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in/Downloads/"/>
    </mc:Choice>
  </mc:AlternateContent>
  <xr:revisionPtr revIDLastSave="0" documentId="8_{6741F68B-0F50-644E-A91B-0EC00AB9E761}" xr6:coauthVersionLast="47" xr6:coauthVersionMax="47" xr10:uidLastSave="{00000000-0000-0000-0000-000000000000}"/>
  <bookViews>
    <workbookView xWindow="0" yWindow="660" windowWidth="34560" windowHeight="20120" xr2:uid="{00000000-000D-0000-FFFF-FFFF00000000}"/>
  </bookViews>
  <sheets>
    <sheet name="Coverpage" sheetId="1" r:id="rId1"/>
    <sheet name="Expor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3796" i="2" l="1"/>
  <c r="O13795" i="2"/>
  <c r="O13794" i="2"/>
  <c r="O13793" i="2"/>
  <c r="M13793" i="2"/>
  <c r="L13793" i="2"/>
  <c r="E13793" i="2"/>
  <c r="D13793" i="2"/>
  <c r="B13793" i="2"/>
  <c r="A13793" i="2"/>
  <c r="O13792" i="2"/>
  <c r="O13791" i="2"/>
  <c r="O13790" i="2"/>
  <c r="M13790" i="2"/>
  <c r="L13790" i="2"/>
  <c r="E13790" i="2"/>
  <c r="D13790" i="2"/>
  <c r="B13790" i="2"/>
  <c r="A13790" i="2"/>
  <c r="O13789" i="2"/>
  <c r="O13788" i="2"/>
  <c r="O13787" i="2"/>
  <c r="M13787" i="2"/>
  <c r="L13787" i="2"/>
  <c r="E13787" i="2"/>
  <c r="D13787" i="2"/>
  <c r="B13787" i="2"/>
  <c r="A13787" i="2"/>
  <c r="O13786" i="2"/>
  <c r="M13786" i="2"/>
  <c r="L13786" i="2"/>
  <c r="E13786" i="2"/>
  <c r="D13786" i="2"/>
  <c r="B13786" i="2"/>
  <c r="A13786" i="2"/>
  <c r="O13785" i="2"/>
  <c r="O13784" i="2"/>
  <c r="O13783" i="2"/>
  <c r="M13783" i="2"/>
  <c r="L13783" i="2"/>
  <c r="E13783" i="2"/>
  <c r="D13783" i="2"/>
  <c r="B13783" i="2"/>
  <c r="A13783" i="2"/>
  <c r="O13782" i="2"/>
  <c r="O13781" i="2"/>
  <c r="O13780" i="2"/>
  <c r="M13780" i="2"/>
  <c r="L13780" i="2"/>
  <c r="E13780" i="2"/>
  <c r="D13780" i="2"/>
  <c r="B13780" i="2"/>
  <c r="A13780" i="2"/>
  <c r="O13779" i="2"/>
  <c r="O13778" i="2"/>
  <c r="O13777" i="2"/>
  <c r="M13777" i="2"/>
  <c r="L13777" i="2"/>
  <c r="E13777" i="2"/>
  <c r="D13777" i="2"/>
  <c r="B13777" i="2"/>
  <c r="A13777" i="2"/>
  <c r="O13776" i="2"/>
  <c r="M13776" i="2"/>
  <c r="L13776" i="2"/>
  <c r="E13776" i="2"/>
  <c r="D13776" i="2"/>
  <c r="B13776" i="2"/>
  <c r="A13776" i="2"/>
  <c r="O13775" i="2"/>
  <c r="O13774" i="2"/>
  <c r="O13773" i="2"/>
  <c r="O13772" i="2"/>
  <c r="M13772" i="2"/>
  <c r="L13772" i="2"/>
  <c r="E13772" i="2"/>
  <c r="D13772" i="2"/>
  <c r="B13772" i="2"/>
  <c r="A13772" i="2"/>
  <c r="O13771" i="2"/>
  <c r="M13771" i="2"/>
  <c r="L13771" i="2"/>
  <c r="E13771" i="2"/>
  <c r="D13771" i="2"/>
  <c r="B13771" i="2"/>
  <c r="A13771" i="2"/>
  <c r="O13770" i="2"/>
  <c r="M13770" i="2"/>
  <c r="L13770" i="2"/>
  <c r="E13770" i="2"/>
  <c r="D13770" i="2"/>
  <c r="B13770" i="2"/>
  <c r="A13770" i="2"/>
  <c r="O13769" i="2"/>
  <c r="M13769" i="2"/>
  <c r="L13769" i="2"/>
  <c r="E13769" i="2"/>
  <c r="D13769" i="2"/>
  <c r="B13769" i="2"/>
  <c r="A13769" i="2"/>
  <c r="O13768" i="2"/>
  <c r="M13768" i="2"/>
  <c r="L13768" i="2"/>
  <c r="E13768" i="2"/>
  <c r="D13768" i="2"/>
  <c r="B13768" i="2"/>
  <c r="A13768" i="2"/>
  <c r="O13767" i="2"/>
  <c r="O13766" i="2"/>
  <c r="O13765" i="2"/>
  <c r="O13764" i="2"/>
  <c r="O13763" i="2"/>
  <c r="O13762" i="2"/>
  <c r="O13761" i="2"/>
  <c r="M13761" i="2"/>
  <c r="L13761" i="2"/>
  <c r="E13761" i="2"/>
  <c r="D13761" i="2"/>
  <c r="B13761" i="2"/>
  <c r="A13761" i="2"/>
  <c r="O13760" i="2"/>
  <c r="M13760" i="2"/>
  <c r="L13760" i="2"/>
  <c r="E13760" i="2"/>
  <c r="D13760" i="2"/>
  <c r="B13760" i="2"/>
  <c r="A13760" i="2"/>
  <c r="O13759" i="2"/>
  <c r="M13759" i="2"/>
  <c r="L13759" i="2"/>
  <c r="E13759" i="2"/>
  <c r="D13759" i="2"/>
  <c r="B13759" i="2"/>
  <c r="A13759" i="2"/>
  <c r="O13758" i="2"/>
  <c r="M13758" i="2"/>
  <c r="L13758" i="2"/>
  <c r="E13758" i="2"/>
  <c r="D13758" i="2"/>
  <c r="B13758" i="2"/>
  <c r="A13758" i="2"/>
  <c r="O13757" i="2"/>
  <c r="M13757" i="2"/>
  <c r="L13757" i="2"/>
  <c r="E13757" i="2"/>
  <c r="D13757" i="2"/>
  <c r="B13757" i="2"/>
  <c r="A13757" i="2"/>
  <c r="O13756" i="2"/>
  <c r="M13756" i="2"/>
  <c r="L13756" i="2"/>
  <c r="E13756" i="2"/>
  <c r="D13756" i="2"/>
  <c r="B13756" i="2"/>
  <c r="A13756" i="2"/>
  <c r="O13755" i="2"/>
  <c r="M13755" i="2"/>
  <c r="L13755" i="2"/>
  <c r="E13755" i="2"/>
  <c r="D13755" i="2"/>
  <c r="B13755" i="2"/>
  <c r="A13755" i="2"/>
  <c r="O13754" i="2"/>
  <c r="O13753" i="2"/>
  <c r="O13752" i="2"/>
  <c r="O13751" i="2"/>
  <c r="O13750" i="2"/>
  <c r="M13750" i="2"/>
  <c r="L13750" i="2"/>
  <c r="E13750" i="2"/>
  <c r="D13750" i="2"/>
  <c r="B13750" i="2"/>
  <c r="A13750" i="2"/>
  <c r="O13749" i="2"/>
  <c r="M13749" i="2"/>
  <c r="L13749" i="2"/>
  <c r="E13749" i="2"/>
  <c r="D13749" i="2"/>
  <c r="B13749" i="2"/>
  <c r="A13749" i="2"/>
  <c r="O13748" i="2"/>
  <c r="M13748" i="2"/>
  <c r="L13748" i="2"/>
  <c r="E13748" i="2"/>
  <c r="D13748" i="2"/>
  <c r="B13748" i="2"/>
  <c r="A13748" i="2"/>
  <c r="O13747" i="2"/>
  <c r="O13746" i="2"/>
  <c r="O13745" i="2"/>
  <c r="M13745" i="2"/>
  <c r="L13745" i="2"/>
  <c r="E13745" i="2"/>
  <c r="D13745" i="2"/>
  <c r="B13745" i="2"/>
  <c r="A13745" i="2"/>
  <c r="O13744" i="2"/>
  <c r="O13743" i="2"/>
  <c r="M13743" i="2"/>
  <c r="L13743" i="2"/>
  <c r="E13743" i="2"/>
  <c r="D13743" i="2"/>
  <c r="B13743" i="2"/>
  <c r="A13743" i="2"/>
  <c r="O13742" i="2"/>
  <c r="M13742" i="2"/>
  <c r="L13742" i="2"/>
  <c r="E13742" i="2"/>
  <c r="D13742" i="2"/>
  <c r="B13742" i="2"/>
  <c r="A13742" i="2"/>
  <c r="O13741" i="2"/>
  <c r="O13740" i="2"/>
  <c r="O13739" i="2"/>
  <c r="M13739" i="2"/>
  <c r="L13739" i="2"/>
  <c r="E13739" i="2"/>
  <c r="D13739" i="2"/>
  <c r="B13739" i="2"/>
  <c r="A13739" i="2"/>
  <c r="O13738" i="2"/>
  <c r="M13738" i="2"/>
  <c r="L13738" i="2"/>
  <c r="E13738" i="2"/>
  <c r="D13738" i="2"/>
  <c r="B13738" i="2"/>
  <c r="A13738" i="2"/>
  <c r="O13737" i="2"/>
  <c r="O13736" i="2"/>
  <c r="M13736" i="2"/>
  <c r="L13736" i="2"/>
  <c r="E13736" i="2"/>
  <c r="D13736" i="2"/>
  <c r="B13736" i="2"/>
  <c r="A13736" i="2"/>
  <c r="O13735" i="2"/>
  <c r="O13734" i="2"/>
  <c r="M13734" i="2"/>
  <c r="L13734" i="2"/>
  <c r="E13734" i="2"/>
  <c r="D13734" i="2"/>
  <c r="B13734" i="2"/>
  <c r="A13734" i="2"/>
  <c r="O13733" i="2"/>
  <c r="M13733" i="2"/>
  <c r="L13733" i="2"/>
  <c r="E13733" i="2"/>
  <c r="D13733" i="2"/>
  <c r="B13733" i="2"/>
  <c r="A13733" i="2"/>
  <c r="O13732" i="2"/>
  <c r="O13731" i="2"/>
  <c r="M13731" i="2"/>
  <c r="L13731" i="2"/>
  <c r="E13731" i="2"/>
  <c r="D13731" i="2"/>
  <c r="B13731" i="2"/>
  <c r="A13731" i="2"/>
  <c r="O13730" i="2"/>
  <c r="M13730" i="2"/>
  <c r="L13730" i="2"/>
  <c r="E13730" i="2"/>
  <c r="D13730" i="2"/>
  <c r="B13730" i="2"/>
  <c r="A13730" i="2"/>
  <c r="O13729" i="2"/>
  <c r="M13729" i="2"/>
  <c r="L13729" i="2"/>
  <c r="E13729" i="2"/>
  <c r="D13729" i="2"/>
  <c r="B13729" i="2"/>
  <c r="A13729" i="2"/>
  <c r="O13728" i="2"/>
  <c r="O13727" i="2"/>
  <c r="O13726" i="2"/>
  <c r="O13725" i="2"/>
  <c r="M13725" i="2"/>
  <c r="L13725" i="2"/>
  <c r="E13725" i="2"/>
  <c r="D13725" i="2"/>
  <c r="B13725" i="2"/>
  <c r="A13725" i="2"/>
  <c r="O13724" i="2"/>
  <c r="O13723" i="2"/>
  <c r="O13722" i="2"/>
  <c r="M13722" i="2"/>
  <c r="L13722" i="2"/>
  <c r="E13722" i="2"/>
  <c r="D13722" i="2"/>
  <c r="B13722" i="2"/>
  <c r="A13722" i="2"/>
  <c r="O13721" i="2"/>
  <c r="O13720" i="2"/>
  <c r="O13719" i="2"/>
  <c r="O13718" i="2"/>
  <c r="M13718" i="2"/>
  <c r="L13718" i="2"/>
  <c r="E13718" i="2"/>
  <c r="D13718" i="2"/>
  <c r="B13718" i="2"/>
  <c r="A13718" i="2"/>
  <c r="O13717" i="2"/>
  <c r="O13716" i="2"/>
  <c r="M13716" i="2"/>
  <c r="L13716" i="2"/>
  <c r="E13716" i="2"/>
  <c r="D13716" i="2"/>
  <c r="B13716" i="2"/>
  <c r="A13716" i="2"/>
  <c r="O13715" i="2"/>
  <c r="M13715" i="2"/>
  <c r="L13715" i="2"/>
  <c r="E13715" i="2"/>
  <c r="D13715" i="2"/>
  <c r="B13715" i="2"/>
  <c r="A13715" i="2"/>
  <c r="O13714" i="2"/>
  <c r="M13714" i="2"/>
  <c r="L13714" i="2"/>
  <c r="E13714" i="2"/>
  <c r="D13714" i="2"/>
  <c r="B13714" i="2"/>
  <c r="A13714" i="2"/>
  <c r="O13713" i="2"/>
  <c r="O13712" i="2"/>
  <c r="M13712" i="2"/>
  <c r="L13712" i="2"/>
  <c r="E13712" i="2"/>
  <c r="D13712" i="2"/>
  <c r="B13712" i="2"/>
  <c r="A13712" i="2"/>
  <c r="O13711" i="2"/>
  <c r="O13710" i="2"/>
  <c r="O13709" i="2"/>
  <c r="O13708" i="2"/>
  <c r="O13707" i="2"/>
  <c r="O13706" i="2"/>
  <c r="M13706" i="2"/>
  <c r="L13706" i="2"/>
  <c r="E13706" i="2"/>
  <c r="D13706" i="2"/>
  <c r="B13706" i="2"/>
  <c r="A13706" i="2"/>
  <c r="O13705" i="2"/>
  <c r="O13704" i="2"/>
  <c r="M13704" i="2"/>
  <c r="L13704" i="2"/>
  <c r="E13704" i="2"/>
  <c r="D13704" i="2"/>
  <c r="B13704" i="2"/>
  <c r="A13704" i="2"/>
  <c r="O13703" i="2"/>
  <c r="O13702" i="2"/>
  <c r="M13702" i="2"/>
  <c r="L13702" i="2"/>
  <c r="E13702" i="2"/>
  <c r="D13702" i="2"/>
  <c r="B13702" i="2"/>
  <c r="A13702" i="2"/>
  <c r="O13701" i="2"/>
  <c r="M13701" i="2"/>
  <c r="L13701" i="2"/>
  <c r="E13701" i="2"/>
  <c r="D13701" i="2"/>
  <c r="B13701" i="2"/>
  <c r="A13701" i="2"/>
  <c r="O13700" i="2"/>
  <c r="O13699" i="2"/>
  <c r="M13699" i="2"/>
  <c r="L13699" i="2"/>
  <c r="E13699" i="2"/>
  <c r="D13699" i="2"/>
  <c r="B13699" i="2"/>
  <c r="A13699" i="2"/>
  <c r="O13698" i="2"/>
  <c r="O13697" i="2"/>
  <c r="M13697" i="2"/>
  <c r="L13697" i="2"/>
  <c r="E13697" i="2"/>
  <c r="D13697" i="2"/>
  <c r="B13697" i="2"/>
  <c r="A13697" i="2"/>
  <c r="O13696" i="2"/>
  <c r="O13695" i="2"/>
  <c r="M13695" i="2"/>
  <c r="L13695" i="2"/>
  <c r="E13695" i="2"/>
  <c r="D13695" i="2"/>
  <c r="B13695" i="2"/>
  <c r="A13695" i="2"/>
  <c r="O13694" i="2"/>
  <c r="O13693" i="2"/>
  <c r="O13692" i="2"/>
  <c r="M13692" i="2"/>
  <c r="L13692" i="2"/>
  <c r="E13692" i="2"/>
  <c r="D13692" i="2"/>
  <c r="B13692" i="2"/>
  <c r="A13692" i="2"/>
  <c r="O13691" i="2"/>
  <c r="O13690" i="2"/>
  <c r="O13689" i="2"/>
  <c r="M13689" i="2"/>
  <c r="L13689" i="2"/>
  <c r="E13689" i="2"/>
  <c r="D13689" i="2"/>
  <c r="B13689" i="2"/>
  <c r="A13689" i="2"/>
  <c r="O13688" i="2"/>
  <c r="O13687" i="2"/>
  <c r="M13687" i="2"/>
  <c r="L13687" i="2"/>
  <c r="E13687" i="2"/>
  <c r="D13687" i="2"/>
  <c r="B13687" i="2"/>
  <c r="A13687" i="2"/>
  <c r="O13686" i="2"/>
  <c r="M13686" i="2"/>
  <c r="L13686" i="2"/>
  <c r="E13686" i="2"/>
  <c r="D13686" i="2"/>
  <c r="B13686" i="2"/>
  <c r="A13686" i="2"/>
  <c r="O13685" i="2"/>
  <c r="O13684" i="2"/>
  <c r="O13683" i="2"/>
  <c r="M13683" i="2"/>
  <c r="L13683" i="2"/>
  <c r="E13683" i="2"/>
  <c r="D13683" i="2"/>
  <c r="B13683" i="2"/>
  <c r="A13683" i="2"/>
  <c r="O13682" i="2"/>
  <c r="M13682" i="2"/>
  <c r="L13682" i="2"/>
  <c r="E13682" i="2"/>
  <c r="D13682" i="2"/>
  <c r="B13682" i="2"/>
  <c r="A13682" i="2"/>
  <c r="O13681" i="2"/>
  <c r="O13680" i="2"/>
  <c r="O13679" i="2"/>
  <c r="M13679" i="2"/>
  <c r="L13679" i="2"/>
  <c r="E13679" i="2"/>
  <c r="D13679" i="2"/>
  <c r="B13679" i="2"/>
  <c r="A13679" i="2"/>
  <c r="O13678" i="2"/>
  <c r="M13678" i="2"/>
  <c r="L13678" i="2"/>
  <c r="E13678" i="2"/>
  <c r="D13678" i="2"/>
  <c r="B13678" i="2"/>
  <c r="A13678" i="2"/>
  <c r="O13677" i="2"/>
  <c r="O13676" i="2"/>
  <c r="O13675" i="2"/>
  <c r="O13674" i="2"/>
  <c r="O13673" i="2"/>
  <c r="O13672" i="2"/>
  <c r="O13671" i="2"/>
  <c r="O13670" i="2"/>
  <c r="M13670" i="2"/>
  <c r="L13670" i="2"/>
  <c r="E13670" i="2"/>
  <c r="D13670" i="2"/>
  <c r="B13670" i="2"/>
  <c r="A13670" i="2"/>
  <c r="O13669" i="2"/>
  <c r="O13668" i="2"/>
  <c r="M13668" i="2"/>
  <c r="L13668" i="2"/>
  <c r="E13668" i="2"/>
  <c r="D13668" i="2"/>
  <c r="B13668" i="2"/>
  <c r="A13668" i="2"/>
  <c r="O13667" i="2"/>
  <c r="M13667" i="2"/>
  <c r="L13667" i="2"/>
  <c r="E13667" i="2"/>
  <c r="D13667" i="2"/>
  <c r="B13667" i="2"/>
  <c r="A13667" i="2"/>
  <c r="O13666" i="2"/>
  <c r="M13666" i="2"/>
  <c r="L13666" i="2"/>
  <c r="E13666" i="2"/>
  <c r="D13666" i="2"/>
  <c r="B13666" i="2"/>
  <c r="A13666" i="2"/>
  <c r="O13665" i="2"/>
  <c r="O13664" i="2"/>
  <c r="O13663" i="2"/>
  <c r="M13663" i="2"/>
  <c r="L13663" i="2"/>
  <c r="E13663" i="2"/>
  <c r="D13663" i="2"/>
  <c r="B13663" i="2"/>
  <c r="A13663" i="2"/>
  <c r="O13662" i="2"/>
  <c r="O13661" i="2"/>
  <c r="M13661" i="2"/>
  <c r="L13661" i="2"/>
  <c r="E13661" i="2"/>
  <c r="D13661" i="2"/>
  <c r="B13661" i="2"/>
  <c r="A13661" i="2"/>
  <c r="O13660" i="2"/>
  <c r="M13660" i="2"/>
  <c r="L13660" i="2"/>
  <c r="E13660" i="2"/>
  <c r="D13660" i="2"/>
  <c r="B13660" i="2"/>
  <c r="A13660" i="2"/>
  <c r="O13659" i="2"/>
  <c r="M13659" i="2"/>
  <c r="L13659" i="2"/>
  <c r="E13659" i="2"/>
  <c r="D13659" i="2"/>
  <c r="B13659" i="2"/>
  <c r="A13659" i="2"/>
  <c r="O13658" i="2"/>
  <c r="M13658" i="2"/>
  <c r="L13658" i="2"/>
  <c r="E13658" i="2"/>
  <c r="D13658" i="2"/>
  <c r="B13658" i="2"/>
  <c r="A13658" i="2"/>
  <c r="O13657" i="2"/>
  <c r="M13657" i="2"/>
  <c r="L13657" i="2"/>
  <c r="E13657" i="2"/>
  <c r="D13657" i="2"/>
  <c r="B13657" i="2"/>
  <c r="A13657" i="2"/>
  <c r="O13656" i="2"/>
  <c r="O13655" i="2"/>
  <c r="O13654" i="2"/>
  <c r="O13653" i="2"/>
  <c r="M13653" i="2"/>
  <c r="L13653" i="2"/>
  <c r="E13653" i="2"/>
  <c r="D13653" i="2"/>
  <c r="B13653" i="2"/>
  <c r="A13653" i="2"/>
  <c r="O13652" i="2"/>
  <c r="O13651" i="2"/>
  <c r="M13651" i="2"/>
  <c r="L13651" i="2"/>
  <c r="E13651" i="2"/>
  <c r="D13651" i="2"/>
  <c r="B13651" i="2"/>
  <c r="A13651" i="2"/>
  <c r="O13650" i="2"/>
  <c r="O13649" i="2"/>
  <c r="O13648" i="2"/>
  <c r="M13648" i="2"/>
  <c r="L13648" i="2"/>
  <c r="E13648" i="2"/>
  <c r="D13648" i="2"/>
  <c r="B13648" i="2"/>
  <c r="A13648" i="2"/>
  <c r="O13647" i="2"/>
  <c r="O13646" i="2"/>
  <c r="M13646" i="2"/>
  <c r="L13646" i="2"/>
  <c r="E13646" i="2"/>
  <c r="D13646" i="2"/>
  <c r="B13646" i="2"/>
  <c r="A13646" i="2"/>
  <c r="O13645" i="2"/>
  <c r="M13645" i="2"/>
  <c r="L13645" i="2"/>
  <c r="E13645" i="2"/>
  <c r="D13645" i="2"/>
  <c r="B13645" i="2"/>
  <c r="A13645" i="2"/>
  <c r="O13644" i="2"/>
  <c r="O13643" i="2"/>
  <c r="M13643" i="2"/>
  <c r="L13643" i="2"/>
  <c r="E13643" i="2"/>
  <c r="D13643" i="2"/>
  <c r="B13643" i="2"/>
  <c r="A13643" i="2"/>
  <c r="O13642" i="2"/>
  <c r="M13642" i="2"/>
  <c r="L13642" i="2"/>
  <c r="E13642" i="2"/>
  <c r="D13642" i="2"/>
  <c r="B13642" i="2"/>
  <c r="A13642" i="2"/>
  <c r="O13641" i="2"/>
  <c r="M13641" i="2"/>
  <c r="L13641" i="2"/>
  <c r="E13641" i="2"/>
  <c r="D13641" i="2"/>
  <c r="B13641" i="2"/>
  <c r="A13641" i="2"/>
  <c r="O13640" i="2"/>
  <c r="M13640" i="2"/>
  <c r="L13640" i="2"/>
  <c r="E13640" i="2"/>
  <c r="D13640" i="2"/>
  <c r="B13640" i="2"/>
  <c r="A13640" i="2"/>
  <c r="O13639" i="2"/>
  <c r="M13639" i="2"/>
  <c r="L13639" i="2"/>
  <c r="E13639" i="2"/>
  <c r="D13639" i="2"/>
  <c r="B13639" i="2"/>
  <c r="A13639" i="2"/>
  <c r="O13638" i="2"/>
  <c r="O13637" i="2"/>
  <c r="O13636" i="2"/>
  <c r="M13636" i="2"/>
  <c r="L13636" i="2"/>
  <c r="E13636" i="2"/>
  <c r="D13636" i="2"/>
  <c r="B13636" i="2"/>
  <c r="A13636" i="2"/>
  <c r="O13635" i="2"/>
  <c r="M13635" i="2"/>
  <c r="L13635" i="2"/>
  <c r="E13635" i="2"/>
  <c r="D13635" i="2"/>
  <c r="B13635" i="2"/>
  <c r="A13635" i="2"/>
  <c r="O13634" i="2"/>
  <c r="O13633" i="2"/>
  <c r="M13633" i="2"/>
  <c r="L13633" i="2"/>
  <c r="E13633" i="2"/>
  <c r="D13633" i="2"/>
  <c r="B13633" i="2"/>
  <c r="A13633" i="2"/>
  <c r="O13632" i="2"/>
  <c r="M13632" i="2"/>
  <c r="L13632" i="2"/>
  <c r="E13632" i="2"/>
  <c r="D13632" i="2"/>
  <c r="B13632" i="2"/>
  <c r="A13632" i="2"/>
  <c r="O13631" i="2"/>
  <c r="O13630" i="2"/>
  <c r="O13629" i="2"/>
  <c r="O13628" i="2"/>
  <c r="M13628" i="2"/>
  <c r="L13628" i="2"/>
  <c r="E13628" i="2"/>
  <c r="D13628" i="2"/>
  <c r="B13628" i="2"/>
  <c r="A13628" i="2"/>
  <c r="O13627" i="2"/>
  <c r="O13626" i="2"/>
  <c r="M13626" i="2"/>
  <c r="L13626" i="2"/>
  <c r="E13626" i="2"/>
  <c r="D13626" i="2"/>
  <c r="B13626" i="2"/>
  <c r="A13626" i="2"/>
  <c r="O13625" i="2"/>
  <c r="O13624" i="2"/>
  <c r="O13623" i="2"/>
  <c r="M13623" i="2"/>
  <c r="L13623" i="2"/>
  <c r="E13623" i="2"/>
  <c r="D13623" i="2"/>
  <c r="B13623" i="2"/>
  <c r="A13623" i="2"/>
  <c r="O13622" i="2"/>
  <c r="M13622" i="2"/>
  <c r="L13622" i="2"/>
  <c r="E13622" i="2"/>
  <c r="D13622" i="2"/>
  <c r="B13622" i="2"/>
  <c r="A13622" i="2"/>
  <c r="O13621" i="2"/>
  <c r="O13620" i="2"/>
  <c r="M13620" i="2"/>
  <c r="L13620" i="2"/>
  <c r="E13620" i="2"/>
  <c r="D13620" i="2"/>
  <c r="B13620" i="2"/>
  <c r="A13620" i="2"/>
  <c r="O13619" i="2"/>
  <c r="O13618" i="2"/>
  <c r="M13618" i="2"/>
  <c r="L13618" i="2"/>
  <c r="E13618" i="2"/>
  <c r="D13618" i="2"/>
  <c r="B13618" i="2"/>
  <c r="A13618" i="2"/>
  <c r="O13617" i="2"/>
  <c r="O13616" i="2"/>
  <c r="M13616" i="2"/>
  <c r="L13616" i="2"/>
  <c r="E13616" i="2"/>
  <c r="D13616" i="2"/>
  <c r="B13616" i="2"/>
  <c r="A13616" i="2"/>
  <c r="O13615" i="2"/>
  <c r="M13615" i="2"/>
  <c r="L13615" i="2"/>
  <c r="E13615" i="2"/>
  <c r="D13615" i="2"/>
  <c r="B13615" i="2"/>
  <c r="A13615" i="2"/>
  <c r="O13614" i="2"/>
  <c r="M13614" i="2"/>
  <c r="L13614" i="2"/>
  <c r="E13614" i="2"/>
  <c r="D13614" i="2"/>
  <c r="B13614" i="2"/>
  <c r="A13614" i="2"/>
  <c r="O13613" i="2"/>
  <c r="O13612" i="2"/>
  <c r="O13611" i="2"/>
  <c r="M13611" i="2"/>
  <c r="L13611" i="2"/>
  <c r="E13611" i="2"/>
  <c r="D13611" i="2"/>
  <c r="B13611" i="2"/>
  <c r="A13611" i="2"/>
  <c r="O13610" i="2"/>
  <c r="M13610" i="2"/>
  <c r="L13610" i="2"/>
  <c r="E13610" i="2"/>
  <c r="D13610" i="2"/>
  <c r="B13610" i="2"/>
  <c r="A13610" i="2"/>
  <c r="O13609" i="2"/>
  <c r="M13609" i="2"/>
  <c r="L13609" i="2"/>
  <c r="E13609" i="2"/>
  <c r="D13609" i="2"/>
  <c r="B13609" i="2"/>
  <c r="A13609" i="2"/>
  <c r="O13608" i="2"/>
  <c r="O13607" i="2"/>
  <c r="O13606" i="2"/>
  <c r="M13606" i="2"/>
  <c r="L13606" i="2"/>
  <c r="E13606" i="2"/>
  <c r="D13606" i="2"/>
  <c r="B13606" i="2"/>
  <c r="A13606" i="2"/>
  <c r="O13605" i="2"/>
  <c r="O13604" i="2"/>
  <c r="M13604" i="2"/>
  <c r="L13604" i="2"/>
  <c r="E13604" i="2"/>
  <c r="D13604" i="2"/>
  <c r="B13604" i="2"/>
  <c r="A13604" i="2"/>
  <c r="O13603" i="2"/>
  <c r="O13602" i="2"/>
  <c r="O13601" i="2"/>
  <c r="M13601" i="2"/>
  <c r="L13601" i="2"/>
  <c r="E13601" i="2"/>
  <c r="D13601" i="2"/>
  <c r="B13601" i="2"/>
  <c r="A13601" i="2"/>
  <c r="O13600" i="2"/>
  <c r="O13599" i="2"/>
  <c r="O13598" i="2"/>
  <c r="M13598" i="2"/>
  <c r="L13598" i="2"/>
  <c r="E13598" i="2"/>
  <c r="D13598" i="2"/>
  <c r="B13598" i="2"/>
  <c r="A13598" i="2"/>
  <c r="O13597" i="2"/>
  <c r="O13596" i="2"/>
  <c r="O13595" i="2"/>
  <c r="M13595" i="2"/>
  <c r="L13595" i="2"/>
  <c r="E13595" i="2"/>
  <c r="D13595" i="2"/>
  <c r="B13595" i="2"/>
  <c r="A13595" i="2"/>
  <c r="O13594" i="2"/>
  <c r="O13593" i="2"/>
  <c r="M13593" i="2"/>
  <c r="L13593" i="2"/>
  <c r="E13593" i="2"/>
  <c r="D13593" i="2"/>
  <c r="B13593" i="2"/>
  <c r="A13593" i="2"/>
  <c r="O13592" i="2"/>
  <c r="O13591" i="2"/>
  <c r="O13590" i="2"/>
  <c r="M13590" i="2"/>
  <c r="L13590" i="2"/>
  <c r="E13590" i="2"/>
  <c r="D13590" i="2"/>
  <c r="B13590" i="2"/>
  <c r="A13590" i="2"/>
  <c r="O13589" i="2"/>
  <c r="O13588" i="2"/>
  <c r="M13588" i="2"/>
  <c r="L13588" i="2"/>
  <c r="E13588" i="2"/>
  <c r="D13588" i="2"/>
  <c r="B13588" i="2"/>
  <c r="A13588" i="2"/>
  <c r="O13587" i="2"/>
  <c r="M13587" i="2"/>
  <c r="L13587" i="2"/>
  <c r="E13587" i="2"/>
  <c r="D13587" i="2"/>
  <c r="B13587" i="2"/>
  <c r="A13587" i="2"/>
  <c r="O13586" i="2"/>
  <c r="O13585" i="2"/>
  <c r="O13584" i="2"/>
  <c r="M13584" i="2"/>
  <c r="L13584" i="2"/>
  <c r="E13584" i="2"/>
  <c r="D13584" i="2"/>
  <c r="B13584" i="2"/>
  <c r="A13584" i="2"/>
  <c r="O13583" i="2"/>
  <c r="M13583" i="2"/>
  <c r="L13583" i="2"/>
  <c r="E13583" i="2"/>
  <c r="D13583" i="2"/>
  <c r="B13583" i="2"/>
  <c r="A13583" i="2"/>
  <c r="O13582" i="2"/>
  <c r="M13582" i="2"/>
  <c r="L13582" i="2"/>
  <c r="E13582" i="2"/>
  <c r="D13582" i="2"/>
  <c r="B13582" i="2"/>
  <c r="A13582" i="2"/>
  <c r="O13581" i="2"/>
  <c r="O13580" i="2"/>
  <c r="O13579" i="2"/>
  <c r="M13579" i="2"/>
  <c r="L13579" i="2"/>
  <c r="E13579" i="2"/>
  <c r="D13579" i="2"/>
  <c r="B13579" i="2"/>
  <c r="A13579" i="2"/>
  <c r="O13578" i="2"/>
  <c r="O13577" i="2"/>
  <c r="M13577" i="2"/>
  <c r="L13577" i="2"/>
  <c r="E13577" i="2"/>
  <c r="D13577" i="2"/>
  <c r="B13577" i="2"/>
  <c r="A13577" i="2"/>
  <c r="O13576" i="2"/>
  <c r="M13576" i="2"/>
  <c r="L13576" i="2"/>
  <c r="E13576" i="2"/>
  <c r="D13576" i="2"/>
  <c r="B13576" i="2"/>
  <c r="A13576" i="2"/>
  <c r="O13575" i="2"/>
  <c r="O13574" i="2"/>
  <c r="M13574" i="2"/>
  <c r="L13574" i="2"/>
  <c r="E13574" i="2"/>
  <c r="D13574" i="2"/>
  <c r="B13574" i="2"/>
  <c r="A13574" i="2"/>
  <c r="O13573" i="2"/>
  <c r="O13572" i="2"/>
  <c r="M13572" i="2"/>
  <c r="L13572" i="2"/>
  <c r="E13572" i="2"/>
  <c r="D13572" i="2"/>
  <c r="B13572" i="2"/>
  <c r="A13572" i="2"/>
  <c r="O13571" i="2"/>
  <c r="O13570" i="2"/>
  <c r="M13570" i="2"/>
  <c r="L13570" i="2"/>
  <c r="E13570" i="2"/>
  <c r="D13570" i="2"/>
  <c r="B13570" i="2"/>
  <c r="A13570" i="2"/>
  <c r="O13569" i="2"/>
  <c r="O13568" i="2"/>
  <c r="O13567" i="2"/>
  <c r="M13567" i="2"/>
  <c r="L13567" i="2"/>
  <c r="E13567" i="2"/>
  <c r="D13567" i="2"/>
  <c r="B13567" i="2"/>
  <c r="A13567" i="2"/>
  <c r="O13566" i="2"/>
  <c r="M13566" i="2"/>
  <c r="L13566" i="2"/>
  <c r="E13566" i="2"/>
  <c r="D13566" i="2"/>
  <c r="B13566" i="2"/>
  <c r="A13566" i="2"/>
  <c r="O13565" i="2"/>
  <c r="O13564" i="2"/>
  <c r="O13563" i="2"/>
  <c r="O13562" i="2"/>
  <c r="M13562" i="2"/>
  <c r="L13562" i="2"/>
  <c r="E13562" i="2"/>
  <c r="D13562" i="2"/>
  <c r="B13562" i="2"/>
  <c r="A13562" i="2"/>
  <c r="O13561" i="2"/>
  <c r="O13560" i="2"/>
  <c r="M13560" i="2"/>
  <c r="L13560" i="2"/>
  <c r="E13560" i="2"/>
  <c r="D13560" i="2"/>
  <c r="B13560" i="2"/>
  <c r="A13560" i="2"/>
  <c r="O13559" i="2"/>
  <c r="M13559" i="2"/>
  <c r="L13559" i="2"/>
  <c r="E13559" i="2"/>
  <c r="D13559" i="2"/>
  <c r="B13559" i="2"/>
  <c r="A13559" i="2"/>
  <c r="O13558" i="2"/>
  <c r="O13557" i="2"/>
  <c r="O13556" i="2"/>
  <c r="O13555" i="2"/>
  <c r="M13555" i="2"/>
  <c r="L13555" i="2"/>
  <c r="E13555" i="2"/>
  <c r="D13555" i="2"/>
  <c r="B13555" i="2"/>
  <c r="A13555" i="2"/>
  <c r="O13554" i="2"/>
  <c r="O13553" i="2"/>
  <c r="O13552" i="2"/>
  <c r="M13552" i="2"/>
  <c r="L13552" i="2"/>
  <c r="E13552" i="2"/>
  <c r="D13552" i="2"/>
  <c r="B13552" i="2"/>
  <c r="A13552" i="2"/>
  <c r="O13551" i="2"/>
  <c r="O13550" i="2"/>
  <c r="O13549" i="2"/>
  <c r="O13548" i="2"/>
  <c r="M13548" i="2"/>
  <c r="L13548" i="2"/>
  <c r="E13548" i="2"/>
  <c r="D13548" i="2"/>
  <c r="B13548" i="2"/>
  <c r="A13548" i="2"/>
  <c r="O13547" i="2"/>
  <c r="O13546" i="2"/>
  <c r="M13546" i="2"/>
  <c r="L13546" i="2"/>
  <c r="E13546" i="2"/>
  <c r="D13546" i="2"/>
  <c r="B13546" i="2"/>
  <c r="A13546" i="2"/>
  <c r="O13545" i="2"/>
  <c r="O13544" i="2"/>
  <c r="M13544" i="2"/>
  <c r="L13544" i="2"/>
  <c r="E13544" i="2"/>
  <c r="D13544" i="2"/>
  <c r="B13544" i="2"/>
  <c r="A13544" i="2"/>
  <c r="O13543" i="2"/>
  <c r="O13542" i="2"/>
  <c r="M13542" i="2"/>
  <c r="L13542" i="2"/>
  <c r="E13542" i="2"/>
  <c r="D13542" i="2"/>
  <c r="B13542" i="2"/>
  <c r="A13542" i="2"/>
  <c r="O13541" i="2"/>
  <c r="O13540" i="2"/>
  <c r="M13540" i="2"/>
  <c r="L13540" i="2"/>
  <c r="E13540" i="2"/>
  <c r="D13540" i="2"/>
  <c r="B13540" i="2"/>
  <c r="A13540" i="2"/>
  <c r="O13539" i="2"/>
  <c r="M13539" i="2"/>
  <c r="L13539" i="2"/>
  <c r="E13539" i="2"/>
  <c r="D13539" i="2"/>
  <c r="B13539" i="2"/>
  <c r="A13539" i="2"/>
  <c r="O13538" i="2"/>
  <c r="M13538" i="2"/>
  <c r="L13538" i="2"/>
  <c r="E13538" i="2"/>
  <c r="D13538" i="2"/>
  <c r="B13538" i="2"/>
  <c r="A13538" i="2"/>
  <c r="O13537" i="2"/>
  <c r="O13536" i="2"/>
  <c r="O13535" i="2"/>
  <c r="O13534" i="2"/>
  <c r="O13533" i="2"/>
  <c r="M13533" i="2"/>
  <c r="L13533" i="2"/>
  <c r="E13533" i="2"/>
  <c r="D13533" i="2"/>
  <c r="B13533" i="2"/>
  <c r="A13533" i="2"/>
  <c r="O13532" i="2"/>
  <c r="M13532" i="2"/>
  <c r="L13532" i="2"/>
  <c r="E13532" i="2"/>
  <c r="D13532" i="2"/>
  <c r="B13532" i="2"/>
  <c r="A13532" i="2"/>
  <c r="O13531" i="2"/>
  <c r="M13531" i="2"/>
  <c r="L13531" i="2"/>
  <c r="E13531" i="2"/>
  <c r="D13531" i="2"/>
  <c r="B13531" i="2"/>
  <c r="A13531" i="2"/>
  <c r="O13530" i="2"/>
  <c r="M13530" i="2"/>
  <c r="L13530" i="2"/>
  <c r="E13530" i="2"/>
  <c r="D13530" i="2"/>
  <c r="B13530" i="2"/>
  <c r="A13530" i="2"/>
  <c r="O13529" i="2"/>
  <c r="O13528" i="2"/>
  <c r="O13527" i="2"/>
  <c r="M13527" i="2"/>
  <c r="L13527" i="2"/>
  <c r="E13527" i="2"/>
  <c r="D13527" i="2"/>
  <c r="B13527" i="2"/>
  <c r="A13527" i="2"/>
  <c r="O13526" i="2"/>
  <c r="M13526" i="2"/>
  <c r="L13526" i="2"/>
  <c r="E13526" i="2"/>
  <c r="D13526" i="2"/>
  <c r="B13526" i="2"/>
  <c r="A13526" i="2"/>
  <c r="O13525" i="2"/>
  <c r="M13525" i="2"/>
  <c r="L13525" i="2"/>
  <c r="E13525" i="2"/>
  <c r="D13525" i="2"/>
  <c r="B13525" i="2"/>
  <c r="A13525" i="2"/>
  <c r="O13524" i="2"/>
  <c r="M13524" i="2"/>
  <c r="L13524" i="2"/>
  <c r="E13524" i="2"/>
  <c r="D13524" i="2"/>
  <c r="B13524" i="2"/>
  <c r="A13524" i="2"/>
  <c r="O13523" i="2"/>
  <c r="M13523" i="2"/>
  <c r="L13523" i="2"/>
  <c r="E13523" i="2"/>
  <c r="D13523" i="2"/>
  <c r="B13523" i="2"/>
  <c r="A13523" i="2"/>
  <c r="O13522" i="2"/>
  <c r="M13522" i="2"/>
  <c r="L13522" i="2"/>
  <c r="E13522" i="2"/>
  <c r="D13522" i="2"/>
  <c r="B13522" i="2"/>
  <c r="A13522" i="2"/>
  <c r="O13521" i="2"/>
  <c r="M13521" i="2"/>
  <c r="L13521" i="2"/>
  <c r="E13521" i="2"/>
  <c r="D13521" i="2"/>
  <c r="B13521" i="2"/>
  <c r="A13521" i="2"/>
  <c r="O13520" i="2"/>
  <c r="O13519" i="2"/>
  <c r="O13518" i="2"/>
  <c r="O13517" i="2"/>
  <c r="M13517" i="2"/>
  <c r="L13517" i="2"/>
  <c r="E13517" i="2"/>
  <c r="D13517" i="2"/>
  <c r="B13517" i="2"/>
  <c r="A13517" i="2"/>
  <c r="O13516" i="2"/>
  <c r="O13515" i="2"/>
  <c r="O13514" i="2"/>
  <c r="O13513" i="2"/>
  <c r="O13512" i="2"/>
  <c r="O13511" i="2"/>
  <c r="M13511" i="2"/>
  <c r="L13511" i="2"/>
  <c r="E13511" i="2"/>
  <c r="D13511" i="2"/>
  <c r="B13511" i="2"/>
  <c r="A13511" i="2"/>
  <c r="O13510" i="2"/>
  <c r="O13509" i="2"/>
  <c r="O13508" i="2"/>
  <c r="M13508" i="2"/>
  <c r="L13508" i="2"/>
  <c r="E13508" i="2"/>
  <c r="D13508" i="2"/>
  <c r="B13508" i="2"/>
  <c r="A13508" i="2"/>
  <c r="O13507" i="2"/>
  <c r="O13506" i="2"/>
  <c r="O13505" i="2"/>
  <c r="M13505" i="2"/>
  <c r="L13505" i="2"/>
  <c r="E13505" i="2"/>
  <c r="D13505" i="2"/>
  <c r="B13505" i="2"/>
  <c r="A13505" i="2"/>
  <c r="O13504" i="2"/>
  <c r="O13503" i="2"/>
  <c r="O13502" i="2"/>
  <c r="M13502" i="2"/>
  <c r="L13502" i="2"/>
  <c r="E13502" i="2"/>
  <c r="D13502" i="2"/>
  <c r="B13502" i="2"/>
  <c r="A13502" i="2"/>
  <c r="O13501" i="2"/>
  <c r="O13500" i="2"/>
  <c r="O13499" i="2"/>
  <c r="M13499" i="2"/>
  <c r="L13499" i="2"/>
  <c r="E13499" i="2"/>
  <c r="D13499" i="2"/>
  <c r="B13499" i="2"/>
  <c r="A13499" i="2"/>
  <c r="O13498" i="2"/>
  <c r="O13497" i="2"/>
  <c r="O13496" i="2"/>
  <c r="M13496" i="2"/>
  <c r="L13496" i="2"/>
  <c r="E13496" i="2"/>
  <c r="D13496" i="2"/>
  <c r="B13496" i="2"/>
  <c r="A13496" i="2"/>
  <c r="O13495" i="2"/>
  <c r="O13494" i="2"/>
  <c r="O13493" i="2"/>
  <c r="M13493" i="2"/>
  <c r="L13493" i="2"/>
  <c r="E13493" i="2"/>
  <c r="D13493" i="2"/>
  <c r="B13493" i="2"/>
  <c r="A13493" i="2"/>
  <c r="O13492" i="2"/>
  <c r="M13492" i="2"/>
  <c r="L13492" i="2"/>
  <c r="E13492" i="2"/>
  <c r="D13492" i="2"/>
  <c r="B13492" i="2"/>
  <c r="A13492" i="2"/>
  <c r="O13491" i="2"/>
  <c r="O13490" i="2"/>
  <c r="M13490" i="2"/>
  <c r="L13490" i="2"/>
  <c r="E13490" i="2"/>
  <c r="D13490" i="2"/>
  <c r="B13490" i="2"/>
  <c r="A13490" i="2"/>
  <c r="O13489" i="2"/>
  <c r="M13489" i="2"/>
  <c r="L13489" i="2"/>
  <c r="E13489" i="2"/>
  <c r="D13489" i="2"/>
  <c r="B13489" i="2"/>
  <c r="A13489" i="2"/>
  <c r="O13488" i="2"/>
  <c r="O13487" i="2"/>
  <c r="M13487" i="2"/>
  <c r="L13487" i="2"/>
  <c r="E13487" i="2"/>
  <c r="D13487" i="2"/>
  <c r="B13487" i="2"/>
  <c r="A13487" i="2"/>
  <c r="O13486" i="2"/>
  <c r="O13485" i="2"/>
  <c r="O13484" i="2"/>
  <c r="O13483" i="2"/>
  <c r="O13482" i="2"/>
  <c r="O13481" i="2"/>
  <c r="M13481" i="2"/>
  <c r="L13481" i="2"/>
  <c r="E13481" i="2"/>
  <c r="D13481" i="2"/>
  <c r="B13481" i="2"/>
  <c r="A13481" i="2"/>
  <c r="O13480" i="2"/>
  <c r="M13480" i="2"/>
  <c r="L13480" i="2"/>
  <c r="E13480" i="2"/>
  <c r="D13480" i="2"/>
  <c r="B13480" i="2"/>
  <c r="A13480" i="2"/>
  <c r="O13479" i="2"/>
  <c r="M13479" i="2"/>
  <c r="L13479" i="2"/>
  <c r="E13479" i="2"/>
  <c r="D13479" i="2"/>
  <c r="B13479" i="2"/>
  <c r="A13479" i="2"/>
  <c r="O13478" i="2"/>
  <c r="M13478" i="2"/>
  <c r="L13478" i="2"/>
  <c r="E13478" i="2"/>
  <c r="D13478" i="2"/>
  <c r="B13478" i="2"/>
  <c r="A13478" i="2"/>
  <c r="O13477" i="2"/>
  <c r="M13477" i="2"/>
  <c r="L13477" i="2"/>
  <c r="E13477" i="2"/>
  <c r="D13477" i="2"/>
  <c r="B13477" i="2"/>
  <c r="A13477" i="2"/>
  <c r="O13476" i="2"/>
  <c r="M13476" i="2"/>
  <c r="L13476" i="2"/>
  <c r="E13476" i="2"/>
  <c r="D13476" i="2"/>
  <c r="B13476" i="2"/>
  <c r="A13476" i="2"/>
  <c r="O13475" i="2"/>
  <c r="M13475" i="2"/>
  <c r="L13475" i="2"/>
  <c r="E13475" i="2"/>
  <c r="D13475" i="2"/>
  <c r="B13475" i="2"/>
  <c r="A13475" i="2"/>
  <c r="O13474" i="2"/>
  <c r="M13474" i="2"/>
  <c r="L13474" i="2"/>
  <c r="E13474" i="2"/>
  <c r="D13474" i="2"/>
  <c r="B13474" i="2"/>
  <c r="A13474" i="2"/>
  <c r="O13473" i="2"/>
  <c r="M13473" i="2"/>
  <c r="L13473" i="2"/>
  <c r="E13473" i="2"/>
  <c r="D13473" i="2"/>
  <c r="B13473" i="2"/>
  <c r="A13473" i="2"/>
  <c r="O13472" i="2"/>
  <c r="M13472" i="2"/>
  <c r="L13472" i="2"/>
  <c r="E13472" i="2"/>
  <c r="D13472" i="2"/>
  <c r="B13472" i="2"/>
  <c r="A13472" i="2"/>
  <c r="O13471" i="2"/>
  <c r="M13471" i="2"/>
  <c r="L13471" i="2"/>
  <c r="E13471" i="2"/>
  <c r="D13471" i="2"/>
  <c r="B13471" i="2"/>
  <c r="A13471" i="2"/>
  <c r="O13470" i="2"/>
  <c r="O13469" i="2"/>
  <c r="M13469" i="2"/>
  <c r="L13469" i="2"/>
  <c r="E13469" i="2"/>
  <c r="D13469" i="2"/>
  <c r="B13469" i="2"/>
  <c r="A13469" i="2"/>
  <c r="O13468" i="2"/>
  <c r="M13468" i="2"/>
  <c r="L13468" i="2"/>
  <c r="E13468" i="2"/>
  <c r="D13468" i="2"/>
  <c r="B13468" i="2"/>
  <c r="A13468" i="2"/>
  <c r="O13467" i="2"/>
  <c r="M13467" i="2"/>
  <c r="L13467" i="2"/>
  <c r="E13467" i="2"/>
  <c r="D13467" i="2"/>
  <c r="B13467" i="2"/>
  <c r="A13467" i="2"/>
  <c r="O13466" i="2"/>
  <c r="M13466" i="2"/>
  <c r="L13466" i="2"/>
  <c r="E13466" i="2"/>
  <c r="D13466" i="2"/>
  <c r="B13466" i="2"/>
  <c r="A13466" i="2"/>
  <c r="O13465" i="2"/>
  <c r="M13465" i="2"/>
  <c r="L13465" i="2"/>
  <c r="E13465" i="2"/>
  <c r="D13465" i="2"/>
  <c r="B13465" i="2"/>
  <c r="A13465" i="2"/>
  <c r="O13464" i="2"/>
  <c r="M13464" i="2"/>
  <c r="L13464" i="2"/>
  <c r="E13464" i="2"/>
  <c r="D13464" i="2"/>
  <c r="B13464" i="2"/>
  <c r="A13464" i="2"/>
  <c r="O13463" i="2"/>
  <c r="O13462" i="2"/>
  <c r="M13462" i="2"/>
  <c r="L13462" i="2"/>
  <c r="E13462" i="2"/>
  <c r="D13462" i="2"/>
  <c r="B13462" i="2"/>
  <c r="A13462" i="2"/>
  <c r="O13461" i="2"/>
  <c r="M13461" i="2"/>
  <c r="L13461" i="2"/>
  <c r="E13461" i="2"/>
  <c r="D13461" i="2"/>
  <c r="B13461" i="2"/>
  <c r="A13461" i="2"/>
  <c r="O13460" i="2"/>
  <c r="O13459" i="2"/>
  <c r="O13458" i="2"/>
  <c r="O13457" i="2"/>
  <c r="M13457" i="2"/>
  <c r="L13457" i="2"/>
  <c r="E13457" i="2"/>
  <c r="D13457" i="2"/>
  <c r="B13457" i="2"/>
  <c r="A13457" i="2"/>
  <c r="O13456" i="2"/>
  <c r="M13456" i="2"/>
  <c r="L13456" i="2"/>
  <c r="E13456" i="2"/>
  <c r="D13456" i="2"/>
  <c r="B13456" i="2"/>
  <c r="A13456" i="2"/>
  <c r="O13455" i="2"/>
  <c r="O13454" i="2"/>
  <c r="M13454" i="2"/>
  <c r="L13454" i="2"/>
  <c r="E13454" i="2"/>
  <c r="D13454" i="2"/>
  <c r="B13454" i="2"/>
  <c r="A13454" i="2"/>
  <c r="O13453" i="2"/>
  <c r="M13453" i="2"/>
  <c r="L13453" i="2"/>
  <c r="E13453" i="2"/>
  <c r="D13453" i="2"/>
  <c r="B13453" i="2"/>
  <c r="A13453" i="2"/>
  <c r="O13452" i="2"/>
  <c r="M13452" i="2"/>
  <c r="L13452" i="2"/>
  <c r="E13452" i="2"/>
  <c r="D13452" i="2"/>
  <c r="B13452" i="2"/>
  <c r="A13452" i="2"/>
  <c r="O13451" i="2"/>
  <c r="M13451" i="2"/>
  <c r="L13451" i="2"/>
  <c r="E13451" i="2"/>
  <c r="D13451" i="2"/>
  <c r="B13451" i="2"/>
  <c r="A13451" i="2"/>
  <c r="O13450" i="2"/>
  <c r="M13450" i="2"/>
  <c r="L13450" i="2"/>
  <c r="E13450" i="2"/>
  <c r="D13450" i="2"/>
  <c r="B13450" i="2"/>
  <c r="A13450" i="2"/>
  <c r="O13449" i="2"/>
  <c r="O13448" i="2"/>
  <c r="M13448" i="2"/>
  <c r="L13448" i="2"/>
  <c r="E13448" i="2"/>
  <c r="D13448" i="2"/>
  <c r="B13448" i="2"/>
  <c r="A13448" i="2"/>
  <c r="O13447" i="2"/>
  <c r="O13446" i="2"/>
  <c r="O13445" i="2"/>
  <c r="M13445" i="2"/>
  <c r="L13445" i="2"/>
  <c r="E13445" i="2"/>
  <c r="D13445" i="2"/>
  <c r="B13445" i="2"/>
  <c r="A13445" i="2"/>
  <c r="O13444" i="2"/>
  <c r="M13444" i="2"/>
  <c r="L13444" i="2"/>
  <c r="E13444" i="2"/>
  <c r="D13444" i="2"/>
  <c r="B13444" i="2"/>
  <c r="A13444" i="2"/>
  <c r="O13443" i="2"/>
  <c r="M13443" i="2"/>
  <c r="L13443" i="2"/>
  <c r="E13443" i="2"/>
  <c r="D13443" i="2"/>
  <c r="B13443" i="2"/>
  <c r="A13443" i="2"/>
  <c r="O13442" i="2"/>
  <c r="M13442" i="2"/>
  <c r="L13442" i="2"/>
  <c r="E13442" i="2"/>
  <c r="D13442" i="2"/>
  <c r="B13442" i="2"/>
  <c r="A13442" i="2"/>
  <c r="O13441" i="2"/>
  <c r="O13440" i="2"/>
  <c r="O13439" i="2"/>
  <c r="M13439" i="2"/>
  <c r="L13439" i="2"/>
  <c r="E13439" i="2"/>
  <c r="D13439" i="2"/>
  <c r="B13439" i="2"/>
  <c r="A13439" i="2"/>
  <c r="O13438" i="2"/>
  <c r="M13438" i="2"/>
  <c r="L13438" i="2"/>
  <c r="E13438" i="2"/>
  <c r="D13438" i="2"/>
  <c r="B13438" i="2"/>
  <c r="A13438" i="2"/>
  <c r="O13437" i="2"/>
  <c r="M13437" i="2"/>
  <c r="L13437" i="2"/>
  <c r="E13437" i="2"/>
  <c r="D13437" i="2"/>
  <c r="B13437" i="2"/>
  <c r="A13437" i="2"/>
  <c r="O13436" i="2"/>
  <c r="M13436" i="2"/>
  <c r="L13436" i="2"/>
  <c r="E13436" i="2"/>
  <c r="D13436" i="2"/>
  <c r="B13436" i="2"/>
  <c r="A13436" i="2"/>
  <c r="O13435" i="2"/>
  <c r="O13434" i="2"/>
  <c r="M13434" i="2"/>
  <c r="L13434" i="2"/>
  <c r="E13434" i="2"/>
  <c r="D13434" i="2"/>
  <c r="B13434" i="2"/>
  <c r="A13434" i="2"/>
  <c r="O13433" i="2"/>
  <c r="M13433" i="2"/>
  <c r="L13433" i="2"/>
  <c r="E13433" i="2"/>
  <c r="D13433" i="2"/>
  <c r="B13433" i="2"/>
  <c r="A13433" i="2"/>
  <c r="O13432" i="2"/>
  <c r="O13431" i="2"/>
  <c r="M13431" i="2"/>
  <c r="L13431" i="2"/>
  <c r="E13431" i="2"/>
  <c r="D13431" i="2"/>
  <c r="B13431" i="2"/>
  <c r="A13431" i="2"/>
  <c r="O13430" i="2"/>
  <c r="O13429" i="2"/>
  <c r="M13429" i="2"/>
  <c r="L13429" i="2"/>
  <c r="E13429" i="2"/>
  <c r="D13429" i="2"/>
  <c r="B13429" i="2"/>
  <c r="A13429" i="2"/>
  <c r="O13428" i="2"/>
  <c r="M13428" i="2"/>
  <c r="L13428" i="2"/>
  <c r="E13428" i="2"/>
  <c r="D13428" i="2"/>
  <c r="B13428" i="2"/>
  <c r="A13428" i="2"/>
  <c r="O13427" i="2"/>
  <c r="M13427" i="2"/>
  <c r="L13427" i="2"/>
  <c r="E13427" i="2"/>
  <c r="D13427" i="2"/>
  <c r="B13427" i="2"/>
  <c r="A13427" i="2"/>
  <c r="O13426" i="2"/>
  <c r="M13426" i="2"/>
  <c r="L13426" i="2"/>
  <c r="E13426" i="2"/>
  <c r="D13426" i="2"/>
  <c r="B13426" i="2"/>
  <c r="A13426" i="2"/>
  <c r="O13425" i="2"/>
  <c r="O13424" i="2"/>
  <c r="M13424" i="2"/>
  <c r="L13424" i="2"/>
  <c r="E13424" i="2"/>
  <c r="D13424" i="2"/>
  <c r="B13424" i="2"/>
  <c r="A13424" i="2"/>
  <c r="O13423" i="2"/>
  <c r="M13423" i="2"/>
  <c r="L13423" i="2"/>
  <c r="E13423" i="2"/>
  <c r="D13423" i="2"/>
  <c r="B13423" i="2"/>
  <c r="A13423" i="2"/>
  <c r="O13422" i="2"/>
  <c r="O13421" i="2"/>
  <c r="O13420" i="2"/>
  <c r="M13420" i="2"/>
  <c r="L13420" i="2"/>
  <c r="E13420" i="2"/>
  <c r="D13420" i="2"/>
  <c r="B13420" i="2"/>
  <c r="A13420" i="2"/>
  <c r="O13419" i="2"/>
  <c r="M13419" i="2"/>
  <c r="L13419" i="2"/>
  <c r="E13419" i="2"/>
  <c r="D13419" i="2"/>
  <c r="B13419" i="2"/>
  <c r="A13419" i="2"/>
  <c r="O13418" i="2"/>
  <c r="M13418" i="2"/>
  <c r="L13418" i="2"/>
  <c r="E13418" i="2"/>
  <c r="D13418" i="2"/>
  <c r="B13418" i="2"/>
  <c r="A13418" i="2"/>
  <c r="O13417" i="2"/>
  <c r="M13417" i="2"/>
  <c r="L13417" i="2"/>
  <c r="E13417" i="2"/>
  <c r="D13417" i="2"/>
  <c r="B13417" i="2"/>
  <c r="A13417" i="2"/>
  <c r="O13416" i="2"/>
  <c r="O13415" i="2"/>
  <c r="O13414" i="2"/>
  <c r="M13414" i="2"/>
  <c r="L13414" i="2"/>
  <c r="E13414" i="2"/>
  <c r="D13414" i="2"/>
  <c r="B13414" i="2"/>
  <c r="A13414" i="2"/>
  <c r="O13413" i="2"/>
  <c r="M13413" i="2"/>
  <c r="L13413" i="2"/>
  <c r="E13413" i="2"/>
  <c r="D13413" i="2"/>
  <c r="B13413" i="2"/>
  <c r="A13413" i="2"/>
  <c r="O13412" i="2"/>
  <c r="O13411" i="2"/>
  <c r="O13410" i="2"/>
  <c r="M13410" i="2"/>
  <c r="L13410" i="2"/>
  <c r="E13410" i="2"/>
  <c r="D13410" i="2"/>
  <c r="B13410" i="2"/>
  <c r="A13410" i="2"/>
  <c r="O13409" i="2"/>
  <c r="M13409" i="2"/>
  <c r="L13409" i="2"/>
  <c r="E13409" i="2"/>
  <c r="D13409" i="2"/>
  <c r="B13409" i="2"/>
  <c r="A13409" i="2"/>
  <c r="O13408" i="2"/>
  <c r="M13408" i="2"/>
  <c r="L13408" i="2"/>
  <c r="E13408" i="2"/>
  <c r="D13408" i="2"/>
  <c r="B13408" i="2"/>
  <c r="A13408" i="2"/>
  <c r="O13407" i="2"/>
  <c r="O13406" i="2"/>
  <c r="O13405" i="2"/>
  <c r="M13405" i="2"/>
  <c r="L13405" i="2"/>
  <c r="E13405" i="2"/>
  <c r="D13405" i="2"/>
  <c r="B13405" i="2"/>
  <c r="A13405" i="2"/>
  <c r="O13404" i="2"/>
  <c r="M13404" i="2"/>
  <c r="L13404" i="2"/>
  <c r="E13404" i="2"/>
  <c r="D13404" i="2"/>
  <c r="B13404" i="2"/>
  <c r="A13404" i="2"/>
  <c r="O13403" i="2"/>
  <c r="O13402" i="2"/>
  <c r="M13402" i="2"/>
  <c r="L13402" i="2"/>
  <c r="E13402" i="2"/>
  <c r="D13402" i="2"/>
  <c r="B13402" i="2"/>
  <c r="A13402" i="2"/>
  <c r="O13401" i="2"/>
  <c r="M13401" i="2"/>
  <c r="L13401" i="2"/>
  <c r="E13401" i="2"/>
  <c r="D13401" i="2"/>
  <c r="B13401" i="2"/>
  <c r="A13401" i="2"/>
  <c r="O13400" i="2"/>
  <c r="M13400" i="2"/>
  <c r="L13400" i="2"/>
  <c r="E13400" i="2"/>
  <c r="D13400" i="2"/>
  <c r="B13400" i="2"/>
  <c r="A13400" i="2"/>
  <c r="O13399" i="2"/>
  <c r="M13399" i="2"/>
  <c r="L13399" i="2"/>
  <c r="E13399" i="2"/>
  <c r="D13399" i="2"/>
  <c r="B13399" i="2"/>
  <c r="A13399" i="2"/>
  <c r="O13398" i="2"/>
  <c r="O13397" i="2"/>
  <c r="M13397" i="2"/>
  <c r="L13397" i="2"/>
  <c r="E13397" i="2"/>
  <c r="D13397" i="2"/>
  <c r="B13397" i="2"/>
  <c r="A13397" i="2"/>
  <c r="O13396" i="2"/>
  <c r="M13396" i="2"/>
  <c r="L13396" i="2"/>
  <c r="E13396" i="2"/>
  <c r="D13396" i="2"/>
  <c r="B13396" i="2"/>
  <c r="A13396" i="2"/>
  <c r="O13395" i="2"/>
  <c r="M13395" i="2"/>
  <c r="L13395" i="2"/>
  <c r="E13395" i="2"/>
  <c r="D13395" i="2"/>
  <c r="B13395" i="2"/>
  <c r="A13395" i="2"/>
  <c r="O13394" i="2"/>
  <c r="M13394" i="2"/>
  <c r="L13394" i="2"/>
  <c r="E13394" i="2"/>
  <c r="D13394" i="2"/>
  <c r="B13394" i="2"/>
  <c r="A13394" i="2"/>
  <c r="O13393" i="2"/>
  <c r="O13392" i="2"/>
  <c r="O13391" i="2"/>
  <c r="M13391" i="2"/>
  <c r="L13391" i="2"/>
  <c r="E13391" i="2"/>
  <c r="D13391" i="2"/>
  <c r="B13391" i="2"/>
  <c r="A13391" i="2"/>
  <c r="O13390" i="2"/>
  <c r="O13389" i="2"/>
  <c r="O13388" i="2"/>
  <c r="O13387" i="2"/>
  <c r="M13387" i="2"/>
  <c r="L13387" i="2"/>
  <c r="E13387" i="2"/>
  <c r="D13387" i="2"/>
  <c r="B13387" i="2"/>
  <c r="A13387" i="2"/>
  <c r="O13386" i="2"/>
  <c r="M13386" i="2"/>
  <c r="L13386" i="2"/>
  <c r="E13386" i="2"/>
  <c r="D13386" i="2"/>
  <c r="B13386" i="2"/>
  <c r="A13386" i="2"/>
  <c r="O13385" i="2"/>
  <c r="M13385" i="2"/>
  <c r="L13385" i="2"/>
  <c r="E13385" i="2"/>
  <c r="D13385" i="2"/>
  <c r="B13385" i="2"/>
  <c r="A13385" i="2"/>
  <c r="O13384" i="2"/>
  <c r="O13383" i="2"/>
  <c r="O13382" i="2"/>
  <c r="M13382" i="2"/>
  <c r="L13382" i="2"/>
  <c r="E13382" i="2"/>
  <c r="D13382" i="2"/>
  <c r="B13382" i="2"/>
  <c r="A13382" i="2"/>
  <c r="O13381" i="2"/>
  <c r="O13380" i="2"/>
  <c r="O13379" i="2"/>
  <c r="O13378" i="2"/>
  <c r="M13378" i="2"/>
  <c r="L13378" i="2"/>
  <c r="E13378" i="2"/>
  <c r="D13378" i="2"/>
  <c r="B13378" i="2"/>
  <c r="A13378" i="2"/>
  <c r="O13377" i="2"/>
  <c r="O13376" i="2"/>
  <c r="M13376" i="2"/>
  <c r="L13376" i="2"/>
  <c r="E13376" i="2"/>
  <c r="D13376" i="2"/>
  <c r="B13376" i="2"/>
  <c r="A13376" i="2"/>
  <c r="O13375" i="2"/>
  <c r="O13374" i="2"/>
  <c r="O13373" i="2"/>
  <c r="O13372" i="2"/>
  <c r="O13371" i="2"/>
  <c r="M13371" i="2"/>
  <c r="L13371" i="2"/>
  <c r="E13371" i="2"/>
  <c r="D13371" i="2"/>
  <c r="B13371" i="2"/>
  <c r="A13371" i="2"/>
  <c r="O13370" i="2"/>
  <c r="O13369" i="2"/>
  <c r="M13369" i="2"/>
  <c r="L13369" i="2"/>
  <c r="E13369" i="2"/>
  <c r="D13369" i="2"/>
  <c r="B13369" i="2"/>
  <c r="A13369" i="2"/>
  <c r="O13368" i="2"/>
  <c r="M13368" i="2"/>
  <c r="L13368" i="2"/>
  <c r="E13368" i="2"/>
  <c r="D13368" i="2"/>
  <c r="B13368" i="2"/>
  <c r="A13368" i="2"/>
  <c r="O13367" i="2"/>
  <c r="O13366" i="2"/>
  <c r="M13366" i="2"/>
  <c r="L13366" i="2"/>
  <c r="E13366" i="2"/>
  <c r="D13366" i="2"/>
  <c r="B13366" i="2"/>
  <c r="A13366" i="2"/>
  <c r="O13365" i="2"/>
  <c r="M13365" i="2"/>
  <c r="L13365" i="2"/>
  <c r="E13365" i="2"/>
  <c r="D13365" i="2"/>
  <c r="B13365" i="2"/>
  <c r="A13365" i="2"/>
  <c r="O13364" i="2"/>
  <c r="M13364" i="2"/>
  <c r="L13364" i="2"/>
  <c r="E13364" i="2"/>
  <c r="D13364" i="2"/>
  <c r="B13364" i="2"/>
  <c r="A13364" i="2"/>
  <c r="O13363" i="2"/>
  <c r="O13362" i="2"/>
  <c r="O13361" i="2"/>
  <c r="M13361" i="2"/>
  <c r="L13361" i="2"/>
  <c r="E13361" i="2"/>
  <c r="D13361" i="2"/>
  <c r="B13361" i="2"/>
  <c r="A13361" i="2"/>
  <c r="O13360" i="2"/>
  <c r="O13359" i="2"/>
  <c r="M13359" i="2"/>
  <c r="L13359" i="2"/>
  <c r="E13359" i="2"/>
  <c r="D13359" i="2"/>
  <c r="B13359" i="2"/>
  <c r="A13359" i="2"/>
  <c r="O13358" i="2"/>
  <c r="O13357" i="2"/>
  <c r="M13357" i="2"/>
  <c r="L13357" i="2"/>
  <c r="E13357" i="2"/>
  <c r="D13357" i="2"/>
  <c r="B13357" i="2"/>
  <c r="A13357" i="2"/>
  <c r="O13356" i="2"/>
  <c r="M13356" i="2"/>
  <c r="L13356" i="2"/>
  <c r="E13356" i="2"/>
  <c r="D13356" i="2"/>
  <c r="B13356" i="2"/>
  <c r="A13356" i="2"/>
  <c r="O13355" i="2"/>
  <c r="O13354" i="2"/>
  <c r="M13354" i="2"/>
  <c r="L13354" i="2"/>
  <c r="E13354" i="2"/>
  <c r="D13354" i="2"/>
  <c r="B13354" i="2"/>
  <c r="A13354" i="2"/>
  <c r="O13353" i="2"/>
  <c r="O13352" i="2"/>
  <c r="M13352" i="2"/>
  <c r="L13352" i="2"/>
  <c r="E13352" i="2"/>
  <c r="D13352" i="2"/>
  <c r="B13352" i="2"/>
  <c r="A13352" i="2"/>
  <c r="O13351" i="2"/>
  <c r="M13351" i="2"/>
  <c r="L13351" i="2"/>
  <c r="E13351" i="2"/>
  <c r="D13351" i="2"/>
  <c r="B13351" i="2"/>
  <c r="A13351" i="2"/>
  <c r="O13350" i="2"/>
  <c r="M13350" i="2"/>
  <c r="L13350" i="2"/>
  <c r="E13350" i="2"/>
  <c r="D13350" i="2"/>
  <c r="B13350" i="2"/>
  <c r="A13350" i="2"/>
  <c r="O13349" i="2"/>
  <c r="M13349" i="2"/>
  <c r="L13349" i="2"/>
  <c r="E13349" i="2"/>
  <c r="D13349" i="2"/>
  <c r="B13349" i="2"/>
  <c r="A13349" i="2"/>
  <c r="O13348" i="2"/>
  <c r="M13348" i="2"/>
  <c r="L13348" i="2"/>
  <c r="E13348" i="2"/>
  <c r="D13348" i="2"/>
  <c r="B13348" i="2"/>
  <c r="A13348" i="2"/>
  <c r="O13347" i="2"/>
  <c r="M13347" i="2"/>
  <c r="L13347" i="2"/>
  <c r="E13347" i="2"/>
  <c r="D13347" i="2"/>
  <c r="B13347" i="2"/>
  <c r="A13347" i="2"/>
  <c r="O13346" i="2"/>
  <c r="M13346" i="2"/>
  <c r="L13346" i="2"/>
  <c r="E13346" i="2"/>
  <c r="D13346" i="2"/>
  <c r="B13346" i="2"/>
  <c r="A13346" i="2"/>
  <c r="O13345" i="2"/>
  <c r="M13345" i="2"/>
  <c r="L13345" i="2"/>
  <c r="E13345" i="2"/>
  <c r="D13345" i="2"/>
  <c r="B13345" i="2"/>
  <c r="A13345" i="2"/>
  <c r="O13344" i="2"/>
  <c r="M13344" i="2"/>
  <c r="L13344" i="2"/>
  <c r="E13344" i="2"/>
  <c r="D13344" i="2"/>
  <c r="B13344" i="2"/>
  <c r="A13344" i="2"/>
  <c r="O13343" i="2"/>
  <c r="M13343" i="2"/>
  <c r="L13343" i="2"/>
  <c r="E13343" i="2"/>
  <c r="D13343" i="2"/>
  <c r="B13343" i="2"/>
  <c r="A13343" i="2"/>
  <c r="O13342" i="2"/>
  <c r="M13342" i="2"/>
  <c r="L13342" i="2"/>
  <c r="E13342" i="2"/>
  <c r="D13342" i="2"/>
  <c r="B13342" i="2"/>
  <c r="A13342" i="2"/>
  <c r="O13341" i="2"/>
  <c r="M13341" i="2"/>
  <c r="L13341" i="2"/>
  <c r="E13341" i="2"/>
  <c r="D13341" i="2"/>
  <c r="B13341" i="2"/>
  <c r="A13341" i="2"/>
  <c r="O13340" i="2"/>
  <c r="M13340" i="2"/>
  <c r="L13340" i="2"/>
  <c r="E13340" i="2"/>
  <c r="D13340" i="2"/>
  <c r="B13340" i="2"/>
  <c r="A13340" i="2"/>
  <c r="O13339" i="2"/>
  <c r="M13339" i="2"/>
  <c r="L13339" i="2"/>
  <c r="E13339" i="2"/>
  <c r="D13339" i="2"/>
  <c r="B13339" i="2"/>
  <c r="A13339" i="2"/>
  <c r="O13338" i="2"/>
  <c r="M13338" i="2"/>
  <c r="L13338" i="2"/>
  <c r="E13338" i="2"/>
  <c r="D13338" i="2"/>
  <c r="B13338" i="2"/>
  <c r="A13338" i="2"/>
  <c r="O13337" i="2"/>
  <c r="M13337" i="2"/>
  <c r="L13337" i="2"/>
  <c r="E13337" i="2"/>
  <c r="D13337" i="2"/>
  <c r="B13337" i="2"/>
  <c r="A13337" i="2"/>
  <c r="O13336" i="2"/>
  <c r="M13336" i="2"/>
  <c r="L13336" i="2"/>
  <c r="E13336" i="2"/>
  <c r="D13336" i="2"/>
  <c r="B13336" i="2"/>
  <c r="A13336" i="2"/>
  <c r="O13335" i="2"/>
  <c r="O13334" i="2"/>
  <c r="O13333" i="2"/>
  <c r="O13332" i="2"/>
  <c r="O13331" i="2"/>
  <c r="O13330" i="2"/>
  <c r="O13329" i="2"/>
  <c r="O13328" i="2"/>
  <c r="O13327" i="2"/>
  <c r="M13327" i="2"/>
  <c r="L13327" i="2"/>
  <c r="E13327" i="2"/>
  <c r="D13327" i="2"/>
  <c r="B13327" i="2"/>
  <c r="A13327" i="2"/>
  <c r="O13326" i="2"/>
  <c r="M13326" i="2"/>
  <c r="L13326" i="2"/>
  <c r="E13326" i="2"/>
  <c r="D13326" i="2"/>
  <c r="B13326" i="2"/>
  <c r="A13326" i="2"/>
  <c r="O13325" i="2"/>
  <c r="M13325" i="2"/>
  <c r="L13325" i="2"/>
  <c r="E13325" i="2"/>
  <c r="D13325" i="2"/>
  <c r="B13325" i="2"/>
  <c r="A13325" i="2"/>
  <c r="O13324" i="2"/>
  <c r="O13323" i="2"/>
  <c r="O13322" i="2"/>
  <c r="O13321" i="2"/>
  <c r="M13321" i="2"/>
  <c r="L13321" i="2"/>
  <c r="E13321" i="2"/>
  <c r="D13321" i="2"/>
  <c r="B13321" i="2"/>
  <c r="A13321" i="2"/>
  <c r="O13320" i="2"/>
  <c r="M13320" i="2"/>
  <c r="L13320" i="2"/>
  <c r="E13320" i="2"/>
  <c r="D13320" i="2"/>
  <c r="B13320" i="2"/>
  <c r="A13320" i="2"/>
  <c r="O13319" i="2"/>
  <c r="O13318" i="2"/>
  <c r="O13317" i="2"/>
  <c r="M13317" i="2"/>
  <c r="L13317" i="2"/>
  <c r="E13317" i="2"/>
  <c r="D13317" i="2"/>
  <c r="B13317" i="2"/>
  <c r="A13317" i="2"/>
  <c r="O13316" i="2"/>
  <c r="M13316" i="2"/>
  <c r="L13316" i="2"/>
  <c r="E13316" i="2"/>
  <c r="D13316" i="2"/>
  <c r="B13316" i="2"/>
  <c r="A13316" i="2"/>
  <c r="O13315" i="2"/>
  <c r="M13315" i="2"/>
  <c r="L13315" i="2"/>
  <c r="E13315" i="2"/>
  <c r="D13315" i="2"/>
  <c r="B13315" i="2"/>
  <c r="A13315" i="2"/>
  <c r="O13314" i="2"/>
  <c r="M13314" i="2"/>
  <c r="L13314" i="2"/>
  <c r="E13314" i="2"/>
  <c r="D13314" i="2"/>
  <c r="B13314" i="2"/>
  <c r="A13314" i="2"/>
  <c r="O13313" i="2"/>
  <c r="M13313" i="2"/>
  <c r="L13313" i="2"/>
  <c r="E13313" i="2"/>
  <c r="D13313" i="2"/>
  <c r="B13313" i="2"/>
  <c r="A13313" i="2"/>
  <c r="O13312" i="2"/>
  <c r="O13311" i="2"/>
  <c r="M13311" i="2"/>
  <c r="L13311" i="2"/>
  <c r="E13311" i="2"/>
  <c r="D13311" i="2"/>
  <c r="B13311" i="2"/>
  <c r="A13311" i="2"/>
  <c r="O13310" i="2"/>
  <c r="M13310" i="2"/>
  <c r="L13310" i="2"/>
  <c r="E13310" i="2"/>
  <c r="D13310" i="2"/>
  <c r="B13310" i="2"/>
  <c r="A13310" i="2"/>
  <c r="O13309" i="2"/>
  <c r="O13308" i="2"/>
  <c r="M13308" i="2"/>
  <c r="L13308" i="2"/>
  <c r="E13308" i="2"/>
  <c r="D13308" i="2"/>
  <c r="B13308" i="2"/>
  <c r="A13308" i="2"/>
  <c r="O13307" i="2"/>
  <c r="M13307" i="2"/>
  <c r="L13307" i="2"/>
  <c r="E13307" i="2"/>
  <c r="D13307" i="2"/>
  <c r="B13307" i="2"/>
  <c r="A13307" i="2"/>
  <c r="O13306" i="2"/>
  <c r="M13306" i="2"/>
  <c r="L13306" i="2"/>
  <c r="E13306" i="2"/>
  <c r="D13306" i="2"/>
  <c r="B13306" i="2"/>
  <c r="A13306" i="2"/>
  <c r="O13305" i="2"/>
  <c r="O13304" i="2"/>
  <c r="M13304" i="2"/>
  <c r="L13304" i="2"/>
  <c r="E13304" i="2"/>
  <c r="D13304" i="2"/>
  <c r="B13304" i="2"/>
  <c r="A13304" i="2"/>
  <c r="O13303" i="2"/>
  <c r="M13303" i="2"/>
  <c r="L13303" i="2"/>
  <c r="E13303" i="2"/>
  <c r="D13303" i="2"/>
  <c r="B13303" i="2"/>
  <c r="A13303" i="2"/>
  <c r="O13302" i="2"/>
  <c r="M13302" i="2"/>
  <c r="L13302" i="2"/>
  <c r="E13302" i="2"/>
  <c r="D13302" i="2"/>
  <c r="B13302" i="2"/>
  <c r="A13302" i="2"/>
  <c r="O13301" i="2"/>
  <c r="M13301" i="2"/>
  <c r="L13301" i="2"/>
  <c r="E13301" i="2"/>
  <c r="D13301" i="2"/>
  <c r="B13301" i="2"/>
  <c r="A13301" i="2"/>
  <c r="O13300" i="2"/>
  <c r="M13300" i="2"/>
  <c r="L13300" i="2"/>
  <c r="E13300" i="2"/>
  <c r="D13300" i="2"/>
  <c r="B13300" i="2"/>
  <c r="A13300" i="2"/>
  <c r="O13299" i="2"/>
  <c r="M13299" i="2"/>
  <c r="L13299" i="2"/>
  <c r="E13299" i="2"/>
  <c r="D13299" i="2"/>
  <c r="B13299" i="2"/>
  <c r="A13299" i="2"/>
  <c r="O13298" i="2"/>
  <c r="M13298" i="2"/>
  <c r="L13298" i="2"/>
  <c r="E13298" i="2"/>
  <c r="D13298" i="2"/>
  <c r="B13298" i="2"/>
  <c r="A13298" i="2"/>
  <c r="O13297" i="2"/>
  <c r="M13297" i="2"/>
  <c r="L13297" i="2"/>
  <c r="E13297" i="2"/>
  <c r="D13297" i="2"/>
  <c r="B13297" i="2"/>
  <c r="A13297" i="2"/>
  <c r="O13296" i="2"/>
  <c r="M13296" i="2"/>
  <c r="L13296" i="2"/>
  <c r="E13296" i="2"/>
  <c r="D13296" i="2"/>
  <c r="B13296" i="2"/>
  <c r="A13296" i="2"/>
  <c r="O13295" i="2"/>
  <c r="O13294" i="2"/>
  <c r="O13293" i="2"/>
  <c r="O13292" i="2"/>
  <c r="O13291" i="2"/>
  <c r="M13291" i="2"/>
  <c r="L13291" i="2"/>
  <c r="E13291" i="2"/>
  <c r="D13291" i="2"/>
  <c r="B13291" i="2"/>
  <c r="A13291" i="2"/>
  <c r="O13290" i="2"/>
  <c r="M13290" i="2"/>
  <c r="L13290" i="2"/>
  <c r="E13290" i="2"/>
  <c r="D13290" i="2"/>
  <c r="B13290" i="2"/>
  <c r="A13290" i="2"/>
  <c r="O13289" i="2"/>
  <c r="O13288" i="2"/>
  <c r="M13288" i="2"/>
  <c r="L13288" i="2"/>
  <c r="E13288" i="2"/>
  <c r="D13288" i="2"/>
  <c r="B13288" i="2"/>
  <c r="A13288" i="2"/>
  <c r="O13287" i="2"/>
  <c r="O13286" i="2"/>
  <c r="O13285" i="2"/>
  <c r="M13285" i="2"/>
  <c r="L13285" i="2"/>
  <c r="E13285" i="2"/>
  <c r="D13285" i="2"/>
  <c r="B13285" i="2"/>
  <c r="A13285" i="2"/>
  <c r="O13284" i="2"/>
  <c r="M13284" i="2"/>
  <c r="L13284" i="2"/>
  <c r="E13284" i="2"/>
  <c r="D13284" i="2"/>
  <c r="B13284" i="2"/>
  <c r="A13284" i="2"/>
  <c r="O13283" i="2"/>
  <c r="M13283" i="2"/>
  <c r="L13283" i="2"/>
  <c r="E13283" i="2"/>
  <c r="D13283" i="2"/>
  <c r="B13283" i="2"/>
  <c r="A13283" i="2"/>
  <c r="O13282" i="2"/>
  <c r="O13281" i="2"/>
  <c r="O13280" i="2"/>
  <c r="O13279" i="2"/>
  <c r="M13279" i="2"/>
  <c r="L13279" i="2"/>
  <c r="E13279" i="2"/>
  <c r="D13279" i="2"/>
  <c r="B13279" i="2"/>
  <c r="A13279" i="2"/>
  <c r="O13278" i="2"/>
  <c r="O13277" i="2"/>
  <c r="O13276" i="2"/>
  <c r="M13276" i="2"/>
  <c r="L13276" i="2"/>
  <c r="E13276" i="2"/>
  <c r="D13276" i="2"/>
  <c r="B13276" i="2"/>
  <c r="A13276" i="2"/>
  <c r="O13275" i="2"/>
  <c r="M13275" i="2"/>
  <c r="L13275" i="2"/>
  <c r="E13275" i="2"/>
  <c r="D13275" i="2"/>
  <c r="B13275" i="2"/>
  <c r="A13275" i="2"/>
  <c r="O13274" i="2"/>
  <c r="M13274" i="2"/>
  <c r="L13274" i="2"/>
  <c r="E13274" i="2"/>
  <c r="D13274" i="2"/>
  <c r="B13274" i="2"/>
  <c r="A13274" i="2"/>
  <c r="O13273" i="2"/>
  <c r="O13272" i="2"/>
  <c r="O13271" i="2"/>
  <c r="O13270" i="2"/>
  <c r="O13269" i="2"/>
  <c r="O13268" i="2"/>
  <c r="M13268" i="2"/>
  <c r="L13268" i="2"/>
  <c r="E13268" i="2"/>
  <c r="D13268" i="2"/>
  <c r="B13268" i="2"/>
  <c r="A13268" i="2"/>
  <c r="O13267" i="2"/>
  <c r="M13267" i="2"/>
  <c r="L13267" i="2"/>
  <c r="E13267" i="2"/>
  <c r="D13267" i="2"/>
  <c r="B13267" i="2"/>
  <c r="A13267" i="2"/>
  <c r="O13266" i="2"/>
  <c r="M13266" i="2"/>
  <c r="L13266" i="2"/>
  <c r="E13266" i="2"/>
  <c r="D13266" i="2"/>
  <c r="B13266" i="2"/>
  <c r="A13266" i="2"/>
  <c r="O13265" i="2"/>
  <c r="M13265" i="2"/>
  <c r="L13265" i="2"/>
  <c r="E13265" i="2"/>
  <c r="D13265" i="2"/>
  <c r="B13265" i="2"/>
  <c r="A13265" i="2"/>
  <c r="O13264" i="2"/>
  <c r="O13263" i="2"/>
  <c r="O13262" i="2"/>
  <c r="O13261" i="2"/>
  <c r="O13260" i="2"/>
  <c r="M13260" i="2"/>
  <c r="L13260" i="2"/>
  <c r="E13260" i="2"/>
  <c r="D13260" i="2"/>
  <c r="B13260" i="2"/>
  <c r="A13260" i="2"/>
  <c r="O13259" i="2"/>
  <c r="O13258" i="2"/>
  <c r="O13257" i="2"/>
  <c r="O13256" i="2"/>
  <c r="M13256" i="2"/>
  <c r="L13256" i="2"/>
  <c r="E13256" i="2"/>
  <c r="D13256" i="2"/>
  <c r="B13256" i="2"/>
  <c r="A13256" i="2"/>
  <c r="O13255" i="2"/>
  <c r="O13254" i="2"/>
  <c r="O13253" i="2"/>
  <c r="M13253" i="2"/>
  <c r="L13253" i="2"/>
  <c r="E13253" i="2"/>
  <c r="D13253" i="2"/>
  <c r="B13253" i="2"/>
  <c r="A13253" i="2"/>
  <c r="O13252" i="2"/>
  <c r="M13252" i="2"/>
  <c r="L13252" i="2"/>
  <c r="E13252" i="2"/>
  <c r="D13252" i="2"/>
  <c r="B13252" i="2"/>
  <c r="A13252" i="2"/>
  <c r="O13251" i="2"/>
  <c r="M13251" i="2"/>
  <c r="L13251" i="2"/>
  <c r="E13251" i="2"/>
  <c r="D13251" i="2"/>
  <c r="B13251" i="2"/>
  <c r="A13251" i="2"/>
  <c r="O13250" i="2"/>
  <c r="M13250" i="2"/>
  <c r="L13250" i="2"/>
  <c r="E13250" i="2"/>
  <c r="D13250" i="2"/>
  <c r="B13250" i="2"/>
  <c r="A13250" i="2"/>
  <c r="O13249" i="2"/>
  <c r="M13249" i="2"/>
  <c r="L13249" i="2"/>
  <c r="E13249" i="2"/>
  <c r="D13249" i="2"/>
  <c r="B13249" i="2"/>
  <c r="A13249" i="2"/>
  <c r="O13248" i="2"/>
  <c r="M13248" i="2"/>
  <c r="L13248" i="2"/>
  <c r="E13248" i="2"/>
  <c r="D13248" i="2"/>
  <c r="B13248" i="2"/>
  <c r="A13248" i="2"/>
  <c r="O13247" i="2"/>
  <c r="M13247" i="2"/>
  <c r="L13247" i="2"/>
  <c r="E13247" i="2"/>
  <c r="D13247" i="2"/>
  <c r="B13247" i="2"/>
  <c r="A13247" i="2"/>
  <c r="O13246" i="2"/>
  <c r="O13245" i="2"/>
  <c r="O13244" i="2"/>
  <c r="M13244" i="2"/>
  <c r="L13244" i="2"/>
  <c r="E13244" i="2"/>
  <c r="D13244" i="2"/>
  <c r="B13244" i="2"/>
  <c r="A13244" i="2"/>
  <c r="O13243" i="2"/>
  <c r="M13243" i="2"/>
  <c r="L13243" i="2"/>
  <c r="E13243" i="2"/>
  <c r="D13243" i="2"/>
  <c r="B13243" i="2"/>
  <c r="A13243" i="2"/>
  <c r="O13242" i="2"/>
  <c r="O13241" i="2"/>
  <c r="O13240" i="2"/>
  <c r="M13240" i="2"/>
  <c r="L13240" i="2"/>
  <c r="E13240" i="2"/>
  <c r="D13240" i="2"/>
  <c r="B13240" i="2"/>
  <c r="A13240" i="2"/>
  <c r="O13239" i="2"/>
  <c r="M13239" i="2"/>
  <c r="L13239" i="2"/>
  <c r="E13239" i="2"/>
  <c r="D13239" i="2"/>
  <c r="B13239" i="2"/>
  <c r="A13239" i="2"/>
  <c r="O13238" i="2"/>
  <c r="M13238" i="2"/>
  <c r="L13238" i="2"/>
  <c r="E13238" i="2"/>
  <c r="D13238" i="2"/>
  <c r="B13238" i="2"/>
  <c r="A13238" i="2"/>
  <c r="O13237" i="2"/>
  <c r="M13237" i="2"/>
  <c r="L13237" i="2"/>
  <c r="E13237" i="2"/>
  <c r="D13237" i="2"/>
  <c r="B13237" i="2"/>
  <c r="A13237" i="2"/>
  <c r="O13236" i="2"/>
  <c r="O13235" i="2"/>
  <c r="O13234" i="2"/>
  <c r="M13234" i="2"/>
  <c r="L13234" i="2"/>
  <c r="E13234" i="2"/>
  <c r="D13234" i="2"/>
  <c r="B13234" i="2"/>
  <c r="A13234" i="2"/>
  <c r="O13233" i="2"/>
  <c r="M13233" i="2"/>
  <c r="L13233" i="2"/>
  <c r="E13233" i="2"/>
  <c r="D13233" i="2"/>
  <c r="B13233" i="2"/>
  <c r="A13233" i="2"/>
  <c r="O13232" i="2"/>
  <c r="O13231" i="2"/>
  <c r="M13231" i="2"/>
  <c r="L13231" i="2"/>
  <c r="E13231" i="2"/>
  <c r="D13231" i="2"/>
  <c r="B13231" i="2"/>
  <c r="A13231" i="2"/>
  <c r="O13230" i="2"/>
  <c r="M13230" i="2"/>
  <c r="L13230" i="2"/>
  <c r="E13230" i="2"/>
  <c r="D13230" i="2"/>
  <c r="B13230" i="2"/>
  <c r="A13230" i="2"/>
  <c r="O13229" i="2"/>
  <c r="M13229" i="2"/>
  <c r="L13229" i="2"/>
  <c r="E13229" i="2"/>
  <c r="D13229" i="2"/>
  <c r="B13229" i="2"/>
  <c r="A13229" i="2"/>
  <c r="O13228" i="2"/>
  <c r="O13227" i="2"/>
  <c r="O13226" i="2"/>
  <c r="M13226" i="2"/>
  <c r="L13226" i="2"/>
  <c r="E13226" i="2"/>
  <c r="D13226" i="2"/>
  <c r="B13226" i="2"/>
  <c r="A13226" i="2"/>
  <c r="O13225" i="2"/>
  <c r="O13224" i="2"/>
  <c r="O13223" i="2"/>
  <c r="O13222" i="2"/>
  <c r="M13222" i="2"/>
  <c r="L13222" i="2"/>
  <c r="E13222" i="2"/>
  <c r="D13222" i="2"/>
  <c r="B13222" i="2"/>
  <c r="A13222" i="2"/>
  <c r="O13221" i="2"/>
  <c r="M13221" i="2"/>
  <c r="L13221" i="2"/>
  <c r="E13221" i="2"/>
  <c r="D13221" i="2"/>
  <c r="B13221" i="2"/>
  <c r="A13221" i="2"/>
  <c r="O13220" i="2"/>
  <c r="M13220" i="2"/>
  <c r="L13220" i="2"/>
  <c r="E13220" i="2"/>
  <c r="D13220" i="2"/>
  <c r="B13220" i="2"/>
  <c r="A13220" i="2"/>
  <c r="O13219" i="2"/>
  <c r="M13219" i="2"/>
  <c r="L13219" i="2"/>
  <c r="E13219" i="2"/>
  <c r="D13219" i="2"/>
  <c r="B13219" i="2"/>
  <c r="A13219" i="2"/>
  <c r="O13218" i="2"/>
  <c r="M13218" i="2"/>
  <c r="L13218" i="2"/>
  <c r="E13218" i="2"/>
  <c r="D13218" i="2"/>
  <c r="B13218" i="2"/>
  <c r="A13218" i="2"/>
  <c r="O13217" i="2"/>
  <c r="M13217" i="2"/>
  <c r="L13217" i="2"/>
  <c r="E13217" i="2"/>
  <c r="D13217" i="2"/>
  <c r="B13217" i="2"/>
  <c r="A13217" i="2"/>
  <c r="O13216" i="2"/>
  <c r="M13216" i="2"/>
  <c r="L13216" i="2"/>
  <c r="E13216" i="2"/>
  <c r="D13216" i="2"/>
  <c r="B13216" i="2"/>
  <c r="A13216" i="2"/>
  <c r="O13215" i="2"/>
  <c r="O13214" i="2"/>
  <c r="M13214" i="2"/>
  <c r="L13214" i="2"/>
  <c r="E13214" i="2"/>
  <c r="D13214" i="2"/>
  <c r="B13214" i="2"/>
  <c r="A13214" i="2"/>
  <c r="O13213" i="2"/>
  <c r="O13212" i="2"/>
  <c r="M13212" i="2"/>
  <c r="L13212" i="2"/>
  <c r="E13212" i="2"/>
  <c r="D13212" i="2"/>
  <c r="B13212" i="2"/>
  <c r="A13212" i="2"/>
  <c r="O13211" i="2"/>
  <c r="M13211" i="2"/>
  <c r="L13211" i="2"/>
  <c r="E13211" i="2"/>
  <c r="D13211" i="2"/>
  <c r="B13211" i="2"/>
  <c r="A13211" i="2"/>
  <c r="O13210" i="2"/>
  <c r="M13210" i="2"/>
  <c r="L13210" i="2"/>
  <c r="E13210" i="2"/>
  <c r="D13210" i="2"/>
  <c r="B13210" i="2"/>
  <c r="A13210" i="2"/>
  <c r="O13209" i="2"/>
  <c r="M13209" i="2"/>
  <c r="L13209" i="2"/>
  <c r="E13209" i="2"/>
  <c r="D13209" i="2"/>
  <c r="B13209" i="2"/>
  <c r="A13209" i="2"/>
  <c r="O13208" i="2"/>
  <c r="M13208" i="2"/>
  <c r="L13208" i="2"/>
  <c r="E13208" i="2"/>
  <c r="D13208" i="2"/>
  <c r="B13208" i="2"/>
  <c r="A13208" i="2"/>
  <c r="O13207" i="2"/>
  <c r="M13207" i="2"/>
  <c r="L13207" i="2"/>
  <c r="E13207" i="2"/>
  <c r="D13207" i="2"/>
  <c r="B13207" i="2"/>
  <c r="A13207" i="2"/>
  <c r="O13206" i="2"/>
  <c r="O13205" i="2"/>
  <c r="O13204" i="2"/>
  <c r="O13203" i="2"/>
  <c r="O13202" i="2"/>
  <c r="M13202" i="2"/>
  <c r="L13202" i="2"/>
  <c r="E13202" i="2"/>
  <c r="D13202" i="2"/>
  <c r="B13202" i="2"/>
  <c r="A13202" i="2"/>
  <c r="O13201" i="2"/>
  <c r="M13201" i="2"/>
  <c r="L13201" i="2"/>
  <c r="E13201" i="2"/>
  <c r="D13201" i="2"/>
  <c r="B13201" i="2"/>
  <c r="A13201" i="2"/>
  <c r="O13200" i="2"/>
  <c r="M13200" i="2"/>
  <c r="L13200" i="2"/>
  <c r="E13200" i="2"/>
  <c r="D13200" i="2"/>
  <c r="B13200" i="2"/>
  <c r="A13200" i="2"/>
  <c r="O13199" i="2"/>
  <c r="M13199" i="2"/>
  <c r="L13199" i="2"/>
  <c r="E13199" i="2"/>
  <c r="D13199" i="2"/>
  <c r="B13199" i="2"/>
  <c r="A13199" i="2"/>
  <c r="O13198" i="2"/>
  <c r="M13198" i="2"/>
  <c r="L13198" i="2"/>
  <c r="E13198" i="2"/>
  <c r="D13198" i="2"/>
  <c r="B13198" i="2"/>
  <c r="A13198" i="2"/>
  <c r="O13197" i="2"/>
  <c r="M13197" i="2"/>
  <c r="L13197" i="2"/>
  <c r="E13197" i="2"/>
  <c r="D13197" i="2"/>
  <c r="B13197" i="2"/>
  <c r="A13197" i="2"/>
  <c r="O13196" i="2"/>
  <c r="M13196" i="2"/>
  <c r="L13196" i="2"/>
  <c r="E13196" i="2"/>
  <c r="D13196" i="2"/>
  <c r="B13196" i="2"/>
  <c r="A13196" i="2"/>
  <c r="O13195" i="2"/>
  <c r="M13195" i="2"/>
  <c r="L13195" i="2"/>
  <c r="E13195" i="2"/>
  <c r="D13195" i="2"/>
  <c r="B13195" i="2"/>
  <c r="A13195" i="2"/>
  <c r="O13194" i="2"/>
  <c r="M13194" i="2"/>
  <c r="L13194" i="2"/>
  <c r="E13194" i="2"/>
  <c r="D13194" i="2"/>
  <c r="B13194" i="2"/>
  <c r="A13194" i="2"/>
  <c r="O13193" i="2"/>
  <c r="M13193" i="2"/>
  <c r="L13193" i="2"/>
  <c r="E13193" i="2"/>
  <c r="D13193" i="2"/>
  <c r="B13193" i="2"/>
  <c r="A13193" i="2"/>
  <c r="O13192" i="2"/>
  <c r="O13191" i="2"/>
  <c r="M13191" i="2"/>
  <c r="L13191" i="2"/>
  <c r="E13191" i="2"/>
  <c r="D13191" i="2"/>
  <c r="B13191" i="2"/>
  <c r="A13191" i="2"/>
  <c r="O13190" i="2"/>
  <c r="M13190" i="2"/>
  <c r="L13190" i="2"/>
  <c r="E13190" i="2"/>
  <c r="D13190" i="2"/>
  <c r="B13190" i="2"/>
  <c r="A13190" i="2"/>
  <c r="O13189" i="2"/>
  <c r="O13188" i="2"/>
  <c r="O13187" i="2"/>
  <c r="O13186" i="2"/>
  <c r="O13185" i="2"/>
  <c r="O13184" i="2"/>
  <c r="M13184" i="2"/>
  <c r="L13184" i="2"/>
  <c r="E13184" i="2"/>
  <c r="D13184" i="2"/>
  <c r="B13184" i="2"/>
  <c r="A13184" i="2"/>
  <c r="O13183" i="2"/>
  <c r="O13182" i="2"/>
  <c r="O13181" i="2"/>
  <c r="M13181" i="2"/>
  <c r="L13181" i="2"/>
  <c r="E13181" i="2"/>
  <c r="D13181" i="2"/>
  <c r="B13181" i="2"/>
  <c r="A13181" i="2"/>
  <c r="O13180" i="2"/>
  <c r="M13180" i="2"/>
  <c r="L13180" i="2"/>
  <c r="E13180" i="2"/>
  <c r="D13180" i="2"/>
  <c r="B13180" i="2"/>
  <c r="A13180" i="2"/>
  <c r="O13179" i="2"/>
  <c r="O13178" i="2"/>
  <c r="M13178" i="2"/>
  <c r="L13178" i="2"/>
  <c r="E13178" i="2"/>
  <c r="D13178" i="2"/>
  <c r="B13178" i="2"/>
  <c r="A13178" i="2"/>
  <c r="O13177" i="2"/>
  <c r="M13177" i="2"/>
  <c r="L13177" i="2"/>
  <c r="E13177" i="2"/>
  <c r="D13177" i="2"/>
  <c r="B13177" i="2"/>
  <c r="A13177" i="2"/>
  <c r="O13176" i="2"/>
  <c r="M13176" i="2"/>
  <c r="L13176" i="2"/>
  <c r="E13176" i="2"/>
  <c r="D13176" i="2"/>
  <c r="B13176" i="2"/>
  <c r="A13176" i="2"/>
  <c r="O13175" i="2"/>
  <c r="M13175" i="2"/>
  <c r="L13175" i="2"/>
  <c r="E13175" i="2"/>
  <c r="D13175" i="2"/>
  <c r="B13175" i="2"/>
  <c r="A13175" i="2"/>
  <c r="O13174" i="2"/>
  <c r="M13174" i="2"/>
  <c r="L13174" i="2"/>
  <c r="E13174" i="2"/>
  <c r="D13174" i="2"/>
  <c r="B13174" i="2"/>
  <c r="A13174" i="2"/>
  <c r="O13173" i="2"/>
  <c r="O13172" i="2"/>
  <c r="M13172" i="2"/>
  <c r="L13172" i="2"/>
  <c r="E13172" i="2"/>
  <c r="D13172" i="2"/>
  <c r="B13172" i="2"/>
  <c r="A13172" i="2"/>
  <c r="O13171" i="2"/>
  <c r="O13170" i="2"/>
  <c r="M13170" i="2"/>
  <c r="L13170" i="2"/>
  <c r="E13170" i="2"/>
  <c r="D13170" i="2"/>
  <c r="B13170" i="2"/>
  <c r="A13170" i="2"/>
  <c r="O13169" i="2"/>
  <c r="O13168" i="2"/>
  <c r="M13168" i="2"/>
  <c r="L13168" i="2"/>
  <c r="E13168" i="2"/>
  <c r="D13168" i="2"/>
  <c r="B13168" i="2"/>
  <c r="A13168" i="2"/>
  <c r="O13167" i="2"/>
  <c r="O13166" i="2"/>
  <c r="O13165" i="2"/>
  <c r="O13164" i="2"/>
  <c r="O13163" i="2"/>
  <c r="O13162" i="2"/>
  <c r="M13162" i="2"/>
  <c r="L13162" i="2"/>
  <c r="E13162" i="2"/>
  <c r="D13162" i="2"/>
  <c r="B13162" i="2"/>
  <c r="A13162" i="2"/>
  <c r="O13161" i="2"/>
  <c r="O13160" i="2"/>
  <c r="O13159" i="2"/>
  <c r="M13159" i="2"/>
  <c r="L13159" i="2"/>
  <c r="E13159" i="2"/>
  <c r="D13159" i="2"/>
  <c r="B13159" i="2"/>
  <c r="A13159" i="2"/>
  <c r="O13158" i="2"/>
  <c r="O13157" i="2"/>
  <c r="O13156" i="2"/>
  <c r="O13155" i="2"/>
  <c r="O13154" i="2"/>
  <c r="O13153" i="2"/>
  <c r="M13153" i="2"/>
  <c r="L13153" i="2"/>
  <c r="E13153" i="2"/>
  <c r="D13153" i="2"/>
  <c r="B13153" i="2"/>
  <c r="A13153" i="2"/>
  <c r="O13152" i="2"/>
  <c r="O13151" i="2"/>
  <c r="O13150" i="2"/>
  <c r="M13150" i="2"/>
  <c r="L13150" i="2"/>
  <c r="E13150" i="2"/>
  <c r="D13150" i="2"/>
  <c r="B13150" i="2"/>
  <c r="A13150" i="2"/>
  <c r="O13149" i="2"/>
  <c r="O13148" i="2"/>
  <c r="O13147" i="2"/>
  <c r="O13146" i="2"/>
  <c r="O13145" i="2"/>
  <c r="O13144" i="2"/>
  <c r="O13143" i="2"/>
  <c r="M13143" i="2"/>
  <c r="L13143" i="2"/>
  <c r="E13143" i="2"/>
  <c r="D13143" i="2"/>
  <c r="B13143" i="2"/>
  <c r="A13143" i="2"/>
  <c r="O13142" i="2"/>
  <c r="M13142" i="2"/>
  <c r="L13142" i="2"/>
  <c r="E13142" i="2"/>
  <c r="D13142" i="2"/>
  <c r="B13142" i="2"/>
  <c r="A13142" i="2"/>
  <c r="O13141" i="2"/>
  <c r="M13141" i="2"/>
  <c r="L13141" i="2"/>
  <c r="E13141" i="2"/>
  <c r="D13141" i="2"/>
  <c r="B13141" i="2"/>
  <c r="A13141" i="2"/>
  <c r="O13140" i="2"/>
  <c r="M13140" i="2"/>
  <c r="L13140" i="2"/>
  <c r="E13140" i="2"/>
  <c r="D13140" i="2"/>
  <c r="B13140" i="2"/>
  <c r="A13140" i="2"/>
  <c r="O13139" i="2"/>
  <c r="O13138" i="2"/>
  <c r="O13137" i="2"/>
  <c r="O13136" i="2"/>
  <c r="O13135" i="2"/>
  <c r="M13135" i="2"/>
  <c r="L13135" i="2"/>
  <c r="E13135" i="2"/>
  <c r="D13135" i="2"/>
  <c r="B13135" i="2"/>
  <c r="A13135" i="2"/>
  <c r="O13134" i="2"/>
  <c r="O13133" i="2"/>
  <c r="O13132" i="2"/>
  <c r="M13132" i="2"/>
  <c r="L13132" i="2"/>
  <c r="E13132" i="2"/>
  <c r="D13132" i="2"/>
  <c r="B13132" i="2"/>
  <c r="A13132" i="2"/>
  <c r="O13131" i="2"/>
  <c r="M13131" i="2"/>
  <c r="L13131" i="2"/>
  <c r="E13131" i="2"/>
  <c r="D13131" i="2"/>
  <c r="B13131" i="2"/>
  <c r="A13131" i="2"/>
  <c r="O13130" i="2"/>
  <c r="M13130" i="2"/>
  <c r="L13130" i="2"/>
  <c r="E13130" i="2"/>
  <c r="D13130" i="2"/>
  <c r="B13130" i="2"/>
  <c r="A13130" i="2"/>
  <c r="O13129" i="2"/>
  <c r="M13129" i="2"/>
  <c r="L13129" i="2"/>
  <c r="E13129" i="2"/>
  <c r="D13129" i="2"/>
  <c r="B13129" i="2"/>
  <c r="A13129" i="2"/>
  <c r="O13128" i="2"/>
  <c r="M13128" i="2"/>
  <c r="L13128" i="2"/>
  <c r="E13128" i="2"/>
  <c r="D13128" i="2"/>
  <c r="B13128" i="2"/>
  <c r="A13128" i="2"/>
  <c r="O13127" i="2"/>
  <c r="M13127" i="2"/>
  <c r="L13127" i="2"/>
  <c r="E13127" i="2"/>
  <c r="D13127" i="2"/>
  <c r="B13127" i="2"/>
  <c r="A13127" i="2"/>
  <c r="O13126" i="2"/>
  <c r="M13126" i="2"/>
  <c r="L13126" i="2"/>
  <c r="E13126" i="2"/>
  <c r="D13126" i="2"/>
  <c r="B13126" i="2"/>
  <c r="A13126" i="2"/>
  <c r="O13125" i="2"/>
  <c r="M13125" i="2"/>
  <c r="L13125" i="2"/>
  <c r="E13125" i="2"/>
  <c r="D13125" i="2"/>
  <c r="B13125" i="2"/>
  <c r="A13125" i="2"/>
  <c r="O13124" i="2"/>
  <c r="M13124" i="2"/>
  <c r="L13124" i="2"/>
  <c r="E13124" i="2"/>
  <c r="D13124" i="2"/>
  <c r="B13124" i="2"/>
  <c r="A13124" i="2"/>
  <c r="O13123" i="2"/>
  <c r="M13123" i="2"/>
  <c r="L13123" i="2"/>
  <c r="E13123" i="2"/>
  <c r="D13123" i="2"/>
  <c r="B13123" i="2"/>
  <c r="A13123" i="2"/>
  <c r="O13122" i="2"/>
  <c r="M13122" i="2"/>
  <c r="L13122" i="2"/>
  <c r="E13122" i="2"/>
  <c r="D13122" i="2"/>
  <c r="B13122" i="2"/>
  <c r="A13122" i="2"/>
  <c r="O13121" i="2"/>
  <c r="M13121" i="2"/>
  <c r="L13121" i="2"/>
  <c r="E13121" i="2"/>
  <c r="D13121" i="2"/>
  <c r="B13121" i="2"/>
  <c r="A13121" i="2"/>
  <c r="O13120" i="2"/>
  <c r="O13119" i="2"/>
  <c r="O13118" i="2"/>
  <c r="O13117" i="2"/>
  <c r="O13116" i="2"/>
  <c r="O13115" i="2"/>
  <c r="O13114" i="2"/>
  <c r="O13113" i="2"/>
  <c r="M13113" i="2"/>
  <c r="L13113" i="2"/>
  <c r="E13113" i="2"/>
  <c r="D13113" i="2"/>
  <c r="B13113" i="2"/>
  <c r="A13113" i="2"/>
  <c r="O13112" i="2"/>
  <c r="M13112" i="2"/>
  <c r="L13112" i="2"/>
  <c r="E13112" i="2"/>
  <c r="D13112" i="2"/>
  <c r="B13112" i="2"/>
  <c r="A13112" i="2"/>
  <c r="O13111" i="2"/>
  <c r="M13111" i="2"/>
  <c r="L13111" i="2"/>
  <c r="E13111" i="2"/>
  <c r="D13111" i="2"/>
  <c r="B13111" i="2"/>
  <c r="A13111" i="2"/>
  <c r="O13110" i="2"/>
  <c r="M13110" i="2"/>
  <c r="L13110" i="2"/>
  <c r="E13110" i="2"/>
  <c r="D13110" i="2"/>
  <c r="B13110" i="2"/>
  <c r="A13110" i="2"/>
  <c r="O13109" i="2"/>
  <c r="M13109" i="2"/>
  <c r="L13109" i="2"/>
  <c r="E13109" i="2"/>
  <c r="D13109" i="2"/>
  <c r="B13109" i="2"/>
  <c r="A13109" i="2"/>
  <c r="O13108" i="2"/>
  <c r="M13108" i="2"/>
  <c r="L13108" i="2"/>
  <c r="E13108" i="2"/>
  <c r="D13108" i="2"/>
  <c r="B13108" i="2"/>
  <c r="A13108" i="2"/>
  <c r="O13107" i="2"/>
  <c r="M13107" i="2"/>
  <c r="L13107" i="2"/>
  <c r="E13107" i="2"/>
  <c r="D13107" i="2"/>
  <c r="B13107" i="2"/>
  <c r="A13107" i="2"/>
  <c r="O13106" i="2"/>
  <c r="M13106" i="2"/>
  <c r="L13106" i="2"/>
  <c r="E13106" i="2"/>
  <c r="D13106" i="2"/>
  <c r="B13106" i="2"/>
  <c r="A13106" i="2"/>
  <c r="O13105" i="2"/>
  <c r="M13105" i="2"/>
  <c r="L13105" i="2"/>
  <c r="E13105" i="2"/>
  <c r="D13105" i="2"/>
  <c r="B13105" i="2"/>
  <c r="A13105" i="2"/>
  <c r="O13104" i="2"/>
  <c r="M13104" i="2"/>
  <c r="L13104" i="2"/>
  <c r="E13104" i="2"/>
  <c r="D13104" i="2"/>
  <c r="B13104" i="2"/>
  <c r="A13104" i="2"/>
  <c r="O13103" i="2"/>
  <c r="M13103" i="2"/>
  <c r="L13103" i="2"/>
  <c r="E13103" i="2"/>
  <c r="D13103" i="2"/>
  <c r="B13103" i="2"/>
  <c r="A13103" i="2"/>
  <c r="O13102" i="2"/>
  <c r="M13102" i="2"/>
  <c r="L13102" i="2"/>
  <c r="E13102" i="2"/>
  <c r="D13102" i="2"/>
  <c r="B13102" i="2"/>
  <c r="A13102" i="2"/>
  <c r="O13101" i="2"/>
  <c r="O13100" i="2"/>
  <c r="O13099" i="2"/>
  <c r="O13098" i="2"/>
  <c r="O13097" i="2"/>
  <c r="O13096" i="2"/>
  <c r="M13096" i="2"/>
  <c r="L13096" i="2"/>
  <c r="E13096" i="2"/>
  <c r="D13096" i="2"/>
  <c r="B13096" i="2"/>
  <c r="A13096" i="2"/>
  <c r="O13095" i="2"/>
  <c r="M13095" i="2"/>
  <c r="L13095" i="2"/>
  <c r="E13095" i="2"/>
  <c r="D13095" i="2"/>
  <c r="B13095" i="2"/>
  <c r="A13095" i="2"/>
  <c r="O13094" i="2"/>
  <c r="O13093" i="2"/>
  <c r="M13093" i="2"/>
  <c r="L13093" i="2"/>
  <c r="E13093" i="2"/>
  <c r="D13093" i="2"/>
  <c r="B13093" i="2"/>
  <c r="A13093" i="2"/>
  <c r="O13092" i="2"/>
  <c r="M13092" i="2"/>
  <c r="L13092" i="2"/>
  <c r="E13092" i="2"/>
  <c r="D13092" i="2"/>
  <c r="B13092" i="2"/>
  <c r="A13092" i="2"/>
  <c r="O13091" i="2"/>
  <c r="M13091" i="2"/>
  <c r="L13091" i="2"/>
  <c r="E13091" i="2"/>
  <c r="D13091" i="2"/>
  <c r="B13091" i="2"/>
  <c r="A13091" i="2"/>
  <c r="O13090" i="2"/>
  <c r="M13090" i="2"/>
  <c r="L13090" i="2"/>
  <c r="E13090" i="2"/>
  <c r="D13090" i="2"/>
  <c r="B13090" i="2"/>
  <c r="A13090" i="2"/>
  <c r="O13089" i="2"/>
  <c r="O13088" i="2"/>
  <c r="O13087" i="2"/>
  <c r="O13086" i="2"/>
  <c r="O13085" i="2"/>
  <c r="M13085" i="2"/>
  <c r="L13085" i="2"/>
  <c r="E13085" i="2"/>
  <c r="D13085" i="2"/>
  <c r="B13085" i="2"/>
  <c r="A13085" i="2"/>
  <c r="O13084" i="2"/>
  <c r="O13083" i="2"/>
  <c r="O13082" i="2"/>
  <c r="O13081" i="2"/>
  <c r="O13080" i="2"/>
  <c r="O13079" i="2"/>
  <c r="O13078" i="2"/>
  <c r="M13078" i="2"/>
  <c r="L13078" i="2"/>
  <c r="E13078" i="2"/>
  <c r="D13078" i="2"/>
  <c r="B13078" i="2"/>
  <c r="A13078" i="2"/>
  <c r="O13077" i="2"/>
  <c r="O13076" i="2"/>
  <c r="O13075" i="2"/>
  <c r="O13074" i="2"/>
  <c r="M13074" i="2"/>
  <c r="L13074" i="2"/>
  <c r="E13074" i="2"/>
  <c r="D13074" i="2"/>
  <c r="B13074" i="2"/>
  <c r="A13074" i="2"/>
  <c r="O13073" i="2"/>
  <c r="O13072" i="2"/>
  <c r="O13071" i="2"/>
  <c r="O13070" i="2"/>
  <c r="O13069" i="2"/>
  <c r="O13068" i="2"/>
  <c r="O13067" i="2"/>
  <c r="M13067" i="2"/>
  <c r="L13067" i="2"/>
  <c r="E13067" i="2"/>
  <c r="D13067" i="2"/>
  <c r="B13067" i="2"/>
  <c r="A13067" i="2"/>
  <c r="O13066" i="2"/>
  <c r="M13066" i="2"/>
  <c r="L13066" i="2"/>
  <c r="E13066" i="2"/>
  <c r="D13066" i="2"/>
  <c r="B13066" i="2"/>
  <c r="A13066" i="2"/>
  <c r="O13065" i="2"/>
  <c r="M13065" i="2"/>
  <c r="L13065" i="2"/>
  <c r="E13065" i="2"/>
  <c r="D13065" i="2"/>
  <c r="B13065" i="2"/>
  <c r="A13065" i="2"/>
  <c r="O13064" i="2"/>
  <c r="M13064" i="2"/>
  <c r="L13064" i="2"/>
  <c r="E13064" i="2"/>
  <c r="D13064" i="2"/>
  <c r="B13064" i="2"/>
  <c r="A13064" i="2"/>
  <c r="O13063" i="2"/>
  <c r="M13063" i="2"/>
  <c r="L13063" i="2"/>
  <c r="E13063" i="2"/>
  <c r="D13063" i="2"/>
  <c r="B13063" i="2"/>
  <c r="A13063" i="2"/>
  <c r="O13062" i="2"/>
  <c r="O13061" i="2"/>
  <c r="M13061" i="2"/>
  <c r="L13061" i="2"/>
  <c r="E13061" i="2"/>
  <c r="D13061" i="2"/>
  <c r="B13061" i="2"/>
  <c r="A13061" i="2"/>
  <c r="O13060" i="2"/>
  <c r="M13060" i="2"/>
  <c r="L13060" i="2"/>
  <c r="E13060" i="2"/>
  <c r="D13060" i="2"/>
  <c r="B13060" i="2"/>
  <c r="A13060" i="2"/>
  <c r="O13059" i="2"/>
  <c r="M13059" i="2"/>
  <c r="L13059" i="2"/>
  <c r="E13059" i="2"/>
  <c r="D13059" i="2"/>
  <c r="B13059" i="2"/>
  <c r="A13059" i="2"/>
  <c r="O13058" i="2"/>
  <c r="M13058" i="2"/>
  <c r="L13058" i="2"/>
  <c r="E13058" i="2"/>
  <c r="D13058" i="2"/>
  <c r="B13058" i="2"/>
  <c r="A13058" i="2"/>
  <c r="O13057" i="2"/>
  <c r="M13057" i="2"/>
  <c r="L13057" i="2"/>
  <c r="E13057" i="2"/>
  <c r="D13057" i="2"/>
  <c r="B13057" i="2"/>
  <c r="A13057" i="2"/>
  <c r="O13056" i="2"/>
  <c r="M13056" i="2"/>
  <c r="L13056" i="2"/>
  <c r="E13056" i="2"/>
  <c r="D13056" i="2"/>
  <c r="B13056" i="2"/>
  <c r="A13056" i="2"/>
  <c r="O13055" i="2"/>
  <c r="O13054" i="2"/>
  <c r="O13053" i="2"/>
  <c r="O13052" i="2"/>
  <c r="O13051" i="2"/>
  <c r="O13050" i="2"/>
  <c r="M13050" i="2"/>
  <c r="L13050" i="2"/>
  <c r="E13050" i="2"/>
  <c r="D13050" i="2"/>
  <c r="B13050" i="2"/>
  <c r="A13050" i="2"/>
  <c r="O13049" i="2"/>
  <c r="O13048" i="2"/>
  <c r="M13048" i="2"/>
  <c r="L13048" i="2"/>
  <c r="E13048" i="2"/>
  <c r="D13048" i="2"/>
  <c r="B13048" i="2"/>
  <c r="A13048" i="2"/>
  <c r="O13047" i="2"/>
  <c r="O13046" i="2"/>
  <c r="O13045" i="2"/>
  <c r="O13044" i="2"/>
  <c r="M13044" i="2"/>
  <c r="L13044" i="2"/>
  <c r="E13044" i="2"/>
  <c r="D13044" i="2"/>
  <c r="B13044" i="2"/>
  <c r="A13044" i="2"/>
  <c r="O13043" i="2"/>
  <c r="M13043" i="2"/>
  <c r="L13043" i="2"/>
  <c r="E13043" i="2"/>
  <c r="D13043" i="2"/>
  <c r="B13043" i="2"/>
  <c r="A13043" i="2"/>
  <c r="O13042" i="2"/>
  <c r="M13042" i="2"/>
  <c r="L13042" i="2"/>
  <c r="E13042" i="2"/>
  <c r="D13042" i="2"/>
  <c r="B13042" i="2"/>
  <c r="A13042" i="2"/>
  <c r="O13041" i="2"/>
  <c r="M13041" i="2"/>
  <c r="L13041" i="2"/>
  <c r="E13041" i="2"/>
  <c r="D13041" i="2"/>
  <c r="B13041" i="2"/>
  <c r="A13041" i="2"/>
  <c r="O13040" i="2"/>
  <c r="M13040" i="2"/>
  <c r="L13040" i="2"/>
  <c r="E13040" i="2"/>
  <c r="D13040" i="2"/>
  <c r="B13040" i="2"/>
  <c r="A13040" i="2"/>
  <c r="O13039" i="2"/>
  <c r="O13038" i="2"/>
  <c r="M13038" i="2"/>
  <c r="L13038" i="2"/>
  <c r="E13038" i="2"/>
  <c r="D13038" i="2"/>
  <c r="B13038" i="2"/>
  <c r="A13038" i="2"/>
  <c r="O13037" i="2"/>
  <c r="O13036" i="2"/>
  <c r="M13036" i="2"/>
  <c r="L13036" i="2"/>
  <c r="E13036" i="2"/>
  <c r="D13036" i="2"/>
  <c r="B13036" i="2"/>
  <c r="A13036" i="2"/>
  <c r="O13035" i="2"/>
  <c r="O13034" i="2"/>
  <c r="M13034" i="2"/>
  <c r="L13034" i="2"/>
  <c r="E13034" i="2"/>
  <c r="D13034" i="2"/>
  <c r="B13034" i="2"/>
  <c r="A13034" i="2"/>
  <c r="O13033" i="2"/>
  <c r="M13033" i="2"/>
  <c r="L13033" i="2"/>
  <c r="E13033" i="2"/>
  <c r="D13033" i="2"/>
  <c r="B13033" i="2"/>
  <c r="A13033" i="2"/>
  <c r="O13032" i="2"/>
  <c r="O13031" i="2"/>
  <c r="O13030" i="2"/>
  <c r="O13029" i="2"/>
  <c r="O13028" i="2"/>
  <c r="O13027" i="2"/>
  <c r="O13026" i="2"/>
  <c r="O13025" i="2"/>
  <c r="O13024" i="2"/>
  <c r="O13023" i="2"/>
  <c r="O13022" i="2"/>
  <c r="M13022" i="2"/>
  <c r="L13022" i="2"/>
  <c r="E13022" i="2"/>
  <c r="D13022" i="2"/>
  <c r="B13022" i="2"/>
  <c r="A13022" i="2"/>
  <c r="O13021" i="2"/>
  <c r="M13021" i="2"/>
  <c r="L13021" i="2"/>
  <c r="E13021" i="2"/>
  <c r="D13021" i="2"/>
  <c r="B13021" i="2"/>
  <c r="A13021" i="2"/>
  <c r="O13020" i="2"/>
  <c r="M13020" i="2"/>
  <c r="L13020" i="2"/>
  <c r="E13020" i="2"/>
  <c r="D13020" i="2"/>
  <c r="B13020" i="2"/>
  <c r="A13020" i="2"/>
  <c r="O13019" i="2"/>
  <c r="M13019" i="2"/>
  <c r="L13019" i="2"/>
  <c r="E13019" i="2"/>
  <c r="D13019" i="2"/>
  <c r="B13019" i="2"/>
  <c r="A13019" i="2"/>
  <c r="O13018" i="2"/>
  <c r="M13018" i="2"/>
  <c r="L13018" i="2"/>
  <c r="E13018" i="2"/>
  <c r="D13018" i="2"/>
  <c r="B13018" i="2"/>
  <c r="A13018" i="2"/>
  <c r="O13017" i="2"/>
  <c r="O13016" i="2"/>
  <c r="O13015" i="2"/>
  <c r="O13014" i="2"/>
  <c r="M13014" i="2"/>
  <c r="L13014" i="2"/>
  <c r="E13014" i="2"/>
  <c r="D13014" i="2"/>
  <c r="B13014" i="2"/>
  <c r="A13014" i="2"/>
  <c r="O13013" i="2"/>
  <c r="O13012" i="2"/>
  <c r="O13011" i="2"/>
  <c r="O13010" i="2"/>
  <c r="M13010" i="2"/>
  <c r="L13010" i="2"/>
  <c r="E13010" i="2"/>
  <c r="D13010" i="2"/>
  <c r="B13010" i="2"/>
  <c r="A13010" i="2"/>
  <c r="O13009" i="2"/>
  <c r="O13008" i="2"/>
  <c r="O13007" i="2"/>
  <c r="M13007" i="2"/>
  <c r="L13007" i="2"/>
  <c r="E13007" i="2"/>
  <c r="D13007" i="2"/>
  <c r="B13007" i="2"/>
  <c r="A13007" i="2"/>
  <c r="O13006" i="2"/>
  <c r="M13006" i="2"/>
  <c r="L13006" i="2"/>
  <c r="E13006" i="2"/>
  <c r="D13006" i="2"/>
  <c r="B13006" i="2"/>
  <c r="A13006" i="2"/>
  <c r="O13005" i="2"/>
  <c r="M13005" i="2"/>
  <c r="L13005" i="2"/>
  <c r="E13005" i="2"/>
  <c r="D13005" i="2"/>
  <c r="B13005" i="2"/>
  <c r="A13005" i="2"/>
  <c r="O13004" i="2"/>
  <c r="O13003" i="2"/>
  <c r="M13003" i="2"/>
  <c r="L13003" i="2"/>
  <c r="E13003" i="2"/>
  <c r="D13003" i="2"/>
  <c r="B13003" i="2"/>
  <c r="A13003" i="2"/>
  <c r="O13002" i="2"/>
  <c r="O13001" i="2"/>
  <c r="O13000" i="2"/>
  <c r="O12999" i="2"/>
  <c r="O12998" i="2"/>
  <c r="O12997" i="2"/>
  <c r="O12996" i="2"/>
  <c r="O12995" i="2"/>
  <c r="O12994" i="2"/>
  <c r="M12994" i="2"/>
  <c r="L12994" i="2"/>
  <c r="E12994" i="2"/>
  <c r="D12994" i="2"/>
  <c r="B12994" i="2"/>
  <c r="A12994" i="2"/>
  <c r="O12993" i="2"/>
  <c r="O12992" i="2"/>
  <c r="O12991" i="2"/>
  <c r="M12991" i="2"/>
  <c r="L12991" i="2"/>
  <c r="E12991" i="2"/>
  <c r="D12991" i="2"/>
  <c r="B12991" i="2"/>
  <c r="A12991" i="2"/>
  <c r="O12990" i="2"/>
  <c r="M12990" i="2"/>
  <c r="L12990" i="2"/>
  <c r="E12990" i="2"/>
  <c r="D12990" i="2"/>
  <c r="B12990" i="2"/>
  <c r="A12990" i="2"/>
  <c r="O12989" i="2"/>
  <c r="O12988" i="2"/>
  <c r="M12988" i="2"/>
  <c r="L12988" i="2"/>
  <c r="E12988" i="2"/>
  <c r="D12988" i="2"/>
  <c r="B12988" i="2"/>
  <c r="A12988" i="2"/>
  <c r="O12987" i="2"/>
  <c r="O12986" i="2"/>
  <c r="O12985" i="2"/>
  <c r="M12985" i="2"/>
  <c r="L12985" i="2"/>
  <c r="E12985" i="2"/>
  <c r="D12985" i="2"/>
  <c r="B12985" i="2"/>
  <c r="A12985" i="2"/>
  <c r="O12984" i="2"/>
  <c r="M12984" i="2"/>
  <c r="L12984" i="2"/>
  <c r="E12984" i="2"/>
  <c r="D12984" i="2"/>
  <c r="B12984" i="2"/>
  <c r="A12984" i="2"/>
  <c r="O12983" i="2"/>
  <c r="O12982" i="2"/>
  <c r="M12982" i="2"/>
  <c r="L12982" i="2"/>
  <c r="E12982" i="2"/>
  <c r="D12982" i="2"/>
  <c r="B12982" i="2"/>
  <c r="A12982" i="2"/>
  <c r="O12981" i="2"/>
  <c r="M12981" i="2"/>
  <c r="L12981" i="2"/>
  <c r="E12981" i="2"/>
  <c r="D12981" i="2"/>
  <c r="B12981" i="2"/>
  <c r="A12981" i="2"/>
  <c r="O12980" i="2"/>
  <c r="O12979" i="2"/>
  <c r="M12979" i="2"/>
  <c r="L12979" i="2"/>
  <c r="E12979" i="2"/>
  <c r="D12979" i="2"/>
  <c r="B12979" i="2"/>
  <c r="A12979" i="2"/>
  <c r="O12978" i="2"/>
  <c r="O12977" i="2"/>
  <c r="M12977" i="2"/>
  <c r="L12977" i="2"/>
  <c r="E12977" i="2"/>
  <c r="D12977" i="2"/>
  <c r="B12977" i="2"/>
  <c r="A12977" i="2"/>
  <c r="O12976" i="2"/>
  <c r="M12976" i="2"/>
  <c r="L12976" i="2"/>
  <c r="E12976" i="2"/>
  <c r="D12976" i="2"/>
  <c r="B12976" i="2"/>
  <c r="A12976" i="2"/>
  <c r="O12975" i="2"/>
  <c r="M12975" i="2"/>
  <c r="L12975" i="2"/>
  <c r="E12975" i="2"/>
  <c r="D12975" i="2"/>
  <c r="B12975" i="2"/>
  <c r="A12975" i="2"/>
  <c r="O12974" i="2"/>
  <c r="M12974" i="2"/>
  <c r="L12974" i="2"/>
  <c r="E12974" i="2"/>
  <c r="D12974" i="2"/>
  <c r="B12974" i="2"/>
  <c r="A12974" i="2"/>
  <c r="O12973" i="2"/>
  <c r="O12972" i="2"/>
  <c r="O12971" i="2"/>
  <c r="O12970" i="2"/>
  <c r="O12969" i="2"/>
  <c r="O12968" i="2"/>
  <c r="O12967" i="2"/>
  <c r="O12966" i="2"/>
  <c r="O12965" i="2"/>
  <c r="O12964" i="2"/>
  <c r="O12963" i="2"/>
  <c r="O12962" i="2"/>
  <c r="M12962" i="2"/>
  <c r="L12962" i="2"/>
  <c r="E12962" i="2"/>
  <c r="D12962" i="2"/>
  <c r="B12962" i="2"/>
  <c r="A12962" i="2"/>
  <c r="O12961" i="2"/>
  <c r="O12960" i="2"/>
  <c r="O12959" i="2"/>
  <c r="O12958" i="2"/>
  <c r="O12957" i="2"/>
  <c r="O12956" i="2"/>
  <c r="O12955" i="2"/>
  <c r="O12954" i="2"/>
  <c r="O12953" i="2"/>
  <c r="M12953" i="2"/>
  <c r="L12953" i="2"/>
  <c r="E12953" i="2"/>
  <c r="D12953" i="2"/>
  <c r="B12953" i="2"/>
  <c r="A12953" i="2"/>
  <c r="O12952" i="2"/>
  <c r="O12951" i="2"/>
  <c r="M12951" i="2"/>
  <c r="L12951" i="2"/>
  <c r="E12951" i="2"/>
  <c r="D12951" i="2"/>
  <c r="B12951" i="2"/>
  <c r="A12951" i="2"/>
  <c r="O12950" i="2"/>
  <c r="M12950" i="2"/>
  <c r="L12950" i="2"/>
  <c r="E12950" i="2"/>
  <c r="D12950" i="2"/>
  <c r="B12950" i="2"/>
  <c r="A12950" i="2"/>
  <c r="O12949" i="2"/>
  <c r="O12948" i="2"/>
  <c r="O12947" i="2"/>
  <c r="O12946" i="2"/>
  <c r="M12946" i="2"/>
  <c r="L12946" i="2"/>
  <c r="E12946" i="2"/>
  <c r="D12946" i="2"/>
  <c r="B12946" i="2"/>
  <c r="A12946" i="2"/>
  <c r="O12945" i="2"/>
  <c r="M12945" i="2"/>
  <c r="L12945" i="2"/>
  <c r="E12945" i="2"/>
  <c r="D12945" i="2"/>
  <c r="B12945" i="2"/>
  <c r="A12945" i="2"/>
  <c r="O12944" i="2"/>
  <c r="O12943" i="2"/>
  <c r="M12943" i="2"/>
  <c r="L12943" i="2"/>
  <c r="E12943" i="2"/>
  <c r="D12943" i="2"/>
  <c r="B12943" i="2"/>
  <c r="A12943" i="2"/>
  <c r="O12942" i="2"/>
  <c r="O12941" i="2"/>
  <c r="O12940" i="2"/>
  <c r="O12939" i="2"/>
  <c r="O12938" i="2"/>
  <c r="O12937" i="2"/>
  <c r="O12936" i="2"/>
  <c r="M12936" i="2"/>
  <c r="L12936" i="2"/>
  <c r="E12936" i="2"/>
  <c r="D12936" i="2"/>
  <c r="B12936" i="2"/>
  <c r="A12936" i="2"/>
  <c r="O12935" i="2"/>
  <c r="M12935" i="2"/>
  <c r="L12935" i="2"/>
  <c r="E12935" i="2"/>
  <c r="D12935" i="2"/>
  <c r="B12935" i="2"/>
  <c r="A12935" i="2"/>
  <c r="O12934" i="2"/>
  <c r="M12934" i="2"/>
  <c r="L12934" i="2"/>
  <c r="E12934" i="2"/>
  <c r="D12934" i="2"/>
  <c r="B12934" i="2"/>
  <c r="A12934" i="2"/>
  <c r="O12933" i="2"/>
  <c r="M12933" i="2"/>
  <c r="L12933" i="2"/>
  <c r="E12933" i="2"/>
  <c r="D12933" i="2"/>
  <c r="B12933" i="2"/>
  <c r="A12933" i="2"/>
  <c r="O12932" i="2"/>
  <c r="M12932" i="2"/>
  <c r="L12932" i="2"/>
  <c r="E12932" i="2"/>
  <c r="D12932" i="2"/>
  <c r="B12932" i="2"/>
  <c r="A12932" i="2"/>
  <c r="O12931" i="2"/>
  <c r="M12931" i="2"/>
  <c r="L12931" i="2"/>
  <c r="E12931" i="2"/>
  <c r="D12931" i="2"/>
  <c r="B12931" i="2"/>
  <c r="A12931" i="2"/>
  <c r="O12930" i="2"/>
  <c r="O12929" i="2"/>
  <c r="M12929" i="2"/>
  <c r="L12929" i="2"/>
  <c r="E12929" i="2"/>
  <c r="D12929" i="2"/>
  <c r="B12929" i="2"/>
  <c r="A12929" i="2"/>
  <c r="O12928" i="2"/>
  <c r="O12927" i="2"/>
  <c r="M12927" i="2"/>
  <c r="L12927" i="2"/>
  <c r="E12927" i="2"/>
  <c r="D12927" i="2"/>
  <c r="B12927" i="2"/>
  <c r="A12927" i="2"/>
  <c r="O12926" i="2"/>
  <c r="M12926" i="2"/>
  <c r="L12926" i="2"/>
  <c r="E12926" i="2"/>
  <c r="D12926" i="2"/>
  <c r="B12926" i="2"/>
  <c r="A12926" i="2"/>
  <c r="O12925" i="2"/>
  <c r="M12925" i="2"/>
  <c r="L12925" i="2"/>
  <c r="E12925" i="2"/>
  <c r="D12925" i="2"/>
  <c r="B12925" i="2"/>
  <c r="A12925" i="2"/>
  <c r="O12924" i="2"/>
  <c r="M12924" i="2"/>
  <c r="L12924" i="2"/>
  <c r="E12924" i="2"/>
  <c r="D12924" i="2"/>
  <c r="B12924" i="2"/>
  <c r="A12924" i="2"/>
  <c r="O12923" i="2"/>
  <c r="M12923" i="2"/>
  <c r="L12923" i="2"/>
  <c r="E12923" i="2"/>
  <c r="D12923" i="2"/>
  <c r="B12923" i="2"/>
  <c r="A12923" i="2"/>
  <c r="O12922" i="2"/>
  <c r="M12922" i="2"/>
  <c r="L12922" i="2"/>
  <c r="E12922" i="2"/>
  <c r="D12922" i="2"/>
  <c r="B12922" i="2"/>
  <c r="A12922" i="2"/>
  <c r="O12921" i="2"/>
  <c r="O12920" i="2"/>
  <c r="M12920" i="2"/>
  <c r="L12920" i="2"/>
  <c r="E12920" i="2"/>
  <c r="D12920" i="2"/>
  <c r="B12920" i="2"/>
  <c r="A12920" i="2"/>
  <c r="O12919" i="2"/>
  <c r="M12919" i="2"/>
  <c r="L12919" i="2"/>
  <c r="E12919" i="2"/>
  <c r="D12919" i="2"/>
  <c r="B12919" i="2"/>
  <c r="A12919" i="2"/>
  <c r="O12918" i="2"/>
  <c r="M12918" i="2"/>
  <c r="L12918" i="2"/>
  <c r="E12918" i="2"/>
  <c r="D12918" i="2"/>
  <c r="B12918" i="2"/>
  <c r="A12918" i="2"/>
  <c r="O12917" i="2"/>
  <c r="O12916" i="2"/>
  <c r="O12915" i="2"/>
  <c r="M12915" i="2"/>
  <c r="L12915" i="2"/>
  <c r="E12915" i="2"/>
  <c r="D12915" i="2"/>
  <c r="B12915" i="2"/>
  <c r="A12915" i="2"/>
  <c r="O12914" i="2"/>
  <c r="M12914" i="2"/>
  <c r="L12914" i="2"/>
  <c r="E12914" i="2"/>
  <c r="D12914" i="2"/>
  <c r="B12914" i="2"/>
  <c r="A12914" i="2"/>
  <c r="O12913" i="2"/>
  <c r="M12913" i="2"/>
  <c r="L12913" i="2"/>
  <c r="E12913" i="2"/>
  <c r="D12913" i="2"/>
  <c r="B12913" i="2"/>
  <c r="A12913" i="2"/>
  <c r="O12912" i="2"/>
  <c r="M12912" i="2"/>
  <c r="L12912" i="2"/>
  <c r="E12912" i="2"/>
  <c r="D12912" i="2"/>
  <c r="B12912" i="2"/>
  <c r="A12912" i="2"/>
  <c r="O12911" i="2"/>
  <c r="M12911" i="2"/>
  <c r="L12911" i="2"/>
  <c r="E12911" i="2"/>
  <c r="D12911" i="2"/>
  <c r="B12911" i="2"/>
  <c r="A12911" i="2"/>
  <c r="O12910" i="2"/>
  <c r="M12910" i="2"/>
  <c r="L12910" i="2"/>
  <c r="E12910" i="2"/>
  <c r="D12910" i="2"/>
  <c r="B12910" i="2"/>
  <c r="A12910" i="2"/>
  <c r="O12909" i="2"/>
  <c r="O12908" i="2"/>
  <c r="O12907" i="2"/>
  <c r="O12906" i="2"/>
  <c r="O12905" i="2"/>
  <c r="O12904" i="2"/>
  <c r="O12903" i="2"/>
  <c r="M12903" i="2"/>
  <c r="L12903" i="2"/>
  <c r="E12903" i="2"/>
  <c r="D12903" i="2"/>
  <c r="B12903" i="2"/>
  <c r="A12903" i="2"/>
  <c r="O12902" i="2"/>
  <c r="M12902" i="2"/>
  <c r="L12902" i="2"/>
  <c r="E12902" i="2"/>
  <c r="D12902" i="2"/>
  <c r="B12902" i="2"/>
  <c r="A12902" i="2"/>
  <c r="O12901" i="2"/>
  <c r="O12900" i="2"/>
  <c r="M12900" i="2"/>
  <c r="L12900" i="2"/>
  <c r="E12900" i="2"/>
  <c r="D12900" i="2"/>
  <c r="B12900" i="2"/>
  <c r="A12900" i="2"/>
  <c r="O12899" i="2"/>
  <c r="M12899" i="2"/>
  <c r="L12899" i="2"/>
  <c r="E12899" i="2"/>
  <c r="D12899" i="2"/>
  <c r="B12899" i="2"/>
  <c r="A12899" i="2"/>
  <c r="O12898" i="2"/>
  <c r="O12897" i="2"/>
  <c r="M12897" i="2"/>
  <c r="L12897" i="2"/>
  <c r="E12897" i="2"/>
  <c r="D12897" i="2"/>
  <c r="B12897" i="2"/>
  <c r="A12897" i="2"/>
  <c r="O12896" i="2"/>
  <c r="O12895" i="2"/>
  <c r="O12894" i="2"/>
  <c r="M12894" i="2"/>
  <c r="L12894" i="2"/>
  <c r="E12894" i="2"/>
  <c r="D12894" i="2"/>
  <c r="B12894" i="2"/>
  <c r="A12894" i="2"/>
  <c r="O12893" i="2"/>
  <c r="M12893" i="2"/>
  <c r="L12893" i="2"/>
  <c r="E12893" i="2"/>
  <c r="D12893" i="2"/>
  <c r="B12893" i="2"/>
  <c r="A12893" i="2"/>
  <c r="O12892" i="2"/>
  <c r="M12892" i="2"/>
  <c r="L12892" i="2"/>
  <c r="E12892" i="2"/>
  <c r="D12892" i="2"/>
  <c r="B12892" i="2"/>
  <c r="A12892" i="2"/>
  <c r="O12891" i="2"/>
  <c r="M12891" i="2"/>
  <c r="L12891" i="2"/>
  <c r="E12891" i="2"/>
  <c r="D12891" i="2"/>
  <c r="B12891" i="2"/>
  <c r="A12891" i="2"/>
  <c r="O12890" i="2"/>
  <c r="M12890" i="2"/>
  <c r="L12890" i="2"/>
  <c r="E12890" i="2"/>
  <c r="D12890" i="2"/>
  <c r="B12890" i="2"/>
  <c r="A12890" i="2"/>
  <c r="O12889" i="2"/>
  <c r="M12889" i="2"/>
  <c r="L12889" i="2"/>
  <c r="E12889" i="2"/>
  <c r="D12889" i="2"/>
  <c r="B12889" i="2"/>
  <c r="A12889" i="2"/>
  <c r="O12888" i="2"/>
  <c r="O12887" i="2"/>
  <c r="O12886" i="2"/>
  <c r="O12885" i="2"/>
  <c r="O12884" i="2"/>
  <c r="O12883" i="2"/>
  <c r="O12882" i="2"/>
  <c r="O12881" i="2"/>
  <c r="O12880" i="2"/>
  <c r="O12879" i="2"/>
  <c r="O12878" i="2"/>
  <c r="O12877" i="2"/>
  <c r="O12876" i="2"/>
  <c r="O12875" i="2"/>
  <c r="O12874" i="2"/>
  <c r="O12873" i="2"/>
  <c r="O12872" i="2"/>
  <c r="M12872" i="2"/>
  <c r="L12872" i="2"/>
  <c r="E12872" i="2"/>
  <c r="D12872" i="2"/>
  <c r="B12872" i="2"/>
  <c r="A12872" i="2"/>
  <c r="O12871" i="2"/>
  <c r="M12871" i="2"/>
  <c r="L12871" i="2"/>
  <c r="E12871" i="2"/>
  <c r="D12871" i="2"/>
  <c r="B12871" i="2"/>
  <c r="A12871" i="2"/>
  <c r="O12870" i="2"/>
  <c r="O12869" i="2"/>
  <c r="M12869" i="2"/>
  <c r="L12869" i="2"/>
  <c r="E12869" i="2"/>
  <c r="D12869" i="2"/>
  <c r="B12869" i="2"/>
  <c r="A12869" i="2"/>
  <c r="O12868" i="2"/>
  <c r="M12868" i="2"/>
  <c r="L12868" i="2"/>
  <c r="E12868" i="2"/>
  <c r="D12868" i="2"/>
  <c r="B12868" i="2"/>
  <c r="A12868" i="2"/>
  <c r="O12867" i="2"/>
  <c r="M12867" i="2"/>
  <c r="L12867" i="2"/>
  <c r="E12867" i="2"/>
  <c r="D12867" i="2"/>
  <c r="B12867" i="2"/>
  <c r="A12867" i="2"/>
  <c r="O12866" i="2"/>
  <c r="M12866" i="2"/>
  <c r="L12866" i="2"/>
  <c r="E12866" i="2"/>
  <c r="D12866" i="2"/>
  <c r="B12866" i="2"/>
  <c r="A12866" i="2"/>
  <c r="O12865" i="2"/>
  <c r="M12865" i="2"/>
  <c r="L12865" i="2"/>
  <c r="E12865" i="2"/>
  <c r="D12865" i="2"/>
  <c r="B12865" i="2"/>
  <c r="A12865" i="2"/>
  <c r="O12864" i="2"/>
  <c r="M12864" i="2"/>
  <c r="L12864" i="2"/>
  <c r="E12864" i="2"/>
  <c r="D12864" i="2"/>
  <c r="B12864" i="2"/>
  <c r="A12864" i="2"/>
  <c r="O12863" i="2"/>
  <c r="M12863" i="2"/>
  <c r="L12863" i="2"/>
  <c r="E12863" i="2"/>
  <c r="D12863" i="2"/>
  <c r="B12863" i="2"/>
  <c r="A12863" i="2"/>
  <c r="O12862" i="2"/>
  <c r="O12861" i="2"/>
  <c r="O12860" i="2"/>
  <c r="O12859" i="2"/>
  <c r="O12858" i="2"/>
  <c r="M12858" i="2"/>
  <c r="L12858" i="2"/>
  <c r="E12858" i="2"/>
  <c r="D12858" i="2"/>
  <c r="B12858" i="2"/>
  <c r="A12858" i="2"/>
  <c r="O12857" i="2"/>
  <c r="M12857" i="2"/>
  <c r="L12857" i="2"/>
  <c r="E12857" i="2"/>
  <c r="D12857" i="2"/>
  <c r="B12857" i="2"/>
  <c r="A12857" i="2"/>
  <c r="O12856" i="2"/>
  <c r="O12855" i="2"/>
  <c r="M12855" i="2"/>
  <c r="L12855" i="2"/>
  <c r="E12855" i="2"/>
  <c r="D12855" i="2"/>
  <c r="B12855" i="2"/>
  <c r="A12855" i="2"/>
  <c r="O12854" i="2"/>
  <c r="M12854" i="2"/>
  <c r="L12854" i="2"/>
  <c r="E12854" i="2"/>
  <c r="D12854" i="2"/>
  <c r="B12854" i="2"/>
  <c r="A12854" i="2"/>
  <c r="O12853" i="2"/>
  <c r="O12852" i="2"/>
  <c r="O12851" i="2"/>
  <c r="M12851" i="2"/>
  <c r="L12851" i="2"/>
  <c r="E12851" i="2"/>
  <c r="D12851" i="2"/>
  <c r="B12851" i="2"/>
  <c r="A12851" i="2"/>
  <c r="O12850" i="2"/>
  <c r="O12849" i="2"/>
  <c r="M12849" i="2"/>
  <c r="L12849" i="2"/>
  <c r="E12849" i="2"/>
  <c r="D12849" i="2"/>
  <c r="B12849" i="2"/>
  <c r="A12849" i="2"/>
  <c r="O12848" i="2"/>
  <c r="O12847" i="2"/>
  <c r="O12846" i="2"/>
  <c r="M12846" i="2"/>
  <c r="L12846" i="2"/>
  <c r="E12846" i="2"/>
  <c r="D12846" i="2"/>
  <c r="B12846" i="2"/>
  <c r="A12846" i="2"/>
  <c r="O12845" i="2"/>
  <c r="O12844" i="2"/>
  <c r="M12844" i="2"/>
  <c r="L12844" i="2"/>
  <c r="E12844" i="2"/>
  <c r="D12844" i="2"/>
  <c r="B12844" i="2"/>
  <c r="A12844" i="2"/>
  <c r="O12843" i="2"/>
  <c r="M12843" i="2"/>
  <c r="L12843" i="2"/>
  <c r="E12843" i="2"/>
  <c r="D12843" i="2"/>
  <c r="B12843" i="2"/>
  <c r="A12843" i="2"/>
  <c r="O12842" i="2"/>
  <c r="O12841" i="2"/>
  <c r="M12841" i="2"/>
  <c r="L12841" i="2"/>
  <c r="E12841" i="2"/>
  <c r="D12841" i="2"/>
  <c r="B12841" i="2"/>
  <c r="A12841" i="2"/>
  <c r="O12840" i="2"/>
  <c r="M12840" i="2"/>
  <c r="L12840" i="2"/>
  <c r="E12840" i="2"/>
  <c r="D12840" i="2"/>
  <c r="B12840" i="2"/>
  <c r="A12840" i="2"/>
  <c r="O12839" i="2"/>
  <c r="M12839" i="2"/>
  <c r="L12839" i="2"/>
  <c r="E12839" i="2"/>
  <c r="D12839" i="2"/>
  <c r="B12839" i="2"/>
  <c r="A12839" i="2"/>
  <c r="O12838" i="2"/>
  <c r="O12837" i="2"/>
  <c r="M12837" i="2"/>
  <c r="L12837" i="2"/>
  <c r="E12837" i="2"/>
  <c r="D12837" i="2"/>
  <c r="B12837" i="2"/>
  <c r="A12837" i="2"/>
  <c r="O12836" i="2"/>
  <c r="M12836" i="2"/>
  <c r="L12836" i="2"/>
  <c r="E12836" i="2"/>
  <c r="D12836" i="2"/>
  <c r="B12836" i="2"/>
  <c r="A12836" i="2"/>
  <c r="O12835" i="2"/>
  <c r="M12835" i="2"/>
  <c r="L12835" i="2"/>
  <c r="E12835" i="2"/>
  <c r="D12835" i="2"/>
  <c r="B12835" i="2"/>
  <c r="A12835" i="2"/>
  <c r="O12834" i="2"/>
  <c r="M12834" i="2"/>
  <c r="L12834" i="2"/>
  <c r="E12834" i="2"/>
  <c r="D12834" i="2"/>
  <c r="B12834" i="2"/>
  <c r="A12834" i="2"/>
  <c r="O12833" i="2"/>
  <c r="O12832" i="2"/>
  <c r="M12832" i="2"/>
  <c r="L12832" i="2"/>
  <c r="E12832" i="2"/>
  <c r="D12832" i="2"/>
  <c r="B12832" i="2"/>
  <c r="A12832" i="2"/>
  <c r="O12831" i="2"/>
  <c r="M12831" i="2"/>
  <c r="L12831" i="2"/>
  <c r="E12831" i="2"/>
  <c r="D12831" i="2"/>
  <c r="B12831" i="2"/>
  <c r="A12831" i="2"/>
  <c r="O12830" i="2"/>
  <c r="M12830" i="2"/>
  <c r="L12830" i="2"/>
  <c r="E12830" i="2"/>
  <c r="D12830" i="2"/>
  <c r="B12830" i="2"/>
  <c r="A12830" i="2"/>
  <c r="O12829" i="2"/>
  <c r="O12828" i="2"/>
  <c r="M12828" i="2"/>
  <c r="L12828" i="2"/>
  <c r="E12828" i="2"/>
  <c r="D12828" i="2"/>
  <c r="B12828" i="2"/>
  <c r="A12828" i="2"/>
  <c r="O12827" i="2"/>
  <c r="M12827" i="2"/>
  <c r="L12827" i="2"/>
  <c r="E12827" i="2"/>
  <c r="D12827" i="2"/>
  <c r="B12827" i="2"/>
  <c r="A12827" i="2"/>
  <c r="O12826" i="2"/>
  <c r="O12825" i="2"/>
  <c r="M12825" i="2"/>
  <c r="L12825" i="2"/>
  <c r="E12825" i="2"/>
  <c r="D12825" i="2"/>
  <c r="B12825" i="2"/>
  <c r="A12825" i="2"/>
  <c r="O12824" i="2"/>
  <c r="M12824" i="2"/>
  <c r="L12824" i="2"/>
  <c r="E12824" i="2"/>
  <c r="D12824" i="2"/>
  <c r="B12824" i="2"/>
  <c r="A12824" i="2"/>
  <c r="O12823" i="2"/>
  <c r="O12822" i="2"/>
  <c r="M12822" i="2"/>
  <c r="L12822" i="2"/>
  <c r="E12822" i="2"/>
  <c r="D12822" i="2"/>
  <c r="B12822" i="2"/>
  <c r="A12822" i="2"/>
  <c r="O12821" i="2"/>
  <c r="O12820" i="2"/>
  <c r="M12820" i="2"/>
  <c r="L12820" i="2"/>
  <c r="E12820" i="2"/>
  <c r="D12820" i="2"/>
  <c r="B12820" i="2"/>
  <c r="A12820" i="2"/>
  <c r="O12819" i="2"/>
  <c r="M12819" i="2"/>
  <c r="L12819" i="2"/>
  <c r="E12819" i="2"/>
  <c r="D12819" i="2"/>
  <c r="B12819" i="2"/>
  <c r="A12819" i="2"/>
  <c r="O12818" i="2"/>
  <c r="M12818" i="2"/>
  <c r="L12818" i="2"/>
  <c r="E12818" i="2"/>
  <c r="D12818" i="2"/>
  <c r="B12818" i="2"/>
  <c r="A12818" i="2"/>
  <c r="O12817" i="2"/>
  <c r="M12817" i="2"/>
  <c r="L12817" i="2"/>
  <c r="E12817" i="2"/>
  <c r="D12817" i="2"/>
  <c r="B12817" i="2"/>
  <c r="A12817" i="2"/>
  <c r="O12816" i="2"/>
  <c r="M12816" i="2"/>
  <c r="L12816" i="2"/>
  <c r="E12816" i="2"/>
  <c r="D12816" i="2"/>
  <c r="B12816" i="2"/>
  <c r="A12816" i="2"/>
  <c r="O12815" i="2"/>
  <c r="O12814" i="2"/>
  <c r="M12814" i="2"/>
  <c r="L12814" i="2"/>
  <c r="E12814" i="2"/>
  <c r="D12814" i="2"/>
  <c r="B12814" i="2"/>
  <c r="A12814" i="2"/>
  <c r="O12813" i="2"/>
  <c r="O12812" i="2"/>
  <c r="M12812" i="2"/>
  <c r="L12812" i="2"/>
  <c r="E12812" i="2"/>
  <c r="D12812" i="2"/>
  <c r="B12812" i="2"/>
  <c r="A12812" i="2"/>
  <c r="O12811" i="2"/>
  <c r="O12810" i="2"/>
  <c r="M12810" i="2"/>
  <c r="L12810" i="2"/>
  <c r="E12810" i="2"/>
  <c r="D12810" i="2"/>
  <c r="B12810" i="2"/>
  <c r="A12810" i="2"/>
  <c r="O12809" i="2"/>
  <c r="O12808" i="2"/>
  <c r="M12808" i="2"/>
  <c r="L12808" i="2"/>
  <c r="E12808" i="2"/>
  <c r="D12808" i="2"/>
  <c r="B12808" i="2"/>
  <c r="A12808" i="2"/>
  <c r="O12807" i="2"/>
  <c r="M12807" i="2"/>
  <c r="L12807" i="2"/>
  <c r="E12807" i="2"/>
  <c r="D12807" i="2"/>
  <c r="B12807" i="2"/>
  <c r="A12807" i="2"/>
  <c r="O12806" i="2"/>
  <c r="M12806" i="2"/>
  <c r="L12806" i="2"/>
  <c r="E12806" i="2"/>
  <c r="D12806" i="2"/>
  <c r="B12806" i="2"/>
  <c r="A12806" i="2"/>
  <c r="O12805" i="2"/>
  <c r="M12805" i="2"/>
  <c r="L12805" i="2"/>
  <c r="E12805" i="2"/>
  <c r="D12805" i="2"/>
  <c r="B12805" i="2"/>
  <c r="A12805" i="2"/>
  <c r="O12804" i="2"/>
  <c r="M12804" i="2"/>
  <c r="L12804" i="2"/>
  <c r="E12804" i="2"/>
  <c r="D12804" i="2"/>
  <c r="B12804" i="2"/>
  <c r="A12804" i="2"/>
  <c r="O12803" i="2"/>
  <c r="M12803" i="2"/>
  <c r="L12803" i="2"/>
  <c r="E12803" i="2"/>
  <c r="D12803" i="2"/>
  <c r="B12803" i="2"/>
  <c r="A12803" i="2"/>
  <c r="O12802" i="2"/>
  <c r="M12802" i="2"/>
  <c r="L12802" i="2"/>
  <c r="E12802" i="2"/>
  <c r="D12802" i="2"/>
  <c r="B12802" i="2"/>
  <c r="A12802" i="2"/>
  <c r="O12801" i="2"/>
  <c r="O12800" i="2"/>
  <c r="M12800" i="2"/>
  <c r="L12800" i="2"/>
  <c r="E12800" i="2"/>
  <c r="D12800" i="2"/>
  <c r="B12800" i="2"/>
  <c r="A12800" i="2"/>
  <c r="O12799" i="2"/>
  <c r="M12799" i="2"/>
  <c r="L12799" i="2"/>
  <c r="E12799" i="2"/>
  <c r="D12799" i="2"/>
  <c r="B12799" i="2"/>
  <c r="A12799" i="2"/>
  <c r="O12798" i="2"/>
  <c r="M12798" i="2"/>
  <c r="L12798" i="2"/>
  <c r="E12798" i="2"/>
  <c r="D12798" i="2"/>
  <c r="B12798" i="2"/>
  <c r="A12798" i="2"/>
  <c r="O12797" i="2"/>
  <c r="O12796" i="2"/>
  <c r="M12796" i="2"/>
  <c r="L12796" i="2"/>
  <c r="E12796" i="2"/>
  <c r="D12796" i="2"/>
  <c r="B12796" i="2"/>
  <c r="A12796" i="2"/>
  <c r="O12795" i="2"/>
  <c r="O12794" i="2"/>
  <c r="M12794" i="2"/>
  <c r="L12794" i="2"/>
  <c r="E12794" i="2"/>
  <c r="D12794" i="2"/>
  <c r="B12794" i="2"/>
  <c r="A12794" i="2"/>
  <c r="O12793" i="2"/>
  <c r="M12793" i="2"/>
  <c r="L12793" i="2"/>
  <c r="E12793" i="2"/>
  <c r="D12793" i="2"/>
  <c r="B12793" i="2"/>
  <c r="A12793" i="2"/>
  <c r="O12792" i="2"/>
  <c r="O12791" i="2"/>
  <c r="M12791" i="2"/>
  <c r="L12791" i="2"/>
  <c r="E12791" i="2"/>
  <c r="D12791" i="2"/>
  <c r="B12791" i="2"/>
  <c r="A12791" i="2"/>
  <c r="O12790" i="2"/>
  <c r="M12790" i="2"/>
  <c r="L12790" i="2"/>
  <c r="E12790" i="2"/>
  <c r="D12790" i="2"/>
  <c r="B12790" i="2"/>
  <c r="A12790" i="2"/>
  <c r="O12789" i="2"/>
  <c r="M12789" i="2"/>
  <c r="L12789" i="2"/>
  <c r="E12789" i="2"/>
  <c r="D12789" i="2"/>
  <c r="B12789" i="2"/>
  <c r="A12789" i="2"/>
  <c r="O12788" i="2"/>
  <c r="M12788" i="2"/>
  <c r="L12788" i="2"/>
  <c r="E12788" i="2"/>
  <c r="D12788" i="2"/>
  <c r="B12788" i="2"/>
  <c r="A12788" i="2"/>
  <c r="O12787" i="2"/>
  <c r="M12787" i="2"/>
  <c r="L12787" i="2"/>
  <c r="E12787" i="2"/>
  <c r="D12787" i="2"/>
  <c r="B12787" i="2"/>
  <c r="A12787" i="2"/>
  <c r="O12786" i="2"/>
  <c r="O12785" i="2"/>
  <c r="O12784" i="2"/>
  <c r="O12783" i="2"/>
  <c r="O12782" i="2"/>
  <c r="O12781" i="2"/>
  <c r="O12780" i="2"/>
  <c r="M12780" i="2"/>
  <c r="L12780" i="2"/>
  <c r="E12780" i="2"/>
  <c r="D12780" i="2"/>
  <c r="B12780" i="2"/>
  <c r="A12780" i="2"/>
  <c r="O12779" i="2"/>
  <c r="M12779" i="2"/>
  <c r="L12779" i="2"/>
  <c r="E12779" i="2"/>
  <c r="D12779" i="2"/>
  <c r="B12779" i="2"/>
  <c r="A12779" i="2"/>
  <c r="O12778" i="2"/>
  <c r="M12778" i="2"/>
  <c r="L12778" i="2"/>
  <c r="E12778" i="2"/>
  <c r="D12778" i="2"/>
  <c r="B12778" i="2"/>
  <c r="A12778" i="2"/>
  <c r="O12777" i="2"/>
  <c r="O12776" i="2"/>
  <c r="O12775" i="2"/>
  <c r="M12775" i="2"/>
  <c r="L12775" i="2"/>
  <c r="E12775" i="2"/>
  <c r="D12775" i="2"/>
  <c r="B12775" i="2"/>
  <c r="A12775" i="2"/>
  <c r="O12774" i="2"/>
  <c r="M12774" i="2"/>
  <c r="L12774" i="2"/>
  <c r="E12774" i="2"/>
  <c r="D12774" i="2"/>
  <c r="B12774" i="2"/>
  <c r="A12774" i="2"/>
  <c r="O12773" i="2"/>
  <c r="O12772" i="2"/>
  <c r="M12772" i="2"/>
  <c r="L12772" i="2"/>
  <c r="E12772" i="2"/>
  <c r="D12772" i="2"/>
  <c r="B12772" i="2"/>
  <c r="A12772" i="2"/>
  <c r="O12771" i="2"/>
  <c r="M12771" i="2"/>
  <c r="L12771" i="2"/>
  <c r="E12771" i="2"/>
  <c r="D12771" i="2"/>
  <c r="B12771" i="2"/>
  <c r="A12771" i="2"/>
  <c r="O12770" i="2"/>
  <c r="M12770" i="2"/>
  <c r="L12770" i="2"/>
  <c r="E12770" i="2"/>
  <c r="D12770" i="2"/>
  <c r="B12770" i="2"/>
  <c r="A12770" i="2"/>
  <c r="O12769" i="2"/>
  <c r="O12768" i="2"/>
  <c r="O12767" i="2"/>
  <c r="M12767" i="2"/>
  <c r="L12767" i="2"/>
  <c r="E12767" i="2"/>
  <c r="D12767" i="2"/>
  <c r="B12767" i="2"/>
  <c r="A12767" i="2"/>
  <c r="O12766" i="2"/>
  <c r="O12765" i="2"/>
  <c r="O12764" i="2"/>
  <c r="M12764" i="2"/>
  <c r="L12764" i="2"/>
  <c r="E12764" i="2"/>
  <c r="D12764" i="2"/>
  <c r="B12764" i="2"/>
  <c r="A12764" i="2"/>
  <c r="O12763" i="2"/>
  <c r="O12762" i="2"/>
  <c r="O12761" i="2"/>
  <c r="O12760" i="2"/>
  <c r="M12760" i="2"/>
  <c r="L12760" i="2"/>
  <c r="E12760" i="2"/>
  <c r="D12760" i="2"/>
  <c r="B12760" i="2"/>
  <c r="A12760" i="2"/>
  <c r="O12759" i="2"/>
  <c r="O12758" i="2"/>
  <c r="M12758" i="2"/>
  <c r="L12758" i="2"/>
  <c r="E12758" i="2"/>
  <c r="D12758" i="2"/>
  <c r="B12758" i="2"/>
  <c r="A12758" i="2"/>
  <c r="O12757" i="2"/>
  <c r="O12756" i="2"/>
  <c r="M12756" i="2"/>
  <c r="L12756" i="2"/>
  <c r="E12756" i="2"/>
  <c r="D12756" i="2"/>
  <c r="B12756" i="2"/>
  <c r="A12756" i="2"/>
  <c r="O12755" i="2"/>
  <c r="O12754" i="2"/>
  <c r="O12753" i="2"/>
  <c r="O12752" i="2"/>
  <c r="O12751" i="2"/>
  <c r="O12750" i="2"/>
  <c r="O12749" i="2"/>
  <c r="O12748" i="2"/>
  <c r="O12747" i="2"/>
  <c r="O12746" i="2"/>
  <c r="M12746" i="2"/>
  <c r="L12746" i="2"/>
  <c r="E12746" i="2"/>
  <c r="D12746" i="2"/>
  <c r="B12746" i="2"/>
  <c r="A12746" i="2"/>
  <c r="O12745" i="2"/>
  <c r="O12744" i="2"/>
  <c r="O12743" i="2"/>
  <c r="O12742" i="2"/>
  <c r="M12742" i="2"/>
  <c r="L12742" i="2"/>
  <c r="E12742" i="2"/>
  <c r="D12742" i="2"/>
  <c r="B12742" i="2"/>
  <c r="A12742" i="2"/>
  <c r="O12741" i="2"/>
  <c r="O12740" i="2"/>
  <c r="M12740" i="2"/>
  <c r="L12740" i="2"/>
  <c r="E12740" i="2"/>
  <c r="D12740" i="2"/>
  <c r="B12740" i="2"/>
  <c r="A12740" i="2"/>
  <c r="O12739" i="2"/>
  <c r="O12738" i="2"/>
  <c r="M12738" i="2"/>
  <c r="L12738" i="2"/>
  <c r="E12738" i="2"/>
  <c r="D12738" i="2"/>
  <c r="B12738" i="2"/>
  <c r="A12738" i="2"/>
  <c r="O12737" i="2"/>
  <c r="M12737" i="2"/>
  <c r="L12737" i="2"/>
  <c r="E12737" i="2"/>
  <c r="D12737" i="2"/>
  <c r="B12737" i="2"/>
  <c r="A12737" i="2"/>
  <c r="O12736" i="2"/>
  <c r="M12736" i="2"/>
  <c r="L12736" i="2"/>
  <c r="E12736" i="2"/>
  <c r="D12736" i="2"/>
  <c r="B12736" i="2"/>
  <c r="A12736" i="2"/>
  <c r="O12735" i="2"/>
  <c r="M12735" i="2"/>
  <c r="L12735" i="2"/>
  <c r="E12735" i="2"/>
  <c r="D12735" i="2"/>
  <c r="B12735" i="2"/>
  <c r="A12735" i="2"/>
  <c r="O12734" i="2"/>
  <c r="M12734" i="2"/>
  <c r="L12734" i="2"/>
  <c r="E12734" i="2"/>
  <c r="D12734" i="2"/>
  <c r="B12734" i="2"/>
  <c r="A12734" i="2"/>
  <c r="O12733" i="2"/>
  <c r="O12732" i="2"/>
  <c r="O12731" i="2"/>
  <c r="O12730" i="2"/>
  <c r="O12729" i="2"/>
  <c r="O12728" i="2"/>
  <c r="O12727" i="2"/>
  <c r="O12726" i="2"/>
  <c r="O12725" i="2"/>
  <c r="O12724" i="2"/>
  <c r="M12724" i="2"/>
  <c r="L12724" i="2"/>
  <c r="E12724" i="2"/>
  <c r="D12724" i="2"/>
  <c r="B12724" i="2"/>
  <c r="A12724" i="2"/>
  <c r="O12723" i="2"/>
  <c r="M12723" i="2"/>
  <c r="L12723" i="2"/>
  <c r="E12723" i="2"/>
  <c r="D12723" i="2"/>
  <c r="B12723" i="2"/>
  <c r="A12723" i="2"/>
  <c r="O12722" i="2"/>
  <c r="M12722" i="2"/>
  <c r="L12722" i="2"/>
  <c r="E12722" i="2"/>
  <c r="D12722" i="2"/>
  <c r="B12722" i="2"/>
  <c r="A12722" i="2"/>
  <c r="O12721" i="2"/>
  <c r="M12721" i="2"/>
  <c r="L12721" i="2"/>
  <c r="E12721" i="2"/>
  <c r="D12721" i="2"/>
  <c r="B12721" i="2"/>
  <c r="A12721" i="2"/>
  <c r="O12720" i="2"/>
  <c r="O12719" i="2"/>
  <c r="O12718" i="2"/>
  <c r="O12717" i="2"/>
  <c r="M12717" i="2"/>
  <c r="L12717" i="2"/>
  <c r="E12717" i="2"/>
  <c r="D12717" i="2"/>
  <c r="B12717" i="2"/>
  <c r="A12717" i="2"/>
  <c r="O12716" i="2"/>
  <c r="O12715" i="2"/>
  <c r="M12715" i="2"/>
  <c r="L12715" i="2"/>
  <c r="E12715" i="2"/>
  <c r="D12715" i="2"/>
  <c r="B12715" i="2"/>
  <c r="A12715" i="2"/>
  <c r="O12714" i="2"/>
  <c r="M12714" i="2"/>
  <c r="L12714" i="2"/>
  <c r="E12714" i="2"/>
  <c r="D12714" i="2"/>
  <c r="B12714" i="2"/>
  <c r="A12714" i="2"/>
  <c r="O12713" i="2"/>
  <c r="O12712" i="2"/>
  <c r="M12712" i="2"/>
  <c r="L12712" i="2"/>
  <c r="E12712" i="2"/>
  <c r="D12712" i="2"/>
  <c r="B12712" i="2"/>
  <c r="A12712" i="2"/>
  <c r="O12711" i="2"/>
  <c r="O12710" i="2"/>
  <c r="M12710" i="2"/>
  <c r="L12710" i="2"/>
  <c r="E12710" i="2"/>
  <c r="D12710" i="2"/>
  <c r="B12710" i="2"/>
  <c r="A12710" i="2"/>
  <c r="O12709" i="2"/>
  <c r="O12708" i="2"/>
  <c r="M12708" i="2"/>
  <c r="L12708" i="2"/>
  <c r="E12708" i="2"/>
  <c r="D12708" i="2"/>
  <c r="B12708" i="2"/>
  <c r="A12708" i="2"/>
  <c r="O12707" i="2"/>
  <c r="M12707" i="2"/>
  <c r="L12707" i="2"/>
  <c r="E12707" i="2"/>
  <c r="D12707" i="2"/>
  <c r="B12707" i="2"/>
  <c r="A12707" i="2"/>
  <c r="O12706" i="2"/>
  <c r="M12706" i="2"/>
  <c r="L12706" i="2"/>
  <c r="E12706" i="2"/>
  <c r="D12706" i="2"/>
  <c r="B12706" i="2"/>
  <c r="A12706" i="2"/>
  <c r="O12705" i="2"/>
  <c r="O12704" i="2"/>
  <c r="O12703" i="2"/>
  <c r="O12702" i="2"/>
  <c r="M12702" i="2"/>
  <c r="L12702" i="2"/>
  <c r="E12702" i="2"/>
  <c r="D12702" i="2"/>
  <c r="B12702" i="2"/>
  <c r="A12702" i="2"/>
  <c r="O12701" i="2"/>
  <c r="O12700" i="2"/>
  <c r="M12700" i="2"/>
  <c r="L12700" i="2"/>
  <c r="E12700" i="2"/>
  <c r="D12700" i="2"/>
  <c r="B12700" i="2"/>
  <c r="A12700" i="2"/>
  <c r="O12699" i="2"/>
  <c r="O12698" i="2"/>
  <c r="M12698" i="2"/>
  <c r="L12698" i="2"/>
  <c r="E12698" i="2"/>
  <c r="D12698" i="2"/>
  <c r="B12698" i="2"/>
  <c r="A12698" i="2"/>
  <c r="O12697" i="2"/>
  <c r="O12696" i="2"/>
  <c r="O12695" i="2"/>
  <c r="M12695" i="2"/>
  <c r="L12695" i="2"/>
  <c r="E12695" i="2"/>
  <c r="D12695" i="2"/>
  <c r="B12695" i="2"/>
  <c r="A12695" i="2"/>
  <c r="O12694" i="2"/>
  <c r="O12693" i="2"/>
  <c r="M12693" i="2"/>
  <c r="L12693" i="2"/>
  <c r="E12693" i="2"/>
  <c r="D12693" i="2"/>
  <c r="B12693" i="2"/>
  <c r="A12693" i="2"/>
  <c r="O12692" i="2"/>
  <c r="O12691" i="2"/>
  <c r="M12691" i="2"/>
  <c r="L12691" i="2"/>
  <c r="E12691" i="2"/>
  <c r="D12691" i="2"/>
  <c r="B12691" i="2"/>
  <c r="A12691" i="2"/>
  <c r="O12690" i="2"/>
  <c r="O12689" i="2"/>
  <c r="M12689" i="2"/>
  <c r="L12689" i="2"/>
  <c r="E12689" i="2"/>
  <c r="D12689" i="2"/>
  <c r="B12689" i="2"/>
  <c r="A12689" i="2"/>
  <c r="O12688" i="2"/>
  <c r="O12687" i="2"/>
  <c r="O12686" i="2"/>
  <c r="O12685" i="2"/>
  <c r="O12684" i="2"/>
  <c r="M12684" i="2"/>
  <c r="L12684" i="2"/>
  <c r="E12684" i="2"/>
  <c r="D12684" i="2"/>
  <c r="B12684" i="2"/>
  <c r="A12684" i="2"/>
  <c r="O12683" i="2"/>
  <c r="M12683" i="2"/>
  <c r="L12683" i="2"/>
  <c r="E12683" i="2"/>
  <c r="D12683" i="2"/>
  <c r="B12683" i="2"/>
  <c r="A12683" i="2"/>
  <c r="O12682" i="2"/>
  <c r="O12681" i="2"/>
  <c r="M12681" i="2"/>
  <c r="L12681" i="2"/>
  <c r="E12681" i="2"/>
  <c r="D12681" i="2"/>
  <c r="B12681" i="2"/>
  <c r="A12681" i="2"/>
  <c r="O12680" i="2"/>
  <c r="O12679" i="2"/>
  <c r="M12679" i="2"/>
  <c r="L12679" i="2"/>
  <c r="E12679" i="2"/>
  <c r="D12679" i="2"/>
  <c r="B12679" i="2"/>
  <c r="A12679" i="2"/>
  <c r="O12678" i="2"/>
  <c r="M12678" i="2"/>
  <c r="L12678" i="2"/>
  <c r="E12678" i="2"/>
  <c r="D12678" i="2"/>
  <c r="B12678" i="2"/>
  <c r="A12678" i="2"/>
  <c r="O12677" i="2"/>
  <c r="O12676" i="2"/>
  <c r="M12676" i="2"/>
  <c r="L12676" i="2"/>
  <c r="E12676" i="2"/>
  <c r="D12676" i="2"/>
  <c r="B12676" i="2"/>
  <c r="A12676" i="2"/>
  <c r="O12675" i="2"/>
  <c r="M12675" i="2"/>
  <c r="L12675" i="2"/>
  <c r="E12675" i="2"/>
  <c r="D12675" i="2"/>
  <c r="B12675" i="2"/>
  <c r="A12675" i="2"/>
  <c r="O12674" i="2"/>
  <c r="O12673" i="2"/>
  <c r="O12672" i="2"/>
  <c r="O12671" i="2"/>
  <c r="O12670" i="2"/>
  <c r="O12669" i="2"/>
  <c r="M12669" i="2"/>
  <c r="L12669" i="2"/>
  <c r="E12669" i="2"/>
  <c r="D12669" i="2"/>
  <c r="B12669" i="2"/>
  <c r="A12669" i="2"/>
  <c r="O12668" i="2"/>
  <c r="M12668" i="2"/>
  <c r="L12668" i="2"/>
  <c r="E12668" i="2"/>
  <c r="D12668" i="2"/>
  <c r="B12668" i="2"/>
  <c r="A12668" i="2"/>
  <c r="O12667" i="2"/>
  <c r="O12666" i="2"/>
  <c r="M12666" i="2"/>
  <c r="L12666" i="2"/>
  <c r="E12666" i="2"/>
  <c r="D12666" i="2"/>
  <c r="B12666" i="2"/>
  <c r="A12666" i="2"/>
  <c r="O12665" i="2"/>
  <c r="M12665" i="2"/>
  <c r="L12665" i="2"/>
  <c r="E12665" i="2"/>
  <c r="D12665" i="2"/>
  <c r="B12665" i="2"/>
  <c r="A12665" i="2"/>
  <c r="O12664" i="2"/>
  <c r="O12663" i="2"/>
  <c r="M12663" i="2"/>
  <c r="L12663" i="2"/>
  <c r="E12663" i="2"/>
  <c r="D12663" i="2"/>
  <c r="B12663" i="2"/>
  <c r="A12663" i="2"/>
  <c r="O12662" i="2"/>
  <c r="M12662" i="2"/>
  <c r="L12662" i="2"/>
  <c r="E12662" i="2"/>
  <c r="D12662" i="2"/>
  <c r="B12662" i="2"/>
  <c r="A12662" i="2"/>
  <c r="O12661" i="2"/>
  <c r="O12660" i="2"/>
  <c r="O12659" i="2"/>
  <c r="O12658" i="2"/>
  <c r="O12657" i="2"/>
  <c r="O12656" i="2"/>
  <c r="O12655" i="2"/>
  <c r="M12655" i="2"/>
  <c r="L12655" i="2"/>
  <c r="E12655" i="2"/>
  <c r="D12655" i="2"/>
  <c r="B12655" i="2"/>
  <c r="A12655" i="2"/>
  <c r="O12654" i="2"/>
  <c r="O12653" i="2"/>
  <c r="M12653" i="2"/>
  <c r="L12653" i="2"/>
  <c r="E12653" i="2"/>
  <c r="D12653" i="2"/>
  <c r="B12653" i="2"/>
  <c r="A12653" i="2"/>
  <c r="O12652" i="2"/>
  <c r="O12651" i="2"/>
  <c r="O12650" i="2"/>
  <c r="O12649" i="2"/>
  <c r="O12648" i="2"/>
  <c r="M12648" i="2"/>
  <c r="L12648" i="2"/>
  <c r="E12648" i="2"/>
  <c r="D12648" i="2"/>
  <c r="B12648" i="2"/>
  <c r="A12648" i="2"/>
  <c r="O12647" i="2"/>
  <c r="M12647" i="2"/>
  <c r="L12647" i="2"/>
  <c r="E12647" i="2"/>
  <c r="D12647" i="2"/>
  <c r="B12647" i="2"/>
  <c r="A12647" i="2"/>
  <c r="O12646" i="2"/>
  <c r="M12646" i="2"/>
  <c r="L12646" i="2"/>
  <c r="E12646" i="2"/>
  <c r="D12646" i="2"/>
  <c r="B12646" i="2"/>
  <c r="A12646" i="2"/>
  <c r="O12645" i="2"/>
  <c r="M12645" i="2"/>
  <c r="L12645" i="2"/>
  <c r="E12645" i="2"/>
  <c r="D12645" i="2"/>
  <c r="B12645" i="2"/>
  <c r="A12645" i="2"/>
  <c r="O12644" i="2"/>
  <c r="M12644" i="2"/>
  <c r="L12644" i="2"/>
  <c r="E12644" i="2"/>
  <c r="D12644" i="2"/>
  <c r="B12644" i="2"/>
  <c r="A12644" i="2"/>
  <c r="O12643" i="2"/>
  <c r="M12643" i="2"/>
  <c r="L12643" i="2"/>
  <c r="E12643" i="2"/>
  <c r="D12643" i="2"/>
  <c r="B12643" i="2"/>
  <c r="A12643" i="2"/>
  <c r="O12642" i="2"/>
  <c r="O12641" i="2"/>
  <c r="M12641" i="2"/>
  <c r="L12641" i="2"/>
  <c r="E12641" i="2"/>
  <c r="D12641" i="2"/>
  <c r="B12641" i="2"/>
  <c r="A12641" i="2"/>
  <c r="O12640" i="2"/>
  <c r="O12639" i="2"/>
  <c r="M12639" i="2"/>
  <c r="L12639" i="2"/>
  <c r="E12639" i="2"/>
  <c r="D12639" i="2"/>
  <c r="B12639" i="2"/>
  <c r="A12639" i="2"/>
  <c r="O12638" i="2"/>
  <c r="M12638" i="2"/>
  <c r="L12638" i="2"/>
  <c r="E12638" i="2"/>
  <c r="D12638" i="2"/>
  <c r="B12638" i="2"/>
  <c r="A12638" i="2"/>
  <c r="O12637" i="2"/>
  <c r="O12636" i="2"/>
  <c r="M12636" i="2"/>
  <c r="L12636" i="2"/>
  <c r="E12636" i="2"/>
  <c r="D12636" i="2"/>
  <c r="B12636" i="2"/>
  <c r="A12636" i="2"/>
  <c r="O12635" i="2"/>
  <c r="O12634" i="2"/>
  <c r="M12634" i="2"/>
  <c r="L12634" i="2"/>
  <c r="E12634" i="2"/>
  <c r="D12634" i="2"/>
  <c r="B12634" i="2"/>
  <c r="A12634" i="2"/>
  <c r="O12633" i="2"/>
  <c r="M12633" i="2"/>
  <c r="L12633" i="2"/>
  <c r="E12633" i="2"/>
  <c r="D12633" i="2"/>
  <c r="B12633" i="2"/>
  <c r="A12633" i="2"/>
  <c r="O12632" i="2"/>
  <c r="M12632" i="2"/>
  <c r="L12632" i="2"/>
  <c r="E12632" i="2"/>
  <c r="D12632" i="2"/>
  <c r="B12632" i="2"/>
  <c r="A12632" i="2"/>
  <c r="O12631" i="2"/>
  <c r="O12630" i="2"/>
  <c r="M12630" i="2"/>
  <c r="L12630" i="2"/>
  <c r="E12630" i="2"/>
  <c r="D12630" i="2"/>
  <c r="B12630" i="2"/>
  <c r="A12630" i="2"/>
  <c r="O12629" i="2"/>
  <c r="M12629" i="2"/>
  <c r="L12629" i="2"/>
  <c r="E12629" i="2"/>
  <c r="D12629" i="2"/>
  <c r="B12629" i="2"/>
  <c r="A12629" i="2"/>
  <c r="O12628" i="2"/>
  <c r="M12628" i="2"/>
  <c r="L12628" i="2"/>
  <c r="E12628" i="2"/>
  <c r="D12628" i="2"/>
  <c r="B12628" i="2"/>
  <c r="A12628" i="2"/>
  <c r="O12627" i="2"/>
  <c r="O12626" i="2"/>
  <c r="M12626" i="2"/>
  <c r="L12626" i="2"/>
  <c r="E12626" i="2"/>
  <c r="D12626" i="2"/>
  <c r="B12626" i="2"/>
  <c r="A12626" i="2"/>
  <c r="O12625" i="2"/>
  <c r="O12624" i="2"/>
  <c r="O12623" i="2"/>
  <c r="M12623" i="2"/>
  <c r="L12623" i="2"/>
  <c r="E12623" i="2"/>
  <c r="D12623" i="2"/>
  <c r="B12623" i="2"/>
  <c r="A12623" i="2"/>
  <c r="O12622" i="2"/>
  <c r="O12621" i="2"/>
  <c r="M12621" i="2"/>
  <c r="L12621" i="2"/>
  <c r="E12621" i="2"/>
  <c r="D12621" i="2"/>
  <c r="B12621" i="2"/>
  <c r="A12621" i="2"/>
  <c r="O12620" i="2"/>
  <c r="M12620" i="2"/>
  <c r="L12620" i="2"/>
  <c r="E12620" i="2"/>
  <c r="D12620" i="2"/>
  <c r="B12620" i="2"/>
  <c r="A12620" i="2"/>
  <c r="O12619" i="2"/>
  <c r="M12619" i="2"/>
  <c r="L12619" i="2"/>
  <c r="E12619" i="2"/>
  <c r="D12619" i="2"/>
  <c r="B12619" i="2"/>
  <c r="A12619" i="2"/>
  <c r="O12618" i="2"/>
  <c r="M12618" i="2"/>
  <c r="L12618" i="2"/>
  <c r="E12618" i="2"/>
  <c r="D12618" i="2"/>
  <c r="B12618" i="2"/>
  <c r="A12618" i="2"/>
  <c r="O12617" i="2"/>
  <c r="M12617" i="2"/>
  <c r="L12617" i="2"/>
  <c r="E12617" i="2"/>
  <c r="D12617" i="2"/>
  <c r="B12617" i="2"/>
  <c r="A12617" i="2"/>
  <c r="O12616" i="2"/>
  <c r="O12615" i="2"/>
  <c r="M12615" i="2"/>
  <c r="L12615" i="2"/>
  <c r="E12615" i="2"/>
  <c r="D12615" i="2"/>
  <c r="B12615" i="2"/>
  <c r="A12615" i="2"/>
  <c r="O12614" i="2"/>
  <c r="M12614" i="2"/>
  <c r="L12614" i="2"/>
  <c r="E12614" i="2"/>
  <c r="D12614" i="2"/>
  <c r="B12614" i="2"/>
  <c r="A12614" i="2"/>
  <c r="O12613" i="2"/>
  <c r="O12612" i="2"/>
  <c r="O12611" i="2"/>
  <c r="M12611" i="2"/>
  <c r="L12611" i="2"/>
  <c r="E12611" i="2"/>
  <c r="D12611" i="2"/>
  <c r="B12611" i="2"/>
  <c r="A12611" i="2"/>
  <c r="O12610" i="2"/>
  <c r="M12610" i="2"/>
  <c r="L12610" i="2"/>
  <c r="E12610" i="2"/>
  <c r="D12610" i="2"/>
  <c r="B12610" i="2"/>
  <c r="A12610" i="2"/>
  <c r="O12609" i="2"/>
  <c r="O12608" i="2"/>
  <c r="M12608" i="2"/>
  <c r="L12608" i="2"/>
  <c r="E12608" i="2"/>
  <c r="D12608" i="2"/>
  <c r="B12608" i="2"/>
  <c r="A12608" i="2"/>
  <c r="O12607" i="2"/>
  <c r="M12607" i="2"/>
  <c r="L12607" i="2"/>
  <c r="E12607" i="2"/>
  <c r="D12607" i="2"/>
  <c r="B12607" i="2"/>
  <c r="A12607" i="2"/>
  <c r="O12606" i="2"/>
  <c r="O12605" i="2"/>
  <c r="M12605" i="2"/>
  <c r="L12605" i="2"/>
  <c r="E12605" i="2"/>
  <c r="D12605" i="2"/>
  <c r="B12605" i="2"/>
  <c r="A12605" i="2"/>
  <c r="O12604" i="2"/>
  <c r="O12603" i="2"/>
  <c r="M12603" i="2"/>
  <c r="L12603" i="2"/>
  <c r="E12603" i="2"/>
  <c r="D12603" i="2"/>
  <c r="B12603" i="2"/>
  <c r="A12603" i="2"/>
  <c r="O12602" i="2"/>
  <c r="O12601" i="2"/>
  <c r="M12601" i="2"/>
  <c r="L12601" i="2"/>
  <c r="E12601" i="2"/>
  <c r="D12601" i="2"/>
  <c r="B12601" i="2"/>
  <c r="A12601" i="2"/>
  <c r="O12600" i="2"/>
  <c r="O12599" i="2"/>
  <c r="M12599" i="2"/>
  <c r="L12599" i="2"/>
  <c r="E12599" i="2"/>
  <c r="D12599" i="2"/>
  <c r="B12599" i="2"/>
  <c r="A12599" i="2"/>
  <c r="O12598" i="2"/>
  <c r="M12598" i="2"/>
  <c r="L12598" i="2"/>
  <c r="E12598" i="2"/>
  <c r="D12598" i="2"/>
  <c r="B12598" i="2"/>
  <c r="A12598" i="2"/>
  <c r="O12597" i="2"/>
  <c r="O12596" i="2"/>
  <c r="O12595" i="2"/>
  <c r="M12595" i="2"/>
  <c r="L12595" i="2"/>
  <c r="E12595" i="2"/>
  <c r="D12595" i="2"/>
  <c r="B12595" i="2"/>
  <c r="A12595" i="2"/>
  <c r="O12594" i="2"/>
  <c r="O12593" i="2"/>
  <c r="O12592" i="2"/>
  <c r="M12592" i="2"/>
  <c r="L12592" i="2"/>
  <c r="E12592" i="2"/>
  <c r="D12592" i="2"/>
  <c r="B12592" i="2"/>
  <c r="A12592" i="2"/>
  <c r="O12591" i="2"/>
  <c r="O12590" i="2"/>
  <c r="M12590" i="2"/>
  <c r="L12590" i="2"/>
  <c r="E12590" i="2"/>
  <c r="D12590" i="2"/>
  <c r="B12590" i="2"/>
  <c r="A12590" i="2"/>
  <c r="O12589" i="2"/>
  <c r="M12589" i="2"/>
  <c r="L12589" i="2"/>
  <c r="E12589" i="2"/>
  <c r="D12589" i="2"/>
  <c r="B12589" i="2"/>
  <c r="A12589" i="2"/>
  <c r="O12588" i="2"/>
  <c r="M12588" i="2"/>
  <c r="L12588" i="2"/>
  <c r="E12588" i="2"/>
  <c r="D12588" i="2"/>
  <c r="B12588" i="2"/>
  <c r="A12588" i="2"/>
  <c r="O12587" i="2"/>
  <c r="M12587" i="2"/>
  <c r="L12587" i="2"/>
  <c r="E12587" i="2"/>
  <c r="D12587" i="2"/>
  <c r="B12587" i="2"/>
  <c r="A12587" i="2"/>
  <c r="O12586" i="2"/>
  <c r="O12585" i="2"/>
  <c r="M12585" i="2"/>
  <c r="L12585" i="2"/>
  <c r="E12585" i="2"/>
  <c r="D12585" i="2"/>
  <c r="B12585" i="2"/>
  <c r="A12585" i="2"/>
  <c r="O12584" i="2"/>
  <c r="O12583" i="2"/>
  <c r="M12583" i="2"/>
  <c r="L12583" i="2"/>
  <c r="E12583" i="2"/>
  <c r="D12583" i="2"/>
  <c r="B12583" i="2"/>
  <c r="A12583" i="2"/>
  <c r="O12582" i="2"/>
  <c r="M12582" i="2"/>
  <c r="L12582" i="2"/>
  <c r="E12582" i="2"/>
  <c r="D12582" i="2"/>
  <c r="B12582" i="2"/>
  <c r="A12582" i="2"/>
  <c r="O12581" i="2"/>
  <c r="M12581" i="2"/>
  <c r="L12581" i="2"/>
  <c r="E12581" i="2"/>
  <c r="D12581" i="2"/>
  <c r="B12581" i="2"/>
  <c r="A12581" i="2"/>
  <c r="O12580" i="2"/>
  <c r="M12580" i="2"/>
  <c r="L12580" i="2"/>
  <c r="E12580" i="2"/>
  <c r="D12580" i="2"/>
  <c r="B12580" i="2"/>
  <c r="A12580" i="2"/>
  <c r="O12579" i="2"/>
  <c r="M12579" i="2"/>
  <c r="L12579" i="2"/>
  <c r="E12579" i="2"/>
  <c r="D12579" i="2"/>
  <c r="B12579" i="2"/>
  <c r="A12579" i="2"/>
  <c r="O12578" i="2"/>
  <c r="O12577" i="2"/>
  <c r="M12577" i="2"/>
  <c r="L12577" i="2"/>
  <c r="E12577" i="2"/>
  <c r="D12577" i="2"/>
  <c r="B12577" i="2"/>
  <c r="A12577" i="2"/>
  <c r="O12576" i="2"/>
  <c r="M12576" i="2"/>
  <c r="L12576" i="2"/>
  <c r="E12576" i="2"/>
  <c r="D12576" i="2"/>
  <c r="B12576" i="2"/>
  <c r="A12576" i="2"/>
  <c r="O12575" i="2"/>
  <c r="M12575" i="2"/>
  <c r="L12575" i="2"/>
  <c r="E12575" i="2"/>
  <c r="D12575" i="2"/>
  <c r="B12575" i="2"/>
  <c r="A12575" i="2"/>
  <c r="O12574" i="2"/>
  <c r="O12573" i="2"/>
  <c r="O12572" i="2"/>
  <c r="M12572" i="2"/>
  <c r="L12572" i="2"/>
  <c r="E12572" i="2"/>
  <c r="D12572" i="2"/>
  <c r="B12572" i="2"/>
  <c r="A12572" i="2"/>
  <c r="O12571" i="2"/>
  <c r="O12570" i="2"/>
  <c r="M12570" i="2"/>
  <c r="L12570" i="2"/>
  <c r="E12570" i="2"/>
  <c r="D12570" i="2"/>
  <c r="B12570" i="2"/>
  <c r="A12570" i="2"/>
  <c r="O12569" i="2"/>
  <c r="O12568" i="2"/>
  <c r="O12567" i="2"/>
  <c r="O12566" i="2"/>
  <c r="M12566" i="2"/>
  <c r="L12566" i="2"/>
  <c r="E12566" i="2"/>
  <c r="D12566" i="2"/>
  <c r="B12566" i="2"/>
  <c r="A12566" i="2"/>
  <c r="O12565" i="2"/>
  <c r="O12564" i="2"/>
  <c r="O12563" i="2"/>
  <c r="O12562" i="2"/>
  <c r="O12561" i="2"/>
  <c r="O12560" i="2"/>
  <c r="O12559" i="2"/>
  <c r="O12558" i="2"/>
  <c r="M12558" i="2"/>
  <c r="L12558" i="2"/>
  <c r="E12558" i="2"/>
  <c r="D12558" i="2"/>
  <c r="B12558" i="2"/>
  <c r="A12558" i="2"/>
  <c r="O12557" i="2"/>
  <c r="M12557" i="2"/>
  <c r="L12557" i="2"/>
  <c r="E12557" i="2"/>
  <c r="D12557" i="2"/>
  <c r="B12557" i="2"/>
  <c r="A12557" i="2"/>
  <c r="O12556" i="2"/>
  <c r="O12555" i="2"/>
  <c r="M12555" i="2"/>
  <c r="L12555" i="2"/>
  <c r="E12555" i="2"/>
  <c r="D12555" i="2"/>
  <c r="B12555" i="2"/>
  <c r="A12555" i="2"/>
  <c r="O12554" i="2"/>
  <c r="M12554" i="2"/>
  <c r="L12554" i="2"/>
  <c r="E12554" i="2"/>
  <c r="D12554" i="2"/>
  <c r="B12554" i="2"/>
  <c r="A12554" i="2"/>
  <c r="O12553" i="2"/>
  <c r="O12552" i="2"/>
  <c r="O12551" i="2"/>
  <c r="O12550" i="2"/>
  <c r="O12549" i="2"/>
  <c r="M12549" i="2"/>
  <c r="L12549" i="2"/>
  <c r="E12549" i="2"/>
  <c r="D12549" i="2"/>
  <c r="B12549" i="2"/>
  <c r="A12549" i="2"/>
  <c r="O12548" i="2"/>
  <c r="M12548" i="2"/>
  <c r="L12548" i="2"/>
  <c r="E12548" i="2"/>
  <c r="D12548" i="2"/>
  <c r="B12548" i="2"/>
  <c r="A12548" i="2"/>
  <c r="O12547" i="2"/>
  <c r="O12546" i="2"/>
  <c r="O12545" i="2"/>
  <c r="M12545" i="2"/>
  <c r="L12545" i="2"/>
  <c r="E12545" i="2"/>
  <c r="D12545" i="2"/>
  <c r="B12545" i="2"/>
  <c r="A12545" i="2"/>
  <c r="O12544" i="2"/>
  <c r="O12543" i="2"/>
  <c r="O12542" i="2"/>
  <c r="M12542" i="2"/>
  <c r="L12542" i="2"/>
  <c r="E12542" i="2"/>
  <c r="D12542" i="2"/>
  <c r="B12542" i="2"/>
  <c r="A12542" i="2"/>
  <c r="O12541" i="2"/>
  <c r="M12541" i="2"/>
  <c r="L12541" i="2"/>
  <c r="E12541" i="2"/>
  <c r="D12541" i="2"/>
  <c r="B12541" i="2"/>
  <c r="A12541" i="2"/>
  <c r="O12540" i="2"/>
  <c r="O12539" i="2"/>
  <c r="M12539" i="2"/>
  <c r="L12539" i="2"/>
  <c r="E12539" i="2"/>
  <c r="D12539" i="2"/>
  <c r="B12539" i="2"/>
  <c r="A12539" i="2"/>
  <c r="O12538" i="2"/>
  <c r="M12538" i="2"/>
  <c r="L12538" i="2"/>
  <c r="E12538" i="2"/>
  <c r="D12538" i="2"/>
  <c r="B12538" i="2"/>
  <c r="A12538" i="2"/>
  <c r="O12537" i="2"/>
  <c r="O12536" i="2"/>
  <c r="O12535" i="2"/>
  <c r="O12534" i="2"/>
  <c r="O12533" i="2"/>
  <c r="O12532" i="2"/>
  <c r="O12531" i="2"/>
  <c r="O12530" i="2"/>
  <c r="O12529" i="2"/>
  <c r="O12528" i="2"/>
  <c r="O12527" i="2"/>
  <c r="O12526" i="2"/>
  <c r="O12525" i="2"/>
  <c r="O12524" i="2"/>
  <c r="O12523" i="2"/>
  <c r="O12522" i="2"/>
  <c r="O12521" i="2"/>
  <c r="O12520" i="2"/>
  <c r="O12519" i="2"/>
  <c r="O12518" i="2"/>
  <c r="O12517" i="2"/>
  <c r="O12516" i="2"/>
  <c r="O12515" i="2"/>
  <c r="O12514" i="2"/>
  <c r="O12513" i="2"/>
  <c r="M12513" i="2"/>
  <c r="L12513" i="2"/>
  <c r="E12513" i="2"/>
  <c r="D12513" i="2"/>
  <c r="B12513" i="2"/>
  <c r="A12513" i="2"/>
  <c r="O12512" i="2"/>
  <c r="O12511" i="2"/>
  <c r="O12510" i="2"/>
  <c r="O12509" i="2"/>
  <c r="M12509" i="2"/>
  <c r="L12509" i="2"/>
  <c r="E12509" i="2"/>
  <c r="D12509" i="2"/>
  <c r="B12509" i="2"/>
  <c r="A12509" i="2"/>
  <c r="O12508" i="2"/>
  <c r="M12508" i="2"/>
  <c r="L12508" i="2"/>
  <c r="E12508" i="2"/>
  <c r="D12508" i="2"/>
  <c r="B12508" i="2"/>
  <c r="A12508" i="2"/>
  <c r="O12507" i="2"/>
  <c r="M12507" i="2"/>
  <c r="L12507" i="2"/>
  <c r="E12507" i="2"/>
  <c r="D12507" i="2"/>
  <c r="B12507" i="2"/>
  <c r="A12507" i="2"/>
  <c r="O12506" i="2"/>
  <c r="M12506" i="2"/>
  <c r="L12506" i="2"/>
  <c r="E12506" i="2"/>
  <c r="D12506" i="2"/>
  <c r="B12506" i="2"/>
  <c r="A12506" i="2"/>
  <c r="O12505" i="2"/>
  <c r="M12505" i="2"/>
  <c r="L12505" i="2"/>
  <c r="E12505" i="2"/>
  <c r="D12505" i="2"/>
  <c r="B12505" i="2"/>
  <c r="A12505" i="2"/>
  <c r="O12504" i="2"/>
  <c r="M12504" i="2"/>
  <c r="L12504" i="2"/>
  <c r="E12504" i="2"/>
  <c r="D12504" i="2"/>
  <c r="B12504" i="2"/>
  <c r="A12504" i="2"/>
  <c r="O12503" i="2"/>
  <c r="M12503" i="2"/>
  <c r="L12503" i="2"/>
  <c r="E12503" i="2"/>
  <c r="D12503" i="2"/>
  <c r="B12503" i="2"/>
  <c r="A12503" i="2"/>
  <c r="O12502" i="2"/>
  <c r="O12501" i="2"/>
  <c r="M12501" i="2"/>
  <c r="L12501" i="2"/>
  <c r="E12501" i="2"/>
  <c r="D12501" i="2"/>
  <c r="B12501" i="2"/>
  <c r="A12501" i="2"/>
  <c r="O12500" i="2"/>
  <c r="M12500" i="2"/>
  <c r="L12500" i="2"/>
  <c r="E12500" i="2"/>
  <c r="D12500" i="2"/>
  <c r="B12500" i="2"/>
  <c r="A12500" i="2"/>
  <c r="O12499" i="2"/>
  <c r="M12499" i="2"/>
  <c r="L12499" i="2"/>
  <c r="E12499" i="2"/>
  <c r="D12499" i="2"/>
  <c r="B12499" i="2"/>
  <c r="A12499" i="2"/>
  <c r="O12498" i="2"/>
  <c r="M12498" i="2"/>
  <c r="L12498" i="2"/>
  <c r="E12498" i="2"/>
  <c r="D12498" i="2"/>
  <c r="B12498" i="2"/>
  <c r="A12498" i="2"/>
  <c r="O12497" i="2"/>
  <c r="O12496" i="2"/>
  <c r="M12496" i="2"/>
  <c r="L12496" i="2"/>
  <c r="E12496" i="2"/>
  <c r="D12496" i="2"/>
  <c r="B12496" i="2"/>
  <c r="A12496" i="2"/>
  <c r="O12495" i="2"/>
  <c r="M12495" i="2"/>
  <c r="L12495" i="2"/>
  <c r="E12495" i="2"/>
  <c r="D12495" i="2"/>
  <c r="B12495" i="2"/>
  <c r="A12495" i="2"/>
  <c r="O12494" i="2"/>
  <c r="M12494" i="2"/>
  <c r="L12494" i="2"/>
  <c r="E12494" i="2"/>
  <c r="D12494" i="2"/>
  <c r="B12494" i="2"/>
  <c r="A12494" i="2"/>
  <c r="O12493" i="2"/>
  <c r="M12493" i="2"/>
  <c r="L12493" i="2"/>
  <c r="E12493" i="2"/>
  <c r="D12493" i="2"/>
  <c r="B12493" i="2"/>
  <c r="A12493" i="2"/>
  <c r="O12492" i="2"/>
  <c r="M12492" i="2"/>
  <c r="L12492" i="2"/>
  <c r="E12492" i="2"/>
  <c r="D12492" i="2"/>
  <c r="B12492" i="2"/>
  <c r="A12492" i="2"/>
  <c r="O12491" i="2"/>
  <c r="M12491" i="2"/>
  <c r="L12491" i="2"/>
  <c r="E12491" i="2"/>
  <c r="D12491" i="2"/>
  <c r="B12491" i="2"/>
  <c r="A12491" i="2"/>
  <c r="O12490" i="2"/>
  <c r="M12490" i="2"/>
  <c r="L12490" i="2"/>
  <c r="E12490" i="2"/>
  <c r="D12490" i="2"/>
  <c r="B12490" i="2"/>
  <c r="A12490" i="2"/>
  <c r="O12489" i="2"/>
  <c r="M12489" i="2"/>
  <c r="L12489" i="2"/>
  <c r="E12489" i="2"/>
  <c r="D12489" i="2"/>
  <c r="B12489" i="2"/>
  <c r="A12489" i="2"/>
  <c r="O12488" i="2"/>
  <c r="M12488" i="2"/>
  <c r="L12488" i="2"/>
  <c r="E12488" i="2"/>
  <c r="D12488" i="2"/>
  <c r="B12488" i="2"/>
  <c r="A12488" i="2"/>
  <c r="O12487" i="2"/>
  <c r="M12487" i="2"/>
  <c r="L12487" i="2"/>
  <c r="E12487" i="2"/>
  <c r="D12487" i="2"/>
  <c r="B12487" i="2"/>
  <c r="A12487" i="2"/>
  <c r="O12486" i="2"/>
  <c r="M12486" i="2"/>
  <c r="L12486" i="2"/>
  <c r="E12486" i="2"/>
  <c r="D12486" i="2"/>
  <c r="B12486" i="2"/>
  <c r="A12486" i="2"/>
  <c r="O12485" i="2"/>
  <c r="M12485" i="2"/>
  <c r="L12485" i="2"/>
  <c r="E12485" i="2"/>
  <c r="D12485" i="2"/>
  <c r="B12485" i="2"/>
  <c r="A12485" i="2"/>
  <c r="O12484" i="2"/>
  <c r="M12484" i="2"/>
  <c r="L12484" i="2"/>
  <c r="E12484" i="2"/>
  <c r="D12484" i="2"/>
  <c r="B12484" i="2"/>
  <c r="A12484" i="2"/>
  <c r="O12483" i="2"/>
  <c r="M12483" i="2"/>
  <c r="L12483" i="2"/>
  <c r="E12483" i="2"/>
  <c r="D12483" i="2"/>
  <c r="B12483" i="2"/>
  <c r="A12483" i="2"/>
  <c r="O12482" i="2"/>
  <c r="M12482" i="2"/>
  <c r="L12482" i="2"/>
  <c r="E12482" i="2"/>
  <c r="D12482" i="2"/>
  <c r="B12482" i="2"/>
  <c r="A12482" i="2"/>
  <c r="O12481" i="2"/>
  <c r="O12480" i="2"/>
  <c r="M12480" i="2"/>
  <c r="L12480" i="2"/>
  <c r="E12480" i="2"/>
  <c r="D12480" i="2"/>
  <c r="B12480" i="2"/>
  <c r="A12480" i="2"/>
  <c r="O12479" i="2"/>
  <c r="M12479" i="2"/>
  <c r="L12479" i="2"/>
  <c r="E12479" i="2"/>
  <c r="D12479" i="2"/>
  <c r="B12479" i="2"/>
  <c r="A12479" i="2"/>
  <c r="O12478" i="2"/>
  <c r="O12477" i="2"/>
  <c r="O12476" i="2"/>
  <c r="O12475" i="2"/>
  <c r="M12475" i="2"/>
  <c r="L12475" i="2"/>
  <c r="E12475" i="2"/>
  <c r="D12475" i="2"/>
  <c r="B12475" i="2"/>
  <c r="A12475" i="2"/>
  <c r="O12474" i="2"/>
  <c r="M12474" i="2"/>
  <c r="L12474" i="2"/>
  <c r="E12474" i="2"/>
  <c r="D12474" i="2"/>
  <c r="B12474" i="2"/>
  <c r="A12474" i="2"/>
  <c r="O12473" i="2"/>
  <c r="M12473" i="2"/>
  <c r="L12473" i="2"/>
  <c r="E12473" i="2"/>
  <c r="D12473" i="2"/>
  <c r="B12473" i="2"/>
  <c r="A12473" i="2"/>
  <c r="O12472" i="2"/>
  <c r="M12472" i="2"/>
  <c r="L12472" i="2"/>
  <c r="E12472" i="2"/>
  <c r="D12472" i="2"/>
  <c r="B12472" i="2"/>
  <c r="A12472" i="2"/>
  <c r="O12471" i="2"/>
  <c r="M12471" i="2"/>
  <c r="L12471" i="2"/>
  <c r="E12471" i="2"/>
  <c r="D12471" i="2"/>
  <c r="B12471" i="2"/>
  <c r="A12471" i="2"/>
  <c r="O12470" i="2"/>
  <c r="M12470" i="2"/>
  <c r="L12470" i="2"/>
  <c r="E12470" i="2"/>
  <c r="D12470" i="2"/>
  <c r="B12470" i="2"/>
  <c r="A12470" i="2"/>
  <c r="O12469" i="2"/>
  <c r="O12468" i="2"/>
  <c r="M12468" i="2"/>
  <c r="L12468" i="2"/>
  <c r="E12468" i="2"/>
  <c r="D12468" i="2"/>
  <c r="B12468" i="2"/>
  <c r="A12468" i="2"/>
  <c r="O12467" i="2"/>
  <c r="M12467" i="2"/>
  <c r="L12467" i="2"/>
  <c r="E12467" i="2"/>
  <c r="D12467" i="2"/>
  <c r="B12467" i="2"/>
  <c r="A12467" i="2"/>
  <c r="O12466" i="2"/>
  <c r="M12466" i="2"/>
  <c r="L12466" i="2"/>
  <c r="E12466" i="2"/>
  <c r="D12466" i="2"/>
  <c r="B12466" i="2"/>
  <c r="A12466" i="2"/>
  <c r="O12465" i="2"/>
  <c r="O12464" i="2"/>
  <c r="M12464" i="2"/>
  <c r="L12464" i="2"/>
  <c r="E12464" i="2"/>
  <c r="D12464" i="2"/>
  <c r="B12464" i="2"/>
  <c r="A12464" i="2"/>
  <c r="O12463" i="2"/>
  <c r="M12463" i="2"/>
  <c r="L12463" i="2"/>
  <c r="E12463" i="2"/>
  <c r="D12463" i="2"/>
  <c r="B12463" i="2"/>
  <c r="A12463" i="2"/>
  <c r="O12462" i="2"/>
  <c r="M12462" i="2"/>
  <c r="L12462" i="2"/>
  <c r="E12462" i="2"/>
  <c r="D12462" i="2"/>
  <c r="B12462" i="2"/>
  <c r="A12462" i="2"/>
  <c r="O12461" i="2"/>
  <c r="O12460" i="2"/>
  <c r="O12459" i="2"/>
  <c r="M12459" i="2"/>
  <c r="L12459" i="2"/>
  <c r="E12459" i="2"/>
  <c r="D12459" i="2"/>
  <c r="B12459" i="2"/>
  <c r="A12459" i="2"/>
  <c r="O12458" i="2"/>
  <c r="O12457" i="2"/>
  <c r="M12457" i="2"/>
  <c r="L12457" i="2"/>
  <c r="E12457" i="2"/>
  <c r="D12457" i="2"/>
  <c r="B12457" i="2"/>
  <c r="A12457" i="2"/>
  <c r="O12456" i="2"/>
  <c r="O12455" i="2"/>
  <c r="O12454" i="2"/>
  <c r="O12453" i="2"/>
  <c r="O12452" i="2"/>
  <c r="M12452" i="2"/>
  <c r="L12452" i="2"/>
  <c r="E12452" i="2"/>
  <c r="D12452" i="2"/>
  <c r="B12452" i="2"/>
  <c r="A12452" i="2"/>
  <c r="O12451" i="2"/>
  <c r="O12450" i="2"/>
  <c r="O12449" i="2"/>
  <c r="M12449" i="2"/>
  <c r="L12449" i="2"/>
  <c r="E12449" i="2"/>
  <c r="D12449" i="2"/>
  <c r="B12449" i="2"/>
  <c r="A12449" i="2"/>
  <c r="O12448" i="2"/>
  <c r="O12447" i="2"/>
  <c r="M12447" i="2"/>
  <c r="L12447" i="2"/>
  <c r="E12447" i="2"/>
  <c r="D12447" i="2"/>
  <c r="B12447" i="2"/>
  <c r="A12447" i="2"/>
  <c r="O12446" i="2"/>
  <c r="M12446" i="2"/>
  <c r="L12446" i="2"/>
  <c r="E12446" i="2"/>
  <c r="D12446" i="2"/>
  <c r="B12446" i="2"/>
  <c r="A12446" i="2"/>
  <c r="O12445" i="2"/>
  <c r="M12445" i="2"/>
  <c r="L12445" i="2"/>
  <c r="E12445" i="2"/>
  <c r="D12445" i="2"/>
  <c r="B12445" i="2"/>
  <c r="A12445" i="2"/>
  <c r="O12444" i="2"/>
  <c r="O12443" i="2"/>
  <c r="M12443" i="2"/>
  <c r="L12443" i="2"/>
  <c r="E12443" i="2"/>
  <c r="D12443" i="2"/>
  <c r="B12443" i="2"/>
  <c r="A12443" i="2"/>
  <c r="O12442" i="2"/>
  <c r="O12441" i="2"/>
  <c r="M12441" i="2"/>
  <c r="L12441" i="2"/>
  <c r="E12441" i="2"/>
  <c r="D12441" i="2"/>
  <c r="B12441" i="2"/>
  <c r="A12441" i="2"/>
  <c r="O12440" i="2"/>
  <c r="O12439" i="2"/>
  <c r="M12439" i="2"/>
  <c r="L12439" i="2"/>
  <c r="E12439" i="2"/>
  <c r="D12439" i="2"/>
  <c r="B12439" i="2"/>
  <c r="A12439" i="2"/>
  <c r="O12438" i="2"/>
  <c r="O12437" i="2"/>
  <c r="O12436" i="2"/>
  <c r="O12435" i="2"/>
  <c r="O12434" i="2"/>
  <c r="O12433" i="2"/>
  <c r="M12433" i="2"/>
  <c r="L12433" i="2"/>
  <c r="E12433" i="2"/>
  <c r="D12433" i="2"/>
  <c r="B12433" i="2"/>
  <c r="A12433" i="2"/>
  <c r="O12432" i="2"/>
  <c r="O12431" i="2"/>
  <c r="O12430" i="2"/>
  <c r="O12429" i="2"/>
  <c r="M12429" i="2"/>
  <c r="L12429" i="2"/>
  <c r="E12429" i="2"/>
  <c r="D12429" i="2"/>
  <c r="B12429" i="2"/>
  <c r="A12429" i="2"/>
  <c r="O12428" i="2"/>
  <c r="O12427" i="2"/>
  <c r="O12426" i="2"/>
  <c r="O12425" i="2"/>
  <c r="M12425" i="2"/>
  <c r="L12425" i="2"/>
  <c r="E12425" i="2"/>
  <c r="D12425" i="2"/>
  <c r="B12425" i="2"/>
  <c r="A12425" i="2"/>
  <c r="O12424" i="2"/>
  <c r="M12424" i="2"/>
  <c r="L12424" i="2"/>
  <c r="E12424" i="2"/>
  <c r="D12424" i="2"/>
  <c r="B12424" i="2"/>
  <c r="A12424" i="2"/>
  <c r="O12423" i="2"/>
  <c r="O12422" i="2"/>
  <c r="O12421" i="2"/>
  <c r="O12420" i="2"/>
  <c r="O12419" i="2"/>
  <c r="O12418" i="2"/>
  <c r="M12418" i="2"/>
  <c r="L12418" i="2"/>
  <c r="E12418" i="2"/>
  <c r="D12418" i="2"/>
  <c r="B12418" i="2"/>
  <c r="A12418" i="2"/>
  <c r="O12417" i="2"/>
  <c r="O12416" i="2"/>
  <c r="O12415" i="2"/>
  <c r="O12414" i="2"/>
  <c r="O12413" i="2"/>
  <c r="M12413" i="2"/>
  <c r="L12413" i="2"/>
  <c r="E12413" i="2"/>
  <c r="D12413" i="2"/>
  <c r="B12413" i="2"/>
  <c r="A12413" i="2"/>
  <c r="O12412" i="2"/>
  <c r="O12411" i="2"/>
  <c r="O12410" i="2"/>
  <c r="O12409" i="2"/>
  <c r="O12408" i="2"/>
  <c r="O12407" i="2"/>
  <c r="O12406" i="2"/>
  <c r="O12405" i="2"/>
  <c r="M12405" i="2"/>
  <c r="L12405" i="2"/>
  <c r="E12405" i="2"/>
  <c r="D12405" i="2"/>
  <c r="B12405" i="2"/>
  <c r="A12405" i="2"/>
  <c r="O12404" i="2"/>
  <c r="O12403" i="2"/>
  <c r="O12402" i="2"/>
  <c r="O12401" i="2"/>
  <c r="O12400" i="2"/>
  <c r="M12400" i="2"/>
  <c r="L12400" i="2"/>
  <c r="E12400" i="2"/>
  <c r="D12400" i="2"/>
  <c r="B12400" i="2"/>
  <c r="A12400" i="2"/>
  <c r="O12399" i="2"/>
  <c r="O12398" i="2"/>
  <c r="O12397" i="2"/>
  <c r="M12397" i="2"/>
  <c r="L12397" i="2"/>
  <c r="E12397" i="2"/>
  <c r="D12397" i="2"/>
  <c r="B12397" i="2"/>
  <c r="A12397" i="2"/>
  <c r="O12396" i="2"/>
  <c r="O12395" i="2"/>
  <c r="M12395" i="2"/>
  <c r="L12395" i="2"/>
  <c r="E12395" i="2"/>
  <c r="D12395" i="2"/>
  <c r="B12395" i="2"/>
  <c r="A12395" i="2"/>
  <c r="O12394" i="2"/>
  <c r="O12393" i="2"/>
  <c r="O12392" i="2"/>
  <c r="M12392" i="2"/>
  <c r="L12392" i="2"/>
  <c r="E12392" i="2"/>
  <c r="D12392" i="2"/>
  <c r="B12392" i="2"/>
  <c r="A12392" i="2"/>
  <c r="O12391" i="2"/>
  <c r="M12391" i="2"/>
  <c r="L12391" i="2"/>
  <c r="E12391" i="2"/>
  <c r="D12391" i="2"/>
  <c r="B12391" i="2"/>
  <c r="A12391" i="2"/>
  <c r="O12390" i="2"/>
  <c r="O12389" i="2"/>
  <c r="O12388" i="2"/>
  <c r="O12387" i="2"/>
  <c r="O12386" i="2"/>
  <c r="M12386" i="2"/>
  <c r="L12386" i="2"/>
  <c r="E12386" i="2"/>
  <c r="D12386" i="2"/>
  <c r="B12386" i="2"/>
  <c r="A12386" i="2"/>
  <c r="O12385" i="2"/>
  <c r="O12384" i="2"/>
  <c r="O12383" i="2"/>
  <c r="O12382" i="2"/>
  <c r="O12381" i="2"/>
  <c r="O12380" i="2"/>
  <c r="O12379" i="2"/>
  <c r="M12379" i="2"/>
  <c r="L12379" i="2"/>
  <c r="E12379" i="2"/>
  <c r="D12379" i="2"/>
  <c r="B12379" i="2"/>
  <c r="A12379" i="2"/>
  <c r="O12378" i="2"/>
  <c r="O12377" i="2"/>
  <c r="O12376" i="2"/>
  <c r="O12375" i="2"/>
  <c r="O12374" i="2"/>
  <c r="M12374" i="2"/>
  <c r="L12374" i="2"/>
  <c r="E12374" i="2"/>
  <c r="D12374" i="2"/>
  <c r="B12374" i="2"/>
  <c r="A12374" i="2"/>
  <c r="O12373" i="2"/>
  <c r="O12372" i="2"/>
  <c r="O12371" i="2"/>
  <c r="O12370" i="2"/>
  <c r="O12369" i="2"/>
  <c r="O12368" i="2"/>
  <c r="M12368" i="2"/>
  <c r="L12368" i="2"/>
  <c r="E12368" i="2"/>
  <c r="D12368" i="2"/>
  <c r="B12368" i="2"/>
  <c r="A12368" i="2"/>
  <c r="O12367" i="2"/>
  <c r="O12366" i="2"/>
  <c r="O12365" i="2"/>
  <c r="O12364" i="2"/>
  <c r="O12363" i="2"/>
  <c r="M12363" i="2"/>
  <c r="L12363" i="2"/>
  <c r="E12363" i="2"/>
  <c r="D12363" i="2"/>
  <c r="B12363" i="2"/>
  <c r="A12363" i="2"/>
  <c r="O12362" i="2"/>
  <c r="M12362" i="2"/>
  <c r="L12362" i="2"/>
  <c r="E12362" i="2"/>
  <c r="D12362" i="2"/>
  <c r="B12362" i="2"/>
  <c r="A12362" i="2"/>
  <c r="O12361" i="2"/>
  <c r="M12361" i="2"/>
  <c r="L12361" i="2"/>
  <c r="E12361" i="2"/>
  <c r="D12361" i="2"/>
  <c r="B12361" i="2"/>
  <c r="A12361" i="2"/>
  <c r="O12360" i="2"/>
  <c r="O12359" i="2"/>
  <c r="O12358" i="2"/>
  <c r="O12357" i="2"/>
  <c r="O12356" i="2"/>
  <c r="O12355" i="2"/>
  <c r="O12354" i="2"/>
  <c r="O12353" i="2"/>
  <c r="O12352" i="2"/>
  <c r="O12351" i="2"/>
  <c r="O12350" i="2"/>
  <c r="O12349" i="2"/>
  <c r="M12349" i="2"/>
  <c r="L12349" i="2"/>
  <c r="E12349" i="2"/>
  <c r="D12349" i="2"/>
  <c r="B12349" i="2"/>
  <c r="A12349" i="2"/>
  <c r="O12348" i="2"/>
  <c r="M12348" i="2"/>
  <c r="L12348" i="2"/>
  <c r="E12348" i="2"/>
  <c r="D12348" i="2"/>
  <c r="B12348" i="2"/>
  <c r="A12348" i="2"/>
  <c r="O12347" i="2"/>
  <c r="O12346" i="2"/>
  <c r="O12345" i="2"/>
  <c r="M12345" i="2"/>
  <c r="L12345" i="2"/>
  <c r="E12345" i="2"/>
  <c r="D12345" i="2"/>
  <c r="B12345" i="2"/>
  <c r="A12345" i="2"/>
  <c r="O12344" i="2"/>
  <c r="M12344" i="2"/>
  <c r="L12344" i="2"/>
  <c r="E12344" i="2"/>
  <c r="D12344" i="2"/>
  <c r="B12344" i="2"/>
  <c r="A12344" i="2"/>
  <c r="O12343" i="2"/>
  <c r="O12342" i="2"/>
  <c r="O12341" i="2"/>
  <c r="M12341" i="2"/>
  <c r="L12341" i="2"/>
  <c r="E12341" i="2"/>
  <c r="D12341" i="2"/>
  <c r="B12341" i="2"/>
  <c r="A12341" i="2"/>
  <c r="O12340" i="2"/>
  <c r="O12339" i="2"/>
  <c r="M12339" i="2"/>
  <c r="L12339" i="2"/>
  <c r="E12339" i="2"/>
  <c r="D12339" i="2"/>
  <c r="B12339" i="2"/>
  <c r="A12339" i="2"/>
  <c r="O12338" i="2"/>
  <c r="M12338" i="2"/>
  <c r="L12338" i="2"/>
  <c r="E12338" i="2"/>
  <c r="D12338" i="2"/>
  <c r="B12338" i="2"/>
  <c r="A12338" i="2"/>
  <c r="O12337" i="2"/>
  <c r="M12337" i="2"/>
  <c r="L12337" i="2"/>
  <c r="E12337" i="2"/>
  <c r="D12337" i="2"/>
  <c r="B12337" i="2"/>
  <c r="A12337" i="2"/>
  <c r="O12336" i="2"/>
  <c r="O12335" i="2"/>
  <c r="M12335" i="2"/>
  <c r="L12335" i="2"/>
  <c r="E12335" i="2"/>
  <c r="D12335" i="2"/>
  <c r="B12335" i="2"/>
  <c r="A12335" i="2"/>
  <c r="O12334" i="2"/>
  <c r="M12334" i="2"/>
  <c r="L12334" i="2"/>
  <c r="E12334" i="2"/>
  <c r="D12334" i="2"/>
  <c r="B12334" i="2"/>
  <c r="A12334" i="2"/>
  <c r="O12333" i="2"/>
  <c r="O12332" i="2"/>
  <c r="M12332" i="2"/>
  <c r="L12332" i="2"/>
  <c r="E12332" i="2"/>
  <c r="D12332" i="2"/>
  <c r="B12332" i="2"/>
  <c r="A12332" i="2"/>
  <c r="O12331" i="2"/>
  <c r="O12330" i="2"/>
  <c r="M12330" i="2"/>
  <c r="L12330" i="2"/>
  <c r="E12330" i="2"/>
  <c r="D12330" i="2"/>
  <c r="B12330" i="2"/>
  <c r="A12330" i="2"/>
  <c r="O12329" i="2"/>
  <c r="M12329" i="2"/>
  <c r="L12329" i="2"/>
  <c r="E12329" i="2"/>
  <c r="D12329" i="2"/>
  <c r="B12329" i="2"/>
  <c r="A12329" i="2"/>
  <c r="O12328" i="2"/>
  <c r="M12328" i="2"/>
  <c r="L12328" i="2"/>
  <c r="E12328" i="2"/>
  <c r="D12328" i="2"/>
  <c r="B12328" i="2"/>
  <c r="A12328" i="2"/>
  <c r="O12327" i="2"/>
  <c r="M12327" i="2"/>
  <c r="L12327" i="2"/>
  <c r="E12327" i="2"/>
  <c r="D12327" i="2"/>
  <c r="B12327" i="2"/>
  <c r="A12327" i="2"/>
  <c r="O12326" i="2"/>
  <c r="O12325" i="2"/>
  <c r="O12324" i="2"/>
  <c r="O12323" i="2"/>
  <c r="O12322" i="2"/>
  <c r="O12321" i="2"/>
  <c r="O12320" i="2"/>
  <c r="O12319" i="2"/>
  <c r="O12318" i="2"/>
  <c r="M12318" i="2"/>
  <c r="L12318" i="2"/>
  <c r="E12318" i="2"/>
  <c r="D12318" i="2"/>
  <c r="B12318" i="2"/>
  <c r="A12318" i="2"/>
  <c r="O12317" i="2"/>
  <c r="M12317" i="2"/>
  <c r="L12317" i="2"/>
  <c r="E12317" i="2"/>
  <c r="D12317" i="2"/>
  <c r="B12317" i="2"/>
  <c r="A12317" i="2"/>
  <c r="O12316" i="2"/>
  <c r="O12315" i="2"/>
  <c r="M12315" i="2"/>
  <c r="L12315" i="2"/>
  <c r="E12315" i="2"/>
  <c r="D12315" i="2"/>
  <c r="B12315" i="2"/>
  <c r="A12315" i="2"/>
  <c r="O12314" i="2"/>
  <c r="M12314" i="2"/>
  <c r="L12314" i="2"/>
  <c r="E12314" i="2"/>
  <c r="D12314" i="2"/>
  <c r="B12314" i="2"/>
  <c r="A12314" i="2"/>
  <c r="O12313" i="2"/>
  <c r="M12313" i="2"/>
  <c r="L12313" i="2"/>
  <c r="E12313" i="2"/>
  <c r="D12313" i="2"/>
  <c r="B12313" i="2"/>
  <c r="A12313" i="2"/>
  <c r="O12312" i="2"/>
  <c r="M12312" i="2"/>
  <c r="L12312" i="2"/>
  <c r="E12312" i="2"/>
  <c r="D12312" i="2"/>
  <c r="B12312" i="2"/>
  <c r="A12312" i="2"/>
  <c r="O12311" i="2"/>
  <c r="M12311" i="2"/>
  <c r="L12311" i="2"/>
  <c r="E12311" i="2"/>
  <c r="D12311" i="2"/>
  <c r="B12311" i="2"/>
  <c r="A12311" i="2"/>
  <c r="O12310" i="2"/>
  <c r="M12310" i="2"/>
  <c r="L12310" i="2"/>
  <c r="E12310" i="2"/>
  <c r="D12310" i="2"/>
  <c r="B12310" i="2"/>
  <c r="A12310" i="2"/>
  <c r="O12309" i="2"/>
  <c r="M12309" i="2"/>
  <c r="L12309" i="2"/>
  <c r="E12309" i="2"/>
  <c r="D12309" i="2"/>
  <c r="B12309" i="2"/>
  <c r="A12309" i="2"/>
  <c r="O12308" i="2"/>
  <c r="M12308" i="2"/>
  <c r="L12308" i="2"/>
  <c r="E12308" i="2"/>
  <c r="D12308" i="2"/>
  <c r="B12308" i="2"/>
  <c r="A12308" i="2"/>
  <c r="O12307" i="2"/>
  <c r="M12307" i="2"/>
  <c r="L12307" i="2"/>
  <c r="E12307" i="2"/>
  <c r="D12307" i="2"/>
  <c r="B12307" i="2"/>
  <c r="A12307" i="2"/>
  <c r="O12306" i="2"/>
  <c r="M12306" i="2"/>
  <c r="L12306" i="2"/>
  <c r="E12306" i="2"/>
  <c r="D12306" i="2"/>
  <c r="B12306" i="2"/>
  <c r="A12306" i="2"/>
  <c r="O12305" i="2"/>
  <c r="M12305" i="2"/>
  <c r="L12305" i="2"/>
  <c r="E12305" i="2"/>
  <c r="D12305" i="2"/>
  <c r="B12305" i="2"/>
  <c r="A12305" i="2"/>
  <c r="O12304" i="2"/>
  <c r="O12303" i="2"/>
  <c r="M12303" i="2"/>
  <c r="L12303" i="2"/>
  <c r="E12303" i="2"/>
  <c r="D12303" i="2"/>
  <c r="B12303" i="2"/>
  <c r="A12303" i="2"/>
  <c r="O12302" i="2"/>
  <c r="M12302" i="2"/>
  <c r="L12302" i="2"/>
  <c r="E12302" i="2"/>
  <c r="D12302" i="2"/>
  <c r="B12302" i="2"/>
  <c r="A12302" i="2"/>
  <c r="O12301" i="2"/>
  <c r="M12301" i="2"/>
  <c r="L12301" i="2"/>
  <c r="E12301" i="2"/>
  <c r="D12301" i="2"/>
  <c r="B12301" i="2"/>
  <c r="A12301" i="2"/>
  <c r="O12300" i="2"/>
  <c r="M12300" i="2"/>
  <c r="L12300" i="2"/>
  <c r="E12300" i="2"/>
  <c r="D12300" i="2"/>
  <c r="B12300" i="2"/>
  <c r="A12300" i="2"/>
  <c r="O12299" i="2"/>
  <c r="M12299" i="2"/>
  <c r="L12299" i="2"/>
  <c r="E12299" i="2"/>
  <c r="D12299" i="2"/>
  <c r="B12299" i="2"/>
  <c r="A12299" i="2"/>
  <c r="O12298" i="2"/>
  <c r="O12297" i="2"/>
  <c r="M12297" i="2"/>
  <c r="L12297" i="2"/>
  <c r="E12297" i="2"/>
  <c r="D12297" i="2"/>
  <c r="B12297" i="2"/>
  <c r="A12297" i="2"/>
  <c r="O12296" i="2"/>
  <c r="O12295" i="2"/>
  <c r="O12294" i="2"/>
  <c r="O12293" i="2"/>
  <c r="M12293" i="2"/>
  <c r="L12293" i="2"/>
  <c r="E12293" i="2"/>
  <c r="D12293" i="2"/>
  <c r="B12293" i="2"/>
  <c r="A12293" i="2"/>
  <c r="O12292" i="2"/>
  <c r="O12291" i="2"/>
  <c r="M12291" i="2"/>
  <c r="L12291" i="2"/>
  <c r="E12291" i="2"/>
  <c r="D12291" i="2"/>
  <c r="B12291" i="2"/>
  <c r="A12291" i="2"/>
  <c r="O12290" i="2"/>
  <c r="M12290" i="2"/>
  <c r="L12290" i="2"/>
  <c r="E12290" i="2"/>
  <c r="D12290" i="2"/>
  <c r="B12290" i="2"/>
  <c r="A12290" i="2"/>
  <c r="O12289" i="2"/>
  <c r="M12289" i="2"/>
  <c r="L12289" i="2"/>
  <c r="E12289" i="2"/>
  <c r="D12289" i="2"/>
  <c r="B12289" i="2"/>
  <c r="A12289" i="2"/>
  <c r="O12288" i="2"/>
  <c r="O12287" i="2"/>
  <c r="O12286" i="2"/>
  <c r="M12286" i="2"/>
  <c r="L12286" i="2"/>
  <c r="E12286" i="2"/>
  <c r="D12286" i="2"/>
  <c r="B12286" i="2"/>
  <c r="A12286" i="2"/>
  <c r="O12285" i="2"/>
  <c r="M12285" i="2"/>
  <c r="L12285" i="2"/>
  <c r="E12285" i="2"/>
  <c r="D12285" i="2"/>
  <c r="B12285" i="2"/>
  <c r="A12285" i="2"/>
  <c r="O12284" i="2"/>
  <c r="M12284" i="2"/>
  <c r="L12284" i="2"/>
  <c r="E12284" i="2"/>
  <c r="D12284" i="2"/>
  <c r="B12284" i="2"/>
  <c r="A12284" i="2"/>
  <c r="O12283" i="2"/>
  <c r="O12282" i="2"/>
  <c r="O12281" i="2"/>
  <c r="O12280" i="2"/>
  <c r="M12280" i="2"/>
  <c r="L12280" i="2"/>
  <c r="E12280" i="2"/>
  <c r="D12280" i="2"/>
  <c r="B12280" i="2"/>
  <c r="A12280" i="2"/>
  <c r="O12279" i="2"/>
  <c r="O12278" i="2"/>
  <c r="M12278" i="2"/>
  <c r="L12278" i="2"/>
  <c r="E12278" i="2"/>
  <c r="D12278" i="2"/>
  <c r="B12278" i="2"/>
  <c r="A12278" i="2"/>
  <c r="O12277" i="2"/>
  <c r="O12276" i="2"/>
  <c r="M12276" i="2"/>
  <c r="L12276" i="2"/>
  <c r="E12276" i="2"/>
  <c r="D12276" i="2"/>
  <c r="B12276" i="2"/>
  <c r="A12276" i="2"/>
  <c r="O12275" i="2"/>
  <c r="M12275" i="2"/>
  <c r="L12275" i="2"/>
  <c r="E12275" i="2"/>
  <c r="D12275" i="2"/>
  <c r="B12275" i="2"/>
  <c r="A12275" i="2"/>
  <c r="O12274" i="2"/>
  <c r="O12273" i="2"/>
  <c r="O12272" i="2"/>
  <c r="O12271" i="2"/>
  <c r="O12270" i="2"/>
  <c r="O12269" i="2"/>
  <c r="O12268" i="2"/>
  <c r="O12267" i="2"/>
  <c r="O12266" i="2"/>
  <c r="O12265" i="2"/>
  <c r="O12264" i="2"/>
  <c r="M12264" i="2"/>
  <c r="L12264" i="2"/>
  <c r="E12264" i="2"/>
  <c r="D12264" i="2"/>
  <c r="B12264" i="2"/>
  <c r="A12264" i="2"/>
  <c r="O12263" i="2"/>
  <c r="M12263" i="2"/>
  <c r="L12263" i="2"/>
  <c r="E12263" i="2"/>
  <c r="D12263" i="2"/>
  <c r="B12263" i="2"/>
  <c r="A12263" i="2"/>
  <c r="O12262" i="2"/>
  <c r="O12261" i="2"/>
  <c r="M12261" i="2"/>
  <c r="L12261" i="2"/>
  <c r="E12261" i="2"/>
  <c r="D12261" i="2"/>
  <c r="B12261" i="2"/>
  <c r="A12261" i="2"/>
  <c r="O12260" i="2"/>
  <c r="O12259" i="2"/>
  <c r="O12258" i="2"/>
  <c r="O12257" i="2"/>
  <c r="O12256" i="2"/>
  <c r="M12256" i="2"/>
  <c r="L12256" i="2"/>
  <c r="E12256" i="2"/>
  <c r="D12256" i="2"/>
  <c r="B12256" i="2"/>
  <c r="A12256" i="2"/>
  <c r="O12255" i="2"/>
  <c r="O12254" i="2"/>
  <c r="O12253" i="2"/>
  <c r="M12253" i="2"/>
  <c r="L12253" i="2"/>
  <c r="E12253" i="2"/>
  <c r="D12253" i="2"/>
  <c r="B12253" i="2"/>
  <c r="A12253" i="2"/>
  <c r="O12252" i="2"/>
  <c r="O12251" i="2"/>
  <c r="O12250" i="2"/>
  <c r="O12249" i="2"/>
  <c r="O12248" i="2"/>
  <c r="M12248" i="2"/>
  <c r="L12248" i="2"/>
  <c r="E12248" i="2"/>
  <c r="D12248" i="2"/>
  <c r="B12248" i="2"/>
  <c r="A12248" i="2"/>
  <c r="O12247" i="2"/>
  <c r="M12247" i="2"/>
  <c r="L12247" i="2"/>
  <c r="E12247" i="2"/>
  <c r="D12247" i="2"/>
  <c r="B12247" i="2"/>
  <c r="A12247" i="2"/>
  <c r="O12246" i="2"/>
  <c r="M12246" i="2"/>
  <c r="L12246" i="2"/>
  <c r="E12246" i="2"/>
  <c r="D12246" i="2"/>
  <c r="B12246" i="2"/>
  <c r="A12246" i="2"/>
  <c r="O12245" i="2"/>
  <c r="M12245" i="2"/>
  <c r="L12245" i="2"/>
  <c r="E12245" i="2"/>
  <c r="D12245" i="2"/>
  <c r="B12245" i="2"/>
  <c r="A12245" i="2"/>
  <c r="O12244" i="2"/>
  <c r="M12244" i="2"/>
  <c r="L12244" i="2"/>
  <c r="E12244" i="2"/>
  <c r="D12244" i="2"/>
  <c r="B12244" i="2"/>
  <c r="A12244" i="2"/>
  <c r="O12243" i="2"/>
  <c r="O12242" i="2"/>
  <c r="M12242" i="2"/>
  <c r="L12242" i="2"/>
  <c r="E12242" i="2"/>
  <c r="D12242" i="2"/>
  <c r="B12242" i="2"/>
  <c r="A12242" i="2"/>
  <c r="O12241" i="2"/>
  <c r="M12241" i="2"/>
  <c r="L12241" i="2"/>
  <c r="E12241" i="2"/>
  <c r="D12241" i="2"/>
  <c r="B12241" i="2"/>
  <c r="A12241" i="2"/>
  <c r="O12240" i="2"/>
  <c r="M12240" i="2"/>
  <c r="L12240" i="2"/>
  <c r="E12240" i="2"/>
  <c r="D12240" i="2"/>
  <c r="B12240" i="2"/>
  <c r="A12240" i="2"/>
  <c r="O12239" i="2"/>
  <c r="O12238" i="2"/>
  <c r="M12238" i="2"/>
  <c r="L12238" i="2"/>
  <c r="E12238" i="2"/>
  <c r="D12238" i="2"/>
  <c r="B12238" i="2"/>
  <c r="A12238" i="2"/>
  <c r="O12237" i="2"/>
  <c r="O12236" i="2"/>
  <c r="M12236" i="2"/>
  <c r="L12236" i="2"/>
  <c r="E12236" i="2"/>
  <c r="D12236" i="2"/>
  <c r="B12236" i="2"/>
  <c r="A12236" i="2"/>
  <c r="O12235" i="2"/>
  <c r="M12235" i="2"/>
  <c r="L12235" i="2"/>
  <c r="E12235" i="2"/>
  <c r="D12235" i="2"/>
  <c r="B12235" i="2"/>
  <c r="A12235" i="2"/>
  <c r="O12234" i="2"/>
  <c r="O12233" i="2"/>
  <c r="M12233" i="2"/>
  <c r="L12233" i="2"/>
  <c r="E12233" i="2"/>
  <c r="D12233" i="2"/>
  <c r="B12233" i="2"/>
  <c r="A12233" i="2"/>
  <c r="O12232" i="2"/>
  <c r="M12232" i="2"/>
  <c r="L12232" i="2"/>
  <c r="E12232" i="2"/>
  <c r="D12232" i="2"/>
  <c r="B12232" i="2"/>
  <c r="A12232" i="2"/>
  <c r="O12231" i="2"/>
  <c r="O12230" i="2"/>
  <c r="O12229" i="2"/>
  <c r="M12229" i="2"/>
  <c r="L12229" i="2"/>
  <c r="E12229" i="2"/>
  <c r="D12229" i="2"/>
  <c r="B12229" i="2"/>
  <c r="A12229" i="2"/>
  <c r="O12228" i="2"/>
  <c r="O12227" i="2"/>
  <c r="M12227" i="2"/>
  <c r="L12227" i="2"/>
  <c r="E12227" i="2"/>
  <c r="D12227" i="2"/>
  <c r="B12227" i="2"/>
  <c r="A12227" i="2"/>
  <c r="O12226" i="2"/>
  <c r="M12226" i="2"/>
  <c r="L12226" i="2"/>
  <c r="E12226" i="2"/>
  <c r="D12226" i="2"/>
  <c r="B12226" i="2"/>
  <c r="A12226" i="2"/>
  <c r="O12225" i="2"/>
  <c r="M12225" i="2"/>
  <c r="L12225" i="2"/>
  <c r="E12225" i="2"/>
  <c r="D12225" i="2"/>
  <c r="B12225" i="2"/>
  <c r="A12225" i="2"/>
  <c r="O12224" i="2"/>
  <c r="O12223" i="2"/>
  <c r="M12223" i="2"/>
  <c r="L12223" i="2"/>
  <c r="E12223" i="2"/>
  <c r="D12223" i="2"/>
  <c r="B12223" i="2"/>
  <c r="A12223" i="2"/>
  <c r="O12222" i="2"/>
  <c r="M12222" i="2"/>
  <c r="L12222" i="2"/>
  <c r="E12222" i="2"/>
  <c r="D12222" i="2"/>
  <c r="B12222" i="2"/>
  <c r="A12222" i="2"/>
  <c r="O12221" i="2"/>
  <c r="O12220" i="2"/>
  <c r="O12219" i="2"/>
  <c r="M12219" i="2"/>
  <c r="L12219" i="2"/>
  <c r="E12219" i="2"/>
  <c r="D12219" i="2"/>
  <c r="B12219" i="2"/>
  <c r="A12219" i="2"/>
  <c r="O12218" i="2"/>
  <c r="O12217" i="2"/>
  <c r="O12216" i="2"/>
  <c r="O12215" i="2"/>
  <c r="O12214" i="2"/>
  <c r="O12213" i="2"/>
  <c r="M12213" i="2"/>
  <c r="L12213" i="2"/>
  <c r="E12213" i="2"/>
  <c r="D12213" i="2"/>
  <c r="B12213" i="2"/>
  <c r="A12213" i="2"/>
  <c r="O12212" i="2"/>
  <c r="M12212" i="2"/>
  <c r="L12212" i="2"/>
  <c r="E12212" i="2"/>
  <c r="D12212" i="2"/>
  <c r="B12212" i="2"/>
  <c r="A12212" i="2"/>
  <c r="O12211" i="2"/>
  <c r="M12211" i="2"/>
  <c r="L12211" i="2"/>
  <c r="E12211" i="2"/>
  <c r="D12211" i="2"/>
  <c r="B12211" i="2"/>
  <c r="A12211" i="2"/>
  <c r="O12210" i="2"/>
  <c r="O12209" i="2"/>
  <c r="O12208" i="2"/>
  <c r="M12208" i="2"/>
  <c r="L12208" i="2"/>
  <c r="E12208" i="2"/>
  <c r="D12208" i="2"/>
  <c r="B12208" i="2"/>
  <c r="A12208" i="2"/>
  <c r="O12207" i="2"/>
  <c r="O12206" i="2"/>
  <c r="O12205" i="2"/>
  <c r="M12205" i="2"/>
  <c r="L12205" i="2"/>
  <c r="E12205" i="2"/>
  <c r="D12205" i="2"/>
  <c r="B12205" i="2"/>
  <c r="A12205" i="2"/>
  <c r="O12204" i="2"/>
  <c r="M12204" i="2"/>
  <c r="L12204" i="2"/>
  <c r="E12204" i="2"/>
  <c r="D12204" i="2"/>
  <c r="B12204" i="2"/>
  <c r="A12204" i="2"/>
  <c r="O12203" i="2"/>
  <c r="M12203" i="2"/>
  <c r="L12203" i="2"/>
  <c r="E12203" i="2"/>
  <c r="D12203" i="2"/>
  <c r="B12203" i="2"/>
  <c r="A12203" i="2"/>
  <c r="O12202" i="2"/>
  <c r="M12202" i="2"/>
  <c r="L12202" i="2"/>
  <c r="E12202" i="2"/>
  <c r="D12202" i="2"/>
  <c r="B12202" i="2"/>
  <c r="A12202" i="2"/>
  <c r="O12201" i="2"/>
  <c r="M12201" i="2"/>
  <c r="L12201" i="2"/>
  <c r="E12201" i="2"/>
  <c r="D12201" i="2"/>
  <c r="B12201" i="2"/>
  <c r="A12201" i="2"/>
  <c r="O12200" i="2"/>
  <c r="O12199" i="2"/>
  <c r="O12198" i="2"/>
  <c r="O12197" i="2"/>
  <c r="O12196" i="2"/>
  <c r="O12195" i="2"/>
  <c r="O12194" i="2"/>
  <c r="M12194" i="2"/>
  <c r="L12194" i="2"/>
  <c r="E12194" i="2"/>
  <c r="D12194" i="2"/>
  <c r="B12194" i="2"/>
  <c r="A12194" i="2"/>
  <c r="O12193" i="2"/>
  <c r="M12193" i="2"/>
  <c r="L12193" i="2"/>
  <c r="E12193" i="2"/>
  <c r="D12193" i="2"/>
  <c r="B12193" i="2"/>
  <c r="A12193" i="2"/>
  <c r="O12192" i="2"/>
  <c r="O12191" i="2"/>
  <c r="O12190" i="2"/>
  <c r="M12190" i="2"/>
  <c r="L12190" i="2"/>
  <c r="E12190" i="2"/>
  <c r="D12190" i="2"/>
  <c r="B12190" i="2"/>
  <c r="A12190" i="2"/>
  <c r="O12189" i="2"/>
  <c r="M12189" i="2"/>
  <c r="L12189" i="2"/>
  <c r="E12189" i="2"/>
  <c r="D12189" i="2"/>
  <c r="B12189" i="2"/>
  <c r="A12189" i="2"/>
  <c r="O12188" i="2"/>
  <c r="M12188" i="2"/>
  <c r="L12188" i="2"/>
  <c r="E12188" i="2"/>
  <c r="D12188" i="2"/>
  <c r="B12188" i="2"/>
  <c r="A12188" i="2"/>
  <c r="O12187" i="2"/>
  <c r="O12186" i="2"/>
  <c r="M12186" i="2"/>
  <c r="L12186" i="2"/>
  <c r="E12186" i="2"/>
  <c r="D12186" i="2"/>
  <c r="B12186" i="2"/>
  <c r="A12186" i="2"/>
  <c r="O12185" i="2"/>
  <c r="O12184" i="2"/>
  <c r="M12184" i="2"/>
  <c r="L12184" i="2"/>
  <c r="E12184" i="2"/>
  <c r="D12184" i="2"/>
  <c r="B12184" i="2"/>
  <c r="A12184" i="2"/>
  <c r="O12183" i="2"/>
  <c r="O12182" i="2"/>
  <c r="M12182" i="2"/>
  <c r="L12182" i="2"/>
  <c r="E12182" i="2"/>
  <c r="D12182" i="2"/>
  <c r="B12182" i="2"/>
  <c r="A12182" i="2"/>
  <c r="O12181" i="2"/>
  <c r="O12180" i="2"/>
  <c r="O12179" i="2"/>
  <c r="O12178" i="2"/>
  <c r="O12177" i="2"/>
  <c r="O12176" i="2"/>
  <c r="O12175" i="2"/>
  <c r="M12175" i="2"/>
  <c r="L12175" i="2"/>
  <c r="E12175" i="2"/>
  <c r="D12175" i="2"/>
  <c r="B12175" i="2"/>
  <c r="A12175" i="2"/>
  <c r="O12174" i="2"/>
  <c r="O12173" i="2"/>
  <c r="O12172" i="2"/>
  <c r="O12171" i="2"/>
  <c r="O12170" i="2"/>
  <c r="O12169" i="2"/>
  <c r="O12168" i="2"/>
  <c r="M12168" i="2"/>
  <c r="L12168" i="2"/>
  <c r="E12168" i="2"/>
  <c r="D12168" i="2"/>
  <c r="B12168" i="2"/>
  <c r="A12168" i="2"/>
  <c r="O12167" i="2"/>
  <c r="M12167" i="2"/>
  <c r="L12167" i="2"/>
  <c r="E12167" i="2"/>
  <c r="D12167" i="2"/>
  <c r="B12167" i="2"/>
  <c r="A12167" i="2"/>
  <c r="O12166" i="2"/>
  <c r="M12166" i="2"/>
  <c r="L12166" i="2"/>
  <c r="E12166" i="2"/>
  <c r="D12166" i="2"/>
  <c r="B12166" i="2"/>
  <c r="A12166" i="2"/>
  <c r="O12165" i="2"/>
  <c r="M12165" i="2"/>
  <c r="L12165" i="2"/>
  <c r="E12165" i="2"/>
  <c r="D12165" i="2"/>
  <c r="B12165" i="2"/>
  <c r="A12165" i="2"/>
  <c r="O12164" i="2"/>
  <c r="M12164" i="2"/>
  <c r="L12164" i="2"/>
  <c r="E12164" i="2"/>
  <c r="D12164" i="2"/>
  <c r="B12164" i="2"/>
  <c r="A12164" i="2"/>
  <c r="O12163" i="2"/>
  <c r="M12163" i="2"/>
  <c r="L12163" i="2"/>
  <c r="E12163" i="2"/>
  <c r="D12163" i="2"/>
  <c r="B12163" i="2"/>
  <c r="A12163" i="2"/>
  <c r="O12162" i="2"/>
  <c r="M12162" i="2"/>
  <c r="L12162" i="2"/>
  <c r="E12162" i="2"/>
  <c r="D12162" i="2"/>
  <c r="B12162" i="2"/>
  <c r="A12162" i="2"/>
  <c r="O12161" i="2"/>
  <c r="M12161" i="2"/>
  <c r="L12161" i="2"/>
  <c r="E12161" i="2"/>
  <c r="D12161" i="2"/>
  <c r="B12161" i="2"/>
  <c r="A12161" i="2"/>
  <c r="O12160" i="2"/>
  <c r="O12159" i="2"/>
  <c r="O12158" i="2"/>
  <c r="O12157" i="2"/>
  <c r="O12156" i="2"/>
  <c r="M12156" i="2"/>
  <c r="L12156" i="2"/>
  <c r="E12156" i="2"/>
  <c r="D12156" i="2"/>
  <c r="B12156" i="2"/>
  <c r="A12156" i="2"/>
  <c r="O12155" i="2"/>
  <c r="O12154" i="2"/>
  <c r="M12154" i="2"/>
  <c r="L12154" i="2"/>
  <c r="E12154" i="2"/>
  <c r="D12154" i="2"/>
  <c r="B12154" i="2"/>
  <c r="A12154" i="2"/>
  <c r="O12153" i="2"/>
  <c r="O12152" i="2"/>
  <c r="O12151" i="2"/>
  <c r="O12150" i="2"/>
  <c r="O12149" i="2"/>
  <c r="M12149" i="2"/>
  <c r="L12149" i="2"/>
  <c r="E12149" i="2"/>
  <c r="D12149" i="2"/>
  <c r="B12149" i="2"/>
  <c r="A12149" i="2"/>
  <c r="O12148" i="2"/>
  <c r="O12147" i="2"/>
  <c r="O12146" i="2"/>
  <c r="M12146" i="2"/>
  <c r="L12146" i="2"/>
  <c r="E12146" i="2"/>
  <c r="D12146" i="2"/>
  <c r="B12146" i="2"/>
  <c r="A12146" i="2"/>
  <c r="O12145" i="2"/>
  <c r="O12144" i="2"/>
  <c r="O12143" i="2"/>
  <c r="M12143" i="2"/>
  <c r="L12143" i="2"/>
  <c r="E12143" i="2"/>
  <c r="D12143" i="2"/>
  <c r="B12143" i="2"/>
  <c r="A12143" i="2"/>
  <c r="O12142" i="2"/>
  <c r="O12141" i="2"/>
  <c r="O12140" i="2"/>
  <c r="O12139" i="2"/>
  <c r="M12139" i="2"/>
  <c r="L12139" i="2"/>
  <c r="E12139" i="2"/>
  <c r="D12139" i="2"/>
  <c r="B12139" i="2"/>
  <c r="A12139" i="2"/>
  <c r="O12138" i="2"/>
  <c r="O12137" i="2"/>
  <c r="O12136" i="2"/>
  <c r="M12136" i="2"/>
  <c r="L12136" i="2"/>
  <c r="E12136" i="2"/>
  <c r="D12136" i="2"/>
  <c r="B12136" i="2"/>
  <c r="A12136" i="2"/>
  <c r="O12135" i="2"/>
  <c r="O12134" i="2"/>
  <c r="O12133" i="2"/>
  <c r="M12133" i="2"/>
  <c r="L12133" i="2"/>
  <c r="E12133" i="2"/>
  <c r="D12133" i="2"/>
  <c r="B12133" i="2"/>
  <c r="A12133" i="2"/>
  <c r="O12132" i="2"/>
  <c r="O12131" i="2"/>
  <c r="O12130" i="2"/>
  <c r="M12130" i="2"/>
  <c r="L12130" i="2"/>
  <c r="E12130" i="2"/>
  <c r="D12130" i="2"/>
  <c r="B12130" i="2"/>
  <c r="A12130" i="2"/>
  <c r="O12129" i="2"/>
  <c r="O12128" i="2"/>
  <c r="O12127" i="2"/>
  <c r="M12127" i="2"/>
  <c r="L12127" i="2"/>
  <c r="E12127" i="2"/>
  <c r="D12127" i="2"/>
  <c r="B12127" i="2"/>
  <c r="A12127" i="2"/>
  <c r="O12126" i="2"/>
  <c r="O12125" i="2"/>
  <c r="M12125" i="2"/>
  <c r="L12125" i="2"/>
  <c r="E12125" i="2"/>
  <c r="D12125" i="2"/>
  <c r="B12125" i="2"/>
  <c r="A12125" i="2"/>
  <c r="O12124" i="2"/>
  <c r="O12123" i="2"/>
  <c r="M12123" i="2"/>
  <c r="L12123" i="2"/>
  <c r="E12123" i="2"/>
  <c r="D12123" i="2"/>
  <c r="B12123" i="2"/>
  <c r="A12123" i="2"/>
  <c r="O12122" i="2"/>
  <c r="M12122" i="2"/>
  <c r="L12122" i="2"/>
  <c r="E12122" i="2"/>
  <c r="D12122" i="2"/>
  <c r="B12122" i="2"/>
  <c r="A12122" i="2"/>
  <c r="O12121" i="2"/>
  <c r="M12121" i="2"/>
  <c r="L12121" i="2"/>
  <c r="E12121" i="2"/>
  <c r="D12121" i="2"/>
  <c r="B12121" i="2"/>
  <c r="A12121" i="2"/>
  <c r="O12120" i="2"/>
  <c r="O12119" i="2"/>
  <c r="O12118" i="2"/>
  <c r="M12118" i="2"/>
  <c r="L12118" i="2"/>
  <c r="E12118" i="2"/>
  <c r="D12118" i="2"/>
  <c r="B12118" i="2"/>
  <c r="A12118" i="2"/>
  <c r="O12117" i="2"/>
  <c r="O12116" i="2"/>
  <c r="O12115" i="2"/>
  <c r="O12114" i="2"/>
  <c r="O12113" i="2"/>
  <c r="M12113" i="2"/>
  <c r="L12113" i="2"/>
  <c r="E12113" i="2"/>
  <c r="D12113" i="2"/>
  <c r="B12113" i="2"/>
  <c r="A12113" i="2"/>
  <c r="O12112" i="2"/>
  <c r="O12111" i="2"/>
  <c r="O12110" i="2"/>
  <c r="O12109" i="2"/>
  <c r="M12109" i="2"/>
  <c r="L12109" i="2"/>
  <c r="E12109" i="2"/>
  <c r="D12109" i="2"/>
  <c r="B12109" i="2"/>
  <c r="A12109" i="2"/>
  <c r="O12108" i="2"/>
  <c r="M12108" i="2"/>
  <c r="L12108" i="2"/>
  <c r="E12108" i="2"/>
  <c r="D12108" i="2"/>
  <c r="B12108" i="2"/>
  <c r="A12108" i="2"/>
  <c r="O12107" i="2"/>
  <c r="O12106" i="2"/>
  <c r="O12105" i="2"/>
  <c r="O12104" i="2"/>
  <c r="O12103" i="2"/>
  <c r="O12102" i="2"/>
  <c r="M12102" i="2"/>
  <c r="L12102" i="2"/>
  <c r="E12102" i="2"/>
  <c r="D12102" i="2"/>
  <c r="B12102" i="2"/>
  <c r="A12102" i="2"/>
  <c r="O12101" i="2"/>
  <c r="M12101" i="2"/>
  <c r="L12101" i="2"/>
  <c r="E12101" i="2"/>
  <c r="D12101" i="2"/>
  <c r="B12101" i="2"/>
  <c r="A12101" i="2"/>
  <c r="O12100" i="2"/>
  <c r="O12099" i="2"/>
  <c r="O12098" i="2"/>
  <c r="O12097" i="2"/>
  <c r="M12097" i="2"/>
  <c r="L12097" i="2"/>
  <c r="E12097" i="2"/>
  <c r="D12097" i="2"/>
  <c r="B12097" i="2"/>
  <c r="A12097" i="2"/>
  <c r="O12096" i="2"/>
  <c r="O12095" i="2"/>
  <c r="M12095" i="2"/>
  <c r="L12095" i="2"/>
  <c r="E12095" i="2"/>
  <c r="D12095" i="2"/>
  <c r="B12095" i="2"/>
  <c r="A12095" i="2"/>
  <c r="O12094" i="2"/>
  <c r="M12094" i="2"/>
  <c r="L12094" i="2"/>
  <c r="E12094" i="2"/>
  <c r="D12094" i="2"/>
  <c r="B12094" i="2"/>
  <c r="A12094" i="2"/>
  <c r="O12093" i="2"/>
  <c r="O12092" i="2"/>
  <c r="M12092" i="2"/>
  <c r="L12092" i="2"/>
  <c r="E12092" i="2"/>
  <c r="D12092" i="2"/>
  <c r="B12092" i="2"/>
  <c r="A12092" i="2"/>
  <c r="O12091" i="2"/>
  <c r="O12090" i="2"/>
  <c r="O12089" i="2"/>
  <c r="O12088" i="2"/>
  <c r="O12087" i="2"/>
  <c r="O12086" i="2"/>
  <c r="M12086" i="2"/>
  <c r="L12086" i="2"/>
  <c r="E12086" i="2"/>
  <c r="D12086" i="2"/>
  <c r="B12086" i="2"/>
  <c r="A12086" i="2"/>
  <c r="O12085" i="2"/>
  <c r="O12084" i="2"/>
  <c r="O12083" i="2"/>
  <c r="M12083" i="2"/>
  <c r="L12083" i="2"/>
  <c r="E12083" i="2"/>
  <c r="D12083" i="2"/>
  <c r="B12083" i="2"/>
  <c r="A12083" i="2"/>
  <c r="O12082" i="2"/>
  <c r="O12081" i="2"/>
  <c r="M12081" i="2"/>
  <c r="L12081" i="2"/>
  <c r="E12081" i="2"/>
  <c r="D12081" i="2"/>
  <c r="B12081" i="2"/>
  <c r="A12081" i="2"/>
  <c r="O12080" i="2"/>
  <c r="O12079" i="2"/>
  <c r="O12078" i="2"/>
  <c r="O12077" i="2"/>
  <c r="O12076" i="2"/>
  <c r="O12075" i="2"/>
  <c r="O12074" i="2"/>
  <c r="M12074" i="2"/>
  <c r="L12074" i="2"/>
  <c r="E12074" i="2"/>
  <c r="D12074" i="2"/>
  <c r="B12074" i="2"/>
  <c r="A12074" i="2"/>
  <c r="O12073" i="2"/>
  <c r="O12072" i="2"/>
  <c r="M12072" i="2"/>
  <c r="L12072" i="2"/>
  <c r="E12072" i="2"/>
  <c r="D12072" i="2"/>
  <c r="B12072" i="2"/>
  <c r="A12072" i="2"/>
  <c r="O12071" i="2"/>
  <c r="M12071" i="2"/>
  <c r="L12071" i="2"/>
  <c r="E12071" i="2"/>
  <c r="D12071" i="2"/>
  <c r="B12071" i="2"/>
  <c r="A12071" i="2"/>
  <c r="O12070" i="2"/>
  <c r="M12070" i="2"/>
  <c r="L12070" i="2"/>
  <c r="E12070" i="2"/>
  <c r="D12070" i="2"/>
  <c r="B12070" i="2"/>
  <c r="A12070" i="2"/>
  <c r="O12069" i="2"/>
  <c r="M12069" i="2"/>
  <c r="L12069" i="2"/>
  <c r="E12069" i="2"/>
  <c r="D12069" i="2"/>
  <c r="B12069" i="2"/>
  <c r="A12069" i="2"/>
  <c r="O12068" i="2"/>
  <c r="M12068" i="2"/>
  <c r="L12068" i="2"/>
  <c r="E12068" i="2"/>
  <c r="D12068" i="2"/>
  <c r="B12068" i="2"/>
  <c r="A12068" i="2"/>
  <c r="O12067" i="2"/>
  <c r="O12066" i="2"/>
  <c r="O12065" i="2"/>
  <c r="M12065" i="2"/>
  <c r="L12065" i="2"/>
  <c r="E12065" i="2"/>
  <c r="D12065" i="2"/>
  <c r="B12065" i="2"/>
  <c r="A12065" i="2"/>
  <c r="O12064" i="2"/>
  <c r="M12064" i="2"/>
  <c r="L12064" i="2"/>
  <c r="E12064" i="2"/>
  <c r="D12064" i="2"/>
  <c r="B12064" i="2"/>
  <c r="A12064" i="2"/>
  <c r="O12063" i="2"/>
  <c r="O12062" i="2"/>
  <c r="O12061" i="2"/>
  <c r="O12060" i="2"/>
  <c r="M12060" i="2"/>
  <c r="L12060" i="2"/>
  <c r="E12060" i="2"/>
  <c r="D12060" i="2"/>
  <c r="B12060" i="2"/>
  <c r="A12060" i="2"/>
  <c r="O12059" i="2"/>
  <c r="M12059" i="2"/>
  <c r="L12059" i="2"/>
  <c r="E12059" i="2"/>
  <c r="D12059" i="2"/>
  <c r="B12059" i="2"/>
  <c r="A12059" i="2"/>
  <c r="O12058" i="2"/>
  <c r="O12057" i="2"/>
  <c r="M12057" i="2"/>
  <c r="L12057" i="2"/>
  <c r="E12057" i="2"/>
  <c r="D12057" i="2"/>
  <c r="B12057" i="2"/>
  <c r="A12057" i="2"/>
  <c r="O12056" i="2"/>
  <c r="M12056" i="2"/>
  <c r="L12056" i="2"/>
  <c r="E12056" i="2"/>
  <c r="D12056" i="2"/>
  <c r="B12056" i="2"/>
  <c r="A12056" i="2"/>
  <c r="O12055" i="2"/>
  <c r="O12054" i="2"/>
  <c r="M12054" i="2"/>
  <c r="L12054" i="2"/>
  <c r="E12054" i="2"/>
  <c r="D12054" i="2"/>
  <c r="B12054" i="2"/>
  <c r="A12054" i="2"/>
  <c r="O12053" i="2"/>
  <c r="M12053" i="2"/>
  <c r="L12053" i="2"/>
  <c r="E12053" i="2"/>
  <c r="D12053" i="2"/>
  <c r="B12053" i="2"/>
  <c r="A12053" i="2"/>
  <c r="O12052" i="2"/>
  <c r="M12052" i="2"/>
  <c r="L12052" i="2"/>
  <c r="E12052" i="2"/>
  <c r="D12052" i="2"/>
  <c r="B12052" i="2"/>
  <c r="A12052" i="2"/>
  <c r="O12051" i="2"/>
  <c r="M12051" i="2"/>
  <c r="L12051" i="2"/>
  <c r="E12051" i="2"/>
  <c r="D12051" i="2"/>
  <c r="B12051" i="2"/>
  <c r="A12051" i="2"/>
  <c r="O12050" i="2"/>
  <c r="M12050" i="2"/>
  <c r="L12050" i="2"/>
  <c r="E12050" i="2"/>
  <c r="D12050" i="2"/>
  <c r="B12050" i="2"/>
  <c r="A12050" i="2"/>
  <c r="O12049" i="2"/>
  <c r="M12049" i="2"/>
  <c r="L12049" i="2"/>
  <c r="E12049" i="2"/>
  <c r="D12049" i="2"/>
  <c r="B12049" i="2"/>
  <c r="A12049" i="2"/>
  <c r="O12048" i="2"/>
  <c r="O12047" i="2"/>
  <c r="O12046" i="2"/>
  <c r="O12045" i="2"/>
  <c r="M12045" i="2"/>
  <c r="L12045" i="2"/>
  <c r="E12045" i="2"/>
  <c r="D12045" i="2"/>
  <c r="B12045" i="2"/>
  <c r="A12045" i="2"/>
  <c r="O12044" i="2"/>
  <c r="O12043" i="2"/>
  <c r="O12042" i="2"/>
  <c r="M12042" i="2"/>
  <c r="L12042" i="2"/>
  <c r="E12042" i="2"/>
  <c r="D12042" i="2"/>
  <c r="B12042" i="2"/>
  <c r="A12042" i="2"/>
  <c r="O12041" i="2"/>
  <c r="M12041" i="2"/>
  <c r="L12041" i="2"/>
  <c r="E12041" i="2"/>
  <c r="D12041" i="2"/>
  <c r="B12041" i="2"/>
  <c r="A12041" i="2"/>
  <c r="O12040" i="2"/>
  <c r="O12039" i="2"/>
  <c r="M12039" i="2"/>
  <c r="L12039" i="2"/>
  <c r="E12039" i="2"/>
  <c r="D12039" i="2"/>
  <c r="B12039" i="2"/>
  <c r="A12039" i="2"/>
  <c r="O12038" i="2"/>
  <c r="O12037" i="2"/>
  <c r="O12036" i="2"/>
  <c r="O12035" i="2"/>
  <c r="O12034" i="2"/>
  <c r="M12034" i="2"/>
  <c r="L12034" i="2"/>
  <c r="E12034" i="2"/>
  <c r="D12034" i="2"/>
  <c r="B12034" i="2"/>
  <c r="A12034" i="2"/>
  <c r="O12033" i="2"/>
  <c r="M12033" i="2"/>
  <c r="L12033" i="2"/>
  <c r="E12033" i="2"/>
  <c r="D12033" i="2"/>
  <c r="B12033" i="2"/>
  <c r="A12033" i="2"/>
  <c r="O12032" i="2"/>
  <c r="O12031" i="2"/>
  <c r="O12030" i="2"/>
  <c r="M12030" i="2"/>
  <c r="L12030" i="2"/>
  <c r="E12030" i="2"/>
  <c r="D12030" i="2"/>
  <c r="B12030" i="2"/>
  <c r="A12030" i="2"/>
  <c r="O12029" i="2"/>
  <c r="O12028" i="2"/>
  <c r="O12027" i="2"/>
  <c r="O12026" i="2"/>
  <c r="O12025" i="2"/>
  <c r="O12024" i="2"/>
  <c r="O12023" i="2"/>
  <c r="O12022" i="2"/>
  <c r="M12022" i="2"/>
  <c r="L12022" i="2"/>
  <c r="E12022" i="2"/>
  <c r="D12022" i="2"/>
  <c r="B12022" i="2"/>
  <c r="A12022" i="2"/>
  <c r="O12021" i="2"/>
  <c r="M12021" i="2"/>
  <c r="L12021" i="2"/>
  <c r="E12021" i="2"/>
  <c r="D12021" i="2"/>
  <c r="B12021" i="2"/>
  <c r="A12021" i="2"/>
  <c r="O12020" i="2"/>
  <c r="O12019" i="2"/>
  <c r="M12019" i="2"/>
  <c r="L12019" i="2"/>
  <c r="E12019" i="2"/>
  <c r="D12019" i="2"/>
  <c r="B12019" i="2"/>
  <c r="A12019" i="2"/>
  <c r="O12018" i="2"/>
  <c r="M12018" i="2"/>
  <c r="L12018" i="2"/>
  <c r="E12018" i="2"/>
  <c r="D12018" i="2"/>
  <c r="B12018" i="2"/>
  <c r="A12018" i="2"/>
  <c r="O12017" i="2"/>
  <c r="O12016" i="2"/>
  <c r="O12015" i="2"/>
  <c r="O12014" i="2"/>
  <c r="O12013" i="2"/>
  <c r="O12012" i="2"/>
  <c r="M12012" i="2"/>
  <c r="L12012" i="2"/>
  <c r="E12012" i="2"/>
  <c r="D12012" i="2"/>
  <c r="B12012" i="2"/>
  <c r="A12012" i="2"/>
  <c r="O12011" i="2"/>
  <c r="O12010" i="2"/>
  <c r="O12009" i="2"/>
  <c r="M12009" i="2"/>
  <c r="L12009" i="2"/>
  <c r="E12009" i="2"/>
  <c r="D12009" i="2"/>
  <c r="B12009" i="2"/>
  <c r="A12009" i="2"/>
  <c r="O12008" i="2"/>
  <c r="M12008" i="2"/>
  <c r="L12008" i="2"/>
  <c r="E12008" i="2"/>
  <c r="D12008" i="2"/>
  <c r="B12008" i="2"/>
  <c r="A12008" i="2"/>
  <c r="O12007" i="2"/>
  <c r="O12006" i="2"/>
  <c r="O12005" i="2"/>
  <c r="O12004" i="2"/>
  <c r="O12003" i="2"/>
  <c r="M12003" i="2"/>
  <c r="L12003" i="2"/>
  <c r="E12003" i="2"/>
  <c r="D12003" i="2"/>
  <c r="B12003" i="2"/>
  <c r="A12003" i="2"/>
  <c r="O12002" i="2"/>
  <c r="M12002" i="2"/>
  <c r="L12002" i="2"/>
  <c r="E12002" i="2"/>
  <c r="D12002" i="2"/>
  <c r="B12002" i="2"/>
  <c r="A12002" i="2"/>
  <c r="O12001" i="2"/>
  <c r="O12000" i="2"/>
  <c r="M12000" i="2"/>
  <c r="L12000" i="2"/>
  <c r="E12000" i="2"/>
  <c r="D12000" i="2"/>
  <c r="B12000" i="2"/>
  <c r="A12000" i="2"/>
  <c r="O11999" i="2"/>
  <c r="M11999" i="2"/>
  <c r="L11999" i="2"/>
  <c r="E11999" i="2"/>
  <c r="D11999" i="2"/>
  <c r="B11999" i="2"/>
  <c r="A11999" i="2"/>
  <c r="O11998" i="2"/>
  <c r="M11998" i="2"/>
  <c r="L11998" i="2"/>
  <c r="E11998" i="2"/>
  <c r="D11998" i="2"/>
  <c r="B11998" i="2"/>
  <c r="A11998" i="2"/>
  <c r="O11997" i="2"/>
  <c r="M11997" i="2"/>
  <c r="L11997" i="2"/>
  <c r="E11997" i="2"/>
  <c r="D11997" i="2"/>
  <c r="B11997" i="2"/>
  <c r="A11997" i="2"/>
  <c r="O11996" i="2"/>
  <c r="M11996" i="2"/>
  <c r="L11996" i="2"/>
  <c r="E11996" i="2"/>
  <c r="D11996" i="2"/>
  <c r="B11996" i="2"/>
  <c r="A11996" i="2"/>
  <c r="O11995" i="2"/>
  <c r="M11995" i="2"/>
  <c r="L11995" i="2"/>
  <c r="E11995" i="2"/>
  <c r="D11995" i="2"/>
  <c r="B11995" i="2"/>
  <c r="A11995" i="2"/>
  <c r="O11994" i="2"/>
  <c r="O11993" i="2"/>
  <c r="M11993" i="2"/>
  <c r="L11993" i="2"/>
  <c r="E11993" i="2"/>
  <c r="D11993" i="2"/>
  <c r="B11993" i="2"/>
  <c r="A11993" i="2"/>
  <c r="O11992" i="2"/>
  <c r="M11992" i="2"/>
  <c r="L11992" i="2"/>
  <c r="E11992" i="2"/>
  <c r="D11992" i="2"/>
  <c r="B11992" i="2"/>
  <c r="A11992" i="2"/>
  <c r="O11991" i="2"/>
  <c r="M11991" i="2"/>
  <c r="L11991" i="2"/>
  <c r="E11991" i="2"/>
  <c r="D11991" i="2"/>
  <c r="B11991" i="2"/>
  <c r="A11991" i="2"/>
  <c r="O11990" i="2"/>
  <c r="O11989" i="2"/>
  <c r="M11989" i="2"/>
  <c r="L11989" i="2"/>
  <c r="E11989" i="2"/>
  <c r="D11989" i="2"/>
  <c r="B11989" i="2"/>
  <c r="A11989" i="2"/>
  <c r="O11988" i="2"/>
  <c r="M11988" i="2"/>
  <c r="L11988" i="2"/>
  <c r="E11988" i="2"/>
  <c r="D11988" i="2"/>
  <c r="B11988" i="2"/>
  <c r="A11988" i="2"/>
  <c r="O11987" i="2"/>
  <c r="O11986" i="2"/>
  <c r="O11985" i="2"/>
  <c r="M11985" i="2"/>
  <c r="L11985" i="2"/>
  <c r="E11985" i="2"/>
  <c r="D11985" i="2"/>
  <c r="B11985" i="2"/>
  <c r="A11985" i="2"/>
  <c r="O11984" i="2"/>
  <c r="M11984" i="2"/>
  <c r="L11984" i="2"/>
  <c r="E11984" i="2"/>
  <c r="D11984" i="2"/>
  <c r="B11984" i="2"/>
  <c r="A11984" i="2"/>
  <c r="O11983" i="2"/>
  <c r="M11983" i="2"/>
  <c r="L11983" i="2"/>
  <c r="E11983" i="2"/>
  <c r="D11983" i="2"/>
  <c r="B11983" i="2"/>
  <c r="A11983" i="2"/>
  <c r="O11982" i="2"/>
  <c r="M11982" i="2"/>
  <c r="L11982" i="2"/>
  <c r="E11982" i="2"/>
  <c r="D11982" i="2"/>
  <c r="B11982" i="2"/>
  <c r="A11982" i="2"/>
  <c r="O11981" i="2"/>
  <c r="M11981" i="2"/>
  <c r="L11981" i="2"/>
  <c r="E11981" i="2"/>
  <c r="D11981" i="2"/>
  <c r="B11981" i="2"/>
  <c r="A11981" i="2"/>
  <c r="O11980" i="2"/>
  <c r="M11980" i="2"/>
  <c r="L11980" i="2"/>
  <c r="E11980" i="2"/>
  <c r="D11980" i="2"/>
  <c r="B11980" i="2"/>
  <c r="A11980" i="2"/>
  <c r="O11979" i="2"/>
  <c r="M11979" i="2"/>
  <c r="L11979" i="2"/>
  <c r="E11979" i="2"/>
  <c r="D11979" i="2"/>
  <c r="B11979" i="2"/>
  <c r="A11979" i="2"/>
  <c r="O11978" i="2"/>
  <c r="M11978" i="2"/>
  <c r="L11978" i="2"/>
  <c r="E11978" i="2"/>
  <c r="D11978" i="2"/>
  <c r="B11978" i="2"/>
  <c r="A11978" i="2"/>
  <c r="O11977" i="2"/>
  <c r="M11977" i="2"/>
  <c r="L11977" i="2"/>
  <c r="E11977" i="2"/>
  <c r="D11977" i="2"/>
  <c r="B11977" i="2"/>
  <c r="A11977" i="2"/>
  <c r="O11976" i="2"/>
  <c r="M11976" i="2"/>
  <c r="L11976" i="2"/>
  <c r="E11976" i="2"/>
  <c r="D11976" i="2"/>
  <c r="B11976" i="2"/>
  <c r="A11976" i="2"/>
  <c r="O11975" i="2"/>
  <c r="M11975" i="2"/>
  <c r="L11975" i="2"/>
  <c r="E11975" i="2"/>
  <c r="D11975" i="2"/>
  <c r="B11975" i="2"/>
  <c r="A11975" i="2"/>
  <c r="O11974" i="2"/>
  <c r="M11974" i="2"/>
  <c r="L11974" i="2"/>
  <c r="E11974" i="2"/>
  <c r="D11974" i="2"/>
  <c r="B11974" i="2"/>
  <c r="A11974" i="2"/>
  <c r="O11973" i="2"/>
  <c r="M11973" i="2"/>
  <c r="L11973" i="2"/>
  <c r="E11973" i="2"/>
  <c r="D11973" i="2"/>
  <c r="B11973" i="2"/>
  <c r="A11973" i="2"/>
  <c r="O11972" i="2"/>
  <c r="M11972" i="2"/>
  <c r="L11972" i="2"/>
  <c r="E11972" i="2"/>
  <c r="D11972" i="2"/>
  <c r="B11972" i="2"/>
  <c r="A11972" i="2"/>
  <c r="O11971" i="2"/>
  <c r="M11971" i="2"/>
  <c r="L11971" i="2"/>
  <c r="E11971" i="2"/>
  <c r="D11971" i="2"/>
  <c r="B11971" i="2"/>
  <c r="A11971" i="2"/>
  <c r="O11970" i="2"/>
  <c r="M11970" i="2"/>
  <c r="L11970" i="2"/>
  <c r="E11970" i="2"/>
  <c r="D11970" i="2"/>
  <c r="B11970" i="2"/>
  <c r="A11970" i="2"/>
  <c r="O11969" i="2"/>
  <c r="M11969" i="2"/>
  <c r="L11969" i="2"/>
  <c r="E11969" i="2"/>
  <c r="D11969" i="2"/>
  <c r="B11969" i="2"/>
  <c r="A11969" i="2"/>
  <c r="O11968" i="2"/>
  <c r="O11967" i="2"/>
  <c r="O11966" i="2"/>
  <c r="O11965" i="2"/>
  <c r="O11964" i="2"/>
  <c r="O11963" i="2"/>
  <c r="O11962" i="2"/>
  <c r="O11961" i="2"/>
  <c r="M11961" i="2"/>
  <c r="L11961" i="2"/>
  <c r="E11961" i="2"/>
  <c r="D11961" i="2"/>
  <c r="B11961" i="2"/>
  <c r="A11961" i="2"/>
  <c r="O11960" i="2"/>
  <c r="O11959" i="2"/>
  <c r="M11959" i="2"/>
  <c r="L11959" i="2"/>
  <c r="E11959" i="2"/>
  <c r="D11959" i="2"/>
  <c r="B11959" i="2"/>
  <c r="A11959" i="2"/>
  <c r="O11958" i="2"/>
  <c r="O11957" i="2"/>
  <c r="O11956" i="2"/>
  <c r="O11955" i="2"/>
  <c r="M11955" i="2"/>
  <c r="L11955" i="2"/>
  <c r="E11955" i="2"/>
  <c r="D11955" i="2"/>
  <c r="B11955" i="2"/>
  <c r="A11955" i="2"/>
  <c r="O11954" i="2"/>
  <c r="O11953" i="2"/>
  <c r="O11952" i="2"/>
  <c r="O11951" i="2"/>
  <c r="O11950" i="2"/>
  <c r="M11950" i="2"/>
  <c r="L11950" i="2"/>
  <c r="E11950" i="2"/>
  <c r="D11950" i="2"/>
  <c r="B11950" i="2"/>
  <c r="A11950" i="2"/>
  <c r="O11949" i="2"/>
  <c r="M11949" i="2"/>
  <c r="L11949" i="2"/>
  <c r="E11949" i="2"/>
  <c r="D11949" i="2"/>
  <c r="B11949" i="2"/>
  <c r="A11949" i="2"/>
  <c r="O11948" i="2"/>
  <c r="M11948" i="2"/>
  <c r="L11948" i="2"/>
  <c r="E11948" i="2"/>
  <c r="D11948" i="2"/>
  <c r="B11948" i="2"/>
  <c r="A11948" i="2"/>
  <c r="O11947" i="2"/>
  <c r="M11947" i="2"/>
  <c r="L11947" i="2"/>
  <c r="E11947" i="2"/>
  <c r="D11947" i="2"/>
  <c r="B11947" i="2"/>
  <c r="A11947" i="2"/>
  <c r="O11946" i="2"/>
  <c r="O11945" i="2"/>
  <c r="O11944" i="2"/>
  <c r="M11944" i="2"/>
  <c r="L11944" i="2"/>
  <c r="E11944" i="2"/>
  <c r="D11944" i="2"/>
  <c r="B11944" i="2"/>
  <c r="A11944" i="2"/>
  <c r="O11943" i="2"/>
  <c r="O11942" i="2"/>
  <c r="M11942" i="2"/>
  <c r="L11942" i="2"/>
  <c r="E11942" i="2"/>
  <c r="D11942" i="2"/>
  <c r="B11942" i="2"/>
  <c r="A11942" i="2"/>
  <c r="O11941" i="2"/>
  <c r="M11941" i="2"/>
  <c r="L11941" i="2"/>
  <c r="E11941" i="2"/>
  <c r="D11941" i="2"/>
  <c r="B11941" i="2"/>
  <c r="A11941" i="2"/>
  <c r="O11940" i="2"/>
  <c r="O11939" i="2"/>
  <c r="O11938" i="2"/>
  <c r="O11937" i="2"/>
  <c r="M11937" i="2"/>
  <c r="L11937" i="2"/>
  <c r="E11937" i="2"/>
  <c r="D11937" i="2"/>
  <c r="B11937" i="2"/>
  <c r="A11937" i="2"/>
  <c r="O11936" i="2"/>
  <c r="O11935" i="2"/>
  <c r="O11934" i="2"/>
  <c r="O11933" i="2"/>
  <c r="M11933" i="2"/>
  <c r="L11933" i="2"/>
  <c r="E11933" i="2"/>
  <c r="D11933" i="2"/>
  <c r="B11933" i="2"/>
  <c r="A11933" i="2"/>
  <c r="O11932" i="2"/>
  <c r="O11931" i="2"/>
  <c r="O11930" i="2"/>
  <c r="O11929" i="2"/>
  <c r="M11929" i="2"/>
  <c r="L11929" i="2"/>
  <c r="E11929" i="2"/>
  <c r="D11929" i="2"/>
  <c r="B11929" i="2"/>
  <c r="A11929" i="2"/>
  <c r="O11928" i="2"/>
  <c r="O11927" i="2"/>
  <c r="O11926" i="2"/>
  <c r="M11926" i="2"/>
  <c r="L11926" i="2"/>
  <c r="E11926" i="2"/>
  <c r="D11926" i="2"/>
  <c r="B11926" i="2"/>
  <c r="A11926" i="2"/>
  <c r="O11925" i="2"/>
  <c r="O11924" i="2"/>
  <c r="O11923" i="2"/>
  <c r="O11922" i="2"/>
  <c r="O11921" i="2"/>
  <c r="O11920" i="2"/>
  <c r="O11919" i="2"/>
  <c r="M11919" i="2"/>
  <c r="L11919" i="2"/>
  <c r="E11919" i="2"/>
  <c r="D11919" i="2"/>
  <c r="B11919" i="2"/>
  <c r="A11919" i="2"/>
  <c r="O11918" i="2"/>
  <c r="O11917" i="2"/>
  <c r="O11916" i="2"/>
  <c r="O11915" i="2"/>
  <c r="O11914" i="2"/>
  <c r="O11913" i="2"/>
  <c r="O11912" i="2"/>
  <c r="O11911" i="2"/>
  <c r="O11910" i="2"/>
  <c r="O11909" i="2"/>
  <c r="O11908" i="2"/>
  <c r="O11907" i="2"/>
  <c r="O11906" i="2"/>
  <c r="O11905" i="2"/>
  <c r="O11904" i="2"/>
  <c r="O11903" i="2"/>
  <c r="O11902" i="2"/>
  <c r="O11901" i="2"/>
  <c r="O11900" i="2"/>
  <c r="O11899" i="2"/>
  <c r="O11898" i="2"/>
  <c r="O11897" i="2"/>
  <c r="O11896" i="2"/>
  <c r="O11895" i="2"/>
  <c r="O11894" i="2"/>
  <c r="O11893" i="2"/>
  <c r="O11892" i="2"/>
  <c r="O11891" i="2"/>
  <c r="O11890" i="2"/>
  <c r="M11890" i="2"/>
  <c r="L11890" i="2"/>
  <c r="E11890" i="2"/>
  <c r="D11890" i="2"/>
  <c r="B11890" i="2"/>
  <c r="A11890" i="2"/>
  <c r="O11889" i="2"/>
  <c r="O11888" i="2"/>
  <c r="O11887" i="2"/>
  <c r="O11886" i="2"/>
  <c r="O11885" i="2"/>
  <c r="M11885" i="2"/>
  <c r="L11885" i="2"/>
  <c r="E11885" i="2"/>
  <c r="D11885" i="2"/>
  <c r="B11885" i="2"/>
  <c r="A11885" i="2"/>
  <c r="O11884" i="2"/>
  <c r="O11883" i="2"/>
  <c r="O11882" i="2"/>
  <c r="O11881" i="2"/>
  <c r="O11880" i="2"/>
  <c r="M11880" i="2"/>
  <c r="L11880" i="2"/>
  <c r="E11880" i="2"/>
  <c r="D11880" i="2"/>
  <c r="B11880" i="2"/>
  <c r="A11880" i="2"/>
  <c r="O11879" i="2"/>
  <c r="O11878" i="2"/>
  <c r="O11877" i="2"/>
  <c r="O11876" i="2"/>
  <c r="O11875" i="2"/>
  <c r="M11875" i="2"/>
  <c r="L11875" i="2"/>
  <c r="E11875" i="2"/>
  <c r="D11875" i="2"/>
  <c r="B11875" i="2"/>
  <c r="A11875" i="2"/>
  <c r="O11874" i="2"/>
  <c r="O11873" i="2"/>
  <c r="O11872" i="2"/>
  <c r="M11872" i="2"/>
  <c r="L11872" i="2"/>
  <c r="E11872" i="2"/>
  <c r="D11872" i="2"/>
  <c r="B11872" i="2"/>
  <c r="A11872" i="2"/>
  <c r="O11871" i="2"/>
  <c r="M11871" i="2"/>
  <c r="L11871" i="2"/>
  <c r="E11871" i="2"/>
  <c r="D11871" i="2"/>
  <c r="B11871" i="2"/>
  <c r="A11871" i="2"/>
  <c r="O11870" i="2"/>
  <c r="O11869" i="2"/>
  <c r="O11868" i="2"/>
  <c r="O11867" i="2"/>
  <c r="M11867" i="2"/>
  <c r="L11867" i="2"/>
  <c r="E11867" i="2"/>
  <c r="D11867" i="2"/>
  <c r="B11867" i="2"/>
  <c r="A11867" i="2"/>
  <c r="O11866" i="2"/>
  <c r="M11866" i="2"/>
  <c r="L11866" i="2"/>
  <c r="E11866" i="2"/>
  <c r="D11866" i="2"/>
  <c r="B11866" i="2"/>
  <c r="A11866" i="2"/>
  <c r="O11865" i="2"/>
  <c r="M11865" i="2"/>
  <c r="L11865" i="2"/>
  <c r="E11865" i="2"/>
  <c r="D11865" i="2"/>
  <c r="B11865" i="2"/>
  <c r="A11865" i="2"/>
  <c r="O11864" i="2"/>
  <c r="M11864" i="2"/>
  <c r="L11864" i="2"/>
  <c r="E11864" i="2"/>
  <c r="D11864" i="2"/>
  <c r="B11864" i="2"/>
  <c r="A11864" i="2"/>
  <c r="O11863" i="2"/>
  <c r="M11863" i="2"/>
  <c r="L11863" i="2"/>
  <c r="E11863" i="2"/>
  <c r="D11863" i="2"/>
  <c r="B11863" i="2"/>
  <c r="A11863" i="2"/>
  <c r="O11862" i="2"/>
  <c r="O11861" i="2"/>
  <c r="O11860" i="2"/>
  <c r="O11859" i="2"/>
  <c r="O11858" i="2"/>
  <c r="M11858" i="2"/>
  <c r="L11858" i="2"/>
  <c r="E11858" i="2"/>
  <c r="D11858" i="2"/>
  <c r="B11858" i="2"/>
  <c r="A11858" i="2"/>
  <c r="O11857" i="2"/>
  <c r="O11856" i="2"/>
  <c r="O11855" i="2"/>
  <c r="O11854" i="2"/>
  <c r="O11853" i="2"/>
  <c r="O11852" i="2"/>
  <c r="O11851" i="2"/>
  <c r="O11850" i="2"/>
  <c r="M11850" i="2"/>
  <c r="L11850" i="2"/>
  <c r="E11850" i="2"/>
  <c r="D11850" i="2"/>
  <c r="B11850" i="2"/>
  <c r="A11850" i="2"/>
  <c r="O11849" i="2"/>
  <c r="O11848" i="2"/>
  <c r="O11847" i="2"/>
  <c r="O11846" i="2"/>
  <c r="M11846" i="2"/>
  <c r="L11846" i="2"/>
  <c r="E11846" i="2"/>
  <c r="D11846" i="2"/>
  <c r="B11846" i="2"/>
  <c r="A11846" i="2"/>
  <c r="O11845" i="2"/>
  <c r="O11844" i="2"/>
  <c r="O11843" i="2"/>
  <c r="O11842" i="2"/>
  <c r="M11842" i="2"/>
  <c r="L11842" i="2"/>
  <c r="E11842" i="2"/>
  <c r="D11842" i="2"/>
  <c r="B11842" i="2"/>
  <c r="A11842" i="2"/>
  <c r="O11841" i="2"/>
  <c r="O11840" i="2"/>
  <c r="M11840" i="2"/>
  <c r="L11840" i="2"/>
  <c r="E11840" i="2"/>
  <c r="D11840" i="2"/>
  <c r="B11840" i="2"/>
  <c r="A11840" i="2"/>
  <c r="O11839" i="2"/>
  <c r="M11839" i="2"/>
  <c r="L11839" i="2"/>
  <c r="E11839" i="2"/>
  <c r="D11839" i="2"/>
  <c r="B11839" i="2"/>
  <c r="A11839" i="2"/>
  <c r="O11838" i="2"/>
  <c r="O11837" i="2"/>
  <c r="M11837" i="2"/>
  <c r="L11837" i="2"/>
  <c r="E11837" i="2"/>
  <c r="D11837" i="2"/>
  <c r="B11837" i="2"/>
  <c r="A11837" i="2"/>
  <c r="O11836" i="2"/>
  <c r="M11836" i="2"/>
  <c r="L11836" i="2"/>
  <c r="E11836" i="2"/>
  <c r="D11836" i="2"/>
  <c r="B11836" i="2"/>
  <c r="A11836" i="2"/>
  <c r="O11835" i="2"/>
  <c r="O11834" i="2"/>
  <c r="O11833" i="2"/>
  <c r="O11832" i="2"/>
  <c r="O11831" i="2"/>
  <c r="M11831" i="2"/>
  <c r="L11831" i="2"/>
  <c r="E11831" i="2"/>
  <c r="D11831" i="2"/>
  <c r="B11831" i="2"/>
  <c r="A11831" i="2"/>
  <c r="O11830" i="2"/>
  <c r="O11829" i="2"/>
  <c r="M11829" i="2"/>
  <c r="L11829" i="2"/>
  <c r="E11829" i="2"/>
  <c r="D11829" i="2"/>
  <c r="B11829" i="2"/>
  <c r="A11829" i="2"/>
  <c r="O11828" i="2"/>
  <c r="M11828" i="2"/>
  <c r="L11828" i="2"/>
  <c r="E11828" i="2"/>
  <c r="D11828" i="2"/>
  <c r="B11828" i="2"/>
  <c r="A11828" i="2"/>
  <c r="O11827" i="2"/>
  <c r="O11826" i="2"/>
  <c r="M11826" i="2"/>
  <c r="L11826" i="2"/>
  <c r="E11826" i="2"/>
  <c r="D11826" i="2"/>
  <c r="B11826" i="2"/>
  <c r="A11826" i="2"/>
  <c r="O11825" i="2"/>
  <c r="O11824" i="2"/>
  <c r="M11824" i="2"/>
  <c r="L11824" i="2"/>
  <c r="E11824" i="2"/>
  <c r="D11824" i="2"/>
  <c r="B11824" i="2"/>
  <c r="A11824" i="2"/>
  <c r="O11823" i="2"/>
  <c r="O11822" i="2"/>
  <c r="O11821" i="2"/>
  <c r="O11820" i="2"/>
  <c r="O11819" i="2"/>
  <c r="O11818" i="2"/>
  <c r="O11817" i="2"/>
  <c r="M11817" i="2"/>
  <c r="L11817" i="2"/>
  <c r="E11817" i="2"/>
  <c r="D11817" i="2"/>
  <c r="B11817" i="2"/>
  <c r="A11817" i="2"/>
  <c r="O11816" i="2"/>
  <c r="O11815" i="2"/>
  <c r="O11814" i="2"/>
  <c r="M11814" i="2"/>
  <c r="L11814" i="2"/>
  <c r="E11814" i="2"/>
  <c r="D11814" i="2"/>
  <c r="B11814" i="2"/>
  <c r="A11814" i="2"/>
  <c r="O11813" i="2"/>
  <c r="M11813" i="2"/>
  <c r="L11813" i="2"/>
  <c r="E11813" i="2"/>
  <c r="D11813" i="2"/>
  <c r="B11813" i="2"/>
  <c r="A11813" i="2"/>
  <c r="O11812" i="2"/>
  <c r="M11812" i="2"/>
  <c r="L11812" i="2"/>
  <c r="E11812" i="2"/>
  <c r="D11812" i="2"/>
  <c r="B11812" i="2"/>
  <c r="A11812" i="2"/>
  <c r="O11811" i="2"/>
  <c r="M11811" i="2"/>
  <c r="L11811" i="2"/>
  <c r="E11811" i="2"/>
  <c r="D11811" i="2"/>
  <c r="B11811" i="2"/>
  <c r="A11811" i="2"/>
  <c r="O11810" i="2"/>
  <c r="M11810" i="2"/>
  <c r="L11810" i="2"/>
  <c r="E11810" i="2"/>
  <c r="D11810" i="2"/>
  <c r="B11810" i="2"/>
  <c r="A11810" i="2"/>
  <c r="O11809" i="2"/>
  <c r="O11808" i="2"/>
  <c r="O11807" i="2"/>
  <c r="O11806" i="2"/>
  <c r="O11805" i="2"/>
  <c r="O11804" i="2"/>
  <c r="O11803" i="2"/>
  <c r="O11802" i="2"/>
  <c r="O11801" i="2"/>
  <c r="O11800" i="2"/>
  <c r="O11799" i="2"/>
  <c r="O11798" i="2"/>
  <c r="O11797" i="2"/>
  <c r="O11796" i="2"/>
  <c r="O11795" i="2"/>
  <c r="O11794" i="2"/>
  <c r="O11793" i="2"/>
  <c r="O11792" i="2"/>
  <c r="O11791" i="2"/>
  <c r="O11790" i="2"/>
  <c r="M11790" i="2"/>
  <c r="L11790" i="2"/>
  <c r="E11790" i="2"/>
  <c r="D11790" i="2"/>
  <c r="B11790" i="2"/>
  <c r="A11790" i="2"/>
  <c r="O11789" i="2"/>
  <c r="M11789" i="2"/>
  <c r="L11789" i="2"/>
  <c r="E11789" i="2"/>
  <c r="D11789" i="2"/>
  <c r="B11789" i="2"/>
  <c r="A11789" i="2"/>
  <c r="O11788" i="2"/>
  <c r="M11788" i="2"/>
  <c r="L11788" i="2"/>
  <c r="E11788" i="2"/>
  <c r="D11788" i="2"/>
  <c r="B11788" i="2"/>
  <c r="A11788" i="2"/>
  <c r="O11787" i="2"/>
  <c r="M11787" i="2"/>
  <c r="L11787" i="2"/>
  <c r="E11787" i="2"/>
  <c r="D11787" i="2"/>
  <c r="B11787" i="2"/>
  <c r="A11787" i="2"/>
  <c r="O11786" i="2"/>
  <c r="M11786" i="2"/>
  <c r="L11786" i="2"/>
  <c r="E11786" i="2"/>
  <c r="D11786" i="2"/>
  <c r="B11786" i="2"/>
  <c r="A11786" i="2"/>
  <c r="O11785" i="2"/>
  <c r="M11785" i="2"/>
  <c r="L11785" i="2"/>
  <c r="E11785" i="2"/>
  <c r="D11785" i="2"/>
  <c r="B11785" i="2"/>
  <c r="A11785" i="2"/>
  <c r="O11784" i="2"/>
  <c r="M11784" i="2"/>
  <c r="L11784" i="2"/>
  <c r="E11784" i="2"/>
  <c r="D11784" i="2"/>
  <c r="B11784" i="2"/>
  <c r="A11784" i="2"/>
  <c r="O11783" i="2"/>
  <c r="O11782" i="2"/>
  <c r="O11781" i="2"/>
  <c r="O11780" i="2"/>
  <c r="O11779" i="2"/>
  <c r="M11779" i="2"/>
  <c r="L11779" i="2"/>
  <c r="E11779" i="2"/>
  <c r="D11779" i="2"/>
  <c r="B11779" i="2"/>
  <c r="A11779" i="2"/>
  <c r="O11778" i="2"/>
  <c r="O11777" i="2"/>
  <c r="M11777" i="2"/>
  <c r="L11777" i="2"/>
  <c r="E11777" i="2"/>
  <c r="D11777" i="2"/>
  <c r="B11777" i="2"/>
  <c r="A11777" i="2"/>
  <c r="O11776" i="2"/>
  <c r="O11775" i="2"/>
  <c r="M11775" i="2"/>
  <c r="L11775" i="2"/>
  <c r="E11775" i="2"/>
  <c r="D11775" i="2"/>
  <c r="B11775" i="2"/>
  <c r="A11775" i="2"/>
  <c r="O11774" i="2"/>
  <c r="O11773" i="2"/>
  <c r="O11772" i="2"/>
  <c r="O11771" i="2"/>
  <c r="O11770" i="2"/>
  <c r="O11769" i="2"/>
  <c r="O11768" i="2"/>
  <c r="O11767" i="2"/>
  <c r="O11766" i="2"/>
  <c r="O11765" i="2"/>
  <c r="O11764" i="2"/>
  <c r="O11763" i="2"/>
  <c r="O11762" i="2"/>
  <c r="O11761" i="2"/>
  <c r="O11760" i="2"/>
  <c r="O11759" i="2"/>
  <c r="O11758" i="2"/>
  <c r="O11757" i="2"/>
  <c r="O11756" i="2"/>
  <c r="O11755" i="2"/>
  <c r="O11754" i="2"/>
  <c r="O11753" i="2"/>
  <c r="O11752" i="2"/>
  <c r="O11751" i="2"/>
  <c r="O11750" i="2"/>
  <c r="O11749" i="2"/>
  <c r="O11748" i="2"/>
  <c r="O11747" i="2"/>
  <c r="O11746" i="2"/>
  <c r="O11745" i="2"/>
  <c r="M11745" i="2"/>
  <c r="L11745" i="2"/>
  <c r="E11745" i="2"/>
  <c r="D11745" i="2"/>
  <c r="B11745" i="2"/>
  <c r="A11745" i="2"/>
  <c r="O11744" i="2"/>
  <c r="O11743" i="2"/>
  <c r="O11742" i="2"/>
  <c r="O11741" i="2"/>
  <c r="O11740" i="2"/>
  <c r="O11739" i="2"/>
  <c r="O11738" i="2"/>
  <c r="O11737" i="2"/>
  <c r="O11736" i="2"/>
  <c r="O11735" i="2"/>
  <c r="O11734" i="2"/>
  <c r="O11733" i="2"/>
  <c r="O11732" i="2"/>
  <c r="O11731" i="2"/>
  <c r="O11730" i="2"/>
  <c r="O11729" i="2"/>
  <c r="O11728" i="2"/>
  <c r="O11727" i="2"/>
  <c r="O11726" i="2"/>
  <c r="O11725" i="2"/>
  <c r="O11724" i="2"/>
  <c r="O11723" i="2"/>
  <c r="O11722" i="2"/>
  <c r="O11721" i="2"/>
  <c r="M11721" i="2"/>
  <c r="L11721" i="2"/>
  <c r="E11721" i="2"/>
  <c r="D11721" i="2"/>
  <c r="B11721" i="2"/>
  <c r="A11721" i="2"/>
  <c r="O11720" i="2"/>
  <c r="M11720" i="2"/>
  <c r="L11720" i="2"/>
  <c r="E11720" i="2"/>
  <c r="D11720" i="2"/>
  <c r="B11720" i="2"/>
  <c r="A11720" i="2"/>
  <c r="O11719" i="2"/>
  <c r="O11718" i="2"/>
  <c r="O11717" i="2"/>
  <c r="O11716" i="2"/>
  <c r="O11715" i="2"/>
  <c r="O11714" i="2"/>
  <c r="O11713" i="2"/>
  <c r="O11712" i="2"/>
  <c r="O11711" i="2"/>
  <c r="M11711" i="2"/>
  <c r="L11711" i="2"/>
  <c r="E11711" i="2"/>
  <c r="D11711" i="2"/>
  <c r="B11711" i="2"/>
  <c r="A11711" i="2"/>
  <c r="O11710" i="2"/>
  <c r="M11710" i="2"/>
  <c r="L11710" i="2"/>
  <c r="E11710" i="2"/>
  <c r="D11710" i="2"/>
  <c r="B11710" i="2"/>
  <c r="A11710" i="2"/>
  <c r="O11709" i="2"/>
  <c r="M11709" i="2"/>
  <c r="L11709" i="2"/>
  <c r="E11709" i="2"/>
  <c r="D11709" i="2"/>
  <c r="B11709" i="2"/>
  <c r="A11709" i="2"/>
  <c r="O11708" i="2"/>
  <c r="M11708" i="2"/>
  <c r="L11708" i="2"/>
  <c r="E11708" i="2"/>
  <c r="D11708" i="2"/>
  <c r="B11708" i="2"/>
  <c r="A11708" i="2"/>
  <c r="O11707" i="2"/>
  <c r="M11707" i="2"/>
  <c r="L11707" i="2"/>
  <c r="E11707" i="2"/>
  <c r="D11707" i="2"/>
  <c r="B11707" i="2"/>
  <c r="A11707" i="2"/>
  <c r="O11706" i="2"/>
  <c r="M11706" i="2"/>
  <c r="L11706" i="2"/>
  <c r="E11706" i="2"/>
  <c r="D11706" i="2"/>
  <c r="B11706" i="2"/>
  <c r="A11706" i="2"/>
  <c r="O11705" i="2"/>
  <c r="M11705" i="2"/>
  <c r="L11705" i="2"/>
  <c r="E11705" i="2"/>
  <c r="D11705" i="2"/>
  <c r="B11705" i="2"/>
  <c r="A11705" i="2"/>
  <c r="O11704" i="2"/>
  <c r="O11703" i="2"/>
  <c r="O11702" i="2"/>
  <c r="O11701" i="2"/>
  <c r="M11701" i="2"/>
  <c r="L11701" i="2"/>
  <c r="E11701" i="2"/>
  <c r="D11701" i="2"/>
  <c r="B11701" i="2"/>
  <c r="A11701" i="2"/>
  <c r="O11700" i="2"/>
  <c r="O11699" i="2"/>
  <c r="O11698" i="2"/>
  <c r="M11698" i="2"/>
  <c r="L11698" i="2"/>
  <c r="E11698" i="2"/>
  <c r="D11698" i="2"/>
  <c r="B11698" i="2"/>
  <c r="A11698" i="2"/>
  <c r="O11697" i="2"/>
  <c r="O11696" i="2"/>
  <c r="O11695" i="2"/>
  <c r="O11694" i="2"/>
  <c r="M11694" i="2"/>
  <c r="L11694" i="2"/>
  <c r="E11694" i="2"/>
  <c r="D11694" i="2"/>
  <c r="B11694" i="2"/>
  <c r="A11694" i="2"/>
  <c r="O11693" i="2"/>
  <c r="M11693" i="2"/>
  <c r="L11693" i="2"/>
  <c r="E11693" i="2"/>
  <c r="D11693" i="2"/>
  <c r="B11693" i="2"/>
  <c r="A11693" i="2"/>
  <c r="O11692" i="2"/>
  <c r="O11691" i="2"/>
  <c r="M11691" i="2"/>
  <c r="L11691" i="2"/>
  <c r="E11691" i="2"/>
  <c r="D11691" i="2"/>
  <c r="B11691" i="2"/>
  <c r="A11691" i="2"/>
  <c r="O11690" i="2"/>
  <c r="O11689" i="2"/>
  <c r="O11688" i="2"/>
  <c r="M11688" i="2"/>
  <c r="L11688" i="2"/>
  <c r="E11688" i="2"/>
  <c r="D11688" i="2"/>
  <c r="B11688" i="2"/>
  <c r="A11688" i="2"/>
  <c r="O11687" i="2"/>
  <c r="M11687" i="2"/>
  <c r="L11687" i="2"/>
  <c r="E11687" i="2"/>
  <c r="D11687" i="2"/>
  <c r="B11687" i="2"/>
  <c r="A11687" i="2"/>
  <c r="O11686" i="2"/>
  <c r="O11685" i="2"/>
  <c r="O11684" i="2"/>
  <c r="M11684" i="2"/>
  <c r="L11684" i="2"/>
  <c r="E11684" i="2"/>
  <c r="D11684" i="2"/>
  <c r="B11684" i="2"/>
  <c r="A11684" i="2"/>
  <c r="O11683" i="2"/>
  <c r="M11683" i="2"/>
  <c r="L11683" i="2"/>
  <c r="E11683" i="2"/>
  <c r="D11683" i="2"/>
  <c r="B11683" i="2"/>
  <c r="A11683" i="2"/>
  <c r="O11682" i="2"/>
  <c r="O11681" i="2"/>
  <c r="O11680" i="2"/>
  <c r="M11680" i="2"/>
  <c r="L11680" i="2"/>
  <c r="E11680" i="2"/>
  <c r="D11680" i="2"/>
  <c r="B11680" i="2"/>
  <c r="A11680" i="2"/>
  <c r="O11679" i="2"/>
  <c r="M11679" i="2"/>
  <c r="L11679" i="2"/>
  <c r="E11679" i="2"/>
  <c r="D11679" i="2"/>
  <c r="B11679" i="2"/>
  <c r="A11679" i="2"/>
  <c r="O11678" i="2"/>
  <c r="M11678" i="2"/>
  <c r="L11678" i="2"/>
  <c r="E11678" i="2"/>
  <c r="D11678" i="2"/>
  <c r="B11678" i="2"/>
  <c r="A11678" i="2"/>
  <c r="O11677" i="2"/>
  <c r="M11677" i="2"/>
  <c r="L11677" i="2"/>
  <c r="E11677" i="2"/>
  <c r="D11677" i="2"/>
  <c r="B11677" i="2"/>
  <c r="A11677" i="2"/>
  <c r="O11676" i="2"/>
  <c r="M11676" i="2"/>
  <c r="L11676" i="2"/>
  <c r="E11676" i="2"/>
  <c r="D11676" i="2"/>
  <c r="B11676" i="2"/>
  <c r="A11676" i="2"/>
  <c r="O11675" i="2"/>
  <c r="M11675" i="2"/>
  <c r="L11675" i="2"/>
  <c r="E11675" i="2"/>
  <c r="D11675" i="2"/>
  <c r="B11675" i="2"/>
  <c r="A11675" i="2"/>
  <c r="O11674" i="2"/>
  <c r="M11674" i="2"/>
  <c r="L11674" i="2"/>
  <c r="E11674" i="2"/>
  <c r="D11674" i="2"/>
  <c r="B11674" i="2"/>
  <c r="A11674" i="2"/>
  <c r="O11673" i="2"/>
  <c r="O11672" i="2"/>
  <c r="M11672" i="2"/>
  <c r="L11672" i="2"/>
  <c r="E11672" i="2"/>
  <c r="D11672" i="2"/>
  <c r="B11672" i="2"/>
  <c r="A11672" i="2"/>
  <c r="O11671" i="2"/>
  <c r="O11670" i="2"/>
  <c r="O11669" i="2"/>
  <c r="O11668" i="2"/>
  <c r="M11668" i="2"/>
  <c r="L11668" i="2"/>
  <c r="E11668" i="2"/>
  <c r="D11668" i="2"/>
  <c r="B11668" i="2"/>
  <c r="A11668" i="2"/>
  <c r="O11667" i="2"/>
  <c r="M11667" i="2"/>
  <c r="L11667" i="2"/>
  <c r="E11667" i="2"/>
  <c r="D11667" i="2"/>
  <c r="B11667" i="2"/>
  <c r="A11667" i="2"/>
  <c r="O11666" i="2"/>
  <c r="M11666" i="2"/>
  <c r="L11666" i="2"/>
  <c r="E11666" i="2"/>
  <c r="D11666" i="2"/>
  <c r="B11666" i="2"/>
  <c r="A11666" i="2"/>
  <c r="O11665" i="2"/>
  <c r="M11665" i="2"/>
  <c r="L11665" i="2"/>
  <c r="E11665" i="2"/>
  <c r="D11665" i="2"/>
  <c r="B11665" i="2"/>
  <c r="A11665" i="2"/>
  <c r="O11664" i="2"/>
  <c r="M11664" i="2"/>
  <c r="L11664" i="2"/>
  <c r="E11664" i="2"/>
  <c r="D11664" i="2"/>
  <c r="B11664" i="2"/>
  <c r="A11664" i="2"/>
  <c r="O11663" i="2"/>
  <c r="M11663" i="2"/>
  <c r="L11663" i="2"/>
  <c r="E11663" i="2"/>
  <c r="D11663" i="2"/>
  <c r="B11663" i="2"/>
  <c r="A11663" i="2"/>
  <c r="O11662" i="2"/>
  <c r="O11661" i="2"/>
  <c r="O11660" i="2"/>
  <c r="O11659" i="2"/>
  <c r="M11659" i="2"/>
  <c r="L11659" i="2"/>
  <c r="E11659" i="2"/>
  <c r="D11659" i="2"/>
  <c r="B11659" i="2"/>
  <c r="A11659" i="2"/>
  <c r="O11658" i="2"/>
  <c r="O11657" i="2"/>
  <c r="M11657" i="2"/>
  <c r="L11657" i="2"/>
  <c r="E11657" i="2"/>
  <c r="D11657" i="2"/>
  <c r="B11657" i="2"/>
  <c r="A11657" i="2"/>
  <c r="O11656" i="2"/>
  <c r="M11656" i="2"/>
  <c r="L11656" i="2"/>
  <c r="E11656" i="2"/>
  <c r="D11656" i="2"/>
  <c r="B11656" i="2"/>
  <c r="A11656" i="2"/>
  <c r="O11655" i="2"/>
  <c r="M11655" i="2"/>
  <c r="L11655" i="2"/>
  <c r="E11655" i="2"/>
  <c r="D11655" i="2"/>
  <c r="B11655" i="2"/>
  <c r="A11655" i="2"/>
  <c r="O11654" i="2"/>
  <c r="O11653" i="2"/>
  <c r="O11652" i="2"/>
  <c r="O11651" i="2"/>
  <c r="M11651" i="2"/>
  <c r="L11651" i="2"/>
  <c r="E11651" i="2"/>
  <c r="D11651" i="2"/>
  <c r="B11651" i="2"/>
  <c r="A11651" i="2"/>
  <c r="O11650" i="2"/>
  <c r="M11650" i="2"/>
  <c r="L11650" i="2"/>
  <c r="E11650" i="2"/>
  <c r="D11650" i="2"/>
  <c r="B11650" i="2"/>
  <c r="A11650" i="2"/>
  <c r="O11649" i="2"/>
  <c r="M11649" i="2"/>
  <c r="L11649" i="2"/>
  <c r="E11649" i="2"/>
  <c r="D11649" i="2"/>
  <c r="B11649" i="2"/>
  <c r="A11649" i="2"/>
  <c r="O11648" i="2"/>
  <c r="M11648" i="2"/>
  <c r="L11648" i="2"/>
  <c r="E11648" i="2"/>
  <c r="D11648" i="2"/>
  <c r="B11648" i="2"/>
  <c r="A11648" i="2"/>
  <c r="O11647" i="2"/>
  <c r="O11646" i="2"/>
  <c r="M11646" i="2"/>
  <c r="L11646" i="2"/>
  <c r="E11646" i="2"/>
  <c r="D11646" i="2"/>
  <c r="B11646" i="2"/>
  <c r="A11646" i="2"/>
  <c r="O11645" i="2"/>
  <c r="M11645" i="2"/>
  <c r="L11645" i="2"/>
  <c r="E11645" i="2"/>
  <c r="D11645" i="2"/>
  <c r="B11645" i="2"/>
  <c r="A11645" i="2"/>
  <c r="O11644" i="2"/>
  <c r="M11644" i="2"/>
  <c r="L11644" i="2"/>
  <c r="E11644" i="2"/>
  <c r="D11644" i="2"/>
  <c r="B11644" i="2"/>
  <c r="A11644" i="2"/>
  <c r="O11643" i="2"/>
  <c r="M11643" i="2"/>
  <c r="L11643" i="2"/>
  <c r="E11643" i="2"/>
  <c r="D11643" i="2"/>
  <c r="B11643" i="2"/>
  <c r="A11643" i="2"/>
  <c r="O11642" i="2"/>
  <c r="M11642" i="2"/>
  <c r="L11642" i="2"/>
  <c r="E11642" i="2"/>
  <c r="D11642" i="2"/>
  <c r="B11642" i="2"/>
  <c r="A11642" i="2"/>
  <c r="O11641" i="2"/>
  <c r="M11641" i="2"/>
  <c r="L11641" i="2"/>
  <c r="E11641" i="2"/>
  <c r="D11641" i="2"/>
  <c r="B11641" i="2"/>
  <c r="A11641" i="2"/>
  <c r="O11640" i="2"/>
  <c r="O11639" i="2"/>
  <c r="M11639" i="2"/>
  <c r="L11639" i="2"/>
  <c r="E11639" i="2"/>
  <c r="D11639" i="2"/>
  <c r="B11639" i="2"/>
  <c r="A11639" i="2"/>
  <c r="O11638" i="2"/>
  <c r="M11638" i="2"/>
  <c r="L11638" i="2"/>
  <c r="E11638" i="2"/>
  <c r="D11638" i="2"/>
  <c r="B11638" i="2"/>
  <c r="A11638" i="2"/>
  <c r="O11637" i="2"/>
  <c r="M11637" i="2"/>
  <c r="L11637" i="2"/>
  <c r="E11637" i="2"/>
  <c r="D11637" i="2"/>
  <c r="B11637" i="2"/>
  <c r="A11637" i="2"/>
  <c r="O11636" i="2"/>
  <c r="O11635" i="2"/>
  <c r="O11634" i="2"/>
  <c r="M11634" i="2"/>
  <c r="L11634" i="2"/>
  <c r="E11634" i="2"/>
  <c r="D11634" i="2"/>
  <c r="B11634" i="2"/>
  <c r="A11634" i="2"/>
  <c r="O11633" i="2"/>
  <c r="M11633" i="2"/>
  <c r="L11633" i="2"/>
  <c r="E11633" i="2"/>
  <c r="D11633" i="2"/>
  <c r="B11633" i="2"/>
  <c r="A11633" i="2"/>
  <c r="O11632" i="2"/>
  <c r="M11632" i="2"/>
  <c r="L11632" i="2"/>
  <c r="E11632" i="2"/>
  <c r="D11632" i="2"/>
  <c r="B11632" i="2"/>
  <c r="A11632" i="2"/>
  <c r="O11631" i="2"/>
  <c r="M11631" i="2"/>
  <c r="L11631" i="2"/>
  <c r="E11631" i="2"/>
  <c r="D11631" i="2"/>
  <c r="B11631" i="2"/>
  <c r="A11631" i="2"/>
  <c r="O11630" i="2"/>
  <c r="O11629" i="2"/>
  <c r="M11629" i="2"/>
  <c r="L11629" i="2"/>
  <c r="E11629" i="2"/>
  <c r="D11629" i="2"/>
  <c r="B11629" i="2"/>
  <c r="A11629" i="2"/>
  <c r="O11628" i="2"/>
  <c r="M11628" i="2"/>
  <c r="L11628" i="2"/>
  <c r="E11628" i="2"/>
  <c r="D11628" i="2"/>
  <c r="B11628" i="2"/>
  <c r="A11628" i="2"/>
  <c r="O11627" i="2"/>
  <c r="M11627" i="2"/>
  <c r="L11627" i="2"/>
  <c r="E11627" i="2"/>
  <c r="D11627" i="2"/>
  <c r="B11627" i="2"/>
  <c r="A11627" i="2"/>
  <c r="O11626" i="2"/>
  <c r="M11626" i="2"/>
  <c r="L11626" i="2"/>
  <c r="E11626" i="2"/>
  <c r="D11626" i="2"/>
  <c r="B11626" i="2"/>
  <c r="A11626" i="2"/>
  <c r="O11625" i="2"/>
  <c r="M11625" i="2"/>
  <c r="L11625" i="2"/>
  <c r="E11625" i="2"/>
  <c r="D11625" i="2"/>
  <c r="B11625" i="2"/>
  <c r="A11625" i="2"/>
  <c r="O11624" i="2"/>
  <c r="M11624" i="2"/>
  <c r="L11624" i="2"/>
  <c r="E11624" i="2"/>
  <c r="D11624" i="2"/>
  <c r="B11624" i="2"/>
  <c r="A11624" i="2"/>
  <c r="O11623" i="2"/>
  <c r="O11622" i="2"/>
  <c r="M11622" i="2"/>
  <c r="L11622" i="2"/>
  <c r="E11622" i="2"/>
  <c r="D11622" i="2"/>
  <c r="B11622" i="2"/>
  <c r="A11622" i="2"/>
  <c r="O11621" i="2"/>
  <c r="M11621" i="2"/>
  <c r="L11621" i="2"/>
  <c r="E11621" i="2"/>
  <c r="D11621" i="2"/>
  <c r="B11621" i="2"/>
  <c r="A11621" i="2"/>
  <c r="O11620" i="2"/>
  <c r="O11619" i="2"/>
  <c r="O11618" i="2"/>
  <c r="O11617" i="2"/>
  <c r="M11617" i="2"/>
  <c r="L11617" i="2"/>
  <c r="E11617" i="2"/>
  <c r="D11617" i="2"/>
  <c r="B11617" i="2"/>
  <c r="A11617" i="2"/>
  <c r="O11616" i="2"/>
  <c r="M11616" i="2"/>
  <c r="L11616" i="2"/>
  <c r="E11616" i="2"/>
  <c r="D11616" i="2"/>
  <c r="B11616" i="2"/>
  <c r="A11616" i="2"/>
  <c r="O11615" i="2"/>
  <c r="O11614" i="2"/>
  <c r="M11614" i="2"/>
  <c r="L11614" i="2"/>
  <c r="E11614" i="2"/>
  <c r="D11614" i="2"/>
  <c r="B11614" i="2"/>
  <c r="A11614" i="2"/>
  <c r="O11613" i="2"/>
  <c r="M11613" i="2"/>
  <c r="L11613" i="2"/>
  <c r="E11613" i="2"/>
  <c r="D11613" i="2"/>
  <c r="B11613" i="2"/>
  <c r="A11613" i="2"/>
  <c r="O11612" i="2"/>
  <c r="O11611" i="2"/>
  <c r="O11610" i="2"/>
  <c r="O11609" i="2"/>
  <c r="O11608" i="2"/>
  <c r="M11608" i="2"/>
  <c r="L11608" i="2"/>
  <c r="E11608" i="2"/>
  <c r="D11608" i="2"/>
  <c r="B11608" i="2"/>
  <c r="A11608" i="2"/>
  <c r="O11607" i="2"/>
  <c r="M11607" i="2"/>
  <c r="L11607" i="2"/>
  <c r="E11607" i="2"/>
  <c r="D11607" i="2"/>
  <c r="B11607" i="2"/>
  <c r="A11607" i="2"/>
  <c r="O11606" i="2"/>
  <c r="M11606" i="2"/>
  <c r="L11606" i="2"/>
  <c r="E11606" i="2"/>
  <c r="D11606" i="2"/>
  <c r="B11606" i="2"/>
  <c r="A11606" i="2"/>
  <c r="O11605" i="2"/>
  <c r="M11605" i="2"/>
  <c r="L11605" i="2"/>
  <c r="E11605" i="2"/>
  <c r="D11605" i="2"/>
  <c r="B11605" i="2"/>
  <c r="A11605" i="2"/>
  <c r="O11604" i="2"/>
  <c r="O11603" i="2"/>
  <c r="O11602" i="2"/>
  <c r="M11602" i="2"/>
  <c r="L11602" i="2"/>
  <c r="E11602" i="2"/>
  <c r="D11602" i="2"/>
  <c r="B11602" i="2"/>
  <c r="A11602" i="2"/>
  <c r="O11601" i="2"/>
  <c r="M11601" i="2"/>
  <c r="L11601" i="2"/>
  <c r="E11601" i="2"/>
  <c r="D11601" i="2"/>
  <c r="B11601" i="2"/>
  <c r="A11601" i="2"/>
  <c r="O11600" i="2"/>
  <c r="O11599" i="2"/>
  <c r="M11599" i="2"/>
  <c r="L11599" i="2"/>
  <c r="E11599" i="2"/>
  <c r="D11599" i="2"/>
  <c r="B11599" i="2"/>
  <c r="A11599" i="2"/>
  <c r="O11598" i="2"/>
  <c r="O11597" i="2"/>
  <c r="M11597" i="2"/>
  <c r="L11597" i="2"/>
  <c r="E11597" i="2"/>
  <c r="D11597" i="2"/>
  <c r="B11597" i="2"/>
  <c r="A11597" i="2"/>
  <c r="O11596" i="2"/>
  <c r="O11595" i="2"/>
  <c r="O11594" i="2"/>
  <c r="M11594" i="2"/>
  <c r="L11594" i="2"/>
  <c r="E11594" i="2"/>
  <c r="D11594" i="2"/>
  <c r="B11594" i="2"/>
  <c r="A11594" i="2"/>
  <c r="O11593" i="2"/>
  <c r="M11593" i="2"/>
  <c r="L11593" i="2"/>
  <c r="E11593" i="2"/>
  <c r="D11593" i="2"/>
  <c r="B11593" i="2"/>
  <c r="A11593" i="2"/>
  <c r="O11592" i="2"/>
  <c r="O11591" i="2"/>
  <c r="M11591" i="2"/>
  <c r="L11591" i="2"/>
  <c r="E11591" i="2"/>
  <c r="D11591" i="2"/>
  <c r="B11591" i="2"/>
  <c r="A11591" i="2"/>
  <c r="O11590" i="2"/>
  <c r="M11590" i="2"/>
  <c r="L11590" i="2"/>
  <c r="E11590" i="2"/>
  <c r="D11590" i="2"/>
  <c r="B11590" i="2"/>
  <c r="A11590" i="2"/>
  <c r="O11589" i="2"/>
  <c r="M11589" i="2"/>
  <c r="L11589" i="2"/>
  <c r="E11589" i="2"/>
  <c r="D11589" i="2"/>
  <c r="B11589" i="2"/>
  <c r="A11589" i="2"/>
  <c r="O11588" i="2"/>
  <c r="O11587" i="2"/>
  <c r="O11586" i="2"/>
  <c r="O11585" i="2"/>
  <c r="O11584" i="2"/>
  <c r="O11583" i="2"/>
  <c r="M11583" i="2"/>
  <c r="L11583" i="2"/>
  <c r="E11583" i="2"/>
  <c r="D11583" i="2"/>
  <c r="B11583" i="2"/>
  <c r="A11583" i="2"/>
  <c r="O11582" i="2"/>
  <c r="M11582" i="2"/>
  <c r="L11582" i="2"/>
  <c r="E11582" i="2"/>
  <c r="D11582" i="2"/>
  <c r="B11582" i="2"/>
  <c r="A11582" i="2"/>
  <c r="O11581" i="2"/>
  <c r="M11581" i="2"/>
  <c r="L11581" i="2"/>
  <c r="E11581" i="2"/>
  <c r="D11581" i="2"/>
  <c r="B11581" i="2"/>
  <c r="A11581" i="2"/>
  <c r="O11580" i="2"/>
  <c r="M11580" i="2"/>
  <c r="L11580" i="2"/>
  <c r="E11580" i="2"/>
  <c r="D11580" i="2"/>
  <c r="B11580" i="2"/>
  <c r="A11580" i="2"/>
  <c r="O11579" i="2"/>
  <c r="O11578" i="2"/>
  <c r="O11577" i="2"/>
  <c r="M11577" i="2"/>
  <c r="L11577" i="2"/>
  <c r="E11577" i="2"/>
  <c r="D11577" i="2"/>
  <c r="B11577" i="2"/>
  <c r="A11577" i="2"/>
  <c r="O11576" i="2"/>
  <c r="M11576" i="2"/>
  <c r="L11576" i="2"/>
  <c r="E11576" i="2"/>
  <c r="D11576" i="2"/>
  <c r="B11576" i="2"/>
  <c r="A11576" i="2"/>
  <c r="O11575" i="2"/>
  <c r="O11574" i="2"/>
  <c r="O11573" i="2"/>
  <c r="M11573" i="2"/>
  <c r="L11573" i="2"/>
  <c r="E11573" i="2"/>
  <c r="D11573" i="2"/>
  <c r="B11573" i="2"/>
  <c r="A11573" i="2"/>
  <c r="O11572" i="2"/>
  <c r="O11571" i="2"/>
  <c r="O11570" i="2"/>
  <c r="M11570" i="2"/>
  <c r="L11570" i="2"/>
  <c r="E11570" i="2"/>
  <c r="D11570" i="2"/>
  <c r="B11570" i="2"/>
  <c r="A11570" i="2"/>
  <c r="O11569" i="2"/>
  <c r="O11568" i="2"/>
  <c r="M11568" i="2"/>
  <c r="L11568" i="2"/>
  <c r="E11568" i="2"/>
  <c r="D11568" i="2"/>
  <c r="B11568" i="2"/>
  <c r="A11568" i="2"/>
  <c r="O11567" i="2"/>
  <c r="M11567" i="2"/>
  <c r="L11567" i="2"/>
  <c r="E11567" i="2"/>
  <c r="D11567" i="2"/>
  <c r="B11567" i="2"/>
  <c r="A11567" i="2"/>
  <c r="O11566" i="2"/>
  <c r="O11565" i="2"/>
  <c r="M11565" i="2"/>
  <c r="L11565" i="2"/>
  <c r="E11565" i="2"/>
  <c r="D11565" i="2"/>
  <c r="B11565" i="2"/>
  <c r="A11565" i="2"/>
  <c r="O11564" i="2"/>
  <c r="M11564" i="2"/>
  <c r="L11564" i="2"/>
  <c r="E11564" i="2"/>
  <c r="D11564" i="2"/>
  <c r="B11564" i="2"/>
  <c r="A11564" i="2"/>
  <c r="O11563" i="2"/>
  <c r="O11562" i="2"/>
  <c r="O11561" i="2"/>
  <c r="O11560" i="2"/>
  <c r="M11560" i="2"/>
  <c r="L11560" i="2"/>
  <c r="E11560" i="2"/>
  <c r="D11560" i="2"/>
  <c r="B11560" i="2"/>
  <c r="A11560" i="2"/>
  <c r="O11559" i="2"/>
  <c r="M11559" i="2"/>
  <c r="L11559" i="2"/>
  <c r="E11559" i="2"/>
  <c r="D11559" i="2"/>
  <c r="B11559" i="2"/>
  <c r="A11559" i="2"/>
  <c r="O11558" i="2"/>
  <c r="O11557" i="2"/>
  <c r="M11557" i="2"/>
  <c r="L11557" i="2"/>
  <c r="E11557" i="2"/>
  <c r="D11557" i="2"/>
  <c r="B11557" i="2"/>
  <c r="A11557" i="2"/>
  <c r="O11556" i="2"/>
  <c r="O11555" i="2"/>
  <c r="O11554" i="2"/>
  <c r="M11554" i="2"/>
  <c r="L11554" i="2"/>
  <c r="E11554" i="2"/>
  <c r="D11554" i="2"/>
  <c r="B11554" i="2"/>
  <c r="A11554" i="2"/>
  <c r="O11553" i="2"/>
  <c r="O11552" i="2"/>
  <c r="M11552" i="2"/>
  <c r="L11552" i="2"/>
  <c r="E11552" i="2"/>
  <c r="D11552" i="2"/>
  <c r="B11552" i="2"/>
  <c r="A11552" i="2"/>
  <c r="O11551" i="2"/>
  <c r="O11550" i="2"/>
  <c r="O11549" i="2"/>
  <c r="O11548" i="2"/>
  <c r="O11547" i="2"/>
  <c r="M11547" i="2"/>
  <c r="L11547" i="2"/>
  <c r="E11547" i="2"/>
  <c r="D11547" i="2"/>
  <c r="B11547" i="2"/>
  <c r="A11547" i="2"/>
  <c r="O11546" i="2"/>
  <c r="O11545" i="2"/>
  <c r="O11544" i="2"/>
  <c r="O11543" i="2"/>
  <c r="O11542" i="2"/>
  <c r="O11541" i="2"/>
  <c r="M11541" i="2"/>
  <c r="L11541" i="2"/>
  <c r="E11541" i="2"/>
  <c r="D11541" i="2"/>
  <c r="B11541" i="2"/>
  <c r="A11541" i="2"/>
  <c r="O11540" i="2"/>
  <c r="O11539" i="2"/>
  <c r="O11538" i="2"/>
  <c r="O11537" i="2"/>
  <c r="M11537" i="2"/>
  <c r="L11537" i="2"/>
  <c r="E11537" i="2"/>
  <c r="D11537" i="2"/>
  <c r="B11537" i="2"/>
  <c r="A11537" i="2"/>
  <c r="O11536" i="2"/>
  <c r="O11535" i="2"/>
  <c r="M11535" i="2"/>
  <c r="L11535" i="2"/>
  <c r="E11535" i="2"/>
  <c r="D11535" i="2"/>
  <c r="B11535" i="2"/>
  <c r="A11535" i="2"/>
  <c r="O11534" i="2"/>
  <c r="M11534" i="2"/>
  <c r="L11534" i="2"/>
  <c r="E11534" i="2"/>
  <c r="D11534" i="2"/>
  <c r="B11534" i="2"/>
  <c r="A11534" i="2"/>
  <c r="O11533" i="2"/>
  <c r="M11533" i="2"/>
  <c r="L11533" i="2"/>
  <c r="E11533" i="2"/>
  <c r="D11533" i="2"/>
  <c r="B11533" i="2"/>
  <c r="A11533" i="2"/>
  <c r="O11532" i="2"/>
  <c r="O11531" i="2"/>
  <c r="O11530" i="2"/>
  <c r="O11529" i="2"/>
  <c r="M11529" i="2"/>
  <c r="L11529" i="2"/>
  <c r="E11529" i="2"/>
  <c r="D11529" i="2"/>
  <c r="B11529" i="2"/>
  <c r="A11529" i="2"/>
  <c r="O11528" i="2"/>
  <c r="M11528" i="2"/>
  <c r="L11528" i="2"/>
  <c r="E11528" i="2"/>
  <c r="D11528" i="2"/>
  <c r="B11528" i="2"/>
  <c r="A11528" i="2"/>
  <c r="O11527" i="2"/>
  <c r="O11526" i="2"/>
  <c r="M11526" i="2"/>
  <c r="L11526" i="2"/>
  <c r="E11526" i="2"/>
  <c r="D11526" i="2"/>
  <c r="B11526" i="2"/>
  <c r="A11526" i="2"/>
  <c r="O11525" i="2"/>
  <c r="M11525" i="2"/>
  <c r="L11525" i="2"/>
  <c r="E11525" i="2"/>
  <c r="D11525" i="2"/>
  <c r="B11525" i="2"/>
  <c r="A11525" i="2"/>
  <c r="O11524" i="2"/>
  <c r="M11524" i="2"/>
  <c r="L11524" i="2"/>
  <c r="E11524" i="2"/>
  <c r="D11524" i="2"/>
  <c r="B11524" i="2"/>
  <c r="A11524" i="2"/>
  <c r="O11523" i="2"/>
  <c r="O11522" i="2"/>
  <c r="M11522" i="2"/>
  <c r="L11522" i="2"/>
  <c r="E11522" i="2"/>
  <c r="D11522" i="2"/>
  <c r="B11522" i="2"/>
  <c r="A11522" i="2"/>
  <c r="O11521" i="2"/>
  <c r="M11521" i="2"/>
  <c r="L11521" i="2"/>
  <c r="E11521" i="2"/>
  <c r="D11521" i="2"/>
  <c r="B11521" i="2"/>
  <c r="A11521" i="2"/>
  <c r="O11520" i="2"/>
  <c r="M11520" i="2"/>
  <c r="L11520" i="2"/>
  <c r="E11520" i="2"/>
  <c r="D11520" i="2"/>
  <c r="B11520" i="2"/>
  <c r="A11520" i="2"/>
  <c r="O11519" i="2"/>
  <c r="O11518" i="2"/>
  <c r="M11518" i="2"/>
  <c r="L11518" i="2"/>
  <c r="E11518" i="2"/>
  <c r="D11518" i="2"/>
  <c r="B11518" i="2"/>
  <c r="A11518" i="2"/>
  <c r="O11517" i="2"/>
  <c r="O11516" i="2"/>
  <c r="O11515" i="2"/>
  <c r="M11515" i="2"/>
  <c r="L11515" i="2"/>
  <c r="E11515" i="2"/>
  <c r="D11515" i="2"/>
  <c r="B11515" i="2"/>
  <c r="A11515" i="2"/>
  <c r="O11514" i="2"/>
  <c r="O11513" i="2"/>
  <c r="M11513" i="2"/>
  <c r="L11513" i="2"/>
  <c r="E11513" i="2"/>
  <c r="D11513" i="2"/>
  <c r="B11513" i="2"/>
  <c r="A11513" i="2"/>
  <c r="O11512" i="2"/>
  <c r="O11511" i="2"/>
  <c r="M11511" i="2"/>
  <c r="L11511" i="2"/>
  <c r="E11511" i="2"/>
  <c r="D11511" i="2"/>
  <c r="B11511" i="2"/>
  <c r="A11511" i="2"/>
  <c r="O11510" i="2"/>
  <c r="M11510" i="2"/>
  <c r="L11510" i="2"/>
  <c r="E11510" i="2"/>
  <c r="D11510" i="2"/>
  <c r="B11510" i="2"/>
  <c r="A11510" i="2"/>
  <c r="O11509" i="2"/>
  <c r="O11508" i="2"/>
  <c r="O11507" i="2"/>
  <c r="O11506" i="2"/>
  <c r="M11506" i="2"/>
  <c r="L11506" i="2"/>
  <c r="E11506" i="2"/>
  <c r="D11506" i="2"/>
  <c r="B11506" i="2"/>
  <c r="A11506" i="2"/>
  <c r="O11505" i="2"/>
  <c r="O11504" i="2"/>
  <c r="M11504" i="2"/>
  <c r="L11504" i="2"/>
  <c r="E11504" i="2"/>
  <c r="D11504" i="2"/>
  <c r="B11504" i="2"/>
  <c r="A11504" i="2"/>
  <c r="O11503" i="2"/>
  <c r="O11502" i="2"/>
  <c r="O11501" i="2"/>
  <c r="O11500" i="2"/>
  <c r="M11500" i="2"/>
  <c r="L11500" i="2"/>
  <c r="E11500" i="2"/>
  <c r="D11500" i="2"/>
  <c r="B11500" i="2"/>
  <c r="A11500" i="2"/>
  <c r="O11499" i="2"/>
  <c r="M11499" i="2"/>
  <c r="L11499" i="2"/>
  <c r="E11499" i="2"/>
  <c r="D11499" i="2"/>
  <c r="B11499" i="2"/>
  <c r="A11499" i="2"/>
  <c r="O11498" i="2"/>
  <c r="M11498" i="2"/>
  <c r="L11498" i="2"/>
  <c r="E11498" i="2"/>
  <c r="D11498" i="2"/>
  <c r="B11498" i="2"/>
  <c r="A11498" i="2"/>
  <c r="O11497" i="2"/>
  <c r="O11496" i="2"/>
  <c r="O11495" i="2"/>
  <c r="O11494" i="2"/>
  <c r="M11494" i="2"/>
  <c r="L11494" i="2"/>
  <c r="E11494" i="2"/>
  <c r="D11494" i="2"/>
  <c r="B11494" i="2"/>
  <c r="A11494" i="2"/>
  <c r="O11493" i="2"/>
  <c r="M11493" i="2"/>
  <c r="L11493" i="2"/>
  <c r="E11493" i="2"/>
  <c r="D11493" i="2"/>
  <c r="B11493" i="2"/>
  <c r="A11493" i="2"/>
  <c r="O11492" i="2"/>
  <c r="M11492" i="2"/>
  <c r="L11492" i="2"/>
  <c r="E11492" i="2"/>
  <c r="D11492" i="2"/>
  <c r="B11492" i="2"/>
  <c r="A11492" i="2"/>
  <c r="O11491" i="2"/>
  <c r="O11490" i="2"/>
  <c r="M11490" i="2"/>
  <c r="L11490" i="2"/>
  <c r="E11490" i="2"/>
  <c r="D11490" i="2"/>
  <c r="B11490" i="2"/>
  <c r="A11490" i="2"/>
  <c r="O11489" i="2"/>
  <c r="M11489" i="2"/>
  <c r="L11489" i="2"/>
  <c r="E11489" i="2"/>
  <c r="D11489" i="2"/>
  <c r="B11489" i="2"/>
  <c r="A11489" i="2"/>
  <c r="O11488" i="2"/>
  <c r="O11487" i="2"/>
  <c r="M11487" i="2"/>
  <c r="L11487" i="2"/>
  <c r="E11487" i="2"/>
  <c r="D11487" i="2"/>
  <c r="B11487" i="2"/>
  <c r="A11487" i="2"/>
  <c r="O11486" i="2"/>
  <c r="M11486" i="2"/>
  <c r="L11486" i="2"/>
  <c r="E11486" i="2"/>
  <c r="D11486" i="2"/>
  <c r="B11486" i="2"/>
  <c r="A11486" i="2"/>
  <c r="O11485" i="2"/>
  <c r="O11484" i="2"/>
  <c r="O11483" i="2"/>
  <c r="M11483" i="2"/>
  <c r="L11483" i="2"/>
  <c r="E11483" i="2"/>
  <c r="D11483" i="2"/>
  <c r="B11483" i="2"/>
  <c r="A11483" i="2"/>
  <c r="O11482" i="2"/>
  <c r="M11482" i="2"/>
  <c r="L11482" i="2"/>
  <c r="E11482" i="2"/>
  <c r="D11482" i="2"/>
  <c r="B11482" i="2"/>
  <c r="A11482" i="2"/>
  <c r="O11481" i="2"/>
  <c r="O11480" i="2"/>
  <c r="O11479" i="2"/>
  <c r="O11478" i="2"/>
  <c r="O11477" i="2"/>
  <c r="M11477" i="2"/>
  <c r="L11477" i="2"/>
  <c r="E11477" i="2"/>
  <c r="D11477" i="2"/>
  <c r="B11477" i="2"/>
  <c r="A11477" i="2"/>
  <c r="O11476" i="2"/>
  <c r="M11476" i="2"/>
  <c r="L11476" i="2"/>
  <c r="E11476" i="2"/>
  <c r="D11476" i="2"/>
  <c r="B11476" i="2"/>
  <c r="A11476" i="2"/>
  <c r="O11475" i="2"/>
  <c r="M11475" i="2"/>
  <c r="L11475" i="2"/>
  <c r="E11475" i="2"/>
  <c r="D11475" i="2"/>
  <c r="B11475" i="2"/>
  <c r="A11475" i="2"/>
  <c r="O11474" i="2"/>
  <c r="M11474" i="2"/>
  <c r="L11474" i="2"/>
  <c r="E11474" i="2"/>
  <c r="D11474" i="2"/>
  <c r="B11474" i="2"/>
  <c r="A11474" i="2"/>
  <c r="O11473" i="2"/>
  <c r="M11473" i="2"/>
  <c r="L11473" i="2"/>
  <c r="E11473" i="2"/>
  <c r="D11473" i="2"/>
  <c r="B11473" i="2"/>
  <c r="A11473" i="2"/>
  <c r="O11472" i="2"/>
  <c r="O11471" i="2"/>
  <c r="M11471" i="2"/>
  <c r="L11471" i="2"/>
  <c r="E11471" i="2"/>
  <c r="D11471" i="2"/>
  <c r="B11471" i="2"/>
  <c r="A11471" i="2"/>
  <c r="O11470" i="2"/>
  <c r="O11469" i="2"/>
  <c r="M11469" i="2"/>
  <c r="L11469" i="2"/>
  <c r="E11469" i="2"/>
  <c r="D11469" i="2"/>
  <c r="B11469" i="2"/>
  <c r="A11469" i="2"/>
  <c r="O11468" i="2"/>
  <c r="M11468" i="2"/>
  <c r="L11468" i="2"/>
  <c r="E11468" i="2"/>
  <c r="D11468" i="2"/>
  <c r="B11468" i="2"/>
  <c r="A11468" i="2"/>
  <c r="O11467" i="2"/>
  <c r="O11466" i="2"/>
  <c r="M11466" i="2"/>
  <c r="L11466" i="2"/>
  <c r="E11466" i="2"/>
  <c r="D11466" i="2"/>
  <c r="B11466" i="2"/>
  <c r="A11466" i="2"/>
  <c r="O11465" i="2"/>
  <c r="O11464" i="2"/>
  <c r="M11464" i="2"/>
  <c r="L11464" i="2"/>
  <c r="E11464" i="2"/>
  <c r="D11464" i="2"/>
  <c r="B11464" i="2"/>
  <c r="A11464" i="2"/>
  <c r="O11463" i="2"/>
  <c r="M11463" i="2"/>
  <c r="L11463" i="2"/>
  <c r="E11463" i="2"/>
  <c r="D11463" i="2"/>
  <c r="B11463" i="2"/>
  <c r="A11463" i="2"/>
  <c r="O11462" i="2"/>
  <c r="O11461" i="2"/>
  <c r="M11461" i="2"/>
  <c r="L11461" i="2"/>
  <c r="E11461" i="2"/>
  <c r="D11461" i="2"/>
  <c r="B11461" i="2"/>
  <c r="A11461" i="2"/>
  <c r="O11460" i="2"/>
  <c r="M11460" i="2"/>
  <c r="L11460" i="2"/>
  <c r="E11460" i="2"/>
  <c r="D11460" i="2"/>
  <c r="B11460" i="2"/>
  <c r="A11460" i="2"/>
  <c r="O11459" i="2"/>
  <c r="M11459" i="2"/>
  <c r="L11459" i="2"/>
  <c r="E11459" i="2"/>
  <c r="D11459" i="2"/>
  <c r="B11459" i="2"/>
  <c r="A11459" i="2"/>
  <c r="O11458" i="2"/>
  <c r="M11458" i="2"/>
  <c r="L11458" i="2"/>
  <c r="E11458" i="2"/>
  <c r="D11458" i="2"/>
  <c r="B11458" i="2"/>
  <c r="A11458" i="2"/>
  <c r="O11457" i="2"/>
  <c r="M11457" i="2"/>
  <c r="L11457" i="2"/>
  <c r="E11457" i="2"/>
  <c r="D11457" i="2"/>
  <c r="B11457" i="2"/>
  <c r="A11457" i="2"/>
  <c r="O11456" i="2"/>
  <c r="O11455" i="2"/>
  <c r="O11454" i="2"/>
  <c r="M11454" i="2"/>
  <c r="L11454" i="2"/>
  <c r="E11454" i="2"/>
  <c r="D11454" i="2"/>
  <c r="B11454" i="2"/>
  <c r="A11454" i="2"/>
  <c r="O11453" i="2"/>
  <c r="O11452" i="2"/>
  <c r="O11451" i="2"/>
  <c r="O11450" i="2"/>
  <c r="O11449" i="2"/>
  <c r="M11449" i="2"/>
  <c r="L11449" i="2"/>
  <c r="E11449" i="2"/>
  <c r="D11449" i="2"/>
  <c r="B11449" i="2"/>
  <c r="A11449" i="2"/>
  <c r="O11448" i="2"/>
  <c r="M11448" i="2"/>
  <c r="L11448" i="2"/>
  <c r="E11448" i="2"/>
  <c r="D11448" i="2"/>
  <c r="B11448" i="2"/>
  <c r="A11448" i="2"/>
  <c r="O11447" i="2"/>
  <c r="M11447" i="2"/>
  <c r="L11447" i="2"/>
  <c r="E11447" i="2"/>
  <c r="D11447" i="2"/>
  <c r="B11447" i="2"/>
  <c r="A11447" i="2"/>
  <c r="O11446" i="2"/>
  <c r="O11445" i="2"/>
  <c r="O11444" i="2"/>
  <c r="M11444" i="2"/>
  <c r="L11444" i="2"/>
  <c r="E11444" i="2"/>
  <c r="D11444" i="2"/>
  <c r="B11444" i="2"/>
  <c r="A11444" i="2"/>
  <c r="O11443" i="2"/>
  <c r="O11442" i="2"/>
  <c r="O11441" i="2"/>
  <c r="O11440" i="2"/>
  <c r="O11439" i="2"/>
  <c r="O11438" i="2"/>
  <c r="O11437" i="2"/>
  <c r="O11436" i="2"/>
  <c r="M11436" i="2"/>
  <c r="L11436" i="2"/>
  <c r="E11436" i="2"/>
  <c r="D11436" i="2"/>
  <c r="B11436" i="2"/>
  <c r="A11436" i="2"/>
  <c r="O11435" i="2"/>
  <c r="O11434" i="2"/>
  <c r="O11433" i="2"/>
  <c r="O11432" i="2"/>
  <c r="M11432" i="2"/>
  <c r="L11432" i="2"/>
  <c r="E11432" i="2"/>
  <c r="D11432" i="2"/>
  <c r="B11432" i="2"/>
  <c r="A11432" i="2"/>
  <c r="O11431" i="2"/>
  <c r="M11431" i="2"/>
  <c r="L11431" i="2"/>
  <c r="E11431" i="2"/>
  <c r="D11431" i="2"/>
  <c r="B11431" i="2"/>
  <c r="A11431" i="2"/>
  <c r="O11430" i="2"/>
  <c r="O11429" i="2"/>
  <c r="O11428" i="2"/>
  <c r="O11427" i="2"/>
  <c r="M11427" i="2"/>
  <c r="L11427" i="2"/>
  <c r="E11427" i="2"/>
  <c r="D11427" i="2"/>
  <c r="B11427" i="2"/>
  <c r="A11427" i="2"/>
  <c r="O11426" i="2"/>
  <c r="O11425" i="2"/>
  <c r="O11424" i="2"/>
  <c r="O11423" i="2"/>
  <c r="O11422" i="2"/>
  <c r="M11422" i="2"/>
  <c r="L11422" i="2"/>
  <c r="E11422" i="2"/>
  <c r="D11422" i="2"/>
  <c r="B11422" i="2"/>
  <c r="A11422" i="2"/>
  <c r="O11421" i="2"/>
  <c r="O11420" i="2"/>
  <c r="M11420" i="2"/>
  <c r="L11420" i="2"/>
  <c r="E11420" i="2"/>
  <c r="D11420" i="2"/>
  <c r="B11420" i="2"/>
  <c r="A11420" i="2"/>
  <c r="O11419" i="2"/>
  <c r="O11418" i="2"/>
  <c r="M11418" i="2"/>
  <c r="L11418" i="2"/>
  <c r="E11418" i="2"/>
  <c r="D11418" i="2"/>
  <c r="B11418" i="2"/>
  <c r="A11418" i="2"/>
  <c r="O11417" i="2"/>
  <c r="M11417" i="2"/>
  <c r="L11417" i="2"/>
  <c r="E11417" i="2"/>
  <c r="D11417" i="2"/>
  <c r="B11417" i="2"/>
  <c r="A11417" i="2"/>
  <c r="O11416" i="2"/>
  <c r="M11416" i="2"/>
  <c r="L11416" i="2"/>
  <c r="E11416" i="2"/>
  <c r="D11416" i="2"/>
  <c r="B11416" i="2"/>
  <c r="A11416" i="2"/>
  <c r="O11415" i="2"/>
  <c r="O11414" i="2"/>
  <c r="M11414" i="2"/>
  <c r="L11414" i="2"/>
  <c r="E11414" i="2"/>
  <c r="D11414" i="2"/>
  <c r="B11414" i="2"/>
  <c r="A11414" i="2"/>
  <c r="O11413" i="2"/>
  <c r="M11413" i="2"/>
  <c r="L11413" i="2"/>
  <c r="E11413" i="2"/>
  <c r="D11413" i="2"/>
  <c r="B11413" i="2"/>
  <c r="A11413" i="2"/>
  <c r="O11412" i="2"/>
  <c r="O11411" i="2"/>
  <c r="O11410" i="2"/>
  <c r="M11410" i="2"/>
  <c r="L11410" i="2"/>
  <c r="E11410" i="2"/>
  <c r="D11410" i="2"/>
  <c r="B11410" i="2"/>
  <c r="A11410" i="2"/>
  <c r="O11409" i="2"/>
  <c r="M11409" i="2"/>
  <c r="L11409" i="2"/>
  <c r="E11409" i="2"/>
  <c r="D11409" i="2"/>
  <c r="B11409" i="2"/>
  <c r="A11409" i="2"/>
  <c r="O11408" i="2"/>
  <c r="O11407" i="2"/>
  <c r="O11406" i="2"/>
  <c r="M11406" i="2"/>
  <c r="L11406" i="2"/>
  <c r="E11406" i="2"/>
  <c r="D11406" i="2"/>
  <c r="B11406" i="2"/>
  <c r="A11406" i="2"/>
  <c r="O11405" i="2"/>
  <c r="O11404" i="2"/>
  <c r="M11404" i="2"/>
  <c r="L11404" i="2"/>
  <c r="E11404" i="2"/>
  <c r="D11404" i="2"/>
  <c r="B11404" i="2"/>
  <c r="A11404" i="2"/>
  <c r="O11403" i="2"/>
  <c r="O11402" i="2"/>
  <c r="O11401" i="2"/>
  <c r="O11400" i="2"/>
  <c r="O11399" i="2"/>
  <c r="O11398" i="2"/>
  <c r="O11397" i="2"/>
  <c r="O11396" i="2"/>
  <c r="O11395" i="2"/>
  <c r="O11394" i="2"/>
  <c r="O11393" i="2"/>
  <c r="M11393" i="2"/>
  <c r="L11393" i="2"/>
  <c r="E11393" i="2"/>
  <c r="D11393" i="2"/>
  <c r="B11393" i="2"/>
  <c r="A11393" i="2"/>
  <c r="O11392" i="2"/>
  <c r="M11392" i="2"/>
  <c r="L11392" i="2"/>
  <c r="E11392" i="2"/>
  <c r="D11392" i="2"/>
  <c r="B11392" i="2"/>
  <c r="A11392" i="2"/>
  <c r="O11391" i="2"/>
  <c r="M11391" i="2"/>
  <c r="L11391" i="2"/>
  <c r="E11391" i="2"/>
  <c r="D11391" i="2"/>
  <c r="B11391" i="2"/>
  <c r="A11391" i="2"/>
  <c r="O11390" i="2"/>
  <c r="M11390" i="2"/>
  <c r="L11390" i="2"/>
  <c r="E11390" i="2"/>
  <c r="D11390" i="2"/>
  <c r="B11390" i="2"/>
  <c r="A11390" i="2"/>
  <c r="O11389" i="2"/>
  <c r="M11389" i="2"/>
  <c r="L11389" i="2"/>
  <c r="E11389" i="2"/>
  <c r="D11389" i="2"/>
  <c r="B11389" i="2"/>
  <c r="A11389" i="2"/>
  <c r="O11388" i="2"/>
  <c r="O11387" i="2"/>
  <c r="M11387" i="2"/>
  <c r="L11387" i="2"/>
  <c r="E11387" i="2"/>
  <c r="D11387" i="2"/>
  <c r="B11387" i="2"/>
  <c r="A11387" i="2"/>
  <c r="O11386" i="2"/>
  <c r="M11386" i="2"/>
  <c r="L11386" i="2"/>
  <c r="E11386" i="2"/>
  <c r="D11386" i="2"/>
  <c r="B11386" i="2"/>
  <c r="A11386" i="2"/>
  <c r="O11385" i="2"/>
  <c r="M11385" i="2"/>
  <c r="L11385" i="2"/>
  <c r="E11385" i="2"/>
  <c r="D11385" i="2"/>
  <c r="B11385" i="2"/>
  <c r="A11385" i="2"/>
  <c r="O11384" i="2"/>
  <c r="M11384" i="2"/>
  <c r="L11384" i="2"/>
  <c r="E11384" i="2"/>
  <c r="D11384" i="2"/>
  <c r="B11384" i="2"/>
  <c r="A11384" i="2"/>
  <c r="O11383" i="2"/>
  <c r="O11382" i="2"/>
  <c r="O11381" i="2"/>
  <c r="O11380" i="2"/>
  <c r="M11380" i="2"/>
  <c r="L11380" i="2"/>
  <c r="E11380" i="2"/>
  <c r="D11380" i="2"/>
  <c r="B11380" i="2"/>
  <c r="A11380" i="2"/>
  <c r="O11379" i="2"/>
  <c r="M11379" i="2"/>
  <c r="L11379" i="2"/>
  <c r="E11379" i="2"/>
  <c r="D11379" i="2"/>
  <c r="B11379" i="2"/>
  <c r="A11379" i="2"/>
  <c r="O11378" i="2"/>
  <c r="M11378" i="2"/>
  <c r="L11378" i="2"/>
  <c r="E11378" i="2"/>
  <c r="D11378" i="2"/>
  <c r="B11378" i="2"/>
  <c r="A11378" i="2"/>
  <c r="O11377" i="2"/>
  <c r="M11377" i="2"/>
  <c r="L11377" i="2"/>
  <c r="E11377" i="2"/>
  <c r="D11377" i="2"/>
  <c r="B11377" i="2"/>
  <c r="A11377" i="2"/>
  <c r="O11376" i="2"/>
  <c r="M11376" i="2"/>
  <c r="L11376" i="2"/>
  <c r="E11376" i="2"/>
  <c r="D11376" i="2"/>
  <c r="B11376" i="2"/>
  <c r="A11376" i="2"/>
  <c r="O11375" i="2"/>
  <c r="M11375" i="2"/>
  <c r="L11375" i="2"/>
  <c r="E11375" i="2"/>
  <c r="D11375" i="2"/>
  <c r="B11375" i="2"/>
  <c r="A11375" i="2"/>
  <c r="O11374" i="2"/>
  <c r="O11373" i="2"/>
  <c r="O11372" i="2"/>
  <c r="M11372" i="2"/>
  <c r="L11372" i="2"/>
  <c r="E11372" i="2"/>
  <c r="D11372" i="2"/>
  <c r="B11372" i="2"/>
  <c r="A11372" i="2"/>
  <c r="O11371" i="2"/>
  <c r="O11370" i="2"/>
  <c r="M11370" i="2"/>
  <c r="L11370" i="2"/>
  <c r="E11370" i="2"/>
  <c r="D11370" i="2"/>
  <c r="B11370" i="2"/>
  <c r="A11370" i="2"/>
  <c r="O11369" i="2"/>
  <c r="O11368" i="2"/>
  <c r="M11368" i="2"/>
  <c r="L11368" i="2"/>
  <c r="E11368" i="2"/>
  <c r="D11368" i="2"/>
  <c r="B11368" i="2"/>
  <c r="A11368" i="2"/>
  <c r="O11367" i="2"/>
  <c r="M11367" i="2"/>
  <c r="L11367" i="2"/>
  <c r="E11367" i="2"/>
  <c r="D11367" i="2"/>
  <c r="B11367" i="2"/>
  <c r="A11367" i="2"/>
  <c r="O11366" i="2"/>
  <c r="M11366" i="2"/>
  <c r="L11366" i="2"/>
  <c r="E11366" i="2"/>
  <c r="D11366" i="2"/>
  <c r="B11366" i="2"/>
  <c r="A11366" i="2"/>
  <c r="O11365" i="2"/>
  <c r="O11364" i="2"/>
  <c r="O11363" i="2"/>
  <c r="M11363" i="2"/>
  <c r="L11363" i="2"/>
  <c r="E11363" i="2"/>
  <c r="D11363" i="2"/>
  <c r="B11363" i="2"/>
  <c r="A11363" i="2"/>
  <c r="O11362" i="2"/>
  <c r="O11361" i="2"/>
  <c r="O11360" i="2"/>
  <c r="O11359" i="2"/>
  <c r="M11359" i="2"/>
  <c r="L11359" i="2"/>
  <c r="E11359" i="2"/>
  <c r="D11359" i="2"/>
  <c r="B11359" i="2"/>
  <c r="A11359" i="2"/>
  <c r="O11358" i="2"/>
  <c r="O11357" i="2"/>
  <c r="M11357" i="2"/>
  <c r="L11357" i="2"/>
  <c r="E11357" i="2"/>
  <c r="D11357" i="2"/>
  <c r="B11357" i="2"/>
  <c r="A11357" i="2"/>
  <c r="O11356" i="2"/>
  <c r="O11355" i="2"/>
  <c r="M11355" i="2"/>
  <c r="L11355" i="2"/>
  <c r="E11355" i="2"/>
  <c r="D11355" i="2"/>
  <c r="B11355" i="2"/>
  <c r="A11355" i="2"/>
  <c r="O11354" i="2"/>
  <c r="O11353" i="2"/>
  <c r="M11353" i="2"/>
  <c r="L11353" i="2"/>
  <c r="E11353" i="2"/>
  <c r="D11353" i="2"/>
  <c r="B11353" i="2"/>
  <c r="A11353" i="2"/>
  <c r="O11352" i="2"/>
  <c r="O11351" i="2"/>
  <c r="O11350" i="2"/>
  <c r="M11350" i="2"/>
  <c r="L11350" i="2"/>
  <c r="E11350" i="2"/>
  <c r="D11350" i="2"/>
  <c r="B11350" i="2"/>
  <c r="A11350" i="2"/>
  <c r="O11349" i="2"/>
  <c r="O11348" i="2"/>
  <c r="M11348" i="2"/>
  <c r="L11348" i="2"/>
  <c r="E11348" i="2"/>
  <c r="D11348" i="2"/>
  <c r="B11348" i="2"/>
  <c r="A11348" i="2"/>
  <c r="O11347" i="2"/>
  <c r="O11346" i="2"/>
  <c r="M11346" i="2"/>
  <c r="L11346" i="2"/>
  <c r="E11346" i="2"/>
  <c r="D11346" i="2"/>
  <c r="B11346" i="2"/>
  <c r="A11346" i="2"/>
  <c r="O11345" i="2"/>
  <c r="O11344" i="2"/>
  <c r="O11343" i="2"/>
  <c r="M11343" i="2"/>
  <c r="L11343" i="2"/>
  <c r="E11343" i="2"/>
  <c r="D11343" i="2"/>
  <c r="B11343" i="2"/>
  <c r="A11343" i="2"/>
  <c r="O11342" i="2"/>
  <c r="O11341" i="2"/>
  <c r="O11340" i="2"/>
  <c r="O11339" i="2"/>
  <c r="M11339" i="2"/>
  <c r="L11339" i="2"/>
  <c r="E11339" i="2"/>
  <c r="D11339" i="2"/>
  <c r="B11339" i="2"/>
  <c r="A11339" i="2"/>
  <c r="O11338" i="2"/>
  <c r="M11338" i="2"/>
  <c r="L11338" i="2"/>
  <c r="E11338" i="2"/>
  <c r="D11338" i="2"/>
  <c r="B11338" i="2"/>
  <c r="A11338" i="2"/>
  <c r="O11337" i="2"/>
  <c r="M11337" i="2"/>
  <c r="L11337" i="2"/>
  <c r="E11337" i="2"/>
  <c r="D11337" i="2"/>
  <c r="B11337" i="2"/>
  <c r="A11337" i="2"/>
  <c r="O11336" i="2"/>
  <c r="O11335" i="2"/>
  <c r="O11334" i="2"/>
  <c r="O11333" i="2"/>
  <c r="M11333" i="2"/>
  <c r="L11333" i="2"/>
  <c r="E11333" i="2"/>
  <c r="D11333" i="2"/>
  <c r="B11333" i="2"/>
  <c r="A11333" i="2"/>
  <c r="O11332" i="2"/>
  <c r="M11332" i="2"/>
  <c r="L11332" i="2"/>
  <c r="E11332" i="2"/>
  <c r="D11332" i="2"/>
  <c r="B11332" i="2"/>
  <c r="A11332" i="2"/>
  <c r="O11331" i="2"/>
  <c r="M11331" i="2"/>
  <c r="L11331" i="2"/>
  <c r="E11331" i="2"/>
  <c r="D11331" i="2"/>
  <c r="B11331" i="2"/>
  <c r="A11331" i="2"/>
  <c r="O11330" i="2"/>
  <c r="O11329" i="2"/>
  <c r="M11329" i="2"/>
  <c r="L11329" i="2"/>
  <c r="E11329" i="2"/>
  <c r="D11329" i="2"/>
  <c r="B11329" i="2"/>
  <c r="A11329" i="2"/>
  <c r="O11328" i="2"/>
  <c r="O11327" i="2"/>
  <c r="O11326" i="2"/>
  <c r="M11326" i="2"/>
  <c r="L11326" i="2"/>
  <c r="E11326" i="2"/>
  <c r="D11326" i="2"/>
  <c r="B11326" i="2"/>
  <c r="A11326" i="2"/>
  <c r="O11325" i="2"/>
  <c r="M11325" i="2"/>
  <c r="L11325" i="2"/>
  <c r="E11325" i="2"/>
  <c r="D11325" i="2"/>
  <c r="B11325" i="2"/>
  <c r="A11325" i="2"/>
  <c r="O11324" i="2"/>
  <c r="M11324" i="2"/>
  <c r="L11324" i="2"/>
  <c r="E11324" i="2"/>
  <c r="D11324" i="2"/>
  <c r="B11324" i="2"/>
  <c r="A11324" i="2"/>
  <c r="O11323" i="2"/>
  <c r="M11323" i="2"/>
  <c r="L11323" i="2"/>
  <c r="E11323" i="2"/>
  <c r="D11323" i="2"/>
  <c r="B11323" i="2"/>
  <c r="A11323" i="2"/>
  <c r="O11322" i="2"/>
  <c r="M11322" i="2"/>
  <c r="L11322" i="2"/>
  <c r="E11322" i="2"/>
  <c r="D11322" i="2"/>
  <c r="B11322" i="2"/>
  <c r="A11322" i="2"/>
  <c r="O11321" i="2"/>
  <c r="O11320" i="2"/>
  <c r="O11319" i="2"/>
  <c r="M11319" i="2"/>
  <c r="L11319" i="2"/>
  <c r="E11319" i="2"/>
  <c r="D11319" i="2"/>
  <c r="B11319" i="2"/>
  <c r="A11319" i="2"/>
  <c r="O11318" i="2"/>
  <c r="O11317" i="2"/>
  <c r="O11316" i="2"/>
  <c r="M11316" i="2"/>
  <c r="L11316" i="2"/>
  <c r="E11316" i="2"/>
  <c r="D11316" i="2"/>
  <c r="B11316" i="2"/>
  <c r="A11316" i="2"/>
  <c r="O11315" i="2"/>
  <c r="O11314" i="2"/>
  <c r="O11313" i="2"/>
  <c r="O11312" i="2"/>
  <c r="M11312" i="2"/>
  <c r="L11312" i="2"/>
  <c r="E11312" i="2"/>
  <c r="D11312" i="2"/>
  <c r="B11312" i="2"/>
  <c r="A11312" i="2"/>
  <c r="O11311" i="2"/>
  <c r="O11310" i="2"/>
  <c r="O11309" i="2"/>
  <c r="O11308" i="2"/>
  <c r="O11307" i="2"/>
  <c r="O11306" i="2"/>
  <c r="O11305" i="2"/>
  <c r="O11304" i="2"/>
  <c r="M11304" i="2"/>
  <c r="L11304" i="2"/>
  <c r="E11304" i="2"/>
  <c r="D11304" i="2"/>
  <c r="B11304" i="2"/>
  <c r="A11304" i="2"/>
  <c r="O11303" i="2"/>
  <c r="M11303" i="2"/>
  <c r="L11303" i="2"/>
  <c r="E11303" i="2"/>
  <c r="D11303" i="2"/>
  <c r="B11303" i="2"/>
  <c r="A11303" i="2"/>
  <c r="O11302" i="2"/>
  <c r="O11301" i="2"/>
  <c r="M11301" i="2"/>
  <c r="L11301" i="2"/>
  <c r="E11301" i="2"/>
  <c r="D11301" i="2"/>
  <c r="B11301" i="2"/>
  <c r="A11301" i="2"/>
  <c r="O11300" i="2"/>
  <c r="M11300" i="2"/>
  <c r="L11300" i="2"/>
  <c r="E11300" i="2"/>
  <c r="D11300" i="2"/>
  <c r="B11300" i="2"/>
  <c r="A11300" i="2"/>
  <c r="O11299" i="2"/>
  <c r="O11298" i="2"/>
  <c r="O11297" i="2"/>
  <c r="O11296" i="2"/>
  <c r="O11295" i="2"/>
  <c r="M11295" i="2"/>
  <c r="L11295" i="2"/>
  <c r="E11295" i="2"/>
  <c r="D11295" i="2"/>
  <c r="B11295" i="2"/>
  <c r="A11295" i="2"/>
  <c r="O11294" i="2"/>
  <c r="M11294" i="2"/>
  <c r="L11294" i="2"/>
  <c r="E11294" i="2"/>
  <c r="D11294" i="2"/>
  <c r="B11294" i="2"/>
  <c r="A11294" i="2"/>
  <c r="O11293" i="2"/>
  <c r="M11293" i="2"/>
  <c r="L11293" i="2"/>
  <c r="E11293" i="2"/>
  <c r="D11293" i="2"/>
  <c r="B11293" i="2"/>
  <c r="A11293" i="2"/>
  <c r="O11292" i="2"/>
  <c r="M11292" i="2"/>
  <c r="L11292" i="2"/>
  <c r="E11292" i="2"/>
  <c r="D11292" i="2"/>
  <c r="B11292" i="2"/>
  <c r="A11292" i="2"/>
  <c r="O11291" i="2"/>
  <c r="M11291" i="2"/>
  <c r="L11291" i="2"/>
  <c r="E11291" i="2"/>
  <c r="D11291" i="2"/>
  <c r="B11291" i="2"/>
  <c r="A11291" i="2"/>
  <c r="O11290" i="2"/>
  <c r="M11290" i="2"/>
  <c r="L11290" i="2"/>
  <c r="E11290" i="2"/>
  <c r="D11290" i="2"/>
  <c r="B11290" i="2"/>
  <c r="A11290" i="2"/>
  <c r="O11289" i="2"/>
  <c r="M11289" i="2"/>
  <c r="L11289" i="2"/>
  <c r="E11289" i="2"/>
  <c r="D11289" i="2"/>
  <c r="B11289" i="2"/>
  <c r="A11289" i="2"/>
  <c r="O11288" i="2"/>
  <c r="O11287" i="2"/>
  <c r="O11286" i="2"/>
  <c r="O11285" i="2"/>
  <c r="M11285" i="2"/>
  <c r="L11285" i="2"/>
  <c r="E11285" i="2"/>
  <c r="D11285" i="2"/>
  <c r="B11285" i="2"/>
  <c r="A11285" i="2"/>
  <c r="O11284" i="2"/>
  <c r="M11284" i="2"/>
  <c r="L11284" i="2"/>
  <c r="E11284" i="2"/>
  <c r="D11284" i="2"/>
  <c r="B11284" i="2"/>
  <c r="A11284" i="2"/>
  <c r="O11283" i="2"/>
  <c r="O11282" i="2"/>
  <c r="O11281" i="2"/>
  <c r="M11281" i="2"/>
  <c r="L11281" i="2"/>
  <c r="E11281" i="2"/>
  <c r="D11281" i="2"/>
  <c r="B11281" i="2"/>
  <c r="A11281" i="2"/>
  <c r="O11280" i="2"/>
  <c r="M11280" i="2"/>
  <c r="L11280" i="2"/>
  <c r="E11280" i="2"/>
  <c r="D11280" i="2"/>
  <c r="B11280" i="2"/>
  <c r="A11280" i="2"/>
  <c r="O11279" i="2"/>
  <c r="M11279" i="2"/>
  <c r="L11279" i="2"/>
  <c r="E11279" i="2"/>
  <c r="D11279" i="2"/>
  <c r="B11279" i="2"/>
  <c r="A11279" i="2"/>
  <c r="O11278" i="2"/>
  <c r="O11277" i="2"/>
  <c r="O11276" i="2"/>
  <c r="M11276" i="2"/>
  <c r="L11276" i="2"/>
  <c r="E11276" i="2"/>
  <c r="D11276" i="2"/>
  <c r="B11276" i="2"/>
  <c r="A11276" i="2"/>
  <c r="O11275" i="2"/>
  <c r="M11275" i="2"/>
  <c r="L11275" i="2"/>
  <c r="E11275" i="2"/>
  <c r="D11275" i="2"/>
  <c r="B11275" i="2"/>
  <c r="A11275" i="2"/>
  <c r="O11274" i="2"/>
  <c r="O11273" i="2"/>
  <c r="O11272" i="2"/>
  <c r="M11272" i="2"/>
  <c r="L11272" i="2"/>
  <c r="E11272" i="2"/>
  <c r="D11272" i="2"/>
  <c r="B11272" i="2"/>
  <c r="A11272" i="2"/>
  <c r="O11271" i="2"/>
  <c r="M11271" i="2"/>
  <c r="L11271" i="2"/>
  <c r="E11271" i="2"/>
  <c r="D11271" i="2"/>
  <c r="B11271" i="2"/>
  <c r="A11271" i="2"/>
  <c r="O11270" i="2"/>
  <c r="O11269" i="2"/>
  <c r="O11268" i="2"/>
  <c r="M11268" i="2"/>
  <c r="L11268" i="2"/>
  <c r="E11268" i="2"/>
  <c r="D11268" i="2"/>
  <c r="B11268" i="2"/>
  <c r="A11268" i="2"/>
  <c r="O11267" i="2"/>
  <c r="M11267" i="2"/>
  <c r="L11267" i="2"/>
  <c r="E11267" i="2"/>
  <c r="D11267" i="2"/>
  <c r="B11267" i="2"/>
  <c r="A11267" i="2"/>
  <c r="O11266" i="2"/>
  <c r="M11266" i="2"/>
  <c r="L11266" i="2"/>
  <c r="E11266" i="2"/>
  <c r="D11266" i="2"/>
  <c r="B11266" i="2"/>
  <c r="A11266" i="2"/>
  <c r="O11265" i="2"/>
  <c r="M11265" i="2"/>
  <c r="L11265" i="2"/>
  <c r="E11265" i="2"/>
  <c r="D11265" i="2"/>
  <c r="B11265" i="2"/>
  <c r="A11265" i="2"/>
  <c r="O11264" i="2"/>
  <c r="M11264" i="2"/>
  <c r="L11264" i="2"/>
  <c r="E11264" i="2"/>
  <c r="D11264" i="2"/>
  <c r="B11264" i="2"/>
  <c r="A11264" i="2"/>
  <c r="O11263" i="2"/>
  <c r="O11262" i="2"/>
  <c r="M11262" i="2"/>
  <c r="L11262" i="2"/>
  <c r="E11262" i="2"/>
  <c r="D11262" i="2"/>
  <c r="B11262" i="2"/>
  <c r="A11262" i="2"/>
  <c r="O11261" i="2"/>
  <c r="M11261" i="2"/>
  <c r="L11261" i="2"/>
  <c r="E11261" i="2"/>
  <c r="D11261" i="2"/>
  <c r="B11261" i="2"/>
  <c r="A11261" i="2"/>
  <c r="O11260" i="2"/>
  <c r="O11259" i="2"/>
  <c r="O11258" i="2"/>
  <c r="O11257" i="2"/>
  <c r="O11256" i="2"/>
  <c r="M11256" i="2"/>
  <c r="L11256" i="2"/>
  <c r="E11256" i="2"/>
  <c r="D11256" i="2"/>
  <c r="B11256" i="2"/>
  <c r="A11256" i="2"/>
  <c r="O11255" i="2"/>
  <c r="O11254" i="2"/>
  <c r="M11254" i="2"/>
  <c r="L11254" i="2"/>
  <c r="E11254" i="2"/>
  <c r="D11254" i="2"/>
  <c r="B11254" i="2"/>
  <c r="A11254" i="2"/>
  <c r="O11253" i="2"/>
  <c r="O11252" i="2"/>
  <c r="O11251" i="2"/>
  <c r="O11250" i="2"/>
  <c r="O11249" i="2"/>
  <c r="O11248" i="2"/>
  <c r="M11248" i="2"/>
  <c r="L11248" i="2"/>
  <c r="E11248" i="2"/>
  <c r="D11248" i="2"/>
  <c r="B11248" i="2"/>
  <c r="A11248" i="2"/>
  <c r="O11247" i="2"/>
  <c r="O11246" i="2"/>
  <c r="O11245" i="2"/>
  <c r="O11244" i="2"/>
  <c r="O11243" i="2"/>
  <c r="M11243" i="2"/>
  <c r="L11243" i="2"/>
  <c r="E11243" i="2"/>
  <c r="D11243" i="2"/>
  <c r="B11243" i="2"/>
  <c r="A11243" i="2"/>
  <c r="O11242" i="2"/>
  <c r="O11241" i="2"/>
  <c r="M11241" i="2"/>
  <c r="L11241" i="2"/>
  <c r="E11241" i="2"/>
  <c r="D11241" i="2"/>
  <c r="B11241" i="2"/>
  <c r="A11241" i="2"/>
  <c r="O11240" i="2"/>
  <c r="O11239" i="2"/>
  <c r="O11238" i="2"/>
  <c r="M11238" i="2"/>
  <c r="L11238" i="2"/>
  <c r="E11238" i="2"/>
  <c r="D11238" i="2"/>
  <c r="B11238" i="2"/>
  <c r="A11238" i="2"/>
  <c r="O11237" i="2"/>
  <c r="O11236" i="2"/>
  <c r="M11236" i="2"/>
  <c r="L11236" i="2"/>
  <c r="E11236" i="2"/>
  <c r="D11236" i="2"/>
  <c r="B11236" i="2"/>
  <c r="A11236" i="2"/>
  <c r="O11235" i="2"/>
  <c r="M11235" i="2"/>
  <c r="L11235" i="2"/>
  <c r="E11235" i="2"/>
  <c r="D11235" i="2"/>
  <c r="B11235" i="2"/>
  <c r="A11235" i="2"/>
  <c r="O11234" i="2"/>
  <c r="M11234" i="2"/>
  <c r="L11234" i="2"/>
  <c r="E11234" i="2"/>
  <c r="D11234" i="2"/>
  <c r="B11234" i="2"/>
  <c r="A11234" i="2"/>
  <c r="O11233" i="2"/>
  <c r="O11232" i="2"/>
  <c r="O11231" i="2"/>
  <c r="O11230" i="2"/>
  <c r="M11230" i="2"/>
  <c r="L11230" i="2"/>
  <c r="E11230" i="2"/>
  <c r="D11230" i="2"/>
  <c r="B11230" i="2"/>
  <c r="A11230" i="2"/>
  <c r="O11229" i="2"/>
  <c r="M11229" i="2"/>
  <c r="L11229" i="2"/>
  <c r="E11229" i="2"/>
  <c r="D11229" i="2"/>
  <c r="B11229" i="2"/>
  <c r="A11229" i="2"/>
  <c r="O11228" i="2"/>
  <c r="O11227" i="2"/>
  <c r="O11226" i="2"/>
  <c r="M11226" i="2"/>
  <c r="L11226" i="2"/>
  <c r="E11226" i="2"/>
  <c r="D11226" i="2"/>
  <c r="B11226" i="2"/>
  <c r="A11226" i="2"/>
  <c r="O11225" i="2"/>
  <c r="O11224" i="2"/>
  <c r="M11224" i="2"/>
  <c r="L11224" i="2"/>
  <c r="E11224" i="2"/>
  <c r="D11224" i="2"/>
  <c r="B11224" i="2"/>
  <c r="A11224" i="2"/>
  <c r="O11223" i="2"/>
  <c r="M11223" i="2"/>
  <c r="L11223" i="2"/>
  <c r="E11223" i="2"/>
  <c r="D11223" i="2"/>
  <c r="B11223" i="2"/>
  <c r="A11223" i="2"/>
  <c r="O11222" i="2"/>
  <c r="O11221" i="2"/>
  <c r="O11220" i="2"/>
  <c r="O11219" i="2"/>
  <c r="O11218" i="2"/>
  <c r="M11218" i="2"/>
  <c r="L11218" i="2"/>
  <c r="E11218" i="2"/>
  <c r="D11218" i="2"/>
  <c r="B11218" i="2"/>
  <c r="A11218" i="2"/>
  <c r="O11217" i="2"/>
  <c r="O11216" i="2"/>
  <c r="M11216" i="2"/>
  <c r="L11216" i="2"/>
  <c r="E11216" i="2"/>
  <c r="D11216" i="2"/>
  <c r="B11216" i="2"/>
  <c r="A11216" i="2"/>
  <c r="O11215" i="2"/>
  <c r="M11215" i="2"/>
  <c r="L11215" i="2"/>
  <c r="E11215" i="2"/>
  <c r="D11215" i="2"/>
  <c r="B11215" i="2"/>
  <c r="A11215" i="2"/>
  <c r="O11214" i="2"/>
  <c r="M11214" i="2"/>
  <c r="L11214" i="2"/>
  <c r="E11214" i="2"/>
  <c r="D11214" i="2"/>
  <c r="B11214" i="2"/>
  <c r="A11214" i="2"/>
  <c r="O11213" i="2"/>
  <c r="O11212" i="2"/>
  <c r="M11212" i="2"/>
  <c r="L11212" i="2"/>
  <c r="E11212" i="2"/>
  <c r="D11212" i="2"/>
  <c r="B11212" i="2"/>
  <c r="A11212" i="2"/>
  <c r="O11211" i="2"/>
  <c r="M11211" i="2"/>
  <c r="L11211" i="2"/>
  <c r="E11211" i="2"/>
  <c r="D11211" i="2"/>
  <c r="B11211" i="2"/>
  <c r="A11211" i="2"/>
  <c r="O11210" i="2"/>
  <c r="M11210" i="2"/>
  <c r="L11210" i="2"/>
  <c r="E11210" i="2"/>
  <c r="D11210" i="2"/>
  <c r="B11210" i="2"/>
  <c r="A11210" i="2"/>
  <c r="O11209" i="2"/>
  <c r="O11208" i="2"/>
  <c r="M11208" i="2"/>
  <c r="L11208" i="2"/>
  <c r="E11208" i="2"/>
  <c r="D11208" i="2"/>
  <c r="B11208" i="2"/>
  <c r="A11208" i="2"/>
  <c r="O11207" i="2"/>
  <c r="O11206" i="2"/>
  <c r="M11206" i="2"/>
  <c r="L11206" i="2"/>
  <c r="E11206" i="2"/>
  <c r="D11206" i="2"/>
  <c r="B11206" i="2"/>
  <c r="A11206" i="2"/>
  <c r="O11205" i="2"/>
  <c r="O11204" i="2"/>
  <c r="O11203" i="2"/>
  <c r="O11202" i="2"/>
  <c r="O11201" i="2"/>
  <c r="M11201" i="2"/>
  <c r="L11201" i="2"/>
  <c r="E11201" i="2"/>
  <c r="D11201" i="2"/>
  <c r="B11201" i="2"/>
  <c r="A11201" i="2"/>
  <c r="O11200" i="2"/>
  <c r="O11199" i="2"/>
  <c r="O11198" i="2"/>
  <c r="O11197" i="2"/>
  <c r="O11196" i="2"/>
  <c r="M11196" i="2"/>
  <c r="L11196" i="2"/>
  <c r="E11196" i="2"/>
  <c r="D11196" i="2"/>
  <c r="B11196" i="2"/>
  <c r="A11196" i="2"/>
  <c r="O11195" i="2"/>
  <c r="O11194" i="2"/>
  <c r="O11193" i="2"/>
  <c r="O11192" i="2"/>
  <c r="O11191" i="2"/>
  <c r="O11190" i="2"/>
  <c r="O11189" i="2"/>
  <c r="O11188" i="2"/>
  <c r="O11187" i="2"/>
  <c r="O11186" i="2"/>
  <c r="O11185" i="2"/>
  <c r="M11185" i="2"/>
  <c r="L11185" i="2"/>
  <c r="E11185" i="2"/>
  <c r="D11185" i="2"/>
  <c r="B11185" i="2"/>
  <c r="A11185" i="2"/>
  <c r="O11184" i="2"/>
  <c r="O11183" i="2"/>
  <c r="M11183" i="2"/>
  <c r="L11183" i="2"/>
  <c r="E11183" i="2"/>
  <c r="D11183" i="2"/>
  <c r="B11183" i="2"/>
  <c r="A11183" i="2"/>
  <c r="O11182" i="2"/>
  <c r="M11182" i="2"/>
  <c r="L11182" i="2"/>
  <c r="E11182" i="2"/>
  <c r="D11182" i="2"/>
  <c r="B11182" i="2"/>
  <c r="A11182" i="2"/>
  <c r="O11181" i="2"/>
  <c r="O11180" i="2"/>
  <c r="M11180" i="2"/>
  <c r="L11180" i="2"/>
  <c r="E11180" i="2"/>
  <c r="D11180" i="2"/>
  <c r="B11180" i="2"/>
  <c r="A11180" i="2"/>
  <c r="O11179" i="2"/>
  <c r="O11178" i="2"/>
  <c r="O11177" i="2"/>
  <c r="O11176" i="2"/>
  <c r="M11176" i="2"/>
  <c r="L11176" i="2"/>
  <c r="E11176" i="2"/>
  <c r="D11176" i="2"/>
  <c r="B11176" i="2"/>
  <c r="A11176" i="2"/>
  <c r="O11175" i="2"/>
  <c r="O11174" i="2"/>
  <c r="M11174" i="2"/>
  <c r="L11174" i="2"/>
  <c r="E11174" i="2"/>
  <c r="D11174" i="2"/>
  <c r="B11174" i="2"/>
  <c r="A11174" i="2"/>
  <c r="O11173" i="2"/>
  <c r="M11173" i="2"/>
  <c r="L11173" i="2"/>
  <c r="E11173" i="2"/>
  <c r="D11173" i="2"/>
  <c r="B11173" i="2"/>
  <c r="A11173" i="2"/>
  <c r="O11172" i="2"/>
  <c r="M11172" i="2"/>
  <c r="L11172" i="2"/>
  <c r="E11172" i="2"/>
  <c r="D11172" i="2"/>
  <c r="B11172" i="2"/>
  <c r="A11172" i="2"/>
  <c r="O11171" i="2"/>
  <c r="M11171" i="2"/>
  <c r="L11171" i="2"/>
  <c r="E11171" i="2"/>
  <c r="D11171" i="2"/>
  <c r="B11171" i="2"/>
  <c r="A11171" i="2"/>
  <c r="O11170" i="2"/>
  <c r="M11170" i="2"/>
  <c r="L11170" i="2"/>
  <c r="E11170" i="2"/>
  <c r="D11170" i="2"/>
  <c r="B11170" i="2"/>
  <c r="A11170" i="2"/>
  <c r="O11169" i="2"/>
  <c r="O11168" i="2"/>
  <c r="M11168" i="2"/>
  <c r="L11168" i="2"/>
  <c r="E11168" i="2"/>
  <c r="D11168" i="2"/>
  <c r="B11168" i="2"/>
  <c r="A11168" i="2"/>
  <c r="O11167" i="2"/>
  <c r="O11166" i="2"/>
  <c r="M11166" i="2"/>
  <c r="L11166" i="2"/>
  <c r="E11166" i="2"/>
  <c r="D11166" i="2"/>
  <c r="B11166" i="2"/>
  <c r="A11166" i="2"/>
  <c r="O11165" i="2"/>
  <c r="M11165" i="2"/>
  <c r="L11165" i="2"/>
  <c r="E11165" i="2"/>
  <c r="D11165" i="2"/>
  <c r="B11165" i="2"/>
  <c r="A11165" i="2"/>
  <c r="O11164" i="2"/>
  <c r="M11164" i="2"/>
  <c r="L11164" i="2"/>
  <c r="E11164" i="2"/>
  <c r="D11164" i="2"/>
  <c r="B11164" i="2"/>
  <c r="A11164" i="2"/>
  <c r="O11163" i="2"/>
  <c r="O11162" i="2"/>
  <c r="M11162" i="2"/>
  <c r="L11162" i="2"/>
  <c r="E11162" i="2"/>
  <c r="D11162" i="2"/>
  <c r="B11162" i="2"/>
  <c r="A11162" i="2"/>
  <c r="O11161" i="2"/>
  <c r="O11160" i="2"/>
  <c r="O11159" i="2"/>
  <c r="M11159" i="2"/>
  <c r="L11159" i="2"/>
  <c r="E11159" i="2"/>
  <c r="D11159" i="2"/>
  <c r="B11159" i="2"/>
  <c r="A11159" i="2"/>
  <c r="O11158" i="2"/>
  <c r="O11157" i="2"/>
  <c r="M11157" i="2"/>
  <c r="L11157" i="2"/>
  <c r="E11157" i="2"/>
  <c r="D11157" i="2"/>
  <c r="B11157" i="2"/>
  <c r="A11157" i="2"/>
  <c r="O11156" i="2"/>
  <c r="O11155" i="2"/>
  <c r="M11155" i="2"/>
  <c r="L11155" i="2"/>
  <c r="E11155" i="2"/>
  <c r="D11155" i="2"/>
  <c r="B11155" i="2"/>
  <c r="A11155" i="2"/>
  <c r="O11154" i="2"/>
  <c r="M11154" i="2"/>
  <c r="L11154" i="2"/>
  <c r="E11154" i="2"/>
  <c r="D11154" i="2"/>
  <c r="B11154" i="2"/>
  <c r="A11154" i="2"/>
  <c r="O11153" i="2"/>
  <c r="O11152" i="2"/>
  <c r="M11152" i="2"/>
  <c r="L11152" i="2"/>
  <c r="E11152" i="2"/>
  <c r="D11152" i="2"/>
  <c r="B11152" i="2"/>
  <c r="A11152" i="2"/>
  <c r="O11151" i="2"/>
  <c r="O11150" i="2"/>
  <c r="O11149" i="2"/>
  <c r="O11148" i="2"/>
  <c r="M11148" i="2"/>
  <c r="L11148" i="2"/>
  <c r="E11148" i="2"/>
  <c r="D11148" i="2"/>
  <c r="B11148" i="2"/>
  <c r="A11148" i="2"/>
  <c r="O11147" i="2"/>
  <c r="O11146" i="2"/>
  <c r="M11146" i="2"/>
  <c r="L11146" i="2"/>
  <c r="E11146" i="2"/>
  <c r="D11146" i="2"/>
  <c r="B11146" i="2"/>
  <c r="A11146" i="2"/>
  <c r="O11145" i="2"/>
  <c r="M11145" i="2"/>
  <c r="L11145" i="2"/>
  <c r="E11145" i="2"/>
  <c r="D11145" i="2"/>
  <c r="B11145" i="2"/>
  <c r="A11145" i="2"/>
  <c r="O11144" i="2"/>
  <c r="M11144" i="2"/>
  <c r="L11144" i="2"/>
  <c r="E11144" i="2"/>
  <c r="D11144" i="2"/>
  <c r="B11144" i="2"/>
  <c r="A11144" i="2"/>
  <c r="O11143" i="2"/>
  <c r="M11143" i="2"/>
  <c r="L11143" i="2"/>
  <c r="E11143" i="2"/>
  <c r="D11143" i="2"/>
  <c r="B11143" i="2"/>
  <c r="A11143" i="2"/>
  <c r="O11142" i="2"/>
  <c r="O11141" i="2"/>
  <c r="M11141" i="2"/>
  <c r="L11141" i="2"/>
  <c r="E11141" i="2"/>
  <c r="D11141" i="2"/>
  <c r="B11141" i="2"/>
  <c r="A11141" i="2"/>
  <c r="O11140" i="2"/>
  <c r="O11139" i="2"/>
  <c r="M11139" i="2"/>
  <c r="L11139" i="2"/>
  <c r="E11139" i="2"/>
  <c r="D11139" i="2"/>
  <c r="B11139" i="2"/>
  <c r="A11139" i="2"/>
  <c r="O11138" i="2"/>
  <c r="O11137" i="2"/>
  <c r="M11137" i="2"/>
  <c r="L11137" i="2"/>
  <c r="E11137" i="2"/>
  <c r="D11137" i="2"/>
  <c r="B11137" i="2"/>
  <c r="A11137" i="2"/>
  <c r="O11136" i="2"/>
  <c r="M11136" i="2"/>
  <c r="L11136" i="2"/>
  <c r="E11136" i="2"/>
  <c r="D11136" i="2"/>
  <c r="B11136" i="2"/>
  <c r="A11136" i="2"/>
  <c r="O11135" i="2"/>
  <c r="M11135" i="2"/>
  <c r="L11135" i="2"/>
  <c r="E11135" i="2"/>
  <c r="D11135" i="2"/>
  <c r="B11135" i="2"/>
  <c r="A11135" i="2"/>
  <c r="O11134" i="2"/>
  <c r="O11133" i="2"/>
  <c r="M11133" i="2"/>
  <c r="L11133" i="2"/>
  <c r="E11133" i="2"/>
  <c r="D11133" i="2"/>
  <c r="B11133" i="2"/>
  <c r="A11133" i="2"/>
  <c r="O11132" i="2"/>
  <c r="M11132" i="2"/>
  <c r="L11132" i="2"/>
  <c r="E11132" i="2"/>
  <c r="D11132" i="2"/>
  <c r="B11132" i="2"/>
  <c r="A11132" i="2"/>
  <c r="O11131" i="2"/>
  <c r="O11130" i="2"/>
  <c r="M11130" i="2"/>
  <c r="L11130" i="2"/>
  <c r="E11130" i="2"/>
  <c r="D11130" i="2"/>
  <c r="B11130" i="2"/>
  <c r="A11130" i="2"/>
  <c r="O11129" i="2"/>
  <c r="M11129" i="2"/>
  <c r="L11129" i="2"/>
  <c r="E11129" i="2"/>
  <c r="D11129" i="2"/>
  <c r="B11129" i="2"/>
  <c r="A11129" i="2"/>
  <c r="O11128" i="2"/>
  <c r="O11127" i="2"/>
  <c r="M11127" i="2"/>
  <c r="L11127" i="2"/>
  <c r="E11127" i="2"/>
  <c r="D11127" i="2"/>
  <c r="B11127" i="2"/>
  <c r="A11127" i="2"/>
  <c r="O11126" i="2"/>
  <c r="M11126" i="2"/>
  <c r="L11126" i="2"/>
  <c r="E11126" i="2"/>
  <c r="D11126" i="2"/>
  <c r="B11126" i="2"/>
  <c r="A11126" i="2"/>
  <c r="O11125" i="2"/>
  <c r="M11125" i="2"/>
  <c r="L11125" i="2"/>
  <c r="E11125" i="2"/>
  <c r="D11125" i="2"/>
  <c r="B11125" i="2"/>
  <c r="A11125" i="2"/>
  <c r="O11124" i="2"/>
  <c r="M11124" i="2"/>
  <c r="L11124" i="2"/>
  <c r="E11124" i="2"/>
  <c r="D11124" i="2"/>
  <c r="B11124" i="2"/>
  <c r="A11124" i="2"/>
  <c r="O11123" i="2"/>
  <c r="M11123" i="2"/>
  <c r="L11123" i="2"/>
  <c r="E11123" i="2"/>
  <c r="D11123" i="2"/>
  <c r="B11123" i="2"/>
  <c r="A11123" i="2"/>
  <c r="O11122" i="2"/>
  <c r="M11122" i="2"/>
  <c r="L11122" i="2"/>
  <c r="E11122" i="2"/>
  <c r="D11122" i="2"/>
  <c r="B11122" i="2"/>
  <c r="A11122" i="2"/>
  <c r="O11121" i="2"/>
  <c r="M11121" i="2"/>
  <c r="L11121" i="2"/>
  <c r="E11121" i="2"/>
  <c r="D11121" i="2"/>
  <c r="B11121" i="2"/>
  <c r="A11121" i="2"/>
  <c r="O11120" i="2"/>
  <c r="O11119" i="2"/>
  <c r="M11119" i="2"/>
  <c r="L11119" i="2"/>
  <c r="E11119" i="2"/>
  <c r="D11119" i="2"/>
  <c r="B11119" i="2"/>
  <c r="A11119" i="2"/>
  <c r="O11118" i="2"/>
  <c r="M11118" i="2"/>
  <c r="L11118" i="2"/>
  <c r="E11118" i="2"/>
  <c r="D11118" i="2"/>
  <c r="B11118" i="2"/>
  <c r="A11118" i="2"/>
  <c r="O11117" i="2"/>
  <c r="O11116" i="2"/>
  <c r="M11116" i="2"/>
  <c r="L11116" i="2"/>
  <c r="E11116" i="2"/>
  <c r="D11116" i="2"/>
  <c r="B11116" i="2"/>
  <c r="A11116" i="2"/>
  <c r="O11115" i="2"/>
  <c r="M11115" i="2"/>
  <c r="L11115" i="2"/>
  <c r="E11115" i="2"/>
  <c r="D11115" i="2"/>
  <c r="B11115" i="2"/>
  <c r="A11115" i="2"/>
  <c r="O11114" i="2"/>
  <c r="M11114" i="2"/>
  <c r="L11114" i="2"/>
  <c r="E11114" i="2"/>
  <c r="D11114" i="2"/>
  <c r="B11114" i="2"/>
  <c r="A11114" i="2"/>
  <c r="O11113" i="2"/>
  <c r="O11112" i="2"/>
  <c r="M11112" i="2"/>
  <c r="L11112" i="2"/>
  <c r="E11112" i="2"/>
  <c r="D11112" i="2"/>
  <c r="B11112" i="2"/>
  <c r="A11112" i="2"/>
  <c r="O11111" i="2"/>
  <c r="O11110" i="2"/>
  <c r="M11110" i="2"/>
  <c r="L11110" i="2"/>
  <c r="E11110" i="2"/>
  <c r="D11110" i="2"/>
  <c r="B11110" i="2"/>
  <c r="A11110" i="2"/>
  <c r="O11109" i="2"/>
  <c r="M11109" i="2"/>
  <c r="L11109" i="2"/>
  <c r="E11109" i="2"/>
  <c r="D11109" i="2"/>
  <c r="B11109" i="2"/>
  <c r="A11109" i="2"/>
  <c r="O11108" i="2"/>
  <c r="M11108" i="2"/>
  <c r="L11108" i="2"/>
  <c r="E11108" i="2"/>
  <c r="D11108" i="2"/>
  <c r="B11108" i="2"/>
  <c r="A11108" i="2"/>
  <c r="O11107" i="2"/>
  <c r="O11106" i="2"/>
  <c r="M11106" i="2"/>
  <c r="L11106" i="2"/>
  <c r="E11106" i="2"/>
  <c r="D11106" i="2"/>
  <c r="B11106" i="2"/>
  <c r="A11106" i="2"/>
  <c r="O11105" i="2"/>
  <c r="O11104" i="2"/>
  <c r="O11103" i="2"/>
  <c r="O11102" i="2"/>
  <c r="M11102" i="2"/>
  <c r="L11102" i="2"/>
  <c r="E11102" i="2"/>
  <c r="D11102" i="2"/>
  <c r="B11102" i="2"/>
  <c r="A11102" i="2"/>
  <c r="O11101" i="2"/>
  <c r="M11101" i="2"/>
  <c r="L11101" i="2"/>
  <c r="E11101" i="2"/>
  <c r="D11101" i="2"/>
  <c r="B11101" i="2"/>
  <c r="A11101" i="2"/>
  <c r="O11100" i="2"/>
  <c r="O11099" i="2"/>
  <c r="M11099" i="2"/>
  <c r="L11099" i="2"/>
  <c r="E11099" i="2"/>
  <c r="D11099" i="2"/>
  <c r="B11099" i="2"/>
  <c r="A11099" i="2"/>
  <c r="O11098" i="2"/>
  <c r="M11098" i="2"/>
  <c r="L11098" i="2"/>
  <c r="E11098" i="2"/>
  <c r="D11098" i="2"/>
  <c r="B11098" i="2"/>
  <c r="A11098" i="2"/>
  <c r="O11097" i="2"/>
  <c r="M11097" i="2"/>
  <c r="L11097" i="2"/>
  <c r="E11097" i="2"/>
  <c r="D11097" i="2"/>
  <c r="B11097" i="2"/>
  <c r="A11097" i="2"/>
  <c r="O11096" i="2"/>
  <c r="M11096" i="2"/>
  <c r="L11096" i="2"/>
  <c r="E11096" i="2"/>
  <c r="D11096" i="2"/>
  <c r="B11096" i="2"/>
  <c r="A11096" i="2"/>
  <c r="O11095" i="2"/>
  <c r="O11094" i="2"/>
  <c r="M11094" i="2"/>
  <c r="L11094" i="2"/>
  <c r="E11094" i="2"/>
  <c r="D11094" i="2"/>
  <c r="B11094" i="2"/>
  <c r="A11094" i="2"/>
  <c r="O11093" i="2"/>
  <c r="M11093" i="2"/>
  <c r="L11093" i="2"/>
  <c r="E11093" i="2"/>
  <c r="D11093" i="2"/>
  <c r="B11093" i="2"/>
  <c r="A11093" i="2"/>
  <c r="O11092" i="2"/>
  <c r="M11092" i="2"/>
  <c r="L11092" i="2"/>
  <c r="E11092" i="2"/>
  <c r="D11092" i="2"/>
  <c r="B11092" i="2"/>
  <c r="A11092" i="2"/>
  <c r="O11091" i="2"/>
  <c r="M11091" i="2"/>
  <c r="L11091" i="2"/>
  <c r="E11091" i="2"/>
  <c r="D11091" i="2"/>
  <c r="B11091" i="2"/>
  <c r="A11091" i="2"/>
  <c r="O11090" i="2"/>
  <c r="M11090" i="2"/>
  <c r="L11090" i="2"/>
  <c r="E11090" i="2"/>
  <c r="D11090" i="2"/>
  <c r="B11090" i="2"/>
  <c r="A11090" i="2"/>
  <c r="O11089" i="2"/>
  <c r="O11088" i="2"/>
  <c r="O11087" i="2"/>
  <c r="O11086" i="2"/>
  <c r="M11086" i="2"/>
  <c r="L11086" i="2"/>
  <c r="E11086" i="2"/>
  <c r="D11086" i="2"/>
  <c r="B11086" i="2"/>
  <c r="A11086" i="2"/>
  <c r="O11085" i="2"/>
  <c r="M11085" i="2"/>
  <c r="L11085" i="2"/>
  <c r="E11085" i="2"/>
  <c r="D11085" i="2"/>
  <c r="B11085" i="2"/>
  <c r="A11085" i="2"/>
  <c r="O11084" i="2"/>
  <c r="M11084" i="2"/>
  <c r="L11084" i="2"/>
  <c r="E11084" i="2"/>
  <c r="D11084" i="2"/>
  <c r="B11084" i="2"/>
  <c r="A11084" i="2"/>
  <c r="O11083" i="2"/>
  <c r="O11082" i="2"/>
  <c r="M11082" i="2"/>
  <c r="L11082" i="2"/>
  <c r="E11082" i="2"/>
  <c r="D11082" i="2"/>
  <c r="B11082" i="2"/>
  <c r="A11082" i="2"/>
  <c r="O11081" i="2"/>
  <c r="O11080" i="2"/>
  <c r="M11080" i="2"/>
  <c r="L11080" i="2"/>
  <c r="E11080" i="2"/>
  <c r="D11080" i="2"/>
  <c r="B11080" i="2"/>
  <c r="A11080" i="2"/>
  <c r="O11079" i="2"/>
  <c r="M11079" i="2"/>
  <c r="L11079" i="2"/>
  <c r="E11079" i="2"/>
  <c r="D11079" i="2"/>
  <c r="B11079" i="2"/>
  <c r="A11079" i="2"/>
  <c r="O11078" i="2"/>
  <c r="O11077" i="2"/>
  <c r="M11077" i="2"/>
  <c r="L11077" i="2"/>
  <c r="E11077" i="2"/>
  <c r="D11077" i="2"/>
  <c r="B11077" i="2"/>
  <c r="A11077" i="2"/>
  <c r="O11076" i="2"/>
  <c r="M11076" i="2"/>
  <c r="L11076" i="2"/>
  <c r="E11076" i="2"/>
  <c r="D11076" i="2"/>
  <c r="B11076" i="2"/>
  <c r="A11076" i="2"/>
  <c r="O11075" i="2"/>
  <c r="M11075" i="2"/>
  <c r="L11075" i="2"/>
  <c r="E11075" i="2"/>
  <c r="D11075" i="2"/>
  <c r="B11075" i="2"/>
  <c r="A11075" i="2"/>
  <c r="O11074" i="2"/>
  <c r="O11073" i="2"/>
  <c r="M11073" i="2"/>
  <c r="L11073" i="2"/>
  <c r="E11073" i="2"/>
  <c r="D11073" i="2"/>
  <c r="B11073" i="2"/>
  <c r="A11073" i="2"/>
  <c r="O11072" i="2"/>
  <c r="M11072" i="2"/>
  <c r="L11072" i="2"/>
  <c r="E11072" i="2"/>
  <c r="D11072" i="2"/>
  <c r="B11072" i="2"/>
  <c r="A11072" i="2"/>
  <c r="O11071" i="2"/>
  <c r="O11070" i="2"/>
  <c r="M11070" i="2"/>
  <c r="L11070" i="2"/>
  <c r="E11070" i="2"/>
  <c r="D11070" i="2"/>
  <c r="B11070" i="2"/>
  <c r="A11070" i="2"/>
  <c r="O11069" i="2"/>
  <c r="O11068" i="2"/>
  <c r="M11068" i="2"/>
  <c r="L11068" i="2"/>
  <c r="E11068" i="2"/>
  <c r="D11068" i="2"/>
  <c r="B11068" i="2"/>
  <c r="A11068" i="2"/>
  <c r="O11067" i="2"/>
  <c r="M11067" i="2"/>
  <c r="L11067" i="2"/>
  <c r="E11067" i="2"/>
  <c r="D11067" i="2"/>
  <c r="B11067" i="2"/>
  <c r="A11067" i="2"/>
  <c r="O11066" i="2"/>
  <c r="M11066" i="2"/>
  <c r="L11066" i="2"/>
  <c r="E11066" i="2"/>
  <c r="D11066" i="2"/>
  <c r="B11066" i="2"/>
  <c r="A11066" i="2"/>
  <c r="O11065" i="2"/>
  <c r="M11065" i="2"/>
  <c r="L11065" i="2"/>
  <c r="E11065" i="2"/>
  <c r="D11065" i="2"/>
  <c r="B11065" i="2"/>
  <c r="A11065" i="2"/>
  <c r="O11064" i="2"/>
  <c r="O11063" i="2"/>
  <c r="M11063" i="2"/>
  <c r="L11063" i="2"/>
  <c r="E11063" i="2"/>
  <c r="D11063" i="2"/>
  <c r="B11063" i="2"/>
  <c r="A11063" i="2"/>
  <c r="O11062" i="2"/>
  <c r="M11062" i="2"/>
  <c r="L11062" i="2"/>
  <c r="E11062" i="2"/>
  <c r="D11062" i="2"/>
  <c r="B11062" i="2"/>
  <c r="A11062" i="2"/>
  <c r="O11061" i="2"/>
  <c r="M11061" i="2"/>
  <c r="L11061" i="2"/>
  <c r="E11061" i="2"/>
  <c r="D11061" i="2"/>
  <c r="B11061" i="2"/>
  <c r="A11061" i="2"/>
  <c r="O11060" i="2"/>
  <c r="O11059" i="2"/>
  <c r="O11058" i="2"/>
  <c r="O11057" i="2"/>
  <c r="M11057" i="2"/>
  <c r="L11057" i="2"/>
  <c r="E11057" i="2"/>
  <c r="D11057" i="2"/>
  <c r="B11057" i="2"/>
  <c r="A11057" i="2"/>
  <c r="O11056" i="2"/>
  <c r="O11055" i="2"/>
  <c r="O11054" i="2"/>
  <c r="O11053" i="2"/>
  <c r="O11052" i="2"/>
  <c r="M11052" i="2"/>
  <c r="L11052" i="2"/>
  <c r="E11052" i="2"/>
  <c r="D11052" i="2"/>
  <c r="B11052" i="2"/>
  <c r="A11052" i="2"/>
  <c r="O11051" i="2"/>
  <c r="M11051" i="2"/>
  <c r="L11051" i="2"/>
  <c r="E11051" i="2"/>
  <c r="D11051" i="2"/>
  <c r="B11051" i="2"/>
  <c r="A11051" i="2"/>
  <c r="O11050" i="2"/>
  <c r="M11050" i="2"/>
  <c r="L11050" i="2"/>
  <c r="E11050" i="2"/>
  <c r="D11050" i="2"/>
  <c r="B11050" i="2"/>
  <c r="A11050" i="2"/>
  <c r="O11049" i="2"/>
  <c r="M11049" i="2"/>
  <c r="L11049" i="2"/>
  <c r="E11049" i="2"/>
  <c r="D11049" i="2"/>
  <c r="B11049" i="2"/>
  <c r="A11049" i="2"/>
  <c r="O11048" i="2"/>
  <c r="M11048" i="2"/>
  <c r="L11048" i="2"/>
  <c r="E11048" i="2"/>
  <c r="D11048" i="2"/>
  <c r="B11048" i="2"/>
  <c r="A11048" i="2"/>
  <c r="O11047" i="2"/>
  <c r="O11046" i="2"/>
  <c r="O11045" i="2"/>
  <c r="O11044" i="2"/>
  <c r="M11044" i="2"/>
  <c r="L11044" i="2"/>
  <c r="E11044" i="2"/>
  <c r="D11044" i="2"/>
  <c r="B11044" i="2"/>
  <c r="A11044" i="2"/>
  <c r="O11043" i="2"/>
  <c r="M11043" i="2"/>
  <c r="L11043" i="2"/>
  <c r="E11043" i="2"/>
  <c r="D11043" i="2"/>
  <c r="B11043" i="2"/>
  <c r="A11043" i="2"/>
  <c r="O11042" i="2"/>
  <c r="O11041" i="2"/>
  <c r="O11040" i="2"/>
  <c r="O11039" i="2"/>
  <c r="M11039" i="2"/>
  <c r="L11039" i="2"/>
  <c r="E11039" i="2"/>
  <c r="D11039" i="2"/>
  <c r="B11039" i="2"/>
  <c r="A11039" i="2"/>
  <c r="O11038" i="2"/>
  <c r="O11037" i="2"/>
  <c r="O11036" i="2"/>
  <c r="M11036" i="2"/>
  <c r="L11036" i="2"/>
  <c r="E11036" i="2"/>
  <c r="D11036" i="2"/>
  <c r="B11036" i="2"/>
  <c r="A11036" i="2"/>
  <c r="O11035" i="2"/>
  <c r="O11034" i="2"/>
  <c r="O11033" i="2"/>
  <c r="O11032" i="2"/>
  <c r="M11032" i="2"/>
  <c r="L11032" i="2"/>
  <c r="E11032" i="2"/>
  <c r="D11032" i="2"/>
  <c r="B11032" i="2"/>
  <c r="A11032" i="2"/>
  <c r="O11031" i="2"/>
  <c r="M11031" i="2"/>
  <c r="L11031" i="2"/>
  <c r="E11031" i="2"/>
  <c r="D11031" i="2"/>
  <c r="B11031" i="2"/>
  <c r="A11031" i="2"/>
  <c r="O11030" i="2"/>
  <c r="M11030" i="2"/>
  <c r="L11030" i="2"/>
  <c r="E11030" i="2"/>
  <c r="D11030" i="2"/>
  <c r="B11030" i="2"/>
  <c r="A11030" i="2"/>
  <c r="O11029" i="2"/>
  <c r="O11028" i="2"/>
  <c r="O11027" i="2"/>
  <c r="M11027" i="2"/>
  <c r="L11027" i="2"/>
  <c r="E11027" i="2"/>
  <c r="D11027" i="2"/>
  <c r="B11027" i="2"/>
  <c r="A11027" i="2"/>
  <c r="O11026" i="2"/>
  <c r="M11026" i="2"/>
  <c r="L11026" i="2"/>
  <c r="E11026" i="2"/>
  <c r="D11026" i="2"/>
  <c r="B11026" i="2"/>
  <c r="A11026" i="2"/>
  <c r="O11025" i="2"/>
  <c r="O11024" i="2"/>
  <c r="M11024" i="2"/>
  <c r="L11024" i="2"/>
  <c r="E11024" i="2"/>
  <c r="D11024" i="2"/>
  <c r="B11024" i="2"/>
  <c r="A11024" i="2"/>
  <c r="O11023" i="2"/>
  <c r="M11023" i="2"/>
  <c r="L11023" i="2"/>
  <c r="E11023" i="2"/>
  <c r="D11023" i="2"/>
  <c r="B11023" i="2"/>
  <c r="A11023" i="2"/>
  <c r="O11022" i="2"/>
  <c r="M11022" i="2"/>
  <c r="L11022" i="2"/>
  <c r="E11022" i="2"/>
  <c r="D11022" i="2"/>
  <c r="B11022" i="2"/>
  <c r="A11022" i="2"/>
  <c r="O11021" i="2"/>
  <c r="O11020" i="2"/>
  <c r="O11019" i="2"/>
  <c r="O11018" i="2"/>
  <c r="M11018" i="2"/>
  <c r="L11018" i="2"/>
  <c r="E11018" i="2"/>
  <c r="D11018" i="2"/>
  <c r="B11018" i="2"/>
  <c r="A11018" i="2"/>
  <c r="O11017" i="2"/>
  <c r="O11016" i="2"/>
  <c r="M11016" i="2"/>
  <c r="L11016" i="2"/>
  <c r="E11016" i="2"/>
  <c r="D11016" i="2"/>
  <c r="B11016" i="2"/>
  <c r="A11016" i="2"/>
  <c r="O11015" i="2"/>
  <c r="O11014" i="2"/>
  <c r="O11013" i="2"/>
  <c r="O11012" i="2"/>
  <c r="O11011" i="2"/>
  <c r="O11010" i="2"/>
  <c r="M11010" i="2"/>
  <c r="L11010" i="2"/>
  <c r="E11010" i="2"/>
  <c r="D11010" i="2"/>
  <c r="B11010" i="2"/>
  <c r="A11010" i="2"/>
  <c r="O11009" i="2"/>
  <c r="M11009" i="2"/>
  <c r="L11009" i="2"/>
  <c r="E11009" i="2"/>
  <c r="D11009" i="2"/>
  <c r="B11009" i="2"/>
  <c r="A11009" i="2"/>
  <c r="O11008" i="2"/>
  <c r="M11008" i="2"/>
  <c r="L11008" i="2"/>
  <c r="E11008" i="2"/>
  <c r="D11008" i="2"/>
  <c r="B11008" i="2"/>
  <c r="A11008" i="2"/>
  <c r="O11007" i="2"/>
  <c r="O11006" i="2"/>
  <c r="M11006" i="2"/>
  <c r="L11006" i="2"/>
  <c r="E11006" i="2"/>
  <c r="D11006" i="2"/>
  <c r="B11006" i="2"/>
  <c r="A11006" i="2"/>
  <c r="O11005" i="2"/>
  <c r="O11004" i="2"/>
  <c r="M11004" i="2"/>
  <c r="L11004" i="2"/>
  <c r="E11004" i="2"/>
  <c r="D11004" i="2"/>
  <c r="B11004" i="2"/>
  <c r="A11004" i="2"/>
  <c r="O11003" i="2"/>
  <c r="M11003" i="2"/>
  <c r="L11003" i="2"/>
  <c r="E11003" i="2"/>
  <c r="D11003" i="2"/>
  <c r="B11003" i="2"/>
  <c r="A11003" i="2"/>
  <c r="O11002" i="2"/>
  <c r="M11002" i="2"/>
  <c r="L11002" i="2"/>
  <c r="E11002" i="2"/>
  <c r="D11002" i="2"/>
  <c r="B11002" i="2"/>
  <c r="A11002" i="2"/>
  <c r="O11001" i="2"/>
  <c r="M11001" i="2"/>
  <c r="L11001" i="2"/>
  <c r="E11001" i="2"/>
  <c r="D11001" i="2"/>
  <c r="B11001" i="2"/>
  <c r="A11001" i="2"/>
  <c r="O11000" i="2"/>
  <c r="M11000" i="2"/>
  <c r="L11000" i="2"/>
  <c r="E11000" i="2"/>
  <c r="D11000" i="2"/>
  <c r="B11000" i="2"/>
  <c r="A11000" i="2"/>
  <c r="O10999" i="2"/>
  <c r="M10999" i="2"/>
  <c r="L10999" i="2"/>
  <c r="E10999" i="2"/>
  <c r="D10999" i="2"/>
  <c r="B10999" i="2"/>
  <c r="A10999" i="2"/>
  <c r="O10998" i="2"/>
  <c r="M10998" i="2"/>
  <c r="L10998" i="2"/>
  <c r="E10998" i="2"/>
  <c r="D10998" i="2"/>
  <c r="B10998" i="2"/>
  <c r="A10998" i="2"/>
  <c r="O10997" i="2"/>
  <c r="M10997" i="2"/>
  <c r="L10997" i="2"/>
  <c r="E10997" i="2"/>
  <c r="D10997" i="2"/>
  <c r="B10997" i="2"/>
  <c r="A10997" i="2"/>
  <c r="O10996" i="2"/>
  <c r="M10996" i="2"/>
  <c r="L10996" i="2"/>
  <c r="E10996" i="2"/>
  <c r="D10996" i="2"/>
  <c r="B10996" i="2"/>
  <c r="A10996" i="2"/>
  <c r="O10995" i="2"/>
  <c r="M10995" i="2"/>
  <c r="L10995" i="2"/>
  <c r="E10995" i="2"/>
  <c r="D10995" i="2"/>
  <c r="B10995" i="2"/>
  <c r="A10995" i="2"/>
  <c r="O10994" i="2"/>
  <c r="M10994" i="2"/>
  <c r="L10994" i="2"/>
  <c r="E10994" i="2"/>
  <c r="D10994" i="2"/>
  <c r="B10994" i="2"/>
  <c r="A10994" i="2"/>
  <c r="O10993" i="2"/>
  <c r="O10992" i="2"/>
  <c r="M10992" i="2"/>
  <c r="L10992" i="2"/>
  <c r="E10992" i="2"/>
  <c r="D10992" i="2"/>
  <c r="B10992" i="2"/>
  <c r="A10992" i="2"/>
  <c r="O10991" i="2"/>
  <c r="O10990" i="2"/>
  <c r="O10989" i="2"/>
  <c r="M10989" i="2"/>
  <c r="L10989" i="2"/>
  <c r="E10989" i="2"/>
  <c r="D10989" i="2"/>
  <c r="B10989" i="2"/>
  <c r="A10989" i="2"/>
  <c r="O10988" i="2"/>
  <c r="O10987" i="2"/>
  <c r="M10987" i="2"/>
  <c r="L10987" i="2"/>
  <c r="E10987" i="2"/>
  <c r="D10987" i="2"/>
  <c r="B10987" i="2"/>
  <c r="A10987" i="2"/>
  <c r="O10986" i="2"/>
  <c r="O10985" i="2"/>
  <c r="O10984" i="2"/>
  <c r="M10984" i="2"/>
  <c r="L10984" i="2"/>
  <c r="E10984" i="2"/>
  <c r="D10984" i="2"/>
  <c r="B10984" i="2"/>
  <c r="A10984" i="2"/>
  <c r="O10983" i="2"/>
  <c r="M10983" i="2"/>
  <c r="L10983" i="2"/>
  <c r="E10983" i="2"/>
  <c r="D10983" i="2"/>
  <c r="B10983" i="2"/>
  <c r="A10983" i="2"/>
  <c r="O10982" i="2"/>
  <c r="M10982" i="2"/>
  <c r="L10982" i="2"/>
  <c r="E10982" i="2"/>
  <c r="D10982" i="2"/>
  <c r="B10982" i="2"/>
  <c r="A10982" i="2"/>
  <c r="O10981" i="2"/>
  <c r="M10981" i="2"/>
  <c r="L10981" i="2"/>
  <c r="E10981" i="2"/>
  <c r="D10981" i="2"/>
  <c r="B10981" i="2"/>
  <c r="A10981" i="2"/>
  <c r="O10980" i="2"/>
  <c r="M10980" i="2"/>
  <c r="L10980" i="2"/>
  <c r="E10980" i="2"/>
  <c r="D10980" i="2"/>
  <c r="B10980" i="2"/>
  <c r="A10980" i="2"/>
  <c r="O10979" i="2"/>
  <c r="M10979" i="2"/>
  <c r="L10979" i="2"/>
  <c r="E10979" i="2"/>
  <c r="D10979" i="2"/>
  <c r="B10979" i="2"/>
  <c r="A10979" i="2"/>
  <c r="O10978" i="2"/>
  <c r="M10978" i="2"/>
  <c r="L10978" i="2"/>
  <c r="E10978" i="2"/>
  <c r="D10978" i="2"/>
  <c r="B10978" i="2"/>
  <c r="A10978" i="2"/>
  <c r="O10977" i="2"/>
  <c r="M10977" i="2"/>
  <c r="L10977" i="2"/>
  <c r="E10977" i="2"/>
  <c r="D10977" i="2"/>
  <c r="B10977" i="2"/>
  <c r="A10977" i="2"/>
  <c r="O10976" i="2"/>
  <c r="O10975" i="2"/>
  <c r="M10975" i="2"/>
  <c r="L10975" i="2"/>
  <c r="E10975" i="2"/>
  <c r="D10975" i="2"/>
  <c r="B10975" i="2"/>
  <c r="A10975" i="2"/>
  <c r="O10974" i="2"/>
  <c r="M10974" i="2"/>
  <c r="L10974" i="2"/>
  <c r="E10974" i="2"/>
  <c r="D10974" i="2"/>
  <c r="B10974" i="2"/>
  <c r="A10974" i="2"/>
  <c r="O10973" i="2"/>
  <c r="M10973" i="2"/>
  <c r="L10973" i="2"/>
  <c r="E10973" i="2"/>
  <c r="D10973" i="2"/>
  <c r="B10973" i="2"/>
  <c r="A10973" i="2"/>
  <c r="O10972" i="2"/>
  <c r="M10972" i="2"/>
  <c r="L10972" i="2"/>
  <c r="E10972" i="2"/>
  <c r="D10972" i="2"/>
  <c r="B10972" i="2"/>
  <c r="A10972" i="2"/>
  <c r="O10971" i="2"/>
  <c r="M10971" i="2"/>
  <c r="L10971" i="2"/>
  <c r="E10971" i="2"/>
  <c r="D10971" i="2"/>
  <c r="B10971" i="2"/>
  <c r="A10971" i="2"/>
  <c r="O10970" i="2"/>
  <c r="M10970" i="2"/>
  <c r="L10970" i="2"/>
  <c r="E10970" i="2"/>
  <c r="D10970" i="2"/>
  <c r="B10970" i="2"/>
  <c r="A10970" i="2"/>
  <c r="O10969" i="2"/>
  <c r="M10969" i="2"/>
  <c r="L10969" i="2"/>
  <c r="E10969" i="2"/>
  <c r="D10969" i="2"/>
  <c r="B10969" i="2"/>
  <c r="A10969" i="2"/>
  <c r="O10968" i="2"/>
  <c r="M10968" i="2"/>
  <c r="L10968" i="2"/>
  <c r="E10968" i="2"/>
  <c r="D10968" i="2"/>
  <c r="B10968" i="2"/>
  <c r="A10968" i="2"/>
  <c r="O10967" i="2"/>
  <c r="M10967" i="2"/>
  <c r="L10967" i="2"/>
  <c r="E10967" i="2"/>
  <c r="D10967" i="2"/>
  <c r="B10967" i="2"/>
  <c r="A10967" i="2"/>
  <c r="O10966" i="2"/>
  <c r="M10966" i="2"/>
  <c r="L10966" i="2"/>
  <c r="E10966" i="2"/>
  <c r="D10966" i="2"/>
  <c r="B10966" i="2"/>
  <c r="A10966" i="2"/>
  <c r="O10965" i="2"/>
  <c r="M10965" i="2"/>
  <c r="L10965" i="2"/>
  <c r="E10965" i="2"/>
  <c r="D10965" i="2"/>
  <c r="B10965" i="2"/>
  <c r="A10965" i="2"/>
  <c r="O10964" i="2"/>
  <c r="M10964" i="2"/>
  <c r="L10964" i="2"/>
  <c r="E10964" i="2"/>
  <c r="D10964" i="2"/>
  <c r="B10964" i="2"/>
  <c r="A10964" i="2"/>
  <c r="O10963" i="2"/>
  <c r="M10963" i="2"/>
  <c r="L10963" i="2"/>
  <c r="E10963" i="2"/>
  <c r="D10963" i="2"/>
  <c r="B10963" i="2"/>
  <c r="A10963" i="2"/>
  <c r="O10962" i="2"/>
  <c r="M10962" i="2"/>
  <c r="L10962" i="2"/>
  <c r="E10962" i="2"/>
  <c r="D10962" i="2"/>
  <c r="B10962" i="2"/>
  <c r="A10962" i="2"/>
  <c r="O10961" i="2"/>
  <c r="M10961" i="2"/>
  <c r="L10961" i="2"/>
  <c r="E10961" i="2"/>
  <c r="D10961" i="2"/>
  <c r="B10961" i="2"/>
  <c r="A10961" i="2"/>
  <c r="O10960" i="2"/>
  <c r="M10960" i="2"/>
  <c r="L10960" i="2"/>
  <c r="E10960" i="2"/>
  <c r="D10960" i="2"/>
  <c r="B10960" i="2"/>
  <c r="A10960" i="2"/>
  <c r="O10959" i="2"/>
  <c r="M10959" i="2"/>
  <c r="L10959" i="2"/>
  <c r="E10959" i="2"/>
  <c r="D10959" i="2"/>
  <c r="B10959" i="2"/>
  <c r="A10959" i="2"/>
  <c r="O10958" i="2"/>
  <c r="O10957" i="2"/>
  <c r="O10956" i="2"/>
  <c r="O10955" i="2"/>
  <c r="M10955" i="2"/>
  <c r="L10955" i="2"/>
  <c r="E10955" i="2"/>
  <c r="D10955" i="2"/>
  <c r="B10955" i="2"/>
  <c r="A10955" i="2"/>
  <c r="O10954" i="2"/>
  <c r="M10954" i="2"/>
  <c r="L10954" i="2"/>
  <c r="E10954" i="2"/>
  <c r="D10954" i="2"/>
  <c r="B10954" i="2"/>
  <c r="A10954" i="2"/>
  <c r="O10953" i="2"/>
  <c r="M10953" i="2"/>
  <c r="L10953" i="2"/>
  <c r="E10953" i="2"/>
  <c r="D10953" i="2"/>
  <c r="B10953" i="2"/>
  <c r="A10953" i="2"/>
  <c r="O10952" i="2"/>
  <c r="M10952" i="2"/>
  <c r="L10952" i="2"/>
  <c r="E10952" i="2"/>
  <c r="D10952" i="2"/>
  <c r="B10952" i="2"/>
  <c r="A10952" i="2"/>
  <c r="O10951" i="2"/>
  <c r="M10951" i="2"/>
  <c r="L10951" i="2"/>
  <c r="E10951" i="2"/>
  <c r="D10951" i="2"/>
  <c r="B10951" i="2"/>
  <c r="A10951" i="2"/>
  <c r="O10950" i="2"/>
  <c r="M10950" i="2"/>
  <c r="L10950" i="2"/>
  <c r="E10950" i="2"/>
  <c r="D10950" i="2"/>
  <c r="B10950" i="2"/>
  <c r="A10950" i="2"/>
  <c r="O10949" i="2"/>
  <c r="M10949" i="2"/>
  <c r="L10949" i="2"/>
  <c r="E10949" i="2"/>
  <c r="D10949" i="2"/>
  <c r="B10949" i="2"/>
  <c r="A10949" i="2"/>
  <c r="O10948" i="2"/>
  <c r="M10948" i="2"/>
  <c r="L10948" i="2"/>
  <c r="E10948" i="2"/>
  <c r="D10948" i="2"/>
  <c r="B10948" i="2"/>
  <c r="A10948" i="2"/>
  <c r="O10947" i="2"/>
  <c r="M10947" i="2"/>
  <c r="L10947" i="2"/>
  <c r="E10947" i="2"/>
  <c r="D10947" i="2"/>
  <c r="B10947" i="2"/>
  <c r="A10947" i="2"/>
  <c r="O10946" i="2"/>
  <c r="O10945" i="2"/>
  <c r="M10945" i="2"/>
  <c r="L10945" i="2"/>
  <c r="E10945" i="2"/>
  <c r="D10945" i="2"/>
  <c r="B10945" i="2"/>
  <c r="A10945" i="2"/>
  <c r="O10944" i="2"/>
  <c r="O10943" i="2"/>
  <c r="O10942" i="2"/>
  <c r="M10942" i="2"/>
  <c r="L10942" i="2"/>
  <c r="E10942" i="2"/>
  <c r="D10942" i="2"/>
  <c r="B10942" i="2"/>
  <c r="A10942" i="2"/>
  <c r="O10941" i="2"/>
  <c r="M10941" i="2"/>
  <c r="L10941" i="2"/>
  <c r="E10941" i="2"/>
  <c r="D10941" i="2"/>
  <c r="B10941" i="2"/>
  <c r="A10941" i="2"/>
  <c r="O10940" i="2"/>
  <c r="O10939" i="2"/>
  <c r="O10938" i="2"/>
  <c r="M10938" i="2"/>
  <c r="L10938" i="2"/>
  <c r="E10938" i="2"/>
  <c r="D10938" i="2"/>
  <c r="B10938" i="2"/>
  <c r="A10938" i="2"/>
  <c r="O10937" i="2"/>
  <c r="M10937" i="2"/>
  <c r="L10937" i="2"/>
  <c r="E10937" i="2"/>
  <c r="D10937" i="2"/>
  <c r="B10937" i="2"/>
  <c r="A10937" i="2"/>
  <c r="O10936" i="2"/>
  <c r="M10936" i="2"/>
  <c r="L10936" i="2"/>
  <c r="E10936" i="2"/>
  <c r="D10936" i="2"/>
  <c r="B10936" i="2"/>
  <c r="A10936" i="2"/>
  <c r="O10935" i="2"/>
  <c r="M10935" i="2"/>
  <c r="L10935" i="2"/>
  <c r="E10935" i="2"/>
  <c r="D10935" i="2"/>
  <c r="B10935" i="2"/>
  <c r="A10935" i="2"/>
  <c r="O10934" i="2"/>
  <c r="O10933" i="2"/>
  <c r="M10933" i="2"/>
  <c r="L10933" i="2"/>
  <c r="E10933" i="2"/>
  <c r="D10933" i="2"/>
  <c r="B10933" i="2"/>
  <c r="A10933" i="2"/>
  <c r="O10932" i="2"/>
  <c r="M10932" i="2"/>
  <c r="L10932" i="2"/>
  <c r="E10932" i="2"/>
  <c r="D10932" i="2"/>
  <c r="B10932" i="2"/>
  <c r="A10932" i="2"/>
  <c r="O10931" i="2"/>
  <c r="M10931" i="2"/>
  <c r="L10931" i="2"/>
  <c r="E10931" i="2"/>
  <c r="D10931" i="2"/>
  <c r="B10931" i="2"/>
  <c r="A10931" i="2"/>
  <c r="O10930" i="2"/>
  <c r="O10929" i="2"/>
  <c r="O10928" i="2"/>
  <c r="O10927" i="2"/>
  <c r="O10926" i="2"/>
  <c r="M10926" i="2"/>
  <c r="L10926" i="2"/>
  <c r="E10926" i="2"/>
  <c r="D10926" i="2"/>
  <c r="B10926" i="2"/>
  <c r="A10926" i="2"/>
  <c r="O10925" i="2"/>
  <c r="O10924" i="2"/>
  <c r="O10923" i="2"/>
  <c r="O10922" i="2"/>
  <c r="M10922" i="2"/>
  <c r="L10922" i="2"/>
  <c r="E10922" i="2"/>
  <c r="D10922" i="2"/>
  <c r="B10922" i="2"/>
  <c r="A10922" i="2"/>
  <c r="O10921" i="2"/>
  <c r="O10920" i="2"/>
  <c r="M10920" i="2"/>
  <c r="L10920" i="2"/>
  <c r="E10920" i="2"/>
  <c r="D10920" i="2"/>
  <c r="B10920" i="2"/>
  <c r="A10920" i="2"/>
  <c r="O10919" i="2"/>
  <c r="M10919" i="2"/>
  <c r="L10919" i="2"/>
  <c r="E10919" i="2"/>
  <c r="D10919" i="2"/>
  <c r="B10919" i="2"/>
  <c r="A10919" i="2"/>
  <c r="O10918" i="2"/>
  <c r="M10918" i="2"/>
  <c r="L10918" i="2"/>
  <c r="E10918" i="2"/>
  <c r="D10918" i="2"/>
  <c r="B10918" i="2"/>
  <c r="A10918" i="2"/>
  <c r="O10917" i="2"/>
  <c r="M10917" i="2"/>
  <c r="L10917" i="2"/>
  <c r="E10917" i="2"/>
  <c r="D10917" i="2"/>
  <c r="B10917" i="2"/>
  <c r="A10917" i="2"/>
  <c r="O10916" i="2"/>
  <c r="M10916" i="2"/>
  <c r="L10916" i="2"/>
  <c r="E10916" i="2"/>
  <c r="D10916" i="2"/>
  <c r="B10916" i="2"/>
  <c r="A10916" i="2"/>
  <c r="O10915" i="2"/>
  <c r="O10914" i="2"/>
  <c r="O10913" i="2"/>
  <c r="M10913" i="2"/>
  <c r="L10913" i="2"/>
  <c r="E10913" i="2"/>
  <c r="D10913" i="2"/>
  <c r="B10913" i="2"/>
  <c r="A10913" i="2"/>
  <c r="O10912" i="2"/>
  <c r="O10911" i="2"/>
  <c r="M10911" i="2"/>
  <c r="L10911" i="2"/>
  <c r="E10911" i="2"/>
  <c r="D10911" i="2"/>
  <c r="B10911" i="2"/>
  <c r="A10911" i="2"/>
  <c r="O10910" i="2"/>
  <c r="O10909" i="2"/>
  <c r="M10909" i="2"/>
  <c r="L10909" i="2"/>
  <c r="E10909" i="2"/>
  <c r="D10909" i="2"/>
  <c r="B10909" i="2"/>
  <c r="A10909" i="2"/>
  <c r="O10908" i="2"/>
  <c r="O10907" i="2"/>
  <c r="M10907" i="2"/>
  <c r="L10907" i="2"/>
  <c r="E10907" i="2"/>
  <c r="D10907" i="2"/>
  <c r="B10907" i="2"/>
  <c r="A10907" i="2"/>
  <c r="O10906" i="2"/>
  <c r="M10906" i="2"/>
  <c r="L10906" i="2"/>
  <c r="E10906" i="2"/>
  <c r="D10906" i="2"/>
  <c r="B10906" i="2"/>
  <c r="A10906" i="2"/>
  <c r="O10905" i="2"/>
  <c r="O10904" i="2"/>
  <c r="M10904" i="2"/>
  <c r="L10904" i="2"/>
  <c r="E10904" i="2"/>
  <c r="D10904" i="2"/>
  <c r="B10904" i="2"/>
  <c r="A10904" i="2"/>
  <c r="O10903" i="2"/>
  <c r="M10903" i="2"/>
  <c r="L10903" i="2"/>
  <c r="E10903" i="2"/>
  <c r="D10903" i="2"/>
  <c r="B10903" i="2"/>
  <c r="A10903" i="2"/>
  <c r="O10902" i="2"/>
  <c r="M10902" i="2"/>
  <c r="L10902" i="2"/>
  <c r="E10902" i="2"/>
  <c r="D10902" i="2"/>
  <c r="B10902" i="2"/>
  <c r="A10902" i="2"/>
  <c r="O10901" i="2"/>
  <c r="M10901" i="2"/>
  <c r="L10901" i="2"/>
  <c r="E10901" i="2"/>
  <c r="D10901" i="2"/>
  <c r="B10901" i="2"/>
  <c r="A10901" i="2"/>
  <c r="O10900" i="2"/>
  <c r="M10900" i="2"/>
  <c r="L10900" i="2"/>
  <c r="E10900" i="2"/>
  <c r="D10900" i="2"/>
  <c r="B10900" i="2"/>
  <c r="A10900" i="2"/>
  <c r="O10899" i="2"/>
  <c r="O10898" i="2"/>
  <c r="M10898" i="2"/>
  <c r="L10898" i="2"/>
  <c r="E10898" i="2"/>
  <c r="D10898" i="2"/>
  <c r="B10898" i="2"/>
  <c r="A10898" i="2"/>
  <c r="O10897" i="2"/>
  <c r="M10897" i="2"/>
  <c r="L10897" i="2"/>
  <c r="E10897" i="2"/>
  <c r="D10897" i="2"/>
  <c r="B10897" i="2"/>
  <c r="A10897" i="2"/>
  <c r="O10896" i="2"/>
  <c r="O10895" i="2"/>
  <c r="M10895" i="2"/>
  <c r="L10895" i="2"/>
  <c r="E10895" i="2"/>
  <c r="D10895" i="2"/>
  <c r="B10895" i="2"/>
  <c r="A10895" i="2"/>
  <c r="O10894" i="2"/>
  <c r="M10894" i="2"/>
  <c r="L10894" i="2"/>
  <c r="E10894" i="2"/>
  <c r="D10894" i="2"/>
  <c r="B10894" i="2"/>
  <c r="A10894" i="2"/>
  <c r="O10893" i="2"/>
  <c r="O10892" i="2"/>
  <c r="M10892" i="2"/>
  <c r="L10892" i="2"/>
  <c r="E10892" i="2"/>
  <c r="D10892" i="2"/>
  <c r="B10892" i="2"/>
  <c r="A10892" i="2"/>
  <c r="O10891" i="2"/>
  <c r="M10891" i="2"/>
  <c r="L10891" i="2"/>
  <c r="E10891" i="2"/>
  <c r="D10891" i="2"/>
  <c r="B10891" i="2"/>
  <c r="A10891" i="2"/>
  <c r="O10890" i="2"/>
  <c r="M10890" i="2"/>
  <c r="L10890" i="2"/>
  <c r="E10890" i="2"/>
  <c r="D10890" i="2"/>
  <c r="B10890" i="2"/>
  <c r="A10890" i="2"/>
  <c r="O10889" i="2"/>
  <c r="O10888" i="2"/>
  <c r="M10888" i="2"/>
  <c r="L10888" i="2"/>
  <c r="E10888" i="2"/>
  <c r="D10888" i="2"/>
  <c r="B10888" i="2"/>
  <c r="A10888" i="2"/>
  <c r="O10887" i="2"/>
  <c r="M10887" i="2"/>
  <c r="L10887" i="2"/>
  <c r="E10887" i="2"/>
  <c r="D10887" i="2"/>
  <c r="B10887" i="2"/>
  <c r="A10887" i="2"/>
  <c r="O10886" i="2"/>
  <c r="M10886" i="2"/>
  <c r="L10886" i="2"/>
  <c r="E10886" i="2"/>
  <c r="D10886" i="2"/>
  <c r="B10886" i="2"/>
  <c r="A10886" i="2"/>
  <c r="O10885" i="2"/>
  <c r="O10884" i="2"/>
  <c r="M10884" i="2"/>
  <c r="L10884" i="2"/>
  <c r="E10884" i="2"/>
  <c r="D10884" i="2"/>
  <c r="B10884" i="2"/>
  <c r="A10884" i="2"/>
  <c r="O10883" i="2"/>
  <c r="M10883" i="2"/>
  <c r="L10883" i="2"/>
  <c r="E10883" i="2"/>
  <c r="D10883" i="2"/>
  <c r="B10883" i="2"/>
  <c r="A10883" i="2"/>
  <c r="O10882" i="2"/>
  <c r="M10882" i="2"/>
  <c r="L10882" i="2"/>
  <c r="E10882" i="2"/>
  <c r="D10882" i="2"/>
  <c r="B10882" i="2"/>
  <c r="A10882" i="2"/>
  <c r="O10881" i="2"/>
  <c r="M10881" i="2"/>
  <c r="L10881" i="2"/>
  <c r="E10881" i="2"/>
  <c r="D10881" i="2"/>
  <c r="B10881" i="2"/>
  <c r="A10881" i="2"/>
  <c r="O10880" i="2"/>
  <c r="M10880" i="2"/>
  <c r="L10880" i="2"/>
  <c r="E10880" i="2"/>
  <c r="D10880" i="2"/>
  <c r="B10880" i="2"/>
  <c r="A10880" i="2"/>
  <c r="O10879" i="2"/>
  <c r="M10879" i="2"/>
  <c r="L10879" i="2"/>
  <c r="E10879" i="2"/>
  <c r="D10879" i="2"/>
  <c r="B10879" i="2"/>
  <c r="A10879" i="2"/>
  <c r="O10878" i="2"/>
  <c r="O10877" i="2"/>
  <c r="M10877" i="2"/>
  <c r="L10877" i="2"/>
  <c r="E10877" i="2"/>
  <c r="D10877" i="2"/>
  <c r="B10877" i="2"/>
  <c r="A10877" i="2"/>
  <c r="O10876" i="2"/>
  <c r="M10876" i="2"/>
  <c r="L10876" i="2"/>
  <c r="E10876" i="2"/>
  <c r="D10876" i="2"/>
  <c r="B10876" i="2"/>
  <c r="A10876" i="2"/>
  <c r="O10875" i="2"/>
  <c r="M10875" i="2"/>
  <c r="L10875" i="2"/>
  <c r="E10875" i="2"/>
  <c r="D10875" i="2"/>
  <c r="B10875" i="2"/>
  <c r="A10875" i="2"/>
  <c r="O10874" i="2"/>
  <c r="M10874" i="2"/>
  <c r="L10874" i="2"/>
  <c r="E10874" i="2"/>
  <c r="D10874" i="2"/>
  <c r="B10874" i="2"/>
  <c r="A10874" i="2"/>
  <c r="O10873" i="2"/>
  <c r="M10873" i="2"/>
  <c r="L10873" i="2"/>
  <c r="E10873" i="2"/>
  <c r="D10873" i="2"/>
  <c r="B10873" i="2"/>
  <c r="A10873" i="2"/>
  <c r="O10872" i="2"/>
  <c r="O10871" i="2"/>
  <c r="M10871" i="2"/>
  <c r="L10871" i="2"/>
  <c r="E10871" i="2"/>
  <c r="D10871" i="2"/>
  <c r="B10871" i="2"/>
  <c r="A10871" i="2"/>
  <c r="O10870" i="2"/>
  <c r="M10870" i="2"/>
  <c r="L10870" i="2"/>
  <c r="E10870" i="2"/>
  <c r="D10870" i="2"/>
  <c r="B10870" i="2"/>
  <c r="A10870" i="2"/>
  <c r="O10869" i="2"/>
  <c r="M10869" i="2"/>
  <c r="L10869" i="2"/>
  <c r="E10869" i="2"/>
  <c r="D10869" i="2"/>
  <c r="B10869" i="2"/>
  <c r="A10869" i="2"/>
  <c r="O10868" i="2"/>
  <c r="O10867" i="2"/>
  <c r="M10867" i="2"/>
  <c r="L10867" i="2"/>
  <c r="E10867" i="2"/>
  <c r="D10867" i="2"/>
  <c r="B10867" i="2"/>
  <c r="A10867" i="2"/>
  <c r="O10866" i="2"/>
  <c r="M10866" i="2"/>
  <c r="L10866" i="2"/>
  <c r="E10866" i="2"/>
  <c r="D10866" i="2"/>
  <c r="B10866" i="2"/>
  <c r="A10866" i="2"/>
  <c r="O10865" i="2"/>
  <c r="O10864" i="2"/>
  <c r="M10864" i="2"/>
  <c r="L10864" i="2"/>
  <c r="E10864" i="2"/>
  <c r="D10864" i="2"/>
  <c r="B10864" i="2"/>
  <c r="A10864" i="2"/>
  <c r="O10863" i="2"/>
  <c r="M10863" i="2"/>
  <c r="L10863" i="2"/>
  <c r="E10863" i="2"/>
  <c r="D10863" i="2"/>
  <c r="B10863" i="2"/>
  <c r="A10863" i="2"/>
  <c r="O10862" i="2"/>
  <c r="M10862" i="2"/>
  <c r="L10862" i="2"/>
  <c r="E10862" i="2"/>
  <c r="D10862" i="2"/>
  <c r="B10862" i="2"/>
  <c r="A10862" i="2"/>
  <c r="O10861" i="2"/>
  <c r="M10861" i="2"/>
  <c r="L10861" i="2"/>
  <c r="E10861" i="2"/>
  <c r="D10861" i="2"/>
  <c r="B10861" i="2"/>
  <c r="A10861" i="2"/>
  <c r="O10860" i="2"/>
  <c r="O10859" i="2"/>
  <c r="M10859" i="2"/>
  <c r="L10859" i="2"/>
  <c r="E10859" i="2"/>
  <c r="D10859" i="2"/>
  <c r="B10859" i="2"/>
  <c r="A10859" i="2"/>
  <c r="O10858" i="2"/>
  <c r="O10857" i="2"/>
  <c r="M10857" i="2"/>
  <c r="L10857" i="2"/>
  <c r="E10857" i="2"/>
  <c r="D10857" i="2"/>
  <c r="B10857" i="2"/>
  <c r="A10857" i="2"/>
  <c r="O10856" i="2"/>
  <c r="M10856" i="2"/>
  <c r="L10856" i="2"/>
  <c r="E10856" i="2"/>
  <c r="D10856" i="2"/>
  <c r="B10856" i="2"/>
  <c r="A10856" i="2"/>
  <c r="O10855" i="2"/>
  <c r="M10855" i="2"/>
  <c r="L10855" i="2"/>
  <c r="E10855" i="2"/>
  <c r="D10855" i="2"/>
  <c r="B10855" i="2"/>
  <c r="A10855" i="2"/>
  <c r="O10854" i="2"/>
  <c r="O10853" i="2"/>
  <c r="O10852" i="2"/>
  <c r="M10852" i="2"/>
  <c r="L10852" i="2"/>
  <c r="E10852" i="2"/>
  <c r="D10852" i="2"/>
  <c r="B10852" i="2"/>
  <c r="A10852" i="2"/>
  <c r="O10851" i="2"/>
  <c r="O10850" i="2"/>
  <c r="O10849" i="2"/>
  <c r="M10849" i="2"/>
  <c r="L10849" i="2"/>
  <c r="E10849" i="2"/>
  <c r="D10849" i="2"/>
  <c r="B10849" i="2"/>
  <c r="A10849" i="2"/>
  <c r="O10848" i="2"/>
  <c r="M10848" i="2"/>
  <c r="L10848" i="2"/>
  <c r="E10848" i="2"/>
  <c r="D10848" i="2"/>
  <c r="B10848" i="2"/>
  <c r="A10848" i="2"/>
  <c r="O10847" i="2"/>
  <c r="M10847" i="2"/>
  <c r="L10847" i="2"/>
  <c r="E10847" i="2"/>
  <c r="D10847" i="2"/>
  <c r="B10847" i="2"/>
  <c r="A10847" i="2"/>
  <c r="O10846" i="2"/>
  <c r="M10846" i="2"/>
  <c r="L10846" i="2"/>
  <c r="E10846" i="2"/>
  <c r="D10846" i="2"/>
  <c r="B10846" i="2"/>
  <c r="A10846" i="2"/>
  <c r="O10845" i="2"/>
  <c r="O10844" i="2"/>
  <c r="M10844" i="2"/>
  <c r="L10844" i="2"/>
  <c r="E10844" i="2"/>
  <c r="D10844" i="2"/>
  <c r="B10844" i="2"/>
  <c r="A10844" i="2"/>
  <c r="O10843" i="2"/>
  <c r="O10842" i="2"/>
  <c r="M10842" i="2"/>
  <c r="L10842" i="2"/>
  <c r="E10842" i="2"/>
  <c r="D10842" i="2"/>
  <c r="B10842" i="2"/>
  <c r="A10842" i="2"/>
  <c r="O10841" i="2"/>
  <c r="M10841" i="2"/>
  <c r="L10841" i="2"/>
  <c r="E10841" i="2"/>
  <c r="D10841" i="2"/>
  <c r="B10841" i="2"/>
  <c r="A10841" i="2"/>
  <c r="O10840" i="2"/>
  <c r="M10840" i="2"/>
  <c r="L10840" i="2"/>
  <c r="E10840" i="2"/>
  <c r="D10840" i="2"/>
  <c r="B10840" i="2"/>
  <c r="A10840" i="2"/>
  <c r="O10839" i="2"/>
  <c r="M10839" i="2"/>
  <c r="L10839" i="2"/>
  <c r="E10839" i="2"/>
  <c r="D10839" i="2"/>
  <c r="B10839" i="2"/>
  <c r="A10839" i="2"/>
  <c r="O10838" i="2"/>
  <c r="M10838" i="2"/>
  <c r="L10838" i="2"/>
  <c r="E10838" i="2"/>
  <c r="D10838" i="2"/>
  <c r="B10838" i="2"/>
  <c r="A10838" i="2"/>
  <c r="O10837" i="2"/>
  <c r="M10837" i="2"/>
  <c r="L10837" i="2"/>
  <c r="E10837" i="2"/>
  <c r="D10837" i="2"/>
  <c r="B10837" i="2"/>
  <c r="A10837" i="2"/>
  <c r="O10836" i="2"/>
  <c r="M10836" i="2"/>
  <c r="L10836" i="2"/>
  <c r="E10836" i="2"/>
  <c r="D10836" i="2"/>
  <c r="B10836" i="2"/>
  <c r="A10836" i="2"/>
  <c r="O10835" i="2"/>
  <c r="M10835" i="2"/>
  <c r="L10835" i="2"/>
  <c r="E10835" i="2"/>
  <c r="D10835" i="2"/>
  <c r="B10835" i="2"/>
  <c r="A10835" i="2"/>
  <c r="O10834" i="2"/>
  <c r="M10834" i="2"/>
  <c r="L10834" i="2"/>
  <c r="E10834" i="2"/>
  <c r="D10834" i="2"/>
  <c r="B10834" i="2"/>
  <c r="A10834" i="2"/>
  <c r="O10833" i="2"/>
  <c r="O10832" i="2"/>
  <c r="M10832" i="2"/>
  <c r="L10832" i="2"/>
  <c r="E10832" i="2"/>
  <c r="D10832" i="2"/>
  <c r="B10832" i="2"/>
  <c r="A10832" i="2"/>
  <c r="O10831" i="2"/>
  <c r="O10830" i="2"/>
  <c r="O10829" i="2"/>
  <c r="O10828" i="2"/>
  <c r="M10828" i="2"/>
  <c r="L10828" i="2"/>
  <c r="E10828" i="2"/>
  <c r="D10828" i="2"/>
  <c r="B10828" i="2"/>
  <c r="A10828" i="2"/>
  <c r="O10827" i="2"/>
  <c r="O10826" i="2"/>
  <c r="M10826" i="2"/>
  <c r="L10826" i="2"/>
  <c r="E10826" i="2"/>
  <c r="D10826" i="2"/>
  <c r="B10826" i="2"/>
  <c r="A10826" i="2"/>
  <c r="O10825" i="2"/>
  <c r="M10825" i="2"/>
  <c r="L10825" i="2"/>
  <c r="E10825" i="2"/>
  <c r="D10825" i="2"/>
  <c r="B10825" i="2"/>
  <c r="A10825" i="2"/>
  <c r="O10824" i="2"/>
  <c r="M10824" i="2"/>
  <c r="L10824" i="2"/>
  <c r="E10824" i="2"/>
  <c r="D10824" i="2"/>
  <c r="B10824" i="2"/>
  <c r="A10824" i="2"/>
  <c r="O10823" i="2"/>
  <c r="O10822" i="2"/>
  <c r="O10821" i="2"/>
  <c r="M10821" i="2"/>
  <c r="L10821" i="2"/>
  <c r="E10821" i="2"/>
  <c r="D10821" i="2"/>
  <c r="B10821" i="2"/>
  <c r="A10821" i="2"/>
  <c r="O10820" i="2"/>
  <c r="M10820" i="2"/>
  <c r="L10820" i="2"/>
  <c r="E10820" i="2"/>
  <c r="D10820" i="2"/>
  <c r="B10820" i="2"/>
  <c r="A10820" i="2"/>
  <c r="O10819" i="2"/>
  <c r="M10819" i="2"/>
  <c r="L10819" i="2"/>
  <c r="E10819" i="2"/>
  <c r="D10819" i="2"/>
  <c r="B10819" i="2"/>
  <c r="A10819" i="2"/>
  <c r="O10818" i="2"/>
  <c r="O10817" i="2"/>
  <c r="M10817" i="2"/>
  <c r="L10817" i="2"/>
  <c r="E10817" i="2"/>
  <c r="D10817" i="2"/>
  <c r="B10817" i="2"/>
  <c r="A10817" i="2"/>
  <c r="O10816" i="2"/>
  <c r="M10816" i="2"/>
  <c r="L10816" i="2"/>
  <c r="E10816" i="2"/>
  <c r="D10816" i="2"/>
  <c r="B10816" i="2"/>
  <c r="A10816" i="2"/>
  <c r="O10815" i="2"/>
  <c r="M10815" i="2"/>
  <c r="L10815" i="2"/>
  <c r="E10815" i="2"/>
  <c r="D10815" i="2"/>
  <c r="B10815" i="2"/>
  <c r="A10815" i="2"/>
  <c r="O10814" i="2"/>
  <c r="M10814" i="2"/>
  <c r="L10814" i="2"/>
  <c r="E10814" i="2"/>
  <c r="D10814" i="2"/>
  <c r="B10814" i="2"/>
  <c r="A10814" i="2"/>
  <c r="O10813" i="2"/>
  <c r="O10812" i="2"/>
  <c r="O10811" i="2"/>
  <c r="O10810" i="2"/>
  <c r="M10810" i="2"/>
  <c r="L10810" i="2"/>
  <c r="E10810" i="2"/>
  <c r="D10810" i="2"/>
  <c r="B10810" i="2"/>
  <c r="A10810" i="2"/>
  <c r="O10809" i="2"/>
  <c r="M10809" i="2"/>
  <c r="L10809" i="2"/>
  <c r="E10809" i="2"/>
  <c r="D10809" i="2"/>
  <c r="B10809" i="2"/>
  <c r="A10809" i="2"/>
  <c r="O10808" i="2"/>
  <c r="M10808" i="2"/>
  <c r="L10808" i="2"/>
  <c r="E10808" i="2"/>
  <c r="D10808" i="2"/>
  <c r="B10808" i="2"/>
  <c r="A10808" i="2"/>
  <c r="O10807" i="2"/>
  <c r="M10807" i="2"/>
  <c r="L10807" i="2"/>
  <c r="E10807" i="2"/>
  <c r="D10807" i="2"/>
  <c r="B10807" i="2"/>
  <c r="A10807" i="2"/>
  <c r="O10806" i="2"/>
  <c r="M10806" i="2"/>
  <c r="L10806" i="2"/>
  <c r="E10806" i="2"/>
  <c r="D10806" i="2"/>
  <c r="B10806" i="2"/>
  <c r="A10806" i="2"/>
  <c r="O10805" i="2"/>
  <c r="M10805" i="2"/>
  <c r="L10805" i="2"/>
  <c r="E10805" i="2"/>
  <c r="D10805" i="2"/>
  <c r="B10805" i="2"/>
  <c r="A10805" i="2"/>
  <c r="O10804" i="2"/>
  <c r="M10804" i="2"/>
  <c r="L10804" i="2"/>
  <c r="E10804" i="2"/>
  <c r="D10804" i="2"/>
  <c r="B10804" i="2"/>
  <c r="A10804" i="2"/>
  <c r="O10803" i="2"/>
  <c r="M10803" i="2"/>
  <c r="L10803" i="2"/>
  <c r="E10803" i="2"/>
  <c r="D10803" i="2"/>
  <c r="B10803" i="2"/>
  <c r="A10803" i="2"/>
  <c r="O10802" i="2"/>
  <c r="M10802" i="2"/>
  <c r="L10802" i="2"/>
  <c r="E10802" i="2"/>
  <c r="D10802" i="2"/>
  <c r="B10802" i="2"/>
  <c r="A10802" i="2"/>
  <c r="O10801" i="2"/>
  <c r="M10801" i="2"/>
  <c r="L10801" i="2"/>
  <c r="E10801" i="2"/>
  <c r="D10801" i="2"/>
  <c r="B10801" i="2"/>
  <c r="A10801" i="2"/>
  <c r="O10800" i="2"/>
  <c r="O10799" i="2"/>
  <c r="O10798" i="2"/>
  <c r="M10798" i="2"/>
  <c r="L10798" i="2"/>
  <c r="E10798" i="2"/>
  <c r="D10798" i="2"/>
  <c r="B10798" i="2"/>
  <c r="A10798" i="2"/>
  <c r="O10797" i="2"/>
  <c r="M10797" i="2"/>
  <c r="L10797" i="2"/>
  <c r="E10797" i="2"/>
  <c r="D10797" i="2"/>
  <c r="B10797" i="2"/>
  <c r="A10797" i="2"/>
  <c r="O10796" i="2"/>
  <c r="M10796" i="2"/>
  <c r="L10796" i="2"/>
  <c r="E10796" i="2"/>
  <c r="D10796" i="2"/>
  <c r="B10796" i="2"/>
  <c r="A10796" i="2"/>
  <c r="O10795" i="2"/>
  <c r="M10795" i="2"/>
  <c r="L10795" i="2"/>
  <c r="E10795" i="2"/>
  <c r="D10795" i="2"/>
  <c r="B10795" i="2"/>
  <c r="A10795" i="2"/>
  <c r="O10794" i="2"/>
  <c r="M10794" i="2"/>
  <c r="L10794" i="2"/>
  <c r="E10794" i="2"/>
  <c r="D10794" i="2"/>
  <c r="B10794" i="2"/>
  <c r="A10794" i="2"/>
  <c r="O10793" i="2"/>
  <c r="M10793" i="2"/>
  <c r="L10793" i="2"/>
  <c r="E10793" i="2"/>
  <c r="D10793" i="2"/>
  <c r="B10793" i="2"/>
  <c r="A10793" i="2"/>
  <c r="O10792" i="2"/>
  <c r="M10792" i="2"/>
  <c r="L10792" i="2"/>
  <c r="E10792" i="2"/>
  <c r="D10792" i="2"/>
  <c r="B10792" i="2"/>
  <c r="A10792" i="2"/>
  <c r="O10791" i="2"/>
  <c r="O10790" i="2"/>
  <c r="O10789" i="2"/>
  <c r="O10788" i="2"/>
  <c r="M10788" i="2"/>
  <c r="L10788" i="2"/>
  <c r="E10788" i="2"/>
  <c r="D10788" i="2"/>
  <c r="B10788" i="2"/>
  <c r="A10788" i="2"/>
  <c r="O10787" i="2"/>
  <c r="O10786" i="2"/>
  <c r="M10786" i="2"/>
  <c r="L10786" i="2"/>
  <c r="E10786" i="2"/>
  <c r="D10786" i="2"/>
  <c r="B10786" i="2"/>
  <c r="A10786" i="2"/>
  <c r="O10785" i="2"/>
  <c r="M10785" i="2"/>
  <c r="L10785" i="2"/>
  <c r="E10785" i="2"/>
  <c r="D10785" i="2"/>
  <c r="B10785" i="2"/>
  <c r="A10785" i="2"/>
  <c r="O10784" i="2"/>
  <c r="M10784" i="2"/>
  <c r="L10784" i="2"/>
  <c r="E10784" i="2"/>
  <c r="D10784" i="2"/>
  <c r="B10784" i="2"/>
  <c r="A10784" i="2"/>
  <c r="O10783" i="2"/>
  <c r="M10783" i="2"/>
  <c r="L10783" i="2"/>
  <c r="E10783" i="2"/>
  <c r="D10783" i="2"/>
  <c r="B10783" i="2"/>
  <c r="A10783" i="2"/>
  <c r="O10782" i="2"/>
  <c r="M10782" i="2"/>
  <c r="L10782" i="2"/>
  <c r="E10782" i="2"/>
  <c r="D10782" i="2"/>
  <c r="B10782" i="2"/>
  <c r="A10782" i="2"/>
  <c r="O10781" i="2"/>
  <c r="M10781" i="2"/>
  <c r="L10781" i="2"/>
  <c r="E10781" i="2"/>
  <c r="D10781" i="2"/>
  <c r="B10781" i="2"/>
  <c r="A10781" i="2"/>
  <c r="O10780" i="2"/>
  <c r="M10780" i="2"/>
  <c r="L10780" i="2"/>
  <c r="E10780" i="2"/>
  <c r="D10780" i="2"/>
  <c r="B10780" i="2"/>
  <c r="A10780" i="2"/>
  <c r="O10779" i="2"/>
  <c r="M10779" i="2"/>
  <c r="L10779" i="2"/>
  <c r="E10779" i="2"/>
  <c r="D10779" i="2"/>
  <c r="B10779" i="2"/>
  <c r="A10779" i="2"/>
  <c r="O10778" i="2"/>
  <c r="M10778" i="2"/>
  <c r="L10778" i="2"/>
  <c r="E10778" i="2"/>
  <c r="D10778" i="2"/>
  <c r="B10778" i="2"/>
  <c r="A10778" i="2"/>
  <c r="O10777" i="2"/>
  <c r="M10777" i="2"/>
  <c r="L10777" i="2"/>
  <c r="E10777" i="2"/>
  <c r="D10777" i="2"/>
  <c r="B10777" i="2"/>
  <c r="A10777" i="2"/>
  <c r="O10776" i="2"/>
  <c r="O10775" i="2"/>
  <c r="M10775" i="2"/>
  <c r="L10775" i="2"/>
  <c r="E10775" i="2"/>
  <c r="D10775" i="2"/>
  <c r="B10775" i="2"/>
  <c r="A10775" i="2"/>
  <c r="O10774" i="2"/>
  <c r="M10774" i="2"/>
  <c r="L10774" i="2"/>
  <c r="E10774" i="2"/>
  <c r="D10774" i="2"/>
  <c r="B10774" i="2"/>
  <c r="A10774" i="2"/>
  <c r="O10773" i="2"/>
  <c r="M10773" i="2"/>
  <c r="L10773" i="2"/>
  <c r="E10773" i="2"/>
  <c r="D10773" i="2"/>
  <c r="B10773" i="2"/>
  <c r="A10773" i="2"/>
  <c r="O10772" i="2"/>
  <c r="O10771" i="2"/>
  <c r="M10771" i="2"/>
  <c r="L10771" i="2"/>
  <c r="E10771" i="2"/>
  <c r="D10771" i="2"/>
  <c r="B10771" i="2"/>
  <c r="A10771" i="2"/>
  <c r="O10770" i="2"/>
  <c r="M10770" i="2"/>
  <c r="L10770" i="2"/>
  <c r="E10770" i="2"/>
  <c r="D10770" i="2"/>
  <c r="B10770" i="2"/>
  <c r="A10770" i="2"/>
  <c r="O10769" i="2"/>
  <c r="M10769" i="2"/>
  <c r="L10769" i="2"/>
  <c r="E10769" i="2"/>
  <c r="D10769" i="2"/>
  <c r="B10769" i="2"/>
  <c r="A10769" i="2"/>
  <c r="O10768" i="2"/>
  <c r="M10768" i="2"/>
  <c r="L10768" i="2"/>
  <c r="E10768" i="2"/>
  <c r="D10768" i="2"/>
  <c r="B10768" i="2"/>
  <c r="A10768" i="2"/>
  <c r="O10767" i="2"/>
  <c r="M10767" i="2"/>
  <c r="L10767" i="2"/>
  <c r="E10767" i="2"/>
  <c r="D10767" i="2"/>
  <c r="B10767" i="2"/>
  <c r="A10767" i="2"/>
  <c r="O10766" i="2"/>
  <c r="M10766" i="2"/>
  <c r="L10766" i="2"/>
  <c r="E10766" i="2"/>
  <c r="D10766" i="2"/>
  <c r="B10766" i="2"/>
  <c r="A10766" i="2"/>
  <c r="O10765" i="2"/>
  <c r="M10765" i="2"/>
  <c r="L10765" i="2"/>
  <c r="E10765" i="2"/>
  <c r="D10765" i="2"/>
  <c r="B10765" i="2"/>
  <c r="A10765" i="2"/>
  <c r="O10764" i="2"/>
  <c r="M10764" i="2"/>
  <c r="L10764" i="2"/>
  <c r="E10764" i="2"/>
  <c r="D10764" i="2"/>
  <c r="B10764" i="2"/>
  <c r="A10764" i="2"/>
  <c r="O10763" i="2"/>
  <c r="M10763" i="2"/>
  <c r="L10763" i="2"/>
  <c r="E10763" i="2"/>
  <c r="D10763" i="2"/>
  <c r="B10763" i="2"/>
  <c r="A10763" i="2"/>
  <c r="O10762" i="2"/>
  <c r="M10762" i="2"/>
  <c r="L10762" i="2"/>
  <c r="E10762" i="2"/>
  <c r="D10762" i="2"/>
  <c r="B10762" i="2"/>
  <c r="A10762" i="2"/>
  <c r="O10761" i="2"/>
  <c r="M10761" i="2"/>
  <c r="L10761" i="2"/>
  <c r="E10761" i="2"/>
  <c r="D10761" i="2"/>
  <c r="B10761" i="2"/>
  <c r="A10761" i="2"/>
  <c r="O10760" i="2"/>
  <c r="M10760" i="2"/>
  <c r="L10760" i="2"/>
  <c r="E10760" i="2"/>
  <c r="D10760" i="2"/>
  <c r="B10760" i="2"/>
  <c r="A10760" i="2"/>
  <c r="O10759" i="2"/>
  <c r="M10759" i="2"/>
  <c r="L10759" i="2"/>
  <c r="E10759" i="2"/>
  <c r="D10759" i="2"/>
  <c r="B10759" i="2"/>
  <c r="A10759" i="2"/>
  <c r="O10758" i="2"/>
  <c r="M10758" i="2"/>
  <c r="L10758" i="2"/>
  <c r="E10758" i="2"/>
  <c r="D10758" i="2"/>
  <c r="B10758" i="2"/>
  <c r="A10758" i="2"/>
  <c r="O10757" i="2"/>
  <c r="M10757" i="2"/>
  <c r="L10757" i="2"/>
  <c r="E10757" i="2"/>
  <c r="D10757" i="2"/>
  <c r="B10757" i="2"/>
  <c r="A10757" i="2"/>
  <c r="O10756" i="2"/>
  <c r="M10756" i="2"/>
  <c r="L10756" i="2"/>
  <c r="E10756" i="2"/>
  <c r="D10756" i="2"/>
  <c r="B10756" i="2"/>
  <c r="A10756" i="2"/>
  <c r="O10755" i="2"/>
  <c r="O10754" i="2"/>
  <c r="M10754" i="2"/>
  <c r="L10754" i="2"/>
  <c r="E10754" i="2"/>
  <c r="D10754" i="2"/>
  <c r="B10754" i="2"/>
  <c r="A10754" i="2"/>
  <c r="O10753" i="2"/>
  <c r="M10753" i="2"/>
  <c r="L10753" i="2"/>
  <c r="E10753" i="2"/>
  <c r="D10753" i="2"/>
  <c r="B10753" i="2"/>
  <c r="A10753" i="2"/>
  <c r="O10752" i="2"/>
  <c r="M10752" i="2"/>
  <c r="L10752" i="2"/>
  <c r="E10752" i="2"/>
  <c r="D10752" i="2"/>
  <c r="B10752" i="2"/>
  <c r="A10752" i="2"/>
  <c r="O10751" i="2"/>
  <c r="M10751" i="2"/>
  <c r="L10751" i="2"/>
  <c r="E10751" i="2"/>
  <c r="D10751" i="2"/>
  <c r="B10751" i="2"/>
  <c r="A10751" i="2"/>
  <c r="O10750" i="2"/>
  <c r="M10750" i="2"/>
  <c r="L10750" i="2"/>
  <c r="E10750" i="2"/>
  <c r="D10750" i="2"/>
  <c r="B10750" i="2"/>
  <c r="A10750" i="2"/>
  <c r="O10749" i="2"/>
  <c r="M10749" i="2"/>
  <c r="L10749" i="2"/>
  <c r="E10749" i="2"/>
  <c r="D10749" i="2"/>
  <c r="B10749" i="2"/>
  <c r="A10749" i="2"/>
  <c r="O10748" i="2"/>
  <c r="O10747" i="2"/>
  <c r="O10746" i="2"/>
  <c r="M10746" i="2"/>
  <c r="L10746" i="2"/>
  <c r="E10746" i="2"/>
  <c r="D10746" i="2"/>
  <c r="B10746" i="2"/>
  <c r="A10746" i="2"/>
  <c r="O10745" i="2"/>
  <c r="M10745" i="2"/>
  <c r="L10745" i="2"/>
  <c r="E10745" i="2"/>
  <c r="D10745" i="2"/>
  <c r="B10745" i="2"/>
  <c r="A10745" i="2"/>
  <c r="O10744" i="2"/>
  <c r="O10743" i="2"/>
  <c r="M10743" i="2"/>
  <c r="L10743" i="2"/>
  <c r="E10743" i="2"/>
  <c r="D10743" i="2"/>
  <c r="B10743" i="2"/>
  <c r="A10743" i="2"/>
  <c r="O10742" i="2"/>
  <c r="O10741" i="2"/>
  <c r="M10741" i="2"/>
  <c r="L10741" i="2"/>
  <c r="E10741" i="2"/>
  <c r="D10741" i="2"/>
  <c r="B10741" i="2"/>
  <c r="A10741" i="2"/>
  <c r="O10740" i="2"/>
  <c r="M10740" i="2"/>
  <c r="L10740" i="2"/>
  <c r="E10740" i="2"/>
  <c r="D10740" i="2"/>
  <c r="B10740" i="2"/>
  <c r="A10740" i="2"/>
  <c r="O10739" i="2"/>
  <c r="M10739" i="2"/>
  <c r="L10739" i="2"/>
  <c r="E10739" i="2"/>
  <c r="D10739" i="2"/>
  <c r="B10739" i="2"/>
  <c r="A10739" i="2"/>
  <c r="O10738" i="2"/>
  <c r="M10738" i="2"/>
  <c r="L10738" i="2"/>
  <c r="E10738" i="2"/>
  <c r="D10738" i="2"/>
  <c r="B10738" i="2"/>
  <c r="A10738" i="2"/>
  <c r="O10737" i="2"/>
  <c r="O10736" i="2"/>
  <c r="M10736" i="2"/>
  <c r="L10736" i="2"/>
  <c r="E10736" i="2"/>
  <c r="D10736" i="2"/>
  <c r="B10736" i="2"/>
  <c r="A10736" i="2"/>
  <c r="O10735" i="2"/>
  <c r="M10735" i="2"/>
  <c r="L10735" i="2"/>
  <c r="E10735" i="2"/>
  <c r="D10735" i="2"/>
  <c r="B10735" i="2"/>
  <c r="A10735" i="2"/>
  <c r="O10734" i="2"/>
  <c r="M10734" i="2"/>
  <c r="L10734" i="2"/>
  <c r="E10734" i="2"/>
  <c r="D10734" i="2"/>
  <c r="B10734" i="2"/>
  <c r="A10734" i="2"/>
  <c r="O10733" i="2"/>
  <c r="O10732" i="2"/>
  <c r="O10731" i="2"/>
  <c r="M10731" i="2"/>
  <c r="L10731" i="2"/>
  <c r="E10731" i="2"/>
  <c r="D10731" i="2"/>
  <c r="B10731" i="2"/>
  <c r="A10731" i="2"/>
  <c r="O10730" i="2"/>
  <c r="M10730" i="2"/>
  <c r="L10730" i="2"/>
  <c r="E10730" i="2"/>
  <c r="D10730" i="2"/>
  <c r="B10730" i="2"/>
  <c r="A10730" i="2"/>
  <c r="O10729" i="2"/>
  <c r="M10729" i="2"/>
  <c r="L10729" i="2"/>
  <c r="E10729" i="2"/>
  <c r="D10729" i="2"/>
  <c r="B10729" i="2"/>
  <c r="A10729" i="2"/>
  <c r="O10728" i="2"/>
  <c r="M10728" i="2"/>
  <c r="L10728" i="2"/>
  <c r="E10728" i="2"/>
  <c r="D10728" i="2"/>
  <c r="B10728" i="2"/>
  <c r="A10728" i="2"/>
  <c r="O10727" i="2"/>
  <c r="M10727" i="2"/>
  <c r="L10727" i="2"/>
  <c r="E10727" i="2"/>
  <c r="D10727" i="2"/>
  <c r="B10727" i="2"/>
  <c r="A10727" i="2"/>
  <c r="O10726" i="2"/>
  <c r="M10726" i="2"/>
  <c r="L10726" i="2"/>
  <c r="E10726" i="2"/>
  <c r="D10726" i="2"/>
  <c r="B10726" i="2"/>
  <c r="A10726" i="2"/>
  <c r="O10725" i="2"/>
  <c r="O10724" i="2"/>
  <c r="O10723" i="2"/>
  <c r="M10723" i="2"/>
  <c r="L10723" i="2"/>
  <c r="E10723" i="2"/>
  <c r="D10723" i="2"/>
  <c r="B10723" i="2"/>
  <c r="A10723" i="2"/>
  <c r="O10722" i="2"/>
  <c r="O10721" i="2"/>
  <c r="M10721" i="2"/>
  <c r="L10721" i="2"/>
  <c r="E10721" i="2"/>
  <c r="D10721" i="2"/>
  <c r="B10721" i="2"/>
  <c r="A10721" i="2"/>
  <c r="O10720" i="2"/>
  <c r="M10720" i="2"/>
  <c r="L10720" i="2"/>
  <c r="E10720" i="2"/>
  <c r="D10720" i="2"/>
  <c r="B10720" i="2"/>
  <c r="A10720" i="2"/>
  <c r="O10719" i="2"/>
  <c r="O10718" i="2"/>
  <c r="O10717" i="2"/>
  <c r="M10717" i="2"/>
  <c r="L10717" i="2"/>
  <c r="E10717" i="2"/>
  <c r="D10717" i="2"/>
  <c r="B10717" i="2"/>
  <c r="A10717" i="2"/>
  <c r="O10716" i="2"/>
  <c r="M10716" i="2"/>
  <c r="L10716" i="2"/>
  <c r="E10716" i="2"/>
  <c r="D10716" i="2"/>
  <c r="B10716" i="2"/>
  <c r="A10716" i="2"/>
  <c r="O10715" i="2"/>
  <c r="M10715" i="2"/>
  <c r="L10715" i="2"/>
  <c r="E10715" i="2"/>
  <c r="D10715" i="2"/>
  <c r="B10715" i="2"/>
  <c r="A10715" i="2"/>
  <c r="O10714" i="2"/>
  <c r="M10714" i="2"/>
  <c r="L10714" i="2"/>
  <c r="E10714" i="2"/>
  <c r="D10714" i="2"/>
  <c r="B10714" i="2"/>
  <c r="A10714" i="2"/>
  <c r="O10713" i="2"/>
  <c r="M10713" i="2"/>
  <c r="L10713" i="2"/>
  <c r="E10713" i="2"/>
  <c r="D10713" i="2"/>
  <c r="B10713" i="2"/>
  <c r="A10713" i="2"/>
  <c r="O10712" i="2"/>
  <c r="M10712" i="2"/>
  <c r="L10712" i="2"/>
  <c r="E10712" i="2"/>
  <c r="D10712" i="2"/>
  <c r="B10712" i="2"/>
  <c r="A10712" i="2"/>
  <c r="O10711" i="2"/>
  <c r="M10711" i="2"/>
  <c r="L10711" i="2"/>
  <c r="E10711" i="2"/>
  <c r="D10711" i="2"/>
  <c r="B10711" i="2"/>
  <c r="A10711" i="2"/>
  <c r="O10710" i="2"/>
  <c r="M10710" i="2"/>
  <c r="L10710" i="2"/>
  <c r="E10710" i="2"/>
  <c r="D10710" i="2"/>
  <c r="B10710" i="2"/>
  <c r="A10710" i="2"/>
  <c r="O10709" i="2"/>
  <c r="M10709" i="2"/>
  <c r="L10709" i="2"/>
  <c r="E10709" i="2"/>
  <c r="D10709" i="2"/>
  <c r="B10709" i="2"/>
  <c r="A10709" i="2"/>
  <c r="O10708" i="2"/>
  <c r="M10708" i="2"/>
  <c r="L10708" i="2"/>
  <c r="E10708" i="2"/>
  <c r="D10708" i="2"/>
  <c r="B10708" i="2"/>
  <c r="A10708" i="2"/>
  <c r="O10707" i="2"/>
  <c r="M10707" i="2"/>
  <c r="L10707" i="2"/>
  <c r="E10707" i="2"/>
  <c r="D10707" i="2"/>
  <c r="B10707" i="2"/>
  <c r="A10707" i="2"/>
  <c r="O10706" i="2"/>
  <c r="M10706" i="2"/>
  <c r="L10706" i="2"/>
  <c r="E10706" i="2"/>
  <c r="D10706" i="2"/>
  <c r="B10706" i="2"/>
  <c r="A10706" i="2"/>
  <c r="O10705" i="2"/>
  <c r="M10705" i="2"/>
  <c r="L10705" i="2"/>
  <c r="E10705" i="2"/>
  <c r="D10705" i="2"/>
  <c r="B10705" i="2"/>
  <c r="A10705" i="2"/>
  <c r="O10704" i="2"/>
  <c r="M10704" i="2"/>
  <c r="L10704" i="2"/>
  <c r="E10704" i="2"/>
  <c r="D10704" i="2"/>
  <c r="B10704" i="2"/>
  <c r="A10704" i="2"/>
  <c r="O10703" i="2"/>
  <c r="M10703" i="2"/>
  <c r="L10703" i="2"/>
  <c r="E10703" i="2"/>
  <c r="D10703" i="2"/>
  <c r="B10703" i="2"/>
  <c r="A10703" i="2"/>
  <c r="O10702" i="2"/>
  <c r="M10702" i="2"/>
  <c r="L10702" i="2"/>
  <c r="E10702" i="2"/>
  <c r="D10702" i="2"/>
  <c r="B10702" i="2"/>
  <c r="A10702" i="2"/>
  <c r="O10701" i="2"/>
  <c r="M10701" i="2"/>
  <c r="L10701" i="2"/>
  <c r="E10701" i="2"/>
  <c r="D10701" i="2"/>
  <c r="B10701" i="2"/>
  <c r="A10701" i="2"/>
  <c r="O10700" i="2"/>
  <c r="O10699" i="2"/>
  <c r="M10699" i="2"/>
  <c r="L10699" i="2"/>
  <c r="E10699" i="2"/>
  <c r="D10699" i="2"/>
  <c r="B10699" i="2"/>
  <c r="A10699" i="2"/>
  <c r="O10698" i="2"/>
  <c r="O10697" i="2"/>
  <c r="O10696" i="2"/>
  <c r="O10695" i="2"/>
  <c r="M10695" i="2"/>
  <c r="L10695" i="2"/>
  <c r="E10695" i="2"/>
  <c r="D10695" i="2"/>
  <c r="B10695" i="2"/>
  <c r="A10695" i="2"/>
  <c r="O10694" i="2"/>
  <c r="M10694" i="2"/>
  <c r="L10694" i="2"/>
  <c r="E10694" i="2"/>
  <c r="D10694" i="2"/>
  <c r="B10694" i="2"/>
  <c r="A10694" i="2"/>
  <c r="O10693" i="2"/>
  <c r="M10693" i="2"/>
  <c r="L10693" i="2"/>
  <c r="E10693" i="2"/>
  <c r="D10693" i="2"/>
  <c r="B10693" i="2"/>
  <c r="A10693" i="2"/>
  <c r="O10692" i="2"/>
  <c r="M10692" i="2"/>
  <c r="L10692" i="2"/>
  <c r="E10692" i="2"/>
  <c r="D10692" i="2"/>
  <c r="B10692" i="2"/>
  <c r="A10692" i="2"/>
  <c r="O10691" i="2"/>
  <c r="M10691" i="2"/>
  <c r="L10691" i="2"/>
  <c r="E10691" i="2"/>
  <c r="D10691" i="2"/>
  <c r="B10691" i="2"/>
  <c r="A10691" i="2"/>
  <c r="O10690" i="2"/>
  <c r="M10690" i="2"/>
  <c r="L10690" i="2"/>
  <c r="E10690" i="2"/>
  <c r="D10690" i="2"/>
  <c r="B10690" i="2"/>
  <c r="A10690" i="2"/>
  <c r="O10689" i="2"/>
  <c r="M10689" i="2"/>
  <c r="L10689" i="2"/>
  <c r="E10689" i="2"/>
  <c r="D10689" i="2"/>
  <c r="B10689" i="2"/>
  <c r="A10689" i="2"/>
  <c r="O10688" i="2"/>
  <c r="M10688" i="2"/>
  <c r="L10688" i="2"/>
  <c r="E10688" i="2"/>
  <c r="D10688" i="2"/>
  <c r="B10688" i="2"/>
  <c r="A10688" i="2"/>
  <c r="O10687" i="2"/>
  <c r="O10686" i="2"/>
  <c r="M10686" i="2"/>
  <c r="L10686" i="2"/>
  <c r="E10686" i="2"/>
  <c r="D10686" i="2"/>
  <c r="B10686" i="2"/>
  <c r="A10686" i="2"/>
  <c r="O10685" i="2"/>
  <c r="M10685" i="2"/>
  <c r="L10685" i="2"/>
  <c r="E10685" i="2"/>
  <c r="D10685" i="2"/>
  <c r="B10685" i="2"/>
  <c r="A10685" i="2"/>
  <c r="O10684" i="2"/>
  <c r="M10684" i="2"/>
  <c r="L10684" i="2"/>
  <c r="E10684" i="2"/>
  <c r="D10684" i="2"/>
  <c r="B10684" i="2"/>
  <c r="A10684" i="2"/>
  <c r="O10683" i="2"/>
  <c r="M10683" i="2"/>
  <c r="L10683" i="2"/>
  <c r="E10683" i="2"/>
  <c r="D10683" i="2"/>
  <c r="B10683" i="2"/>
  <c r="A10683" i="2"/>
  <c r="O10682" i="2"/>
  <c r="M10682" i="2"/>
  <c r="L10682" i="2"/>
  <c r="E10682" i="2"/>
  <c r="D10682" i="2"/>
  <c r="B10682" i="2"/>
  <c r="A10682" i="2"/>
  <c r="O10681" i="2"/>
  <c r="M10681" i="2"/>
  <c r="L10681" i="2"/>
  <c r="E10681" i="2"/>
  <c r="D10681" i="2"/>
  <c r="B10681" i="2"/>
  <c r="A10681" i="2"/>
  <c r="O10680" i="2"/>
  <c r="M10680" i="2"/>
  <c r="L10680" i="2"/>
  <c r="E10680" i="2"/>
  <c r="D10680" i="2"/>
  <c r="B10680" i="2"/>
  <c r="A10680" i="2"/>
  <c r="O10679" i="2"/>
  <c r="O10678" i="2"/>
  <c r="O10677" i="2"/>
  <c r="M10677" i="2"/>
  <c r="L10677" i="2"/>
  <c r="E10677" i="2"/>
  <c r="D10677" i="2"/>
  <c r="B10677" i="2"/>
  <c r="A10677" i="2"/>
  <c r="O10676" i="2"/>
  <c r="M10676" i="2"/>
  <c r="L10676" i="2"/>
  <c r="E10676" i="2"/>
  <c r="D10676" i="2"/>
  <c r="B10676" i="2"/>
  <c r="A10676" i="2"/>
  <c r="O10675" i="2"/>
  <c r="M10675" i="2"/>
  <c r="L10675" i="2"/>
  <c r="E10675" i="2"/>
  <c r="D10675" i="2"/>
  <c r="B10675" i="2"/>
  <c r="A10675" i="2"/>
  <c r="O10674" i="2"/>
  <c r="M10674" i="2"/>
  <c r="L10674" i="2"/>
  <c r="E10674" i="2"/>
  <c r="D10674" i="2"/>
  <c r="B10674" i="2"/>
  <c r="A10674" i="2"/>
  <c r="O10673" i="2"/>
  <c r="O10672" i="2"/>
  <c r="M10672" i="2"/>
  <c r="L10672" i="2"/>
  <c r="E10672" i="2"/>
  <c r="D10672" i="2"/>
  <c r="B10672" i="2"/>
  <c r="A10672" i="2"/>
  <c r="O10671" i="2"/>
  <c r="O10670" i="2"/>
  <c r="M10670" i="2"/>
  <c r="L10670" i="2"/>
  <c r="E10670" i="2"/>
  <c r="D10670" i="2"/>
  <c r="B10670" i="2"/>
  <c r="A10670" i="2"/>
  <c r="O10669" i="2"/>
  <c r="M10669" i="2"/>
  <c r="L10669" i="2"/>
  <c r="E10669" i="2"/>
  <c r="D10669" i="2"/>
  <c r="B10669" i="2"/>
  <c r="A10669" i="2"/>
  <c r="O10668" i="2"/>
  <c r="M10668" i="2"/>
  <c r="L10668" i="2"/>
  <c r="E10668" i="2"/>
  <c r="D10668" i="2"/>
  <c r="B10668" i="2"/>
  <c r="A10668" i="2"/>
  <c r="O10667" i="2"/>
  <c r="M10667" i="2"/>
  <c r="L10667" i="2"/>
  <c r="E10667" i="2"/>
  <c r="D10667" i="2"/>
  <c r="B10667" i="2"/>
  <c r="A10667" i="2"/>
  <c r="O10666" i="2"/>
  <c r="M10666" i="2"/>
  <c r="L10666" i="2"/>
  <c r="E10666" i="2"/>
  <c r="D10666" i="2"/>
  <c r="B10666" i="2"/>
  <c r="A10666" i="2"/>
  <c r="O10665" i="2"/>
  <c r="M10665" i="2"/>
  <c r="L10665" i="2"/>
  <c r="E10665" i="2"/>
  <c r="D10665" i="2"/>
  <c r="B10665" i="2"/>
  <c r="A10665" i="2"/>
  <c r="O10664" i="2"/>
  <c r="M10664" i="2"/>
  <c r="L10664" i="2"/>
  <c r="E10664" i="2"/>
  <c r="D10664" i="2"/>
  <c r="B10664" i="2"/>
  <c r="A10664" i="2"/>
  <c r="O10663" i="2"/>
  <c r="M10663" i="2"/>
  <c r="L10663" i="2"/>
  <c r="E10663" i="2"/>
  <c r="D10663" i="2"/>
  <c r="B10663" i="2"/>
  <c r="A10663" i="2"/>
  <c r="O10662" i="2"/>
  <c r="O10661" i="2"/>
  <c r="O10660" i="2"/>
  <c r="O10659" i="2"/>
  <c r="M10659" i="2"/>
  <c r="L10659" i="2"/>
  <c r="E10659" i="2"/>
  <c r="D10659" i="2"/>
  <c r="B10659" i="2"/>
  <c r="A10659" i="2"/>
  <c r="O10658" i="2"/>
  <c r="M10658" i="2"/>
  <c r="L10658" i="2"/>
  <c r="E10658" i="2"/>
  <c r="D10658" i="2"/>
  <c r="B10658" i="2"/>
  <c r="A10658" i="2"/>
  <c r="O10657" i="2"/>
  <c r="O10656" i="2"/>
  <c r="O10655" i="2"/>
  <c r="M10655" i="2"/>
  <c r="L10655" i="2"/>
  <c r="E10655" i="2"/>
  <c r="D10655" i="2"/>
  <c r="B10655" i="2"/>
  <c r="A10655" i="2"/>
  <c r="O10654" i="2"/>
  <c r="M10654" i="2"/>
  <c r="L10654" i="2"/>
  <c r="E10654" i="2"/>
  <c r="D10654" i="2"/>
  <c r="B10654" i="2"/>
  <c r="A10654" i="2"/>
  <c r="O10653" i="2"/>
  <c r="M10653" i="2"/>
  <c r="L10653" i="2"/>
  <c r="E10653" i="2"/>
  <c r="D10653" i="2"/>
  <c r="B10653" i="2"/>
  <c r="A10653" i="2"/>
  <c r="O10652" i="2"/>
  <c r="M10652" i="2"/>
  <c r="L10652" i="2"/>
  <c r="E10652" i="2"/>
  <c r="D10652" i="2"/>
  <c r="B10652" i="2"/>
  <c r="A10652" i="2"/>
  <c r="O10651" i="2"/>
  <c r="M10651" i="2"/>
  <c r="L10651" i="2"/>
  <c r="E10651" i="2"/>
  <c r="D10651" i="2"/>
  <c r="B10651" i="2"/>
  <c r="A10651" i="2"/>
  <c r="O10650" i="2"/>
  <c r="M10650" i="2"/>
  <c r="L10650" i="2"/>
  <c r="E10650" i="2"/>
  <c r="D10650" i="2"/>
  <c r="B10650" i="2"/>
  <c r="A10650" i="2"/>
  <c r="O10649" i="2"/>
  <c r="O10648" i="2"/>
  <c r="M10648" i="2"/>
  <c r="L10648" i="2"/>
  <c r="E10648" i="2"/>
  <c r="D10648" i="2"/>
  <c r="B10648" i="2"/>
  <c r="A10648" i="2"/>
  <c r="O10647" i="2"/>
  <c r="O10646" i="2"/>
  <c r="O10645" i="2"/>
  <c r="O10644" i="2"/>
  <c r="M10644" i="2"/>
  <c r="L10644" i="2"/>
  <c r="E10644" i="2"/>
  <c r="D10644" i="2"/>
  <c r="B10644" i="2"/>
  <c r="A10644" i="2"/>
  <c r="O10643" i="2"/>
  <c r="M10643" i="2"/>
  <c r="L10643" i="2"/>
  <c r="E10643" i="2"/>
  <c r="D10643" i="2"/>
  <c r="B10643" i="2"/>
  <c r="A10643" i="2"/>
  <c r="O10642" i="2"/>
  <c r="M10642" i="2"/>
  <c r="L10642" i="2"/>
  <c r="E10642" i="2"/>
  <c r="D10642" i="2"/>
  <c r="B10642" i="2"/>
  <c r="A10642" i="2"/>
  <c r="O10641" i="2"/>
  <c r="M10641" i="2"/>
  <c r="L10641" i="2"/>
  <c r="E10641" i="2"/>
  <c r="D10641" i="2"/>
  <c r="B10641" i="2"/>
  <c r="A10641" i="2"/>
  <c r="O10640" i="2"/>
  <c r="M10640" i="2"/>
  <c r="L10640" i="2"/>
  <c r="E10640" i="2"/>
  <c r="D10640" i="2"/>
  <c r="B10640" i="2"/>
  <c r="A10640" i="2"/>
  <c r="O10639" i="2"/>
  <c r="M10639" i="2"/>
  <c r="L10639" i="2"/>
  <c r="E10639" i="2"/>
  <c r="D10639" i="2"/>
  <c r="B10639" i="2"/>
  <c r="A10639" i="2"/>
  <c r="O10638" i="2"/>
  <c r="M10638" i="2"/>
  <c r="L10638" i="2"/>
  <c r="E10638" i="2"/>
  <c r="D10638" i="2"/>
  <c r="B10638" i="2"/>
  <c r="A10638" i="2"/>
  <c r="O10637" i="2"/>
  <c r="M10637" i="2"/>
  <c r="L10637" i="2"/>
  <c r="E10637" i="2"/>
  <c r="D10637" i="2"/>
  <c r="B10637" i="2"/>
  <c r="A10637" i="2"/>
  <c r="O10636" i="2"/>
  <c r="M10636" i="2"/>
  <c r="L10636" i="2"/>
  <c r="E10636" i="2"/>
  <c r="D10636" i="2"/>
  <c r="B10636" i="2"/>
  <c r="A10636" i="2"/>
  <c r="O10635" i="2"/>
  <c r="O10634" i="2"/>
  <c r="O10633" i="2"/>
  <c r="M10633" i="2"/>
  <c r="L10633" i="2"/>
  <c r="E10633" i="2"/>
  <c r="D10633" i="2"/>
  <c r="B10633" i="2"/>
  <c r="A10633" i="2"/>
  <c r="O10632" i="2"/>
  <c r="M10632" i="2"/>
  <c r="L10632" i="2"/>
  <c r="E10632" i="2"/>
  <c r="D10632" i="2"/>
  <c r="B10632" i="2"/>
  <c r="A10632" i="2"/>
  <c r="O10631" i="2"/>
  <c r="O10630" i="2"/>
  <c r="O10629" i="2"/>
  <c r="M10629" i="2"/>
  <c r="L10629" i="2"/>
  <c r="E10629" i="2"/>
  <c r="D10629" i="2"/>
  <c r="B10629" i="2"/>
  <c r="A10629" i="2"/>
  <c r="O10628" i="2"/>
  <c r="M10628" i="2"/>
  <c r="L10628" i="2"/>
  <c r="E10628" i="2"/>
  <c r="D10628" i="2"/>
  <c r="B10628" i="2"/>
  <c r="A10628" i="2"/>
  <c r="O10627" i="2"/>
  <c r="M10627" i="2"/>
  <c r="L10627" i="2"/>
  <c r="E10627" i="2"/>
  <c r="D10627" i="2"/>
  <c r="B10627" i="2"/>
  <c r="A10627" i="2"/>
  <c r="O10626" i="2"/>
  <c r="M10626" i="2"/>
  <c r="L10626" i="2"/>
  <c r="E10626" i="2"/>
  <c r="D10626" i="2"/>
  <c r="B10626" i="2"/>
  <c r="A10626" i="2"/>
  <c r="O10625" i="2"/>
  <c r="M10625" i="2"/>
  <c r="L10625" i="2"/>
  <c r="E10625" i="2"/>
  <c r="D10625" i="2"/>
  <c r="B10625" i="2"/>
  <c r="A10625" i="2"/>
  <c r="O10624" i="2"/>
  <c r="M10624" i="2"/>
  <c r="L10624" i="2"/>
  <c r="E10624" i="2"/>
  <c r="D10624" i="2"/>
  <c r="B10624" i="2"/>
  <c r="A10624" i="2"/>
  <c r="O10623" i="2"/>
  <c r="M10623" i="2"/>
  <c r="L10623" i="2"/>
  <c r="E10623" i="2"/>
  <c r="D10623" i="2"/>
  <c r="B10623" i="2"/>
  <c r="A10623" i="2"/>
  <c r="O10622" i="2"/>
  <c r="M10622" i="2"/>
  <c r="L10622" i="2"/>
  <c r="E10622" i="2"/>
  <c r="D10622" i="2"/>
  <c r="B10622" i="2"/>
  <c r="A10622" i="2"/>
  <c r="O10621" i="2"/>
  <c r="M10621" i="2"/>
  <c r="L10621" i="2"/>
  <c r="E10621" i="2"/>
  <c r="D10621" i="2"/>
  <c r="B10621" i="2"/>
  <c r="A10621" i="2"/>
  <c r="O10620" i="2"/>
  <c r="M10620" i="2"/>
  <c r="L10620" i="2"/>
  <c r="E10620" i="2"/>
  <c r="D10620" i="2"/>
  <c r="B10620" i="2"/>
  <c r="A10620" i="2"/>
  <c r="O10619" i="2"/>
  <c r="M10619" i="2"/>
  <c r="L10619" i="2"/>
  <c r="E10619" i="2"/>
  <c r="D10619" i="2"/>
  <c r="B10619" i="2"/>
  <c r="A10619" i="2"/>
  <c r="O10618" i="2"/>
  <c r="M10618" i="2"/>
  <c r="L10618" i="2"/>
  <c r="E10618" i="2"/>
  <c r="D10618" i="2"/>
  <c r="B10618" i="2"/>
  <c r="A10618" i="2"/>
  <c r="O10617" i="2"/>
  <c r="M10617" i="2"/>
  <c r="L10617" i="2"/>
  <c r="E10617" i="2"/>
  <c r="D10617" i="2"/>
  <c r="B10617" i="2"/>
  <c r="A10617" i="2"/>
  <c r="O10616" i="2"/>
  <c r="O10615" i="2"/>
  <c r="M10615" i="2"/>
  <c r="L10615" i="2"/>
  <c r="E10615" i="2"/>
  <c r="D10615" i="2"/>
  <c r="B10615" i="2"/>
  <c r="A10615" i="2"/>
  <c r="O10614" i="2"/>
  <c r="M10614" i="2"/>
  <c r="L10614" i="2"/>
  <c r="E10614" i="2"/>
  <c r="D10614" i="2"/>
  <c r="B10614" i="2"/>
  <c r="A10614" i="2"/>
  <c r="O10613" i="2"/>
  <c r="M10613" i="2"/>
  <c r="L10613" i="2"/>
  <c r="E10613" i="2"/>
  <c r="D10613" i="2"/>
  <c r="B10613" i="2"/>
  <c r="A10613" i="2"/>
  <c r="O10612" i="2"/>
  <c r="M10612" i="2"/>
  <c r="L10612" i="2"/>
  <c r="E10612" i="2"/>
  <c r="D10612" i="2"/>
  <c r="B10612" i="2"/>
  <c r="A10612" i="2"/>
  <c r="O10611" i="2"/>
  <c r="M10611" i="2"/>
  <c r="L10611" i="2"/>
  <c r="E10611" i="2"/>
  <c r="D10611" i="2"/>
  <c r="B10611" i="2"/>
  <c r="A10611" i="2"/>
  <c r="O10610" i="2"/>
  <c r="M10610" i="2"/>
  <c r="L10610" i="2"/>
  <c r="E10610" i="2"/>
  <c r="D10610" i="2"/>
  <c r="B10610" i="2"/>
  <c r="A10610" i="2"/>
  <c r="O10609" i="2"/>
  <c r="O10608" i="2"/>
  <c r="O10607" i="2"/>
  <c r="O10606" i="2"/>
  <c r="O10605" i="2"/>
  <c r="M10605" i="2"/>
  <c r="L10605" i="2"/>
  <c r="E10605" i="2"/>
  <c r="D10605" i="2"/>
  <c r="B10605" i="2"/>
  <c r="A10605" i="2"/>
  <c r="O10604" i="2"/>
  <c r="M10604" i="2"/>
  <c r="L10604" i="2"/>
  <c r="E10604" i="2"/>
  <c r="D10604" i="2"/>
  <c r="B10604" i="2"/>
  <c r="A10604" i="2"/>
  <c r="O10603" i="2"/>
  <c r="O10602" i="2"/>
  <c r="M10602" i="2"/>
  <c r="L10602" i="2"/>
  <c r="E10602" i="2"/>
  <c r="D10602" i="2"/>
  <c r="B10602" i="2"/>
  <c r="A10602" i="2"/>
  <c r="O10601" i="2"/>
  <c r="M10601" i="2"/>
  <c r="L10601" i="2"/>
  <c r="E10601" i="2"/>
  <c r="D10601" i="2"/>
  <c r="B10601" i="2"/>
  <c r="A10601" i="2"/>
  <c r="O10600" i="2"/>
  <c r="M10600" i="2"/>
  <c r="L10600" i="2"/>
  <c r="E10600" i="2"/>
  <c r="D10600" i="2"/>
  <c r="B10600" i="2"/>
  <c r="A10600" i="2"/>
  <c r="O10599" i="2"/>
  <c r="M10599" i="2"/>
  <c r="L10599" i="2"/>
  <c r="E10599" i="2"/>
  <c r="D10599" i="2"/>
  <c r="B10599" i="2"/>
  <c r="A10599" i="2"/>
  <c r="O10598" i="2"/>
  <c r="M10598" i="2"/>
  <c r="L10598" i="2"/>
  <c r="E10598" i="2"/>
  <c r="D10598" i="2"/>
  <c r="B10598" i="2"/>
  <c r="A10598" i="2"/>
  <c r="O10597" i="2"/>
  <c r="M10597" i="2"/>
  <c r="L10597" i="2"/>
  <c r="E10597" i="2"/>
  <c r="D10597" i="2"/>
  <c r="B10597" i="2"/>
  <c r="A10597" i="2"/>
  <c r="O10596" i="2"/>
  <c r="M10596" i="2"/>
  <c r="L10596" i="2"/>
  <c r="E10596" i="2"/>
  <c r="D10596" i="2"/>
  <c r="B10596" i="2"/>
  <c r="A10596" i="2"/>
  <c r="O10595" i="2"/>
  <c r="M10595" i="2"/>
  <c r="L10595" i="2"/>
  <c r="E10595" i="2"/>
  <c r="D10595" i="2"/>
  <c r="B10595" i="2"/>
  <c r="A10595" i="2"/>
  <c r="O10594" i="2"/>
  <c r="M10594" i="2"/>
  <c r="L10594" i="2"/>
  <c r="E10594" i="2"/>
  <c r="D10594" i="2"/>
  <c r="B10594" i="2"/>
  <c r="A10594" i="2"/>
  <c r="O10593" i="2"/>
  <c r="M10593" i="2"/>
  <c r="L10593" i="2"/>
  <c r="E10593" i="2"/>
  <c r="D10593" i="2"/>
  <c r="B10593" i="2"/>
  <c r="A10593" i="2"/>
  <c r="O10592" i="2"/>
  <c r="M10592" i="2"/>
  <c r="L10592" i="2"/>
  <c r="E10592" i="2"/>
  <c r="D10592" i="2"/>
  <c r="B10592" i="2"/>
  <c r="A10592" i="2"/>
  <c r="O10591" i="2"/>
  <c r="M10591" i="2"/>
  <c r="L10591" i="2"/>
  <c r="E10591" i="2"/>
  <c r="D10591" i="2"/>
  <c r="B10591" i="2"/>
  <c r="A10591" i="2"/>
  <c r="O10590" i="2"/>
  <c r="M10590" i="2"/>
  <c r="L10590" i="2"/>
  <c r="E10590" i="2"/>
  <c r="D10590" i="2"/>
  <c r="B10590" i="2"/>
  <c r="A10590" i="2"/>
  <c r="O10589" i="2"/>
  <c r="O10588" i="2"/>
  <c r="O10587" i="2"/>
  <c r="M10587" i="2"/>
  <c r="L10587" i="2"/>
  <c r="E10587" i="2"/>
  <c r="D10587" i="2"/>
  <c r="B10587" i="2"/>
  <c r="A10587" i="2"/>
  <c r="O10586" i="2"/>
  <c r="M10586" i="2"/>
  <c r="L10586" i="2"/>
  <c r="E10586" i="2"/>
  <c r="D10586" i="2"/>
  <c r="B10586" i="2"/>
  <c r="A10586" i="2"/>
  <c r="O10585" i="2"/>
  <c r="O10584" i="2"/>
  <c r="O10583" i="2"/>
  <c r="M10583" i="2"/>
  <c r="L10583" i="2"/>
  <c r="E10583" i="2"/>
  <c r="D10583" i="2"/>
  <c r="B10583" i="2"/>
  <c r="A10583" i="2"/>
  <c r="O10582" i="2"/>
  <c r="O10581" i="2"/>
  <c r="M10581" i="2"/>
  <c r="L10581" i="2"/>
  <c r="E10581" i="2"/>
  <c r="D10581" i="2"/>
  <c r="B10581" i="2"/>
  <c r="A10581" i="2"/>
  <c r="O10580" i="2"/>
  <c r="M10580" i="2"/>
  <c r="L10580" i="2"/>
  <c r="E10580" i="2"/>
  <c r="D10580" i="2"/>
  <c r="B10580" i="2"/>
  <c r="A10580" i="2"/>
  <c r="O10579" i="2"/>
  <c r="M10579" i="2"/>
  <c r="L10579" i="2"/>
  <c r="E10579" i="2"/>
  <c r="D10579" i="2"/>
  <c r="B10579" i="2"/>
  <c r="A10579" i="2"/>
  <c r="O10578" i="2"/>
  <c r="M10578" i="2"/>
  <c r="L10578" i="2"/>
  <c r="E10578" i="2"/>
  <c r="D10578" i="2"/>
  <c r="B10578" i="2"/>
  <c r="A10578" i="2"/>
  <c r="O10577" i="2"/>
  <c r="O10576" i="2"/>
  <c r="M10576" i="2"/>
  <c r="L10576" i="2"/>
  <c r="E10576" i="2"/>
  <c r="D10576" i="2"/>
  <c r="B10576" i="2"/>
  <c r="A10576" i="2"/>
  <c r="O10575" i="2"/>
  <c r="M10575" i="2"/>
  <c r="L10575" i="2"/>
  <c r="E10575" i="2"/>
  <c r="D10575" i="2"/>
  <c r="B10575" i="2"/>
  <c r="A10575" i="2"/>
  <c r="O10574" i="2"/>
  <c r="O10573" i="2"/>
  <c r="M10573" i="2"/>
  <c r="L10573" i="2"/>
  <c r="E10573" i="2"/>
  <c r="D10573" i="2"/>
  <c r="B10573" i="2"/>
  <c r="A10573" i="2"/>
  <c r="O10572" i="2"/>
  <c r="O10571" i="2"/>
  <c r="O10570" i="2"/>
  <c r="O10569" i="2"/>
  <c r="M10569" i="2"/>
  <c r="L10569" i="2"/>
  <c r="E10569" i="2"/>
  <c r="D10569" i="2"/>
  <c r="B10569" i="2"/>
  <c r="A10569" i="2"/>
  <c r="O10568" i="2"/>
  <c r="M10568" i="2"/>
  <c r="L10568" i="2"/>
  <c r="E10568" i="2"/>
  <c r="D10568" i="2"/>
  <c r="B10568" i="2"/>
  <c r="A10568" i="2"/>
  <c r="O10567" i="2"/>
  <c r="M10567" i="2"/>
  <c r="L10567" i="2"/>
  <c r="E10567" i="2"/>
  <c r="D10567" i="2"/>
  <c r="B10567" i="2"/>
  <c r="A10567" i="2"/>
  <c r="O10566" i="2"/>
  <c r="M10566" i="2"/>
  <c r="L10566" i="2"/>
  <c r="E10566" i="2"/>
  <c r="D10566" i="2"/>
  <c r="B10566" i="2"/>
  <c r="A10566" i="2"/>
  <c r="O10565" i="2"/>
  <c r="O10564" i="2"/>
  <c r="M10564" i="2"/>
  <c r="L10564" i="2"/>
  <c r="E10564" i="2"/>
  <c r="D10564" i="2"/>
  <c r="B10564" i="2"/>
  <c r="A10564" i="2"/>
  <c r="O10563" i="2"/>
  <c r="M10563" i="2"/>
  <c r="L10563" i="2"/>
  <c r="E10563" i="2"/>
  <c r="D10563" i="2"/>
  <c r="B10563" i="2"/>
  <c r="A10563" i="2"/>
  <c r="O10562" i="2"/>
  <c r="M10562" i="2"/>
  <c r="L10562" i="2"/>
  <c r="E10562" i="2"/>
  <c r="D10562" i="2"/>
  <c r="B10562" i="2"/>
  <c r="A10562" i="2"/>
  <c r="O10561" i="2"/>
  <c r="M10561" i="2"/>
  <c r="L10561" i="2"/>
  <c r="E10561" i="2"/>
  <c r="D10561" i="2"/>
  <c r="B10561" i="2"/>
  <c r="A10561" i="2"/>
  <c r="O10560" i="2"/>
  <c r="O10559" i="2"/>
  <c r="M10559" i="2"/>
  <c r="L10559" i="2"/>
  <c r="E10559" i="2"/>
  <c r="D10559" i="2"/>
  <c r="B10559" i="2"/>
  <c r="A10559" i="2"/>
  <c r="O10558" i="2"/>
  <c r="O10557" i="2"/>
  <c r="O10556" i="2"/>
  <c r="M10556" i="2"/>
  <c r="L10556" i="2"/>
  <c r="E10556" i="2"/>
  <c r="D10556" i="2"/>
  <c r="B10556" i="2"/>
  <c r="A10556" i="2"/>
  <c r="O10555" i="2"/>
  <c r="O10554" i="2"/>
  <c r="M10554" i="2"/>
  <c r="L10554" i="2"/>
  <c r="E10554" i="2"/>
  <c r="D10554" i="2"/>
  <c r="B10554" i="2"/>
  <c r="A10554" i="2"/>
  <c r="O10553" i="2"/>
  <c r="M10553" i="2"/>
  <c r="L10553" i="2"/>
  <c r="E10553" i="2"/>
  <c r="D10553" i="2"/>
  <c r="B10553" i="2"/>
  <c r="A10553" i="2"/>
  <c r="O10552" i="2"/>
  <c r="O10551" i="2"/>
  <c r="O10550" i="2"/>
  <c r="M10550" i="2"/>
  <c r="L10550" i="2"/>
  <c r="E10550" i="2"/>
  <c r="D10550" i="2"/>
  <c r="B10550" i="2"/>
  <c r="A10550" i="2"/>
  <c r="O10549" i="2"/>
  <c r="O10548" i="2"/>
  <c r="M10548" i="2"/>
  <c r="L10548" i="2"/>
  <c r="E10548" i="2"/>
  <c r="D10548" i="2"/>
  <c r="B10548" i="2"/>
  <c r="A10548" i="2"/>
  <c r="O10547" i="2"/>
  <c r="M10547" i="2"/>
  <c r="L10547" i="2"/>
  <c r="E10547" i="2"/>
  <c r="D10547" i="2"/>
  <c r="B10547" i="2"/>
  <c r="A10547" i="2"/>
  <c r="O10546" i="2"/>
  <c r="O10545" i="2"/>
  <c r="O10544" i="2"/>
  <c r="O10543" i="2"/>
  <c r="M10543" i="2"/>
  <c r="L10543" i="2"/>
  <c r="E10543" i="2"/>
  <c r="D10543" i="2"/>
  <c r="B10543" i="2"/>
  <c r="A10543" i="2"/>
  <c r="O10542" i="2"/>
  <c r="M10542" i="2"/>
  <c r="L10542" i="2"/>
  <c r="E10542" i="2"/>
  <c r="D10542" i="2"/>
  <c r="B10542" i="2"/>
  <c r="A10542" i="2"/>
  <c r="O10541" i="2"/>
  <c r="M10541" i="2"/>
  <c r="L10541" i="2"/>
  <c r="E10541" i="2"/>
  <c r="D10541" i="2"/>
  <c r="B10541" i="2"/>
  <c r="A10541" i="2"/>
  <c r="O10540" i="2"/>
  <c r="M10540" i="2"/>
  <c r="L10540" i="2"/>
  <c r="E10540" i="2"/>
  <c r="D10540" i="2"/>
  <c r="B10540" i="2"/>
  <c r="A10540" i="2"/>
  <c r="O10539" i="2"/>
  <c r="M10539" i="2"/>
  <c r="L10539" i="2"/>
  <c r="E10539" i="2"/>
  <c r="D10539" i="2"/>
  <c r="B10539" i="2"/>
  <c r="A10539" i="2"/>
  <c r="O10538" i="2"/>
  <c r="O10537" i="2"/>
  <c r="M10537" i="2"/>
  <c r="L10537" i="2"/>
  <c r="E10537" i="2"/>
  <c r="D10537" i="2"/>
  <c r="B10537" i="2"/>
  <c r="A10537" i="2"/>
  <c r="O10536" i="2"/>
  <c r="M10536" i="2"/>
  <c r="L10536" i="2"/>
  <c r="E10536" i="2"/>
  <c r="D10536" i="2"/>
  <c r="B10536" i="2"/>
  <c r="A10536" i="2"/>
  <c r="O10535" i="2"/>
  <c r="M10535" i="2"/>
  <c r="L10535" i="2"/>
  <c r="E10535" i="2"/>
  <c r="D10535" i="2"/>
  <c r="B10535" i="2"/>
  <c r="A10535" i="2"/>
  <c r="O10534" i="2"/>
  <c r="M10534" i="2"/>
  <c r="L10534" i="2"/>
  <c r="E10534" i="2"/>
  <c r="D10534" i="2"/>
  <c r="B10534" i="2"/>
  <c r="A10534" i="2"/>
  <c r="O10533" i="2"/>
  <c r="O10532" i="2"/>
  <c r="M10532" i="2"/>
  <c r="L10532" i="2"/>
  <c r="E10532" i="2"/>
  <c r="D10532" i="2"/>
  <c r="B10532" i="2"/>
  <c r="A10532" i="2"/>
  <c r="O10531" i="2"/>
  <c r="O10530" i="2"/>
  <c r="M10530" i="2"/>
  <c r="L10530" i="2"/>
  <c r="E10530" i="2"/>
  <c r="D10530" i="2"/>
  <c r="B10530" i="2"/>
  <c r="A10530" i="2"/>
  <c r="O10529" i="2"/>
  <c r="M10529" i="2"/>
  <c r="L10529" i="2"/>
  <c r="E10529" i="2"/>
  <c r="D10529" i="2"/>
  <c r="B10529" i="2"/>
  <c r="A10529" i="2"/>
  <c r="O10528" i="2"/>
  <c r="O10527" i="2"/>
  <c r="O10526" i="2"/>
  <c r="M10526" i="2"/>
  <c r="L10526" i="2"/>
  <c r="E10526" i="2"/>
  <c r="D10526" i="2"/>
  <c r="B10526" i="2"/>
  <c r="A10526" i="2"/>
  <c r="O10525" i="2"/>
  <c r="M10525" i="2"/>
  <c r="L10525" i="2"/>
  <c r="E10525" i="2"/>
  <c r="D10525" i="2"/>
  <c r="B10525" i="2"/>
  <c r="A10525" i="2"/>
  <c r="O10524" i="2"/>
  <c r="O10523" i="2"/>
  <c r="O10522" i="2"/>
  <c r="M10522" i="2"/>
  <c r="L10522" i="2"/>
  <c r="E10522" i="2"/>
  <c r="D10522" i="2"/>
  <c r="B10522" i="2"/>
  <c r="A10522" i="2"/>
  <c r="O10521" i="2"/>
  <c r="M10521" i="2"/>
  <c r="L10521" i="2"/>
  <c r="E10521" i="2"/>
  <c r="D10521" i="2"/>
  <c r="B10521" i="2"/>
  <c r="A10521" i="2"/>
  <c r="O10520" i="2"/>
  <c r="M10520" i="2"/>
  <c r="L10520" i="2"/>
  <c r="E10520" i="2"/>
  <c r="D10520" i="2"/>
  <c r="B10520" i="2"/>
  <c r="A10520" i="2"/>
  <c r="O10519" i="2"/>
  <c r="M10519" i="2"/>
  <c r="L10519" i="2"/>
  <c r="E10519" i="2"/>
  <c r="D10519" i="2"/>
  <c r="B10519" i="2"/>
  <c r="A10519" i="2"/>
  <c r="O10518" i="2"/>
  <c r="O10517" i="2"/>
  <c r="O10516" i="2"/>
  <c r="M10516" i="2"/>
  <c r="L10516" i="2"/>
  <c r="E10516" i="2"/>
  <c r="D10516" i="2"/>
  <c r="B10516" i="2"/>
  <c r="A10516" i="2"/>
  <c r="O10515" i="2"/>
  <c r="O10514" i="2"/>
  <c r="O10513" i="2"/>
  <c r="M10513" i="2"/>
  <c r="L10513" i="2"/>
  <c r="E10513" i="2"/>
  <c r="D10513" i="2"/>
  <c r="B10513" i="2"/>
  <c r="A10513" i="2"/>
  <c r="O10512" i="2"/>
  <c r="O10511" i="2"/>
  <c r="O10510" i="2"/>
  <c r="M10510" i="2"/>
  <c r="L10510" i="2"/>
  <c r="E10510" i="2"/>
  <c r="D10510" i="2"/>
  <c r="B10510" i="2"/>
  <c r="A10510" i="2"/>
  <c r="O10509" i="2"/>
  <c r="O10508" i="2"/>
  <c r="M10508" i="2"/>
  <c r="L10508" i="2"/>
  <c r="E10508" i="2"/>
  <c r="D10508" i="2"/>
  <c r="B10508" i="2"/>
  <c r="A10508" i="2"/>
  <c r="O10507" i="2"/>
  <c r="M10507" i="2"/>
  <c r="L10507" i="2"/>
  <c r="E10507" i="2"/>
  <c r="D10507" i="2"/>
  <c r="B10507" i="2"/>
  <c r="A10507" i="2"/>
  <c r="O10506" i="2"/>
  <c r="M10506" i="2"/>
  <c r="L10506" i="2"/>
  <c r="E10506" i="2"/>
  <c r="D10506" i="2"/>
  <c r="B10506" i="2"/>
  <c r="A10506" i="2"/>
  <c r="O10505" i="2"/>
  <c r="O10504" i="2"/>
  <c r="O10503" i="2"/>
  <c r="O10502" i="2"/>
  <c r="M10502" i="2"/>
  <c r="L10502" i="2"/>
  <c r="E10502" i="2"/>
  <c r="D10502" i="2"/>
  <c r="B10502" i="2"/>
  <c r="A10502" i="2"/>
  <c r="O10501" i="2"/>
  <c r="M10501" i="2"/>
  <c r="L10501" i="2"/>
  <c r="E10501" i="2"/>
  <c r="D10501" i="2"/>
  <c r="B10501" i="2"/>
  <c r="A10501" i="2"/>
  <c r="O10500" i="2"/>
  <c r="M10500" i="2"/>
  <c r="L10500" i="2"/>
  <c r="E10500" i="2"/>
  <c r="D10500" i="2"/>
  <c r="B10500" i="2"/>
  <c r="A10500" i="2"/>
  <c r="O10499" i="2"/>
  <c r="M10499" i="2"/>
  <c r="L10499" i="2"/>
  <c r="E10499" i="2"/>
  <c r="D10499" i="2"/>
  <c r="B10499" i="2"/>
  <c r="A10499" i="2"/>
  <c r="O10498" i="2"/>
  <c r="O10497" i="2"/>
  <c r="M10497" i="2"/>
  <c r="L10497" i="2"/>
  <c r="E10497" i="2"/>
  <c r="D10497" i="2"/>
  <c r="B10497" i="2"/>
  <c r="A10497" i="2"/>
  <c r="O10496" i="2"/>
  <c r="O10495" i="2"/>
  <c r="O10494" i="2"/>
  <c r="M10494" i="2"/>
  <c r="L10494" i="2"/>
  <c r="E10494" i="2"/>
  <c r="D10494" i="2"/>
  <c r="B10494" i="2"/>
  <c r="A10494" i="2"/>
  <c r="O10493" i="2"/>
  <c r="O10492" i="2"/>
  <c r="O10491" i="2"/>
  <c r="M10491" i="2"/>
  <c r="L10491" i="2"/>
  <c r="E10491" i="2"/>
  <c r="D10491" i="2"/>
  <c r="B10491" i="2"/>
  <c r="A10491" i="2"/>
  <c r="O10490" i="2"/>
  <c r="M10490" i="2"/>
  <c r="L10490" i="2"/>
  <c r="E10490" i="2"/>
  <c r="D10490" i="2"/>
  <c r="B10490" i="2"/>
  <c r="A10490" i="2"/>
  <c r="O10489" i="2"/>
  <c r="O10488" i="2"/>
  <c r="M10488" i="2"/>
  <c r="L10488" i="2"/>
  <c r="E10488" i="2"/>
  <c r="D10488" i="2"/>
  <c r="B10488" i="2"/>
  <c r="A10488" i="2"/>
  <c r="O10487" i="2"/>
  <c r="M10487" i="2"/>
  <c r="L10487" i="2"/>
  <c r="E10487" i="2"/>
  <c r="D10487" i="2"/>
  <c r="B10487" i="2"/>
  <c r="A10487" i="2"/>
  <c r="O10486" i="2"/>
  <c r="O10485" i="2"/>
  <c r="M10485" i="2"/>
  <c r="L10485" i="2"/>
  <c r="E10485" i="2"/>
  <c r="D10485" i="2"/>
  <c r="B10485" i="2"/>
  <c r="A10485" i="2"/>
  <c r="O10484" i="2"/>
  <c r="M10484" i="2"/>
  <c r="L10484" i="2"/>
  <c r="E10484" i="2"/>
  <c r="D10484" i="2"/>
  <c r="B10484" i="2"/>
  <c r="A10484" i="2"/>
  <c r="O10483" i="2"/>
  <c r="O10482" i="2"/>
  <c r="M10482" i="2"/>
  <c r="L10482" i="2"/>
  <c r="E10482" i="2"/>
  <c r="D10482" i="2"/>
  <c r="B10482" i="2"/>
  <c r="A10482" i="2"/>
  <c r="O10481" i="2"/>
  <c r="M10481" i="2"/>
  <c r="L10481" i="2"/>
  <c r="E10481" i="2"/>
  <c r="D10481" i="2"/>
  <c r="B10481" i="2"/>
  <c r="A10481" i="2"/>
  <c r="O10480" i="2"/>
  <c r="M10480" i="2"/>
  <c r="L10480" i="2"/>
  <c r="E10480" i="2"/>
  <c r="D10480" i="2"/>
  <c r="B10480" i="2"/>
  <c r="A10480" i="2"/>
  <c r="O10479" i="2"/>
  <c r="M10479" i="2"/>
  <c r="L10479" i="2"/>
  <c r="E10479" i="2"/>
  <c r="D10479" i="2"/>
  <c r="B10479" i="2"/>
  <c r="A10479" i="2"/>
  <c r="O10478" i="2"/>
  <c r="M10478" i="2"/>
  <c r="L10478" i="2"/>
  <c r="E10478" i="2"/>
  <c r="D10478" i="2"/>
  <c r="B10478" i="2"/>
  <c r="A10478" i="2"/>
  <c r="O10477" i="2"/>
  <c r="O10476" i="2"/>
  <c r="O10475" i="2"/>
  <c r="M10475" i="2"/>
  <c r="L10475" i="2"/>
  <c r="E10475" i="2"/>
  <c r="D10475" i="2"/>
  <c r="B10475" i="2"/>
  <c r="A10475" i="2"/>
  <c r="O10474" i="2"/>
  <c r="O10473" i="2"/>
  <c r="M10473" i="2"/>
  <c r="L10473" i="2"/>
  <c r="E10473" i="2"/>
  <c r="D10473" i="2"/>
  <c r="B10473" i="2"/>
  <c r="A10473" i="2"/>
  <c r="O10472" i="2"/>
  <c r="M10472" i="2"/>
  <c r="L10472" i="2"/>
  <c r="E10472" i="2"/>
  <c r="D10472" i="2"/>
  <c r="B10472" i="2"/>
  <c r="A10472" i="2"/>
  <c r="O10471" i="2"/>
  <c r="M10471" i="2"/>
  <c r="L10471" i="2"/>
  <c r="E10471" i="2"/>
  <c r="D10471" i="2"/>
  <c r="B10471" i="2"/>
  <c r="A10471" i="2"/>
  <c r="O10470" i="2"/>
  <c r="O10469" i="2"/>
  <c r="M10469" i="2"/>
  <c r="L10469" i="2"/>
  <c r="E10469" i="2"/>
  <c r="D10469" i="2"/>
  <c r="B10469" i="2"/>
  <c r="A10469" i="2"/>
  <c r="O10468" i="2"/>
  <c r="O10467" i="2"/>
  <c r="M10467" i="2"/>
  <c r="L10467" i="2"/>
  <c r="E10467" i="2"/>
  <c r="D10467" i="2"/>
  <c r="B10467" i="2"/>
  <c r="A10467" i="2"/>
  <c r="O10466" i="2"/>
  <c r="M10466" i="2"/>
  <c r="L10466" i="2"/>
  <c r="E10466" i="2"/>
  <c r="D10466" i="2"/>
  <c r="B10466" i="2"/>
  <c r="A10466" i="2"/>
  <c r="O10465" i="2"/>
  <c r="O10464" i="2"/>
  <c r="M10464" i="2"/>
  <c r="L10464" i="2"/>
  <c r="E10464" i="2"/>
  <c r="D10464" i="2"/>
  <c r="B10464" i="2"/>
  <c r="A10464" i="2"/>
  <c r="O10463" i="2"/>
  <c r="M10463" i="2"/>
  <c r="L10463" i="2"/>
  <c r="E10463" i="2"/>
  <c r="D10463" i="2"/>
  <c r="B10463" i="2"/>
  <c r="A10463" i="2"/>
  <c r="O10462" i="2"/>
  <c r="M10462" i="2"/>
  <c r="L10462" i="2"/>
  <c r="E10462" i="2"/>
  <c r="D10462" i="2"/>
  <c r="B10462" i="2"/>
  <c r="A10462" i="2"/>
  <c r="O10461" i="2"/>
  <c r="M10461" i="2"/>
  <c r="L10461" i="2"/>
  <c r="E10461" i="2"/>
  <c r="D10461" i="2"/>
  <c r="B10461" i="2"/>
  <c r="A10461" i="2"/>
  <c r="O10460" i="2"/>
  <c r="M10460" i="2"/>
  <c r="L10460" i="2"/>
  <c r="E10460" i="2"/>
  <c r="D10460" i="2"/>
  <c r="B10460" i="2"/>
  <c r="A10460" i="2"/>
  <c r="O10459" i="2"/>
  <c r="M10459" i="2"/>
  <c r="L10459" i="2"/>
  <c r="E10459" i="2"/>
  <c r="D10459" i="2"/>
  <c r="B10459" i="2"/>
  <c r="A10459" i="2"/>
  <c r="O10458" i="2"/>
  <c r="M10458" i="2"/>
  <c r="L10458" i="2"/>
  <c r="E10458" i="2"/>
  <c r="D10458" i="2"/>
  <c r="B10458" i="2"/>
  <c r="A10458" i="2"/>
  <c r="O10457" i="2"/>
  <c r="M10457" i="2"/>
  <c r="L10457" i="2"/>
  <c r="E10457" i="2"/>
  <c r="D10457" i="2"/>
  <c r="B10457" i="2"/>
  <c r="A10457" i="2"/>
  <c r="O10456" i="2"/>
  <c r="M10456" i="2"/>
  <c r="L10456" i="2"/>
  <c r="E10456" i="2"/>
  <c r="D10456" i="2"/>
  <c r="B10456" i="2"/>
  <c r="A10456" i="2"/>
  <c r="O10455" i="2"/>
  <c r="O10454" i="2"/>
  <c r="M10454" i="2"/>
  <c r="L10454" i="2"/>
  <c r="E10454" i="2"/>
  <c r="D10454" i="2"/>
  <c r="B10454" i="2"/>
  <c r="A10454" i="2"/>
  <c r="O10453" i="2"/>
  <c r="O10452" i="2"/>
  <c r="M10452" i="2"/>
  <c r="L10452" i="2"/>
  <c r="E10452" i="2"/>
  <c r="D10452" i="2"/>
  <c r="B10452" i="2"/>
  <c r="A10452" i="2"/>
  <c r="O10451" i="2"/>
  <c r="O10450" i="2"/>
  <c r="O10449" i="2"/>
  <c r="M10449" i="2"/>
  <c r="L10449" i="2"/>
  <c r="E10449" i="2"/>
  <c r="D10449" i="2"/>
  <c r="B10449" i="2"/>
  <c r="A10449" i="2"/>
  <c r="O10448" i="2"/>
  <c r="M10448" i="2"/>
  <c r="L10448" i="2"/>
  <c r="E10448" i="2"/>
  <c r="D10448" i="2"/>
  <c r="B10448" i="2"/>
  <c r="A10448" i="2"/>
  <c r="O10447" i="2"/>
  <c r="M10447" i="2"/>
  <c r="L10447" i="2"/>
  <c r="E10447" i="2"/>
  <c r="D10447" i="2"/>
  <c r="B10447" i="2"/>
  <c r="A10447" i="2"/>
  <c r="O10446" i="2"/>
  <c r="M10446" i="2"/>
  <c r="L10446" i="2"/>
  <c r="E10446" i="2"/>
  <c r="D10446" i="2"/>
  <c r="B10446" i="2"/>
  <c r="A10446" i="2"/>
  <c r="O10445" i="2"/>
  <c r="M10445" i="2"/>
  <c r="L10445" i="2"/>
  <c r="E10445" i="2"/>
  <c r="D10445" i="2"/>
  <c r="B10445" i="2"/>
  <c r="A10445" i="2"/>
  <c r="O10444" i="2"/>
  <c r="O10443" i="2"/>
  <c r="M10443" i="2"/>
  <c r="L10443" i="2"/>
  <c r="E10443" i="2"/>
  <c r="D10443" i="2"/>
  <c r="B10443" i="2"/>
  <c r="A10443" i="2"/>
  <c r="O10442" i="2"/>
  <c r="M10442" i="2"/>
  <c r="L10442" i="2"/>
  <c r="E10442" i="2"/>
  <c r="D10442" i="2"/>
  <c r="B10442" i="2"/>
  <c r="A10442" i="2"/>
  <c r="O10441" i="2"/>
  <c r="M10441" i="2"/>
  <c r="L10441" i="2"/>
  <c r="E10441" i="2"/>
  <c r="D10441" i="2"/>
  <c r="B10441" i="2"/>
  <c r="A10441" i="2"/>
  <c r="O10440" i="2"/>
  <c r="O10439" i="2"/>
  <c r="O10438" i="2"/>
  <c r="M10438" i="2"/>
  <c r="L10438" i="2"/>
  <c r="E10438" i="2"/>
  <c r="D10438" i="2"/>
  <c r="B10438" i="2"/>
  <c r="A10438" i="2"/>
  <c r="O10437" i="2"/>
  <c r="M10437" i="2"/>
  <c r="L10437" i="2"/>
  <c r="E10437" i="2"/>
  <c r="D10437" i="2"/>
  <c r="B10437" i="2"/>
  <c r="A10437" i="2"/>
  <c r="O10436" i="2"/>
  <c r="M10436" i="2"/>
  <c r="L10436" i="2"/>
  <c r="E10436" i="2"/>
  <c r="D10436" i="2"/>
  <c r="B10436" i="2"/>
  <c r="A10436" i="2"/>
  <c r="O10435" i="2"/>
  <c r="O10434" i="2"/>
  <c r="O10433" i="2"/>
  <c r="M10433" i="2"/>
  <c r="L10433" i="2"/>
  <c r="E10433" i="2"/>
  <c r="D10433" i="2"/>
  <c r="B10433" i="2"/>
  <c r="A10433" i="2"/>
  <c r="O10432" i="2"/>
  <c r="M10432" i="2"/>
  <c r="L10432" i="2"/>
  <c r="E10432" i="2"/>
  <c r="D10432" i="2"/>
  <c r="B10432" i="2"/>
  <c r="A10432" i="2"/>
  <c r="O10431" i="2"/>
  <c r="M10431" i="2"/>
  <c r="L10431" i="2"/>
  <c r="E10431" i="2"/>
  <c r="D10431" i="2"/>
  <c r="B10431" i="2"/>
  <c r="A10431" i="2"/>
  <c r="O10430" i="2"/>
  <c r="M10430" i="2"/>
  <c r="L10430" i="2"/>
  <c r="E10430" i="2"/>
  <c r="D10430" i="2"/>
  <c r="B10430" i="2"/>
  <c r="A10430" i="2"/>
  <c r="O10429" i="2"/>
  <c r="M10429" i="2"/>
  <c r="L10429" i="2"/>
  <c r="E10429" i="2"/>
  <c r="D10429" i="2"/>
  <c r="B10429" i="2"/>
  <c r="A10429" i="2"/>
  <c r="O10428" i="2"/>
  <c r="O10427" i="2"/>
  <c r="M10427" i="2"/>
  <c r="L10427" i="2"/>
  <c r="E10427" i="2"/>
  <c r="D10427" i="2"/>
  <c r="B10427" i="2"/>
  <c r="A10427" i="2"/>
  <c r="O10426" i="2"/>
  <c r="M10426" i="2"/>
  <c r="L10426" i="2"/>
  <c r="E10426" i="2"/>
  <c r="D10426" i="2"/>
  <c r="B10426" i="2"/>
  <c r="A10426" i="2"/>
  <c r="O10425" i="2"/>
  <c r="M10425" i="2"/>
  <c r="L10425" i="2"/>
  <c r="E10425" i="2"/>
  <c r="D10425" i="2"/>
  <c r="B10425" i="2"/>
  <c r="A10425" i="2"/>
  <c r="O10424" i="2"/>
  <c r="O10423" i="2"/>
  <c r="O10422" i="2"/>
  <c r="M10422" i="2"/>
  <c r="L10422" i="2"/>
  <c r="E10422" i="2"/>
  <c r="D10422" i="2"/>
  <c r="B10422" i="2"/>
  <c r="A10422" i="2"/>
  <c r="O10421" i="2"/>
  <c r="M10421" i="2"/>
  <c r="L10421" i="2"/>
  <c r="E10421" i="2"/>
  <c r="D10421" i="2"/>
  <c r="B10421" i="2"/>
  <c r="A10421" i="2"/>
  <c r="O10420" i="2"/>
  <c r="M10420" i="2"/>
  <c r="L10420" i="2"/>
  <c r="E10420" i="2"/>
  <c r="D10420" i="2"/>
  <c r="B10420" i="2"/>
  <c r="A10420" i="2"/>
  <c r="O10419" i="2"/>
  <c r="M10419" i="2"/>
  <c r="L10419" i="2"/>
  <c r="E10419" i="2"/>
  <c r="D10419" i="2"/>
  <c r="B10419" i="2"/>
  <c r="A10419" i="2"/>
  <c r="O10418" i="2"/>
  <c r="M10418" i="2"/>
  <c r="L10418" i="2"/>
  <c r="E10418" i="2"/>
  <c r="D10418" i="2"/>
  <c r="B10418" i="2"/>
  <c r="A10418" i="2"/>
  <c r="O10417" i="2"/>
  <c r="M10417" i="2"/>
  <c r="L10417" i="2"/>
  <c r="E10417" i="2"/>
  <c r="D10417" i="2"/>
  <c r="B10417" i="2"/>
  <c r="A10417" i="2"/>
  <c r="O10416" i="2"/>
  <c r="M10416" i="2"/>
  <c r="L10416" i="2"/>
  <c r="E10416" i="2"/>
  <c r="D10416" i="2"/>
  <c r="B10416" i="2"/>
  <c r="A10416" i="2"/>
  <c r="O10415" i="2"/>
  <c r="M10415" i="2"/>
  <c r="L10415" i="2"/>
  <c r="E10415" i="2"/>
  <c r="D10415" i="2"/>
  <c r="B10415" i="2"/>
  <c r="A10415" i="2"/>
  <c r="O10414" i="2"/>
  <c r="M10414" i="2"/>
  <c r="L10414" i="2"/>
  <c r="E10414" i="2"/>
  <c r="D10414" i="2"/>
  <c r="B10414" i="2"/>
  <c r="A10414" i="2"/>
  <c r="O10413" i="2"/>
  <c r="M10413" i="2"/>
  <c r="L10413" i="2"/>
  <c r="E10413" i="2"/>
  <c r="D10413" i="2"/>
  <c r="B10413" i="2"/>
  <c r="A10413" i="2"/>
  <c r="O10412" i="2"/>
  <c r="O10411" i="2"/>
  <c r="O10410" i="2"/>
  <c r="M10410" i="2"/>
  <c r="L10410" i="2"/>
  <c r="E10410" i="2"/>
  <c r="D10410" i="2"/>
  <c r="B10410" i="2"/>
  <c r="A10410" i="2"/>
  <c r="O10409" i="2"/>
  <c r="O10408" i="2"/>
  <c r="M10408" i="2"/>
  <c r="L10408" i="2"/>
  <c r="E10408" i="2"/>
  <c r="D10408" i="2"/>
  <c r="B10408" i="2"/>
  <c r="A10408" i="2"/>
  <c r="O10407" i="2"/>
  <c r="M10407" i="2"/>
  <c r="L10407" i="2"/>
  <c r="E10407" i="2"/>
  <c r="D10407" i="2"/>
  <c r="B10407" i="2"/>
  <c r="A10407" i="2"/>
  <c r="O10406" i="2"/>
  <c r="O10405" i="2"/>
  <c r="O10404" i="2"/>
  <c r="M10404" i="2"/>
  <c r="L10404" i="2"/>
  <c r="E10404" i="2"/>
  <c r="D10404" i="2"/>
  <c r="B10404" i="2"/>
  <c r="A10404" i="2"/>
  <c r="O10403" i="2"/>
  <c r="M10403" i="2"/>
  <c r="L10403" i="2"/>
  <c r="E10403" i="2"/>
  <c r="D10403" i="2"/>
  <c r="B10403" i="2"/>
  <c r="A10403" i="2"/>
  <c r="O10402" i="2"/>
  <c r="M10402" i="2"/>
  <c r="L10402" i="2"/>
  <c r="E10402" i="2"/>
  <c r="D10402" i="2"/>
  <c r="B10402" i="2"/>
  <c r="A10402" i="2"/>
  <c r="O10401" i="2"/>
  <c r="M10401" i="2"/>
  <c r="L10401" i="2"/>
  <c r="E10401" i="2"/>
  <c r="D10401" i="2"/>
  <c r="B10401" i="2"/>
  <c r="A10401" i="2"/>
  <c r="O10400" i="2"/>
  <c r="O10399" i="2"/>
  <c r="M10399" i="2"/>
  <c r="L10399" i="2"/>
  <c r="E10399" i="2"/>
  <c r="D10399" i="2"/>
  <c r="B10399" i="2"/>
  <c r="A10399" i="2"/>
  <c r="O10398" i="2"/>
  <c r="O10397" i="2"/>
  <c r="O10396" i="2"/>
  <c r="O10395" i="2"/>
  <c r="M10395" i="2"/>
  <c r="L10395" i="2"/>
  <c r="E10395" i="2"/>
  <c r="D10395" i="2"/>
  <c r="B10395" i="2"/>
  <c r="A10395" i="2"/>
  <c r="O10394" i="2"/>
  <c r="M10394" i="2"/>
  <c r="L10394" i="2"/>
  <c r="E10394" i="2"/>
  <c r="D10394" i="2"/>
  <c r="B10394" i="2"/>
  <c r="A10394" i="2"/>
  <c r="O10393" i="2"/>
  <c r="O10392" i="2"/>
  <c r="O10391" i="2"/>
  <c r="M10391" i="2"/>
  <c r="L10391" i="2"/>
  <c r="E10391" i="2"/>
  <c r="D10391" i="2"/>
  <c r="B10391" i="2"/>
  <c r="A10391" i="2"/>
  <c r="O10390" i="2"/>
  <c r="O10389" i="2"/>
  <c r="O10388" i="2"/>
  <c r="M10388" i="2"/>
  <c r="L10388" i="2"/>
  <c r="E10388" i="2"/>
  <c r="D10388" i="2"/>
  <c r="B10388" i="2"/>
  <c r="A10388" i="2"/>
  <c r="O10387" i="2"/>
  <c r="M10387" i="2"/>
  <c r="L10387" i="2"/>
  <c r="E10387" i="2"/>
  <c r="D10387" i="2"/>
  <c r="B10387" i="2"/>
  <c r="A10387" i="2"/>
  <c r="O10386" i="2"/>
  <c r="O10385" i="2"/>
  <c r="M10385" i="2"/>
  <c r="L10385" i="2"/>
  <c r="E10385" i="2"/>
  <c r="D10385" i="2"/>
  <c r="B10385" i="2"/>
  <c r="A10385" i="2"/>
  <c r="O10384" i="2"/>
  <c r="M10384" i="2"/>
  <c r="L10384" i="2"/>
  <c r="E10384" i="2"/>
  <c r="D10384" i="2"/>
  <c r="B10384" i="2"/>
  <c r="A10384" i="2"/>
  <c r="O10383" i="2"/>
  <c r="M10383" i="2"/>
  <c r="L10383" i="2"/>
  <c r="E10383" i="2"/>
  <c r="D10383" i="2"/>
  <c r="B10383" i="2"/>
  <c r="A10383" i="2"/>
  <c r="O10382" i="2"/>
  <c r="O10381" i="2"/>
  <c r="M10381" i="2"/>
  <c r="L10381" i="2"/>
  <c r="E10381" i="2"/>
  <c r="D10381" i="2"/>
  <c r="B10381" i="2"/>
  <c r="A10381" i="2"/>
  <c r="O10380" i="2"/>
  <c r="M10380" i="2"/>
  <c r="L10380" i="2"/>
  <c r="E10380" i="2"/>
  <c r="D10380" i="2"/>
  <c r="B10380" i="2"/>
  <c r="A10380" i="2"/>
  <c r="O10379" i="2"/>
  <c r="M10379" i="2"/>
  <c r="L10379" i="2"/>
  <c r="E10379" i="2"/>
  <c r="D10379" i="2"/>
  <c r="B10379" i="2"/>
  <c r="A10379" i="2"/>
  <c r="O10378" i="2"/>
  <c r="O10377" i="2"/>
  <c r="M10377" i="2"/>
  <c r="L10377" i="2"/>
  <c r="E10377" i="2"/>
  <c r="D10377" i="2"/>
  <c r="B10377" i="2"/>
  <c r="A10377" i="2"/>
  <c r="O10376" i="2"/>
  <c r="M10376" i="2"/>
  <c r="L10376" i="2"/>
  <c r="E10376" i="2"/>
  <c r="D10376" i="2"/>
  <c r="B10376" i="2"/>
  <c r="A10376" i="2"/>
  <c r="O10375" i="2"/>
  <c r="O10374" i="2"/>
  <c r="O10373" i="2"/>
  <c r="M10373" i="2"/>
  <c r="L10373" i="2"/>
  <c r="E10373" i="2"/>
  <c r="D10373" i="2"/>
  <c r="B10373" i="2"/>
  <c r="A10373" i="2"/>
  <c r="O10372" i="2"/>
  <c r="O10371" i="2"/>
  <c r="M10371" i="2"/>
  <c r="L10371" i="2"/>
  <c r="E10371" i="2"/>
  <c r="D10371" i="2"/>
  <c r="B10371" i="2"/>
  <c r="A10371" i="2"/>
  <c r="O10370" i="2"/>
  <c r="O10369" i="2"/>
  <c r="M10369" i="2"/>
  <c r="L10369" i="2"/>
  <c r="E10369" i="2"/>
  <c r="D10369" i="2"/>
  <c r="B10369" i="2"/>
  <c r="A10369" i="2"/>
  <c r="O10368" i="2"/>
  <c r="O10367" i="2"/>
  <c r="M10367" i="2"/>
  <c r="L10367" i="2"/>
  <c r="E10367" i="2"/>
  <c r="D10367" i="2"/>
  <c r="B10367" i="2"/>
  <c r="A10367" i="2"/>
  <c r="O10366" i="2"/>
  <c r="M10366" i="2"/>
  <c r="L10366" i="2"/>
  <c r="E10366" i="2"/>
  <c r="D10366" i="2"/>
  <c r="B10366" i="2"/>
  <c r="A10366" i="2"/>
  <c r="O10365" i="2"/>
  <c r="M10365" i="2"/>
  <c r="L10365" i="2"/>
  <c r="E10365" i="2"/>
  <c r="D10365" i="2"/>
  <c r="B10365" i="2"/>
  <c r="A10365" i="2"/>
  <c r="O10364" i="2"/>
  <c r="O10363" i="2"/>
  <c r="O10362" i="2"/>
  <c r="O10361" i="2"/>
  <c r="M10361" i="2"/>
  <c r="L10361" i="2"/>
  <c r="E10361" i="2"/>
  <c r="D10361" i="2"/>
  <c r="B10361" i="2"/>
  <c r="A10361" i="2"/>
  <c r="O10360" i="2"/>
  <c r="M10360" i="2"/>
  <c r="L10360" i="2"/>
  <c r="E10360" i="2"/>
  <c r="D10360" i="2"/>
  <c r="B10360" i="2"/>
  <c r="A10360" i="2"/>
  <c r="O10359" i="2"/>
  <c r="M10359" i="2"/>
  <c r="L10359" i="2"/>
  <c r="E10359" i="2"/>
  <c r="D10359" i="2"/>
  <c r="B10359" i="2"/>
  <c r="A10359" i="2"/>
  <c r="O10358" i="2"/>
  <c r="M10358" i="2"/>
  <c r="L10358" i="2"/>
  <c r="E10358" i="2"/>
  <c r="D10358" i="2"/>
  <c r="B10358" i="2"/>
  <c r="A10358" i="2"/>
  <c r="O10357" i="2"/>
  <c r="O10356" i="2"/>
  <c r="M10356" i="2"/>
  <c r="L10356" i="2"/>
  <c r="E10356" i="2"/>
  <c r="D10356" i="2"/>
  <c r="B10356" i="2"/>
  <c r="A10356" i="2"/>
  <c r="O10355" i="2"/>
  <c r="M10355" i="2"/>
  <c r="L10355" i="2"/>
  <c r="E10355" i="2"/>
  <c r="D10355" i="2"/>
  <c r="B10355" i="2"/>
  <c r="A10355" i="2"/>
  <c r="O10354" i="2"/>
  <c r="M10354" i="2"/>
  <c r="L10354" i="2"/>
  <c r="E10354" i="2"/>
  <c r="D10354" i="2"/>
  <c r="B10354" i="2"/>
  <c r="A10354" i="2"/>
  <c r="O10353" i="2"/>
  <c r="M10353" i="2"/>
  <c r="L10353" i="2"/>
  <c r="E10353" i="2"/>
  <c r="D10353" i="2"/>
  <c r="B10353" i="2"/>
  <c r="A10353" i="2"/>
  <c r="O10352" i="2"/>
  <c r="O10351" i="2"/>
  <c r="M10351" i="2"/>
  <c r="L10351" i="2"/>
  <c r="E10351" i="2"/>
  <c r="D10351" i="2"/>
  <c r="B10351" i="2"/>
  <c r="A10351" i="2"/>
  <c r="O10350" i="2"/>
  <c r="M10350" i="2"/>
  <c r="L10350" i="2"/>
  <c r="E10350" i="2"/>
  <c r="D10350" i="2"/>
  <c r="B10350" i="2"/>
  <c r="A10350" i="2"/>
  <c r="O10349" i="2"/>
  <c r="O10348" i="2"/>
  <c r="M10348" i="2"/>
  <c r="L10348" i="2"/>
  <c r="E10348" i="2"/>
  <c r="D10348" i="2"/>
  <c r="B10348" i="2"/>
  <c r="A10348" i="2"/>
  <c r="O10347" i="2"/>
  <c r="O10346" i="2"/>
  <c r="O10345" i="2"/>
  <c r="O10344" i="2"/>
  <c r="M10344" i="2"/>
  <c r="L10344" i="2"/>
  <c r="E10344" i="2"/>
  <c r="D10344" i="2"/>
  <c r="B10344" i="2"/>
  <c r="A10344" i="2"/>
  <c r="O10343" i="2"/>
  <c r="M10343" i="2"/>
  <c r="L10343" i="2"/>
  <c r="E10343" i="2"/>
  <c r="D10343" i="2"/>
  <c r="B10343" i="2"/>
  <c r="A10343" i="2"/>
  <c r="O10342" i="2"/>
  <c r="M10342" i="2"/>
  <c r="L10342" i="2"/>
  <c r="E10342" i="2"/>
  <c r="D10342" i="2"/>
  <c r="B10342" i="2"/>
  <c r="A10342" i="2"/>
  <c r="O10341" i="2"/>
  <c r="M10341" i="2"/>
  <c r="L10341" i="2"/>
  <c r="E10341" i="2"/>
  <c r="D10341" i="2"/>
  <c r="B10341" i="2"/>
  <c r="A10341" i="2"/>
  <c r="O10340" i="2"/>
  <c r="M10340" i="2"/>
  <c r="L10340" i="2"/>
  <c r="E10340" i="2"/>
  <c r="D10340" i="2"/>
  <c r="B10340" i="2"/>
  <c r="A10340" i="2"/>
  <c r="O10339" i="2"/>
  <c r="M10339" i="2"/>
  <c r="L10339" i="2"/>
  <c r="E10339" i="2"/>
  <c r="D10339" i="2"/>
  <c r="B10339" i="2"/>
  <c r="A10339" i="2"/>
  <c r="O10338" i="2"/>
  <c r="O10337" i="2"/>
  <c r="M10337" i="2"/>
  <c r="L10337" i="2"/>
  <c r="E10337" i="2"/>
  <c r="D10337" i="2"/>
  <c r="B10337" i="2"/>
  <c r="A10337" i="2"/>
  <c r="O10336" i="2"/>
  <c r="M10336" i="2"/>
  <c r="L10336" i="2"/>
  <c r="E10336" i="2"/>
  <c r="D10336" i="2"/>
  <c r="B10336" i="2"/>
  <c r="A10336" i="2"/>
  <c r="O10335" i="2"/>
  <c r="M10335" i="2"/>
  <c r="L10335" i="2"/>
  <c r="E10335" i="2"/>
  <c r="D10335" i="2"/>
  <c r="B10335" i="2"/>
  <c r="A10335" i="2"/>
  <c r="O10334" i="2"/>
  <c r="M10334" i="2"/>
  <c r="L10334" i="2"/>
  <c r="E10334" i="2"/>
  <c r="D10334" i="2"/>
  <c r="B10334" i="2"/>
  <c r="A10334" i="2"/>
  <c r="O10333" i="2"/>
  <c r="M10333" i="2"/>
  <c r="L10333" i="2"/>
  <c r="E10333" i="2"/>
  <c r="D10333" i="2"/>
  <c r="B10333" i="2"/>
  <c r="A10333" i="2"/>
  <c r="O10332" i="2"/>
  <c r="O10331" i="2"/>
  <c r="M10331" i="2"/>
  <c r="L10331" i="2"/>
  <c r="E10331" i="2"/>
  <c r="D10331" i="2"/>
  <c r="B10331" i="2"/>
  <c r="A10331" i="2"/>
  <c r="O10330" i="2"/>
  <c r="O10329" i="2"/>
  <c r="O10328" i="2"/>
  <c r="M10328" i="2"/>
  <c r="L10328" i="2"/>
  <c r="E10328" i="2"/>
  <c r="D10328" i="2"/>
  <c r="B10328" i="2"/>
  <c r="A10328" i="2"/>
  <c r="O10327" i="2"/>
  <c r="O10326" i="2"/>
  <c r="O10325" i="2"/>
  <c r="O10324" i="2"/>
  <c r="M10324" i="2"/>
  <c r="L10324" i="2"/>
  <c r="E10324" i="2"/>
  <c r="D10324" i="2"/>
  <c r="B10324" i="2"/>
  <c r="A10324" i="2"/>
  <c r="O10323" i="2"/>
  <c r="O10322" i="2"/>
  <c r="O10321" i="2"/>
  <c r="O10320" i="2"/>
  <c r="M10320" i="2"/>
  <c r="L10320" i="2"/>
  <c r="E10320" i="2"/>
  <c r="D10320" i="2"/>
  <c r="B10320" i="2"/>
  <c r="A10320" i="2"/>
  <c r="O10319" i="2"/>
  <c r="O10318" i="2"/>
  <c r="M10318" i="2"/>
  <c r="L10318" i="2"/>
  <c r="E10318" i="2"/>
  <c r="D10318" i="2"/>
  <c r="B10318" i="2"/>
  <c r="A10318" i="2"/>
  <c r="O10317" i="2"/>
  <c r="M10317" i="2"/>
  <c r="L10317" i="2"/>
  <c r="E10317" i="2"/>
  <c r="D10317" i="2"/>
  <c r="B10317" i="2"/>
  <c r="A10317" i="2"/>
  <c r="O10316" i="2"/>
  <c r="M10316" i="2"/>
  <c r="L10316" i="2"/>
  <c r="E10316" i="2"/>
  <c r="D10316" i="2"/>
  <c r="B10316" i="2"/>
  <c r="A10316" i="2"/>
  <c r="O10315" i="2"/>
  <c r="M10315" i="2"/>
  <c r="L10315" i="2"/>
  <c r="E10315" i="2"/>
  <c r="D10315" i="2"/>
  <c r="B10315" i="2"/>
  <c r="A10315" i="2"/>
  <c r="O10314" i="2"/>
  <c r="M10314" i="2"/>
  <c r="L10314" i="2"/>
  <c r="E10314" i="2"/>
  <c r="D10314" i="2"/>
  <c r="B10314" i="2"/>
  <c r="A10314" i="2"/>
  <c r="O10313" i="2"/>
  <c r="M10313" i="2"/>
  <c r="L10313" i="2"/>
  <c r="E10313" i="2"/>
  <c r="D10313" i="2"/>
  <c r="B10313" i="2"/>
  <c r="A10313" i="2"/>
  <c r="O10312" i="2"/>
  <c r="M10312" i="2"/>
  <c r="L10312" i="2"/>
  <c r="E10312" i="2"/>
  <c r="D10312" i="2"/>
  <c r="B10312" i="2"/>
  <c r="A10312" i="2"/>
  <c r="O10311" i="2"/>
  <c r="M10311" i="2"/>
  <c r="L10311" i="2"/>
  <c r="E10311" i="2"/>
  <c r="D10311" i="2"/>
  <c r="B10311" i="2"/>
  <c r="A10311" i="2"/>
  <c r="O10310" i="2"/>
  <c r="M10310" i="2"/>
  <c r="L10310" i="2"/>
  <c r="E10310" i="2"/>
  <c r="D10310" i="2"/>
  <c r="B10310" i="2"/>
  <c r="A10310" i="2"/>
  <c r="O10309" i="2"/>
  <c r="M10309" i="2"/>
  <c r="L10309" i="2"/>
  <c r="E10309" i="2"/>
  <c r="D10309" i="2"/>
  <c r="B10309" i="2"/>
  <c r="A10309" i="2"/>
  <c r="O10308" i="2"/>
  <c r="M10308" i="2"/>
  <c r="L10308" i="2"/>
  <c r="E10308" i="2"/>
  <c r="D10308" i="2"/>
  <c r="B10308" i="2"/>
  <c r="A10308" i="2"/>
  <c r="O10307" i="2"/>
  <c r="M10307" i="2"/>
  <c r="L10307" i="2"/>
  <c r="E10307" i="2"/>
  <c r="D10307" i="2"/>
  <c r="B10307" i="2"/>
  <c r="A10307" i="2"/>
  <c r="O10306" i="2"/>
  <c r="O10305" i="2"/>
  <c r="M10305" i="2"/>
  <c r="L10305" i="2"/>
  <c r="E10305" i="2"/>
  <c r="D10305" i="2"/>
  <c r="B10305" i="2"/>
  <c r="A10305" i="2"/>
  <c r="O10304" i="2"/>
  <c r="M10304" i="2"/>
  <c r="L10304" i="2"/>
  <c r="E10304" i="2"/>
  <c r="D10304" i="2"/>
  <c r="B10304" i="2"/>
  <c r="A10304" i="2"/>
  <c r="O10303" i="2"/>
  <c r="M10303" i="2"/>
  <c r="L10303" i="2"/>
  <c r="E10303" i="2"/>
  <c r="D10303" i="2"/>
  <c r="B10303" i="2"/>
  <c r="A10303" i="2"/>
  <c r="O10302" i="2"/>
  <c r="O10301" i="2"/>
  <c r="M10301" i="2"/>
  <c r="L10301" i="2"/>
  <c r="E10301" i="2"/>
  <c r="D10301" i="2"/>
  <c r="B10301" i="2"/>
  <c r="A10301" i="2"/>
  <c r="O10300" i="2"/>
  <c r="M10300" i="2"/>
  <c r="L10300" i="2"/>
  <c r="E10300" i="2"/>
  <c r="D10300" i="2"/>
  <c r="B10300" i="2"/>
  <c r="A10300" i="2"/>
  <c r="O10299" i="2"/>
  <c r="M10299" i="2"/>
  <c r="L10299" i="2"/>
  <c r="E10299" i="2"/>
  <c r="D10299" i="2"/>
  <c r="B10299" i="2"/>
  <c r="A10299" i="2"/>
  <c r="O10298" i="2"/>
  <c r="O10297" i="2"/>
  <c r="M10297" i="2"/>
  <c r="L10297" i="2"/>
  <c r="E10297" i="2"/>
  <c r="D10297" i="2"/>
  <c r="B10297" i="2"/>
  <c r="A10297" i="2"/>
  <c r="O10296" i="2"/>
  <c r="M10296" i="2"/>
  <c r="L10296" i="2"/>
  <c r="E10296" i="2"/>
  <c r="D10296" i="2"/>
  <c r="B10296" i="2"/>
  <c r="A10296" i="2"/>
  <c r="O10295" i="2"/>
  <c r="M10295" i="2"/>
  <c r="L10295" i="2"/>
  <c r="E10295" i="2"/>
  <c r="D10295" i="2"/>
  <c r="B10295" i="2"/>
  <c r="A10295" i="2"/>
  <c r="O10294" i="2"/>
  <c r="M10294" i="2"/>
  <c r="L10294" i="2"/>
  <c r="E10294" i="2"/>
  <c r="D10294" i="2"/>
  <c r="B10294" i="2"/>
  <c r="A10294" i="2"/>
  <c r="O10293" i="2"/>
  <c r="M10293" i="2"/>
  <c r="L10293" i="2"/>
  <c r="E10293" i="2"/>
  <c r="D10293" i="2"/>
  <c r="B10293" i="2"/>
  <c r="A10293" i="2"/>
  <c r="O10292" i="2"/>
  <c r="M10292" i="2"/>
  <c r="L10292" i="2"/>
  <c r="E10292" i="2"/>
  <c r="D10292" i="2"/>
  <c r="B10292" i="2"/>
  <c r="A10292" i="2"/>
  <c r="O10291" i="2"/>
  <c r="M10291" i="2"/>
  <c r="L10291" i="2"/>
  <c r="E10291" i="2"/>
  <c r="D10291" i="2"/>
  <c r="B10291" i="2"/>
  <c r="A10291" i="2"/>
  <c r="O10290" i="2"/>
  <c r="M10290" i="2"/>
  <c r="L10290" i="2"/>
  <c r="E10290" i="2"/>
  <c r="D10290" i="2"/>
  <c r="B10290" i="2"/>
  <c r="A10290" i="2"/>
  <c r="O10289" i="2"/>
  <c r="O10288" i="2"/>
  <c r="M10288" i="2"/>
  <c r="L10288" i="2"/>
  <c r="E10288" i="2"/>
  <c r="D10288" i="2"/>
  <c r="B10288" i="2"/>
  <c r="A10288" i="2"/>
  <c r="O10287" i="2"/>
  <c r="M10287" i="2"/>
  <c r="L10287" i="2"/>
  <c r="E10287" i="2"/>
  <c r="D10287" i="2"/>
  <c r="B10287" i="2"/>
  <c r="A10287" i="2"/>
  <c r="O10286" i="2"/>
  <c r="M10286" i="2"/>
  <c r="L10286" i="2"/>
  <c r="E10286" i="2"/>
  <c r="D10286" i="2"/>
  <c r="B10286" i="2"/>
  <c r="A10286" i="2"/>
  <c r="O10285" i="2"/>
  <c r="M10285" i="2"/>
  <c r="L10285" i="2"/>
  <c r="E10285" i="2"/>
  <c r="D10285" i="2"/>
  <c r="B10285" i="2"/>
  <c r="A10285" i="2"/>
  <c r="O10284" i="2"/>
  <c r="M10284" i="2"/>
  <c r="L10284" i="2"/>
  <c r="E10284" i="2"/>
  <c r="D10284" i="2"/>
  <c r="B10284" i="2"/>
  <c r="A10284" i="2"/>
  <c r="O10283" i="2"/>
  <c r="M10283" i="2"/>
  <c r="L10283" i="2"/>
  <c r="E10283" i="2"/>
  <c r="D10283" i="2"/>
  <c r="B10283" i="2"/>
  <c r="A10283" i="2"/>
  <c r="O10282" i="2"/>
  <c r="O10281" i="2"/>
  <c r="M10281" i="2"/>
  <c r="L10281" i="2"/>
  <c r="E10281" i="2"/>
  <c r="D10281" i="2"/>
  <c r="B10281" i="2"/>
  <c r="A10281" i="2"/>
  <c r="O10280" i="2"/>
  <c r="M10280" i="2"/>
  <c r="L10280" i="2"/>
  <c r="E10280" i="2"/>
  <c r="D10280" i="2"/>
  <c r="B10280" i="2"/>
  <c r="A10280" i="2"/>
  <c r="O10279" i="2"/>
  <c r="M10279" i="2"/>
  <c r="L10279" i="2"/>
  <c r="E10279" i="2"/>
  <c r="D10279" i="2"/>
  <c r="B10279" i="2"/>
  <c r="A10279" i="2"/>
  <c r="O10278" i="2"/>
  <c r="M10278" i="2"/>
  <c r="L10278" i="2"/>
  <c r="E10278" i="2"/>
  <c r="D10278" i="2"/>
  <c r="B10278" i="2"/>
  <c r="A10278" i="2"/>
  <c r="O10277" i="2"/>
  <c r="O10276" i="2"/>
  <c r="O10275" i="2"/>
  <c r="O10274" i="2"/>
  <c r="M10274" i="2"/>
  <c r="L10274" i="2"/>
  <c r="E10274" i="2"/>
  <c r="D10274" i="2"/>
  <c r="B10274" i="2"/>
  <c r="A10274" i="2"/>
  <c r="O10273" i="2"/>
  <c r="M10273" i="2"/>
  <c r="L10273" i="2"/>
  <c r="E10273" i="2"/>
  <c r="D10273" i="2"/>
  <c r="B10273" i="2"/>
  <c r="A10273" i="2"/>
  <c r="O10272" i="2"/>
  <c r="M10272" i="2"/>
  <c r="L10272" i="2"/>
  <c r="E10272" i="2"/>
  <c r="D10272" i="2"/>
  <c r="B10272" i="2"/>
  <c r="A10272" i="2"/>
  <c r="O10271" i="2"/>
  <c r="O10270" i="2"/>
  <c r="M10270" i="2"/>
  <c r="L10270" i="2"/>
  <c r="E10270" i="2"/>
  <c r="D10270" i="2"/>
  <c r="B10270" i="2"/>
  <c r="A10270" i="2"/>
  <c r="O10269" i="2"/>
  <c r="M10269" i="2"/>
  <c r="L10269" i="2"/>
  <c r="E10269" i="2"/>
  <c r="D10269" i="2"/>
  <c r="B10269" i="2"/>
  <c r="A10269" i="2"/>
  <c r="O10268" i="2"/>
  <c r="O10267" i="2"/>
  <c r="M10267" i="2"/>
  <c r="L10267" i="2"/>
  <c r="E10267" i="2"/>
  <c r="D10267" i="2"/>
  <c r="B10267" i="2"/>
  <c r="A10267" i="2"/>
  <c r="O10266" i="2"/>
  <c r="M10266" i="2"/>
  <c r="L10266" i="2"/>
  <c r="E10266" i="2"/>
  <c r="D10266" i="2"/>
  <c r="B10266" i="2"/>
  <c r="A10266" i="2"/>
  <c r="O10265" i="2"/>
  <c r="M10265" i="2"/>
  <c r="L10265" i="2"/>
  <c r="E10265" i="2"/>
  <c r="D10265" i="2"/>
  <c r="B10265" i="2"/>
  <c r="A10265" i="2"/>
  <c r="O10264" i="2"/>
  <c r="M10264" i="2"/>
  <c r="L10264" i="2"/>
  <c r="E10264" i="2"/>
  <c r="D10264" i="2"/>
  <c r="B10264" i="2"/>
  <c r="A10264" i="2"/>
  <c r="O10263" i="2"/>
  <c r="M10263" i="2"/>
  <c r="L10263" i="2"/>
  <c r="E10263" i="2"/>
  <c r="D10263" i="2"/>
  <c r="B10263" i="2"/>
  <c r="A10263" i="2"/>
  <c r="O10262" i="2"/>
  <c r="M10262" i="2"/>
  <c r="L10262" i="2"/>
  <c r="E10262" i="2"/>
  <c r="D10262" i="2"/>
  <c r="B10262" i="2"/>
  <c r="A10262" i="2"/>
  <c r="O10261" i="2"/>
  <c r="M10261" i="2"/>
  <c r="L10261" i="2"/>
  <c r="E10261" i="2"/>
  <c r="D10261" i="2"/>
  <c r="B10261" i="2"/>
  <c r="A10261" i="2"/>
  <c r="O10260" i="2"/>
  <c r="O10259" i="2"/>
  <c r="O10258" i="2"/>
  <c r="M10258" i="2"/>
  <c r="L10258" i="2"/>
  <c r="E10258" i="2"/>
  <c r="D10258" i="2"/>
  <c r="B10258" i="2"/>
  <c r="A10258" i="2"/>
  <c r="O10257" i="2"/>
  <c r="M10257" i="2"/>
  <c r="L10257" i="2"/>
  <c r="E10257" i="2"/>
  <c r="D10257" i="2"/>
  <c r="B10257" i="2"/>
  <c r="A10257" i="2"/>
  <c r="O10256" i="2"/>
  <c r="M10256" i="2"/>
  <c r="L10256" i="2"/>
  <c r="E10256" i="2"/>
  <c r="D10256" i="2"/>
  <c r="B10256" i="2"/>
  <c r="A10256" i="2"/>
  <c r="O10255" i="2"/>
  <c r="M10255" i="2"/>
  <c r="L10255" i="2"/>
  <c r="E10255" i="2"/>
  <c r="D10255" i="2"/>
  <c r="B10255" i="2"/>
  <c r="A10255" i="2"/>
  <c r="O10254" i="2"/>
  <c r="O10253" i="2"/>
  <c r="M10253" i="2"/>
  <c r="L10253" i="2"/>
  <c r="E10253" i="2"/>
  <c r="D10253" i="2"/>
  <c r="B10253" i="2"/>
  <c r="A10253" i="2"/>
  <c r="O10252" i="2"/>
  <c r="M10252" i="2"/>
  <c r="L10252" i="2"/>
  <c r="E10252" i="2"/>
  <c r="D10252" i="2"/>
  <c r="B10252" i="2"/>
  <c r="A10252" i="2"/>
  <c r="O10251" i="2"/>
  <c r="O10250" i="2"/>
  <c r="O10249" i="2"/>
  <c r="M10249" i="2"/>
  <c r="L10249" i="2"/>
  <c r="E10249" i="2"/>
  <c r="D10249" i="2"/>
  <c r="B10249" i="2"/>
  <c r="A10249" i="2"/>
  <c r="O10248" i="2"/>
  <c r="M10248" i="2"/>
  <c r="L10248" i="2"/>
  <c r="E10248" i="2"/>
  <c r="D10248" i="2"/>
  <c r="B10248" i="2"/>
  <c r="A10248" i="2"/>
  <c r="O10247" i="2"/>
  <c r="M10247" i="2"/>
  <c r="L10247" i="2"/>
  <c r="E10247" i="2"/>
  <c r="D10247" i="2"/>
  <c r="B10247" i="2"/>
  <c r="A10247" i="2"/>
  <c r="O10246" i="2"/>
  <c r="O10245" i="2"/>
  <c r="M10245" i="2"/>
  <c r="L10245" i="2"/>
  <c r="E10245" i="2"/>
  <c r="D10245" i="2"/>
  <c r="B10245" i="2"/>
  <c r="A10245" i="2"/>
  <c r="O10244" i="2"/>
  <c r="M10244" i="2"/>
  <c r="L10244" i="2"/>
  <c r="E10244" i="2"/>
  <c r="D10244" i="2"/>
  <c r="B10244" i="2"/>
  <c r="A10244" i="2"/>
  <c r="O10243" i="2"/>
  <c r="O10242" i="2"/>
  <c r="O10241" i="2"/>
  <c r="M10241" i="2"/>
  <c r="L10241" i="2"/>
  <c r="E10241" i="2"/>
  <c r="D10241" i="2"/>
  <c r="B10241" i="2"/>
  <c r="A10241" i="2"/>
  <c r="O10240" i="2"/>
  <c r="M10240" i="2"/>
  <c r="L10240" i="2"/>
  <c r="E10240" i="2"/>
  <c r="D10240" i="2"/>
  <c r="B10240" i="2"/>
  <c r="A10240" i="2"/>
  <c r="O10239" i="2"/>
  <c r="M10239" i="2"/>
  <c r="L10239" i="2"/>
  <c r="E10239" i="2"/>
  <c r="D10239" i="2"/>
  <c r="B10239" i="2"/>
  <c r="A10239" i="2"/>
  <c r="O10238" i="2"/>
  <c r="O10237" i="2"/>
  <c r="M10237" i="2"/>
  <c r="L10237" i="2"/>
  <c r="E10237" i="2"/>
  <c r="D10237" i="2"/>
  <c r="B10237" i="2"/>
  <c r="A10237" i="2"/>
  <c r="O10236" i="2"/>
  <c r="M10236" i="2"/>
  <c r="L10236" i="2"/>
  <c r="E10236" i="2"/>
  <c r="D10236" i="2"/>
  <c r="B10236" i="2"/>
  <c r="A10236" i="2"/>
  <c r="O10235" i="2"/>
  <c r="M10235" i="2"/>
  <c r="L10235" i="2"/>
  <c r="E10235" i="2"/>
  <c r="D10235" i="2"/>
  <c r="B10235" i="2"/>
  <c r="A10235" i="2"/>
  <c r="O10234" i="2"/>
  <c r="M10234" i="2"/>
  <c r="L10234" i="2"/>
  <c r="E10234" i="2"/>
  <c r="D10234" i="2"/>
  <c r="B10234" i="2"/>
  <c r="A10234" i="2"/>
  <c r="O10233" i="2"/>
  <c r="O10232" i="2"/>
  <c r="M10232" i="2"/>
  <c r="L10232" i="2"/>
  <c r="E10232" i="2"/>
  <c r="D10232" i="2"/>
  <c r="B10232" i="2"/>
  <c r="A10232" i="2"/>
  <c r="O10231" i="2"/>
  <c r="M10231" i="2"/>
  <c r="L10231" i="2"/>
  <c r="E10231" i="2"/>
  <c r="D10231" i="2"/>
  <c r="B10231" i="2"/>
  <c r="A10231" i="2"/>
  <c r="O10230" i="2"/>
  <c r="M10230" i="2"/>
  <c r="L10230" i="2"/>
  <c r="E10230" i="2"/>
  <c r="D10230" i="2"/>
  <c r="B10230" i="2"/>
  <c r="A10230" i="2"/>
  <c r="O10229" i="2"/>
  <c r="O10228" i="2"/>
  <c r="O10227" i="2"/>
  <c r="M10227" i="2"/>
  <c r="L10227" i="2"/>
  <c r="E10227" i="2"/>
  <c r="D10227" i="2"/>
  <c r="B10227" i="2"/>
  <c r="A10227" i="2"/>
  <c r="O10226" i="2"/>
  <c r="O10225" i="2"/>
  <c r="O10224" i="2"/>
  <c r="M10224" i="2"/>
  <c r="L10224" i="2"/>
  <c r="E10224" i="2"/>
  <c r="D10224" i="2"/>
  <c r="B10224" i="2"/>
  <c r="A10224" i="2"/>
  <c r="O10223" i="2"/>
  <c r="M10223" i="2"/>
  <c r="L10223" i="2"/>
  <c r="E10223" i="2"/>
  <c r="D10223" i="2"/>
  <c r="B10223" i="2"/>
  <c r="A10223" i="2"/>
  <c r="O10222" i="2"/>
  <c r="M10222" i="2"/>
  <c r="L10222" i="2"/>
  <c r="E10222" i="2"/>
  <c r="D10222" i="2"/>
  <c r="B10222" i="2"/>
  <c r="A10222" i="2"/>
  <c r="O10221" i="2"/>
  <c r="O10220" i="2"/>
  <c r="M10220" i="2"/>
  <c r="L10220" i="2"/>
  <c r="E10220" i="2"/>
  <c r="D10220" i="2"/>
  <c r="B10220" i="2"/>
  <c r="A10220" i="2"/>
  <c r="O10219" i="2"/>
  <c r="M10219" i="2"/>
  <c r="L10219" i="2"/>
  <c r="E10219" i="2"/>
  <c r="D10219" i="2"/>
  <c r="B10219" i="2"/>
  <c r="A10219" i="2"/>
  <c r="O10218" i="2"/>
  <c r="M10218" i="2"/>
  <c r="L10218" i="2"/>
  <c r="E10218" i="2"/>
  <c r="D10218" i="2"/>
  <c r="B10218" i="2"/>
  <c r="A10218" i="2"/>
  <c r="O10217" i="2"/>
  <c r="M10217" i="2"/>
  <c r="L10217" i="2"/>
  <c r="E10217" i="2"/>
  <c r="D10217" i="2"/>
  <c r="B10217" i="2"/>
  <c r="A10217" i="2"/>
  <c r="O10216" i="2"/>
  <c r="M10216" i="2"/>
  <c r="L10216" i="2"/>
  <c r="E10216" i="2"/>
  <c r="D10216" i="2"/>
  <c r="B10216" i="2"/>
  <c r="A10216" i="2"/>
  <c r="O10215" i="2"/>
  <c r="O10214" i="2"/>
  <c r="M10214" i="2"/>
  <c r="L10214" i="2"/>
  <c r="E10214" i="2"/>
  <c r="D10214" i="2"/>
  <c r="B10214" i="2"/>
  <c r="A10214" i="2"/>
  <c r="O10213" i="2"/>
  <c r="O10212" i="2"/>
  <c r="O10211" i="2"/>
  <c r="M10211" i="2"/>
  <c r="L10211" i="2"/>
  <c r="E10211" i="2"/>
  <c r="D10211" i="2"/>
  <c r="B10211" i="2"/>
  <c r="A10211" i="2"/>
  <c r="O10210" i="2"/>
  <c r="O10209" i="2"/>
  <c r="M10209" i="2"/>
  <c r="L10209" i="2"/>
  <c r="E10209" i="2"/>
  <c r="D10209" i="2"/>
  <c r="B10209" i="2"/>
  <c r="A10209" i="2"/>
  <c r="O10208" i="2"/>
  <c r="M10208" i="2"/>
  <c r="L10208" i="2"/>
  <c r="E10208" i="2"/>
  <c r="D10208" i="2"/>
  <c r="B10208" i="2"/>
  <c r="A10208" i="2"/>
  <c r="O10207" i="2"/>
  <c r="M10207" i="2"/>
  <c r="L10207" i="2"/>
  <c r="E10207" i="2"/>
  <c r="D10207" i="2"/>
  <c r="B10207" i="2"/>
  <c r="A10207" i="2"/>
  <c r="O10206" i="2"/>
  <c r="M10206" i="2"/>
  <c r="L10206" i="2"/>
  <c r="E10206" i="2"/>
  <c r="D10206" i="2"/>
  <c r="B10206" i="2"/>
  <c r="A10206" i="2"/>
  <c r="O10205" i="2"/>
  <c r="M10205" i="2"/>
  <c r="L10205" i="2"/>
  <c r="E10205" i="2"/>
  <c r="D10205" i="2"/>
  <c r="B10205" i="2"/>
  <c r="A10205" i="2"/>
  <c r="O10204" i="2"/>
  <c r="O10203" i="2"/>
  <c r="M10203" i="2"/>
  <c r="L10203" i="2"/>
  <c r="E10203" i="2"/>
  <c r="D10203" i="2"/>
  <c r="B10203" i="2"/>
  <c r="A10203" i="2"/>
  <c r="O10202" i="2"/>
  <c r="O10201" i="2"/>
  <c r="O10200" i="2"/>
  <c r="M10200" i="2"/>
  <c r="L10200" i="2"/>
  <c r="E10200" i="2"/>
  <c r="D10200" i="2"/>
  <c r="B10200" i="2"/>
  <c r="A10200" i="2"/>
  <c r="O10199" i="2"/>
  <c r="O10198" i="2"/>
  <c r="M10198" i="2"/>
  <c r="L10198" i="2"/>
  <c r="E10198" i="2"/>
  <c r="D10198" i="2"/>
  <c r="B10198" i="2"/>
  <c r="A10198" i="2"/>
  <c r="O10197" i="2"/>
  <c r="M10197" i="2"/>
  <c r="L10197" i="2"/>
  <c r="E10197" i="2"/>
  <c r="D10197" i="2"/>
  <c r="B10197" i="2"/>
  <c r="A10197" i="2"/>
  <c r="O10196" i="2"/>
  <c r="M10196" i="2"/>
  <c r="L10196" i="2"/>
  <c r="E10196" i="2"/>
  <c r="D10196" i="2"/>
  <c r="B10196" i="2"/>
  <c r="A10196" i="2"/>
  <c r="O10195" i="2"/>
  <c r="M10195" i="2"/>
  <c r="L10195" i="2"/>
  <c r="E10195" i="2"/>
  <c r="D10195" i="2"/>
  <c r="B10195" i="2"/>
  <c r="A10195" i="2"/>
  <c r="O10194" i="2"/>
  <c r="O10193" i="2"/>
  <c r="M10193" i="2"/>
  <c r="L10193" i="2"/>
  <c r="E10193" i="2"/>
  <c r="D10193" i="2"/>
  <c r="B10193" i="2"/>
  <c r="A10193" i="2"/>
  <c r="O10192" i="2"/>
  <c r="O10191" i="2"/>
  <c r="M10191" i="2"/>
  <c r="L10191" i="2"/>
  <c r="E10191" i="2"/>
  <c r="D10191" i="2"/>
  <c r="B10191" i="2"/>
  <c r="A10191" i="2"/>
  <c r="O10190" i="2"/>
  <c r="O10189" i="2"/>
  <c r="O10188" i="2"/>
  <c r="M10188" i="2"/>
  <c r="L10188" i="2"/>
  <c r="E10188" i="2"/>
  <c r="D10188" i="2"/>
  <c r="B10188" i="2"/>
  <c r="A10188" i="2"/>
  <c r="O10187" i="2"/>
  <c r="O10186" i="2"/>
  <c r="M10186" i="2"/>
  <c r="L10186" i="2"/>
  <c r="E10186" i="2"/>
  <c r="D10186" i="2"/>
  <c r="B10186" i="2"/>
  <c r="A10186" i="2"/>
  <c r="O10185" i="2"/>
  <c r="M10185" i="2"/>
  <c r="L10185" i="2"/>
  <c r="E10185" i="2"/>
  <c r="D10185" i="2"/>
  <c r="B10185" i="2"/>
  <c r="A10185" i="2"/>
  <c r="O10184" i="2"/>
  <c r="M10184" i="2"/>
  <c r="L10184" i="2"/>
  <c r="E10184" i="2"/>
  <c r="D10184" i="2"/>
  <c r="B10184" i="2"/>
  <c r="A10184" i="2"/>
  <c r="O10183" i="2"/>
  <c r="M10183" i="2"/>
  <c r="L10183" i="2"/>
  <c r="E10183" i="2"/>
  <c r="D10183" i="2"/>
  <c r="B10183" i="2"/>
  <c r="A10183" i="2"/>
  <c r="O10182" i="2"/>
  <c r="M10182" i="2"/>
  <c r="L10182" i="2"/>
  <c r="E10182" i="2"/>
  <c r="D10182" i="2"/>
  <c r="B10182" i="2"/>
  <c r="A10182" i="2"/>
  <c r="O10181" i="2"/>
  <c r="O10180" i="2"/>
  <c r="M10180" i="2"/>
  <c r="L10180" i="2"/>
  <c r="E10180" i="2"/>
  <c r="D10180" i="2"/>
  <c r="B10180" i="2"/>
  <c r="A10180" i="2"/>
  <c r="O10179" i="2"/>
  <c r="M10179" i="2"/>
  <c r="L10179" i="2"/>
  <c r="E10179" i="2"/>
  <c r="D10179" i="2"/>
  <c r="B10179" i="2"/>
  <c r="A10179" i="2"/>
  <c r="O10178" i="2"/>
  <c r="O10177" i="2"/>
  <c r="O10176" i="2"/>
  <c r="O10175" i="2"/>
  <c r="M10175" i="2"/>
  <c r="L10175" i="2"/>
  <c r="E10175" i="2"/>
  <c r="D10175" i="2"/>
  <c r="B10175" i="2"/>
  <c r="A10175" i="2"/>
  <c r="O10174" i="2"/>
  <c r="M10174" i="2"/>
  <c r="L10174" i="2"/>
  <c r="E10174" i="2"/>
  <c r="D10174" i="2"/>
  <c r="B10174" i="2"/>
  <c r="A10174" i="2"/>
  <c r="O10173" i="2"/>
  <c r="M10173" i="2"/>
  <c r="L10173" i="2"/>
  <c r="E10173" i="2"/>
  <c r="D10173" i="2"/>
  <c r="B10173" i="2"/>
  <c r="A10173" i="2"/>
  <c r="O10172" i="2"/>
  <c r="M10172" i="2"/>
  <c r="L10172" i="2"/>
  <c r="E10172" i="2"/>
  <c r="D10172" i="2"/>
  <c r="B10172" i="2"/>
  <c r="A10172" i="2"/>
  <c r="O10171" i="2"/>
  <c r="M10171" i="2"/>
  <c r="L10171" i="2"/>
  <c r="E10171" i="2"/>
  <c r="D10171" i="2"/>
  <c r="B10171" i="2"/>
  <c r="A10171" i="2"/>
  <c r="O10170" i="2"/>
  <c r="O10169" i="2"/>
  <c r="M10169" i="2"/>
  <c r="L10169" i="2"/>
  <c r="E10169" i="2"/>
  <c r="D10169" i="2"/>
  <c r="B10169" i="2"/>
  <c r="A10169" i="2"/>
  <c r="O10168" i="2"/>
  <c r="M10168" i="2"/>
  <c r="L10168" i="2"/>
  <c r="E10168" i="2"/>
  <c r="D10168" i="2"/>
  <c r="B10168" i="2"/>
  <c r="A10168" i="2"/>
  <c r="O10167" i="2"/>
  <c r="M10167" i="2"/>
  <c r="L10167" i="2"/>
  <c r="E10167" i="2"/>
  <c r="D10167" i="2"/>
  <c r="B10167" i="2"/>
  <c r="A10167" i="2"/>
  <c r="O10166" i="2"/>
  <c r="M10166" i="2"/>
  <c r="L10166" i="2"/>
  <c r="E10166" i="2"/>
  <c r="D10166" i="2"/>
  <c r="B10166" i="2"/>
  <c r="A10166" i="2"/>
  <c r="O10165" i="2"/>
  <c r="M10165" i="2"/>
  <c r="L10165" i="2"/>
  <c r="E10165" i="2"/>
  <c r="D10165" i="2"/>
  <c r="B10165" i="2"/>
  <c r="A10165" i="2"/>
  <c r="O10164" i="2"/>
  <c r="M10164" i="2"/>
  <c r="L10164" i="2"/>
  <c r="E10164" i="2"/>
  <c r="D10164" i="2"/>
  <c r="B10164" i="2"/>
  <c r="A10164" i="2"/>
  <c r="O10163" i="2"/>
  <c r="O10162" i="2"/>
  <c r="O10161" i="2"/>
  <c r="O10160" i="2"/>
  <c r="O10159" i="2"/>
  <c r="O10158" i="2"/>
  <c r="M10158" i="2"/>
  <c r="L10158" i="2"/>
  <c r="E10158" i="2"/>
  <c r="D10158" i="2"/>
  <c r="B10158" i="2"/>
  <c r="A10158" i="2"/>
  <c r="O10157" i="2"/>
  <c r="M10157" i="2"/>
  <c r="L10157" i="2"/>
  <c r="E10157" i="2"/>
  <c r="D10157" i="2"/>
  <c r="B10157" i="2"/>
  <c r="A10157" i="2"/>
  <c r="O10156" i="2"/>
  <c r="M10156" i="2"/>
  <c r="L10156" i="2"/>
  <c r="E10156" i="2"/>
  <c r="D10156" i="2"/>
  <c r="B10156" i="2"/>
  <c r="A10156" i="2"/>
  <c r="O10155" i="2"/>
  <c r="M10155" i="2"/>
  <c r="L10155" i="2"/>
  <c r="E10155" i="2"/>
  <c r="D10155" i="2"/>
  <c r="B10155" i="2"/>
  <c r="A10155" i="2"/>
  <c r="O10154" i="2"/>
  <c r="O10153" i="2"/>
  <c r="O10152" i="2"/>
  <c r="M10152" i="2"/>
  <c r="L10152" i="2"/>
  <c r="E10152" i="2"/>
  <c r="D10152" i="2"/>
  <c r="B10152" i="2"/>
  <c r="A10152" i="2"/>
  <c r="O10151" i="2"/>
  <c r="M10151" i="2"/>
  <c r="L10151" i="2"/>
  <c r="E10151" i="2"/>
  <c r="D10151" i="2"/>
  <c r="B10151" i="2"/>
  <c r="A10151" i="2"/>
  <c r="O10150" i="2"/>
  <c r="M10150" i="2"/>
  <c r="L10150" i="2"/>
  <c r="E10150" i="2"/>
  <c r="D10150" i="2"/>
  <c r="B10150" i="2"/>
  <c r="A10150" i="2"/>
  <c r="O10149" i="2"/>
  <c r="M10149" i="2"/>
  <c r="L10149" i="2"/>
  <c r="E10149" i="2"/>
  <c r="D10149" i="2"/>
  <c r="B10149" i="2"/>
  <c r="A10149" i="2"/>
  <c r="O10148" i="2"/>
  <c r="M10148" i="2"/>
  <c r="L10148" i="2"/>
  <c r="E10148" i="2"/>
  <c r="D10148" i="2"/>
  <c r="B10148" i="2"/>
  <c r="A10148" i="2"/>
  <c r="O10147" i="2"/>
  <c r="O10146" i="2"/>
  <c r="M10146" i="2"/>
  <c r="L10146" i="2"/>
  <c r="E10146" i="2"/>
  <c r="D10146" i="2"/>
  <c r="B10146" i="2"/>
  <c r="A10146" i="2"/>
  <c r="O10145" i="2"/>
  <c r="O10144" i="2"/>
  <c r="M10144" i="2"/>
  <c r="L10144" i="2"/>
  <c r="E10144" i="2"/>
  <c r="D10144" i="2"/>
  <c r="B10144" i="2"/>
  <c r="A10144" i="2"/>
  <c r="O10143" i="2"/>
  <c r="M10143" i="2"/>
  <c r="L10143" i="2"/>
  <c r="E10143" i="2"/>
  <c r="D10143" i="2"/>
  <c r="B10143" i="2"/>
  <c r="A10143" i="2"/>
  <c r="O10142" i="2"/>
  <c r="M10142" i="2"/>
  <c r="L10142" i="2"/>
  <c r="E10142" i="2"/>
  <c r="D10142" i="2"/>
  <c r="B10142" i="2"/>
  <c r="A10142" i="2"/>
  <c r="O10141" i="2"/>
  <c r="M10141" i="2"/>
  <c r="L10141" i="2"/>
  <c r="E10141" i="2"/>
  <c r="D10141" i="2"/>
  <c r="B10141" i="2"/>
  <c r="A10141" i="2"/>
  <c r="O10140" i="2"/>
  <c r="O10139" i="2"/>
  <c r="M10139" i="2"/>
  <c r="L10139" i="2"/>
  <c r="E10139" i="2"/>
  <c r="D10139" i="2"/>
  <c r="B10139" i="2"/>
  <c r="A10139" i="2"/>
  <c r="O10138" i="2"/>
  <c r="M10138" i="2"/>
  <c r="L10138" i="2"/>
  <c r="E10138" i="2"/>
  <c r="D10138" i="2"/>
  <c r="B10138" i="2"/>
  <c r="A10138" i="2"/>
  <c r="O10137" i="2"/>
  <c r="M10137" i="2"/>
  <c r="L10137" i="2"/>
  <c r="E10137" i="2"/>
  <c r="D10137" i="2"/>
  <c r="B10137" i="2"/>
  <c r="A10137" i="2"/>
  <c r="O10136" i="2"/>
  <c r="M10136" i="2"/>
  <c r="L10136" i="2"/>
  <c r="E10136" i="2"/>
  <c r="D10136" i="2"/>
  <c r="B10136" i="2"/>
  <c r="A10136" i="2"/>
  <c r="O10135" i="2"/>
  <c r="M10135" i="2"/>
  <c r="L10135" i="2"/>
  <c r="E10135" i="2"/>
  <c r="D10135" i="2"/>
  <c r="B10135" i="2"/>
  <c r="A10135" i="2"/>
  <c r="O10134" i="2"/>
  <c r="O10133" i="2"/>
  <c r="O10132" i="2"/>
  <c r="M10132" i="2"/>
  <c r="L10132" i="2"/>
  <c r="E10132" i="2"/>
  <c r="D10132" i="2"/>
  <c r="B10132" i="2"/>
  <c r="A10132" i="2"/>
  <c r="O10131" i="2"/>
  <c r="M10131" i="2"/>
  <c r="L10131" i="2"/>
  <c r="E10131" i="2"/>
  <c r="D10131" i="2"/>
  <c r="B10131" i="2"/>
  <c r="A10131" i="2"/>
  <c r="O10130" i="2"/>
  <c r="M10130" i="2"/>
  <c r="L10130" i="2"/>
  <c r="E10130" i="2"/>
  <c r="D10130" i="2"/>
  <c r="B10130" i="2"/>
  <c r="A10130" i="2"/>
  <c r="O10129" i="2"/>
  <c r="M10129" i="2"/>
  <c r="L10129" i="2"/>
  <c r="E10129" i="2"/>
  <c r="D10129" i="2"/>
  <c r="B10129" i="2"/>
  <c r="A10129" i="2"/>
  <c r="O10128" i="2"/>
  <c r="M10128" i="2"/>
  <c r="L10128" i="2"/>
  <c r="E10128" i="2"/>
  <c r="D10128" i="2"/>
  <c r="B10128" i="2"/>
  <c r="A10128" i="2"/>
  <c r="O10127" i="2"/>
  <c r="M10127" i="2"/>
  <c r="L10127" i="2"/>
  <c r="E10127" i="2"/>
  <c r="D10127" i="2"/>
  <c r="B10127" i="2"/>
  <c r="A10127" i="2"/>
  <c r="O10126" i="2"/>
  <c r="M10126" i="2"/>
  <c r="L10126" i="2"/>
  <c r="E10126" i="2"/>
  <c r="D10126" i="2"/>
  <c r="B10126" i="2"/>
  <c r="A10126" i="2"/>
  <c r="O10125" i="2"/>
  <c r="M10125" i="2"/>
  <c r="L10125" i="2"/>
  <c r="E10125" i="2"/>
  <c r="D10125" i="2"/>
  <c r="B10125" i="2"/>
  <c r="A10125" i="2"/>
  <c r="O10124" i="2"/>
  <c r="O10123" i="2"/>
  <c r="M10123" i="2"/>
  <c r="L10123" i="2"/>
  <c r="E10123" i="2"/>
  <c r="D10123" i="2"/>
  <c r="B10123" i="2"/>
  <c r="A10123" i="2"/>
  <c r="O10122" i="2"/>
  <c r="M10122" i="2"/>
  <c r="L10122" i="2"/>
  <c r="E10122" i="2"/>
  <c r="D10122" i="2"/>
  <c r="B10122" i="2"/>
  <c r="A10122" i="2"/>
  <c r="O10121" i="2"/>
  <c r="M10121" i="2"/>
  <c r="L10121" i="2"/>
  <c r="E10121" i="2"/>
  <c r="D10121" i="2"/>
  <c r="B10121" i="2"/>
  <c r="A10121" i="2"/>
  <c r="O10120" i="2"/>
  <c r="O10119" i="2"/>
  <c r="M10119" i="2"/>
  <c r="L10119" i="2"/>
  <c r="E10119" i="2"/>
  <c r="D10119" i="2"/>
  <c r="B10119" i="2"/>
  <c r="A10119" i="2"/>
  <c r="O10118" i="2"/>
  <c r="O10117" i="2"/>
  <c r="M10117" i="2"/>
  <c r="L10117" i="2"/>
  <c r="E10117" i="2"/>
  <c r="D10117" i="2"/>
  <c r="B10117" i="2"/>
  <c r="A10117" i="2"/>
  <c r="O10116" i="2"/>
  <c r="O10115" i="2"/>
  <c r="M10115" i="2"/>
  <c r="L10115" i="2"/>
  <c r="E10115" i="2"/>
  <c r="D10115" i="2"/>
  <c r="B10115" i="2"/>
  <c r="A10115" i="2"/>
  <c r="O10114" i="2"/>
  <c r="O10113" i="2"/>
  <c r="M10113" i="2"/>
  <c r="L10113" i="2"/>
  <c r="E10113" i="2"/>
  <c r="D10113" i="2"/>
  <c r="B10113" i="2"/>
  <c r="A10113" i="2"/>
  <c r="O10112" i="2"/>
  <c r="M10112" i="2"/>
  <c r="L10112" i="2"/>
  <c r="E10112" i="2"/>
  <c r="D10112" i="2"/>
  <c r="B10112" i="2"/>
  <c r="A10112" i="2"/>
  <c r="O10111" i="2"/>
  <c r="O10110" i="2"/>
  <c r="M10110" i="2"/>
  <c r="L10110" i="2"/>
  <c r="E10110" i="2"/>
  <c r="D10110" i="2"/>
  <c r="B10110" i="2"/>
  <c r="A10110" i="2"/>
  <c r="O10109" i="2"/>
  <c r="O10108" i="2"/>
  <c r="M10108" i="2"/>
  <c r="L10108" i="2"/>
  <c r="E10108" i="2"/>
  <c r="D10108" i="2"/>
  <c r="B10108" i="2"/>
  <c r="A10108" i="2"/>
  <c r="O10107" i="2"/>
  <c r="O10106" i="2"/>
  <c r="M10106" i="2"/>
  <c r="L10106" i="2"/>
  <c r="E10106" i="2"/>
  <c r="D10106" i="2"/>
  <c r="B10106" i="2"/>
  <c r="A10106" i="2"/>
  <c r="O10105" i="2"/>
  <c r="M10105" i="2"/>
  <c r="L10105" i="2"/>
  <c r="E10105" i="2"/>
  <c r="D10105" i="2"/>
  <c r="B10105" i="2"/>
  <c r="A10105" i="2"/>
  <c r="O10104" i="2"/>
  <c r="M10104" i="2"/>
  <c r="L10104" i="2"/>
  <c r="E10104" i="2"/>
  <c r="D10104" i="2"/>
  <c r="B10104" i="2"/>
  <c r="A10104" i="2"/>
  <c r="O10103" i="2"/>
  <c r="O10102" i="2"/>
  <c r="M10102" i="2"/>
  <c r="L10102" i="2"/>
  <c r="E10102" i="2"/>
  <c r="D10102" i="2"/>
  <c r="B10102" i="2"/>
  <c r="A10102" i="2"/>
  <c r="O10101" i="2"/>
  <c r="M10101" i="2"/>
  <c r="L10101" i="2"/>
  <c r="E10101" i="2"/>
  <c r="D10101" i="2"/>
  <c r="B10101" i="2"/>
  <c r="A10101" i="2"/>
  <c r="O10100" i="2"/>
  <c r="M10100" i="2"/>
  <c r="L10100" i="2"/>
  <c r="E10100" i="2"/>
  <c r="D10100" i="2"/>
  <c r="B10100" i="2"/>
  <c r="A10100" i="2"/>
  <c r="O10099" i="2"/>
  <c r="M10099" i="2"/>
  <c r="L10099" i="2"/>
  <c r="E10099" i="2"/>
  <c r="D10099" i="2"/>
  <c r="B10099" i="2"/>
  <c r="A10099" i="2"/>
  <c r="O10098" i="2"/>
  <c r="O10097" i="2"/>
  <c r="M10097" i="2"/>
  <c r="L10097" i="2"/>
  <c r="E10097" i="2"/>
  <c r="D10097" i="2"/>
  <c r="B10097" i="2"/>
  <c r="A10097" i="2"/>
  <c r="O10096" i="2"/>
  <c r="O10095" i="2"/>
  <c r="O10094" i="2"/>
  <c r="O10093" i="2"/>
  <c r="O10092" i="2"/>
  <c r="M10092" i="2"/>
  <c r="L10092" i="2"/>
  <c r="E10092" i="2"/>
  <c r="D10092" i="2"/>
  <c r="B10092" i="2"/>
  <c r="A10092" i="2"/>
  <c r="O10091" i="2"/>
  <c r="O10090" i="2"/>
  <c r="M10090" i="2"/>
  <c r="L10090" i="2"/>
  <c r="E10090" i="2"/>
  <c r="D10090" i="2"/>
  <c r="B10090" i="2"/>
  <c r="A10090" i="2"/>
  <c r="O10089" i="2"/>
  <c r="O10088" i="2"/>
  <c r="M10088" i="2"/>
  <c r="L10088" i="2"/>
  <c r="E10088" i="2"/>
  <c r="D10088" i="2"/>
  <c r="B10088" i="2"/>
  <c r="A10088" i="2"/>
  <c r="O10087" i="2"/>
  <c r="O10086" i="2"/>
  <c r="O10085" i="2"/>
  <c r="M10085" i="2"/>
  <c r="L10085" i="2"/>
  <c r="E10085" i="2"/>
  <c r="D10085" i="2"/>
  <c r="B10085" i="2"/>
  <c r="A10085" i="2"/>
  <c r="O10084" i="2"/>
  <c r="M10084" i="2"/>
  <c r="L10084" i="2"/>
  <c r="E10084" i="2"/>
  <c r="D10084" i="2"/>
  <c r="B10084" i="2"/>
  <c r="A10084" i="2"/>
  <c r="O10083" i="2"/>
  <c r="O10082" i="2"/>
  <c r="M10082" i="2"/>
  <c r="L10082" i="2"/>
  <c r="E10082" i="2"/>
  <c r="D10082" i="2"/>
  <c r="B10082" i="2"/>
  <c r="A10082" i="2"/>
  <c r="O10081" i="2"/>
  <c r="M10081" i="2"/>
  <c r="L10081" i="2"/>
  <c r="E10081" i="2"/>
  <c r="D10081" i="2"/>
  <c r="B10081" i="2"/>
  <c r="A10081" i="2"/>
  <c r="O10080" i="2"/>
  <c r="M10080" i="2"/>
  <c r="L10080" i="2"/>
  <c r="E10080" i="2"/>
  <c r="D10080" i="2"/>
  <c r="B10080" i="2"/>
  <c r="A10080" i="2"/>
  <c r="O10079" i="2"/>
  <c r="M10079" i="2"/>
  <c r="L10079" i="2"/>
  <c r="E10079" i="2"/>
  <c r="D10079" i="2"/>
  <c r="B10079" i="2"/>
  <c r="A10079" i="2"/>
  <c r="O10078" i="2"/>
  <c r="O10077" i="2"/>
  <c r="M10077" i="2"/>
  <c r="L10077" i="2"/>
  <c r="E10077" i="2"/>
  <c r="D10077" i="2"/>
  <c r="B10077" i="2"/>
  <c r="A10077" i="2"/>
  <c r="O10076" i="2"/>
  <c r="M10076" i="2"/>
  <c r="L10076" i="2"/>
  <c r="E10076" i="2"/>
  <c r="D10076" i="2"/>
  <c r="B10076" i="2"/>
  <c r="A10076" i="2"/>
  <c r="O10075" i="2"/>
  <c r="M10075" i="2"/>
  <c r="L10075" i="2"/>
  <c r="E10075" i="2"/>
  <c r="D10075" i="2"/>
  <c r="B10075" i="2"/>
  <c r="A10075" i="2"/>
  <c r="O10074" i="2"/>
  <c r="M10074" i="2"/>
  <c r="L10074" i="2"/>
  <c r="E10074" i="2"/>
  <c r="D10074" i="2"/>
  <c r="B10074" i="2"/>
  <c r="A10074" i="2"/>
  <c r="O10073" i="2"/>
  <c r="O10072" i="2"/>
  <c r="M10072" i="2"/>
  <c r="L10072" i="2"/>
  <c r="E10072" i="2"/>
  <c r="D10072" i="2"/>
  <c r="B10072" i="2"/>
  <c r="A10072" i="2"/>
  <c r="O10071" i="2"/>
  <c r="M10071" i="2"/>
  <c r="L10071" i="2"/>
  <c r="E10071" i="2"/>
  <c r="D10071" i="2"/>
  <c r="B10071" i="2"/>
  <c r="A10071" i="2"/>
  <c r="O10070" i="2"/>
  <c r="M10070" i="2"/>
  <c r="L10070" i="2"/>
  <c r="E10070" i="2"/>
  <c r="D10070" i="2"/>
  <c r="B10070" i="2"/>
  <c r="A10070" i="2"/>
  <c r="O10069" i="2"/>
  <c r="O10068" i="2"/>
  <c r="M10068" i="2"/>
  <c r="L10068" i="2"/>
  <c r="E10068" i="2"/>
  <c r="D10068" i="2"/>
  <c r="B10068" i="2"/>
  <c r="A10068" i="2"/>
  <c r="O10067" i="2"/>
  <c r="M10067" i="2"/>
  <c r="L10067" i="2"/>
  <c r="E10067" i="2"/>
  <c r="D10067" i="2"/>
  <c r="B10067" i="2"/>
  <c r="A10067" i="2"/>
  <c r="O10066" i="2"/>
  <c r="M10066" i="2"/>
  <c r="L10066" i="2"/>
  <c r="E10066" i="2"/>
  <c r="D10066" i="2"/>
  <c r="B10066" i="2"/>
  <c r="A10066" i="2"/>
  <c r="O10065" i="2"/>
  <c r="M10065" i="2"/>
  <c r="L10065" i="2"/>
  <c r="E10065" i="2"/>
  <c r="D10065" i="2"/>
  <c r="B10065" i="2"/>
  <c r="A10065" i="2"/>
  <c r="O10064" i="2"/>
  <c r="O10063" i="2"/>
  <c r="O10062" i="2"/>
  <c r="M10062" i="2"/>
  <c r="L10062" i="2"/>
  <c r="E10062" i="2"/>
  <c r="D10062" i="2"/>
  <c r="B10062" i="2"/>
  <c r="A10062" i="2"/>
  <c r="O10061" i="2"/>
  <c r="M10061" i="2"/>
  <c r="L10061" i="2"/>
  <c r="E10061" i="2"/>
  <c r="D10061" i="2"/>
  <c r="B10061" i="2"/>
  <c r="A10061" i="2"/>
  <c r="O10060" i="2"/>
  <c r="M10060" i="2"/>
  <c r="L10060" i="2"/>
  <c r="E10060" i="2"/>
  <c r="D10060" i="2"/>
  <c r="B10060" i="2"/>
  <c r="A10060" i="2"/>
  <c r="O10059" i="2"/>
  <c r="O10058" i="2"/>
  <c r="M10058" i="2"/>
  <c r="L10058" i="2"/>
  <c r="E10058" i="2"/>
  <c r="D10058" i="2"/>
  <c r="B10058" i="2"/>
  <c r="A10058" i="2"/>
  <c r="O10057" i="2"/>
  <c r="M10057" i="2"/>
  <c r="L10057" i="2"/>
  <c r="E10057" i="2"/>
  <c r="D10057" i="2"/>
  <c r="B10057" i="2"/>
  <c r="A10057" i="2"/>
  <c r="O10056" i="2"/>
  <c r="O10055" i="2"/>
  <c r="M10055" i="2"/>
  <c r="L10055" i="2"/>
  <c r="E10055" i="2"/>
  <c r="D10055" i="2"/>
  <c r="B10055" i="2"/>
  <c r="A10055" i="2"/>
  <c r="O10054" i="2"/>
  <c r="O10053" i="2"/>
  <c r="M10053" i="2"/>
  <c r="L10053" i="2"/>
  <c r="E10053" i="2"/>
  <c r="D10053" i="2"/>
  <c r="B10053" i="2"/>
  <c r="A10053" i="2"/>
  <c r="O10052" i="2"/>
  <c r="O10051" i="2"/>
  <c r="O10050" i="2"/>
  <c r="M10050" i="2"/>
  <c r="L10050" i="2"/>
  <c r="E10050" i="2"/>
  <c r="D10050" i="2"/>
  <c r="B10050" i="2"/>
  <c r="A10050" i="2"/>
  <c r="O10049" i="2"/>
  <c r="O10048" i="2"/>
  <c r="O10047" i="2"/>
  <c r="O10046" i="2"/>
  <c r="M10046" i="2"/>
  <c r="L10046" i="2"/>
  <c r="E10046" i="2"/>
  <c r="D10046" i="2"/>
  <c r="B10046" i="2"/>
  <c r="A10046" i="2"/>
  <c r="O10045" i="2"/>
  <c r="M10045" i="2"/>
  <c r="L10045" i="2"/>
  <c r="E10045" i="2"/>
  <c r="D10045" i="2"/>
  <c r="B10045" i="2"/>
  <c r="A10045" i="2"/>
  <c r="O10044" i="2"/>
  <c r="O10043" i="2"/>
  <c r="M10043" i="2"/>
  <c r="L10043" i="2"/>
  <c r="E10043" i="2"/>
  <c r="D10043" i="2"/>
  <c r="B10043" i="2"/>
  <c r="A10043" i="2"/>
  <c r="O10042" i="2"/>
  <c r="M10042" i="2"/>
  <c r="L10042" i="2"/>
  <c r="E10042" i="2"/>
  <c r="D10042" i="2"/>
  <c r="B10042" i="2"/>
  <c r="A10042" i="2"/>
  <c r="O10041" i="2"/>
  <c r="M10041" i="2"/>
  <c r="L10041" i="2"/>
  <c r="E10041" i="2"/>
  <c r="D10041" i="2"/>
  <c r="B10041" i="2"/>
  <c r="A10041" i="2"/>
  <c r="O10040" i="2"/>
  <c r="O10039" i="2"/>
  <c r="O10038" i="2"/>
  <c r="O10037" i="2"/>
  <c r="M10037" i="2"/>
  <c r="L10037" i="2"/>
  <c r="E10037" i="2"/>
  <c r="D10037" i="2"/>
  <c r="B10037" i="2"/>
  <c r="A10037" i="2"/>
  <c r="O10036" i="2"/>
  <c r="O10035" i="2"/>
  <c r="M10035" i="2"/>
  <c r="L10035" i="2"/>
  <c r="E10035" i="2"/>
  <c r="D10035" i="2"/>
  <c r="B10035" i="2"/>
  <c r="A10035" i="2"/>
  <c r="O10034" i="2"/>
  <c r="O10033" i="2"/>
  <c r="O10032" i="2"/>
  <c r="O10031" i="2"/>
  <c r="M10031" i="2"/>
  <c r="L10031" i="2"/>
  <c r="E10031" i="2"/>
  <c r="D10031" i="2"/>
  <c r="B10031" i="2"/>
  <c r="A10031" i="2"/>
  <c r="O10030" i="2"/>
  <c r="M10030" i="2"/>
  <c r="L10030" i="2"/>
  <c r="E10030" i="2"/>
  <c r="D10030" i="2"/>
  <c r="B10030" i="2"/>
  <c r="A10030" i="2"/>
  <c r="O10029" i="2"/>
  <c r="O10028" i="2"/>
  <c r="M10028" i="2"/>
  <c r="L10028" i="2"/>
  <c r="E10028" i="2"/>
  <c r="D10028" i="2"/>
  <c r="B10028" i="2"/>
  <c r="A10028" i="2"/>
  <c r="O10027" i="2"/>
  <c r="O10026" i="2"/>
  <c r="M10026" i="2"/>
  <c r="L10026" i="2"/>
  <c r="E10026" i="2"/>
  <c r="D10026" i="2"/>
  <c r="B10026" i="2"/>
  <c r="A10026" i="2"/>
  <c r="O10025" i="2"/>
  <c r="O10024" i="2"/>
  <c r="O10023" i="2"/>
  <c r="M10023" i="2"/>
  <c r="L10023" i="2"/>
  <c r="E10023" i="2"/>
  <c r="D10023" i="2"/>
  <c r="B10023" i="2"/>
  <c r="A10023" i="2"/>
  <c r="O10022" i="2"/>
  <c r="M10022" i="2"/>
  <c r="L10022" i="2"/>
  <c r="E10022" i="2"/>
  <c r="D10022" i="2"/>
  <c r="B10022" i="2"/>
  <c r="A10022" i="2"/>
  <c r="O10021" i="2"/>
  <c r="M10021" i="2"/>
  <c r="L10021" i="2"/>
  <c r="E10021" i="2"/>
  <c r="D10021" i="2"/>
  <c r="B10021" i="2"/>
  <c r="A10021" i="2"/>
  <c r="O10020" i="2"/>
  <c r="M10020" i="2"/>
  <c r="L10020" i="2"/>
  <c r="E10020" i="2"/>
  <c r="D10020" i="2"/>
  <c r="B10020" i="2"/>
  <c r="A10020" i="2"/>
  <c r="O10019" i="2"/>
  <c r="O10018" i="2"/>
  <c r="M10018" i="2"/>
  <c r="L10018" i="2"/>
  <c r="E10018" i="2"/>
  <c r="D10018" i="2"/>
  <c r="B10018" i="2"/>
  <c r="A10018" i="2"/>
  <c r="O10017" i="2"/>
  <c r="O10016" i="2"/>
  <c r="O10015" i="2"/>
  <c r="M10015" i="2"/>
  <c r="L10015" i="2"/>
  <c r="E10015" i="2"/>
  <c r="D10015" i="2"/>
  <c r="B10015" i="2"/>
  <c r="A10015" i="2"/>
  <c r="O10014" i="2"/>
  <c r="M10014" i="2"/>
  <c r="L10014" i="2"/>
  <c r="E10014" i="2"/>
  <c r="D10014" i="2"/>
  <c r="B10014" i="2"/>
  <c r="A10014" i="2"/>
  <c r="O10013" i="2"/>
  <c r="M10013" i="2"/>
  <c r="L10013" i="2"/>
  <c r="E10013" i="2"/>
  <c r="D10013" i="2"/>
  <c r="B10013" i="2"/>
  <c r="A10013" i="2"/>
  <c r="O10012" i="2"/>
  <c r="M10012" i="2"/>
  <c r="L10012" i="2"/>
  <c r="E10012" i="2"/>
  <c r="D10012" i="2"/>
  <c r="B10012" i="2"/>
  <c r="A10012" i="2"/>
  <c r="O10011" i="2"/>
  <c r="M10011" i="2"/>
  <c r="L10011" i="2"/>
  <c r="E10011" i="2"/>
  <c r="D10011" i="2"/>
  <c r="B10011" i="2"/>
  <c r="A10011" i="2"/>
  <c r="O10010" i="2"/>
  <c r="M10010" i="2"/>
  <c r="L10010" i="2"/>
  <c r="E10010" i="2"/>
  <c r="D10010" i="2"/>
  <c r="B10010" i="2"/>
  <c r="A10010" i="2"/>
  <c r="O10009" i="2"/>
  <c r="O10008" i="2"/>
  <c r="M10008" i="2"/>
  <c r="L10008" i="2"/>
  <c r="E10008" i="2"/>
  <c r="D10008" i="2"/>
  <c r="B10008" i="2"/>
  <c r="A10008" i="2"/>
  <c r="O10007" i="2"/>
  <c r="O10006" i="2"/>
  <c r="O10005" i="2"/>
  <c r="M10005" i="2"/>
  <c r="L10005" i="2"/>
  <c r="E10005" i="2"/>
  <c r="D10005" i="2"/>
  <c r="B10005" i="2"/>
  <c r="A10005" i="2"/>
  <c r="O10004" i="2"/>
  <c r="M10004" i="2"/>
  <c r="L10004" i="2"/>
  <c r="E10004" i="2"/>
  <c r="D10004" i="2"/>
  <c r="B10004" i="2"/>
  <c r="A10004" i="2"/>
  <c r="O10003" i="2"/>
  <c r="M10003" i="2"/>
  <c r="L10003" i="2"/>
  <c r="E10003" i="2"/>
  <c r="D10003" i="2"/>
  <c r="B10003" i="2"/>
  <c r="A10003" i="2"/>
  <c r="O10002" i="2"/>
  <c r="M10002" i="2"/>
  <c r="L10002" i="2"/>
  <c r="E10002" i="2"/>
  <c r="D10002" i="2"/>
  <c r="B10002" i="2"/>
  <c r="A10002" i="2"/>
  <c r="O10001" i="2"/>
  <c r="M10001" i="2"/>
  <c r="L10001" i="2"/>
  <c r="E10001" i="2"/>
  <c r="D10001" i="2"/>
  <c r="B10001" i="2"/>
  <c r="A10001" i="2"/>
  <c r="O10000" i="2"/>
  <c r="O9999" i="2"/>
  <c r="M9999" i="2"/>
  <c r="L9999" i="2"/>
  <c r="E9999" i="2"/>
  <c r="D9999" i="2"/>
  <c r="B9999" i="2"/>
  <c r="A9999" i="2"/>
  <c r="O9998" i="2"/>
  <c r="M9998" i="2"/>
  <c r="L9998" i="2"/>
  <c r="E9998" i="2"/>
  <c r="D9998" i="2"/>
  <c r="B9998" i="2"/>
  <c r="A9998" i="2"/>
  <c r="O9997" i="2"/>
  <c r="O9996" i="2"/>
  <c r="O9995" i="2"/>
  <c r="M9995" i="2"/>
  <c r="L9995" i="2"/>
  <c r="E9995" i="2"/>
  <c r="D9995" i="2"/>
  <c r="B9995" i="2"/>
  <c r="A9995" i="2"/>
  <c r="O9994" i="2"/>
  <c r="M9994" i="2"/>
  <c r="L9994" i="2"/>
  <c r="E9994" i="2"/>
  <c r="D9994" i="2"/>
  <c r="B9994" i="2"/>
  <c r="A9994" i="2"/>
  <c r="O9993" i="2"/>
  <c r="O9992" i="2"/>
  <c r="O9991" i="2"/>
  <c r="M9991" i="2"/>
  <c r="L9991" i="2"/>
  <c r="E9991" i="2"/>
  <c r="D9991" i="2"/>
  <c r="B9991" i="2"/>
  <c r="A9991" i="2"/>
  <c r="O9990" i="2"/>
  <c r="M9990" i="2"/>
  <c r="L9990" i="2"/>
  <c r="E9990" i="2"/>
  <c r="D9990" i="2"/>
  <c r="B9990" i="2"/>
  <c r="A9990" i="2"/>
  <c r="O9989" i="2"/>
  <c r="M9989" i="2"/>
  <c r="L9989" i="2"/>
  <c r="E9989" i="2"/>
  <c r="D9989" i="2"/>
  <c r="B9989" i="2"/>
  <c r="A9989" i="2"/>
  <c r="O9988" i="2"/>
  <c r="M9988" i="2"/>
  <c r="L9988" i="2"/>
  <c r="E9988" i="2"/>
  <c r="D9988" i="2"/>
  <c r="B9988" i="2"/>
  <c r="A9988" i="2"/>
  <c r="O9987" i="2"/>
  <c r="O9986" i="2"/>
  <c r="O9985" i="2"/>
  <c r="M9985" i="2"/>
  <c r="L9985" i="2"/>
  <c r="E9985" i="2"/>
  <c r="D9985" i="2"/>
  <c r="B9985" i="2"/>
  <c r="A9985" i="2"/>
  <c r="O9984" i="2"/>
  <c r="O9983" i="2"/>
  <c r="O9982" i="2"/>
  <c r="M9982" i="2"/>
  <c r="L9982" i="2"/>
  <c r="E9982" i="2"/>
  <c r="D9982" i="2"/>
  <c r="B9982" i="2"/>
  <c r="A9982" i="2"/>
  <c r="O9981" i="2"/>
  <c r="M9981" i="2"/>
  <c r="L9981" i="2"/>
  <c r="E9981" i="2"/>
  <c r="D9981" i="2"/>
  <c r="B9981" i="2"/>
  <c r="A9981" i="2"/>
  <c r="O9980" i="2"/>
  <c r="O9979" i="2"/>
  <c r="M9979" i="2"/>
  <c r="L9979" i="2"/>
  <c r="E9979" i="2"/>
  <c r="D9979" i="2"/>
  <c r="B9979" i="2"/>
  <c r="A9979" i="2"/>
  <c r="O9978" i="2"/>
  <c r="M9978" i="2"/>
  <c r="L9978" i="2"/>
  <c r="E9978" i="2"/>
  <c r="D9978" i="2"/>
  <c r="B9978" i="2"/>
  <c r="A9978" i="2"/>
  <c r="O9977" i="2"/>
  <c r="M9977" i="2"/>
  <c r="L9977" i="2"/>
  <c r="E9977" i="2"/>
  <c r="D9977" i="2"/>
  <c r="B9977" i="2"/>
  <c r="A9977" i="2"/>
  <c r="O9976" i="2"/>
  <c r="M9976" i="2"/>
  <c r="L9976" i="2"/>
  <c r="E9976" i="2"/>
  <c r="D9976" i="2"/>
  <c r="B9976" i="2"/>
  <c r="A9976" i="2"/>
  <c r="O9975" i="2"/>
  <c r="M9975" i="2"/>
  <c r="L9975" i="2"/>
  <c r="E9975" i="2"/>
  <c r="D9975" i="2"/>
  <c r="B9975" i="2"/>
  <c r="A9975" i="2"/>
  <c r="O9974" i="2"/>
  <c r="M9974" i="2"/>
  <c r="L9974" i="2"/>
  <c r="E9974" i="2"/>
  <c r="D9974" i="2"/>
  <c r="B9974" i="2"/>
  <c r="A9974" i="2"/>
  <c r="O9973" i="2"/>
  <c r="M9973" i="2"/>
  <c r="L9973" i="2"/>
  <c r="E9973" i="2"/>
  <c r="D9973" i="2"/>
  <c r="B9973" i="2"/>
  <c r="A9973" i="2"/>
  <c r="O9972" i="2"/>
  <c r="M9972" i="2"/>
  <c r="L9972" i="2"/>
  <c r="E9972" i="2"/>
  <c r="D9972" i="2"/>
  <c r="B9972" i="2"/>
  <c r="A9972" i="2"/>
  <c r="O9971" i="2"/>
  <c r="M9971" i="2"/>
  <c r="L9971" i="2"/>
  <c r="E9971" i="2"/>
  <c r="D9971" i="2"/>
  <c r="B9971" i="2"/>
  <c r="A9971" i="2"/>
  <c r="O9970" i="2"/>
  <c r="O9969" i="2"/>
  <c r="M9969" i="2"/>
  <c r="L9969" i="2"/>
  <c r="E9969" i="2"/>
  <c r="D9969" i="2"/>
  <c r="B9969" i="2"/>
  <c r="A9969" i="2"/>
  <c r="O9968" i="2"/>
  <c r="O9967" i="2"/>
  <c r="M9967" i="2"/>
  <c r="L9967" i="2"/>
  <c r="E9967" i="2"/>
  <c r="D9967" i="2"/>
  <c r="B9967" i="2"/>
  <c r="A9967" i="2"/>
  <c r="O9966" i="2"/>
  <c r="O9965" i="2"/>
  <c r="O9964" i="2"/>
  <c r="O9963" i="2"/>
  <c r="M9963" i="2"/>
  <c r="L9963" i="2"/>
  <c r="E9963" i="2"/>
  <c r="D9963" i="2"/>
  <c r="B9963" i="2"/>
  <c r="A9963" i="2"/>
  <c r="O9962" i="2"/>
  <c r="M9962" i="2"/>
  <c r="L9962" i="2"/>
  <c r="E9962" i="2"/>
  <c r="D9962" i="2"/>
  <c r="B9962" i="2"/>
  <c r="A9962" i="2"/>
  <c r="O9961" i="2"/>
  <c r="O9960" i="2"/>
  <c r="M9960" i="2"/>
  <c r="L9960" i="2"/>
  <c r="E9960" i="2"/>
  <c r="D9960" i="2"/>
  <c r="B9960" i="2"/>
  <c r="A9960" i="2"/>
  <c r="O9959" i="2"/>
  <c r="M9959" i="2"/>
  <c r="L9959" i="2"/>
  <c r="E9959" i="2"/>
  <c r="D9959" i="2"/>
  <c r="B9959" i="2"/>
  <c r="A9959" i="2"/>
  <c r="O9958" i="2"/>
  <c r="M9958" i="2"/>
  <c r="L9958" i="2"/>
  <c r="E9958" i="2"/>
  <c r="D9958" i="2"/>
  <c r="B9958" i="2"/>
  <c r="A9958" i="2"/>
  <c r="O9957" i="2"/>
  <c r="M9957" i="2"/>
  <c r="L9957" i="2"/>
  <c r="E9957" i="2"/>
  <c r="D9957" i="2"/>
  <c r="B9957" i="2"/>
  <c r="A9957" i="2"/>
  <c r="O9956" i="2"/>
  <c r="O9955" i="2"/>
  <c r="M9955" i="2"/>
  <c r="L9955" i="2"/>
  <c r="E9955" i="2"/>
  <c r="D9955" i="2"/>
  <c r="B9955" i="2"/>
  <c r="A9955" i="2"/>
  <c r="O9954" i="2"/>
  <c r="M9954" i="2"/>
  <c r="L9954" i="2"/>
  <c r="E9954" i="2"/>
  <c r="D9954" i="2"/>
  <c r="B9954" i="2"/>
  <c r="A9954" i="2"/>
  <c r="O9953" i="2"/>
  <c r="M9953" i="2"/>
  <c r="L9953" i="2"/>
  <c r="E9953" i="2"/>
  <c r="D9953" i="2"/>
  <c r="B9953" i="2"/>
  <c r="A9953" i="2"/>
  <c r="O9952" i="2"/>
  <c r="M9952" i="2"/>
  <c r="L9952" i="2"/>
  <c r="E9952" i="2"/>
  <c r="D9952" i="2"/>
  <c r="B9952" i="2"/>
  <c r="A9952" i="2"/>
  <c r="O9951" i="2"/>
  <c r="M9951" i="2"/>
  <c r="L9951" i="2"/>
  <c r="E9951" i="2"/>
  <c r="D9951" i="2"/>
  <c r="B9951" i="2"/>
  <c r="A9951" i="2"/>
  <c r="O9950" i="2"/>
  <c r="M9950" i="2"/>
  <c r="L9950" i="2"/>
  <c r="E9950" i="2"/>
  <c r="D9950" i="2"/>
  <c r="B9950" i="2"/>
  <c r="A9950" i="2"/>
  <c r="O9949" i="2"/>
  <c r="O9948" i="2"/>
  <c r="O9947" i="2"/>
  <c r="M9947" i="2"/>
  <c r="L9947" i="2"/>
  <c r="E9947" i="2"/>
  <c r="D9947" i="2"/>
  <c r="B9947" i="2"/>
  <c r="A9947" i="2"/>
  <c r="O9946" i="2"/>
  <c r="O9945" i="2"/>
  <c r="O9944" i="2"/>
  <c r="M9944" i="2"/>
  <c r="L9944" i="2"/>
  <c r="E9944" i="2"/>
  <c r="D9944" i="2"/>
  <c r="B9944" i="2"/>
  <c r="A9944" i="2"/>
  <c r="O9943" i="2"/>
  <c r="O9942" i="2"/>
  <c r="O9941" i="2"/>
  <c r="M9941" i="2"/>
  <c r="L9941" i="2"/>
  <c r="E9941" i="2"/>
  <c r="D9941" i="2"/>
  <c r="B9941" i="2"/>
  <c r="A9941" i="2"/>
  <c r="O9940" i="2"/>
  <c r="O9939" i="2"/>
  <c r="O9938" i="2"/>
  <c r="O9937" i="2"/>
  <c r="O9936" i="2"/>
  <c r="M9936" i="2"/>
  <c r="L9936" i="2"/>
  <c r="E9936" i="2"/>
  <c r="D9936" i="2"/>
  <c r="B9936" i="2"/>
  <c r="A9936" i="2"/>
  <c r="O9935" i="2"/>
  <c r="O9934" i="2"/>
  <c r="O9933" i="2"/>
  <c r="M9933" i="2"/>
  <c r="L9933" i="2"/>
  <c r="E9933" i="2"/>
  <c r="D9933" i="2"/>
  <c r="B9933" i="2"/>
  <c r="A9933" i="2"/>
  <c r="O9932" i="2"/>
  <c r="O9931" i="2"/>
  <c r="O9930" i="2"/>
  <c r="O9929" i="2"/>
  <c r="O9928" i="2"/>
  <c r="M9928" i="2"/>
  <c r="L9928" i="2"/>
  <c r="E9928" i="2"/>
  <c r="D9928" i="2"/>
  <c r="B9928" i="2"/>
  <c r="A9928" i="2"/>
  <c r="O9927" i="2"/>
  <c r="M9927" i="2"/>
  <c r="L9927" i="2"/>
  <c r="E9927" i="2"/>
  <c r="D9927" i="2"/>
  <c r="B9927" i="2"/>
  <c r="A9927" i="2"/>
  <c r="O9926" i="2"/>
  <c r="O9925" i="2"/>
  <c r="O9924" i="2"/>
  <c r="M9924" i="2"/>
  <c r="L9924" i="2"/>
  <c r="E9924" i="2"/>
  <c r="D9924" i="2"/>
  <c r="B9924" i="2"/>
  <c r="A9924" i="2"/>
  <c r="O9923" i="2"/>
  <c r="M9923" i="2"/>
  <c r="L9923" i="2"/>
  <c r="E9923" i="2"/>
  <c r="D9923" i="2"/>
  <c r="B9923" i="2"/>
  <c r="A9923" i="2"/>
  <c r="O9922" i="2"/>
  <c r="M9922" i="2"/>
  <c r="L9922" i="2"/>
  <c r="E9922" i="2"/>
  <c r="D9922" i="2"/>
  <c r="B9922" i="2"/>
  <c r="A9922" i="2"/>
  <c r="O9921" i="2"/>
  <c r="O9920" i="2"/>
  <c r="M9920" i="2"/>
  <c r="L9920" i="2"/>
  <c r="E9920" i="2"/>
  <c r="D9920" i="2"/>
  <c r="B9920" i="2"/>
  <c r="A9920" i="2"/>
  <c r="O9919" i="2"/>
  <c r="M9919" i="2"/>
  <c r="L9919" i="2"/>
  <c r="E9919" i="2"/>
  <c r="D9919" i="2"/>
  <c r="B9919" i="2"/>
  <c r="A9919" i="2"/>
  <c r="O9918" i="2"/>
  <c r="M9918" i="2"/>
  <c r="L9918" i="2"/>
  <c r="E9918" i="2"/>
  <c r="D9918" i="2"/>
  <c r="B9918" i="2"/>
  <c r="A9918" i="2"/>
  <c r="O9917" i="2"/>
  <c r="O9916" i="2"/>
  <c r="M9916" i="2"/>
  <c r="L9916" i="2"/>
  <c r="E9916" i="2"/>
  <c r="D9916" i="2"/>
  <c r="B9916" i="2"/>
  <c r="A9916" i="2"/>
  <c r="O9915" i="2"/>
  <c r="M9915" i="2"/>
  <c r="L9915" i="2"/>
  <c r="E9915" i="2"/>
  <c r="D9915" i="2"/>
  <c r="B9915" i="2"/>
  <c r="A9915" i="2"/>
  <c r="O9914" i="2"/>
  <c r="M9914" i="2"/>
  <c r="L9914" i="2"/>
  <c r="E9914" i="2"/>
  <c r="D9914" i="2"/>
  <c r="B9914" i="2"/>
  <c r="A9914" i="2"/>
  <c r="O9913" i="2"/>
  <c r="M9913" i="2"/>
  <c r="L9913" i="2"/>
  <c r="E9913" i="2"/>
  <c r="D9913" i="2"/>
  <c r="B9913" i="2"/>
  <c r="A9913" i="2"/>
  <c r="O9912" i="2"/>
  <c r="O9911" i="2"/>
  <c r="M9911" i="2"/>
  <c r="L9911" i="2"/>
  <c r="E9911" i="2"/>
  <c r="D9911" i="2"/>
  <c r="B9911" i="2"/>
  <c r="A9911" i="2"/>
  <c r="O9910" i="2"/>
  <c r="M9910" i="2"/>
  <c r="L9910" i="2"/>
  <c r="E9910" i="2"/>
  <c r="D9910" i="2"/>
  <c r="B9910" i="2"/>
  <c r="A9910" i="2"/>
  <c r="O9909" i="2"/>
  <c r="M9909" i="2"/>
  <c r="L9909" i="2"/>
  <c r="E9909" i="2"/>
  <c r="D9909" i="2"/>
  <c r="B9909" i="2"/>
  <c r="A9909" i="2"/>
  <c r="O9908" i="2"/>
  <c r="M9908" i="2"/>
  <c r="L9908" i="2"/>
  <c r="E9908" i="2"/>
  <c r="D9908" i="2"/>
  <c r="B9908" i="2"/>
  <c r="A9908" i="2"/>
  <c r="O9907" i="2"/>
  <c r="M9907" i="2"/>
  <c r="L9907" i="2"/>
  <c r="E9907" i="2"/>
  <c r="D9907" i="2"/>
  <c r="B9907" i="2"/>
  <c r="A9907" i="2"/>
  <c r="O9906" i="2"/>
  <c r="M9906" i="2"/>
  <c r="L9906" i="2"/>
  <c r="E9906" i="2"/>
  <c r="D9906" i="2"/>
  <c r="B9906" i="2"/>
  <c r="A9906" i="2"/>
  <c r="O9905" i="2"/>
  <c r="M9905" i="2"/>
  <c r="L9905" i="2"/>
  <c r="E9905" i="2"/>
  <c r="D9905" i="2"/>
  <c r="B9905" i="2"/>
  <c r="A9905" i="2"/>
  <c r="O9904" i="2"/>
  <c r="M9904" i="2"/>
  <c r="L9904" i="2"/>
  <c r="E9904" i="2"/>
  <c r="D9904" i="2"/>
  <c r="B9904" i="2"/>
  <c r="A9904" i="2"/>
  <c r="O9903" i="2"/>
  <c r="O9902" i="2"/>
  <c r="M9902" i="2"/>
  <c r="L9902" i="2"/>
  <c r="E9902" i="2"/>
  <c r="D9902" i="2"/>
  <c r="B9902" i="2"/>
  <c r="A9902" i="2"/>
  <c r="O9901" i="2"/>
  <c r="M9901" i="2"/>
  <c r="L9901" i="2"/>
  <c r="E9901" i="2"/>
  <c r="D9901" i="2"/>
  <c r="B9901" i="2"/>
  <c r="A9901" i="2"/>
  <c r="O9900" i="2"/>
  <c r="M9900" i="2"/>
  <c r="L9900" i="2"/>
  <c r="E9900" i="2"/>
  <c r="D9900" i="2"/>
  <c r="B9900" i="2"/>
  <c r="A9900" i="2"/>
  <c r="O9899" i="2"/>
  <c r="M9899" i="2"/>
  <c r="L9899" i="2"/>
  <c r="E9899" i="2"/>
  <c r="D9899" i="2"/>
  <c r="B9899" i="2"/>
  <c r="A9899" i="2"/>
  <c r="O9898" i="2"/>
  <c r="O9897" i="2"/>
  <c r="M9897" i="2"/>
  <c r="L9897" i="2"/>
  <c r="E9897" i="2"/>
  <c r="D9897" i="2"/>
  <c r="B9897" i="2"/>
  <c r="A9897" i="2"/>
  <c r="O9896" i="2"/>
  <c r="M9896" i="2"/>
  <c r="L9896" i="2"/>
  <c r="E9896" i="2"/>
  <c r="D9896" i="2"/>
  <c r="B9896" i="2"/>
  <c r="A9896" i="2"/>
  <c r="O9895" i="2"/>
  <c r="M9895" i="2"/>
  <c r="L9895" i="2"/>
  <c r="E9895" i="2"/>
  <c r="D9895" i="2"/>
  <c r="B9895" i="2"/>
  <c r="A9895" i="2"/>
  <c r="O9894" i="2"/>
  <c r="O9893" i="2"/>
  <c r="M9893" i="2"/>
  <c r="L9893" i="2"/>
  <c r="E9893" i="2"/>
  <c r="D9893" i="2"/>
  <c r="B9893" i="2"/>
  <c r="A9893" i="2"/>
  <c r="O9892" i="2"/>
  <c r="O9891" i="2"/>
  <c r="O9890" i="2"/>
  <c r="O9889" i="2"/>
  <c r="O9888" i="2"/>
  <c r="O9887" i="2"/>
  <c r="M9887" i="2"/>
  <c r="L9887" i="2"/>
  <c r="E9887" i="2"/>
  <c r="D9887" i="2"/>
  <c r="B9887" i="2"/>
  <c r="A9887" i="2"/>
  <c r="O9886" i="2"/>
  <c r="M9886" i="2"/>
  <c r="L9886" i="2"/>
  <c r="E9886" i="2"/>
  <c r="D9886" i="2"/>
  <c r="B9886" i="2"/>
  <c r="A9886" i="2"/>
  <c r="O9885" i="2"/>
  <c r="M9885" i="2"/>
  <c r="L9885" i="2"/>
  <c r="E9885" i="2"/>
  <c r="D9885" i="2"/>
  <c r="B9885" i="2"/>
  <c r="A9885" i="2"/>
  <c r="O9884" i="2"/>
  <c r="M9884" i="2"/>
  <c r="L9884" i="2"/>
  <c r="E9884" i="2"/>
  <c r="D9884" i="2"/>
  <c r="B9884" i="2"/>
  <c r="A9884" i="2"/>
  <c r="O9883" i="2"/>
  <c r="M9883" i="2"/>
  <c r="L9883" i="2"/>
  <c r="E9883" i="2"/>
  <c r="D9883" i="2"/>
  <c r="B9883" i="2"/>
  <c r="A9883" i="2"/>
  <c r="O9882" i="2"/>
  <c r="M9882" i="2"/>
  <c r="L9882" i="2"/>
  <c r="E9882" i="2"/>
  <c r="D9882" i="2"/>
  <c r="B9882" i="2"/>
  <c r="A9882" i="2"/>
  <c r="O9881" i="2"/>
  <c r="M9881" i="2"/>
  <c r="L9881" i="2"/>
  <c r="E9881" i="2"/>
  <c r="D9881" i="2"/>
  <c r="B9881" i="2"/>
  <c r="A9881" i="2"/>
  <c r="O9880" i="2"/>
  <c r="M9880" i="2"/>
  <c r="L9880" i="2"/>
  <c r="E9880" i="2"/>
  <c r="D9880" i="2"/>
  <c r="B9880" i="2"/>
  <c r="A9880" i="2"/>
  <c r="O9879" i="2"/>
  <c r="O9878" i="2"/>
  <c r="O9877" i="2"/>
  <c r="O9876" i="2"/>
  <c r="O9875" i="2"/>
  <c r="O9874" i="2"/>
  <c r="M9874" i="2"/>
  <c r="L9874" i="2"/>
  <c r="E9874" i="2"/>
  <c r="D9874" i="2"/>
  <c r="B9874" i="2"/>
  <c r="A9874" i="2"/>
  <c r="O9873" i="2"/>
  <c r="M9873" i="2"/>
  <c r="L9873" i="2"/>
  <c r="E9873" i="2"/>
  <c r="D9873" i="2"/>
  <c r="B9873" i="2"/>
  <c r="A9873" i="2"/>
  <c r="O9872" i="2"/>
  <c r="O9871" i="2"/>
  <c r="O9870" i="2"/>
  <c r="M9870" i="2"/>
  <c r="L9870" i="2"/>
  <c r="E9870" i="2"/>
  <c r="D9870" i="2"/>
  <c r="B9870" i="2"/>
  <c r="A9870" i="2"/>
  <c r="O9869" i="2"/>
  <c r="O9868" i="2"/>
  <c r="O9867" i="2"/>
  <c r="O9866" i="2"/>
  <c r="O9865" i="2"/>
  <c r="O9864" i="2"/>
  <c r="M9864" i="2"/>
  <c r="L9864" i="2"/>
  <c r="E9864" i="2"/>
  <c r="D9864" i="2"/>
  <c r="B9864" i="2"/>
  <c r="A9864" i="2"/>
  <c r="O9863" i="2"/>
  <c r="O9862" i="2"/>
  <c r="O9861" i="2"/>
  <c r="O9860" i="2"/>
  <c r="O9859" i="2"/>
  <c r="M9859" i="2"/>
  <c r="L9859" i="2"/>
  <c r="E9859" i="2"/>
  <c r="D9859" i="2"/>
  <c r="B9859" i="2"/>
  <c r="A9859" i="2"/>
  <c r="O9858" i="2"/>
  <c r="O9857" i="2"/>
  <c r="O9856" i="2"/>
  <c r="O9855" i="2"/>
  <c r="O9854" i="2"/>
  <c r="M9854" i="2"/>
  <c r="L9854" i="2"/>
  <c r="E9854" i="2"/>
  <c r="D9854" i="2"/>
  <c r="B9854" i="2"/>
  <c r="A9854" i="2"/>
  <c r="O9853" i="2"/>
  <c r="M9853" i="2"/>
  <c r="L9853" i="2"/>
  <c r="E9853" i="2"/>
  <c r="D9853" i="2"/>
  <c r="B9853" i="2"/>
  <c r="A9853" i="2"/>
  <c r="O9852" i="2"/>
  <c r="O9851" i="2"/>
  <c r="O9850" i="2"/>
  <c r="O9849" i="2"/>
  <c r="O9848" i="2"/>
  <c r="M9848" i="2"/>
  <c r="L9848" i="2"/>
  <c r="E9848" i="2"/>
  <c r="D9848" i="2"/>
  <c r="B9848" i="2"/>
  <c r="A9848" i="2"/>
  <c r="O9847" i="2"/>
  <c r="O9846" i="2"/>
  <c r="O9845" i="2"/>
  <c r="M9845" i="2"/>
  <c r="L9845" i="2"/>
  <c r="E9845" i="2"/>
  <c r="D9845" i="2"/>
  <c r="B9845" i="2"/>
  <c r="A9845" i="2"/>
  <c r="O9844" i="2"/>
  <c r="M9844" i="2"/>
  <c r="L9844" i="2"/>
  <c r="E9844" i="2"/>
  <c r="D9844" i="2"/>
  <c r="B9844" i="2"/>
  <c r="A9844" i="2"/>
  <c r="O9843" i="2"/>
  <c r="M9843" i="2"/>
  <c r="L9843" i="2"/>
  <c r="E9843" i="2"/>
  <c r="D9843" i="2"/>
  <c r="B9843" i="2"/>
  <c r="A9843" i="2"/>
  <c r="O9842" i="2"/>
  <c r="M9842" i="2"/>
  <c r="L9842" i="2"/>
  <c r="E9842" i="2"/>
  <c r="D9842" i="2"/>
  <c r="B9842" i="2"/>
  <c r="A9842" i="2"/>
  <c r="O9841" i="2"/>
  <c r="M9841" i="2"/>
  <c r="L9841" i="2"/>
  <c r="E9841" i="2"/>
  <c r="D9841" i="2"/>
  <c r="B9841" i="2"/>
  <c r="A9841" i="2"/>
  <c r="O9840" i="2"/>
  <c r="M9840" i="2"/>
  <c r="L9840" i="2"/>
  <c r="E9840" i="2"/>
  <c r="D9840" i="2"/>
  <c r="B9840" i="2"/>
  <c r="A9840" i="2"/>
  <c r="O9839" i="2"/>
  <c r="O9838" i="2"/>
  <c r="O9837" i="2"/>
  <c r="M9837" i="2"/>
  <c r="L9837" i="2"/>
  <c r="E9837" i="2"/>
  <c r="D9837" i="2"/>
  <c r="B9837" i="2"/>
  <c r="A9837" i="2"/>
  <c r="O9836" i="2"/>
  <c r="M9836" i="2"/>
  <c r="L9836" i="2"/>
  <c r="E9836" i="2"/>
  <c r="D9836" i="2"/>
  <c r="B9836" i="2"/>
  <c r="A9836" i="2"/>
  <c r="O9835" i="2"/>
  <c r="M9835" i="2"/>
  <c r="L9835" i="2"/>
  <c r="E9835" i="2"/>
  <c r="D9835" i="2"/>
  <c r="B9835" i="2"/>
  <c r="A9835" i="2"/>
  <c r="O9834" i="2"/>
  <c r="O9833" i="2"/>
  <c r="O9832" i="2"/>
  <c r="M9832" i="2"/>
  <c r="L9832" i="2"/>
  <c r="E9832" i="2"/>
  <c r="D9832" i="2"/>
  <c r="B9832" i="2"/>
  <c r="A9832" i="2"/>
  <c r="O9831" i="2"/>
  <c r="O9830" i="2"/>
  <c r="M9830" i="2"/>
  <c r="L9830" i="2"/>
  <c r="E9830" i="2"/>
  <c r="D9830" i="2"/>
  <c r="B9830" i="2"/>
  <c r="A9830" i="2"/>
  <c r="O9829" i="2"/>
  <c r="O9828" i="2"/>
  <c r="M9828" i="2"/>
  <c r="L9828" i="2"/>
  <c r="E9828" i="2"/>
  <c r="D9828" i="2"/>
  <c r="B9828" i="2"/>
  <c r="A9828" i="2"/>
  <c r="O9827" i="2"/>
  <c r="O9826" i="2"/>
  <c r="O9825" i="2"/>
  <c r="M9825" i="2"/>
  <c r="L9825" i="2"/>
  <c r="E9825" i="2"/>
  <c r="D9825" i="2"/>
  <c r="B9825" i="2"/>
  <c r="A9825" i="2"/>
  <c r="O9824" i="2"/>
  <c r="O9823" i="2"/>
  <c r="M9823" i="2"/>
  <c r="L9823" i="2"/>
  <c r="E9823" i="2"/>
  <c r="D9823" i="2"/>
  <c r="B9823" i="2"/>
  <c r="A9823" i="2"/>
  <c r="O9822" i="2"/>
  <c r="M9822" i="2"/>
  <c r="L9822" i="2"/>
  <c r="E9822" i="2"/>
  <c r="D9822" i="2"/>
  <c r="B9822" i="2"/>
  <c r="A9822" i="2"/>
  <c r="O9821" i="2"/>
  <c r="M9821" i="2"/>
  <c r="L9821" i="2"/>
  <c r="E9821" i="2"/>
  <c r="D9821" i="2"/>
  <c r="B9821" i="2"/>
  <c r="A9821" i="2"/>
  <c r="O9820" i="2"/>
  <c r="M9820" i="2"/>
  <c r="L9820" i="2"/>
  <c r="E9820" i="2"/>
  <c r="D9820" i="2"/>
  <c r="B9820" i="2"/>
  <c r="A9820" i="2"/>
  <c r="O9819" i="2"/>
  <c r="M9819" i="2"/>
  <c r="L9819" i="2"/>
  <c r="E9819" i="2"/>
  <c r="D9819" i="2"/>
  <c r="B9819" i="2"/>
  <c r="A9819" i="2"/>
  <c r="O9818" i="2"/>
  <c r="O9817" i="2"/>
  <c r="O9816" i="2"/>
  <c r="O9815" i="2"/>
  <c r="O9814" i="2"/>
  <c r="O9813" i="2"/>
  <c r="M9813" i="2"/>
  <c r="L9813" i="2"/>
  <c r="E9813" i="2"/>
  <c r="D9813" i="2"/>
  <c r="B9813" i="2"/>
  <c r="A9813" i="2"/>
  <c r="O9812" i="2"/>
  <c r="M9812" i="2"/>
  <c r="L9812" i="2"/>
  <c r="E9812" i="2"/>
  <c r="D9812" i="2"/>
  <c r="B9812" i="2"/>
  <c r="A9812" i="2"/>
  <c r="O9811" i="2"/>
  <c r="O9810" i="2"/>
  <c r="M9810" i="2"/>
  <c r="L9810" i="2"/>
  <c r="E9810" i="2"/>
  <c r="D9810" i="2"/>
  <c r="B9810" i="2"/>
  <c r="A9810" i="2"/>
  <c r="O9809" i="2"/>
  <c r="M9809" i="2"/>
  <c r="L9809" i="2"/>
  <c r="E9809" i="2"/>
  <c r="D9809" i="2"/>
  <c r="B9809" i="2"/>
  <c r="A9809" i="2"/>
  <c r="O9808" i="2"/>
  <c r="M9808" i="2"/>
  <c r="L9808" i="2"/>
  <c r="E9808" i="2"/>
  <c r="D9808" i="2"/>
  <c r="B9808" i="2"/>
  <c r="A9808" i="2"/>
  <c r="O9807" i="2"/>
  <c r="M9807" i="2"/>
  <c r="L9807" i="2"/>
  <c r="E9807" i="2"/>
  <c r="D9807" i="2"/>
  <c r="B9807" i="2"/>
  <c r="A9807" i="2"/>
  <c r="O9806" i="2"/>
  <c r="O9805" i="2"/>
  <c r="M9805" i="2"/>
  <c r="L9805" i="2"/>
  <c r="E9805" i="2"/>
  <c r="D9805" i="2"/>
  <c r="B9805" i="2"/>
  <c r="A9805" i="2"/>
  <c r="O9804" i="2"/>
  <c r="M9804" i="2"/>
  <c r="L9804" i="2"/>
  <c r="E9804" i="2"/>
  <c r="D9804" i="2"/>
  <c r="B9804" i="2"/>
  <c r="A9804" i="2"/>
  <c r="O9803" i="2"/>
  <c r="O9802" i="2"/>
  <c r="O9801" i="2"/>
  <c r="O9800" i="2"/>
  <c r="O9799" i="2"/>
  <c r="O9798" i="2"/>
  <c r="O9797" i="2"/>
  <c r="O9796" i="2"/>
  <c r="O9795" i="2"/>
  <c r="O9794" i="2"/>
  <c r="O9793" i="2"/>
  <c r="O9792" i="2"/>
  <c r="O9791" i="2"/>
  <c r="O9790" i="2"/>
  <c r="M9790" i="2"/>
  <c r="L9790" i="2"/>
  <c r="E9790" i="2"/>
  <c r="D9790" i="2"/>
  <c r="B9790" i="2"/>
  <c r="A9790" i="2"/>
  <c r="O9789" i="2"/>
  <c r="M9789" i="2"/>
  <c r="L9789" i="2"/>
  <c r="E9789" i="2"/>
  <c r="D9789" i="2"/>
  <c r="B9789" i="2"/>
  <c r="A9789" i="2"/>
  <c r="O9788" i="2"/>
  <c r="M9788" i="2"/>
  <c r="L9788" i="2"/>
  <c r="E9788" i="2"/>
  <c r="D9788" i="2"/>
  <c r="B9788" i="2"/>
  <c r="A9788" i="2"/>
  <c r="O9787" i="2"/>
  <c r="O9786" i="2"/>
  <c r="O9785" i="2"/>
  <c r="O9784" i="2"/>
  <c r="M9784" i="2"/>
  <c r="L9784" i="2"/>
  <c r="E9784" i="2"/>
  <c r="D9784" i="2"/>
  <c r="B9784" i="2"/>
  <c r="A9784" i="2"/>
  <c r="O9783" i="2"/>
  <c r="M9783" i="2"/>
  <c r="L9783" i="2"/>
  <c r="E9783" i="2"/>
  <c r="D9783" i="2"/>
  <c r="B9783" i="2"/>
  <c r="A9783" i="2"/>
  <c r="O9782" i="2"/>
  <c r="M9782" i="2"/>
  <c r="L9782" i="2"/>
  <c r="E9782" i="2"/>
  <c r="D9782" i="2"/>
  <c r="B9782" i="2"/>
  <c r="A9782" i="2"/>
  <c r="O9781" i="2"/>
  <c r="O9780" i="2"/>
  <c r="O9779" i="2"/>
  <c r="O9778" i="2"/>
  <c r="O9777" i="2"/>
  <c r="O9776" i="2"/>
  <c r="M9776" i="2"/>
  <c r="L9776" i="2"/>
  <c r="E9776" i="2"/>
  <c r="D9776" i="2"/>
  <c r="B9776" i="2"/>
  <c r="A9776" i="2"/>
  <c r="O9775" i="2"/>
  <c r="M9775" i="2"/>
  <c r="L9775" i="2"/>
  <c r="E9775" i="2"/>
  <c r="D9775" i="2"/>
  <c r="B9775" i="2"/>
  <c r="A9775" i="2"/>
  <c r="O9774" i="2"/>
  <c r="M9774" i="2"/>
  <c r="L9774" i="2"/>
  <c r="E9774" i="2"/>
  <c r="D9774" i="2"/>
  <c r="B9774" i="2"/>
  <c r="A9774" i="2"/>
  <c r="O9773" i="2"/>
  <c r="M9773" i="2"/>
  <c r="L9773" i="2"/>
  <c r="E9773" i="2"/>
  <c r="D9773" i="2"/>
  <c r="B9773" i="2"/>
  <c r="A9773" i="2"/>
  <c r="O9772" i="2"/>
  <c r="M9772" i="2"/>
  <c r="L9772" i="2"/>
  <c r="E9772" i="2"/>
  <c r="D9772" i="2"/>
  <c r="B9772" i="2"/>
  <c r="A9772" i="2"/>
  <c r="O9771" i="2"/>
  <c r="M9771" i="2"/>
  <c r="L9771" i="2"/>
  <c r="E9771" i="2"/>
  <c r="D9771" i="2"/>
  <c r="B9771" i="2"/>
  <c r="A9771" i="2"/>
  <c r="O9770" i="2"/>
  <c r="M9770" i="2"/>
  <c r="L9770" i="2"/>
  <c r="E9770" i="2"/>
  <c r="D9770" i="2"/>
  <c r="B9770" i="2"/>
  <c r="A9770" i="2"/>
  <c r="O9769" i="2"/>
  <c r="O9768" i="2"/>
  <c r="O9767" i="2"/>
  <c r="O9766" i="2"/>
  <c r="O9765" i="2"/>
  <c r="O9764" i="2"/>
  <c r="O9763" i="2"/>
  <c r="O9762" i="2"/>
  <c r="O9761" i="2"/>
  <c r="O9760" i="2"/>
  <c r="O9759" i="2"/>
  <c r="O9758" i="2"/>
  <c r="O9757" i="2"/>
  <c r="O9756" i="2"/>
  <c r="O9755" i="2"/>
  <c r="O9754" i="2"/>
  <c r="O9753" i="2"/>
  <c r="O9752" i="2"/>
  <c r="O9751" i="2"/>
  <c r="O9750" i="2"/>
  <c r="O9749" i="2"/>
  <c r="O9748" i="2"/>
  <c r="O9747" i="2"/>
  <c r="O9746" i="2"/>
  <c r="O9745" i="2"/>
  <c r="O9744" i="2"/>
  <c r="O9743" i="2"/>
  <c r="M9743" i="2"/>
  <c r="L9743" i="2"/>
  <c r="E9743" i="2"/>
  <c r="D9743" i="2"/>
  <c r="B9743" i="2"/>
  <c r="A9743" i="2"/>
  <c r="O9742" i="2"/>
  <c r="M9742" i="2"/>
  <c r="L9742" i="2"/>
  <c r="E9742" i="2"/>
  <c r="D9742" i="2"/>
  <c r="B9742" i="2"/>
  <c r="A9742" i="2"/>
  <c r="O9741" i="2"/>
  <c r="O9740" i="2"/>
  <c r="M9740" i="2"/>
  <c r="L9740" i="2"/>
  <c r="E9740" i="2"/>
  <c r="D9740" i="2"/>
  <c r="B9740" i="2"/>
  <c r="A9740" i="2"/>
  <c r="O9739" i="2"/>
  <c r="O9738" i="2"/>
  <c r="M9738" i="2"/>
  <c r="L9738" i="2"/>
  <c r="E9738" i="2"/>
  <c r="D9738" i="2"/>
  <c r="B9738" i="2"/>
  <c r="A9738" i="2"/>
  <c r="O9737" i="2"/>
  <c r="M9737" i="2"/>
  <c r="L9737" i="2"/>
  <c r="E9737" i="2"/>
  <c r="D9737" i="2"/>
  <c r="B9737" i="2"/>
  <c r="A9737" i="2"/>
  <c r="O9736" i="2"/>
  <c r="M9736" i="2"/>
  <c r="L9736" i="2"/>
  <c r="E9736" i="2"/>
  <c r="D9736" i="2"/>
  <c r="B9736" i="2"/>
  <c r="A9736" i="2"/>
  <c r="O9735" i="2"/>
  <c r="M9735" i="2"/>
  <c r="L9735" i="2"/>
  <c r="E9735" i="2"/>
  <c r="D9735" i="2"/>
  <c r="B9735" i="2"/>
  <c r="A9735" i="2"/>
  <c r="O9734" i="2"/>
  <c r="M9734" i="2"/>
  <c r="L9734" i="2"/>
  <c r="E9734" i="2"/>
  <c r="D9734" i="2"/>
  <c r="B9734" i="2"/>
  <c r="A9734" i="2"/>
  <c r="O9733" i="2"/>
  <c r="M9733" i="2"/>
  <c r="L9733" i="2"/>
  <c r="E9733" i="2"/>
  <c r="D9733" i="2"/>
  <c r="B9733" i="2"/>
  <c r="A9733" i="2"/>
  <c r="O9732" i="2"/>
  <c r="O9731" i="2"/>
  <c r="M9731" i="2"/>
  <c r="L9731" i="2"/>
  <c r="E9731" i="2"/>
  <c r="D9731" i="2"/>
  <c r="B9731" i="2"/>
  <c r="A9731" i="2"/>
  <c r="O9730" i="2"/>
  <c r="O9729" i="2"/>
  <c r="M9729" i="2"/>
  <c r="L9729" i="2"/>
  <c r="E9729" i="2"/>
  <c r="D9729" i="2"/>
  <c r="B9729" i="2"/>
  <c r="A9729" i="2"/>
  <c r="O9728" i="2"/>
  <c r="M9728" i="2"/>
  <c r="L9728" i="2"/>
  <c r="E9728" i="2"/>
  <c r="D9728" i="2"/>
  <c r="B9728" i="2"/>
  <c r="A9728" i="2"/>
  <c r="O9727" i="2"/>
  <c r="M9727" i="2"/>
  <c r="L9727" i="2"/>
  <c r="E9727" i="2"/>
  <c r="D9727" i="2"/>
  <c r="B9727" i="2"/>
  <c r="A9727" i="2"/>
  <c r="O9726" i="2"/>
  <c r="O9725" i="2"/>
  <c r="M9725" i="2"/>
  <c r="L9725" i="2"/>
  <c r="E9725" i="2"/>
  <c r="D9725" i="2"/>
  <c r="B9725" i="2"/>
  <c r="A9725" i="2"/>
  <c r="O9724" i="2"/>
  <c r="O9723" i="2"/>
  <c r="M9723" i="2"/>
  <c r="L9723" i="2"/>
  <c r="E9723" i="2"/>
  <c r="D9723" i="2"/>
  <c r="B9723" i="2"/>
  <c r="A9723" i="2"/>
  <c r="O9722" i="2"/>
  <c r="O9721" i="2"/>
  <c r="O9720" i="2"/>
  <c r="M9720" i="2"/>
  <c r="L9720" i="2"/>
  <c r="E9720" i="2"/>
  <c r="D9720" i="2"/>
  <c r="B9720" i="2"/>
  <c r="A9720" i="2"/>
  <c r="O9719" i="2"/>
  <c r="M9719" i="2"/>
  <c r="L9719" i="2"/>
  <c r="E9719" i="2"/>
  <c r="D9719" i="2"/>
  <c r="B9719" i="2"/>
  <c r="A9719" i="2"/>
  <c r="O9718" i="2"/>
  <c r="M9718" i="2"/>
  <c r="L9718" i="2"/>
  <c r="E9718" i="2"/>
  <c r="D9718" i="2"/>
  <c r="B9718" i="2"/>
  <c r="A9718" i="2"/>
  <c r="O9717" i="2"/>
  <c r="M9717" i="2"/>
  <c r="L9717" i="2"/>
  <c r="E9717" i="2"/>
  <c r="D9717" i="2"/>
  <c r="B9717" i="2"/>
  <c r="A9717" i="2"/>
  <c r="O9716" i="2"/>
  <c r="M9716" i="2"/>
  <c r="L9716" i="2"/>
  <c r="E9716" i="2"/>
  <c r="D9716" i="2"/>
  <c r="B9716" i="2"/>
  <c r="A9716" i="2"/>
  <c r="O9715" i="2"/>
  <c r="O9714" i="2"/>
  <c r="O9713" i="2"/>
  <c r="O9712" i="2"/>
  <c r="O9711" i="2"/>
  <c r="O9710" i="2"/>
  <c r="M9710" i="2"/>
  <c r="L9710" i="2"/>
  <c r="E9710" i="2"/>
  <c r="D9710" i="2"/>
  <c r="B9710" i="2"/>
  <c r="A9710" i="2"/>
  <c r="O9709" i="2"/>
  <c r="M9709" i="2"/>
  <c r="L9709" i="2"/>
  <c r="E9709" i="2"/>
  <c r="D9709" i="2"/>
  <c r="B9709" i="2"/>
  <c r="A9709" i="2"/>
  <c r="O9708" i="2"/>
  <c r="M9708" i="2"/>
  <c r="L9708" i="2"/>
  <c r="E9708" i="2"/>
  <c r="D9708" i="2"/>
  <c r="B9708" i="2"/>
  <c r="A9708" i="2"/>
  <c r="O9707" i="2"/>
  <c r="M9707" i="2"/>
  <c r="L9707" i="2"/>
  <c r="E9707" i="2"/>
  <c r="D9707" i="2"/>
  <c r="B9707" i="2"/>
  <c r="A9707" i="2"/>
  <c r="O9706" i="2"/>
  <c r="M9706" i="2"/>
  <c r="L9706" i="2"/>
  <c r="E9706" i="2"/>
  <c r="D9706" i="2"/>
  <c r="B9706" i="2"/>
  <c r="A9706" i="2"/>
  <c r="O9705" i="2"/>
  <c r="M9705" i="2"/>
  <c r="L9705" i="2"/>
  <c r="E9705" i="2"/>
  <c r="D9705" i="2"/>
  <c r="B9705" i="2"/>
  <c r="A9705" i="2"/>
  <c r="O9704" i="2"/>
  <c r="M9704" i="2"/>
  <c r="L9704" i="2"/>
  <c r="E9704" i="2"/>
  <c r="D9704" i="2"/>
  <c r="B9704" i="2"/>
  <c r="A9704" i="2"/>
  <c r="O9703" i="2"/>
  <c r="O9702" i="2"/>
  <c r="M9702" i="2"/>
  <c r="L9702" i="2"/>
  <c r="E9702" i="2"/>
  <c r="D9702" i="2"/>
  <c r="B9702" i="2"/>
  <c r="A9702" i="2"/>
  <c r="O9701" i="2"/>
  <c r="M9701" i="2"/>
  <c r="L9701" i="2"/>
  <c r="E9701" i="2"/>
  <c r="D9701" i="2"/>
  <c r="B9701" i="2"/>
  <c r="A9701" i="2"/>
  <c r="O9700" i="2"/>
  <c r="M9700" i="2"/>
  <c r="L9700" i="2"/>
  <c r="E9700" i="2"/>
  <c r="D9700" i="2"/>
  <c r="B9700" i="2"/>
  <c r="A9700" i="2"/>
  <c r="O9699" i="2"/>
  <c r="O9698" i="2"/>
  <c r="M9698" i="2"/>
  <c r="L9698" i="2"/>
  <c r="E9698" i="2"/>
  <c r="D9698" i="2"/>
  <c r="B9698" i="2"/>
  <c r="A9698" i="2"/>
  <c r="O9697" i="2"/>
  <c r="O9696" i="2"/>
  <c r="M9696" i="2"/>
  <c r="L9696" i="2"/>
  <c r="E9696" i="2"/>
  <c r="D9696" i="2"/>
  <c r="B9696" i="2"/>
  <c r="A9696" i="2"/>
  <c r="O9695" i="2"/>
  <c r="M9695" i="2"/>
  <c r="L9695" i="2"/>
  <c r="E9695" i="2"/>
  <c r="D9695" i="2"/>
  <c r="B9695" i="2"/>
  <c r="A9695" i="2"/>
  <c r="O9694" i="2"/>
  <c r="O9693" i="2"/>
  <c r="M9693" i="2"/>
  <c r="L9693" i="2"/>
  <c r="E9693" i="2"/>
  <c r="D9693" i="2"/>
  <c r="B9693" i="2"/>
  <c r="A9693" i="2"/>
  <c r="O9692" i="2"/>
  <c r="M9692" i="2"/>
  <c r="L9692" i="2"/>
  <c r="E9692" i="2"/>
  <c r="D9692" i="2"/>
  <c r="B9692" i="2"/>
  <c r="A9692" i="2"/>
  <c r="O9691" i="2"/>
  <c r="O9690" i="2"/>
  <c r="O9689" i="2"/>
  <c r="M9689" i="2"/>
  <c r="L9689" i="2"/>
  <c r="E9689" i="2"/>
  <c r="D9689" i="2"/>
  <c r="B9689" i="2"/>
  <c r="A9689" i="2"/>
  <c r="O9688" i="2"/>
  <c r="M9688" i="2"/>
  <c r="L9688" i="2"/>
  <c r="E9688" i="2"/>
  <c r="D9688" i="2"/>
  <c r="B9688" i="2"/>
  <c r="A9688" i="2"/>
  <c r="O9687" i="2"/>
  <c r="M9687" i="2"/>
  <c r="L9687" i="2"/>
  <c r="E9687" i="2"/>
  <c r="D9687" i="2"/>
  <c r="B9687" i="2"/>
  <c r="A9687" i="2"/>
  <c r="O9686" i="2"/>
  <c r="M9686" i="2"/>
  <c r="L9686" i="2"/>
  <c r="E9686" i="2"/>
  <c r="D9686" i="2"/>
  <c r="B9686" i="2"/>
  <c r="A9686" i="2"/>
  <c r="O9685" i="2"/>
  <c r="O9684" i="2"/>
  <c r="M9684" i="2"/>
  <c r="L9684" i="2"/>
  <c r="E9684" i="2"/>
  <c r="D9684" i="2"/>
  <c r="B9684" i="2"/>
  <c r="A9684" i="2"/>
  <c r="O9683" i="2"/>
  <c r="M9683" i="2"/>
  <c r="L9683" i="2"/>
  <c r="E9683" i="2"/>
  <c r="D9683" i="2"/>
  <c r="B9683" i="2"/>
  <c r="A9683" i="2"/>
  <c r="O9682" i="2"/>
  <c r="M9682" i="2"/>
  <c r="L9682" i="2"/>
  <c r="E9682" i="2"/>
  <c r="D9682" i="2"/>
  <c r="B9682" i="2"/>
  <c r="A9682" i="2"/>
  <c r="O9681" i="2"/>
  <c r="M9681" i="2"/>
  <c r="L9681" i="2"/>
  <c r="E9681" i="2"/>
  <c r="D9681" i="2"/>
  <c r="B9681" i="2"/>
  <c r="A9681" i="2"/>
  <c r="O9680" i="2"/>
  <c r="O9679" i="2"/>
  <c r="M9679" i="2"/>
  <c r="L9679" i="2"/>
  <c r="E9679" i="2"/>
  <c r="D9679" i="2"/>
  <c r="B9679" i="2"/>
  <c r="A9679" i="2"/>
  <c r="O9678" i="2"/>
  <c r="M9678" i="2"/>
  <c r="L9678" i="2"/>
  <c r="E9678" i="2"/>
  <c r="D9678" i="2"/>
  <c r="B9678" i="2"/>
  <c r="A9678" i="2"/>
  <c r="O9677" i="2"/>
  <c r="M9677" i="2"/>
  <c r="L9677" i="2"/>
  <c r="E9677" i="2"/>
  <c r="D9677" i="2"/>
  <c r="B9677" i="2"/>
  <c r="A9677" i="2"/>
  <c r="O9676" i="2"/>
  <c r="O9675" i="2"/>
  <c r="O9674" i="2"/>
  <c r="O9673" i="2"/>
  <c r="O9672" i="2"/>
  <c r="M9672" i="2"/>
  <c r="L9672" i="2"/>
  <c r="E9672" i="2"/>
  <c r="D9672" i="2"/>
  <c r="B9672" i="2"/>
  <c r="A9672" i="2"/>
  <c r="O9671" i="2"/>
  <c r="O9670" i="2"/>
  <c r="O9669" i="2"/>
  <c r="M9669" i="2"/>
  <c r="L9669" i="2"/>
  <c r="E9669" i="2"/>
  <c r="D9669" i="2"/>
  <c r="B9669" i="2"/>
  <c r="A9669" i="2"/>
  <c r="O9668" i="2"/>
  <c r="O9667" i="2"/>
  <c r="M9667" i="2"/>
  <c r="L9667" i="2"/>
  <c r="E9667" i="2"/>
  <c r="D9667" i="2"/>
  <c r="B9667" i="2"/>
  <c r="A9667" i="2"/>
  <c r="O9666" i="2"/>
  <c r="M9666" i="2"/>
  <c r="L9666" i="2"/>
  <c r="E9666" i="2"/>
  <c r="D9666" i="2"/>
  <c r="B9666" i="2"/>
  <c r="A9666" i="2"/>
  <c r="O9665" i="2"/>
  <c r="O9664" i="2"/>
  <c r="M9664" i="2"/>
  <c r="L9664" i="2"/>
  <c r="E9664" i="2"/>
  <c r="D9664" i="2"/>
  <c r="B9664" i="2"/>
  <c r="A9664" i="2"/>
  <c r="O9663" i="2"/>
  <c r="M9663" i="2"/>
  <c r="L9663" i="2"/>
  <c r="E9663" i="2"/>
  <c r="D9663" i="2"/>
  <c r="B9663" i="2"/>
  <c r="A9663" i="2"/>
  <c r="O9662" i="2"/>
  <c r="M9662" i="2"/>
  <c r="L9662" i="2"/>
  <c r="E9662" i="2"/>
  <c r="D9662" i="2"/>
  <c r="B9662" i="2"/>
  <c r="A9662" i="2"/>
  <c r="O9661" i="2"/>
  <c r="O9660" i="2"/>
  <c r="O9659" i="2"/>
  <c r="O9658" i="2"/>
  <c r="O9657" i="2"/>
  <c r="O9656" i="2"/>
  <c r="O9655" i="2"/>
  <c r="O9654" i="2"/>
  <c r="O9653" i="2"/>
  <c r="O9652" i="2"/>
  <c r="O9651" i="2"/>
  <c r="O9650" i="2"/>
  <c r="O9649" i="2"/>
  <c r="O9648" i="2"/>
  <c r="M9648" i="2"/>
  <c r="L9648" i="2"/>
  <c r="E9648" i="2"/>
  <c r="D9648" i="2"/>
  <c r="B9648" i="2"/>
  <c r="A9648" i="2"/>
  <c r="O9647" i="2"/>
  <c r="O9646" i="2"/>
  <c r="M9646" i="2"/>
  <c r="L9646" i="2"/>
  <c r="E9646" i="2"/>
  <c r="D9646" i="2"/>
  <c r="B9646" i="2"/>
  <c r="A9646" i="2"/>
  <c r="O9645" i="2"/>
  <c r="M9645" i="2"/>
  <c r="L9645" i="2"/>
  <c r="E9645" i="2"/>
  <c r="D9645" i="2"/>
  <c r="B9645" i="2"/>
  <c r="A9645" i="2"/>
  <c r="O9644" i="2"/>
  <c r="O9643" i="2"/>
  <c r="M9643" i="2"/>
  <c r="L9643" i="2"/>
  <c r="E9643" i="2"/>
  <c r="D9643" i="2"/>
  <c r="B9643" i="2"/>
  <c r="A9643" i="2"/>
  <c r="O9642" i="2"/>
  <c r="M9642" i="2"/>
  <c r="L9642" i="2"/>
  <c r="E9642" i="2"/>
  <c r="D9642" i="2"/>
  <c r="B9642" i="2"/>
  <c r="A9642" i="2"/>
  <c r="O9641" i="2"/>
  <c r="O9640" i="2"/>
  <c r="M9640" i="2"/>
  <c r="L9640" i="2"/>
  <c r="E9640" i="2"/>
  <c r="D9640" i="2"/>
  <c r="B9640" i="2"/>
  <c r="A9640" i="2"/>
  <c r="O9639" i="2"/>
  <c r="M9639" i="2"/>
  <c r="L9639" i="2"/>
  <c r="E9639" i="2"/>
  <c r="D9639" i="2"/>
  <c r="B9639" i="2"/>
  <c r="A9639" i="2"/>
  <c r="O9638" i="2"/>
  <c r="M9638" i="2"/>
  <c r="L9638" i="2"/>
  <c r="E9638" i="2"/>
  <c r="D9638" i="2"/>
  <c r="B9638" i="2"/>
  <c r="A9638" i="2"/>
  <c r="O9637" i="2"/>
  <c r="M9637" i="2"/>
  <c r="L9637" i="2"/>
  <c r="E9637" i="2"/>
  <c r="D9637" i="2"/>
  <c r="B9637" i="2"/>
  <c r="A9637" i="2"/>
  <c r="O9636" i="2"/>
  <c r="M9636" i="2"/>
  <c r="L9636" i="2"/>
  <c r="E9636" i="2"/>
  <c r="D9636" i="2"/>
  <c r="B9636" i="2"/>
  <c r="A9636" i="2"/>
  <c r="O9635" i="2"/>
  <c r="M9635" i="2"/>
  <c r="L9635" i="2"/>
  <c r="E9635" i="2"/>
  <c r="D9635" i="2"/>
  <c r="B9635" i="2"/>
  <c r="A9635" i="2"/>
  <c r="O9634" i="2"/>
  <c r="O9633" i="2"/>
  <c r="M9633" i="2"/>
  <c r="L9633" i="2"/>
  <c r="E9633" i="2"/>
  <c r="D9633" i="2"/>
  <c r="B9633" i="2"/>
  <c r="A9633" i="2"/>
  <c r="O9632" i="2"/>
  <c r="M9632" i="2"/>
  <c r="L9632" i="2"/>
  <c r="E9632" i="2"/>
  <c r="D9632" i="2"/>
  <c r="B9632" i="2"/>
  <c r="A9632" i="2"/>
  <c r="O9631" i="2"/>
  <c r="M9631" i="2"/>
  <c r="L9631" i="2"/>
  <c r="E9631" i="2"/>
  <c r="D9631" i="2"/>
  <c r="B9631" i="2"/>
  <c r="A9631" i="2"/>
  <c r="O9630" i="2"/>
  <c r="M9630" i="2"/>
  <c r="L9630" i="2"/>
  <c r="E9630" i="2"/>
  <c r="D9630" i="2"/>
  <c r="B9630" i="2"/>
  <c r="A9630" i="2"/>
  <c r="O9629" i="2"/>
  <c r="M9629" i="2"/>
  <c r="L9629" i="2"/>
  <c r="E9629" i="2"/>
  <c r="D9629" i="2"/>
  <c r="B9629" i="2"/>
  <c r="A9629" i="2"/>
  <c r="O9628" i="2"/>
  <c r="O9627" i="2"/>
  <c r="O9626" i="2"/>
  <c r="O9625" i="2"/>
  <c r="M9625" i="2"/>
  <c r="L9625" i="2"/>
  <c r="E9625" i="2"/>
  <c r="D9625" i="2"/>
  <c r="B9625" i="2"/>
  <c r="A9625" i="2"/>
  <c r="O9624" i="2"/>
  <c r="M9624" i="2"/>
  <c r="L9624" i="2"/>
  <c r="E9624" i="2"/>
  <c r="D9624" i="2"/>
  <c r="B9624" i="2"/>
  <c r="A9624" i="2"/>
  <c r="O9623" i="2"/>
  <c r="O9622" i="2"/>
  <c r="O9621" i="2"/>
  <c r="M9621" i="2"/>
  <c r="L9621" i="2"/>
  <c r="E9621" i="2"/>
  <c r="D9621" i="2"/>
  <c r="B9621" i="2"/>
  <c r="A9621" i="2"/>
  <c r="O9620" i="2"/>
  <c r="O9619" i="2"/>
  <c r="O9618" i="2"/>
  <c r="O9617" i="2"/>
  <c r="O9616" i="2"/>
  <c r="O9615" i="2"/>
  <c r="O9614" i="2"/>
  <c r="O9613" i="2"/>
  <c r="M9613" i="2"/>
  <c r="L9613" i="2"/>
  <c r="E9613" i="2"/>
  <c r="D9613" i="2"/>
  <c r="B9613" i="2"/>
  <c r="A9613" i="2"/>
  <c r="O9612" i="2"/>
  <c r="M9612" i="2"/>
  <c r="L9612" i="2"/>
  <c r="E9612" i="2"/>
  <c r="D9612" i="2"/>
  <c r="B9612" i="2"/>
  <c r="A9612" i="2"/>
  <c r="O9611" i="2"/>
  <c r="O9610" i="2"/>
  <c r="O9609" i="2"/>
  <c r="M9609" i="2"/>
  <c r="L9609" i="2"/>
  <c r="E9609" i="2"/>
  <c r="D9609" i="2"/>
  <c r="B9609" i="2"/>
  <c r="A9609" i="2"/>
  <c r="O9608" i="2"/>
  <c r="O9607" i="2"/>
  <c r="O9606" i="2"/>
  <c r="O9605" i="2"/>
  <c r="M9605" i="2"/>
  <c r="L9605" i="2"/>
  <c r="E9605" i="2"/>
  <c r="D9605" i="2"/>
  <c r="B9605" i="2"/>
  <c r="A9605" i="2"/>
  <c r="O9604" i="2"/>
  <c r="O9603" i="2"/>
  <c r="O9602" i="2"/>
  <c r="M9602" i="2"/>
  <c r="L9602" i="2"/>
  <c r="E9602" i="2"/>
  <c r="D9602" i="2"/>
  <c r="B9602" i="2"/>
  <c r="A9602" i="2"/>
  <c r="O9601" i="2"/>
  <c r="O9600" i="2"/>
  <c r="M9600" i="2"/>
  <c r="L9600" i="2"/>
  <c r="E9600" i="2"/>
  <c r="D9600" i="2"/>
  <c r="B9600" i="2"/>
  <c r="A9600" i="2"/>
  <c r="O9599" i="2"/>
  <c r="O9598" i="2"/>
  <c r="O9597" i="2"/>
  <c r="M9597" i="2"/>
  <c r="L9597" i="2"/>
  <c r="E9597" i="2"/>
  <c r="D9597" i="2"/>
  <c r="B9597" i="2"/>
  <c r="A9597" i="2"/>
  <c r="O9596" i="2"/>
  <c r="O9595" i="2"/>
  <c r="M9595" i="2"/>
  <c r="L9595" i="2"/>
  <c r="E9595" i="2"/>
  <c r="D9595" i="2"/>
  <c r="B9595" i="2"/>
  <c r="A9595" i="2"/>
  <c r="O9594" i="2"/>
  <c r="O9593" i="2"/>
  <c r="O9592" i="2"/>
  <c r="M9592" i="2"/>
  <c r="L9592" i="2"/>
  <c r="E9592" i="2"/>
  <c r="D9592" i="2"/>
  <c r="B9592" i="2"/>
  <c r="A9592" i="2"/>
  <c r="O9591" i="2"/>
  <c r="M9591" i="2"/>
  <c r="L9591" i="2"/>
  <c r="E9591" i="2"/>
  <c r="D9591" i="2"/>
  <c r="B9591" i="2"/>
  <c r="A9591" i="2"/>
  <c r="O9590" i="2"/>
  <c r="M9590" i="2"/>
  <c r="L9590" i="2"/>
  <c r="E9590" i="2"/>
  <c r="D9590" i="2"/>
  <c r="B9590" i="2"/>
  <c r="A9590" i="2"/>
  <c r="O9589" i="2"/>
  <c r="M9589" i="2"/>
  <c r="L9589" i="2"/>
  <c r="E9589" i="2"/>
  <c r="D9589" i="2"/>
  <c r="B9589" i="2"/>
  <c r="A9589" i="2"/>
  <c r="O9588" i="2"/>
  <c r="M9588" i="2"/>
  <c r="L9588" i="2"/>
  <c r="E9588" i="2"/>
  <c r="D9588" i="2"/>
  <c r="B9588" i="2"/>
  <c r="A9588" i="2"/>
  <c r="O9587" i="2"/>
  <c r="M9587" i="2"/>
  <c r="L9587" i="2"/>
  <c r="E9587" i="2"/>
  <c r="D9587" i="2"/>
  <c r="B9587" i="2"/>
  <c r="A9587" i="2"/>
  <c r="O9586" i="2"/>
  <c r="M9586" i="2"/>
  <c r="L9586" i="2"/>
  <c r="E9586" i="2"/>
  <c r="D9586" i="2"/>
  <c r="B9586" i="2"/>
  <c r="A9586" i="2"/>
  <c r="O9585" i="2"/>
  <c r="O9584" i="2"/>
  <c r="O9583" i="2"/>
  <c r="M9583" i="2"/>
  <c r="L9583" i="2"/>
  <c r="E9583" i="2"/>
  <c r="D9583" i="2"/>
  <c r="B9583" i="2"/>
  <c r="A9583" i="2"/>
  <c r="O9582" i="2"/>
  <c r="M9582" i="2"/>
  <c r="L9582" i="2"/>
  <c r="E9582" i="2"/>
  <c r="D9582" i="2"/>
  <c r="B9582" i="2"/>
  <c r="A9582" i="2"/>
  <c r="O9581" i="2"/>
  <c r="M9581" i="2"/>
  <c r="L9581" i="2"/>
  <c r="E9581" i="2"/>
  <c r="D9581" i="2"/>
  <c r="B9581" i="2"/>
  <c r="A9581" i="2"/>
  <c r="O9580" i="2"/>
  <c r="M9580" i="2"/>
  <c r="L9580" i="2"/>
  <c r="E9580" i="2"/>
  <c r="D9580" i="2"/>
  <c r="B9580" i="2"/>
  <c r="A9580" i="2"/>
  <c r="O9579" i="2"/>
  <c r="M9579" i="2"/>
  <c r="L9579" i="2"/>
  <c r="E9579" i="2"/>
  <c r="D9579" i="2"/>
  <c r="B9579" i="2"/>
  <c r="A9579" i="2"/>
  <c r="O9578" i="2"/>
  <c r="M9578" i="2"/>
  <c r="L9578" i="2"/>
  <c r="E9578" i="2"/>
  <c r="D9578" i="2"/>
  <c r="B9578" i="2"/>
  <c r="A9578" i="2"/>
  <c r="O9577" i="2"/>
  <c r="O9576" i="2"/>
  <c r="O9575" i="2"/>
  <c r="M9575" i="2"/>
  <c r="L9575" i="2"/>
  <c r="E9575" i="2"/>
  <c r="D9575" i="2"/>
  <c r="B9575" i="2"/>
  <c r="A9575" i="2"/>
  <c r="O9574" i="2"/>
  <c r="O9573" i="2"/>
  <c r="O9572" i="2"/>
  <c r="M9572" i="2"/>
  <c r="L9572" i="2"/>
  <c r="E9572" i="2"/>
  <c r="D9572" i="2"/>
  <c r="B9572" i="2"/>
  <c r="A9572" i="2"/>
  <c r="O9571" i="2"/>
  <c r="O9570" i="2"/>
  <c r="M9570" i="2"/>
  <c r="L9570" i="2"/>
  <c r="E9570" i="2"/>
  <c r="D9570" i="2"/>
  <c r="B9570" i="2"/>
  <c r="A9570" i="2"/>
  <c r="O9569" i="2"/>
  <c r="M9569" i="2"/>
  <c r="L9569" i="2"/>
  <c r="E9569" i="2"/>
  <c r="D9569" i="2"/>
  <c r="B9569" i="2"/>
  <c r="A9569" i="2"/>
  <c r="O9568" i="2"/>
  <c r="M9568" i="2"/>
  <c r="L9568" i="2"/>
  <c r="E9568" i="2"/>
  <c r="D9568" i="2"/>
  <c r="B9568" i="2"/>
  <c r="A9568" i="2"/>
  <c r="O9567" i="2"/>
  <c r="O9566" i="2"/>
  <c r="O9565" i="2"/>
  <c r="O9564" i="2"/>
  <c r="O9563" i="2"/>
  <c r="O9562" i="2"/>
  <c r="O9561" i="2"/>
  <c r="O9560" i="2"/>
  <c r="O9559" i="2"/>
  <c r="O9558" i="2"/>
  <c r="O9557" i="2"/>
  <c r="O9556" i="2"/>
  <c r="O9555" i="2"/>
  <c r="O9554" i="2"/>
  <c r="O9553" i="2"/>
  <c r="O9552" i="2"/>
  <c r="O9551" i="2"/>
  <c r="O9550" i="2"/>
  <c r="O9549" i="2"/>
  <c r="O9548" i="2"/>
  <c r="M9548" i="2"/>
  <c r="L9548" i="2"/>
  <c r="E9548" i="2"/>
  <c r="D9548" i="2"/>
  <c r="B9548" i="2"/>
  <c r="A9548" i="2"/>
  <c r="O9547" i="2"/>
  <c r="M9547" i="2"/>
  <c r="L9547" i="2"/>
  <c r="E9547" i="2"/>
  <c r="D9547" i="2"/>
  <c r="B9547" i="2"/>
  <c r="A9547" i="2"/>
  <c r="O9546" i="2"/>
  <c r="O9545" i="2"/>
  <c r="O9544" i="2"/>
  <c r="M9544" i="2"/>
  <c r="L9544" i="2"/>
  <c r="E9544" i="2"/>
  <c r="D9544" i="2"/>
  <c r="B9544" i="2"/>
  <c r="A9544" i="2"/>
  <c r="O9543" i="2"/>
  <c r="M9543" i="2"/>
  <c r="L9543" i="2"/>
  <c r="E9543" i="2"/>
  <c r="D9543" i="2"/>
  <c r="B9543" i="2"/>
  <c r="A9543" i="2"/>
  <c r="O9542" i="2"/>
  <c r="O9541" i="2"/>
  <c r="O9540" i="2"/>
  <c r="O9539" i="2"/>
  <c r="M9539" i="2"/>
  <c r="L9539" i="2"/>
  <c r="E9539" i="2"/>
  <c r="D9539" i="2"/>
  <c r="B9539" i="2"/>
  <c r="A9539" i="2"/>
  <c r="O9538" i="2"/>
  <c r="O9537" i="2"/>
  <c r="M9537" i="2"/>
  <c r="L9537" i="2"/>
  <c r="E9537" i="2"/>
  <c r="D9537" i="2"/>
  <c r="B9537" i="2"/>
  <c r="A9537" i="2"/>
  <c r="O9536" i="2"/>
  <c r="O9535" i="2"/>
  <c r="M9535" i="2"/>
  <c r="L9535" i="2"/>
  <c r="E9535" i="2"/>
  <c r="D9535" i="2"/>
  <c r="B9535" i="2"/>
  <c r="A9535" i="2"/>
  <c r="O9534" i="2"/>
  <c r="M9534" i="2"/>
  <c r="L9534" i="2"/>
  <c r="E9534" i="2"/>
  <c r="D9534" i="2"/>
  <c r="B9534" i="2"/>
  <c r="A9534" i="2"/>
  <c r="O9533" i="2"/>
  <c r="O9532" i="2"/>
  <c r="O9531" i="2"/>
  <c r="M9531" i="2"/>
  <c r="L9531" i="2"/>
  <c r="E9531" i="2"/>
  <c r="D9531" i="2"/>
  <c r="B9531" i="2"/>
  <c r="A9531" i="2"/>
  <c r="O9530" i="2"/>
  <c r="O9529" i="2"/>
  <c r="O9528" i="2"/>
  <c r="M9528" i="2"/>
  <c r="L9528" i="2"/>
  <c r="E9528" i="2"/>
  <c r="D9528" i="2"/>
  <c r="B9528" i="2"/>
  <c r="A9528" i="2"/>
  <c r="O9527" i="2"/>
  <c r="O9526" i="2"/>
  <c r="O9525" i="2"/>
  <c r="M9525" i="2"/>
  <c r="L9525" i="2"/>
  <c r="E9525" i="2"/>
  <c r="D9525" i="2"/>
  <c r="B9525" i="2"/>
  <c r="A9525" i="2"/>
  <c r="O9524" i="2"/>
  <c r="M9524" i="2"/>
  <c r="L9524" i="2"/>
  <c r="E9524" i="2"/>
  <c r="D9524" i="2"/>
  <c r="B9524" i="2"/>
  <c r="A9524" i="2"/>
  <c r="O9523" i="2"/>
  <c r="M9523" i="2"/>
  <c r="L9523" i="2"/>
  <c r="E9523" i="2"/>
  <c r="D9523" i="2"/>
  <c r="B9523" i="2"/>
  <c r="A9523" i="2"/>
  <c r="O9522" i="2"/>
  <c r="O9521" i="2"/>
  <c r="M9521" i="2"/>
  <c r="L9521" i="2"/>
  <c r="E9521" i="2"/>
  <c r="D9521" i="2"/>
  <c r="B9521" i="2"/>
  <c r="A9521" i="2"/>
  <c r="O9520" i="2"/>
  <c r="M9520" i="2"/>
  <c r="L9520" i="2"/>
  <c r="E9520" i="2"/>
  <c r="D9520" i="2"/>
  <c r="B9520" i="2"/>
  <c r="A9520" i="2"/>
  <c r="O9519" i="2"/>
  <c r="M9519" i="2"/>
  <c r="L9519" i="2"/>
  <c r="E9519" i="2"/>
  <c r="D9519" i="2"/>
  <c r="B9519" i="2"/>
  <c r="A9519" i="2"/>
  <c r="O9518" i="2"/>
  <c r="O9517" i="2"/>
  <c r="M9517" i="2"/>
  <c r="L9517" i="2"/>
  <c r="E9517" i="2"/>
  <c r="D9517" i="2"/>
  <c r="B9517" i="2"/>
  <c r="A9517" i="2"/>
  <c r="O9516" i="2"/>
  <c r="M9516" i="2"/>
  <c r="L9516" i="2"/>
  <c r="E9516" i="2"/>
  <c r="D9516" i="2"/>
  <c r="B9516" i="2"/>
  <c r="A9516" i="2"/>
  <c r="O9515" i="2"/>
  <c r="O9514" i="2"/>
  <c r="O9513" i="2"/>
  <c r="M9513" i="2"/>
  <c r="L9513" i="2"/>
  <c r="E9513" i="2"/>
  <c r="D9513" i="2"/>
  <c r="B9513" i="2"/>
  <c r="A9513" i="2"/>
  <c r="O9512" i="2"/>
  <c r="M9512" i="2"/>
  <c r="L9512" i="2"/>
  <c r="E9512" i="2"/>
  <c r="D9512" i="2"/>
  <c r="B9512" i="2"/>
  <c r="A9512" i="2"/>
  <c r="O9511" i="2"/>
  <c r="M9511" i="2"/>
  <c r="L9511" i="2"/>
  <c r="E9511" i="2"/>
  <c r="D9511" i="2"/>
  <c r="B9511" i="2"/>
  <c r="A9511" i="2"/>
  <c r="O9510" i="2"/>
  <c r="O9509" i="2"/>
  <c r="O9508" i="2"/>
  <c r="O9507" i="2"/>
  <c r="M9507" i="2"/>
  <c r="L9507" i="2"/>
  <c r="E9507" i="2"/>
  <c r="D9507" i="2"/>
  <c r="B9507" i="2"/>
  <c r="A9507" i="2"/>
  <c r="O9506" i="2"/>
  <c r="M9506" i="2"/>
  <c r="L9506" i="2"/>
  <c r="E9506" i="2"/>
  <c r="D9506" i="2"/>
  <c r="B9506" i="2"/>
  <c r="A9506" i="2"/>
  <c r="O9505" i="2"/>
  <c r="M9505" i="2"/>
  <c r="L9505" i="2"/>
  <c r="E9505" i="2"/>
  <c r="D9505" i="2"/>
  <c r="B9505" i="2"/>
  <c r="A9505" i="2"/>
  <c r="O9504" i="2"/>
  <c r="M9504" i="2"/>
  <c r="L9504" i="2"/>
  <c r="E9504" i="2"/>
  <c r="D9504" i="2"/>
  <c r="B9504" i="2"/>
  <c r="A9504" i="2"/>
  <c r="O9503" i="2"/>
  <c r="M9503" i="2"/>
  <c r="L9503" i="2"/>
  <c r="E9503" i="2"/>
  <c r="D9503" i="2"/>
  <c r="B9503" i="2"/>
  <c r="A9503" i="2"/>
  <c r="O9502" i="2"/>
  <c r="M9502" i="2"/>
  <c r="L9502" i="2"/>
  <c r="E9502" i="2"/>
  <c r="D9502" i="2"/>
  <c r="B9502" i="2"/>
  <c r="A9502" i="2"/>
  <c r="O9501" i="2"/>
  <c r="O9500" i="2"/>
  <c r="O9499" i="2"/>
  <c r="O9498" i="2"/>
  <c r="O9497" i="2"/>
  <c r="M9497" i="2"/>
  <c r="L9497" i="2"/>
  <c r="E9497" i="2"/>
  <c r="D9497" i="2"/>
  <c r="B9497" i="2"/>
  <c r="A9497" i="2"/>
  <c r="O9496" i="2"/>
  <c r="M9496" i="2"/>
  <c r="L9496" i="2"/>
  <c r="E9496" i="2"/>
  <c r="D9496" i="2"/>
  <c r="B9496" i="2"/>
  <c r="A9496" i="2"/>
  <c r="O9495" i="2"/>
  <c r="M9495" i="2"/>
  <c r="L9495" i="2"/>
  <c r="E9495" i="2"/>
  <c r="D9495" i="2"/>
  <c r="B9495" i="2"/>
  <c r="A9495" i="2"/>
  <c r="O9494" i="2"/>
  <c r="M9494" i="2"/>
  <c r="L9494" i="2"/>
  <c r="E9494" i="2"/>
  <c r="D9494" i="2"/>
  <c r="B9494" i="2"/>
  <c r="A9494" i="2"/>
  <c r="O9493" i="2"/>
  <c r="O9492" i="2"/>
  <c r="O9491" i="2"/>
  <c r="M9491" i="2"/>
  <c r="L9491" i="2"/>
  <c r="E9491" i="2"/>
  <c r="D9491" i="2"/>
  <c r="B9491" i="2"/>
  <c r="A9491" i="2"/>
  <c r="O9490" i="2"/>
  <c r="M9490" i="2"/>
  <c r="L9490" i="2"/>
  <c r="E9490" i="2"/>
  <c r="D9490" i="2"/>
  <c r="B9490" i="2"/>
  <c r="A9490" i="2"/>
  <c r="O9489" i="2"/>
  <c r="O9488" i="2"/>
  <c r="M9488" i="2"/>
  <c r="L9488" i="2"/>
  <c r="E9488" i="2"/>
  <c r="D9488" i="2"/>
  <c r="B9488" i="2"/>
  <c r="A9488" i="2"/>
  <c r="O9487" i="2"/>
  <c r="M9487" i="2"/>
  <c r="L9487" i="2"/>
  <c r="E9487" i="2"/>
  <c r="D9487" i="2"/>
  <c r="B9487" i="2"/>
  <c r="A9487" i="2"/>
  <c r="O9486" i="2"/>
  <c r="M9486" i="2"/>
  <c r="L9486" i="2"/>
  <c r="E9486" i="2"/>
  <c r="D9486" i="2"/>
  <c r="B9486" i="2"/>
  <c r="A9486" i="2"/>
  <c r="O9485" i="2"/>
  <c r="O9484" i="2"/>
  <c r="M9484" i="2"/>
  <c r="L9484" i="2"/>
  <c r="E9484" i="2"/>
  <c r="D9484" i="2"/>
  <c r="B9484" i="2"/>
  <c r="A9484" i="2"/>
  <c r="O9483" i="2"/>
  <c r="M9483" i="2"/>
  <c r="L9483" i="2"/>
  <c r="E9483" i="2"/>
  <c r="D9483" i="2"/>
  <c r="B9483" i="2"/>
  <c r="A9483" i="2"/>
  <c r="O9482" i="2"/>
  <c r="O9481" i="2"/>
  <c r="O9480" i="2"/>
  <c r="M9480" i="2"/>
  <c r="L9480" i="2"/>
  <c r="E9480" i="2"/>
  <c r="D9480" i="2"/>
  <c r="B9480" i="2"/>
  <c r="A9480" i="2"/>
  <c r="O9479" i="2"/>
  <c r="O9478" i="2"/>
  <c r="M9478" i="2"/>
  <c r="L9478" i="2"/>
  <c r="E9478" i="2"/>
  <c r="D9478" i="2"/>
  <c r="B9478" i="2"/>
  <c r="A9478" i="2"/>
  <c r="O9477" i="2"/>
  <c r="M9477" i="2"/>
  <c r="L9477" i="2"/>
  <c r="E9477" i="2"/>
  <c r="D9477" i="2"/>
  <c r="B9477" i="2"/>
  <c r="A9477" i="2"/>
  <c r="O9476" i="2"/>
  <c r="M9476" i="2"/>
  <c r="L9476" i="2"/>
  <c r="E9476" i="2"/>
  <c r="D9476" i="2"/>
  <c r="B9476" i="2"/>
  <c r="A9476" i="2"/>
  <c r="O9475" i="2"/>
  <c r="M9475" i="2"/>
  <c r="L9475" i="2"/>
  <c r="E9475" i="2"/>
  <c r="D9475" i="2"/>
  <c r="B9475" i="2"/>
  <c r="A9475" i="2"/>
  <c r="O9474" i="2"/>
  <c r="M9474" i="2"/>
  <c r="L9474" i="2"/>
  <c r="E9474" i="2"/>
  <c r="D9474" i="2"/>
  <c r="B9474" i="2"/>
  <c r="A9474" i="2"/>
  <c r="O9473" i="2"/>
  <c r="M9473" i="2"/>
  <c r="L9473" i="2"/>
  <c r="E9473" i="2"/>
  <c r="D9473" i="2"/>
  <c r="B9473" i="2"/>
  <c r="A9473" i="2"/>
  <c r="O9472" i="2"/>
  <c r="M9472" i="2"/>
  <c r="L9472" i="2"/>
  <c r="E9472" i="2"/>
  <c r="D9472" i="2"/>
  <c r="B9472" i="2"/>
  <c r="A9472" i="2"/>
  <c r="O9471" i="2"/>
  <c r="M9471" i="2"/>
  <c r="L9471" i="2"/>
  <c r="E9471" i="2"/>
  <c r="D9471" i="2"/>
  <c r="B9471" i="2"/>
  <c r="A9471" i="2"/>
  <c r="O9470" i="2"/>
  <c r="O9469" i="2"/>
  <c r="O9468" i="2"/>
  <c r="M9468" i="2"/>
  <c r="L9468" i="2"/>
  <c r="E9468" i="2"/>
  <c r="D9468" i="2"/>
  <c r="B9468" i="2"/>
  <c r="A9468" i="2"/>
  <c r="O9467" i="2"/>
  <c r="M9467" i="2"/>
  <c r="L9467" i="2"/>
  <c r="E9467" i="2"/>
  <c r="D9467" i="2"/>
  <c r="B9467" i="2"/>
  <c r="A9467" i="2"/>
  <c r="O9466" i="2"/>
  <c r="M9466" i="2"/>
  <c r="L9466" i="2"/>
  <c r="E9466" i="2"/>
  <c r="D9466" i="2"/>
  <c r="B9466" i="2"/>
  <c r="A9466" i="2"/>
  <c r="O9465" i="2"/>
  <c r="M9465" i="2"/>
  <c r="L9465" i="2"/>
  <c r="E9465" i="2"/>
  <c r="D9465" i="2"/>
  <c r="B9465" i="2"/>
  <c r="A9465" i="2"/>
  <c r="O9464" i="2"/>
  <c r="M9464" i="2"/>
  <c r="L9464" i="2"/>
  <c r="E9464" i="2"/>
  <c r="D9464" i="2"/>
  <c r="B9464" i="2"/>
  <c r="A9464" i="2"/>
  <c r="O9463" i="2"/>
  <c r="O9462" i="2"/>
  <c r="M9462" i="2"/>
  <c r="L9462" i="2"/>
  <c r="E9462" i="2"/>
  <c r="D9462" i="2"/>
  <c r="B9462" i="2"/>
  <c r="A9462" i="2"/>
  <c r="O9461" i="2"/>
  <c r="O9460" i="2"/>
  <c r="O9459" i="2"/>
  <c r="M9459" i="2"/>
  <c r="L9459" i="2"/>
  <c r="E9459" i="2"/>
  <c r="D9459" i="2"/>
  <c r="B9459" i="2"/>
  <c r="A9459" i="2"/>
  <c r="O9458" i="2"/>
  <c r="M9458" i="2"/>
  <c r="L9458" i="2"/>
  <c r="E9458" i="2"/>
  <c r="D9458" i="2"/>
  <c r="B9458" i="2"/>
  <c r="A9458" i="2"/>
  <c r="O9457" i="2"/>
  <c r="O9456" i="2"/>
  <c r="O9455" i="2"/>
  <c r="O9454" i="2"/>
  <c r="M9454" i="2"/>
  <c r="L9454" i="2"/>
  <c r="E9454" i="2"/>
  <c r="D9454" i="2"/>
  <c r="B9454" i="2"/>
  <c r="A9454" i="2"/>
  <c r="O9453" i="2"/>
  <c r="M9453" i="2"/>
  <c r="L9453" i="2"/>
  <c r="E9453" i="2"/>
  <c r="D9453" i="2"/>
  <c r="B9453" i="2"/>
  <c r="A9453" i="2"/>
  <c r="O9452" i="2"/>
  <c r="M9452" i="2"/>
  <c r="L9452" i="2"/>
  <c r="E9452" i="2"/>
  <c r="D9452" i="2"/>
  <c r="B9452" i="2"/>
  <c r="A9452" i="2"/>
  <c r="O9451" i="2"/>
  <c r="O9450" i="2"/>
  <c r="O9449" i="2"/>
  <c r="O9448" i="2"/>
  <c r="O9447" i="2"/>
  <c r="O9446" i="2"/>
  <c r="M9446" i="2"/>
  <c r="L9446" i="2"/>
  <c r="E9446" i="2"/>
  <c r="D9446" i="2"/>
  <c r="B9446" i="2"/>
  <c r="A9446" i="2"/>
  <c r="O9445" i="2"/>
  <c r="M9445" i="2"/>
  <c r="L9445" i="2"/>
  <c r="E9445" i="2"/>
  <c r="D9445" i="2"/>
  <c r="B9445" i="2"/>
  <c r="A9445" i="2"/>
  <c r="O9444" i="2"/>
  <c r="M9444" i="2"/>
  <c r="L9444" i="2"/>
  <c r="E9444" i="2"/>
  <c r="D9444" i="2"/>
  <c r="B9444" i="2"/>
  <c r="A9444" i="2"/>
  <c r="O9443" i="2"/>
  <c r="O9442" i="2"/>
  <c r="M9442" i="2"/>
  <c r="L9442" i="2"/>
  <c r="E9442" i="2"/>
  <c r="D9442" i="2"/>
  <c r="B9442" i="2"/>
  <c r="A9442" i="2"/>
  <c r="O9441" i="2"/>
  <c r="M9441" i="2"/>
  <c r="L9441" i="2"/>
  <c r="E9441" i="2"/>
  <c r="D9441" i="2"/>
  <c r="B9441" i="2"/>
  <c r="A9441" i="2"/>
  <c r="O9440" i="2"/>
  <c r="M9440" i="2"/>
  <c r="L9440" i="2"/>
  <c r="E9440" i="2"/>
  <c r="D9440" i="2"/>
  <c r="B9440" i="2"/>
  <c r="A9440" i="2"/>
  <c r="O9439" i="2"/>
  <c r="M9439" i="2"/>
  <c r="L9439" i="2"/>
  <c r="E9439" i="2"/>
  <c r="D9439" i="2"/>
  <c r="B9439" i="2"/>
  <c r="A9439" i="2"/>
  <c r="O9438" i="2"/>
  <c r="M9438" i="2"/>
  <c r="L9438" i="2"/>
  <c r="E9438" i="2"/>
  <c r="D9438" i="2"/>
  <c r="B9438" i="2"/>
  <c r="A9438" i="2"/>
  <c r="O9437" i="2"/>
  <c r="O9436" i="2"/>
  <c r="O9435" i="2"/>
  <c r="M9435" i="2"/>
  <c r="L9435" i="2"/>
  <c r="E9435" i="2"/>
  <c r="D9435" i="2"/>
  <c r="B9435" i="2"/>
  <c r="A9435" i="2"/>
  <c r="O9434" i="2"/>
  <c r="M9434" i="2"/>
  <c r="L9434" i="2"/>
  <c r="E9434" i="2"/>
  <c r="D9434" i="2"/>
  <c r="B9434" i="2"/>
  <c r="A9434" i="2"/>
  <c r="O9433" i="2"/>
  <c r="M9433" i="2"/>
  <c r="L9433" i="2"/>
  <c r="E9433" i="2"/>
  <c r="D9433" i="2"/>
  <c r="B9433" i="2"/>
  <c r="A9433" i="2"/>
  <c r="O9432" i="2"/>
  <c r="O9431" i="2"/>
  <c r="O9430" i="2"/>
  <c r="M9430" i="2"/>
  <c r="L9430" i="2"/>
  <c r="E9430" i="2"/>
  <c r="D9430" i="2"/>
  <c r="B9430" i="2"/>
  <c r="A9430" i="2"/>
  <c r="O9429" i="2"/>
  <c r="O9428" i="2"/>
  <c r="M9428" i="2"/>
  <c r="L9428" i="2"/>
  <c r="E9428" i="2"/>
  <c r="D9428" i="2"/>
  <c r="B9428" i="2"/>
  <c r="A9428" i="2"/>
  <c r="O9427" i="2"/>
  <c r="O9426" i="2"/>
  <c r="O9425" i="2"/>
  <c r="O9424" i="2"/>
  <c r="O9423" i="2"/>
  <c r="O9422" i="2"/>
  <c r="O9421" i="2"/>
  <c r="M9421" i="2"/>
  <c r="L9421" i="2"/>
  <c r="E9421" i="2"/>
  <c r="D9421" i="2"/>
  <c r="B9421" i="2"/>
  <c r="A9421" i="2"/>
  <c r="O9420" i="2"/>
  <c r="M9420" i="2"/>
  <c r="L9420" i="2"/>
  <c r="E9420" i="2"/>
  <c r="D9420" i="2"/>
  <c r="B9420" i="2"/>
  <c r="A9420" i="2"/>
  <c r="O9419" i="2"/>
  <c r="O9418" i="2"/>
  <c r="O9417" i="2"/>
  <c r="M9417" i="2"/>
  <c r="L9417" i="2"/>
  <c r="E9417" i="2"/>
  <c r="D9417" i="2"/>
  <c r="B9417" i="2"/>
  <c r="A9417" i="2"/>
  <c r="O9416" i="2"/>
  <c r="M9416" i="2"/>
  <c r="L9416" i="2"/>
  <c r="E9416" i="2"/>
  <c r="D9416" i="2"/>
  <c r="B9416" i="2"/>
  <c r="A9416" i="2"/>
  <c r="O9415" i="2"/>
  <c r="O9414" i="2"/>
  <c r="M9414" i="2"/>
  <c r="L9414" i="2"/>
  <c r="E9414" i="2"/>
  <c r="D9414" i="2"/>
  <c r="B9414" i="2"/>
  <c r="A9414" i="2"/>
  <c r="O9413" i="2"/>
  <c r="M9413" i="2"/>
  <c r="L9413" i="2"/>
  <c r="E9413" i="2"/>
  <c r="D9413" i="2"/>
  <c r="B9413" i="2"/>
  <c r="A9413" i="2"/>
  <c r="O9412" i="2"/>
  <c r="O9411" i="2"/>
  <c r="O9410" i="2"/>
  <c r="M9410" i="2"/>
  <c r="L9410" i="2"/>
  <c r="E9410" i="2"/>
  <c r="D9410" i="2"/>
  <c r="B9410" i="2"/>
  <c r="A9410" i="2"/>
  <c r="O9409" i="2"/>
  <c r="O9408" i="2"/>
  <c r="O9407" i="2"/>
  <c r="M9407" i="2"/>
  <c r="L9407" i="2"/>
  <c r="E9407" i="2"/>
  <c r="D9407" i="2"/>
  <c r="B9407" i="2"/>
  <c r="A9407" i="2"/>
  <c r="O9406" i="2"/>
  <c r="M9406" i="2"/>
  <c r="L9406" i="2"/>
  <c r="E9406" i="2"/>
  <c r="D9406" i="2"/>
  <c r="B9406" i="2"/>
  <c r="A9406" i="2"/>
  <c r="O9405" i="2"/>
  <c r="O9404" i="2"/>
  <c r="O9403" i="2"/>
  <c r="M9403" i="2"/>
  <c r="L9403" i="2"/>
  <c r="E9403" i="2"/>
  <c r="D9403" i="2"/>
  <c r="B9403" i="2"/>
  <c r="A9403" i="2"/>
  <c r="O9402" i="2"/>
  <c r="M9402" i="2"/>
  <c r="L9402" i="2"/>
  <c r="E9402" i="2"/>
  <c r="D9402" i="2"/>
  <c r="B9402" i="2"/>
  <c r="A9402" i="2"/>
  <c r="O9401" i="2"/>
  <c r="M9401" i="2"/>
  <c r="L9401" i="2"/>
  <c r="E9401" i="2"/>
  <c r="D9401" i="2"/>
  <c r="B9401" i="2"/>
  <c r="A9401" i="2"/>
  <c r="O9400" i="2"/>
  <c r="M9400" i="2"/>
  <c r="L9400" i="2"/>
  <c r="E9400" i="2"/>
  <c r="D9400" i="2"/>
  <c r="B9400" i="2"/>
  <c r="A9400" i="2"/>
  <c r="O9399" i="2"/>
  <c r="M9399" i="2"/>
  <c r="L9399" i="2"/>
  <c r="E9399" i="2"/>
  <c r="D9399" i="2"/>
  <c r="B9399" i="2"/>
  <c r="A9399" i="2"/>
  <c r="O9398" i="2"/>
  <c r="O9397" i="2"/>
  <c r="O9396" i="2"/>
  <c r="M9396" i="2"/>
  <c r="L9396" i="2"/>
  <c r="E9396" i="2"/>
  <c r="D9396" i="2"/>
  <c r="B9396" i="2"/>
  <c r="A9396" i="2"/>
  <c r="O9395" i="2"/>
  <c r="O9394" i="2"/>
  <c r="M9394" i="2"/>
  <c r="L9394" i="2"/>
  <c r="E9394" i="2"/>
  <c r="D9394" i="2"/>
  <c r="B9394" i="2"/>
  <c r="A9394" i="2"/>
  <c r="O9393" i="2"/>
  <c r="O9392" i="2"/>
  <c r="O9391" i="2"/>
  <c r="M9391" i="2"/>
  <c r="L9391" i="2"/>
  <c r="E9391" i="2"/>
  <c r="D9391" i="2"/>
  <c r="B9391" i="2"/>
  <c r="A9391" i="2"/>
  <c r="O9390" i="2"/>
  <c r="M9390" i="2"/>
  <c r="L9390" i="2"/>
  <c r="E9390" i="2"/>
  <c r="D9390" i="2"/>
  <c r="B9390" i="2"/>
  <c r="A9390" i="2"/>
  <c r="O9389" i="2"/>
  <c r="O9388" i="2"/>
  <c r="M9388" i="2"/>
  <c r="L9388" i="2"/>
  <c r="E9388" i="2"/>
  <c r="D9388" i="2"/>
  <c r="B9388" i="2"/>
  <c r="A9388" i="2"/>
  <c r="O9387" i="2"/>
  <c r="M9387" i="2"/>
  <c r="L9387" i="2"/>
  <c r="E9387" i="2"/>
  <c r="D9387" i="2"/>
  <c r="B9387" i="2"/>
  <c r="A9387" i="2"/>
  <c r="O9386" i="2"/>
  <c r="O9385" i="2"/>
  <c r="M9385" i="2"/>
  <c r="L9385" i="2"/>
  <c r="E9385" i="2"/>
  <c r="D9385" i="2"/>
  <c r="B9385" i="2"/>
  <c r="A9385" i="2"/>
  <c r="O9384" i="2"/>
  <c r="O9383" i="2"/>
  <c r="M9383" i="2"/>
  <c r="L9383" i="2"/>
  <c r="E9383" i="2"/>
  <c r="D9383" i="2"/>
  <c r="B9383" i="2"/>
  <c r="A9383" i="2"/>
  <c r="O9382" i="2"/>
  <c r="O9381" i="2"/>
  <c r="M9381" i="2"/>
  <c r="L9381" i="2"/>
  <c r="E9381" i="2"/>
  <c r="D9381" i="2"/>
  <c r="B9381" i="2"/>
  <c r="A9381" i="2"/>
  <c r="O9380" i="2"/>
  <c r="O9379" i="2"/>
  <c r="O9378" i="2"/>
  <c r="M9378" i="2"/>
  <c r="L9378" i="2"/>
  <c r="E9378" i="2"/>
  <c r="D9378" i="2"/>
  <c r="B9378" i="2"/>
  <c r="A9378" i="2"/>
  <c r="O9377" i="2"/>
  <c r="M9377" i="2"/>
  <c r="L9377" i="2"/>
  <c r="E9377" i="2"/>
  <c r="D9377" i="2"/>
  <c r="B9377" i="2"/>
  <c r="A9377" i="2"/>
  <c r="O9376" i="2"/>
  <c r="M9376" i="2"/>
  <c r="L9376" i="2"/>
  <c r="E9376" i="2"/>
  <c r="D9376" i="2"/>
  <c r="B9376" i="2"/>
  <c r="A9376" i="2"/>
  <c r="O9375" i="2"/>
  <c r="M9375" i="2"/>
  <c r="L9375" i="2"/>
  <c r="E9375" i="2"/>
  <c r="D9375" i="2"/>
  <c r="B9375" i="2"/>
  <c r="A9375" i="2"/>
  <c r="O9374" i="2"/>
  <c r="M9374" i="2"/>
  <c r="L9374" i="2"/>
  <c r="E9374" i="2"/>
  <c r="D9374" i="2"/>
  <c r="B9374" i="2"/>
  <c r="A9374" i="2"/>
  <c r="O9373" i="2"/>
  <c r="M9373" i="2"/>
  <c r="L9373" i="2"/>
  <c r="E9373" i="2"/>
  <c r="D9373" i="2"/>
  <c r="B9373" i="2"/>
  <c r="A9373" i="2"/>
  <c r="O9372" i="2"/>
  <c r="M9372" i="2"/>
  <c r="L9372" i="2"/>
  <c r="E9372" i="2"/>
  <c r="D9372" i="2"/>
  <c r="B9372" i="2"/>
  <c r="A9372" i="2"/>
  <c r="O9371" i="2"/>
  <c r="M9371" i="2"/>
  <c r="L9371" i="2"/>
  <c r="E9371" i="2"/>
  <c r="D9371" i="2"/>
  <c r="B9371" i="2"/>
  <c r="A9371" i="2"/>
  <c r="O9370" i="2"/>
  <c r="O9369" i="2"/>
  <c r="O9368" i="2"/>
  <c r="M9368" i="2"/>
  <c r="L9368" i="2"/>
  <c r="E9368" i="2"/>
  <c r="D9368" i="2"/>
  <c r="B9368" i="2"/>
  <c r="A9368" i="2"/>
  <c r="O9367" i="2"/>
  <c r="O9366" i="2"/>
  <c r="M9366" i="2"/>
  <c r="L9366" i="2"/>
  <c r="E9366" i="2"/>
  <c r="D9366" i="2"/>
  <c r="B9366" i="2"/>
  <c r="A9366" i="2"/>
  <c r="O9365" i="2"/>
  <c r="M9365" i="2"/>
  <c r="L9365" i="2"/>
  <c r="E9365" i="2"/>
  <c r="D9365" i="2"/>
  <c r="B9365" i="2"/>
  <c r="A9365" i="2"/>
  <c r="O9364" i="2"/>
  <c r="O9363" i="2"/>
  <c r="O9362" i="2"/>
  <c r="M9362" i="2"/>
  <c r="L9362" i="2"/>
  <c r="E9362" i="2"/>
  <c r="D9362" i="2"/>
  <c r="B9362" i="2"/>
  <c r="A9362" i="2"/>
  <c r="O9361" i="2"/>
  <c r="O9360" i="2"/>
  <c r="M9360" i="2"/>
  <c r="L9360" i="2"/>
  <c r="E9360" i="2"/>
  <c r="D9360" i="2"/>
  <c r="B9360" i="2"/>
  <c r="A9360" i="2"/>
  <c r="O9359" i="2"/>
  <c r="M9359" i="2"/>
  <c r="L9359" i="2"/>
  <c r="E9359" i="2"/>
  <c r="D9359" i="2"/>
  <c r="B9359" i="2"/>
  <c r="A9359" i="2"/>
  <c r="O9358" i="2"/>
  <c r="M9358" i="2"/>
  <c r="L9358" i="2"/>
  <c r="E9358" i="2"/>
  <c r="D9358" i="2"/>
  <c r="B9358" i="2"/>
  <c r="A9358" i="2"/>
  <c r="O9357" i="2"/>
  <c r="O9356" i="2"/>
  <c r="O9355" i="2"/>
  <c r="M9355" i="2"/>
  <c r="L9355" i="2"/>
  <c r="E9355" i="2"/>
  <c r="D9355" i="2"/>
  <c r="B9355" i="2"/>
  <c r="A9355" i="2"/>
  <c r="O9354" i="2"/>
  <c r="O9353" i="2"/>
  <c r="O9352" i="2"/>
  <c r="M9352" i="2"/>
  <c r="L9352" i="2"/>
  <c r="E9352" i="2"/>
  <c r="D9352" i="2"/>
  <c r="B9352" i="2"/>
  <c r="A9352" i="2"/>
  <c r="O9351" i="2"/>
  <c r="O9350" i="2"/>
  <c r="M9350" i="2"/>
  <c r="L9350" i="2"/>
  <c r="E9350" i="2"/>
  <c r="D9350" i="2"/>
  <c r="B9350" i="2"/>
  <c r="A9350" i="2"/>
  <c r="O9349" i="2"/>
  <c r="M9349" i="2"/>
  <c r="L9349" i="2"/>
  <c r="E9349" i="2"/>
  <c r="D9349" i="2"/>
  <c r="B9349" i="2"/>
  <c r="A9349" i="2"/>
  <c r="O9348" i="2"/>
  <c r="M9348" i="2"/>
  <c r="L9348" i="2"/>
  <c r="E9348" i="2"/>
  <c r="D9348" i="2"/>
  <c r="B9348" i="2"/>
  <c r="A9348" i="2"/>
  <c r="O9347" i="2"/>
  <c r="O9346" i="2"/>
  <c r="O9345" i="2"/>
  <c r="O9344" i="2"/>
  <c r="O9343" i="2"/>
  <c r="M9343" i="2"/>
  <c r="L9343" i="2"/>
  <c r="E9343" i="2"/>
  <c r="D9343" i="2"/>
  <c r="B9343" i="2"/>
  <c r="A9343" i="2"/>
  <c r="O9342" i="2"/>
  <c r="M9342" i="2"/>
  <c r="L9342" i="2"/>
  <c r="E9342" i="2"/>
  <c r="D9342" i="2"/>
  <c r="B9342" i="2"/>
  <c r="A9342" i="2"/>
  <c r="O9341" i="2"/>
  <c r="M9341" i="2"/>
  <c r="L9341" i="2"/>
  <c r="E9341" i="2"/>
  <c r="D9341" i="2"/>
  <c r="B9341" i="2"/>
  <c r="A9341" i="2"/>
  <c r="O9340" i="2"/>
  <c r="M9340" i="2"/>
  <c r="L9340" i="2"/>
  <c r="E9340" i="2"/>
  <c r="D9340" i="2"/>
  <c r="B9340" i="2"/>
  <c r="A9340" i="2"/>
  <c r="O9339" i="2"/>
  <c r="O9338" i="2"/>
  <c r="O9337" i="2"/>
  <c r="M9337" i="2"/>
  <c r="L9337" i="2"/>
  <c r="E9337" i="2"/>
  <c r="D9337" i="2"/>
  <c r="B9337" i="2"/>
  <c r="A9337" i="2"/>
  <c r="O9336" i="2"/>
  <c r="O9335" i="2"/>
  <c r="M9335" i="2"/>
  <c r="L9335" i="2"/>
  <c r="E9335" i="2"/>
  <c r="D9335" i="2"/>
  <c r="B9335" i="2"/>
  <c r="A9335" i="2"/>
  <c r="O9334" i="2"/>
  <c r="O9333" i="2"/>
  <c r="O9332" i="2"/>
  <c r="M9332" i="2"/>
  <c r="L9332" i="2"/>
  <c r="E9332" i="2"/>
  <c r="D9332" i="2"/>
  <c r="B9332" i="2"/>
  <c r="A9332" i="2"/>
  <c r="O9331" i="2"/>
  <c r="O9330" i="2"/>
  <c r="O9329" i="2"/>
  <c r="M9329" i="2"/>
  <c r="L9329" i="2"/>
  <c r="E9329" i="2"/>
  <c r="D9329" i="2"/>
  <c r="B9329" i="2"/>
  <c r="A9329" i="2"/>
  <c r="O9328" i="2"/>
  <c r="O9327" i="2"/>
  <c r="O9326" i="2"/>
  <c r="O9325" i="2"/>
  <c r="O9324" i="2"/>
  <c r="O9323" i="2"/>
  <c r="O9322" i="2"/>
  <c r="O9321" i="2"/>
  <c r="O9320" i="2"/>
  <c r="O9319" i="2"/>
  <c r="O9318" i="2"/>
  <c r="O9317" i="2"/>
  <c r="O9316" i="2"/>
  <c r="O9315" i="2"/>
  <c r="M9315" i="2"/>
  <c r="L9315" i="2"/>
  <c r="E9315" i="2"/>
  <c r="D9315" i="2"/>
  <c r="B9315" i="2"/>
  <c r="A9315" i="2"/>
  <c r="O9314" i="2"/>
  <c r="O9313" i="2"/>
  <c r="O9312" i="2"/>
  <c r="O9311" i="2"/>
  <c r="O9310" i="2"/>
  <c r="M9310" i="2"/>
  <c r="L9310" i="2"/>
  <c r="E9310" i="2"/>
  <c r="D9310" i="2"/>
  <c r="B9310" i="2"/>
  <c r="A9310" i="2"/>
  <c r="O9309" i="2"/>
  <c r="O9308" i="2"/>
  <c r="O9307" i="2"/>
  <c r="O9306" i="2"/>
  <c r="O9305" i="2"/>
  <c r="O9304" i="2"/>
  <c r="M9304" i="2"/>
  <c r="L9304" i="2"/>
  <c r="E9304" i="2"/>
  <c r="D9304" i="2"/>
  <c r="B9304" i="2"/>
  <c r="A9304" i="2"/>
  <c r="O9303" i="2"/>
  <c r="M9303" i="2"/>
  <c r="L9303" i="2"/>
  <c r="E9303" i="2"/>
  <c r="D9303" i="2"/>
  <c r="B9303" i="2"/>
  <c r="A9303" i="2"/>
  <c r="O9302" i="2"/>
  <c r="O9301" i="2"/>
  <c r="M9301" i="2"/>
  <c r="L9301" i="2"/>
  <c r="E9301" i="2"/>
  <c r="D9301" i="2"/>
  <c r="B9301" i="2"/>
  <c r="A9301" i="2"/>
  <c r="O9300" i="2"/>
  <c r="M9300" i="2"/>
  <c r="L9300" i="2"/>
  <c r="E9300" i="2"/>
  <c r="D9300" i="2"/>
  <c r="B9300" i="2"/>
  <c r="A9300" i="2"/>
  <c r="O9299" i="2"/>
  <c r="M9299" i="2"/>
  <c r="L9299" i="2"/>
  <c r="E9299" i="2"/>
  <c r="D9299" i="2"/>
  <c r="B9299" i="2"/>
  <c r="A9299" i="2"/>
  <c r="O9298" i="2"/>
  <c r="O9297" i="2"/>
  <c r="M9297" i="2"/>
  <c r="L9297" i="2"/>
  <c r="E9297" i="2"/>
  <c r="D9297" i="2"/>
  <c r="B9297" i="2"/>
  <c r="A9297" i="2"/>
  <c r="O9296" i="2"/>
  <c r="M9296" i="2"/>
  <c r="L9296" i="2"/>
  <c r="E9296" i="2"/>
  <c r="D9296" i="2"/>
  <c r="B9296" i="2"/>
  <c r="A9296" i="2"/>
  <c r="O9295" i="2"/>
  <c r="M9295" i="2"/>
  <c r="L9295" i="2"/>
  <c r="E9295" i="2"/>
  <c r="D9295" i="2"/>
  <c r="B9295" i="2"/>
  <c r="A9295" i="2"/>
  <c r="O9294" i="2"/>
  <c r="O9293" i="2"/>
  <c r="O9292" i="2"/>
  <c r="O9291" i="2"/>
  <c r="O9290" i="2"/>
  <c r="O9289" i="2"/>
  <c r="M9289" i="2"/>
  <c r="L9289" i="2"/>
  <c r="E9289" i="2"/>
  <c r="D9289" i="2"/>
  <c r="B9289" i="2"/>
  <c r="A9289" i="2"/>
  <c r="O9288" i="2"/>
  <c r="M9288" i="2"/>
  <c r="L9288" i="2"/>
  <c r="E9288" i="2"/>
  <c r="D9288" i="2"/>
  <c r="B9288" i="2"/>
  <c r="A9288" i="2"/>
  <c r="O9287" i="2"/>
  <c r="O9286" i="2"/>
  <c r="M9286" i="2"/>
  <c r="L9286" i="2"/>
  <c r="E9286" i="2"/>
  <c r="D9286" i="2"/>
  <c r="B9286" i="2"/>
  <c r="A9286" i="2"/>
  <c r="O9285" i="2"/>
  <c r="M9285" i="2"/>
  <c r="L9285" i="2"/>
  <c r="E9285" i="2"/>
  <c r="D9285" i="2"/>
  <c r="B9285" i="2"/>
  <c r="A9285" i="2"/>
  <c r="O9284" i="2"/>
  <c r="M9284" i="2"/>
  <c r="L9284" i="2"/>
  <c r="E9284" i="2"/>
  <c r="D9284" i="2"/>
  <c r="B9284" i="2"/>
  <c r="A9284" i="2"/>
  <c r="O9283" i="2"/>
  <c r="M9283" i="2"/>
  <c r="L9283" i="2"/>
  <c r="E9283" i="2"/>
  <c r="D9283" i="2"/>
  <c r="B9283" i="2"/>
  <c r="A9283" i="2"/>
  <c r="O9282" i="2"/>
  <c r="M9282" i="2"/>
  <c r="L9282" i="2"/>
  <c r="E9282" i="2"/>
  <c r="D9282" i="2"/>
  <c r="B9282" i="2"/>
  <c r="A9282" i="2"/>
  <c r="O9281" i="2"/>
  <c r="M9281" i="2"/>
  <c r="L9281" i="2"/>
  <c r="E9281" i="2"/>
  <c r="D9281" i="2"/>
  <c r="B9281" i="2"/>
  <c r="A9281" i="2"/>
  <c r="O9280" i="2"/>
  <c r="M9280" i="2"/>
  <c r="L9280" i="2"/>
  <c r="E9280" i="2"/>
  <c r="D9280" i="2"/>
  <c r="B9280" i="2"/>
  <c r="A9280" i="2"/>
  <c r="O9279" i="2"/>
  <c r="O9278" i="2"/>
  <c r="M9278" i="2"/>
  <c r="L9278" i="2"/>
  <c r="E9278" i="2"/>
  <c r="D9278" i="2"/>
  <c r="B9278" i="2"/>
  <c r="A9278" i="2"/>
  <c r="O9277" i="2"/>
  <c r="O9276" i="2"/>
  <c r="M9276" i="2"/>
  <c r="L9276" i="2"/>
  <c r="E9276" i="2"/>
  <c r="D9276" i="2"/>
  <c r="B9276" i="2"/>
  <c r="A9276" i="2"/>
  <c r="O9275" i="2"/>
  <c r="M9275" i="2"/>
  <c r="L9275" i="2"/>
  <c r="E9275" i="2"/>
  <c r="D9275" i="2"/>
  <c r="B9275" i="2"/>
  <c r="A9275" i="2"/>
  <c r="O9274" i="2"/>
  <c r="M9274" i="2"/>
  <c r="L9274" i="2"/>
  <c r="E9274" i="2"/>
  <c r="D9274" i="2"/>
  <c r="B9274" i="2"/>
  <c r="A9274" i="2"/>
  <c r="O9273" i="2"/>
  <c r="M9273" i="2"/>
  <c r="L9273" i="2"/>
  <c r="E9273" i="2"/>
  <c r="D9273" i="2"/>
  <c r="B9273" i="2"/>
  <c r="A9273" i="2"/>
  <c r="O9272" i="2"/>
  <c r="M9272" i="2"/>
  <c r="L9272" i="2"/>
  <c r="E9272" i="2"/>
  <c r="D9272" i="2"/>
  <c r="B9272" i="2"/>
  <c r="A9272" i="2"/>
  <c r="O9271" i="2"/>
  <c r="O9270" i="2"/>
  <c r="M9270" i="2"/>
  <c r="L9270" i="2"/>
  <c r="E9270" i="2"/>
  <c r="D9270" i="2"/>
  <c r="B9270" i="2"/>
  <c r="A9270" i="2"/>
  <c r="O9269" i="2"/>
  <c r="M9269" i="2"/>
  <c r="L9269" i="2"/>
  <c r="E9269" i="2"/>
  <c r="D9269" i="2"/>
  <c r="B9269" i="2"/>
  <c r="A9269" i="2"/>
  <c r="O9268" i="2"/>
  <c r="O9267" i="2"/>
  <c r="M9267" i="2"/>
  <c r="L9267" i="2"/>
  <c r="E9267" i="2"/>
  <c r="D9267" i="2"/>
  <c r="B9267" i="2"/>
  <c r="A9267" i="2"/>
  <c r="O9266" i="2"/>
  <c r="M9266" i="2"/>
  <c r="L9266" i="2"/>
  <c r="E9266" i="2"/>
  <c r="D9266" i="2"/>
  <c r="B9266" i="2"/>
  <c r="A9266" i="2"/>
  <c r="O9265" i="2"/>
  <c r="M9265" i="2"/>
  <c r="L9265" i="2"/>
  <c r="E9265" i="2"/>
  <c r="D9265" i="2"/>
  <c r="B9265" i="2"/>
  <c r="A9265" i="2"/>
  <c r="O9264" i="2"/>
  <c r="M9264" i="2"/>
  <c r="L9264" i="2"/>
  <c r="E9264" i="2"/>
  <c r="D9264" i="2"/>
  <c r="B9264" i="2"/>
  <c r="A9264" i="2"/>
  <c r="O9263" i="2"/>
  <c r="M9263" i="2"/>
  <c r="L9263" i="2"/>
  <c r="E9263" i="2"/>
  <c r="D9263" i="2"/>
  <c r="B9263" i="2"/>
  <c r="A9263" i="2"/>
  <c r="O9262" i="2"/>
  <c r="O9261" i="2"/>
  <c r="M9261" i="2"/>
  <c r="L9261" i="2"/>
  <c r="E9261" i="2"/>
  <c r="D9261" i="2"/>
  <c r="B9261" i="2"/>
  <c r="A9261" i="2"/>
  <c r="O9260" i="2"/>
  <c r="M9260" i="2"/>
  <c r="L9260" i="2"/>
  <c r="E9260" i="2"/>
  <c r="D9260" i="2"/>
  <c r="B9260" i="2"/>
  <c r="A9260" i="2"/>
  <c r="O9259" i="2"/>
  <c r="O9258" i="2"/>
  <c r="M9258" i="2"/>
  <c r="L9258" i="2"/>
  <c r="E9258" i="2"/>
  <c r="D9258" i="2"/>
  <c r="B9258" i="2"/>
  <c r="A9258" i="2"/>
  <c r="O9257" i="2"/>
  <c r="O9256" i="2"/>
  <c r="M9256" i="2"/>
  <c r="L9256" i="2"/>
  <c r="E9256" i="2"/>
  <c r="D9256" i="2"/>
  <c r="B9256" i="2"/>
  <c r="A9256" i="2"/>
  <c r="O9255" i="2"/>
  <c r="O9254" i="2"/>
  <c r="O9253" i="2"/>
  <c r="O9252" i="2"/>
  <c r="O9251" i="2"/>
  <c r="M9251" i="2"/>
  <c r="L9251" i="2"/>
  <c r="E9251" i="2"/>
  <c r="D9251" i="2"/>
  <c r="B9251" i="2"/>
  <c r="A9251" i="2"/>
  <c r="O9250" i="2"/>
  <c r="M9250" i="2"/>
  <c r="L9250" i="2"/>
  <c r="E9250" i="2"/>
  <c r="D9250" i="2"/>
  <c r="B9250" i="2"/>
  <c r="A9250" i="2"/>
  <c r="O9249" i="2"/>
  <c r="M9249" i="2"/>
  <c r="L9249" i="2"/>
  <c r="E9249" i="2"/>
  <c r="D9249" i="2"/>
  <c r="B9249" i="2"/>
  <c r="A9249" i="2"/>
  <c r="O9248" i="2"/>
  <c r="M9248" i="2"/>
  <c r="L9248" i="2"/>
  <c r="E9248" i="2"/>
  <c r="D9248" i="2"/>
  <c r="B9248" i="2"/>
  <c r="A9248" i="2"/>
  <c r="O9247" i="2"/>
  <c r="O9246" i="2"/>
  <c r="M9246" i="2"/>
  <c r="L9246" i="2"/>
  <c r="E9246" i="2"/>
  <c r="D9246" i="2"/>
  <c r="B9246" i="2"/>
  <c r="A9246" i="2"/>
  <c r="O9245" i="2"/>
  <c r="M9245" i="2"/>
  <c r="L9245" i="2"/>
  <c r="E9245" i="2"/>
  <c r="D9245" i="2"/>
  <c r="B9245" i="2"/>
  <c r="A9245" i="2"/>
  <c r="O9244" i="2"/>
  <c r="M9244" i="2"/>
  <c r="L9244" i="2"/>
  <c r="E9244" i="2"/>
  <c r="D9244" i="2"/>
  <c r="B9244" i="2"/>
  <c r="A9244" i="2"/>
  <c r="O9243" i="2"/>
  <c r="O9242" i="2"/>
  <c r="M9242" i="2"/>
  <c r="L9242" i="2"/>
  <c r="E9242" i="2"/>
  <c r="D9242" i="2"/>
  <c r="B9242" i="2"/>
  <c r="A9242" i="2"/>
  <c r="O9241" i="2"/>
  <c r="O9240" i="2"/>
  <c r="M9240" i="2"/>
  <c r="L9240" i="2"/>
  <c r="E9240" i="2"/>
  <c r="D9240" i="2"/>
  <c r="B9240" i="2"/>
  <c r="A9240" i="2"/>
  <c r="O9239" i="2"/>
  <c r="M9239" i="2"/>
  <c r="L9239" i="2"/>
  <c r="E9239" i="2"/>
  <c r="D9239" i="2"/>
  <c r="B9239" i="2"/>
  <c r="A9239" i="2"/>
  <c r="O9238" i="2"/>
  <c r="O9237" i="2"/>
  <c r="M9237" i="2"/>
  <c r="L9237" i="2"/>
  <c r="E9237" i="2"/>
  <c r="D9237" i="2"/>
  <c r="B9237" i="2"/>
  <c r="A9237" i="2"/>
  <c r="O9236" i="2"/>
  <c r="M9236" i="2"/>
  <c r="L9236" i="2"/>
  <c r="E9236" i="2"/>
  <c r="D9236" i="2"/>
  <c r="B9236" i="2"/>
  <c r="A9236" i="2"/>
  <c r="O9235" i="2"/>
  <c r="M9235" i="2"/>
  <c r="L9235" i="2"/>
  <c r="E9235" i="2"/>
  <c r="D9235" i="2"/>
  <c r="B9235" i="2"/>
  <c r="A9235" i="2"/>
  <c r="O9234" i="2"/>
  <c r="M9234" i="2"/>
  <c r="L9234" i="2"/>
  <c r="E9234" i="2"/>
  <c r="D9234" i="2"/>
  <c r="B9234" i="2"/>
  <c r="A9234" i="2"/>
  <c r="O9233" i="2"/>
  <c r="M9233" i="2"/>
  <c r="L9233" i="2"/>
  <c r="E9233" i="2"/>
  <c r="D9233" i="2"/>
  <c r="B9233" i="2"/>
  <c r="A9233" i="2"/>
  <c r="O9232" i="2"/>
  <c r="M9232" i="2"/>
  <c r="L9232" i="2"/>
  <c r="E9232" i="2"/>
  <c r="D9232" i="2"/>
  <c r="B9232" i="2"/>
  <c r="A9232" i="2"/>
  <c r="O9231" i="2"/>
  <c r="M9231" i="2"/>
  <c r="L9231" i="2"/>
  <c r="E9231" i="2"/>
  <c r="D9231" i="2"/>
  <c r="B9231" i="2"/>
  <c r="A9231" i="2"/>
  <c r="O9230" i="2"/>
  <c r="M9230" i="2"/>
  <c r="L9230" i="2"/>
  <c r="E9230" i="2"/>
  <c r="D9230" i="2"/>
  <c r="B9230" i="2"/>
  <c r="A9230" i="2"/>
  <c r="O9229" i="2"/>
  <c r="M9229" i="2"/>
  <c r="L9229" i="2"/>
  <c r="E9229" i="2"/>
  <c r="D9229" i="2"/>
  <c r="B9229" i="2"/>
  <c r="A9229" i="2"/>
  <c r="O9228" i="2"/>
  <c r="O9227" i="2"/>
  <c r="M9227" i="2"/>
  <c r="L9227" i="2"/>
  <c r="E9227" i="2"/>
  <c r="D9227" i="2"/>
  <c r="B9227" i="2"/>
  <c r="A9227" i="2"/>
  <c r="O9226" i="2"/>
  <c r="O9225" i="2"/>
  <c r="O9224" i="2"/>
  <c r="M9224" i="2"/>
  <c r="L9224" i="2"/>
  <c r="E9224" i="2"/>
  <c r="D9224" i="2"/>
  <c r="B9224" i="2"/>
  <c r="A9224" i="2"/>
  <c r="O9223" i="2"/>
  <c r="O9222" i="2"/>
  <c r="O9221" i="2"/>
  <c r="O9220" i="2"/>
  <c r="M9220" i="2"/>
  <c r="L9220" i="2"/>
  <c r="E9220" i="2"/>
  <c r="D9220" i="2"/>
  <c r="B9220" i="2"/>
  <c r="A9220" i="2"/>
  <c r="O9219" i="2"/>
  <c r="M9219" i="2"/>
  <c r="L9219" i="2"/>
  <c r="E9219" i="2"/>
  <c r="D9219" i="2"/>
  <c r="B9219" i="2"/>
  <c r="A9219" i="2"/>
  <c r="O9218" i="2"/>
  <c r="M9218" i="2"/>
  <c r="L9218" i="2"/>
  <c r="E9218" i="2"/>
  <c r="D9218" i="2"/>
  <c r="B9218" i="2"/>
  <c r="A9218" i="2"/>
  <c r="O9217" i="2"/>
  <c r="O9216" i="2"/>
  <c r="M9216" i="2"/>
  <c r="L9216" i="2"/>
  <c r="E9216" i="2"/>
  <c r="D9216" i="2"/>
  <c r="B9216" i="2"/>
  <c r="A9216" i="2"/>
  <c r="O9215" i="2"/>
  <c r="M9215" i="2"/>
  <c r="L9215" i="2"/>
  <c r="E9215" i="2"/>
  <c r="D9215" i="2"/>
  <c r="B9215" i="2"/>
  <c r="A9215" i="2"/>
  <c r="O9214" i="2"/>
  <c r="O9213" i="2"/>
  <c r="M9213" i="2"/>
  <c r="L9213" i="2"/>
  <c r="E9213" i="2"/>
  <c r="D9213" i="2"/>
  <c r="B9213" i="2"/>
  <c r="A9213" i="2"/>
  <c r="O9212" i="2"/>
  <c r="O9211" i="2"/>
  <c r="M9211" i="2"/>
  <c r="L9211" i="2"/>
  <c r="E9211" i="2"/>
  <c r="D9211" i="2"/>
  <c r="B9211" i="2"/>
  <c r="A9211" i="2"/>
  <c r="O9210" i="2"/>
  <c r="M9210" i="2"/>
  <c r="L9210" i="2"/>
  <c r="E9210" i="2"/>
  <c r="D9210" i="2"/>
  <c r="B9210" i="2"/>
  <c r="A9210" i="2"/>
  <c r="O9209" i="2"/>
  <c r="M9209" i="2"/>
  <c r="L9209" i="2"/>
  <c r="E9209" i="2"/>
  <c r="D9209" i="2"/>
  <c r="B9209" i="2"/>
  <c r="A9209" i="2"/>
  <c r="O9208" i="2"/>
  <c r="M9208" i="2"/>
  <c r="L9208" i="2"/>
  <c r="E9208" i="2"/>
  <c r="D9208" i="2"/>
  <c r="B9208" i="2"/>
  <c r="A9208" i="2"/>
  <c r="O9207" i="2"/>
  <c r="O9206" i="2"/>
  <c r="O9205" i="2"/>
  <c r="M9205" i="2"/>
  <c r="L9205" i="2"/>
  <c r="E9205" i="2"/>
  <c r="D9205" i="2"/>
  <c r="B9205" i="2"/>
  <c r="A9205" i="2"/>
  <c r="O9204" i="2"/>
  <c r="O9203" i="2"/>
  <c r="M9203" i="2"/>
  <c r="L9203" i="2"/>
  <c r="E9203" i="2"/>
  <c r="D9203" i="2"/>
  <c r="B9203" i="2"/>
  <c r="A9203" i="2"/>
  <c r="O9202" i="2"/>
  <c r="O9201" i="2"/>
  <c r="O9200" i="2"/>
  <c r="O9199" i="2"/>
  <c r="O9198" i="2"/>
  <c r="M9198" i="2"/>
  <c r="L9198" i="2"/>
  <c r="E9198" i="2"/>
  <c r="D9198" i="2"/>
  <c r="B9198" i="2"/>
  <c r="A9198" i="2"/>
  <c r="O9197" i="2"/>
  <c r="M9197" i="2"/>
  <c r="L9197" i="2"/>
  <c r="E9197" i="2"/>
  <c r="D9197" i="2"/>
  <c r="B9197" i="2"/>
  <c r="A9197" i="2"/>
  <c r="O9196" i="2"/>
  <c r="O9195" i="2"/>
  <c r="M9195" i="2"/>
  <c r="L9195" i="2"/>
  <c r="E9195" i="2"/>
  <c r="D9195" i="2"/>
  <c r="B9195" i="2"/>
  <c r="A9195" i="2"/>
  <c r="O9194" i="2"/>
  <c r="O9193" i="2"/>
  <c r="O9192" i="2"/>
  <c r="O9191" i="2"/>
  <c r="O9190" i="2"/>
  <c r="O9189" i="2"/>
  <c r="O9188" i="2"/>
  <c r="O9187" i="2"/>
  <c r="M9187" i="2"/>
  <c r="L9187" i="2"/>
  <c r="E9187" i="2"/>
  <c r="D9187" i="2"/>
  <c r="B9187" i="2"/>
  <c r="A9187" i="2"/>
  <c r="O9186" i="2"/>
  <c r="O9185" i="2"/>
  <c r="O9184" i="2"/>
  <c r="M9184" i="2"/>
  <c r="L9184" i="2"/>
  <c r="E9184" i="2"/>
  <c r="D9184" i="2"/>
  <c r="B9184" i="2"/>
  <c r="A9184" i="2"/>
  <c r="O9183" i="2"/>
  <c r="O9182" i="2"/>
  <c r="M9182" i="2"/>
  <c r="L9182" i="2"/>
  <c r="E9182" i="2"/>
  <c r="D9182" i="2"/>
  <c r="B9182" i="2"/>
  <c r="A9182" i="2"/>
  <c r="O9181" i="2"/>
  <c r="O9180" i="2"/>
  <c r="M9180" i="2"/>
  <c r="L9180" i="2"/>
  <c r="E9180" i="2"/>
  <c r="D9180" i="2"/>
  <c r="B9180" i="2"/>
  <c r="A9180" i="2"/>
  <c r="O9179" i="2"/>
  <c r="O9178" i="2"/>
  <c r="M9178" i="2"/>
  <c r="L9178" i="2"/>
  <c r="E9178" i="2"/>
  <c r="D9178" i="2"/>
  <c r="B9178" i="2"/>
  <c r="A9178" i="2"/>
  <c r="O9177" i="2"/>
  <c r="O9176" i="2"/>
  <c r="M9176" i="2"/>
  <c r="L9176" i="2"/>
  <c r="E9176" i="2"/>
  <c r="D9176" i="2"/>
  <c r="B9176" i="2"/>
  <c r="A9176" i="2"/>
  <c r="O9175" i="2"/>
  <c r="M9175" i="2"/>
  <c r="L9175" i="2"/>
  <c r="E9175" i="2"/>
  <c r="D9175" i="2"/>
  <c r="B9175" i="2"/>
  <c r="A9175" i="2"/>
  <c r="O9174" i="2"/>
  <c r="O9173" i="2"/>
  <c r="O9172" i="2"/>
  <c r="M9172" i="2"/>
  <c r="L9172" i="2"/>
  <c r="E9172" i="2"/>
  <c r="D9172" i="2"/>
  <c r="B9172" i="2"/>
  <c r="A9172" i="2"/>
  <c r="O9171" i="2"/>
  <c r="O9170" i="2"/>
  <c r="M9170" i="2"/>
  <c r="L9170" i="2"/>
  <c r="E9170" i="2"/>
  <c r="D9170" i="2"/>
  <c r="B9170" i="2"/>
  <c r="A9170" i="2"/>
  <c r="O9169" i="2"/>
  <c r="O9168" i="2"/>
  <c r="O9167" i="2"/>
  <c r="M9167" i="2"/>
  <c r="L9167" i="2"/>
  <c r="E9167" i="2"/>
  <c r="D9167" i="2"/>
  <c r="B9167" i="2"/>
  <c r="A9167" i="2"/>
  <c r="O9166" i="2"/>
  <c r="O9165" i="2"/>
  <c r="M9165" i="2"/>
  <c r="L9165" i="2"/>
  <c r="E9165" i="2"/>
  <c r="D9165" i="2"/>
  <c r="B9165" i="2"/>
  <c r="A9165" i="2"/>
  <c r="O9164" i="2"/>
  <c r="O9163" i="2"/>
  <c r="O9162" i="2"/>
  <c r="O9161" i="2"/>
  <c r="O9160" i="2"/>
  <c r="O9159" i="2"/>
  <c r="O9158" i="2"/>
  <c r="O9157" i="2"/>
  <c r="O9156" i="2"/>
  <c r="O9155" i="2"/>
  <c r="O9154" i="2"/>
  <c r="O9153" i="2"/>
  <c r="O9152" i="2"/>
  <c r="O9151" i="2"/>
  <c r="O9150" i="2"/>
  <c r="O9149" i="2"/>
  <c r="O9148" i="2"/>
  <c r="O9147" i="2"/>
  <c r="M9147" i="2"/>
  <c r="L9147" i="2"/>
  <c r="E9147" i="2"/>
  <c r="D9147" i="2"/>
  <c r="B9147" i="2"/>
  <c r="A9147" i="2"/>
  <c r="O9146" i="2"/>
  <c r="O9145" i="2"/>
  <c r="O9144" i="2"/>
  <c r="M9144" i="2"/>
  <c r="L9144" i="2"/>
  <c r="E9144" i="2"/>
  <c r="D9144" i="2"/>
  <c r="B9144" i="2"/>
  <c r="A9144" i="2"/>
  <c r="O9143" i="2"/>
  <c r="M9143" i="2"/>
  <c r="L9143" i="2"/>
  <c r="E9143" i="2"/>
  <c r="D9143" i="2"/>
  <c r="B9143" i="2"/>
  <c r="A9143" i="2"/>
  <c r="O9142" i="2"/>
  <c r="O9141" i="2"/>
  <c r="M9141" i="2"/>
  <c r="L9141" i="2"/>
  <c r="E9141" i="2"/>
  <c r="D9141" i="2"/>
  <c r="B9141" i="2"/>
  <c r="A9141" i="2"/>
  <c r="O9140" i="2"/>
  <c r="M9140" i="2"/>
  <c r="L9140" i="2"/>
  <c r="E9140" i="2"/>
  <c r="D9140" i="2"/>
  <c r="B9140" i="2"/>
  <c r="A9140" i="2"/>
  <c r="O9139" i="2"/>
  <c r="M9139" i="2"/>
  <c r="L9139" i="2"/>
  <c r="E9139" i="2"/>
  <c r="D9139" i="2"/>
  <c r="B9139" i="2"/>
  <c r="A9139" i="2"/>
  <c r="O9138" i="2"/>
  <c r="O9137" i="2"/>
  <c r="O9136" i="2"/>
  <c r="O9135" i="2"/>
  <c r="M9135" i="2"/>
  <c r="L9135" i="2"/>
  <c r="E9135" i="2"/>
  <c r="D9135" i="2"/>
  <c r="B9135" i="2"/>
  <c r="A9135" i="2"/>
  <c r="O9134" i="2"/>
  <c r="M9134" i="2"/>
  <c r="L9134" i="2"/>
  <c r="E9134" i="2"/>
  <c r="D9134" i="2"/>
  <c r="B9134" i="2"/>
  <c r="A9134" i="2"/>
  <c r="O9133" i="2"/>
  <c r="M9133" i="2"/>
  <c r="L9133" i="2"/>
  <c r="E9133" i="2"/>
  <c r="D9133" i="2"/>
  <c r="B9133" i="2"/>
  <c r="A9133" i="2"/>
  <c r="O9132" i="2"/>
  <c r="M9132" i="2"/>
  <c r="L9132" i="2"/>
  <c r="E9132" i="2"/>
  <c r="D9132" i="2"/>
  <c r="B9132" i="2"/>
  <c r="A9132" i="2"/>
  <c r="O9131" i="2"/>
  <c r="M9131" i="2"/>
  <c r="L9131" i="2"/>
  <c r="E9131" i="2"/>
  <c r="D9131" i="2"/>
  <c r="B9131" i="2"/>
  <c r="A9131" i="2"/>
  <c r="O9130" i="2"/>
  <c r="M9130" i="2"/>
  <c r="L9130" i="2"/>
  <c r="E9130" i="2"/>
  <c r="D9130" i="2"/>
  <c r="B9130" i="2"/>
  <c r="A9130" i="2"/>
  <c r="O9129" i="2"/>
  <c r="M9129" i="2"/>
  <c r="L9129" i="2"/>
  <c r="E9129" i="2"/>
  <c r="D9129" i="2"/>
  <c r="B9129" i="2"/>
  <c r="A9129" i="2"/>
  <c r="O9128" i="2"/>
  <c r="M9128" i="2"/>
  <c r="L9128" i="2"/>
  <c r="E9128" i="2"/>
  <c r="D9128" i="2"/>
  <c r="B9128" i="2"/>
  <c r="A9128" i="2"/>
  <c r="O9127" i="2"/>
  <c r="M9127" i="2"/>
  <c r="L9127" i="2"/>
  <c r="E9127" i="2"/>
  <c r="D9127" i="2"/>
  <c r="B9127" i="2"/>
  <c r="A9127" i="2"/>
  <c r="O9126" i="2"/>
  <c r="M9126" i="2"/>
  <c r="L9126" i="2"/>
  <c r="E9126" i="2"/>
  <c r="D9126" i="2"/>
  <c r="B9126" i="2"/>
  <c r="A9126" i="2"/>
  <c r="O9125" i="2"/>
  <c r="M9125" i="2"/>
  <c r="L9125" i="2"/>
  <c r="E9125" i="2"/>
  <c r="D9125" i="2"/>
  <c r="B9125" i="2"/>
  <c r="A9125" i="2"/>
  <c r="O9124" i="2"/>
  <c r="M9124" i="2"/>
  <c r="L9124" i="2"/>
  <c r="E9124" i="2"/>
  <c r="D9124" i="2"/>
  <c r="B9124" i="2"/>
  <c r="A9124" i="2"/>
  <c r="O9123" i="2"/>
  <c r="M9123" i="2"/>
  <c r="L9123" i="2"/>
  <c r="E9123" i="2"/>
  <c r="D9123" i="2"/>
  <c r="B9123" i="2"/>
  <c r="A9123" i="2"/>
  <c r="O9122" i="2"/>
  <c r="O9121" i="2"/>
  <c r="M9121" i="2"/>
  <c r="L9121" i="2"/>
  <c r="E9121" i="2"/>
  <c r="D9121" i="2"/>
  <c r="B9121" i="2"/>
  <c r="A9121" i="2"/>
  <c r="O9120" i="2"/>
  <c r="O9119" i="2"/>
  <c r="O9118" i="2"/>
  <c r="M9118" i="2"/>
  <c r="L9118" i="2"/>
  <c r="E9118" i="2"/>
  <c r="D9118" i="2"/>
  <c r="B9118" i="2"/>
  <c r="A9118" i="2"/>
  <c r="O9117" i="2"/>
  <c r="M9117" i="2"/>
  <c r="L9117" i="2"/>
  <c r="E9117" i="2"/>
  <c r="D9117" i="2"/>
  <c r="B9117" i="2"/>
  <c r="A9117" i="2"/>
  <c r="O9116" i="2"/>
  <c r="M9116" i="2"/>
  <c r="L9116" i="2"/>
  <c r="E9116" i="2"/>
  <c r="D9116" i="2"/>
  <c r="B9116" i="2"/>
  <c r="A9116" i="2"/>
  <c r="O9115" i="2"/>
  <c r="M9115" i="2"/>
  <c r="L9115" i="2"/>
  <c r="E9115" i="2"/>
  <c r="D9115" i="2"/>
  <c r="B9115" i="2"/>
  <c r="A9115" i="2"/>
  <c r="O9114" i="2"/>
  <c r="O9113" i="2"/>
  <c r="O9112" i="2"/>
  <c r="M9112" i="2"/>
  <c r="L9112" i="2"/>
  <c r="E9112" i="2"/>
  <c r="D9112" i="2"/>
  <c r="B9112" i="2"/>
  <c r="A9112" i="2"/>
  <c r="O9111" i="2"/>
  <c r="M9111" i="2"/>
  <c r="L9111" i="2"/>
  <c r="E9111" i="2"/>
  <c r="D9111" i="2"/>
  <c r="B9111" i="2"/>
  <c r="A9111" i="2"/>
  <c r="O9110" i="2"/>
  <c r="M9110" i="2"/>
  <c r="L9110" i="2"/>
  <c r="E9110" i="2"/>
  <c r="D9110" i="2"/>
  <c r="B9110" i="2"/>
  <c r="A9110" i="2"/>
  <c r="O9109" i="2"/>
  <c r="M9109" i="2"/>
  <c r="L9109" i="2"/>
  <c r="E9109" i="2"/>
  <c r="D9109" i="2"/>
  <c r="B9109" i="2"/>
  <c r="A9109" i="2"/>
  <c r="O9108" i="2"/>
  <c r="M9108" i="2"/>
  <c r="L9108" i="2"/>
  <c r="E9108" i="2"/>
  <c r="D9108" i="2"/>
  <c r="B9108" i="2"/>
  <c r="A9108" i="2"/>
  <c r="O9107" i="2"/>
  <c r="M9107" i="2"/>
  <c r="L9107" i="2"/>
  <c r="E9107" i="2"/>
  <c r="D9107" i="2"/>
  <c r="B9107" i="2"/>
  <c r="A9107" i="2"/>
  <c r="O9106" i="2"/>
  <c r="M9106" i="2"/>
  <c r="L9106" i="2"/>
  <c r="E9106" i="2"/>
  <c r="D9106" i="2"/>
  <c r="B9106" i="2"/>
  <c r="A9106" i="2"/>
  <c r="O9105" i="2"/>
  <c r="M9105" i="2"/>
  <c r="L9105" i="2"/>
  <c r="E9105" i="2"/>
  <c r="D9105" i="2"/>
  <c r="B9105" i="2"/>
  <c r="A9105" i="2"/>
  <c r="O9104" i="2"/>
  <c r="M9104" i="2"/>
  <c r="L9104" i="2"/>
  <c r="E9104" i="2"/>
  <c r="D9104" i="2"/>
  <c r="B9104" i="2"/>
  <c r="A9104" i="2"/>
  <c r="O9103" i="2"/>
  <c r="M9103" i="2"/>
  <c r="L9103" i="2"/>
  <c r="E9103" i="2"/>
  <c r="D9103" i="2"/>
  <c r="B9103" i="2"/>
  <c r="A9103" i="2"/>
  <c r="O9102" i="2"/>
  <c r="O9101" i="2"/>
  <c r="M9101" i="2"/>
  <c r="L9101" i="2"/>
  <c r="E9101" i="2"/>
  <c r="D9101" i="2"/>
  <c r="B9101" i="2"/>
  <c r="A9101" i="2"/>
  <c r="O9100" i="2"/>
  <c r="O9099" i="2"/>
  <c r="M9099" i="2"/>
  <c r="L9099" i="2"/>
  <c r="E9099" i="2"/>
  <c r="D9099" i="2"/>
  <c r="B9099" i="2"/>
  <c r="A9099" i="2"/>
  <c r="O9098" i="2"/>
  <c r="O9097" i="2"/>
  <c r="O9096" i="2"/>
  <c r="O9095" i="2"/>
  <c r="M9095" i="2"/>
  <c r="L9095" i="2"/>
  <c r="E9095" i="2"/>
  <c r="D9095" i="2"/>
  <c r="B9095" i="2"/>
  <c r="A9095" i="2"/>
  <c r="O9094" i="2"/>
  <c r="O9093" i="2"/>
  <c r="M9093" i="2"/>
  <c r="L9093" i="2"/>
  <c r="E9093" i="2"/>
  <c r="D9093" i="2"/>
  <c r="B9093" i="2"/>
  <c r="A9093" i="2"/>
  <c r="O9092" i="2"/>
  <c r="M9092" i="2"/>
  <c r="L9092" i="2"/>
  <c r="E9092" i="2"/>
  <c r="D9092" i="2"/>
  <c r="B9092" i="2"/>
  <c r="A9092" i="2"/>
  <c r="O9091" i="2"/>
  <c r="M9091" i="2"/>
  <c r="L9091" i="2"/>
  <c r="E9091" i="2"/>
  <c r="D9091" i="2"/>
  <c r="B9091" i="2"/>
  <c r="A9091" i="2"/>
  <c r="O9090" i="2"/>
  <c r="M9090" i="2"/>
  <c r="L9090" i="2"/>
  <c r="E9090" i="2"/>
  <c r="D9090" i="2"/>
  <c r="B9090" i="2"/>
  <c r="A9090" i="2"/>
  <c r="O9089" i="2"/>
  <c r="M9089" i="2"/>
  <c r="L9089" i="2"/>
  <c r="E9089" i="2"/>
  <c r="D9089" i="2"/>
  <c r="B9089" i="2"/>
  <c r="A9089" i="2"/>
  <c r="O9088" i="2"/>
  <c r="O9087" i="2"/>
  <c r="O9086" i="2"/>
  <c r="M9086" i="2"/>
  <c r="L9086" i="2"/>
  <c r="E9086" i="2"/>
  <c r="D9086" i="2"/>
  <c r="B9086" i="2"/>
  <c r="A9086" i="2"/>
  <c r="O9085" i="2"/>
  <c r="M9085" i="2"/>
  <c r="L9085" i="2"/>
  <c r="E9085" i="2"/>
  <c r="D9085" i="2"/>
  <c r="B9085" i="2"/>
  <c r="A9085" i="2"/>
  <c r="O9084" i="2"/>
  <c r="O9083" i="2"/>
  <c r="M9083" i="2"/>
  <c r="L9083" i="2"/>
  <c r="E9083" i="2"/>
  <c r="D9083" i="2"/>
  <c r="B9083" i="2"/>
  <c r="A9083" i="2"/>
  <c r="O9082" i="2"/>
  <c r="M9082" i="2"/>
  <c r="L9082" i="2"/>
  <c r="E9082" i="2"/>
  <c r="D9082" i="2"/>
  <c r="B9082" i="2"/>
  <c r="A9082" i="2"/>
  <c r="O9081" i="2"/>
  <c r="O9080" i="2"/>
  <c r="M9080" i="2"/>
  <c r="L9080" i="2"/>
  <c r="E9080" i="2"/>
  <c r="D9080" i="2"/>
  <c r="B9080" i="2"/>
  <c r="A9080" i="2"/>
  <c r="O9079" i="2"/>
  <c r="M9079" i="2"/>
  <c r="L9079" i="2"/>
  <c r="E9079" i="2"/>
  <c r="D9079" i="2"/>
  <c r="B9079" i="2"/>
  <c r="A9079" i="2"/>
  <c r="O9078" i="2"/>
  <c r="M9078" i="2"/>
  <c r="L9078" i="2"/>
  <c r="E9078" i="2"/>
  <c r="D9078" i="2"/>
  <c r="B9078" i="2"/>
  <c r="A9078" i="2"/>
  <c r="O9077" i="2"/>
  <c r="O9076" i="2"/>
  <c r="M9076" i="2"/>
  <c r="L9076" i="2"/>
  <c r="E9076" i="2"/>
  <c r="D9076" i="2"/>
  <c r="B9076" i="2"/>
  <c r="A9076" i="2"/>
  <c r="O9075" i="2"/>
  <c r="O9074" i="2"/>
  <c r="O9073" i="2"/>
  <c r="M9073" i="2"/>
  <c r="L9073" i="2"/>
  <c r="E9073" i="2"/>
  <c r="D9073" i="2"/>
  <c r="B9073" i="2"/>
  <c r="A9073" i="2"/>
  <c r="O9072" i="2"/>
  <c r="M9072" i="2"/>
  <c r="L9072" i="2"/>
  <c r="E9072" i="2"/>
  <c r="D9072" i="2"/>
  <c r="B9072" i="2"/>
  <c r="A9072" i="2"/>
  <c r="O9071" i="2"/>
  <c r="M9071" i="2"/>
  <c r="L9071" i="2"/>
  <c r="E9071" i="2"/>
  <c r="D9071" i="2"/>
  <c r="B9071" i="2"/>
  <c r="A9071" i="2"/>
  <c r="O9070" i="2"/>
  <c r="M9070" i="2"/>
  <c r="L9070" i="2"/>
  <c r="E9070" i="2"/>
  <c r="D9070" i="2"/>
  <c r="B9070" i="2"/>
  <c r="A9070" i="2"/>
  <c r="O9069" i="2"/>
  <c r="M9069" i="2"/>
  <c r="L9069" i="2"/>
  <c r="E9069" i="2"/>
  <c r="D9069" i="2"/>
  <c r="B9069" i="2"/>
  <c r="A9069" i="2"/>
  <c r="O9068" i="2"/>
  <c r="M9068" i="2"/>
  <c r="L9068" i="2"/>
  <c r="E9068" i="2"/>
  <c r="D9068" i="2"/>
  <c r="B9068" i="2"/>
  <c r="A9068" i="2"/>
  <c r="O9067" i="2"/>
  <c r="M9067" i="2"/>
  <c r="L9067" i="2"/>
  <c r="E9067" i="2"/>
  <c r="D9067" i="2"/>
  <c r="B9067" i="2"/>
  <c r="A9067" i="2"/>
  <c r="O9066" i="2"/>
  <c r="M9066" i="2"/>
  <c r="L9066" i="2"/>
  <c r="E9066" i="2"/>
  <c r="D9066" i="2"/>
  <c r="B9066" i="2"/>
  <c r="A9066" i="2"/>
  <c r="O9065" i="2"/>
  <c r="O9064" i="2"/>
  <c r="O9063" i="2"/>
  <c r="O9062" i="2"/>
  <c r="O9061" i="2"/>
  <c r="O9060" i="2"/>
  <c r="M9060" i="2"/>
  <c r="L9060" i="2"/>
  <c r="E9060" i="2"/>
  <c r="D9060" i="2"/>
  <c r="B9060" i="2"/>
  <c r="A9060" i="2"/>
  <c r="O9059" i="2"/>
  <c r="M9059" i="2"/>
  <c r="L9059" i="2"/>
  <c r="E9059" i="2"/>
  <c r="D9059" i="2"/>
  <c r="B9059" i="2"/>
  <c r="A9059" i="2"/>
  <c r="O9058" i="2"/>
  <c r="M9058" i="2"/>
  <c r="L9058" i="2"/>
  <c r="E9058" i="2"/>
  <c r="D9058" i="2"/>
  <c r="B9058" i="2"/>
  <c r="A9058" i="2"/>
  <c r="O9057" i="2"/>
  <c r="M9057" i="2"/>
  <c r="L9057" i="2"/>
  <c r="E9057" i="2"/>
  <c r="D9057" i="2"/>
  <c r="B9057" i="2"/>
  <c r="A9057" i="2"/>
  <c r="O9056" i="2"/>
  <c r="M9056" i="2"/>
  <c r="L9056" i="2"/>
  <c r="E9056" i="2"/>
  <c r="D9056" i="2"/>
  <c r="B9056" i="2"/>
  <c r="A9056" i="2"/>
  <c r="O9055" i="2"/>
  <c r="O9054" i="2"/>
  <c r="M9054" i="2"/>
  <c r="L9054" i="2"/>
  <c r="E9054" i="2"/>
  <c r="D9054" i="2"/>
  <c r="B9054" i="2"/>
  <c r="A9054" i="2"/>
  <c r="O9053" i="2"/>
  <c r="M9053" i="2"/>
  <c r="L9053" i="2"/>
  <c r="E9053" i="2"/>
  <c r="D9053" i="2"/>
  <c r="B9053" i="2"/>
  <c r="A9053" i="2"/>
  <c r="O9052" i="2"/>
  <c r="O9051" i="2"/>
  <c r="M9051" i="2"/>
  <c r="L9051" i="2"/>
  <c r="E9051" i="2"/>
  <c r="D9051" i="2"/>
  <c r="B9051" i="2"/>
  <c r="A9051" i="2"/>
  <c r="O9050" i="2"/>
  <c r="O9049" i="2"/>
  <c r="M9049" i="2"/>
  <c r="L9049" i="2"/>
  <c r="E9049" i="2"/>
  <c r="D9049" i="2"/>
  <c r="B9049" i="2"/>
  <c r="A9049" i="2"/>
  <c r="O9048" i="2"/>
  <c r="O9047" i="2"/>
  <c r="M9047" i="2"/>
  <c r="L9047" i="2"/>
  <c r="E9047" i="2"/>
  <c r="D9047" i="2"/>
  <c r="B9047" i="2"/>
  <c r="A9047" i="2"/>
  <c r="O9046" i="2"/>
  <c r="M9046" i="2"/>
  <c r="L9046" i="2"/>
  <c r="E9046" i="2"/>
  <c r="D9046" i="2"/>
  <c r="B9046" i="2"/>
  <c r="A9046" i="2"/>
  <c r="O9045" i="2"/>
  <c r="M9045" i="2"/>
  <c r="L9045" i="2"/>
  <c r="E9045" i="2"/>
  <c r="D9045" i="2"/>
  <c r="B9045" i="2"/>
  <c r="A9045" i="2"/>
  <c r="O9044" i="2"/>
  <c r="O9043" i="2"/>
  <c r="M9043" i="2"/>
  <c r="L9043" i="2"/>
  <c r="E9043" i="2"/>
  <c r="D9043" i="2"/>
  <c r="B9043" i="2"/>
  <c r="A9043" i="2"/>
  <c r="O9042" i="2"/>
  <c r="O9041" i="2"/>
  <c r="M9041" i="2"/>
  <c r="L9041" i="2"/>
  <c r="E9041" i="2"/>
  <c r="D9041" i="2"/>
  <c r="B9041" i="2"/>
  <c r="A9041" i="2"/>
  <c r="O9040" i="2"/>
  <c r="M9040" i="2"/>
  <c r="L9040" i="2"/>
  <c r="E9040" i="2"/>
  <c r="D9040" i="2"/>
  <c r="B9040" i="2"/>
  <c r="A9040" i="2"/>
  <c r="O9039" i="2"/>
  <c r="O9038" i="2"/>
  <c r="M9038" i="2"/>
  <c r="L9038" i="2"/>
  <c r="E9038" i="2"/>
  <c r="D9038" i="2"/>
  <c r="B9038" i="2"/>
  <c r="A9038" i="2"/>
  <c r="O9037" i="2"/>
  <c r="M9037" i="2"/>
  <c r="L9037" i="2"/>
  <c r="E9037" i="2"/>
  <c r="D9037" i="2"/>
  <c r="B9037" i="2"/>
  <c r="A9037" i="2"/>
  <c r="O9036" i="2"/>
  <c r="O9035" i="2"/>
  <c r="O9034" i="2"/>
  <c r="M9034" i="2"/>
  <c r="L9034" i="2"/>
  <c r="E9034" i="2"/>
  <c r="D9034" i="2"/>
  <c r="B9034" i="2"/>
  <c r="A9034" i="2"/>
  <c r="O9033" i="2"/>
  <c r="O9032" i="2"/>
  <c r="M9032" i="2"/>
  <c r="L9032" i="2"/>
  <c r="E9032" i="2"/>
  <c r="D9032" i="2"/>
  <c r="B9032" i="2"/>
  <c r="A9032" i="2"/>
  <c r="O9031" i="2"/>
  <c r="O9030" i="2"/>
  <c r="M9030" i="2"/>
  <c r="L9030" i="2"/>
  <c r="E9030" i="2"/>
  <c r="D9030" i="2"/>
  <c r="B9030" i="2"/>
  <c r="A9030" i="2"/>
  <c r="O9029" i="2"/>
  <c r="M9029" i="2"/>
  <c r="L9029" i="2"/>
  <c r="E9029" i="2"/>
  <c r="D9029" i="2"/>
  <c r="B9029" i="2"/>
  <c r="A9029" i="2"/>
  <c r="O9028" i="2"/>
  <c r="M9028" i="2"/>
  <c r="L9028" i="2"/>
  <c r="E9028" i="2"/>
  <c r="D9028" i="2"/>
  <c r="B9028" i="2"/>
  <c r="A9028" i="2"/>
  <c r="O9027" i="2"/>
  <c r="M9027" i="2"/>
  <c r="L9027" i="2"/>
  <c r="E9027" i="2"/>
  <c r="D9027" i="2"/>
  <c r="B9027" i="2"/>
  <c r="A9027" i="2"/>
  <c r="O9026" i="2"/>
  <c r="M9026" i="2"/>
  <c r="L9026" i="2"/>
  <c r="E9026" i="2"/>
  <c r="D9026" i="2"/>
  <c r="B9026" i="2"/>
  <c r="A9026" i="2"/>
  <c r="O9025" i="2"/>
  <c r="O9024" i="2"/>
  <c r="M9024" i="2"/>
  <c r="L9024" i="2"/>
  <c r="E9024" i="2"/>
  <c r="D9024" i="2"/>
  <c r="B9024" i="2"/>
  <c r="A9024" i="2"/>
  <c r="O9023" i="2"/>
  <c r="O9022" i="2"/>
  <c r="M9022" i="2"/>
  <c r="L9022" i="2"/>
  <c r="E9022" i="2"/>
  <c r="D9022" i="2"/>
  <c r="B9022" i="2"/>
  <c r="A9022" i="2"/>
  <c r="O9021" i="2"/>
  <c r="M9021" i="2"/>
  <c r="L9021" i="2"/>
  <c r="E9021" i="2"/>
  <c r="D9021" i="2"/>
  <c r="B9021" i="2"/>
  <c r="A9021" i="2"/>
  <c r="O9020" i="2"/>
  <c r="M9020" i="2"/>
  <c r="L9020" i="2"/>
  <c r="E9020" i="2"/>
  <c r="D9020" i="2"/>
  <c r="B9020" i="2"/>
  <c r="A9020" i="2"/>
  <c r="O9019" i="2"/>
  <c r="M9019" i="2"/>
  <c r="L9019" i="2"/>
  <c r="E9019" i="2"/>
  <c r="D9019" i="2"/>
  <c r="B9019" i="2"/>
  <c r="A9019" i="2"/>
  <c r="O9018" i="2"/>
  <c r="O9017" i="2"/>
  <c r="M9017" i="2"/>
  <c r="L9017" i="2"/>
  <c r="E9017" i="2"/>
  <c r="D9017" i="2"/>
  <c r="B9017" i="2"/>
  <c r="A9017" i="2"/>
  <c r="O9016" i="2"/>
  <c r="M9016" i="2"/>
  <c r="L9016" i="2"/>
  <c r="E9016" i="2"/>
  <c r="D9016" i="2"/>
  <c r="B9016" i="2"/>
  <c r="A9016" i="2"/>
  <c r="O9015" i="2"/>
  <c r="M9015" i="2"/>
  <c r="L9015" i="2"/>
  <c r="E9015" i="2"/>
  <c r="D9015" i="2"/>
  <c r="B9015" i="2"/>
  <c r="A9015" i="2"/>
  <c r="O9014" i="2"/>
  <c r="O9013" i="2"/>
  <c r="M9013" i="2"/>
  <c r="L9013" i="2"/>
  <c r="E9013" i="2"/>
  <c r="D9013" i="2"/>
  <c r="B9013" i="2"/>
  <c r="A9013" i="2"/>
  <c r="O9012" i="2"/>
  <c r="O9011" i="2"/>
  <c r="O9010" i="2"/>
  <c r="O9009" i="2"/>
  <c r="O9008" i="2"/>
  <c r="M9008" i="2"/>
  <c r="L9008" i="2"/>
  <c r="E9008" i="2"/>
  <c r="D9008" i="2"/>
  <c r="B9008" i="2"/>
  <c r="A9008" i="2"/>
  <c r="O9007" i="2"/>
  <c r="M9007" i="2"/>
  <c r="L9007" i="2"/>
  <c r="E9007" i="2"/>
  <c r="D9007" i="2"/>
  <c r="B9007" i="2"/>
  <c r="A9007" i="2"/>
  <c r="O9006" i="2"/>
  <c r="M9006" i="2"/>
  <c r="L9006" i="2"/>
  <c r="E9006" i="2"/>
  <c r="D9006" i="2"/>
  <c r="B9006" i="2"/>
  <c r="A9006" i="2"/>
  <c r="O9005" i="2"/>
  <c r="M9005" i="2"/>
  <c r="L9005" i="2"/>
  <c r="E9005" i="2"/>
  <c r="D9005" i="2"/>
  <c r="B9005" i="2"/>
  <c r="A9005" i="2"/>
  <c r="O9004" i="2"/>
  <c r="M9004" i="2"/>
  <c r="L9004" i="2"/>
  <c r="E9004" i="2"/>
  <c r="D9004" i="2"/>
  <c r="B9004" i="2"/>
  <c r="A9004" i="2"/>
  <c r="O9003" i="2"/>
  <c r="M9003" i="2"/>
  <c r="L9003" i="2"/>
  <c r="E9003" i="2"/>
  <c r="D9003" i="2"/>
  <c r="B9003" i="2"/>
  <c r="A9003" i="2"/>
  <c r="O9002" i="2"/>
  <c r="O9001" i="2"/>
  <c r="O9000" i="2"/>
  <c r="O8999" i="2"/>
  <c r="O8998" i="2"/>
  <c r="M8998" i="2"/>
  <c r="L8998" i="2"/>
  <c r="E8998" i="2"/>
  <c r="D8998" i="2"/>
  <c r="B8998" i="2"/>
  <c r="A8998" i="2"/>
  <c r="O8997" i="2"/>
  <c r="M8997" i="2"/>
  <c r="L8997" i="2"/>
  <c r="E8997" i="2"/>
  <c r="D8997" i="2"/>
  <c r="B8997" i="2"/>
  <c r="A8997" i="2"/>
  <c r="O8996" i="2"/>
  <c r="M8996" i="2"/>
  <c r="L8996" i="2"/>
  <c r="E8996" i="2"/>
  <c r="D8996" i="2"/>
  <c r="B8996" i="2"/>
  <c r="A8996" i="2"/>
  <c r="O8995" i="2"/>
  <c r="M8995" i="2"/>
  <c r="L8995" i="2"/>
  <c r="E8995" i="2"/>
  <c r="D8995" i="2"/>
  <c r="B8995" i="2"/>
  <c r="A8995" i="2"/>
  <c r="O8994" i="2"/>
  <c r="M8994" i="2"/>
  <c r="L8994" i="2"/>
  <c r="E8994" i="2"/>
  <c r="D8994" i="2"/>
  <c r="B8994" i="2"/>
  <c r="A8994" i="2"/>
  <c r="O8993" i="2"/>
  <c r="M8993" i="2"/>
  <c r="L8993" i="2"/>
  <c r="E8993" i="2"/>
  <c r="D8993" i="2"/>
  <c r="B8993" i="2"/>
  <c r="A8993" i="2"/>
  <c r="O8992" i="2"/>
  <c r="O8991" i="2"/>
  <c r="M8991" i="2"/>
  <c r="L8991" i="2"/>
  <c r="E8991" i="2"/>
  <c r="D8991" i="2"/>
  <c r="B8991" i="2"/>
  <c r="A8991" i="2"/>
  <c r="O8990" i="2"/>
  <c r="M8990" i="2"/>
  <c r="L8990" i="2"/>
  <c r="E8990" i="2"/>
  <c r="D8990" i="2"/>
  <c r="B8990" i="2"/>
  <c r="A8990" i="2"/>
  <c r="O8989" i="2"/>
  <c r="O8988" i="2"/>
  <c r="M8988" i="2"/>
  <c r="L8988" i="2"/>
  <c r="E8988" i="2"/>
  <c r="D8988" i="2"/>
  <c r="B8988" i="2"/>
  <c r="A8988" i="2"/>
  <c r="O8987" i="2"/>
  <c r="M8987" i="2"/>
  <c r="L8987" i="2"/>
  <c r="E8987" i="2"/>
  <c r="D8987" i="2"/>
  <c r="B8987" i="2"/>
  <c r="A8987" i="2"/>
  <c r="O8986" i="2"/>
  <c r="M8986" i="2"/>
  <c r="L8986" i="2"/>
  <c r="E8986" i="2"/>
  <c r="D8986" i="2"/>
  <c r="B8986" i="2"/>
  <c r="A8986" i="2"/>
  <c r="O8985" i="2"/>
  <c r="M8985" i="2"/>
  <c r="L8985" i="2"/>
  <c r="E8985" i="2"/>
  <c r="D8985" i="2"/>
  <c r="B8985" i="2"/>
  <c r="A8985" i="2"/>
  <c r="O8984" i="2"/>
  <c r="O8983" i="2"/>
  <c r="M8983" i="2"/>
  <c r="L8983" i="2"/>
  <c r="E8983" i="2"/>
  <c r="D8983" i="2"/>
  <c r="B8983" i="2"/>
  <c r="A8983" i="2"/>
  <c r="O8982" i="2"/>
  <c r="O8981" i="2"/>
  <c r="M8981" i="2"/>
  <c r="L8981" i="2"/>
  <c r="E8981" i="2"/>
  <c r="D8981" i="2"/>
  <c r="B8981" i="2"/>
  <c r="A8981" i="2"/>
  <c r="O8980" i="2"/>
  <c r="M8980" i="2"/>
  <c r="L8980" i="2"/>
  <c r="E8980" i="2"/>
  <c r="D8980" i="2"/>
  <c r="B8980" i="2"/>
  <c r="A8980" i="2"/>
  <c r="O8979" i="2"/>
  <c r="O8978" i="2"/>
  <c r="M8978" i="2"/>
  <c r="L8978" i="2"/>
  <c r="E8978" i="2"/>
  <c r="D8978" i="2"/>
  <c r="B8978" i="2"/>
  <c r="A8978" i="2"/>
  <c r="O8977" i="2"/>
  <c r="O8976" i="2"/>
  <c r="M8976" i="2"/>
  <c r="L8976" i="2"/>
  <c r="E8976" i="2"/>
  <c r="D8976" i="2"/>
  <c r="B8976" i="2"/>
  <c r="A8976" i="2"/>
  <c r="O8975" i="2"/>
  <c r="M8975" i="2"/>
  <c r="L8975" i="2"/>
  <c r="E8975" i="2"/>
  <c r="D8975" i="2"/>
  <c r="B8975" i="2"/>
  <c r="A8975" i="2"/>
  <c r="O8974" i="2"/>
  <c r="M8974" i="2"/>
  <c r="L8974" i="2"/>
  <c r="E8974" i="2"/>
  <c r="D8974" i="2"/>
  <c r="B8974" i="2"/>
  <c r="A8974" i="2"/>
  <c r="O8973" i="2"/>
  <c r="M8973" i="2"/>
  <c r="L8973" i="2"/>
  <c r="E8973" i="2"/>
  <c r="D8973" i="2"/>
  <c r="B8973" i="2"/>
  <c r="A8973" i="2"/>
  <c r="O8972" i="2"/>
  <c r="M8972" i="2"/>
  <c r="L8972" i="2"/>
  <c r="E8972" i="2"/>
  <c r="D8972" i="2"/>
  <c r="B8972" i="2"/>
  <c r="A8972" i="2"/>
  <c r="O8971" i="2"/>
  <c r="M8971" i="2"/>
  <c r="L8971" i="2"/>
  <c r="E8971" i="2"/>
  <c r="D8971" i="2"/>
  <c r="B8971" i="2"/>
  <c r="A8971" i="2"/>
  <c r="O8970" i="2"/>
  <c r="O8969" i="2"/>
  <c r="M8969" i="2"/>
  <c r="L8969" i="2"/>
  <c r="E8969" i="2"/>
  <c r="D8969" i="2"/>
  <c r="B8969" i="2"/>
  <c r="A8969" i="2"/>
  <c r="O8968" i="2"/>
  <c r="M8968" i="2"/>
  <c r="L8968" i="2"/>
  <c r="E8968" i="2"/>
  <c r="D8968" i="2"/>
  <c r="B8968" i="2"/>
  <c r="A8968" i="2"/>
  <c r="O8967" i="2"/>
  <c r="M8967" i="2"/>
  <c r="L8967" i="2"/>
  <c r="E8967" i="2"/>
  <c r="D8967" i="2"/>
  <c r="B8967" i="2"/>
  <c r="A8967" i="2"/>
  <c r="O8966" i="2"/>
  <c r="M8966" i="2"/>
  <c r="L8966" i="2"/>
  <c r="E8966" i="2"/>
  <c r="D8966" i="2"/>
  <c r="B8966" i="2"/>
  <c r="A8966" i="2"/>
  <c r="O8965" i="2"/>
  <c r="M8965" i="2"/>
  <c r="L8965" i="2"/>
  <c r="E8965" i="2"/>
  <c r="D8965" i="2"/>
  <c r="B8965" i="2"/>
  <c r="A8965" i="2"/>
  <c r="O8964" i="2"/>
  <c r="M8964" i="2"/>
  <c r="L8964" i="2"/>
  <c r="E8964" i="2"/>
  <c r="D8964" i="2"/>
  <c r="B8964" i="2"/>
  <c r="A8964" i="2"/>
  <c r="O8963" i="2"/>
  <c r="M8963" i="2"/>
  <c r="L8963" i="2"/>
  <c r="E8963" i="2"/>
  <c r="D8963" i="2"/>
  <c r="B8963" i="2"/>
  <c r="A8963" i="2"/>
  <c r="O8962" i="2"/>
  <c r="M8962" i="2"/>
  <c r="L8962" i="2"/>
  <c r="E8962" i="2"/>
  <c r="D8962" i="2"/>
  <c r="B8962" i="2"/>
  <c r="A8962" i="2"/>
  <c r="O8961" i="2"/>
  <c r="M8961" i="2"/>
  <c r="L8961" i="2"/>
  <c r="E8961" i="2"/>
  <c r="D8961" i="2"/>
  <c r="B8961" i="2"/>
  <c r="A8961" i="2"/>
  <c r="O8960" i="2"/>
  <c r="M8960" i="2"/>
  <c r="L8960" i="2"/>
  <c r="E8960" i="2"/>
  <c r="D8960" i="2"/>
  <c r="B8960" i="2"/>
  <c r="A8960" i="2"/>
  <c r="O8959" i="2"/>
  <c r="O8958" i="2"/>
  <c r="M8958" i="2"/>
  <c r="L8958" i="2"/>
  <c r="E8958" i="2"/>
  <c r="D8958" i="2"/>
  <c r="B8958" i="2"/>
  <c r="A8958" i="2"/>
  <c r="O8957" i="2"/>
  <c r="O8956" i="2"/>
  <c r="M8956" i="2"/>
  <c r="L8956" i="2"/>
  <c r="E8956" i="2"/>
  <c r="D8956" i="2"/>
  <c r="B8956" i="2"/>
  <c r="A8956" i="2"/>
  <c r="O8955" i="2"/>
  <c r="M8955" i="2"/>
  <c r="L8955" i="2"/>
  <c r="E8955" i="2"/>
  <c r="D8955" i="2"/>
  <c r="B8955" i="2"/>
  <c r="A8955" i="2"/>
  <c r="O8954" i="2"/>
  <c r="O8953" i="2"/>
  <c r="M8953" i="2"/>
  <c r="L8953" i="2"/>
  <c r="E8953" i="2"/>
  <c r="D8953" i="2"/>
  <c r="B8953" i="2"/>
  <c r="A8953" i="2"/>
  <c r="O8952" i="2"/>
  <c r="M8952" i="2"/>
  <c r="L8952" i="2"/>
  <c r="E8952" i="2"/>
  <c r="D8952" i="2"/>
  <c r="B8952" i="2"/>
  <c r="A8952" i="2"/>
  <c r="O8951" i="2"/>
  <c r="O8950" i="2"/>
  <c r="M8950" i="2"/>
  <c r="L8950" i="2"/>
  <c r="E8950" i="2"/>
  <c r="D8950" i="2"/>
  <c r="B8950" i="2"/>
  <c r="A8950" i="2"/>
  <c r="O8949" i="2"/>
  <c r="O8948" i="2"/>
  <c r="M8948" i="2"/>
  <c r="L8948" i="2"/>
  <c r="E8948" i="2"/>
  <c r="D8948" i="2"/>
  <c r="B8948" i="2"/>
  <c r="A8948" i="2"/>
  <c r="O8947" i="2"/>
  <c r="O8946" i="2"/>
  <c r="M8946" i="2"/>
  <c r="L8946" i="2"/>
  <c r="E8946" i="2"/>
  <c r="D8946" i="2"/>
  <c r="B8946" i="2"/>
  <c r="A8946" i="2"/>
  <c r="O8945" i="2"/>
  <c r="M8945" i="2"/>
  <c r="L8945" i="2"/>
  <c r="E8945" i="2"/>
  <c r="D8945" i="2"/>
  <c r="B8945" i="2"/>
  <c r="A8945" i="2"/>
  <c r="O8944" i="2"/>
  <c r="O8943" i="2"/>
  <c r="O8942" i="2"/>
  <c r="O8941" i="2"/>
  <c r="M8941" i="2"/>
  <c r="L8941" i="2"/>
  <c r="E8941" i="2"/>
  <c r="D8941" i="2"/>
  <c r="B8941" i="2"/>
  <c r="A8941" i="2"/>
  <c r="O8940" i="2"/>
  <c r="O8939" i="2"/>
  <c r="O8938" i="2"/>
  <c r="O8937" i="2"/>
  <c r="M8937" i="2"/>
  <c r="L8937" i="2"/>
  <c r="E8937" i="2"/>
  <c r="D8937" i="2"/>
  <c r="B8937" i="2"/>
  <c r="A8937" i="2"/>
  <c r="O8936" i="2"/>
  <c r="M8936" i="2"/>
  <c r="L8936" i="2"/>
  <c r="E8936" i="2"/>
  <c r="D8936" i="2"/>
  <c r="B8936" i="2"/>
  <c r="A8936" i="2"/>
  <c r="O8935" i="2"/>
  <c r="O8934" i="2"/>
  <c r="O8933" i="2"/>
  <c r="O8932" i="2"/>
  <c r="O8931" i="2"/>
  <c r="O8930" i="2"/>
  <c r="O8929" i="2"/>
  <c r="M8929" i="2"/>
  <c r="L8929" i="2"/>
  <c r="E8929" i="2"/>
  <c r="D8929" i="2"/>
  <c r="B8929" i="2"/>
  <c r="A8929" i="2"/>
  <c r="O8928" i="2"/>
  <c r="M8928" i="2"/>
  <c r="L8928" i="2"/>
  <c r="E8928" i="2"/>
  <c r="D8928" i="2"/>
  <c r="B8928" i="2"/>
  <c r="A8928" i="2"/>
  <c r="O8927" i="2"/>
  <c r="M8927" i="2"/>
  <c r="L8927" i="2"/>
  <c r="E8927" i="2"/>
  <c r="D8927" i="2"/>
  <c r="B8927" i="2"/>
  <c r="A8927" i="2"/>
  <c r="O8926" i="2"/>
  <c r="O8925" i="2"/>
  <c r="O8924" i="2"/>
  <c r="M8924" i="2"/>
  <c r="L8924" i="2"/>
  <c r="E8924" i="2"/>
  <c r="D8924" i="2"/>
  <c r="B8924" i="2"/>
  <c r="A8924" i="2"/>
  <c r="O8923" i="2"/>
  <c r="M8923" i="2"/>
  <c r="L8923" i="2"/>
  <c r="E8923" i="2"/>
  <c r="D8923" i="2"/>
  <c r="B8923" i="2"/>
  <c r="A8923" i="2"/>
  <c r="O8922" i="2"/>
  <c r="O8921" i="2"/>
  <c r="O8920" i="2"/>
  <c r="M8920" i="2"/>
  <c r="L8920" i="2"/>
  <c r="E8920" i="2"/>
  <c r="D8920" i="2"/>
  <c r="B8920" i="2"/>
  <c r="A8920" i="2"/>
  <c r="O8919" i="2"/>
  <c r="M8919" i="2"/>
  <c r="L8919" i="2"/>
  <c r="E8919" i="2"/>
  <c r="D8919" i="2"/>
  <c r="B8919" i="2"/>
  <c r="A8919" i="2"/>
  <c r="O8918" i="2"/>
  <c r="O8917" i="2"/>
  <c r="O8916" i="2"/>
  <c r="O8915" i="2"/>
  <c r="M8915" i="2"/>
  <c r="L8915" i="2"/>
  <c r="E8915" i="2"/>
  <c r="D8915" i="2"/>
  <c r="B8915" i="2"/>
  <c r="A8915" i="2"/>
  <c r="O8914" i="2"/>
  <c r="M8914" i="2"/>
  <c r="L8914" i="2"/>
  <c r="E8914" i="2"/>
  <c r="D8914" i="2"/>
  <c r="B8914" i="2"/>
  <c r="A8914" i="2"/>
  <c r="O8913" i="2"/>
  <c r="M8913" i="2"/>
  <c r="L8913" i="2"/>
  <c r="E8913" i="2"/>
  <c r="D8913" i="2"/>
  <c r="B8913" i="2"/>
  <c r="A8913" i="2"/>
  <c r="O8912" i="2"/>
  <c r="O8911" i="2"/>
  <c r="O8910" i="2"/>
  <c r="M8910" i="2"/>
  <c r="L8910" i="2"/>
  <c r="E8910" i="2"/>
  <c r="D8910" i="2"/>
  <c r="B8910" i="2"/>
  <c r="A8910" i="2"/>
  <c r="O8909" i="2"/>
  <c r="O8908" i="2"/>
  <c r="M8908" i="2"/>
  <c r="L8908" i="2"/>
  <c r="E8908" i="2"/>
  <c r="D8908" i="2"/>
  <c r="B8908" i="2"/>
  <c r="A8908" i="2"/>
  <c r="O8907" i="2"/>
  <c r="O8906" i="2"/>
  <c r="M8906" i="2"/>
  <c r="L8906" i="2"/>
  <c r="E8906" i="2"/>
  <c r="D8906" i="2"/>
  <c r="B8906" i="2"/>
  <c r="A8906" i="2"/>
  <c r="O8905" i="2"/>
  <c r="O8904" i="2"/>
  <c r="M8904" i="2"/>
  <c r="L8904" i="2"/>
  <c r="E8904" i="2"/>
  <c r="D8904" i="2"/>
  <c r="B8904" i="2"/>
  <c r="A8904" i="2"/>
  <c r="O8903" i="2"/>
  <c r="O8902" i="2"/>
  <c r="O8901" i="2"/>
  <c r="O8900" i="2"/>
  <c r="M8900" i="2"/>
  <c r="L8900" i="2"/>
  <c r="E8900" i="2"/>
  <c r="D8900" i="2"/>
  <c r="B8900" i="2"/>
  <c r="A8900" i="2"/>
  <c r="O8899" i="2"/>
  <c r="O8898" i="2"/>
  <c r="O8897" i="2"/>
  <c r="O8896" i="2"/>
  <c r="M8896" i="2"/>
  <c r="L8896" i="2"/>
  <c r="E8896" i="2"/>
  <c r="D8896" i="2"/>
  <c r="B8896" i="2"/>
  <c r="A8896" i="2"/>
  <c r="O8895" i="2"/>
  <c r="O8894" i="2"/>
  <c r="O8893" i="2"/>
  <c r="M8893" i="2"/>
  <c r="L8893" i="2"/>
  <c r="E8893" i="2"/>
  <c r="D8893" i="2"/>
  <c r="B8893" i="2"/>
  <c r="A8893" i="2"/>
  <c r="O8892" i="2"/>
  <c r="O8891" i="2"/>
  <c r="O8890" i="2"/>
  <c r="M8890" i="2"/>
  <c r="L8890" i="2"/>
  <c r="E8890" i="2"/>
  <c r="D8890" i="2"/>
  <c r="B8890" i="2"/>
  <c r="A8890" i="2"/>
  <c r="O8889" i="2"/>
  <c r="M8889" i="2"/>
  <c r="L8889" i="2"/>
  <c r="E8889" i="2"/>
  <c r="D8889" i="2"/>
  <c r="B8889" i="2"/>
  <c r="A8889" i="2"/>
  <c r="O8888" i="2"/>
  <c r="O8887" i="2"/>
  <c r="O8886" i="2"/>
  <c r="O8885" i="2"/>
  <c r="M8885" i="2"/>
  <c r="L8885" i="2"/>
  <c r="E8885" i="2"/>
  <c r="D8885" i="2"/>
  <c r="B8885" i="2"/>
  <c r="A8885" i="2"/>
  <c r="O8884" i="2"/>
  <c r="M8884" i="2"/>
  <c r="L8884" i="2"/>
  <c r="E8884" i="2"/>
  <c r="D8884" i="2"/>
  <c r="B8884" i="2"/>
  <c r="A8884" i="2"/>
  <c r="O8883" i="2"/>
  <c r="O8882" i="2"/>
  <c r="O8881" i="2"/>
  <c r="M8881" i="2"/>
  <c r="L8881" i="2"/>
  <c r="E8881" i="2"/>
  <c r="D8881" i="2"/>
  <c r="B8881" i="2"/>
  <c r="A8881" i="2"/>
  <c r="O8880" i="2"/>
  <c r="M8880" i="2"/>
  <c r="L8880" i="2"/>
  <c r="E8880" i="2"/>
  <c r="D8880" i="2"/>
  <c r="B8880" i="2"/>
  <c r="A8880" i="2"/>
  <c r="O8879" i="2"/>
  <c r="M8879" i="2"/>
  <c r="L8879" i="2"/>
  <c r="E8879" i="2"/>
  <c r="D8879" i="2"/>
  <c r="B8879" i="2"/>
  <c r="A8879" i="2"/>
  <c r="O8878" i="2"/>
  <c r="M8878" i="2"/>
  <c r="L8878" i="2"/>
  <c r="E8878" i="2"/>
  <c r="D8878" i="2"/>
  <c r="B8878" i="2"/>
  <c r="A8878" i="2"/>
  <c r="O8877" i="2"/>
  <c r="O8876" i="2"/>
  <c r="M8876" i="2"/>
  <c r="L8876" i="2"/>
  <c r="E8876" i="2"/>
  <c r="D8876" i="2"/>
  <c r="B8876" i="2"/>
  <c r="A8876" i="2"/>
  <c r="O8875" i="2"/>
  <c r="M8875" i="2"/>
  <c r="L8875" i="2"/>
  <c r="E8875" i="2"/>
  <c r="D8875" i="2"/>
  <c r="B8875" i="2"/>
  <c r="A8875" i="2"/>
  <c r="O8874" i="2"/>
  <c r="O8873" i="2"/>
  <c r="O8872" i="2"/>
  <c r="M8872" i="2"/>
  <c r="L8872" i="2"/>
  <c r="E8872" i="2"/>
  <c r="D8872" i="2"/>
  <c r="B8872" i="2"/>
  <c r="A8872" i="2"/>
  <c r="O8871" i="2"/>
  <c r="O8870" i="2"/>
  <c r="O8869" i="2"/>
  <c r="O8868" i="2"/>
  <c r="O8867" i="2"/>
  <c r="O8866" i="2"/>
  <c r="M8866" i="2"/>
  <c r="L8866" i="2"/>
  <c r="E8866" i="2"/>
  <c r="D8866" i="2"/>
  <c r="B8866" i="2"/>
  <c r="A8866" i="2"/>
  <c r="O8865" i="2"/>
  <c r="O8864" i="2"/>
  <c r="O8863" i="2"/>
  <c r="O8862" i="2"/>
  <c r="M8862" i="2"/>
  <c r="L8862" i="2"/>
  <c r="E8862" i="2"/>
  <c r="D8862" i="2"/>
  <c r="B8862" i="2"/>
  <c r="A8862" i="2"/>
  <c r="O8861" i="2"/>
  <c r="M8861" i="2"/>
  <c r="L8861" i="2"/>
  <c r="E8861" i="2"/>
  <c r="D8861" i="2"/>
  <c r="B8861" i="2"/>
  <c r="A8861" i="2"/>
  <c r="O8860" i="2"/>
  <c r="O8859" i="2"/>
  <c r="O8858" i="2"/>
  <c r="O8857" i="2"/>
  <c r="M8857" i="2"/>
  <c r="L8857" i="2"/>
  <c r="E8857" i="2"/>
  <c r="D8857" i="2"/>
  <c r="B8857" i="2"/>
  <c r="A8857" i="2"/>
  <c r="O8856" i="2"/>
  <c r="M8856" i="2"/>
  <c r="L8856" i="2"/>
  <c r="E8856" i="2"/>
  <c r="D8856" i="2"/>
  <c r="B8856" i="2"/>
  <c r="A8856" i="2"/>
  <c r="O8855" i="2"/>
  <c r="M8855" i="2"/>
  <c r="L8855" i="2"/>
  <c r="E8855" i="2"/>
  <c r="D8855" i="2"/>
  <c r="B8855" i="2"/>
  <c r="A8855" i="2"/>
  <c r="O8854" i="2"/>
  <c r="O8853" i="2"/>
  <c r="M8853" i="2"/>
  <c r="L8853" i="2"/>
  <c r="E8853" i="2"/>
  <c r="D8853" i="2"/>
  <c r="B8853" i="2"/>
  <c r="A8853" i="2"/>
  <c r="O8852" i="2"/>
  <c r="O8851" i="2"/>
  <c r="M8851" i="2"/>
  <c r="L8851" i="2"/>
  <c r="E8851" i="2"/>
  <c r="D8851" i="2"/>
  <c r="B8851" i="2"/>
  <c r="A8851" i="2"/>
  <c r="O8850" i="2"/>
  <c r="M8850" i="2"/>
  <c r="L8850" i="2"/>
  <c r="E8850" i="2"/>
  <c r="D8850" i="2"/>
  <c r="B8850" i="2"/>
  <c r="A8850" i="2"/>
  <c r="O8849" i="2"/>
  <c r="M8849" i="2"/>
  <c r="L8849" i="2"/>
  <c r="E8849" i="2"/>
  <c r="D8849" i="2"/>
  <c r="B8849" i="2"/>
  <c r="A8849" i="2"/>
  <c r="O8848" i="2"/>
  <c r="M8848" i="2"/>
  <c r="L8848" i="2"/>
  <c r="E8848" i="2"/>
  <c r="D8848" i="2"/>
  <c r="B8848" i="2"/>
  <c r="A8848" i="2"/>
  <c r="O8847" i="2"/>
  <c r="M8847" i="2"/>
  <c r="L8847" i="2"/>
  <c r="E8847" i="2"/>
  <c r="D8847" i="2"/>
  <c r="B8847" i="2"/>
  <c r="A8847" i="2"/>
  <c r="O8846" i="2"/>
  <c r="O8845" i="2"/>
  <c r="O8844" i="2"/>
  <c r="M8844" i="2"/>
  <c r="L8844" i="2"/>
  <c r="E8844" i="2"/>
  <c r="D8844" i="2"/>
  <c r="B8844" i="2"/>
  <c r="A8844" i="2"/>
  <c r="O8843" i="2"/>
  <c r="M8843" i="2"/>
  <c r="L8843" i="2"/>
  <c r="E8843" i="2"/>
  <c r="D8843" i="2"/>
  <c r="B8843" i="2"/>
  <c r="A8843" i="2"/>
  <c r="O8842" i="2"/>
  <c r="M8842" i="2"/>
  <c r="L8842" i="2"/>
  <c r="E8842" i="2"/>
  <c r="D8842" i="2"/>
  <c r="B8842" i="2"/>
  <c r="A8842" i="2"/>
  <c r="O8841" i="2"/>
  <c r="O8840" i="2"/>
  <c r="O8839" i="2"/>
  <c r="O8838" i="2"/>
  <c r="O8837" i="2"/>
  <c r="M8837" i="2"/>
  <c r="L8837" i="2"/>
  <c r="E8837" i="2"/>
  <c r="D8837" i="2"/>
  <c r="B8837" i="2"/>
  <c r="A8837" i="2"/>
  <c r="O8836" i="2"/>
  <c r="O8835" i="2"/>
  <c r="O8834" i="2"/>
  <c r="O8833" i="2"/>
  <c r="M8833" i="2"/>
  <c r="L8833" i="2"/>
  <c r="E8833" i="2"/>
  <c r="D8833" i="2"/>
  <c r="B8833" i="2"/>
  <c r="A8833" i="2"/>
  <c r="O8832" i="2"/>
  <c r="M8832" i="2"/>
  <c r="L8832" i="2"/>
  <c r="E8832" i="2"/>
  <c r="D8832" i="2"/>
  <c r="B8832" i="2"/>
  <c r="A8832" i="2"/>
  <c r="O8831" i="2"/>
  <c r="O8830" i="2"/>
  <c r="M8830" i="2"/>
  <c r="L8830" i="2"/>
  <c r="E8830" i="2"/>
  <c r="D8830" i="2"/>
  <c r="B8830" i="2"/>
  <c r="A8830" i="2"/>
  <c r="O8829" i="2"/>
  <c r="M8829" i="2"/>
  <c r="L8829" i="2"/>
  <c r="E8829" i="2"/>
  <c r="D8829" i="2"/>
  <c r="B8829" i="2"/>
  <c r="A8829" i="2"/>
  <c r="O8828" i="2"/>
  <c r="O8827" i="2"/>
  <c r="M8827" i="2"/>
  <c r="L8827" i="2"/>
  <c r="E8827" i="2"/>
  <c r="D8827" i="2"/>
  <c r="B8827" i="2"/>
  <c r="A8827" i="2"/>
  <c r="O8826" i="2"/>
  <c r="M8826" i="2"/>
  <c r="L8826" i="2"/>
  <c r="E8826" i="2"/>
  <c r="D8826" i="2"/>
  <c r="B8826" i="2"/>
  <c r="A8826" i="2"/>
  <c r="O8825" i="2"/>
  <c r="M8825" i="2"/>
  <c r="L8825" i="2"/>
  <c r="E8825" i="2"/>
  <c r="D8825" i="2"/>
  <c r="B8825" i="2"/>
  <c r="A8825" i="2"/>
  <c r="O8824" i="2"/>
  <c r="O8823" i="2"/>
  <c r="M8823" i="2"/>
  <c r="L8823" i="2"/>
  <c r="E8823" i="2"/>
  <c r="D8823" i="2"/>
  <c r="B8823" i="2"/>
  <c r="A8823" i="2"/>
  <c r="O8822" i="2"/>
  <c r="M8822" i="2"/>
  <c r="L8822" i="2"/>
  <c r="E8822" i="2"/>
  <c r="D8822" i="2"/>
  <c r="B8822" i="2"/>
  <c r="A8822" i="2"/>
  <c r="O8821" i="2"/>
  <c r="M8821" i="2"/>
  <c r="L8821" i="2"/>
  <c r="E8821" i="2"/>
  <c r="D8821" i="2"/>
  <c r="B8821" i="2"/>
  <c r="A8821" i="2"/>
  <c r="O8820" i="2"/>
  <c r="M8820" i="2"/>
  <c r="L8820" i="2"/>
  <c r="E8820" i="2"/>
  <c r="D8820" i="2"/>
  <c r="B8820" i="2"/>
  <c r="A8820" i="2"/>
  <c r="O8819" i="2"/>
  <c r="M8819" i="2"/>
  <c r="L8819" i="2"/>
  <c r="E8819" i="2"/>
  <c r="D8819" i="2"/>
  <c r="B8819" i="2"/>
  <c r="A8819" i="2"/>
  <c r="O8818" i="2"/>
  <c r="M8818" i="2"/>
  <c r="L8818" i="2"/>
  <c r="E8818" i="2"/>
  <c r="D8818" i="2"/>
  <c r="B8818" i="2"/>
  <c r="A8818" i="2"/>
  <c r="O8817" i="2"/>
  <c r="M8817" i="2"/>
  <c r="L8817" i="2"/>
  <c r="E8817" i="2"/>
  <c r="D8817" i="2"/>
  <c r="B8817" i="2"/>
  <c r="A8817" i="2"/>
  <c r="O8816" i="2"/>
  <c r="M8816" i="2"/>
  <c r="L8816" i="2"/>
  <c r="E8816" i="2"/>
  <c r="D8816" i="2"/>
  <c r="B8816" i="2"/>
  <c r="A8816" i="2"/>
  <c r="O8815" i="2"/>
  <c r="O8814" i="2"/>
  <c r="O8813" i="2"/>
  <c r="O8812" i="2"/>
  <c r="O8811" i="2"/>
  <c r="O8810" i="2"/>
  <c r="O8809" i="2"/>
  <c r="M8809" i="2"/>
  <c r="L8809" i="2"/>
  <c r="E8809" i="2"/>
  <c r="D8809" i="2"/>
  <c r="B8809" i="2"/>
  <c r="A8809" i="2"/>
  <c r="O8808" i="2"/>
  <c r="M8808" i="2"/>
  <c r="L8808" i="2"/>
  <c r="E8808" i="2"/>
  <c r="D8808" i="2"/>
  <c r="B8808" i="2"/>
  <c r="A8808" i="2"/>
  <c r="O8807" i="2"/>
  <c r="M8807" i="2"/>
  <c r="L8807" i="2"/>
  <c r="E8807" i="2"/>
  <c r="D8807" i="2"/>
  <c r="B8807" i="2"/>
  <c r="A8807" i="2"/>
  <c r="O8806" i="2"/>
  <c r="O8805" i="2"/>
  <c r="O8804" i="2"/>
  <c r="O8803" i="2"/>
  <c r="O8802" i="2"/>
  <c r="O8801" i="2"/>
  <c r="M8801" i="2"/>
  <c r="L8801" i="2"/>
  <c r="E8801" i="2"/>
  <c r="D8801" i="2"/>
  <c r="B8801" i="2"/>
  <c r="A8801" i="2"/>
  <c r="O8800" i="2"/>
  <c r="M8800" i="2"/>
  <c r="L8800" i="2"/>
  <c r="E8800" i="2"/>
  <c r="D8800" i="2"/>
  <c r="B8800" i="2"/>
  <c r="A8800" i="2"/>
  <c r="O8799" i="2"/>
  <c r="O8798" i="2"/>
  <c r="O8797" i="2"/>
  <c r="O8796" i="2"/>
  <c r="M8796" i="2"/>
  <c r="L8796" i="2"/>
  <c r="E8796" i="2"/>
  <c r="D8796" i="2"/>
  <c r="B8796" i="2"/>
  <c r="A8796" i="2"/>
  <c r="O8795" i="2"/>
  <c r="M8795" i="2"/>
  <c r="L8795" i="2"/>
  <c r="E8795" i="2"/>
  <c r="D8795" i="2"/>
  <c r="B8795" i="2"/>
  <c r="A8795" i="2"/>
  <c r="O8794" i="2"/>
  <c r="O8793" i="2"/>
  <c r="M8793" i="2"/>
  <c r="L8793" i="2"/>
  <c r="E8793" i="2"/>
  <c r="D8793" i="2"/>
  <c r="B8793" i="2"/>
  <c r="A8793" i="2"/>
  <c r="O8792" i="2"/>
  <c r="O8791" i="2"/>
  <c r="M8791" i="2"/>
  <c r="L8791" i="2"/>
  <c r="E8791" i="2"/>
  <c r="D8791" i="2"/>
  <c r="B8791" i="2"/>
  <c r="A8791" i="2"/>
  <c r="O8790" i="2"/>
  <c r="M8790" i="2"/>
  <c r="L8790" i="2"/>
  <c r="E8790" i="2"/>
  <c r="D8790" i="2"/>
  <c r="B8790" i="2"/>
  <c r="A8790" i="2"/>
  <c r="O8789" i="2"/>
  <c r="M8789" i="2"/>
  <c r="L8789" i="2"/>
  <c r="E8789" i="2"/>
  <c r="D8789" i="2"/>
  <c r="B8789" i="2"/>
  <c r="A8789" i="2"/>
  <c r="O8788" i="2"/>
  <c r="O8787" i="2"/>
  <c r="O8786" i="2"/>
  <c r="M8786" i="2"/>
  <c r="L8786" i="2"/>
  <c r="E8786" i="2"/>
  <c r="D8786" i="2"/>
  <c r="B8786" i="2"/>
  <c r="A8786" i="2"/>
  <c r="O8785" i="2"/>
  <c r="O8784" i="2"/>
  <c r="O8783" i="2"/>
  <c r="O8782" i="2"/>
  <c r="M8782" i="2"/>
  <c r="L8782" i="2"/>
  <c r="E8782" i="2"/>
  <c r="D8782" i="2"/>
  <c r="B8782" i="2"/>
  <c r="A8782" i="2"/>
  <c r="O8781" i="2"/>
  <c r="M8781" i="2"/>
  <c r="L8781" i="2"/>
  <c r="E8781" i="2"/>
  <c r="D8781" i="2"/>
  <c r="B8781" i="2"/>
  <c r="A8781" i="2"/>
  <c r="O8780" i="2"/>
  <c r="O8779" i="2"/>
  <c r="O8778" i="2"/>
  <c r="O8777" i="2"/>
  <c r="M8777" i="2"/>
  <c r="L8777" i="2"/>
  <c r="E8777" i="2"/>
  <c r="D8777" i="2"/>
  <c r="B8777" i="2"/>
  <c r="A8777" i="2"/>
  <c r="O8776" i="2"/>
  <c r="M8776" i="2"/>
  <c r="L8776" i="2"/>
  <c r="E8776" i="2"/>
  <c r="D8776" i="2"/>
  <c r="B8776" i="2"/>
  <c r="A8776" i="2"/>
  <c r="O8775" i="2"/>
  <c r="M8775" i="2"/>
  <c r="L8775" i="2"/>
  <c r="E8775" i="2"/>
  <c r="D8775" i="2"/>
  <c r="B8775" i="2"/>
  <c r="A8775" i="2"/>
  <c r="O8774" i="2"/>
  <c r="O8773" i="2"/>
  <c r="O8772" i="2"/>
  <c r="O8771" i="2"/>
  <c r="M8771" i="2"/>
  <c r="L8771" i="2"/>
  <c r="E8771" i="2"/>
  <c r="D8771" i="2"/>
  <c r="B8771" i="2"/>
  <c r="A8771" i="2"/>
  <c r="O8770" i="2"/>
  <c r="M8770" i="2"/>
  <c r="L8770" i="2"/>
  <c r="E8770" i="2"/>
  <c r="D8770" i="2"/>
  <c r="B8770" i="2"/>
  <c r="A8770" i="2"/>
  <c r="O8769" i="2"/>
  <c r="M8769" i="2"/>
  <c r="L8769" i="2"/>
  <c r="E8769" i="2"/>
  <c r="D8769" i="2"/>
  <c r="B8769" i="2"/>
  <c r="A8769" i="2"/>
  <c r="O8768" i="2"/>
  <c r="M8768" i="2"/>
  <c r="L8768" i="2"/>
  <c r="E8768" i="2"/>
  <c r="D8768" i="2"/>
  <c r="B8768" i="2"/>
  <c r="A8768" i="2"/>
  <c r="O8767" i="2"/>
  <c r="M8767" i="2"/>
  <c r="L8767" i="2"/>
  <c r="E8767" i="2"/>
  <c r="D8767" i="2"/>
  <c r="B8767" i="2"/>
  <c r="A8767" i="2"/>
  <c r="O8766" i="2"/>
  <c r="M8766" i="2"/>
  <c r="L8766" i="2"/>
  <c r="E8766" i="2"/>
  <c r="D8766" i="2"/>
  <c r="B8766" i="2"/>
  <c r="A8766" i="2"/>
  <c r="O8765" i="2"/>
  <c r="M8765" i="2"/>
  <c r="L8765" i="2"/>
  <c r="E8765" i="2"/>
  <c r="D8765" i="2"/>
  <c r="B8765" i="2"/>
  <c r="A8765" i="2"/>
  <c r="O8764" i="2"/>
  <c r="M8764" i="2"/>
  <c r="L8764" i="2"/>
  <c r="E8764" i="2"/>
  <c r="D8764" i="2"/>
  <c r="B8764" i="2"/>
  <c r="A8764" i="2"/>
  <c r="O8763" i="2"/>
  <c r="O8762" i="2"/>
  <c r="M8762" i="2"/>
  <c r="L8762" i="2"/>
  <c r="E8762" i="2"/>
  <c r="D8762" i="2"/>
  <c r="B8762" i="2"/>
  <c r="A8762" i="2"/>
  <c r="O8761" i="2"/>
  <c r="O8760" i="2"/>
  <c r="O8759" i="2"/>
  <c r="O8758" i="2"/>
  <c r="O8757" i="2"/>
  <c r="O8756" i="2"/>
  <c r="O8755" i="2"/>
  <c r="O8754" i="2"/>
  <c r="O8753" i="2"/>
  <c r="O8752" i="2"/>
  <c r="O8751" i="2"/>
  <c r="O8750" i="2"/>
  <c r="M8750" i="2"/>
  <c r="L8750" i="2"/>
  <c r="E8750" i="2"/>
  <c r="D8750" i="2"/>
  <c r="B8750" i="2"/>
  <c r="A8750" i="2"/>
  <c r="O8749" i="2"/>
  <c r="M8749" i="2"/>
  <c r="L8749" i="2"/>
  <c r="E8749" i="2"/>
  <c r="D8749" i="2"/>
  <c r="B8749" i="2"/>
  <c r="A8749" i="2"/>
  <c r="O8748" i="2"/>
  <c r="M8748" i="2"/>
  <c r="L8748" i="2"/>
  <c r="E8748" i="2"/>
  <c r="D8748" i="2"/>
  <c r="B8748" i="2"/>
  <c r="A8748" i="2"/>
  <c r="O8747" i="2"/>
  <c r="O8746" i="2"/>
  <c r="M8746" i="2"/>
  <c r="L8746" i="2"/>
  <c r="E8746" i="2"/>
  <c r="D8746" i="2"/>
  <c r="B8746" i="2"/>
  <c r="A8746" i="2"/>
  <c r="O8745" i="2"/>
  <c r="O8744" i="2"/>
  <c r="O8743" i="2"/>
  <c r="O8742" i="2"/>
  <c r="O8741" i="2"/>
  <c r="O8740" i="2"/>
  <c r="O8739" i="2"/>
  <c r="M8739" i="2"/>
  <c r="L8739" i="2"/>
  <c r="E8739" i="2"/>
  <c r="D8739" i="2"/>
  <c r="B8739" i="2"/>
  <c r="A8739" i="2"/>
  <c r="O8738" i="2"/>
  <c r="O8737" i="2"/>
  <c r="O8736" i="2"/>
  <c r="O8735" i="2"/>
  <c r="O8734" i="2"/>
  <c r="O8733" i="2"/>
  <c r="M8733" i="2"/>
  <c r="L8733" i="2"/>
  <c r="E8733" i="2"/>
  <c r="D8733" i="2"/>
  <c r="B8733" i="2"/>
  <c r="A8733" i="2"/>
  <c r="O8732" i="2"/>
  <c r="M8732" i="2"/>
  <c r="L8732" i="2"/>
  <c r="E8732" i="2"/>
  <c r="D8732" i="2"/>
  <c r="B8732" i="2"/>
  <c r="A8732" i="2"/>
  <c r="O8731" i="2"/>
  <c r="O8730" i="2"/>
  <c r="O8729" i="2"/>
  <c r="O8728" i="2"/>
  <c r="O8727" i="2"/>
  <c r="O8726" i="2"/>
  <c r="O8725" i="2"/>
  <c r="M8725" i="2"/>
  <c r="L8725" i="2"/>
  <c r="E8725" i="2"/>
  <c r="D8725" i="2"/>
  <c r="B8725" i="2"/>
  <c r="A8725" i="2"/>
  <c r="O8724" i="2"/>
  <c r="M8724" i="2"/>
  <c r="L8724" i="2"/>
  <c r="E8724" i="2"/>
  <c r="D8724" i="2"/>
  <c r="B8724" i="2"/>
  <c r="A8724" i="2"/>
  <c r="O8723" i="2"/>
  <c r="O8722" i="2"/>
  <c r="O8721" i="2"/>
  <c r="O8720" i="2"/>
  <c r="M8720" i="2"/>
  <c r="L8720" i="2"/>
  <c r="E8720" i="2"/>
  <c r="D8720" i="2"/>
  <c r="B8720" i="2"/>
  <c r="A8720" i="2"/>
  <c r="O8719" i="2"/>
  <c r="M8719" i="2"/>
  <c r="L8719" i="2"/>
  <c r="E8719" i="2"/>
  <c r="D8719" i="2"/>
  <c r="B8719" i="2"/>
  <c r="A8719" i="2"/>
  <c r="O8718" i="2"/>
  <c r="O8717" i="2"/>
  <c r="M8717" i="2"/>
  <c r="L8717" i="2"/>
  <c r="E8717" i="2"/>
  <c r="D8717" i="2"/>
  <c r="B8717" i="2"/>
  <c r="A8717" i="2"/>
  <c r="O8716" i="2"/>
  <c r="O8715" i="2"/>
  <c r="O8714" i="2"/>
  <c r="O8713" i="2"/>
  <c r="O8712" i="2"/>
  <c r="M8712" i="2"/>
  <c r="L8712" i="2"/>
  <c r="E8712" i="2"/>
  <c r="D8712" i="2"/>
  <c r="B8712" i="2"/>
  <c r="A8712" i="2"/>
  <c r="O8711" i="2"/>
  <c r="O8710" i="2"/>
  <c r="O8709" i="2"/>
  <c r="O8708" i="2"/>
  <c r="O8707" i="2"/>
  <c r="O8706" i="2"/>
  <c r="M8706" i="2"/>
  <c r="L8706" i="2"/>
  <c r="E8706" i="2"/>
  <c r="D8706" i="2"/>
  <c r="B8706" i="2"/>
  <c r="A8706" i="2"/>
  <c r="O8705" i="2"/>
  <c r="M8705" i="2"/>
  <c r="L8705" i="2"/>
  <c r="E8705" i="2"/>
  <c r="D8705" i="2"/>
  <c r="B8705" i="2"/>
  <c r="A8705" i="2"/>
  <c r="O8704" i="2"/>
  <c r="O8703" i="2"/>
  <c r="M8703" i="2"/>
  <c r="L8703" i="2"/>
  <c r="E8703" i="2"/>
  <c r="D8703" i="2"/>
  <c r="B8703" i="2"/>
  <c r="A8703" i="2"/>
  <c r="O8702" i="2"/>
  <c r="O8701" i="2"/>
  <c r="O8700" i="2"/>
  <c r="O8699" i="2"/>
  <c r="O8698" i="2"/>
  <c r="O8697" i="2"/>
  <c r="M8697" i="2"/>
  <c r="L8697" i="2"/>
  <c r="E8697" i="2"/>
  <c r="D8697" i="2"/>
  <c r="B8697" i="2"/>
  <c r="A8697" i="2"/>
  <c r="O8696" i="2"/>
  <c r="M8696" i="2"/>
  <c r="L8696" i="2"/>
  <c r="E8696" i="2"/>
  <c r="D8696" i="2"/>
  <c r="B8696" i="2"/>
  <c r="A8696" i="2"/>
  <c r="O8695" i="2"/>
  <c r="M8695" i="2"/>
  <c r="L8695" i="2"/>
  <c r="E8695" i="2"/>
  <c r="D8695" i="2"/>
  <c r="B8695" i="2"/>
  <c r="A8695" i="2"/>
  <c r="O8694" i="2"/>
  <c r="O8693" i="2"/>
  <c r="O8692" i="2"/>
  <c r="M8692" i="2"/>
  <c r="L8692" i="2"/>
  <c r="E8692" i="2"/>
  <c r="D8692" i="2"/>
  <c r="B8692" i="2"/>
  <c r="A8692" i="2"/>
  <c r="O8691" i="2"/>
  <c r="M8691" i="2"/>
  <c r="L8691" i="2"/>
  <c r="E8691" i="2"/>
  <c r="D8691" i="2"/>
  <c r="B8691" i="2"/>
  <c r="A8691" i="2"/>
  <c r="O8690" i="2"/>
  <c r="M8690" i="2"/>
  <c r="L8690" i="2"/>
  <c r="E8690" i="2"/>
  <c r="D8690" i="2"/>
  <c r="B8690" i="2"/>
  <c r="A8690" i="2"/>
  <c r="O8689" i="2"/>
  <c r="O8688" i="2"/>
  <c r="O8687" i="2"/>
  <c r="O8686" i="2"/>
  <c r="O8685" i="2"/>
  <c r="O8684" i="2"/>
  <c r="O8683" i="2"/>
  <c r="O8682" i="2"/>
  <c r="O8681" i="2"/>
  <c r="O8680" i="2"/>
  <c r="O8679" i="2"/>
  <c r="M8679" i="2"/>
  <c r="L8679" i="2"/>
  <c r="E8679" i="2"/>
  <c r="D8679" i="2"/>
  <c r="B8679" i="2"/>
  <c r="A8679" i="2"/>
  <c r="O8678" i="2"/>
  <c r="O8677" i="2"/>
  <c r="M8677" i="2"/>
  <c r="L8677" i="2"/>
  <c r="E8677" i="2"/>
  <c r="D8677" i="2"/>
  <c r="B8677" i="2"/>
  <c r="A8677" i="2"/>
  <c r="O8676" i="2"/>
  <c r="O8675" i="2"/>
  <c r="O8674" i="2"/>
  <c r="O8673" i="2"/>
  <c r="M8673" i="2"/>
  <c r="L8673" i="2"/>
  <c r="E8673" i="2"/>
  <c r="D8673" i="2"/>
  <c r="B8673" i="2"/>
  <c r="A8673" i="2"/>
  <c r="O8672" i="2"/>
  <c r="O8671" i="2"/>
  <c r="O8670" i="2"/>
  <c r="M8670" i="2"/>
  <c r="L8670" i="2"/>
  <c r="E8670" i="2"/>
  <c r="D8670" i="2"/>
  <c r="B8670" i="2"/>
  <c r="A8670" i="2"/>
  <c r="O8669" i="2"/>
  <c r="M8669" i="2"/>
  <c r="L8669" i="2"/>
  <c r="E8669" i="2"/>
  <c r="D8669" i="2"/>
  <c r="B8669" i="2"/>
  <c r="A8669" i="2"/>
  <c r="O8668" i="2"/>
  <c r="M8668" i="2"/>
  <c r="L8668" i="2"/>
  <c r="E8668" i="2"/>
  <c r="D8668" i="2"/>
  <c r="B8668" i="2"/>
  <c r="A8668" i="2"/>
  <c r="O8667" i="2"/>
  <c r="M8667" i="2"/>
  <c r="L8667" i="2"/>
  <c r="E8667" i="2"/>
  <c r="D8667" i="2"/>
  <c r="B8667" i="2"/>
  <c r="A8667" i="2"/>
  <c r="O8666" i="2"/>
  <c r="O8665" i="2"/>
  <c r="O8664" i="2"/>
  <c r="M8664" i="2"/>
  <c r="L8664" i="2"/>
  <c r="E8664" i="2"/>
  <c r="D8664" i="2"/>
  <c r="B8664" i="2"/>
  <c r="A8664" i="2"/>
  <c r="O8663" i="2"/>
  <c r="M8663" i="2"/>
  <c r="L8663" i="2"/>
  <c r="E8663" i="2"/>
  <c r="D8663" i="2"/>
  <c r="B8663" i="2"/>
  <c r="A8663" i="2"/>
  <c r="O8662" i="2"/>
  <c r="O8661" i="2"/>
  <c r="M8661" i="2"/>
  <c r="L8661" i="2"/>
  <c r="E8661" i="2"/>
  <c r="D8661" i="2"/>
  <c r="B8661" i="2"/>
  <c r="A8661" i="2"/>
  <c r="O8660" i="2"/>
  <c r="M8660" i="2"/>
  <c r="L8660" i="2"/>
  <c r="E8660" i="2"/>
  <c r="D8660" i="2"/>
  <c r="B8660" i="2"/>
  <c r="A8660" i="2"/>
  <c r="O8659" i="2"/>
  <c r="M8659" i="2"/>
  <c r="L8659" i="2"/>
  <c r="E8659" i="2"/>
  <c r="D8659" i="2"/>
  <c r="B8659" i="2"/>
  <c r="A8659" i="2"/>
  <c r="O8658" i="2"/>
  <c r="O8657" i="2"/>
  <c r="O8656" i="2"/>
  <c r="M8656" i="2"/>
  <c r="L8656" i="2"/>
  <c r="E8656" i="2"/>
  <c r="D8656" i="2"/>
  <c r="B8656" i="2"/>
  <c r="A8656" i="2"/>
  <c r="O8655" i="2"/>
  <c r="M8655" i="2"/>
  <c r="L8655" i="2"/>
  <c r="E8655" i="2"/>
  <c r="D8655" i="2"/>
  <c r="B8655" i="2"/>
  <c r="A8655" i="2"/>
  <c r="O8654" i="2"/>
  <c r="M8654" i="2"/>
  <c r="L8654" i="2"/>
  <c r="E8654" i="2"/>
  <c r="D8654" i="2"/>
  <c r="B8654" i="2"/>
  <c r="A8654" i="2"/>
  <c r="O8653" i="2"/>
  <c r="M8653" i="2"/>
  <c r="L8653" i="2"/>
  <c r="E8653" i="2"/>
  <c r="D8653" i="2"/>
  <c r="B8653" i="2"/>
  <c r="A8653" i="2"/>
  <c r="O8652" i="2"/>
  <c r="M8652" i="2"/>
  <c r="L8652" i="2"/>
  <c r="E8652" i="2"/>
  <c r="D8652" i="2"/>
  <c r="B8652" i="2"/>
  <c r="A8652" i="2"/>
  <c r="O8651" i="2"/>
  <c r="M8651" i="2"/>
  <c r="L8651" i="2"/>
  <c r="E8651" i="2"/>
  <c r="D8651" i="2"/>
  <c r="B8651" i="2"/>
  <c r="A8651" i="2"/>
  <c r="O8650" i="2"/>
  <c r="M8650" i="2"/>
  <c r="L8650" i="2"/>
  <c r="E8650" i="2"/>
  <c r="D8650" i="2"/>
  <c r="B8650" i="2"/>
  <c r="A8650" i="2"/>
  <c r="O8649" i="2"/>
  <c r="O8648" i="2"/>
  <c r="O8647" i="2"/>
  <c r="O8646" i="2"/>
  <c r="M8646" i="2"/>
  <c r="L8646" i="2"/>
  <c r="E8646" i="2"/>
  <c r="D8646" i="2"/>
  <c r="B8646" i="2"/>
  <c r="A8646" i="2"/>
  <c r="O8645" i="2"/>
  <c r="O8644" i="2"/>
  <c r="O8643" i="2"/>
  <c r="M8643" i="2"/>
  <c r="L8643" i="2"/>
  <c r="E8643" i="2"/>
  <c r="D8643" i="2"/>
  <c r="B8643" i="2"/>
  <c r="A8643" i="2"/>
  <c r="O8642" i="2"/>
  <c r="M8642" i="2"/>
  <c r="L8642" i="2"/>
  <c r="E8642" i="2"/>
  <c r="D8642" i="2"/>
  <c r="B8642" i="2"/>
  <c r="A8642" i="2"/>
  <c r="O8641" i="2"/>
  <c r="M8641" i="2"/>
  <c r="L8641" i="2"/>
  <c r="E8641" i="2"/>
  <c r="D8641" i="2"/>
  <c r="B8641" i="2"/>
  <c r="A8641" i="2"/>
  <c r="O8640" i="2"/>
  <c r="O8639" i="2"/>
  <c r="O8638" i="2"/>
  <c r="O8637" i="2"/>
  <c r="O8636" i="2"/>
  <c r="O8635" i="2"/>
  <c r="O8634" i="2"/>
  <c r="M8634" i="2"/>
  <c r="L8634" i="2"/>
  <c r="E8634" i="2"/>
  <c r="D8634" i="2"/>
  <c r="B8634" i="2"/>
  <c r="A8634" i="2"/>
  <c r="O8633" i="2"/>
  <c r="M8633" i="2"/>
  <c r="L8633" i="2"/>
  <c r="E8633" i="2"/>
  <c r="D8633" i="2"/>
  <c r="B8633" i="2"/>
  <c r="A8633" i="2"/>
  <c r="O8632" i="2"/>
  <c r="M8632" i="2"/>
  <c r="L8632" i="2"/>
  <c r="E8632" i="2"/>
  <c r="D8632" i="2"/>
  <c r="B8632" i="2"/>
  <c r="A8632" i="2"/>
  <c r="O8631" i="2"/>
  <c r="O8630" i="2"/>
  <c r="M8630" i="2"/>
  <c r="L8630" i="2"/>
  <c r="E8630" i="2"/>
  <c r="D8630" i="2"/>
  <c r="B8630" i="2"/>
  <c r="A8630" i="2"/>
  <c r="O8629" i="2"/>
  <c r="O8628" i="2"/>
  <c r="M8628" i="2"/>
  <c r="L8628" i="2"/>
  <c r="E8628" i="2"/>
  <c r="D8628" i="2"/>
  <c r="B8628" i="2"/>
  <c r="A8628" i="2"/>
  <c r="O8627" i="2"/>
  <c r="M8627" i="2"/>
  <c r="L8627" i="2"/>
  <c r="E8627" i="2"/>
  <c r="D8627" i="2"/>
  <c r="B8627" i="2"/>
  <c r="A8627" i="2"/>
  <c r="O8626" i="2"/>
  <c r="O8625" i="2"/>
  <c r="O8624" i="2"/>
  <c r="M8624" i="2"/>
  <c r="L8624" i="2"/>
  <c r="E8624" i="2"/>
  <c r="D8624" i="2"/>
  <c r="B8624" i="2"/>
  <c r="A8624" i="2"/>
  <c r="O8623" i="2"/>
  <c r="M8623" i="2"/>
  <c r="L8623" i="2"/>
  <c r="E8623" i="2"/>
  <c r="D8623" i="2"/>
  <c r="B8623" i="2"/>
  <c r="A8623" i="2"/>
  <c r="O8622" i="2"/>
  <c r="M8622" i="2"/>
  <c r="L8622" i="2"/>
  <c r="E8622" i="2"/>
  <c r="D8622" i="2"/>
  <c r="B8622" i="2"/>
  <c r="A8622" i="2"/>
  <c r="O8621" i="2"/>
  <c r="M8621" i="2"/>
  <c r="L8621" i="2"/>
  <c r="E8621" i="2"/>
  <c r="D8621" i="2"/>
  <c r="B8621" i="2"/>
  <c r="A8621" i="2"/>
  <c r="O8620" i="2"/>
  <c r="O8619" i="2"/>
  <c r="O8618" i="2"/>
  <c r="M8618" i="2"/>
  <c r="L8618" i="2"/>
  <c r="E8618" i="2"/>
  <c r="D8618" i="2"/>
  <c r="B8618" i="2"/>
  <c r="A8618" i="2"/>
  <c r="O8617" i="2"/>
  <c r="O8616" i="2"/>
  <c r="O8615" i="2"/>
  <c r="M8615" i="2"/>
  <c r="L8615" i="2"/>
  <c r="E8615" i="2"/>
  <c r="D8615" i="2"/>
  <c r="B8615" i="2"/>
  <c r="A8615" i="2"/>
  <c r="O8614" i="2"/>
  <c r="O8613" i="2"/>
  <c r="M8613" i="2"/>
  <c r="L8613" i="2"/>
  <c r="E8613" i="2"/>
  <c r="D8613" i="2"/>
  <c r="B8613" i="2"/>
  <c r="A8613" i="2"/>
  <c r="O8612" i="2"/>
  <c r="O8611" i="2"/>
  <c r="O8610" i="2"/>
  <c r="M8610" i="2"/>
  <c r="L8610" i="2"/>
  <c r="E8610" i="2"/>
  <c r="D8610" i="2"/>
  <c r="B8610" i="2"/>
  <c r="A8610" i="2"/>
  <c r="O8609" i="2"/>
  <c r="O8608" i="2"/>
  <c r="O8607" i="2"/>
  <c r="O8606" i="2"/>
  <c r="M8606" i="2"/>
  <c r="L8606" i="2"/>
  <c r="E8606" i="2"/>
  <c r="D8606" i="2"/>
  <c r="B8606" i="2"/>
  <c r="A8606" i="2"/>
  <c r="O8605" i="2"/>
  <c r="M8605" i="2"/>
  <c r="L8605" i="2"/>
  <c r="E8605" i="2"/>
  <c r="D8605" i="2"/>
  <c r="B8605" i="2"/>
  <c r="A8605" i="2"/>
  <c r="O8604" i="2"/>
  <c r="O8603" i="2"/>
  <c r="O8602" i="2"/>
  <c r="O8601" i="2"/>
  <c r="M8601" i="2"/>
  <c r="L8601" i="2"/>
  <c r="E8601" i="2"/>
  <c r="D8601" i="2"/>
  <c r="B8601" i="2"/>
  <c r="A8601" i="2"/>
  <c r="O8600" i="2"/>
  <c r="O8599" i="2"/>
  <c r="O8598" i="2"/>
  <c r="O8597" i="2"/>
  <c r="M8597" i="2"/>
  <c r="L8597" i="2"/>
  <c r="E8597" i="2"/>
  <c r="D8597" i="2"/>
  <c r="B8597" i="2"/>
  <c r="A8597" i="2"/>
  <c r="O8596" i="2"/>
  <c r="O8595" i="2"/>
  <c r="O8594" i="2"/>
  <c r="O8593" i="2"/>
  <c r="O8592" i="2"/>
  <c r="O8591" i="2"/>
  <c r="O8590" i="2"/>
  <c r="M8590" i="2"/>
  <c r="L8590" i="2"/>
  <c r="E8590" i="2"/>
  <c r="D8590" i="2"/>
  <c r="B8590" i="2"/>
  <c r="A8590" i="2"/>
  <c r="O8589" i="2"/>
  <c r="O8588" i="2"/>
  <c r="O8587" i="2"/>
  <c r="M8587" i="2"/>
  <c r="L8587" i="2"/>
  <c r="E8587" i="2"/>
  <c r="D8587" i="2"/>
  <c r="B8587" i="2"/>
  <c r="A8587" i="2"/>
  <c r="O8586" i="2"/>
  <c r="O8585" i="2"/>
  <c r="O8584" i="2"/>
  <c r="O8583" i="2"/>
  <c r="O8582" i="2"/>
  <c r="M8582" i="2"/>
  <c r="L8582" i="2"/>
  <c r="E8582" i="2"/>
  <c r="D8582" i="2"/>
  <c r="B8582" i="2"/>
  <c r="A8582" i="2"/>
  <c r="O8581" i="2"/>
  <c r="M8581" i="2"/>
  <c r="L8581" i="2"/>
  <c r="E8581" i="2"/>
  <c r="D8581" i="2"/>
  <c r="B8581" i="2"/>
  <c r="A8581" i="2"/>
  <c r="O8580" i="2"/>
  <c r="O8579" i="2"/>
  <c r="O8578" i="2"/>
  <c r="O8577" i="2"/>
  <c r="O8576" i="2"/>
  <c r="O8575" i="2"/>
  <c r="O8574" i="2"/>
  <c r="O8573" i="2"/>
  <c r="O8572" i="2"/>
  <c r="O8571" i="2"/>
  <c r="O8570" i="2"/>
  <c r="O8569" i="2"/>
  <c r="O8568" i="2"/>
  <c r="O8567" i="2"/>
  <c r="O8566" i="2"/>
  <c r="O8565" i="2"/>
  <c r="M8565" i="2"/>
  <c r="L8565" i="2"/>
  <c r="E8565" i="2"/>
  <c r="D8565" i="2"/>
  <c r="B8565" i="2"/>
  <c r="A8565" i="2"/>
  <c r="O8564" i="2"/>
  <c r="O8563" i="2"/>
  <c r="O8562" i="2"/>
  <c r="O8561" i="2"/>
  <c r="O8560" i="2"/>
  <c r="O8559" i="2"/>
  <c r="O8558" i="2"/>
  <c r="O8557" i="2"/>
  <c r="O8556" i="2"/>
  <c r="O8555" i="2"/>
  <c r="O8554" i="2"/>
  <c r="M8554" i="2"/>
  <c r="L8554" i="2"/>
  <c r="E8554" i="2"/>
  <c r="D8554" i="2"/>
  <c r="B8554" i="2"/>
  <c r="A8554" i="2"/>
  <c r="O8553" i="2"/>
  <c r="M8553" i="2"/>
  <c r="L8553" i="2"/>
  <c r="E8553" i="2"/>
  <c r="D8553" i="2"/>
  <c r="B8553" i="2"/>
  <c r="A8553" i="2"/>
  <c r="O8552" i="2"/>
  <c r="M8552" i="2"/>
  <c r="L8552" i="2"/>
  <c r="E8552" i="2"/>
  <c r="D8552" i="2"/>
  <c r="B8552" i="2"/>
  <c r="A8552" i="2"/>
  <c r="O8551" i="2"/>
  <c r="M8551" i="2"/>
  <c r="L8551" i="2"/>
  <c r="E8551" i="2"/>
  <c r="D8551" i="2"/>
  <c r="B8551" i="2"/>
  <c r="A8551" i="2"/>
  <c r="O8550" i="2"/>
  <c r="M8550" i="2"/>
  <c r="L8550" i="2"/>
  <c r="E8550" i="2"/>
  <c r="D8550" i="2"/>
  <c r="B8550" i="2"/>
  <c r="A8550" i="2"/>
  <c r="O8549" i="2"/>
  <c r="O8548" i="2"/>
  <c r="O8547" i="2"/>
  <c r="O8546" i="2"/>
  <c r="O8545" i="2"/>
  <c r="O8544" i="2"/>
  <c r="O8543" i="2"/>
  <c r="O8542" i="2"/>
  <c r="O8541" i="2"/>
  <c r="M8541" i="2"/>
  <c r="L8541" i="2"/>
  <c r="E8541" i="2"/>
  <c r="D8541" i="2"/>
  <c r="B8541" i="2"/>
  <c r="A8541" i="2"/>
  <c r="O8540" i="2"/>
  <c r="O8539" i="2"/>
  <c r="O8538" i="2"/>
  <c r="O8537" i="2"/>
  <c r="O8536" i="2"/>
  <c r="O8535" i="2"/>
  <c r="O8534" i="2"/>
  <c r="O8533" i="2"/>
  <c r="O8532" i="2"/>
  <c r="M8532" i="2"/>
  <c r="L8532" i="2"/>
  <c r="E8532" i="2"/>
  <c r="D8532" i="2"/>
  <c r="B8532" i="2"/>
  <c r="A8532" i="2"/>
  <c r="O8531" i="2"/>
  <c r="O8530" i="2"/>
  <c r="O8529" i="2"/>
  <c r="O8528" i="2"/>
  <c r="O8527" i="2"/>
  <c r="M8527" i="2"/>
  <c r="L8527" i="2"/>
  <c r="E8527" i="2"/>
  <c r="D8527" i="2"/>
  <c r="B8527" i="2"/>
  <c r="A8527" i="2"/>
  <c r="O8526" i="2"/>
  <c r="O8525" i="2"/>
  <c r="M8525" i="2"/>
  <c r="L8525" i="2"/>
  <c r="E8525" i="2"/>
  <c r="D8525" i="2"/>
  <c r="B8525" i="2"/>
  <c r="A8525" i="2"/>
  <c r="O8524" i="2"/>
  <c r="O8523" i="2"/>
  <c r="O8522" i="2"/>
  <c r="M8522" i="2"/>
  <c r="L8522" i="2"/>
  <c r="E8522" i="2"/>
  <c r="D8522" i="2"/>
  <c r="B8522" i="2"/>
  <c r="A8522" i="2"/>
  <c r="O8521" i="2"/>
  <c r="M8521" i="2"/>
  <c r="L8521" i="2"/>
  <c r="E8521" i="2"/>
  <c r="D8521" i="2"/>
  <c r="B8521" i="2"/>
  <c r="A8521" i="2"/>
  <c r="O8520" i="2"/>
  <c r="O8519" i="2"/>
  <c r="O8518" i="2"/>
  <c r="O8517" i="2"/>
  <c r="O8516" i="2"/>
  <c r="O8515" i="2"/>
  <c r="M8515" i="2"/>
  <c r="L8515" i="2"/>
  <c r="E8515" i="2"/>
  <c r="D8515" i="2"/>
  <c r="B8515" i="2"/>
  <c r="A8515" i="2"/>
  <c r="O8514" i="2"/>
  <c r="O8513" i="2"/>
  <c r="O8512" i="2"/>
  <c r="M8512" i="2"/>
  <c r="L8512" i="2"/>
  <c r="E8512" i="2"/>
  <c r="D8512" i="2"/>
  <c r="B8512" i="2"/>
  <c r="A8512" i="2"/>
  <c r="O8511" i="2"/>
  <c r="M8511" i="2"/>
  <c r="L8511" i="2"/>
  <c r="E8511" i="2"/>
  <c r="D8511" i="2"/>
  <c r="B8511" i="2"/>
  <c r="A8511" i="2"/>
  <c r="O8510" i="2"/>
  <c r="O8509" i="2"/>
  <c r="O8508" i="2"/>
  <c r="O8507" i="2"/>
  <c r="O8506" i="2"/>
  <c r="M8506" i="2"/>
  <c r="L8506" i="2"/>
  <c r="E8506" i="2"/>
  <c r="D8506" i="2"/>
  <c r="B8506" i="2"/>
  <c r="A8506" i="2"/>
  <c r="O8505" i="2"/>
  <c r="O8504" i="2"/>
  <c r="O8503" i="2"/>
  <c r="O8502" i="2"/>
  <c r="M8502" i="2"/>
  <c r="L8502" i="2"/>
  <c r="E8502" i="2"/>
  <c r="D8502" i="2"/>
  <c r="B8502" i="2"/>
  <c r="A8502" i="2"/>
  <c r="O8501" i="2"/>
  <c r="O8500" i="2"/>
  <c r="O8499" i="2"/>
  <c r="O8498" i="2"/>
  <c r="M8498" i="2"/>
  <c r="L8498" i="2"/>
  <c r="E8498" i="2"/>
  <c r="D8498" i="2"/>
  <c r="B8498" i="2"/>
  <c r="A8498" i="2"/>
  <c r="O8497" i="2"/>
  <c r="M8497" i="2"/>
  <c r="L8497" i="2"/>
  <c r="E8497" i="2"/>
  <c r="D8497" i="2"/>
  <c r="B8497" i="2"/>
  <c r="A8497" i="2"/>
  <c r="O8496" i="2"/>
  <c r="O8495" i="2"/>
  <c r="M8495" i="2"/>
  <c r="L8495" i="2"/>
  <c r="E8495" i="2"/>
  <c r="D8495" i="2"/>
  <c r="B8495" i="2"/>
  <c r="A8495" i="2"/>
  <c r="O8494" i="2"/>
  <c r="O8493" i="2"/>
  <c r="O8492" i="2"/>
  <c r="O8491" i="2"/>
  <c r="O8490" i="2"/>
  <c r="O8489" i="2"/>
  <c r="O8488" i="2"/>
  <c r="O8487" i="2"/>
  <c r="M8487" i="2"/>
  <c r="L8487" i="2"/>
  <c r="E8487" i="2"/>
  <c r="D8487" i="2"/>
  <c r="B8487" i="2"/>
  <c r="A8487" i="2"/>
  <c r="O8486" i="2"/>
  <c r="M8486" i="2"/>
  <c r="L8486" i="2"/>
  <c r="E8486" i="2"/>
  <c r="D8486" i="2"/>
  <c r="B8486" i="2"/>
  <c r="A8486" i="2"/>
  <c r="O8485" i="2"/>
  <c r="O8484" i="2"/>
  <c r="M8484" i="2"/>
  <c r="L8484" i="2"/>
  <c r="E8484" i="2"/>
  <c r="D8484" i="2"/>
  <c r="B8484" i="2"/>
  <c r="A8484" i="2"/>
  <c r="O8483" i="2"/>
  <c r="M8483" i="2"/>
  <c r="L8483" i="2"/>
  <c r="E8483" i="2"/>
  <c r="D8483" i="2"/>
  <c r="B8483" i="2"/>
  <c r="A8483" i="2"/>
  <c r="O8482" i="2"/>
  <c r="M8482" i="2"/>
  <c r="L8482" i="2"/>
  <c r="E8482" i="2"/>
  <c r="D8482" i="2"/>
  <c r="B8482" i="2"/>
  <c r="A8482" i="2"/>
  <c r="O8481" i="2"/>
  <c r="M8481" i="2"/>
  <c r="L8481" i="2"/>
  <c r="E8481" i="2"/>
  <c r="D8481" i="2"/>
  <c r="B8481" i="2"/>
  <c r="A8481" i="2"/>
  <c r="O8480" i="2"/>
  <c r="O8479" i="2"/>
  <c r="O8478" i="2"/>
  <c r="O8477" i="2"/>
  <c r="O8476" i="2"/>
  <c r="M8476" i="2"/>
  <c r="L8476" i="2"/>
  <c r="E8476" i="2"/>
  <c r="D8476" i="2"/>
  <c r="B8476" i="2"/>
  <c r="A8476" i="2"/>
  <c r="O8475" i="2"/>
  <c r="O8474" i="2"/>
  <c r="O8473" i="2"/>
  <c r="O8472" i="2"/>
  <c r="O8471" i="2"/>
  <c r="O8470" i="2"/>
  <c r="M8470" i="2"/>
  <c r="L8470" i="2"/>
  <c r="E8470" i="2"/>
  <c r="D8470" i="2"/>
  <c r="B8470" i="2"/>
  <c r="A8470" i="2"/>
  <c r="O8469" i="2"/>
  <c r="O8468" i="2"/>
  <c r="O8467" i="2"/>
  <c r="M8467" i="2"/>
  <c r="L8467" i="2"/>
  <c r="E8467" i="2"/>
  <c r="D8467" i="2"/>
  <c r="B8467" i="2"/>
  <c r="A8467" i="2"/>
  <c r="O8466" i="2"/>
  <c r="M8466" i="2"/>
  <c r="L8466" i="2"/>
  <c r="E8466" i="2"/>
  <c r="D8466" i="2"/>
  <c r="B8466" i="2"/>
  <c r="A8466" i="2"/>
  <c r="O8465" i="2"/>
  <c r="M8465" i="2"/>
  <c r="L8465" i="2"/>
  <c r="E8465" i="2"/>
  <c r="D8465" i="2"/>
  <c r="B8465" i="2"/>
  <c r="A8465" i="2"/>
  <c r="O8464" i="2"/>
  <c r="M8464" i="2"/>
  <c r="L8464" i="2"/>
  <c r="E8464" i="2"/>
  <c r="D8464" i="2"/>
  <c r="B8464" i="2"/>
  <c r="A8464" i="2"/>
  <c r="O8463" i="2"/>
  <c r="M8463" i="2"/>
  <c r="L8463" i="2"/>
  <c r="E8463" i="2"/>
  <c r="D8463" i="2"/>
  <c r="B8463" i="2"/>
  <c r="A8463" i="2"/>
  <c r="O8462" i="2"/>
  <c r="M8462" i="2"/>
  <c r="L8462" i="2"/>
  <c r="E8462" i="2"/>
  <c r="D8462" i="2"/>
  <c r="B8462" i="2"/>
  <c r="A8462" i="2"/>
  <c r="O8461" i="2"/>
  <c r="M8461" i="2"/>
  <c r="L8461" i="2"/>
  <c r="E8461" i="2"/>
  <c r="D8461" i="2"/>
  <c r="B8461" i="2"/>
  <c r="A8461" i="2"/>
  <c r="O8460" i="2"/>
  <c r="O8459" i="2"/>
  <c r="M8459" i="2"/>
  <c r="L8459" i="2"/>
  <c r="E8459" i="2"/>
  <c r="D8459" i="2"/>
  <c r="B8459" i="2"/>
  <c r="A8459" i="2"/>
  <c r="O8458" i="2"/>
  <c r="O8457" i="2"/>
  <c r="M8457" i="2"/>
  <c r="L8457" i="2"/>
  <c r="E8457" i="2"/>
  <c r="D8457" i="2"/>
  <c r="B8457" i="2"/>
  <c r="A8457" i="2"/>
  <c r="O8456" i="2"/>
  <c r="M8456" i="2"/>
  <c r="L8456" i="2"/>
  <c r="E8456" i="2"/>
  <c r="D8456" i="2"/>
  <c r="B8456" i="2"/>
  <c r="A8456" i="2"/>
  <c r="O8455" i="2"/>
  <c r="O8454" i="2"/>
  <c r="O8453" i="2"/>
  <c r="M8453" i="2"/>
  <c r="L8453" i="2"/>
  <c r="E8453" i="2"/>
  <c r="D8453" i="2"/>
  <c r="B8453" i="2"/>
  <c r="A8453" i="2"/>
  <c r="O8452" i="2"/>
  <c r="O8451" i="2"/>
  <c r="O8450" i="2"/>
  <c r="M8450" i="2"/>
  <c r="L8450" i="2"/>
  <c r="E8450" i="2"/>
  <c r="D8450" i="2"/>
  <c r="B8450" i="2"/>
  <c r="A8450" i="2"/>
  <c r="O8449" i="2"/>
  <c r="M8449" i="2"/>
  <c r="L8449" i="2"/>
  <c r="E8449" i="2"/>
  <c r="D8449" i="2"/>
  <c r="B8449" i="2"/>
  <c r="A8449" i="2"/>
  <c r="O8448" i="2"/>
  <c r="M8448" i="2"/>
  <c r="L8448" i="2"/>
  <c r="E8448" i="2"/>
  <c r="D8448" i="2"/>
  <c r="B8448" i="2"/>
  <c r="A8448" i="2"/>
  <c r="O8447" i="2"/>
  <c r="M8447" i="2"/>
  <c r="L8447" i="2"/>
  <c r="E8447" i="2"/>
  <c r="D8447" i="2"/>
  <c r="B8447" i="2"/>
  <c r="A8447" i="2"/>
  <c r="O8446" i="2"/>
  <c r="O8445" i="2"/>
  <c r="O8444" i="2"/>
  <c r="O8443" i="2"/>
  <c r="M8443" i="2"/>
  <c r="L8443" i="2"/>
  <c r="E8443" i="2"/>
  <c r="D8443" i="2"/>
  <c r="B8443" i="2"/>
  <c r="A8443" i="2"/>
  <c r="O8442" i="2"/>
  <c r="M8442" i="2"/>
  <c r="L8442" i="2"/>
  <c r="E8442" i="2"/>
  <c r="D8442" i="2"/>
  <c r="B8442" i="2"/>
  <c r="A8442" i="2"/>
  <c r="O8441" i="2"/>
  <c r="M8441" i="2"/>
  <c r="L8441" i="2"/>
  <c r="E8441" i="2"/>
  <c r="D8441" i="2"/>
  <c r="B8441" i="2"/>
  <c r="A8441" i="2"/>
  <c r="O8440" i="2"/>
  <c r="O8439" i="2"/>
  <c r="O8438" i="2"/>
  <c r="O8437" i="2"/>
  <c r="O8436" i="2"/>
  <c r="O8435" i="2"/>
  <c r="M8435" i="2"/>
  <c r="L8435" i="2"/>
  <c r="E8435" i="2"/>
  <c r="D8435" i="2"/>
  <c r="B8435" i="2"/>
  <c r="A8435" i="2"/>
  <c r="O8434" i="2"/>
  <c r="M8434" i="2"/>
  <c r="L8434" i="2"/>
  <c r="E8434" i="2"/>
  <c r="D8434" i="2"/>
  <c r="B8434" i="2"/>
  <c r="A8434" i="2"/>
  <c r="O8433" i="2"/>
  <c r="M8433" i="2"/>
  <c r="L8433" i="2"/>
  <c r="E8433" i="2"/>
  <c r="D8433" i="2"/>
  <c r="B8433" i="2"/>
  <c r="A8433" i="2"/>
  <c r="O8432" i="2"/>
  <c r="M8432" i="2"/>
  <c r="L8432" i="2"/>
  <c r="E8432" i="2"/>
  <c r="D8432" i="2"/>
  <c r="B8432" i="2"/>
  <c r="A8432" i="2"/>
  <c r="O8431" i="2"/>
  <c r="M8431" i="2"/>
  <c r="L8431" i="2"/>
  <c r="E8431" i="2"/>
  <c r="D8431" i="2"/>
  <c r="B8431" i="2"/>
  <c r="A8431" i="2"/>
  <c r="O8430" i="2"/>
  <c r="O8429" i="2"/>
  <c r="O8428" i="2"/>
  <c r="O8427" i="2"/>
  <c r="O8426" i="2"/>
  <c r="M8426" i="2"/>
  <c r="L8426" i="2"/>
  <c r="E8426" i="2"/>
  <c r="D8426" i="2"/>
  <c r="B8426" i="2"/>
  <c r="A8426" i="2"/>
  <c r="O8425" i="2"/>
  <c r="O8424" i="2"/>
  <c r="O8423" i="2"/>
  <c r="O8422" i="2"/>
  <c r="M8422" i="2"/>
  <c r="L8422" i="2"/>
  <c r="E8422" i="2"/>
  <c r="D8422" i="2"/>
  <c r="B8422" i="2"/>
  <c r="A8422" i="2"/>
  <c r="O8421" i="2"/>
  <c r="O8420" i="2"/>
  <c r="O8419" i="2"/>
  <c r="M8419" i="2"/>
  <c r="L8419" i="2"/>
  <c r="E8419" i="2"/>
  <c r="D8419" i="2"/>
  <c r="B8419" i="2"/>
  <c r="A8419" i="2"/>
  <c r="O8418" i="2"/>
  <c r="O8417" i="2"/>
  <c r="O8416" i="2"/>
  <c r="M8416" i="2"/>
  <c r="L8416" i="2"/>
  <c r="E8416" i="2"/>
  <c r="D8416" i="2"/>
  <c r="B8416" i="2"/>
  <c r="A8416" i="2"/>
  <c r="O8415" i="2"/>
  <c r="M8415" i="2"/>
  <c r="L8415" i="2"/>
  <c r="E8415" i="2"/>
  <c r="D8415" i="2"/>
  <c r="B8415" i="2"/>
  <c r="A8415" i="2"/>
  <c r="O8414" i="2"/>
  <c r="O8413" i="2"/>
  <c r="O8412" i="2"/>
  <c r="O8411" i="2"/>
  <c r="M8411" i="2"/>
  <c r="L8411" i="2"/>
  <c r="E8411" i="2"/>
  <c r="D8411" i="2"/>
  <c r="B8411" i="2"/>
  <c r="A8411" i="2"/>
  <c r="O8410" i="2"/>
  <c r="M8410" i="2"/>
  <c r="L8410" i="2"/>
  <c r="E8410" i="2"/>
  <c r="D8410" i="2"/>
  <c r="B8410" i="2"/>
  <c r="A8410" i="2"/>
  <c r="O8409" i="2"/>
  <c r="M8409" i="2"/>
  <c r="L8409" i="2"/>
  <c r="E8409" i="2"/>
  <c r="D8409" i="2"/>
  <c r="B8409" i="2"/>
  <c r="A8409" i="2"/>
  <c r="O8408" i="2"/>
  <c r="M8408" i="2"/>
  <c r="L8408" i="2"/>
  <c r="E8408" i="2"/>
  <c r="D8408" i="2"/>
  <c r="B8408" i="2"/>
  <c r="A8408" i="2"/>
  <c r="O8407" i="2"/>
  <c r="M8407" i="2"/>
  <c r="L8407" i="2"/>
  <c r="E8407" i="2"/>
  <c r="D8407" i="2"/>
  <c r="B8407" i="2"/>
  <c r="A8407" i="2"/>
  <c r="O8406" i="2"/>
  <c r="M8406" i="2"/>
  <c r="L8406" i="2"/>
  <c r="E8406" i="2"/>
  <c r="D8406" i="2"/>
  <c r="B8406" i="2"/>
  <c r="A8406" i="2"/>
  <c r="O8405" i="2"/>
  <c r="O8404" i="2"/>
  <c r="O8403" i="2"/>
  <c r="M8403" i="2"/>
  <c r="L8403" i="2"/>
  <c r="E8403" i="2"/>
  <c r="D8403" i="2"/>
  <c r="B8403" i="2"/>
  <c r="A8403" i="2"/>
  <c r="O8402" i="2"/>
  <c r="M8402" i="2"/>
  <c r="L8402" i="2"/>
  <c r="E8402" i="2"/>
  <c r="D8402" i="2"/>
  <c r="B8402" i="2"/>
  <c r="A8402" i="2"/>
  <c r="O8401" i="2"/>
  <c r="O8400" i="2"/>
  <c r="M8400" i="2"/>
  <c r="L8400" i="2"/>
  <c r="E8400" i="2"/>
  <c r="D8400" i="2"/>
  <c r="B8400" i="2"/>
  <c r="A8400" i="2"/>
  <c r="O8399" i="2"/>
  <c r="O8398" i="2"/>
  <c r="O8397" i="2"/>
  <c r="O8396" i="2"/>
  <c r="M8396" i="2"/>
  <c r="L8396" i="2"/>
  <c r="E8396" i="2"/>
  <c r="D8396" i="2"/>
  <c r="B8396" i="2"/>
  <c r="A8396" i="2"/>
  <c r="O8395" i="2"/>
  <c r="M8395" i="2"/>
  <c r="L8395" i="2"/>
  <c r="E8395" i="2"/>
  <c r="D8395" i="2"/>
  <c r="B8395" i="2"/>
  <c r="A8395" i="2"/>
  <c r="O8394" i="2"/>
  <c r="O8393" i="2"/>
  <c r="M8393" i="2"/>
  <c r="L8393" i="2"/>
  <c r="E8393" i="2"/>
  <c r="D8393" i="2"/>
  <c r="B8393" i="2"/>
  <c r="A8393" i="2"/>
  <c r="O8392" i="2"/>
  <c r="M8392" i="2"/>
  <c r="L8392" i="2"/>
  <c r="E8392" i="2"/>
  <c r="D8392" i="2"/>
  <c r="B8392" i="2"/>
  <c r="A8392" i="2"/>
  <c r="O8391" i="2"/>
  <c r="O8390" i="2"/>
  <c r="O8389" i="2"/>
  <c r="O8388" i="2"/>
  <c r="O8387" i="2"/>
  <c r="M8387" i="2"/>
  <c r="L8387" i="2"/>
  <c r="E8387" i="2"/>
  <c r="D8387" i="2"/>
  <c r="B8387" i="2"/>
  <c r="A8387" i="2"/>
  <c r="O8386" i="2"/>
  <c r="O8385" i="2"/>
  <c r="O8384" i="2"/>
  <c r="M8384" i="2"/>
  <c r="L8384" i="2"/>
  <c r="E8384" i="2"/>
  <c r="D8384" i="2"/>
  <c r="B8384" i="2"/>
  <c r="A8384" i="2"/>
  <c r="O8383" i="2"/>
  <c r="O8382" i="2"/>
  <c r="M8382" i="2"/>
  <c r="L8382" i="2"/>
  <c r="E8382" i="2"/>
  <c r="D8382" i="2"/>
  <c r="B8382" i="2"/>
  <c r="A8382" i="2"/>
  <c r="O8381" i="2"/>
  <c r="O8380" i="2"/>
  <c r="O8379" i="2"/>
  <c r="O8378" i="2"/>
  <c r="M8378" i="2"/>
  <c r="L8378" i="2"/>
  <c r="E8378" i="2"/>
  <c r="D8378" i="2"/>
  <c r="B8378" i="2"/>
  <c r="A8378" i="2"/>
  <c r="O8377" i="2"/>
  <c r="M8377" i="2"/>
  <c r="L8377" i="2"/>
  <c r="E8377" i="2"/>
  <c r="D8377" i="2"/>
  <c r="B8377" i="2"/>
  <c r="A8377" i="2"/>
  <c r="O8376" i="2"/>
  <c r="M8376" i="2"/>
  <c r="L8376" i="2"/>
  <c r="E8376" i="2"/>
  <c r="D8376" i="2"/>
  <c r="B8376" i="2"/>
  <c r="A8376" i="2"/>
  <c r="O8375" i="2"/>
  <c r="M8375" i="2"/>
  <c r="L8375" i="2"/>
  <c r="E8375" i="2"/>
  <c r="D8375" i="2"/>
  <c r="B8375" i="2"/>
  <c r="A8375" i="2"/>
  <c r="O8374" i="2"/>
  <c r="M8374" i="2"/>
  <c r="L8374" i="2"/>
  <c r="E8374" i="2"/>
  <c r="D8374" i="2"/>
  <c r="B8374" i="2"/>
  <c r="A8374" i="2"/>
  <c r="O8373" i="2"/>
  <c r="O8372" i="2"/>
  <c r="O8371" i="2"/>
  <c r="M8371" i="2"/>
  <c r="L8371" i="2"/>
  <c r="E8371" i="2"/>
  <c r="D8371" i="2"/>
  <c r="B8371" i="2"/>
  <c r="A8371" i="2"/>
  <c r="O8370" i="2"/>
  <c r="O8369" i="2"/>
  <c r="M8369" i="2"/>
  <c r="L8369" i="2"/>
  <c r="E8369" i="2"/>
  <c r="D8369" i="2"/>
  <c r="B8369" i="2"/>
  <c r="A8369" i="2"/>
  <c r="O8368" i="2"/>
  <c r="M8368" i="2"/>
  <c r="L8368" i="2"/>
  <c r="E8368" i="2"/>
  <c r="D8368" i="2"/>
  <c r="B8368" i="2"/>
  <c r="A8368" i="2"/>
  <c r="O8367" i="2"/>
  <c r="M8367" i="2"/>
  <c r="L8367" i="2"/>
  <c r="E8367" i="2"/>
  <c r="D8367" i="2"/>
  <c r="B8367" i="2"/>
  <c r="A8367" i="2"/>
  <c r="O8366" i="2"/>
  <c r="M8366" i="2"/>
  <c r="L8366" i="2"/>
  <c r="E8366" i="2"/>
  <c r="D8366" i="2"/>
  <c r="B8366" i="2"/>
  <c r="A8366" i="2"/>
  <c r="O8365" i="2"/>
  <c r="M8365" i="2"/>
  <c r="L8365" i="2"/>
  <c r="E8365" i="2"/>
  <c r="D8365" i="2"/>
  <c r="B8365" i="2"/>
  <c r="A8365" i="2"/>
  <c r="O8364" i="2"/>
  <c r="O8363" i="2"/>
  <c r="O8362" i="2"/>
  <c r="O8361" i="2"/>
  <c r="O8360" i="2"/>
  <c r="O8359" i="2"/>
  <c r="O8358" i="2"/>
  <c r="O8357" i="2"/>
  <c r="M8357" i="2"/>
  <c r="L8357" i="2"/>
  <c r="E8357" i="2"/>
  <c r="D8357" i="2"/>
  <c r="B8357" i="2"/>
  <c r="A8357" i="2"/>
  <c r="O8356" i="2"/>
  <c r="O8355" i="2"/>
  <c r="M8355" i="2"/>
  <c r="L8355" i="2"/>
  <c r="E8355" i="2"/>
  <c r="D8355" i="2"/>
  <c r="B8355" i="2"/>
  <c r="A8355" i="2"/>
  <c r="O8354" i="2"/>
  <c r="O8353" i="2"/>
  <c r="M8353" i="2"/>
  <c r="L8353" i="2"/>
  <c r="E8353" i="2"/>
  <c r="D8353" i="2"/>
  <c r="B8353" i="2"/>
  <c r="A8353" i="2"/>
  <c r="O8352" i="2"/>
  <c r="M8352" i="2"/>
  <c r="L8352" i="2"/>
  <c r="E8352" i="2"/>
  <c r="D8352" i="2"/>
  <c r="B8352" i="2"/>
  <c r="A8352" i="2"/>
  <c r="O8351" i="2"/>
  <c r="M8351" i="2"/>
  <c r="L8351" i="2"/>
  <c r="E8351" i="2"/>
  <c r="D8351" i="2"/>
  <c r="B8351" i="2"/>
  <c r="A8351" i="2"/>
  <c r="O8350" i="2"/>
  <c r="O8349" i="2"/>
  <c r="M8349" i="2"/>
  <c r="L8349" i="2"/>
  <c r="E8349" i="2"/>
  <c r="D8349" i="2"/>
  <c r="B8349" i="2"/>
  <c r="A8349" i="2"/>
  <c r="O8348" i="2"/>
  <c r="O8347" i="2"/>
  <c r="M8347" i="2"/>
  <c r="L8347" i="2"/>
  <c r="E8347" i="2"/>
  <c r="D8347" i="2"/>
  <c r="B8347" i="2"/>
  <c r="A8347" i="2"/>
  <c r="O8346" i="2"/>
  <c r="O8345" i="2"/>
  <c r="M8345" i="2"/>
  <c r="L8345" i="2"/>
  <c r="E8345" i="2"/>
  <c r="D8345" i="2"/>
  <c r="B8345" i="2"/>
  <c r="A8345" i="2"/>
  <c r="O8344" i="2"/>
  <c r="O8343" i="2"/>
  <c r="O8342" i="2"/>
  <c r="M8342" i="2"/>
  <c r="L8342" i="2"/>
  <c r="E8342" i="2"/>
  <c r="D8342" i="2"/>
  <c r="B8342" i="2"/>
  <c r="A8342" i="2"/>
  <c r="O8341" i="2"/>
  <c r="M8341" i="2"/>
  <c r="L8341" i="2"/>
  <c r="E8341" i="2"/>
  <c r="D8341" i="2"/>
  <c r="B8341" i="2"/>
  <c r="A8341" i="2"/>
  <c r="O8340" i="2"/>
  <c r="M8340" i="2"/>
  <c r="L8340" i="2"/>
  <c r="E8340" i="2"/>
  <c r="D8340" i="2"/>
  <c r="B8340" i="2"/>
  <c r="A8340" i="2"/>
  <c r="O8339" i="2"/>
  <c r="M8339" i="2"/>
  <c r="L8339" i="2"/>
  <c r="E8339" i="2"/>
  <c r="D8339" i="2"/>
  <c r="B8339" i="2"/>
  <c r="A8339" i="2"/>
  <c r="O8338" i="2"/>
  <c r="O8337" i="2"/>
  <c r="O8336" i="2"/>
  <c r="M8336" i="2"/>
  <c r="L8336" i="2"/>
  <c r="E8336" i="2"/>
  <c r="D8336" i="2"/>
  <c r="B8336" i="2"/>
  <c r="A8336" i="2"/>
  <c r="O8335" i="2"/>
  <c r="O8334" i="2"/>
  <c r="O8333" i="2"/>
  <c r="M8333" i="2"/>
  <c r="L8333" i="2"/>
  <c r="E8333" i="2"/>
  <c r="D8333" i="2"/>
  <c r="B8333" i="2"/>
  <c r="A8333" i="2"/>
  <c r="O8332" i="2"/>
  <c r="M8332" i="2"/>
  <c r="L8332" i="2"/>
  <c r="E8332" i="2"/>
  <c r="D8332" i="2"/>
  <c r="B8332" i="2"/>
  <c r="A8332" i="2"/>
  <c r="O8331" i="2"/>
  <c r="M8331" i="2"/>
  <c r="L8331" i="2"/>
  <c r="E8331" i="2"/>
  <c r="D8331" i="2"/>
  <c r="B8331" i="2"/>
  <c r="A8331" i="2"/>
  <c r="O8330" i="2"/>
  <c r="M8330" i="2"/>
  <c r="L8330" i="2"/>
  <c r="E8330" i="2"/>
  <c r="D8330" i="2"/>
  <c r="B8330" i="2"/>
  <c r="A8330" i="2"/>
  <c r="O8329" i="2"/>
  <c r="M8329" i="2"/>
  <c r="L8329" i="2"/>
  <c r="E8329" i="2"/>
  <c r="D8329" i="2"/>
  <c r="B8329" i="2"/>
  <c r="A8329" i="2"/>
  <c r="O8328" i="2"/>
  <c r="M8328" i="2"/>
  <c r="L8328" i="2"/>
  <c r="E8328" i="2"/>
  <c r="D8328" i="2"/>
  <c r="B8328" i="2"/>
  <c r="A8328" i="2"/>
  <c r="O8327" i="2"/>
  <c r="M8327" i="2"/>
  <c r="L8327" i="2"/>
  <c r="E8327" i="2"/>
  <c r="D8327" i="2"/>
  <c r="B8327" i="2"/>
  <c r="A8327" i="2"/>
  <c r="O8326" i="2"/>
  <c r="O8325" i="2"/>
  <c r="O8324" i="2"/>
  <c r="O8323" i="2"/>
  <c r="M8323" i="2"/>
  <c r="L8323" i="2"/>
  <c r="E8323" i="2"/>
  <c r="D8323" i="2"/>
  <c r="B8323" i="2"/>
  <c r="A8323" i="2"/>
  <c r="O8322" i="2"/>
  <c r="M8322" i="2"/>
  <c r="L8322" i="2"/>
  <c r="E8322" i="2"/>
  <c r="D8322" i="2"/>
  <c r="B8322" i="2"/>
  <c r="A8322" i="2"/>
  <c r="O8321" i="2"/>
  <c r="M8321" i="2"/>
  <c r="L8321" i="2"/>
  <c r="E8321" i="2"/>
  <c r="D8321" i="2"/>
  <c r="B8321" i="2"/>
  <c r="A8321" i="2"/>
  <c r="O8320" i="2"/>
  <c r="M8320" i="2"/>
  <c r="L8320" i="2"/>
  <c r="E8320" i="2"/>
  <c r="D8320" i="2"/>
  <c r="B8320" i="2"/>
  <c r="A8320" i="2"/>
  <c r="O8319" i="2"/>
  <c r="M8319" i="2"/>
  <c r="L8319" i="2"/>
  <c r="E8319" i="2"/>
  <c r="D8319" i="2"/>
  <c r="B8319" i="2"/>
  <c r="A8319" i="2"/>
  <c r="O8318" i="2"/>
  <c r="O8317" i="2"/>
  <c r="O8316" i="2"/>
  <c r="O8315" i="2"/>
  <c r="O8314" i="2"/>
  <c r="M8314" i="2"/>
  <c r="L8314" i="2"/>
  <c r="E8314" i="2"/>
  <c r="D8314" i="2"/>
  <c r="B8314" i="2"/>
  <c r="A8314" i="2"/>
  <c r="O8313" i="2"/>
  <c r="M8313" i="2"/>
  <c r="L8313" i="2"/>
  <c r="E8313" i="2"/>
  <c r="D8313" i="2"/>
  <c r="B8313" i="2"/>
  <c r="A8313" i="2"/>
  <c r="O8312" i="2"/>
  <c r="O8311" i="2"/>
  <c r="O8310" i="2"/>
  <c r="M8310" i="2"/>
  <c r="L8310" i="2"/>
  <c r="E8310" i="2"/>
  <c r="D8310" i="2"/>
  <c r="B8310" i="2"/>
  <c r="A8310" i="2"/>
  <c r="O8309" i="2"/>
  <c r="O8308" i="2"/>
  <c r="O8307" i="2"/>
  <c r="O8306" i="2"/>
  <c r="O8305" i="2"/>
  <c r="O8304" i="2"/>
  <c r="M8304" i="2"/>
  <c r="L8304" i="2"/>
  <c r="E8304" i="2"/>
  <c r="D8304" i="2"/>
  <c r="B8304" i="2"/>
  <c r="A8304" i="2"/>
  <c r="O8303" i="2"/>
  <c r="M8303" i="2"/>
  <c r="L8303" i="2"/>
  <c r="E8303" i="2"/>
  <c r="D8303" i="2"/>
  <c r="B8303" i="2"/>
  <c r="A8303" i="2"/>
  <c r="O8302" i="2"/>
  <c r="O8301" i="2"/>
  <c r="O8300" i="2"/>
  <c r="M8300" i="2"/>
  <c r="L8300" i="2"/>
  <c r="E8300" i="2"/>
  <c r="D8300" i="2"/>
  <c r="B8300" i="2"/>
  <c r="A8300" i="2"/>
  <c r="O8299" i="2"/>
  <c r="M8299" i="2"/>
  <c r="L8299" i="2"/>
  <c r="E8299" i="2"/>
  <c r="D8299" i="2"/>
  <c r="B8299" i="2"/>
  <c r="A8299" i="2"/>
  <c r="O8298" i="2"/>
  <c r="O8297" i="2"/>
  <c r="O8296" i="2"/>
  <c r="O8295" i="2"/>
  <c r="O8294" i="2"/>
  <c r="O8293" i="2"/>
  <c r="M8293" i="2"/>
  <c r="L8293" i="2"/>
  <c r="E8293" i="2"/>
  <c r="D8293" i="2"/>
  <c r="B8293" i="2"/>
  <c r="A8293" i="2"/>
  <c r="O8292" i="2"/>
  <c r="M8292" i="2"/>
  <c r="L8292" i="2"/>
  <c r="E8292" i="2"/>
  <c r="D8292" i="2"/>
  <c r="B8292" i="2"/>
  <c r="A8292" i="2"/>
  <c r="O8291" i="2"/>
  <c r="M8291" i="2"/>
  <c r="L8291" i="2"/>
  <c r="E8291" i="2"/>
  <c r="D8291" i="2"/>
  <c r="B8291" i="2"/>
  <c r="A8291" i="2"/>
  <c r="O8290" i="2"/>
  <c r="M8290" i="2"/>
  <c r="L8290" i="2"/>
  <c r="E8290" i="2"/>
  <c r="D8290" i="2"/>
  <c r="B8290" i="2"/>
  <c r="A8290" i="2"/>
  <c r="O8289" i="2"/>
  <c r="O8288" i="2"/>
  <c r="O8287" i="2"/>
  <c r="O8286" i="2"/>
  <c r="M8286" i="2"/>
  <c r="L8286" i="2"/>
  <c r="E8286" i="2"/>
  <c r="D8286" i="2"/>
  <c r="B8286" i="2"/>
  <c r="A8286" i="2"/>
  <c r="O8285" i="2"/>
  <c r="M8285" i="2"/>
  <c r="L8285" i="2"/>
  <c r="E8285" i="2"/>
  <c r="D8285" i="2"/>
  <c r="B8285" i="2"/>
  <c r="A8285" i="2"/>
  <c r="O8284" i="2"/>
  <c r="M8284" i="2"/>
  <c r="L8284" i="2"/>
  <c r="E8284" i="2"/>
  <c r="D8284" i="2"/>
  <c r="B8284" i="2"/>
  <c r="A8284" i="2"/>
  <c r="O8283" i="2"/>
  <c r="M8283" i="2"/>
  <c r="L8283" i="2"/>
  <c r="E8283" i="2"/>
  <c r="D8283" i="2"/>
  <c r="B8283" i="2"/>
  <c r="A8283" i="2"/>
  <c r="O8282" i="2"/>
  <c r="M8282" i="2"/>
  <c r="L8282" i="2"/>
  <c r="E8282" i="2"/>
  <c r="D8282" i="2"/>
  <c r="B8282" i="2"/>
  <c r="A8282" i="2"/>
  <c r="O8281" i="2"/>
  <c r="M8281" i="2"/>
  <c r="L8281" i="2"/>
  <c r="E8281" i="2"/>
  <c r="D8281" i="2"/>
  <c r="B8281" i="2"/>
  <c r="A8281" i="2"/>
  <c r="O8280" i="2"/>
  <c r="M8280" i="2"/>
  <c r="L8280" i="2"/>
  <c r="E8280" i="2"/>
  <c r="D8280" i="2"/>
  <c r="B8280" i="2"/>
  <c r="A8280" i="2"/>
  <c r="O8279" i="2"/>
  <c r="O8278" i="2"/>
  <c r="O8277" i="2"/>
  <c r="M8277" i="2"/>
  <c r="L8277" i="2"/>
  <c r="E8277" i="2"/>
  <c r="D8277" i="2"/>
  <c r="B8277" i="2"/>
  <c r="A8277" i="2"/>
  <c r="O8276" i="2"/>
  <c r="O8275" i="2"/>
  <c r="M8275" i="2"/>
  <c r="L8275" i="2"/>
  <c r="E8275" i="2"/>
  <c r="D8275" i="2"/>
  <c r="B8275" i="2"/>
  <c r="A8275" i="2"/>
  <c r="O8274" i="2"/>
  <c r="M8274" i="2"/>
  <c r="L8274" i="2"/>
  <c r="E8274" i="2"/>
  <c r="D8274" i="2"/>
  <c r="B8274" i="2"/>
  <c r="A8274" i="2"/>
  <c r="O8273" i="2"/>
  <c r="M8273" i="2"/>
  <c r="L8273" i="2"/>
  <c r="E8273" i="2"/>
  <c r="D8273" i="2"/>
  <c r="B8273" i="2"/>
  <c r="A8273" i="2"/>
  <c r="O8272" i="2"/>
  <c r="O8271" i="2"/>
  <c r="M8271" i="2"/>
  <c r="L8271" i="2"/>
  <c r="E8271" i="2"/>
  <c r="D8271" i="2"/>
  <c r="B8271" i="2"/>
  <c r="A8271" i="2"/>
  <c r="O8270" i="2"/>
  <c r="M8270" i="2"/>
  <c r="L8270" i="2"/>
  <c r="E8270" i="2"/>
  <c r="D8270" i="2"/>
  <c r="B8270" i="2"/>
  <c r="A8270" i="2"/>
  <c r="O8269" i="2"/>
  <c r="O8268" i="2"/>
  <c r="O8267" i="2"/>
  <c r="M8267" i="2"/>
  <c r="L8267" i="2"/>
  <c r="E8267" i="2"/>
  <c r="D8267" i="2"/>
  <c r="B8267" i="2"/>
  <c r="A8267" i="2"/>
  <c r="O8266" i="2"/>
  <c r="O8265" i="2"/>
  <c r="O8264" i="2"/>
  <c r="M8264" i="2"/>
  <c r="L8264" i="2"/>
  <c r="E8264" i="2"/>
  <c r="D8264" i="2"/>
  <c r="B8264" i="2"/>
  <c r="A8264" i="2"/>
  <c r="O8263" i="2"/>
  <c r="M8263" i="2"/>
  <c r="L8263" i="2"/>
  <c r="E8263" i="2"/>
  <c r="D8263" i="2"/>
  <c r="B8263" i="2"/>
  <c r="A8263" i="2"/>
  <c r="O8262" i="2"/>
  <c r="O8261" i="2"/>
  <c r="M8261" i="2"/>
  <c r="L8261" i="2"/>
  <c r="E8261" i="2"/>
  <c r="D8261" i="2"/>
  <c r="B8261" i="2"/>
  <c r="A8261" i="2"/>
  <c r="O8260" i="2"/>
  <c r="M8260" i="2"/>
  <c r="L8260" i="2"/>
  <c r="E8260" i="2"/>
  <c r="D8260" i="2"/>
  <c r="B8260" i="2"/>
  <c r="A8260" i="2"/>
  <c r="O8259" i="2"/>
  <c r="O8258" i="2"/>
  <c r="M8258" i="2"/>
  <c r="L8258" i="2"/>
  <c r="E8258" i="2"/>
  <c r="D8258" i="2"/>
  <c r="B8258" i="2"/>
  <c r="A8258" i="2"/>
  <c r="O8257" i="2"/>
  <c r="M8257" i="2"/>
  <c r="L8257" i="2"/>
  <c r="E8257" i="2"/>
  <c r="D8257" i="2"/>
  <c r="B8257" i="2"/>
  <c r="A8257" i="2"/>
  <c r="O8256" i="2"/>
  <c r="M8256" i="2"/>
  <c r="L8256" i="2"/>
  <c r="E8256" i="2"/>
  <c r="D8256" i="2"/>
  <c r="B8256" i="2"/>
  <c r="A8256" i="2"/>
  <c r="O8255" i="2"/>
  <c r="M8255" i="2"/>
  <c r="L8255" i="2"/>
  <c r="E8255" i="2"/>
  <c r="D8255" i="2"/>
  <c r="B8255" i="2"/>
  <c r="A8255" i="2"/>
  <c r="O8254" i="2"/>
  <c r="M8254" i="2"/>
  <c r="L8254" i="2"/>
  <c r="E8254" i="2"/>
  <c r="D8254" i="2"/>
  <c r="B8254" i="2"/>
  <c r="A8254" i="2"/>
  <c r="O8253" i="2"/>
  <c r="M8253" i="2"/>
  <c r="L8253" i="2"/>
  <c r="E8253" i="2"/>
  <c r="D8253" i="2"/>
  <c r="B8253" i="2"/>
  <c r="A8253" i="2"/>
  <c r="O8252" i="2"/>
  <c r="M8252" i="2"/>
  <c r="L8252" i="2"/>
  <c r="E8252" i="2"/>
  <c r="D8252" i="2"/>
  <c r="B8252" i="2"/>
  <c r="A8252" i="2"/>
  <c r="O8251" i="2"/>
  <c r="M8251" i="2"/>
  <c r="L8251" i="2"/>
  <c r="E8251" i="2"/>
  <c r="D8251" i="2"/>
  <c r="B8251" i="2"/>
  <c r="A8251" i="2"/>
  <c r="O8250" i="2"/>
  <c r="O8249" i="2"/>
  <c r="M8249" i="2"/>
  <c r="L8249" i="2"/>
  <c r="E8249" i="2"/>
  <c r="D8249" i="2"/>
  <c r="B8249" i="2"/>
  <c r="A8249" i="2"/>
  <c r="O8248" i="2"/>
  <c r="M8248" i="2"/>
  <c r="L8248" i="2"/>
  <c r="E8248" i="2"/>
  <c r="D8248" i="2"/>
  <c r="B8248" i="2"/>
  <c r="A8248" i="2"/>
  <c r="O8247" i="2"/>
  <c r="M8247" i="2"/>
  <c r="L8247" i="2"/>
  <c r="E8247" i="2"/>
  <c r="D8247" i="2"/>
  <c r="B8247" i="2"/>
  <c r="A8247" i="2"/>
  <c r="O8246" i="2"/>
  <c r="O8245" i="2"/>
  <c r="O8244" i="2"/>
  <c r="M8244" i="2"/>
  <c r="L8244" i="2"/>
  <c r="E8244" i="2"/>
  <c r="D8244" i="2"/>
  <c r="B8244" i="2"/>
  <c r="A8244" i="2"/>
  <c r="O8243" i="2"/>
  <c r="M8243" i="2"/>
  <c r="L8243" i="2"/>
  <c r="E8243" i="2"/>
  <c r="D8243" i="2"/>
  <c r="B8243" i="2"/>
  <c r="A8243" i="2"/>
  <c r="O8242" i="2"/>
  <c r="M8242" i="2"/>
  <c r="L8242" i="2"/>
  <c r="E8242" i="2"/>
  <c r="D8242" i="2"/>
  <c r="B8242" i="2"/>
  <c r="A8242" i="2"/>
  <c r="O8241" i="2"/>
  <c r="O8240" i="2"/>
  <c r="O8239" i="2"/>
  <c r="M8239" i="2"/>
  <c r="L8239" i="2"/>
  <c r="E8239" i="2"/>
  <c r="D8239" i="2"/>
  <c r="B8239" i="2"/>
  <c r="A8239" i="2"/>
  <c r="O8238" i="2"/>
  <c r="M8238" i="2"/>
  <c r="L8238" i="2"/>
  <c r="E8238" i="2"/>
  <c r="D8238" i="2"/>
  <c r="B8238" i="2"/>
  <c r="A8238" i="2"/>
  <c r="O8237" i="2"/>
  <c r="O8236" i="2"/>
  <c r="M8236" i="2"/>
  <c r="L8236" i="2"/>
  <c r="E8236" i="2"/>
  <c r="D8236" i="2"/>
  <c r="B8236" i="2"/>
  <c r="A8236" i="2"/>
  <c r="O8235" i="2"/>
  <c r="M8235" i="2"/>
  <c r="L8235" i="2"/>
  <c r="E8235" i="2"/>
  <c r="D8235" i="2"/>
  <c r="B8235" i="2"/>
  <c r="A8235" i="2"/>
  <c r="O8234" i="2"/>
  <c r="M8234" i="2"/>
  <c r="L8234" i="2"/>
  <c r="E8234" i="2"/>
  <c r="D8234" i="2"/>
  <c r="B8234" i="2"/>
  <c r="A8234" i="2"/>
  <c r="O8233" i="2"/>
  <c r="M8233" i="2"/>
  <c r="L8233" i="2"/>
  <c r="E8233" i="2"/>
  <c r="D8233" i="2"/>
  <c r="B8233" i="2"/>
  <c r="A8233" i="2"/>
  <c r="O8232" i="2"/>
  <c r="O8231" i="2"/>
  <c r="M8231" i="2"/>
  <c r="L8231" i="2"/>
  <c r="E8231" i="2"/>
  <c r="D8231" i="2"/>
  <c r="B8231" i="2"/>
  <c r="A8231" i="2"/>
  <c r="O8230" i="2"/>
  <c r="M8230" i="2"/>
  <c r="L8230" i="2"/>
  <c r="E8230" i="2"/>
  <c r="D8230" i="2"/>
  <c r="B8230" i="2"/>
  <c r="A8230" i="2"/>
  <c r="O8229" i="2"/>
  <c r="M8229" i="2"/>
  <c r="L8229" i="2"/>
  <c r="E8229" i="2"/>
  <c r="D8229" i="2"/>
  <c r="B8229" i="2"/>
  <c r="A8229" i="2"/>
  <c r="O8228" i="2"/>
  <c r="M8228" i="2"/>
  <c r="L8228" i="2"/>
  <c r="E8228" i="2"/>
  <c r="D8228" i="2"/>
  <c r="B8228" i="2"/>
  <c r="A8228" i="2"/>
  <c r="O8227" i="2"/>
  <c r="M8227" i="2"/>
  <c r="L8227" i="2"/>
  <c r="E8227" i="2"/>
  <c r="D8227" i="2"/>
  <c r="B8227" i="2"/>
  <c r="A8227" i="2"/>
  <c r="O8226" i="2"/>
  <c r="M8226" i="2"/>
  <c r="L8226" i="2"/>
  <c r="E8226" i="2"/>
  <c r="D8226" i="2"/>
  <c r="B8226" i="2"/>
  <c r="A8226" i="2"/>
  <c r="O8225" i="2"/>
  <c r="M8225" i="2"/>
  <c r="L8225" i="2"/>
  <c r="E8225" i="2"/>
  <c r="D8225" i="2"/>
  <c r="B8225" i="2"/>
  <c r="A8225" i="2"/>
  <c r="O8224" i="2"/>
  <c r="M8224" i="2"/>
  <c r="L8224" i="2"/>
  <c r="E8224" i="2"/>
  <c r="D8224" i="2"/>
  <c r="B8224" i="2"/>
  <c r="A8224" i="2"/>
  <c r="O8223" i="2"/>
  <c r="M8223" i="2"/>
  <c r="L8223" i="2"/>
  <c r="E8223" i="2"/>
  <c r="D8223" i="2"/>
  <c r="B8223" i="2"/>
  <c r="A8223" i="2"/>
  <c r="O8222" i="2"/>
  <c r="M8222" i="2"/>
  <c r="L8222" i="2"/>
  <c r="E8222" i="2"/>
  <c r="D8222" i="2"/>
  <c r="B8222" i="2"/>
  <c r="A8222" i="2"/>
  <c r="O8221" i="2"/>
  <c r="O8220" i="2"/>
  <c r="M8220" i="2"/>
  <c r="L8220" i="2"/>
  <c r="E8220" i="2"/>
  <c r="D8220" i="2"/>
  <c r="B8220" i="2"/>
  <c r="A8220" i="2"/>
  <c r="O8219" i="2"/>
  <c r="M8219" i="2"/>
  <c r="L8219" i="2"/>
  <c r="E8219" i="2"/>
  <c r="D8219" i="2"/>
  <c r="B8219" i="2"/>
  <c r="A8219" i="2"/>
  <c r="O8218" i="2"/>
  <c r="M8218" i="2"/>
  <c r="L8218" i="2"/>
  <c r="E8218" i="2"/>
  <c r="D8218" i="2"/>
  <c r="B8218" i="2"/>
  <c r="A8218" i="2"/>
  <c r="O8217" i="2"/>
  <c r="M8217" i="2"/>
  <c r="L8217" i="2"/>
  <c r="E8217" i="2"/>
  <c r="D8217" i="2"/>
  <c r="B8217" i="2"/>
  <c r="A8217" i="2"/>
  <c r="O8216" i="2"/>
  <c r="M8216" i="2"/>
  <c r="L8216" i="2"/>
  <c r="E8216" i="2"/>
  <c r="D8216" i="2"/>
  <c r="B8216" i="2"/>
  <c r="A8216" i="2"/>
  <c r="O8215" i="2"/>
  <c r="M8215" i="2"/>
  <c r="L8215" i="2"/>
  <c r="E8215" i="2"/>
  <c r="D8215" i="2"/>
  <c r="B8215" i="2"/>
  <c r="A8215" i="2"/>
  <c r="O8214" i="2"/>
  <c r="O8213" i="2"/>
  <c r="O8212" i="2"/>
  <c r="M8212" i="2"/>
  <c r="L8212" i="2"/>
  <c r="E8212" i="2"/>
  <c r="D8212" i="2"/>
  <c r="B8212" i="2"/>
  <c r="A8212" i="2"/>
  <c r="O8211" i="2"/>
  <c r="M8211" i="2"/>
  <c r="L8211" i="2"/>
  <c r="E8211" i="2"/>
  <c r="D8211" i="2"/>
  <c r="B8211" i="2"/>
  <c r="A8211" i="2"/>
  <c r="O8210" i="2"/>
  <c r="M8210" i="2"/>
  <c r="L8210" i="2"/>
  <c r="E8210" i="2"/>
  <c r="D8210" i="2"/>
  <c r="B8210" i="2"/>
  <c r="A8210" i="2"/>
  <c r="O8209" i="2"/>
  <c r="M8209" i="2"/>
  <c r="L8209" i="2"/>
  <c r="E8209" i="2"/>
  <c r="D8209" i="2"/>
  <c r="B8209" i="2"/>
  <c r="A8209" i="2"/>
  <c r="O8208" i="2"/>
  <c r="M8208" i="2"/>
  <c r="L8208" i="2"/>
  <c r="E8208" i="2"/>
  <c r="D8208" i="2"/>
  <c r="B8208" i="2"/>
  <c r="A8208" i="2"/>
  <c r="O8207" i="2"/>
  <c r="M8207" i="2"/>
  <c r="L8207" i="2"/>
  <c r="E8207" i="2"/>
  <c r="D8207" i="2"/>
  <c r="B8207" i="2"/>
  <c r="A8207" i="2"/>
  <c r="O8206" i="2"/>
  <c r="O8205" i="2"/>
  <c r="M8205" i="2"/>
  <c r="L8205" i="2"/>
  <c r="E8205" i="2"/>
  <c r="D8205" i="2"/>
  <c r="B8205" i="2"/>
  <c r="A8205" i="2"/>
  <c r="O8204" i="2"/>
  <c r="M8204" i="2"/>
  <c r="L8204" i="2"/>
  <c r="E8204" i="2"/>
  <c r="D8204" i="2"/>
  <c r="B8204" i="2"/>
  <c r="A8204" i="2"/>
  <c r="O8203" i="2"/>
  <c r="M8203" i="2"/>
  <c r="L8203" i="2"/>
  <c r="E8203" i="2"/>
  <c r="D8203" i="2"/>
  <c r="B8203" i="2"/>
  <c r="A8203" i="2"/>
  <c r="O8202" i="2"/>
  <c r="O8201" i="2"/>
  <c r="M8201" i="2"/>
  <c r="L8201" i="2"/>
  <c r="E8201" i="2"/>
  <c r="D8201" i="2"/>
  <c r="B8201" i="2"/>
  <c r="A8201" i="2"/>
  <c r="O8200" i="2"/>
  <c r="O8199" i="2"/>
  <c r="O8198" i="2"/>
  <c r="M8198" i="2"/>
  <c r="L8198" i="2"/>
  <c r="E8198" i="2"/>
  <c r="D8198" i="2"/>
  <c r="B8198" i="2"/>
  <c r="A8198" i="2"/>
  <c r="O8197" i="2"/>
  <c r="O8196" i="2"/>
  <c r="O8195" i="2"/>
  <c r="O8194" i="2"/>
  <c r="O8193" i="2"/>
  <c r="M8193" i="2"/>
  <c r="L8193" i="2"/>
  <c r="E8193" i="2"/>
  <c r="D8193" i="2"/>
  <c r="B8193" i="2"/>
  <c r="A8193" i="2"/>
  <c r="O8192" i="2"/>
  <c r="M8192" i="2"/>
  <c r="L8192" i="2"/>
  <c r="E8192" i="2"/>
  <c r="D8192" i="2"/>
  <c r="B8192" i="2"/>
  <c r="A8192" i="2"/>
  <c r="O8191" i="2"/>
  <c r="O8190" i="2"/>
  <c r="M8190" i="2"/>
  <c r="L8190" i="2"/>
  <c r="E8190" i="2"/>
  <c r="D8190" i="2"/>
  <c r="B8190" i="2"/>
  <c r="A8190" i="2"/>
  <c r="O8189" i="2"/>
  <c r="M8189" i="2"/>
  <c r="L8189" i="2"/>
  <c r="E8189" i="2"/>
  <c r="D8189" i="2"/>
  <c r="B8189" i="2"/>
  <c r="A8189" i="2"/>
  <c r="O8188" i="2"/>
  <c r="M8188" i="2"/>
  <c r="L8188" i="2"/>
  <c r="E8188" i="2"/>
  <c r="D8188" i="2"/>
  <c r="B8188" i="2"/>
  <c r="A8188" i="2"/>
  <c r="O8187" i="2"/>
  <c r="O8186" i="2"/>
  <c r="M8186" i="2"/>
  <c r="L8186" i="2"/>
  <c r="E8186" i="2"/>
  <c r="D8186" i="2"/>
  <c r="B8186" i="2"/>
  <c r="A8186" i="2"/>
  <c r="O8185" i="2"/>
  <c r="O8184" i="2"/>
  <c r="M8184" i="2"/>
  <c r="L8184" i="2"/>
  <c r="E8184" i="2"/>
  <c r="D8184" i="2"/>
  <c r="B8184" i="2"/>
  <c r="A8184" i="2"/>
  <c r="O8183" i="2"/>
  <c r="O8182" i="2"/>
  <c r="O8181" i="2"/>
  <c r="M8181" i="2"/>
  <c r="L8181" i="2"/>
  <c r="E8181" i="2"/>
  <c r="D8181" i="2"/>
  <c r="B8181" i="2"/>
  <c r="A8181" i="2"/>
  <c r="O8180" i="2"/>
  <c r="O8179" i="2"/>
  <c r="O8178" i="2"/>
  <c r="M8178" i="2"/>
  <c r="L8178" i="2"/>
  <c r="E8178" i="2"/>
  <c r="D8178" i="2"/>
  <c r="B8178" i="2"/>
  <c r="A8178" i="2"/>
  <c r="O8177" i="2"/>
  <c r="O8176" i="2"/>
  <c r="M8176" i="2"/>
  <c r="L8176" i="2"/>
  <c r="E8176" i="2"/>
  <c r="D8176" i="2"/>
  <c r="B8176" i="2"/>
  <c r="A8176" i="2"/>
  <c r="O8175" i="2"/>
  <c r="O8174" i="2"/>
  <c r="M8174" i="2"/>
  <c r="L8174" i="2"/>
  <c r="E8174" i="2"/>
  <c r="D8174" i="2"/>
  <c r="B8174" i="2"/>
  <c r="A8174" i="2"/>
  <c r="O8173" i="2"/>
  <c r="O8172" i="2"/>
  <c r="M8172" i="2"/>
  <c r="L8172" i="2"/>
  <c r="E8172" i="2"/>
  <c r="D8172" i="2"/>
  <c r="B8172" i="2"/>
  <c r="A8172" i="2"/>
  <c r="O8171" i="2"/>
  <c r="O8170" i="2"/>
  <c r="O8169" i="2"/>
  <c r="O8168" i="2"/>
  <c r="O8167" i="2"/>
  <c r="O8166" i="2"/>
  <c r="M8166" i="2"/>
  <c r="L8166" i="2"/>
  <c r="E8166" i="2"/>
  <c r="D8166" i="2"/>
  <c r="B8166" i="2"/>
  <c r="A8166" i="2"/>
  <c r="O8165" i="2"/>
  <c r="O8164" i="2"/>
  <c r="O8163" i="2"/>
  <c r="M8163" i="2"/>
  <c r="L8163" i="2"/>
  <c r="E8163" i="2"/>
  <c r="D8163" i="2"/>
  <c r="B8163" i="2"/>
  <c r="A8163" i="2"/>
  <c r="O8162" i="2"/>
  <c r="O8161" i="2"/>
  <c r="O8160" i="2"/>
  <c r="M8160" i="2"/>
  <c r="L8160" i="2"/>
  <c r="E8160" i="2"/>
  <c r="D8160" i="2"/>
  <c r="B8160" i="2"/>
  <c r="A8160" i="2"/>
  <c r="O8159" i="2"/>
  <c r="M8159" i="2"/>
  <c r="L8159" i="2"/>
  <c r="E8159" i="2"/>
  <c r="D8159" i="2"/>
  <c r="B8159" i="2"/>
  <c r="A8159" i="2"/>
  <c r="O8158" i="2"/>
  <c r="O8157" i="2"/>
  <c r="O8156" i="2"/>
  <c r="M8156" i="2"/>
  <c r="L8156" i="2"/>
  <c r="E8156" i="2"/>
  <c r="D8156" i="2"/>
  <c r="B8156" i="2"/>
  <c r="A8156" i="2"/>
  <c r="O8155" i="2"/>
  <c r="M8155" i="2"/>
  <c r="L8155" i="2"/>
  <c r="E8155" i="2"/>
  <c r="D8155" i="2"/>
  <c r="B8155" i="2"/>
  <c r="A8155" i="2"/>
  <c r="O8154" i="2"/>
  <c r="M8154" i="2"/>
  <c r="L8154" i="2"/>
  <c r="E8154" i="2"/>
  <c r="D8154" i="2"/>
  <c r="B8154" i="2"/>
  <c r="A8154" i="2"/>
  <c r="O8153" i="2"/>
  <c r="M8153" i="2"/>
  <c r="L8153" i="2"/>
  <c r="E8153" i="2"/>
  <c r="D8153" i="2"/>
  <c r="B8153" i="2"/>
  <c r="A8153" i="2"/>
  <c r="O8152" i="2"/>
  <c r="M8152" i="2"/>
  <c r="L8152" i="2"/>
  <c r="E8152" i="2"/>
  <c r="D8152" i="2"/>
  <c r="B8152" i="2"/>
  <c r="A8152" i="2"/>
  <c r="O8151" i="2"/>
  <c r="O8150" i="2"/>
  <c r="M8150" i="2"/>
  <c r="L8150" i="2"/>
  <c r="E8150" i="2"/>
  <c r="D8150" i="2"/>
  <c r="B8150" i="2"/>
  <c r="A8150" i="2"/>
  <c r="O8149" i="2"/>
  <c r="M8149" i="2"/>
  <c r="L8149" i="2"/>
  <c r="E8149" i="2"/>
  <c r="D8149" i="2"/>
  <c r="B8149" i="2"/>
  <c r="A8149" i="2"/>
  <c r="O8148" i="2"/>
  <c r="M8148" i="2"/>
  <c r="L8148" i="2"/>
  <c r="E8148" i="2"/>
  <c r="D8148" i="2"/>
  <c r="B8148" i="2"/>
  <c r="A8148" i="2"/>
  <c r="O8147" i="2"/>
  <c r="M8147" i="2"/>
  <c r="L8147" i="2"/>
  <c r="E8147" i="2"/>
  <c r="D8147" i="2"/>
  <c r="B8147" i="2"/>
  <c r="A8147" i="2"/>
  <c r="O8146" i="2"/>
  <c r="O8145" i="2"/>
  <c r="O8144" i="2"/>
  <c r="O8143" i="2"/>
  <c r="M8143" i="2"/>
  <c r="L8143" i="2"/>
  <c r="E8143" i="2"/>
  <c r="D8143" i="2"/>
  <c r="B8143" i="2"/>
  <c r="A8143" i="2"/>
  <c r="O8142" i="2"/>
  <c r="O8141" i="2"/>
  <c r="O8140" i="2"/>
  <c r="M8140" i="2"/>
  <c r="L8140" i="2"/>
  <c r="E8140" i="2"/>
  <c r="D8140" i="2"/>
  <c r="B8140" i="2"/>
  <c r="A8140" i="2"/>
  <c r="O8139" i="2"/>
  <c r="O8138" i="2"/>
  <c r="O8137" i="2"/>
  <c r="O8136" i="2"/>
  <c r="O8135" i="2"/>
  <c r="O8134" i="2"/>
  <c r="O8133" i="2"/>
  <c r="O8132" i="2"/>
  <c r="O8131" i="2"/>
  <c r="M8131" i="2"/>
  <c r="L8131" i="2"/>
  <c r="E8131" i="2"/>
  <c r="D8131" i="2"/>
  <c r="B8131" i="2"/>
  <c r="A8131" i="2"/>
  <c r="O8130" i="2"/>
  <c r="O8129" i="2"/>
  <c r="M8129" i="2"/>
  <c r="L8129" i="2"/>
  <c r="E8129" i="2"/>
  <c r="D8129" i="2"/>
  <c r="B8129" i="2"/>
  <c r="A8129" i="2"/>
  <c r="O8128" i="2"/>
  <c r="O8127" i="2"/>
  <c r="O8126" i="2"/>
  <c r="O8125" i="2"/>
  <c r="O8124" i="2"/>
  <c r="M8124" i="2"/>
  <c r="L8124" i="2"/>
  <c r="E8124" i="2"/>
  <c r="D8124" i="2"/>
  <c r="B8124" i="2"/>
  <c r="A8124" i="2"/>
  <c r="O8123" i="2"/>
  <c r="O8122" i="2"/>
  <c r="M8122" i="2"/>
  <c r="L8122" i="2"/>
  <c r="E8122" i="2"/>
  <c r="D8122" i="2"/>
  <c r="B8122" i="2"/>
  <c r="A8122" i="2"/>
  <c r="O8121" i="2"/>
  <c r="O8120" i="2"/>
  <c r="O8119" i="2"/>
  <c r="M8119" i="2"/>
  <c r="L8119" i="2"/>
  <c r="E8119" i="2"/>
  <c r="D8119" i="2"/>
  <c r="B8119" i="2"/>
  <c r="A8119" i="2"/>
  <c r="O8118" i="2"/>
  <c r="O8117" i="2"/>
  <c r="O8116" i="2"/>
  <c r="M8116" i="2"/>
  <c r="L8116" i="2"/>
  <c r="E8116" i="2"/>
  <c r="D8116" i="2"/>
  <c r="B8116" i="2"/>
  <c r="A8116" i="2"/>
  <c r="O8115" i="2"/>
  <c r="M8115" i="2"/>
  <c r="L8115" i="2"/>
  <c r="E8115" i="2"/>
  <c r="D8115" i="2"/>
  <c r="B8115" i="2"/>
  <c r="A8115" i="2"/>
  <c r="O8114" i="2"/>
  <c r="M8114" i="2"/>
  <c r="L8114" i="2"/>
  <c r="E8114" i="2"/>
  <c r="D8114" i="2"/>
  <c r="B8114" i="2"/>
  <c r="A8114" i="2"/>
  <c r="O8113" i="2"/>
  <c r="M8113" i="2"/>
  <c r="L8113" i="2"/>
  <c r="E8113" i="2"/>
  <c r="D8113" i="2"/>
  <c r="B8113" i="2"/>
  <c r="A8113" i="2"/>
  <c r="O8112" i="2"/>
  <c r="M8112" i="2"/>
  <c r="L8112" i="2"/>
  <c r="E8112" i="2"/>
  <c r="D8112" i="2"/>
  <c r="B8112" i="2"/>
  <c r="A8112" i="2"/>
  <c r="O8111" i="2"/>
  <c r="M8111" i="2"/>
  <c r="L8111" i="2"/>
  <c r="E8111" i="2"/>
  <c r="D8111" i="2"/>
  <c r="B8111" i="2"/>
  <c r="A8111" i="2"/>
  <c r="O8110" i="2"/>
  <c r="M8110" i="2"/>
  <c r="L8110" i="2"/>
  <c r="E8110" i="2"/>
  <c r="D8110" i="2"/>
  <c r="B8110" i="2"/>
  <c r="A8110" i="2"/>
  <c r="O8109" i="2"/>
  <c r="M8109" i="2"/>
  <c r="L8109" i="2"/>
  <c r="E8109" i="2"/>
  <c r="D8109" i="2"/>
  <c r="B8109" i="2"/>
  <c r="A8109" i="2"/>
  <c r="O8108" i="2"/>
  <c r="M8108" i="2"/>
  <c r="L8108" i="2"/>
  <c r="E8108" i="2"/>
  <c r="D8108" i="2"/>
  <c r="B8108" i="2"/>
  <c r="A8108" i="2"/>
  <c r="O8107" i="2"/>
  <c r="M8107" i="2"/>
  <c r="L8107" i="2"/>
  <c r="E8107" i="2"/>
  <c r="D8107" i="2"/>
  <c r="B8107" i="2"/>
  <c r="A8107" i="2"/>
  <c r="O8106" i="2"/>
  <c r="M8106" i="2"/>
  <c r="L8106" i="2"/>
  <c r="E8106" i="2"/>
  <c r="D8106" i="2"/>
  <c r="B8106" i="2"/>
  <c r="A8106" i="2"/>
  <c r="O8105" i="2"/>
  <c r="M8105" i="2"/>
  <c r="L8105" i="2"/>
  <c r="E8105" i="2"/>
  <c r="D8105" i="2"/>
  <c r="B8105" i="2"/>
  <c r="A8105" i="2"/>
  <c r="O8104" i="2"/>
  <c r="M8104" i="2"/>
  <c r="L8104" i="2"/>
  <c r="E8104" i="2"/>
  <c r="D8104" i="2"/>
  <c r="B8104" i="2"/>
  <c r="A8104" i="2"/>
  <c r="O8103" i="2"/>
  <c r="O8102" i="2"/>
  <c r="M8102" i="2"/>
  <c r="L8102" i="2"/>
  <c r="E8102" i="2"/>
  <c r="D8102" i="2"/>
  <c r="B8102" i="2"/>
  <c r="A8102" i="2"/>
  <c r="O8101" i="2"/>
  <c r="O8100" i="2"/>
  <c r="M8100" i="2"/>
  <c r="L8100" i="2"/>
  <c r="E8100" i="2"/>
  <c r="D8100" i="2"/>
  <c r="B8100" i="2"/>
  <c r="A8100" i="2"/>
  <c r="O8099" i="2"/>
  <c r="O8098" i="2"/>
  <c r="M8098" i="2"/>
  <c r="L8098" i="2"/>
  <c r="E8098" i="2"/>
  <c r="D8098" i="2"/>
  <c r="B8098" i="2"/>
  <c r="A8098" i="2"/>
  <c r="O8097" i="2"/>
  <c r="O8096" i="2"/>
  <c r="M8096" i="2"/>
  <c r="L8096" i="2"/>
  <c r="E8096" i="2"/>
  <c r="D8096" i="2"/>
  <c r="B8096" i="2"/>
  <c r="A8096" i="2"/>
  <c r="O8095" i="2"/>
  <c r="O8094" i="2"/>
  <c r="O8093" i="2"/>
  <c r="M8093" i="2"/>
  <c r="L8093" i="2"/>
  <c r="E8093" i="2"/>
  <c r="D8093" i="2"/>
  <c r="B8093" i="2"/>
  <c r="A8093" i="2"/>
  <c r="O8092" i="2"/>
  <c r="O8091" i="2"/>
  <c r="O8090" i="2"/>
  <c r="O8089" i="2"/>
  <c r="O8088" i="2"/>
  <c r="O8087" i="2"/>
  <c r="O8086" i="2"/>
  <c r="M8086" i="2"/>
  <c r="L8086" i="2"/>
  <c r="E8086" i="2"/>
  <c r="D8086" i="2"/>
  <c r="B8086" i="2"/>
  <c r="A8086" i="2"/>
  <c r="O8085" i="2"/>
  <c r="M8085" i="2"/>
  <c r="L8085" i="2"/>
  <c r="E8085" i="2"/>
  <c r="D8085" i="2"/>
  <c r="B8085" i="2"/>
  <c r="A8085" i="2"/>
  <c r="O8084" i="2"/>
  <c r="M8084" i="2"/>
  <c r="L8084" i="2"/>
  <c r="E8084" i="2"/>
  <c r="D8084" i="2"/>
  <c r="B8084" i="2"/>
  <c r="A8084" i="2"/>
  <c r="O8083" i="2"/>
  <c r="M8083" i="2"/>
  <c r="L8083" i="2"/>
  <c r="E8083" i="2"/>
  <c r="D8083" i="2"/>
  <c r="B8083" i="2"/>
  <c r="A8083" i="2"/>
  <c r="O8082" i="2"/>
  <c r="M8082" i="2"/>
  <c r="L8082" i="2"/>
  <c r="E8082" i="2"/>
  <c r="D8082" i="2"/>
  <c r="B8082" i="2"/>
  <c r="A8082" i="2"/>
  <c r="O8081" i="2"/>
  <c r="M8081" i="2"/>
  <c r="L8081" i="2"/>
  <c r="E8081" i="2"/>
  <c r="D8081" i="2"/>
  <c r="B8081" i="2"/>
  <c r="A8081" i="2"/>
  <c r="O8080" i="2"/>
  <c r="O8079" i="2"/>
  <c r="O8078" i="2"/>
  <c r="O8077" i="2"/>
  <c r="M8077" i="2"/>
  <c r="L8077" i="2"/>
  <c r="E8077" i="2"/>
  <c r="D8077" i="2"/>
  <c r="B8077" i="2"/>
  <c r="A8077" i="2"/>
  <c r="O8076" i="2"/>
  <c r="O8075" i="2"/>
  <c r="M8075" i="2"/>
  <c r="L8075" i="2"/>
  <c r="E8075" i="2"/>
  <c r="D8075" i="2"/>
  <c r="B8075" i="2"/>
  <c r="A8075" i="2"/>
  <c r="O8074" i="2"/>
  <c r="M8074" i="2"/>
  <c r="L8074" i="2"/>
  <c r="E8074" i="2"/>
  <c r="D8074" i="2"/>
  <c r="B8074" i="2"/>
  <c r="A8074" i="2"/>
  <c r="O8073" i="2"/>
  <c r="M8073" i="2"/>
  <c r="L8073" i="2"/>
  <c r="E8073" i="2"/>
  <c r="D8073" i="2"/>
  <c r="B8073" i="2"/>
  <c r="A8073" i="2"/>
  <c r="O8072" i="2"/>
  <c r="O8071" i="2"/>
  <c r="O8070" i="2"/>
  <c r="O8069" i="2"/>
  <c r="M8069" i="2"/>
  <c r="L8069" i="2"/>
  <c r="E8069" i="2"/>
  <c r="D8069" i="2"/>
  <c r="B8069" i="2"/>
  <c r="A8069" i="2"/>
  <c r="O8068" i="2"/>
  <c r="M8068" i="2"/>
  <c r="L8068" i="2"/>
  <c r="E8068" i="2"/>
  <c r="D8068" i="2"/>
  <c r="B8068" i="2"/>
  <c r="A8068" i="2"/>
  <c r="O8067" i="2"/>
  <c r="M8067" i="2"/>
  <c r="L8067" i="2"/>
  <c r="E8067" i="2"/>
  <c r="D8067" i="2"/>
  <c r="B8067" i="2"/>
  <c r="A8067" i="2"/>
  <c r="O8066" i="2"/>
  <c r="M8066" i="2"/>
  <c r="L8066" i="2"/>
  <c r="E8066" i="2"/>
  <c r="D8066" i="2"/>
  <c r="B8066" i="2"/>
  <c r="A8066" i="2"/>
  <c r="O8065" i="2"/>
  <c r="O8064" i="2"/>
  <c r="M8064" i="2"/>
  <c r="L8064" i="2"/>
  <c r="E8064" i="2"/>
  <c r="D8064" i="2"/>
  <c r="B8064" i="2"/>
  <c r="A8064" i="2"/>
  <c r="O8063" i="2"/>
  <c r="O8062" i="2"/>
  <c r="M8062" i="2"/>
  <c r="L8062" i="2"/>
  <c r="E8062" i="2"/>
  <c r="D8062" i="2"/>
  <c r="B8062" i="2"/>
  <c r="A8062" i="2"/>
  <c r="O8061" i="2"/>
  <c r="M8061" i="2"/>
  <c r="L8061" i="2"/>
  <c r="E8061" i="2"/>
  <c r="D8061" i="2"/>
  <c r="B8061" i="2"/>
  <c r="A8061" i="2"/>
  <c r="O8060" i="2"/>
  <c r="M8060" i="2"/>
  <c r="L8060" i="2"/>
  <c r="E8060" i="2"/>
  <c r="D8060" i="2"/>
  <c r="B8060" i="2"/>
  <c r="A8060" i="2"/>
  <c r="O8059" i="2"/>
  <c r="M8059" i="2"/>
  <c r="L8059" i="2"/>
  <c r="E8059" i="2"/>
  <c r="D8059" i="2"/>
  <c r="B8059" i="2"/>
  <c r="A8059" i="2"/>
  <c r="O8058" i="2"/>
  <c r="M8058" i="2"/>
  <c r="L8058" i="2"/>
  <c r="E8058" i="2"/>
  <c r="D8058" i="2"/>
  <c r="B8058" i="2"/>
  <c r="A8058" i="2"/>
  <c r="O8057" i="2"/>
  <c r="O8056" i="2"/>
  <c r="O8055" i="2"/>
  <c r="O8054" i="2"/>
  <c r="O8053" i="2"/>
  <c r="M8053" i="2"/>
  <c r="L8053" i="2"/>
  <c r="E8053" i="2"/>
  <c r="D8053" i="2"/>
  <c r="B8053" i="2"/>
  <c r="A8053" i="2"/>
  <c r="O8052" i="2"/>
  <c r="O8051" i="2"/>
  <c r="M8051" i="2"/>
  <c r="L8051" i="2"/>
  <c r="E8051" i="2"/>
  <c r="D8051" i="2"/>
  <c r="B8051" i="2"/>
  <c r="A8051" i="2"/>
  <c r="O8050" i="2"/>
  <c r="M8050" i="2"/>
  <c r="L8050" i="2"/>
  <c r="E8050" i="2"/>
  <c r="D8050" i="2"/>
  <c r="B8050" i="2"/>
  <c r="A8050" i="2"/>
  <c r="O8049" i="2"/>
  <c r="M8049" i="2"/>
  <c r="L8049" i="2"/>
  <c r="E8049" i="2"/>
  <c r="D8049" i="2"/>
  <c r="B8049" i="2"/>
  <c r="A8049" i="2"/>
  <c r="O8048" i="2"/>
  <c r="M8048" i="2"/>
  <c r="L8048" i="2"/>
  <c r="E8048" i="2"/>
  <c r="D8048" i="2"/>
  <c r="B8048" i="2"/>
  <c r="A8048" i="2"/>
  <c r="O8047" i="2"/>
  <c r="M8047" i="2"/>
  <c r="L8047" i="2"/>
  <c r="E8047" i="2"/>
  <c r="D8047" i="2"/>
  <c r="B8047" i="2"/>
  <c r="A8047" i="2"/>
  <c r="O8046" i="2"/>
  <c r="O8045" i="2"/>
  <c r="M8045" i="2"/>
  <c r="L8045" i="2"/>
  <c r="E8045" i="2"/>
  <c r="D8045" i="2"/>
  <c r="B8045" i="2"/>
  <c r="A8045" i="2"/>
  <c r="O8044" i="2"/>
  <c r="O8043" i="2"/>
  <c r="O8042" i="2"/>
  <c r="M8042" i="2"/>
  <c r="L8042" i="2"/>
  <c r="E8042" i="2"/>
  <c r="D8042" i="2"/>
  <c r="B8042" i="2"/>
  <c r="A8042" i="2"/>
  <c r="O8041" i="2"/>
  <c r="M8041" i="2"/>
  <c r="L8041" i="2"/>
  <c r="E8041" i="2"/>
  <c r="D8041" i="2"/>
  <c r="B8041" i="2"/>
  <c r="A8041" i="2"/>
  <c r="O8040" i="2"/>
  <c r="M8040" i="2"/>
  <c r="L8040" i="2"/>
  <c r="E8040" i="2"/>
  <c r="D8040" i="2"/>
  <c r="B8040" i="2"/>
  <c r="A8040" i="2"/>
  <c r="O8039" i="2"/>
  <c r="O8038" i="2"/>
  <c r="O8037" i="2"/>
  <c r="M8037" i="2"/>
  <c r="L8037" i="2"/>
  <c r="E8037" i="2"/>
  <c r="D8037" i="2"/>
  <c r="B8037" i="2"/>
  <c r="A8037" i="2"/>
  <c r="O8036" i="2"/>
  <c r="O8035" i="2"/>
  <c r="M8035" i="2"/>
  <c r="L8035" i="2"/>
  <c r="E8035" i="2"/>
  <c r="D8035" i="2"/>
  <c r="B8035" i="2"/>
  <c r="A8035" i="2"/>
  <c r="O8034" i="2"/>
  <c r="O8033" i="2"/>
  <c r="O8032" i="2"/>
  <c r="O8031" i="2"/>
  <c r="O8030" i="2"/>
  <c r="M8030" i="2"/>
  <c r="L8030" i="2"/>
  <c r="E8030" i="2"/>
  <c r="D8030" i="2"/>
  <c r="B8030" i="2"/>
  <c r="A8030" i="2"/>
  <c r="O8029" i="2"/>
  <c r="O8028" i="2"/>
  <c r="O8027" i="2"/>
  <c r="O8026" i="2"/>
  <c r="O8025" i="2"/>
  <c r="O8024" i="2"/>
  <c r="O8023" i="2"/>
  <c r="O8022" i="2"/>
  <c r="O8021" i="2"/>
  <c r="M8021" i="2"/>
  <c r="L8021" i="2"/>
  <c r="E8021" i="2"/>
  <c r="D8021" i="2"/>
  <c r="B8021" i="2"/>
  <c r="A8021" i="2"/>
  <c r="O8020" i="2"/>
  <c r="O8019" i="2"/>
  <c r="O8018" i="2"/>
  <c r="M8018" i="2"/>
  <c r="L8018" i="2"/>
  <c r="E8018" i="2"/>
  <c r="D8018" i="2"/>
  <c r="B8018" i="2"/>
  <c r="A8018" i="2"/>
  <c r="O8017" i="2"/>
  <c r="O8016" i="2"/>
  <c r="O8015" i="2"/>
  <c r="M8015" i="2"/>
  <c r="L8015" i="2"/>
  <c r="E8015" i="2"/>
  <c r="D8015" i="2"/>
  <c r="B8015" i="2"/>
  <c r="A8015" i="2"/>
  <c r="O8014" i="2"/>
  <c r="O8013" i="2"/>
  <c r="O8012" i="2"/>
  <c r="M8012" i="2"/>
  <c r="L8012" i="2"/>
  <c r="E8012" i="2"/>
  <c r="D8012" i="2"/>
  <c r="B8012" i="2"/>
  <c r="A8012" i="2"/>
  <c r="O8011" i="2"/>
  <c r="O8010" i="2"/>
  <c r="O8009" i="2"/>
  <c r="O8008" i="2"/>
  <c r="M8008" i="2"/>
  <c r="L8008" i="2"/>
  <c r="E8008" i="2"/>
  <c r="D8008" i="2"/>
  <c r="B8008" i="2"/>
  <c r="A8008" i="2"/>
  <c r="O8007" i="2"/>
  <c r="O8006" i="2"/>
  <c r="M8006" i="2"/>
  <c r="L8006" i="2"/>
  <c r="E8006" i="2"/>
  <c r="D8006" i="2"/>
  <c r="B8006" i="2"/>
  <c r="A8006" i="2"/>
  <c r="O8005" i="2"/>
  <c r="M8005" i="2"/>
  <c r="L8005" i="2"/>
  <c r="E8005" i="2"/>
  <c r="D8005" i="2"/>
  <c r="B8005" i="2"/>
  <c r="A8005" i="2"/>
  <c r="O8004" i="2"/>
  <c r="M8004" i="2"/>
  <c r="L8004" i="2"/>
  <c r="E8004" i="2"/>
  <c r="D8004" i="2"/>
  <c r="B8004" i="2"/>
  <c r="A8004" i="2"/>
  <c r="O8003" i="2"/>
  <c r="M8003" i="2"/>
  <c r="L8003" i="2"/>
  <c r="E8003" i="2"/>
  <c r="D8003" i="2"/>
  <c r="B8003" i="2"/>
  <c r="A8003" i="2"/>
  <c r="O8002" i="2"/>
  <c r="M8002" i="2"/>
  <c r="L8002" i="2"/>
  <c r="E8002" i="2"/>
  <c r="D8002" i="2"/>
  <c r="B8002" i="2"/>
  <c r="A8002" i="2"/>
  <c r="O8001" i="2"/>
  <c r="M8001" i="2"/>
  <c r="L8001" i="2"/>
  <c r="E8001" i="2"/>
  <c r="D8001" i="2"/>
  <c r="B8001" i="2"/>
  <c r="A8001" i="2"/>
  <c r="O8000" i="2"/>
  <c r="M8000" i="2"/>
  <c r="L8000" i="2"/>
  <c r="E8000" i="2"/>
  <c r="D8000" i="2"/>
  <c r="B8000" i="2"/>
  <c r="A8000" i="2"/>
  <c r="O7999" i="2"/>
  <c r="O7998" i="2"/>
  <c r="M7998" i="2"/>
  <c r="L7998" i="2"/>
  <c r="E7998" i="2"/>
  <c r="D7998" i="2"/>
  <c r="B7998" i="2"/>
  <c r="A7998" i="2"/>
  <c r="O7997" i="2"/>
  <c r="O7996" i="2"/>
  <c r="M7996" i="2"/>
  <c r="L7996" i="2"/>
  <c r="E7996" i="2"/>
  <c r="D7996" i="2"/>
  <c r="B7996" i="2"/>
  <c r="A7996" i="2"/>
  <c r="O7995" i="2"/>
  <c r="O7994" i="2"/>
  <c r="M7994" i="2"/>
  <c r="L7994" i="2"/>
  <c r="E7994" i="2"/>
  <c r="D7994" i="2"/>
  <c r="B7994" i="2"/>
  <c r="A7994" i="2"/>
  <c r="O7993" i="2"/>
  <c r="O7992" i="2"/>
  <c r="M7992" i="2"/>
  <c r="L7992" i="2"/>
  <c r="E7992" i="2"/>
  <c r="D7992" i="2"/>
  <c r="B7992" i="2"/>
  <c r="A7992" i="2"/>
  <c r="O7991" i="2"/>
  <c r="O7990" i="2"/>
  <c r="M7990" i="2"/>
  <c r="L7990" i="2"/>
  <c r="E7990" i="2"/>
  <c r="D7990" i="2"/>
  <c r="B7990" i="2"/>
  <c r="A7990" i="2"/>
  <c r="O7989" i="2"/>
  <c r="M7989" i="2"/>
  <c r="L7989" i="2"/>
  <c r="E7989" i="2"/>
  <c r="D7989" i="2"/>
  <c r="B7989" i="2"/>
  <c r="A7989" i="2"/>
  <c r="O7988" i="2"/>
  <c r="O7987" i="2"/>
  <c r="M7987" i="2"/>
  <c r="L7987" i="2"/>
  <c r="E7987" i="2"/>
  <c r="D7987" i="2"/>
  <c r="B7987" i="2"/>
  <c r="A7987" i="2"/>
  <c r="O7986" i="2"/>
  <c r="O7985" i="2"/>
  <c r="O7984" i="2"/>
  <c r="O7983" i="2"/>
  <c r="O7982" i="2"/>
  <c r="M7982" i="2"/>
  <c r="L7982" i="2"/>
  <c r="E7982" i="2"/>
  <c r="D7982" i="2"/>
  <c r="B7982" i="2"/>
  <c r="A7982" i="2"/>
  <c r="O7981" i="2"/>
  <c r="O7980" i="2"/>
  <c r="M7980" i="2"/>
  <c r="L7980" i="2"/>
  <c r="E7980" i="2"/>
  <c r="D7980" i="2"/>
  <c r="B7980" i="2"/>
  <c r="A7980" i="2"/>
  <c r="O7979" i="2"/>
  <c r="O7978" i="2"/>
  <c r="M7978" i="2"/>
  <c r="L7978" i="2"/>
  <c r="E7978" i="2"/>
  <c r="D7978" i="2"/>
  <c r="B7978" i="2"/>
  <c r="A7978" i="2"/>
  <c r="O7977" i="2"/>
  <c r="M7977" i="2"/>
  <c r="L7977" i="2"/>
  <c r="E7977" i="2"/>
  <c r="D7977" i="2"/>
  <c r="B7977" i="2"/>
  <c r="A7977" i="2"/>
  <c r="O7976" i="2"/>
  <c r="M7976" i="2"/>
  <c r="L7976" i="2"/>
  <c r="E7976" i="2"/>
  <c r="D7976" i="2"/>
  <c r="B7976" i="2"/>
  <c r="A7976" i="2"/>
  <c r="O7975" i="2"/>
  <c r="M7975" i="2"/>
  <c r="L7975" i="2"/>
  <c r="E7975" i="2"/>
  <c r="D7975" i="2"/>
  <c r="B7975" i="2"/>
  <c r="A7975" i="2"/>
  <c r="O7974" i="2"/>
  <c r="M7974" i="2"/>
  <c r="L7974" i="2"/>
  <c r="E7974" i="2"/>
  <c r="D7974" i="2"/>
  <c r="B7974" i="2"/>
  <c r="A7974" i="2"/>
  <c r="O7973" i="2"/>
  <c r="M7973" i="2"/>
  <c r="L7973" i="2"/>
  <c r="E7973" i="2"/>
  <c r="D7973" i="2"/>
  <c r="B7973" i="2"/>
  <c r="A7973" i="2"/>
  <c r="O7972" i="2"/>
  <c r="M7972" i="2"/>
  <c r="L7972" i="2"/>
  <c r="E7972" i="2"/>
  <c r="D7972" i="2"/>
  <c r="B7972" i="2"/>
  <c r="A7972" i="2"/>
  <c r="O7971" i="2"/>
  <c r="M7971" i="2"/>
  <c r="L7971" i="2"/>
  <c r="E7971" i="2"/>
  <c r="D7971" i="2"/>
  <c r="B7971" i="2"/>
  <c r="A7971" i="2"/>
  <c r="O7970" i="2"/>
  <c r="M7970" i="2"/>
  <c r="L7970" i="2"/>
  <c r="E7970" i="2"/>
  <c r="D7970" i="2"/>
  <c r="B7970" i="2"/>
  <c r="A7970" i="2"/>
  <c r="O7969" i="2"/>
  <c r="M7969" i="2"/>
  <c r="L7969" i="2"/>
  <c r="E7969" i="2"/>
  <c r="D7969" i="2"/>
  <c r="B7969" i="2"/>
  <c r="A7969" i="2"/>
  <c r="O7968" i="2"/>
  <c r="O7967" i="2"/>
  <c r="O7966" i="2"/>
  <c r="M7966" i="2"/>
  <c r="L7966" i="2"/>
  <c r="E7966" i="2"/>
  <c r="D7966" i="2"/>
  <c r="B7966" i="2"/>
  <c r="A7966" i="2"/>
  <c r="O7965" i="2"/>
  <c r="O7964" i="2"/>
  <c r="O7963" i="2"/>
  <c r="M7963" i="2"/>
  <c r="L7963" i="2"/>
  <c r="E7963" i="2"/>
  <c r="D7963" i="2"/>
  <c r="B7963" i="2"/>
  <c r="A7963" i="2"/>
  <c r="O7962" i="2"/>
  <c r="O7961" i="2"/>
  <c r="M7961" i="2"/>
  <c r="L7961" i="2"/>
  <c r="E7961" i="2"/>
  <c r="D7961" i="2"/>
  <c r="B7961" i="2"/>
  <c r="A7961" i="2"/>
  <c r="O7960" i="2"/>
  <c r="M7960" i="2"/>
  <c r="L7960" i="2"/>
  <c r="E7960" i="2"/>
  <c r="D7960" i="2"/>
  <c r="B7960" i="2"/>
  <c r="A7960" i="2"/>
  <c r="O7959" i="2"/>
  <c r="M7959" i="2"/>
  <c r="L7959" i="2"/>
  <c r="E7959" i="2"/>
  <c r="D7959" i="2"/>
  <c r="B7959" i="2"/>
  <c r="A7959" i="2"/>
  <c r="O7958" i="2"/>
  <c r="M7958" i="2"/>
  <c r="L7958" i="2"/>
  <c r="E7958" i="2"/>
  <c r="D7958" i="2"/>
  <c r="B7958" i="2"/>
  <c r="A7958" i="2"/>
  <c r="O7957" i="2"/>
  <c r="O7956" i="2"/>
  <c r="O7955" i="2"/>
  <c r="O7954" i="2"/>
  <c r="M7954" i="2"/>
  <c r="L7954" i="2"/>
  <c r="E7954" i="2"/>
  <c r="D7954" i="2"/>
  <c r="B7954" i="2"/>
  <c r="A7954" i="2"/>
  <c r="O7953" i="2"/>
  <c r="O7952" i="2"/>
  <c r="O7951" i="2"/>
  <c r="O7950" i="2"/>
  <c r="O7949" i="2"/>
  <c r="M7949" i="2"/>
  <c r="L7949" i="2"/>
  <c r="E7949" i="2"/>
  <c r="D7949" i="2"/>
  <c r="B7949" i="2"/>
  <c r="A7949" i="2"/>
  <c r="O7948" i="2"/>
  <c r="O7947" i="2"/>
  <c r="O7946" i="2"/>
  <c r="O7945" i="2"/>
  <c r="M7945" i="2"/>
  <c r="L7945" i="2"/>
  <c r="E7945" i="2"/>
  <c r="D7945" i="2"/>
  <c r="B7945" i="2"/>
  <c r="A7945" i="2"/>
  <c r="O7944" i="2"/>
  <c r="O7943" i="2"/>
  <c r="M7943" i="2"/>
  <c r="L7943" i="2"/>
  <c r="E7943" i="2"/>
  <c r="D7943" i="2"/>
  <c r="B7943" i="2"/>
  <c r="A7943" i="2"/>
  <c r="O7942" i="2"/>
  <c r="M7942" i="2"/>
  <c r="L7942" i="2"/>
  <c r="E7942" i="2"/>
  <c r="D7942" i="2"/>
  <c r="B7942" i="2"/>
  <c r="A7942" i="2"/>
  <c r="O7941" i="2"/>
  <c r="M7941" i="2"/>
  <c r="L7941" i="2"/>
  <c r="E7941" i="2"/>
  <c r="D7941" i="2"/>
  <c r="B7941" i="2"/>
  <c r="A7941" i="2"/>
  <c r="O7940" i="2"/>
  <c r="M7940" i="2"/>
  <c r="L7940" i="2"/>
  <c r="E7940" i="2"/>
  <c r="D7940" i="2"/>
  <c r="B7940" i="2"/>
  <c r="A7940" i="2"/>
  <c r="O7939" i="2"/>
  <c r="M7939" i="2"/>
  <c r="L7939" i="2"/>
  <c r="E7939" i="2"/>
  <c r="D7939" i="2"/>
  <c r="B7939" i="2"/>
  <c r="A7939" i="2"/>
  <c r="O7938" i="2"/>
  <c r="M7938" i="2"/>
  <c r="L7938" i="2"/>
  <c r="E7938" i="2"/>
  <c r="D7938" i="2"/>
  <c r="B7938" i="2"/>
  <c r="A7938" i="2"/>
  <c r="O7937" i="2"/>
  <c r="M7937" i="2"/>
  <c r="L7937" i="2"/>
  <c r="E7937" i="2"/>
  <c r="D7937" i="2"/>
  <c r="B7937" i="2"/>
  <c r="A7937" i="2"/>
  <c r="O7936" i="2"/>
  <c r="O7935" i="2"/>
  <c r="M7935" i="2"/>
  <c r="L7935" i="2"/>
  <c r="E7935" i="2"/>
  <c r="D7935" i="2"/>
  <c r="B7935" i="2"/>
  <c r="A7935" i="2"/>
  <c r="O7934" i="2"/>
  <c r="O7933" i="2"/>
  <c r="O7932" i="2"/>
  <c r="O7931" i="2"/>
  <c r="M7931" i="2"/>
  <c r="L7931" i="2"/>
  <c r="E7931" i="2"/>
  <c r="D7931" i="2"/>
  <c r="B7931" i="2"/>
  <c r="A7931" i="2"/>
  <c r="O7930" i="2"/>
  <c r="O7929" i="2"/>
  <c r="M7929" i="2"/>
  <c r="L7929" i="2"/>
  <c r="E7929" i="2"/>
  <c r="D7929" i="2"/>
  <c r="B7929" i="2"/>
  <c r="A7929" i="2"/>
  <c r="O7928" i="2"/>
  <c r="O7927" i="2"/>
  <c r="O7926" i="2"/>
  <c r="O7925" i="2"/>
  <c r="O7924" i="2"/>
  <c r="O7923" i="2"/>
  <c r="O7922" i="2"/>
  <c r="O7921" i="2"/>
  <c r="O7920" i="2"/>
  <c r="O7919" i="2"/>
  <c r="O7918" i="2"/>
  <c r="O7917" i="2"/>
  <c r="M7917" i="2"/>
  <c r="L7917" i="2"/>
  <c r="E7917" i="2"/>
  <c r="D7917" i="2"/>
  <c r="B7917" i="2"/>
  <c r="A7917" i="2"/>
  <c r="O7916" i="2"/>
  <c r="O7915" i="2"/>
  <c r="O7914" i="2"/>
  <c r="O7913" i="2"/>
  <c r="M7913" i="2"/>
  <c r="L7913" i="2"/>
  <c r="E7913" i="2"/>
  <c r="D7913" i="2"/>
  <c r="B7913" i="2"/>
  <c r="A7913" i="2"/>
  <c r="O7912" i="2"/>
  <c r="O7911" i="2"/>
  <c r="O7910" i="2"/>
  <c r="O7909" i="2"/>
  <c r="M7909" i="2"/>
  <c r="L7909" i="2"/>
  <c r="E7909" i="2"/>
  <c r="D7909" i="2"/>
  <c r="B7909" i="2"/>
  <c r="A7909" i="2"/>
  <c r="O7908" i="2"/>
  <c r="O7907" i="2"/>
  <c r="O7906" i="2"/>
  <c r="M7906" i="2"/>
  <c r="L7906" i="2"/>
  <c r="E7906" i="2"/>
  <c r="D7906" i="2"/>
  <c r="B7906" i="2"/>
  <c r="A7906" i="2"/>
  <c r="O7905" i="2"/>
  <c r="M7905" i="2"/>
  <c r="L7905" i="2"/>
  <c r="E7905" i="2"/>
  <c r="D7905" i="2"/>
  <c r="B7905" i="2"/>
  <c r="A7905" i="2"/>
  <c r="O7904" i="2"/>
  <c r="M7904" i="2"/>
  <c r="L7904" i="2"/>
  <c r="E7904" i="2"/>
  <c r="D7904" i="2"/>
  <c r="B7904" i="2"/>
  <c r="A7904" i="2"/>
  <c r="O7903" i="2"/>
  <c r="O7902" i="2"/>
  <c r="O7901" i="2"/>
  <c r="O7900" i="2"/>
  <c r="O7899" i="2"/>
  <c r="O7898" i="2"/>
  <c r="O7897" i="2"/>
  <c r="O7896" i="2"/>
  <c r="O7895" i="2"/>
  <c r="O7894" i="2"/>
  <c r="O7893" i="2"/>
  <c r="O7892" i="2"/>
  <c r="O7891" i="2"/>
  <c r="O7890" i="2"/>
  <c r="O7889" i="2"/>
  <c r="O7888" i="2"/>
  <c r="O7887" i="2"/>
  <c r="O7886" i="2"/>
  <c r="O7885" i="2"/>
  <c r="O7884" i="2"/>
  <c r="O7883" i="2"/>
  <c r="O7882" i="2"/>
  <c r="O7881" i="2"/>
  <c r="O7880" i="2"/>
  <c r="O7879" i="2"/>
  <c r="O7878" i="2"/>
  <c r="O7877" i="2"/>
  <c r="O7876" i="2"/>
  <c r="O7875" i="2"/>
  <c r="O7874" i="2"/>
  <c r="O7873" i="2"/>
  <c r="O7872" i="2"/>
  <c r="O7871" i="2"/>
  <c r="O7870" i="2"/>
  <c r="O7869" i="2"/>
  <c r="O7868" i="2"/>
  <c r="O7867" i="2"/>
  <c r="O7866" i="2"/>
  <c r="O7865" i="2"/>
  <c r="O7864" i="2"/>
  <c r="O7863" i="2"/>
  <c r="O7862" i="2"/>
  <c r="O7861" i="2"/>
  <c r="O7860" i="2"/>
  <c r="O7859" i="2"/>
  <c r="O7858" i="2"/>
  <c r="O7857" i="2"/>
  <c r="O7856" i="2"/>
  <c r="O7855" i="2"/>
  <c r="O7854" i="2"/>
  <c r="O7853" i="2"/>
  <c r="O7852" i="2"/>
  <c r="O7851" i="2"/>
  <c r="O7850" i="2"/>
  <c r="O7849" i="2"/>
  <c r="O7848" i="2"/>
  <c r="O7847" i="2"/>
  <c r="O7846" i="2"/>
  <c r="O7845" i="2"/>
  <c r="O7844" i="2"/>
  <c r="O7843" i="2"/>
  <c r="O7842" i="2"/>
  <c r="O7841" i="2"/>
  <c r="O7840" i="2"/>
  <c r="O7839" i="2"/>
  <c r="O7838" i="2"/>
  <c r="O7837" i="2"/>
  <c r="O7836" i="2"/>
  <c r="O7835" i="2"/>
  <c r="O7834" i="2"/>
  <c r="O7833" i="2"/>
  <c r="O7832" i="2"/>
  <c r="O7831" i="2"/>
  <c r="O7830" i="2"/>
  <c r="O7829" i="2"/>
  <c r="O7828" i="2"/>
  <c r="O7827" i="2"/>
  <c r="O7826" i="2"/>
  <c r="O7825" i="2"/>
  <c r="O7824" i="2"/>
  <c r="M7824" i="2"/>
  <c r="L7824" i="2"/>
  <c r="E7824" i="2"/>
  <c r="D7824" i="2"/>
  <c r="B7824" i="2"/>
  <c r="A7824" i="2"/>
  <c r="O7823" i="2"/>
  <c r="M7823" i="2"/>
  <c r="L7823" i="2"/>
  <c r="E7823" i="2"/>
  <c r="D7823" i="2"/>
  <c r="B7823" i="2"/>
  <c r="A7823" i="2"/>
  <c r="O7822" i="2"/>
  <c r="M7822" i="2"/>
  <c r="L7822" i="2"/>
  <c r="E7822" i="2"/>
  <c r="D7822" i="2"/>
  <c r="B7822" i="2"/>
  <c r="A7822" i="2"/>
  <c r="O7821" i="2"/>
  <c r="M7821" i="2"/>
  <c r="L7821" i="2"/>
  <c r="E7821" i="2"/>
  <c r="D7821" i="2"/>
  <c r="B7821" i="2"/>
  <c r="A7821" i="2"/>
  <c r="O7820" i="2"/>
  <c r="M7820" i="2"/>
  <c r="L7820" i="2"/>
  <c r="E7820" i="2"/>
  <c r="D7820" i="2"/>
  <c r="B7820" i="2"/>
  <c r="A7820" i="2"/>
  <c r="O7819" i="2"/>
  <c r="M7819" i="2"/>
  <c r="L7819" i="2"/>
  <c r="E7819" i="2"/>
  <c r="D7819" i="2"/>
  <c r="B7819" i="2"/>
  <c r="A7819" i="2"/>
  <c r="O7818" i="2"/>
  <c r="M7818" i="2"/>
  <c r="L7818" i="2"/>
  <c r="E7818" i="2"/>
  <c r="D7818" i="2"/>
  <c r="B7818" i="2"/>
  <c r="A7818" i="2"/>
  <c r="O7817" i="2"/>
  <c r="M7817" i="2"/>
  <c r="L7817" i="2"/>
  <c r="E7817" i="2"/>
  <c r="D7817" i="2"/>
  <c r="B7817" i="2"/>
  <c r="A7817" i="2"/>
  <c r="O7816" i="2"/>
  <c r="M7816" i="2"/>
  <c r="L7816" i="2"/>
  <c r="E7816" i="2"/>
  <c r="D7816" i="2"/>
  <c r="B7816" i="2"/>
  <c r="A7816" i="2"/>
  <c r="O7815" i="2"/>
  <c r="M7815" i="2"/>
  <c r="L7815" i="2"/>
  <c r="E7815" i="2"/>
  <c r="D7815" i="2"/>
  <c r="B7815" i="2"/>
  <c r="A7815" i="2"/>
  <c r="O7814" i="2"/>
  <c r="M7814" i="2"/>
  <c r="L7814" i="2"/>
  <c r="E7814" i="2"/>
  <c r="D7814" i="2"/>
  <c r="B7814" i="2"/>
  <c r="A7814" i="2"/>
  <c r="O7813" i="2"/>
  <c r="M7813" i="2"/>
  <c r="L7813" i="2"/>
  <c r="E7813" i="2"/>
  <c r="D7813" i="2"/>
  <c r="B7813" i="2"/>
  <c r="A7813" i="2"/>
  <c r="O7812" i="2"/>
  <c r="M7812" i="2"/>
  <c r="L7812" i="2"/>
  <c r="E7812" i="2"/>
  <c r="D7812" i="2"/>
  <c r="B7812" i="2"/>
  <c r="A7812" i="2"/>
  <c r="O7811" i="2"/>
  <c r="M7811" i="2"/>
  <c r="L7811" i="2"/>
  <c r="E7811" i="2"/>
  <c r="D7811" i="2"/>
  <c r="B7811" i="2"/>
  <c r="A7811" i="2"/>
  <c r="O7810" i="2"/>
  <c r="M7810" i="2"/>
  <c r="L7810" i="2"/>
  <c r="E7810" i="2"/>
  <c r="D7810" i="2"/>
  <c r="B7810" i="2"/>
  <c r="A7810" i="2"/>
  <c r="O7809" i="2"/>
  <c r="M7809" i="2"/>
  <c r="L7809" i="2"/>
  <c r="E7809" i="2"/>
  <c r="D7809" i="2"/>
  <c r="B7809" i="2"/>
  <c r="A7809" i="2"/>
  <c r="O7808" i="2"/>
  <c r="O7807" i="2"/>
  <c r="M7807" i="2"/>
  <c r="L7807" i="2"/>
  <c r="E7807" i="2"/>
  <c r="D7807" i="2"/>
  <c r="B7807" i="2"/>
  <c r="A7807" i="2"/>
  <c r="O7806" i="2"/>
  <c r="O7805" i="2"/>
  <c r="M7805" i="2"/>
  <c r="L7805" i="2"/>
  <c r="E7805" i="2"/>
  <c r="D7805" i="2"/>
  <c r="B7805" i="2"/>
  <c r="A7805" i="2"/>
  <c r="O7804" i="2"/>
  <c r="M7804" i="2"/>
  <c r="L7804" i="2"/>
  <c r="E7804" i="2"/>
  <c r="D7804" i="2"/>
  <c r="B7804" i="2"/>
  <c r="A7804" i="2"/>
  <c r="O7803" i="2"/>
  <c r="O7802" i="2"/>
  <c r="O7801" i="2"/>
  <c r="M7801" i="2"/>
  <c r="L7801" i="2"/>
  <c r="E7801" i="2"/>
  <c r="D7801" i="2"/>
  <c r="B7801" i="2"/>
  <c r="A7801" i="2"/>
  <c r="O7800" i="2"/>
  <c r="M7800" i="2"/>
  <c r="L7800" i="2"/>
  <c r="E7800" i="2"/>
  <c r="D7800" i="2"/>
  <c r="B7800" i="2"/>
  <c r="A7800" i="2"/>
  <c r="O7799" i="2"/>
  <c r="O7798" i="2"/>
  <c r="M7798" i="2"/>
  <c r="L7798" i="2"/>
  <c r="E7798" i="2"/>
  <c r="D7798" i="2"/>
  <c r="B7798" i="2"/>
  <c r="A7798" i="2"/>
  <c r="O7797" i="2"/>
  <c r="O7796" i="2"/>
  <c r="M7796" i="2"/>
  <c r="L7796" i="2"/>
  <c r="E7796" i="2"/>
  <c r="D7796" i="2"/>
  <c r="B7796" i="2"/>
  <c r="A7796" i="2"/>
  <c r="O7795" i="2"/>
  <c r="M7795" i="2"/>
  <c r="L7795" i="2"/>
  <c r="E7795" i="2"/>
  <c r="D7795" i="2"/>
  <c r="B7795" i="2"/>
  <c r="A7795" i="2"/>
  <c r="O7794" i="2"/>
  <c r="M7794" i="2"/>
  <c r="L7794" i="2"/>
  <c r="E7794" i="2"/>
  <c r="D7794" i="2"/>
  <c r="B7794" i="2"/>
  <c r="A7794" i="2"/>
  <c r="O7793" i="2"/>
  <c r="M7793" i="2"/>
  <c r="L7793" i="2"/>
  <c r="E7793" i="2"/>
  <c r="D7793" i="2"/>
  <c r="B7793" i="2"/>
  <c r="A7793" i="2"/>
  <c r="O7792" i="2"/>
  <c r="M7792" i="2"/>
  <c r="L7792" i="2"/>
  <c r="E7792" i="2"/>
  <c r="D7792" i="2"/>
  <c r="B7792" i="2"/>
  <c r="A7792" i="2"/>
  <c r="O7791" i="2"/>
  <c r="M7791" i="2"/>
  <c r="L7791" i="2"/>
  <c r="E7791" i="2"/>
  <c r="D7791" i="2"/>
  <c r="B7791" i="2"/>
  <c r="A7791" i="2"/>
  <c r="O7790" i="2"/>
  <c r="M7790" i="2"/>
  <c r="L7790" i="2"/>
  <c r="E7790" i="2"/>
  <c r="D7790" i="2"/>
  <c r="B7790" i="2"/>
  <c r="A7790" i="2"/>
  <c r="O7789" i="2"/>
  <c r="O7788" i="2"/>
  <c r="M7788" i="2"/>
  <c r="L7788" i="2"/>
  <c r="E7788" i="2"/>
  <c r="D7788" i="2"/>
  <c r="B7788" i="2"/>
  <c r="A7788" i="2"/>
  <c r="O7787" i="2"/>
  <c r="M7787" i="2"/>
  <c r="L7787" i="2"/>
  <c r="E7787" i="2"/>
  <c r="D7787" i="2"/>
  <c r="B7787" i="2"/>
  <c r="A7787" i="2"/>
  <c r="O7786" i="2"/>
  <c r="M7786" i="2"/>
  <c r="L7786" i="2"/>
  <c r="E7786" i="2"/>
  <c r="D7786" i="2"/>
  <c r="B7786" i="2"/>
  <c r="A7786" i="2"/>
  <c r="O7785" i="2"/>
  <c r="M7785" i="2"/>
  <c r="L7785" i="2"/>
  <c r="E7785" i="2"/>
  <c r="D7785" i="2"/>
  <c r="B7785" i="2"/>
  <c r="A7785" i="2"/>
  <c r="O7784" i="2"/>
  <c r="M7784" i="2"/>
  <c r="L7784" i="2"/>
  <c r="E7784" i="2"/>
  <c r="D7784" i="2"/>
  <c r="B7784" i="2"/>
  <c r="A7784" i="2"/>
  <c r="O7783" i="2"/>
  <c r="M7783" i="2"/>
  <c r="L7783" i="2"/>
  <c r="E7783" i="2"/>
  <c r="D7783" i="2"/>
  <c r="B7783" i="2"/>
  <c r="A7783" i="2"/>
  <c r="O7782" i="2"/>
  <c r="O7781" i="2"/>
  <c r="M7781" i="2"/>
  <c r="L7781" i="2"/>
  <c r="E7781" i="2"/>
  <c r="D7781" i="2"/>
  <c r="B7781" i="2"/>
  <c r="A7781" i="2"/>
  <c r="O7780" i="2"/>
  <c r="O7779" i="2"/>
  <c r="M7779" i="2"/>
  <c r="L7779" i="2"/>
  <c r="E7779" i="2"/>
  <c r="D7779" i="2"/>
  <c r="B7779" i="2"/>
  <c r="A7779" i="2"/>
  <c r="O7778" i="2"/>
  <c r="O7777" i="2"/>
  <c r="O7776" i="2"/>
  <c r="M7776" i="2"/>
  <c r="L7776" i="2"/>
  <c r="E7776" i="2"/>
  <c r="D7776" i="2"/>
  <c r="B7776" i="2"/>
  <c r="A7776" i="2"/>
  <c r="O7775" i="2"/>
  <c r="O7774" i="2"/>
  <c r="O7773" i="2"/>
  <c r="O7772" i="2"/>
  <c r="O7771" i="2"/>
  <c r="O7770" i="2"/>
  <c r="O7769" i="2"/>
  <c r="O7768" i="2"/>
  <c r="O7767" i="2"/>
  <c r="O7766" i="2"/>
  <c r="O7765" i="2"/>
  <c r="O7764" i="2"/>
  <c r="O7763" i="2"/>
  <c r="O7762" i="2"/>
  <c r="M7762" i="2"/>
  <c r="L7762" i="2"/>
  <c r="E7762" i="2"/>
  <c r="D7762" i="2"/>
  <c r="B7762" i="2"/>
  <c r="A7762" i="2"/>
  <c r="O7761" i="2"/>
  <c r="O7760" i="2"/>
  <c r="O7759" i="2"/>
  <c r="O7758" i="2"/>
  <c r="O7757" i="2"/>
  <c r="O7756" i="2"/>
  <c r="M7756" i="2"/>
  <c r="L7756" i="2"/>
  <c r="E7756" i="2"/>
  <c r="D7756" i="2"/>
  <c r="B7756" i="2"/>
  <c r="A7756" i="2"/>
  <c r="O7755" i="2"/>
  <c r="M7755" i="2"/>
  <c r="L7755" i="2"/>
  <c r="E7755" i="2"/>
  <c r="D7755" i="2"/>
  <c r="B7755" i="2"/>
  <c r="A7755" i="2"/>
  <c r="O7754" i="2"/>
  <c r="O7753" i="2"/>
  <c r="M7753" i="2"/>
  <c r="L7753" i="2"/>
  <c r="E7753" i="2"/>
  <c r="D7753" i="2"/>
  <c r="B7753" i="2"/>
  <c r="A7753" i="2"/>
  <c r="O7752" i="2"/>
  <c r="M7752" i="2"/>
  <c r="L7752" i="2"/>
  <c r="E7752" i="2"/>
  <c r="D7752" i="2"/>
  <c r="B7752" i="2"/>
  <c r="A7752" i="2"/>
  <c r="O7751" i="2"/>
  <c r="M7751" i="2"/>
  <c r="L7751" i="2"/>
  <c r="E7751" i="2"/>
  <c r="D7751" i="2"/>
  <c r="B7751" i="2"/>
  <c r="A7751" i="2"/>
  <c r="O7750" i="2"/>
  <c r="M7750" i="2"/>
  <c r="L7750" i="2"/>
  <c r="E7750" i="2"/>
  <c r="D7750" i="2"/>
  <c r="B7750" i="2"/>
  <c r="A7750" i="2"/>
  <c r="O7749" i="2"/>
  <c r="O7748" i="2"/>
  <c r="M7748" i="2"/>
  <c r="L7748" i="2"/>
  <c r="E7748" i="2"/>
  <c r="D7748" i="2"/>
  <c r="B7748" i="2"/>
  <c r="A7748" i="2"/>
  <c r="O7747" i="2"/>
  <c r="M7747" i="2"/>
  <c r="L7747" i="2"/>
  <c r="E7747" i="2"/>
  <c r="D7747" i="2"/>
  <c r="B7747" i="2"/>
  <c r="A7747" i="2"/>
  <c r="O7746" i="2"/>
  <c r="M7746" i="2"/>
  <c r="L7746" i="2"/>
  <c r="E7746" i="2"/>
  <c r="D7746" i="2"/>
  <c r="B7746" i="2"/>
  <c r="A7746" i="2"/>
  <c r="O7745" i="2"/>
  <c r="O7744" i="2"/>
  <c r="M7744" i="2"/>
  <c r="L7744" i="2"/>
  <c r="E7744" i="2"/>
  <c r="D7744" i="2"/>
  <c r="B7744" i="2"/>
  <c r="A7744" i="2"/>
  <c r="O7743" i="2"/>
  <c r="M7743" i="2"/>
  <c r="L7743" i="2"/>
  <c r="E7743" i="2"/>
  <c r="D7743" i="2"/>
  <c r="B7743" i="2"/>
  <c r="A7743" i="2"/>
  <c r="O7742" i="2"/>
  <c r="O7741" i="2"/>
  <c r="M7741" i="2"/>
  <c r="L7741" i="2"/>
  <c r="E7741" i="2"/>
  <c r="D7741" i="2"/>
  <c r="B7741" i="2"/>
  <c r="A7741" i="2"/>
  <c r="O7740" i="2"/>
  <c r="O7739" i="2"/>
  <c r="O7738" i="2"/>
  <c r="O7737" i="2"/>
  <c r="O7736" i="2"/>
  <c r="O7735" i="2"/>
  <c r="O7734" i="2"/>
  <c r="O7733" i="2"/>
  <c r="M7733" i="2"/>
  <c r="L7733" i="2"/>
  <c r="E7733" i="2"/>
  <c r="D7733" i="2"/>
  <c r="B7733" i="2"/>
  <c r="A7733" i="2"/>
  <c r="O7732" i="2"/>
  <c r="O7731" i="2"/>
  <c r="O7730" i="2"/>
  <c r="O7729" i="2"/>
  <c r="M7729" i="2"/>
  <c r="L7729" i="2"/>
  <c r="E7729" i="2"/>
  <c r="D7729" i="2"/>
  <c r="B7729" i="2"/>
  <c r="A7729" i="2"/>
  <c r="O7728" i="2"/>
  <c r="M7728" i="2"/>
  <c r="L7728" i="2"/>
  <c r="E7728" i="2"/>
  <c r="D7728" i="2"/>
  <c r="B7728" i="2"/>
  <c r="A7728" i="2"/>
  <c r="O7727" i="2"/>
  <c r="M7727" i="2"/>
  <c r="L7727" i="2"/>
  <c r="E7727" i="2"/>
  <c r="D7727" i="2"/>
  <c r="B7727" i="2"/>
  <c r="A7727" i="2"/>
  <c r="O7726" i="2"/>
  <c r="M7726" i="2"/>
  <c r="L7726" i="2"/>
  <c r="E7726" i="2"/>
  <c r="D7726" i="2"/>
  <c r="B7726" i="2"/>
  <c r="A7726" i="2"/>
  <c r="O7725" i="2"/>
  <c r="O7724" i="2"/>
  <c r="O7723" i="2"/>
  <c r="O7722" i="2"/>
  <c r="O7721" i="2"/>
  <c r="O7720" i="2"/>
  <c r="O7719" i="2"/>
  <c r="M7719" i="2"/>
  <c r="L7719" i="2"/>
  <c r="E7719" i="2"/>
  <c r="D7719" i="2"/>
  <c r="B7719" i="2"/>
  <c r="A7719" i="2"/>
  <c r="O7718" i="2"/>
  <c r="M7718" i="2"/>
  <c r="L7718" i="2"/>
  <c r="E7718" i="2"/>
  <c r="D7718" i="2"/>
  <c r="B7718" i="2"/>
  <c r="A7718" i="2"/>
  <c r="O7717" i="2"/>
  <c r="M7717" i="2"/>
  <c r="L7717" i="2"/>
  <c r="E7717" i="2"/>
  <c r="D7717" i="2"/>
  <c r="B7717" i="2"/>
  <c r="A7717" i="2"/>
  <c r="O7716" i="2"/>
  <c r="M7716" i="2"/>
  <c r="L7716" i="2"/>
  <c r="E7716" i="2"/>
  <c r="D7716" i="2"/>
  <c r="B7716" i="2"/>
  <c r="A7716" i="2"/>
  <c r="O7715" i="2"/>
  <c r="O7714" i="2"/>
  <c r="M7714" i="2"/>
  <c r="L7714" i="2"/>
  <c r="E7714" i="2"/>
  <c r="D7714" i="2"/>
  <c r="B7714" i="2"/>
  <c r="A7714" i="2"/>
  <c r="O7713" i="2"/>
  <c r="O7712" i="2"/>
  <c r="M7712" i="2"/>
  <c r="L7712" i="2"/>
  <c r="E7712" i="2"/>
  <c r="D7712" i="2"/>
  <c r="B7712" i="2"/>
  <c r="A7712" i="2"/>
  <c r="O7711" i="2"/>
  <c r="O7710" i="2"/>
  <c r="M7710" i="2"/>
  <c r="L7710" i="2"/>
  <c r="E7710" i="2"/>
  <c r="D7710" i="2"/>
  <c r="B7710" i="2"/>
  <c r="A7710" i="2"/>
  <c r="O7709" i="2"/>
  <c r="O7708" i="2"/>
  <c r="M7708" i="2"/>
  <c r="L7708" i="2"/>
  <c r="E7708" i="2"/>
  <c r="D7708" i="2"/>
  <c r="B7708" i="2"/>
  <c r="A7708" i="2"/>
  <c r="O7707" i="2"/>
  <c r="O7706" i="2"/>
  <c r="M7706" i="2"/>
  <c r="L7706" i="2"/>
  <c r="E7706" i="2"/>
  <c r="D7706" i="2"/>
  <c r="B7706" i="2"/>
  <c r="A7706" i="2"/>
  <c r="O7705" i="2"/>
  <c r="O7704" i="2"/>
  <c r="O7703" i="2"/>
  <c r="M7703" i="2"/>
  <c r="L7703" i="2"/>
  <c r="E7703" i="2"/>
  <c r="D7703" i="2"/>
  <c r="B7703" i="2"/>
  <c r="A7703" i="2"/>
  <c r="O7702" i="2"/>
  <c r="O7701" i="2"/>
  <c r="O7700" i="2"/>
  <c r="M7700" i="2"/>
  <c r="L7700" i="2"/>
  <c r="E7700" i="2"/>
  <c r="D7700" i="2"/>
  <c r="B7700" i="2"/>
  <c r="A7700" i="2"/>
  <c r="O7699" i="2"/>
  <c r="M7699" i="2"/>
  <c r="L7699" i="2"/>
  <c r="E7699" i="2"/>
  <c r="D7699" i="2"/>
  <c r="B7699" i="2"/>
  <c r="A7699" i="2"/>
  <c r="O7698" i="2"/>
  <c r="M7698" i="2"/>
  <c r="L7698" i="2"/>
  <c r="E7698" i="2"/>
  <c r="D7698" i="2"/>
  <c r="B7698" i="2"/>
  <c r="A7698" i="2"/>
  <c r="O7697" i="2"/>
  <c r="M7697" i="2"/>
  <c r="L7697" i="2"/>
  <c r="E7697" i="2"/>
  <c r="D7697" i="2"/>
  <c r="B7697" i="2"/>
  <c r="A7697" i="2"/>
  <c r="O7696" i="2"/>
  <c r="O7695" i="2"/>
  <c r="M7695" i="2"/>
  <c r="L7695" i="2"/>
  <c r="E7695" i="2"/>
  <c r="D7695" i="2"/>
  <c r="B7695" i="2"/>
  <c r="A7695" i="2"/>
  <c r="O7694" i="2"/>
  <c r="M7694" i="2"/>
  <c r="L7694" i="2"/>
  <c r="E7694" i="2"/>
  <c r="D7694" i="2"/>
  <c r="B7694" i="2"/>
  <c r="A7694" i="2"/>
  <c r="O7693" i="2"/>
  <c r="M7693" i="2"/>
  <c r="L7693" i="2"/>
  <c r="E7693" i="2"/>
  <c r="D7693" i="2"/>
  <c r="B7693" i="2"/>
  <c r="A7693" i="2"/>
  <c r="O7692" i="2"/>
  <c r="O7691" i="2"/>
  <c r="O7690" i="2"/>
  <c r="O7689" i="2"/>
  <c r="M7689" i="2"/>
  <c r="L7689" i="2"/>
  <c r="E7689" i="2"/>
  <c r="D7689" i="2"/>
  <c r="B7689" i="2"/>
  <c r="A7689" i="2"/>
  <c r="O7688" i="2"/>
  <c r="O7687" i="2"/>
  <c r="O7686" i="2"/>
  <c r="M7686" i="2"/>
  <c r="L7686" i="2"/>
  <c r="E7686" i="2"/>
  <c r="D7686" i="2"/>
  <c r="B7686" i="2"/>
  <c r="A7686" i="2"/>
  <c r="O7685" i="2"/>
  <c r="O7684" i="2"/>
  <c r="O7683" i="2"/>
  <c r="O7682" i="2"/>
  <c r="M7682" i="2"/>
  <c r="L7682" i="2"/>
  <c r="E7682" i="2"/>
  <c r="D7682" i="2"/>
  <c r="B7682" i="2"/>
  <c r="A7682" i="2"/>
  <c r="O7681" i="2"/>
  <c r="O7680" i="2"/>
  <c r="M7680" i="2"/>
  <c r="L7680" i="2"/>
  <c r="E7680" i="2"/>
  <c r="D7680" i="2"/>
  <c r="B7680" i="2"/>
  <c r="A7680" i="2"/>
  <c r="O7679" i="2"/>
  <c r="M7679" i="2"/>
  <c r="L7679" i="2"/>
  <c r="E7679" i="2"/>
  <c r="D7679" i="2"/>
  <c r="B7679" i="2"/>
  <c r="A7679" i="2"/>
  <c r="O7678" i="2"/>
  <c r="M7678" i="2"/>
  <c r="L7678" i="2"/>
  <c r="E7678" i="2"/>
  <c r="D7678" i="2"/>
  <c r="B7678" i="2"/>
  <c r="A7678" i="2"/>
  <c r="O7677" i="2"/>
  <c r="M7677" i="2"/>
  <c r="L7677" i="2"/>
  <c r="E7677" i="2"/>
  <c r="D7677" i="2"/>
  <c r="B7677" i="2"/>
  <c r="A7677" i="2"/>
  <c r="O7676" i="2"/>
  <c r="M7676" i="2"/>
  <c r="L7676" i="2"/>
  <c r="E7676" i="2"/>
  <c r="D7676" i="2"/>
  <c r="B7676" i="2"/>
  <c r="A7676" i="2"/>
  <c r="O7675" i="2"/>
  <c r="M7675" i="2"/>
  <c r="L7675" i="2"/>
  <c r="E7675" i="2"/>
  <c r="D7675" i="2"/>
  <c r="B7675" i="2"/>
  <c r="A7675" i="2"/>
  <c r="O7674" i="2"/>
  <c r="M7674" i="2"/>
  <c r="L7674" i="2"/>
  <c r="E7674" i="2"/>
  <c r="D7674" i="2"/>
  <c r="B7674" i="2"/>
  <c r="A7674" i="2"/>
  <c r="O7673" i="2"/>
  <c r="O7672" i="2"/>
  <c r="O7671" i="2"/>
  <c r="M7671" i="2"/>
  <c r="L7671" i="2"/>
  <c r="E7671" i="2"/>
  <c r="D7671" i="2"/>
  <c r="B7671" i="2"/>
  <c r="A7671" i="2"/>
  <c r="O7670" i="2"/>
  <c r="O7669" i="2"/>
  <c r="O7668" i="2"/>
  <c r="M7668" i="2"/>
  <c r="L7668" i="2"/>
  <c r="E7668" i="2"/>
  <c r="D7668" i="2"/>
  <c r="B7668" i="2"/>
  <c r="A7668" i="2"/>
  <c r="O7667" i="2"/>
  <c r="O7666" i="2"/>
  <c r="O7665" i="2"/>
  <c r="M7665" i="2"/>
  <c r="L7665" i="2"/>
  <c r="E7665" i="2"/>
  <c r="D7665" i="2"/>
  <c r="B7665" i="2"/>
  <c r="A7665" i="2"/>
  <c r="O7664" i="2"/>
  <c r="M7664" i="2"/>
  <c r="L7664" i="2"/>
  <c r="E7664" i="2"/>
  <c r="D7664" i="2"/>
  <c r="B7664" i="2"/>
  <c r="A7664" i="2"/>
  <c r="O7663" i="2"/>
  <c r="M7663" i="2"/>
  <c r="L7663" i="2"/>
  <c r="E7663" i="2"/>
  <c r="D7663" i="2"/>
  <c r="B7663" i="2"/>
  <c r="A7663" i="2"/>
  <c r="O7662" i="2"/>
  <c r="O7661" i="2"/>
  <c r="O7660" i="2"/>
  <c r="O7659" i="2"/>
  <c r="M7659" i="2"/>
  <c r="L7659" i="2"/>
  <c r="E7659" i="2"/>
  <c r="D7659" i="2"/>
  <c r="B7659" i="2"/>
  <c r="A7659" i="2"/>
  <c r="O7658" i="2"/>
  <c r="O7657" i="2"/>
  <c r="M7657" i="2"/>
  <c r="L7657" i="2"/>
  <c r="E7657" i="2"/>
  <c r="D7657" i="2"/>
  <c r="B7657" i="2"/>
  <c r="A7657" i="2"/>
  <c r="O7656" i="2"/>
  <c r="O7655" i="2"/>
  <c r="M7655" i="2"/>
  <c r="L7655" i="2"/>
  <c r="E7655" i="2"/>
  <c r="D7655" i="2"/>
  <c r="B7655" i="2"/>
  <c r="A7655" i="2"/>
  <c r="O7654" i="2"/>
  <c r="M7654" i="2"/>
  <c r="L7654" i="2"/>
  <c r="E7654" i="2"/>
  <c r="D7654" i="2"/>
  <c r="B7654" i="2"/>
  <c r="A7654" i="2"/>
  <c r="O7653" i="2"/>
  <c r="O7652" i="2"/>
  <c r="M7652" i="2"/>
  <c r="L7652" i="2"/>
  <c r="E7652" i="2"/>
  <c r="D7652" i="2"/>
  <c r="B7652" i="2"/>
  <c r="A7652" i="2"/>
  <c r="O7651" i="2"/>
  <c r="O7650" i="2"/>
  <c r="O7649" i="2"/>
  <c r="O7648" i="2"/>
  <c r="O7647" i="2"/>
  <c r="O7646" i="2"/>
  <c r="O7645" i="2"/>
  <c r="M7645" i="2"/>
  <c r="L7645" i="2"/>
  <c r="E7645" i="2"/>
  <c r="D7645" i="2"/>
  <c r="B7645" i="2"/>
  <c r="A7645" i="2"/>
  <c r="O7644" i="2"/>
  <c r="M7644" i="2"/>
  <c r="L7644" i="2"/>
  <c r="E7644" i="2"/>
  <c r="D7644" i="2"/>
  <c r="B7644" i="2"/>
  <c r="A7644" i="2"/>
  <c r="O7643" i="2"/>
  <c r="O7642" i="2"/>
  <c r="M7642" i="2"/>
  <c r="L7642" i="2"/>
  <c r="E7642" i="2"/>
  <c r="D7642" i="2"/>
  <c r="B7642" i="2"/>
  <c r="A7642" i="2"/>
  <c r="O7641" i="2"/>
  <c r="M7641" i="2"/>
  <c r="L7641" i="2"/>
  <c r="E7641" i="2"/>
  <c r="D7641" i="2"/>
  <c r="B7641" i="2"/>
  <c r="A7641" i="2"/>
  <c r="O7640" i="2"/>
  <c r="M7640" i="2"/>
  <c r="L7640" i="2"/>
  <c r="E7640" i="2"/>
  <c r="D7640" i="2"/>
  <c r="B7640" i="2"/>
  <c r="A7640" i="2"/>
  <c r="O7639" i="2"/>
  <c r="M7639" i="2"/>
  <c r="L7639" i="2"/>
  <c r="E7639" i="2"/>
  <c r="D7639" i="2"/>
  <c r="B7639" i="2"/>
  <c r="A7639" i="2"/>
  <c r="O7638" i="2"/>
  <c r="M7638" i="2"/>
  <c r="L7638" i="2"/>
  <c r="E7638" i="2"/>
  <c r="D7638" i="2"/>
  <c r="B7638" i="2"/>
  <c r="A7638" i="2"/>
  <c r="O7637" i="2"/>
  <c r="M7637" i="2"/>
  <c r="L7637" i="2"/>
  <c r="E7637" i="2"/>
  <c r="D7637" i="2"/>
  <c r="B7637" i="2"/>
  <c r="A7637" i="2"/>
  <c r="O7636" i="2"/>
  <c r="M7636" i="2"/>
  <c r="L7636" i="2"/>
  <c r="E7636" i="2"/>
  <c r="D7636" i="2"/>
  <c r="B7636" i="2"/>
  <c r="A7636" i="2"/>
  <c r="O7635" i="2"/>
  <c r="O7634" i="2"/>
  <c r="O7633" i="2"/>
  <c r="O7632" i="2"/>
  <c r="O7631" i="2"/>
  <c r="O7630" i="2"/>
  <c r="M7630" i="2"/>
  <c r="L7630" i="2"/>
  <c r="E7630" i="2"/>
  <c r="D7630" i="2"/>
  <c r="B7630" i="2"/>
  <c r="A7630" i="2"/>
  <c r="O7629" i="2"/>
  <c r="O7628" i="2"/>
  <c r="O7627" i="2"/>
  <c r="O7626" i="2"/>
  <c r="O7625" i="2"/>
  <c r="O7624" i="2"/>
  <c r="O7623" i="2"/>
  <c r="M7623" i="2"/>
  <c r="L7623" i="2"/>
  <c r="E7623" i="2"/>
  <c r="D7623" i="2"/>
  <c r="B7623" i="2"/>
  <c r="A7623" i="2"/>
  <c r="O7622" i="2"/>
  <c r="O7621" i="2"/>
  <c r="M7621" i="2"/>
  <c r="L7621" i="2"/>
  <c r="E7621" i="2"/>
  <c r="D7621" i="2"/>
  <c r="B7621" i="2"/>
  <c r="A7621" i="2"/>
  <c r="O7620" i="2"/>
  <c r="O7619" i="2"/>
  <c r="O7618" i="2"/>
  <c r="M7618" i="2"/>
  <c r="L7618" i="2"/>
  <c r="E7618" i="2"/>
  <c r="D7618" i="2"/>
  <c r="B7618" i="2"/>
  <c r="A7618" i="2"/>
  <c r="O7617" i="2"/>
  <c r="M7617" i="2"/>
  <c r="L7617" i="2"/>
  <c r="E7617" i="2"/>
  <c r="D7617" i="2"/>
  <c r="B7617" i="2"/>
  <c r="A7617" i="2"/>
  <c r="O7616" i="2"/>
  <c r="O7615" i="2"/>
  <c r="O7614" i="2"/>
  <c r="M7614" i="2"/>
  <c r="L7614" i="2"/>
  <c r="E7614" i="2"/>
  <c r="D7614" i="2"/>
  <c r="B7614" i="2"/>
  <c r="A7614" i="2"/>
  <c r="O7613" i="2"/>
  <c r="O7612" i="2"/>
  <c r="M7612" i="2"/>
  <c r="L7612" i="2"/>
  <c r="E7612" i="2"/>
  <c r="D7612" i="2"/>
  <c r="B7612" i="2"/>
  <c r="A7612" i="2"/>
  <c r="O7611" i="2"/>
  <c r="O7610" i="2"/>
  <c r="O7609" i="2"/>
  <c r="O7608" i="2"/>
  <c r="M7608" i="2"/>
  <c r="L7608" i="2"/>
  <c r="E7608" i="2"/>
  <c r="D7608" i="2"/>
  <c r="B7608" i="2"/>
  <c r="A7608" i="2"/>
  <c r="O7607" i="2"/>
  <c r="O7606" i="2"/>
  <c r="O7605" i="2"/>
  <c r="O7604" i="2"/>
  <c r="O7603" i="2"/>
  <c r="M7603" i="2"/>
  <c r="L7603" i="2"/>
  <c r="E7603" i="2"/>
  <c r="D7603" i="2"/>
  <c r="B7603" i="2"/>
  <c r="A7603" i="2"/>
  <c r="O7602" i="2"/>
  <c r="O7601" i="2"/>
  <c r="O7600" i="2"/>
  <c r="O7599" i="2"/>
  <c r="M7599" i="2"/>
  <c r="L7599" i="2"/>
  <c r="E7599" i="2"/>
  <c r="D7599" i="2"/>
  <c r="B7599" i="2"/>
  <c r="A7599" i="2"/>
  <c r="O7598" i="2"/>
  <c r="O7597" i="2"/>
  <c r="O7596" i="2"/>
  <c r="O7595" i="2"/>
  <c r="M7595" i="2"/>
  <c r="L7595" i="2"/>
  <c r="E7595" i="2"/>
  <c r="D7595" i="2"/>
  <c r="B7595" i="2"/>
  <c r="A7595" i="2"/>
  <c r="O7594" i="2"/>
  <c r="O7593" i="2"/>
  <c r="O7592" i="2"/>
  <c r="M7592" i="2"/>
  <c r="L7592" i="2"/>
  <c r="E7592" i="2"/>
  <c r="D7592" i="2"/>
  <c r="B7592" i="2"/>
  <c r="A7592" i="2"/>
  <c r="O7591" i="2"/>
  <c r="O7590" i="2"/>
  <c r="M7590" i="2"/>
  <c r="L7590" i="2"/>
  <c r="E7590" i="2"/>
  <c r="D7590" i="2"/>
  <c r="B7590" i="2"/>
  <c r="A7590" i="2"/>
  <c r="O7589" i="2"/>
  <c r="O7588" i="2"/>
  <c r="M7588" i="2"/>
  <c r="L7588" i="2"/>
  <c r="E7588" i="2"/>
  <c r="D7588" i="2"/>
  <c r="B7588" i="2"/>
  <c r="A7588" i="2"/>
  <c r="O7587" i="2"/>
  <c r="M7587" i="2"/>
  <c r="L7587" i="2"/>
  <c r="E7587" i="2"/>
  <c r="D7587" i="2"/>
  <c r="B7587" i="2"/>
  <c r="A7587" i="2"/>
  <c r="O7586" i="2"/>
  <c r="M7586" i="2"/>
  <c r="L7586" i="2"/>
  <c r="E7586" i="2"/>
  <c r="D7586" i="2"/>
  <c r="B7586" i="2"/>
  <c r="A7586" i="2"/>
  <c r="O7585" i="2"/>
  <c r="M7585" i="2"/>
  <c r="L7585" i="2"/>
  <c r="E7585" i="2"/>
  <c r="D7585" i="2"/>
  <c r="B7585" i="2"/>
  <c r="A7585" i="2"/>
  <c r="O7584" i="2"/>
  <c r="M7584" i="2"/>
  <c r="L7584" i="2"/>
  <c r="E7584" i="2"/>
  <c r="D7584" i="2"/>
  <c r="B7584" i="2"/>
  <c r="A7584" i="2"/>
  <c r="O7583" i="2"/>
  <c r="O7582" i="2"/>
  <c r="M7582" i="2"/>
  <c r="L7582" i="2"/>
  <c r="E7582" i="2"/>
  <c r="D7582" i="2"/>
  <c r="B7582" i="2"/>
  <c r="A7582" i="2"/>
  <c r="O7581" i="2"/>
  <c r="M7581" i="2"/>
  <c r="L7581" i="2"/>
  <c r="E7581" i="2"/>
  <c r="D7581" i="2"/>
  <c r="B7581" i="2"/>
  <c r="A7581" i="2"/>
  <c r="O7580" i="2"/>
  <c r="M7580" i="2"/>
  <c r="L7580" i="2"/>
  <c r="E7580" i="2"/>
  <c r="D7580" i="2"/>
  <c r="B7580" i="2"/>
  <c r="A7580" i="2"/>
  <c r="O7579" i="2"/>
  <c r="M7579" i="2"/>
  <c r="L7579" i="2"/>
  <c r="E7579" i="2"/>
  <c r="D7579" i="2"/>
  <c r="B7579" i="2"/>
  <c r="A7579" i="2"/>
  <c r="O7578" i="2"/>
  <c r="M7578" i="2"/>
  <c r="L7578" i="2"/>
  <c r="E7578" i="2"/>
  <c r="D7578" i="2"/>
  <c r="B7578" i="2"/>
  <c r="A7578" i="2"/>
  <c r="O7577" i="2"/>
  <c r="M7577" i="2"/>
  <c r="L7577" i="2"/>
  <c r="E7577" i="2"/>
  <c r="D7577" i="2"/>
  <c r="B7577" i="2"/>
  <c r="A7577" i="2"/>
  <c r="O7576" i="2"/>
  <c r="M7576" i="2"/>
  <c r="L7576" i="2"/>
  <c r="E7576" i="2"/>
  <c r="D7576" i="2"/>
  <c r="B7576" i="2"/>
  <c r="A7576" i="2"/>
  <c r="O7575" i="2"/>
  <c r="O7574" i="2"/>
  <c r="M7574" i="2"/>
  <c r="L7574" i="2"/>
  <c r="E7574" i="2"/>
  <c r="D7574" i="2"/>
  <c r="B7574" i="2"/>
  <c r="A7574" i="2"/>
  <c r="O7573" i="2"/>
  <c r="M7573" i="2"/>
  <c r="L7573" i="2"/>
  <c r="E7573" i="2"/>
  <c r="D7573" i="2"/>
  <c r="B7573" i="2"/>
  <c r="A7573" i="2"/>
  <c r="O7572" i="2"/>
  <c r="M7572" i="2"/>
  <c r="L7572" i="2"/>
  <c r="E7572" i="2"/>
  <c r="D7572" i="2"/>
  <c r="B7572" i="2"/>
  <c r="A7572" i="2"/>
  <c r="O7571" i="2"/>
  <c r="M7571" i="2"/>
  <c r="L7571" i="2"/>
  <c r="E7571" i="2"/>
  <c r="D7571" i="2"/>
  <c r="B7571" i="2"/>
  <c r="A7571" i="2"/>
  <c r="O7570" i="2"/>
  <c r="M7570" i="2"/>
  <c r="L7570" i="2"/>
  <c r="E7570" i="2"/>
  <c r="D7570" i="2"/>
  <c r="B7570" i="2"/>
  <c r="A7570" i="2"/>
  <c r="O7569" i="2"/>
  <c r="O7568" i="2"/>
  <c r="M7568" i="2"/>
  <c r="L7568" i="2"/>
  <c r="E7568" i="2"/>
  <c r="D7568" i="2"/>
  <c r="B7568" i="2"/>
  <c r="A7568" i="2"/>
  <c r="O7567" i="2"/>
  <c r="O7566" i="2"/>
  <c r="M7566" i="2"/>
  <c r="L7566" i="2"/>
  <c r="E7566" i="2"/>
  <c r="D7566" i="2"/>
  <c r="B7566" i="2"/>
  <c r="A7566" i="2"/>
  <c r="O7565" i="2"/>
  <c r="O7564" i="2"/>
  <c r="M7564" i="2"/>
  <c r="L7564" i="2"/>
  <c r="E7564" i="2"/>
  <c r="D7564" i="2"/>
  <c r="B7564" i="2"/>
  <c r="A7564" i="2"/>
  <c r="O7563" i="2"/>
  <c r="M7563" i="2"/>
  <c r="L7563" i="2"/>
  <c r="E7563" i="2"/>
  <c r="D7563" i="2"/>
  <c r="B7563" i="2"/>
  <c r="A7563" i="2"/>
  <c r="O7562" i="2"/>
  <c r="O7561" i="2"/>
  <c r="O7560" i="2"/>
  <c r="M7560" i="2"/>
  <c r="L7560" i="2"/>
  <c r="E7560" i="2"/>
  <c r="D7560" i="2"/>
  <c r="B7560" i="2"/>
  <c r="A7560" i="2"/>
  <c r="O7559" i="2"/>
  <c r="O7558" i="2"/>
  <c r="O7557" i="2"/>
  <c r="M7557" i="2"/>
  <c r="L7557" i="2"/>
  <c r="E7557" i="2"/>
  <c r="D7557" i="2"/>
  <c r="B7557" i="2"/>
  <c r="A7557" i="2"/>
  <c r="O7556" i="2"/>
  <c r="M7556" i="2"/>
  <c r="L7556" i="2"/>
  <c r="E7556" i="2"/>
  <c r="D7556" i="2"/>
  <c r="B7556" i="2"/>
  <c r="A7556" i="2"/>
  <c r="O7555" i="2"/>
  <c r="M7555" i="2"/>
  <c r="L7555" i="2"/>
  <c r="E7555" i="2"/>
  <c r="D7555" i="2"/>
  <c r="B7555" i="2"/>
  <c r="A7555" i="2"/>
  <c r="O7554" i="2"/>
  <c r="M7554" i="2"/>
  <c r="L7554" i="2"/>
  <c r="E7554" i="2"/>
  <c r="D7554" i="2"/>
  <c r="B7554" i="2"/>
  <c r="A7554" i="2"/>
  <c r="O7553" i="2"/>
  <c r="M7553" i="2"/>
  <c r="L7553" i="2"/>
  <c r="E7553" i="2"/>
  <c r="D7553" i="2"/>
  <c r="B7553" i="2"/>
  <c r="A7553" i="2"/>
  <c r="O7552" i="2"/>
  <c r="M7552" i="2"/>
  <c r="L7552" i="2"/>
  <c r="E7552" i="2"/>
  <c r="D7552" i="2"/>
  <c r="B7552" i="2"/>
  <c r="A7552" i="2"/>
  <c r="O7551" i="2"/>
  <c r="O7550" i="2"/>
  <c r="M7550" i="2"/>
  <c r="L7550" i="2"/>
  <c r="E7550" i="2"/>
  <c r="D7550" i="2"/>
  <c r="B7550" i="2"/>
  <c r="A7550" i="2"/>
  <c r="O7549" i="2"/>
  <c r="O7548" i="2"/>
  <c r="O7547" i="2"/>
  <c r="O7546" i="2"/>
  <c r="M7546" i="2"/>
  <c r="L7546" i="2"/>
  <c r="E7546" i="2"/>
  <c r="D7546" i="2"/>
  <c r="B7546" i="2"/>
  <c r="A7546" i="2"/>
  <c r="O7545" i="2"/>
  <c r="M7545" i="2"/>
  <c r="L7545" i="2"/>
  <c r="E7545" i="2"/>
  <c r="D7545" i="2"/>
  <c r="B7545" i="2"/>
  <c r="A7545" i="2"/>
  <c r="O7544" i="2"/>
  <c r="M7544" i="2"/>
  <c r="L7544" i="2"/>
  <c r="E7544" i="2"/>
  <c r="D7544" i="2"/>
  <c r="B7544" i="2"/>
  <c r="A7544" i="2"/>
  <c r="O7543" i="2"/>
  <c r="O7542" i="2"/>
  <c r="O7541" i="2"/>
  <c r="M7541" i="2"/>
  <c r="L7541" i="2"/>
  <c r="E7541" i="2"/>
  <c r="D7541" i="2"/>
  <c r="B7541" i="2"/>
  <c r="A7541" i="2"/>
  <c r="O7540" i="2"/>
  <c r="M7540" i="2"/>
  <c r="L7540" i="2"/>
  <c r="E7540" i="2"/>
  <c r="D7540" i="2"/>
  <c r="B7540" i="2"/>
  <c r="A7540" i="2"/>
  <c r="O7539" i="2"/>
  <c r="M7539" i="2"/>
  <c r="L7539" i="2"/>
  <c r="E7539" i="2"/>
  <c r="D7539" i="2"/>
  <c r="B7539" i="2"/>
  <c r="A7539" i="2"/>
  <c r="O7538" i="2"/>
  <c r="M7538" i="2"/>
  <c r="L7538" i="2"/>
  <c r="E7538" i="2"/>
  <c r="D7538" i="2"/>
  <c r="B7538" i="2"/>
  <c r="A7538" i="2"/>
  <c r="O7537" i="2"/>
  <c r="O7536" i="2"/>
  <c r="O7535" i="2"/>
  <c r="M7535" i="2"/>
  <c r="L7535" i="2"/>
  <c r="E7535" i="2"/>
  <c r="D7535" i="2"/>
  <c r="B7535" i="2"/>
  <c r="A7535" i="2"/>
  <c r="O7534" i="2"/>
  <c r="O7533" i="2"/>
  <c r="O7532" i="2"/>
  <c r="M7532" i="2"/>
  <c r="L7532" i="2"/>
  <c r="E7532" i="2"/>
  <c r="D7532" i="2"/>
  <c r="B7532" i="2"/>
  <c r="A7532" i="2"/>
  <c r="O7531" i="2"/>
  <c r="O7530" i="2"/>
  <c r="O7529" i="2"/>
  <c r="O7528" i="2"/>
  <c r="O7527" i="2"/>
  <c r="M7527" i="2"/>
  <c r="L7527" i="2"/>
  <c r="E7527" i="2"/>
  <c r="D7527" i="2"/>
  <c r="B7527" i="2"/>
  <c r="A7527" i="2"/>
  <c r="O7526" i="2"/>
  <c r="O7525" i="2"/>
  <c r="O7524" i="2"/>
  <c r="O7523" i="2"/>
  <c r="O7522" i="2"/>
  <c r="M7522" i="2"/>
  <c r="L7522" i="2"/>
  <c r="E7522" i="2"/>
  <c r="D7522" i="2"/>
  <c r="B7522" i="2"/>
  <c r="A7522" i="2"/>
  <c r="O7521" i="2"/>
  <c r="O7520" i="2"/>
  <c r="O7519" i="2"/>
  <c r="M7519" i="2"/>
  <c r="L7519" i="2"/>
  <c r="E7519" i="2"/>
  <c r="D7519" i="2"/>
  <c r="B7519" i="2"/>
  <c r="A7519" i="2"/>
  <c r="O7518" i="2"/>
  <c r="O7517" i="2"/>
  <c r="O7516" i="2"/>
  <c r="O7515" i="2"/>
  <c r="M7515" i="2"/>
  <c r="L7515" i="2"/>
  <c r="E7515" i="2"/>
  <c r="D7515" i="2"/>
  <c r="B7515" i="2"/>
  <c r="A7515" i="2"/>
  <c r="O7514" i="2"/>
  <c r="O7513" i="2"/>
  <c r="O7512" i="2"/>
  <c r="O7511" i="2"/>
  <c r="O7510" i="2"/>
  <c r="O7509" i="2"/>
  <c r="O7508" i="2"/>
  <c r="O7507" i="2"/>
  <c r="M7507" i="2"/>
  <c r="L7507" i="2"/>
  <c r="E7507" i="2"/>
  <c r="D7507" i="2"/>
  <c r="B7507" i="2"/>
  <c r="A7507" i="2"/>
  <c r="O7506" i="2"/>
  <c r="O7505" i="2"/>
  <c r="O7504" i="2"/>
  <c r="O7503" i="2"/>
  <c r="O7502" i="2"/>
  <c r="O7501" i="2"/>
  <c r="O7500" i="2"/>
  <c r="O7499" i="2"/>
  <c r="M7499" i="2"/>
  <c r="L7499" i="2"/>
  <c r="E7499" i="2"/>
  <c r="D7499" i="2"/>
  <c r="B7499" i="2"/>
  <c r="A7499" i="2"/>
  <c r="O7498" i="2"/>
  <c r="O7497" i="2"/>
  <c r="O7496" i="2"/>
  <c r="O7495" i="2"/>
  <c r="O7494" i="2"/>
  <c r="O7493" i="2"/>
  <c r="O7492" i="2"/>
  <c r="M7492" i="2"/>
  <c r="L7492" i="2"/>
  <c r="E7492" i="2"/>
  <c r="D7492" i="2"/>
  <c r="B7492" i="2"/>
  <c r="A7492" i="2"/>
  <c r="O7491" i="2"/>
  <c r="M7491" i="2"/>
  <c r="L7491" i="2"/>
  <c r="E7491" i="2"/>
  <c r="D7491" i="2"/>
  <c r="B7491" i="2"/>
  <c r="A7491" i="2"/>
  <c r="O7490" i="2"/>
  <c r="M7490" i="2"/>
  <c r="L7490" i="2"/>
  <c r="E7490" i="2"/>
  <c r="D7490" i="2"/>
  <c r="B7490" i="2"/>
  <c r="A7490" i="2"/>
  <c r="O7489" i="2"/>
  <c r="M7489" i="2"/>
  <c r="L7489" i="2"/>
  <c r="E7489" i="2"/>
  <c r="D7489" i="2"/>
  <c r="B7489" i="2"/>
  <c r="A7489" i="2"/>
  <c r="O7488" i="2"/>
  <c r="M7488" i="2"/>
  <c r="L7488" i="2"/>
  <c r="E7488" i="2"/>
  <c r="D7488" i="2"/>
  <c r="B7488" i="2"/>
  <c r="A7488" i="2"/>
  <c r="O7487" i="2"/>
  <c r="M7487" i="2"/>
  <c r="L7487" i="2"/>
  <c r="E7487" i="2"/>
  <c r="D7487" i="2"/>
  <c r="B7487" i="2"/>
  <c r="A7487" i="2"/>
  <c r="O7486" i="2"/>
  <c r="M7486" i="2"/>
  <c r="L7486" i="2"/>
  <c r="E7486" i="2"/>
  <c r="D7486" i="2"/>
  <c r="B7486" i="2"/>
  <c r="A7486" i="2"/>
  <c r="O7485" i="2"/>
  <c r="M7485" i="2"/>
  <c r="L7485" i="2"/>
  <c r="E7485" i="2"/>
  <c r="D7485" i="2"/>
  <c r="B7485" i="2"/>
  <c r="A7485" i="2"/>
  <c r="O7484" i="2"/>
  <c r="M7484" i="2"/>
  <c r="L7484" i="2"/>
  <c r="E7484" i="2"/>
  <c r="D7484" i="2"/>
  <c r="B7484" i="2"/>
  <c r="A7484" i="2"/>
  <c r="O7483" i="2"/>
  <c r="O7482" i="2"/>
  <c r="O7481" i="2"/>
  <c r="M7481" i="2"/>
  <c r="L7481" i="2"/>
  <c r="E7481" i="2"/>
  <c r="D7481" i="2"/>
  <c r="B7481" i="2"/>
  <c r="A7481" i="2"/>
  <c r="O7480" i="2"/>
  <c r="O7479" i="2"/>
  <c r="M7479" i="2"/>
  <c r="L7479" i="2"/>
  <c r="E7479" i="2"/>
  <c r="D7479" i="2"/>
  <c r="B7479" i="2"/>
  <c r="A7479" i="2"/>
  <c r="O7478" i="2"/>
  <c r="O7477" i="2"/>
  <c r="M7477" i="2"/>
  <c r="L7477" i="2"/>
  <c r="E7477" i="2"/>
  <c r="D7477" i="2"/>
  <c r="B7477" i="2"/>
  <c r="A7477" i="2"/>
  <c r="O7476" i="2"/>
  <c r="M7476" i="2"/>
  <c r="L7476" i="2"/>
  <c r="E7476" i="2"/>
  <c r="D7476" i="2"/>
  <c r="B7476" i="2"/>
  <c r="A7476" i="2"/>
  <c r="O7475" i="2"/>
  <c r="O7474" i="2"/>
  <c r="M7474" i="2"/>
  <c r="L7474" i="2"/>
  <c r="E7474" i="2"/>
  <c r="D7474" i="2"/>
  <c r="B7474" i="2"/>
  <c r="A7474" i="2"/>
  <c r="O7473" i="2"/>
  <c r="M7473" i="2"/>
  <c r="L7473" i="2"/>
  <c r="E7473" i="2"/>
  <c r="D7473" i="2"/>
  <c r="B7473" i="2"/>
  <c r="A7473" i="2"/>
  <c r="O7472" i="2"/>
  <c r="O7471" i="2"/>
  <c r="O7470" i="2"/>
  <c r="M7470" i="2"/>
  <c r="L7470" i="2"/>
  <c r="E7470" i="2"/>
  <c r="D7470" i="2"/>
  <c r="B7470" i="2"/>
  <c r="A7470" i="2"/>
  <c r="O7469" i="2"/>
  <c r="M7469" i="2"/>
  <c r="L7469" i="2"/>
  <c r="E7469" i="2"/>
  <c r="D7469" i="2"/>
  <c r="B7469" i="2"/>
  <c r="A7469" i="2"/>
  <c r="O7468" i="2"/>
  <c r="M7468" i="2"/>
  <c r="L7468" i="2"/>
  <c r="E7468" i="2"/>
  <c r="D7468" i="2"/>
  <c r="B7468" i="2"/>
  <c r="A7468" i="2"/>
  <c r="O7467" i="2"/>
  <c r="M7467" i="2"/>
  <c r="L7467" i="2"/>
  <c r="E7467" i="2"/>
  <c r="D7467" i="2"/>
  <c r="B7467" i="2"/>
  <c r="A7467" i="2"/>
  <c r="O7466" i="2"/>
  <c r="M7466" i="2"/>
  <c r="L7466" i="2"/>
  <c r="E7466" i="2"/>
  <c r="D7466" i="2"/>
  <c r="B7466" i="2"/>
  <c r="A7466" i="2"/>
  <c r="O7465" i="2"/>
  <c r="O7464" i="2"/>
  <c r="O7463" i="2"/>
  <c r="O7462" i="2"/>
  <c r="O7461" i="2"/>
  <c r="M7461" i="2"/>
  <c r="L7461" i="2"/>
  <c r="E7461" i="2"/>
  <c r="D7461" i="2"/>
  <c r="B7461" i="2"/>
  <c r="A7461" i="2"/>
  <c r="O7460" i="2"/>
  <c r="O7459" i="2"/>
  <c r="M7459" i="2"/>
  <c r="L7459" i="2"/>
  <c r="E7459" i="2"/>
  <c r="D7459" i="2"/>
  <c r="B7459" i="2"/>
  <c r="A7459" i="2"/>
  <c r="O7458" i="2"/>
  <c r="M7458" i="2"/>
  <c r="L7458" i="2"/>
  <c r="E7458" i="2"/>
  <c r="D7458" i="2"/>
  <c r="B7458" i="2"/>
  <c r="A7458" i="2"/>
  <c r="O7457" i="2"/>
  <c r="M7457" i="2"/>
  <c r="L7457" i="2"/>
  <c r="E7457" i="2"/>
  <c r="D7457" i="2"/>
  <c r="B7457" i="2"/>
  <c r="A7457" i="2"/>
  <c r="O7456" i="2"/>
  <c r="M7456" i="2"/>
  <c r="L7456" i="2"/>
  <c r="E7456" i="2"/>
  <c r="D7456" i="2"/>
  <c r="B7456" i="2"/>
  <c r="A7456" i="2"/>
  <c r="O7455" i="2"/>
  <c r="M7455" i="2"/>
  <c r="L7455" i="2"/>
  <c r="E7455" i="2"/>
  <c r="D7455" i="2"/>
  <c r="B7455" i="2"/>
  <c r="A7455" i="2"/>
  <c r="O7454" i="2"/>
  <c r="O7453" i="2"/>
  <c r="O7452" i="2"/>
  <c r="O7451" i="2"/>
  <c r="M7451" i="2"/>
  <c r="L7451" i="2"/>
  <c r="E7451" i="2"/>
  <c r="D7451" i="2"/>
  <c r="B7451" i="2"/>
  <c r="A7451" i="2"/>
  <c r="O7450" i="2"/>
  <c r="O7449" i="2"/>
  <c r="O7448" i="2"/>
  <c r="O7447" i="2"/>
  <c r="M7447" i="2"/>
  <c r="L7447" i="2"/>
  <c r="E7447" i="2"/>
  <c r="D7447" i="2"/>
  <c r="B7447" i="2"/>
  <c r="A7447" i="2"/>
  <c r="O7446" i="2"/>
  <c r="M7446" i="2"/>
  <c r="L7446" i="2"/>
  <c r="E7446" i="2"/>
  <c r="D7446" i="2"/>
  <c r="B7446" i="2"/>
  <c r="A7446" i="2"/>
  <c r="O7445" i="2"/>
  <c r="M7445" i="2"/>
  <c r="L7445" i="2"/>
  <c r="E7445" i="2"/>
  <c r="D7445" i="2"/>
  <c r="B7445" i="2"/>
  <c r="A7445" i="2"/>
  <c r="O7444" i="2"/>
  <c r="O7443" i="2"/>
  <c r="O7442" i="2"/>
  <c r="M7442" i="2"/>
  <c r="L7442" i="2"/>
  <c r="E7442" i="2"/>
  <c r="D7442" i="2"/>
  <c r="B7442" i="2"/>
  <c r="A7442" i="2"/>
  <c r="O7441" i="2"/>
  <c r="M7441" i="2"/>
  <c r="L7441" i="2"/>
  <c r="E7441" i="2"/>
  <c r="D7441" i="2"/>
  <c r="B7441" i="2"/>
  <c r="A7441" i="2"/>
  <c r="O7440" i="2"/>
  <c r="O7439" i="2"/>
  <c r="M7439" i="2"/>
  <c r="L7439" i="2"/>
  <c r="E7439" i="2"/>
  <c r="D7439" i="2"/>
  <c r="B7439" i="2"/>
  <c r="A7439" i="2"/>
  <c r="O7438" i="2"/>
  <c r="O7437" i="2"/>
  <c r="M7437" i="2"/>
  <c r="L7437" i="2"/>
  <c r="E7437" i="2"/>
  <c r="D7437" i="2"/>
  <c r="B7437" i="2"/>
  <c r="A7437" i="2"/>
  <c r="O7436" i="2"/>
  <c r="M7436" i="2"/>
  <c r="L7436" i="2"/>
  <c r="E7436" i="2"/>
  <c r="D7436" i="2"/>
  <c r="B7436" i="2"/>
  <c r="A7436" i="2"/>
  <c r="O7435" i="2"/>
  <c r="M7435" i="2"/>
  <c r="L7435" i="2"/>
  <c r="E7435" i="2"/>
  <c r="D7435" i="2"/>
  <c r="B7435" i="2"/>
  <c r="A7435" i="2"/>
  <c r="O7434" i="2"/>
  <c r="O7433" i="2"/>
  <c r="M7433" i="2"/>
  <c r="L7433" i="2"/>
  <c r="E7433" i="2"/>
  <c r="D7433" i="2"/>
  <c r="B7433" i="2"/>
  <c r="A7433" i="2"/>
  <c r="O7432" i="2"/>
  <c r="O7431" i="2"/>
  <c r="M7431" i="2"/>
  <c r="L7431" i="2"/>
  <c r="E7431" i="2"/>
  <c r="D7431" i="2"/>
  <c r="B7431" i="2"/>
  <c r="A7431" i="2"/>
  <c r="O7430" i="2"/>
  <c r="O7429" i="2"/>
  <c r="M7429" i="2"/>
  <c r="L7429" i="2"/>
  <c r="E7429" i="2"/>
  <c r="D7429" i="2"/>
  <c r="B7429" i="2"/>
  <c r="A7429" i="2"/>
  <c r="O7428" i="2"/>
  <c r="O7427" i="2"/>
  <c r="M7427" i="2"/>
  <c r="L7427" i="2"/>
  <c r="E7427" i="2"/>
  <c r="D7427" i="2"/>
  <c r="B7427" i="2"/>
  <c r="A7427" i="2"/>
  <c r="O7426" i="2"/>
  <c r="O7425" i="2"/>
  <c r="O7424" i="2"/>
  <c r="M7424" i="2"/>
  <c r="L7424" i="2"/>
  <c r="E7424" i="2"/>
  <c r="D7424" i="2"/>
  <c r="B7424" i="2"/>
  <c r="A7424" i="2"/>
  <c r="O7423" i="2"/>
  <c r="M7423" i="2"/>
  <c r="L7423" i="2"/>
  <c r="E7423" i="2"/>
  <c r="D7423" i="2"/>
  <c r="B7423" i="2"/>
  <c r="A7423" i="2"/>
  <c r="O7422" i="2"/>
  <c r="M7422" i="2"/>
  <c r="L7422" i="2"/>
  <c r="E7422" i="2"/>
  <c r="D7422" i="2"/>
  <c r="B7422" i="2"/>
  <c r="A7422" i="2"/>
  <c r="O7421" i="2"/>
  <c r="M7421" i="2"/>
  <c r="L7421" i="2"/>
  <c r="E7421" i="2"/>
  <c r="D7421" i="2"/>
  <c r="B7421" i="2"/>
  <c r="A7421" i="2"/>
  <c r="O7420" i="2"/>
  <c r="O7419" i="2"/>
  <c r="O7418" i="2"/>
  <c r="M7418" i="2"/>
  <c r="L7418" i="2"/>
  <c r="E7418" i="2"/>
  <c r="D7418" i="2"/>
  <c r="B7418" i="2"/>
  <c r="A7418" i="2"/>
  <c r="O7417" i="2"/>
  <c r="O7416" i="2"/>
  <c r="O7415" i="2"/>
  <c r="M7415" i="2"/>
  <c r="L7415" i="2"/>
  <c r="E7415" i="2"/>
  <c r="D7415" i="2"/>
  <c r="B7415" i="2"/>
  <c r="A7415" i="2"/>
  <c r="O7414" i="2"/>
  <c r="M7414" i="2"/>
  <c r="L7414" i="2"/>
  <c r="E7414" i="2"/>
  <c r="D7414" i="2"/>
  <c r="B7414" i="2"/>
  <c r="A7414" i="2"/>
  <c r="O7413" i="2"/>
  <c r="M7413" i="2"/>
  <c r="L7413" i="2"/>
  <c r="E7413" i="2"/>
  <c r="D7413" i="2"/>
  <c r="B7413" i="2"/>
  <c r="A7413" i="2"/>
  <c r="O7412" i="2"/>
  <c r="O7411" i="2"/>
  <c r="O7410" i="2"/>
  <c r="O7409" i="2"/>
  <c r="M7409" i="2"/>
  <c r="L7409" i="2"/>
  <c r="E7409" i="2"/>
  <c r="D7409" i="2"/>
  <c r="B7409" i="2"/>
  <c r="A7409" i="2"/>
  <c r="O7408" i="2"/>
  <c r="M7408" i="2"/>
  <c r="L7408" i="2"/>
  <c r="E7408" i="2"/>
  <c r="D7408" i="2"/>
  <c r="B7408" i="2"/>
  <c r="A7408" i="2"/>
  <c r="O7407" i="2"/>
  <c r="O7406" i="2"/>
  <c r="M7406" i="2"/>
  <c r="L7406" i="2"/>
  <c r="E7406" i="2"/>
  <c r="D7406" i="2"/>
  <c r="B7406" i="2"/>
  <c r="A7406" i="2"/>
  <c r="O7405" i="2"/>
  <c r="M7405" i="2"/>
  <c r="L7405" i="2"/>
  <c r="E7405" i="2"/>
  <c r="D7405" i="2"/>
  <c r="B7405" i="2"/>
  <c r="A7405" i="2"/>
  <c r="O7404" i="2"/>
  <c r="M7404" i="2"/>
  <c r="L7404" i="2"/>
  <c r="E7404" i="2"/>
  <c r="D7404" i="2"/>
  <c r="B7404" i="2"/>
  <c r="A7404" i="2"/>
  <c r="O7403" i="2"/>
  <c r="O7402" i="2"/>
  <c r="O7401" i="2"/>
  <c r="O7400" i="2"/>
  <c r="O7399" i="2"/>
  <c r="O7398" i="2"/>
  <c r="O7397" i="2"/>
  <c r="O7396" i="2"/>
  <c r="O7395" i="2"/>
  <c r="O7394" i="2"/>
  <c r="M7394" i="2"/>
  <c r="L7394" i="2"/>
  <c r="E7394" i="2"/>
  <c r="D7394" i="2"/>
  <c r="B7394" i="2"/>
  <c r="A7394" i="2"/>
  <c r="O7393" i="2"/>
  <c r="O7392" i="2"/>
  <c r="O7391" i="2"/>
  <c r="M7391" i="2"/>
  <c r="L7391" i="2"/>
  <c r="E7391" i="2"/>
  <c r="D7391" i="2"/>
  <c r="B7391" i="2"/>
  <c r="A7391" i="2"/>
  <c r="O7390" i="2"/>
  <c r="O7389" i="2"/>
  <c r="O7388" i="2"/>
  <c r="O7387" i="2"/>
  <c r="M7387" i="2"/>
  <c r="L7387" i="2"/>
  <c r="E7387" i="2"/>
  <c r="D7387" i="2"/>
  <c r="B7387" i="2"/>
  <c r="A7387" i="2"/>
  <c r="O7386" i="2"/>
  <c r="M7386" i="2"/>
  <c r="L7386" i="2"/>
  <c r="E7386" i="2"/>
  <c r="D7386" i="2"/>
  <c r="B7386" i="2"/>
  <c r="A7386" i="2"/>
  <c r="O7385" i="2"/>
  <c r="M7385" i="2"/>
  <c r="L7385" i="2"/>
  <c r="E7385" i="2"/>
  <c r="D7385" i="2"/>
  <c r="B7385" i="2"/>
  <c r="A7385" i="2"/>
  <c r="O7384" i="2"/>
  <c r="M7384" i="2"/>
  <c r="L7384" i="2"/>
  <c r="E7384" i="2"/>
  <c r="D7384" i="2"/>
  <c r="B7384" i="2"/>
  <c r="A7384" i="2"/>
  <c r="O7383" i="2"/>
  <c r="M7383" i="2"/>
  <c r="L7383" i="2"/>
  <c r="E7383" i="2"/>
  <c r="D7383" i="2"/>
  <c r="B7383" i="2"/>
  <c r="A7383" i="2"/>
  <c r="O7382" i="2"/>
  <c r="M7382" i="2"/>
  <c r="L7382" i="2"/>
  <c r="E7382" i="2"/>
  <c r="D7382" i="2"/>
  <c r="B7382" i="2"/>
  <c r="A7382" i="2"/>
  <c r="O7381" i="2"/>
  <c r="M7381" i="2"/>
  <c r="L7381" i="2"/>
  <c r="E7381" i="2"/>
  <c r="D7381" i="2"/>
  <c r="B7381" i="2"/>
  <c r="A7381" i="2"/>
  <c r="O7380" i="2"/>
  <c r="M7380" i="2"/>
  <c r="L7380" i="2"/>
  <c r="E7380" i="2"/>
  <c r="D7380" i="2"/>
  <c r="B7380" i="2"/>
  <c r="A7380" i="2"/>
  <c r="O7379" i="2"/>
  <c r="M7379" i="2"/>
  <c r="L7379" i="2"/>
  <c r="E7379" i="2"/>
  <c r="D7379" i="2"/>
  <c r="B7379" i="2"/>
  <c r="A7379" i="2"/>
  <c r="O7378" i="2"/>
  <c r="M7378" i="2"/>
  <c r="L7378" i="2"/>
  <c r="E7378" i="2"/>
  <c r="D7378" i="2"/>
  <c r="B7378" i="2"/>
  <c r="A7378" i="2"/>
  <c r="O7377" i="2"/>
  <c r="M7377" i="2"/>
  <c r="L7377" i="2"/>
  <c r="E7377" i="2"/>
  <c r="D7377" i="2"/>
  <c r="B7377" i="2"/>
  <c r="A7377" i="2"/>
  <c r="O7376" i="2"/>
  <c r="O7375" i="2"/>
  <c r="O7374" i="2"/>
  <c r="M7374" i="2"/>
  <c r="L7374" i="2"/>
  <c r="E7374" i="2"/>
  <c r="D7374" i="2"/>
  <c r="B7374" i="2"/>
  <c r="A7374" i="2"/>
  <c r="O7373" i="2"/>
  <c r="O7372" i="2"/>
  <c r="O7371" i="2"/>
  <c r="M7371" i="2"/>
  <c r="L7371" i="2"/>
  <c r="E7371" i="2"/>
  <c r="D7371" i="2"/>
  <c r="B7371" i="2"/>
  <c r="A7371" i="2"/>
  <c r="O7370" i="2"/>
  <c r="O7369" i="2"/>
  <c r="M7369" i="2"/>
  <c r="L7369" i="2"/>
  <c r="E7369" i="2"/>
  <c r="D7369" i="2"/>
  <c r="B7369" i="2"/>
  <c r="A7369" i="2"/>
  <c r="O7368" i="2"/>
  <c r="O7367" i="2"/>
  <c r="M7367" i="2"/>
  <c r="L7367" i="2"/>
  <c r="E7367" i="2"/>
  <c r="D7367" i="2"/>
  <c r="B7367" i="2"/>
  <c r="A7367" i="2"/>
  <c r="O7366" i="2"/>
  <c r="M7366" i="2"/>
  <c r="L7366" i="2"/>
  <c r="E7366" i="2"/>
  <c r="D7366" i="2"/>
  <c r="B7366" i="2"/>
  <c r="A7366" i="2"/>
  <c r="O7365" i="2"/>
  <c r="M7365" i="2"/>
  <c r="L7365" i="2"/>
  <c r="E7365" i="2"/>
  <c r="D7365" i="2"/>
  <c r="B7365" i="2"/>
  <c r="A7365" i="2"/>
  <c r="O7364" i="2"/>
  <c r="M7364" i="2"/>
  <c r="L7364" i="2"/>
  <c r="E7364" i="2"/>
  <c r="D7364" i="2"/>
  <c r="B7364" i="2"/>
  <c r="A7364" i="2"/>
  <c r="O7363" i="2"/>
  <c r="M7363" i="2"/>
  <c r="L7363" i="2"/>
  <c r="E7363" i="2"/>
  <c r="D7363" i="2"/>
  <c r="B7363" i="2"/>
  <c r="A7363" i="2"/>
  <c r="O7362" i="2"/>
  <c r="M7362" i="2"/>
  <c r="L7362" i="2"/>
  <c r="E7362" i="2"/>
  <c r="D7362" i="2"/>
  <c r="B7362" i="2"/>
  <c r="A7362" i="2"/>
  <c r="O7361" i="2"/>
  <c r="M7361" i="2"/>
  <c r="L7361" i="2"/>
  <c r="E7361" i="2"/>
  <c r="D7361" i="2"/>
  <c r="B7361" i="2"/>
  <c r="A7361" i="2"/>
  <c r="O7360" i="2"/>
  <c r="O7359" i="2"/>
  <c r="O7358" i="2"/>
  <c r="O7357" i="2"/>
  <c r="M7357" i="2"/>
  <c r="L7357" i="2"/>
  <c r="E7357" i="2"/>
  <c r="D7357" i="2"/>
  <c r="B7357" i="2"/>
  <c r="A7357" i="2"/>
  <c r="O7356" i="2"/>
  <c r="M7356" i="2"/>
  <c r="L7356" i="2"/>
  <c r="E7356" i="2"/>
  <c r="D7356" i="2"/>
  <c r="B7356" i="2"/>
  <c r="A7356" i="2"/>
  <c r="O7355" i="2"/>
  <c r="O7354" i="2"/>
  <c r="O7353" i="2"/>
  <c r="M7353" i="2"/>
  <c r="L7353" i="2"/>
  <c r="E7353" i="2"/>
  <c r="D7353" i="2"/>
  <c r="B7353" i="2"/>
  <c r="A7353" i="2"/>
  <c r="O7352" i="2"/>
  <c r="O7351" i="2"/>
  <c r="M7351" i="2"/>
  <c r="L7351" i="2"/>
  <c r="E7351" i="2"/>
  <c r="D7351" i="2"/>
  <c r="B7351" i="2"/>
  <c r="A7351" i="2"/>
  <c r="O7350" i="2"/>
  <c r="O7349" i="2"/>
  <c r="O7348" i="2"/>
  <c r="O7347" i="2"/>
  <c r="O7346" i="2"/>
  <c r="O7345" i="2"/>
  <c r="M7345" i="2"/>
  <c r="L7345" i="2"/>
  <c r="E7345" i="2"/>
  <c r="D7345" i="2"/>
  <c r="B7345" i="2"/>
  <c r="A7345" i="2"/>
  <c r="O7344" i="2"/>
  <c r="O7343" i="2"/>
  <c r="O7342" i="2"/>
  <c r="M7342" i="2"/>
  <c r="L7342" i="2"/>
  <c r="E7342" i="2"/>
  <c r="D7342" i="2"/>
  <c r="B7342" i="2"/>
  <c r="A7342" i="2"/>
  <c r="O7341" i="2"/>
  <c r="M7341" i="2"/>
  <c r="L7341" i="2"/>
  <c r="E7341" i="2"/>
  <c r="D7341" i="2"/>
  <c r="B7341" i="2"/>
  <c r="A7341" i="2"/>
  <c r="O7340" i="2"/>
  <c r="M7340" i="2"/>
  <c r="L7340" i="2"/>
  <c r="E7340" i="2"/>
  <c r="D7340" i="2"/>
  <c r="B7340" i="2"/>
  <c r="A7340" i="2"/>
  <c r="O7339" i="2"/>
  <c r="O7338" i="2"/>
  <c r="O7337" i="2"/>
  <c r="M7337" i="2"/>
  <c r="L7337" i="2"/>
  <c r="E7337" i="2"/>
  <c r="D7337" i="2"/>
  <c r="B7337" i="2"/>
  <c r="A7337" i="2"/>
  <c r="O7336" i="2"/>
  <c r="O7335" i="2"/>
  <c r="M7335" i="2"/>
  <c r="L7335" i="2"/>
  <c r="E7335" i="2"/>
  <c r="D7335" i="2"/>
  <c r="B7335" i="2"/>
  <c r="A7335" i="2"/>
  <c r="O7334" i="2"/>
  <c r="O7333" i="2"/>
  <c r="O7332" i="2"/>
  <c r="M7332" i="2"/>
  <c r="L7332" i="2"/>
  <c r="E7332" i="2"/>
  <c r="D7332" i="2"/>
  <c r="B7332" i="2"/>
  <c r="A7332" i="2"/>
  <c r="O7331" i="2"/>
  <c r="M7331" i="2"/>
  <c r="L7331" i="2"/>
  <c r="E7331" i="2"/>
  <c r="D7331" i="2"/>
  <c r="B7331" i="2"/>
  <c r="A7331" i="2"/>
  <c r="O7330" i="2"/>
  <c r="O7329" i="2"/>
  <c r="M7329" i="2"/>
  <c r="L7329" i="2"/>
  <c r="E7329" i="2"/>
  <c r="D7329" i="2"/>
  <c r="B7329" i="2"/>
  <c r="A7329" i="2"/>
  <c r="O7328" i="2"/>
  <c r="M7328" i="2"/>
  <c r="L7328" i="2"/>
  <c r="E7328" i="2"/>
  <c r="D7328" i="2"/>
  <c r="B7328" i="2"/>
  <c r="A7328" i="2"/>
  <c r="O7327" i="2"/>
  <c r="M7327" i="2"/>
  <c r="L7327" i="2"/>
  <c r="E7327" i="2"/>
  <c r="D7327" i="2"/>
  <c r="B7327" i="2"/>
  <c r="A7327" i="2"/>
  <c r="O7326" i="2"/>
  <c r="M7326" i="2"/>
  <c r="L7326" i="2"/>
  <c r="E7326" i="2"/>
  <c r="D7326" i="2"/>
  <c r="B7326" i="2"/>
  <c r="A7326" i="2"/>
  <c r="O7325" i="2"/>
  <c r="M7325" i="2"/>
  <c r="L7325" i="2"/>
  <c r="E7325" i="2"/>
  <c r="D7325" i="2"/>
  <c r="B7325" i="2"/>
  <c r="A7325" i="2"/>
  <c r="O7324" i="2"/>
  <c r="M7324" i="2"/>
  <c r="L7324" i="2"/>
  <c r="E7324" i="2"/>
  <c r="D7324" i="2"/>
  <c r="B7324" i="2"/>
  <c r="A7324" i="2"/>
  <c r="O7323" i="2"/>
  <c r="M7323" i="2"/>
  <c r="L7323" i="2"/>
  <c r="E7323" i="2"/>
  <c r="D7323" i="2"/>
  <c r="B7323" i="2"/>
  <c r="A7323" i="2"/>
  <c r="O7322" i="2"/>
  <c r="O7321" i="2"/>
  <c r="M7321" i="2"/>
  <c r="L7321" i="2"/>
  <c r="E7321" i="2"/>
  <c r="D7321" i="2"/>
  <c r="B7321" i="2"/>
  <c r="A7321" i="2"/>
  <c r="O7320" i="2"/>
  <c r="O7319" i="2"/>
  <c r="M7319" i="2"/>
  <c r="L7319" i="2"/>
  <c r="E7319" i="2"/>
  <c r="D7319" i="2"/>
  <c r="B7319" i="2"/>
  <c r="A7319" i="2"/>
  <c r="O7318" i="2"/>
  <c r="O7317" i="2"/>
  <c r="M7317" i="2"/>
  <c r="L7317" i="2"/>
  <c r="E7317" i="2"/>
  <c r="D7317" i="2"/>
  <c r="B7317" i="2"/>
  <c r="A7317" i="2"/>
  <c r="O7316" i="2"/>
  <c r="O7315" i="2"/>
  <c r="M7315" i="2"/>
  <c r="L7315" i="2"/>
  <c r="E7315" i="2"/>
  <c r="D7315" i="2"/>
  <c r="B7315" i="2"/>
  <c r="A7315" i="2"/>
  <c r="O7314" i="2"/>
  <c r="O7313" i="2"/>
  <c r="O7312" i="2"/>
  <c r="O7311" i="2"/>
  <c r="O7310" i="2"/>
  <c r="O7309" i="2"/>
  <c r="O7308" i="2"/>
  <c r="O7307" i="2"/>
  <c r="O7306" i="2"/>
  <c r="M7306" i="2"/>
  <c r="L7306" i="2"/>
  <c r="E7306" i="2"/>
  <c r="D7306" i="2"/>
  <c r="B7306" i="2"/>
  <c r="A7306" i="2"/>
  <c r="O7305" i="2"/>
  <c r="O7304" i="2"/>
  <c r="M7304" i="2"/>
  <c r="L7304" i="2"/>
  <c r="E7304" i="2"/>
  <c r="D7304" i="2"/>
  <c r="B7304" i="2"/>
  <c r="A7304" i="2"/>
  <c r="O7303" i="2"/>
  <c r="O7302" i="2"/>
  <c r="O7301" i="2"/>
  <c r="M7301" i="2"/>
  <c r="L7301" i="2"/>
  <c r="E7301" i="2"/>
  <c r="D7301" i="2"/>
  <c r="B7301" i="2"/>
  <c r="A7301" i="2"/>
  <c r="O7300" i="2"/>
  <c r="M7300" i="2"/>
  <c r="L7300" i="2"/>
  <c r="E7300" i="2"/>
  <c r="D7300" i="2"/>
  <c r="B7300" i="2"/>
  <c r="A7300" i="2"/>
  <c r="O7299" i="2"/>
  <c r="M7299" i="2"/>
  <c r="L7299" i="2"/>
  <c r="E7299" i="2"/>
  <c r="D7299" i="2"/>
  <c r="B7299" i="2"/>
  <c r="A7299" i="2"/>
  <c r="O7298" i="2"/>
  <c r="O7297" i="2"/>
  <c r="M7297" i="2"/>
  <c r="L7297" i="2"/>
  <c r="E7297" i="2"/>
  <c r="D7297" i="2"/>
  <c r="B7297" i="2"/>
  <c r="A7297" i="2"/>
  <c r="O7296" i="2"/>
  <c r="O7295" i="2"/>
  <c r="M7295" i="2"/>
  <c r="L7295" i="2"/>
  <c r="E7295" i="2"/>
  <c r="D7295" i="2"/>
  <c r="B7295" i="2"/>
  <c r="A7295" i="2"/>
  <c r="O7294" i="2"/>
  <c r="M7294" i="2"/>
  <c r="L7294" i="2"/>
  <c r="E7294" i="2"/>
  <c r="D7294" i="2"/>
  <c r="B7294" i="2"/>
  <c r="A7294" i="2"/>
  <c r="O7293" i="2"/>
  <c r="O7292" i="2"/>
  <c r="M7292" i="2"/>
  <c r="L7292" i="2"/>
  <c r="E7292" i="2"/>
  <c r="D7292" i="2"/>
  <c r="B7292" i="2"/>
  <c r="A7292" i="2"/>
  <c r="O7291" i="2"/>
  <c r="O7290" i="2"/>
  <c r="M7290" i="2"/>
  <c r="L7290" i="2"/>
  <c r="E7290" i="2"/>
  <c r="D7290" i="2"/>
  <c r="B7290" i="2"/>
  <c r="A7290" i="2"/>
  <c r="O7289" i="2"/>
  <c r="M7289" i="2"/>
  <c r="L7289" i="2"/>
  <c r="E7289" i="2"/>
  <c r="D7289" i="2"/>
  <c r="B7289" i="2"/>
  <c r="A7289" i="2"/>
  <c r="O7288" i="2"/>
  <c r="M7288" i="2"/>
  <c r="L7288" i="2"/>
  <c r="E7288" i="2"/>
  <c r="D7288" i="2"/>
  <c r="B7288" i="2"/>
  <c r="A7288" i="2"/>
  <c r="O7287" i="2"/>
  <c r="M7287" i="2"/>
  <c r="L7287" i="2"/>
  <c r="E7287" i="2"/>
  <c r="D7287" i="2"/>
  <c r="B7287" i="2"/>
  <c r="A7287" i="2"/>
  <c r="O7286" i="2"/>
  <c r="M7286" i="2"/>
  <c r="L7286" i="2"/>
  <c r="E7286" i="2"/>
  <c r="D7286" i="2"/>
  <c r="B7286" i="2"/>
  <c r="A7286" i="2"/>
  <c r="O7285" i="2"/>
  <c r="O7284" i="2"/>
  <c r="M7284" i="2"/>
  <c r="L7284" i="2"/>
  <c r="E7284" i="2"/>
  <c r="D7284" i="2"/>
  <c r="B7284" i="2"/>
  <c r="A7284" i="2"/>
  <c r="O7283" i="2"/>
  <c r="M7283" i="2"/>
  <c r="L7283" i="2"/>
  <c r="E7283" i="2"/>
  <c r="D7283" i="2"/>
  <c r="B7283" i="2"/>
  <c r="A7283" i="2"/>
  <c r="O7282" i="2"/>
  <c r="M7282" i="2"/>
  <c r="L7282" i="2"/>
  <c r="E7282" i="2"/>
  <c r="D7282" i="2"/>
  <c r="B7282" i="2"/>
  <c r="A7282" i="2"/>
  <c r="O7281" i="2"/>
  <c r="M7281" i="2"/>
  <c r="L7281" i="2"/>
  <c r="E7281" i="2"/>
  <c r="D7281" i="2"/>
  <c r="B7281" i="2"/>
  <c r="A7281" i="2"/>
  <c r="O7280" i="2"/>
  <c r="M7280" i="2"/>
  <c r="L7280" i="2"/>
  <c r="E7280" i="2"/>
  <c r="D7280" i="2"/>
  <c r="B7280" i="2"/>
  <c r="A7280" i="2"/>
  <c r="O7279" i="2"/>
  <c r="M7279" i="2"/>
  <c r="L7279" i="2"/>
  <c r="E7279" i="2"/>
  <c r="D7279" i="2"/>
  <c r="B7279" i="2"/>
  <c r="A7279" i="2"/>
  <c r="O7278" i="2"/>
  <c r="M7278" i="2"/>
  <c r="L7278" i="2"/>
  <c r="E7278" i="2"/>
  <c r="D7278" i="2"/>
  <c r="B7278" i="2"/>
  <c r="A7278" i="2"/>
  <c r="O7277" i="2"/>
  <c r="M7277" i="2"/>
  <c r="L7277" i="2"/>
  <c r="E7277" i="2"/>
  <c r="D7277" i="2"/>
  <c r="B7277" i="2"/>
  <c r="A7277" i="2"/>
  <c r="O7276" i="2"/>
  <c r="M7276" i="2"/>
  <c r="L7276" i="2"/>
  <c r="E7276" i="2"/>
  <c r="D7276" i="2"/>
  <c r="B7276" i="2"/>
  <c r="A7276" i="2"/>
  <c r="O7275" i="2"/>
  <c r="O7274" i="2"/>
  <c r="M7274" i="2"/>
  <c r="L7274" i="2"/>
  <c r="E7274" i="2"/>
  <c r="D7274" i="2"/>
  <c r="B7274" i="2"/>
  <c r="A7274" i="2"/>
  <c r="O7273" i="2"/>
  <c r="O7272" i="2"/>
  <c r="M7272" i="2"/>
  <c r="L7272" i="2"/>
  <c r="E7272" i="2"/>
  <c r="D7272" i="2"/>
  <c r="B7272" i="2"/>
  <c r="A7272" i="2"/>
  <c r="O7271" i="2"/>
  <c r="O7270" i="2"/>
  <c r="O7269" i="2"/>
  <c r="M7269" i="2"/>
  <c r="L7269" i="2"/>
  <c r="E7269" i="2"/>
  <c r="D7269" i="2"/>
  <c r="B7269" i="2"/>
  <c r="A7269" i="2"/>
  <c r="O7268" i="2"/>
  <c r="O7267" i="2"/>
  <c r="M7267" i="2"/>
  <c r="L7267" i="2"/>
  <c r="E7267" i="2"/>
  <c r="D7267" i="2"/>
  <c r="B7267" i="2"/>
  <c r="A7267" i="2"/>
  <c r="O7266" i="2"/>
  <c r="O7265" i="2"/>
  <c r="M7265" i="2"/>
  <c r="L7265" i="2"/>
  <c r="E7265" i="2"/>
  <c r="D7265" i="2"/>
  <c r="B7265" i="2"/>
  <c r="A7265" i="2"/>
  <c r="O7264" i="2"/>
  <c r="M7264" i="2"/>
  <c r="L7264" i="2"/>
  <c r="E7264" i="2"/>
  <c r="D7264" i="2"/>
  <c r="B7264" i="2"/>
  <c r="A7264" i="2"/>
  <c r="O7263" i="2"/>
  <c r="M7263" i="2"/>
  <c r="L7263" i="2"/>
  <c r="E7263" i="2"/>
  <c r="D7263" i="2"/>
  <c r="B7263" i="2"/>
  <c r="A7263" i="2"/>
  <c r="O7262" i="2"/>
  <c r="M7262" i="2"/>
  <c r="L7262" i="2"/>
  <c r="E7262" i="2"/>
  <c r="D7262" i="2"/>
  <c r="B7262" i="2"/>
  <c r="A7262" i="2"/>
  <c r="O7261" i="2"/>
  <c r="O7260" i="2"/>
  <c r="M7260" i="2"/>
  <c r="L7260" i="2"/>
  <c r="E7260" i="2"/>
  <c r="D7260" i="2"/>
  <c r="B7260" i="2"/>
  <c r="A7260" i="2"/>
  <c r="O7259" i="2"/>
  <c r="O7258" i="2"/>
  <c r="M7258" i="2"/>
  <c r="L7258" i="2"/>
  <c r="E7258" i="2"/>
  <c r="D7258" i="2"/>
  <c r="B7258" i="2"/>
  <c r="A7258" i="2"/>
  <c r="O7257" i="2"/>
  <c r="M7257" i="2"/>
  <c r="L7257" i="2"/>
  <c r="E7257" i="2"/>
  <c r="D7257" i="2"/>
  <c r="B7257" i="2"/>
  <c r="A7257" i="2"/>
  <c r="O7256" i="2"/>
  <c r="O7255" i="2"/>
  <c r="M7255" i="2"/>
  <c r="L7255" i="2"/>
  <c r="E7255" i="2"/>
  <c r="D7255" i="2"/>
  <c r="B7255" i="2"/>
  <c r="A7255" i="2"/>
  <c r="O7254" i="2"/>
  <c r="M7254" i="2"/>
  <c r="L7254" i="2"/>
  <c r="E7254" i="2"/>
  <c r="D7254" i="2"/>
  <c r="B7254" i="2"/>
  <c r="A7254" i="2"/>
  <c r="O7253" i="2"/>
  <c r="M7253" i="2"/>
  <c r="L7253" i="2"/>
  <c r="E7253" i="2"/>
  <c r="D7253" i="2"/>
  <c r="B7253" i="2"/>
  <c r="A7253" i="2"/>
  <c r="O7252" i="2"/>
  <c r="M7252" i="2"/>
  <c r="L7252" i="2"/>
  <c r="E7252" i="2"/>
  <c r="D7252" i="2"/>
  <c r="B7252" i="2"/>
  <c r="A7252" i="2"/>
  <c r="O7251" i="2"/>
  <c r="M7251" i="2"/>
  <c r="L7251" i="2"/>
  <c r="E7251" i="2"/>
  <c r="D7251" i="2"/>
  <c r="B7251" i="2"/>
  <c r="A7251" i="2"/>
  <c r="O7250" i="2"/>
  <c r="M7250" i="2"/>
  <c r="L7250" i="2"/>
  <c r="E7250" i="2"/>
  <c r="D7250" i="2"/>
  <c r="B7250" i="2"/>
  <c r="A7250" i="2"/>
  <c r="O7249" i="2"/>
  <c r="O7248" i="2"/>
  <c r="M7248" i="2"/>
  <c r="L7248" i="2"/>
  <c r="E7248" i="2"/>
  <c r="D7248" i="2"/>
  <c r="B7248" i="2"/>
  <c r="A7248" i="2"/>
  <c r="O7247" i="2"/>
  <c r="O7246" i="2"/>
  <c r="M7246" i="2"/>
  <c r="L7246" i="2"/>
  <c r="E7246" i="2"/>
  <c r="D7246" i="2"/>
  <c r="B7246" i="2"/>
  <c r="A7246" i="2"/>
  <c r="O7245" i="2"/>
  <c r="O7244" i="2"/>
  <c r="M7244" i="2"/>
  <c r="L7244" i="2"/>
  <c r="E7244" i="2"/>
  <c r="D7244" i="2"/>
  <c r="B7244" i="2"/>
  <c r="A7244" i="2"/>
  <c r="O7243" i="2"/>
  <c r="O7242" i="2"/>
  <c r="O7241" i="2"/>
  <c r="M7241" i="2"/>
  <c r="L7241" i="2"/>
  <c r="E7241" i="2"/>
  <c r="D7241" i="2"/>
  <c r="B7241" i="2"/>
  <c r="A7241" i="2"/>
  <c r="O7240" i="2"/>
  <c r="O7239" i="2"/>
  <c r="M7239" i="2"/>
  <c r="L7239" i="2"/>
  <c r="E7239" i="2"/>
  <c r="D7239" i="2"/>
  <c r="B7239" i="2"/>
  <c r="A7239" i="2"/>
  <c r="O7238" i="2"/>
  <c r="O7237" i="2"/>
  <c r="M7237" i="2"/>
  <c r="L7237" i="2"/>
  <c r="E7237" i="2"/>
  <c r="D7237" i="2"/>
  <c r="B7237" i="2"/>
  <c r="A7237" i="2"/>
  <c r="O7236" i="2"/>
  <c r="O7235" i="2"/>
  <c r="M7235" i="2"/>
  <c r="L7235" i="2"/>
  <c r="E7235" i="2"/>
  <c r="D7235" i="2"/>
  <c r="B7235" i="2"/>
  <c r="A7235" i="2"/>
  <c r="O7234" i="2"/>
  <c r="O7233" i="2"/>
  <c r="O7232" i="2"/>
  <c r="M7232" i="2"/>
  <c r="L7232" i="2"/>
  <c r="E7232" i="2"/>
  <c r="D7232" i="2"/>
  <c r="B7232" i="2"/>
  <c r="A7232" i="2"/>
  <c r="O7231" i="2"/>
  <c r="O7230" i="2"/>
  <c r="O7229" i="2"/>
  <c r="M7229" i="2"/>
  <c r="L7229" i="2"/>
  <c r="E7229" i="2"/>
  <c r="D7229" i="2"/>
  <c r="B7229" i="2"/>
  <c r="A7229" i="2"/>
  <c r="O7228" i="2"/>
  <c r="M7228" i="2"/>
  <c r="L7228" i="2"/>
  <c r="E7228" i="2"/>
  <c r="D7228" i="2"/>
  <c r="B7228" i="2"/>
  <c r="A7228" i="2"/>
  <c r="O7227" i="2"/>
  <c r="M7227" i="2"/>
  <c r="L7227" i="2"/>
  <c r="E7227" i="2"/>
  <c r="D7227" i="2"/>
  <c r="B7227" i="2"/>
  <c r="A7227" i="2"/>
  <c r="O7226" i="2"/>
  <c r="O7225" i="2"/>
  <c r="O7224" i="2"/>
  <c r="M7224" i="2"/>
  <c r="L7224" i="2"/>
  <c r="E7224" i="2"/>
  <c r="D7224" i="2"/>
  <c r="B7224" i="2"/>
  <c r="A7224" i="2"/>
  <c r="O7223" i="2"/>
  <c r="O7222" i="2"/>
  <c r="O7221" i="2"/>
  <c r="M7221" i="2"/>
  <c r="L7221" i="2"/>
  <c r="E7221" i="2"/>
  <c r="D7221" i="2"/>
  <c r="B7221" i="2"/>
  <c r="A7221" i="2"/>
  <c r="O7220" i="2"/>
  <c r="M7220" i="2"/>
  <c r="L7220" i="2"/>
  <c r="E7220" i="2"/>
  <c r="D7220" i="2"/>
  <c r="B7220" i="2"/>
  <c r="A7220" i="2"/>
  <c r="O7219" i="2"/>
  <c r="O7218" i="2"/>
  <c r="O7217" i="2"/>
  <c r="O7216" i="2"/>
  <c r="O7215" i="2"/>
  <c r="O7214" i="2"/>
  <c r="O7213" i="2"/>
  <c r="O7212" i="2"/>
  <c r="O7211" i="2"/>
  <c r="O7210" i="2"/>
  <c r="M7210" i="2"/>
  <c r="L7210" i="2"/>
  <c r="E7210" i="2"/>
  <c r="D7210" i="2"/>
  <c r="B7210" i="2"/>
  <c r="A7210" i="2"/>
  <c r="O7209" i="2"/>
  <c r="O7208" i="2"/>
  <c r="O7207" i="2"/>
  <c r="M7207" i="2"/>
  <c r="L7207" i="2"/>
  <c r="E7207" i="2"/>
  <c r="D7207" i="2"/>
  <c r="B7207" i="2"/>
  <c r="A7207" i="2"/>
  <c r="O7206" i="2"/>
  <c r="M7206" i="2"/>
  <c r="L7206" i="2"/>
  <c r="E7206" i="2"/>
  <c r="D7206" i="2"/>
  <c r="B7206" i="2"/>
  <c r="A7206" i="2"/>
  <c r="O7205" i="2"/>
  <c r="O7204" i="2"/>
  <c r="O7203" i="2"/>
  <c r="M7203" i="2"/>
  <c r="L7203" i="2"/>
  <c r="E7203" i="2"/>
  <c r="D7203" i="2"/>
  <c r="B7203" i="2"/>
  <c r="A7203" i="2"/>
  <c r="O7202" i="2"/>
  <c r="O7201" i="2"/>
  <c r="M7201" i="2"/>
  <c r="L7201" i="2"/>
  <c r="E7201" i="2"/>
  <c r="D7201" i="2"/>
  <c r="B7201" i="2"/>
  <c r="A7201" i="2"/>
  <c r="O7200" i="2"/>
  <c r="M7200" i="2"/>
  <c r="L7200" i="2"/>
  <c r="E7200" i="2"/>
  <c r="D7200" i="2"/>
  <c r="B7200" i="2"/>
  <c r="A7200" i="2"/>
  <c r="O7199" i="2"/>
  <c r="O7198" i="2"/>
  <c r="M7198" i="2"/>
  <c r="L7198" i="2"/>
  <c r="E7198" i="2"/>
  <c r="D7198" i="2"/>
  <c r="B7198" i="2"/>
  <c r="A7198" i="2"/>
  <c r="O7197" i="2"/>
  <c r="O7196" i="2"/>
  <c r="O7195" i="2"/>
  <c r="O7194" i="2"/>
  <c r="O7193" i="2"/>
  <c r="M7193" i="2"/>
  <c r="L7193" i="2"/>
  <c r="E7193" i="2"/>
  <c r="D7193" i="2"/>
  <c r="B7193" i="2"/>
  <c r="A7193" i="2"/>
  <c r="O7192" i="2"/>
  <c r="M7192" i="2"/>
  <c r="L7192" i="2"/>
  <c r="E7192" i="2"/>
  <c r="D7192" i="2"/>
  <c r="B7192" i="2"/>
  <c r="A7192" i="2"/>
  <c r="O7191" i="2"/>
  <c r="M7191" i="2"/>
  <c r="L7191" i="2"/>
  <c r="E7191" i="2"/>
  <c r="D7191" i="2"/>
  <c r="B7191" i="2"/>
  <c r="A7191" i="2"/>
  <c r="O7190" i="2"/>
  <c r="O7189" i="2"/>
  <c r="O7188" i="2"/>
  <c r="M7188" i="2"/>
  <c r="L7188" i="2"/>
  <c r="E7188" i="2"/>
  <c r="D7188" i="2"/>
  <c r="B7188" i="2"/>
  <c r="A7188" i="2"/>
  <c r="O7187" i="2"/>
  <c r="O7186" i="2"/>
  <c r="O7185" i="2"/>
  <c r="M7185" i="2"/>
  <c r="L7185" i="2"/>
  <c r="E7185" i="2"/>
  <c r="D7185" i="2"/>
  <c r="B7185" i="2"/>
  <c r="A7185" i="2"/>
  <c r="O7184" i="2"/>
  <c r="O7183" i="2"/>
  <c r="M7183" i="2"/>
  <c r="L7183" i="2"/>
  <c r="E7183" i="2"/>
  <c r="D7183" i="2"/>
  <c r="B7183" i="2"/>
  <c r="A7183" i="2"/>
  <c r="O7182" i="2"/>
  <c r="M7182" i="2"/>
  <c r="L7182" i="2"/>
  <c r="E7182" i="2"/>
  <c r="D7182" i="2"/>
  <c r="B7182" i="2"/>
  <c r="A7182" i="2"/>
  <c r="O7181" i="2"/>
  <c r="O7180" i="2"/>
  <c r="M7180" i="2"/>
  <c r="L7180" i="2"/>
  <c r="E7180" i="2"/>
  <c r="D7180" i="2"/>
  <c r="B7180" i="2"/>
  <c r="A7180" i="2"/>
  <c r="O7179" i="2"/>
  <c r="O7178" i="2"/>
  <c r="O7177" i="2"/>
  <c r="O7176" i="2"/>
  <c r="O7175" i="2"/>
  <c r="M7175" i="2"/>
  <c r="L7175" i="2"/>
  <c r="E7175" i="2"/>
  <c r="D7175" i="2"/>
  <c r="B7175" i="2"/>
  <c r="A7175" i="2"/>
  <c r="O7174" i="2"/>
  <c r="M7174" i="2"/>
  <c r="L7174" i="2"/>
  <c r="E7174" i="2"/>
  <c r="D7174" i="2"/>
  <c r="B7174" i="2"/>
  <c r="A7174" i="2"/>
  <c r="O7173" i="2"/>
  <c r="O7172" i="2"/>
  <c r="O7171" i="2"/>
  <c r="M7171" i="2"/>
  <c r="L7171" i="2"/>
  <c r="E7171" i="2"/>
  <c r="D7171" i="2"/>
  <c r="B7171" i="2"/>
  <c r="A7171" i="2"/>
  <c r="O7170" i="2"/>
  <c r="O7169" i="2"/>
  <c r="O7168" i="2"/>
  <c r="O7167" i="2"/>
  <c r="O7166" i="2"/>
  <c r="O7165" i="2"/>
  <c r="O7164" i="2"/>
  <c r="O7163" i="2"/>
  <c r="M7163" i="2"/>
  <c r="L7163" i="2"/>
  <c r="E7163" i="2"/>
  <c r="D7163" i="2"/>
  <c r="B7163" i="2"/>
  <c r="A7163" i="2"/>
  <c r="O7162" i="2"/>
  <c r="O7161" i="2"/>
  <c r="M7161" i="2"/>
  <c r="L7161" i="2"/>
  <c r="E7161" i="2"/>
  <c r="D7161" i="2"/>
  <c r="B7161" i="2"/>
  <c r="A7161" i="2"/>
  <c r="O7160" i="2"/>
  <c r="O7159" i="2"/>
  <c r="M7159" i="2"/>
  <c r="L7159" i="2"/>
  <c r="E7159" i="2"/>
  <c r="D7159" i="2"/>
  <c r="B7159" i="2"/>
  <c r="A7159" i="2"/>
  <c r="O7158" i="2"/>
  <c r="O7157" i="2"/>
  <c r="O7156" i="2"/>
  <c r="M7156" i="2"/>
  <c r="L7156" i="2"/>
  <c r="E7156" i="2"/>
  <c r="D7156" i="2"/>
  <c r="B7156" i="2"/>
  <c r="A7156" i="2"/>
  <c r="O7155" i="2"/>
  <c r="O7154" i="2"/>
  <c r="O7153" i="2"/>
  <c r="M7153" i="2"/>
  <c r="L7153" i="2"/>
  <c r="E7153" i="2"/>
  <c r="D7153" i="2"/>
  <c r="B7153" i="2"/>
  <c r="A7153" i="2"/>
  <c r="O7152" i="2"/>
  <c r="O7151" i="2"/>
  <c r="O7150" i="2"/>
  <c r="M7150" i="2"/>
  <c r="L7150" i="2"/>
  <c r="E7150" i="2"/>
  <c r="D7150" i="2"/>
  <c r="B7150" i="2"/>
  <c r="A7150" i="2"/>
  <c r="O7149" i="2"/>
  <c r="O7148" i="2"/>
  <c r="M7148" i="2"/>
  <c r="L7148" i="2"/>
  <c r="E7148" i="2"/>
  <c r="D7148" i="2"/>
  <c r="B7148" i="2"/>
  <c r="A7148" i="2"/>
  <c r="O7147" i="2"/>
  <c r="M7147" i="2"/>
  <c r="L7147" i="2"/>
  <c r="E7147" i="2"/>
  <c r="D7147" i="2"/>
  <c r="B7147" i="2"/>
  <c r="A7147" i="2"/>
  <c r="O7146" i="2"/>
  <c r="M7146" i="2"/>
  <c r="L7146" i="2"/>
  <c r="E7146" i="2"/>
  <c r="D7146" i="2"/>
  <c r="B7146" i="2"/>
  <c r="A7146" i="2"/>
  <c r="O7145" i="2"/>
  <c r="O7144" i="2"/>
  <c r="O7143" i="2"/>
  <c r="M7143" i="2"/>
  <c r="L7143" i="2"/>
  <c r="E7143" i="2"/>
  <c r="D7143" i="2"/>
  <c r="B7143" i="2"/>
  <c r="A7143" i="2"/>
  <c r="O7142" i="2"/>
  <c r="O7141" i="2"/>
  <c r="M7141" i="2"/>
  <c r="L7141" i="2"/>
  <c r="E7141" i="2"/>
  <c r="D7141" i="2"/>
  <c r="B7141" i="2"/>
  <c r="A7141" i="2"/>
  <c r="O7140" i="2"/>
  <c r="M7140" i="2"/>
  <c r="L7140" i="2"/>
  <c r="E7140" i="2"/>
  <c r="D7140" i="2"/>
  <c r="B7140" i="2"/>
  <c r="A7140" i="2"/>
  <c r="O7139" i="2"/>
  <c r="O7138" i="2"/>
  <c r="M7138" i="2"/>
  <c r="L7138" i="2"/>
  <c r="E7138" i="2"/>
  <c r="D7138" i="2"/>
  <c r="B7138" i="2"/>
  <c r="A7138" i="2"/>
  <c r="O7137" i="2"/>
  <c r="O7136" i="2"/>
  <c r="M7136" i="2"/>
  <c r="L7136" i="2"/>
  <c r="E7136" i="2"/>
  <c r="D7136" i="2"/>
  <c r="B7136" i="2"/>
  <c r="A7136" i="2"/>
  <c r="O7135" i="2"/>
  <c r="O7134" i="2"/>
  <c r="O7133" i="2"/>
  <c r="M7133" i="2"/>
  <c r="L7133" i="2"/>
  <c r="E7133" i="2"/>
  <c r="D7133" i="2"/>
  <c r="B7133" i="2"/>
  <c r="A7133" i="2"/>
  <c r="O7132" i="2"/>
  <c r="O7131" i="2"/>
  <c r="M7131" i="2"/>
  <c r="L7131" i="2"/>
  <c r="E7131" i="2"/>
  <c r="D7131" i="2"/>
  <c r="B7131" i="2"/>
  <c r="A7131" i="2"/>
  <c r="O7130" i="2"/>
  <c r="M7130" i="2"/>
  <c r="L7130" i="2"/>
  <c r="E7130" i="2"/>
  <c r="D7130" i="2"/>
  <c r="B7130" i="2"/>
  <c r="A7130" i="2"/>
  <c r="O7129" i="2"/>
  <c r="M7129" i="2"/>
  <c r="L7129" i="2"/>
  <c r="E7129" i="2"/>
  <c r="D7129" i="2"/>
  <c r="B7129" i="2"/>
  <c r="A7129" i="2"/>
  <c r="O7128" i="2"/>
  <c r="O7127" i="2"/>
  <c r="M7127" i="2"/>
  <c r="L7127" i="2"/>
  <c r="E7127" i="2"/>
  <c r="D7127" i="2"/>
  <c r="B7127" i="2"/>
  <c r="A7127" i="2"/>
  <c r="O7126" i="2"/>
  <c r="O7125" i="2"/>
  <c r="O7124" i="2"/>
  <c r="O7123" i="2"/>
  <c r="O7122" i="2"/>
  <c r="O7121" i="2"/>
  <c r="M7121" i="2"/>
  <c r="L7121" i="2"/>
  <c r="E7121" i="2"/>
  <c r="D7121" i="2"/>
  <c r="B7121" i="2"/>
  <c r="A7121" i="2"/>
  <c r="O7120" i="2"/>
  <c r="O7119" i="2"/>
  <c r="M7119" i="2"/>
  <c r="L7119" i="2"/>
  <c r="E7119" i="2"/>
  <c r="D7119" i="2"/>
  <c r="B7119" i="2"/>
  <c r="A7119" i="2"/>
  <c r="O7118" i="2"/>
  <c r="O7117" i="2"/>
  <c r="M7117" i="2"/>
  <c r="L7117" i="2"/>
  <c r="E7117" i="2"/>
  <c r="D7117" i="2"/>
  <c r="B7117" i="2"/>
  <c r="A7117" i="2"/>
  <c r="O7116" i="2"/>
  <c r="M7116" i="2"/>
  <c r="L7116" i="2"/>
  <c r="E7116" i="2"/>
  <c r="D7116" i="2"/>
  <c r="B7116" i="2"/>
  <c r="A7116" i="2"/>
  <c r="O7115" i="2"/>
  <c r="O7114" i="2"/>
  <c r="O7113" i="2"/>
  <c r="O7112" i="2"/>
  <c r="O7111" i="2"/>
  <c r="O7110" i="2"/>
  <c r="O7109" i="2"/>
  <c r="O7108" i="2"/>
  <c r="M7108" i="2"/>
  <c r="L7108" i="2"/>
  <c r="E7108" i="2"/>
  <c r="D7108" i="2"/>
  <c r="B7108" i="2"/>
  <c r="A7108" i="2"/>
  <c r="O7107" i="2"/>
  <c r="O7106" i="2"/>
  <c r="M7106" i="2"/>
  <c r="L7106" i="2"/>
  <c r="E7106" i="2"/>
  <c r="D7106" i="2"/>
  <c r="B7106" i="2"/>
  <c r="A7106" i="2"/>
  <c r="O7105" i="2"/>
  <c r="M7105" i="2"/>
  <c r="L7105" i="2"/>
  <c r="E7105" i="2"/>
  <c r="D7105" i="2"/>
  <c r="B7105" i="2"/>
  <c r="A7105" i="2"/>
  <c r="O7104" i="2"/>
  <c r="M7104" i="2"/>
  <c r="L7104" i="2"/>
  <c r="E7104" i="2"/>
  <c r="D7104" i="2"/>
  <c r="B7104" i="2"/>
  <c r="A7104" i="2"/>
  <c r="O7103" i="2"/>
  <c r="M7103" i="2"/>
  <c r="L7103" i="2"/>
  <c r="E7103" i="2"/>
  <c r="D7103" i="2"/>
  <c r="B7103" i="2"/>
  <c r="A7103" i="2"/>
  <c r="O7102" i="2"/>
  <c r="M7102" i="2"/>
  <c r="L7102" i="2"/>
  <c r="E7102" i="2"/>
  <c r="D7102" i="2"/>
  <c r="B7102" i="2"/>
  <c r="A7102" i="2"/>
  <c r="O7101" i="2"/>
  <c r="O7100" i="2"/>
  <c r="O7099" i="2"/>
  <c r="M7099" i="2"/>
  <c r="L7099" i="2"/>
  <c r="E7099" i="2"/>
  <c r="D7099" i="2"/>
  <c r="B7099" i="2"/>
  <c r="A7099" i="2"/>
  <c r="O7098" i="2"/>
  <c r="O7097" i="2"/>
  <c r="O7096" i="2"/>
  <c r="M7096" i="2"/>
  <c r="L7096" i="2"/>
  <c r="E7096" i="2"/>
  <c r="D7096" i="2"/>
  <c r="B7096" i="2"/>
  <c r="A7096" i="2"/>
  <c r="O7095" i="2"/>
  <c r="O7094" i="2"/>
  <c r="M7094" i="2"/>
  <c r="L7094" i="2"/>
  <c r="E7094" i="2"/>
  <c r="D7094" i="2"/>
  <c r="B7094" i="2"/>
  <c r="A7094" i="2"/>
  <c r="O7093" i="2"/>
  <c r="M7093" i="2"/>
  <c r="L7093" i="2"/>
  <c r="E7093" i="2"/>
  <c r="D7093" i="2"/>
  <c r="B7093" i="2"/>
  <c r="A7093" i="2"/>
  <c r="O7092" i="2"/>
  <c r="O7091" i="2"/>
  <c r="M7091" i="2"/>
  <c r="L7091" i="2"/>
  <c r="E7091" i="2"/>
  <c r="D7091" i="2"/>
  <c r="B7091" i="2"/>
  <c r="A7091" i="2"/>
  <c r="O7090" i="2"/>
  <c r="O7089" i="2"/>
  <c r="O7088" i="2"/>
  <c r="O7087" i="2"/>
  <c r="M7087" i="2"/>
  <c r="L7087" i="2"/>
  <c r="E7087" i="2"/>
  <c r="D7087" i="2"/>
  <c r="B7087" i="2"/>
  <c r="A7087" i="2"/>
  <c r="O7086" i="2"/>
  <c r="O7085" i="2"/>
  <c r="M7085" i="2"/>
  <c r="L7085" i="2"/>
  <c r="E7085" i="2"/>
  <c r="D7085" i="2"/>
  <c r="B7085" i="2"/>
  <c r="A7085" i="2"/>
  <c r="O7084" i="2"/>
  <c r="M7084" i="2"/>
  <c r="L7084" i="2"/>
  <c r="E7084" i="2"/>
  <c r="D7084" i="2"/>
  <c r="B7084" i="2"/>
  <c r="A7084" i="2"/>
  <c r="O7083" i="2"/>
  <c r="M7083" i="2"/>
  <c r="L7083" i="2"/>
  <c r="E7083" i="2"/>
  <c r="D7083" i="2"/>
  <c r="B7083" i="2"/>
  <c r="A7083" i="2"/>
  <c r="O7082" i="2"/>
  <c r="O7081" i="2"/>
  <c r="M7081" i="2"/>
  <c r="L7081" i="2"/>
  <c r="E7081" i="2"/>
  <c r="D7081" i="2"/>
  <c r="B7081" i="2"/>
  <c r="A7081" i="2"/>
  <c r="O7080" i="2"/>
  <c r="M7080" i="2"/>
  <c r="L7080" i="2"/>
  <c r="E7080" i="2"/>
  <c r="D7080" i="2"/>
  <c r="B7080" i="2"/>
  <c r="A7080" i="2"/>
  <c r="O7079" i="2"/>
  <c r="O7078" i="2"/>
  <c r="M7078" i="2"/>
  <c r="L7078" i="2"/>
  <c r="E7078" i="2"/>
  <c r="D7078" i="2"/>
  <c r="B7078" i="2"/>
  <c r="A7078" i="2"/>
  <c r="O7077" i="2"/>
  <c r="O7076" i="2"/>
  <c r="O7075" i="2"/>
  <c r="M7075" i="2"/>
  <c r="L7075" i="2"/>
  <c r="E7075" i="2"/>
  <c r="D7075" i="2"/>
  <c r="B7075" i="2"/>
  <c r="A7075" i="2"/>
  <c r="O7074" i="2"/>
  <c r="O7073" i="2"/>
  <c r="O7072" i="2"/>
  <c r="O7071" i="2"/>
  <c r="M7071" i="2"/>
  <c r="L7071" i="2"/>
  <c r="E7071" i="2"/>
  <c r="D7071" i="2"/>
  <c r="B7071" i="2"/>
  <c r="A7071" i="2"/>
  <c r="O7070" i="2"/>
  <c r="M7070" i="2"/>
  <c r="L7070" i="2"/>
  <c r="E7070" i="2"/>
  <c r="D7070" i="2"/>
  <c r="B7070" i="2"/>
  <c r="A7070" i="2"/>
  <c r="O7069" i="2"/>
  <c r="M7069" i="2"/>
  <c r="L7069" i="2"/>
  <c r="E7069" i="2"/>
  <c r="D7069" i="2"/>
  <c r="B7069" i="2"/>
  <c r="A7069" i="2"/>
  <c r="O7068" i="2"/>
  <c r="O7067" i="2"/>
  <c r="M7067" i="2"/>
  <c r="L7067" i="2"/>
  <c r="E7067" i="2"/>
  <c r="D7067" i="2"/>
  <c r="B7067" i="2"/>
  <c r="A7067" i="2"/>
  <c r="O7066" i="2"/>
  <c r="M7066" i="2"/>
  <c r="L7066" i="2"/>
  <c r="E7066" i="2"/>
  <c r="D7066" i="2"/>
  <c r="B7066" i="2"/>
  <c r="A7066" i="2"/>
  <c r="O7065" i="2"/>
  <c r="O7064" i="2"/>
  <c r="M7064" i="2"/>
  <c r="L7064" i="2"/>
  <c r="E7064" i="2"/>
  <c r="D7064" i="2"/>
  <c r="B7064" i="2"/>
  <c r="A7064" i="2"/>
  <c r="O7063" i="2"/>
  <c r="M7063" i="2"/>
  <c r="L7063" i="2"/>
  <c r="E7063" i="2"/>
  <c r="D7063" i="2"/>
  <c r="B7063" i="2"/>
  <c r="A7063" i="2"/>
  <c r="O7062" i="2"/>
  <c r="O7061" i="2"/>
  <c r="O7060" i="2"/>
  <c r="M7060" i="2"/>
  <c r="L7060" i="2"/>
  <c r="E7060" i="2"/>
  <c r="D7060" i="2"/>
  <c r="B7060" i="2"/>
  <c r="A7060" i="2"/>
  <c r="O7059" i="2"/>
  <c r="M7059" i="2"/>
  <c r="L7059" i="2"/>
  <c r="E7059" i="2"/>
  <c r="D7059" i="2"/>
  <c r="B7059" i="2"/>
  <c r="A7059" i="2"/>
  <c r="O7058" i="2"/>
  <c r="M7058" i="2"/>
  <c r="L7058" i="2"/>
  <c r="E7058" i="2"/>
  <c r="D7058" i="2"/>
  <c r="B7058" i="2"/>
  <c r="A7058" i="2"/>
  <c r="O7057" i="2"/>
  <c r="M7057" i="2"/>
  <c r="L7057" i="2"/>
  <c r="E7057" i="2"/>
  <c r="D7057" i="2"/>
  <c r="B7057" i="2"/>
  <c r="A7057" i="2"/>
  <c r="O7056" i="2"/>
  <c r="O7055" i="2"/>
  <c r="O7054" i="2"/>
  <c r="M7054" i="2"/>
  <c r="L7054" i="2"/>
  <c r="E7054" i="2"/>
  <c r="D7054" i="2"/>
  <c r="B7054" i="2"/>
  <c r="A7054" i="2"/>
  <c r="O7053" i="2"/>
  <c r="M7053" i="2"/>
  <c r="L7053" i="2"/>
  <c r="E7053" i="2"/>
  <c r="D7053" i="2"/>
  <c r="B7053" i="2"/>
  <c r="A7053" i="2"/>
  <c r="O7052" i="2"/>
  <c r="M7052" i="2"/>
  <c r="L7052" i="2"/>
  <c r="E7052" i="2"/>
  <c r="D7052" i="2"/>
  <c r="B7052" i="2"/>
  <c r="A7052" i="2"/>
  <c r="O7051" i="2"/>
  <c r="M7051" i="2"/>
  <c r="L7051" i="2"/>
  <c r="E7051" i="2"/>
  <c r="D7051" i="2"/>
  <c r="B7051" i="2"/>
  <c r="A7051" i="2"/>
  <c r="O7050" i="2"/>
  <c r="O7049" i="2"/>
  <c r="O7048" i="2"/>
  <c r="M7048" i="2"/>
  <c r="L7048" i="2"/>
  <c r="E7048" i="2"/>
  <c r="D7048" i="2"/>
  <c r="B7048" i="2"/>
  <c r="A7048" i="2"/>
  <c r="O7047" i="2"/>
  <c r="O7046" i="2"/>
  <c r="O7045" i="2"/>
  <c r="M7045" i="2"/>
  <c r="L7045" i="2"/>
  <c r="E7045" i="2"/>
  <c r="D7045" i="2"/>
  <c r="B7045" i="2"/>
  <c r="A7045" i="2"/>
  <c r="O7044" i="2"/>
  <c r="M7044" i="2"/>
  <c r="L7044" i="2"/>
  <c r="E7044" i="2"/>
  <c r="D7044" i="2"/>
  <c r="B7044" i="2"/>
  <c r="A7044" i="2"/>
  <c r="O7043" i="2"/>
  <c r="M7043" i="2"/>
  <c r="L7043" i="2"/>
  <c r="E7043" i="2"/>
  <c r="D7043" i="2"/>
  <c r="B7043" i="2"/>
  <c r="A7043" i="2"/>
  <c r="O7042" i="2"/>
  <c r="M7042" i="2"/>
  <c r="L7042" i="2"/>
  <c r="E7042" i="2"/>
  <c r="D7042" i="2"/>
  <c r="B7042" i="2"/>
  <c r="A7042" i="2"/>
  <c r="O7041" i="2"/>
  <c r="M7041" i="2"/>
  <c r="L7041" i="2"/>
  <c r="E7041" i="2"/>
  <c r="D7041" i="2"/>
  <c r="B7041" i="2"/>
  <c r="A7041" i="2"/>
  <c r="O7040" i="2"/>
  <c r="O7039" i="2"/>
  <c r="O7038" i="2"/>
  <c r="M7038" i="2"/>
  <c r="L7038" i="2"/>
  <c r="E7038" i="2"/>
  <c r="D7038" i="2"/>
  <c r="B7038" i="2"/>
  <c r="A7038" i="2"/>
  <c r="O7037" i="2"/>
  <c r="O7036" i="2"/>
  <c r="M7036" i="2"/>
  <c r="L7036" i="2"/>
  <c r="E7036" i="2"/>
  <c r="D7036" i="2"/>
  <c r="B7036" i="2"/>
  <c r="A7036" i="2"/>
  <c r="O7035" i="2"/>
  <c r="O7034" i="2"/>
  <c r="O7033" i="2"/>
  <c r="O7032" i="2"/>
  <c r="O7031" i="2"/>
  <c r="O7030" i="2"/>
  <c r="O7029" i="2"/>
  <c r="O7028" i="2"/>
  <c r="M7028" i="2"/>
  <c r="L7028" i="2"/>
  <c r="E7028" i="2"/>
  <c r="D7028" i="2"/>
  <c r="B7028" i="2"/>
  <c r="A7028" i="2"/>
  <c r="O7027" i="2"/>
  <c r="O7026" i="2"/>
  <c r="M7026" i="2"/>
  <c r="L7026" i="2"/>
  <c r="E7026" i="2"/>
  <c r="D7026" i="2"/>
  <c r="B7026" i="2"/>
  <c r="A7026" i="2"/>
  <c r="O7025" i="2"/>
  <c r="M7025" i="2"/>
  <c r="L7025" i="2"/>
  <c r="E7025" i="2"/>
  <c r="D7025" i="2"/>
  <c r="B7025" i="2"/>
  <c r="A7025" i="2"/>
  <c r="O7024" i="2"/>
  <c r="O7023" i="2"/>
  <c r="M7023" i="2"/>
  <c r="L7023" i="2"/>
  <c r="E7023" i="2"/>
  <c r="D7023" i="2"/>
  <c r="B7023" i="2"/>
  <c r="A7023" i="2"/>
  <c r="O7022" i="2"/>
  <c r="M7022" i="2"/>
  <c r="L7022" i="2"/>
  <c r="E7022" i="2"/>
  <c r="D7022" i="2"/>
  <c r="B7022" i="2"/>
  <c r="A7022" i="2"/>
  <c r="O7021" i="2"/>
  <c r="M7021" i="2"/>
  <c r="L7021" i="2"/>
  <c r="E7021" i="2"/>
  <c r="D7021" i="2"/>
  <c r="B7021" i="2"/>
  <c r="A7021" i="2"/>
  <c r="O7020" i="2"/>
  <c r="O7019" i="2"/>
  <c r="M7019" i="2"/>
  <c r="L7019" i="2"/>
  <c r="E7019" i="2"/>
  <c r="D7019" i="2"/>
  <c r="B7019" i="2"/>
  <c r="A7019" i="2"/>
  <c r="O7018" i="2"/>
  <c r="O7017" i="2"/>
  <c r="O7016" i="2"/>
  <c r="O7015" i="2"/>
  <c r="O7014" i="2"/>
  <c r="O7013" i="2"/>
  <c r="M7013" i="2"/>
  <c r="L7013" i="2"/>
  <c r="E7013" i="2"/>
  <c r="D7013" i="2"/>
  <c r="B7013" i="2"/>
  <c r="A7013" i="2"/>
  <c r="O7012" i="2"/>
  <c r="M7012" i="2"/>
  <c r="L7012" i="2"/>
  <c r="E7012" i="2"/>
  <c r="D7012" i="2"/>
  <c r="B7012" i="2"/>
  <c r="A7012" i="2"/>
  <c r="O7011" i="2"/>
  <c r="O7010" i="2"/>
  <c r="O7009" i="2"/>
  <c r="M7009" i="2"/>
  <c r="L7009" i="2"/>
  <c r="E7009" i="2"/>
  <c r="D7009" i="2"/>
  <c r="B7009" i="2"/>
  <c r="A7009" i="2"/>
  <c r="O7008" i="2"/>
  <c r="O7007" i="2"/>
  <c r="O7006" i="2"/>
  <c r="O7005" i="2"/>
  <c r="O7004" i="2"/>
  <c r="M7004" i="2"/>
  <c r="L7004" i="2"/>
  <c r="E7004" i="2"/>
  <c r="D7004" i="2"/>
  <c r="B7004" i="2"/>
  <c r="A7004" i="2"/>
  <c r="O7003" i="2"/>
  <c r="O7002" i="2"/>
  <c r="M7002" i="2"/>
  <c r="L7002" i="2"/>
  <c r="E7002" i="2"/>
  <c r="D7002" i="2"/>
  <c r="B7002" i="2"/>
  <c r="A7002" i="2"/>
  <c r="O7001" i="2"/>
  <c r="O7000" i="2"/>
  <c r="M7000" i="2"/>
  <c r="L7000" i="2"/>
  <c r="E7000" i="2"/>
  <c r="D7000" i="2"/>
  <c r="B7000" i="2"/>
  <c r="A7000" i="2"/>
  <c r="O6999" i="2"/>
  <c r="M6999" i="2"/>
  <c r="L6999" i="2"/>
  <c r="E6999" i="2"/>
  <c r="D6999" i="2"/>
  <c r="B6999" i="2"/>
  <c r="A6999" i="2"/>
  <c r="O6998" i="2"/>
  <c r="M6998" i="2"/>
  <c r="L6998" i="2"/>
  <c r="E6998" i="2"/>
  <c r="D6998" i="2"/>
  <c r="B6998" i="2"/>
  <c r="A6998" i="2"/>
  <c r="O6997" i="2"/>
  <c r="M6997" i="2"/>
  <c r="L6997" i="2"/>
  <c r="E6997" i="2"/>
  <c r="D6997" i="2"/>
  <c r="B6997" i="2"/>
  <c r="A6997" i="2"/>
  <c r="O6996" i="2"/>
  <c r="M6996" i="2"/>
  <c r="L6996" i="2"/>
  <c r="E6996" i="2"/>
  <c r="D6996" i="2"/>
  <c r="B6996" i="2"/>
  <c r="A6996" i="2"/>
  <c r="O6995" i="2"/>
  <c r="O6994" i="2"/>
  <c r="M6994" i="2"/>
  <c r="L6994" i="2"/>
  <c r="E6994" i="2"/>
  <c r="D6994" i="2"/>
  <c r="B6994" i="2"/>
  <c r="A6994" i="2"/>
  <c r="O6993" i="2"/>
  <c r="O6992" i="2"/>
  <c r="O6991" i="2"/>
  <c r="M6991" i="2"/>
  <c r="L6991" i="2"/>
  <c r="E6991" i="2"/>
  <c r="D6991" i="2"/>
  <c r="B6991" i="2"/>
  <c r="A6991" i="2"/>
  <c r="O6990" i="2"/>
  <c r="O6989" i="2"/>
  <c r="M6989" i="2"/>
  <c r="L6989" i="2"/>
  <c r="E6989" i="2"/>
  <c r="D6989" i="2"/>
  <c r="B6989" i="2"/>
  <c r="A6989" i="2"/>
  <c r="O6988" i="2"/>
  <c r="O6987" i="2"/>
  <c r="M6987" i="2"/>
  <c r="L6987" i="2"/>
  <c r="E6987" i="2"/>
  <c r="D6987" i="2"/>
  <c r="B6987" i="2"/>
  <c r="A6987" i="2"/>
  <c r="O6986" i="2"/>
  <c r="O6985" i="2"/>
  <c r="M6985" i="2"/>
  <c r="L6985" i="2"/>
  <c r="E6985" i="2"/>
  <c r="D6985" i="2"/>
  <c r="B6985" i="2"/>
  <c r="A6985" i="2"/>
  <c r="O6984" i="2"/>
  <c r="O6983" i="2"/>
  <c r="M6983" i="2"/>
  <c r="L6983" i="2"/>
  <c r="E6983" i="2"/>
  <c r="D6983" i="2"/>
  <c r="B6983" i="2"/>
  <c r="A6983" i="2"/>
  <c r="O6982" i="2"/>
  <c r="M6982" i="2"/>
  <c r="L6982" i="2"/>
  <c r="E6982" i="2"/>
  <c r="D6982" i="2"/>
  <c r="B6982" i="2"/>
  <c r="A6982" i="2"/>
  <c r="O6981" i="2"/>
  <c r="O6980" i="2"/>
  <c r="M6980" i="2"/>
  <c r="L6980" i="2"/>
  <c r="E6980" i="2"/>
  <c r="D6980" i="2"/>
  <c r="B6980" i="2"/>
  <c r="A6980" i="2"/>
  <c r="O6979" i="2"/>
  <c r="M6979" i="2"/>
  <c r="L6979" i="2"/>
  <c r="E6979" i="2"/>
  <c r="D6979" i="2"/>
  <c r="B6979" i="2"/>
  <c r="A6979" i="2"/>
  <c r="O6978" i="2"/>
  <c r="O6977" i="2"/>
  <c r="M6977" i="2"/>
  <c r="L6977" i="2"/>
  <c r="E6977" i="2"/>
  <c r="D6977" i="2"/>
  <c r="B6977" i="2"/>
  <c r="A6977" i="2"/>
  <c r="O6976" i="2"/>
  <c r="M6976" i="2"/>
  <c r="L6976" i="2"/>
  <c r="E6976" i="2"/>
  <c r="D6976" i="2"/>
  <c r="B6976" i="2"/>
  <c r="A6976" i="2"/>
  <c r="O6975" i="2"/>
  <c r="O6974" i="2"/>
  <c r="M6974" i="2"/>
  <c r="L6974" i="2"/>
  <c r="E6974" i="2"/>
  <c r="D6974" i="2"/>
  <c r="B6974" i="2"/>
  <c r="A6974" i="2"/>
  <c r="O6973" i="2"/>
  <c r="M6973" i="2"/>
  <c r="L6973" i="2"/>
  <c r="E6973" i="2"/>
  <c r="D6973" i="2"/>
  <c r="B6973" i="2"/>
  <c r="A6973" i="2"/>
  <c r="O6972" i="2"/>
  <c r="O6971" i="2"/>
  <c r="O6970" i="2"/>
  <c r="M6970" i="2"/>
  <c r="L6970" i="2"/>
  <c r="E6970" i="2"/>
  <c r="D6970" i="2"/>
  <c r="B6970" i="2"/>
  <c r="A6970" i="2"/>
  <c r="O6969" i="2"/>
  <c r="O6968" i="2"/>
  <c r="O6967" i="2"/>
  <c r="O6966" i="2"/>
  <c r="O6965" i="2"/>
  <c r="O6964" i="2"/>
  <c r="M6964" i="2"/>
  <c r="L6964" i="2"/>
  <c r="E6964" i="2"/>
  <c r="D6964" i="2"/>
  <c r="B6964" i="2"/>
  <c r="A6964" i="2"/>
  <c r="O6963" i="2"/>
  <c r="M6963" i="2"/>
  <c r="L6963" i="2"/>
  <c r="E6963" i="2"/>
  <c r="D6963" i="2"/>
  <c r="B6963" i="2"/>
  <c r="A6963" i="2"/>
  <c r="O6962" i="2"/>
  <c r="O6961" i="2"/>
  <c r="O6960" i="2"/>
  <c r="O6959" i="2"/>
  <c r="O6958" i="2"/>
  <c r="O6957" i="2"/>
  <c r="M6957" i="2"/>
  <c r="L6957" i="2"/>
  <c r="E6957" i="2"/>
  <c r="D6957" i="2"/>
  <c r="B6957" i="2"/>
  <c r="A6957" i="2"/>
  <c r="O6956" i="2"/>
  <c r="M6956" i="2"/>
  <c r="L6956" i="2"/>
  <c r="E6956" i="2"/>
  <c r="D6956" i="2"/>
  <c r="B6956" i="2"/>
  <c r="A6956" i="2"/>
  <c r="O6955" i="2"/>
  <c r="O6954" i="2"/>
  <c r="M6954" i="2"/>
  <c r="L6954" i="2"/>
  <c r="E6954" i="2"/>
  <c r="D6954" i="2"/>
  <c r="B6954" i="2"/>
  <c r="A6954" i="2"/>
  <c r="O6953" i="2"/>
  <c r="M6953" i="2"/>
  <c r="L6953" i="2"/>
  <c r="E6953" i="2"/>
  <c r="D6953" i="2"/>
  <c r="B6953" i="2"/>
  <c r="A6953" i="2"/>
  <c r="O6952" i="2"/>
  <c r="M6952" i="2"/>
  <c r="L6952" i="2"/>
  <c r="E6952" i="2"/>
  <c r="D6952" i="2"/>
  <c r="B6952" i="2"/>
  <c r="A6952" i="2"/>
  <c r="O6951" i="2"/>
  <c r="M6951" i="2"/>
  <c r="L6951" i="2"/>
  <c r="E6951" i="2"/>
  <c r="D6951" i="2"/>
  <c r="B6951" i="2"/>
  <c r="A6951" i="2"/>
  <c r="O6950" i="2"/>
  <c r="O6949" i="2"/>
  <c r="O6948" i="2"/>
  <c r="M6948" i="2"/>
  <c r="L6948" i="2"/>
  <c r="E6948" i="2"/>
  <c r="D6948" i="2"/>
  <c r="B6948" i="2"/>
  <c r="A6948" i="2"/>
  <c r="O6947" i="2"/>
  <c r="M6947" i="2"/>
  <c r="L6947" i="2"/>
  <c r="E6947" i="2"/>
  <c r="D6947" i="2"/>
  <c r="B6947" i="2"/>
  <c r="A6947" i="2"/>
  <c r="O6946" i="2"/>
  <c r="M6946" i="2"/>
  <c r="L6946" i="2"/>
  <c r="E6946" i="2"/>
  <c r="D6946" i="2"/>
  <c r="B6946" i="2"/>
  <c r="A6946" i="2"/>
  <c r="O6945" i="2"/>
  <c r="O6944" i="2"/>
  <c r="O6943" i="2"/>
  <c r="M6943" i="2"/>
  <c r="L6943" i="2"/>
  <c r="E6943" i="2"/>
  <c r="D6943" i="2"/>
  <c r="B6943" i="2"/>
  <c r="A6943" i="2"/>
  <c r="O6942" i="2"/>
  <c r="O6941" i="2"/>
  <c r="O6940" i="2"/>
  <c r="O6939" i="2"/>
  <c r="M6939" i="2"/>
  <c r="L6939" i="2"/>
  <c r="E6939" i="2"/>
  <c r="D6939" i="2"/>
  <c r="B6939" i="2"/>
  <c r="A6939" i="2"/>
  <c r="O6938" i="2"/>
  <c r="M6938" i="2"/>
  <c r="L6938" i="2"/>
  <c r="E6938" i="2"/>
  <c r="D6938" i="2"/>
  <c r="B6938" i="2"/>
  <c r="A6938" i="2"/>
  <c r="O6937" i="2"/>
  <c r="M6937" i="2"/>
  <c r="L6937" i="2"/>
  <c r="E6937" i="2"/>
  <c r="D6937" i="2"/>
  <c r="B6937" i="2"/>
  <c r="A6937" i="2"/>
  <c r="O6936" i="2"/>
  <c r="O6935" i="2"/>
  <c r="M6935" i="2"/>
  <c r="L6935" i="2"/>
  <c r="E6935" i="2"/>
  <c r="D6935" i="2"/>
  <c r="B6935" i="2"/>
  <c r="A6935" i="2"/>
  <c r="O6934" i="2"/>
  <c r="O6933" i="2"/>
  <c r="O6932" i="2"/>
  <c r="M6932" i="2"/>
  <c r="L6932" i="2"/>
  <c r="E6932" i="2"/>
  <c r="D6932" i="2"/>
  <c r="B6932" i="2"/>
  <c r="A6932" i="2"/>
  <c r="O6931" i="2"/>
  <c r="M6931" i="2"/>
  <c r="L6931" i="2"/>
  <c r="E6931" i="2"/>
  <c r="D6931" i="2"/>
  <c r="B6931" i="2"/>
  <c r="A6931" i="2"/>
  <c r="O6930" i="2"/>
  <c r="M6930" i="2"/>
  <c r="L6930" i="2"/>
  <c r="E6930" i="2"/>
  <c r="D6930" i="2"/>
  <c r="B6930" i="2"/>
  <c r="A6930" i="2"/>
  <c r="O6929" i="2"/>
  <c r="O6928" i="2"/>
  <c r="M6928" i="2"/>
  <c r="L6928" i="2"/>
  <c r="E6928" i="2"/>
  <c r="D6928" i="2"/>
  <c r="B6928" i="2"/>
  <c r="A6928" i="2"/>
  <c r="O6927" i="2"/>
  <c r="M6927" i="2"/>
  <c r="L6927" i="2"/>
  <c r="E6927" i="2"/>
  <c r="D6927" i="2"/>
  <c r="B6927" i="2"/>
  <c r="A6927" i="2"/>
  <c r="O6926" i="2"/>
  <c r="M6926" i="2"/>
  <c r="L6926" i="2"/>
  <c r="E6926" i="2"/>
  <c r="D6926" i="2"/>
  <c r="B6926" i="2"/>
  <c r="A6926" i="2"/>
  <c r="O6925" i="2"/>
  <c r="M6925" i="2"/>
  <c r="L6925" i="2"/>
  <c r="E6925" i="2"/>
  <c r="D6925" i="2"/>
  <c r="B6925" i="2"/>
  <c r="A6925" i="2"/>
  <c r="O6924" i="2"/>
  <c r="M6924" i="2"/>
  <c r="L6924" i="2"/>
  <c r="E6924" i="2"/>
  <c r="D6924" i="2"/>
  <c r="B6924" i="2"/>
  <c r="A6924" i="2"/>
  <c r="O6923" i="2"/>
  <c r="O6922" i="2"/>
  <c r="M6922" i="2"/>
  <c r="L6922" i="2"/>
  <c r="E6922" i="2"/>
  <c r="D6922" i="2"/>
  <c r="B6922" i="2"/>
  <c r="A6922" i="2"/>
  <c r="O6921" i="2"/>
  <c r="M6921" i="2"/>
  <c r="L6921" i="2"/>
  <c r="E6921" i="2"/>
  <c r="D6921" i="2"/>
  <c r="B6921" i="2"/>
  <c r="A6921" i="2"/>
  <c r="O6920" i="2"/>
  <c r="O6919" i="2"/>
  <c r="M6919" i="2"/>
  <c r="L6919" i="2"/>
  <c r="E6919" i="2"/>
  <c r="D6919" i="2"/>
  <c r="B6919" i="2"/>
  <c r="A6919" i="2"/>
  <c r="O6918" i="2"/>
  <c r="M6918" i="2"/>
  <c r="L6918" i="2"/>
  <c r="E6918" i="2"/>
  <c r="D6918" i="2"/>
  <c r="B6918" i="2"/>
  <c r="A6918" i="2"/>
  <c r="O6917" i="2"/>
  <c r="O6916" i="2"/>
  <c r="M6916" i="2"/>
  <c r="L6916" i="2"/>
  <c r="E6916" i="2"/>
  <c r="D6916" i="2"/>
  <c r="B6916" i="2"/>
  <c r="A6916" i="2"/>
  <c r="O6915" i="2"/>
  <c r="O6914" i="2"/>
  <c r="O6913" i="2"/>
  <c r="M6913" i="2"/>
  <c r="L6913" i="2"/>
  <c r="E6913" i="2"/>
  <c r="D6913" i="2"/>
  <c r="B6913" i="2"/>
  <c r="A6913" i="2"/>
  <c r="O6912" i="2"/>
  <c r="O6911" i="2"/>
  <c r="O6910" i="2"/>
  <c r="M6910" i="2"/>
  <c r="L6910" i="2"/>
  <c r="E6910" i="2"/>
  <c r="D6910" i="2"/>
  <c r="B6910" i="2"/>
  <c r="A6910" i="2"/>
  <c r="O6909" i="2"/>
  <c r="M6909" i="2"/>
  <c r="L6909" i="2"/>
  <c r="E6909" i="2"/>
  <c r="D6909" i="2"/>
  <c r="B6909" i="2"/>
  <c r="A6909" i="2"/>
  <c r="O6908" i="2"/>
  <c r="M6908" i="2"/>
  <c r="L6908" i="2"/>
  <c r="E6908" i="2"/>
  <c r="D6908" i="2"/>
  <c r="B6908" i="2"/>
  <c r="A6908" i="2"/>
  <c r="O6907" i="2"/>
  <c r="O6906" i="2"/>
  <c r="M6906" i="2"/>
  <c r="L6906" i="2"/>
  <c r="E6906" i="2"/>
  <c r="D6906" i="2"/>
  <c r="B6906" i="2"/>
  <c r="A6906" i="2"/>
  <c r="O6905" i="2"/>
  <c r="M6905" i="2"/>
  <c r="L6905" i="2"/>
  <c r="E6905" i="2"/>
  <c r="D6905" i="2"/>
  <c r="B6905" i="2"/>
  <c r="A6905" i="2"/>
  <c r="O6904" i="2"/>
  <c r="M6904" i="2"/>
  <c r="L6904" i="2"/>
  <c r="E6904" i="2"/>
  <c r="D6904" i="2"/>
  <c r="B6904" i="2"/>
  <c r="A6904" i="2"/>
  <c r="O6903" i="2"/>
  <c r="M6903" i="2"/>
  <c r="L6903" i="2"/>
  <c r="E6903" i="2"/>
  <c r="D6903" i="2"/>
  <c r="B6903" i="2"/>
  <c r="A6903" i="2"/>
  <c r="O6902" i="2"/>
  <c r="O6901" i="2"/>
  <c r="M6901" i="2"/>
  <c r="L6901" i="2"/>
  <c r="E6901" i="2"/>
  <c r="D6901" i="2"/>
  <c r="B6901" i="2"/>
  <c r="A6901" i="2"/>
  <c r="O6900" i="2"/>
  <c r="M6900" i="2"/>
  <c r="L6900" i="2"/>
  <c r="E6900" i="2"/>
  <c r="D6900" i="2"/>
  <c r="B6900" i="2"/>
  <c r="A6900" i="2"/>
  <c r="O6899" i="2"/>
  <c r="M6899" i="2"/>
  <c r="L6899" i="2"/>
  <c r="E6899" i="2"/>
  <c r="D6899" i="2"/>
  <c r="B6899" i="2"/>
  <c r="A6899" i="2"/>
  <c r="O6898" i="2"/>
  <c r="O6897" i="2"/>
  <c r="M6897" i="2"/>
  <c r="L6897" i="2"/>
  <c r="E6897" i="2"/>
  <c r="D6897" i="2"/>
  <c r="B6897" i="2"/>
  <c r="A6897" i="2"/>
  <c r="O6896" i="2"/>
  <c r="O6895" i="2"/>
  <c r="O6894" i="2"/>
  <c r="M6894" i="2"/>
  <c r="L6894" i="2"/>
  <c r="E6894" i="2"/>
  <c r="D6894" i="2"/>
  <c r="B6894" i="2"/>
  <c r="A6894" i="2"/>
  <c r="O6893" i="2"/>
  <c r="O6892" i="2"/>
  <c r="M6892" i="2"/>
  <c r="L6892" i="2"/>
  <c r="E6892" i="2"/>
  <c r="D6892" i="2"/>
  <c r="B6892" i="2"/>
  <c r="A6892" i="2"/>
  <c r="O6891" i="2"/>
  <c r="M6891" i="2"/>
  <c r="L6891" i="2"/>
  <c r="E6891" i="2"/>
  <c r="D6891" i="2"/>
  <c r="B6891" i="2"/>
  <c r="A6891" i="2"/>
  <c r="O6890" i="2"/>
  <c r="O6889" i="2"/>
  <c r="M6889" i="2"/>
  <c r="L6889" i="2"/>
  <c r="E6889" i="2"/>
  <c r="D6889" i="2"/>
  <c r="B6889" i="2"/>
  <c r="A6889" i="2"/>
  <c r="O6888" i="2"/>
  <c r="M6888" i="2"/>
  <c r="L6888" i="2"/>
  <c r="E6888" i="2"/>
  <c r="D6888" i="2"/>
  <c r="B6888" i="2"/>
  <c r="A6888" i="2"/>
  <c r="O6887" i="2"/>
  <c r="O6886" i="2"/>
  <c r="O6885" i="2"/>
  <c r="O6884" i="2"/>
  <c r="O6883" i="2"/>
  <c r="O6882" i="2"/>
  <c r="O6881" i="2"/>
  <c r="O6880" i="2"/>
  <c r="O6879" i="2"/>
  <c r="M6879" i="2"/>
  <c r="L6879" i="2"/>
  <c r="E6879" i="2"/>
  <c r="D6879" i="2"/>
  <c r="B6879" i="2"/>
  <c r="A6879" i="2"/>
  <c r="O6878" i="2"/>
  <c r="M6878" i="2"/>
  <c r="L6878" i="2"/>
  <c r="E6878" i="2"/>
  <c r="D6878" i="2"/>
  <c r="B6878" i="2"/>
  <c r="A6878" i="2"/>
  <c r="O6877" i="2"/>
  <c r="M6877" i="2"/>
  <c r="L6877" i="2"/>
  <c r="E6877" i="2"/>
  <c r="D6877" i="2"/>
  <c r="B6877" i="2"/>
  <c r="A6877" i="2"/>
  <c r="O6876" i="2"/>
  <c r="O6875" i="2"/>
  <c r="M6875" i="2"/>
  <c r="L6875" i="2"/>
  <c r="E6875" i="2"/>
  <c r="D6875" i="2"/>
  <c r="B6875" i="2"/>
  <c r="A6875" i="2"/>
  <c r="O6874" i="2"/>
  <c r="O6873" i="2"/>
  <c r="M6873" i="2"/>
  <c r="L6873" i="2"/>
  <c r="E6873" i="2"/>
  <c r="D6873" i="2"/>
  <c r="B6873" i="2"/>
  <c r="A6873" i="2"/>
  <c r="O6872" i="2"/>
  <c r="O6871" i="2"/>
  <c r="O6870" i="2"/>
  <c r="M6870" i="2"/>
  <c r="L6870" i="2"/>
  <c r="E6870" i="2"/>
  <c r="D6870" i="2"/>
  <c r="B6870" i="2"/>
  <c r="A6870" i="2"/>
  <c r="O6869" i="2"/>
  <c r="O6868" i="2"/>
  <c r="O6867" i="2"/>
  <c r="O6866" i="2"/>
  <c r="M6866" i="2"/>
  <c r="L6866" i="2"/>
  <c r="E6866" i="2"/>
  <c r="D6866" i="2"/>
  <c r="B6866" i="2"/>
  <c r="A6866" i="2"/>
  <c r="O6865" i="2"/>
  <c r="M6865" i="2"/>
  <c r="L6865" i="2"/>
  <c r="E6865" i="2"/>
  <c r="D6865" i="2"/>
  <c r="B6865" i="2"/>
  <c r="A6865" i="2"/>
  <c r="O6864" i="2"/>
  <c r="M6864" i="2"/>
  <c r="L6864" i="2"/>
  <c r="E6864" i="2"/>
  <c r="D6864" i="2"/>
  <c r="B6864" i="2"/>
  <c r="A6864" i="2"/>
  <c r="O6863" i="2"/>
  <c r="O6862" i="2"/>
  <c r="M6862" i="2"/>
  <c r="L6862" i="2"/>
  <c r="E6862" i="2"/>
  <c r="D6862" i="2"/>
  <c r="B6862" i="2"/>
  <c r="A6862" i="2"/>
  <c r="O6861" i="2"/>
  <c r="M6861" i="2"/>
  <c r="L6861" i="2"/>
  <c r="E6861" i="2"/>
  <c r="D6861" i="2"/>
  <c r="B6861" i="2"/>
  <c r="A6861" i="2"/>
  <c r="O6860" i="2"/>
  <c r="M6860" i="2"/>
  <c r="L6860" i="2"/>
  <c r="E6860" i="2"/>
  <c r="D6860" i="2"/>
  <c r="B6860" i="2"/>
  <c r="A6860" i="2"/>
  <c r="O6859" i="2"/>
  <c r="O6858" i="2"/>
  <c r="O6857" i="2"/>
  <c r="O6856" i="2"/>
  <c r="M6856" i="2"/>
  <c r="L6856" i="2"/>
  <c r="E6856" i="2"/>
  <c r="D6856" i="2"/>
  <c r="B6856" i="2"/>
  <c r="A6856" i="2"/>
  <c r="O6855" i="2"/>
  <c r="M6855" i="2"/>
  <c r="L6855" i="2"/>
  <c r="E6855" i="2"/>
  <c r="D6855" i="2"/>
  <c r="B6855" i="2"/>
  <c r="A6855" i="2"/>
  <c r="O6854" i="2"/>
  <c r="M6854" i="2"/>
  <c r="L6854" i="2"/>
  <c r="E6854" i="2"/>
  <c r="D6854" i="2"/>
  <c r="B6854" i="2"/>
  <c r="A6854" i="2"/>
  <c r="O6853" i="2"/>
  <c r="O6852" i="2"/>
  <c r="O6851" i="2"/>
  <c r="M6851" i="2"/>
  <c r="L6851" i="2"/>
  <c r="E6851" i="2"/>
  <c r="D6851" i="2"/>
  <c r="B6851" i="2"/>
  <c r="A6851" i="2"/>
  <c r="O6850" i="2"/>
  <c r="M6850" i="2"/>
  <c r="L6850" i="2"/>
  <c r="E6850" i="2"/>
  <c r="D6850" i="2"/>
  <c r="B6850" i="2"/>
  <c r="A6850" i="2"/>
  <c r="O6849" i="2"/>
  <c r="O6848" i="2"/>
  <c r="M6848" i="2"/>
  <c r="L6848" i="2"/>
  <c r="E6848" i="2"/>
  <c r="D6848" i="2"/>
  <c r="B6848" i="2"/>
  <c r="A6848" i="2"/>
  <c r="O6847" i="2"/>
  <c r="M6847" i="2"/>
  <c r="L6847" i="2"/>
  <c r="E6847" i="2"/>
  <c r="D6847" i="2"/>
  <c r="B6847" i="2"/>
  <c r="A6847" i="2"/>
  <c r="O6846" i="2"/>
  <c r="M6846" i="2"/>
  <c r="L6846" i="2"/>
  <c r="E6846" i="2"/>
  <c r="D6846" i="2"/>
  <c r="B6846" i="2"/>
  <c r="A6846" i="2"/>
  <c r="O6845" i="2"/>
  <c r="O6844" i="2"/>
  <c r="O6843" i="2"/>
  <c r="M6843" i="2"/>
  <c r="L6843" i="2"/>
  <c r="E6843" i="2"/>
  <c r="D6843" i="2"/>
  <c r="B6843" i="2"/>
  <c r="A6843" i="2"/>
  <c r="O6842" i="2"/>
  <c r="M6842" i="2"/>
  <c r="L6842" i="2"/>
  <c r="E6842" i="2"/>
  <c r="D6842" i="2"/>
  <c r="B6842" i="2"/>
  <c r="A6842" i="2"/>
  <c r="O6841" i="2"/>
  <c r="O6840" i="2"/>
  <c r="O6839" i="2"/>
  <c r="O6838" i="2"/>
  <c r="M6838" i="2"/>
  <c r="L6838" i="2"/>
  <c r="E6838" i="2"/>
  <c r="D6838" i="2"/>
  <c r="B6838" i="2"/>
  <c r="A6838" i="2"/>
  <c r="O6837" i="2"/>
  <c r="M6837" i="2"/>
  <c r="L6837" i="2"/>
  <c r="E6837" i="2"/>
  <c r="D6837" i="2"/>
  <c r="B6837" i="2"/>
  <c r="A6837" i="2"/>
  <c r="O6836" i="2"/>
  <c r="M6836" i="2"/>
  <c r="L6836" i="2"/>
  <c r="E6836" i="2"/>
  <c r="D6836" i="2"/>
  <c r="B6836" i="2"/>
  <c r="A6836" i="2"/>
  <c r="O6835" i="2"/>
  <c r="M6835" i="2"/>
  <c r="L6835" i="2"/>
  <c r="E6835" i="2"/>
  <c r="D6835" i="2"/>
  <c r="B6835" i="2"/>
  <c r="A6835" i="2"/>
  <c r="O6834" i="2"/>
  <c r="O6833" i="2"/>
  <c r="M6833" i="2"/>
  <c r="L6833" i="2"/>
  <c r="E6833" i="2"/>
  <c r="D6833" i="2"/>
  <c r="B6833" i="2"/>
  <c r="A6833" i="2"/>
  <c r="O6832" i="2"/>
  <c r="M6832" i="2"/>
  <c r="L6832" i="2"/>
  <c r="E6832" i="2"/>
  <c r="D6832" i="2"/>
  <c r="B6832" i="2"/>
  <c r="A6832" i="2"/>
  <c r="O6831" i="2"/>
  <c r="O6830" i="2"/>
  <c r="M6830" i="2"/>
  <c r="L6830" i="2"/>
  <c r="E6830" i="2"/>
  <c r="D6830" i="2"/>
  <c r="B6830" i="2"/>
  <c r="A6830" i="2"/>
  <c r="O6829" i="2"/>
  <c r="M6829" i="2"/>
  <c r="L6829" i="2"/>
  <c r="E6829" i="2"/>
  <c r="D6829" i="2"/>
  <c r="B6829" i="2"/>
  <c r="A6829" i="2"/>
  <c r="O6828" i="2"/>
  <c r="M6828" i="2"/>
  <c r="L6828" i="2"/>
  <c r="E6828" i="2"/>
  <c r="D6828" i="2"/>
  <c r="B6828" i="2"/>
  <c r="A6828" i="2"/>
  <c r="O6827" i="2"/>
  <c r="M6827" i="2"/>
  <c r="L6827" i="2"/>
  <c r="E6827" i="2"/>
  <c r="D6827" i="2"/>
  <c r="B6827" i="2"/>
  <c r="A6827" i="2"/>
  <c r="O6826" i="2"/>
  <c r="O6825" i="2"/>
  <c r="M6825" i="2"/>
  <c r="L6825" i="2"/>
  <c r="E6825" i="2"/>
  <c r="D6825" i="2"/>
  <c r="B6825" i="2"/>
  <c r="A6825" i="2"/>
  <c r="O6824" i="2"/>
  <c r="O6823" i="2"/>
  <c r="M6823" i="2"/>
  <c r="L6823" i="2"/>
  <c r="E6823" i="2"/>
  <c r="D6823" i="2"/>
  <c r="B6823" i="2"/>
  <c r="A6823" i="2"/>
  <c r="O6822" i="2"/>
  <c r="M6822" i="2"/>
  <c r="L6822" i="2"/>
  <c r="E6822" i="2"/>
  <c r="D6822" i="2"/>
  <c r="B6822" i="2"/>
  <c r="A6822" i="2"/>
  <c r="O6821" i="2"/>
  <c r="M6821" i="2"/>
  <c r="L6821" i="2"/>
  <c r="E6821" i="2"/>
  <c r="D6821" i="2"/>
  <c r="B6821" i="2"/>
  <c r="A6821" i="2"/>
  <c r="O6820" i="2"/>
  <c r="M6820" i="2"/>
  <c r="L6820" i="2"/>
  <c r="E6820" i="2"/>
  <c r="D6820" i="2"/>
  <c r="B6820" i="2"/>
  <c r="A6820" i="2"/>
  <c r="O6819" i="2"/>
  <c r="O6818" i="2"/>
  <c r="O6817" i="2"/>
  <c r="O6816" i="2"/>
  <c r="O6815" i="2"/>
  <c r="O6814" i="2"/>
  <c r="O6813" i="2"/>
  <c r="O6812" i="2"/>
  <c r="O6811" i="2"/>
  <c r="O6810" i="2"/>
  <c r="O6809" i="2"/>
  <c r="O6808" i="2"/>
  <c r="O6807" i="2"/>
  <c r="O6806" i="2"/>
  <c r="M6806" i="2"/>
  <c r="L6806" i="2"/>
  <c r="E6806" i="2"/>
  <c r="D6806" i="2"/>
  <c r="B6806" i="2"/>
  <c r="A6806" i="2"/>
  <c r="O6805" i="2"/>
  <c r="O6804" i="2"/>
  <c r="O6803" i="2"/>
  <c r="M6803" i="2"/>
  <c r="L6803" i="2"/>
  <c r="E6803" i="2"/>
  <c r="D6803" i="2"/>
  <c r="B6803" i="2"/>
  <c r="A6803" i="2"/>
  <c r="O6802" i="2"/>
  <c r="O6801" i="2"/>
  <c r="O6800" i="2"/>
  <c r="O6799" i="2"/>
  <c r="O6798" i="2"/>
  <c r="O6797" i="2"/>
  <c r="M6797" i="2"/>
  <c r="L6797" i="2"/>
  <c r="E6797" i="2"/>
  <c r="D6797" i="2"/>
  <c r="B6797" i="2"/>
  <c r="A6797" i="2"/>
  <c r="O6796" i="2"/>
  <c r="O6795" i="2"/>
  <c r="M6795" i="2"/>
  <c r="L6795" i="2"/>
  <c r="E6795" i="2"/>
  <c r="D6795" i="2"/>
  <c r="B6795" i="2"/>
  <c r="A6795" i="2"/>
  <c r="O6794" i="2"/>
  <c r="M6794" i="2"/>
  <c r="L6794" i="2"/>
  <c r="E6794" i="2"/>
  <c r="D6794" i="2"/>
  <c r="B6794" i="2"/>
  <c r="A6794" i="2"/>
  <c r="O6793" i="2"/>
  <c r="M6793" i="2"/>
  <c r="L6793" i="2"/>
  <c r="E6793" i="2"/>
  <c r="D6793" i="2"/>
  <c r="B6793" i="2"/>
  <c r="A6793" i="2"/>
  <c r="O6792" i="2"/>
  <c r="O6791" i="2"/>
  <c r="O6790" i="2"/>
  <c r="M6790" i="2"/>
  <c r="L6790" i="2"/>
  <c r="E6790" i="2"/>
  <c r="D6790" i="2"/>
  <c r="B6790" i="2"/>
  <c r="A6790" i="2"/>
  <c r="O6789" i="2"/>
  <c r="O6788" i="2"/>
  <c r="O6787" i="2"/>
  <c r="O6786" i="2"/>
  <c r="O6785" i="2"/>
  <c r="M6785" i="2"/>
  <c r="L6785" i="2"/>
  <c r="E6785" i="2"/>
  <c r="D6785" i="2"/>
  <c r="B6785" i="2"/>
  <c r="A6785" i="2"/>
  <c r="O6784" i="2"/>
  <c r="M6784" i="2"/>
  <c r="L6784" i="2"/>
  <c r="E6784" i="2"/>
  <c r="D6784" i="2"/>
  <c r="B6784" i="2"/>
  <c r="A6784" i="2"/>
  <c r="O6783" i="2"/>
  <c r="M6783" i="2"/>
  <c r="L6783" i="2"/>
  <c r="E6783" i="2"/>
  <c r="D6783" i="2"/>
  <c r="B6783" i="2"/>
  <c r="A6783" i="2"/>
  <c r="O6782" i="2"/>
  <c r="O6781" i="2"/>
  <c r="O6780" i="2"/>
  <c r="M6780" i="2"/>
  <c r="L6780" i="2"/>
  <c r="E6780" i="2"/>
  <c r="D6780" i="2"/>
  <c r="B6780" i="2"/>
  <c r="A6780" i="2"/>
  <c r="O6779" i="2"/>
  <c r="M6779" i="2"/>
  <c r="L6779" i="2"/>
  <c r="E6779" i="2"/>
  <c r="D6779" i="2"/>
  <c r="B6779" i="2"/>
  <c r="A6779" i="2"/>
  <c r="O6778" i="2"/>
  <c r="M6778" i="2"/>
  <c r="L6778" i="2"/>
  <c r="E6778" i="2"/>
  <c r="D6778" i="2"/>
  <c r="B6778" i="2"/>
  <c r="A6778" i="2"/>
  <c r="O6777" i="2"/>
  <c r="M6777" i="2"/>
  <c r="L6777" i="2"/>
  <c r="E6777" i="2"/>
  <c r="D6777" i="2"/>
  <c r="B6777" i="2"/>
  <c r="A6777" i="2"/>
  <c r="O6776" i="2"/>
  <c r="M6776" i="2"/>
  <c r="L6776" i="2"/>
  <c r="E6776" i="2"/>
  <c r="D6776" i="2"/>
  <c r="B6776" i="2"/>
  <c r="A6776" i="2"/>
  <c r="O6775" i="2"/>
  <c r="O6774" i="2"/>
  <c r="M6774" i="2"/>
  <c r="L6774" i="2"/>
  <c r="E6774" i="2"/>
  <c r="D6774" i="2"/>
  <c r="B6774" i="2"/>
  <c r="A6774" i="2"/>
  <c r="O6773" i="2"/>
  <c r="M6773" i="2"/>
  <c r="L6773" i="2"/>
  <c r="E6773" i="2"/>
  <c r="D6773" i="2"/>
  <c r="B6773" i="2"/>
  <c r="A6773" i="2"/>
  <c r="O6772" i="2"/>
  <c r="O6771" i="2"/>
  <c r="O6770" i="2"/>
  <c r="O6769" i="2"/>
  <c r="O6768" i="2"/>
  <c r="O6767" i="2"/>
  <c r="O6766" i="2"/>
  <c r="O6765" i="2"/>
  <c r="O6764" i="2"/>
  <c r="O6763" i="2"/>
  <c r="O6762" i="2"/>
  <c r="O6761" i="2"/>
  <c r="O6760" i="2"/>
  <c r="M6760" i="2"/>
  <c r="L6760" i="2"/>
  <c r="E6760" i="2"/>
  <c r="D6760" i="2"/>
  <c r="B6760" i="2"/>
  <c r="A6760" i="2"/>
  <c r="O6759" i="2"/>
  <c r="O6758" i="2"/>
  <c r="O6757" i="2"/>
  <c r="O6756" i="2"/>
  <c r="O6755" i="2"/>
  <c r="O6754" i="2"/>
  <c r="O6753" i="2"/>
  <c r="O6752" i="2"/>
  <c r="M6752" i="2"/>
  <c r="L6752" i="2"/>
  <c r="E6752" i="2"/>
  <c r="D6752" i="2"/>
  <c r="B6752" i="2"/>
  <c r="A6752" i="2"/>
  <c r="O6751" i="2"/>
  <c r="O6750" i="2"/>
  <c r="M6750" i="2"/>
  <c r="L6750" i="2"/>
  <c r="E6750" i="2"/>
  <c r="D6750" i="2"/>
  <c r="B6750" i="2"/>
  <c r="A6750" i="2"/>
  <c r="O6749" i="2"/>
  <c r="M6749" i="2"/>
  <c r="L6749" i="2"/>
  <c r="E6749" i="2"/>
  <c r="D6749" i="2"/>
  <c r="B6749" i="2"/>
  <c r="A6749" i="2"/>
  <c r="O6748" i="2"/>
  <c r="M6748" i="2"/>
  <c r="L6748" i="2"/>
  <c r="E6748" i="2"/>
  <c r="D6748" i="2"/>
  <c r="B6748" i="2"/>
  <c r="A6748" i="2"/>
  <c r="O6747" i="2"/>
  <c r="O6746" i="2"/>
  <c r="M6746" i="2"/>
  <c r="L6746" i="2"/>
  <c r="E6746" i="2"/>
  <c r="D6746" i="2"/>
  <c r="B6746" i="2"/>
  <c r="A6746" i="2"/>
  <c r="O6745" i="2"/>
  <c r="M6745" i="2"/>
  <c r="L6745" i="2"/>
  <c r="E6745" i="2"/>
  <c r="D6745" i="2"/>
  <c r="B6745" i="2"/>
  <c r="A6745" i="2"/>
  <c r="O6744" i="2"/>
  <c r="M6744" i="2"/>
  <c r="L6744" i="2"/>
  <c r="E6744" i="2"/>
  <c r="D6744" i="2"/>
  <c r="B6744" i="2"/>
  <c r="A6744" i="2"/>
  <c r="O6743" i="2"/>
  <c r="O6742" i="2"/>
  <c r="O6741" i="2"/>
  <c r="O6740" i="2"/>
  <c r="M6740" i="2"/>
  <c r="L6740" i="2"/>
  <c r="E6740" i="2"/>
  <c r="D6740" i="2"/>
  <c r="B6740" i="2"/>
  <c r="A6740" i="2"/>
  <c r="O6739" i="2"/>
  <c r="O6738" i="2"/>
  <c r="M6738" i="2"/>
  <c r="L6738" i="2"/>
  <c r="E6738" i="2"/>
  <c r="D6738" i="2"/>
  <c r="B6738" i="2"/>
  <c r="A6738" i="2"/>
  <c r="O6737" i="2"/>
  <c r="M6737" i="2"/>
  <c r="L6737" i="2"/>
  <c r="E6737" i="2"/>
  <c r="D6737" i="2"/>
  <c r="B6737" i="2"/>
  <c r="A6737" i="2"/>
  <c r="O6736" i="2"/>
  <c r="O6735" i="2"/>
  <c r="M6735" i="2"/>
  <c r="L6735" i="2"/>
  <c r="E6735" i="2"/>
  <c r="D6735" i="2"/>
  <c r="B6735" i="2"/>
  <c r="A6735" i="2"/>
  <c r="O6734" i="2"/>
  <c r="M6734" i="2"/>
  <c r="L6734" i="2"/>
  <c r="E6734" i="2"/>
  <c r="D6734" i="2"/>
  <c r="B6734" i="2"/>
  <c r="A6734" i="2"/>
  <c r="O6733" i="2"/>
  <c r="O6732" i="2"/>
  <c r="M6732" i="2"/>
  <c r="L6732" i="2"/>
  <c r="E6732" i="2"/>
  <c r="D6732" i="2"/>
  <c r="B6732" i="2"/>
  <c r="A6732" i="2"/>
  <c r="O6731" i="2"/>
  <c r="O6730" i="2"/>
  <c r="M6730" i="2"/>
  <c r="L6730" i="2"/>
  <c r="E6730" i="2"/>
  <c r="D6730" i="2"/>
  <c r="B6730" i="2"/>
  <c r="A6730" i="2"/>
  <c r="O6729" i="2"/>
  <c r="M6729" i="2"/>
  <c r="L6729" i="2"/>
  <c r="E6729" i="2"/>
  <c r="D6729" i="2"/>
  <c r="B6729" i="2"/>
  <c r="A6729" i="2"/>
  <c r="O6728" i="2"/>
  <c r="M6728" i="2"/>
  <c r="L6728" i="2"/>
  <c r="E6728" i="2"/>
  <c r="D6728" i="2"/>
  <c r="B6728" i="2"/>
  <c r="A6728" i="2"/>
  <c r="O6727" i="2"/>
  <c r="O6726" i="2"/>
  <c r="O6725" i="2"/>
  <c r="O6724" i="2"/>
  <c r="O6723" i="2"/>
  <c r="M6723" i="2"/>
  <c r="L6723" i="2"/>
  <c r="E6723" i="2"/>
  <c r="D6723" i="2"/>
  <c r="B6723" i="2"/>
  <c r="A6723" i="2"/>
  <c r="O6722" i="2"/>
  <c r="O6721" i="2"/>
  <c r="O6720" i="2"/>
  <c r="O6719" i="2"/>
  <c r="O6718" i="2"/>
  <c r="O6717" i="2"/>
  <c r="M6717" i="2"/>
  <c r="L6717" i="2"/>
  <c r="E6717" i="2"/>
  <c r="D6717" i="2"/>
  <c r="B6717" i="2"/>
  <c r="A6717" i="2"/>
  <c r="O6716" i="2"/>
  <c r="M6716" i="2"/>
  <c r="L6716" i="2"/>
  <c r="E6716" i="2"/>
  <c r="D6716" i="2"/>
  <c r="B6716" i="2"/>
  <c r="A6716" i="2"/>
  <c r="O6715" i="2"/>
  <c r="O6714" i="2"/>
  <c r="O6713" i="2"/>
  <c r="M6713" i="2"/>
  <c r="L6713" i="2"/>
  <c r="E6713" i="2"/>
  <c r="D6713" i="2"/>
  <c r="B6713" i="2"/>
  <c r="A6713" i="2"/>
  <c r="O6712" i="2"/>
  <c r="O6711" i="2"/>
  <c r="M6711" i="2"/>
  <c r="L6711" i="2"/>
  <c r="E6711" i="2"/>
  <c r="D6711" i="2"/>
  <c r="B6711" i="2"/>
  <c r="A6711" i="2"/>
  <c r="O6710" i="2"/>
  <c r="M6710" i="2"/>
  <c r="L6710" i="2"/>
  <c r="E6710" i="2"/>
  <c r="D6710" i="2"/>
  <c r="B6710" i="2"/>
  <c r="A6710" i="2"/>
  <c r="O6709" i="2"/>
  <c r="M6709" i="2"/>
  <c r="L6709" i="2"/>
  <c r="E6709" i="2"/>
  <c r="D6709" i="2"/>
  <c r="B6709" i="2"/>
  <c r="A6709" i="2"/>
  <c r="O6708" i="2"/>
  <c r="M6708" i="2"/>
  <c r="L6708" i="2"/>
  <c r="E6708" i="2"/>
  <c r="D6708" i="2"/>
  <c r="B6708" i="2"/>
  <c r="A6708" i="2"/>
  <c r="O6707" i="2"/>
  <c r="M6707" i="2"/>
  <c r="L6707" i="2"/>
  <c r="E6707" i="2"/>
  <c r="D6707" i="2"/>
  <c r="B6707" i="2"/>
  <c r="A6707" i="2"/>
  <c r="O6706" i="2"/>
  <c r="M6706" i="2"/>
  <c r="L6706" i="2"/>
  <c r="E6706" i="2"/>
  <c r="D6706" i="2"/>
  <c r="B6706" i="2"/>
  <c r="A6706" i="2"/>
  <c r="O6705" i="2"/>
  <c r="O6704" i="2"/>
  <c r="M6704" i="2"/>
  <c r="L6704" i="2"/>
  <c r="E6704" i="2"/>
  <c r="D6704" i="2"/>
  <c r="B6704" i="2"/>
  <c r="A6704" i="2"/>
  <c r="O6703" i="2"/>
  <c r="O6702" i="2"/>
  <c r="M6702" i="2"/>
  <c r="L6702" i="2"/>
  <c r="E6702" i="2"/>
  <c r="D6702" i="2"/>
  <c r="B6702" i="2"/>
  <c r="A6702" i="2"/>
  <c r="O6701" i="2"/>
  <c r="O6700" i="2"/>
  <c r="O6699" i="2"/>
  <c r="M6699" i="2"/>
  <c r="L6699" i="2"/>
  <c r="E6699" i="2"/>
  <c r="D6699" i="2"/>
  <c r="B6699" i="2"/>
  <c r="A6699" i="2"/>
  <c r="O6698" i="2"/>
  <c r="O6697" i="2"/>
  <c r="O6696" i="2"/>
  <c r="O6695" i="2"/>
  <c r="O6694" i="2"/>
  <c r="O6693" i="2"/>
  <c r="O6692" i="2"/>
  <c r="M6692" i="2"/>
  <c r="L6692" i="2"/>
  <c r="E6692" i="2"/>
  <c r="D6692" i="2"/>
  <c r="B6692" i="2"/>
  <c r="A6692" i="2"/>
  <c r="O6691" i="2"/>
  <c r="M6691" i="2"/>
  <c r="L6691" i="2"/>
  <c r="E6691" i="2"/>
  <c r="D6691" i="2"/>
  <c r="B6691" i="2"/>
  <c r="A6691" i="2"/>
  <c r="O6690" i="2"/>
  <c r="O6689" i="2"/>
  <c r="O6688" i="2"/>
  <c r="O6687" i="2"/>
  <c r="O6686" i="2"/>
  <c r="O6685" i="2"/>
  <c r="O6684" i="2"/>
  <c r="O6683" i="2"/>
  <c r="O6682" i="2"/>
  <c r="O6681" i="2"/>
  <c r="O6680" i="2"/>
  <c r="O6679" i="2"/>
  <c r="O6678" i="2"/>
  <c r="M6678" i="2"/>
  <c r="L6678" i="2"/>
  <c r="E6678" i="2"/>
  <c r="D6678" i="2"/>
  <c r="B6678" i="2"/>
  <c r="A6678" i="2"/>
  <c r="O6677" i="2"/>
  <c r="M6677" i="2"/>
  <c r="L6677" i="2"/>
  <c r="E6677" i="2"/>
  <c r="D6677" i="2"/>
  <c r="B6677" i="2"/>
  <c r="A6677" i="2"/>
  <c r="O6676" i="2"/>
  <c r="M6676" i="2"/>
  <c r="L6676" i="2"/>
  <c r="E6676" i="2"/>
  <c r="D6676" i="2"/>
  <c r="B6676" i="2"/>
  <c r="A6676" i="2"/>
  <c r="O6675" i="2"/>
  <c r="M6675" i="2"/>
  <c r="L6675" i="2"/>
  <c r="E6675" i="2"/>
  <c r="D6675" i="2"/>
  <c r="B6675" i="2"/>
  <c r="A6675" i="2"/>
  <c r="O6674" i="2"/>
  <c r="M6674" i="2"/>
  <c r="L6674" i="2"/>
  <c r="E6674" i="2"/>
  <c r="D6674" i="2"/>
  <c r="B6674" i="2"/>
  <c r="A6674" i="2"/>
  <c r="O6673" i="2"/>
  <c r="M6673" i="2"/>
  <c r="L6673" i="2"/>
  <c r="E6673" i="2"/>
  <c r="D6673" i="2"/>
  <c r="B6673" i="2"/>
  <c r="A6673" i="2"/>
  <c r="O6672" i="2"/>
  <c r="M6672" i="2"/>
  <c r="L6672" i="2"/>
  <c r="E6672" i="2"/>
  <c r="D6672" i="2"/>
  <c r="B6672" i="2"/>
  <c r="A6672" i="2"/>
  <c r="O6671" i="2"/>
  <c r="O6670" i="2"/>
  <c r="O6669" i="2"/>
  <c r="M6669" i="2"/>
  <c r="L6669" i="2"/>
  <c r="E6669" i="2"/>
  <c r="D6669" i="2"/>
  <c r="B6669" i="2"/>
  <c r="A6669" i="2"/>
  <c r="O6668" i="2"/>
  <c r="O6667" i="2"/>
  <c r="O6666" i="2"/>
  <c r="O6665" i="2"/>
  <c r="M6665" i="2"/>
  <c r="L6665" i="2"/>
  <c r="E6665" i="2"/>
  <c r="D6665" i="2"/>
  <c r="B6665" i="2"/>
  <c r="A6665" i="2"/>
  <c r="O6664" i="2"/>
  <c r="O6663" i="2"/>
  <c r="O6662" i="2"/>
  <c r="O6661" i="2"/>
  <c r="M6661" i="2"/>
  <c r="L6661" i="2"/>
  <c r="E6661" i="2"/>
  <c r="D6661" i="2"/>
  <c r="B6661" i="2"/>
  <c r="A6661" i="2"/>
  <c r="O6660" i="2"/>
  <c r="O6659" i="2"/>
  <c r="O6658" i="2"/>
  <c r="M6658" i="2"/>
  <c r="L6658" i="2"/>
  <c r="E6658" i="2"/>
  <c r="D6658" i="2"/>
  <c r="B6658" i="2"/>
  <c r="A6658" i="2"/>
  <c r="O6657" i="2"/>
  <c r="O6656" i="2"/>
  <c r="M6656" i="2"/>
  <c r="L6656" i="2"/>
  <c r="E6656" i="2"/>
  <c r="D6656" i="2"/>
  <c r="B6656" i="2"/>
  <c r="A6656" i="2"/>
  <c r="O6655" i="2"/>
  <c r="M6655" i="2"/>
  <c r="L6655" i="2"/>
  <c r="E6655" i="2"/>
  <c r="D6655" i="2"/>
  <c r="B6655" i="2"/>
  <c r="A6655" i="2"/>
  <c r="O6654" i="2"/>
  <c r="M6654" i="2"/>
  <c r="L6654" i="2"/>
  <c r="E6654" i="2"/>
  <c r="D6654" i="2"/>
  <c r="B6654" i="2"/>
  <c r="A6654" i="2"/>
  <c r="O6653" i="2"/>
  <c r="O6652" i="2"/>
  <c r="M6652" i="2"/>
  <c r="L6652" i="2"/>
  <c r="E6652" i="2"/>
  <c r="D6652" i="2"/>
  <c r="B6652" i="2"/>
  <c r="A6652" i="2"/>
  <c r="O6651" i="2"/>
  <c r="M6651" i="2"/>
  <c r="L6651" i="2"/>
  <c r="E6651" i="2"/>
  <c r="D6651" i="2"/>
  <c r="B6651" i="2"/>
  <c r="A6651" i="2"/>
  <c r="O6650" i="2"/>
  <c r="O6649" i="2"/>
  <c r="O6648" i="2"/>
  <c r="M6648" i="2"/>
  <c r="L6648" i="2"/>
  <c r="E6648" i="2"/>
  <c r="D6648" i="2"/>
  <c r="B6648" i="2"/>
  <c r="A6648" i="2"/>
  <c r="O6647" i="2"/>
  <c r="O6646" i="2"/>
  <c r="O6645" i="2"/>
  <c r="O6644" i="2"/>
  <c r="O6643" i="2"/>
  <c r="M6643" i="2"/>
  <c r="L6643" i="2"/>
  <c r="E6643" i="2"/>
  <c r="D6643" i="2"/>
  <c r="B6643" i="2"/>
  <c r="A6643" i="2"/>
  <c r="O6642" i="2"/>
  <c r="O6641" i="2"/>
  <c r="O6640" i="2"/>
  <c r="O6639" i="2"/>
  <c r="O6638" i="2"/>
  <c r="O6637" i="2"/>
  <c r="O6636" i="2"/>
  <c r="O6635" i="2"/>
  <c r="O6634" i="2"/>
  <c r="O6633" i="2"/>
  <c r="O6632" i="2"/>
  <c r="O6631" i="2"/>
  <c r="O6630" i="2"/>
  <c r="M6630" i="2"/>
  <c r="L6630" i="2"/>
  <c r="E6630" i="2"/>
  <c r="D6630" i="2"/>
  <c r="B6630" i="2"/>
  <c r="A6630" i="2"/>
  <c r="O6629" i="2"/>
  <c r="M6629" i="2"/>
  <c r="L6629" i="2"/>
  <c r="E6629" i="2"/>
  <c r="D6629" i="2"/>
  <c r="B6629" i="2"/>
  <c r="A6629" i="2"/>
  <c r="O6628" i="2"/>
  <c r="M6628" i="2"/>
  <c r="L6628" i="2"/>
  <c r="E6628" i="2"/>
  <c r="D6628" i="2"/>
  <c r="B6628" i="2"/>
  <c r="A6628" i="2"/>
  <c r="O6627" i="2"/>
  <c r="M6627" i="2"/>
  <c r="L6627" i="2"/>
  <c r="E6627" i="2"/>
  <c r="D6627" i="2"/>
  <c r="B6627" i="2"/>
  <c r="A6627" i="2"/>
  <c r="O6626" i="2"/>
  <c r="M6626" i="2"/>
  <c r="L6626" i="2"/>
  <c r="E6626" i="2"/>
  <c r="D6626" i="2"/>
  <c r="B6626" i="2"/>
  <c r="A6626" i="2"/>
  <c r="O6625" i="2"/>
  <c r="O6624" i="2"/>
  <c r="O6623" i="2"/>
  <c r="O6622" i="2"/>
  <c r="M6622" i="2"/>
  <c r="L6622" i="2"/>
  <c r="E6622" i="2"/>
  <c r="D6622" i="2"/>
  <c r="B6622" i="2"/>
  <c r="A6622" i="2"/>
  <c r="O6621" i="2"/>
  <c r="M6621" i="2"/>
  <c r="L6621" i="2"/>
  <c r="E6621" i="2"/>
  <c r="D6621" i="2"/>
  <c r="B6621" i="2"/>
  <c r="A6621" i="2"/>
  <c r="O6620" i="2"/>
  <c r="O6619" i="2"/>
  <c r="M6619" i="2"/>
  <c r="L6619" i="2"/>
  <c r="E6619" i="2"/>
  <c r="D6619" i="2"/>
  <c r="B6619" i="2"/>
  <c r="A6619" i="2"/>
  <c r="O6618" i="2"/>
  <c r="M6618" i="2"/>
  <c r="L6618" i="2"/>
  <c r="E6618" i="2"/>
  <c r="D6618" i="2"/>
  <c r="B6618" i="2"/>
  <c r="A6618" i="2"/>
  <c r="O6617" i="2"/>
  <c r="O6616" i="2"/>
  <c r="O6615" i="2"/>
  <c r="M6615" i="2"/>
  <c r="L6615" i="2"/>
  <c r="E6615" i="2"/>
  <c r="D6615" i="2"/>
  <c r="B6615" i="2"/>
  <c r="A6615" i="2"/>
  <c r="O6614" i="2"/>
  <c r="M6614" i="2"/>
  <c r="L6614" i="2"/>
  <c r="E6614" i="2"/>
  <c r="D6614" i="2"/>
  <c r="B6614" i="2"/>
  <c r="A6614" i="2"/>
  <c r="O6613" i="2"/>
  <c r="M6613" i="2"/>
  <c r="L6613" i="2"/>
  <c r="E6613" i="2"/>
  <c r="D6613" i="2"/>
  <c r="B6613" i="2"/>
  <c r="A6613" i="2"/>
  <c r="O6612" i="2"/>
  <c r="O6611" i="2"/>
  <c r="O6610" i="2"/>
  <c r="M6610" i="2"/>
  <c r="L6610" i="2"/>
  <c r="E6610" i="2"/>
  <c r="D6610" i="2"/>
  <c r="B6610" i="2"/>
  <c r="A6610" i="2"/>
  <c r="O6609" i="2"/>
  <c r="M6609" i="2"/>
  <c r="L6609" i="2"/>
  <c r="E6609" i="2"/>
  <c r="D6609" i="2"/>
  <c r="B6609" i="2"/>
  <c r="A6609" i="2"/>
  <c r="O6608" i="2"/>
  <c r="O6607" i="2"/>
  <c r="O6606" i="2"/>
  <c r="O6605" i="2"/>
  <c r="M6605" i="2"/>
  <c r="L6605" i="2"/>
  <c r="E6605" i="2"/>
  <c r="D6605" i="2"/>
  <c r="B6605" i="2"/>
  <c r="A6605" i="2"/>
  <c r="O6604" i="2"/>
  <c r="M6604" i="2"/>
  <c r="L6604" i="2"/>
  <c r="E6604" i="2"/>
  <c r="D6604" i="2"/>
  <c r="B6604" i="2"/>
  <c r="A6604" i="2"/>
  <c r="O6603" i="2"/>
  <c r="O6602" i="2"/>
  <c r="O6601" i="2"/>
  <c r="M6601" i="2"/>
  <c r="L6601" i="2"/>
  <c r="E6601" i="2"/>
  <c r="D6601" i="2"/>
  <c r="B6601" i="2"/>
  <c r="A6601" i="2"/>
  <c r="O6600" i="2"/>
  <c r="M6600" i="2"/>
  <c r="L6600" i="2"/>
  <c r="E6600" i="2"/>
  <c r="D6600" i="2"/>
  <c r="B6600" i="2"/>
  <c r="A6600" i="2"/>
  <c r="O6599" i="2"/>
  <c r="O6598" i="2"/>
  <c r="O6597" i="2"/>
  <c r="M6597" i="2"/>
  <c r="L6597" i="2"/>
  <c r="E6597" i="2"/>
  <c r="D6597" i="2"/>
  <c r="B6597" i="2"/>
  <c r="A6597" i="2"/>
  <c r="O6596" i="2"/>
  <c r="O6595" i="2"/>
  <c r="M6595" i="2"/>
  <c r="L6595" i="2"/>
  <c r="E6595" i="2"/>
  <c r="D6595" i="2"/>
  <c r="B6595" i="2"/>
  <c r="A6595" i="2"/>
  <c r="O6594" i="2"/>
  <c r="M6594" i="2"/>
  <c r="L6594" i="2"/>
  <c r="E6594" i="2"/>
  <c r="D6594" i="2"/>
  <c r="B6594" i="2"/>
  <c r="A6594" i="2"/>
  <c r="O6593" i="2"/>
  <c r="M6593" i="2"/>
  <c r="L6593" i="2"/>
  <c r="E6593" i="2"/>
  <c r="D6593" i="2"/>
  <c r="B6593" i="2"/>
  <c r="A6593" i="2"/>
  <c r="O6592" i="2"/>
  <c r="O6591" i="2"/>
  <c r="M6591" i="2"/>
  <c r="L6591" i="2"/>
  <c r="E6591" i="2"/>
  <c r="D6591" i="2"/>
  <c r="B6591" i="2"/>
  <c r="A6591" i="2"/>
  <c r="O6590" i="2"/>
  <c r="M6590" i="2"/>
  <c r="L6590" i="2"/>
  <c r="E6590" i="2"/>
  <c r="D6590" i="2"/>
  <c r="B6590" i="2"/>
  <c r="A6590" i="2"/>
  <c r="O6589" i="2"/>
  <c r="O6588" i="2"/>
  <c r="O6587" i="2"/>
  <c r="O6586" i="2"/>
  <c r="O6585" i="2"/>
  <c r="O6584" i="2"/>
  <c r="M6584" i="2"/>
  <c r="L6584" i="2"/>
  <c r="E6584" i="2"/>
  <c r="D6584" i="2"/>
  <c r="B6584" i="2"/>
  <c r="A6584" i="2"/>
  <c r="O6583" i="2"/>
  <c r="O6582" i="2"/>
  <c r="M6582" i="2"/>
  <c r="L6582" i="2"/>
  <c r="E6582" i="2"/>
  <c r="D6582" i="2"/>
  <c r="B6582" i="2"/>
  <c r="A6582" i="2"/>
  <c r="O6581" i="2"/>
  <c r="M6581" i="2"/>
  <c r="L6581" i="2"/>
  <c r="E6581" i="2"/>
  <c r="D6581" i="2"/>
  <c r="B6581" i="2"/>
  <c r="A6581" i="2"/>
  <c r="O6580" i="2"/>
  <c r="O6579" i="2"/>
  <c r="O6578" i="2"/>
  <c r="O6577" i="2"/>
  <c r="O6576" i="2"/>
  <c r="O6575" i="2"/>
  <c r="O6574" i="2"/>
  <c r="O6573" i="2"/>
  <c r="O6572" i="2"/>
  <c r="M6572" i="2"/>
  <c r="L6572" i="2"/>
  <c r="E6572" i="2"/>
  <c r="D6572" i="2"/>
  <c r="B6572" i="2"/>
  <c r="A6572" i="2"/>
  <c r="O6571" i="2"/>
  <c r="O6570" i="2"/>
  <c r="O6569" i="2"/>
  <c r="O6568" i="2"/>
  <c r="O6567" i="2"/>
  <c r="O6566" i="2"/>
  <c r="O6565" i="2"/>
  <c r="O6564" i="2"/>
  <c r="M6564" i="2"/>
  <c r="L6564" i="2"/>
  <c r="E6564" i="2"/>
  <c r="D6564" i="2"/>
  <c r="B6564" i="2"/>
  <c r="A6564" i="2"/>
  <c r="O6563" i="2"/>
  <c r="M6563" i="2"/>
  <c r="L6563" i="2"/>
  <c r="E6563" i="2"/>
  <c r="D6563" i="2"/>
  <c r="B6563" i="2"/>
  <c r="A6563" i="2"/>
  <c r="O6562" i="2"/>
  <c r="M6562" i="2"/>
  <c r="L6562" i="2"/>
  <c r="E6562" i="2"/>
  <c r="D6562" i="2"/>
  <c r="B6562" i="2"/>
  <c r="A6562" i="2"/>
  <c r="O6561" i="2"/>
  <c r="O6560" i="2"/>
  <c r="O6559" i="2"/>
  <c r="M6559" i="2"/>
  <c r="L6559" i="2"/>
  <c r="E6559" i="2"/>
  <c r="D6559" i="2"/>
  <c r="B6559" i="2"/>
  <c r="A6559" i="2"/>
  <c r="O6558" i="2"/>
  <c r="M6558" i="2"/>
  <c r="L6558" i="2"/>
  <c r="E6558" i="2"/>
  <c r="D6558" i="2"/>
  <c r="B6558" i="2"/>
  <c r="A6558" i="2"/>
  <c r="O6557" i="2"/>
  <c r="M6557" i="2"/>
  <c r="L6557" i="2"/>
  <c r="E6557" i="2"/>
  <c r="D6557" i="2"/>
  <c r="B6557" i="2"/>
  <c r="A6557" i="2"/>
  <c r="O6556" i="2"/>
  <c r="M6556" i="2"/>
  <c r="L6556" i="2"/>
  <c r="E6556" i="2"/>
  <c r="D6556" i="2"/>
  <c r="B6556" i="2"/>
  <c r="A6556" i="2"/>
  <c r="O6555" i="2"/>
  <c r="O6554" i="2"/>
  <c r="O6553" i="2"/>
  <c r="O6552" i="2"/>
  <c r="O6551" i="2"/>
  <c r="O6550" i="2"/>
  <c r="O6549" i="2"/>
  <c r="O6548" i="2"/>
  <c r="M6548" i="2"/>
  <c r="L6548" i="2"/>
  <c r="E6548" i="2"/>
  <c r="D6548" i="2"/>
  <c r="B6548" i="2"/>
  <c r="A6548" i="2"/>
  <c r="O6547" i="2"/>
  <c r="O6546" i="2"/>
  <c r="O6545" i="2"/>
  <c r="O6544" i="2"/>
  <c r="M6544" i="2"/>
  <c r="L6544" i="2"/>
  <c r="E6544" i="2"/>
  <c r="D6544" i="2"/>
  <c r="B6544" i="2"/>
  <c r="A6544" i="2"/>
  <c r="O6543" i="2"/>
  <c r="M6543" i="2"/>
  <c r="L6543" i="2"/>
  <c r="E6543" i="2"/>
  <c r="D6543" i="2"/>
  <c r="B6543" i="2"/>
  <c r="A6543" i="2"/>
  <c r="O6542" i="2"/>
  <c r="M6542" i="2"/>
  <c r="L6542" i="2"/>
  <c r="E6542" i="2"/>
  <c r="D6542" i="2"/>
  <c r="B6542" i="2"/>
  <c r="A6542" i="2"/>
  <c r="O6541" i="2"/>
  <c r="M6541" i="2"/>
  <c r="L6541" i="2"/>
  <c r="E6541" i="2"/>
  <c r="D6541" i="2"/>
  <c r="B6541" i="2"/>
  <c r="A6541" i="2"/>
  <c r="O6540" i="2"/>
  <c r="O6539" i="2"/>
  <c r="O6538" i="2"/>
  <c r="M6538" i="2"/>
  <c r="L6538" i="2"/>
  <c r="E6538" i="2"/>
  <c r="D6538" i="2"/>
  <c r="B6538" i="2"/>
  <c r="A6538" i="2"/>
  <c r="O6537" i="2"/>
  <c r="M6537" i="2"/>
  <c r="L6537" i="2"/>
  <c r="E6537" i="2"/>
  <c r="D6537" i="2"/>
  <c r="B6537" i="2"/>
  <c r="A6537" i="2"/>
  <c r="O6536" i="2"/>
  <c r="O6535" i="2"/>
  <c r="O6534" i="2"/>
  <c r="M6534" i="2"/>
  <c r="L6534" i="2"/>
  <c r="E6534" i="2"/>
  <c r="D6534" i="2"/>
  <c r="B6534" i="2"/>
  <c r="A6534" i="2"/>
  <c r="O6533" i="2"/>
  <c r="O6532" i="2"/>
  <c r="O6531" i="2"/>
  <c r="O6530" i="2"/>
  <c r="M6530" i="2"/>
  <c r="L6530" i="2"/>
  <c r="E6530" i="2"/>
  <c r="D6530" i="2"/>
  <c r="B6530" i="2"/>
  <c r="A6530" i="2"/>
  <c r="O6529" i="2"/>
  <c r="M6529" i="2"/>
  <c r="L6529" i="2"/>
  <c r="E6529" i="2"/>
  <c r="D6529" i="2"/>
  <c r="B6529" i="2"/>
  <c r="A6529" i="2"/>
  <c r="O6528" i="2"/>
  <c r="O6527" i="2"/>
  <c r="O6526" i="2"/>
  <c r="O6525" i="2"/>
  <c r="O6524" i="2"/>
  <c r="M6524" i="2"/>
  <c r="L6524" i="2"/>
  <c r="E6524" i="2"/>
  <c r="D6524" i="2"/>
  <c r="B6524" i="2"/>
  <c r="A6524" i="2"/>
  <c r="O6523" i="2"/>
  <c r="O6522" i="2"/>
  <c r="M6522" i="2"/>
  <c r="L6522" i="2"/>
  <c r="E6522" i="2"/>
  <c r="D6522" i="2"/>
  <c r="B6522" i="2"/>
  <c r="A6522" i="2"/>
  <c r="O6521" i="2"/>
  <c r="O6520" i="2"/>
  <c r="M6520" i="2"/>
  <c r="L6520" i="2"/>
  <c r="E6520" i="2"/>
  <c r="D6520" i="2"/>
  <c r="B6520" i="2"/>
  <c r="A6520" i="2"/>
  <c r="O6519" i="2"/>
  <c r="O6518" i="2"/>
  <c r="O6517" i="2"/>
  <c r="O6516" i="2"/>
  <c r="M6516" i="2"/>
  <c r="L6516" i="2"/>
  <c r="E6516" i="2"/>
  <c r="D6516" i="2"/>
  <c r="B6516" i="2"/>
  <c r="A6516" i="2"/>
  <c r="O6515" i="2"/>
  <c r="M6515" i="2"/>
  <c r="L6515" i="2"/>
  <c r="E6515" i="2"/>
  <c r="D6515" i="2"/>
  <c r="B6515" i="2"/>
  <c r="A6515" i="2"/>
  <c r="O6514" i="2"/>
  <c r="M6514" i="2"/>
  <c r="L6514" i="2"/>
  <c r="E6514" i="2"/>
  <c r="D6514" i="2"/>
  <c r="B6514" i="2"/>
  <c r="A6514" i="2"/>
  <c r="O6513" i="2"/>
  <c r="O6512" i="2"/>
  <c r="M6512" i="2"/>
  <c r="L6512" i="2"/>
  <c r="E6512" i="2"/>
  <c r="D6512" i="2"/>
  <c r="B6512" i="2"/>
  <c r="A6512" i="2"/>
  <c r="O6511" i="2"/>
  <c r="O6510" i="2"/>
  <c r="O6509" i="2"/>
  <c r="M6509" i="2"/>
  <c r="L6509" i="2"/>
  <c r="E6509" i="2"/>
  <c r="D6509" i="2"/>
  <c r="B6509" i="2"/>
  <c r="A6509" i="2"/>
  <c r="O6508" i="2"/>
  <c r="M6508" i="2"/>
  <c r="L6508" i="2"/>
  <c r="E6508" i="2"/>
  <c r="D6508" i="2"/>
  <c r="B6508" i="2"/>
  <c r="A6508" i="2"/>
  <c r="O6507" i="2"/>
  <c r="O6506" i="2"/>
  <c r="M6506" i="2"/>
  <c r="L6506" i="2"/>
  <c r="E6506" i="2"/>
  <c r="D6506" i="2"/>
  <c r="B6506" i="2"/>
  <c r="A6506" i="2"/>
  <c r="O6505" i="2"/>
  <c r="O6504" i="2"/>
  <c r="O6503" i="2"/>
  <c r="M6503" i="2"/>
  <c r="L6503" i="2"/>
  <c r="E6503" i="2"/>
  <c r="D6503" i="2"/>
  <c r="B6503" i="2"/>
  <c r="A6503" i="2"/>
  <c r="O6502" i="2"/>
  <c r="O6501" i="2"/>
  <c r="M6501" i="2"/>
  <c r="L6501" i="2"/>
  <c r="E6501" i="2"/>
  <c r="D6501" i="2"/>
  <c r="B6501" i="2"/>
  <c r="A6501" i="2"/>
  <c r="O6500" i="2"/>
  <c r="O6499" i="2"/>
  <c r="O6498" i="2"/>
  <c r="M6498" i="2"/>
  <c r="L6498" i="2"/>
  <c r="E6498" i="2"/>
  <c r="D6498" i="2"/>
  <c r="B6498" i="2"/>
  <c r="A6498" i="2"/>
  <c r="O6497" i="2"/>
  <c r="O6496" i="2"/>
  <c r="O6495" i="2"/>
  <c r="O6494" i="2"/>
  <c r="O6493" i="2"/>
  <c r="O6492" i="2"/>
  <c r="O6491" i="2"/>
  <c r="O6490" i="2"/>
  <c r="O6489" i="2"/>
  <c r="M6489" i="2"/>
  <c r="L6489" i="2"/>
  <c r="E6489" i="2"/>
  <c r="D6489" i="2"/>
  <c r="B6489" i="2"/>
  <c r="A6489" i="2"/>
  <c r="O6488" i="2"/>
  <c r="M6488" i="2"/>
  <c r="L6488" i="2"/>
  <c r="E6488" i="2"/>
  <c r="D6488" i="2"/>
  <c r="B6488" i="2"/>
  <c r="A6488" i="2"/>
  <c r="O6487" i="2"/>
  <c r="O6486" i="2"/>
  <c r="M6486" i="2"/>
  <c r="L6486" i="2"/>
  <c r="E6486" i="2"/>
  <c r="D6486" i="2"/>
  <c r="B6486" i="2"/>
  <c r="A6486" i="2"/>
  <c r="O6485" i="2"/>
  <c r="O6484" i="2"/>
  <c r="O6483" i="2"/>
  <c r="O6482" i="2"/>
  <c r="M6482" i="2"/>
  <c r="L6482" i="2"/>
  <c r="E6482" i="2"/>
  <c r="D6482" i="2"/>
  <c r="B6482" i="2"/>
  <c r="A6482" i="2"/>
  <c r="O6481" i="2"/>
  <c r="M6481" i="2"/>
  <c r="L6481" i="2"/>
  <c r="E6481" i="2"/>
  <c r="D6481" i="2"/>
  <c r="B6481" i="2"/>
  <c r="A6481" i="2"/>
  <c r="O6480" i="2"/>
  <c r="M6480" i="2"/>
  <c r="L6480" i="2"/>
  <c r="E6480" i="2"/>
  <c r="D6480" i="2"/>
  <c r="B6480" i="2"/>
  <c r="A6480" i="2"/>
  <c r="O6479" i="2"/>
  <c r="O6478" i="2"/>
  <c r="O6477" i="2"/>
  <c r="O6476" i="2"/>
  <c r="O6475" i="2"/>
  <c r="O6474" i="2"/>
  <c r="O6473" i="2"/>
  <c r="O6472" i="2"/>
  <c r="M6472" i="2"/>
  <c r="L6472" i="2"/>
  <c r="E6472" i="2"/>
  <c r="D6472" i="2"/>
  <c r="B6472" i="2"/>
  <c r="A6472" i="2"/>
  <c r="O6471" i="2"/>
  <c r="O6470" i="2"/>
  <c r="O6469" i="2"/>
  <c r="O6468" i="2"/>
  <c r="M6468" i="2"/>
  <c r="L6468" i="2"/>
  <c r="E6468" i="2"/>
  <c r="D6468" i="2"/>
  <c r="B6468" i="2"/>
  <c r="A6468" i="2"/>
  <c r="O6467" i="2"/>
  <c r="O6466" i="2"/>
  <c r="M6466" i="2"/>
  <c r="L6466" i="2"/>
  <c r="E6466" i="2"/>
  <c r="D6466" i="2"/>
  <c r="B6466" i="2"/>
  <c r="A6466" i="2"/>
  <c r="O6465" i="2"/>
  <c r="O6464" i="2"/>
  <c r="O6463" i="2"/>
  <c r="M6463" i="2"/>
  <c r="L6463" i="2"/>
  <c r="E6463" i="2"/>
  <c r="D6463" i="2"/>
  <c r="B6463" i="2"/>
  <c r="A6463" i="2"/>
  <c r="O6462" i="2"/>
  <c r="O6461" i="2"/>
  <c r="M6461" i="2"/>
  <c r="L6461" i="2"/>
  <c r="E6461" i="2"/>
  <c r="D6461" i="2"/>
  <c r="B6461" i="2"/>
  <c r="A6461" i="2"/>
  <c r="O6460" i="2"/>
  <c r="M6460" i="2"/>
  <c r="L6460" i="2"/>
  <c r="E6460" i="2"/>
  <c r="D6460" i="2"/>
  <c r="B6460" i="2"/>
  <c r="A6460" i="2"/>
  <c r="O6459" i="2"/>
  <c r="O6458" i="2"/>
  <c r="M6458" i="2"/>
  <c r="L6458" i="2"/>
  <c r="E6458" i="2"/>
  <c r="D6458" i="2"/>
  <c r="B6458" i="2"/>
  <c r="A6458" i="2"/>
  <c r="O6457" i="2"/>
  <c r="O6456" i="2"/>
  <c r="O6455" i="2"/>
  <c r="O6454" i="2"/>
  <c r="M6454" i="2"/>
  <c r="L6454" i="2"/>
  <c r="E6454" i="2"/>
  <c r="D6454" i="2"/>
  <c r="B6454" i="2"/>
  <c r="A6454" i="2"/>
  <c r="O6453" i="2"/>
  <c r="O6452" i="2"/>
  <c r="O6451" i="2"/>
  <c r="M6451" i="2"/>
  <c r="L6451" i="2"/>
  <c r="E6451" i="2"/>
  <c r="D6451" i="2"/>
  <c r="B6451" i="2"/>
  <c r="A6451" i="2"/>
  <c r="O6450" i="2"/>
  <c r="O6449" i="2"/>
  <c r="O6448" i="2"/>
  <c r="O6447" i="2"/>
  <c r="O6446" i="2"/>
  <c r="O6445" i="2"/>
  <c r="M6445" i="2"/>
  <c r="L6445" i="2"/>
  <c r="E6445" i="2"/>
  <c r="D6445" i="2"/>
  <c r="B6445" i="2"/>
  <c r="A6445" i="2"/>
  <c r="O6444" i="2"/>
  <c r="O6443" i="2"/>
  <c r="O6442" i="2"/>
  <c r="M6442" i="2"/>
  <c r="L6442" i="2"/>
  <c r="E6442" i="2"/>
  <c r="D6442" i="2"/>
  <c r="B6442" i="2"/>
  <c r="A6442" i="2"/>
  <c r="O6441" i="2"/>
  <c r="O6440" i="2"/>
  <c r="O6439" i="2"/>
  <c r="M6439" i="2"/>
  <c r="L6439" i="2"/>
  <c r="E6439" i="2"/>
  <c r="D6439" i="2"/>
  <c r="B6439" i="2"/>
  <c r="A6439" i="2"/>
  <c r="O6438" i="2"/>
  <c r="M6438" i="2"/>
  <c r="L6438" i="2"/>
  <c r="E6438" i="2"/>
  <c r="D6438" i="2"/>
  <c r="B6438" i="2"/>
  <c r="A6438" i="2"/>
  <c r="O6437" i="2"/>
  <c r="M6437" i="2"/>
  <c r="L6437" i="2"/>
  <c r="E6437" i="2"/>
  <c r="D6437" i="2"/>
  <c r="B6437" i="2"/>
  <c r="A6437" i="2"/>
  <c r="O6436" i="2"/>
  <c r="M6436" i="2"/>
  <c r="L6436" i="2"/>
  <c r="E6436" i="2"/>
  <c r="D6436" i="2"/>
  <c r="B6436" i="2"/>
  <c r="A6436" i="2"/>
  <c r="O6435" i="2"/>
  <c r="M6435" i="2"/>
  <c r="L6435" i="2"/>
  <c r="E6435" i="2"/>
  <c r="D6435" i="2"/>
  <c r="B6435" i="2"/>
  <c r="A6435" i="2"/>
  <c r="O6434" i="2"/>
  <c r="M6434" i="2"/>
  <c r="L6434" i="2"/>
  <c r="E6434" i="2"/>
  <c r="D6434" i="2"/>
  <c r="B6434" i="2"/>
  <c r="A6434" i="2"/>
  <c r="O6433" i="2"/>
  <c r="M6433" i="2"/>
  <c r="L6433" i="2"/>
  <c r="E6433" i="2"/>
  <c r="D6433" i="2"/>
  <c r="B6433" i="2"/>
  <c r="A6433" i="2"/>
  <c r="O6432" i="2"/>
  <c r="M6432" i="2"/>
  <c r="L6432" i="2"/>
  <c r="E6432" i="2"/>
  <c r="D6432" i="2"/>
  <c r="B6432" i="2"/>
  <c r="A6432" i="2"/>
  <c r="O6431" i="2"/>
  <c r="O6430" i="2"/>
  <c r="M6430" i="2"/>
  <c r="L6430" i="2"/>
  <c r="E6430" i="2"/>
  <c r="D6430" i="2"/>
  <c r="B6430" i="2"/>
  <c r="A6430" i="2"/>
  <c r="O6429" i="2"/>
  <c r="M6429" i="2"/>
  <c r="L6429" i="2"/>
  <c r="E6429" i="2"/>
  <c r="D6429" i="2"/>
  <c r="B6429" i="2"/>
  <c r="A6429" i="2"/>
  <c r="O6428" i="2"/>
  <c r="M6428" i="2"/>
  <c r="L6428" i="2"/>
  <c r="E6428" i="2"/>
  <c r="D6428" i="2"/>
  <c r="B6428" i="2"/>
  <c r="A6428" i="2"/>
  <c r="O6427" i="2"/>
  <c r="O6426" i="2"/>
  <c r="M6426" i="2"/>
  <c r="L6426" i="2"/>
  <c r="E6426" i="2"/>
  <c r="D6426" i="2"/>
  <c r="B6426" i="2"/>
  <c r="A6426" i="2"/>
  <c r="O6425" i="2"/>
  <c r="O6424" i="2"/>
  <c r="M6424" i="2"/>
  <c r="L6424" i="2"/>
  <c r="E6424" i="2"/>
  <c r="D6424" i="2"/>
  <c r="B6424" i="2"/>
  <c r="A6424" i="2"/>
  <c r="O6423" i="2"/>
  <c r="M6423" i="2"/>
  <c r="L6423" i="2"/>
  <c r="E6423" i="2"/>
  <c r="D6423" i="2"/>
  <c r="B6423" i="2"/>
  <c r="A6423" i="2"/>
  <c r="O6422" i="2"/>
  <c r="M6422" i="2"/>
  <c r="L6422" i="2"/>
  <c r="E6422" i="2"/>
  <c r="D6422" i="2"/>
  <c r="B6422" i="2"/>
  <c r="A6422" i="2"/>
  <c r="O6421" i="2"/>
  <c r="M6421" i="2"/>
  <c r="L6421" i="2"/>
  <c r="E6421" i="2"/>
  <c r="D6421" i="2"/>
  <c r="B6421" i="2"/>
  <c r="A6421" i="2"/>
  <c r="O6420" i="2"/>
  <c r="M6420" i="2"/>
  <c r="L6420" i="2"/>
  <c r="E6420" i="2"/>
  <c r="D6420" i="2"/>
  <c r="B6420" i="2"/>
  <c r="A6420" i="2"/>
  <c r="O6419" i="2"/>
  <c r="M6419" i="2"/>
  <c r="L6419" i="2"/>
  <c r="E6419" i="2"/>
  <c r="D6419" i="2"/>
  <c r="B6419" i="2"/>
  <c r="A6419" i="2"/>
  <c r="O6418" i="2"/>
  <c r="O6417" i="2"/>
  <c r="M6417" i="2"/>
  <c r="L6417" i="2"/>
  <c r="E6417" i="2"/>
  <c r="D6417" i="2"/>
  <c r="B6417" i="2"/>
  <c r="A6417" i="2"/>
  <c r="O6416" i="2"/>
  <c r="M6416" i="2"/>
  <c r="L6416" i="2"/>
  <c r="E6416" i="2"/>
  <c r="D6416" i="2"/>
  <c r="B6416" i="2"/>
  <c r="A6416" i="2"/>
  <c r="O6415" i="2"/>
  <c r="M6415" i="2"/>
  <c r="L6415" i="2"/>
  <c r="E6415" i="2"/>
  <c r="D6415" i="2"/>
  <c r="B6415" i="2"/>
  <c r="A6415" i="2"/>
  <c r="O6414" i="2"/>
  <c r="M6414" i="2"/>
  <c r="L6414" i="2"/>
  <c r="E6414" i="2"/>
  <c r="D6414" i="2"/>
  <c r="B6414" i="2"/>
  <c r="A6414" i="2"/>
  <c r="O6413" i="2"/>
  <c r="M6413" i="2"/>
  <c r="L6413" i="2"/>
  <c r="E6413" i="2"/>
  <c r="D6413" i="2"/>
  <c r="B6413" i="2"/>
  <c r="A6413" i="2"/>
  <c r="O6412" i="2"/>
  <c r="O6411" i="2"/>
  <c r="M6411" i="2"/>
  <c r="L6411" i="2"/>
  <c r="E6411" i="2"/>
  <c r="D6411" i="2"/>
  <c r="B6411" i="2"/>
  <c r="A6411" i="2"/>
  <c r="O6410" i="2"/>
  <c r="M6410" i="2"/>
  <c r="L6410" i="2"/>
  <c r="E6410" i="2"/>
  <c r="D6410" i="2"/>
  <c r="B6410" i="2"/>
  <c r="A6410" i="2"/>
  <c r="O6409" i="2"/>
  <c r="O6408" i="2"/>
  <c r="O6407" i="2"/>
  <c r="O6406" i="2"/>
  <c r="O6405" i="2"/>
  <c r="M6405" i="2"/>
  <c r="L6405" i="2"/>
  <c r="E6405" i="2"/>
  <c r="D6405" i="2"/>
  <c r="B6405" i="2"/>
  <c r="A6405" i="2"/>
  <c r="O6404" i="2"/>
  <c r="O6403" i="2"/>
  <c r="O6402" i="2"/>
  <c r="M6402" i="2"/>
  <c r="L6402" i="2"/>
  <c r="E6402" i="2"/>
  <c r="D6402" i="2"/>
  <c r="B6402" i="2"/>
  <c r="A6402" i="2"/>
  <c r="O6401" i="2"/>
  <c r="O6400" i="2"/>
  <c r="O6399" i="2"/>
  <c r="M6399" i="2"/>
  <c r="L6399" i="2"/>
  <c r="E6399" i="2"/>
  <c r="D6399" i="2"/>
  <c r="B6399" i="2"/>
  <c r="A6399" i="2"/>
  <c r="O6398" i="2"/>
  <c r="O6397" i="2"/>
  <c r="O6396" i="2"/>
  <c r="O6395" i="2"/>
  <c r="O6394" i="2"/>
  <c r="M6394" i="2"/>
  <c r="L6394" i="2"/>
  <c r="E6394" i="2"/>
  <c r="D6394" i="2"/>
  <c r="B6394" i="2"/>
  <c r="A6394" i="2"/>
  <c r="O6393" i="2"/>
  <c r="O6392" i="2"/>
  <c r="O6391" i="2"/>
  <c r="O6390" i="2"/>
  <c r="M6390" i="2"/>
  <c r="L6390" i="2"/>
  <c r="E6390" i="2"/>
  <c r="D6390" i="2"/>
  <c r="B6390" i="2"/>
  <c r="A6390" i="2"/>
  <c r="O6389" i="2"/>
  <c r="O6388" i="2"/>
  <c r="O6387" i="2"/>
  <c r="M6387" i="2"/>
  <c r="L6387" i="2"/>
  <c r="E6387" i="2"/>
  <c r="D6387" i="2"/>
  <c r="B6387" i="2"/>
  <c r="A6387" i="2"/>
  <c r="O6386" i="2"/>
  <c r="O6385" i="2"/>
  <c r="O6384" i="2"/>
  <c r="O6383" i="2"/>
  <c r="O6382" i="2"/>
  <c r="M6382" i="2"/>
  <c r="L6382" i="2"/>
  <c r="E6382" i="2"/>
  <c r="D6382" i="2"/>
  <c r="B6382" i="2"/>
  <c r="A6382" i="2"/>
  <c r="O6381" i="2"/>
  <c r="O6380" i="2"/>
  <c r="O6379" i="2"/>
  <c r="M6379" i="2"/>
  <c r="L6379" i="2"/>
  <c r="E6379" i="2"/>
  <c r="D6379" i="2"/>
  <c r="B6379" i="2"/>
  <c r="A6379" i="2"/>
  <c r="O6378" i="2"/>
  <c r="O6377" i="2"/>
  <c r="O6376" i="2"/>
  <c r="M6376" i="2"/>
  <c r="L6376" i="2"/>
  <c r="E6376" i="2"/>
  <c r="D6376" i="2"/>
  <c r="B6376" i="2"/>
  <c r="A6376" i="2"/>
  <c r="O6375" i="2"/>
  <c r="M6375" i="2"/>
  <c r="L6375" i="2"/>
  <c r="E6375" i="2"/>
  <c r="D6375" i="2"/>
  <c r="B6375" i="2"/>
  <c r="A6375" i="2"/>
  <c r="O6374" i="2"/>
  <c r="O6373" i="2"/>
  <c r="O6372" i="2"/>
  <c r="M6372" i="2"/>
  <c r="L6372" i="2"/>
  <c r="E6372" i="2"/>
  <c r="D6372" i="2"/>
  <c r="B6372" i="2"/>
  <c r="A6372" i="2"/>
  <c r="O6371" i="2"/>
  <c r="O6370" i="2"/>
  <c r="O6369" i="2"/>
  <c r="M6369" i="2"/>
  <c r="L6369" i="2"/>
  <c r="E6369" i="2"/>
  <c r="D6369" i="2"/>
  <c r="B6369" i="2"/>
  <c r="A6369" i="2"/>
  <c r="O6368" i="2"/>
  <c r="O6367" i="2"/>
  <c r="O6366" i="2"/>
  <c r="M6366" i="2"/>
  <c r="L6366" i="2"/>
  <c r="E6366" i="2"/>
  <c r="D6366" i="2"/>
  <c r="B6366" i="2"/>
  <c r="A6366" i="2"/>
  <c r="O6365" i="2"/>
  <c r="O6364" i="2"/>
  <c r="O6363" i="2"/>
  <c r="O6362" i="2"/>
  <c r="O6361" i="2"/>
  <c r="O6360" i="2"/>
  <c r="O6359" i="2"/>
  <c r="O6358" i="2"/>
  <c r="M6358" i="2"/>
  <c r="L6358" i="2"/>
  <c r="E6358" i="2"/>
  <c r="D6358" i="2"/>
  <c r="B6358" i="2"/>
  <c r="A6358" i="2"/>
  <c r="O6357" i="2"/>
  <c r="M6357" i="2"/>
  <c r="L6357" i="2"/>
  <c r="E6357" i="2"/>
  <c r="D6357" i="2"/>
  <c r="B6357" i="2"/>
  <c r="A6357" i="2"/>
  <c r="O6356" i="2"/>
  <c r="O6355" i="2"/>
  <c r="M6355" i="2"/>
  <c r="L6355" i="2"/>
  <c r="E6355" i="2"/>
  <c r="D6355" i="2"/>
  <c r="B6355" i="2"/>
  <c r="A6355" i="2"/>
  <c r="O6354" i="2"/>
  <c r="O6353" i="2"/>
  <c r="O6352" i="2"/>
  <c r="O6351" i="2"/>
  <c r="M6351" i="2"/>
  <c r="L6351" i="2"/>
  <c r="E6351" i="2"/>
  <c r="D6351" i="2"/>
  <c r="B6351" i="2"/>
  <c r="A6351" i="2"/>
  <c r="O6350" i="2"/>
  <c r="M6350" i="2"/>
  <c r="L6350" i="2"/>
  <c r="E6350" i="2"/>
  <c r="D6350" i="2"/>
  <c r="B6350" i="2"/>
  <c r="A6350" i="2"/>
  <c r="O6349" i="2"/>
  <c r="O6348" i="2"/>
  <c r="O6347" i="2"/>
  <c r="O6346" i="2"/>
  <c r="M6346" i="2"/>
  <c r="L6346" i="2"/>
  <c r="E6346" i="2"/>
  <c r="D6346" i="2"/>
  <c r="B6346" i="2"/>
  <c r="A6346" i="2"/>
  <c r="O6345" i="2"/>
  <c r="O6344" i="2"/>
  <c r="O6343" i="2"/>
  <c r="M6343" i="2"/>
  <c r="L6343" i="2"/>
  <c r="E6343" i="2"/>
  <c r="D6343" i="2"/>
  <c r="B6343" i="2"/>
  <c r="A6343" i="2"/>
  <c r="O6342" i="2"/>
  <c r="O6341" i="2"/>
  <c r="M6341" i="2"/>
  <c r="L6341" i="2"/>
  <c r="E6341" i="2"/>
  <c r="D6341" i="2"/>
  <c r="B6341" i="2"/>
  <c r="A6341" i="2"/>
  <c r="O6340" i="2"/>
  <c r="M6340" i="2"/>
  <c r="L6340" i="2"/>
  <c r="E6340" i="2"/>
  <c r="D6340" i="2"/>
  <c r="B6340" i="2"/>
  <c r="A6340" i="2"/>
  <c r="O6339" i="2"/>
  <c r="M6339" i="2"/>
  <c r="L6339" i="2"/>
  <c r="E6339" i="2"/>
  <c r="D6339" i="2"/>
  <c r="B6339" i="2"/>
  <c r="A6339" i="2"/>
  <c r="O6338" i="2"/>
  <c r="O6337" i="2"/>
  <c r="O6336" i="2"/>
  <c r="M6336" i="2"/>
  <c r="L6336" i="2"/>
  <c r="E6336" i="2"/>
  <c r="D6336" i="2"/>
  <c r="B6336" i="2"/>
  <c r="A6336" i="2"/>
  <c r="O6335" i="2"/>
  <c r="M6335" i="2"/>
  <c r="L6335" i="2"/>
  <c r="E6335" i="2"/>
  <c r="D6335" i="2"/>
  <c r="B6335" i="2"/>
  <c r="A6335" i="2"/>
  <c r="O6334" i="2"/>
  <c r="M6334" i="2"/>
  <c r="L6334" i="2"/>
  <c r="E6334" i="2"/>
  <c r="D6334" i="2"/>
  <c r="B6334" i="2"/>
  <c r="A6334" i="2"/>
  <c r="O6333" i="2"/>
  <c r="O6332" i="2"/>
  <c r="M6332" i="2"/>
  <c r="L6332" i="2"/>
  <c r="E6332" i="2"/>
  <c r="D6332" i="2"/>
  <c r="B6332" i="2"/>
  <c r="A6332" i="2"/>
  <c r="O6331" i="2"/>
  <c r="O6330" i="2"/>
  <c r="O6329" i="2"/>
  <c r="O6328" i="2"/>
  <c r="O6327" i="2"/>
  <c r="O6326" i="2"/>
  <c r="O6325" i="2"/>
  <c r="O6324" i="2"/>
  <c r="O6323" i="2"/>
  <c r="O6322" i="2"/>
  <c r="O6321" i="2"/>
  <c r="O6320" i="2"/>
  <c r="O6319" i="2"/>
  <c r="O6318" i="2"/>
  <c r="O6317" i="2"/>
  <c r="O6316" i="2"/>
  <c r="M6316" i="2"/>
  <c r="L6316" i="2"/>
  <c r="E6316" i="2"/>
  <c r="D6316" i="2"/>
  <c r="B6316" i="2"/>
  <c r="A6316" i="2"/>
  <c r="O6315" i="2"/>
  <c r="M6315" i="2"/>
  <c r="L6315" i="2"/>
  <c r="E6315" i="2"/>
  <c r="D6315" i="2"/>
  <c r="B6315" i="2"/>
  <c r="A6315" i="2"/>
  <c r="O6314" i="2"/>
  <c r="O6313" i="2"/>
  <c r="O6312" i="2"/>
  <c r="M6312" i="2"/>
  <c r="L6312" i="2"/>
  <c r="E6312" i="2"/>
  <c r="D6312" i="2"/>
  <c r="B6312" i="2"/>
  <c r="A6312" i="2"/>
  <c r="O6311" i="2"/>
  <c r="O6310" i="2"/>
  <c r="M6310" i="2"/>
  <c r="L6310" i="2"/>
  <c r="E6310" i="2"/>
  <c r="D6310" i="2"/>
  <c r="B6310" i="2"/>
  <c r="A6310" i="2"/>
  <c r="O6309" i="2"/>
  <c r="M6309" i="2"/>
  <c r="L6309" i="2"/>
  <c r="E6309" i="2"/>
  <c r="D6309" i="2"/>
  <c r="B6309" i="2"/>
  <c r="A6309" i="2"/>
  <c r="O6308" i="2"/>
  <c r="O6307" i="2"/>
  <c r="O6306" i="2"/>
  <c r="M6306" i="2"/>
  <c r="L6306" i="2"/>
  <c r="E6306" i="2"/>
  <c r="D6306" i="2"/>
  <c r="B6306" i="2"/>
  <c r="A6306" i="2"/>
  <c r="O6305" i="2"/>
  <c r="M6305" i="2"/>
  <c r="L6305" i="2"/>
  <c r="E6305" i="2"/>
  <c r="D6305" i="2"/>
  <c r="B6305" i="2"/>
  <c r="A6305" i="2"/>
  <c r="O6304" i="2"/>
  <c r="O6303" i="2"/>
  <c r="O6302" i="2"/>
  <c r="O6301" i="2"/>
  <c r="M6301" i="2"/>
  <c r="L6301" i="2"/>
  <c r="E6301" i="2"/>
  <c r="D6301" i="2"/>
  <c r="B6301" i="2"/>
  <c r="A6301" i="2"/>
  <c r="O6300" i="2"/>
  <c r="M6300" i="2"/>
  <c r="L6300" i="2"/>
  <c r="E6300" i="2"/>
  <c r="D6300" i="2"/>
  <c r="B6300" i="2"/>
  <c r="A6300" i="2"/>
  <c r="O6299" i="2"/>
  <c r="M6299" i="2"/>
  <c r="L6299" i="2"/>
  <c r="E6299" i="2"/>
  <c r="D6299" i="2"/>
  <c r="B6299" i="2"/>
  <c r="A6299" i="2"/>
  <c r="O6298" i="2"/>
  <c r="O6297" i="2"/>
  <c r="M6297" i="2"/>
  <c r="L6297" i="2"/>
  <c r="E6297" i="2"/>
  <c r="D6297" i="2"/>
  <c r="B6297" i="2"/>
  <c r="A6297" i="2"/>
  <c r="O6296" i="2"/>
  <c r="O6295" i="2"/>
  <c r="O6294" i="2"/>
  <c r="M6294" i="2"/>
  <c r="L6294" i="2"/>
  <c r="E6294" i="2"/>
  <c r="D6294" i="2"/>
  <c r="B6294" i="2"/>
  <c r="A6294" i="2"/>
  <c r="O6293" i="2"/>
  <c r="O6292" i="2"/>
  <c r="M6292" i="2"/>
  <c r="L6292" i="2"/>
  <c r="E6292" i="2"/>
  <c r="D6292" i="2"/>
  <c r="B6292" i="2"/>
  <c r="A6292" i="2"/>
  <c r="O6291" i="2"/>
  <c r="M6291" i="2"/>
  <c r="L6291" i="2"/>
  <c r="E6291" i="2"/>
  <c r="D6291" i="2"/>
  <c r="B6291" i="2"/>
  <c r="A6291" i="2"/>
  <c r="O6290" i="2"/>
  <c r="M6290" i="2"/>
  <c r="L6290" i="2"/>
  <c r="E6290" i="2"/>
  <c r="D6290" i="2"/>
  <c r="B6290" i="2"/>
  <c r="A6290" i="2"/>
  <c r="O6289" i="2"/>
  <c r="O6288" i="2"/>
  <c r="M6288" i="2"/>
  <c r="L6288" i="2"/>
  <c r="E6288" i="2"/>
  <c r="D6288" i="2"/>
  <c r="B6288" i="2"/>
  <c r="A6288" i="2"/>
  <c r="O6287" i="2"/>
  <c r="O6286" i="2"/>
  <c r="M6286" i="2"/>
  <c r="L6286" i="2"/>
  <c r="E6286" i="2"/>
  <c r="D6286" i="2"/>
  <c r="B6286" i="2"/>
  <c r="A6286" i="2"/>
  <c r="O6285" i="2"/>
  <c r="O6284" i="2"/>
  <c r="M6284" i="2"/>
  <c r="L6284" i="2"/>
  <c r="E6284" i="2"/>
  <c r="D6284" i="2"/>
  <c r="B6284" i="2"/>
  <c r="A6284" i="2"/>
  <c r="O6283" i="2"/>
  <c r="O6282" i="2"/>
  <c r="M6282" i="2"/>
  <c r="L6282" i="2"/>
  <c r="E6282" i="2"/>
  <c r="D6282" i="2"/>
  <c r="B6282" i="2"/>
  <c r="A6282" i="2"/>
  <c r="O6281" i="2"/>
  <c r="O6280" i="2"/>
  <c r="M6280" i="2"/>
  <c r="L6280" i="2"/>
  <c r="E6280" i="2"/>
  <c r="D6280" i="2"/>
  <c r="B6280" i="2"/>
  <c r="A6280" i="2"/>
  <c r="O6279" i="2"/>
  <c r="M6279" i="2"/>
  <c r="L6279" i="2"/>
  <c r="E6279" i="2"/>
  <c r="D6279" i="2"/>
  <c r="B6279" i="2"/>
  <c r="A6279" i="2"/>
  <c r="O6278" i="2"/>
  <c r="O6277" i="2"/>
  <c r="M6277" i="2"/>
  <c r="L6277" i="2"/>
  <c r="E6277" i="2"/>
  <c r="D6277" i="2"/>
  <c r="B6277" i="2"/>
  <c r="A6277" i="2"/>
  <c r="O6276" i="2"/>
  <c r="M6276" i="2"/>
  <c r="L6276" i="2"/>
  <c r="E6276" i="2"/>
  <c r="D6276" i="2"/>
  <c r="B6276" i="2"/>
  <c r="A6276" i="2"/>
  <c r="O6275" i="2"/>
  <c r="O6274" i="2"/>
  <c r="O6273" i="2"/>
  <c r="M6273" i="2"/>
  <c r="L6273" i="2"/>
  <c r="E6273" i="2"/>
  <c r="D6273" i="2"/>
  <c r="B6273" i="2"/>
  <c r="A6273" i="2"/>
  <c r="O6272" i="2"/>
  <c r="M6272" i="2"/>
  <c r="L6272" i="2"/>
  <c r="E6272" i="2"/>
  <c r="D6272" i="2"/>
  <c r="B6272" i="2"/>
  <c r="A6272" i="2"/>
  <c r="O6271" i="2"/>
  <c r="O6270" i="2"/>
  <c r="M6270" i="2"/>
  <c r="L6270" i="2"/>
  <c r="E6270" i="2"/>
  <c r="D6270" i="2"/>
  <c r="B6270" i="2"/>
  <c r="A6270" i="2"/>
  <c r="O6269" i="2"/>
  <c r="M6269" i="2"/>
  <c r="L6269" i="2"/>
  <c r="E6269" i="2"/>
  <c r="D6269" i="2"/>
  <c r="B6269" i="2"/>
  <c r="A6269" i="2"/>
  <c r="O6268" i="2"/>
  <c r="O6267" i="2"/>
  <c r="M6267" i="2"/>
  <c r="L6267" i="2"/>
  <c r="E6267" i="2"/>
  <c r="D6267" i="2"/>
  <c r="B6267" i="2"/>
  <c r="A6267" i="2"/>
  <c r="O6266" i="2"/>
  <c r="M6266" i="2"/>
  <c r="L6266" i="2"/>
  <c r="E6266" i="2"/>
  <c r="D6266" i="2"/>
  <c r="B6266" i="2"/>
  <c r="A6266" i="2"/>
  <c r="O6265" i="2"/>
  <c r="M6265" i="2"/>
  <c r="L6265" i="2"/>
  <c r="E6265" i="2"/>
  <c r="D6265" i="2"/>
  <c r="B6265" i="2"/>
  <c r="A6265" i="2"/>
  <c r="O6264" i="2"/>
  <c r="O6263" i="2"/>
  <c r="O6262" i="2"/>
  <c r="O6261" i="2"/>
  <c r="M6261" i="2"/>
  <c r="L6261" i="2"/>
  <c r="E6261" i="2"/>
  <c r="D6261" i="2"/>
  <c r="B6261" i="2"/>
  <c r="A6261" i="2"/>
  <c r="O6260" i="2"/>
  <c r="O6259" i="2"/>
  <c r="M6259" i="2"/>
  <c r="L6259" i="2"/>
  <c r="E6259" i="2"/>
  <c r="D6259" i="2"/>
  <c r="B6259" i="2"/>
  <c r="A6259" i="2"/>
  <c r="O6258" i="2"/>
  <c r="M6258" i="2"/>
  <c r="L6258" i="2"/>
  <c r="E6258" i="2"/>
  <c r="D6258" i="2"/>
  <c r="B6258" i="2"/>
  <c r="A6258" i="2"/>
  <c r="O6257" i="2"/>
  <c r="O6256" i="2"/>
  <c r="M6256" i="2"/>
  <c r="L6256" i="2"/>
  <c r="E6256" i="2"/>
  <c r="D6256" i="2"/>
  <c r="B6256" i="2"/>
  <c r="A6256" i="2"/>
  <c r="O6255" i="2"/>
  <c r="O6254" i="2"/>
  <c r="O6253" i="2"/>
  <c r="O6252" i="2"/>
  <c r="O6251" i="2"/>
  <c r="M6251" i="2"/>
  <c r="L6251" i="2"/>
  <c r="E6251" i="2"/>
  <c r="D6251" i="2"/>
  <c r="B6251" i="2"/>
  <c r="A6251" i="2"/>
  <c r="O6250" i="2"/>
  <c r="M6250" i="2"/>
  <c r="L6250" i="2"/>
  <c r="E6250" i="2"/>
  <c r="D6250" i="2"/>
  <c r="B6250" i="2"/>
  <c r="A6250" i="2"/>
  <c r="O6249" i="2"/>
  <c r="O6248" i="2"/>
  <c r="O6247" i="2"/>
  <c r="O6246" i="2"/>
  <c r="O6245" i="2"/>
  <c r="O6244" i="2"/>
  <c r="O6243" i="2"/>
  <c r="O6242" i="2"/>
  <c r="O6241" i="2"/>
  <c r="O6240" i="2"/>
  <c r="O6239" i="2"/>
  <c r="M6239" i="2"/>
  <c r="L6239" i="2"/>
  <c r="E6239" i="2"/>
  <c r="D6239" i="2"/>
  <c r="B6239" i="2"/>
  <c r="A6239" i="2"/>
  <c r="O6238" i="2"/>
  <c r="O6237" i="2"/>
  <c r="O6236" i="2"/>
  <c r="O6235" i="2"/>
  <c r="O6234" i="2"/>
  <c r="O6233" i="2"/>
  <c r="O6232" i="2"/>
  <c r="M6232" i="2"/>
  <c r="L6232" i="2"/>
  <c r="E6232" i="2"/>
  <c r="D6232" i="2"/>
  <c r="B6232" i="2"/>
  <c r="A6232" i="2"/>
  <c r="O6231" i="2"/>
  <c r="O6230" i="2"/>
  <c r="O6229" i="2"/>
  <c r="O6228" i="2"/>
  <c r="O6227" i="2"/>
  <c r="O6226" i="2"/>
  <c r="O6225" i="2"/>
  <c r="M6225" i="2"/>
  <c r="L6225" i="2"/>
  <c r="E6225" i="2"/>
  <c r="D6225" i="2"/>
  <c r="B6225" i="2"/>
  <c r="A6225" i="2"/>
  <c r="O6224" i="2"/>
  <c r="O6223" i="2"/>
  <c r="M6223" i="2"/>
  <c r="L6223" i="2"/>
  <c r="E6223" i="2"/>
  <c r="D6223" i="2"/>
  <c r="B6223" i="2"/>
  <c r="A6223" i="2"/>
  <c r="O6222" i="2"/>
  <c r="M6222" i="2"/>
  <c r="L6222" i="2"/>
  <c r="E6222" i="2"/>
  <c r="D6222" i="2"/>
  <c r="B6222" i="2"/>
  <c r="A6222" i="2"/>
  <c r="O6221" i="2"/>
  <c r="M6221" i="2"/>
  <c r="L6221" i="2"/>
  <c r="E6221" i="2"/>
  <c r="D6221" i="2"/>
  <c r="B6221" i="2"/>
  <c r="A6221" i="2"/>
  <c r="O6220" i="2"/>
  <c r="M6220" i="2"/>
  <c r="L6220" i="2"/>
  <c r="E6220" i="2"/>
  <c r="D6220" i="2"/>
  <c r="B6220" i="2"/>
  <c r="A6220" i="2"/>
  <c r="O6219" i="2"/>
  <c r="O6218" i="2"/>
  <c r="M6218" i="2"/>
  <c r="L6218" i="2"/>
  <c r="E6218" i="2"/>
  <c r="D6218" i="2"/>
  <c r="B6218" i="2"/>
  <c r="A6218" i="2"/>
  <c r="O6217" i="2"/>
  <c r="M6217" i="2"/>
  <c r="L6217" i="2"/>
  <c r="E6217" i="2"/>
  <c r="D6217" i="2"/>
  <c r="B6217" i="2"/>
  <c r="A6217" i="2"/>
  <c r="O6216" i="2"/>
  <c r="M6216" i="2"/>
  <c r="L6216" i="2"/>
  <c r="E6216" i="2"/>
  <c r="D6216" i="2"/>
  <c r="B6216" i="2"/>
  <c r="A6216" i="2"/>
  <c r="O6215" i="2"/>
  <c r="M6215" i="2"/>
  <c r="L6215" i="2"/>
  <c r="E6215" i="2"/>
  <c r="D6215" i="2"/>
  <c r="B6215" i="2"/>
  <c r="A6215" i="2"/>
  <c r="O6214" i="2"/>
  <c r="M6214" i="2"/>
  <c r="L6214" i="2"/>
  <c r="E6214" i="2"/>
  <c r="D6214" i="2"/>
  <c r="B6214" i="2"/>
  <c r="A6214" i="2"/>
  <c r="O6213" i="2"/>
  <c r="O6212" i="2"/>
  <c r="M6212" i="2"/>
  <c r="L6212" i="2"/>
  <c r="E6212" i="2"/>
  <c r="D6212" i="2"/>
  <c r="B6212" i="2"/>
  <c r="A6212" i="2"/>
  <c r="O6211" i="2"/>
  <c r="O6210" i="2"/>
  <c r="M6210" i="2"/>
  <c r="L6210" i="2"/>
  <c r="E6210" i="2"/>
  <c r="D6210" i="2"/>
  <c r="B6210" i="2"/>
  <c r="A6210" i="2"/>
  <c r="O6209" i="2"/>
  <c r="O6208" i="2"/>
  <c r="O6207" i="2"/>
  <c r="M6207" i="2"/>
  <c r="L6207" i="2"/>
  <c r="E6207" i="2"/>
  <c r="D6207" i="2"/>
  <c r="B6207" i="2"/>
  <c r="A6207" i="2"/>
  <c r="O6206" i="2"/>
  <c r="O6205" i="2"/>
  <c r="M6205" i="2"/>
  <c r="L6205" i="2"/>
  <c r="E6205" i="2"/>
  <c r="D6205" i="2"/>
  <c r="B6205" i="2"/>
  <c r="A6205" i="2"/>
  <c r="O6204" i="2"/>
  <c r="O6203" i="2"/>
  <c r="M6203" i="2"/>
  <c r="L6203" i="2"/>
  <c r="E6203" i="2"/>
  <c r="D6203" i="2"/>
  <c r="B6203" i="2"/>
  <c r="A6203" i="2"/>
  <c r="O6202" i="2"/>
  <c r="M6202" i="2"/>
  <c r="L6202" i="2"/>
  <c r="E6202" i="2"/>
  <c r="D6202" i="2"/>
  <c r="B6202" i="2"/>
  <c r="A6202" i="2"/>
  <c r="O6201" i="2"/>
  <c r="M6201" i="2"/>
  <c r="L6201" i="2"/>
  <c r="E6201" i="2"/>
  <c r="D6201" i="2"/>
  <c r="B6201" i="2"/>
  <c r="A6201" i="2"/>
  <c r="O6200" i="2"/>
  <c r="M6200" i="2"/>
  <c r="L6200" i="2"/>
  <c r="E6200" i="2"/>
  <c r="D6200" i="2"/>
  <c r="B6200" i="2"/>
  <c r="A6200" i="2"/>
  <c r="O6199" i="2"/>
  <c r="O6198" i="2"/>
  <c r="M6198" i="2"/>
  <c r="L6198" i="2"/>
  <c r="E6198" i="2"/>
  <c r="D6198" i="2"/>
  <c r="B6198" i="2"/>
  <c r="A6198" i="2"/>
  <c r="O6197" i="2"/>
  <c r="M6197" i="2"/>
  <c r="L6197" i="2"/>
  <c r="E6197" i="2"/>
  <c r="D6197" i="2"/>
  <c r="B6197" i="2"/>
  <c r="A6197" i="2"/>
  <c r="O6196" i="2"/>
  <c r="M6196" i="2"/>
  <c r="L6196" i="2"/>
  <c r="E6196" i="2"/>
  <c r="D6196" i="2"/>
  <c r="B6196" i="2"/>
  <c r="A6196" i="2"/>
  <c r="O6195" i="2"/>
  <c r="O6194" i="2"/>
  <c r="O6193" i="2"/>
  <c r="O6192" i="2"/>
  <c r="O6191" i="2"/>
  <c r="O6190" i="2"/>
  <c r="O6189" i="2"/>
  <c r="O6188" i="2"/>
  <c r="M6188" i="2"/>
  <c r="L6188" i="2"/>
  <c r="E6188" i="2"/>
  <c r="D6188" i="2"/>
  <c r="B6188" i="2"/>
  <c r="A6188" i="2"/>
  <c r="O6187" i="2"/>
  <c r="O6186" i="2"/>
  <c r="O6185" i="2"/>
  <c r="M6185" i="2"/>
  <c r="L6185" i="2"/>
  <c r="E6185" i="2"/>
  <c r="D6185" i="2"/>
  <c r="B6185" i="2"/>
  <c r="A6185" i="2"/>
  <c r="O6184" i="2"/>
  <c r="O6183" i="2"/>
  <c r="M6183" i="2"/>
  <c r="L6183" i="2"/>
  <c r="E6183" i="2"/>
  <c r="D6183" i="2"/>
  <c r="B6183" i="2"/>
  <c r="A6183" i="2"/>
  <c r="O6182" i="2"/>
  <c r="M6182" i="2"/>
  <c r="L6182" i="2"/>
  <c r="E6182" i="2"/>
  <c r="D6182" i="2"/>
  <c r="B6182" i="2"/>
  <c r="A6182" i="2"/>
  <c r="O6181" i="2"/>
  <c r="O6180" i="2"/>
  <c r="O6179" i="2"/>
  <c r="O6178" i="2"/>
  <c r="M6178" i="2"/>
  <c r="L6178" i="2"/>
  <c r="E6178" i="2"/>
  <c r="D6178" i="2"/>
  <c r="B6178" i="2"/>
  <c r="A6178" i="2"/>
  <c r="O6177" i="2"/>
  <c r="O6176" i="2"/>
  <c r="M6176" i="2"/>
  <c r="L6176" i="2"/>
  <c r="E6176" i="2"/>
  <c r="D6176" i="2"/>
  <c r="B6176" i="2"/>
  <c r="A6176" i="2"/>
  <c r="O6175" i="2"/>
  <c r="M6175" i="2"/>
  <c r="L6175" i="2"/>
  <c r="E6175" i="2"/>
  <c r="D6175" i="2"/>
  <c r="B6175" i="2"/>
  <c r="A6175" i="2"/>
  <c r="O6174" i="2"/>
  <c r="O6173" i="2"/>
  <c r="O6172" i="2"/>
  <c r="M6172" i="2"/>
  <c r="L6172" i="2"/>
  <c r="E6172" i="2"/>
  <c r="D6172" i="2"/>
  <c r="B6172" i="2"/>
  <c r="A6172" i="2"/>
  <c r="O6171" i="2"/>
  <c r="M6171" i="2"/>
  <c r="L6171" i="2"/>
  <c r="E6171" i="2"/>
  <c r="D6171" i="2"/>
  <c r="B6171" i="2"/>
  <c r="A6171" i="2"/>
  <c r="O6170" i="2"/>
  <c r="O6169" i="2"/>
  <c r="M6169" i="2"/>
  <c r="L6169" i="2"/>
  <c r="E6169" i="2"/>
  <c r="D6169" i="2"/>
  <c r="B6169" i="2"/>
  <c r="A6169" i="2"/>
  <c r="O6168" i="2"/>
  <c r="O6167" i="2"/>
  <c r="M6167" i="2"/>
  <c r="L6167" i="2"/>
  <c r="E6167" i="2"/>
  <c r="D6167" i="2"/>
  <c r="B6167" i="2"/>
  <c r="A6167" i="2"/>
  <c r="O6166" i="2"/>
  <c r="O6165" i="2"/>
  <c r="O6164" i="2"/>
  <c r="O6163" i="2"/>
  <c r="O6162" i="2"/>
  <c r="M6162" i="2"/>
  <c r="L6162" i="2"/>
  <c r="E6162" i="2"/>
  <c r="D6162" i="2"/>
  <c r="B6162" i="2"/>
  <c r="A6162" i="2"/>
  <c r="O6161" i="2"/>
  <c r="M6161" i="2"/>
  <c r="L6161" i="2"/>
  <c r="E6161" i="2"/>
  <c r="D6161" i="2"/>
  <c r="B6161" i="2"/>
  <c r="A6161" i="2"/>
  <c r="O6160" i="2"/>
  <c r="O6159" i="2"/>
  <c r="M6159" i="2"/>
  <c r="L6159" i="2"/>
  <c r="E6159" i="2"/>
  <c r="D6159" i="2"/>
  <c r="B6159" i="2"/>
  <c r="A6159" i="2"/>
  <c r="O6158" i="2"/>
  <c r="M6158" i="2"/>
  <c r="L6158" i="2"/>
  <c r="E6158" i="2"/>
  <c r="D6158" i="2"/>
  <c r="B6158" i="2"/>
  <c r="A6158" i="2"/>
  <c r="O6157" i="2"/>
  <c r="O6156" i="2"/>
  <c r="O6155" i="2"/>
  <c r="M6155" i="2"/>
  <c r="L6155" i="2"/>
  <c r="E6155" i="2"/>
  <c r="D6155" i="2"/>
  <c r="B6155" i="2"/>
  <c r="A6155" i="2"/>
  <c r="O6154" i="2"/>
  <c r="O6153" i="2"/>
  <c r="O6152" i="2"/>
  <c r="M6152" i="2"/>
  <c r="L6152" i="2"/>
  <c r="E6152" i="2"/>
  <c r="D6152" i="2"/>
  <c r="B6152" i="2"/>
  <c r="A6152" i="2"/>
  <c r="O6151" i="2"/>
  <c r="O6150" i="2"/>
  <c r="M6150" i="2"/>
  <c r="L6150" i="2"/>
  <c r="E6150" i="2"/>
  <c r="D6150" i="2"/>
  <c r="B6150" i="2"/>
  <c r="A6150" i="2"/>
  <c r="O6149" i="2"/>
  <c r="M6149" i="2"/>
  <c r="L6149" i="2"/>
  <c r="E6149" i="2"/>
  <c r="D6149" i="2"/>
  <c r="B6149" i="2"/>
  <c r="A6149" i="2"/>
  <c r="O6148" i="2"/>
  <c r="O6147" i="2"/>
  <c r="O6146" i="2"/>
  <c r="O6145" i="2"/>
  <c r="O6144" i="2"/>
  <c r="M6144" i="2"/>
  <c r="L6144" i="2"/>
  <c r="E6144" i="2"/>
  <c r="D6144" i="2"/>
  <c r="B6144" i="2"/>
  <c r="A6144" i="2"/>
  <c r="O6143" i="2"/>
  <c r="O6142" i="2"/>
  <c r="O6141" i="2"/>
  <c r="O6140" i="2"/>
  <c r="O6139" i="2"/>
  <c r="O6138" i="2"/>
  <c r="O6137" i="2"/>
  <c r="O6136" i="2"/>
  <c r="O6135" i="2"/>
  <c r="M6135" i="2"/>
  <c r="L6135" i="2"/>
  <c r="E6135" i="2"/>
  <c r="D6135" i="2"/>
  <c r="B6135" i="2"/>
  <c r="A6135" i="2"/>
  <c r="O6134" i="2"/>
  <c r="O6133" i="2"/>
  <c r="O6132" i="2"/>
  <c r="O6131" i="2"/>
  <c r="O6130" i="2"/>
  <c r="M6130" i="2"/>
  <c r="L6130" i="2"/>
  <c r="E6130" i="2"/>
  <c r="D6130" i="2"/>
  <c r="B6130" i="2"/>
  <c r="A6130" i="2"/>
  <c r="O6129" i="2"/>
  <c r="M6129" i="2"/>
  <c r="L6129" i="2"/>
  <c r="E6129" i="2"/>
  <c r="D6129" i="2"/>
  <c r="B6129" i="2"/>
  <c r="A6129" i="2"/>
  <c r="O6128" i="2"/>
  <c r="M6128" i="2"/>
  <c r="L6128" i="2"/>
  <c r="E6128" i="2"/>
  <c r="D6128" i="2"/>
  <c r="B6128" i="2"/>
  <c r="A6128" i="2"/>
  <c r="O6127" i="2"/>
  <c r="O6126" i="2"/>
  <c r="O6125" i="2"/>
  <c r="O6124" i="2"/>
  <c r="O6123" i="2"/>
  <c r="M6123" i="2"/>
  <c r="L6123" i="2"/>
  <c r="E6123" i="2"/>
  <c r="D6123" i="2"/>
  <c r="B6123" i="2"/>
  <c r="A6123" i="2"/>
  <c r="O6122" i="2"/>
  <c r="M6122" i="2"/>
  <c r="L6122" i="2"/>
  <c r="E6122" i="2"/>
  <c r="D6122" i="2"/>
  <c r="B6122" i="2"/>
  <c r="A6122" i="2"/>
  <c r="O6121" i="2"/>
  <c r="M6121" i="2"/>
  <c r="L6121" i="2"/>
  <c r="E6121" i="2"/>
  <c r="D6121" i="2"/>
  <c r="B6121" i="2"/>
  <c r="A6121" i="2"/>
  <c r="O6120" i="2"/>
  <c r="O6119" i="2"/>
  <c r="M6119" i="2"/>
  <c r="L6119" i="2"/>
  <c r="E6119" i="2"/>
  <c r="D6119" i="2"/>
  <c r="B6119" i="2"/>
  <c r="A6119" i="2"/>
  <c r="O6118" i="2"/>
  <c r="M6118" i="2"/>
  <c r="L6118" i="2"/>
  <c r="E6118" i="2"/>
  <c r="D6118" i="2"/>
  <c r="B6118" i="2"/>
  <c r="A6118" i="2"/>
  <c r="O6117" i="2"/>
  <c r="O6116" i="2"/>
  <c r="M6116" i="2"/>
  <c r="L6116" i="2"/>
  <c r="E6116" i="2"/>
  <c r="D6116" i="2"/>
  <c r="B6116" i="2"/>
  <c r="A6116" i="2"/>
  <c r="O6115" i="2"/>
  <c r="O6114" i="2"/>
  <c r="O6113" i="2"/>
  <c r="M6113" i="2"/>
  <c r="L6113" i="2"/>
  <c r="E6113" i="2"/>
  <c r="D6113" i="2"/>
  <c r="B6113" i="2"/>
  <c r="A6113" i="2"/>
  <c r="O6112" i="2"/>
  <c r="M6112" i="2"/>
  <c r="L6112" i="2"/>
  <c r="E6112" i="2"/>
  <c r="D6112" i="2"/>
  <c r="B6112" i="2"/>
  <c r="A6112" i="2"/>
  <c r="O6111" i="2"/>
  <c r="O6110" i="2"/>
  <c r="O6109" i="2"/>
  <c r="O6108" i="2"/>
  <c r="M6108" i="2"/>
  <c r="L6108" i="2"/>
  <c r="E6108" i="2"/>
  <c r="D6108" i="2"/>
  <c r="B6108" i="2"/>
  <c r="A6108" i="2"/>
  <c r="O6107" i="2"/>
  <c r="O6106" i="2"/>
  <c r="O6105" i="2"/>
  <c r="M6105" i="2"/>
  <c r="L6105" i="2"/>
  <c r="E6105" i="2"/>
  <c r="D6105" i="2"/>
  <c r="B6105" i="2"/>
  <c r="A6105" i="2"/>
  <c r="O6104" i="2"/>
  <c r="M6104" i="2"/>
  <c r="L6104" i="2"/>
  <c r="E6104" i="2"/>
  <c r="D6104" i="2"/>
  <c r="B6104" i="2"/>
  <c r="A6104" i="2"/>
  <c r="O6103" i="2"/>
  <c r="O6102" i="2"/>
  <c r="O6101" i="2"/>
  <c r="O6100" i="2"/>
  <c r="O6099" i="2"/>
  <c r="O6098" i="2"/>
  <c r="M6098" i="2"/>
  <c r="L6098" i="2"/>
  <c r="E6098" i="2"/>
  <c r="D6098" i="2"/>
  <c r="B6098" i="2"/>
  <c r="A6098" i="2"/>
  <c r="O6097" i="2"/>
  <c r="O6096" i="2"/>
  <c r="O6095" i="2"/>
  <c r="M6095" i="2"/>
  <c r="L6095" i="2"/>
  <c r="E6095" i="2"/>
  <c r="D6095" i="2"/>
  <c r="B6095" i="2"/>
  <c r="A6095" i="2"/>
  <c r="O6094" i="2"/>
  <c r="O6093" i="2"/>
  <c r="O6092" i="2"/>
  <c r="M6092" i="2"/>
  <c r="L6092" i="2"/>
  <c r="E6092" i="2"/>
  <c r="D6092" i="2"/>
  <c r="B6092" i="2"/>
  <c r="A6092" i="2"/>
  <c r="O6091" i="2"/>
  <c r="O6090" i="2"/>
  <c r="M6090" i="2"/>
  <c r="L6090" i="2"/>
  <c r="E6090" i="2"/>
  <c r="D6090" i="2"/>
  <c r="B6090" i="2"/>
  <c r="A6090" i="2"/>
  <c r="O6089" i="2"/>
  <c r="O6088" i="2"/>
  <c r="O6087" i="2"/>
  <c r="O6086" i="2"/>
  <c r="M6086" i="2"/>
  <c r="L6086" i="2"/>
  <c r="E6086" i="2"/>
  <c r="D6086" i="2"/>
  <c r="B6086" i="2"/>
  <c r="A6086" i="2"/>
  <c r="O6085" i="2"/>
  <c r="O6084" i="2"/>
  <c r="O6083" i="2"/>
  <c r="O6082" i="2"/>
  <c r="M6082" i="2"/>
  <c r="L6082" i="2"/>
  <c r="E6082" i="2"/>
  <c r="D6082" i="2"/>
  <c r="B6082" i="2"/>
  <c r="A6082" i="2"/>
  <c r="O6081" i="2"/>
  <c r="M6081" i="2"/>
  <c r="L6081" i="2"/>
  <c r="E6081" i="2"/>
  <c r="D6081" i="2"/>
  <c r="B6081" i="2"/>
  <c r="A6081" i="2"/>
  <c r="O6080" i="2"/>
  <c r="M6080" i="2"/>
  <c r="L6080" i="2"/>
  <c r="E6080" i="2"/>
  <c r="D6080" i="2"/>
  <c r="B6080" i="2"/>
  <c r="A6080" i="2"/>
  <c r="O6079" i="2"/>
  <c r="M6079" i="2"/>
  <c r="L6079" i="2"/>
  <c r="E6079" i="2"/>
  <c r="D6079" i="2"/>
  <c r="B6079" i="2"/>
  <c r="A6079" i="2"/>
  <c r="O6078" i="2"/>
  <c r="O6077" i="2"/>
  <c r="O6076" i="2"/>
  <c r="O6075" i="2"/>
  <c r="O6074" i="2"/>
  <c r="O6073" i="2"/>
  <c r="O6072" i="2"/>
  <c r="O6071" i="2"/>
  <c r="O6070" i="2"/>
  <c r="M6070" i="2"/>
  <c r="L6070" i="2"/>
  <c r="E6070" i="2"/>
  <c r="D6070" i="2"/>
  <c r="B6070" i="2"/>
  <c r="A6070" i="2"/>
  <c r="O6069" i="2"/>
  <c r="O6068" i="2"/>
  <c r="O6067" i="2"/>
  <c r="O6066" i="2"/>
  <c r="O6065" i="2"/>
  <c r="M6065" i="2"/>
  <c r="L6065" i="2"/>
  <c r="E6065" i="2"/>
  <c r="D6065" i="2"/>
  <c r="B6065" i="2"/>
  <c r="A6065" i="2"/>
  <c r="O6064" i="2"/>
  <c r="O6063" i="2"/>
  <c r="O6062" i="2"/>
  <c r="M6062" i="2"/>
  <c r="L6062" i="2"/>
  <c r="E6062" i="2"/>
  <c r="D6062" i="2"/>
  <c r="B6062" i="2"/>
  <c r="A6062" i="2"/>
  <c r="O6061" i="2"/>
  <c r="M6061" i="2"/>
  <c r="L6061" i="2"/>
  <c r="E6061" i="2"/>
  <c r="D6061" i="2"/>
  <c r="B6061" i="2"/>
  <c r="A6061" i="2"/>
  <c r="O6060" i="2"/>
  <c r="M6060" i="2"/>
  <c r="L6060" i="2"/>
  <c r="E6060" i="2"/>
  <c r="D6060" i="2"/>
  <c r="B6060" i="2"/>
  <c r="A6060" i="2"/>
  <c r="O6059" i="2"/>
  <c r="M6059" i="2"/>
  <c r="L6059" i="2"/>
  <c r="E6059" i="2"/>
  <c r="D6059" i="2"/>
  <c r="B6059" i="2"/>
  <c r="A6059" i="2"/>
  <c r="O6058" i="2"/>
  <c r="O6057" i="2"/>
  <c r="O6056" i="2"/>
  <c r="O6055" i="2"/>
  <c r="O6054" i="2"/>
  <c r="M6054" i="2"/>
  <c r="L6054" i="2"/>
  <c r="E6054" i="2"/>
  <c r="D6054" i="2"/>
  <c r="B6054" i="2"/>
  <c r="A6054" i="2"/>
  <c r="O6053" i="2"/>
  <c r="O6052" i="2"/>
  <c r="M6052" i="2"/>
  <c r="L6052" i="2"/>
  <c r="E6052" i="2"/>
  <c r="D6052" i="2"/>
  <c r="B6052" i="2"/>
  <c r="A6052" i="2"/>
  <c r="O6051" i="2"/>
  <c r="M6051" i="2"/>
  <c r="L6051" i="2"/>
  <c r="E6051" i="2"/>
  <c r="D6051" i="2"/>
  <c r="B6051" i="2"/>
  <c r="A6051" i="2"/>
  <c r="O6050" i="2"/>
  <c r="O6049" i="2"/>
  <c r="O6048" i="2"/>
  <c r="M6048" i="2"/>
  <c r="L6048" i="2"/>
  <c r="E6048" i="2"/>
  <c r="D6048" i="2"/>
  <c r="B6048" i="2"/>
  <c r="A6048" i="2"/>
  <c r="O6047" i="2"/>
  <c r="M6047" i="2"/>
  <c r="L6047" i="2"/>
  <c r="E6047" i="2"/>
  <c r="D6047" i="2"/>
  <c r="B6047" i="2"/>
  <c r="A6047" i="2"/>
  <c r="O6046" i="2"/>
  <c r="M6046" i="2"/>
  <c r="L6046" i="2"/>
  <c r="E6046" i="2"/>
  <c r="D6046" i="2"/>
  <c r="B6046" i="2"/>
  <c r="A6046" i="2"/>
  <c r="O6045" i="2"/>
  <c r="O6044" i="2"/>
  <c r="O6043" i="2"/>
  <c r="O6042" i="2"/>
  <c r="M6042" i="2"/>
  <c r="L6042" i="2"/>
  <c r="E6042" i="2"/>
  <c r="D6042" i="2"/>
  <c r="B6042" i="2"/>
  <c r="A6042" i="2"/>
  <c r="O6041" i="2"/>
  <c r="O6040" i="2"/>
  <c r="O6039" i="2"/>
  <c r="M6039" i="2"/>
  <c r="L6039" i="2"/>
  <c r="E6039" i="2"/>
  <c r="D6039" i="2"/>
  <c r="B6039" i="2"/>
  <c r="A6039" i="2"/>
  <c r="O6038" i="2"/>
  <c r="M6038" i="2"/>
  <c r="L6038" i="2"/>
  <c r="E6038" i="2"/>
  <c r="D6038" i="2"/>
  <c r="B6038" i="2"/>
  <c r="A6038" i="2"/>
  <c r="O6037" i="2"/>
  <c r="O6036" i="2"/>
  <c r="M6036" i="2"/>
  <c r="L6036" i="2"/>
  <c r="E6036" i="2"/>
  <c r="D6036" i="2"/>
  <c r="B6036" i="2"/>
  <c r="A6036" i="2"/>
  <c r="O6035" i="2"/>
  <c r="O6034" i="2"/>
  <c r="M6034" i="2"/>
  <c r="L6034" i="2"/>
  <c r="E6034" i="2"/>
  <c r="D6034" i="2"/>
  <c r="B6034" i="2"/>
  <c r="A6034" i="2"/>
  <c r="O6033" i="2"/>
  <c r="O6032" i="2"/>
  <c r="M6032" i="2"/>
  <c r="L6032" i="2"/>
  <c r="E6032" i="2"/>
  <c r="D6032" i="2"/>
  <c r="B6032" i="2"/>
  <c r="A6032" i="2"/>
  <c r="O6031" i="2"/>
  <c r="M6031" i="2"/>
  <c r="L6031" i="2"/>
  <c r="E6031" i="2"/>
  <c r="D6031" i="2"/>
  <c r="B6031" i="2"/>
  <c r="A6031" i="2"/>
  <c r="O6030" i="2"/>
  <c r="O6029" i="2"/>
  <c r="O6028" i="2"/>
  <c r="O6027" i="2"/>
  <c r="M6027" i="2"/>
  <c r="L6027" i="2"/>
  <c r="E6027" i="2"/>
  <c r="D6027" i="2"/>
  <c r="B6027" i="2"/>
  <c r="A6027" i="2"/>
  <c r="O6026" i="2"/>
  <c r="M6026" i="2"/>
  <c r="L6026" i="2"/>
  <c r="E6026" i="2"/>
  <c r="D6026" i="2"/>
  <c r="B6026" i="2"/>
  <c r="A6026" i="2"/>
  <c r="O6025" i="2"/>
  <c r="O6024" i="2"/>
  <c r="M6024" i="2"/>
  <c r="L6024" i="2"/>
  <c r="E6024" i="2"/>
  <c r="D6024" i="2"/>
  <c r="B6024" i="2"/>
  <c r="A6024" i="2"/>
  <c r="O6023" i="2"/>
  <c r="M6023" i="2"/>
  <c r="L6023" i="2"/>
  <c r="E6023" i="2"/>
  <c r="D6023" i="2"/>
  <c r="B6023" i="2"/>
  <c r="A6023" i="2"/>
  <c r="O6022" i="2"/>
  <c r="M6022" i="2"/>
  <c r="L6022" i="2"/>
  <c r="E6022" i="2"/>
  <c r="D6022" i="2"/>
  <c r="B6022" i="2"/>
  <c r="A6022" i="2"/>
  <c r="O6021" i="2"/>
  <c r="O6020" i="2"/>
  <c r="O6019" i="2"/>
  <c r="M6019" i="2"/>
  <c r="L6019" i="2"/>
  <c r="E6019" i="2"/>
  <c r="D6019" i="2"/>
  <c r="B6019" i="2"/>
  <c r="A6019" i="2"/>
  <c r="O6018" i="2"/>
  <c r="O6017" i="2"/>
  <c r="O6016" i="2"/>
  <c r="O6015" i="2"/>
  <c r="M6015" i="2"/>
  <c r="L6015" i="2"/>
  <c r="E6015" i="2"/>
  <c r="D6015" i="2"/>
  <c r="B6015" i="2"/>
  <c r="A6015" i="2"/>
  <c r="O6014" i="2"/>
  <c r="O6013" i="2"/>
  <c r="M6013" i="2"/>
  <c r="L6013" i="2"/>
  <c r="E6013" i="2"/>
  <c r="D6013" i="2"/>
  <c r="B6013" i="2"/>
  <c r="A6013" i="2"/>
  <c r="O6012" i="2"/>
  <c r="O6011" i="2"/>
  <c r="M6011" i="2"/>
  <c r="L6011" i="2"/>
  <c r="E6011" i="2"/>
  <c r="D6011" i="2"/>
  <c r="B6011" i="2"/>
  <c r="A6011" i="2"/>
  <c r="O6010" i="2"/>
  <c r="O6009" i="2"/>
  <c r="O6008" i="2"/>
  <c r="M6008" i="2"/>
  <c r="L6008" i="2"/>
  <c r="E6008" i="2"/>
  <c r="D6008" i="2"/>
  <c r="B6008" i="2"/>
  <c r="A6008" i="2"/>
  <c r="O6007" i="2"/>
  <c r="M6007" i="2"/>
  <c r="L6007" i="2"/>
  <c r="E6007" i="2"/>
  <c r="D6007" i="2"/>
  <c r="B6007" i="2"/>
  <c r="A6007" i="2"/>
  <c r="O6006" i="2"/>
  <c r="O6005" i="2"/>
  <c r="M6005" i="2"/>
  <c r="L6005" i="2"/>
  <c r="E6005" i="2"/>
  <c r="D6005" i="2"/>
  <c r="B6005" i="2"/>
  <c r="A6005" i="2"/>
  <c r="O6004" i="2"/>
  <c r="M6004" i="2"/>
  <c r="L6004" i="2"/>
  <c r="E6004" i="2"/>
  <c r="D6004" i="2"/>
  <c r="B6004" i="2"/>
  <c r="A6004" i="2"/>
  <c r="O6003" i="2"/>
  <c r="M6003" i="2"/>
  <c r="L6003" i="2"/>
  <c r="E6003" i="2"/>
  <c r="D6003" i="2"/>
  <c r="B6003" i="2"/>
  <c r="A6003" i="2"/>
  <c r="O6002" i="2"/>
  <c r="O6001" i="2"/>
  <c r="O6000" i="2"/>
  <c r="O5999" i="2"/>
  <c r="O5998" i="2"/>
  <c r="O5997" i="2"/>
  <c r="O5996" i="2"/>
  <c r="O5995" i="2"/>
  <c r="M5995" i="2"/>
  <c r="L5995" i="2"/>
  <c r="E5995" i="2"/>
  <c r="D5995" i="2"/>
  <c r="B5995" i="2"/>
  <c r="A5995" i="2"/>
  <c r="O5994" i="2"/>
  <c r="M5994" i="2"/>
  <c r="L5994" i="2"/>
  <c r="E5994" i="2"/>
  <c r="D5994" i="2"/>
  <c r="B5994" i="2"/>
  <c r="A5994" i="2"/>
  <c r="O5993" i="2"/>
  <c r="O5992" i="2"/>
  <c r="O5991" i="2"/>
  <c r="O5990" i="2"/>
  <c r="M5990" i="2"/>
  <c r="L5990" i="2"/>
  <c r="E5990" i="2"/>
  <c r="D5990" i="2"/>
  <c r="B5990" i="2"/>
  <c r="A5990" i="2"/>
  <c r="O5989" i="2"/>
  <c r="O5988" i="2"/>
  <c r="O5987" i="2"/>
  <c r="O5986" i="2"/>
  <c r="O5985" i="2"/>
  <c r="O5984" i="2"/>
  <c r="M5984" i="2"/>
  <c r="L5984" i="2"/>
  <c r="E5984" i="2"/>
  <c r="D5984" i="2"/>
  <c r="B5984" i="2"/>
  <c r="A5984" i="2"/>
  <c r="O5983" i="2"/>
  <c r="O5982" i="2"/>
  <c r="O5981" i="2"/>
  <c r="O5980" i="2"/>
  <c r="O5979" i="2"/>
  <c r="O5978" i="2"/>
  <c r="O5977" i="2"/>
  <c r="O5976" i="2"/>
  <c r="O5975" i="2"/>
  <c r="O5974" i="2"/>
  <c r="O5973" i="2"/>
  <c r="O5972" i="2"/>
  <c r="O5971" i="2"/>
  <c r="O5970" i="2"/>
  <c r="M5970" i="2"/>
  <c r="L5970" i="2"/>
  <c r="E5970" i="2"/>
  <c r="D5970" i="2"/>
  <c r="B5970" i="2"/>
  <c r="A5970" i="2"/>
  <c r="O5969" i="2"/>
  <c r="M5969" i="2"/>
  <c r="L5969" i="2"/>
  <c r="E5969" i="2"/>
  <c r="D5969" i="2"/>
  <c r="B5969" i="2"/>
  <c r="A5969" i="2"/>
  <c r="O5968" i="2"/>
  <c r="M5968" i="2"/>
  <c r="L5968" i="2"/>
  <c r="E5968" i="2"/>
  <c r="D5968" i="2"/>
  <c r="B5968" i="2"/>
  <c r="A5968" i="2"/>
  <c r="O5967" i="2"/>
  <c r="O5966" i="2"/>
  <c r="O5965" i="2"/>
  <c r="O5964" i="2"/>
  <c r="O5963" i="2"/>
  <c r="M5963" i="2"/>
  <c r="L5963" i="2"/>
  <c r="E5963" i="2"/>
  <c r="D5963" i="2"/>
  <c r="B5963" i="2"/>
  <c r="A5963" i="2"/>
  <c r="O5962" i="2"/>
  <c r="M5962" i="2"/>
  <c r="L5962" i="2"/>
  <c r="E5962" i="2"/>
  <c r="D5962" i="2"/>
  <c r="B5962" i="2"/>
  <c r="A5962" i="2"/>
  <c r="O5961" i="2"/>
  <c r="M5961" i="2"/>
  <c r="L5961" i="2"/>
  <c r="E5961" i="2"/>
  <c r="D5961" i="2"/>
  <c r="B5961" i="2"/>
  <c r="A5961" i="2"/>
  <c r="O5960" i="2"/>
  <c r="M5960" i="2"/>
  <c r="L5960" i="2"/>
  <c r="E5960" i="2"/>
  <c r="D5960" i="2"/>
  <c r="B5960" i="2"/>
  <c r="A5960" i="2"/>
  <c r="O5959" i="2"/>
  <c r="O5958" i="2"/>
  <c r="O5957" i="2"/>
  <c r="M5957" i="2"/>
  <c r="L5957" i="2"/>
  <c r="E5957" i="2"/>
  <c r="D5957" i="2"/>
  <c r="B5957" i="2"/>
  <c r="A5957" i="2"/>
  <c r="O5956" i="2"/>
  <c r="M5956" i="2"/>
  <c r="L5956" i="2"/>
  <c r="E5956" i="2"/>
  <c r="D5956" i="2"/>
  <c r="B5956" i="2"/>
  <c r="A5956" i="2"/>
  <c r="O5955" i="2"/>
  <c r="M5955" i="2"/>
  <c r="L5955" i="2"/>
  <c r="E5955" i="2"/>
  <c r="D5955" i="2"/>
  <c r="B5955" i="2"/>
  <c r="A5955" i="2"/>
  <c r="O5954" i="2"/>
  <c r="O5953" i="2"/>
  <c r="O5952" i="2"/>
  <c r="O5951" i="2"/>
  <c r="M5951" i="2"/>
  <c r="L5951" i="2"/>
  <c r="E5951" i="2"/>
  <c r="D5951" i="2"/>
  <c r="B5951" i="2"/>
  <c r="A5951" i="2"/>
  <c r="O5950" i="2"/>
  <c r="O5949" i="2"/>
  <c r="M5949" i="2"/>
  <c r="L5949" i="2"/>
  <c r="E5949" i="2"/>
  <c r="D5949" i="2"/>
  <c r="B5949" i="2"/>
  <c r="A5949" i="2"/>
  <c r="O5948" i="2"/>
  <c r="O5947" i="2"/>
  <c r="O5946" i="2"/>
  <c r="M5946" i="2"/>
  <c r="L5946" i="2"/>
  <c r="E5946" i="2"/>
  <c r="D5946" i="2"/>
  <c r="B5946" i="2"/>
  <c r="A5946" i="2"/>
  <c r="O5945" i="2"/>
  <c r="M5945" i="2"/>
  <c r="L5945" i="2"/>
  <c r="E5945" i="2"/>
  <c r="D5945" i="2"/>
  <c r="B5945" i="2"/>
  <c r="A5945" i="2"/>
  <c r="O5944" i="2"/>
  <c r="M5944" i="2"/>
  <c r="L5944" i="2"/>
  <c r="E5944" i="2"/>
  <c r="D5944" i="2"/>
  <c r="B5944" i="2"/>
  <c r="A5944" i="2"/>
  <c r="O5943" i="2"/>
  <c r="O5942" i="2"/>
  <c r="O5941" i="2"/>
  <c r="M5941" i="2"/>
  <c r="L5941" i="2"/>
  <c r="E5941" i="2"/>
  <c r="D5941" i="2"/>
  <c r="B5941" i="2"/>
  <c r="A5941" i="2"/>
  <c r="O5940" i="2"/>
  <c r="M5940" i="2"/>
  <c r="L5940" i="2"/>
  <c r="E5940" i="2"/>
  <c r="D5940" i="2"/>
  <c r="B5940" i="2"/>
  <c r="A5940" i="2"/>
  <c r="O5939" i="2"/>
  <c r="O5938" i="2"/>
  <c r="O5937" i="2"/>
  <c r="O5936" i="2"/>
  <c r="O5935" i="2"/>
  <c r="O5934" i="2"/>
  <c r="O5933" i="2"/>
  <c r="O5932" i="2"/>
  <c r="O5931" i="2"/>
  <c r="M5931" i="2"/>
  <c r="L5931" i="2"/>
  <c r="E5931" i="2"/>
  <c r="D5931" i="2"/>
  <c r="B5931" i="2"/>
  <c r="A5931" i="2"/>
  <c r="O5930" i="2"/>
  <c r="O5929" i="2"/>
  <c r="M5929" i="2"/>
  <c r="L5929" i="2"/>
  <c r="E5929" i="2"/>
  <c r="D5929" i="2"/>
  <c r="B5929" i="2"/>
  <c r="A5929" i="2"/>
  <c r="O5928" i="2"/>
  <c r="O5927" i="2"/>
  <c r="M5927" i="2"/>
  <c r="L5927" i="2"/>
  <c r="E5927" i="2"/>
  <c r="D5927" i="2"/>
  <c r="B5927" i="2"/>
  <c r="A5927" i="2"/>
  <c r="O5926" i="2"/>
  <c r="O5925" i="2"/>
  <c r="O5924" i="2"/>
  <c r="O5923" i="2"/>
  <c r="M5923" i="2"/>
  <c r="L5923" i="2"/>
  <c r="E5923" i="2"/>
  <c r="D5923" i="2"/>
  <c r="B5923" i="2"/>
  <c r="A5923" i="2"/>
  <c r="O5922" i="2"/>
  <c r="M5922" i="2"/>
  <c r="L5922" i="2"/>
  <c r="E5922" i="2"/>
  <c r="D5922" i="2"/>
  <c r="B5922" i="2"/>
  <c r="A5922" i="2"/>
  <c r="O5921" i="2"/>
  <c r="M5921" i="2"/>
  <c r="L5921" i="2"/>
  <c r="E5921" i="2"/>
  <c r="D5921" i="2"/>
  <c r="B5921" i="2"/>
  <c r="A5921" i="2"/>
  <c r="O5920" i="2"/>
  <c r="M5920" i="2"/>
  <c r="L5920" i="2"/>
  <c r="E5920" i="2"/>
  <c r="D5920" i="2"/>
  <c r="B5920" i="2"/>
  <c r="A5920" i="2"/>
  <c r="O5919" i="2"/>
  <c r="O5918" i="2"/>
  <c r="O5917" i="2"/>
  <c r="O5916" i="2"/>
  <c r="O5915" i="2"/>
  <c r="O5914" i="2"/>
  <c r="M5914" i="2"/>
  <c r="L5914" i="2"/>
  <c r="E5914" i="2"/>
  <c r="D5914" i="2"/>
  <c r="B5914" i="2"/>
  <c r="A5914" i="2"/>
  <c r="O5913" i="2"/>
  <c r="O5912" i="2"/>
  <c r="M5912" i="2"/>
  <c r="L5912" i="2"/>
  <c r="E5912" i="2"/>
  <c r="D5912" i="2"/>
  <c r="B5912" i="2"/>
  <c r="A5912" i="2"/>
  <c r="O5911" i="2"/>
  <c r="M5911" i="2"/>
  <c r="L5911" i="2"/>
  <c r="E5911" i="2"/>
  <c r="D5911" i="2"/>
  <c r="B5911" i="2"/>
  <c r="A5911" i="2"/>
  <c r="O5910" i="2"/>
  <c r="O5909" i="2"/>
  <c r="M5909" i="2"/>
  <c r="L5909" i="2"/>
  <c r="E5909" i="2"/>
  <c r="D5909" i="2"/>
  <c r="B5909" i="2"/>
  <c r="A5909" i="2"/>
  <c r="O5908" i="2"/>
  <c r="M5908" i="2"/>
  <c r="L5908" i="2"/>
  <c r="E5908" i="2"/>
  <c r="D5908" i="2"/>
  <c r="B5908" i="2"/>
  <c r="A5908" i="2"/>
  <c r="O5907" i="2"/>
  <c r="M5907" i="2"/>
  <c r="L5907" i="2"/>
  <c r="E5907" i="2"/>
  <c r="D5907" i="2"/>
  <c r="B5907" i="2"/>
  <c r="A5907" i="2"/>
  <c r="O5906" i="2"/>
  <c r="M5906" i="2"/>
  <c r="L5906" i="2"/>
  <c r="E5906" i="2"/>
  <c r="D5906" i="2"/>
  <c r="B5906" i="2"/>
  <c r="A5906" i="2"/>
  <c r="O5905" i="2"/>
  <c r="M5905" i="2"/>
  <c r="L5905" i="2"/>
  <c r="E5905" i="2"/>
  <c r="D5905" i="2"/>
  <c r="B5905" i="2"/>
  <c r="A5905" i="2"/>
  <c r="O5904" i="2"/>
  <c r="O5903" i="2"/>
  <c r="M5903" i="2"/>
  <c r="L5903" i="2"/>
  <c r="E5903" i="2"/>
  <c r="D5903" i="2"/>
  <c r="B5903" i="2"/>
  <c r="A5903" i="2"/>
  <c r="O5902" i="2"/>
  <c r="M5902" i="2"/>
  <c r="L5902" i="2"/>
  <c r="E5902" i="2"/>
  <c r="D5902" i="2"/>
  <c r="B5902" i="2"/>
  <c r="A5902" i="2"/>
  <c r="O5901" i="2"/>
  <c r="O5900" i="2"/>
  <c r="O5899" i="2"/>
  <c r="O5898" i="2"/>
  <c r="M5898" i="2"/>
  <c r="L5898" i="2"/>
  <c r="E5898" i="2"/>
  <c r="D5898" i="2"/>
  <c r="B5898" i="2"/>
  <c r="A5898" i="2"/>
  <c r="O5897" i="2"/>
  <c r="O5896" i="2"/>
  <c r="O5895" i="2"/>
  <c r="M5895" i="2"/>
  <c r="L5895" i="2"/>
  <c r="E5895" i="2"/>
  <c r="D5895" i="2"/>
  <c r="B5895" i="2"/>
  <c r="A5895" i="2"/>
  <c r="O5894" i="2"/>
  <c r="O5893" i="2"/>
  <c r="O5892" i="2"/>
  <c r="M5892" i="2"/>
  <c r="L5892" i="2"/>
  <c r="E5892" i="2"/>
  <c r="D5892" i="2"/>
  <c r="B5892" i="2"/>
  <c r="A5892" i="2"/>
  <c r="O5891" i="2"/>
  <c r="O5890" i="2"/>
  <c r="O5889" i="2"/>
  <c r="O5888" i="2"/>
  <c r="M5888" i="2"/>
  <c r="L5888" i="2"/>
  <c r="E5888" i="2"/>
  <c r="D5888" i="2"/>
  <c r="B5888" i="2"/>
  <c r="A5888" i="2"/>
  <c r="O5887" i="2"/>
  <c r="O5886" i="2"/>
  <c r="O5885" i="2"/>
  <c r="O5884" i="2"/>
  <c r="M5884" i="2"/>
  <c r="L5884" i="2"/>
  <c r="E5884" i="2"/>
  <c r="D5884" i="2"/>
  <c r="B5884" i="2"/>
  <c r="A5884" i="2"/>
  <c r="O5883" i="2"/>
  <c r="O5882" i="2"/>
  <c r="O5881" i="2"/>
  <c r="O5880" i="2"/>
  <c r="O5879" i="2"/>
  <c r="M5879" i="2"/>
  <c r="L5879" i="2"/>
  <c r="E5879" i="2"/>
  <c r="D5879" i="2"/>
  <c r="B5879" i="2"/>
  <c r="A5879" i="2"/>
  <c r="O5878" i="2"/>
  <c r="M5878" i="2"/>
  <c r="L5878" i="2"/>
  <c r="E5878" i="2"/>
  <c r="D5878" i="2"/>
  <c r="B5878" i="2"/>
  <c r="A5878" i="2"/>
  <c r="O5877" i="2"/>
  <c r="M5877" i="2"/>
  <c r="L5877" i="2"/>
  <c r="E5877" i="2"/>
  <c r="D5877" i="2"/>
  <c r="B5877" i="2"/>
  <c r="A5877" i="2"/>
  <c r="O5876" i="2"/>
  <c r="O5875" i="2"/>
  <c r="M5875" i="2"/>
  <c r="L5875" i="2"/>
  <c r="E5875" i="2"/>
  <c r="D5875" i="2"/>
  <c r="B5875" i="2"/>
  <c r="A5875" i="2"/>
  <c r="O5874" i="2"/>
  <c r="M5874" i="2"/>
  <c r="L5874" i="2"/>
  <c r="E5874" i="2"/>
  <c r="D5874" i="2"/>
  <c r="B5874" i="2"/>
  <c r="A5874" i="2"/>
  <c r="O5873" i="2"/>
  <c r="M5873" i="2"/>
  <c r="L5873" i="2"/>
  <c r="E5873" i="2"/>
  <c r="D5873" i="2"/>
  <c r="B5873" i="2"/>
  <c r="A5873" i="2"/>
  <c r="O5872" i="2"/>
  <c r="O5871" i="2"/>
  <c r="M5871" i="2"/>
  <c r="L5871" i="2"/>
  <c r="E5871" i="2"/>
  <c r="D5871" i="2"/>
  <c r="B5871" i="2"/>
  <c r="A5871" i="2"/>
  <c r="O5870" i="2"/>
  <c r="M5870" i="2"/>
  <c r="L5870" i="2"/>
  <c r="E5870" i="2"/>
  <c r="D5870" i="2"/>
  <c r="B5870" i="2"/>
  <c r="A5870" i="2"/>
  <c r="O5869" i="2"/>
  <c r="M5869" i="2"/>
  <c r="L5869" i="2"/>
  <c r="E5869" i="2"/>
  <c r="D5869" i="2"/>
  <c r="B5869" i="2"/>
  <c r="A5869" i="2"/>
  <c r="O5868" i="2"/>
  <c r="O5867" i="2"/>
  <c r="O5866" i="2"/>
  <c r="M5866" i="2"/>
  <c r="L5866" i="2"/>
  <c r="E5866" i="2"/>
  <c r="D5866" i="2"/>
  <c r="B5866" i="2"/>
  <c r="A5866" i="2"/>
  <c r="O5865" i="2"/>
  <c r="M5865" i="2"/>
  <c r="L5865" i="2"/>
  <c r="E5865" i="2"/>
  <c r="D5865" i="2"/>
  <c r="B5865" i="2"/>
  <c r="A5865" i="2"/>
  <c r="O5864" i="2"/>
  <c r="M5864" i="2"/>
  <c r="L5864" i="2"/>
  <c r="E5864" i="2"/>
  <c r="D5864" i="2"/>
  <c r="B5864" i="2"/>
  <c r="A5864" i="2"/>
  <c r="O5863" i="2"/>
  <c r="M5863" i="2"/>
  <c r="L5863" i="2"/>
  <c r="E5863" i="2"/>
  <c r="D5863" i="2"/>
  <c r="B5863" i="2"/>
  <c r="A5863" i="2"/>
  <c r="O5862" i="2"/>
  <c r="O5861" i="2"/>
  <c r="O5860" i="2"/>
  <c r="O5859" i="2"/>
  <c r="M5859" i="2"/>
  <c r="L5859" i="2"/>
  <c r="E5859" i="2"/>
  <c r="D5859" i="2"/>
  <c r="B5859" i="2"/>
  <c r="A5859" i="2"/>
  <c r="O5858" i="2"/>
  <c r="O5857" i="2"/>
  <c r="O5856" i="2"/>
  <c r="O5855" i="2"/>
  <c r="M5855" i="2"/>
  <c r="L5855" i="2"/>
  <c r="E5855" i="2"/>
  <c r="D5855" i="2"/>
  <c r="B5855" i="2"/>
  <c r="A5855" i="2"/>
  <c r="O5854" i="2"/>
  <c r="O5853" i="2"/>
  <c r="M5853" i="2"/>
  <c r="L5853" i="2"/>
  <c r="E5853" i="2"/>
  <c r="D5853" i="2"/>
  <c r="B5853" i="2"/>
  <c r="A5853" i="2"/>
  <c r="O5852" i="2"/>
  <c r="M5852" i="2"/>
  <c r="L5852" i="2"/>
  <c r="E5852" i="2"/>
  <c r="D5852" i="2"/>
  <c r="B5852" i="2"/>
  <c r="A5852" i="2"/>
  <c r="O5851" i="2"/>
  <c r="M5851" i="2"/>
  <c r="L5851" i="2"/>
  <c r="E5851" i="2"/>
  <c r="D5851" i="2"/>
  <c r="B5851" i="2"/>
  <c r="A5851" i="2"/>
  <c r="O5850" i="2"/>
  <c r="M5850" i="2"/>
  <c r="L5850" i="2"/>
  <c r="E5850" i="2"/>
  <c r="D5850" i="2"/>
  <c r="B5850" i="2"/>
  <c r="A5850" i="2"/>
  <c r="O5849" i="2"/>
  <c r="O5848" i="2"/>
  <c r="O5847" i="2"/>
  <c r="O5846" i="2"/>
  <c r="M5846" i="2"/>
  <c r="L5846" i="2"/>
  <c r="E5846" i="2"/>
  <c r="D5846" i="2"/>
  <c r="B5846" i="2"/>
  <c r="A5846" i="2"/>
  <c r="O5845" i="2"/>
  <c r="M5845" i="2"/>
  <c r="L5845" i="2"/>
  <c r="E5845" i="2"/>
  <c r="D5845" i="2"/>
  <c r="B5845" i="2"/>
  <c r="A5845" i="2"/>
  <c r="O5844" i="2"/>
  <c r="M5844" i="2"/>
  <c r="L5844" i="2"/>
  <c r="E5844" i="2"/>
  <c r="D5844" i="2"/>
  <c r="B5844" i="2"/>
  <c r="A5844" i="2"/>
  <c r="O5843" i="2"/>
  <c r="O5842" i="2"/>
  <c r="M5842" i="2"/>
  <c r="L5842" i="2"/>
  <c r="E5842" i="2"/>
  <c r="D5842" i="2"/>
  <c r="B5842" i="2"/>
  <c r="A5842" i="2"/>
  <c r="O5841" i="2"/>
  <c r="M5841" i="2"/>
  <c r="L5841" i="2"/>
  <c r="E5841" i="2"/>
  <c r="D5841" i="2"/>
  <c r="B5841" i="2"/>
  <c r="A5841" i="2"/>
  <c r="O5840" i="2"/>
  <c r="M5840" i="2"/>
  <c r="L5840" i="2"/>
  <c r="E5840" i="2"/>
  <c r="D5840" i="2"/>
  <c r="B5840" i="2"/>
  <c r="A5840" i="2"/>
  <c r="O5839" i="2"/>
  <c r="O5838" i="2"/>
  <c r="M5838" i="2"/>
  <c r="L5838" i="2"/>
  <c r="E5838" i="2"/>
  <c r="D5838" i="2"/>
  <c r="B5838" i="2"/>
  <c r="A5838" i="2"/>
  <c r="O5837" i="2"/>
  <c r="M5837" i="2"/>
  <c r="L5837" i="2"/>
  <c r="E5837" i="2"/>
  <c r="D5837" i="2"/>
  <c r="B5837" i="2"/>
  <c r="A5837" i="2"/>
  <c r="O5836" i="2"/>
  <c r="M5836" i="2"/>
  <c r="L5836" i="2"/>
  <c r="E5836" i="2"/>
  <c r="D5836" i="2"/>
  <c r="B5836" i="2"/>
  <c r="A5836" i="2"/>
  <c r="O5835" i="2"/>
  <c r="O5834" i="2"/>
  <c r="O5833" i="2"/>
  <c r="O5832" i="2"/>
  <c r="O5831" i="2"/>
  <c r="O5830" i="2"/>
  <c r="O5829" i="2"/>
  <c r="O5828" i="2"/>
  <c r="O5827" i="2"/>
  <c r="O5826" i="2"/>
  <c r="M5826" i="2"/>
  <c r="L5826" i="2"/>
  <c r="E5826" i="2"/>
  <c r="D5826" i="2"/>
  <c r="B5826" i="2"/>
  <c r="A5826" i="2"/>
  <c r="O5825" i="2"/>
  <c r="O5824" i="2"/>
  <c r="O5823" i="2"/>
  <c r="O5822" i="2"/>
  <c r="O5821" i="2"/>
  <c r="O5820" i="2"/>
  <c r="M5820" i="2"/>
  <c r="L5820" i="2"/>
  <c r="E5820" i="2"/>
  <c r="D5820" i="2"/>
  <c r="B5820" i="2"/>
  <c r="A5820" i="2"/>
  <c r="O5819" i="2"/>
  <c r="O5818" i="2"/>
  <c r="M5818" i="2"/>
  <c r="L5818" i="2"/>
  <c r="E5818" i="2"/>
  <c r="D5818" i="2"/>
  <c r="B5818" i="2"/>
  <c r="A5818" i="2"/>
  <c r="O5817" i="2"/>
  <c r="M5817" i="2"/>
  <c r="L5817" i="2"/>
  <c r="E5817" i="2"/>
  <c r="D5817" i="2"/>
  <c r="B5817" i="2"/>
  <c r="A5817" i="2"/>
  <c r="O5816" i="2"/>
  <c r="O5815" i="2"/>
  <c r="O5814" i="2"/>
  <c r="O5813" i="2"/>
  <c r="O5812" i="2"/>
  <c r="O5811" i="2"/>
  <c r="M5811" i="2"/>
  <c r="L5811" i="2"/>
  <c r="E5811" i="2"/>
  <c r="D5811" i="2"/>
  <c r="B5811" i="2"/>
  <c r="A5811" i="2"/>
  <c r="O5810" i="2"/>
  <c r="M5810" i="2"/>
  <c r="L5810" i="2"/>
  <c r="E5810" i="2"/>
  <c r="D5810" i="2"/>
  <c r="B5810" i="2"/>
  <c r="A5810" i="2"/>
  <c r="O5809" i="2"/>
  <c r="M5809" i="2"/>
  <c r="L5809" i="2"/>
  <c r="E5809" i="2"/>
  <c r="D5809" i="2"/>
  <c r="B5809" i="2"/>
  <c r="A5809" i="2"/>
  <c r="O5808" i="2"/>
  <c r="M5808" i="2"/>
  <c r="L5808" i="2"/>
  <c r="E5808" i="2"/>
  <c r="D5808" i="2"/>
  <c r="B5808" i="2"/>
  <c r="A5808" i="2"/>
  <c r="O5807" i="2"/>
  <c r="O5806" i="2"/>
  <c r="M5806" i="2"/>
  <c r="L5806" i="2"/>
  <c r="E5806" i="2"/>
  <c r="D5806" i="2"/>
  <c r="B5806" i="2"/>
  <c r="A5806" i="2"/>
  <c r="O5805" i="2"/>
  <c r="O5804" i="2"/>
  <c r="M5804" i="2"/>
  <c r="L5804" i="2"/>
  <c r="E5804" i="2"/>
  <c r="D5804" i="2"/>
  <c r="B5804" i="2"/>
  <c r="A5804" i="2"/>
  <c r="O5803" i="2"/>
  <c r="O5802" i="2"/>
  <c r="M5802" i="2"/>
  <c r="L5802" i="2"/>
  <c r="E5802" i="2"/>
  <c r="D5802" i="2"/>
  <c r="B5802" i="2"/>
  <c r="A5802" i="2"/>
  <c r="O5801" i="2"/>
  <c r="O5800" i="2"/>
  <c r="M5800" i="2"/>
  <c r="L5800" i="2"/>
  <c r="E5800" i="2"/>
  <c r="D5800" i="2"/>
  <c r="B5800" i="2"/>
  <c r="A5800" i="2"/>
  <c r="O5799" i="2"/>
  <c r="M5799" i="2"/>
  <c r="L5799" i="2"/>
  <c r="E5799" i="2"/>
  <c r="D5799" i="2"/>
  <c r="B5799" i="2"/>
  <c r="A5799" i="2"/>
  <c r="O5798" i="2"/>
  <c r="M5798" i="2"/>
  <c r="L5798" i="2"/>
  <c r="E5798" i="2"/>
  <c r="D5798" i="2"/>
  <c r="B5798" i="2"/>
  <c r="A5798" i="2"/>
  <c r="O5797" i="2"/>
  <c r="M5797" i="2"/>
  <c r="L5797" i="2"/>
  <c r="E5797" i="2"/>
  <c r="D5797" i="2"/>
  <c r="B5797" i="2"/>
  <c r="A5797" i="2"/>
  <c r="O5796" i="2"/>
  <c r="M5796" i="2"/>
  <c r="L5796" i="2"/>
  <c r="E5796" i="2"/>
  <c r="D5796" i="2"/>
  <c r="B5796" i="2"/>
  <c r="A5796" i="2"/>
  <c r="O5795" i="2"/>
  <c r="M5795" i="2"/>
  <c r="L5795" i="2"/>
  <c r="E5795" i="2"/>
  <c r="D5795" i="2"/>
  <c r="B5795" i="2"/>
  <c r="A5795" i="2"/>
  <c r="O5794" i="2"/>
  <c r="M5794" i="2"/>
  <c r="L5794" i="2"/>
  <c r="E5794" i="2"/>
  <c r="D5794" i="2"/>
  <c r="B5794" i="2"/>
  <c r="A5794" i="2"/>
  <c r="O5793" i="2"/>
  <c r="O5792" i="2"/>
  <c r="O5791" i="2"/>
  <c r="O5790" i="2"/>
  <c r="O5789" i="2"/>
  <c r="M5789" i="2"/>
  <c r="L5789" i="2"/>
  <c r="E5789" i="2"/>
  <c r="D5789" i="2"/>
  <c r="B5789" i="2"/>
  <c r="A5789" i="2"/>
  <c r="O5788" i="2"/>
  <c r="O5787" i="2"/>
  <c r="O5786" i="2"/>
  <c r="O5785" i="2"/>
  <c r="O5784" i="2"/>
  <c r="O5783" i="2"/>
  <c r="M5783" i="2"/>
  <c r="L5783" i="2"/>
  <c r="E5783" i="2"/>
  <c r="D5783" i="2"/>
  <c r="B5783" i="2"/>
  <c r="A5783" i="2"/>
  <c r="O5782" i="2"/>
  <c r="O5781" i="2"/>
  <c r="O5780" i="2"/>
  <c r="O5779" i="2"/>
  <c r="M5779" i="2"/>
  <c r="L5779" i="2"/>
  <c r="E5779" i="2"/>
  <c r="D5779" i="2"/>
  <c r="B5779" i="2"/>
  <c r="A5779" i="2"/>
  <c r="O5778" i="2"/>
  <c r="O5777" i="2"/>
  <c r="O5776" i="2"/>
  <c r="M5776" i="2"/>
  <c r="L5776" i="2"/>
  <c r="E5776" i="2"/>
  <c r="D5776" i="2"/>
  <c r="B5776" i="2"/>
  <c r="A5776" i="2"/>
  <c r="O5775" i="2"/>
  <c r="O5774" i="2"/>
  <c r="O5773" i="2"/>
  <c r="O5772" i="2"/>
  <c r="O5771" i="2"/>
  <c r="M5771" i="2"/>
  <c r="L5771" i="2"/>
  <c r="E5771" i="2"/>
  <c r="D5771" i="2"/>
  <c r="B5771" i="2"/>
  <c r="A5771" i="2"/>
  <c r="O5770" i="2"/>
  <c r="O5769" i="2"/>
  <c r="M5769" i="2"/>
  <c r="L5769" i="2"/>
  <c r="E5769" i="2"/>
  <c r="D5769" i="2"/>
  <c r="B5769" i="2"/>
  <c r="A5769" i="2"/>
  <c r="O5768" i="2"/>
  <c r="M5768" i="2"/>
  <c r="L5768" i="2"/>
  <c r="E5768" i="2"/>
  <c r="D5768" i="2"/>
  <c r="B5768" i="2"/>
  <c r="A5768" i="2"/>
  <c r="O5767" i="2"/>
  <c r="M5767" i="2"/>
  <c r="L5767" i="2"/>
  <c r="E5767" i="2"/>
  <c r="D5767" i="2"/>
  <c r="B5767" i="2"/>
  <c r="A5767" i="2"/>
  <c r="O5766" i="2"/>
  <c r="M5766" i="2"/>
  <c r="L5766" i="2"/>
  <c r="E5766" i="2"/>
  <c r="D5766" i="2"/>
  <c r="B5766" i="2"/>
  <c r="A5766" i="2"/>
  <c r="O5765" i="2"/>
  <c r="M5765" i="2"/>
  <c r="L5765" i="2"/>
  <c r="E5765" i="2"/>
  <c r="D5765" i="2"/>
  <c r="B5765" i="2"/>
  <c r="A5765" i="2"/>
  <c r="O5764" i="2"/>
  <c r="O5763" i="2"/>
  <c r="M5763" i="2"/>
  <c r="L5763" i="2"/>
  <c r="E5763" i="2"/>
  <c r="D5763" i="2"/>
  <c r="B5763" i="2"/>
  <c r="A5763" i="2"/>
  <c r="O5762" i="2"/>
  <c r="M5762" i="2"/>
  <c r="L5762" i="2"/>
  <c r="E5762" i="2"/>
  <c r="D5762" i="2"/>
  <c r="B5762" i="2"/>
  <c r="A5762" i="2"/>
  <c r="O5761" i="2"/>
  <c r="M5761" i="2"/>
  <c r="L5761" i="2"/>
  <c r="E5761" i="2"/>
  <c r="D5761" i="2"/>
  <c r="B5761" i="2"/>
  <c r="A5761" i="2"/>
  <c r="O5760" i="2"/>
  <c r="M5760" i="2"/>
  <c r="L5760" i="2"/>
  <c r="E5760" i="2"/>
  <c r="D5760" i="2"/>
  <c r="B5760" i="2"/>
  <c r="A5760" i="2"/>
  <c r="O5759" i="2"/>
  <c r="M5759" i="2"/>
  <c r="L5759" i="2"/>
  <c r="E5759" i="2"/>
  <c r="D5759" i="2"/>
  <c r="B5759" i="2"/>
  <c r="A5759" i="2"/>
  <c r="O5758" i="2"/>
  <c r="O5757" i="2"/>
  <c r="O5756" i="2"/>
  <c r="M5756" i="2"/>
  <c r="L5756" i="2"/>
  <c r="E5756" i="2"/>
  <c r="D5756" i="2"/>
  <c r="B5756" i="2"/>
  <c r="A5756" i="2"/>
  <c r="O5755" i="2"/>
  <c r="O5754" i="2"/>
  <c r="O5753" i="2"/>
  <c r="O5752" i="2"/>
  <c r="O5751" i="2"/>
  <c r="M5751" i="2"/>
  <c r="L5751" i="2"/>
  <c r="E5751" i="2"/>
  <c r="D5751" i="2"/>
  <c r="B5751" i="2"/>
  <c r="A5751" i="2"/>
  <c r="O5750" i="2"/>
  <c r="O5749" i="2"/>
  <c r="O5748" i="2"/>
  <c r="M5748" i="2"/>
  <c r="L5748" i="2"/>
  <c r="E5748" i="2"/>
  <c r="D5748" i="2"/>
  <c r="B5748" i="2"/>
  <c r="A5748" i="2"/>
  <c r="O5747" i="2"/>
  <c r="M5747" i="2"/>
  <c r="L5747" i="2"/>
  <c r="E5747" i="2"/>
  <c r="D5747" i="2"/>
  <c r="B5747" i="2"/>
  <c r="A5747" i="2"/>
  <c r="O5746" i="2"/>
  <c r="M5746" i="2"/>
  <c r="L5746" i="2"/>
  <c r="E5746" i="2"/>
  <c r="D5746" i="2"/>
  <c r="B5746" i="2"/>
  <c r="A5746" i="2"/>
  <c r="O5745" i="2"/>
  <c r="M5745" i="2"/>
  <c r="L5745" i="2"/>
  <c r="E5745" i="2"/>
  <c r="D5745" i="2"/>
  <c r="B5745" i="2"/>
  <c r="A5745" i="2"/>
  <c r="O5744" i="2"/>
  <c r="M5744" i="2"/>
  <c r="L5744" i="2"/>
  <c r="E5744" i="2"/>
  <c r="D5744" i="2"/>
  <c r="B5744" i="2"/>
  <c r="A5744" i="2"/>
  <c r="O5743" i="2"/>
  <c r="M5743" i="2"/>
  <c r="L5743" i="2"/>
  <c r="E5743" i="2"/>
  <c r="D5743" i="2"/>
  <c r="B5743" i="2"/>
  <c r="A5743" i="2"/>
  <c r="O5742" i="2"/>
  <c r="M5742" i="2"/>
  <c r="L5742" i="2"/>
  <c r="E5742" i="2"/>
  <c r="D5742" i="2"/>
  <c r="B5742" i="2"/>
  <c r="A5742" i="2"/>
  <c r="O5741" i="2"/>
  <c r="M5741" i="2"/>
  <c r="L5741" i="2"/>
  <c r="E5741" i="2"/>
  <c r="D5741" i="2"/>
  <c r="B5741" i="2"/>
  <c r="A5741" i="2"/>
  <c r="O5740" i="2"/>
  <c r="O5739" i="2"/>
  <c r="O5738" i="2"/>
  <c r="O5737" i="2"/>
  <c r="M5737" i="2"/>
  <c r="L5737" i="2"/>
  <c r="E5737" i="2"/>
  <c r="D5737" i="2"/>
  <c r="B5737" i="2"/>
  <c r="A5737" i="2"/>
  <c r="O5736" i="2"/>
  <c r="O5735" i="2"/>
  <c r="M5735" i="2"/>
  <c r="L5735" i="2"/>
  <c r="E5735" i="2"/>
  <c r="D5735" i="2"/>
  <c r="B5735" i="2"/>
  <c r="A5735" i="2"/>
  <c r="O5734" i="2"/>
  <c r="O5733" i="2"/>
  <c r="O5732" i="2"/>
  <c r="O5731" i="2"/>
  <c r="O5730" i="2"/>
  <c r="O5729" i="2"/>
  <c r="M5729" i="2"/>
  <c r="L5729" i="2"/>
  <c r="E5729" i="2"/>
  <c r="D5729" i="2"/>
  <c r="B5729" i="2"/>
  <c r="A5729" i="2"/>
  <c r="O5728" i="2"/>
  <c r="O5727" i="2"/>
  <c r="O5726" i="2"/>
  <c r="O5725" i="2"/>
  <c r="O5724" i="2"/>
  <c r="O5723" i="2"/>
  <c r="O5722" i="2"/>
  <c r="M5722" i="2"/>
  <c r="L5722" i="2"/>
  <c r="E5722" i="2"/>
  <c r="D5722" i="2"/>
  <c r="B5722" i="2"/>
  <c r="A5722" i="2"/>
  <c r="O5721" i="2"/>
  <c r="O5720" i="2"/>
  <c r="O5719" i="2"/>
  <c r="M5719" i="2"/>
  <c r="L5719" i="2"/>
  <c r="E5719" i="2"/>
  <c r="D5719" i="2"/>
  <c r="B5719" i="2"/>
  <c r="A5719" i="2"/>
  <c r="O5718" i="2"/>
  <c r="O5717" i="2"/>
  <c r="M5717" i="2"/>
  <c r="L5717" i="2"/>
  <c r="E5717" i="2"/>
  <c r="D5717" i="2"/>
  <c r="B5717" i="2"/>
  <c r="A5717" i="2"/>
  <c r="O5716" i="2"/>
  <c r="M5716" i="2"/>
  <c r="L5716" i="2"/>
  <c r="E5716" i="2"/>
  <c r="D5716" i="2"/>
  <c r="B5716" i="2"/>
  <c r="A5716" i="2"/>
  <c r="O5715" i="2"/>
  <c r="M5715" i="2"/>
  <c r="L5715" i="2"/>
  <c r="E5715" i="2"/>
  <c r="D5715" i="2"/>
  <c r="B5715" i="2"/>
  <c r="A5715" i="2"/>
  <c r="O5714" i="2"/>
  <c r="O5713" i="2"/>
  <c r="O5712" i="2"/>
  <c r="O5711" i="2"/>
  <c r="O5710" i="2"/>
  <c r="O5709" i="2"/>
  <c r="M5709" i="2"/>
  <c r="L5709" i="2"/>
  <c r="E5709" i="2"/>
  <c r="D5709" i="2"/>
  <c r="B5709" i="2"/>
  <c r="A5709" i="2"/>
  <c r="O5708" i="2"/>
  <c r="O5707" i="2"/>
  <c r="O5706" i="2"/>
  <c r="O5705" i="2"/>
  <c r="O5704" i="2"/>
  <c r="M5704" i="2"/>
  <c r="L5704" i="2"/>
  <c r="E5704" i="2"/>
  <c r="D5704" i="2"/>
  <c r="B5704" i="2"/>
  <c r="A5704" i="2"/>
  <c r="O5703" i="2"/>
  <c r="O5702" i="2"/>
  <c r="O5701" i="2"/>
  <c r="O5700" i="2"/>
  <c r="O5699" i="2"/>
  <c r="M5699" i="2"/>
  <c r="L5699" i="2"/>
  <c r="E5699" i="2"/>
  <c r="D5699" i="2"/>
  <c r="B5699" i="2"/>
  <c r="A5699" i="2"/>
  <c r="O5698" i="2"/>
  <c r="O5697" i="2"/>
  <c r="M5697" i="2"/>
  <c r="L5697" i="2"/>
  <c r="E5697" i="2"/>
  <c r="D5697" i="2"/>
  <c r="B5697" i="2"/>
  <c r="A5697" i="2"/>
  <c r="O5696" i="2"/>
  <c r="M5696" i="2"/>
  <c r="L5696" i="2"/>
  <c r="E5696" i="2"/>
  <c r="D5696" i="2"/>
  <c r="B5696" i="2"/>
  <c r="A5696" i="2"/>
  <c r="O5695" i="2"/>
  <c r="O5694" i="2"/>
  <c r="O5693" i="2"/>
  <c r="M5693" i="2"/>
  <c r="L5693" i="2"/>
  <c r="E5693" i="2"/>
  <c r="D5693" i="2"/>
  <c r="B5693" i="2"/>
  <c r="A5693" i="2"/>
  <c r="O5692" i="2"/>
  <c r="M5692" i="2"/>
  <c r="L5692" i="2"/>
  <c r="E5692" i="2"/>
  <c r="D5692" i="2"/>
  <c r="B5692" i="2"/>
  <c r="A5692" i="2"/>
  <c r="O5691" i="2"/>
  <c r="O5690" i="2"/>
  <c r="M5690" i="2"/>
  <c r="L5690" i="2"/>
  <c r="E5690" i="2"/>
  <c r="D5690" i="2"/>
  <c r="B5690" i="2"/>
  <c r="A5690" i="2"/>
  <c r="O5689" i="2"/>
  <c r="M5689" i="2"/>
  <c r="L5689" i="2"/>
  <c r="E5689" i="2"/>
  <c r="D5689" i="2"/>
  <c r="B5689" i="2"/>
  <c r="A5689" i="2"/>
  <c r="O5688" i="2"/>
  <c r="M5688" i="2"/>
  <c r="L5688" i="2"/>
  <c r="E5688" i="2"/>
  <c r="D5688" i="2"/>
  <c r="B5688" i="2"/>
  <c r="A5688" i="2"/>
  <c r="O5687" i="2"/>
  <c r="M5687" i="2"/>
  <c r="L5687" i="2"/>
  <c r="E5687" i="2"/>
  <c r="D5687" i="2"/>
  <c r="B5687" i="2"/>
  <c r="A5687" i="2"/>
  <c r="O5686" i="2"/>
  <c r="O5685" i="2"/>
  <c r="M5685" i="2"/>
  <c r="L5685" i="2"/>
  <c r="E5685" i="2"/>
  <c r="D5685" i="2"/>
  <c r="B5685" i="2"/>
  <c r="A5685" i="2"/>
  <c r="O5684" i="2"/>
  <c r="O5683" i="2"/>
  <c r="M5683" i="2"/>
  <c r="L5683" i="2"/>
  <c r="E5683" i="2"/>
  <c r="D5683" i="2"/>
  <c r="B5683" i="2"/>
  <c r="A5683" i="2"/>
  <c r="O5682" i="2"/>
  <c r="O5681" i="2"/>
  <c r="M5681" i="2"/>
  <c r="L5681" i="2"/>
  <c r="E5681" i="2"/>
  <c r="D5681" i="2"/>
  <c r="B5681" i="2"/>
  <c r="A5681" i="2"/>
  <c r="O5680" i="2"/>
  <c r="O5679" i="2"/>
  <c r="M5679" i="2"/>
  <c r="L5679" i="2"/>
  <c r="E5679" i="2"/>
  <c r="D5679" i="2"/>
  <c r="B5679" i="2"/>
  <c r="A5679" i="2"/>
  <c r="O5678" i="2"/>
  <c r="O5677" i="2"/>
  <c r="O5676" i="2"/>
  <c r="O5675" i="2"/>
  <c r="M5675" i="2"/>
  <c r="L5675" i="2"/>
  <c r="E5675" i="2"/>
  <c r="D5675" i="2"/>
  <c r="B5675" i="2"/>
  <c r="A5675" i="2"/>
  <c r="O5674" i="2"/>
  <c r="M5674" i="2"/>
  <c r="L5674" i="2"/>
  <c r="E5674" i="2"/>
  <c r="D5674" i="2"/>
  <c r="B5674" i="2"/>
  <c r="A5674" i="2"/>
  <c r="O5673" i="2"/>
  <c r="M5673" i="2"/>
  <c r="L5673" i="2"/>
  <c r="E5673" i="2"/>
  <c r="D5673" i="2"/>
  <c r="B5673" i="2"/>
  <c r="A5673" i="2"/>
  <c r="O5672" i="2"/>
  <c r="M5672" i="2"/>
  <c r="L5672" i="2"/>
  <c r="E5672" i="2"/>
  <c r="D5672" i="2"/>
  <c r="B5672" i="2"/>
  <c r="A5672" i="2"/>
  <c r="O5671" i="2"/>
  <c r="O5670" i="2"/>
  <c r="O5669" i="2"/>
  <c r="O5668" i="2"/>
  <c r="O5667" i="2"/>
  <c r="O5666" i="2"/>
  <c r="O5665" i="2"/>
  <c r="O5664" i="2"/>
  <c r="O5663" i="2"/>
  <c r="O5662" i="2"/>
  <c r="M5662" i="2"/>
  <c r="L5662" i="2"/>
  <c r="E5662" i="2"/>
  <c r="D5662" i="2"/>
  <c r="B5662" i="2"/>
  <c r="A5662" i="2"/>
  <c r="O5661" i="2"/>
  <c r="M5661" i="2"/>
  <c r="L5661" i="2"/>
  <c r="E5661" i="2"/>
  <c r="D5661" i="2"/>
  <c r="B5661" i="2"/>
  <c r="A5661" i="2"/>
  <c r="O5660" i="2"/>
  <c r="O5659" i="2"/>
  <c r="M5659" i="2"/>
  <c r="L5659" i="2"/>
  <c r="E5659" i="2"/>
  <c r="D5659" i="2"/>
  <c r="B5659" i="2"/>
  <c r="A5659" i="2"/>
  <c r="O5658" i="2"/>
  <c r="O5657" i="2"/>
  <c r="M5657" i="2"/>
  <c r="L5657" i="2"/>
  <c r="E5657" i="2"/>
  <c r="D5657" i="2"/>
  <c r="B5657" i="2"/>
  <c r="A5657" i="2"/>
  <c r="O5656" i="2"/>
  <c r="O5655" i="2"/>
  <c r="M5655" i="2"/>
  <c r="L5655" i="2"/>
  <c r="E5655" i="2"/>
  <c r="D5655" i="2"/>
  <c r="B5655" i="2"/>
  <c r="A5655" i="2"/>
  <c r="O5654" i="2"/>
  <c r="M5654" i="2"/>
  <c r="L5654" i="2"/>
  <c r="E5654" i="2"/>
  <c r="D5654" i="2"/>
  <c r="B5654" i="2"/>
  <c r="A5654" i="2"/>
  <c r="O5653" i="2"/>
  <c r="M5653" i="2"/>
  <c r="L5653" i="2"/>
  <c r="E5653" i="2"/>
  <c r="D5653" i="2"/>
  <c r="B5653" i="2"/>
  <c r="A5653" i="2"/>
  <c r="O5652" i="2"/>
  <c r="O5651" i="2"/>
  <c r="O5650" i="2"/>
  <c r="O5649" i="2"/>
  <c r="O5648" i="2"/>
  <c r="O5647" i="2"/>
  <c r="M5647" i="2"/>
  <c r="L5647" i="2"/>
  <c r="E5647" i="2"/>
  <c r="D5647" i="2"/>
  <c r="B5647" i="2"/>
  <c r="A5647" i="2"/>
  <c r="O5646" i="2"/>
  <c r="M5646" i="2"/>
  <c r="L5646" i="2"/>
  <c r="E5646" i="2"/>
  <c r="D5646" i="2"/>
  <c r="B5646" i="2"/>
  <c r="A5646" i="2"/>
  <c r="O5645" i="2"/>
  <c r="O5644" i="2"/>
  <c r="M5644" i="2"/>
  <c r="L5644" i="2"/>
  <c r="E5644" i="2"/>
  <c r="D5644" i="2"/>
  <c r="B5644" i="2"/>
  <c r="A5644" i="2"/>
  <c r="O5643" i="2"/>
  <c r="M5643" i="2"/>
  <c r="L5643" i="2"/>
  <c r="E5643" i="2"/>
  <c r="D5643" i="2"/>
  <c r="B5643" i="2"/>
  <c r="A5643" i="2"/>
  <c r="O5642" i="2"/>
  <c r="M5642" i="2"/>
  <c r="L5642" i="2"/>
  <c r="E5642" i="2"/>
  <c r="D5642" i="2"/>
  <c r="B5642" i="2"/>
  <c r="A5642" i="2"/>
  <c r="O5641" i="2"/>
  <c r="M5641" i="2"/>
  <c r="L5641" i="2"/>
  <c r="E5641" i="2"/>
  <c r="D5641" i="2"/>
  <c r="B5641" i="2"/>
  <c r="A5641" i="2"/>
  <c r="O5640" i="2"/>
  <c r="M5640" i="2"/>
  <c r="L5640" i="2"/>
  <c r="E5640" i="2"/>
  <c r="D5640" i="2"/>
  <c r="B5640" i="2"/>
  <c r="A5640" i="2"/>
  <c r="O5639" i="2"/>
  <c r="M5639" i="2"/>
  <c r="L5639" i="2"/>
  <c r="E5639" i="2"/>
  <c r="D5639" i="2"/>
  <c r="B5639" i="2"/>
  <c r="A5639" i="2"/>
  <c r="O5638" i="2"/>
  <c r="O5637" i="2"/>
  <c r="O5636" i="2"/>
  <c r="M5636" i="2"/>
  <c r="L5636" i="2"/>
  <c r="E5636" i="2"/>
  <c r="D5636" i="2"/>
  <c r="B5636" i="2"/>
  <c r="A5636" i="2"/>
  <c r="O5635" i="2"/>
  <c r="M5635" i="2"/>
  <c r="L5635" i="2"/>
  <c r="E5635" i="2"/>
  <c r="D5635" i="2"/>
  <c r="B5635" i="2"/>
  <c r="A5635" i="2"/>
  <c r="O5634" i="2"/>
  <c r="M5634" i="2"/>
  <c r="L5634" i="2"/>
  <c r="E5634" i="2"/>
  <c r="D5634" i="2"/>
  <c r="B5634" i="2"/>
  <c r="A5634" i="2"/>
  <c r="O5633" i="2"/>
  <c r="M5633" i="2"/>
  <c r="L5633" i="2"/>
  <c r="E5633" i="2"/>
  <c r="D5633" i="2"/>
  <c r="B5633" i="2"/>
  <c r="A5633" i="2"/>
  <c r="O5632" i="2"/>
  <c r="M5632" i="2"/>
  <c r="L5632" i="2"/>
  <c r="E5632" i="2"/>
  <c r="D5632" i="2"/>
  <c r="B5632" i="2"/>
  <c r="A5632" i="2"/>
  <c r="O5631" i="2"/>
  <c r="M5631" i="2"/>
  <c r="L5631" i="2"/>
  <c r="E5631" i="2"/>
  <c r="D5631" i="2"/>
  <c r="B5631" i="2"/>
  <c r="A5631" i="2"/>
  <c r="O5630" i="2"/>
  <c r="O5629" i="2"/>
  <c r="M5629" i="2"/>
  <c r="L5629" i="2"/>
  <c r="E5629" i="2"/>
  <c r="D5629" i="2"/>
  <c r="B5629" i="2"/>
  <c r="A5629" i="2"/>
  <c r="O5628" i="2"/>
  <c r="O5627" i="2"/>
  <c r="M5627" i="2"/>
  <c r="L5627" i="2"/>
  <c r="E5627" i="2"/>
  <c r="D5627" i="2"/>
  <c r="B5627" i="2"/>
  <c r="A5627" i="2"/>
  <c r="O5626" i="2"/>
  <c r="O5625" i="2"/>
  <c r="O5624" i="2"/>
  <c r="O5623" i="2"/>
  <c r="O5622" i="2"/>
  <c r="M5622" i="2"/>
  <c r="L5622" i="2"/>
  <c r="E5622" i="2"/>
  <c r="D5622" i="2"/>
  <c r="B5622" i="2"/>
  <c r="A5622" i="2"/>
  <c r="O5621" i="2"/>
  <c r="M5621" i="2"/>
  <c r="L5621" i="2"/>
  <c r="E5621" i="2"/>
  <c r="D5621" i="2"/>
  <c r="B5621" i="2"/>
  <c r="A5621" i="2"/>
  <c r="O5620" i="2"/>
  <c r="M5620" i="2"/>
  <c r="L5620" i="2"/>
  <c r="E5620" i="2"/>
  <c r="D5620" i="2"/>
  <c r="B5620" i="2"/>
  <c r="A5620" i="2"/>
  <c r="O5619" i="2"/>
  <c r="M5619" i="2"/>
  <c r="L5619" i="2"/>
  <c r="E5619" i="2"/>
  <c r="D5619" i="2"/>
  <c r="B5619" i="2"/>
  <c r="A5619" i="2"/>
  <c r="O5618" i="2"/>
  <c r="M5618" i="2"/>
  <c r="L5618" i="2"/>
  <c r="E5618" i="2"/>
  <c r="D5618" i="2"/>
  <c r="B5618" i="2"/>
  <c r="A5618" i="2"/>
  <c r="O5617" i="2"/>
  <c r="M5617" i="2"/>
  <c r="L5617" i="2"/>
  <c r="E5617" i="2"/>
  <c r="D5617" i="2"/>
  <c r="B5617" i="2"/>
  <c r="A5617" i="2"/>
  <c r="O5616" i="2"/>
  <c r="O5615" i="2"/>
  <c r="M5615" i="2"/>
  <c r="L5615" i="2"/>
  <c r="E5615" i="2"/>
  <c r="D5615" i="2"/>
  <c r="B5615" i="2"/>
  <c r="A5615" i="2"/>
  <c r="O5614" i="2"/>
  <c r="M5614" i="2"/>
  <c r="L5614" i="2"/>
  <c r="E5614" i="2"/>
  <c r="D5614" i="2"/>
  <c r="B5614" i="2"/>
  <c r="A5614" i="2"/>
  <c r="O5613" i="2"/>
  <c r="O5612" i="2"/>
  <c r="M5612" i="2"/>
  <c r="L5612" i="2"/>
  <c r="E5612" i="2"/>
  <c r="D5612" i="2"/>
  <c r="B5612" i="2"/>
  <c r="A5612" i="2"/>
  <c r="O5611" i="2"/>
  <c r="M5611" i="2"/>
  <c r="L5611" i="2"/>
  <c r="E5611" i="2"/>
  <c r="D5611" i="2"/>
  <c r="B5611" i="2"/>
  <c r="A5611" i="2"/>
  <c r="O5610" i="2"/>
  <c r="O5609" i="2"/>
  <c r="M5609" i="2"/>
  <c r="L5609" i="2"/>
  <c r="E5609" i="2"/>
  <c r="D5609" i="2"/>
  <c r="B5609" i="2"/>
  <c r="A5609" i="2"/>
  <c r="O5608" i="2"/>
  <c r="M5608" i="2"/>
  <c r="L5608" i="2"/>
  <c r="E5608" i="2"/>
  <c r="D5608" i="2"/>
  <c r="B5608" i="2"/>
  <c r="A5608" i="2"/>
  <c r="O5607" i="2"/>
  <c r="O5606" i="2"/>
  <c r="M5606" i="2"/>
  <c r="L5606" i="2"/>
  <c r="E5606" i="2"/>
  <c r="D5606" i="2"/>
  <c r="B5606" i="2"/>
  <c r="A5606" i="2"/>
  <c r="O5605" i="2"/>
  <c r="O5604" i="2"/>
  <c r="M5604" i="2"/>
  <c r="L5604" i="2"/>
  <c r="E5604" i="2"/>
  <c r="D5604" i="2"/>
  <c r="B5604" i="2"/>
  <c r="A5604" i="2"/>
  <c r="O5603" i="2"/>
  <c r="M5603" i="2"/>
  <c r="L5603" i="2"/>
  <c r="E5603" i="2"/>
  <c r="D5603" i="2"/>
  <c r="B5603" i="2"/>
  <c r="A5603" i="2"/>
  <c r="O5602" i="2"/>
  <c r="M5602" i="2"/>
  <c r="L5602" i="2"/>
  <c r="E5602" i="2"/>
  <c r="D5602" i="2"/>
  <c r="B5602" i="2"/>
  <c r="A5602" i="2"/>
  <c r="O5601" i="2"/>
  <c r="O5600" i="2"/>
  <c r="M5600" i="2"/>
  <c r="L5600" i="2"/>
  <c r="E5600" i="2"/>
  <c r="D5600" i="2"/>
  <c r="B5600" i="2"/>
  <c r="A5600" i="2"/>
  <c r="O5599" i="2"/>
  <c r="M5599" i="2"/>
  <c r="L5599" i="2"/>
  <c r="E5599" i="2"/>
  <c r="D5599" i="2"/>
  <c r="B5599" i="2"/>
  <c r="A5599" i="2"/>
  <c r="O5598" i="2"/>
  <c r="O5597" i="2"/>
  <c r="M5597" i="2"/>
  <c r="L5597" i="2"/>
  <c r="E5597" i="2"/>
  <c r="D5597" i="2"/>
  <c r="B5597" i="2"/>
  <c r="A5597" i="2"/>
  <c r="O5596" i="2"/>
  <c r="O5595" i="2"/>
  <c r="O5594" i="2"/>
  <c r="O5593" i="2"/>
  <c r="M5593" i="2"/>
  <c r="L5593" i="2"/>
  <c r="E5593" i="2"/>
  <c r="D5593" i="2"/>
  <c r="B5593" i="2"/>
  <c r="A5593" i="2"/>
  <c r="O5592" i="2"/>
  <c r="O5591" i="2"/>
  <c r="O5590" i="2"/>
  <c r="O5589" i="2"/>
  <c r="M5589" i="2"/>
  <c r="L5589" i="2"/>
  <c r="E5589" i="2"/>
  <c r="D5589" i="2"/>
  <c r="B5589" i="2"/>
  <c r="A5589" i="2"/>
  <c r="O5588" i="2"/>
  <c r="O5587" i="2"/>
  <c r="O5586" i="2"/>
  <c r="O5585" i="2"/>
  <c r="M5585" i="2"/>
  <c r="L5585" i="2"/>
  <c r="E5585" i="2"/>
  <c r="D5585" i="2"/>
  <c r="B5585" i="2"/>
  <c r="A5585" i="2"/>
  <c r="O5584" i="2"/>
  <c r="M5584" i="2"/>
  <c r="L5584" i="2"/>
  <c r="E5584" i="2"/>
  <c r="D5584" i="2"/>
  <c r="B5584" i="2"/>
  <c r="A5584" i="2"/>
  <c r="O5583" i="2"/>
  <c r="M5583" i="2"/>
  <c r="L5583" i="2"/>
  <c r="E5583" i="2"/>
  <c r="D5583" i="2"/>
  <c r="B5583" i="2"/>
  <c r="A5583" i="2"/>
  <c r="O5582" i="2"/>
  <c r="M5582" i="2"/>
  <c r="L5582" i="2"/>
  <c r="E5582" i="2"/>
  <c r="D5582" i="2"/>
  <c r="B5582" i="2"/>
  <c r="A5582" i="2"/>
  <c r="O5581" i="2"/>
  <c r="M5581" i="2"/>
  <c r="L5581" i="2"/>
  <c r="E5581" i="2"/>
  <c r="D5581" i="2"/>
  <c r="B5581" i="2"/>
  <c r="A5581" i="2"/>
  <c r="O5580" i="2"/>
  <c r="M5580" i="2"/>
  <c r="L5580" i="2"/>
  <c r="E5580" i="2"/>
  <c r="D5580" i="2"/>
  <c r="B5580" i="2"/>
  <c r="A5580" i="2"/>
  <c r="O5579" i="2"/>
  <c r="O5578" i="2"/>
  <c r="O5577" i="2"/>
  <c r="O5576" i="2"/>
  <c r="O5575" i="2"/>
  <c r="O5574" i="2"/>
  <c r="O5573" i="2"/>
  <c r="O5572" i="2"/>
  <c r="O5571" i="2"/>
  <c r="O5570" i="2"/>
  <c r="O5569" i="2"/>
  <c r="O5568" i="2"/>
  <c r="O5567" i="2"/>
  <c r="O5566" i="2"/>
  <c r="O5565" i="2"/>
  <c r="O5564" i="2"/>
  <c r="O5563" i="2"/>
  <c r="O5562" i="2"/>
  <c r="O5561" i="2"/>
  <c r="O5560" i="2"/>
  <c r="O5559" i="2"/>
  <c r="O5558" i="2"/>
  <c r="O5557" i="2"/>
  <c r="O5556" i="2"/>
  <c r="O5555" i="2"/>
  <c r="O5554" i="2"/>
  <c r="O5553" i="2"/>
  <c r="O5552" i="2"/>
  <c r="O5551" i="2"/>
  <c r="O5550" i="2"/>
  <c r="O5549" i="2"/>
  <c r="O5548" i="2"/>
  <c r="O5547" i="2"/>
  <c r="O5546" i="2"/>
  <c r="O5545" i="2"/>
  <c r="O5544" i="2"/>
  <c r="O5543" i="2"/>
  <c r="O5542" i="2"/>
  <c r="O5541" i="2"/>
  <c r="O5540" i="2"/>
  <c r="O5539" i="2"/>
  <c r="O5538" i="2"/>
  <c r="O5537" i="2"/>
  <c r="O5536" i="2"/>
  <c r="O5535" i="2"/>
  <c r="O5534" i="2"/>
  <c r="O5533" i="2"/>
  <c r="O5532" i="2"/>
  <c r="O5531" i="2"/>
  <c r="O5530" i="2"/>
  <c r="O5529" i="2"/>
  <c r="O5528" i="2"/>
  <c r="O5527" i="2"/>
  <c r="O5526" i="2"/>
  <c r="O5525" i="2"/>
  <c r="O5524" i="2"/>
  <c r="O5523" i="2"/>
  <c r="O5522" i="2"/>
  <c r="O5521" i="2"/>
  <c r="O5520" i="2"/>
  <c r="O5519" i="2"/>
  <c r="O5518" i="2"/>
  <c r="O5517" i="2"/>
  <c r="O5516" i="2"/>
  <c r="O5515" i="2"/>
  <c r="O5514" i="2"/>
  <c r="O5513" i="2"/>
  <c r="O5512" i="2"/>
  <c r="O5511" i="2"/>
  <c r="O5510" i="2"/>
  <c r="O5509" i="2"/>
  <c r="O5508" i="2"/>
  <c r="O5507" i="2"/>
  <c r="O5506" i="2"/>
  <c r="O5505" i="2"/>
  <c r="O5504" i="2"/>
  <c r="M5504" i="2"/>
  <c r="L5504" i="2"/>
  <c r="E5504" i="2"/>
  <c r="D5504" i="2"/>
  <c r="B5504" i="2"/>
  <c r="A5504" i="2"/>
  <c r="O5503" i="2"/>
  <c r="M5503" i="2"/>
  <c r="L5503" i="2"/>
  <c r="E5503" i="2"/>
  <c r="D5503" i="2"/>
  <c r="B5503" i="2"/>
  <c r="A5503" i="2"/>
  <c r="O5502" i="2"/>
  <c r="M5502" i="2"/>
  <c r="L5502" i="2"/>
  <c r="E5502" i="2"/>
  <c r="D5502" i="2"/>
  <c r="B5502" i="2"/>
  <c r="A5502" i="2"/>
  <c r="O5501" i="2"/>
  <c r="M5501" i="2"/>
  <c r="L5501" i="2"/>
  <c r="E5501" i="2"/>
  <c r="D5501" i="2"/>
  <c r="B5501" i="2"/>
  <c r="A5501" i="2"/>
  <c r="O5500" i="2"/>
  <c r="M5500" i="2"/>
  <c r="L5500" i="2"/>
  <c r="E5500" i="2"/>
  <c r="D5500" i="2"/>
  <c r="B5500" i="2"/>
  <c r="A5500" i="2"/>
  <c r="O5499" i="2"/>
  <c r="M5499" i="2"/>
  <c r="L5499" i="2"/>
  <c r="E5499" i="2"/>
  <c r="D5499" i="2"/>
  <c r="B5499" i="2"/>
  <c r="A5499" i="2"/>
  <c r="O5498" i="2"/>
  <c r="M5498" i="2"/>
  <c r="L5498" i="2"/>
  <c r="E5498" i="2"/>
  <c r="D5498" i="2"/>
  <c r="B5498" i="2"/>
  <c r="A5498" i="2"/>
  <c r="O5497" i="2"/>
  <c r="O5496" i="2"/>
  <c r="O5495" i="2"/>
  <c r="O5494" i="2"/>
  <c r="M5494" i="2"/>
  <c r="L5494" i="2"/>
  <c r="E5494" i="2"/>
  <c r="D5494" i="2"/>
  <c r="B5494" i="2"/>
  <c r="A5494" i="2"/>
  <c r="O5493" i="2"/>
  <c r="O5492" i="2"/>
  <c r="O5491" i="2"/>
  <c r="M5491" i="2"/>
  <c r="L5491" i="2"/>
  <c r="E5491" i="2"/>
  <c r="D5491" i="2"/>
  <c r="B5491" i="2"/>
  <c r="A5491" i="2"/>
  <c r="O5490" i="2"/>
  <c r="O5489" i="2"/>
  <c r="O5488" i="2"/>
  <c r="M5488" i="2"/>
  <c r="L5488" i="2"/>
  <c r="E5488" i="2"/>
  <c r="D5488" i="2"/>
  <c r="B5488" i="2"/>
  <c r="A5488" i="2"/>
  <c r="O5487" i="2"/>
  <c r="O5486" i="2"/>
  <c r="M5486" i="2"/>
  <c r="L5486" i="2"/>
  <c r="E5486" i="2"/>
  <c r="D5486" i="2"/>
  <c r="B5486" i="2"/>
  <c r="A5486" i="2"/>
  <c r="O5485" i="2"/>
  <c r="O5484" i="2"/>
  <c r="O5483" i="2"/>
  <c r="O5482" i="2"/>
  <c r="M5482" i="2"/>
  <c r="L5482" i="2"/>
  <c r="E5482" i="2"/>
  <c r="D5482" i="2"/>
  <c r="B5482" i="2"/>
  <c r="A5482" i="2"/>
  <c r="O5481" i="2"/>
  <c r="M5481" i="2"/>
  <c r="L5481" i="2"/>
  <c r="E5481" i="2"/>
  <c r="D5481" i="2"/>
  <c r="B5481" i="2"/>
  <c r="A5481" i="2"/>
  <c r="O5480" i="2"/>
  <c r="O5479" i="2"/>
  <c r="O5478" i="2"/>
  <c r="O5477" i="2"/>
  <c r="O5476" i="2"/>
  <c r="M5476" i="2"/>
  <c r="L5476" i="2"/>
  <c r="E5476" i="2"/>
  <c r="D5476" i="2"/>
  <c r="B5476" i="2"/>
  <c r="A5476" i="2"/>
  <c r="O5475" i="2"/>
  <c r="O5474" i="2"/>
  <c r="O5473" i="2"/>
  <c r="O5472" i="2"/>
  <c r="O5471" i="2"/>
  <c r="O5470" i="2"/>
  <c r="O5469" i="2"/>
  <c r="M5469" i="2"/>
  <c r="L5469" i="2"/>
  <c r="E5469" i="2"/>
  <c r="D5469" i="2"/>
  <c r="B5469" i="2"/>
  <c r="A5469" i="2"/>
  <c r="O5468" i="2"/>
  <c r="M5468" i="2"/>
  <c r="L5468" i="2"/>
  <c r="E5468" i="2"/>
  <c r="D5468" i="2"/>
  <c r="B5468" i="2"/>
  <c r="A5468" i="2"/>
  <c r="O5467" i="2"/>
  <c r="O5466" i="2"/>
  <c r="O5465" i="2"/>
  <c r="O5464" i="2"/>
  <c r="M5464" i="2"/>
  <c r="L5464" i="2"/>
  <c r="E5464" i="2"/>
  <c r="D5464" i="2"/>
  <c r="B5464" i="2"/>
  <c r="A5464" i="2"/>
  <c r="O5463" i="2"/>
  <c r="O5462" i="2"/>
  <c r="O5461" i="2"/>
  <c r="M5461" i="2"/>
  <c r="L5461" i="2"/>
  <c r="E5461" i="2"/>
  <c r="D5461" i="2"/>
  <c r="B5461" i="2"/>
  <c r="A5461" i="2"/>
  <c r="O5460" i="2"/>
  <c r="M5460" i="2"/>
  <c r="L5460" i="2"/>
  <c r="E5460" i="2"/>
  <c r="D5460" i="2"/>
  <c r="B5460" i="2"/>
  <c r="A5460" i="2"/>
  <c r="O5459" i="2"/>
  <c r="O5458" i="2"/>
  <c r="O5457" i="2"/>
  <c r="O5456" i="2"/>
  <c r="M5456" i="2"/>
  <c r="L5456" i="2"/>
  <c r="E5456" i="2"/>
  <c r="D5456" i="2"/>
  <c r="B5456" i="2"/>
  <c r="A5456" i="2"/>
  <c r="O5455" i="2"/>
  <c r="M5455" i="2"/>
  <c r="L5455" i="2"/>
  <c r="E5455" i="2"/>
  <c r="D5455" i="2"/>
  <c r="B5455" i="2"/>
  <c r="A5455" i="2"/>
  <c r="O5454" i="2"/>
  <c r="M5454" i="2"/>
  <c r="L5454" i="2"/>
  <c r="E5454" i="2"/>
  <c r="D5454" i="2"/>
  <c r="B5454" i="2"/>
  <c r="A5454" i="2"/>
  <c r="O5453" i="2"/>
  <c r="M5453" i="2"/>
  <c r="L5453" i="2"/>
  <c r="E5453" i="2"/>
  <c r="D5453" i="2"/>
  <c r="B5453" i="2"/>
  <c r="A5453" i="2"/>
  <c r="O5452" i="2"/>
  <c r="O5451" i="2"/>
  <c r="O5450" i="2"/>
  <c r="O5449" i="2"/>
  <c r="O5448" i="2"/>
  <c r="O5447" i="2"/>
  <c r="O5446" i="2"/>
  <c r="O5445" i="2"/>
  <c r="M5445" i="2"/>
  <c r="L5445" i="2"/>
  <c r="E5445" i="2"/>
  <c r="D5445" i="2"/>
  <c r="B5445" i="2"/>
  <c r="A5445" i="2"/>
  <c r="O5444" i="2"/>
  <c r="O5443" i="2"/>
  <c r="O5442" i="2"/>
  <c r="M5442" i="2"/>
  <c r="L5442" i="2"/>
  <c r="E5442" i="2"/>
  <c r="D5442" i="2"/>
  <c r="B5442" i="2"/>
  <c r="A5442" i="2"/>
  <c r="O5441" i="2"/>
  <c r="O5440" i="2"/>
  <c r="O5439" i="2"/>
  <c r="O5438" i="2"/>
  <c r="O5437" i="2"/>
  <c r="O5436" i="2"/>
  <c r="O5435" i="2"/>
  <c r="O5434" i="2"/>
  <c r="M5434" i="2"/>
  <c r="L5434" i="2"/>
  <c r="E5434" i="2"/>
  <c r="D5434" i="2"/>
  <c r="B5434" i="2"/>
  <c r="A5434" i="2"/>
  <c r="O5433" i="2"/>
  <c r="M5433" i="2"/>
  <c r="L5433" i="2"/>
  <c r="E5433" i="2"/>
  <c r="D5433" i="2"/>
  <c r="B5433" i="2"/>
  <c r="A5433" i="2"/>
  <c r="O5432" i="2"/>
  <c r="O5431" i="2"/>
  <c r="M5431" i="2"/>
  <c r="L5431" i="2"/>
  <c r="E5431" i="2"/>
  <c r="D5431" i="2"/>
  <c r="B5431" i="2"/>
  <c r="A5431" i="2"/>
  <c r="O5430" i="2"/>
  <c r="O5429" i="2"/>
  <c r="O5428" i="2"/>
  <c r="O5427" i="2"/>
  <c r="O5426" i="2"/>
  <c r="O5425" i="2"/>
  <c r="O5424" i="2"/>
  <c r="O5423" i="2"/>
  <c r="O5422" i="2"/>
  <c r="M5422" i="2"/>
  <c r="L5422" i="2"/>
  <c r="E5422" i="2"/>
  <c r="D5422" i="2"/>
  <c r="B5422" i="2"/>
  <c r="A5422" i="2"/>
  <c r="O5421" i="2"/>
  <c r="O5420" i="2"/>
  <c r="O5419" i="2"/>
  <c r="O5418" i="2"/>
  <c r="O5417" i="2"/>
  <c r="O5416" i="2"/>
  <c r="O5415" i="2"/>
  <c r="O5414" i="2"/>
  <c r="M5414" i="2"/>
  <c r="L5414" i="2"/>
  <c r="E5414" i="2"/>
  <c r="D5414" i="2"/>
  <c r="B5414" i="2"/>
  <c r="A5414" i="2"/>
  <c r="O5413" i="2"/>
  <c r="M5413" i="2"/>
  <c r="L5413" i="2"/>
  <c r="E5413" i="2"/>
  <c r="D5413" i="2"/>
  <c r="B5413" i="2"/>
  <c r="A5413" i="2"/>
  <c r="O5412" i="2"/>
  <c r="M5412" i="2"/>
  <c r="L5412" i="2"/>
  <c r="E5412" i="2"/>
  <c r="D5412" i="2"/>
  <c r="B5412" i="2"/>
  <c r="A5412" i="2"/>
  <c r="O5411" i="2"/>
  <c r="M5411" i="2"/>
  <c r="L5411" i="2"/>
  <c r="E5411" i="2"/>
  <c r="D5411" i="2"/>
  <c r="B5411" i="2"/>
  <c r="A5411" i="2"/>
  <c r="O5410" i="2"/>
  <c r="O5409" i="2"/>
  <c r="M5409" i="2"/>
  <c r="L5409" i="2"/>
  <c r="E5409" i="2"/>
  <c r="D5409" i="2"/>
  <c r="B5409" i="2"/>
  <c r="A5409" i="2"/>
  <c r="O5408" i="2"/>
  <c r="M5408" i="2"/>
  <c r="L5408" i="2"/>
  <c r="E5408" i="2"/>
  <c r="D5408" i="2"/>
  <c r="B5408" i="2"/>
  <c r="A5408" i="2"/>
  <c r="O5407" i="2"/>
  <c r="O5406" i="2"/>
  <c r="M5406" i="2"/>
  <c r="L5406" i="2"/>
  <c r="E5406" i="2"/>
  <c r="D5406" i="2"/>
  <c r="B5406" i="2"/>
  <c r="A5406" i="2"/>
  <c r="O5405" i="2"/>
  <c r="O5404" i="2"/>
  <c r="O5403" i="2"/>
  <c r="O5402" i="2"/>
  <c r="M5402" i="2"/>
  <c r="L5402" i="2"/>
  <c r="E5402" i="2"/>
  <c r="D5402" i="2"/>
  <c r="B5402" i="2"/>
  <c r="A5402" i="2"/>
  <c r="O5401" i="2"/>
  <c r="M5401" i="2"/>
  <c r="L5401" i="2"/>
  <c r="E5401" i="2"/>
  <c r="D5401" i="2"/>
  <c r="B5401" i="2"/>
  <c r="A5401" i="2"/>
  <c r="O5400" i="2"/>
  <c r="M5400" i="2"/>
  <c r="L5400" i="2"/>
  <c r="E5400" i="2"/>
  <c r="D5400" i="2"/>
  <c r="B5400" i="2"/>
  <c r="A5400" i="2"/>
  <c r="O5399" i="2"/>
  <c r="O5398" i="2"/>
  <c r="O5397" i="2"/>
  <c r="O5396" i="2"/>
  <c r="O5395" i="2"/>
  <c r="M5395" i="2"/>
  <c r="L5395" i="2"/>
  <c r="E5395" i="2"/>
  <c r="D5395" i="2"/>
  <c r="B5395" i="2"/>
  <c r="A5395" i="2"/>
  <c r="O5394" i="2"/>
  <c r="O5393" i="2"/>
  <c r="O5392" i="2"/>
  <c r="O5391" i="2"/>
  <c r="M5391" i="2"/>
  <c r="L5391" i="2"/>
  <c r="E5391" i="2"/>
  <c r="D5391" i="2"/>
  <c r="B5391" i="2"/>
  <c r="A5391" i="2"/>
  <c r="O5390" i="2"/>
  <c r="M5390" i="2"/>
  <c r="L5390" i="2"/>
  <c r="E5390" i="2"/>
  <c r="D5390" i="2"/>
  <c r="B5390" i="2"/>
  <c r="A5390" i="2"/>
  <c r="O5389" i="2"/>
  <c r="O5388" i="2"/>
  <c r="O5387" i="2"/>
  <c r="O5386" i="2"/>
  <c r="O5385" i="2"/>
  <c r="O5384" i="2"/>
  <c r="O5383" i="2"/>
  <c r="O5382" i="2"/>
  <c r="M5382" i="2"/>
  <c r="L5382" i="2"/>
  <c r="E5382" i="2"/>
  <c r="D5382" i="2"/>
  <c r="B5382" i="2"/>
  <c r="A5382" i="2"/>
  <c r="O5381" i="2"/>
  <c r="M5381" i="2"/>
  <c r="L5381" i="2"/>
  <c r="E5381" i="2"/>
  <c r="D5381" i="2"/>
  <c r="B5381" i="2"/>
  <c r="A5381" i="2"/>
  <c r="O5380" i="2"/>
  <c r="M5380" i="2"/>
  <c r="L5380" i="2"/>
  <c r="E5380" i="2"/>
  <c r="D5380" i="2"/>
  <c r="B5380" i="2"/>
  <c r="A5380" i="2"/>
  <c r="O5379" i="2"/>
  <c r="O5378" i="2"/>
  <c r="O5377" i="2"/>
  <c r="O5376" i="2"/>
  <c r="O5375" i="2"/>
  <c r="O5374" i="2"/>
  <c r="M5374" i="2"/>
  <c r="L5374" i="2"/>
  <c r="E5374" i="2"/>
  <c r="D5374" i="2"/>
  <c r="B5374" i="2"/>
  <c r="A5374" i="2"/>
  <c r="O5373" i="2"/>
  <c r="M5373" i="2"/>
  <c r="L5373" i="2"/>
  <c r="E5373" i="2"/>
  <c r="D5373" i="2"/>
  <c r="B5373" i="2"/>
  <c r="A5373" i="2"/>
  <c r="O5372" i="2"/>
  <c r="M5372" i="2"/>
  <c r="L5372" i="2"/>
  <c r="E5372" i="2"/>
  <c r="D5372" i="2"/>
  <c r="B5372" i="2"/>
  <c r="A5372" i="2"/>
  <c r="O5371" i="2"/>
  <c r="M5371" i="2"/>
  <c r="L5371" i="2"/>
  <c r="E5371" i="2"/>
  <c r="D5371" i="2"/>
  <c r="B5371" i="2"/>
  <c r="A5371" i="2"/>
  <c r="O5370" i="2"/>
  <c r="O5369" i="2"/>
  <c r="O5368" i="2"/>
  <c r="O5367" i="2"/>
  <c r="O5366" i="2"/>
  <c r="O5365" i="2"/>
  <c r="O5364" i="2"/>
  <c r="O5363" i="2"/>
  <c r="O5362" i="2"/>
  <c r="M5362" i="2"/>
  <c r="L5362" i="2"/>
  <c r="E5362" i="2"/>
  <c r="D5362" i="2"/>
  <c r="B5362" i="2"/>
  <c r="A5362" i="2"/>
  <c r="O5361" i="2"/>
  <c r="O5360" i="2"/>
  <c r="O5359" i="2"/>
  <c r="O5358" i="2"/>
  <c r="M5358" i="2"/>
  <c r="L5358" i="2"/>
  <c r="E5358" i="2"/>
  <c r="D5358" i="2"/>
  <c r="B5358" i="2"/>
  <c r="A5358" i="2"/>
  <c r="O5357" i="2"/>
  <c r="M5357" i="2"/>
  <c r="L5357" i="2"/>
  <c r="E5357" i="2"/>
  <c r="D5357" i="2"/>
  <c r="B5357" i="2"/>
  <c r="A5357" i="2"/>
  <c r="O5356" i="2"/>
  <c r="M5356" i="2"/>
  <c r="L5356" i="2"/>
  <c r="E5356" i="2"/>
  <c r="D5356" i="2"/>
  <c r="B5356" i="2"/>
  <c r="A5356" i="2"/>
  <c r="O5355" i="2"/>
  <c r="O5354" i="2"/>
  <c r="O5353" i="2"/>
  <c r="M5353" i="2"/>
  <c r="L5353" i="2"/>
  <c r="E5353" i="2"/>
  <c r="D5353" i="2"/>
  <c r="B5353" i="2"/>
  <c r="A5353" i="2"/>
  <c r="O5352" i="2"/>
  <c r="M5352" i="2"/>
  <c r="L5352" i="2"/>
  <c r="E5352" i="2"/>
  <c r="D5352" i="2"/>
  <c r="B5352" i="2"/>
  <c r="A5352" i="2"/>
  <c r="O5351" i="2"/>
  <c r="O5350" i="2"/>
  <c r="O5349" i="2"/>
  <c r="M5349" i="2"/>
  <c r="L5349" i="2"/>
  <c r="E5349" i="2"/>
  <c r="D5349" i="2"/>
  <c r="B5349" i="2"/>
  <c r="A5349" i="2"/>
  <c r="O5348" i="2"/>
  <c r="O5347" i="2"/>
  <c r="O5346" i="2"/>
  <c r="O5345" i="2"/>
  <c r="M5345" i="2"/>
  <c r="L5345" i="2"/>
  <c r="E5345" i="2"/>
  <c r="D5345" i="2"/>
  <c r="B5345" i="2"/>
  <c r="A5345" i="2"/>
  <c r="O5344" i="2"/>
  <c r="O5343" i="2"/>
  <c r="O5342" i="2"/>
  <c r="O5341" i="2"/>
  <c r="O5340" i="2"/>
  <c r="O5339" i="2"/>
  <c r="M5339" i="2"/>
  <c r="L5339" i="2"/>
  <c r="E5339" i="2"/>
  <c r="D5339" i="2"/>
  <c r="B5339" i="2"/>
  <c r="A5339" i="2"/>
  <c r="O5338" i="2"/>
  <c r="O5337" i="2"/>
  <c r="O5336" i="2"/>
  <c r="M5336" i="2"/>
  <c r="L5336" i="2"/>
  <c r="E5336" i="2"/>
  <c r="D5336" i="2"/>
  <c r="B5336" i="2"/>
  <c r="A5336" i="2"/>
  <c r="O5335" i="2"/>
  <c r="O5334" i="2"/>
  <c r="M5334" i="2"/>
  <c r="L5334" i="2"/>
  <c r="E5334" i="2"/>
  <c r="D5334" i="2"/>
  <c r="B5334" i="2"/>
  <c r="A5334" i="2"/>
  <c r="O5333" i="2"/>
  <c r="M5333" i="2"/>
  <c r="L5333" i="2"/>
  <c r="E5333" i="2"/>
  <c r="D5333" i="2"/>
  <c r="B5333" i="2"/>
  <c r="A5333" i="2"/>
  <c r="O5332" i="2"/>
  <c r="M5332" i="2"/>
  <c r="L5332" i="2"/>
  <c r="E5332" i="2"/>
  <c r="D5332" i="2"/>
  <c r="B5332" i="2"/>
  <c r="A5332" i="2"/>
  <c r="O5331" i="2"/>
  <c r="M5331" i="2"/>
  <c r="L5331" i="2"/>
  <c r="E5331" i="2"/>
  <c r="D5331" i="2"/>
  <c r="B5331" i="2"/>
  <c r="A5331" i="2"/>
  <c r="O5330" i="2"/>
  <c r="M5330" i="2"/>
  <c r="L5330" i="2"/>
  <c r="E5330" i="2"/>
  <c r="D5330" i="2"/>
  <c r="B5330" i="2"/>
  <c r="A5330" i="2"/>
  <c r="O5329" i="2"/>
  <c r="M5329" i="2"/>
  <c r="L5329" i="2"/>
  <c r="E5329" i="2"/>
  <c r="D5329" i="2"/>
  <c r="B5329" i="2"/>
  <c r="A5329" i="2"/>
  <c r="O5328" i="2"/>
  <c r="O5327" i="2"/>
  <c r="O5326" i="2"/>
  <c r="M5326" i="2"/>
  <c r="L5326" i="2"/>
  <c r="E5326" i="2"/>
  <c r="D5326" i="2"/>
  <c r="B5326" i="2"/>
  <c r="A5326" i="2"/>
  <c r="O5325" i="2"/>
  <c r="O5324" i="2"/>
  <c r="M5324" i="2"/>
  <c r="L5324" i="2"/>
  <c r="E5324" i="2"/>
  <c r="D5324" i="2"/>
  <c r="B5324" i="2"/>
  <c r="A5324" i="2"/>
  <c r="O5323" i="2"/>
  <c r="O5322" i="2"/>
  <c r="M5322" i="2"/>
  <c r="L5322" i="2"/>
  <c r="E5322" i="2"/>
  <c r="D5322" i="2"/>
  <c r="B5322" i="2"/>
  <c r="A5322" i="2"/>
  <c r="O5321" i="2"/>
  <c r="O5320" i="2"/>
  <c r="M5320" i="2"/>
  <c r="L5320" i="2"/>
  <c r="E5320" i="2"/>
  <c r="D5320" i="2"/>
  <c r="B5320" i="2"/>
  <c r="A5320" i="2"/>
  <c r="O5319" i="2"/>
  <c r="O5318" i="2"/>
  <c r="M5318" i="2"/>
  <c r="L5318" i="2"/>
  <c r="E5318" i="2"/>
  <c r="D5318" i="2"/>
  <c r="B5318" i="2"/>
  <c r="A5318" i="2"/>
  <c r="O5317" i="2"/>
  <c r="M5317" i="2"/>
  <c r="L5317" i="2"/>
  <c r="E5317" i="2"/>
  <c r="D5317" i="2"/>
  <c r="B5317" i="2"/>
  <c r="A5317" i="2"/>
  <c r="O5316" i="2"/>
  <c r="O5315" i="2"/>
  <c r="M5315" i="2"/>
  <c r="L5315" i="2"/>
  <c r="E5315" i="2"/>
  <c r="D5315" i="2"/>
  <c r="B5315" i="2"/>
  <c r="A5315" i="2"/>
  <c r="O5314" i="2"/>
  <c r="O5313" i="2"/>
  <c r="M5313" i="2"/>
  <c r="L5313" i="2"/>
  <c r="E5313" i="2"/>
  <c r="D5313" i="2"/>
  <c r="B5313" i="2"/>
  <c r="A5313" i="2"/>
  <c r="O5312" i="2"/>
  <c r="M5312" i="2"/>
  <c r="L5312" i="2"/>
  <c r="E5312" i="2"/>
  <c r="D5312" i="2"/>
  <c r="B5312" i="2"/>
  <c r="A5312" i="2"/>
  <c r="O5311" i="2"/>
  <c r="M5311" i="2"/>
  <c r="L5311" i="2"/>
  <c r="E5311" i="2"/>
  <c r="D5311" i="2"/>
  <c r="B5311" i="2"/>
  <c r="A5311" i="2"/>
  <c r="O5310" i="2"/>
  <c r="O5309" i="2"/>
  <c r="M5309" i="2"/>
  <c r="L5309" i="2"/>
  <c r="E5309" i="2"/>
  <c r="D5309" i="2"/>
  <c r="B5309" i="2"/>
  <c r="A5309" i="2"/>
  <c r="O5308" i="2"/>
  <c r="O5307" i="2"/>
  <c r="O5306" i="2"/>
  <c r="M5306" i="2"/>
  <c r="L5306" i="2"/>
  <c r="E5306" i="2"/>
  <c r="D5306" i="2"/>
  <c r="B5306" i="2"/>
  <c r="A5306" i="2"/>
  <c r="O5305" i="2"/>
  <c r="M5305" i="2"/>
  <c r="L5305" i="2"/>
  <c r="E5305" i="2"/>
  <c r="D5305" i="2"/>
  <c r="B5305" i="2"/>
  <c r="A5305" i="2"/>
  <c r="O5304" i="2"/>
  <c r="O5303" i="2"/>
  <c r="M5303" i="2"/>
  <c r="L5303" i="2"/>
  <c r="E5303" i="2"/>
  <c r="D5303" i="2"/>
  <c r="B5303" i="2"/>
  <c r="A5303" i="2"/>
  <c r="O5302" i="2"/>
  <c r="O5301" i="2"/>
  <c r="O5300" i="2"/>
  <c r="O5299" i="2"/>
  <c r="M5299" i="2"/>
  <c r="L5299" i="2"/>
  <c r="E5299" i="2"/>
  <c r="D5299" i="2"/>
  <c r="B5299" i="2"/>
  <c r="A5299" i="2"/>
  <c r="O5298" i="2"/>
  <c r="O5297" i="2"/>
  <c r="M5297" i="2"/>
  <c r="L5297" i="2"/>
  <c r="E5297" i="2"/>
  <c r="D5297" i="2"/>
  <c r="B5297" i="2"/>
  <c r="A5297" i="2"/>
  <c r="O5296" i="2"/>
  <c r="M5296" i="2"/>
  <c r="L5296" i="2"/>
  <c r="E5296" i="2"/>
  <c r="D5296" i="2"/>
  <c r="B5296" i="2"/>
  <c r="A5296" i="2"/>
  <c r="O5295" i="2"/>
  <c r="M5295" i="2"/>
  <c r="L5295" i="2"/>
  <c r="E5295" i="2"/>
  <c r="D5295" i="2"/>
  <c r="B5295" i="2"/>
  <c r="A5295" i="2"/>
  <c r="O5294" i="2"/>
  <c r="O5293" i="2"/>
  <c r="O5292" i="2"/>
  <c r="O5291" i="2"/>
  <c r="M5291" i="2"/>
  <c r="L5291" i="2"/>
  <c r="E5291" i="2"/>
  <c r="D5291" i="2"/>
  <c r="B5291" i="2"/>
  <c r="A5291" i="2"/>
  <c r="O5290" i="2"/>
  <c r="M5290" i="2"/>
  <c r="L5290" i="2"/>
  <c r="E5290" i="2"/>
  <c r="D5290" i="2"/>
  <c r="B5290" i="2"/>
  <c r="A5290" i="2"/>
  <c r="O5289" i="2"/>
  <c r="M5289" i="2"/>
  <c r="L5289" i="2"/>
  <c r="E5289" i="2"/>
  <c r="D5289" i="2"/>
  <c r="B5289" i="2"/>
  <c r="A5289" i="2"/>
  <c r="O5288" i="2"/>
  <c r="M5288" i="2"/>
  <c r="L5288" i="2"/>
  <c r="E5288" i="2"/>
  <c r="D5288" i="2"/>
  <c r="B5288" i="2"/>
  <c r="A5288" i="2"/>
  <c r="O5287" i="2"/>
  <c r="M5287" i="2"/>
  <c r="L5287" i="2"/>
  <c r="E5287" i="2"/>
  <c r="D5287" i="2"/>
  <c r="B5287" i="2"/>
  <c r="A5287" i="2"/>
  <c r="O5286" i="2"/>
  <c r="M5286" i="2"/>
  <c r="L5286" i="2"/>
  <c r="E5286" i="2"/>
  <c r="D5286" i="2"/>
  <c r="B5286" i="2"/>
  <c r="A5286" i="2"/>
  <c r="O5285" i="2"/>
  <c r="O5284" i="2"/>
  <c r="O5283" i="2"/>
  <c r="M5283" i="2"/>
  <c r="L5283" i="2"/>
  <c r="E5283" i="2"/>
  <c r="D5283" i="2"/>
  <c r="B5283" i="2"/>
  <c r="A5283" i="2"/>
  <c r="O5282" i="2"/>
  <c r="O5281" i="2"/>
  <c r="O5280" i="2"/>
  <c r="M5280" i="2"/>
  <c r="L5280" i="2"/>
  <c r="E5280" i="2"/>
  <c r="D5280" i="2"/>
  <c r="B5280" i="2"/>
  <c r="A5280" i="2"/>
  <c r="O5279" i="2"/>
  <c r="O5278" i="2"/>
  <c r="O5277" i="2"/>
  <c r="M5277" i="2"/>
  <c r="L5277" i="2"/>
  <c r="E5277" i="2"/>
  <c r="D5277" i="2"/>
  <c r="B5277" i="2"/>
  <c r="A5277" i="2"/>
  <c r="O5276" i="2"/>
  <c r="O5275" i="2"/>
  <c r="M5275" i="2"/>
  <c r="L5275" i="2"/>
  <c r="E5275" i="2"/>
  <c r="D5275" i="2"/>
  <c r="B5275" i="2"/>
  <c r="A5275" i="2"/>
  <c r="O5274" i="2"/>
  <c r="M5274" i="2"/>
  <c r="L5274" i="2"/>
  <c r="E5274" i="2"/>
  <c r="D5274" i="2"/>
  <c r="B5274" i="2"/>
  <c r="A5274" i="2"/>
  <c r="O5273" i="2"/>
  <c r="M5273" i="2"/>
  <c r="L5273" i="2"/>
  <c r="E5273" i="2"/>
  <c r="D5273" i="2"/>
  <c r="B5273" i="2"/>
  <c r="A5273" i="2"/>
  <c r="O5272" i="2"/>
  <c r="M5272" i="2"/>
  <c r="L5272" i="2"/>
  <c r="E5272" i="2"/>
  <c r="D5272" i="2"/>
  <c r="B5272" i="2"/>
  <c r="A5272" i="2"/>
  <c r="O5271" i="2"/>
  <c r="M5271" i="2"/>
  <c r="L5271" i="2"/>
  <c r="E5271" i="2"/>
  <c r="D5271" i="2"/>
  <c r="B5271" i="2"/>
  <c r="A5271" i="2"/>
  <c r="O5270" i="2"/>
  <c r="M5270" i="2"/>
  <c r="L5270" i="2"/>
  <c r="E5270" i="2"/>
  <c r="D5270" i="2"/>
  <c r="B5270" i="2"/>
  <c r="A5270" i="2"/>
  <c r="O5269" i="2"/>
  <c r="O5268" i="2"/>
  <c r="O5267" i="2"/>
  <c r="O5266" i="2"/>
  <c r="O5265" i="2"/>
  <c r="O5264" i="2"/>
  <c r="M5264" i="2"/>
  <c r="L5264" i="2"/>
  <c r="E5264" i="2"/>
  <c r="D5264" i="2"/>
  <c r="B5264" i="2"/>
  <c r="A5264" i="2"/>
  <c r="O5263" i="2"/>
  <c r="O5262" i="2"/>
  <c r="O5261" i="2"/>
  <c r="O5260" i="2"/>
  <c r="M5260" i="2"/>
  <c r="L5260" i="2"/>
  <c r="E5260" i="2"/>
  <c r="D5260" i="2"/>
  <c r="B5260" i="2"/>
  <c r="A5260" i="2"/>
  <c r="O5259" i="2"/>
  <c r="O5258" i="2"/>
  <c r="M5258" i="2"/>
  <c r="L5258" i="2"/>
  <c r="E5258" i="2"/>
  <c r="D5258" i="2"/>
  <c r="B5258" i="2"/>
  <c r="A5258" i="2"/>
  <c r="O5257" i="2"/>
  <c r="M5257" i="2"/>
  <c r="L5257" i="2"/>
  <c r="E5257" i="2"/>
  <c r="D5257" i="2"/>
  <c r="B5257" i="2"/>
  <c r="A5257" i="2"/>
  <c r="O5256" i="2"/>
  <c r="O5255" i="2"/>
  <c r="M5255" i="2"/>
  <c r="L5255" i="2"/>
  <c r="E5255" i="2"/>
  <c r="D5255" i="2"/>
  <c r="B5255" i="2"/>
  <c r="A5255" i="2"/>
  <c r="O5254" i="2"/>
  <c r="O5253" i="2"/>
  <c r="M5253" i="2"/>
  <c r="L5253" i="2"/>
  <c r="E5253" i="2"/>
  <c r="D5253" i="2"/>
  <c r="B5253" i="2"/>
  <c r="A5253" i="2"/>
  <c r="O5252" i="2"/>
  <c r="M5252" i="2"/>
  <c r="L5252" i="2"/>
  <c r="E5252" i="2"/>
  <c r="D5252" i="2"/>
  <c r="B5252" i="2"/>
  <c r="A5252" i="2"/>
  <c r="O5251" i="2"/>
  <c r="O5250" i="2"/>
  <c r="O5249" i="2"/>
  <c r="O5248" i="2"/>
  <c r="O5247" i="2"/>
  <c r="O5246" i="2"/>
  <c r="M5246" i="2"/>
  <c r="L5246" i="2"/>
  <c r="E5246" i="2"/>
  <c r="D5246" i="2"/>
  <c r="B5246" i="2"/>
  <c r="A5246" i="2"/>
  <c r="O5245" i="2"/>
  <c r="O5244" i="2"/>
  <c r="O5243" i="2"/>
  <c r="O5242" i="2"/>
  <c r="O5241" i="2"/>
  <c r="M5241" i="2"/>
  <c r="L5241" i="2"/>
  <c r="E5241" i="2"/>
  <c r="D5241" i="2"/>
  <c r="B5241" i="2"/>
  <c r="A5241" i="2"/>
  <c r="O5240" i="2"/>
  <c r="M5240" i="2"/>
  <c r="L5240" i="2"/>
  <c r="E5240" i="2"/>
  <c r="D5240" i="2"/>
  <c r="B5240" i="2"/>
  <c r="A5240" i="2"/>
  <c r="O5239" i="2"/>
  <c r="M5239" i="2"/>
  <c r="L5239" i="2"/>
  <c r="E5239" i="2"/>
  <c r="D5239" i="2"/>
  <c r="B5239" i="2"/>
  <c r="A5239" i="2"/>
  <c r="O5238" i="2"/>
  <c r="O5237" i="2"/>
  <c r="M5237" i="2"/>
  <c r="L5237" i="2"/>
  <c r="E5237" i="2"/>
  <c r="D5237" i="2"/>
  <c r="B5237" i="2"/>
  <c r="A5237" i="2"/>
  <c r="O5236" i="2"/>
  <c r="M5236" i="2"/>
  <c r="L5236" i="2"/>
  <c r="E5236" i="2"/>
  <c r="D5236" i="2"/>
  <c r="B5236" i="2"/>
  <c r="A5236" i="2"/>
  <c r="O5235" i="2"/>
  <c r="O5234" i="2"/>
  <c r="M5234" i="2"/>
  <c r="L5234" i="2"/>
  <c r="E5234" i="2"/>
  <c r="D5234" i="2"/>
  <c r="B5234" i="2"/>
  <c r="A5234" i="2"/>
  <c r="O5233" i="2"/>
  <c r="M5233" i="2"/>
  <c r="L5233" i="2"/>
  <c r="E5233" i="2"/>
  <c r="D5233" i="2"/>
  <c r="B5233" i="2"/>
  <c r="A5233" i="2"/>
  <c r="O5232" i="2"/>
  <c r="M5232" i="2"/>
  <c r="L5232" i="2"/>
  <c r="E5232" i="2"/>
  <c r="D5232" i="2"/>
  <c r="B5232" i="2"/>
  <c r="A5232" i="2"/>
  <c r="O5231" i="2"/>
  <c r="M5231" i="2"/>
  <c r="L5231" i="2"/>
  <c r="E5231" i="2"/>
  <c r="D5231" i="2"/>
  <c r="B5231" i="2"/>
  <c r="A5231" i="2"/>
  <c r="O5230" i="2"/>
  <c r="O5229" i="2"/>
  <c r="O5228" i="2"/>
  <c r="M5228" i="2"/>
  <c r="L5228" i="2"/>
  <c r="E5228" i="2"/>
  <c r="D5228" i="2"/>
  <c r="B5228" i="2"/>
  <c r="A5228" i="2"/>
  <c r="O5227" i="2"/>
  <c r="M5227" i="2"/>
  <c r="L5227" i="2"/>
  <c r="E5227" i="2"/>
  <c r="D5227" i="2"/>
  <c r="B5227" i="2"/>
  <c r="A5227" i="2"/>
  <c r="O5226" i="2"/>
  <c r="M5226" i="2"/>
  <c r="L5226" i="2"/>
  <c r="E5226" i="2"/>
  <c r="D5226" i="2"/>
  <c r="B5226" i="2"/>
  <c r="A5226" i="2"/>
  <c r="O5225" i="2"/>
  <c r="M5225" i="2"/>
  <c r="L5225" i="2"/>
  <c r="E5225" i="2"/>
  <c r="D5225" i="2"/>
  <c r="B5225" i="2"/>
  <c r="A5225" i="2"/>
  <c r="O5224" i="2"/>
  <c r="M5224" i="2"/>
  <c r="L5224" i="2"/>
  <c r="E5224" i="2"/>
  <c r="D5224" i="2"/>
  <c r="B5224" i="2"/>
  <c r="A5224" i="2"/>
  <c r="O5223" i="2"/>
  <c r="M5223" i="2"/>
  <c r="L5223" i="2"/>
  <c r="E5223" i="2"/>
  <c r="D5223" i="2"/>
  <c r="B5223" i="2"/>
  <c r="A5223" i="2"/>
  <c r="O5222" i="2"/>
  <c r="O5221" i="2"/>
  <c r="M5221" i="2"/>
  <c r="L5221" i="2"/>
  <c r="E5221" i="2"/>
  <c r="D5221" i="2"/>
  <c r="B5221" i="2"/>
  <c r="A5221" i="2"/>
  <c r="O5220" i="2"/>
  <c r="M5220" i="2"/>
  <c r="L5220" i="2"/>
  <c r="E5220" i="2"/>
  <c r="D5220" i="2"/>
  <c r="B5220" i="2"/>
  <c r="A5220" i="2"/>
  <c r="O5219" i="2"/>
  <c r="M5219" i="2"/>
  <c r="L5219" i="2"/>
  <c r="E5219" i="2"/>
  <c r="D5219" i="2"/>
  <c r="B5219" i="2"/>
  <c r="A5219" i="2"/>
  <c r="O5218" i="2"/>
  <c r="M5218" i="2"/>
  <c r="L5218" i="2"/>
  <c r="E5218" i="2"/>
  <c r="D5218" i="2"/>
  <c r="B5218" i="2"/>
  <c r="A5218" i="2"/>
  <c r="O5217" i="2"/>
  <c r="O5216" i="2"/>
  <c r="M5216" i="2"/>
  <c r="L5216" i="2"/>
  <c r="E5216" i="2"/>
  <c r="D5216" i="2"/>
  <c r="B5216" i="2"/>
  <c r="A5216" i="2"/>
  <c r="O5215" i="2"/>
  <c r="M5215" i="2"/>
  <c r="L5215" i="2"/>
  <c r="E5215" i="2"/>
  <c r="D5215" i="2"/>
  <c r="B5215" i="2"/>
  <c r="A5215" i="2"/>
  <c r="O5214" i="2"/>
  <c r="M5214" i="2"/>
  <c r="L5214" i="2"/>
  <c r="E5214" i="2"/>
  <c r="D5214" i="2"/>
  <c r="B5214" i="2"/>
  <c r="A5214" i="2"/>
  <c r="O5213" i="2"/>
  <c r="M5213" i="2"/>
  <c r="L5213" i="2"/>
  <c r="E5213" i="2"/>
  <c r="D5213" i="2"/>
  <c r="B5213" i="2"/>
  <c r="A5213" i="2"/>
  <c r="O5212" i="2"/>
  <c r="M5212" i="2"/>
  <c r="L5212" i="2"/>
  <c r="E5212" i="2"/>
  <c r="D5212" i="2"/>
  <c r="B5212" i="2"/>
  <c r="A5212" i="2"/>
  <c r="O5211" i="2"/>
  <c r="M5211" i="2"/>
  <c r="L5211" i="2"/>
  <c r="E5211" i="2"/>
  <c r="D5211" i="2"/>
  <c r="B5211" i="2"/>
  <c r="A5211" i="2"/>
  <c r="O5210" i="2"/>
  <c r="M5210" i="2"/>
  <c r="L5210" i="2"/>
  <c r="E5210" i="2"/>
  <c r="D5210" i="2"/>
  <c r="B5210" i="2"/>
  <c r="A5210" i="2"/>
  <c r="O5209" i="2"/>
  <c r="M5209" i="2"/>
  <c r="L5209" i="2"/>
  <c r="E5209" i="2"/>
  <c r="D5209" i="2"/>
  <c r="B5209" i="2"/>
  <c r="A5209" i="2"/>
  <c r="O5208" i="2"/>
  <c r="M5208" i="2"/>
  <c r="L5208" i="2"/>
  <c r="E5208" i="2"/>
  <c r="D5208" i="2"/>
  <c r="B5208" i="2"/>
  <c r="A5208" i="2"/>
  <c r="O5207" i="2"/>
  <c r="M5207" i="2"/>
  <c r="L5207" i="2"/>
  <c r="E5207" i="2"/>
  <c r="D5207" i="2"/>
  <c r="B5207" i="2"/>
  <c r="A5207" i="2"/>
  <c r="M5206" i="2"/>
  <c r="L5206" i="2"/>
  <c r="E5206" i="2"/>
  <c r="D5206" i="2"/>
  <c r="B5206" i="2"/>
  <c r="A5206" i="2"/>
  <c r="O5205" i="2"/>
  <c r="M5205" i="2"/>
  <c r="L5205" i="2"/>
  <c r="E5205" i="2"/>
  <c r="D5205" i="2"/>
  <c r="B5205" i="2"/>
  <c r="A5205" i="2"/>
  <c r="O5204" i="2"/>
  <c r="M5204" i="2"/>
  <c r="L5204" i="2"/>
  <c r="E5204" i="2"/>
  <c r="D5204" i="2"/>
  <c r="B5204" i="2"/>
  <c r="A5204" i="2"/>
  <c r="O5203" i="2"/>
  <c r="M5203" i="2"/>
  <c r="L5203" i="2"/>
  <c r="E5203" i="2"/>
  <c r="D5203" i="2"/>
  <c r="B5203" i="2"/>
  <c r="A5203" i="2"/>
  <c r="O5202" i="2"/>
  <c r="M5202" i="2"/>
  <c r="L5202" i="2"/>
  <c r="E5202" i="2"/>
  <c r="D5202" i="2"/>
  <c r="B5202" i="2"/>
  <c r="A5202" i="2"/>
  <c r="O5201" i="2"/>
  <c r="M5201" i="2"/>
  <c r="L5201" i="2"/>
  <c r="E5201" i="2"/>
  <c r="D5201" i="2"/>
  <c r="B5201" i="2"/>
  <c r="A5201" i="2"/>
  <c r="O5200" i="2"/>
  <c r="O5199" i="2"/>
  <c r="M5199" i="2"/>
  <c r="L5199" i="2"/>
  <c r="E5199" i="2"/>
  <c r="D5199" i="2"/>
  <c r="B5199" i="2"/>
  <c r="A5199" i="2"/>
  <c r="O5198" i="2"/>
  <c r="M5198" i="2"/>
  <c r="L5198" i="2"/>
  <c r="E5198" i="2"/>
  <c r="D5198" i="2"/>
  <c r="B5198" i="2"/>
  <c r="A5198" i="2"/>
  <c r="O5197" i="2"/>
  <c r="M5197" i="2"/>
  <c r="L5197" i="2"/>
  <c r="E5197" i="2"/>
  <c r="D5197" i="2"/>
  <c r="B5197" i="2"/>
  <c r="A5197" i="2"/>
  <c r="O5196" i="2"/>
  <c r="M5196" i="2"/>
  <c r="L5196" i="2"/>
  <c r="E5196" i="2"/>
  <c r="D5196" i="2"/>
  <c r="B5196" i="2"/>
  <c r="A5196" i="2"/>
  <c r="O5195" i="2"/>
  <c r="M5195" i="2"/>
  <c r="L5195" i="2"/>
  <c r="E5195" i="2"/>
  <c r="D5195" i="2"/>
  <c r="B5195" i="2"/>
  <c r="A5195" i="2"/>
  <c r="O5194" i="2"/>
  <c r="M5194" i="2"/>
  <c r="L5194" i="2"/>
  <c r="E5194" i="2"/>
  <c r="D5194" i="2"/>
  <c r="B5194" i="2"/>
  <c r="A5194" i="2"/>
  <c r="O5193" i="2"/>
  <c r="M5193" i="2"/>
  <c r="L5193" i="2"/>
  <c r="E5193" i="2"/>
  <c r="D5193" i="2"/>
  <c r="B5193" i="2"/>
  <c r="A5193" i="2"/>
  <c r="O5192" i="2"/>
  <c r="O5191" i="2"/>
  <c r="M5191" i="2"/>
  <c r="L5191" i="2"/>
  <c r="E5191" i="2"/>
  <c r="D5191" i="2"/>
  <c r="B5191" i="2"/>
  <c r="A5191" i="2"/>
  <c r="O5190" i="2"/>
  <c r="M5190" i="2"/>
  <c r="L5190" i="2"/>
  <c r="E5190" i="2"/>
  <c r="D5190" i="2"/>
  <c r="B5190" i="2"/>
  <c r="A5190" i="2"/>
  <c r="O5189" i="2"/>
  <c r="M5189" i="2"/>
  <c r="L5189" i="2"/>
  <c r="E5189" i="2"/>
  <c r="D5189" i="2"/>
  <c r="B5189" i="2"/>
  <c r="A5189" i="2"/>
  <c r="O5188" i="2"/>
  <c r="M5188" i="2"/>
  <c r="L5188" i="2"/>
  <c r="E5188" i="2"/>
  <c r="D5188" i="2"/>
  <c r="B5188" i="2"/>
  <c r="A5188" i="2"/>
  <c r="O5187" i="2"/>
  <c r="M5187" i="2"/>
  <c r="L5187" i="2"/>
  <c r="E5187" i="2"/>
  <c r="D5187" i="2"/>
  <c r="B5187" i="2"/>
  <c r="A5187" i="2"/>
  <c r="O5186" i="2"/>
  <c r="O5185" i="2"/>
  <c r="M5185" i="2"/>
  <c r="L5185" i="2"/>
  <c r="E5185" i="2"/>
  <c r="D5185" i="2"/>
  <c r="B5185" i="2"/>
  <c r="A5185" i="2"/>
  <c r="O5184" i="2"/>
  <c r="M5184" i="2"/>
  <c r="L5184" i="2"/>
  <c r="E5184" i="2"/>
  <c r="D5184" i="2"/>
  <c r="B5184" i="2"/>
  <c r="A5184" i="2"/>
  <c r="O5183" i="2"/>
  <c r="M5183" i="2"/>
  <c r="L5183" i="2"/>
  <c r="E5183" i="2"/>
  <c r="D5183" i="2"/>
  <c r="B5183" i="2"/>
  <c r="A5183" i="2"/>
  <c r="O5182" i="2"/>
  <c r="M5182" i="2"/>
  <c r="L5182" i="2"/>
  <c r="E5182" i="2"/>
  <c r="D5182" i="2"/>
  <c r="B5182" i="2"/>
  <c r="A5182" i="2"/>
  <c r="O5181" i="2"/>
  <c r="M5181" i="2"/>
  <c r="L5181" i="2"/>
  <c r="E5181" i="2"/>
  <c r="D5181" i="2"/>
  <c r="B5181" i="2"/>
  <c r="A5181" i="2"/>
  <c r="O5180" i="2"/>
  <c r="M5180" i="2"/>
  <c r="L5180" i="2"/>
  <c r="E5180" i="2"/>
  <c r="D5180" i="2"/>
  <c r="B5180" i="2"/>
  <c r="A5180" i="2"/>
  <c r="O5179" i="2"/>
  <c r="O5178" i="2"/>
  <c r="M5178" i="2"/>
  <c r="L5178" i="2"/>
  <c r="E5178" i="2"/>
  <c r="D5178" i="2"/>
  <c r="B5178" i="2"/>
  <c r="A5178" i="2"/>
  <c r="O5177" i="2"/>
  <c r="M5177" i="2"/>
  <c r="L5177" i="2"/>
  <c r="E5177" i="2"/>
  <c r="D5177" i="2"/>
  <c r="B5177" i="2"/>
  <c r="A5177" i="2"/>
  <c r="O5176" i="2"/>
  <c r="M5176" i="2"/>
  <c r="L5176" i="2"/>
  <c r="E5176" i="2"/>
  <c r="D5176" i="2"/>
  <c r="B5176" i="2"/>
  <c r="A5176" i="2"/>
  <c r="O5175" i="2"/>
  <c r="M5175" i="2"/>
  <c r="L5175" i="2"/>
  <c r="E5175" i="2"/>
  <c r="D5175" i="2"/>
  <c r="B5175" i="2"/>
  <c r="A5175" i="2"/>
  <c r="O5174" i="2"/>
  <c r="M5174" i="2"/>
  <c r="L5174" i="2"/>
  <c r="E5174" i="2"/>
  <c r="D5174" i="2"/>
  <c r="B5174" i="2"/>
  <c r="A5174" i="2"/>
  <c r="O5173" i="2"/>
  <c r="M5173" i="2"/>
  <c r="L5173" i="2"/>
  <c r="E5173" i="2"/>
  <c r="D5173" i="2"/>
  <c r="B5173" i="2"/>
  <c r="A5173" i="2"/>
  <c r="O5172" i="2"/>
  <c r="M5172" i="2"/>
  <c r="L5172" i="2"/>
  <c r="E5172" i="2"/>
  <c r="D5172" i="2"/>
  <c r="B5172" i="2"/>
  <c r="A5172" i="2"/>
  <c r="O5171" i="2"/>
  <c r="M5171" i="2"/>
  <c r="L5171" i="2"/>
  <c r="E5171" i="2"/>
  <c r="D5171" i="2"/>
  <c r="B5171" i="2"/>
  <c r="A5171" i="2"/>
  <c r="O5170" i="2"/>
  <c r="M5170" i="2"/>
  <c r="L5170" i="2"/>
  <c r="E5170" i="2"/>
  <c r="D5170" i="2"/>
  <c r="B5170" i="2"/>
  <c r="A5170" i="2"/>
  <c r="O5169" i="2"/>
  <c r="O5168" i="2"/>
  <c r="M5168" i="2"/>
  <c r="L5168" i="2"/>
  <c r="E5168" i="2"/>
  <c r="D5168" i="2"/>
  <c r="B5168" i="2"/>
  <c r="A5168" i="2"/>
  <c r="O5167" i="2"/>
  <c r="M5167" i="2"/>
  <c r="L5167" i="2"/>
  <c r="E5167" i="2"/>
  <c r="D5167" i="2"/>
  <c r="B5167" i="2"/>
  <c r="A5167" i="2"/>
  <c r="O5166" i="2"/>
  <c r="M5166" i="2"/>
  <c r="L5166" i="2"/>
  <c r="E5166" i="2"/>
  <c r="D5166" i="2"/>
  <c r="B5166" i="2"/>
  <c r="A5166" i="2"/>
  <c r="O5165" i="2"/>
  <c r="M5165" i="2"/>
  <c r="L5165" i="2"/>
  <c r="E5165" i="2"/>
  <c r="D5165" i="2"/>
  <c r="B5165" i="2"/>
  <c r="A5165" i="2"/>
  <c r="O5164" i="2"/>
  <c r="M5164" i="2"/>
  <c r="L5164" i="2"/>
  <c r="E5164" i="2"/>
  <c r="D5164" i="2"/>
  <c r="B5164" i="2"/>
  <c r="A5164" i="2"/>
  <c r="O5163" i="2"/>
  <c r="M5163" i="2"/>
  <c r="L5163" i="2"/>
  <c r="E5163" i="2"/>
  <c r="D5163" i="2"/>
  <c r="B5163" i="2"/>
  <c r="A5163" i="2"/>
  <c r="O5162" i="2"/>
  <c r="M5162" i="2"/>
  <c r="L5162" i="2"/>
  <c r="E5162" i="2"/>
  <c r="D5162" i="2"/>
  <c r="B5162" i="2"/>
  <c r="A5162" i="2"/>
  <c r="O5161" i="2"/>
  <c r="O5160" i="2"/>
  <c r="M5160" i="2"/>
  <c r="L5160" i="2"/>
  <c r="E5160" i="2"/>
  <c r="D5160" i="2"/>
  <c r="B5160" i="2"/>
  <c r="A5160" i="2"/>
  <c r="O5159" i="2"/>
  <c r="M5159" i="2"/>
  <c r="L5159" i="2"/>
  <c r="E5159" i="2"/>
  <c r="D5159" i="2"/>
  <c r="B5159" i="2"/>
  <c r="A5159" i="2"/>
  <c r="O5158" i="2"/>
  <c r="M5158" i="2"/>
  <c r="L5158" i="2"/>
  <c r="E5158" i="2"/>
  <c r="D5158" i="2"/>
  <c r="B5158" i="2"/>
  <c r="A5158" i="2"/>
  <c r="O5157" i="2"/>
  <c r="M5157" i="2"/>
  <c r="L5157" i="2"/>
  <c r="E5157" i="2"/>
  <c r="D5157" i="2"/>
  <c r="B5157" i="2"/>
  <c r="A5157" i="2"/>
  <c r="O5156" i="2"/>
  <c r="M5156" i="2"/>
  <c r="L5156" i="2"/>
  <c r="E5156" i="2"/>
  <c r="D5156" i="2"/>
  <c r="B5156" i="2"/>
  <c r="A5156" i="2"/>
  <c r="O5155" i="2"/>
  <c r="M5155" i="2"/>
  <c r="L5155" i="2"/>
  <c r="E5155" i="2"/>
  <c r="D5155" i="2"/>
  <c r="B5155" i="2"/>
  <c r="A5155" i="2"/>
  <c r="O5154" i="2"/>
  <c r="M5154" i="2"/>
  <c r="L5154" i="2"/>
  <c r="E5154" i="2"/>
  <c r="D5154" i="2"/>
  <c r="B5154" i="2"/>
  <c r="A5154" i="2"/>
  <c r="O5153" i="2"/>
  <c r="M5153" i="2"/>
  <c r="L5153" i="2"/>
  <c r="E5153" i="2"/>
  <c r="D5153" i="2"/>
  <c r="B5153" i="2"/>
  <c r="A5153" i="2"/>
  <c r="O5152" i="2"/>
  <c r="M5152" i="2"/>
  <c r="L5152" i="2"/>
  <c r="E5152" i="2"/>
  <c r="D5152" i="2"/>
  <c r="B5152" i="2"/>
  <c r="A5152" i="2"/>
  <c r="O5151" i="2"/>
  <c r="M5151" i="2"/>
  <c r="L5151" i="2"/>
  <c r="E5151" i="2"/>
  <c r="D5151" i="2"/>
  <c r="B5151" i="2"/>
  <c r="A5151" i="2"/>
  <c r="O5150" i="2"/>
  <c r="M5150" i="2"/>
  <c r="L5150" i="2"/>
  <c r="E5150" i="2"/>
  <c r="D5150" i="2"/>
  <c r="B5150" i="2"/>
  <c r="A5150" i="2"/>
  <c r="O5149" i="2"/>
  <c r="M5149" i="2"/>
  <c r="L5149" i="2"/>
  <c r="E5149" i="2"/>
  <c r="D5149" i="2"/>
  <c r="B5149" i="2"/>
  <c r="A5149" i="2"/>
  <c r="O5148" i="2"/>
  <c r="M5148" i="2"/>
  <c r="L5148" i="2"/>
  <c r="E5148" i="2"/>
  <c r="D5148" i="2"/>
  <c r="B5148" i="2"/>
  <c r="A5148" i="2"/>
  <c r="O5147" i="2"/>
  <c r="M5147" i="2"/>
  <c r="L5147" i="2"/>
  <c r="E5147" i="2"/>
  <c r="D5147" i="2"/>
  <c r="B5147" i="2"/>
  <c r="A5147" i="2"/>
  <c r="O5146" i="2"/>
  <c r="M5146" i="2"/>
  <c r="L5146" i="2"/>
  <c r="E5146" i="2"/>
  <c r="D5146" i="2"/>
  <c r="B5146" i="2"/>
  <c r="A5146" i="2"/>
  <c r="O5145" i="2"/>
  <c r="M5145" i="2"/>
  <c r="L5145" i="2"/>
  <c r="E5145" i="2"/>
  <c r="D5145" i="2"/>
  <c r="B5145" i="2"/>
  <c r="A5145" i="2"/>
  <c r="O5144" i="2"/>
  <c r="M5144" i="2"/>
  <c r="L5144" i="2"/>
  <c r="E5144" i="2"/>
  <c r="D5144" i="2"/>
  <c r="B5144" i="2"/>
  <c r="A5144" i="2"/>
  <c r="O5143" i="2"/>
  <c r="M5143" i="2"/>
  <c r="L5143" i="2"/>
  <c r="E5143" i="2"/>
  <c r="D5143" i="2"/>
  <c r="B5143" i="2"/>
  <c r="A5143" i="2"/>
  <c r="O5142" i="2"/>
  <c r="M5142" i="2"/>
  <c r="L5142" i="2"/>
  <c r="E5142" i="2"/>
  <c r="D5142" i="2"/>
  <c r="B5142" i="2"/>
  <c r="A5142" i="2"/>
  <c r="O5141" i="2"/>
  <c r="M5141" i="2"/>
  <c r="L5141" i="2"/>
  <c r="E5141" i="2"/>
  <c r="D5141" i="2"/>
  <c r="B5141" i="2"/>
  <c r="A5141" i="2"/>
  <c r="O5140" i="2"/>
  <c r="M5140" i="2"/>
  <c r="L5140" i="2"/>
  <c r="E5140" i="2"/>
  <c r="D5140" i="2"/>
  <c r="B5140" i="2"/>
  <c r="A5140" i="2"/>
  <c r="O5139" i="2"/>
  <c r="O5138" i="2"/>
  <c r="M5138" i="2"/>
  <c r="L5138" i="2"/>
  <c r="E5138" i="2"/>
  <c r="D5138" i="2"/>
  <c r="B5138" i="2"/>
  <c r="A5138" i="2"/>
  <c r="O5137" i="2"/>
  <c r="M5137" i="2"/>
  <c r="L5137" i="2"/>
  <c r="E5137" i="2"/>
  <c r="D5137" i="2"/>
  <c r="B5137" i="2"/>
  <c r="A5137" i="2"/>
  <c r="O5136" i="2"/>
  <c r="M5136" i="2"/>
  <c r="L5136" i="2"/>
  <c r="E5136" i="2"/>
  <c r="D5136" i="2"/>
  <c r="B5136" i="2"/>
  <c r="A5136" i="2"/>
  <c r="O5135" i="2"/>
  <c r="M5135" i="2"/>
  <c r="L5135" i="2"/>
  <c r="E5135" i="2"/>
  <c r="D5135" i="2"/>
  <c r="B5135" i="2"/>
  <c r="A5135" i="2"/>
  <c r="O5134" i="2"/>
  <c r="M5134" i="2"/>
  <c r="L5134" i="2"/>
  <c r="E5134" i="2"/>
  <c r="D5134" i="2"/>
  <c r="B5134" i="2"/>
  <c r="A5134" i="2"/>
  <c r="O5133" i="2"/>
  <c r="M5133" i="2"/>
  <c r="L5133" i="2"/>
  <c r="E5133" i="2"/>
  <c r="D5133" i="2"/>
  <c r="B5133" i="2"/>
  <c r="A5133" i="2"/>
  <c r="O5132" i="2"/>
  <c r="M5132" i="2"/>
  <c r="L5132" i="2"/>
  <c r="E5132" i="2"/>
  <c r="D5132" i="2"/>
  <c r="B5132" i="2"/>
  <c r="A5132" i="2"/>
  <c r="O5131" i="2"/>
  <c r="M5131" i="2"/>
  <c r="L5131" i="2"/>
  <c r="E5131" i="2"/>
  <c r="D5131" i="2"/>
  <c r="B5131" i="2"/>
  <c r="A5131" i="2"/>
  <c r="O5130" i="2"/>
  <c r="O5129" i="2"/>
  <c r="M5129" i="2"/>
  <c r="L5129" i="2"/>
  <c r="E5129" i="2"/>
  <c r="D5129" i="2"/>
  <c r="B5129" i="2"/>
  <c r="A5129" i="2"/>
  <c r="O5128" i="2"/>
  <c r="O5127" i="2"/>
  <c r="O5126" i="2"/>
  <c r="O5125" i="2"/>
  <c r="M5125" i="2"/>
  <c r="L5125" i="2"/>
  <c r="E5125" i="2"/>
  <c r="D5125" i="2"/>
  <c r="B5125" i="2"/>
  <c r="A5125" i="2"/>
  <c r="O5124" i="2"/>
  <c r="O5123" i="2"/>
  <c r="O5122" i="2"/>
  <c r="M5122" i="2"/>
  <c r="L5122" i="2"/>
  <c r="E5122" i="2"/>
  <c r="D5122" i="2"/>
  <c r="B5122" i="2"/>
  <c r="A5122" i="2"/>
  <c r="O5121" i="2"/>
  <c r="M5121" i="2"/>
  <c r="L5121" i="2"/>
  <c r="E5121" i="2"/>
  <c r="D5121" i="2"/>
  <c r="B5121" i="2"/>
  <c r="A5121" i="2"/>
  <c r="O5120" i="2"/>
  <c r="M5120" i="2"/>
  <c r="L5120" i="2"/>
  <c r="E5120" i="2"/>
  <c r="D5120" i="2"/>
  <c r="B5120" i="2"/>
  <c r="A5120" i="2"/>
  <c r="O5119" i="2"/>
  <c r="M5119" i="2"/>
  <c r="L5119" i="2"/>
  <c r="E5119" i="2"/>
  <c r="D5119" i="2"/>
  <c r="B5119" i="2"/>
  <c r="A5119" i="2"/>
  <c r="O5118" i="2"/>
  <c r="O5117" i="2"/>
  <c r="O5116" i="2"/>
  <c r="M5116" i="2"/>
  <c r="L5116" i="2"/>
  <c r="E5116" i="2"/>
  <c r="D5116" i="2"/>
  <c r="B5116" i="2"/>
  <c r="A5116" i="2"/>
  <c r="O5115" i="2"/>
  <c r="M5115" i="2"/>
  <c r="L5115" i="2"/>
  <c r="E5115" i="2"/>
  <c r="D5115" i="2"/>
  <c r="B5115" i="2"/>
  <c r="A5115" i="2"/>
  <c r="O5114" i="2"/>
  <c r="M5114" i="2"/>
  <c r="L5114" i="2"/>
  <c r="E5114" i="2"/>
  <c r="D5114" i="2"/>
  <c r="B5114" i="2"/>
  <c r="A5114" i="2"/>
  <c r="O5113" i="2"/>
  <c r="M5113" i="2"/>
  <c r="L5113" i="2"/>
  <c r="E5113" i="2"/>
  <c r="D5113" i="2"/>
  <c r="B5113" i="2"/>
  <c r="A5113" i="2"/>
  <c r="O5112" i="2"/>
  <c r="M5112" i="2"/>
  <c r="L5112" i="2"/>
  <c r="E5112" i="2"/>
  <c r="D5112" i="2"/>
  <c r="B5112" i="2"/>
  <c r="A5112" i="2"/>
  <c r="O5111" i="2"/>
  <c r="M5111" i="2"/>
  <c r="L5111" i="2"/>
  <c r="E5111" i="2"/>
  <c r="D5111" i="2"/>
  <c r="B5111" i="2"/>
  <c r="A5111" i="2"/>
  <c r="O5110" i="2"/>
  <c r="M5110" i="2"/>
  <c r="L5110" i="2"/>
  <c r="E5110" i="2"/>
  <c r="D5110" i="2"/>
  <c r="B5110" i="2"/>
  <c r="A5110" i="2"/>
  <c r="O5109" i="2"/>
  <c r="O5108" i="2"/>
  <c r="O5107" i="2"/>
  <c r="M5107" i="2"/>
  <c r="L5107" i="2"/>
  <c r="E5107" i="2"/>
  <c r="D5107" i="2"/>
  <c r="B5107" i="2"/>
  <c r="A5107" i="2"/>
  <c r="O5106" i="2"/>
  <c r="M5106" i="2"/>
  <c r="L5106" i="2"/>
  <c r="E5106" i="2"/>
  <c r="D5106" i="2"/>
  <c r="B5106" i="2"/>
  <c r="A5106" i="2"/>
  <c r="O5105" i="2"/>
  <c r="O5104" i="2"/>
  <c r="O5103" i="2"/>
  <c r="M5103" i="2"/>
  <c r="L5103" i="2"/>
  <c r="E5103" i="2"/>
  <c r="D5103" i="2"/>
  <c r="B5103" i="2"/>
  <c r="A5103" i="2"/>
  <c r="O5102" i="2"/>
  <c r="M5102" i="2"/>
  <c r="L5102" i="2"/>
  <c r="E5102" i="2"/>
  <c r="D5102" i="2"/>
  <c r="B5102" i="2"/>
  <c r="A5102" i="2"/>
  <c r="O5101" i="2"/>
  <c r="M5101" i="2"/>
  <c r="L5101" i="2"/>
  <c r="E5101" i="2"/>
  <c r="D5101" i="2"/>
  <c r="B5101" i="2"/>
  <c r="A5101" i="2"/>
  <c r="O5100" i="2"/>
  <c r="M5100" i="2"/>
  <c r="L5100" i="2"/>
  <c r="E5100" i="2"/>
  <c r="D5100" i="2"/>
  <c r="B5100" i="2"/>
  <c r="A5100" i="2"/>
  <c r="O5099" i="2"/>
  <c r="O5098" i="2"/>
  <c r="M5098" i="2"/>
  <c r="L5098" i="2"/>
  <c r="E5098" i="2"/>
  <c r="D5098" i="2"/>
  <c r="B5098" i="2"/>
  <c r="A5098" i="2"/>
  <c r="O5097" i="2"/>
  <c r="M5097" i="2"/>
  <c r="L5097" i="2"/>
  <c r="E5097" i="2"/>
  <c r="D5097" i="2"/>
  <c r="B5097" i="2"/>
  <c r="A5097" i="2"/>
  <c r="O5096" i="2"/>
  <c r="M5096" i="2"/>
  <c r="L5096" i="2"/>
  <c r="E5096" i="2"/>
  <c r="D5096" i="2"/>
  <c r="B5096" i="2"/>
  <c r="A5096" i="2"/>
  <c r="O5095" i="2"/>
  <c r="M5095" i="2"/>
  <c r="L5095" i="2"/>
  <c r="E5095" i="2"/>
  <c r="D5095" i="2"/>
  <c r="B5095" i="2"/>
  <c r="A5095" i="2"/>
  <c r="O5094" i="2"/>
  <c r="O5093" i="2"/>
  <c r="M5093" i="2"/>
  <c r="L5093" i="2"/>
  <c r="E5093" i="2"/>
  <c r="D5093" i="2"/>
  <c r="B5093" i="2"/>
  <c r="A5093" i="2"/>
  <c r="O5092" i="2"/>
  <c r="M5092" i="2"/>
  <c r="L5092" i="2"/>
  <c r="E5092" i="2"/>
  <c r="D5092" i="2"/>
  <c r="B5092" i="2"/>
  <c r="A5092" i="2"/>
  <c r="O5091" i="2"/>
  <c r="M5091" i="2"/>
  <c r="L5091" i="2"/>
  <c r="E5091" i="2"/>
  <c r="D5091" i="2"/>
  <c r="B5091" i="2"/>
  <c r="A5091" i="2"/>
  <c r="O5090" i="2"/>
  <c r="M5090" i="2"/>
  <c r="L5090" i="2"/>
  <c r="E5090" i="2"/>
  <c r="D5090" i="2"/>
  <c r="B5090" i="2"/>
  <c r="A5090" i="2"/>
  <c r="O5089" i="2"/>
  <c r="M5089" i="2"/>
  <c r="L5089" i="2"/>
  <c r="E5089" i="2"/>
  <c r="D5089" i="2"/>
  <c r="B5089" i="2"/>
  <c r="A5089" i="2"/>
  <c r="O5088" i="2"/>
  <c r="M5088" i="2"/>
  <c r="L5088" i="2"/>
  <c r="E5088" i="2"/>
  <c r="D5088" i="2"/>
  <c r="B5088" i="2"/>
  <c r="A5088" i="2"/>
  <c r="O5087" i="2"/>
  <c r="M5087" i="2"/>
  <c r="L5087" i="2"/>
  <c r="E5087" i="2"/>
  <c r="D5087" i="2"/>
  <c r="B5087" i="2"/>
  <c r="A5087" i="2"/>
  <c r="O5086" i="2"/>
  <c r="M5086" i="2"/>
  <c r="L5086" i="2"/>
  <c r="E5086" i="2"/>
  <c r="D5086" i="2"/>
  <c r="B5086" i="2"/>
  <c r="A5086" i="2"/>
  <c r="O5085" i="2"/>
  <c r="M5085" i="2"/>
  <c r="L5085" i="2"/>
  <c r="E5085" i="2"/>
  <c r="D5085" i="2"/>
  <c r="B5085" i="2"/>
  <c r="A5085" i="2"/>
  <c r="O5084" i="2"/>
  <c r="M5084" i="2"/>
  <c r="L5084" i="2"/>
  <c r="E5084" i="2"/>
  <c r="D5084" i="2"/>
  <c r="B5084" i="2"/>
  <c r="A5084" i="2"/>
  <c r="O5083" i="2"/>
  <c r="O5082" i="2"/>
  <c r="O5081" i="2"/>
  <c r="O5080" i="2"/>
  <c r="M5080" i="2"/>
  <c r="L5080" i="2"/>
  <c r="E5080" i="2"/>
  <c r="D5080" i="2"/>
  <c r="B5080" i="2"/>
  <c r="A5080" i="2"/>
  <c r="O5079" i="2"/>
  <c r="M5079" i="2"/>
  <c r="L5079" i="2"/>
  <c r="E5079" i="2"/>
  <c r="D5079" i="2"/>
  <c r="B5079" i="2"/>
  <c r="A5079" i="2"/>
  <c r="O5078" i="2"/>
  <c r="M5078" i="2"/>
  <c r="L5078" i="2"/>
  <c r="E5078" i="2"/>
  <c r="D5078" i="2"/>
  <c r="B5078" i="2"/>
  <c r="A5078" i="2"/>
  <c r="O5077" i="2"/>
  <c r="M5077" i="2"/>
  <c r="L5077" i="2"/>
  <c r="E5077" i="2"/>
  <c r="D5077" i="2"/>
  <c r="B5077" i="2"/>
  <c r="A5077" i="2"/>
  <c r="O5076" i="2"/>
  <c r="M5076" i="2"/>
  <c r="L5076" i="2"/>
  <c r="E5076" i="2"/>
  <c r="D5076" i="2"/>
  <c r="B5076" i="2"/>
  <c r="A5076" i="2"/>
  <c r="O5075" i="2"/>
  <c r="O5074" i="2"/>
  <c r="M5074" i="2"/>
  <c r="L5074" i="2"/>
  <c r="E5074" i="2"/>
  <c r="D5074" i="2"/>
  <c r="B5074" i="2"/>
  <c r="A5074" i="2"/>
  <c r="O5073" i="2"/>
  <c r="M5073" i="2"/>
  <c r="L5073" i="2"/>
  <c r="E5073" i="2"/>
  <c r="D5073" i="2"/>
  <c r="B5073" i="2"/>
  <c r="A5073" i="2"/>
  <c r="O5072" i="2"/>
  <c r="O5071" i="2"/>
  <c r="O5070" i="2"/>
  <c r="O5069" i="2"/>
  <c r="M5069" i="2"/>
  <c r="L5069" i="2"/>
  <c r="E5069" i="2"/>
  <c r="D5069" i="2"/>
  <c r="B5069" i="2"/>
  <c r="A5069" i="2"/>
  <c r="O5068" i="2"/>
  <c r="M5068" i="2"/>
  <c r="L5068" i="2"/>
  <c r="E5068" i="2"/>
  <c r="D5068" i="2"/>
  <c r="B5068" i="2"/>
  <c r="A5068" i="2"/>
  <c r="O5067" i="2"/>
  <c r="M5067" i="2"/>
  <c r="L5067" i="2"/>
  <c r="E5067" i="2"/>
  <c r="D5067" i="2"/>
  <c r="B5067" i="2"/>
  <c r="A5067" i="2"/>
  <c r="O5066" i="2"/>
  <c r="O5065" i="2"/>
  <c r="M5065" i="2"/>
  <c r="L5065" i="2"/>
  <c r="E5065" i="2"/>
  <c r="D5065" i="2"/>
  <c r="B5065" i="2"/>
  <c r="A5065" i="2"/>
  <c r="O5064" i="2"/>
  <c r="M5064" i="2"/>
  <c r="L5064" i="2"/>
  <c r="E5064" i="2"/>
  <c r="D5064" i="2"/>
  <c r="B5064" i="2"/>
  <c r="A5064" i="2"/>
  <c r="O5063" i="2"/>
  <c r="M5063" i="2"/>
  <c r="L5063" i="2"/>
  <c r="E5063" i="2"/>
  <c r="D5063" i="2"/>
  <c r="B5063" i="2"/>
  <c r="A5063" i="2"/>
  <c r="O5062" i="2"/>
  <c r="M5062" i="2"/>
  <c r="L5062" i="2"/>
  <c r="E5062" i="2"/>
  <c r="D5062" i="2"/>
  <c r="B5062" i="2"/>
  <c r="A5062" i="2"/>
  <c r="O5061" i="2"/>
  <c r="O5060" i="2"/>
  <c r="M5060" i="2"/>
  <c r="L5060" i="2"/>
  <c r="E5060" i="2"/>
  <c r="D5060" i="2"/>
  <c r="B5060" i="2"/>
  <c r="A5060" i="2"/>
  <c r="O5059" i="2"/>
  <c r="M5059" i="2"/>
  <c r="L5059" i="2"/>
  <c r="E5059" i="2"/>
  <c r="D5059" i="2"/>
  <c r="B5059" i="2"/>
  <c r="A5059" i="2"/>
  <c r="O5058" i="2"/>
  <c r="M5058" i="2"/>
  <c r="L5058" i="2"/>
  <c r="E5058" i="2"/>
  <c r="D5058" i="2"/>
  <c r="B5058" i="2"/>
  <c r="A5058" i="2"/>
  <c r="O5057" i="2"/>
  <c r="M5057" i="2"/>
  <c r="L5057" i="2"/>
  <c r="E5057" i="2"/>
  <c r="D5057" i="2"/>
  <c r="B5057" i="2"/>
  <c r="A5057" i="2"/>
  <c r="O5056" i="2"/>
  <c r="M5056" i="2"/>
  <c r="L5056" i="2"/>
  <c r="E5056" i="2"/>
  <c r="D5056" i="2"/>
  <c r="B5056" i="2"/>
  <c r="A5056" i="2"/>
  <c r="O5055" i="2"/>
  <c r="M5055" i="2"/>
  <c r="L5055" i="2"/>
  <c r="E5055" i="2"/>
  <c r="D5055" i="2"/>
  <c r="B5055" i="2"/>
  <c r="A5055" i="2"/>
  <c r="M5054" i="2"/>
  <c r="L5054" i="2"/>
  <c r="E5054" i="2"/>
  <c r="D5054" i="2"/>
  <c r="B5054" i="2"/>
  <c r="A5054" i="2"/>
  <c r="O5053" i="2"/>
  <c r="M5053" i="2"/>
  <c r="L5053" i="2"/>
  <c r="E5053" i="2"/>
  <c r="D5053" i="2"/>
  <c r="B5053" i="2"/>
  <c r="A5053" i="2"/>
  <c r="O5052" i="2"/>
  <c r="M5052" i="2"/>
  <c r="L5052" i="2"/>
  <c r="E5052" i="2"/>
  <c r="D5052" i="2"/>
  <c r="B5052" i="2"/>
  <c r="A5052" i="2"/>
  <c r="O5051" i="2"/>
  <c r="M5051" i="2"/>
  <c r="L5051" i="2"/>
  <c r="E5051" i="2"/>
  <c r="D5051" i="2"/>
  <c r="B5051" i="2"/>
  <c r="A5051" i="2"/>
  <c r="O5050" i="2"/>
  <c r="M5050" i="2"/>
  <c r="L5050" i="2"/>
  <c r="E5050" i="2"/>
  <c r="D5050" i="2"/>
  <c r="B5050" i="2"/>
  <c r="A5050" i="2"/>
  <c r="O5049" i="2"/>
  <c r="M5049" i="2"/>
  <c r="L5049" i="2"/>
  <c r="E5049" i="2"/>
  <c r="D5049" i="2"/>
  <c r="B5049" i="2"/>
  <c r="A5049" i="2"/>
  <c r="O5048" i="2"/>
  <c r="M5048" i="2"/>
  <c r="L5048" i="2"/>
  <c r="E5048" i="2"/>
  <c r="D5048" i="2"/>
  <c r="B5048" i="2"/>
  <c r="A5048" i="2"/>
  <c r="O5047" i="2"/>
  <c r="M5047" i="2"/>
  <c r="L5047" i="2"/>
  <c r="E5047" i="2"/>
  <c r="D5047" i="2"/>
  <c r="B5047" i="2"/>
  <c r="A5047" i="2"/>
  <c r="O5046" i="2"/>
  <c r="M5046" i="2"/>
  <c r="L5046" i="2"/>
  <c r="E5046" i="2"/>
  <c r="D5046" i="2"/>
  <c r="B5046" i="2"/>
  <c r="A5046" i="2"/>
  <c r="O5045" i="2"/>
  <c r="M5045" i="2"/>
  <c r="L5045" i="2"/>
  <c r="E5045" i="2"/>
  <c r="D5045" i="2"/>
  <c r="B5045" i="2"/>
  <c r="A5045" i="2"/>
  <c r="O5044" i="2"/>
  <c r="M5044" i="2"/>
  <c r="L5044" i="2"/>
  <c r="E5044" i="2"/>
  <c r="D5044" i="2"/>
  <c r="B5044" i="2"/>
  <c r="A5044" i="2"/>
  <c r="O5043" i="2"/>
  <c r="M5043" i="2"/>
  <c r="L5043" i="2"/>
  <c r="E5043" i="2"/>
  <c r="D5043" i="2"/>
  <c r="B5043" i="2"/>
  <c r="A5043" i="2"/>
  <c r="O5042" i="2"/>
  <c r="M5042" i="2"/>
  <c r="L5042" i="2"/>
  <c r="E5042" i="2"/>
  <c r="D5042" i="2"/>
  <c r="B5042" i="2"/>
  <c r="A5042" i="2"/>
  <c r="O5041" i="2"/>
  <c r="M5041" i="2"/>
  <c r="L5041" i="2"/>
  <c r="E5041" i="2"/>
  <c r="D5041" i="2"/>
  <c r="B5041" i="2"/>
  <c r="A5041" i="2"/>
  <c r="O5040" i="2"/>
  <c r="O5039" i="2"/>
  <c r="M5039" i="2"/>
  <c r="L5039" i="2"/>
  <c r="E5039" i="2"/>
  <c r="D5039" i="2"/>
  <c r="B5039" i="2"/>
  <c r="A5039" i="2"/>
  <c r="O5038" i="2"/>
  <c r="M5038" i="2"/>
  <c r="L5038" i="2"/>
  <c r="E5038" i="2"/>
  <c r="D5038" i="2"/>
  <c r="B5038" i="2"/>
  <c r="A5038" i="2"/>
  <c r="O5037" i="2"/>
  <c r="M5037" i="2"/>
  <c r="L5037" i="2"/>
  <c r="E5037" i="2"/>
  <c r="D5037" i="2"/>
  <c r="B5037" i="2"/>
  <c r="A5037" i="2"/>
  <c r="O5036" i="2"/>
  <c r="M5036" i="2"/>
  <c r="L5036" i="2"/>
  <c r="E5036" i="2"/>
  <c r="D5036" i="2"/>
  <c r="B5036" i="2"/>
  <c r="A5036" i="2"/>
  <c r="O5035" i="2"/>
  <c r="M5035" i="2"/>
  <c r="L5035" i="2"/>
  <c r="E5035" i="2"/>
  <c r="D5035" i="2"/>
  <c r="B5035" i="2"/>
  <c r="A5035" i="2"/>
  <c r="O5034" i="2"/>
  <c r="M5034" i="2"/>
  <c r="L5034" i="2"/>
  <c r="E5034" i="2"/>
  <c r="D5034" i="2"/>
  <c r="B5034" i="2"/>
  <c r="A5034" i="2"/>
  <c r="O5033" i="2"/>
  <c r="M5033" i="2"/>
  <c r="L5033" i="2"/>
  <c r="E5033" i="2"/>
  <c r="D5033" i="2"/>
  <c r="B5033" i="2"/>
  <c r="A5033" i="2"/>
  <c r="O5032" i="2"/>
  <c r="M5032" i="2"/>
  <c r="L5032" i="2"/>
  <c r="E5032" i="2"/>
  <c r="D5032" i="2"/>
  <c r="B5032" i="2"/>
  <c r="A5032" i="2"/>
  <c r="O5031" i="2"/>
  <c r="M5031" i="2"/>
  <c r="L5031" i="2"/>
  <c r="E5031" i="2"/>
  <c r="D5031" i="2"/>
  <c r="B5031" i="2"/>
  <c r="A5031" i="2"/>
  <c r="O5030" i="2"/>
  <c r="M5030" i="2"/>
  <c r="L5030" i="2"/>
  <c r="E5030" i="2"/>
  <c r="D5030" i="2"/>
  <c r="B5030" i="2"/>
  <c r="A5030" i="2"/>
  <c r="O5029" i="2"/>
  <c r="O5028" i="2"/>
  <c r="O5027" i="2"/>
  <c r="M5027" i="2"/>
  <c r="L5027" i="2"/>
  <c r="E5027" i="2"/>
  <c r="D5027" i="2"/>
  <c r="B5027" i="2"/>
  <c r="A5027" i="2"/>
  <c r="O5026" i="2"/>
  <c r="M5026" i="2"/>
  <c r="L5026" i="2"/>
  <c r="E5026" i="2"/>
  <c r="D5026" i="2"/>
  <c r="B5026" i="2"/>
  <c r="A5026" i="2"/>
  <c r="O5025" i="2"/>
  <c r="O5024" i="2"/>
  <c r="O5023" i="2"/>
  <c r="M5023" i="2"/>
  <c r="L5023" i="2"/>
  <c r="E5023" i="2"/>
  <c r="D5023" i="2"/>
  <c r="B5023" i="2"/>
  <c r="A5023" i="2"/>
  <c r="O5022" i="2"/>
  <c r="M5022" i="2"/>
  <c r="L5022" i="2"/>
  <c r="E5022" i="2"/>
  <c r="D5022" i="2"/>
  <c r="B5022" i="2"/>
  <c r="A5022" i="2"/>
  <c r="O5021" i="2"/>
  <c r="M5021" i="2"/>
  <c r="L5021" i="2"/>
  <c r="E5021" i="2"/>
  <c r="D5021" i="2"/>
  <c r="B5021" i="2"/>
  <c r="A5021" i="2"/>
  <c r="O5020" i="2"/>
  <c r="M5020" i="2"/>
  <c r="L5020" i="2"/>
  <c r="E5020" i="2"/>
  <c r="D5020" i="2"/>
  <c r="B5020" i="2"/>
  <c r="A5020" i="2"/>
  <c r="O5019" i="2"/>
  <c r="M5019" i="2"/>
  <c r="L5019" i="2"/>
  <c r="E5019" i="2"/>
  <c r="D5019" i="2"/>
  <c r="B5019" i="2"/>
  <c r="A5019" i="2"/>
  <c r="O5018" i="2"/>
  <c r="M5018" i="2"/>
  <c r="L5018" i="2"/>
  <c r="E5018" i="2"/>
  <c r="D5018" i="2"/>
  <c r="B5018" i="2"/>
  <c r="A5018" i="2"/>
  <c r="O5017" i="2"/>
  <c r="M5017" i="2"/>
  <c r="L5017" i="2"/>
  <c r="E5017" i="2"/>
  <c r="D5017" i="2"/>
  <c r="B5017" i="2"/>
  <c r="A5017" i="2"/>
  <c r="O5016" i="2"/>
  <c r="M5016" i="2"/>
  <c r="L5016" i="2"/>
  <c r="E5016" i="2"/>
  <c r="D5016" i="2"/>
  <c r="B5016" i="2"/>
  <c r="A5016" i="2"/>
  <c r="O5015" i="2"/>
  <c r="M5015" i="2"/>
  <c r="L5015" i="2"/>
  <c r="E5015" i="2"/>
  <c r="D5015" i="2"/>
  <c r="B5015" i="2"/>
  <c r="A5015" i="2"/>
  <c r="O5014" i="2"/>
  <c r="M5014" i="2"/>
  <c r="L5014" i="2"/>
  <c r="E5014" i="2"/>
  <c r="D5014" i="2"/>
  <c r="B5014" i="2"/>
  <c r="A5014" i="2"/>
  <c r="O5013" i="2"/>
  <c r="M5013" i="2"/>
  <c r="L5013" i="2"/>
  <c r="E5013" i="2"/>
  <c r="D5013" i="2"/>
  <c r="B5013" i="2"/>
  <c r="A5013" i="2"/>
  <c r="O5012" i="2"/>
  <c r="M5012" i="2"/>
  <c r="L5012" i="2"/>
  <c r="E5012" i="2"/>
  <c r="D5012" i="2"/>
  <c r="B5012" i="2"/>
  <c r="A5012" i="2"/>
  <c r="O5011" i="2"/>
  <c r="O5010" i="2"/>
  <c r="M5010" i="2"/>
  <c r="L5010" i="2"/>
  <c r="E5010" i="2"/>
  <c r="D5010" i="2"/>
  <c r="B5010" i="2"/>
  <c r="A5010" i="2"/>
  <c r="O5009" i="2"/>
  <c r="M5009" i="2"/>
  <c r="L5009" i="2"/>
  <c r="E5009" i="2"/>
  <c r="D5009" i="2"/>
  <c r="B5009" i="2"/>
  <c r="A5009" i="2"/>
  <c r="O5008" i="2"/>
  <c r="M5008" i="2"/>
  <c r="L5008" i="2"/>
  <c r="E5008" i="2"/>
  <c r="D5008" i="2"/>
  <c r="B5008" i="2"/>
  <c r="A5008" i="2"/>
  <c r="O5007" i="2"/>
  <c r="O5006" i="2"/>
  <c r="O5005" i="2"/>
  <c r="M5005" i="2"/>
  <c r="L5005" i="2"/>
  <c r="E5005" i="2"/>
  <c r="D5005" i="2"/>
  <c r="B5005" i="2"/>
  <c r="A5005" i="2"/>
  <c r="O5004" i="2"/>
  <c r="M5004" i="2"/>
  <c r="L5004" i="2"/>
  <c r="E5004" i="2"/>
  <c r="D5004" i="2"/>
  <c r="B5004" i="2"/>
  <c r="A5004" i="2"/>
  <c r="O5003" i="2"/>
  <c r="M5003" i="2"/>
  <c r="L5003" i="2"/>
  <c r="E5003" i="2"/>
  <c r="D5003" i="2"/>
  <c r="B5003" i="2"/>
  <c r="A5003" i="2"/>
  <c r="O5002" i="2"/>
  <c r="O5001" i="2"/>
  <c r="M5001" i="2"/>
  <c r="L5001" i="2"/>
  <c r="E5001" i="2"/>
  <c r="D5001" i="2"/>
  <c r="B5001" i="2"/>
  <c r="A5001" i="2"/>
  <c r="O5000" i="2"/>
  <c r="M5000" i="2"/>
  <c r="L5000" i="2"/>
  <c r="E5000" i="2"/>
  <c r="D5000" i="2"/>
  <c r="B5000" i="2"/>
  <c r="A5000" i="2"/>
  <c r="O4999" i="2"/>
  <c r="M4999" i="2"/>
  <c r="L4999" i="2"/>
  <c r="E4999" i="2"/>
  <c r="D4999" i="2"/>
  <c r="B4999" i="2"/>
  <c r="A4999" i="2"/>
  <c r="O4998" i="2"/>
  <c r="M4998" i="2"/>
  <c r="L4998" i="2"/>
  <c r="E4998" i="2"/>
  <c r="D4998" i="2"/>
  <c r="B4998" i="2"/>
  <c r="A4998" i="2"/>
  <c r="O4997" i="2"/>
  <c r="M4997" i="2"/>
  <c r="L4997" i="2"/>
  <c r="E4997" i="2"/>
  <c r="D4997" i="2"/>
  <c r="B4997" i="2"/>
  <c r="A4997" i="2"/>
  <c r="O4996" i="2"/>
  <c r="M4996" i="2"/>
  <c r="L4996" i="2"/>
  <c r="E4996" i="2"/>
  <c r="D4996" i="2"/>
  <c r="B4996" i="2"/>
  <c r="A4996" i="2"/>
  <c r="O4995" i="2"/>
  <c r="M4995" i="2"/>
  <c r="L4995" i="2"/>
  <c r="E4995" i="2"/>
  <c r="D4995" i="2"/>
  <c r="B4995" i="2"/>
  <c r="A4995" i="2"/>
  <c r="O4994" i="2"/>
  <c r="M4994" i="2"/>
  <c r="L4994" i="2"/>
  <c r="E4994" i="2"/>
  <c r="D4994" i="2"/>
  <c r="B4994" i="2"/>
  <c r="A4994" i="2"/>
  <c r="O4993" i="2"/>
  <c r="M4993" i="2"/>
  <c r="L4993" i="2"/>
  <c r="E4993" i="2"/>
  <c r="D4993" i="2"/>
  <c r="B4993" i="2"/>
  <c r="A4993" i="2"/>
  <c r="O4992" i="2"/>
  <c r="O4991" i="2"/>
  <c r="M4991" i="2"/>
  <c r="L4991" i="2"/>
  <c r="E4991" i="2"/>
  <c r="D4991" i="2"/>
  <c r="B4991" i="2"/>
  <c r="A4991" i="2"/>
  <c r="O4990" i="2"/>
  <c r="O4989" i="2"/>
  <c r="M4989" i="2"/>
  <c r="L4989" i="2"/>
  <c r="E4989" i="2"/>
  <c r="D4989" i="2"/>
  <c r="B4989" i="2"/>
  <c r="A4989" i="2"/>
  <c r="O4988" i="2"/>
  <c r="M4988" i="2"/>
  <c r="L4988" i="2"/>
  <c r="E4988" i="2"/>
  <c r="D4988" i="2"/>
  <c r="B4988" i="2"/>
  <c r="A4988" i="2"/>
  <c r="O4987" i="2"/>
  <c r="M4987" i="2"/>
  <c r="L4987" i="2"/>
  <c r="E4987" i="2"/>
  <c r="D4987" i="2"/>
  <c r="B4987" i="2"/>
  <c r="A4987" i="2"/>
  <c r="O4986" i="2"/>
  <c r="M4986" i="2"/>
  <c r="L4986" i="2"/>
  <c r="E4986" i="2"/>
  <c r="D4986" i="2"/>
  <c r="B4986" i="2"/>
  <c r="A4986" i="2"/>
  <c r="O4985" i="2"/>
  <c r="M4985" i="2"/>
  <c r="L4985" i="2"/>
  <c r="E4985" i="2"/>
  <c r="D4985" i="2"/>
  <c r="B4985" i="2"/>
  <c r="A4985" i="2"/>
  <c r="O4984" i="2"/>
  <c r="M4984" i="2"/>
  <c r="L4984" i="2"/>
  <c r="E4984" i="2"/>
  <c r="D4984" i="2"/>
  <c r="B4984" i="2"/>
  <c r="A4984" i="2"/>
  <c r="O4983" i="2"/>
  <c r="M4983" i="2"/>
  <c r="L4983" i="2"/>
  <c r="E4983" i="2"/>
  <c r="D4983" i="2"/>
  <c r="B4983" i="2"/>
  <c r="A4983" i="2"/>
  <c r="O4982" i="2"/>
  <c r="M4982" i="2"/>
  <c r="L4982" i="2"/>
  <c r="E4982" i="2"/>
  <c r="D4982" i="2"/>
  <c r="B4982" i="2"/>
  <c r="A4982" i="2"/>
  <c r="O4981" i="2"/>
  <c r="M4981" i="2"/>
  <c r="L4981" i="2"/>
  <c r="E4981" i="2"/>
  <c r="D4981" i="2"/>
  <c r="B4981" i="2"/>
  <c r="A4981" i="2"/>
  <c r="O4980" i="2"/>
  <c r="M4980" i="2"/>
  <c r="L4980" i="2"/>
  <c r="E4980" i="2"/>
  <c r="D4980" i="2"/>
  <c r="B4980" i="2"/>
  <c r="A4980" i="2"/>
  <c r="O4979" i="2"/>
  <c r="M4979" i="2"/>
  <c r="L4979" i="2"/>
  <c r="E4979" i="2"/>
  <c r="D4979" i="2"/>
  <c r="B4979" i="2"/>
  <c r="A4979" i="2"/>
  <c r="O4978" i="2"/>
  <c r="M4978" i="2"/>
  <c r="L4978" i="2"/>
  <c r="E4978" i="2"/>
  <c r="D4978" i="2"/>
  <c r="B4978" i="2"/>
  <c r="A4978" i="2"/>
  <c r="O4977" i="2"/>
  <c r="M4977" i="2"/>
  <c r="L4977" i="2"/>
  <c r="E4977" i="2"/>
  <c r="D4977" i="2"/>
  <c r="B4977" i="2"/>
  <c r="A4977" i="2"/>
  <c r="O4976" i="2"/>
  <c r="M4976" i="2"/>
  <c r="L4976" i="2"/>
  <c r="E4976" i="2"/>
  <c r="D4976" i="2"/>
  <c r="B4976" i="2"/>
  <c r="A4976" i="2"/>
  <c r="O4975" i="2"/>
  <c r="M4975" i="2"/>
  <c r="L4975" i="2"/>
  <c r="E4975" i="2"/>
  <c r="D4975" i="2"/>
  <c r="B4975" i="2"/>
  <c r="A4975" i="2"/>
  <c r="O4974" i="2"/>
  <c r="M4974" i="2"/>
  <c r="L4974" i="2"/>
  <c r="E4974" i="2"/>
  <c r="D4974" i="2"/>
  <c r="B4974" i="2"/>
  <c r="A4974" i="2"/>
  <c r="M4973" i="2"/>
  <c r="L4973" i="2"/>
  <c r="E4973" i="2"/>
  <c r="D4973" i="2"/>
  <c r="B4973" i="2"/>
  <c r="A4973" i="2"/>
  <c r="O4972" i="2"/>
  <c r="M4972" i="2"/>
  <c r="L4972" i="2"/>
  <c r="E4972" i="2"/>
  <c r="D4972" i="2"/>
  <c r="B4972" i="2"/>
  <c r="A4972" i="2"/>
  <c r="O4971" i="2"/>
  <c r="O4970" i="2"/>
  <c r="O4969" i="2"/>
  <c r="M4969" i="2"/>
  <c r="L4969" i="2"/>
  <c r="E4969" i="2"/>
  <c r="D4969" i="2"/>
  <c r="B4969" i="2"/>
  <c r="A4969" i="2"/>
  <c r="O4968" i="2"/>
  <c r="M4968" i="2"/>
  <c r="L4968" i="2"/>
  <c r="E4968" i="2"/>
  <c r="D4968" i="2"/>
  <c r="B4968" i="2"/>
  <c r="A4968" i="2"/>
  <c r="O4967" i="2"/>
  <c r="M4967" i="2"/>
  <c r="L4967" i="2"/>
  <c r="E4967" i="2"/>
  <c r="D4967" i="2"/>
  <c r="B4967" i="2"/>
  <c r="A4967" i="2"/>
  <c r="O4966" i="2"/>
  <c r="M4966" i="2"/>
  <c r="L4966" i="2"/>
  <c r="E4966" i="2"/>
  <c r="D4966" i="2"/>
  <c r="B4966" i="2"/>
  <c r="A4966" i="2"/>
  <c r="O4965" i="2"/>
  <c r="M4965" i="2"/>
  <c r="L4965" i="2"/>
  <c r="E4965" i="2"/>
  <c r="D4965" i="2"/>
  <c r="B4965" i="2"/>
  <c r="A4965" i="2"/>
  <c r="O4964" i="2"/>
  <c r="M4964" i="2"/>
  <c r="L4964" i="2"/>
  <c r="E4964" i="2"/>
  <c r="D4964" i="2"/>
  <c r="B4964" i="2"/>
  <c r="A4964" i="2"/>
  <c r="O4963" i="2"/>
  <c r="M4963" i="2"/>
  <c r="L4963" i="2"/>
  <c r="E4963" i="2"/>
  <c r="D4963" i="2"/>
  <c r="B4963" i="2"/>
  <c r="A4963" i="2"/>
  <c r="O4962" i="2"/>
  <c r="M4962" i="2"/>
  <c r="L4962" i="2"/>
  <c r="E4962" i="2"/>
  <c r="D4962" i="2"/>
  <c r="B4962" i="2"/>
  <c r="A4962" i="2"/>
  <c r="O4961" i="2"/>
  <c r="O4960" i="2"/>
  <c r="M4960" i="2"/>
  <c r="L4960" i="2"/>
  <c r="E4960" i="2"/>
  <c r="D4960" i="2"/>
  <c r="B4960" i="2"/>
  <c r="A4960" i="2"/>
  <c r="O4959" i="2"/>
  <c r="M4959" i="2"/>
  <c r="L4959" i="2"/>
  <c r="E4959" i="2"/>
  <c r="D4959" i="2"/>
  <c r="B4959" i="2"/>
  <c r="A4959" i="2"/>
  <c r="O4958" i="2"/>
  <c r="O4957" i="2"/>
  <c r="O4956" i="2"/>
  <c r="M4956" i="2"/>
  <c r="L4956" i="2"/>
  <c r="E4956" i="2"/>
  <c r="D4956" i="2"/>
  <c r="B4956" i="2"/>
  <c r="A4956" i="2"/>
  <c r="O4955" i="2"/>
  <c r="O4954" i="2"/>
  <c r="M4954" i="2"/>
  <c r="L4954" i="2"/>
  <c r="E4954" i="2"/>
  <c r="D4954" i="2"/>
  <c r="B4954" i="2"/>
  <c r="A4954" i="2"/>
  <c r="O4953" i="2"/>
  <c r="M4953" i="2"/>
  <c r="L4953" i="2"/>
  <c r="E4953" i="2"/>
  <c r="D4953" i="2"/>
  <c r="B4953" i="2"/>
  <c r="A4953" i="2"/>
  <c r="O4952" i="2"/>
  <c r="M4952" i="2"/>
  <c r="L4952" i="2"/>
  <c r="E4952" i="2"/>
  <c r="D4952" i="2"/>
  <c r="B4952" i="2"/>
  <c r="A4952" i="2"/>
  <c r="O4951" i="2"/>
  <c r="M4951" i="2"/>
  <c r="L4951" i="2"/>
  <c r="E4951" i="2"/>
  <c r="D4951" i="2"/>
  <c r="B4951" i="2"/>
  <c r="A4951" i="2"/>
  <c r="O4950" i="2"/>
  <c r="O4949" i="2"/>
  <c r="M4949" i="2"/>
  <c r="L4949" i="2"/>
  <c r="E4949" i="2"/>
  <c r="D4949" i="2"/>
  <c r="B4949" i="2"/>
  <c r="A4949" i="2"/>
  <c r="O4948" i="2"/>
  <c r="O4947" i="2"/>
  <c r="O4946" i="2"/>
  <c r="M4946" i="2"/>
  <c r="L4946" i="2"/>
  <c r="E4946" i="2"/>
  <c r="D4946" i="2"/>
  <c r="B4946" i="2"/>
  <c r="A4946" i="2"/>
  <c r="O4945" i="2"/>
  <c r="M4945" i="2"/>
  <c r="L4945" i="2"/>
  <c r="E4945" i="2"/>
  <c r="D4945" i="2"/>
  <c r="B4945" i="2"/>
  <c r="A4945" i="2"/>
  <c r="O4944" i="2"/>
  <c r="M4944" i="2"/>
  <c r="L4944" i="2"/>
  <c r="E4944" i="2"/>
  <c r="D4944" i="2"/>
  <c r="B4944" i="2"/>
  <c r="A4944" i="2"/>
  <c r="O4943" i="2"/>
  <c r="M4943" i="2"/>
  <c r="L4943" i="2"/>
  <c r="E4943" i="2"/>
  <c r="D4943" i="2"/>
  <c r="B4943" i="2"/>
  <c r="A4943" i="2"/>
  <c r="O4942" i="2"/>
  <c r="M4942" i="2"/>
  <c r="L4942" i="2"/>
  <c r="E4942" i="2"/>
  <c r="D4942" i="2"/>
  <c r="B4942" i="2"/>
  <c r="A4942" i="2"/>
  <c r="O4941" i="2"/>
  <c r="M4941" i="2"/>
  <c r="L4941" i="2"/>
  <c r="E4941" i="2"/>
  <c r="D4941" i="2"/>
  <c r="B4941" i="2"/>
  <c r="A4941" i="2"/>
  <c r="O4940" i="2"/>
  <c r="O4939" i="2"/>
  <c r="O4938" i="2"/>
  <c r="M4938" i="2"/>
  <c r="L4938" i="2"/>
  <c r="E4938" i="2"/>
  <c r="D4938" i="2"/>
  <c r="B4938" i="2"/>
  <c r="A4938" i="2"/>
  <c r="O4937" i="2"/>
  <c r="M4937" i="2"/>
  <c r="L4937" i="2"/>
  <c r="E4937" i="2"/>
  <c r="D4937" i="2"/>
  <c r="B4937" i="2"/>
  <c r="A4937" i="2"/>
  <c r="O4936" i="2"/>
  <c r="M4936" i="2"/>
  <c r="L4936" i="2"/>
  <c r="E4936" i="2"/>
  <c r="D4936" i="2"/>
  <c r="B4936" i="2"/>
  <c r="A4936" i="2"/>
  <c r="O4935" i="2"/>
  <c r="M4935" i="2"/>
  <c r="L4935" i="2"/>
  <c r="E4935" i="2"/>
  <c r="D4935" i="2"/>
  <c r="B4935" i="2"/>
  <c r="A4935" i="2"/>
  <c r="O4934" i="2"/>
  <c r="M4934" i="2"/>
  <c r="L4934" i="2"/>
  <c r="E4934" i="2"/>
  <c r="D4934" i="2"/>
  <c r="B4934" i="2"/>
  <c r="A4934" i="2"/>
  <c r="O4933" i="2"/>
  <c r="M4933" i="2"/>
  <c r="L4933" i="2"/>
  <c r="E4933" i="2"/>
  <c r="D4933" i="2"/>
  <c r="B4933" i="2"/>
  <c r="A4933" i="2"/>
  <c r="O4932" i="2"/>
  <c r="M4932" i="2"/>
  <c r="L4932" i="2"/>
  <c r="E4932" i="2"/>
  <c r="D4932" i="2"/>
  <c r="B4932" i="2"/>
  <c r="A4932" i="2"/>
  <c r="O4931" i="2"/>
  <c r="O4930" i="2"/>
  <c r="M4930" i="2"/>
  <c r="L4930" i="2"/>
  <c r="E4930" i="2"/>
  <c r="D4930" i="2"/>
  <c r="B4930" i="2"/>
  <c r="A4930" i="2"/>
  <c r="O4929" i="2"/>
  <c r="M4929" i="2"/>
  <c r="L4929" i="2"/>
  <c r="E4929" i="2"/>
  <c r="D4929" i="2"/>
  <c r="B4929" i="2"/>
  <c r="A4929" i="2"/>
  <c r="O4928" i="2"/>
  <c r="O4927" i="2"/>
  <c r="M4927" i="2"/>
  <c r="L4927" i="2"/>
  <c r="E4927" i="2"/>
  <c r="D4927" i="2"/>
  <c r="B4927" i="2"/>
  <c r="A4927" i="2"/>
  <c r="O4926" i="2"/>
  <c r="M4926" i="2"/>
  <c r="L4926" i="2"/>
  <c r="E4926" i="2"/>
  <c r="D4926" i="2"/>
  <c r="B4926" i="2"/>
  <c r="A4926" i="2"/>
  <c r="O4925" i="2"/>
  <c r="M4925" i="2"/>
  <c r="L4925" i="2"/>
  <c r="E4925" i="2"/>
  <c r="D4925" i="2"/>
  <c r="B4925" i="2"/>
  <c r="A4925" i="2"/>
  <c r="O4924" i="2"/>
  <c r="M4924" i="2"/>
  <c r="L4924" i="2"/>
  <c r="E4924" i="2"/>
  <c r="D4924" i="2"/>
  <c r="B4924" i="2"/>
  <c r="A4924" i="2"/>
  <c r="O4923" i="2"/>
  <c r="O4922" i="2"/>
  <c r="O4921" i="2"/>
  <c r="O4920" i="2"/>
  <c r="M4920" i="2"/>
  <c r="L4920" i="2"/>
  <c r="E4920" i="2"/>
  <c r="D4920" i="2"/>
  <c r="B4920" i="2"/>
  <c r="A4920" i="2"/>
  <c r="O4919" i="2"/>
  <c r="M4919" i="2"/>
  <c r="L4919" i="2"/>
  <c r="E4919" i="2"/>
  <c r="D4919" i="2"/>
  <c r="B4919" i="2"/>
  <c r="A4919" i="2"/>
  <c r="O4918" i="2"/>
  <c r="O4917" i="2"/>
  <c r="M4917" i="2"/>
  <c r="L4917" i="2"/>
  <c r="E4917" i="2"/>
  <c r="D4917" i="2"/>
  <c r="B4917" i="2"/>
  <c r="A4917" i="2"/>
  <c r="O4916" i="2"/>
  <c r="M4916" i="2"/>
  <c r="L4916" i="2"/>
  <c r="E4916" i="2"/>
  <c r="D4916" i="2"/>
  <c r="B4916" i="2"/>
  <c r="A4916" i="2"/>
  <c r="O4915" i="2"/>
  <c r="M4915" i="2"/>
  <c r="L4915" i="2"/>
  <c r="E4915" i="2"/>
  <c r="D4915" i="2"/>
  <c r="B4915" i="2"/>
  <c r="A4915" i="2"/>
  <c r="O4914" i="2"/>
  <c r="M4914" i="2"/>
  <c r="L4914" i="2"/>
  <c r="E4914" i="2"/>
  <c r="D4914" i="2"/>
  <c r="B4914" i="2"/>
  <c r="A4914" i="2"/>
  <c r="O4913" i="2"/>
  <c r="O4912" i="2"/>
  <c r="O4911" i="2"/>
  <c r="M4911" i="2"/>
  <c r="L4911" i="2"/>
  <c r="E4911" i="2"/>
  <c r="D4911" i="2"/>
  <c r="B4911" i="2"/>
  <c r="A4911" i="2"/>
  <c r="O4910" i="2"/>
  <c r="M4910" i="2"/>
  <c r="L4910" i="2"/>
  <c r="E4910" i="2"/>
  <c r="D4910" i="2"/>
  <c r="B4910" i="2"/>
  <c r="A4910" i="2"/>
  <c r="O4909" i="2"/>
  <c r="M4909" i="2"/>
  <c r="L4909" i="2"/>
  <c r="E4909" i="2"/>
  <c r="D4909" i="2"/>
  <c r="B4909" i="2"/>
  <c r="A4909" i="2"/>
  <c r="O4908" i="2"/>
  <c r="M4908" i="2"/>
  <c r="L4908" i="2"/>
  <c r="E4908" i="2"/>
  <c r="D4908" i="2"/>
  <c r="B4908" i="2"/>
  <c r="A4908" i="2"/>
  <c r="O4907" i="2"/>
  <c r="M4907" i="2"/>
  <c r="L4907" i="2"/>
  <c r="E4907" i="2"/>
  <c r="D4907" i="2"/>
  <c r="B4907" i="2"/>
  <c r="A4907" i="2"/>
  <c r="O4906" i="2"/>
  <c r="M4906" i="2"/>
  <c r="L4906" i="2"/>
  <c r="E4906" i="2"/>
  <c r="D4906" i="2"/>
  <c r="B4906" i="2"/>
  <c r="A4906" i="2"/>
  <c r="O4905" i="2"/>
  <c r="M4905" i="2"/>
  <c r="L4905" i="2"/>
  <c r="E4905" i="2"/>
  <c r="D4905" i="2"/>
  <c r="B4905" i="2"/>
  <c r="A4905" i="2"/>
  <c r="O4904" i="2"/>
  <c r="M4904" i="2"/>
  <c r="L4904" i="2"/>
  <c r="E4904" i="2"/>
  <c r="D4904" i="2"/>
  <c r="B4904" i="2"/>
  <c r="A4904" i="2"/>
  <c r="O4903" i="2"/>
  <c r="M4903" i="2"/>
  <c r="L4903" i="2"/>
  <c r="E4903" i="2"/>
  <c r="D4903" i="2"/>
  <c r="B4903" i="2"/>
  <c r="A4903" i="2"/>
  <c r="O4902" i="2"/>
  <c r="O4901" i="2"/>
  <c r="M4901" i="2"/>
  <c r="L4901" i="2"/>
  <c r="E4901" i="2"/>
  <c r="D4901" i="2"/>
  <c r="B4901" i="2"/>
  <c r="A4901" i="2"/>
  <c r="O4900" i="2"/>
  <c r="M4900" i="2"/>
  <c r="L4900" i="2"/>
  <c r="E4900" i="2"/>
  <c r="D4900" i="2"/>
  <c r="B4900" i="2"/>
  <c r="A4900" i="2"/>
  <c r="O4899" i="2"/>
  <c r="M4899" i="2"/>
  <c r="L4899" i="2"/>
  <c r="E4899" i="2"/>
  <c r="D4899" i="2"/>
  <c r="B4899" i="2"/>
  <c r="A4899" i="2"/>
  <c r="O4898" i="2"/>
  <c r="M4898" i="2"/>
  <c r="L4898" i="2"/>
  <c r="E4898" i="2"/>
  <c r="D4898" i="2"/>
  <c r="B4898" i="2"/>
  <c r="A4898" i="2"/>
  <c r="O4897" i="2"/>
  <c r="M4897" i="2"/>
  <c r="L4897" i="2"/>
  <c r="E4897" i="2"/>
  <c r="D4897" i="2"/>
  <c r="B4897" i="2"/>
  <c r="A4897" i="2"/>
  <c r="O4896" i="2"/>
  <c r="O4895" i="2"/>
  <c r="O4894" i="2"/>
  <c r="O4893" i="2"/>
  <c r="O4892" i="2"/>
  <c r="M4892" i="2"/>
  <c r="L4892" i="2"/>
  <c r="E4892" i="2"/>
  <c r="D4892" i="2"/>
  <c r="B4892" i="2"/>
  <c r="A4892" i="2"/>
  <c r="O4891" i="2"/>
  <c r="O4890" i="2"/>
  <c r="O4889" i="2"/>
  <c r="O4888" i="2"/>
  <c r="O4887" i="2"/>
  <c r="M4887" i="2"/>
  <c r="L4887" i="2"/>
  <c r="E4887" i="2"/>
  <c r="D4887" i="2"/>
  <c r="B4887" i="2"/>
  <c r="A4887" i="2"/>
  <c r="O4886" i="2"/>
  <c r="O4885" i="2"/>
  <c r="M4885" i="2"/>
  <c r="L4885" i="2"/>
  <c r="E4885" i="2"/>
  <c r="D4885" i="2"/>
  <c r="B4885" i="2"/>
  <c r="A4885" i="2"/>
  <c r="O4884" i="2"/>
  <c r="M4884" i="2"/>
  <c r="L4884" i="2"/>
  <c r="E4884" i="2"/>
  <c r="D4884" i="2"/>
  <c r="B4884" i="2"/>
  <c r="A4884" i="2"/>
  <c r="O4883" i="2"/>
  <c r="O4882" i="2"/>
  <c r="M4882" i="2"/>
  <c r="L4882" i="2"/>
  <c r="E4882" i="2"/>
  <c r="D4882" i="2"/>
  <c r="B4882" i="2"/>
  <c r="A4882" i="2"/>
  <c r="O4881" i="2"/>
  <c r="M4881" i="2"/>
  <c r="L4881" i="2"/>
  <c r="E4881" i="2"/>
  <c r="D4881" i="2"/>
  <c r="B4881" i="2"/>
  <c r="A4881" i="2"/>
  <c r="O4880" i="2"/>
  <c r="O4879" i="2"/>
  <c r="M4879" i="2"/>
  <c r="L4879" i="2"/>
  <c r="E4879" i="2"/>
  <c r="D4879" i="2"/>
  <c r="B4879" i="2"/>
  <c r="A4879" i="2"/>
  <c r="O4878" i="2"/>
  <c r="M4878" i="2"/>
  <c r="L4878" i="2"/>
  <c r="E4878" i="2"/>
  <c r="D4878" i="2"/>
  <c r="B4878" i="2"/>
  <c r="A4878" i="2"/>
  <c r="O4877" i="2"/>
  <c r="M4877" i="2"/>
  <c r="L4877" i="2"/>
  <c r="E4877" i="2"/>
  <c r="D4877" i="2"/>
  <c r="B4877" i="2"/>
  <c r="A4877" i="2"/>
  <c r="O4876" i="2"/>
  <c r="M4876" i="2"/>
  <c r="L4876" i="2"/>
  <c r="E4876" i="2"/>
  <c r="D4876" i="2"/>
  <c r="B4876" i="2"/>
  <c r="A4876" i="2"/>
  <c r="O4875" i="2"/>
  <c r="M4875" i="2"/>
  <c r="L4875" i="2"/>
  <c r="E4875" i="2"/>
  <c r="D4875" i="2"/>
  <c r="B4875" i="2"/>
  <c r="A4875" i="2"/>
  <c r="O4874" i="2"/>
  <c r="O4873" i="2"/>
  <c r="M4873" i="2"/>
  <c r="L4873" i="2"/>
  <c r="E4873" i="2"/>
  <c r="D4873" i="2"/>
  <c r="B4873" i="2"/>
  <c r="A4873" i="2"/>
  <c r="O4872" i="2"/>
  <c r="O4871" i="2"/>
  <c r="M4871" i="2"/>
  <c r="L4871" i="2"/>
  <c r="E4871" i="2"/>
  <c r="D4871" i="2"/>
  <c r="B4871" i="2"/>
  <c r="A4871" i="2"/>
  <c r="O4870" i="2"/>
  <c r="M4870" i="2"/>
  <c r="L4870" i="2"/>
  <c r="E4870" i="2"/>
  <c r="D4870" i="2"/>
  <c r="B4870" i="2"/>
  <c r="A4870" i="2"/>
  <c r="O4869" i="2"/>
  <c r="O4868" i="2"/>
  <c r="M4868" i="2"/>
  <c r="L4868" i="2"/>
  <c r="E4868" i="2"/>
  <c r="D4868" i="2"/>
  <c r="B4868" i="2"/>
  <c r="A4868" i="2"/>
  <c r="O4867" i="2"/>
  <c r="M4867" i="2"/>
  <c r="L4867" i="2"/>
  <c r="E4867" i="2"/>
  <c r="D4867" i="2"/>
  <c r="B4867" i="2"/>
  <c r="A4867" i="2"/>
  <c r="O4866" i="2"/>
  <c r="M4866" i="2"/>
  <c r="L4866" i="2"/>
  <c r="E4866" i="2"/>
  <c r="D4866" i="2"/>
  <c r="B4866" i="2"/>
  <c r="A4866" i="2"/>
  <c r="O4865" i="2"/>
  <c r="M4865" i="2"/>
  <c r="L4865" i="2"/>
  <c r="E4865" i="2"/>
  <c r="D4865" i="2"/>
  <c r="B4865" i="2"/>
  <c r="A4865" i="2"/>
  <c r="O4864" i="2"/>
  <c r="M4864" i="2"/>
  <c r="L4864" i="2"/>
  <c r="E4864" i="2"/>
  <c r="D4864" i="2"/>
  <c r="B4864" i="2"/>
  <c r="A4864" i="2"/>
  <c r="O4863" i="2"/>
  <c r="O4862" i="2"/>
  <c r="O4861" i="2"/>
  <c r="M4861" i="2"/>
  <c r="L4861" i="2"/>
  <c r="E4861" i="2"/>
  <c r="D4861" i="2"/>
  <c r="B4861" i="2"/>
  <c r="A4861" i="2"/>
  <c r="O4860" i="2"/>
  <c r="M4860" i="2"/>
  <c r="L4860" i="2"/>
  <c r="E4860" i="2"/>
  <c r="D4860" i="2"/>
  <c r="B4860" i="2"/>
  <c r="A4860" i="2"/>
  <c r="O4859" i="2"/>
  <c r="M4859" i="2"/>
  <c r="L4859" i="2"/>
  <c r="E4859" i="2"/>
  <c r="D4859" i="2"/>
  <c r="B4859" i="2"/>
  <c r="A4859" i="2"/>
  <c r="O4858" i="2"/>
  <c r="M4858" i="2"/>
  <c r="L4858" i="2"/>
  <c r="E4858" i="2"/>
  <c r="D4858" i="2"/>
  <c r="B4858" i="2"/>
  <c r="A4858" i="2"/>
  <c r="O4857" i="2"/>
  <c r="M4857" i="2"/>
  <c r="L4857" i="2"/>
  <c r="E4857" i="2"/>
  <c r="D4857" i="2"/>
  <c r="B4857" i="2"/>
  <c r="A4857" i="2"/>
  <c r="M4856" i="2"/>
  <c r="L4856" i="2"/>
  <c r="E4856" i="2"/>
  <c r="D4856" i="2"/>
  <c r="B4856" i="2"/>
  <c r="A4856" i="2"/>
  <c r="M4855" i="2"/>
  <c r="L4855" i="2"/>
  <c r="E4855" i="2"/>
  <c r="D4855" i="2"/>
  <c r="B4855" i="2"/>
  <c r="A4855" i="2"/>
  <c r="O4854" i="2"/>
  <c r="M4854" i="2"/>
  <c r="L4854" i="2"/>
  <c r="E4854" i="2"/>
  <c r="D4854" i="2"/>
  <c r="B4854" i="2"/>
  <c r="A4854" i="2"/>
  <c r="O4853" i="2"/>
  <c r="O4852" i="2"/>
  <c r="M4852" i="2"/>
  <c r="L4852" i="2"/>
  <c r="E4852" i="2"/>
  <c r="D4852" i="2"/>
  <c r="B4852" i="2"/>
  <c r="A4852" i="2"/>
  <c r="O4851" i="2"/>
  <c r="M4851" i="2"/>
  <c r="L4851" i="2"/>
  <c r="E4851" i="2"/>
  <c r="D4851" i="2"/>
  <c r="B4851" i="2"/>
  <c r="A4851" i="2"/>
  <c r="O4850" i="2"/>
  <c r="M4850" i="2"/>
  <c r="L4850" i="2"/>
  <c r="E4850" i="2"/>
  <c r="D4850" i="2"/>
  <c r="B4850" i="2"/>
  <c r="A4850" i="2"/>
  <c r="O4849" i="2"/>
  <c r="M4849" i="2"/>
  <c r="L4849" i="2"/>
  <c r="E4849" i="2"/>
  <c r="D4849" i="2"/>
  <c r="B4849" i="2"/>
  <c r="A4849" i="2"/>
  <c r="O4848" i="2"/>
  <c r="M4848" i="2"/>
  <c r="L4848" i="2"/>
  <c r="E4848" i="2"/>
  <c r="D4848" i="2"/>
  <c r="B4848" i="2"/>
  <c r="A4848" i="2"/>
  <c r="O4847" i="2"/>
  <c r="M4847" i="2"/>
  <c r="L4847" i="2"/>
  <c r="E4847" i="2"/>
  <c r="D4847" i="2"/>
  <c r="B4847" i="2"/>
  <c r="A4847" i="2"/>
  <c r="O4846" i="2"/>
  <c r="O4845" i="2"/>
  <c r="M4845" i="2"/>
  <c r="L4845" i="2"/>
  <c r="E4845" i="2"/>
  <c r="D4845" i="2"/>
  <c r="B4845" i="2"/>
  <c r="A4845" i="2"/>
  <c r="O4844" i="2"/>
  <c r="O4843" i="2"/>
  <c r="M4843" i="2"/>
  <c r="L4843" i="2"/>
  <c r="E4843" i="2"/>
  <c r="D4843" i="2"/>
  <c r="B4843" i="2"/>
  <c r="A4843" i="2"/>
  <c r="O4842" i="2"/>
  <c r="M4842" i="2"/>
  <c r="L4842" i="2"/>
  <c r="E4842" i="2"/>
  <c r="D4842" i="2"/>
  <c r="B4842" i="2"/>
  <c r="A4842" i="2"/>
  <c r="O4841" i="2"/>
  <c r="M4841" i="2"/>
  <c r="L4841" i="2"/>
  <c r="E4841" i="2"/>
  <c r="D4841" i="2"/>
  <c r="B4841" i="2"/>
  <c r="A4841" i="2"/>
  <c r="O4840" i="2"/>
  <c r="M4840" i="2"/>
  <c r="L4840" i="2"/>
  <c r="E4840" i="2"/>
  <c r="D4840" i="2"/>
  <c r="B4840" i="2"/>
  <c r="A4840" i="2"/>
  <c r="O4839" i="2"/>
  <c r="M4839" i="2"/>
  <c r="L4839" i="2"/>
  <c r="E4839" i="2"/>
  <c r="D4839" i="2"/>
  <c r="B4839" i="2"/>
  <c r="A4839" i="2"/>
  <c r="O4838" i="2"/>
  <c r="O4837" i="2"/>
  <c r="M4837" i="2"/>
  <c r="L4837" i="2"/>
  <c r="E4837" i="2"/>
  <c r="D4837" i="2"/>
  <c r="B4837" i="2"/>
  <c r="A4837" i="2"/>
  <c r="O4836" i="2"/>
  <c r="M4836" i="2"/>
  <c r="L4836" i="2"/>
  <c r="E4836" i="2"/>
  <c r="D4836" i="2"/>
  <c r="B4836" i="2"/>
  <c r="A4836" i="2"/>
  <c r="O4835" i="2"/>
  <c r="M4835" i="2"/>
  <c r="L4835" i="2"/>
  <c r="E4835" i="2"/>
  <c r="D4835" i="2"/>
  <c r="B4835" i="2"/>
  <c r="A4835" i="2"/>
  <c r="M4834" i="2"/>
  <c r="L4834" i="2"/>
  <c r="E4834" i="2"/>
  <c r="D4834" i="2"/>
  <c r="B4834" i="2"/>
  <c r="A4834" i="2"/>
  <c r="O4833" i="2"/>
  <c r="M4833" i="2"/>
  <c r="L4833" i="2"/>
  <c r="E4833" i="2"/>
  <c r="D4833" i="2"/>
  <c r="B4833" i="2"/>
  <c r="A4833" i="2"/>
  <c r="O4832" i="2"/>
  <c r="M4832" i="2"/>
  <c r="L4832" i="2"/>
  <c r="E4832" i="2"/>
  <c r="D4832" i="2"/>
  <c r="B4832" i="2"/>
  <c r="A4832" i="2"/>
  <c r="O4831" i="2"/>
  <c r="O4830" i="2"/>
  <c r="M4830" i="2"/>
  <c r="L4830" i="2"/>
  <c r="E4830" i="2"/>
  <c r="D4830" i="2"/>
  <c r="B4830" i="2"/>
  <c r="A4830" i="2"/>
  <c r="O4829" i="2"/>
  <c r="M4829" i="2"/>
  <c r="L4829" i="2"/>
  <c r="E4829" i="2"/>
  <c r="D4829" i="2"/>
  <c r="B4829" i="2"/>
  <c r="A4829" i="2"/>
  <c r="O4828" i="2"/>
  <c r="M4828" i="2"/>
  <c r="L4828" i="2"/>
  <c r="E4828" i="2"/>
  <c r="D4828" i="2"/>
  <c r="B4828" i="2"/>
  <c r="A4828" i="2"/>
  <c r="O4827" i="2"/>
  <c r="M4827" i="2"/>
  <c r="L4827" i="2"/>
  <c r="E4827" i="2"/>
  <c r="D4827" i="2"/>
  <c r="B4827" i="2"/>
  <c r="A4827" i="2"/>
  <c r="O4826" i="2"/>
  <c r="O4825" i="2"/>
  <c r="M4825" i="2"/>
  <c r="L4825" i="2"/>
  <c r="E4825" i="2"/>
  <c r="D4825" i="2"/>
  <c r="B4825" i="2"/>
  <c r="A4825" i="2"/>
  <c r="O4824" i="2"/>
  <c r="M4824" i="2"/>
  <c r="L4824" i="2"/>
  <c r="E4824" i="2"/>
  <c r="D4824" i="2"/>
  <c r="B4824" i="2"/>
  <c r="A4824" i="2"/>
  <c r="O4823" i="2"/>
  <c r="M4823" i="2"/>
  <c r="L4823" i="2"/>
  <c r="E4823" i="2"/>
  <c r="D4823" i="2"/>
  <c r="B4823" i="2"/>
  <c r="A4823" i="2"/>
  <c r="O4822" i="2"/>
  <c r="O4821" i="2"/>
  <c r="O4820" i="2"/>
  <c r="M4820" i="2"/>
  <c r="L4820" i="2"/>
  <c r="E4820" i="2"/>
  <c r="D4820" i="2"/>
  <c r="B4820" i="2"/>
  <c r="A4820" i="2"/>
  <c r="O4819" i="2"/>
  <c r="O4818" i="2"/>
  <c r="O4817" i="2"/>
  <c r="O4816" i="2"/>
  <c r="M4816" i="2"/>
  <c r="L4816" i="2"/>
  <c r="E4816" i="2"/>
  <c r="D4816" i="2"/>
  <c r="B4816" i="2"/>
  <c r="A4816" i="2"/>
  <c r="O4815" i="2"/>
  <c r="M4815" i="2"/>
  <c r="L4815" i="2"/>
  <c r="E4815" i="2"/>
  <c r="D4815" i="2"/>
  <c r="B4815" i="2"/>
  <c r="A4815" i="2"/>
  <c r="O4814" i="2"/>
  <c r="M4814" i="2"/>
  <c r="L4814" i="2"/>
  <c r="E4814" i="2"/>
  <c r="D4814" i="2"/>
  <c r="B4814" i="2"/>
  <c r="A4814" i="2"/>
  <c r="O4813" i="2"/>
  <c r="M4813" i="2"/>
  <c r="L4813" i="2"/>
  <c r="E4813" i="2"/>
  <c r="D4813" i="2"/>
  <c r="B4813" i="2"/>
  <c r="A4813" i="2"/>
  <c r="O4812" i="2"/>
  <c r="M4812" i="2"/>
  <c r="L4812" i="2"/>
  <c r="E4812" i="2"/>
  <c r="D4812" i="2"/>
  <c r="B4812" i="2"/>
  <c r="A4812" i="2"/>
  <c r="O4811" i="2"/>
  <c r="M4811" i="2"/>
  <c r="L4811" i="2"/>
  <c r="E4811" i="2"/>
  <c r="D4811" i="2"/>
  <c r="B4811" i="2"/>
  <c r="A4811" i="2"/>
  <c r="O4810" i="2"/>
  <c r="M4810" i="2"/>
  <c r="L4810" i="2"/>
  <c r="E4810" i="2"/>
  <c r="D4810" i="2"/>
  <c r="B4810" i="2"/>
  <c r="A4810" i="2"/>
  <c r="O4809" i="2"/>
  <c r="O4808" i="2"/>
  <c r="M4808" i="2"/>
  <c r="L4808" i="2"/>
  <c r="E4808" i="2"/>
  <c r="D4808" i="2"/>
  <c r="B4808" i="2"/>
  <c r="A4808" i="2"/>
  <c r="O4807" i="2"/>
  <c r="M4807" i="2"/>
  <c r="L4807" i="2"/>
  <c r="E4807" i="2"/>
  <c r="D4807" i="2"/>
  <c r="B4807" i="2"/>
  <c r="A4807" i="2"/>
  <c r="O4806" i="2"/>
  <c r="M4806" i="2"/>
  <c r="L4806" i="2"/>
  <c r="E4806" i="2"/>
  <c r="D4806" i="2"/>
  <c r="B4806" i="2"/>
  <c r="A4806" i="2"/>
  <c r="O4805" i="2"/>
  <c r="M4805" i="2"/>
  <c r="L4805" i="2"/>
  <c r="E4805" i="2"/>
  <c r="D4805" i="2"/>
  <c r="B4805" i="2"/>
  <c r="A4805" i="2"/>
  <c r="O4804" i="2"/>
  <c r="M4804" i="2"/>
  <c r="L4804" i="2"/>
  <c r="E4804" i="2"/>
  <c r="D4804" i="2"/>
  <c r="B4804" i="2"/>
  <c r="A4804" i="2"/>
  <c r="O4803" i="2"/>
  <c r="M4803" i="2"/>
  <c r="L4803" i="2"/>
  <c r="E4803" i="2"/>
  <c r="D4803" i="2"/>
  <c r="B4803" i="2"/>
  <c r="A4803" i="2"/>
  <c r="O4802" i="2"/>
  <c r="M4802" i="2"/>
  <c r="L4802" i="2"/>
  <c r="E4802" i="2"/>
  <c r="D4802" i="2"/>
  <c r="B4802" i="2"/>
  <c r="A4802" i="2"/>
  <c r="O4801" i="2"/>
  <c r="M4801" i="2"/>
  <c r="L4801" i="2"/>
  <c r="E4801" i="2"/>
  <c r="D4801" i="2"/>
  <c r="B4801" i="2"/>
  <c r="A4801" i="2"/>
  <c r="O4800" i="2"/>
  <c r="M4800" i="2"/>
  <c r="L4800" i="2"/>
  <c r="E4800" i="2"/>
  <c r="D4800" i="2"/>
  <c r="B4800" i="2"/>
  <c r="A4800" i="2"/>
  <c r="O4799" i="2"/>
  <c r="M4799" i="2"/>
  <c r="L4799" i="2"/>
  <c r="E4799" i="2"/>
  <c r="D4799" i="2"/>
  <c r="B4799" i="2"/>
  <c r="A4799" i="2"/>
  <c r="O4798" i="2"/>
  <c r="M4798" i="2"/>
  <c r="L4798" i="2"/>
  <c r="E4798" i="2"/>
  <c r="D4798" i="2"/>
  <c r="B4798" i="2"/>
  <c r="A4798" i="2"/>
  <c r="O4797" i="2"/>
  <c r="M4797" i="2"/>
  <c r="L4797" i="2"/>
  <c r="E4797" i="2"/>
  <c r="D4797" i="2"/>
  <c r="B4797" i="2"/>
  <c r="A4797" i="2"/>
  <c r="O4796" i="2"/>
  <c r="M4796" i="2"/>
  <c r="L4796" i="2"/>
  <c r="E4796" i="2"/>
  <c r="D4796" i="2"/>
  <c r="B4796" i="2"/>
  <c r="A4796" i="2"/>
  <c r="O4795" i="2"/>
  <c r="O4794" i="2"/>
  <c r="O4793" i="2"/>
  <c r="O4792" i="2"/>
  <c r="M4792" i="2"/>
  <c r="L4792" i="2"/>
  <c r="E4792" i="2"/>
  <c r="D4792" i="2"/>
  <c r="B4792" i="2"/>
  <c r="A4792" i="2"/>
  <c r="O4791" i="2"/>
  <c r="M4791" i="2"/>
  <c r="L4791" i="2"/>
  <c r="E4791" i="2"/>
  <c r="D4791" i="2"/>
  <c r="B4791" i="2"/>
  <c r="A4791" i="2"/>
  <c r="O4790" i="2"/>
  <c r="M4790" i="2"/>
  <c r="L4790" i="2"/>
  <c r="E4790" i="2"/>
  <c r="D4790" i="2"/>
  <c r="B4790" i="2"/>
  <c r="A4790" i="2"/>
  <c r="O4789" i="2"/>
  <c r="O4788" i="2"/>
  <c r="M4788" i="2"/>
  <c r="L4788" i="2"/>
  <c r="E4788" i="2"/>
  <c r="D4788" i="2"/>
  <c r="B4788" i="2"/>
  <c r="A4788" i="2"/>
  <c r="O4787" i="2"/>
  <c r="M4787" i="2"/>
  <c r="L4787" i="2"/>
  <c r="E4787" i="2"/>
  <c r="D4787" i="2"/>
  <c r="B4787" i="2"/>
  <c r="A4787" i="2"/>
  <c r="O4786" i="2"/>
  <c r="M4786" i="2"/>
  <c r="L4786" i="2"/>
  <c r="E4786" i="2"/>
  <c r="D4786" i="2"/>
  <c r="B4786" i="2"/>
  <c r="A4786" i="2"/>
  <c r="O4785" i="2"/>
  <c r="M4785" i="2"/>
  <c r="L4785" i="2"/>
  <c r="E4785" i="2"/>
  <c r="D4785" i="2"/>
  <c r="B4785" i="2"/>
  <c r="A4785" i="2"/>
  <c r="O4784" i="2"/>
  <c r="O4783" i="2"/>
  <c r="M4783" i="2"/>
  <c r="L4783" i="2"/>
  <c r="E4783" i="2"/>
  <c r="D4783" i="2"/>
  <c r="B4783" i="2"/>
  <c r="A4783" i="2"/>
  <c r="O4782" i="2"/>
  <c r="M4782" i="2"/>
  <c r="L4782" i="2"/>
  <c r="E4782" i="2"/>
  <c r="D4782" i="2"/>
  <c r="B4782" i="2"/>
  <c r="A4782" i="2"/>
  <c r="O4781" i="2"/>
  <c r="M4781" i="2"/>
  <c r="L4781" i="2"/>
  <c r="E4781" i="2"/>
  <c r="D4781" i="2"/>
  <c r="B4781" i="2"/>
  <c r="A4781" i="2"/>
  <c r="O4780" i="2"/>
  <c r="M4780" i="2"/>
  <c r="L4780" i="2"/>
  <c r="E4780" i="2"/>
  <c r="D4780" i="2"/>
  <c r="B4780" i="2"/>
  <c r="A4780" i="2"/>
  <c r="O4779" i="2"/>
  <c r="M4779" i="2"/>
  <c r="L4779" i="2"/>
  <c r="E4779" i="2"/>
  <c r="D4779" i="2"/>
  <c r="B4779" i="2"/>
  <c r="A4779" i="2"/>
  <c r="O4778" i="2"/>
  <c r="M4778" i="2"/>
  <c r="L4778" i="2"/>
  <c r="E4778" i="2"/>
  <c r="D4778" i="2"/>
  <c r="B4778" i="2"/>
  <c r="A4778" i="2"/>
  <c r="O4777" i="2"/>
  <c r="M4777" i="2"/>
  <c r="L4777" i="2"/>
  <c r="E4777" i="2"/>
  <c r="D4777" i="2"/>
  <c r="B4777" i="2"/>
  <c r="A4777" i="2"/>
  <c r="O4776" i="2"/>
  <c r="M4776" i="2"/>
  <c r="L4776" i="2"/>
  <c r="E4776" i="2"/>
  <c r="D4776" i="2"/>
  <c r="B4776" i="2"/>
  <c r="A4776" i="2"/>
  <c r="O4775" i="2"/>
  <c r="O4774" i="2"/>
  <c r="O4773" i="2"/>
  <c r="M4773" i="2"/>
  <c r="L4773" i="2"/>
  <c r="E4773" i="2"/>
  <c r="D4773" i="2"/>
  <c r="B4773" i="2"/>
  <c r="A4773" i="2"/>
  <c r="O4772" i="2"/>
  <c r="O4771" i="2"/>
  <c r="O4770" i="2"/>
  <c r="M4770" i="2"/>
  <c r="L4770" i="2"/>
  <c r="E4770" i="2"/>
  <c r="D4770" i="2"/>
  <c r="B4770" i="2"/>
  <c r="A4770" i="2"/>
  <c r="O4769" i="2"/>
  <c r="M4769" i="2"/>
  <c r="L4769" i="2"/>
  <c r="E4769" i="2"/>
  <c r="D4769" i="2"/>
  <c r="B4769" i="2"/>
  <c r="A4769" i="2"/>
  <c r="O4768" i="2"/>
  <c r="M4768" i="2"/>
  <c r="L4768" i="2"/>
  <c r="E4768" i="2"/>
  <c r="D4768" i="2"/>
  <c r="B4768" i="2"/>
  <c r="A4768" i="2"/>
  <c r="O4767" i="2"/>
  <c r="M4767" i="2"/>
  <c r="L4767" i="2"/>
  <c r="E4767" i="2"/>
  <c r="D4767" i="2"/>
  <c r="B4767" i="2"/>
  <c r="A4767" i="2"/>
  <c r="O4766" i="2"/>
  <c r="M4766" i="2"/>
  <c r="L4766" i="2"/>
  <c r="E4766" i="2"/>
  <c r="D4766" i="2"/>
  <c r="B4766" i="2"/>
  <c r="A4766" i="2"/>
  <c r="O4765" i="2"/>
  <c r="M4765" i="2"/>
  <c r="L4765" i="2"/>
  <c r="E4765" i="2"/>
  <c r="D4765" i="2"/>
  <c r="B4765" i="2"/>
  <c r="A4765" i="2"/>
  <c r="O4764" i="2"/>
  <c r="M4764" i="2"/>
  <c r="L4764" i="2"/>
  <c r="E4764" i="2"/>
  <c r="D4764" i="2"/>
  <c r="B4764" i="2"/>
  <c r="A4764" i="2"/>
  <c r="O4763" i="2"/>
  <c r="M4763" i="2"/>
  <c r="L4763" i="2"/>
  <c r="E4763" i="2"/>
  <c r="D4763" i="2"/>
  <c r="B4763" i="2"/>
  <c r="A4763" i="2"/>
  <c r="O4762" i="2"/>
  <c r="M4762" i="2"/>
  <c r="L4762" i="2"/>
  <c r="E4762" i="2"/>
  <c r="D4762" i="2"/>
  <c r="B4762" i="2"/>
  <c r="A4762" i="2"/>
  <c r="O4761" i="2"/>
  <c r="M4761" i="2"/>
  <c r="L4761" i="2"/>
  <c r="E4761" i="2"/>
  <c r="D4761" i="2"/>
  <c r="B4761" i="2"/>
  <c r="A4761" i="2"/>
  <c r="O4760" i="2"/>
  <c r="M4760" i="2"/>
  <c r="L4760" i="2"/>
  <c r="E4760" i="2"/>
  <c r="D4760" i="2"/>
  <c r="B4760" i="2"/>
  <c r="A4760" i="2"/>
  <c r="O4759" i="2"/>
  <c r="O4758" i="2"/>
  <c r="M4758" i="2"/>
  <c r="L4758" i="2"/>
  <c r="E4758" i="2"/>
  <c r="D4758" i="2"/>
  <c r="B4758" i="2"/>
  <c r="A4758" i="2"/>
  <c r="M4757" i="2"/>
  <c r="L4757" i="2"/>
  <c r="E4757" i="2"/>
  <c r="D4757" i="2"/>
  <c r="B4757" i="2"/>
  <c r="A4757" i="2"/>
  <c r="O4756" i="2"/>
  <c r="M4756" i="2"/>
  <c r="L4756" i="2"/>
  <c r="E4756" i="2"/>
  <c r="D4756" i="2"/>
  <c r="B4756" i="2"/>
  <c r="A4756" i="2"/>
  <c r="O4755" i="2"/>
  <c r="M4755" i="2"/>
  <c r="L4755" i="2"/>
  <c r="E4755" i="2"/>
  <c r="D4755" i="2"/>
  <c r="B4755" i="2"/>
  <c r="A4755" i="2"/>
  <c r="O4754" i="2"/>
  <c r="M4754" i="2"/>
  <c r="L4754" i="2"/>
  <c r="E4754" i="2"/>
  <c r="D4754" i="2"/>
  <c r="B4754" i="2"/>
  <c r="A4754" i="2"/>
  <c r="O4753" i="2"/>
  <c r="M4753" i="2"/>
  <c r="L4753" i="2"/>
  <c r="E4753" i="2"/>
  <c r="D4753" i="2"/>
  <c r="B4753" i="2"/>
  <c r="A4753" i="2"/>
  <c r="O4752" i="2"/>
  <c r="M4752" i="2"/>
  <c r="L4752" i="2"/>
  <c r="E4752" i="2"/>
  <c r="D4752" i="2"/>
  <c r="B4752" i="2"/>
  <c r="A4752" i="2"/>
  <c r="O4751" i="2"/>
  <c r="M4751" i="2"/>
  <c r="L4751" i="2"/>
  <c r="E4751" i="2"/>
  <c r="D4751" i="2"/>
  <c r="B4751" i="2"/>
  <c r="A4751" i="2"/>
  <c r="O4750" i="2"/>
  <c r="M4750" i="2"/>
  <c r="L4750" i="2"/>
  <c r="E4750" i="2"/>
  <c r="D4750" i="2"/>
  <c r="B4750" i="2"/>
  <c r="A4750" i="2"/>
  <c r="O4749" i="2"/>
  <c r="M4749" i="2"/>
  <c r="L4749" i="2"/>
  <c r="E4749" i="2"/>
  <c r="D4749" i="2"/>
  <c r="B4749" i="2"/>
  <c r="A4749" i="2"/>
  <c r="O4748" i="2"/>
  <c r="M4748" i="2"/>
  <c r="L4748" i="2"/>
  <c r="E4748" i="2"/>
  <c r="D4748" i="2"/>
  <c r="B4748" i="2"/>
  <c r="A4748" i="2"/>
  <c r="O4747" i="2"/>
  <c r="M4747" i="2"/>
  <c r="L4747" i="2"/>
  <c r="E4747" i="2"/>
  <c r="D4747" i="2"/>
  <c r="B4747" i="2"/>
  <c r="A4747" i="2"/>
  <c r="M4746" i="2"/>
  <c r="L4746" i="2"/>
  <c r="E4746" i="2"/>
  <c r="D4746" i="2"/>
  <c r="B4746" i="2"/>
  <c r="A4746" i="2"/>
  <c r="O4745" i="2"/>
  <c r="M4745" i="2"/>
  <c r="L4745" i="2"/>
  <c r="E4745" i="2"/>
  <c r="D4745" i="2"/>
  <c r="B4745" i="2"/>
  <c r="A4745" i="2"/>
  <c r="O4744" i="2"/>
  <c r="M4744" i="2"/>
  <c r="L4744" i="2"/>
  <c r="E4744" i="2"/>
  <c r="D4744" i="2"/>
  <c r="B4744" i="2"/>
  <c r="A4744" i="2"/>
  <c r="O4743" i="2"/>
  <c r="M4743" i="2"/>
  <c r="L4743" i="2"/>
  <c r="E4743" i="2"/>
  <c r="D4743" i="2"/>
  <c r="B4743" i="2"/>
  <c r="A4743" i="2"/>
  <c r="O4742" i="2"/>
  <c r="M4742" i="2"/>
  <c r="L4742" i="2"/>
  <c r="E4742" i="2"/>
  <c r="D4742" i="2"/>
  <c r="B4742" i="2"/>
  <c r="A4742" i="2"/>
  <c r="O4741" i="2"/>
  <c r="M4741" i="2"/>
  <c r="L4741" i="2"/>
  <c r="E4741" i="2"/>
  <c r="D4741" i="2"/>
  <c r="B4741" i="2"/>
  <c r="A4741" i="2"/>
  <c r="O4740" i="2"/>
  <c r="M4740" i="2"/>
  <c r="L4740" i="2"/>
  <c r="E4740" i="2"/>
  <c r="D4740" i="2"/>
  <c r="B4740" i="2"/>
  <c r="A4740" i="2"/>
  <c r="O4739" i="2"/>
  <c r="M4739" i="2"/>
  <c r="L4739" i="2"/>
  <c r="E4739" i="2"/>
  <c r="D4739" i="2"/>
  <c r="B4739" i="2"/>
  <c r="A4739" i="2"/>
  <c r="O4738" i="2"/>
  <c r="M4738" i="2"/>
  <c r="L4738" i="2"/>
  <c r="E4738" i="2"/>
  <c r="D4738" i="2"/>
  <c r="B4738" i="2"/>
  <c r="A4738" i="2"/>
  <c r="O4737" i="2"/>
  <c r="O4736" i="2"/>
  <c r="M4736" i="2"/>
  <c r="L4736" i="2"/>
  <c r="E4736" i="2"/>
  <c r="D4736" i="2"/>
  <c r="B4736" i="2"/>
  <c r="A4736" i="2"/>
  <c r="O4735" i="2"/>
  <c r="M4735" i="2"/>
  <c r="L4735" i="2"/>
  <c r="E4735" i="2"/>
  <c r="D4735" i="2"/>
  <c r="B4735" i="2"/>
  <c r="A4735" i="2"/>
  <c r="O4734" i="2"/>
  <c r="M4734" i="2"/>
  <c r="L4734" i="2"/>
  <c r="E4734" i="2"/>
  <c r="D4734" i="2"/>
  <c r="B4734" i="2"/>
  <c r="A4734" i="2"/>
  <c r="O4733" i="2"/>
  <c r="M4733" i="2"/>
  <c r="L4733" i="2"/>
  <c r="E4733" i="2"/>
  <c r="D4733" i="2"/>
  <c r="B4733" i="2"/>
  <c r="A4733" i="2"/>
  <c r="O4732" i="2"/>
  <c r="M4732" i="2"/>
  <c r="L4732" i="2"/>
  <c r="E4732" i="2"/>
  <c r="D4732" i="2"/>
  <c r="B4732" i="2"/>
  <c r="A4732" i="2"/>
  <c r="O4731" i="2"/>
  <c r="M4731" i="2"/>
  <c r="L4731" i="2"/>
  <c r="E4731" i="2"/>
  <c r="D4731" i="2"/>
  <c r="B4731" i="2"/>
  <c r="A4731" i="2"/>
  <c r="O4730" i="2"/>
  <c r="M4730" i="2"/>
  <c r="L4730" i="2"/>
  <c r="E4730" i="2"/>
  <c r="D4730" i="2"/>
  <c r="B4730" i="2"/>
  <c r="A4730" i="2"/>
  <c r="O4729" i="2"/>
  <c r="M4729" i="2"/>
  <c r="L4729" i="2"/>
  <c r="E4729" i="2"/>
  <c r="D4729" i="2"/>
  <c r="B4729" i="2"/>
  <c r="A4729" i="2"/>
  <c r="O4728" i="2"/>
  <c r="M4728" i="2"/>
  <c r="L4728" i="2"/>
  <c r="E4728" i="2"/>
  <c r="D4728" i="2"/>
  <c r="B4728" i="2"/>
  <c r="A4728" i="2"/>
  <c r="M4727" i="2"/>
  <c r="L4727" i="2"/>
  <c r="E4727" i="2"/>
  <c r="D4727" i="2"/>
  <c r="B4727" i="2"/>
  <c r="A4727" i="2"/>
  <c r="O4726" i="2"/>
  <c r="M4726" i="2"/>
  <c r="L4726" i="2"/>
  <c r="E4726" i="2"/>
  <c r="D4726" i="2"/>
  <c r="B4726" i="2"/>
  <c r="A4726" i="2"/>
  <c r="O4725" i="2"/>
  <c r="M4725" i="2"/>
  <c r="L4725" i="2"/>
  <c r="E4725" i="2"/>
  <c r="D4725" i="2"/>
  <c r="B4725" i="2"/>
  <c r="A4725" i="2"/>
  <c r="O4724" i="2"/>
  <c r="M4724" i="2"/>
  <c r="L4724" i="2"/>
  <c r="E4724" i="2"/>
  <c r="D4724" i="2"/>
  <c r="B4724" i="2"/>
  <c r="A4724" i="2"/>
  <c r="O4723" i="2"/>
  <c r="O4722" i="2"/>
  <c r="M4722" i="2"/>
  <c r="L4722" i="2"/>
  <c r="E4722" i="2"/>
  <c r="D4722" i="2"/>
  <c r="B4722" i="2"/>
  <c r="A4722" i="2"/>
  <c r="O4721" i="2"/>
  <c r="M4721" i="2"/>
  <c r="L4721" i="2"/>
  <c r="E4721" i="2"/>
  <c r="D4721" i="2"/>
  <c r="B4721" i="2"/>
  <c r="A4721" i="2"/>
  <c r="O4720" i="2"/>
  <c r="M4720" i="2"/>
  <c r="L4720" i="2"/>
  <c r="E4720" i="2"/>
  <c r="D4720" i="2"/>
  <c r="B4720" i="2"/>
  <c r="A4720" i="2"/>
  <c r="O4719" i="2"/>
  <c r="M4719" i="2"/>
  <c r="L4719" i="2"/>
  <c r="E4719" i="2"/>
  <c r="D4719" i="2"/>
  <c r="B4719" i="2"/>
  <c r="A4719" i="2"/>
  <c r="O4718" i="2"/>
  <c r="M4718" i="2"/>
  <c r="L4718" i="2"/>
  <c r="E4718" i="2"/>
  <c r="D4718" i="2"/>
  <c r="B4718" i="2"/>
  <c r="A4718" i="2"/>
  <c r="M4717" i="2"/>
  <c r="L4717" i="2"/>
  <c r="E4717" i="2"/>
  <c r="D4717" i="2"/>
  <c r="B4717" i="2"/>
  <c r="A4717" i="2"/>
  <c r="O4716" i="2"/>
  <c r="M4716" i="2"/>
  <c r="L4716" i="2"/>
  <c r="E4716" i="2"/>
  <c r="D4716" i="2"/>
  <c r="B4716" i="2"/>
  <c r="A4716" i="2"/>
  <c r="O4715" i="2"/>
  <c r="M4715" i="2"/>
  <c r="L4715" i="2"/>
  <c r="E4715" i="2"/>
  <c r="D4715" i="2"/>
  <c r="B4715" i="2"/>
  <c r="A4715" i="2"/>
  <c r="O4714" i="2"/>
  <c r="M4714" i="2"/>
  <c r="L4714" i="2"/>
  <c r="E4714" i="2"/>
  <c r="D4714" i="2"/>
  <c r="B4714" i="2"/>
  <c r="A4714" i="2"/>
  <c r="O4713" i="2"/>
  <c r="O4712" i="2"/>
  <c r="O4711" i="2"/>
  <c r="O4710" i="2"/>
  <c r="O4709" i="2"/>
  <c r="O4708" i="2"/>
  <c r="O4707" i="2"/>
  <c r="M4707" i="2"/>
  <c r="L4707" i="2"/>
  <c r="E4707" i="2"/>
  <c r="D4707" i="2"/>
  <c r="B4707" i="2"/>
  <c r="A4707" i="2"/>
  <c r="O4706" i="2"/>
  <c r="M4706" i="2"/>
  <c r="L4706" i="2"/>
  <c r="E4706" i="2"/>
  <c r="D4706" i="2"/>
  <c r="B4706" i="2"/>
  <c r="A4706" i="2"/>
  <c r="O4705" i="2"/>
  <c r="O4704" i="2"/>
  <c r="M4704" i="2"/>
  <c r="L4704" i="2"/>
  <c r="E4704" i="2"/>
  <c r="D4704" i="2"/>
  <c r="B4704" i="2"/>
  <c r="A4704" i="2"/>
  <c r="O4703" i="2"/>
  <c r="M4703" i="2"/>
  <c r="L4703" i="2"/>
  <c r="E4703" i="2"/>
  <c r="D4703" i="2"/>
  <c r="B4703" i="2"/>
  <c r="A4703" i="2"/>
  <c r="O4702" i="2"/>
  <c r="M4702" i="2"/>
  <c r="L4702" i="2"/>
  <c r="E4702" i="2"/>
  <c r="D4702" i="2"/>
  <c r="B4702" i="2"/>
  <c r="A4702" i="2"/>
  <c r="O4701" i="2"/>
  <c r="M4701" i="2"/>
  <c r="L4701" i="2"/>
  <c r="E4701" i="2"/>
  <c r="D4701" i="2"/>
  <c r="B4701" i="2"/>
  <c r="A4701" i="2"/>
  <c r="O4700" i="2"/>
  <c r="M4700" i="2"/>
  <c r="L4700" i="2"/>
  <c r="E4700" i="2"/>
  <c r="D4700" i="2"/>
  <c r="B4700" i="2"/>
  <c r="A4700" i="2"/>
  <c r="O4699" i="2"/>
  <c r="O4698" i="2"/>
  <c r="O4697" i="2"/>
  <c r="O4696" i="2"/>
  <c r="O4695" i="2"/>
  <c r="M4695" i="2"/>
  <c r="L4695" i="2"/>
  <c r="E4695" i="2"/>
  <c r="D4695" i="2"/>
  <c r="B4695" i="2"/>
  <c r="A4695" i="2"/>
  <c r="O4694" i="2"/>
  <c r="M4694" i="2"/>
  <c r="L4694" i="2"/>
  <c r="E4694" i="2"/>
  <c r="D4694" i="2"/>
  <c r="B4694" i="2"/>
  <c r="A4694" i="2"/>
  <c r="O4693" i="2"/>
  <c r="M4693" i="2"/>
  <c r="L4693" i="2"/>
  <c r="E4693" i="2"/>
  <c r="D4693" i="2"/>
  <c r="B4693" i="2"/>
  <c r="A4693" i="2"/>
  <c r="O4692" i="2"/>
  <c r="M4692" i="2"/>
  <c r="L4692" i="2"/>
  <c r="E4692" i="2"/>
  <c r="D4692" i="2"/>
  <c r="B4692" i="2"/>
  <c r="A4692" i="2"/>
  <c r="O4691" i="2"/>
  <c r="M4691" i="2"/>
  <c r="L4691" i="2"/>
  <c r="E4691" i="2"/>
  <c r="D4691" i="2"/>
  <c r="B4691" i="2"/>
  <c r="A4691" i="2"/>
  <c r="O4690" i="2"/>
  <c r="M4690" i="2"/>
  <c r="L4690" i="2"/>
  <c r="E4690" i="2"/>
  <c r="D4690" i="2"/>
  <c r="B4690" i="2"/>
  <c r="A4690" i="2"/>
  <c r="O4689" i="2"/>
  <c r="M4689" i="2"/>
  <c r="L4689" i="2"/>
  <c r="E4689" i="2"/>
  <c r="D4689" i="2"/>
  <c r="B4689" i="2"/>
  <c r="A4689" i="2"/>
  <c r="O4688" i="2"/>
  <c r="M4688" i="2"/>
  <c r="L4688" i="2"/>
  <c r="E4688" i="2"/>
  <c r="D4688" i="2"/>
  <c r="B4688" i="2"/>
  <c r="A4688" i="2"/>
  <c r="O4687" i="2"/>
  <c r="M4687" i="2"/>
  <c r="L4687" i="2"/>
  <c r="E4687" i="2"/>
  <c r="D4687" i="2"/>
  <c r="B4687" i="2"/>
  <c r="A4687" i="2"/>
  <c r="O4686" i="2"/>
  <c r="M4686" i="2"/>
  <c r="L4686" i="2"/>
  <c r="E4686" i="2"/>
  <c r="D4686" i="2"/>
  <c r="B4686" i="2"/>
  <c r="A4686" i="2"/>
  <c r="O4685" i="2"/>
  <c r="O4684" i="2"/>
  <c r="O4683" i="2"/>
  <c r="O4682" i="2"/>
  <c r="O4681" i="2"/>
  <c r="O4680" i="2"/>
  <c r="O4679" i="2"/>
  <c r="M4679" i="2"/>
  <c r="L4679" i="2"/>
  <c r="E4679" i="2"/>
  <c r="D4679" i="2"/>
  <c r="B4679" i="2"/>
  <c r="A4679" i="2"/>
  <c r="O4678" i="2"/>
  <c r="M4678" i="2"/>
  <c r="L4678" i="2"/>
  <c r="E4678" i="2"/>
  <c r="D4678" i="2"/>
  <c r="B4678" i="2"/>
  <c r="A4678" i="2"/>
  <c r="O4677" i="2"/>
  <c r="M4677" i="2"/>
  <c r="L4677" i="2"/>
  <c r="E4677" i="2"/>
  <c r="D4677" i="2"/>
  <c r="B4677" i="2"/>
  <c r="A4677" i="2"/>
  <c r="O4676" i="2"/>
  <c r="M4676" i="2"/>
  <c r="L4676" i="2"/>
  <c r="E4676" i="2"/>
  <c r="D4676" i="2"/>
  <c r="B4676" i="2"/>
  <c r="A4676" i="2"/>
  <c r="O4675" i="2"/>
  <c r="M4675" i="2"/>
  <c r="L4675" i="2"/>
  <c r="E4675" i="2"/>
  <c r="D4675" i="2"/>
  <c r="B4675" i="2"/>
  <c r="A4675" i="2"/>
  <c r="O4674" i="2"/>
  <c r="M4674" i="2"/>
  <c r="L4674" i="2"/>
  <c r="E4674" i="2"/>
  <c r="D4674" i="2"/>
  <c r="B4674" i="2"/>
  <c r="A4674" i="2"/>
  <c r="O4673" i="2"/>
  <c r="M4673" i="2"/>
  <c r="L4673" i="2"/>
  <c r="E4673" i="2"/>
  <c r="D4673" i="2"/>
  <c r="B4673" i="2"/>
  <c r="A4673" i="2"/>
  <c r="O4672" i="2"/>
  <c r="M4672" i="2"/>
  <c r="L4672" i="2"/>
  <c r="E4672" i="2"/>
  <c r="D4672" i="2"/>
  <c r="B4672" i="2"/>
  <c r="A4672" i="2"/>
  <c r="O4671" i="2"/>
  <c r="M4671" i="2"/>
  <c r="L4671" i="2"/>
  <c r="E4671" i="2"/>
  <c r="D4671" i="2"/>
  <c r="B4671" i="2"/>
  <c r="A4671" i="2"/>
  <c r="O4670" i="2"/>
  <c r="M4670" i="2"/>
  <c r="L4670" i="2"/>
  <c r="E4670" i="2"/>
  <c r="D4670" i="2"/>
  <c r="B4670" i="2"/>
  <c r="A4670" i="2"/>
  <c r="O4669" i="2"/>
  <c r="M4669" i="2"/>
  <c r="L4669" i="2"/>
  <c r="E4669" i="2"/>
  <c r="D4669" i="2"/>
  <c r="B4669" i="2"/>
  <c r="A4669" i="2"/>
  <c r="O4668" i="2"/>
  <c r="M4668" i="2"/>
  <c r="L4668" i="2"/>
  <c r="E4668" i="2"/>
  <c r="D4668" i="2"/>
  <c r="B4668" i="2"/>
  <c r="A4668" i="2"/>
  <c r="O4667" i="2"/>
  <c r="O4666" i="2"/>
  <c r="O4665" i="2"/>
  <c r="O4664" i="2"/>
  <c r="M4664" i="2"/>
  <c r="L4664" i="2"/>
  <c r="E4664" i="2"/>
  <c r="D4664" i="2"/>
  <c r="B4664" i="2"/>
  <c r="A4664" i="2"/>
  <c r="O4663" i="2"/>
  <c r="M4663" i="2"/>
  <c r="L4663" i="2"/>
  <c r="E4663" i="2"/>
  <c r="D4663" i="2"/>
  <c r="B4663" i="2"/>
  <c r="A4663" i="2"/>
  <c r="O4662" i="2"/>
  <c r="O4661" i="2"/>
  <c r="M4661" i="2"/>
  <c r="L4661" i="2"/>
  <c r="E4661" i="2"/>
  <c r="D4661" i="2"/>
  <c r="B4661" i="2"/>
  <c r="A4661" i="2"/>
  <c r="O4660" i="2"/>
  <c r="O4659" i="2"/>
  <c r="M4659" i="2"/>
  <c r="L4659" i="2"/>
  <c r="E4659" i="2"/>
  <c r="D4659" i="2"/>
  <c r="B4659" i="2"/>
  <c r="A4659" i="2"/>
  <c r="O4658" i="2"/>
  <c r="O4657" i="2"/>
  <c r="M4657" i="2"/>
  <c r="L4657" i="2"/>
  <c r="E4657" i="2"/>
  <c r="D4657" i="2"/>
  <c r="B4657" i="2"/>
  <c r="A4657" i="2"/>
  <c r="O4656" i="2"/>
  <c r="M4656" i="2"/>
  <c r="L4656" i="2"/>
  <c r="E4656" i="2"/>
  <c r="D4656" i="2"/>
  <c r="B4656" i="2"/>
  <c r="A4656" i="2"/>
  <c r="O4655" i="2"/>
  <c r="M4655" i="2"/>
  <c r="L4655" i="2"/>
  <c r="E4655" i="2"/>
  <c r="D4655" i="2"/>
  <c r="B4655" i="2"/>
  <c r="A4655" i="2"/>
  <c r="O4654" i="2"/>
  <c r="M4654" i="2"/>
  <c r="L4654" i="2"/>
  <c r="E4654" i="2"/>
  <c r="D4654" i="2"/>
  <c r="B4654" i="2"/>
  <c r="A4654" i="2"/>
  <c r="O4653" i="2"/>
  <c r="M4653" i="2"/>
  <c r="L4653" i="2"/>
  <c r="E4653" i="2"/>
  <c r="D4653" i="2"/>
  <c r="B4653" i="2"/>
  <c r="A4653" i="2"/>
  <c r="O4652" i="2"/>
  <c r="M4652" i="2"/>
  <c r="L4652" i="2"/>
  <c r="E4652" i="2"/>
  <c r="D4652" i="2"/>
  <c r="B4652" i="2"/>
  <c r="A4652" i="2"/>
  <c r="O4651" i="2"/>
  <c r="O4650" i="2"/>
  <c r="M4650" i="2"/>
  <c r="L4650" i="2"/>
  <c r="E4650" i="2"/>
  <c r="D4650" i="2"/>
  <c r="B4650" i="2"/>
  <c r="A4650" i="2"/>
  <c r="O4649" i="2"/>
  <c r="M4649" i="2"/>
  <c r="L4649" i="2"/>
  <c r="E4649" i="2"/>
  <c r="D4649" i="2"/>
  <c r="B4649" i="2"/>
  <c r="A4649" i="2"/>
  <c r="O4648" i="2"/>
  <c r="O4647" i="2"/>
  <c r="O4646" i="2"/>
  <c r="M4646" i="2"/>
  <c r="L4646" i="2"/>
  <c r="E4646" i="2"/>
  <c r="D4646" i="2"/>
  <c r="B4646" i="2"/>
  <c r="A4646" i="2"/>
  <c r="O4645" i="2"/>
  <c r="M4645" i="2"/>
  <c r="L4645" i="2"/>
  <c r="E4645" i="2"/>
  <c r="D4645" i="2"/>
  <c r="B4645" i="2"/>
  <c r="A4645" i="2"/>
  <c r="O4644" i="2"/>
  <c r="M4644" i="2"/>
  <c r="L4644" i="2"/>
  <c r="E4644" i="2"/>
  <c r="D4644" i="2"/>
  <c r="B4644" i="2"/>
  <c r="A4644" i="2"/>
  <c r="O4643" i="2"/>
  <c r="M4643" i="2"/>
  <c r="L4643" i="2"/>
  <c r="E4643" i="2"/>
  <c r="D4643" i="2"/>
  <c r="B4643" i="2"/>
  <c r="A4643" i="2"/>
  <c r="O4642" i="2"/>
  <c r="M4642" i="2"/>
  <c r="L4642" i="2"/>
  <c r="E4642" i="2"/>
  <c r="D4642" i="2"/>
  <c r="B4642" i="2"/>
  <c r="A4642" i="2"/>
  <c r="O4641" i="2"/>
  <c r="O4640" i="2"/>
  <c r="O4639" i="2"/>
  <c r="M4639" i="2"/>
  <c r="L4639" i="2"/>
  <c r="E4639" i="2"/>
  <c r="D4639" i="2"/>
  <c r="B4639" i="2"/>
  <c r="A4639" i="2"/>
  <c r="O4638" i="2"/>
  <c r="O4637" i="2"/>
  <c r="M4637" i="2"/>
  <c r="L4637" i="2"/>
  <c r="E4637" i="2"/>
  <c r="D4637" i="2"/>
  <c r="B4637" i="2"/>
  <c r="A4637" i="2"/>
  <c r="O4636" i="2"/>
  <c r="M4636" i="2"/>
  <c r="L4636" i="2"/>
  <c r="E4636" i="2"/>
  <c r="D4636" i="2"/>
  <c r="B4636" i="2"/>
  <c r="A4636" i="2"/>
  <c r="O4635" i="2"/>
  <c r="O4634" i="2"/>
  <c r="M4634" i="2"/>
  <c r="L4634" i="2"/>
  <c r="E4634" i="2"/>
  <c r="D4634" i="2"/>
  <c r="B4634" i="2"/>
  <c r="A4634" i="2"/>
  <c r="O4633" i="2"/>
  <c r="M4633" i="2"/>
  <c r="L4633" i="2"/>
  <c r="E4633" i="2"/>
  <c r="D4633" i="2"/>
  <c r="B4633" i="2"/>
  <c r="A4633" i="2"/>
  <c r="O4632" i="2"/>
  <c r="O4631" i="2"/>
  <c r="M4631" i="2"/>
  <c r="L4631" i="2"/>
  <c r="E4631" i="2"/>
  <c r="D4631" i="2"/>
  <c r="B4631" i="2"/>
  <c r="A4631" i="2"/>
  <c r="O4630" i="2"/>
  <c r="M4630" i="2"/>
  <c r="L4630" i="2"/>
  <c r="E4630" i="2"/>
  <c r="D4630" i="2"/>
  <c r="B4630" i="2"/>
  <c r="A4630" i="2"/>
  <c r="O4629" i="2"/>
  <c r="O4628" i="2"/>
  <c r="O4627" i="2"/>
  <c r="M4627" i="2"/>
  <c r="L4627" i="2"/>
  <c r="E4627" i="2"/>
  <c r="D4627" i="2"/>
  <c r="B4627" i="2"/>
  <c r="A4627" i="2"/>
  <c r="O4626" i="2"/>
  <c r="M4626" i="2"/>
  <c r="L4626" i="2"/>
  <c r="E4626" i="2"/>
  <c r="D4626" i="2"/>
  <c r="B4626" i="2"/>
  <c r="A4626" i="2"/>
  <c r="O4625" i="2"/>
  <c r="M4625" i="2"/>
  <c r="L4625" i="2"/>
  <c r="E4625" i="2"/>
  <c r="D4625" i="2"/>
  <c r="B4625" i="2"/>
  <c r="A4625" i="2"/>
  <c r="O4624" i="2"/>
  <c r="M4624" i="2"/>
  <c r="L4624" i="2"/>
  <c r="E4624" i="2"/>
  <c r="D4624" i="2"/>
  <c r="B4624" i="2"/>
  <c r="A4624" i="2"/>
  <c r="O4623" i="2"/>
  <c r="M4623" i="2"/>
  <c r="L4623" i="2"/>
  <c r="E4623" i="2"/>
  <c r="D4623" i="2"/>
  <c r="B4623" i="2"/>
  <c r="A4623" i="2"/>
  <c r="O4622" i="2"/>
  <c r="M4622" i="2"/>
  <c r="L4622" i="2"/>
  <c r="E4622" i="2"/>
  <c r="D4622" i="2"/>
  <c r="B4622" i="2"/>
  <c r="A4622" i="2"/>
  <c r="O4621" i="2"/>
  <c r="M4621" i="2"/>
  <c r="L4621" i="2"/>
  <c r="E4621" i="2"/>
  <c r="D4621" i="2"/>
  <c r="B4621" i="2"/>
  <c r="A4621" i="2"/>
  <c r="O4620" i="2"/>
  <c r="O4619" i="2"/>
  <c r="M4619" i="2"/>
  <c r="L4619" i="2"/>
  <c r="E4619" i="2"/>
  <c r="D4619" i="2"/>
  <c r="B4619" i="2"/>
  <c r="A4619" i="2"/>
  <c r="O4618" i="2"/>
  <c r="M4618" i="2"/>
  <c r="L4618" i="2"/>
  <c r="E4618" i="2"/>
  <c r="D4618" i="2"/>
  <c r="B4618" i="2"/>
  <c r="A4618" i="2"/>
  <c r="O4617" i="2"/>
  <c r="M4617" i="2"/>
  <c r="L4617" i="2"/>
  <c r="E4617" i="2"/>
  <c r="D4617" i="2"/>
  <c r="B4617" i="2"/>
  <c r="A4617" i="2"/>
  <c r="O4616" i="2"/>
  <c r="M4616" i="2"/>
  <c r="L4616" i="2"/>
  <c r="E4616" i="2"/>
  <c r="D4616" i="2"/>
  <c r="B4616" i="2"/>
  <c r="A4616" i="2"/>
  <c r="O4615" i="2"/>
  <c r="M4615" i="2"/>
  <c r="L4615" i="2"/>
  <c r="E4615" i="2"/>
  <c r="D4615" i="2"/>
  <c r="B4615" i="2"/>
  <c r="A4615" i="2"/>
  <c r="O4614" i="2"/>
  <c r="O4613" i="2"/>
  <c r="O4612" i="2"/>
  <c r="M4612" i="2"/>
  <c r="L4612" i="2"/>
  <c r="E4612" i="2"/>
  <c r="D4612" i="2"/>
  <c r="B4612" i="2"/>
  <c r="A4612" i="2"/>
  <c r="O4611" i="2"/>
  <c r="M4611" i="2"/>
  <c r="L4611" i="2"/>
  <c r="E4611" i="2"/>
  <c r="D4611" i="2"/>
  <c r="B4611" i="2"/>
  <c r="A4611" i="2"/>
  <c r="O4610" i="2"/>
  <c r="O4609" i="2"/>
  <c r="M4609" i="2"/>
  <c r="L4609" i="2"/>
  <c r="E4609" i="2"/>
  <c r="D4609" i="2"/>
  <c r="B4609" i="2"/>
  <c r="A4609" i="2"/>
  <c r="O4608" i="2"/>
  <c r="M4608" i="2"/>
  <c r="L4608" i="2"/>
  <c r="E4608" i="2"/>
  <c r="D4608" i="2"/>
  <c r="B4608" i="2"/>
  <c r="A4608" i="2"/>
  <c r="O4607" i="2"/>
  <c r="M4607" i="2"/>
  <c r="L4607" i="2"/>
  <c r="E4607" i="2"/>
  <c r="D4607" i="2"/>
  <c r="B4607" i="2"/>
  <c r="A4607" i="2"/>
  <c r="O4606" i="2"/>
  <c r="M4606" i="2"/>
  <c r="L4606" i="2"/>
  <c r="E4606" i="2"/>
  <c r="D4606" i="2"/>
  <c r="B4606" i="2"/>
  <c r="A4606" i="2"/>
  <c r="O4605" i="2"/>
  <c r="M4605" i="2"/>
  <c r="L4605" i="2"/>
  <c r="E4605" i="2"/>
  <c r="D4605" i="2"/>
  <c r="B4605" i="2"/>
  <c r="A4605" i="2"/>
  <c r="O4604" i="2"/>
  <c r="M4604" i="2"/>
  <c r="L4604" i="2"/>
  <c r="E4604" i="2"/>
  <c r="D4604" i="2"/>
  <c r="B4604" i="2"/>
  <c r="A4604" i="2"/>
  <c r="O4603" i="2"/>
  <c r="M4603" i="2"/>
  <c r="L4603" i="2"/>
  <c r="E4603" i="2"/>
  <c r="D4603" i="2"/>
  <c r="B4603" i="2"/>
  <c r="A4603" i="2"/>
  <c r="O4602" i="2"/>
  <c r="O4601" i="2"/>
  <c r="O4600" i="2"/>
  <c r="M4600" i="2"/>
  <c r="L4600" i="2"/>
  <c r="E4600" i="2"/>
  <c r="D4600" i="2"/>
  <c r="B4600" i="2"/>
  <c r="A4600" i="2"/>
  <c r="O4599" i="2"/>
  <c r="O4598" i="2"/>
  <c r="O4597" i="2"/>
  <c r="O4596" i="2"/>
  <c r="M4596" i="2"/>
  <c r="L4596" i="2"/>
  <c r="E4596" i="2"/>
  <c r="D4596" i="2"/>
  <c r="B4596" i="2"/>
  <c r="A4596" i="2"/>
  <c r="O4595" i="2"/>
  <c r="M4595" i="2"/>
  <c r="L4595" i="2"/>
  <c r="E4595" i="2"/>
  <c r="D4595" i="2"/>
  <c r="B4595" i="2"/>
  <c r="A4595" i="2"/>
  <c r="O4594" i="2"/>
  <c r="M4594" i="2"/>
  <c r="L4594" i="2"/>
  <c r="E4594" i="2"/>
  <c r="D4594" i="2"/>
  <c r="B4594" i="2"/>
  <c r="A4594" i="2"/>
  <c r="O4593" i="2"/>
  <c r="M4593" i="2"/>
  <c r="L4593" i="2"/>
  <c r="E4593" i="2"/>
  <c r="D4593" i="2"/>
  <c r="B4593" i="2"/>
  <c r="A4593" i="2"/>
  <c r="O4592" i="2"/>
  <c r="M4592" i="2"/>
  <c r="L4592" i="2"/>
  <c r="E4592" i="2"/>
  <c r="D4592" i="2"/>
  <c r="B4592" i="2"/>
  <c r="A4592" i="2"/>
  <c r="O4591" i="2"/>
  <c r="M4591" i="2"/>
  <c r="L4591" i="2"/>
  <c r="E4591" i="2"/>
  <c r="D4591" i="2"/>
  <c r="B4591" i="2"/>
  <c r="A4591" i="2"/>
  <c r="O4590" i="2"/>
  <c r="O4589" i="2"/>
  <c r="M4589" i="2"/>
  <c r="L4589" i="2"/>
  <c r="E4589" i="2"/>
  <c r="D4589" i="2"/>
  <c r="B4589" i="2"/>
  <c r="A4589" i="2"/>
  <c r="O4588" i="2"/>
  <c r="M4588" i="2"/>
  <c r="L4588" i="2"/>
  <c r="E4588" i="2"/>
  <c r="D4588" i="2"/>
  <c r="B4588" i="2"/>
  <c r="A4588" i="2"/>
  <c r="O4587" i="2"/>
  <c r="M4587" i="2"/>
  <c r="L4587" i="2"/>
  <c r="E4587" i="2"/>
  <c r="D4587" i="2"/>
  <c r="B4587" i="2"/>
  <c r="A4587" i="2"/>
  <c r="O4586" i="2"/>
  <c r="M4586" i="2"/>
  <c r="L4586" i="2"/>
  <c r="E4586" i="2"/>
  <c r="D4586" i="2"/>
  <c r="B4586" i="2"/>
  <c r="A4586" i="2"/>
  <c r="O4585" i="2"/>
  <c r="M4585" i="2"/>
  <c r="L4585" i="2"/>
  <c r="E4585" i="2"/>
  <c r="D4585" i="2"/>
  <c r="B4585" i="2"/>
  <c r="A4585" i="2"/>
  <c r="O4584" i="2"/>
  <c r="O4583" i="2"/>
  <c r="O4582" i="2"/>
  <c r="M4582" i="2"/>
  <c r="L4582" i="2"/>
  <c r="E4582" i="2"/>
  <c r="D4582" i="2"/>
  <c r="B4582" i="2"/>
  <c r="A4582" i="2"/>
  <c r="O4581" i="2"/>
  <c r="M4581" i="2"/>
  <c r="L4581" i="2"/>
  <c r="E4581" i="2"/>
  <c r="D4581" i="2"/>
  <c r="B4581" i="2"/>
  <c r="A4581" i="2"/>
  <c r="O4580" i="2"/>
  <c r="M4580" i="2"/>
  <c r="L4580" i="2"/>
  <c r="E4580" i="2"/>
  <c r="D4580" i="2"/>
  <c r="B4580" i="2"/>
  <c r="A4580" i="2"/>
  <c r="O4579" i="2"/>
  <c r="O4578" i="2"/>
  <c r="M4578" i="2"/>
  <c r="L4578" i="2"/>
  <c r="E4578" i="2"/>
  <c r="D4578" i="2"/>
  <c r="B4578" i="2"/>
  <c r="A4578" i="2"/>
  <c r="O4577" i="2"/>
  <c r="M4577" i="2"/>
  <c r="L4577" i="2"/>
  <c r="E4577" i="2"/>
  <c r="D4577" i="2"/>
  <c r="B4577" i="2"/>
  <c r="A4577" i="2"/>
  <c r="O4576" i="2"/>
  <c r="M4576" i="2"/>
  <c r="L4576" i="2"/>
  <c r="E4576" i="2"/>
  <c r="D4576" i="2"/>
  <c r="B4576" i="2"/>
  <c r="A4576" i="2"/>
  <c r="O4575" i="2"/>
  <c r="M4575" i="2"/>
  <c r="L4575" i="2"/>
  <c r="E4575" i="2"/>
  <c r="D4575" i="2"/>
  <c r="B4575" i="2"/>
  <c r="A4575" i="2"/>
  <c r="O4574" i="2"/>
  <c r="M4574" i="2"/>
  <c r="L4574" i="2"/>
  <c r="E4574" i="2"/>
  <c r="D4574" i="2"/>
  <c r="B4574" i="2"/>
  <c r="A4574" i="2"/>
  <c r="O4573" i="2"/>
  <c r="M4573" i="2"/>
  <c r="L4573" i="2"/>
  <c r="E4573" i="2"/>
  <c r="D4573" i="2"/>
  <c r="B4573" i="2"/>
  <c r="A4573" i="2"/>
  <c r="O4572" i="2"/>
  <c r="O4571" i="2"/>
  <c r="M4571" i="2"/>
  <c r="L4571" i="2"/>
  <c r="E4571" i="2"/>
  <c r="D4571" i="2"/>
  <c r="B4571" i="2"/>
  <c r="A4571" i="2"/>
  <c r="O4570" i="2"/>
  <c r="M4570" i="2"/>
  <c r="L4570" i="2"/>
  <c r="E4570" i="2"/>
  <c r="D4570" i="2"/>
  <c r="B4570" i="2"/>
  <c r="A4570" i="2"/>
  <c r="O4569" i="2"/>
  <c r="M4569" i="2"/>
  <c r="L4569" i="2"/>
  <c r="E4569" i="2"/>
  <c r="D4569" i="2"/>
  <c r="B4569" i="2"/>
  <c r="A4569" i="2"/>
  <c r="O4568" i="2"/>
  <c r="M4568" i="2"/>
  <c r="L4568" i="2"/>
  <c r="E4568" i="2"/>
  <c r="D4568" i="2"/>
  <c r="B4568" i="2"/>
  <c r="A4568" i="2"/>
  <c r="O4567" i="2"/>
  <c r="M4567" i="2"/>
  <c r="L4567" i="2"/>
  <c r="E4567" i="2"/>
  <c r="D4567" i="2"/>
  <c r="B4567" i="2"/>
  <c r="A4567" i="2"/>
  <c r="O4566" i="2"/>
  <c r="M4566" i="2"/>
  <c r="L4566" i="2"/>
  <c r="E4566" i="2"/>
  <c r="D4566" i="2"/>
  <c r="B4566" i="2"/>
  <c r="A4566" i="2"/>
  <c r="O4565" i="2"/>
  <c r="M4565" i="2"/>
  <c r="L4565" i="2"/>
  <c r="E4565" i="2"/>
  <c r="D4565" i="2"/>
  <c r="B4565" i="2"/>
  <c r="A4565" i="2"/>
  <c r="O4564" i="2"/>
  <c r="M4564" i="2"/>
  <c r="L4564" i="2"/>
  <c r="E4564" i="2"/>
  <c r="D4564" i="2"/>
  <c r="B4564" i="2"/>
  <c r="A4564" i="2"/>
  <c r="O4563" i="2"/>
  <c r="M4563" i="2"/>
  <c r="L4563" i="2"/>
  <c r="E4563" i="2"/>
  <c r="D4563" i="2"/>
  <c r="B4563" i="2"/>
  <c r="A4563" i="2"/>
  <c r="O4562" i="2"/>
  <c r="M4562" i="2"/>
  <c r="L4562" i="2"/>
  <c r="E4562" i="2"/>
  <c r="D4562" i="2"/>
  <c r="B4562" i="2"/>
  <c r="A4562" i="2"/>
  <c r="O4561" i="2"/>
  <c r="M4561" i="2"/>
  <c r="L4561" i="2"/>
  <c r="E4561" i="2"/>
  <c r="D4561" i="2"/>
  <c r="B4561" i="2"/>
  <c r="A4561" i="2"/>
  <c r="O4560" i="2"/>
  <c r="M4560" i="2"/>
  <c r="L4560" i="2"/>
  <c r="E4560" i="2"/>
  <c r="D4560" i="2"/>
  <c r="B4560" i="2"/>
  <c r="A4560" i="2"/>
  <c r="O4559" i="2"/>
  <c r="M4559" i="2"/>
  <c r="L4559" i="2"/>
  <c r="E4559" i="2"/>
  <c r="D4559" i="2"/>
  <c r="B4559" i="2"/>
  <c r="A4559" i="2"/>
  <c r="O4558" i="2"/>
  <c r="M4558" i="2"/>
  <c r="L4558" i="2"/>
  <c r="E4558" i="2"/>
  <c r="D4558" i="2"/>
  <c r="B4558" i="2"/>
  <c r="A4558" i="2"/>
  <c r="O4557" i="2"/>
  <c r="M4557" i="2"/>
  <c r="L4557" i="2"/>
  <c r="E4557" i="2"/>
  <c r="D4557" i="2"/>
  <c r="B4557" i="2"/>
  <c r="A4557" i="2"/>
  <c r="O4556" i="2"/>
  <c r="O4555" i="2"/>
  <c r="O4554" i="2"/>
  <c r="M4554" i="2"/>
  <c r="L4554" i="2"/>
  <c r="E4554" i="2"/>
  <c r="D4554" i="2"/>
  <c r="B4554" i="2"/>
  <c r="A4554" i="2"/>
  <c r="O4553" i="2"/>
  <c r="M4553" i="2"/>
  <c r="L4553" i="2"/>
  <c r="E4553" i="2"/>
  <c r="D4553" i="2"/>
  <c r="B4553" i="2"/>
  <c r="A4553" i="2"/>
  <c r="O4552" i="2"/>
  <c r="M4552" i="2"/>
  <c r="L4552" i="2"/>
  <c r="E4552" i="2"/>
  <c r="D4552" i="2"/>
  <c r="B4552" i="2"/>
  <c r="A4552" i="2"/>
  <c r="O4551" i="2"/>
  <c r="M4551" i="2"/>
  <c r="L4551" i="2"/>
  <c r="E4551" i="2"/>
  <c r="D4551" i="2"/>
  <c r="B4551" i="2"/>
  <c r="A4551" i="2"/>
  <c r="O4550" i="2"/>
  <c r="M4550" i="2"/>
  <c r="L4550" i="2"/>
  <c r="E4550" i="2"/>
  <c r="D4550" i="2"/>
  <c r="B4550" i="2"/>
  <c r="A4550" i="2"/>
  <c r="O4549" i="2"/>
  <c r="M4549" i="2"/>
  <c r="L4549" i="2"/>
  <c r="E4549" i="2"/>
  <c r="D4549" i="2"/>
  <c r="B4549" i="2"/>
  <c r="A4549" i="2"/>
  <c r="O4548" i="2"/>
  <c r="M4548" i="2"/>
  <c r="L4548" i="2"/>
  <c r="E4548" i="2"/>
  <c r="D4548" i="2"/>
  <c r="B4548" i="2"/>
  <c r="A4548" i="2"/>
  <c r="O4547" i="2"/>
  <c r="M4547" i="2"/>
  <c r="L4547" i="2"/>
  <c r="E4547" i="2"/>
  <c r="D4547" i="2"/>
  <c r="B4547" i="2"/>
  <c r="A4547" i="2"/>
  <c r="O4546" i="2"/>
  <c r="M4546" i="2"/>
  <c r="L4546" i="2"/>
  <c r="E4546" i="2"/>
  <c r="D4546" i="2"/>
  <c r="B4546" i="2"/>
  <c r="A4546" i="2"/>
  <c r="O4545" i="2"/>
  <c r="M4545" i="2"/>
  <c r="L4545" i="2"/>
  <c r="E4545" i="2"/>
  <c r="D4545" i="2"/>
  <c r="B4545" i="2"/>
  <c r="A4545" i="2"/>
  <c r="O4544" i="2"/>
  <c r="O4543" i="2"/>
  <c r="M4543" i="2"/>
  <c r="L4543" i="2"/>
  <c r="E4543" i="2"/>
  <c r="D4543" i="2"/>
  <c r="B4543" i="2"/>
  <c r="A4543" i="2"/>
  <c r="O4542" i="2"/>
  <c r="M4542" i="2"/>
  <c r="L4542" i="2"/>
  <c r="E4542" i="2"/>
  <c r="D4542" i="2"/>
  <c r="B4542" i="2"/>
  <c r="A4542" i="2"/>
  <c r="O4541" i="2"/>
  <c r="M4541" i="2"/>
  <c r="L4541" i="2"/>
  <c r="E4541" i="2"/>
  <c r="D4541" i="2"/>
  <c r="B4541" i="2"/>
  <c r="A4541" i="2"/>
  <c r="O4540" i="2"/>
  <c r="M4540" i="2"/>
  <c r="L4540" i="2"/>
  <c r="E4540" i="2"/>
  <c r="D4540" i="2"/>
  <c r="B4540" i="2"/>
  <c r="A4540" i="2"/>
  <c r="O4539" i="2"/>
  <c r="M4539" i="2"/>
  <c r="L4539" i="2"/>
  <c r="E4539" i="2"/>
  <c r="D4539" i="2"/>
  <c r="B4539" i="2"/>
  <c r="A4539" i="2"/>
  <c r="O4538" i="2"/>
  <c r="M4538" i="2"/>
  <c r="L4538" i="2"/>
  <c r="E4538" i="2"/>
  <c r="D4538" i="2"/>
  <c r="B4538" i="2"/>
  <c r="A4538" i="2"/>
  <c r="O4537" i="2"/>
  <c r="M4537" i="2"/>
  <c r="L4537" i="2"/>
  <c r="E4537" i="2"/>
  <c r="D4537" i="2"/>
  <c r="B4537" i="2"/>
  <c r="A4537" i="2"/>
  <c r="O4536" i="2"/>
  <c r="O4535" i="2"/>
  <c r="M4535" i="2"/>
  <c r="L4535" i="2"/>
  <c r="E4535" i="2"/>
  <c r="D4535" i="2"/>
  <c r="B4535" i="2"/>
  <c r="A4535" i="2"/>
  <c r="O4534" i="2"/>
  <c r="O4533" i="2"/>
  <c r="M4533" i="2"/>
  <c r="L4533" i="2"/>
  <c r="E4533" i="2"/>
  <c r="D4533" i="2"/>
  <c r="B4533" i="2"/>
  <c r="A4533" i="2"/>
  <c r="O4532" i="2"/>
  <c r="M4532" i="2"/>
  <c r="L4532" i="2"/>
  <c r="E4532" i="2"/>
  <c r="D4532" i="2"/>
  <c r="B4532" i="2"/>
  <c r="A4532" i="2"/>
  <c r="O4531" i="2"/>
  <c r="M4531" i="2"/>
  <c r="L4531" i="2"/>
  <c r="E4531" i="2"/>
  <c r="D4531" i="2"/>
  <c r="B4531" i="2"/>
  <c r="A4531" i="2"/>
  <c r="O4530" i="2"/>
  <c r="M4530" i="2"/>
  <c r="L4530" i="2"/>
  <c r="E4530" i="2"/>
  <c r="D4530" i="2"/>
  <c r="B4530" i="2"/>
  <c r="A4530" i="2"/>
  <c r="O4529" i="2"/>
  <c r="M4529" i="2"/>
  <c r="L4529" i="2"/>
  <c r="E4529" i="2"/>
  <c r="D4529" i="2"/>
  <c r="B4529" i="2"/>
  <c r="A4529" i="2"/>
  <c r="O4528" i="2"/>
  <c r="M4528" i="2"/>
  <c r="L4528" i="2"/>
  <c r="E4528" i="2"/>
  <c r="D4528" i="2"/>
  <c r="B4528" i="2"/>
  <c r="A4528" i="2"/>
  <c r="O4527" i="2"/>
  <c r="M4527" i="2"/>
  <c r="L4527" i="2"/>
  <c r="E4527" i="2"/>
  <c r="D4527" i="2"/>
  <c r="B4527" i="2"/>
  <c r="A4527" i="2"/>
  <c r="O4526" i="2"/>
  <c r="M4526" i="2"/>
  <c r="L4526" i="2"/>
  <c r="E4526" i="2"/>
  <c r="D4526" i="2"/>
  <c r="B4526" i="2"/>
  <c r="A4526" i="2"/>
  <c r="O4525" i="2"/>
  <c r="O4524" i="2"/>
  <c r="M4524" i="2"/>
  <c r="L4524" i="2"/>
  <c r="E4524" i="2"/>
  <c r="D4524" i="2"/>
  <c r="B4524" i="2"/>
  <c r="A4524" i="2"/>
  <c r="O4523" i="2"/>
  <c r="M4523" i="2"/>
  <c r="L4523" i="2"/>
  <c r="E4523" i="2"/>
  <c r="D4523" i="2"/>
  <c r="B4523" i="2"/>
  <c r="A4523" i="2"/>
  <c r="O4522" i="2"/>
  <c r="O4521" i="2"/>
  <c r="M4521" i="2"/>
  <c r="L4521" i="2"/>
  <c r="E4521" i="2"/>
  <c r="D4521" i="2"/>
  <c r="B4521" i="2"/>
  <c r="A4521" i="2"/>
  <c r="O4520" i="2"/>
  <c r="M4520" i="2"/>
  <c r="L4520" i="2"/>
  <c r="E4520" i="2"/>
  <c r="D4520" i="2"/>
  <c r="B4520" i="2"/>
  <c r="A4520" i="2"/>
  <c r="O4519" i="2"/>
  <c r="M4519" i="2"/>
  <c r="L4519" i="2"/>
  <c r="E4519" i="2"/>
  <c r="D4519" i="2"/>
  <c r="B4519" i="2"/>
  <c r="A4519" i="2"/>
  <c r="O4518" i="2"/>
  <c r="M4518" i="2"/>
  <c r="L4518" i="2"/>
  <c r="E4518" i="2"/>
  <c r="D4518" i="2"/>
  <c r="B4518" i="2"/>
  <c r="A4518" i="2"/>
  <c r="O4517" i="2"/>
  <c r="M4517" i="2"/>
  <c r="L4517" i="2"/>
  <c r="E4517" i="2"/>
  <c r="D4517" i="2"/>
  <c r="B4517" i="2"/>
  <c r="A4517" i="2"/>
  <c r="O4516" i="2"/>
  <c r="M4516" i="2"/>
  <c r="L4516" i="2"/>
  <c r="E4516" i="2"/>
  <c r="D4516" i="2"/>
  <c r="B4516" i="2"/>
  <c r="A4516" i="2"/>
  <c r="O4515" i="2"/>
  <c r="O4514" i="2"/>
  <c r="O4513" i="2"/>
  <c r="M4513" i="2"/>
  <c r="L4513" i="2"/>
  <c r="E4513" i="2"/>
  <c r="D4513" i="2"/>
  <c r="B4513" i="2"/>
  <c r="A4513" i="2"/>
  <c r="O4512" i="2"/>
  <c r="M4512" i="2"/>
  <c r="L4512" i="2"/>
  <c r="E4512" i="2"/>
  <c r="D4512" i="2"/>
  <c r="B4512" i="2"/>
  <c r="A4512" i="2"/>
  <c r="O4511" i="2"/>
  <c r="M4511" i="2"/>
  <c r="L4511" i="2"/>
  <c r="E4511" i="2"/>
  <c r="D4511" i="2"/>
  <c r="B4511" i="2"/>
  <c r="A4511" i="2"/>
  <c r="O4510" i="2"/>
  <c r="M4510" i="2"/>
  <c r="L4510" i="2"/>
  <c r="E4510" i="2"/>
  <c r="D4510" i="2"/>
  <c r="B4510" i="2"/>
  <c r="A4510" i="2"/>
  <c r="O4509" i="2"/>
  <c r="M4509" i="2"/>
  <c r="L4509" i="2"/>
  <c r="E4509" i="2"/>
  <c r="D4509" i="2"/>
  <c r="B4509" i="2"/>
  <c r="A4509" i="2"/>
  <c r="O4508" i="2"/>
  <c r="M4508" i="2"/>
  <c r="L4508" i="2"/>
  <c r="E4508" i="2"/>
  <c r="D4508" i="2"/>
  <c r="B4508" i="2"/>
  <c r="A4508" i="2"/>
  <c r="O4507" i="2"/>
  <c r="M4507" i="2"/>
  <c r="L4507" i="2"/>
  <c r="E4507" i="2"/>
  <c r="D4507" i="2"/>
  <c r="B4507" i="2"/>
  <c r="A4507" i="2"/>
  <c r="O4506" i="2"/>
  <c r="M4506" i="2"/>
  <c r="L4506" i="2"/>
  <c r="E4506" i="2"/>
  <c r="D4506" i="2"/>
  <c r="B4506" i="2"/>
  <c r="A4506" i="2"/>
  <c r="O4505" i="2"/>
  <c r="M4505" i="2"/>
  <c r="L4505" i="2"/>
  <c r="E4505" i="2"/>
  <c r="D4505" i="2"/>
  <c r="B4505" i="2"/>
  <c r="A4505" i="2"/>
  <c r="O4504" i="2"/>
  <c r="M4504" i="2"/>
  <c r="L4504" i="2"/>
  <c r="E4504" i="2"/>
  <c r="D4504" i="2"/>
  <c r="B4504" i="2"/>
  <c r="A4504" i="2"/>
  <c r="O4503" i="2"/>
  <c r="M4503" i="2"/>
  <c r="L4503" i="2"/>
  <c r="E4503" i="2"/>
  <c r="D4503" i="2"/>
  <c r="B4503" i="2"/>
  <c r="A4503" i="2"/>
  <c r="O4502" i="2"/>
  <c r="M4502" i="2"/>
  <c r="L4502" i="2"/>
  <c r="E4502" i="2"/>
  <c r="D4502" i="2"/>
  <c r="B4502" i="2"/>
  <c r="A4502" i="2"/>
  <c r="O4501" i="2"/>
  <c r="M4501" i="2"/>
  <c r="L4501" i="2"/>
  <c r="E4501" i="2"/>
  <c r="D4501" i="2"/>
  <c r="B4501" i="2"/>
  <c r="A4501" i="2"/>
  <c r="O4500" i="2"/>
  <c r="M4500" i="2"/>
  <c r="L4500" i="2"/>
  <c r="E4500" i="2"/>
  <c r="D4500" i="2"/>
  <c r="B4500" i="2"/>
  <c r="A4500" i="2"/>
  <c r="O4499" i="2"/>
  <c r="M4499" i="2"/>
  <c r="L4499" i="2"/>
  <c r="E4499" i="2"/>
  <c r="D4499" i="2"/>
  <c r="B4499" i="2"/>
  <c r="A4499" i="2"/>
  <c r="O4498" i="2"/>
  <c r="M4498" i="2"/>
  <c r="L4498" i="2"/>
  <c r="E4498" i="2"/>
  <c r="D4498" i="2"/>
  <c r="B4498" i="2"/>
  <c r="A4498" i="2"/>
  <c r="O4497" i="2"/>
  <c r="M4497" i="2"/>
  <c r="L4497" i="2"/>
  <c r="E4497" i="2"/>
  <c r="D4497" i="2"/>
  <c r="B4497" i="2"/>
  <c r="A4497" i="2"/>
  <c r="O4496" i="2"/>
  <c r="O4495" i="2"/>
  <c r="M4495" i="2"/>
  <c r="L4495" i="2"/>
  <c r="E4495" i="2"/>
  <c r="D4495" i="2"/>
  <c r="B4495" i="2"/>
  <c r="A4495" i="2"/>
  <c r="O4494" i="2"/>
  <c r="M4494" i="2"/>
  <c r="L4494" i="2"/>
  <c r="E4494" i="2"/>
  <c r="D4494" i="2"/>
  <c r="B4494" i="2"/>
  <c r="A4494" i="2"/>
  <c r="O4493" i="2"/>
  <c r="O4492" i="2"/>
  <c r="M4492" i="2"/>
  <c r="L4492" i="2"/>
  <c r="E4492" i="2"/>
  <c r="D4492" i="2"/>
  <c r="B4492" i="2"/>
  <c r="A4492" i="2"/>
  <c r="O4491" i="2"/>
  <c r="M4491" i="2"/>
  <c r="L4491" i="2"/>
  <c r="E4491" i="2"/>
  <c r="D4491" i="2"/>
  <c r="B4491" i="2"/>
  <c r="A4491" i="2"/>
  <c r="O4490" i="2"/>
  <c r="O4489" i="2"/>
  <c r="M4489" i="2"/>
  <c r="L4489" i="2"/>
  <c r="E4489" i="2"/>
  <c r="D4489" i="2"/>
  <c r="B4489" i="2"/>
  <c r="A4489" i="2"/>
  <c r="O4488" i="2"/>
  <c r="M4488" i="2"/>
  <c r="L4488" i="2"/>
  <c r="E4488" i="2"/>
  <c r="D4488" i="2"/>
  <c r="B4488" i="2"/>
  <c r="A4488" i="2"/>
  <c r="O4487" i="2"/>
  <c r="M4487" i="2"/>
  <c r="L4487" i="2"/>
  <c r="E4487" i="2"/>
  <c r="D4487" i="2"/>
  <c r="B4487" i="2"/>
  <c r="A4487" i="2"/>
  <c r="O4486" i="2"/>
  <c r="M4486" i="2"/>
  <c r="L4486" i="2"/>
  <c r="E4486" i="2"/>
  <c r="D4486" i="2"/>
  <c r="B4486" i="2"/>
  <c r="A4486" i="2"/>
  <c r="O4485" i="2"/>
  <c r="M4485" i="2"/>
  <c r="L4485" i="2"/>
  <c r="E4485" i="2"/>
  <c r="D4485" i="2"/>
  <c r="B4485" i="2"/>
  <c r="A4485" i="2"/>
  <c r="O4484" i="2"/>
  <c r="M4484" i="2"/>
  <c r="L4484" i="2"/>
  <c r="E4484" i="2"/>
  <c r="D4484" i="2"/>
  <c r="B4484" i="2"/>
  <c r="A4484" i="2"/>
  <c r="O4483" i="2"/>
  <c r="O4482" i="2"/>
  <c r="M4482" i="2"/>
  <c r="L4482" i="2"/>
  <c r="E4482" i="2"/>
  <c r="D4482" i="2"/>
  <c r="B4482" i="2"/>
  <c r="A4482" i="2"/>
  <c r="O4481" i="2"/>
  <c r="M4481" i="2"/>
  <c r="L4481" i="2"/>
  <c r="E4481" i="2"/>
  <c r="D4481" i="2"/>
  <c r="B4481" i="2"/>
  <c r="A4481" i="2"/>
  <c r="O4480" i="2"/>
  <c r="M4480" i="2"/>
  <c r="L4480" i="2"/>
  <c r="E4480" i="2"/>
  <c r="D4480" i="2"/>
  <c r="B4480" i="2"/>
  <c r="A4480" i="2"/>
  <c r="O4479" i="2"/>
  <c r="M4479" i="2"/>
  <c r="L4479" i="2"/>
  <c r="E4479" i="2"/>
  <c r="D4479" i="2"/>
  <c r="B4479" i="2"/>
  <c r="A4479" i="2"/>
  <c r="O4478" i="2"/>
  <c r="M4478" i="2"/>
  <c r="L4478" i="2"/>
  <c r="E4478" i="2"/>
  <c r="D4478" i="2"/>
  <c r="B4478" i="2"/>
  <c r="A4478" i="2"/>
  <c r="O4477" i="2"/>
  <c r="M4477" i="2"/>
  <c r="L4477" i="2"/>
  <c r="E4477" i="2"/>
  <c r="D4477" i="2"/>
  <c r="B4477" i="2"/>
  <c r="A4477" i="2"/>
  <c r="O4476" i="2"/>
  <c r="M4476" i="2"/>
  <c r="L4476" i="2"/>
  <c r="E4476" i="2"/>
  <c r="D4476" i="2"/>
  <c r="B4476" i="2"/>
  <c r="A4476" i="2"/>
  <c r="O4475" i="2"/>
  <c r="M4475" i="2"/>
  <c r="L4475" i="2"/>
  <c r="E4475" i="2"/>
  <c r="D4475" i="2"/>
  <c r="B4475" i="2"/>
  <c r="A4475" i="2"/>
  <c r="O4474" i="2"/>
  <c r="M4474" i="2"/>
  <c r="L4474" i="2"/>
  <c r="E4474" i="2"/>
  <c r="D4474" i="2"/>
  <c r="B4474" i="2"/>
  <c r="A4474" i="2"/>
  <c r="O4473" i="2"/>
  <c r="O4472" i="2"/>
  <c r="M4472" i="2"/>
  <c r="L4472" i="2"/>
  <c r="E4472" i="2"/>
  <c r="D4472" i="2"/>
  <c r="B4472" i="2"/>
  <c r="A4472" i="2"/>
  <c r="O4471" i="2"/>
  <c r="M4471" i="2"/>
  <c r="L4471" i="2"/>
  <c r="E4471" i="2"/>
  <c r="D4471" i="2"/>
  <c r="B4471" i="2"/>
  <c r="A4471" i="2"/>
  <c r="O4470" i="2"/>
  <c r="M4470" i="2"/>
  <c r="L4470" i="2"/>
  <c r="E4470" i="2"/>
  <c r="D4470" i="2"/>
  <c r="B4470" i="2"/>
  <c r="A4470" i="2"/>
  <c r="O4469" i="2"/>
  <c r="M4469" i="2"/>
  <c r="L4469" i="2"/>
  <c r="E4469" i="2"/>
  <c r="D4469" i="2"/>
  <c r="B4469" i="2"/>
  <c r="A4469" i="2"/>
  <c r="O4468" i="2"/>
  <c r="M4468" i="2"/>
  <c r="L4468" i="2"/>
  <c r="E4468" i="2"/>
  <c r="D4468" i="2"/>
  <c r="B4468" i="2"/>
  <c r="A4468" i="2"/>
  <c r="O4467" i="2"/>
  <c r="M4467" i="2"/>
  <c r="L4467" i="2"/>
  <c r="E4467" i="2"/>
  <c r="D4467" i="2"/>
  <c r="B4467" i="2"/>
  <c r="A4467" i="2"/>
  <c r="O4466" i="2"/>
  <c r="M4466" i="2"/>
  <c r="L4466" i="2"/>
  <c r="E4466" i="2"/>
  <c r="D4466" i="2"/>
  <c r="B4466" i="2"/>
  <c r="A4466" i="2"/>
  <c r="O4465" i="2"/>
  <c r="M4465" i="2"/>
  <c r="L4465" i="2"/>
  <c r="E4465" i="2"/>
  <c r="D4465" i="2"/>
  <c r="B4465" i="2"/>
  <c r="A4465" i="2"/>
  <c r="O4464" i="2"/>
  <c r="M4464" i="2"/>
  <c r="L4464" i="2"/>
  <c r="E4464" i="2"/>
  <c r="D4464" i="2"/>
  <c r="B4464" i="2"/>
  <c r="A4464" i="2"/>
  <c r="O4463" i="2"/>
  <c r="M4463" i="2"/>
  <c r="L4463" i="2"/>
  <c r="E4463" i="2"/>
  <c r="D4463" i="2"/>
  <c r="B4463" i="2"/>
  <c r="A4463" i="2"/>
  <c r="O4462" i="2"/>
  <c r="O4461" i="2"/>
  <c r="O4460" i="2"/>
  <c r="M4460" i="2"/>
  <c r="L4460" i="2"/>
  <c r="E4460" i="2"/>
  <c r="D4460" i="2"/>
  <c r="B4460" i="2"/>
  <c r="A4460" i="2"/>
  <c r="O4459" i="2"/>
  <c r="O4458" i="2"/>
  <c r="O4457" i="2"/>
  <c r="M4457" i="2"/>
  <c r="L4457" i="2"/>
  <c r="E4457" i="2"/>
  <c r="D4457" i="2"/>
  <c r="B4457" i="2"/>
  <c r="A4457" i="2"/>
  <c r="O4456" i="2"/>
  <c r="M4456" i="2"/>
  <c r="L4456" i="2"/>
  <c r="E4456" i="2"/>
  <c r="D4456" i="2"/>
  <c r="B4456" i="2"/>
  <c r="A4456" i="2"/>
  <c r="O4455" i="2"/>
  <c r="M4455" i="2"/>
  <c r="L4455" i="2"/>
  <c r="E4455" i="2"/>
  <c r="D4455" i="2"/>
  <c r="B4455" i="2"/>
  <c r="A4455" i="2"/>
  <c r="O4454" i="2"/>
  <c r="M4454" i="2"/>
  <c r="L4454" i="2"/>
  <c r="E4454" i="2"/>
  <c r="D4454" i="2"/>
  <c r="B4454" i="2"/>
  <c r="A4454" i="2"/>
  <c r="M4453" i="2"/>
  <c r="L4453" i="2"/>
  <c r="E4453" i="2"/>
  <c r="D4453" i="2"/>
  <c r="B4453" i="2"/>
  <c r="A4453" i="2"/>
  <c r="M4452" i="2"/>
  <c r="L4452" i="2"/>
  <c r="E4452" i="2"/>
  <c r="D4452" i="2"/>
  <c r="B4452" i="2"/>
  <c r="A4452" i="2"/>
  <c r="O4451" i="2"/>
  <c r="M4451" i="2"/>
  <c r="L4451" i="2"/>
  <c r="E4451" i="2"/>
  <c r="D4451" i="2"/>
  <c r="B4451" i="2"/>
  <c r="A4451" i="2"/>
  <c r="O4450" i="2"/>
  <c r="M4450" i="2"/>
  <c r="L4450" i="2"/>
  <c r="E4450" i="2"/>
  <c r="D4450" i="2"/>
  <c r="B4450" i="2"/>
  <c r="A4450" i="2"/>
  <c r="M4449" i="2"/>
  <c r="L4449" i="2"/>
  <c r="E4449" i="2"/>
  <c r="D4449" i="2"/>
  <c r="B4449" i="2"/>
  <c r="A4449" i="2"/>
  <c r="O4448" i="2"/>
  <c r="M4448" i="2"/>
  <c r="L4448" i="2"/>
  <c r="E4448" i="2"/>
  <c r="D4448" i="2"/>
  <c r="B4448" i="2"/>
  <c r="A4448" i="2"/>
  <c r="O4447" i="2"/>
  <c r="O4446" i="2"/>
  <c r="M4446" i="2"/>
  <c r="L4446" i="2"/>
  <c r="E4446" i="2"/>
  <c r="D4446" i="2"/>
  <c r="B4446" i="2"/>
  <c r="A4446" i="2"/>
  <c r="O4445" i="2"/>
  <c r="M4445" i="2"/>
  <c r="L4445" i="2"/>
  <c r="E4445" i="2"/>
  <c r="D4445" i="2"/>
  <c r="B4445" i="2"/>
  <c r="A4445" i="2"/>
  <c r="O4444" i="2"/>
  <c r="O4443" i="2"/>
  <c r="M4443" i="2"/>
  <c r="L4443" i="2"/>
  <c r="E4443" i="2"/>
  <c r="D4443" i="2"/>
  <c r="B4443" i="2"/>
  <c r="A4443" i="2"/>
  <c r="M4442" i="2"/>
  <c r="L4442" i="2"/>
  <c r="E4442" i="2"/>
  <c r="D4442" i="2"/>
  <c r="B4442" i="2"/>
  <c r="A4442" i="2"/>
  <c r="O4441" i="2"/>
  <c r="M4441" i="2"/>
  <c r="L4441" i="2"/>
  <c r="E4441" i="2"/>
  <c r="D4441" i="2"/>
  <c r="B4441" i="2"/>
  <c r="A4441" i="2"/>
  <c r="O4440" i="2"/>
  <c r="M4440" i="2"/>
  <c r="L4440" i="2"/>
  <c r="E4440" i="2"/>
  <c r="D4440" i="2"/>
  <c r="B4440" i="2"/>
  <c r="A4440" i="2"/>
  <c r="O4439" i="2"/>
  <c r="O4438" i="2"/>
  <c r="O4437" i="2"/>
  <c r="M4437" i="2"/>
  <c r="L4437" i="2"/>
  <c r="E4437" i="2"/>
  <c r="D4437" i="2"/>
  <c r="B4437" i="2"/>
  <c r="A4437" i="2"/>
  <c r="O4436" i="2"/>
  <c r="O4435" i="2"/>
  <c r="O4434" i="2"/>
  <c r="M4434" i="2"/>
  <c r="L4434" i="2"/>
  <c r="E4434" i="2"/>
  <c r="D4434" i="2"/>
  <c r="B4434" i="2"/>
  <c r="A4434" i="2"/>
  <c r="O4433" i="2"/>
  <c r="M4433" i="2"/>
  <c r="L4433" i="2"/>
  <c r="E4433" i="2"/>
  <c r="D4433" i="2"/>
  <c r="B4433" i="2"/>
  <c r="A4433" i="2"/>
  <c r="O4432" i="2"/>
  <c r="M4432" i="2"/>
  <c r="L4432" i="2"/>
  <c r="E4432" i="2"/>
  <c r="D4432" i="2"/>
  <c r="B4432" i="2"/>
  <c r="A4432" i="2"/>
  <c r="O4431" i="2"/>
  <c r="M4431" i="2"/>
  <c r="L4431" i="2"/>
  <c r="E4431" i="2"/>
  <c r="D4431" i="2"/>
  <c r="B4431" i="2"/>
  <c r="A4431" i="2"/>
  <c r="O4430" i="2"/>
  <c r="M4430" i="2"/>
  <c r="L4430" i="2"/>
  <c r="E4430" i="2"/>
  <c r="D4430" i="2"/>
  <c r="B4430" i="2"/>
  <c r="A4430" i="2"/>
  <c r="O4429" i="2"/>
  <c r="M4429" i="2"/>
  <c r="L4429" i="2"/>
  <c r="E4429" i="2"/>
  <c r="D4429" i="2"/>
  <c r="B4429" i="2"/>
  <c r="A4429" i="2"/>
  <c r="O4428" i="2"/>
  <c r="M4428" i="2"/>
  <c r="L4428" i="2"/>
  <c r="E4428" i="2"/>
  <c r="D4428" i="2"/>
  <c r="B4428" i="2"/>
  <c r="A4428" i="2"/>
  <c r="O4427" i="2"/>
  <c r="O4426" i="2"/>
  <c r="O4425" i="2"/>
  <c r="M4425" i="2"/>
  <c r="L4425" i="2"/>
  <c r="E4425" i="2"/>
  <c r="D4425" i="2"/>
  <c r="B4425" i="2"/>
  <c r="A4425" i="2"/>
  <c r="O4424" i="2"/>
  <c r="M4424" i="2"/>
  <c r="L4424" i="2"/>
  <c r="E4424" i="2"/>
  <c r="D4424" i="2"/>
  <c r="B4424" i="2"/>
  <c r="A4424" i="2"/>
  <c r="O4423" i="2"/>
  <c r="O4422" i="2"/>
  <c r="O4421" i="2"/>
  <c r="O4420" i="2"/>
  <c r="M4420" i="2"/>
  <c r="L4420" i="2"/>
  <c r="E4420" i="2"/>
  <c r="D4420" i="2"/>
  <c r="B4420" i="2"/>
  <c r="A4420" i="2"/>
  <c r="O4419" i="2"/>
  <c r="M4419" i="2"/>
  <c r="L4419" i="2"/>
  <c r="E4419" i="2"/>
  <c r="D4419" i="2"/>
  <c r="B4419" i="2"/>
  <c r="A4419" i="2"/>
  <c r="O4418" i="2"/>
  <c r="M4418" i="2"/>
  <c r="L4418" i="2"/>
  <c r="E4418" i="2"/>
  <c r="D4418" i="2"/>
  <c r="B4418" i="2"/>
  <c r="A4418" i="2"/>
  <c r="O4417" i="2"/>
  <c r="M4417" i="2"/>
  <c r="L4417" i="2"/>
  <c r="E4417" i="2"/>
  <c r="D4417" i="2"/>
  <c r="B4417" i="2"/>
  <c r="A4417" i="2"/>
  <c r="M4416" i="2"/>
  <c r="L4416" i="2"/>
  <c r="E4416" i="2"/>
  <c r="D4416" i="2"/>
  <c r="B4416" i="2"/>
  <c r="A4416" i="2"/>
  <c r="O4415" i="2"/>
  <c r="M4415" i="2"/>
  <c r="L4415" i="2"/>
  <c r="E4415" i="2"/>
  <c r="D4415" i="2"/>
  <c r="B4415" i="2"/>
  <c r="A4415" i="2"/>
  <c r="O4414" i="2"/>
  <c r="M4414" i="2"/>
  <c r="L4414" i="2"/>
  <c r="E4414" i="2"/>
  <c r="D4414" i="2"/>
  <c r="B4414" i="2"/>
  <c r="A4414" i="2"/>
  <c r="O4413" i="2"/>
  <c r="O4412" i="2"/>
  <c r="O4411" i="2"/>
  <c r="M4411" i="2"/>
  <c r="L4411" i="2"/>
  <c r="E4411" i="2"/>
  <c r="D4411" i="2"/>
  <c r="B4411" i="2"/>
  <c r="A4411" i="2"/>
  <c r="O4410" i="2"/>
  <c r="M4410" i="2"/>
  <c r="L4410" i="2"/>
  <c r="E4410" i="2"/>
  <c r="D4410" i="2"/>
  <c r="B4410" i="2"/>
  <c r="A4410" i="2"/>
  <c r="O4409" i="2"/>
  <c r="M4409" i="2"/>
  <c r="L4409" i="2"/>
  <c r="E4409" i="2"/>
  <c r="D4409" i="2"/>
  <c r="B4409" i="2"/>
  <c r="A4409" i="2"/>
  <c r="O4408" i="2"/>
  <c r="M4408" i="2"/>
  <c r="L4408" i="2"/>
  <c r="E4408" i="2"/>
  <c r="D4408" i="2"/>
  <c r="B4408" i="2"/>
  <c r="A4408" i="2"/>
  <c r="O4407" i="2"/>
  <c r="M4407" i="2"/>
  <c r="L4407" i="2"/>
  <c r="E4407" i="2"/>
  <c r="D4407" i="2"/>
  <c r="B4407" i="2"/>
  <c r="A4407" i="2"/>
  <c r="O4406" i="2"/>
  <c r="M4406" i="2"/>
  <c r="L4406" i="2"/>
  <c r="E4406" i="2"/>
  <c r="D4406" i="2"/>
  <c r="B4406" i="2"/>
  <c r="A4406" i="2"/>
  <c r="O4405" i="2"/>
  <c r="O4404" i="2"/>
  <c r="M4404" i="2"/>
  <c r="L4404" i="2"/>
  <c r="E4404" i="2"/>
  <c r="D4404" i="2"/>
  <c r="B4404" i="2"/>
  <c r="A4404" i="2"/>
  <c r="O4403" i="2"/>
  <c r="M4403" i="2"/>
  <c r="L4403" i="2"/>
  <c r="E4403" i="2"/>
  <c r="D4403" i="2"/>
  <c r="B4403" i="2"/>
  <c r="A4403" i="2"/>
  <c r="O4402" i="2"/>
  <c r="M4402" i="2"/>
  <c r="L4402" i="2"/>
  <c r="E4402" i="2"/>
  <c r="D4402" i="2"/>
  <c r="B4402" i="2"/>
  <c r="A4402" i="2"/>
  <c r="O4401" i="2"/>
  <c r="M4401" i="2"/>
  <c r="L4401" i="2"/>
  <c r="E4401" i="2"/>
  <c r="D4401" i="2"/>
  <c r="B4401" i="2"/>
  <c r="A4401" i="2"/>
  <c r="O4400" i="2"/>
  <c r="M4400" i="2"/>
  <c r="L4400" i="2"/>
  <c r="E4400" i="2"/>
  <c r="D4400" i="2"/>
  <c r="B4400" i="2"/>
  <c r="A4400" i="2"/>
  <c r="M4399" i="2"/>
  <c r="L4399" i="2"/>
  <c r="E4399" i="2"/>
  <c r="D4399" i="2"/>
  <c r="B4399" i="2"/>
  <c r="A4399" i="2"/>
  <c r="O4398" i="2"/>
  <c r="M4398" i="2"/>
  <c r="L4398" i="2"/>
  <c r="E4398" i="2"/>
  <c r="D4398" i="2"/>
  <c r="B4398" i="2"/>
  <c r="A4398" i="2"/>
  <c r="O4397" i="2"/>
  <c r="M4397" i="2"/>
  <c r="L4397" i="2"/>
  <c r="E4397" i="2"/>
  <c r="D4397" i="2"/>
  <c r="B4397" i="2"/>
  <c r="A4397" i="2"/>
  <c r="O4396" i="2"/>
  <c r="M4396" i="2"/>
  <c r="L4396" i="2"/>
  <c r="E4396" i="2"/>
  <c r="D4396" i="2"/>
  <c r="B4396" i="2"/>
  <c r="A4396" i="2"/>
  <c r="O4395" i="2"/>
  <c r="M4395" i="2"/>
  <c r="L4395" i="2"/>
  <c r="E4395" i="2"/>
  <c r="D4395" i="2"/>
  <c r="B4395" i="2"/>
  <c r="A4395" i="2"/>
  <c r="O4394" i="2"/>
  <c r="M4394" i="2"/>
  <c r="L4394" i="2"/>
  <c r="E4394" i="2"/>
  <c r="D4394" i="2"/>
  <c r="B4394" i="2"/>
  <c r="A4394" i="2"/>
  <c r="M4393" i="2"/>
  <c r="L4393" i="2"/>
  <c r="E4393" i="2"/>
  <c r="D4393" i="2"/>
  <c r="B4393" i="2"/>
  <c r="A4393" i="2"/>
  <c r="O4392" i="2"/>
  <c r="O4391" i="2"/>
  <c r="M4391" i="2"/>
  <c r="L4391" i="2"/>
  <c r="E4391" i="2"/>
  <c r="D4391" i="2"/>
  <c r="B4391" i="2"/>
  <c r="A4391" i="2"/>
  <c r="O4390" i="2"/>
  <c r="M4390" i="2"/>
  <c r="L4390" i="2"/>
  <c r="E4390" i="2"/>
  <c r="D4390" i="2"/>
  <c r="B4390" i="2"/>
  <c r="A4390" i="2"/>
  <c r="O4389" i="2"/>
  <c r="M4389" i="2"/>
  <c r="L4389" i="2"/>
  <c r="E4389" i="2"/>
  <c r="D4389" i="2"/>
  <c r="B4389" i="2"/>
  <c r="A4389" i="2"/>
  <c r="O4388" i="2"/>
  <c r="M4388" i="2"/>
  <c r="L4388" i="2"/>
  <c r="E4388" i="2"/>
  <c r="D4388" i="2"/>
  <c r="B4388" i="2"/>
  <c r="A4388" i="2"/>
  <c r="O4387" i="2"/>
  <c r="M4387" i="2"/>
  <c r="L4387" i="2"/>
  <c r="E4387" i="2"/>
  <c r="D4387" i="2"/>
  <c r="B4387" i="2"/>
  <c r="A4387" i="2"/>
  <c r="O4386" i="2"/>
  <c r="M4386" i="2"/>
  <c r="L4386" i="2"/>
  <c r="E4386" i="2"/>
  <c r="D4386" i="2"/>
  <c r="B4386" i="2"/>
  <c r="A4386" i="2"/>
  <c r="O4385" i="2"/>
  <c r="M4385" i="2"/>
  <c r="L4385" i="2"/>
  <c r="E4385" i="2"/>
  <c r="D4385" i="2"/>
  <c r="B4385" i="2"/>
  <c r="A4385" i="2"/>
  <c r="O4384" i="2"/>
  <c r="O4383" i="2"/>
  <c r="M4383" i="2"/>
  <c r="L4383" i="2"/>
  <c r="E4383" i="2"/>
  <c r="D4383" i="2"/>
  <c r="B4383" i="2"/>
  <c r="A4383" i="2"/>
  <c r="O4382" i="2"/>
  <c r="M4382" i="2"/>
  <c r="L4382" i="2"/>
  <c r="E4382" i="2"/>
  <c r="D4382" i="2"/>
  <c r="B4382" i="2"/>
  <c r="A4382" i="2"/>
  <c r="O4381" i="2"/>
  <c r="M4381" i="2"/>
  <c r="L4381" i="2"/>
  <c r="E4381" i="2"/>
  <c r="D4381" i="2"/>
  <c r="B4381" i="2"/>
  <c r="A4381" i="2"/>
  <c r="O4380" i="2"/>
  <c r="M4380" i="2"/>
  <c r="L4380" i="2"/>
  <c r="E4380" i="2"/>
  <c r="D4380" i="2"/>
  <c r="B4380" i="2"/>
  <c r="A4380" i="2"/>
  <c r="O4379" i="2"/>
  <c r="M4379" i="2"/>
  <c r="L4379" i="2"/>
  <c r="E4379" i="2"/>
  <c r="D4379" i="2"/>
  <c r="B4379" i="2"/>
  <c r="A4379" i="2"/>
  <c r="O4378" i="2"/>
  <c r="M4378" i="2"/>
  <c r="L4378" i="2"/>
  <c r="E4378" i="2"/>
  <c r="D4378" i="2"/>
  <c r="B4378" i="2"/>
  <c r="A4378" i="2"/>
  <c r="O4377" i="2"/>
  <c r="M4377" i="2"/>
  <c r="L4377" i="2"/>
  <c r="E4377" i="2"/>
  <c r="D4377" i="2"/>
  <c r="B4377" i="2"/>
  <c r="A4377" i="2"/>
  <c r="O4376" i="2"/>
  <c r="M4376" i="2"/>
  <c r="L4376" i="2"/>
  <c r="E4376" i="2"/>
  <c r="D4376" i="2"/>
  <c r="B4376" i="2"/>
  <c r="A4376" i="2"/>
  <c r="O4375" i="2"/>
  <c r="M4375" i="2"/>
  <c r="L4375" i="2"/>
  <c r="E4375" i="2"/>
  <c r="D4375" i="2"/>
  <c r="B4375" i="2"/>
  <c r="A4375" i="2"/>
  <c r="O4374" i="2"/>
  <c r="M4374" i="2"/>
  <c r="L4374" i="2"/>
  <c r="E4374" i="2"/>
  <c r="D4374" i="2"/>
  <c r="B4374" i="2"/>
  <c r="A4374" i="2"/>
  <c r="O4373" i="2"/>
  <c r="M4373" i="2"/>
  <c r="L4373" i="2"/>
  <c r="E4373" i="2"/>
  <c r="D4373" i="2"/>
  <c r="B4373" i="2"/>
  <c r="A4373" i="2"/>
  <c r="O4372" i="2"/>
  <c r="M4372" i="2"/>
  <c r="L4372" i="2"/>
  <c r="E4372" i="2"/>
  <c r="D4372" i="2"/>
  <c r="B4372" i="2"/>
  <c r="A4372" i="2"/>
  <c r="O4371" i="2"/>
  <c r="M4371" i="2"/>
  <c r="L4371" i="2"/>
  <c r="E4371" i="2"/>
  <c r="D4371" i="2"/>
  <c r="B4371" i="2"/>
  <c r="A4371" i="2"/>
  <c r="O4370" i="2"/>
  <c r="M4370" i="2"/>
  <c r="L4370" i="2"/>
  <c r="E4370" i="2"/>
  <c r="D4370" i="2"/>
  <c r="B4370" i="2"/>
  <c r="A4370" i="2"/>
  <c r="O4369" i="2"/>
  <c r="O4368" i="2"/>
  <c r="M4368" i="2"/>
  <c r="L4368" i="2"/>
  <c r="E4368" i="2"/>
  <c r="D4368" i="2"/>
  <c r="B4368" i="2"/>
  <c r="A4368" i="2"/>
  <c r="O4367" i="2"/>
  <c r="M4367" i="2"/>
  <c r="L4367" i="2"/>
  <c r="E4367" i="2"/>
  <c r="D4367" i="2"/>
  <c r="B4367" i="2"/>
  <c r="A4367" i="2"/>
  <c r="O4366" i="2"/>
  <c r="M4366" i="2"/>
  <c r="L4366" i="2"/>
  <c r="E4366" i="2"/>
  <c r="D4366" i="2"/>
  <c r="B4366" i="2"/>
  <c r="A4366" i="2"/>
  <c r="O4365" i="2"/>
  <c r="M4365" i="2"/>
  <c r="L4365" i="2"/>
  <c r="E4365" i="2"/>
  <c r="D4365" i="2"/>
  <c r="B4365" i="2"/>
  <c r="A4365" i="2"/>
  <c r="O4364" i="2"/>
  <c r="M4364" i="2"/>
  <c r="L4364" i="2"/>
  <c r="E4364" i="2"/>
  <c r="D4364" i="2"/>
  <c r="B4364" i="2"/>
  <c r="A4364" i="2"/>
  <c r="O4363" i="2"/>
  <c r="M4363" i="2"/>
  <c r="L4363" i="2"/>
  <c r="E4363" i="2"/>
  <c r="D4363" i="2"/>
  <c r="B4363" i="2"/>
  <c r="A4363" i="2"/>
  <c r="O4362" i="2"/>
  <c r="M4362" i="2"/>
  <c r="L4362" i="2"/>
  <c r="E4362" i="2"/>
  <c r="D4362" i="2"/>
  <c r="B4362" i="2"/>
  <c r="A4362" i="2"/>
  <c r="O4361" i="2"/>
  <c r="M4361" i="2"/>
  <c r="L4361" i="2"/>
  <c r="E4361" i="2"/>
  <c r="D4361" i="2"/>
  <c r="B4361" i="2"/>
  <c r="A4361" i="2"/>
  <c r="O4360" i="2"/>
  <c r="O4359" i="2"/>
  <c r="M4359" i="2"/>
  <c r="L4359" i="2"/>
  <c r="E4359" i="2"/>
  <c r="D4359" i="2"/>
  <c r="B4359" i="2"/>
  <c r="A4359" i="2"/>
  <c r="O4358" i="2"/>
  <c r="M4358" i="2"/>
  <c r="L4358" i="2"/>
  <c r="E4358" i="2"/>
  <c r="D4358" i="2"/>
  <c r="B4358" i="2"/>
  <c r="A4358" i="2"/>
  <c r="O4357" i="2"/>
  <c r="M4357" i="2"/>
  <c r="L4357" i="2"/>
  <c r="E4357" i="2"/>
  <c r="D4357" i="2"/>
  <c r="B4357" i="2"/>
  <c r="A4357" i="2"/>
  <c r="O4356" i="2"/>
  <c r="O4355" i="2"/>
  <c r="M4355" i="2"/>
  <c r="L4355" i="2"/>
  <c r="E4355" i="2"/>
  <c r="D4355" i="2"/>
  <c r="B4355" i="2"/>
  <c r="A4355" i="2"/>
  <c r="O4354" i="2"/>
  <c r="O4353" i="2"/>
  <c r="O4352" i="2"/>
  <c r="M4352" i="2"/>
  <c r="L4352" i="2"/>
  <c r="E4352" i="2"/>
  <c r="D4352" i="2"/>
  <c r="B4352" i="2"/>
  <c r="A4352" i="2"/>
  <c r="O4351" i="2"/>
  <c r="M4351" i="2"/>
  <c r="L4351" i="2"/>
  <c r="E4351" i="2"/>
  <c r="D4351" i="2"/>
  <c r="B4351" i="2"/>
  <c r="A4351" i="2"/>
  <c r="O4350" i="2"/>
  <c r="M4350" i="2"/>
  <c r="L4350" i="2"/>
  <c r="E4350" i="2"/>
  <c r="D4350" i="2"/>
  <c r="B4350" i="2"/>
  <c r="A4350" i="2"/>
  <c r="O4349" i="2"/>
  <c r="M4349" i="2"/>
  <c r="L4349" i="2"/>
  <c r="E4349" i="2"/>
  <c r="D4349" i="2"/>
  <c r="B4349" i="2"/>
  <c r="A4349" i="2"/>
  <c r="O4348" i="2"/>
  <c r="M4348" i="2"/>
  <c r="L4348" i="2"/>
  <c r="E4348" i="2"/>
  <c r="D4348" i="2"/>
  <c r="B4348" i="2"/>
  <c r="A4348" i="2"/>
  <c r="O4347" i="2"/>
  <c r="M4347" i="2"/>
  <c r="L4347" i="2"/>
  <c r="E4347" i="2"/>
  <c r="D4347" i="2"/>
  <c r="B4347" i="2"/>
  <c r="A4347" i="2"/>
  <c r="O4346" i="2"/>
  <c r="M4346" i="2"/>
  <c r="L4346" i="2"/>
  <c r="E4346" i="2"/>
  <c r="D4346" i="2"/>
  <c r="B4346" i="2"/>
  <c r="A4346" i="2"/>
  <c r="O4345" i="2"/>
  <c r="M4345" i="2"/>
  <c r="L4345" i="2"/>
  <c r="E4345" i="2"/>
  <c r="D4345" i="2"/>
  <c r="B4345" i="2"/>
  <c r="A4345" i="2"/>
  <c r="O4344" i="2"/>
  <c r="M4344" i="2"/>
  <c r="L4344" i="2"/>
  <c r="E4344" i="2"/>
  <c r="D4344" i="2"/>
  <c r="B4344" i="2"/>
  <c r="A4344" i="2"/>
  <c r="O4343" i="2"/>
  <c r="M4343" i="2"/>
  <c r="L4343" i="2"/>
  <c r="E4343" i="2"/>
  <c r="D4343" i="2"/>
  <c r="B4343" i="2"/>
  <c r="A4343" i="2"/>
  <c r="O4342" i="2"/>
  <c r="M4342" i="2"/>
  <c r="L4342" i="2"/>
  <c r="E4342" i="2"/>
  <c r="D4342" i="2"/>
  <c r="B4342" i="2"/>
  <c r="A4342" i="2"/>
  <c r="O4341" i="2"/>
  <c r="M4341" i="2"/>
  <c r="L4341" i="2"/>
  <c r="E4341" i="2"/>
  <c r="D4341" i="2"/>
  <c r="B4341" i="2"/>
  <c r="A4341" i="2"/>
  <c r="O4340" i="2"/>
  <c r="O4339" i="2"/>
  <c r="M4339" i="2"/>
  <c r="L4339" i="2"/>
  <c r="E4339" i="2"/>
  <c r="D4339" i="2"/>
  <c r="B4339" i="2"/>
  <c r="A4339" i="2"/>
  <c r="O4338" i="2"/>
  <c r="M4338" i="2"/>
  <c r="L4338" i="2"/>
  <c r="E4338" i="2"/>
  <c r="D4338" i="2"/>
  <c r="B4338" i="2"/>
  <c r="A4338" i="2"/>
  <c r="O4337" i="2"/>
  <c r="M4337" i="2"/>
  <c r="L4337" i="2"/>
  <c r="E4337" i="2"/>
  <c r="D4337" i="2"/>
  <c r="B4337" i="2"/>
  <c r="A4337" i="2"/>
  <c r="O4336" i="2"/>
  <c r="M4336" i="2"/>
  <c r="L4336" i="2"/>
  <c r="E4336" i="2"/>
  <c r="D4336" i="2"/>
  <c r="B4336" i="2"/>
  <c r="A4336" i="2"/>
  <c r="O4335" i="2"/>
  <c r="M4335" i="2"/>
  <c r="L4335" i="2"/>
  <c r="E4335" i="2"/>
  <c r="D4335" i="2"/>
  <c r="B4335" i="2"/>
  <c r="A4335" i="2"/>
  <c r="O4334" i="2"/>
  <c r="M4334" i="2"/>
  <c r="L4334" i="2"/>
  <c r="E4334" i="2"/>
  <c r="D4334" i="2"/>
  <c r="B4334" i="2"/>
  <c r="A4334" i="2"/>
  <c r="O4333" i="2"/>
  <c r="M4333" i="2"/>
  <c r="L4333" i="2"/>
  <c r="E4333" i="2"/>
  <c r="D4333" i="2"/>
  <c r="B4333" i="2"/>
  <c r="A4333" i="2"/>
  <c r="O4332" i="2"/>
  <c r="M4332" i="2"/>
  <c r="L4332" i="2"/>
  <c r="E4332" i="2"/>
  <c r="D4332" i="2"/>
  <c r="B4332" i="2"/>
  <c r="A4332" i="2"/>
  <c r="O4331" i="2"/>
  <c r="M4331" i="2"/>
  <c r="L4331" i="2"/>
  <c r="E4331" i="2"/>
  <c r="D4331" i="2"/>
  <c r="B4331" i="2"/>
  <c r="A4331" i="2"/>
  <c r="O4330" i="2"/>
  <c r="M4330" i="2"/>
  <c r="L4330" i="2"/>
  <c r="E4330" i="2"/>
  <c r="D4330" i="2"/>
  <c r="B4330" i="2"/>
  <c r="A4330" i="2"/>
  <c r="O4329" i="2"/>
  <c r="M4329" i="2"/>
  <c r="L4329" i="2"/>
  <c r="E4329" i="2"/>
  <c r="D4329" i="2"/>
  <c r="B4329" i="2"/>
  <c r="A4329" i="2"/>
  <c r="O4328" i="2"/>
  <c r="M4328" i="2"/>
  <c r="L4328" i="2"/>
  <c r="E4328" i="2"/>
  <c r="D4328" i="2"/>
  <c r="B4328" i="2"/>
  <c r="A4328" i="2"/>
  <c r="O4327" i="2"/>
  <c r="O4326" i="2"/>
  <c r="M4326" i="2"/>
  <c r="L4326" i="2"/>
  <c r="E4326" i="2"/>
  <c r="D4326" i="2"/>
  <c r="B4326" i="2"/>
  <c r="A4326" i="2"/>
  <c r="O4325" i="2"/>
  <c r="M4325" i="2"/>
  <c r="L4325" i="2"/>
  <c r="E4325" i="2"/>
  <c r="D4325" i="2"/>
  <c r="B4325" i="2"/>
  <c r="A4325" i="2"/>
  <c r="O4324" i="2"/>
  <c r="O4323" i="2"/>
  <c r="M4323" i="2"/>
  <c r="L4323" i="2"/>
  <c r="E4323" i="2"/>
  <c r="D4323" i="2"/>
  <c r="B4323" i="2"/>
  <c r="A4323" i="2"/>
  <c r="O4322" i="2"/>
  <c r="M4322" i="2"/>
  <c r="L4322" i="2"/>
  <c r="E4322" i="2"/>
  <c r="D4322" i="2"/>
  <c r="B4322" i="2"/>
  <c r="A4322" i="2"/>
  <c r="O4321" i="2"/>
  <c r="M4321" i="2"/>
  <c r="L4321" i="2"/>
  <c r="E4321" i="2"/>
  <c r="D4321" i="2"/>
  <c r="B4321" i="2"/>
  <c r="A4321" i="2"/>
  <c r="O4320" i="2"/>
  <c r="M4320" i="2"/>
  <c r="L4320" i="2"/>
  <c r="E4320" i="2"/>
  <c r="D4320" i="2"/>
  <c r="B4320" i="2"/>
  <c r="A4320" i="2"/>
  <c r="O4319" i="2"/>
  <c r="M4319" i="2"/>
  <c r="L4319" i="2"/>
  <c r="E4319" i="2"/>
  <c r="D4319" i="2"/>
  <c r="B4319" i="2"/>
  <c r="A4319" i="2"/>
  <c r="O4318" i="2"/>
  <c r="M4318" i="2"/>
  <c r="L4318" i="2"/>
  <c r="E4318" i="2"/>
  <c r="D4318" i="2"/>
  <c r="B4318" i="2"/>
  <c r="A4318" i="2"/>
  <c r="O4317" i="2"/>
  <c r="M4317" i="2"/>
  <c r="L4317" i="2"/>
  <c r="E4317" i="2"/>
  <c r="D4317" i="2"/>
  <c r="B4317" i="2"/>
  <c r="A4317" i="2"/>
  <c r="O4316" i="2"/>
  <c r="O4315" i="2"/>
  <c r="O4314" i="2"/>
  <c r="M4314" i="2"/>
  <c r="L4314" i="2"/>
  <c r="E4314" i="2"/>
  <c r="D4314" i="2"/>
  <c r="B4314" i="2"/>
  <c r="A4314" i="2"/>
  <c r="O4313" i="2"/>
  <c r="M4313" i="2"/>
  <c r="L4313" i="2"/>
  <c r="E4313" i="2"/>
  <c r="D4313" i="2"/>
  <c r="B4313" i="2"/>
  <c r="A4313" i="2"/>
  <c r="O4312" i="2"/>
  <c r="M4312" i="2"/>
  <c r="L4312" i="2"/>
  <c r="E4312" i="2"/>
  <c r="D4312" i="2"/>
  <c r="B4312" i="2"/>
  <c r="A4312" i="2"/>
  <c r="O4311" i="2"/>
  <c r="O4310" i="2"/>
  <c r="M4310" i="2"/>
  <c r="L4310" i="2"/>
  <c r="E4310" i="2"/>
  <c r="D4310" i="2"/>
  <c r="B4310" i="2"/>
  <c r="A4310" i="2"/>
  <c r="O4309" i="2"/>
  <c r="M4309" i="2"/>
  <c r="L4309" i="2"/>
  <c r="E4309" i="2"/>
  <c r="D4309" i="2"/>
  <c r="B4309" i="2"/>
  <c r="A4309" i="2"/>
  <c r="O4308" i="2"/>
  <c r="M4308" i="2"/>
  <c r="L4308" i="2"/>
  <c r="E4308" i="2"/>
  <c r="D4308" i="2"/>
  <c r="B4308" i="2"/>
  <c r="A4308" i="2"/>
  <c r="O4307" i="2"/>
  <c r="M4307" i="2"/>
  <c r="L4307" i="2"/>
  <c r="E4307" i="2"/>
  <c r="D4307" i="2"/>
  <c r="B4307" i="2"/>
  <c r="A4307" i="2"/>
  <c r="O4306" i="2"/>
  <c r="M4306" i="2"/>
  <c r="L4306" i="2"/>
  <c r="E4306" i="2"/>
  <c r="D4306" i="2"/>
  <c r="B4306" i="2"/>
  <c r="A4306" i="2"/>
  <c r="O4305" i="2"/>
  <c r="M4305" i="2"/>
  <c r="L4305" i="2"/>
  <c r="E4305" i="2"/>
  <c r="D4305" i="2"/>
  <c r="B4305" i="2"/>
  <c r="A4305" i="2"/>
  <c r="O4304" i="2"/>
  <c r="M4304" i="2"/>
  <c r="L4304" i="2"/>
  <c r="E4304" i="2"/>
  <c r="D4304" i="2"/>
  <c r="B4304" i="2"/>
  <c r="A4304" i="2"/>
  <c r="O4303" i="2"/>
  <c r="M4303" i="2"/>
  <c r="L4303" i="2"/>
  <c r="E4303" i="2"/>
  <c r="D4303" i="2"/>
  <c r="B4303" i="2"/>
  <c r="A4303" i="2"/>
  <c r="O4302" i="2"/>
  <c r="M4302" i="2"/>
  <c r="L4302" i="2"/>
  <c r="E4302" i="2"/>
  <c r="D4302" i="2"/>
  <c r="B4302" i="2"/>
  <c r="A4302" i="2"/>
  <c r="O4301" i="2"/>
  <c r="M4301" i="2"/>
  <c r="L4301" i="2"/>
  <c r="E4301" i="2"/>
  <c r="D4301" i="2"/>
  <c r="B4301" i="2"/>
  <c r="A4301" i="2"/>
  <c r="O4300" i="2"/>
  <c r="M4300" i="2"/>
  <c r="L4300" i="2"/>
  <c r="E4300" i="2"/>
  <c r="D4300" i="2"/>
  <c r="B4300" i="2"/>
  <c r="A4300" i="2"/>
  <c r="O4299" i="2"/>
  <c r="M4299" i="2"/>
  <c r="L4299" i="2"/>
  <c r="E4299" i="2"/>
  <c r="D4299" i="2"/>
  <c r="B4299" i="2"/>
  <c r="A4299" i="2"/>
  <c r="O4298" i="2"/>
  <c r="M4298" i="2"/>
  <c r="L4298" i="2"/>
  <c r="E4298" i="2"/>
  <c r="D4298" i="2"/>
  <c r="B4298" i="2"/>
  <c r="A4298" i="2"/>
  <c r="O4297" i="2"/>
  <c r="M4297" i="2"/>
  <c r="L4297" i="2"/>
  <c r="E4297" i="2"/>
  <c r="D4297" i="2"/>
  <c r="B4297" i="2"/>
  <c r="A4297" i="2"/>
  <c r="O4296" i="2"/>
  <c r="M4296" i="2"/>
  <c r="L4296" i="2"/>
  <c r="E4296" i="2"/>
  <c r="D4296" i="2"/>
  <c r="B4296" i="2"/>
  <c r="A4296" i="2"/>
  <c r="O4295" i="2"/>
  <c r="O4294" i="2"/>
  <c r="M4294" i="2"/>
  <c r="L4294" i="2"/>
  <c r="E4294" i="2"/>
  <c r="D4294" i="2"/>
  <c r="B4294" i="2"/>
  <c r="A4294" i="2"/>
  <c r="O4293" i="2"/>
  <c r="M4293" i="2"/>
  <c r="L4293" i="2"/>
  <c r="E4293" i="2"/>
  <c r="D4293" i="2"/>
  <c r="B4293" i="2"/>
  <c r="A4293" i="2"/>
  <c r="O4292" i="2"/>
  <c r="M4292" i="2"/>
  <c r="L4292" i="2"/>
  <c r="E4292" i="2"/>
  <c r="D4292" i="2"/>
  <c r="B4292" i="2"/>
  <c r="A4292" i="2"/>
  <c r="O4291" i="2"/>
  <c r="M4291" i="2"/>
  <c r="L4291" i="2"/>
  <c r="E4291" i="2"/>
  <c r="D4291" i="2"/>
  <c r="B4291" i="2"/>
  <c r="A4291" i="2"/>
  <c r="O4290" i="2"/>
  <c r="M4290" i="2"/>
  <c r="L4290" i="2"/>
  <c r="E4290" i="2"/>
  <c r="D4290" i="2"/>
  <c r="B4290" i="2"/>
  <c r="A4290" i="2"/>
  <c r="O4289" i="2"/>
  <c r="M4289" i="2"/>
  <c r="L4289" i="2"/>
  <c r="E4289" i="2"/>
  <c r="D4289" i="2"/>
  <c r="B4289" i="2"/>
  <c r="A4289" i="2"/>
  <c r="O4288" i="2"/>
  <c r="M4288" i="2"/>
  <c r="L4288" i="2"/>
  <c r="E4288" i="2"/>
  <c r="D4288" i="2"/>
  <c r="B4288" i="2"/>
  <c r="A4288" i="2"/>
  <c r="O4287" i="2"/>
  <c r="M4287" i="2"/>
  <c r="L4287" i="2"/>
  <c r="E4287" i="2"/>
  <c r="D4287" i="2"/>
  <c r="B4287" i="2"/>
  <c r="A4287" i="2"/>
  <c r="O4286" i="2"/>
  <c r="M4286" i="2"/>
  <c r="L4286" i="2"/>
  <c r="E4286" i="2"/>
  <c r="D4286" i="2"/>
  <c r="B4286" i="2"/>
  <c r="A4286" i="2"/>
  <c r="O4285" i="2"/>
  <c r="M4285" i="2"/>
  <c r="L4285" i="2"/>
  <c r="E4285" i="2"/>
  <c r="D4285" i="2"/>
  <c r="B4285" i="2"/>
  <c r="A4285" i="2"/>
  <c r="O4284" i="2"/>
  <c r="M4284" i="2"/>
  <c r="L4284" i="2"/>
  <c r="E4284" i="2"/>
  <c r="D4284" i="2"/>
  <c r="B4284" i="2"/>
  <c r="A4284" i="2"/>
  <c r="O4283" i="2"/>
  <c r="M4283" i="2"/>
  <c r="L4283" i="2"/>
  <c r="E4283" i="2"/>
  <c r="D4283" i="2"/>
  <c r="B4283" i="2"/>
  <c r="A4283" i="2"/>
  <c r="O4282" i="2"/>
  <c r="M4282" i="2"/>
  <c r="L4282" i="2"/>
  <c r="E4282" i="2"/>
  <c r="D4282" i="2"/>
  <c r="B4282" i="2"/>
  <c r="A4282" i="2"/>
  <c r="O4281" i="2"/>
  <c r="O4280" i="2"/>
  <c r="M4280" i="2"/>
  <c r="L4280" i="2"/>
  <c r="E4280" i="2"/>
  <c r="D4280" i="2"/>
  <c r="B4280" i="2"/>
  <c r="A4280" i="2"/>
  <c r="O4279" i="2"/>
  <c r="M4279" i="2"/>
  <c r="L4279" i="2"/>
  <c r="E4279" i="2"/>
  <c r="D4279" i="2"/>
  <c r="B4279" i="2"/>
  <c r="A4279" i="2"/>
  <c r="O4278" i="2"/>
  <c r="M4278" i="2"/>
  <c r="L4278" i="2"/>
  <c r="E4278" i="2"/>
  <c r="D4278" i="2"/>
  <c r="B4278" i="2"/>
  <c r="A4278" i="2"/>
  <c r="O4277" i="2"/>
  <c r="M4277" i="2"/>
  <c r="L4277" i="2"/>
  <c r="E4277" i="2"/>
  <c r="D4277" i="2"/>
  <c r="B4277" i="2"/>
  <c r="A4277" i="2"/>
  <c r="O4276" i="2"/>
  <c r="O4275" i="2"/>
  <c r="M4275" i="2"/>
  <c r="L4275" i="2"/>
  <c r="E4275" i="2"/>
  <c r="D4275" i="2"/>
  <c r="B4275" i="2"/>
  <c r="A4275" i="2"/>
  <c r="O4274" i="2"/>
  <c r="O4273" i="2"/>
  <c r="M4273" i="2"/>
  <c r="L4273" i="2"/>
  <c r="E4273" i="2"/>
  <c r="D4273" i="2"/>
  <c r="B4273" i="2"/>
  <c r="A4273" i="2"/>
  <c r="O4272" i="2"/>
  <c r="M4272" i="2"/>
  <c r="L4272" i="2"/>
  <c r="E4272" i="2"/>
  <c r="D4272" i="2"/>
  <c r="B4272" i="2"/>
  <c r="A4272" i="2"/>
  <c r="O4271" i="2"/>
  <c r="M4271" i="2"/>
  <c r="L4271" i="2"/>
  <c r="E4271" i="2"/>
  <c r="D4271" i="2"/>
  <c r="B4271" i="2"/>
  <c r="A4271" i="2"/>
  <c r="O4270" i="2"/>
  <c r="M4270" i="2"/>
  <c r="L4270" i="2"/>
  <c r="E4270" i="2"/>
  <c r="D4270" i="2"/>
  <c r="B4270" i="2"/>
  <c r="A4270" i="2"/>
  <c r="O4269" i="2"/>
  <c r="M4269" i="2"/>
  <c r="L4269" i="2"/>
  <c r="E4269" i="2"/>
  <c r="D4269" i="2"/>
  <c r="B4269" i="2"/>
  <c r="A4269" i="2"/>
  <c r="O4268" i="2"/>
  <c r="O4267" i="2"/>
  <c r="O4266" i="2"/>
  <c r="O4265" i="2"/>
  <c r="M4265" i="2"/>
  <c r="L4265" i="2"/>
  <c r="E4265" i="2"/>
  <c r="D4265" i="2"/>
  <c r="B4265" i="2"/>
  <c r="A4265" i="2"/>
  <c r="O4264" i="2"/>
  <c r="M4264" i="2"/>
  <c r="L4264" i="2"/>
  <c r="E4264" i="2"/>
  <c r="D4264" i="2"/>
  <c r="B4264" i="2"/>
  <c r="A4264" i="2"/>
  <c r="O4263" i="2"/>
  <c r="M4263" i="2"/>
  <c r="L4263" i="2"/>
  <c r="E4263" i="2"/>
  <c r="D4263" i="2"/>
  <c r="B4263" i="2"/>
  <c r="A4263" i="2"/>
  <c r="O4262" i="2"/>
  <c r="M4262" i="2"/>
  <c r="L4262" i="2"/>
  <c r="E4262" i="2"/>
  <c r="D4262" i="2"/>
  <c r="B4262" i="2"/>
  <c r="A4262" i="2"/>
  <c r="O4261" i="2"/>
  <c r="M4261" i="2"/>
  <c r="L4261" i="2"/>
  <c r="E4261" i="2"/>
  <c r="D4261" i="2"/>
  <c r="B4261" i="2"/>
  <c r="A4261" i="2"/>
  <c r="O4260" i="2"/>
  <c r="M4260" i="2"/>
  <c r="L4260" i="2"/>
  <c r="E4260" i="2"/>
  <c r="D4260" i="2"/>
  <c r="B4260" i="2"/>
  <c r="A4260" i="2"/>
  <c r="O4259" i="2"/>
  <c r="M4259" i="2"/>
  <c r="L4259" i="2"/>
  <c r="E4259" i="2"/>
  <c r="D4259" i="2"/>
  <c r="B4259" i="2"/>
  <c r="A4259" i="2"/>
  <c r="O4258" i="2"/>
  <c r="O4257" i="2"/>
  <c r="O4256" i="2"/>
  <c r="O4255" i="2"/>
  <c r="M4255" i="2"/>
  <c r="L4255" i="2"/>
  <c r="E4255" i="2"/>
  <c r="D4255" i="2"/>
  <c r="B4255" i="2"/>
  <c r="A4255" i="2"/>
  <c r="O4254" i="2"/>
  <c r="M4254" i="2"/>
  <c r="L4254" i="2"/>
  <c r="E4254" i="2"/>
  <c r="D4254" i="2"/>
  <c r="B4254" i="2"/>
  <c r="A4254" i="2"/>
  <c r="O4253" i="2"/>
  <c r="O4252" i="2"/>
  <c r="O4251" i="2"/>
  <c r="O4250" i="2"/>
  <c r="M4250" i="2"/>
  <c r="L4250" i="2"/>
  <c r="E4250" i="2"/>
  <c r="D4250" i="2"/>
  <c r="B4250" i="2"/>
  <c r="A4250" i="2"/>
  <c r="O4249" i="2"/>
  <c r="M4249" i="2"/>
  <c r="L4249" i="2"/>
  <c r="E4249" i="2"/>
  <c r="D4249" i="2"/>
  <c r="B4249" i="2"/>
  <c r="A4249" i="2"/>
  <c r="O4248" i="2"/>
  <c r="M4248" i="2"/>
  <c r="L4248" i="2"/>
  <c r="E4248" i="2"/>
  <c r="D4248" i="2"/>
  <c r="B4248" i="2"/>
  <c r="A4248" i="2"/>
  <c r="O4247" i="2"/>
  <c r="M4247" i="2"/>
  <c r="L4247" i="2"/>
  <c r="E4247" i="2"/>
  <c r="D4247" i="2"/>
  <c r="B4247" i="2"/>
  <c r="A4247" i="2"/>
  <c r="O4246" i="2"/>
  <c r="M4246" i="2"/>
  <c r="L4246" i="2"/>
  <c r="E4246" i="2"/>
  <c r="D4246" i="2"/>
  <c r="B4246" i="2"/>
  <c r="A4246" i="2"/>
  <c r="O4245" i="2"/>
  <c r="M4245" i="2"/>
  <c r="L4245" i="2"/>
  <c r="E4245" i="2"/>
  <c r="D4245" i="2"/>
  <c r="B4245" i="2"/>
  <c r="A4245" i="2"/>
  <c r="O4244" i="2"/>
  <c r="M4244" i="2"/>
  <c r="L4244" i="2"/>
  <c r="E4244" i="2"/>
  <c r="D4244" i="2"/>
  <c r="B4244" i="2"/>
  <c r="A4244" i="2"/>
  <c r="O4243" i="2"/>
  <c r="M4243" i="2"/>
  <c r="L4243" i="2"/>
  <c r="E4243" i="2"/>
  <c r="D4243" i="2"/>
  <c r="B4243" i="2"/>
  <c r="A4243" i="2"/>
  <c r="O4242" i="2"/>
  <c r="O4241" i="2"/>
  <c r="M4241" i="2"/>
  <c r="L4241" i="2"/>
  <c r="E4241" i="2"/>
  <c r="D4241" i="2"/>
  <c r="B4241" i="2"/>
  <c r="A4241" i="2"/>
  <c r="O4240" i="2"/>
  <c r="M4240" i="2"/>
  <c r="L4240" i="2"/>
  <c r="E4240" i="2"/>
  <c r="D4240" i="2"/>
  <c r="B4240" i="2"/>
  <c r="A4240" i="2"/>
  <c r="O4239" i="2"/>
  <c r="M4239" i="2"/>
  <c r="L4239" i="2"/>
  <c r="E4239" i="2"/>
  <c r="D4239" i="2"/>
  <c r="B4239" i="2"/>
  <c r="A4239" i="2"/>
  <c r="O4238" i="2"/>
  <c r="O4237" i="2"/>
  <c r="O4236" i="2"/>
  <c r="M4236" i="2"/>
  <c r="L4236" i="2"/>
  <c r="E4236" i="2"/>
  <c r="D4236" i="2"/>
  <c r="B4236" i="2"/>
  <c r="A4236" i="2"/>
  <c r="O4235" i="2"/>
  <c r="M4235" i="2"/>
  <c r="L4235" i="2"/>
  <c r="E4235" i="2"/>
  <c r="D4235" i="2"/>
  <c r="B4235" i="2"/>
  <c r="A4235" i="2"/>
  <c r="O4234" i="2"/>
  <c r="M4234" i="2"/>
  <c r="L4234" i="2"/>
  <c r="E4234" i="2"/>
  <c r="D4234" i="2"/>
  <c r="B4234" i="2"/>
  <c r="A4234" i="2"/>
  <c r="O4233" i="2"/>
  <c r="M4233" i="2"/>
  <c r="L4233" i="2"/>
  <c r="E4233" i="2"/>
  <c r="D4233" i="2"/>
  <c r="B4233" i="2"/>
  <c r="A4233" i="2"/>
  <c r="O4232" i="2"/>
  <c r="M4232" i="2"/>
  <c r="L4232" i="2"/>
  <c r="E4232" i="2"/>
  <c r="D4232" i="2"/>
  <c r="B4232" i="2"/>
  <c r="A4232" i="2"/>
  <c r="O4231" i="2"/>
  <c r="M4231" i="2"/>
  <c r="L4231" i="2"/>
  <c r="E4231" i="2"/>
  <c r="D4231" i="2"/>
  <c r="B4231" i="2"/>
  <c r="A4231" i="2"/>
  <c r="O4230" i="2"/>
  <c r="M4230" i="2"/>
  <c r="L4230" i="2"/>
  <c r="E4230" i="2"/>
  <c r="D4230" i="2"/>
  <c r="B4230" i="2"/>
  <c r="A4230" i="2"/>
  <c r="O4229" i="2"/>
  <c r="M4229" i="2"/>
  <c r="L4229" i="2"/>
  <c r="E4229" i="2"/>
  <c r="D4229" i="2"/>
  <c r="B4229" i="2"/>
  <c r="A4229" i="2"/>
  <c r="O4228" i="2"/>
  <c r="M4228" i="2"/>
  <c r="L4228" i="2"/>
  <c r="E4228" i="2"/>
  <c r="D4228" i="2"/>
  <c r="B4228" i="2"/>
  <c r="A4228" i="2"/>
  <c r="O4227" i="2"/>
  <c r="M4227" i="2"/>
  <c r="L4227" i="2"/>
  <c r="E4227" i="2"/>
  <c r="D4227" i="2"/>
  <c r="B4227" i="2"/>
  <c r="A4227" i="2"/>
  <c r="O4226" i="2"/>
  <c r="M4226" i="2"/>
  <c r="L4226" i="2"/>
  <c r="E4226" i="2"/>
  <c r="D4226" i="2"/>
  <c r="B4226" i="2"/>
  <c r="A4226" i="2"/>
  <c r="O4225" i="2"/>
  <c r="M4225" i="2"/>
  <c r="L4225" i="2"/>
  <c r="E4225" i="2"/>
  <c r="D4225" i="2"/>
  <c r="B4225" i="2"/>
  <c r="A4225" i="2"/>
  <c r="O4224" i="2"/>
  <c r="M4224" i="2"/>
  <c r="L4224" i="2"/>
  <c r="E4224" i="2"/>
  <c r="D4224" i="2"/>
  <c r="B4224" i="2"/>
  <c r="A4224" i="2"/>
  <c r="O4223" i="2"/>
  <c r="M4223" i="2"/>
  <c r="L4223" i="2"/>
  <c r="E4223" i="2"/>
  <c r="D4223" i="2"/>
  <c r="B4223" i="2"/>
  <c r="A4223" i="2"/>
  <c r="O4222" i="2"/>
  <c r="M4222" i="2"/>
  <c r="L4222" i="2"/>
  <c r="E4222" i="2"/>
  <c r="D4222" i="2"/>
  <c r="B4222" i="2"/>
  <c r="A4222" i="2"/>
  <c r="O4221" i="2"/>
  <c r="O4220" i="2"/>
  <c r="O4219" i="2"/>
  <c r="O4218" i="2"/>
  <c r="M4218" i="2"/>
  <c r="L4218" i="2"/>
  <c r="E4218" i="2"/>
  <c r="D4218" i="2"/>
  <c r="B4218" i="2"/>
  <c r="A4218" i="2"/>
  <c r="O4217" i="2"/>
  <c r="M4217" i="2"/>
  <c r="L4217" i="2"/>
  <c r="E4217" i="2"/>
  <c r="D4217" i="2"/>
  <c r="B4217" i="2"/>
  <c r="A4217" i="2"/>
  <c r="O4216" i="2"/>
  <c r="M4216" i="2"/>
  <c r="L4216" i="2"/>
  <c r="E4216" i="2"/>
  <c r="D4216" i="2"/>
  <c r="B4216" i="2"/>
  <c r="A4216" i="2"/>
  <c r="O4215" i="2"/>
  <c r="O4214" i="2"/>
  <c r="M4214" i="2"/>
  <c r="L4214" i="2"/>
  <c r="E4214" i="2"/>
  <c r="D4214" i="2"/>
  <c r="B4214" i="2"/>
  <c r="A4214" i="2"/>
  <c r="O4213" i="2"/>
  <c r="M4213" i="2"/>
  <c r="L4213" i="2"/>
  <c r="E4213" i="2"/>
  <c r="D4213" i="2"/>
  <c r="B4213" i="2"/>
  <c r="A4213" i="2"/>
  <c r="O4212" i="2"/>
  <c r="M4212" i="2"/>
  <c r="L4212" i="2"/>
  <c r="E4212" i="2"/>
  <c r="D4212" i="2"/>
  <c r="B4212" i="2"/>
  <c r="A4212" i="2"/>
  <c r="O4211" i="2"/>
  <c r="O4210" i="2"/>
  <c r="M4210" i="2"/>
  <c r="L4210" i="2"/>
  <c r="E4210" i="2"/>
  <c r="D4210" i="2"/>
  <c r="B4210" i="2"/>
  <c r="A4210" i="2"/>
  <c r="O4209" i="2"/>
  <c r="M4209" i="2"/>
  <c r="L4209" i="2"/>
  <c r="E4209" i="2"/>
  <c r="D4209" i="2"/>
  <c r="B4209" i="2"/>
  <c r="A4209" i="2"/>
  <c r="O4208" i="2"/>
  <c r="M4208" i="2"/>
  <c r="L4208" i="2"/>
  <c r="E4208" i="2"/>
  <c r="D4208" i="2"/>
  <c r="B4208" i="2"/>
  <c r="A4208" i="2"/>
  <c r="O4207" i="2"/>
  <c r="M4207" i="2"/>
  <c r="L4207" i="2"/>
  <c r="E4207" i="2"/>
  <c r="D4207" i="2"/>
  <c r="B4207" i="2"/>
  <c r="A4207" i="2"/>
  <c r="O4206" i="2"/>
  <c r="M4206" i="2"/>
  <c r="L4206" i="2"/>
  <c r="E4206" i="2"/>
  <c r="D4206" i="2"/>
  <c r="B4206" i="2"/>
  <c r="A4206" i="2"/>
  <c r="O4205" i="2"/>
  <c r="M4205" i="2"/>
  <c r="L4205" i="2"/>
  <c r="E4205" i="2"/>
  <c r="D4205" i="2"/>
  <c r="B4205" i="2"/>
  <c r="A4205" i="2"/>
  <c r="O4204" i="2"/>
  <c r="O4203" i="2"/>
  <c r="O4202" i="2"/>
  <c r="O4201" i="2"/>
  <c r="O4200" i="2"/>
  <c r="M4200" i="2"/>
  <c r="L4200" i="2"/>
  <c r="E4200" i="2"/>
  <c r="D4200" i="2"/>
  <c r="B4200" i="2"/>
  <c r="A4200" i="2"/>
  <c r="O4199" i="2"/>
  <c r="M4199" i="2"/>
  <c r="L4199" i="2"/>
  <c r="E4199" i="2"/>
  <c r="D4199" i="2"/>
  <c r="B4199" i="2"/>
  <c r="A4199" i="2"/>
  <c r="O4198" i="2"/>
  <c r="M4198" i="2"/>
  <c r="L4198" i="2"/>
  <c r="E4198" i="2"/>
  <c r="D4198" i="2"/>
  <c r="B4198" i="2"/>
  <c r="A4198" i="2"/>
  <c r="O4197" i="2"/>
  <c r="M4197" i="2"/>
  <c r="L4197" i="2"/>
  <c r="E4197" i="2"/>
  <c r="D4197" i="2"/>
  <c r="B4197" i="2"/>
  <c r="A4197" i="2"/>
  <c r="O4196" i="2"/>
  <c r="M4196" i="2"/>
  <c r="L4196" i="2"/>
  <c r="E4196" i="2"/>
  <c r="D4196" i="2"/>
  <c r="B4196" i="2"/>
  <c r="A4196" i="2"/>
  <c r="O4195" i="2"/>
  <c r="M4195" i="2"/>
  <c r="L4195" i="2"/>
  <c r="E4195" i="2"/>
  <c r="D4195" i="2"/>
  <c r="B4195" i="2"/>
  <c r="A4195" i="2"/>
  <c r="O4194" i="2"/>
  <c r="O4193" i="2"/>
  <c r="M4193" i="2"/>
  <c r="L4193" i="2"/>
  <c r="E4193" i="2"/>
  <c r="D4193" i="2"/>
  <c r="B4193" i="2"/>
  <c r="A4193" i="2"/>
  <c r="O4192" i="2"/>
  <c r="M4192" i="2"/>
  <c r="L4192" i="2"/>
  <c r="E4192" i="2"/>
  <c r="D4192" i="2"/>
  <c r="B4192" i="2"/>
  <c r="A4192" i="2"/>
  <c r="O4191" i="2"/>
  <c r="O4190" i="2"/>
  <c r="M4190" i="2"/>
  <c r="L4190" i="2"/>
  <c r="E4190" i="2"/>
  <c r="D4190" i="2"/>
  <c r="B4190" i="2"/>
  <c r="A4190" i="2"/>
  <c r="O4189" i="2"/>
  <c r="M4189" i="2"/>
  <c r="L4189" i="2"/>
  <c r="E4189" i="2"/>
  <c r="D4189" i="2"/>
  <c r="B4189" i="2"/>
  <c r="A4189" i="2"/>
  <c r="O4188" i="2"/>
  <c r="M4188" i="2"/>
  <c r="L4188" i="2"/>
  <c r="E4188" i="2"/>
  <c r="D4188" i="2"/>
  <c r="B4188" i="2"/>
  <c r="A4188" i="2"/>
  <c r="O4187" i="2"/>
  <c r="M4187" i="2"/>
  <c r="L4187" i="2"/>
  <c r="E4187" i="2"/>
  <c r="D4187" i="2"/>
  <c r="B4187" i="2"/>
  <c r="A4187" i="2"/>
  <c r="O4186" i="2"/>
  <c r="M4186" i="2"/>
  <c r="L4186" i="2"/>
  <c r="E4186" i="2"/>
  <c r="D4186" i="2"/>
  <c r="B4186" i="2"/>
  <c r="A4186" i="2"/>
  <c r="O4185" i="2"/>
  <c r="M4185" i="2"/>
  <c r="L4185" i="2"/>
  <c r="E4185" i="2"/>
  <c r="D4185" i="2"/>
  <c r="B4185" i="2"/>
  <c r="A4185" i="2"/>
  <c r="O4184" i="2"/>
  <c r="M4184" i="2"/>
  <c r="L4184" i="2"/>
  <c r="E4184" i="2"/>
  <c r="D4184" i="2"/>
  <c r="B4184" i="2"/>
  <c r="A4184" i="2"/>
  <c r="O4183" i="2"/>
  <c r="M4183" i="2"/>
  <c r="L4183" i="2"/>
  <c r="E4183" i="2"/>
  <c r="D4183" i="2"/>
  <c r="B4183" i="2"/>
  <c r="A4183" i="2"/>
  <c r="O4182" i="2"/>
  <c r="M4182" i="2"/>
  <c r="L4182" i="2"/>
  <c r="E4182" i="2"/>
  <c r="D4182" i="2"/>
  <c r="B4182" i="2"/>
  <c r="A4182" i="2"/>
  <c r="O4181" i="2"/>
  <c r="O4180" i="2"/>
  <c r="O4179" i="2"/>
  <c r="M4179" i="2"/>
  <c r="L4179" i="2"/>
  <c r="E4179" i="2"/>
  <c r="D4179" i="2"/>
  <c r="B4179" i="2"/>
  <c r="A4179" i="2"/>
  <c r="O4178" i="2"/>
  <c r="M4178" i="2"/>
  <c r="L4178" i="2"/>
  <c r="E4178" i="2"/>
  <c r="D4178" i="2"/>
  <c r="B4178" i="2"/>
  <c r="A4178" i="2"/>
  <c r="O4177" i="2"/>
  <c r="M4177" i="2"/>
  <c r="L4177" i="2"/>
  <c r="E4177" i="2"/>
  <c r="D4177" i="2"/>
  <c r="B4177" i="2"/>
  <c r="A4177" i="2"/>
  <c r="O4176" i="2"/>
  <c r="M4176" i="2"/>
  <c r="L4176" i="2"/>
  <c r="E4176" i="2"/>
  <c r="D4176" i="2"/>
  <c r="B4176" i="2"/>
  <c r="A4176" i="2"/>
  <c r="O4175" i="2"/>
  <c r="M4175" i="2"/>
  <c r="L4175" i="2"/>
  <c r="E4175" i="2"/>
  <c r="D4175" i="2"/>
  <c r="B4175" i="2"/>
  <c r="A4175" i="2"/>
  <c r="O4174" i="2"/>
  <c r="M4174" i="2"/>
  <c r="L4174" i="2"/>
  <c r="E4174" i="2"/>
  <c r="D4174" i="2"/>
  <c r="B4174" i="2"/>
  <c r="A4174" i="2"/>
  <c r="O4173" i="2"/>
  <c r="M4173" i="2"/>
  <c r="L4173" i="2"/>
  <c r="E4173" i="2"/>
  <c r="D4173" i="2"/>
  <c r="B4173" i="2"/>
  <c r="A4173" i="2"/>
  <c r="O4172" i="2"/>
  <c r="M4172" i="2"/>
  <c r="L4172" i="2"/>
  <c r="E4172" i="2"/>
  <c r="D4172" i="2"/>
  <c r="B4172" i="2"/>
  <c r="A4172" i="2"/>
  <c r="O4171" i="2"/>
  <c r="M4171" i="2"/>
  <c r="L4171" i="2"/>
  <c r="E4171" i="2"/>
  <c r="D4171" i="2"/>
  <c r="B4171" i="2"/>
  <c r="A4171" i="2"/>
  <c r="O4170" i="2"/>
  <c r="M4170" i="2"/>
  <c r="L4170" i="2"/>
  <c r="E4170" i="2"/>
  <c r="D4170" i="2"/>
  <c r="B4170" i="2"/>
  <c r="A4170" i="2"/>
  <c r="O4169" i="2"/>
  <c r="M4169" i="2"/>
  <c r="L4169" i="2"/>
  <c r="E4169" i="2"/>
  <c r="D4169" i="2"/>
  <c r="B4169" i="2"/>
  <c r="A4169" i="2"/>
  <c r="O4168" i="2"/>
  <c r="M4168" i="2"/>
  <c r="L4168" i="2"/>
  <c r="E4168" i="2"/>
  <c r="D4168" i="2"/>
  <c r="B4168" i="2"/>
  <c r="A4168" i="2"/>
  <c r="O4167" i="2"/>
  <c r="M4167" i="2"/>
  <c r="L4167" i="2"/>
  <c r="E4167" i="2"/>
  <c r="D4167" i="2"/>
  <c r="B4167" i="2"/>
  <c r="A4167" i="2"/>
  <c r="O4166" i="2"/>
  <c r="M4166" i="2"/>
  <c r="L4166" i="2"/>
  <c r="E4166" i="2"/>
  <c r="D4166" i="2"/>
  <c r="B4166" i="2"/>
  <c r="A4166" i="2"/>
  <c r="O4165" i="2"/>
  <c r="M4165" i="2"/>
  <c r="L4165" i="2"/>
  <c r="E4165" i="2"/>
  <c r="D4165" i="2"/>
  <c r="B4165" i="2"/>
  <c r="A4165" i="2"/>
  <c r="O4164" i="2"/>
  <c r="M4164" i="2"/>
  <c r="L4164" i="2"/>
  <c r="E4164" i="2"/>
  <c r="D4164" i="2"/>
  <c r="B4164" i="2"/>
  <c r="A4164" i="2"/>
  <c r="O4163" i="2"/>
  <c r="M4163" i="2"/>
  <c r="L4163" i="2"/>
  <c r="E4163" i="2"/>
  <c r="D4163" i="2"/>
  <c r="B4163" i="2"/>
  <c r="A4163" i="2"/>
  <c r="O4162" i="2"/>
  <c r="M4162" i="2"/>
  <c r="L4162" i="2"/>
  <c r="E4162" i="2"/>
  <c r="D4162" i="2"/>
  <c r="B4162" i="2"/>
  <c r="A4162" i="2"/>
  <c r="O4161" i="2"/>
  <c r="M4161" i="2"/>
  <c r="L4161" i="2"/>
  <c r="E4161" i="2"/>
  <c r="D4161" i="2"/>
  <c r="B4161" i="2"/>
  <c r="A4161" i="2"/>
  <c r="O4160" i="2"/>
  <c r="M4160" i="2"/>
  <c r="L4160" i="2"/>
  <c r="E4160" i="2"/>
  <c r="D4160" i="2"/>
  <c r="B4160" i="2"/>
  <c r="A4160" i="2"/>
  <c r="O4159" i="2"/>
  <c r="M4159" i="2"/>
  <c r="L4159" i="2"/>
  <c r="E4159" i="2"/>
  <c r="D4159" i="2"/>
  <c r="B4159" i="2"/>
  <c r="A4159" i="2"/>
  <c r="O4158" i="2"/>
  <c r="M4158" i="2"/>
  <c r="L4158" i="2"/>
  <c r="E4158" i="2"/>
  <c r="D4158" i="2"/>
  <c r="B4158" i="2"/>
  <c r="A4158" i="2"/>
  <c r="O4157" i="2"/>
  <c r="M4157" i="2"/>
  <c r="L4157" i="2"/>
  <c r="E4157" i="2"/>
  <c r="D4157" i="2"/>
  <c r="B4157" i="2"/>
  <c r="A4157" i="2"/>
  <c r="O4156" i="2"/>
  <c r="M4156" i="2"/>
  <c r="L4156" i="2"/>
  <c r="E4156" i="2"/>
  <c r="D4156" i="2"/>
  <c r="B4156" i="2"/>
  <c r="A4156" i="2"/>
  <c r="O4155" i="2"/>
  <c r="O4154" i="2"/>
  <c r="O4153" i="2"/>
  <c r="O4152" i="2"/>
  <c r="M4152" i="2"/>
  <c r="L4152" i="2"/>
  <c r="E4152" i="2"/>
  <c r="D4152" i="2"/>
  <c r="B4152" i="2"/>
  <c r="A4152" i="2"/>
  <c r="O4151" i="2"/>
  <c r="O4150" i="2"/>
  <c r="O4149" i="2"/>
  <c r="O4148" i="2"/>
  <c r="M4148" i="2"/>
  <c r="L4148" i="2"/>
  <c r="E4148" i="2"/>
  <c r="D4148" i="2"/>
  <c r="B4148" i="2"/>
  <c r="A4148" i="2"/>
  <c r="O4147" i="2"/>
  <c r="O4146" i="2"/>
  <c r="M4146" i="2"/>
  <c r="L4146" i="2"/>
  <c r="E4146" i="2"/>
  <c r="D4146" i="2"/>
  <c r="B4146" i="2"/>
  <c r="A4146" i="2"/>
  <c r="O4145" i="2"/>
  <c r="M4145" i="2"/>
  <c r="L4145" i="2"/>
  <c r="E4145" i="2"/>
  <c r="D4145" i="2"/>
  <c r="B4145" i="2"/>
  <c r="A4145" i="2"/>
  <c r="O4144" i="2"/>
  <c r="M4144" i="2"/>
  <c r="L4144" i="2"/>
  <c r="E4144" i="2"/>
  <c r="D4144" i="2"/>
  <c r="B4144" i="2"/>
  <c r="A4144" i="2"/>
  <c r="O4143" i="2"/>
  <c r="O4142" i="2"/>
  <c r="M4142" i="2"/>
  <c r="L4142" i="2"/>
  <c r="E4142" i="2"/>
  <c r="D4142" i="2"/>
  <c r="B4142" i="2"/>
  <c r="A4142" i="2"/>
  <c r="O4141" i="2"/>
  <c r="O4140" i="2"/>
  <c r="M4140" i="2"/>
  <c r="L4140" i="2"/>
  <c r="E4140" i="2"/>
  <c r="D4140" i="2"/>
  <c r="B4140" i="2"/>
  <c r="A4140" i="2"/>
  <c r="O4139" i="2"/>
  <c r="M4139" i="2"/>
  <c r="L4139" i="2"/>
  <c r="E4139" i="2"/>
  <c r="D4139" i="2"/>
  <c r="B4139" i="2"/>
  <c r="A4139" i="2"/>
  <c r="O4138" i="2"/>
  <c r="M4138" i="2"/>
  <c r="L4138" i="2"/>
  <c r="E4138" i="2"/>
  <c r="D4138" i="2"/>
  <c r="B4138" i="2"/>
  <c r="A4138" i="2"/>
  <c r="O4137" i="2"/>
  <c r="O4136" i="2"/>
  <c r="M4136" i="2"/>
  <c r="L4136" i="2"/>
  <c r="E4136" i="2"/>
  <c r="D4136" i="2"/>
  <c r="B4136" i="2"/>
  <c r="A4136" i="2"/>
  <c r="O4135" i="2"/>
  <c r="M4135" i="2"/>
  <c r="L4135" i="2"/>
  <c r="E4135" i="2"/>
  <c r="D4135" i="2"/>
  <c r="B4135" i="2"/>
  <c r="A4135" i="2"/>
  <c r="O4134" i="2"/>
  <c r="M4134" i="2"/>
  <c r="L4134" i="2"/>
  <c r="E4134" i="2"/>
  <c r="D4134" i="2"/>
  <c r="B4134" i="2"/>
  <c r="A4134" i="2"/>
  <c r="O4133" i="2"/>
  <c r="M4133" i="2"/>
  <c r="L4133" i="2"/>
  <c r="E4133" i="2"/>
  <c r="D4133" i="2"/>
  <c r="B4133" i="2"/>
  <c r="A4133" i="2"/>
  <c r="O4132" i="2"/>
  <c r="M4132" i="2"/>
  <c r="L4132" i="2"/>
  <c r="E4132" i="2"/>
  <c r="D4132" i="2"/>
  <c r="B4132" i="2"/>
  <c r="A4132" i="2"/>
  <c r="O4131" i="2"/>
  <c r="M4131" i="2"/>
  <c r="L4131" i="2"/>
  <c r="E4131" i="2"/>
  <c r="D4131" i="2"/>
  <c r="B4131" i="2"/>
  <c r="A4131" i="2"/>
  <c r="O4130" i="2"/>
  <c r="M4130" i="2"/>
  <c r="L4130" i="2"/>
  <c r="E4130" i="2"/>
  <c r="D4130" i="2"/>
  <c r="B4130" i="2"/>
  <c r="A4130" i="2"/>
  <c r="O4129" i="2"/>
  <c r="M4129" i="2"/>
  <c r="L4129" i="2"/>
  <c r="E4129" i="2"/>
  <c r="D4129" i="2"/>
  <c r="B4129" i="2"/>
  <c r="A4129" i="2"/>
  <c r="O4128" i="2"/>
  <c r="M4128" i="2"/>
  <c r="L4128" i="2"/>
  <c r="E4128" i="2"/>
  <c r="D4128" i="2"/>
  <c r="B4128" i="2"/>
  <c r="A4128" i="2"/>
  <c r="O4127" i="2"/>
  <c r="M4127" i="2"/>
  <c r="L4127" i="2"/>
  <c r="E4127" i="2"/>
  <c r="D4127" i="2"/>
  <c r="B4127" i="2"/>
  <c r="A4127" i="2"/>
  <c r="O4126" i="2"/>
  <c r="M4126" i="2"/>
  <c r="L4126" i="2"/>
  <c r="E4126" i="2"/>
  <c r="D4126" i="2"/>
  <c r="B4126" i="2"/>
  <c r="A4126" i="2"/>
  <c r="O4125" i="2"/>
  <c r="M4125" i="2"/>
  <c r="L4125" i="2"/>
  <c r="E4125" i="2"/>
  <c r="D4125" i="2"/>
  <c r="B4125" i="2"/>
  <c r="A4125" i="2"/>
  <c r="O4124" i="2"/>
  <c r="M4124" i="2"/>
  <c r="L4124" i="2"/>
  <c r="E4124" i="2"/>
  <c r="D4124" i="2"/>
  <c r="B4124" i="2"/>
  <c r="A4124" i="2"/>
  <c r="O4123" i="2"/>
  <c r="M4123" i="2"/>
  <c r="L4123" i="2"/>
  <c r="E4123" i="2"/>
  <c r="D4123" i="2"/>
  <c r="B4123" i="2"/>
  <c r="A4123" i="2"/>
  <c r="O4122" i="2"/>
  <c r="O4121" i="2"/>
  <c r="O4120" i="2"/>
  <c r="O4119" i="2"/>
  <c r="O4118" i="2"/>
  <c r="M4118" i="2"/>
  <c r="L4118" i="2"/>
  <c r="E4118" i="2"/>
  <c r="D4118" i="2"/>
  <c r="B4118" i="2"/>
  <c r="A4118" i="2"/>
  <c r="O4117" i="2"/>
  <c r="M4117" i="2"/>
  <c r="L4117" i="2"/>
  <c r="E4117" i="2"/>
  <c r="D4117" i="2"/>
  <c r="B4117" i="2"/>
  <c r="A4117" i="2"/>
  <c r="O4116" i="2"/>
  <c r="M4116" i="2"/>
  <c r="L4116" i="2"/>
  <c r="E4116" i="2"/>
  <c r="D4116" i="2"/>
  <c r="B4116" i="2"/>
  <c r="A4116" i="2"/>
  <c r="O4115" i="2"/>
  <c r="M4115" i="2"/>
  <c r="L4115" i="2"/>
  <c r="E4115" i="2"/>
  <c r="D4115" i="2"/>
  <c r="B4115" i="2"/>
  <c r="A4115" i="2"/>
  <c r="O4114" i="2"/>
  <c r="M4114" i="2"/>
  <c r="L4114" i="2"/>
  <c r="E4114" i="2"/>
  <c r="D4114" i="2"/>
  <c r="B4114" i="2"/>
  <c r="A4114" i="2"/>
  <c r="O4113" i="2"/>
  <c r="M4113" i="2"/>
  <c r="L4113" i="2"/>
  <c r="E4113" i="2"/>
  <c r="D4113" i="2"/>
  <c r="B4113" i="2"/>
  <c r="A4113" i="2"/>
  <c r="O4112" i="2"/>
  <c r="M4112" i="2"/>
  <c r="L4112" i="2"/>
  <c r="E4112" i="2"/>
  <c r="D4112" i="2"/>
  <c r="B4112" i="2"/>
  <c r="A4112" i="2"/>
  <c r="O4111" i="2"/>
  <c r="M4111" i="2"/>
  <c r="L4111" i="2"/>
  <c r="E4111" i="2"/>
  <c r="D4111" i="2"/>
  <c r="B4111" i="2"/>
  <c r="A4111" i="2"/>
  <c r="O4110" i="2"/>
  <c r="M4110" i="2"/>
  <c r="L4110" i="2"/>
  <c r="E4110" i="2"/>
  <c r="D4110" i="2"/>
  <c r="B4110" i="2"/>
  <c r="A4110" i="2"/>
  <c r="O4109" i="2"/>
  <c r="M4109" i="2"/>
  <c r="L4109" i="2"/>
  <c r="E4109" i="2"/>
  <c r="D4109" i="2"/>
  <c r="B4109" i="2"/>
  <c r="A4109" i="2"/>
  <c r="O4108" i="2"/>
  <c r="M4108" i="2"/>
  <c r="L4108" i="2"/>
  <c r="E4108" i="2"/>
  <c r="D4108" i="2"/>
  <c r="B4108" i="2"/>
  <c r="A4108" i="2"/>
  <c r="O4107" i="2"/>
  <c r="M4107" i="2"/>
  <c r="L4107" i="2"/>
  <c r="E4107" i="2"/>
  <c r="D4107" i="2"/>
  <c r="B4107" i="2"/>
  <c r="A4107" i="2"/>
  <c r="O4106" i="2"/>
  <c r="M4106" i="2"/>
  <c r="L4106" i="2"/>
  <c r="E4106" i="2"/>
  <c r="D4106" i="2"/>
  <c r="B4106" i="2"/>
  <c r="A4106" i="2"/>
  <c r="O4105" i="2"/>
  <c r="M4105" i="2"/>
  <c r="L4105" i="2"/>
  <c r="E4105" i="2"/>
  <c r="D4105" i="2"/>
  <c r="B4105" i="2"/>
  <c r="A4105" i="2"/>
  <c r="O4104" i="2"/>
  <c r="M4104" i="2"/>
  <c r="L4104" i="2"/>
  <c r="E4104" i="2"/>
  <c r="D4104" i="2"/>
  <c r="B4104" i="2"/>
  <c r="A4104" i="2"/>
  <c r="O4103" i="2"/>
  <c r="M4103" i="2"/>
  <c r="L4103" i="2"/>
  <c r="E4103" i="2"/>
  <c r="D4103" i="2"/>
  <c r="B4103" i="2"/>
  <c r="A4103" i="2"/>
  <c r="O4102" i="2"/>
  <c r="M4102" i="2"/>
  <c r="L4102" i="2"/>
  <c r="E4102" i="2"/>
  <c r="D4102" i="2"/>
  <c r="B4102" i="2"/>
  <c r="A4102" i="2"/>
  <c r="O4101" i="2"/>
  <c r="M4101" i="2"/>
  <c r="L4101" i="2"/>
  <c r="E4101" i="2"/>
  <c r="D4101" i="2"/>
  <c r="B4101" i="2"/>
  <c r="A4101" i="2"/>
  <c r="O4100" i="2"/>
  <c r="M4100" i="2"/>
  <c r="L4100" i="2"/>
  <c r="E4100" i="2"/>
  <c r="D4100" i="2"/>
  <c r="B4100" i="2"/>
  <c r="A4100" i="2"/>
  <c r="O4099" i="2"/>
  <c r="M4099" i="2"/>
  <c r="L4099" i="2"/>
  <c r="E4099" i="2"/>
  <c r="D4099" i="2"/>
  <c r="B4099" i="2"/>
  <c r="A4099" i="2"/>
  <c r="O4098" i="2"/>
  <c r="M4098" i="2"/>
  <c r="L4098" i="2"/>
  <c r="E4098" i="2"/>
  <c r="D4098" i="2"/>
  <c r="B4098" i="2"/>
  <c r="A4098" i="2"/>
  <c r="O4097" i="2"/>
  <c r="M4097" i="2"/>
  <c r="L4097" i="2"/>
  <c r="E4097" i="2"/>
  <c r="D4097" i="2"/>
  <c r="B4097" i="2"/>
  <c r="A4097" i="2"/>
  <c r="O4096" i="2"/>
  <c r="M4096" i="2"/>
  <c r="L4096" i="2"/>
  <c r="E4096" i="2"/>
  <c r="D4096" i="2"/>
  <c r="B4096" i="2"/>
  <c r="A4096" i="2"/>
  <c r="O4095" i="2"/>
  <c r="M4095" i="2"/>
  <c r="L4095" i="2"/>
  <c r="E4095" i="2"/>
  <c r="D4095" i="2"/>
  <c r="B4095" i="2"/>
  <c r="A4095" i="2"/>
  <c r="O4094" i="2"/>
  <c r="M4094" i="2"/>
  <c r="L4094" i="2"/>
  <c r="E4094" i="2"/>
  <c r="D4094" i="2"/>
  <c r="B4094" i="2"/>
  <c r="A4094" i="2"/>
  <c r="O4093" i="2"/>
  <c r="O4092" i="2"/>
  <c r="M4092" i="2"/>
  <c r="L4092" i="2"/>
  <c r="E4092" i="2"/>
  <c r="D4092" i="2"/>
  <c r="B4092" i="2"/>
  <c r="A4092" i="2"/>
  <c r="O4091" i="2"/>
  <c r="M4091" i="2"/>
  <c r="L4091" i="2"/>
  <c r="E4091" i="2"/>
  <c r="D4091" i="2"/>
  <c r="B4091" i="2"/>
  <c r="A4091" i="2"/>
  <c r="O4090" i="2"/>
  <c r="M4090" i="2"/>
  <c r="L4090" i="2"/>
  <c r="E4090" i="2"/>
  <c r="D4090" i="2"/>
  <c r="B4090" i="2"/>
  <c r="A4090" i="2"/>
  <c r="O4089" i="2"/>
  <c r="M4089" i="2"/>
  <c r="L4089" i="2"/>
  <c r="E4089" i="2"/>
  <c r="D4089" i="2"/>
  <c r="B4089" i="2"/>
  <c r="A4089" i="2"/>
  <c r="O4088" i="2"/>
  <c r="M4088" i="2"/>
  <c r="L4088" i="2"/>
  <c r="E4088" i="2"/>
  <c r="D4088" i="2"/>
  <c r="B4088" i="2"/>
  <c r="A4088" i="2"/>
  <c r="O4087" i="2"/>
  <c r="O4086" i="2"/>
  <c r="O4085" i="2"/>
  <c r="M4085" i="2"/>
  <c r="L4085" i="2"/>
  <c r="E4085" i="2"/>
  <c r="D4085" i="2"/>
  <c r="B4085" i="2"/>
  <c r="A4085" i="2"/>
  <c r="O4084" i="2"/>
  <c r="M4084" i="2"/>
  <c r="L4084" i="2"/>
  <c r="E4084" i="2"/>
  <c r="D4084" i="2"/>
  <c r="B4084" i="2"/>
  <c r="A4084" i="2"/>
  <c r="O4083" i="2"/>
  <c r="M4083" i="2"/>
  <c r="L4083" i="2"/>
  <c r="E4083" i="2"/>
  <c r="D4083" i="2"/>
  <c r="B4083" i="2"/>
  <c r="A4083" i="2"/>
  <c r="O4082" i="2"/>
  <c r="M4082" i="2"/>
  <c r="L4082" i="2"/>
  <c r="E4082" i="2"/>
  <c r="D4082" i="2"/>
  <c r="B4082" i="2"/>
  <c r="A4082" i="2"/>
  <c r="O4081" i="2"/>
  <c r="M4081" i="2"/>
  <c r="L4081" i="2"/>
  <c r="E4081" i="2"/>
  <c r="D4081" i="2"/>
  <c r="B4081" i="2"/>
  <c r="A4081" i="2"/>
  <c r="O4080" i="2"/>
  <c r="O4079" i="2"/>
  <c r="O4078" i="2"/>
  <c r="O4077" i="2"/>
  <c r="O4076" i="2"/>
  <c r="O4075" i="2"/>
  <c r="O4074" i="2"/>
  <c r="O4073" i="2"/>
  <c r="O4072" i="2"/>
  <c r="O4071" i="2"/>
  <c r="O4070" i="2"/>
  <c r="O4069" i="2"/>
  <c r="M4069" i="2"/>
  <c r="L4069" i="2"/>
  <c r="E4069" i="2"/>
  <c r="D4069" i="2"/>
  <c r="B4069" i="2"/>
  <c r="A4069" i="2"/>
  <c r="O4068" i="2"/>
  <c r="M4068" i="2"/>
  <c r="L4068" i="2"/>
  <c r="E4068" i="2"/>
  <c r="D4068" i="2"/>
  <c r="B4068" i="2"/>
  <c r="A4068" i="2"/>
  <c r="O4067" i="2"/>
  <c r="M4067" i="2"/>
  <c r="L4067" i="2"/>
  <c r="E4067" i="2"/>
  <c r="D4067" i="2"/>
  <c r="B4067" i="2"/>
  <c r="A4067" i="2"/>
  <c r="O4066" i="2"/>
  <c r="O4065" i="2"/>
  <c r="O4064" i="2"/>
  <c r="M4064" i="2"/>
  <c r="L4064" i="2"/>
  <c r="E4064" i="2"/>
  <c r="D4064" i="2"/>
  <c r="B4064" i="2"/>
  <c r="A4064" i="2"/>
  <c r="O4063" i="2"/>
  <c r="M4063" i="2"/>
  <c r="L4063" i="2"/>
  <c r="E4063" i="2"/>
  <c r="D4063" i="2"/>
  <c r="B4063" i="2"/>
  <c r="A4063" i="2"/>
  <c r="O4062" i="2"/>
  <c r="M4062" i="2"/>
  <c r="L4062" i="2"/>
  <c r="E4062" i="2"/>
  <c r="D4062" i="2"/>
  <c r="B4062" i="2"/>
  <c r="A4062" i="2"/>
  <c r="O4061" i="2"/>
  <c r="M4061" i="2"/>
  <c r="L4061" i="2"/>
  <c r="E4061" i="2"/>
  <c r="D4061" i="2"/>
  <c r="B4061" i="2"/>
  <c r="A4061" i="2"/>
  <c r="O4060" i="2"/>
  <c r="M4060" i="2"/>
  <c r="L4060" i="2"/>
  <c r="E4060" i="2"/>
  <c r="D4060" i="2"/>
  <c r="B4060" i="2"/>
  <c r="A4060" i="2"/>
  <c r="O4059" i="2"/>
  <c r="M4059" i="2"/>
  <c r="L4059" i="2"/>
  <c r="E4059" i="2"/>
  <c r="D4059" i="2"/>
  <c r="B4059" i="2"/>
  <c r="A4059" i="2"/>
  <c r="O4058" i="2"/>
  <c r="M4058" i="2"/>
  <c r="L4058" i="2"/>
  <c r="E4058" i="2"/>
  <c r="D4058" i="2"/>
  <c r="B4058" i="2"/>
  <c r="A4058" i="2"/>
  <c r="O4057" i="2"/>
  <c r="M4057" i="2"/>
  <c r="L4057" i="2"/>
  <c r="E4057" i="2"/>
  <c r="D4057" i="2"/>
  <c r="B4057" i="2"/>
  <c r="A4057" i="2"/>
  <c r="O4056" i="2"/>
  <c r="M4056" i="2"/>
  <c r="L4056" i="2"/>
  <c r="E4056" i="2"/>
  <c r="D4056" i="2"/>
  <c r="B4056" i="2"/>
  <c r="A4056" i="2"/>
  <c r="O4055" i="2"/>
  <c r="M4055" i="2"/>
  <c r="L4055" i="2"/>
  <c r="E4055" i="2"/>
  <c r="D4055" i="2"/>
  <c r="B4055" i="2"/>
  <c r="A4055" i="2"/>
  <c r="O4054" i="2"/>
  <c r="M4054" i="2"/>
  <c r="L4054" i="2"/>
  <c r="E4054" i="2"/>
  <c r="D4054" i="2"/>
  <c r="B4054" i="2"/>
  <c r="A4054" i="2"/>
  <c r="O4053" i="2"/>
  <c r="O4052" i="2"/>
  <c r="M4052" i="2"/>
  <c r="L4052" i="2"/>
  <c r="E4052" i="2"/>
  <c r="D4052" i="2"/>
  <c r="B4052" i="2"/>
  <c r="A4052" i="2"/>
  <c r="O4051" i="2"/>
  <c r="O4050" i="2"/>
  <c r="M4050" i="2"/>
  <c r="L4050" i="2"/>
  <c r="E4050" i="2"/>
  <c r="D4050" i="2"/>
  <c r="B4050" i="2"/>
  <c r="A4050" i="2"/>
  <c r="O4049" i="2"/>
  <c r="M4049" i="2"/>
  <c r="L4049" i="2"/>
  <c r="E4049" i="2"/>
  <c r="D4049" i="2"/>
  <c r="B4049" i="2"/>
  <c r="A4049" i="2"/>
  <c r="O4048" i="2"/>
  <c r="M4048" i="2"/>
  <c r="L4048" i="2"/>
  <c r="E4048" i="2"/>
  <c r="D4048" i="2"/>
  <c r="B4048" i="2"/>
  <c r="A4048" i="2"/>
  <c r="O4047" i="2"/>
  <c r="O4046" i="2"/>
  <c r="O4045" i="2"/>
  <c r="O4044" i="2"/>
  <c r="M4044" i="2"/>
  <c r="L4044" i="2"/>
  <c r="E4044" i="2"/>
  <c r="D4044" i="2"/>
  <c r="B4044" i="2"/>
  <c r="A4044" i="2"/>
  <c r="O4043" i="2"/>
  <c r="M4043" i="2"/>
  <c r="L4043" i="2"/>
  <c r="E4043" i="2"/>
  <c r="D4043" i="2"/>
  <c r="B4043" i="2"/>
  <c r="A4043" i="2"/>
  <c r="O4042" i="2"/>
  <c r="M4042" i="2"/>
  <c r="L4042" i="2"/>
  <c r="E4042" i="2"/>
  <c r="D4042" i="2"/>
  <c r="B4042" i="2"/>
  <c r="A4042" i="2"/>
  <c r="O4041" i="2"/>
  <c r="M4041" i="2"/>
  <c r="L4041" i="2"/>
  <c r="E4041" i="2"/>
  <c r="D4041" i="2"/>
  <c r="B4041" i="2"/>
  <c r="A4041" i="2"/>
  <c r="O4040" i="2"/>
  <c r="O4039" i="2"/>
  <c r="M4039" i="2"/>
  <c r="L4039" i="2"/>
  <c r="E4039" i="2"/>
  <c r="D4039" i="2"/>
  <c r="B4039" i="2"/>
  <c r="A4039" i="2"/>
  <c r="O4038" i="2"/>
  <c r="M4038" i="2"/>
  <c r="L4038" i="2"/>
  <c r="E4038" i="2"/>
  <c r="D4038" i="2"/>
  <c r="B4038" i="2"/>
  <c r="A4038" i="2"/>
  <c r="O4037" i="2"/>
  <c r="O4036" i="2"/>
  <c r="M4036" i="2"/>
  <c r="L4036" i="2"/>
  <c r="E4036" i="2"/>
  <c r="D4036" i="2"/>
  <c r="B4036" i="2"/>
  <c r="A4036" i="2"/>
  <c r="O4035" i="2"/>
  <c r="O4034" i="2"/>
  <c r="M4034" i="2"/>
  <c r="L4034" i="2"/>
  <c r="E4034" i="2"/>
  <c r="D4034" i="2"/>
  <c r="B4034" i="2"/>
  <c r="A4034" i="2"/>
  <c r="O4033" i="2"/>
  <c r="M4033" i="2"/>
  <c r="L4033" i="2"/>
  <c r="E4033" i="2"/>
  <c r="D4033" i="2"/>
  <c r="B4033" i="2"/>
  <c r="A4033" i="2"/>
  <c r="O4032" i="2"/>
  <c r="O4031" i="2"/>
  <c r="M4031" i="2"/>
  <c r="L4031" i="2"/>
  <c r="E4031" i="2"/>
  <c r="D4031" i="2"/>
  <c r="B4031" i="2"/>
  <c r="A4031" i="2"/>
  <c r="O4030" i="2"/>
  <c r="M4030" i="2"/>
  <c r="L4030" i="2"/>
  <c r="E4030" i="2"/>
  <c r="D4030" i="2"/>
  <c r="B4030" i="2"/>
  <c r="A4030" i="2"/>
  <c r="O4029" i="2"/>
  <c r="M4029" i="2"/>
  <c r="L4029" i="2"/>
  <c r="E4029" i="2"/>
  <c r="D4029" i="2"/>
  <c r="B4029" i="2"/>
  <c r="A4029" i="2"/>
  <c r="O4028" i="2"/>
  <c r="M4028" i="2"/>
  <c r="L4028" i="2"/>
  <c r="E4028" i="2"/>
  <c r="D4028" i="2"/>
  <c r="B4028" i="2"/>
  <c r="A4028" i="2"/>
  <c r="O4027" i="2"/>
  <c r="M4027" i="2"/>
  <c r="L4027" i="2"/>
  <c r="E4027" i="2"/>
  <c r="D4027" i="2"/>
  <c r="B4027" i="2"/>
  <c r="A4027" i="2"/>
  <c r="O4026" i="2"/>
  <c r="M4026" i="2"/>
  <c r="L4026" i="2"/>
  <c r="E4026" i="2"/>
  <c r="D4026" i="2"/>
  <c r="B4026" i="2"/>
  <c r="A4026" i="2"/>
  <c r="O4025" i="2"/>
  <c r="M4025" i="2"/>
  <c r="L4025" i="2"/>
  <c r="E4025" i="2"/>
  <c r="D4025" i="2"/>
  <c r="B4025" i="2"/>
  <c r="A4025" i="2"/>
  <c r="O4024" i="2"/>
  <c r="M4024" i="2"/>
  <c r="L4024" i="2"/>
  <c r="E4024" i="2"/>
  <c r="D4024" i="2"/>
  <c r="B4024" i="2"/>
  <c r="A4024" i="2"/>
  <c r="O4023" i="2"/>
  <c r="M4023" i="2"/>
  <c r="L4023" i="2"/>
  <c r="E4023" i="2"/>
  <c r="D4023" i="2"/>
  <c r="B4023" i="2"/>
  <c r="A4023" i="2"/>
  <c r="O4022" i="2"/>
  <c r="M4022" i="2"/>
  <c r="L4022" i="2"/>
  <c r="E4022" i="2"/>
  <c r="D4022" i="2"/>
  <c r="B4022" i="2"/>
  <c r="A4022" i="2"/>
  <c r="O4021" i="2"/>
  <c r="M4021" i="2"/>
  <c r="L4021" i="2"/>
  <c r="E4021" i="2"/>
  <c r="D4021" i="2"/>
  <c r="B4021" i="2"/>
  <c r="A4021" i="2"/>
  <c r="O4020" i="2"/>
  <c r="M4020" i="2"/>
  <c r="L4020" i="2"/>
  <c r="E4020" i="2"/>
  <c r="D4020" i="2"/>
  <c r="B4020" i="2"/>
  <c r="A4020" i="2"/>
  <c r="O4019" i="2"/>
  <c r="M4019" i="2"/>
  <c r="L4019" i="2"/>
  <c r="E4019" i="2"/>
  <c r="D4019" i="2"/>
  <c r="B4019" i="2"/>
  <c r="A4019" i="2"/>
  <c r="O4018" i="2"/>
  <c r="M4018" i="2"/>
  <c r="L4018" i="2"/>
  <c r="E4018" i="2"/>
  <c r="D4018" i="2"/>
  <c r="B4018" i="2"/>
  <c r="A4018" i="2"/>
  <c r="O4017" i="2"/>
  <c r="M4017" i="2"/>
  <c r="L4017" i="2"/>
  <c r="E4017" i="2"/>
  <c r="D4017" i="2"/>
  <c r="B4017" i="2"/>
  <c r="A4017" i="2"/>
  <c r="O4016" i="2"/>
  <c r="M4016" i="2"/>
  <c r="L4016" i="2"/>
  <c r="E4016" i="2"/>
  <c r="D4016" i="2"/>
  <c r="B4016" i="2"/>
  <c r="A4016" i="2"/>
  <c r="O4015" i="2"/>
  <c r="O4014" i="2"/>
  <c r="O4013" i="2"/>
  <c r="M4013" i="2"/>
  <c r="L4013" i="2"/>
  <c r="E4013" i="2"/>
  <c r="D4013" i="2"/>
  <c r="B4013" i="2"/>
  <c r="A4013" i="2"/>
  <c r="O4012" i="2"/>
  <c r="M4012" i="2"/>
  <c r="L4012" i="2"/>
  <c r="E4012" i="2"/>
  <c r="D4012" i="2"/>
  <c r="B4012" i="2"/>
  <c r="A4012" i="2"/>
  <c r="O4011" i="2"/>
  <c r="O4010" i="2"/>
  <c r="O4009" i="2"/>
  <c r="M4009" i="2"/>
  <c r="L4009" i="2"/>
  <c r="E4009" i="2"/>
  <c r="D4009" i="2"/>
  <c r="B4009" i="2"/>
  <c r="A4009" i="2"/>
  <c r="O4008" i="2"/>
  <c r="O4007" i="2"/>
  <c r="M4007" i="2"/>
  <c r="L4007" i="2"/>
  <c r="E4007" i="2"/>
  <c r="D4007" i="2"/>
  <c r="B4007" i="2"/>
  <c r="A4007" i="2"/>
  <c r="O4006" i="2"/>
  <c r="M4006" i="2"/>
  <c r="L4006" i="2"/>
  <c r="E4006" i="2"/>
  <c r="D4006" i="2"/>
  <c r="B4006" i="2"/>
  <c r="A4006" i="2"/>
  <c r="O4005" i="2"/>
  <c r="M4005" i="2"/>
  <c r="L4005" i="2"/>
  <c r="E4005" i="2"/>
  <c r="D4005" i="2"/>
  <c r="B4005" i="2"/>
  <c r="A4005" i="2"/>
  <c r="O4004" i="2"/>
  <c r="M4004" i="2"/>
  <c r="L4004" i="2"/>
  <c r="E4004" i="2"/>
  <c r="D4004" i="2"/>
  <c r="B4004" i="2"/>
  <c r="A4004" i="2"/>
  <c r="O4003" i="2"/>
  <c r="M4003" i="2"/>
  <c r="L4003" i="2"/>
  <c r="E4003" i="2"/>
  <c r="D4003" i="2"/>
  <c r="B4003" i="2"/>
  <c r="A4003" i="2"/>
  <c r="O4002" i="2"/>
  <c r="O4001" i="2"/>
  <c r="O4000" i="2"/>
  <c r="M4000" i="2"/>
  <c r="L4000" i="2"/>
  <c r="E4000" i="2"/>
  <c r="D4000" i="2"/>
  <c r="B4000" i="2"/>
  <c r="A4000" i="2"/>
  <c r="O3999" i="2"/>
  <c r="M3999" i="2"/>
  <c r="L3999" i="2"/>
  <c r="E3999" i="2"/>
  <c r="D3999" i="2"/>
  <c r="B3999" i="2"/>
  <c r="A3999" i="2"/>
  <c r="O3998" i="2"/>
  <c r="M3998" i="2"/>
  <c r="L3998" i="2"/>
  <c r="E3998" i="2"/>
  <c r="D3998" i="2"/>
  <c r="B3998" i="2"/>
  <c r="A3998" i="2"/>
  <c r="O3997" i="2"/>
  <c r="M3997" i="2"/>
  <c r="L3997" i="2"/>
  <c r="E3997" i="2"/>
  <c r="D3997" i="2"/>
  <c r="B3997" i="2"/>
  <c r="A3997" i="2"/>
  <c r="O3996" i="2"/>
  <c r="M3996" i="2"/>
  <c r="L3996" i="2"/>
  <c r="E3996" i="2"/>
  <c r="D3996" i="2"/>
  <c r="B3996" i="2"/>
  <c r="A3996" i="2"/>
  <c r="O3995" i="2"/>
  <c r="M3995" i="2"/>
  <c r="L3995" i="2"/>
  <c r="E3995" i="2"/>
  <c r="D3995" i="2"/>
  <c r="B3995" i="2"/>
  <c r="A3995" i="2"/>
  <c r="O3994" i="2"/>
  <c r="M3994" i="2"/>
  <c r="L3994" i="2"/>
  <c r="E3994" i="2"/>
  <c r="D3994" i="2"/>
  <c r="B3994" i="2"/>
  <c r="A3994" i="2"/>
  <c r="O3993" i="2"/>
  <c r="M3993" i="2"/>
  <c r="L3993" i="2"/>
  <c r="E3993" i="2"/>
  <c r="D3993" i="2"/>
  <c r="B3993" i="2"/>
  <c r="A3993" i="2"/>
  <c r="O3992" i="2"/>
  <c r="M3992" i="2"/>
  <c r="L3992" i="2"/>
  <c r="E3992" i="2"/>
  <c r="D3992" i="2"/>
  <c r="B3992" i="2"/>
  <c r="A3992" i="2"/>
  <c r="O3991" i="2"/>
  <c r="M3991" i="2"/>
  <c r="L3991" i="2"/>
  <c r="E3991" i="2"/>
  <c r="D3991" i="2"/>
  <c r="B3991" i="2"/>
  <c r="A3991" i="2"/>
  <c r="O3990" i="2"/>
  <c r="M3990" i="2"/>
  <c r="L3990" i="2"/>
  <c r="E3990" i="2"/>
  <c r="D3990" i="2"/>
  <c r="B3990" i="2"/>
  <c r="A3990" i="2"/>
  <c r="O3989" i="2"/>
  <c r="M3989" i="2"/>
  <c r="L3989" i="2"/>
  <c r="E3989" i="2"/>
  <c r="D3989" i="2"/>
  <c r="B3989" i="2"/>
  <c r="A3989" i="2"/>
  <c r="O3988" i="2"/>
  <c r="M3988" i="2"/>
  <c r="L3988" i="2"/>
  <c r="E3988" i="2"/>
  <c r="D3988" i="2"/>
  <c r="B3988" i="2"/>
  <c r="A3988" i="2"/>
  <c r="O3987" i="2"/>
  <c r="M3987" i="2"/>
  <c r="L3987" i="2"/>
  <c r="E3987" i="2"/>
  <c r="D3987" i="2"/>
  <c r="B3987" i="2"/>
  <c r="A3987" i="2"/>
  <c r="O3986" i="2"/>
  <c r="M3986" i="2"/>
  <c r="L3986" i="2"/>
  <c r="E3986" i="2"/>
  <c r="D3986" i="2"/>
  <c r="B3986" i="2"/>
  <c r="A3986" i="2"/>
  <c r="O3985" i="2"/>
  <c r="O3984" i="2"/>
  <c r="M3984" i="2"/>
  <c r="L3984" i="2"/>
  <c r="E3984" i="2"/>
  <c r="D3984" i="2"/>
  <c r="B3984" i="2"/>
  <c r="A3984" i="2"/>
  <c r="O3983" i="2"/>
  <c r="M3983" i="2"/>
  <c r="L3983" i="2"/>
  <c r="E3983" i="2"/>
  <c r="D3983" i="2"/>
  <c r="B3983" i="2"/>
  <c r="A3983" i="2"/>
  <c r="O3982" i="2"/>
  <c r="M3982" i="2"/>
  <c r="L3982" i="2"/>
  <c r="E3982" i="2"/>
  <c r="D3982" i="2"/>
  <c r="B3982" i="2"/>
  <c r="A3982" i="2"/>
  <c r="O3981" i="2"/>
  <c r="M3981" i="2"/>
  <c r="L3981" i="2"/>
  <c r="E3981" i="2"/>
  <c r="D3981" i="2"/>
  <c r="B3981" i="2"/>
  <c r="A3981" i="2"/>
  <c r="O3980" i="2"/>
  <c r="M3980" i="2"/>
  <c r="L3980" i="2"/>
  <c r="E3980" i="2"/>
  <c r="D3980" i="2"/>
  <c r="B3980" i="2"/>
  <c r="A3980" i="2"/>
  <c r="O3979" i="2"/>
  <c r="M3979" i="2"/>
  <c r="L3979" i="2"/>
  <c r="E3979" i="2"/>
  <c r="D3979" i="2"/>
  <c r="B3979" i="2"/>
  <c r="A3979" i="2"/>
  <c r="O3978" i="2"/>
  <c r="O3977" i="2"/>
  <c r="O3976" i="2"/>
  <c r="M3976" i="2"/>
  <c r="L3976" i="2"/>
  <c r="E3976" i="2"/>
  <c r="D3976" i="2"/>
  <c r="B3976" i="2"/>
  <c r="A3976" i="2"/>
  <c r="O3975" i="2"/>
  <c r="M3975" i="2"/>
  <c r="L3975" i="2"/>
  <c r="E3975" i="2"/>
  <c r="D3975" i="2"/>
  <c r="B3975" i="2"/>
  <c r="A3975" i="2"/>
  <c r="O3974" i="2"/>
  <c r="M3974" i="2"/>
  <c r="L3974" i="2"/>
  <c r="E3974" i="2"/>
  <c r="D3974" i="2"/>
  <c r="B3974" i="2"/>
  <c r="A3974" i="2"/>
  <c r="O3973" i="2"/>
  <c r="M3973" i="2"/>
  <c r="L3973" i="2"/>
  <c r="E3973" i="2"/>
  <c r="D3973" i="2"/>
  <c r="B3973" i="2"/>
  <c r="A3973" i="2"/>
  <c r="O3972" i="2"/>
  <c r="M3972" i="2"/>
  <c r="L3972" i="2"/>
  <c r="E3972" i="2"/>
  <c r="D3972" i="2"/>
  <c r="B3972" i="2"/>
  <c r="A3972" i="2"/>
  <c r="O3971" i="2"/>
  <c r="M3971" i="2"/>
  <c r="L3971" i="2"/>
  <c r="E3971" i="2"/>
  <c r="D3971" i="2"/>
  <c r="B3971" i="2"/>
  <c r="A3971" i="2"/>
  <c r="O3970" i="2"/>
  <c r="M3970" i="2"/>
  <c r="L3970" i="2"/>
  <c r="E3970" i="2"/>
  <c r="D3970" i="2"/>
  <c r="B3970" i="2"/>
  <c r="A3970" i="2"/>
  <c r="O3969" i="2"/>
  <c r="M3969" i="2"/>
  <c r="L3969" i="2"/>
  <c r="E3969" i="2"/>
  <c r="D3969" i="2"/>
  <c r="B3969" i="2"/>
  <c r="A3969" i="2"/>
  <c r="O3968" i="2"/>
  <c r="M3968" i="2"/>
  <c r="L3968" i="2"/>
  <c r="E3968" i="2"/>
  <c r="D3968" i="2"/>
  <c r="B3968" i="2"/>
  <c r="A3968" i="2"/>
  <c r="O3967" i="2"/>
  <c r="M3967" i="2"/>
  <c r="L3967" i="2"/>
  <c r="E3967" i="2"/>
  <c r="D3967" i="2"/>
  <c r="B3967" i="2"/>
  <c r="A3967" i="2"/>
  <c r="O3966" i="2"/>
  <c r="M3966" i="2"/>
  <c r="L3966" i="2"/>
  <c r="E3966" i="2"/>
  <c r="D3966" i="2"/>
  <c r="B3966" i="2"/>
  <c r="A3966" i="2"/>
  <c r="O3965" i="2"/>
  <c r="O3964" i="2"/>
  <c r="O3963" i="2"/>
  <c r="O3962" i="2"/>
  <c r="O3961" i="2"/>
  <c r="M3961" i="2"/>
  <c r="L3961" i="2"/>
  <c r="E3961" i="2"/>
  <c r="D3961" i="2"/>
  <c r="B3961" i="2"/>
  <c r="A3961" i="2"/>
  <c r="O3960" i="2"/>
  <c r="M3960" i="2"/>
  <c r="L3960" i="2"/>
  <c r="E3960" i="2"/>
  <c r="D3960" i="2"/>
  <c r="B3960" i="2"/>
  <c r="A3960" i="2"/>
  <c r="O3959" i="2"/>
  <c r="O3958" i="2"/>
  <c r="O3957" i="2"/>
  <c r="M3957" i="2"/>
  <c r="L3957" i="2"/>
  <c r="E3957" i="2"/>
  <c r="D3957" i="2"/>
  <c r="B3957" i="2"/>
  <c r="A3957" i="2"/>
  <c r="O3956" i="2"/>
  <c r="M3956" i="2"/>
  <c r="L3956" i="2"/>
  <c r="E3956" i="2"/>
  <c r="D3956" i="2"/>
  <c r="B3956" i="2"/>
  <c r="A3956" i="2"/>
  <c r="O3955" i="2"/>
  <c r="M3955" i="2"/>
  <c r="L3955" i="2"/>
  <c r="E3955" i="2"/>
  <c r="D3955" i="2"/>
  <c r="B3955" i="2"/>
  <c r="A3955" i="2"/>
  <c r="O3954" i="2"/>
  <c r="M3954" i="2"/>
  <c r="L3954" i="2"/>
  <c r="E3954" i="2"/>
  <c r="D3954" i="2"/>
  <c r="B3954" i="2"/>
  <c r="A3954" i="2"/>
  <c r="O3953" i="2"/>
  <c r="O3952" i="2"/>
  <c r="M3952" i="2"/>
  <c r="L3952" i="2"/>
  <c r="E3952" i="2"/>
  <c r="D3952" i="2"/>
  <c r="B3952" i="2"/>
  <c r="A3952" i="2"/>
  <c r="O3951" i="2"/>
  <c r="M3951" i="2"/>
  <c r="L3951" i="2"/>
  <c r="E3951" i="2"/>
  <c r="D3951" i="2"/>
  <c r="B3951" i="2"/>
  <c r="A3951" i="2"/>
  <c r="O3950" i="2"/>
  <c r="O3949" i="2"/>
  <c r="O3948" i="2"/>
  <c r="M3948" i="2"/>
  <c r="L3948" i="2"/>
  <c r="E3948" i="2"/>
  <c r="D3948" i="2"/>
  <c r="B3948" i="2"/>
  <c r="A3948" i="2"/>
  <c r="O3947" i="2"/>
  <c r="O3946" i="2"/>
  <c r="M3946" i="2"/>
  <c r="L3946" i="2"/>
  <c r="E3946" i="2"/>
  <c r="D3946" i="2"/>
  <c r="B3946" i="2"/>
  <c r="A3946" i="2"/>
  <c r="O3945" i="2"/>
  <c r="M3945" i="2"/>
  <c r="L3945" i="2"/>
  <c r="E3945" i="2"/>
  <c r="D3945" i="2"/>
  <c r="B3945" i="2"/>
  <c r="A3945" i="2"/>
  <c r="O3944" i="2"/>
  <c r="M3944" i="2"/>
  <c r="L3944" i="2"/>
  <c r="E3944" i="2"/>
  <c r="D3944" i="2"/>
  <c r="B3944" i="2"/>
  <c r="A3944" i="2"/>
  <c r="O3943" i="2"/>
  <c r="M3943" i="2"/>
  <c r="L3943" i="2"/>
  <c r="E3943" i="2"/>
  <c r="D3943" i="2"/>
  <c r="B3943" i="2"/>
  <c r="A3943" i="2"/>
  <c r="O3942" i="2"/>
  <c r="O3941" i="2"/>
  <c r="O3940" i="2"/>
  <c r="M3940" i="2"/>
  <c r="L3940" i="2"/>
  <c r="E3940" i="2"/>
  <c r="D3940" i="2"/>
  <c r="B3940" i="2"/>
  <c r="A3940" i="2"/>
  <c r="O3939" i="2"/>
  <c r="M3939" i="2"/>
  <c r="L3939" i="2"/>
  <c r="E3939" i="2"/>
  <c r="D3939" i="2"/>
  <c r="B3939" i="2"/>
  <c r="A3939" i="2"/>
  <c r="O3938" i="2"/>
  <c r="O3937" i="2"/>
  <c r="O3936" i="2"/>
  <c r="O3935" i="2"/>
  <c r="M3935" i="2"/>
  <c r="L3935" i="2"/>
  <c r="E3935" i="2"/>
  <c r="D3935" i="2"/>
  <c r="B3935" i="2"/>
  <c r="A3935" i="2"/>
  <c r="O3934" i="2"/>
  <c r="M3934" i="2"/>
  <c r="L3934" i="2"/>
  <c r="E3934" i="2"/>
  <c r="D3934" i="2"/>
  <c r="B3934" i="2"/>
  <c r="A3934" i="2"/>
  <c r="O3933" i="2"/>
  <c r="M3933" i="2"/>
  <c r="L3933" i="2"/>
  <c r="E3933" i="2"/>
  <c r="D3933" i="2"/>
  <c r="B3933" i="2"/>
  <c r="A3933" i="2"/>
  <c r="O3932" i="2"/>
  <c r="M3932" i="2"/>
  <c r="L3932" i="2"/>
  <c r="E3932" i="2"/>
  <c r="D3932" i="2"/>
  <c r="B3932" i="2"/>
  <c r="A3932" i="2"/>
  <c r="O3931" i="2"/>
  <c r="O3930" i="2"/>
  <c r="M3930" i="2"/>
  <c r="L3930" i="2"/>
  <c r="E3930" i="2"/>
  <c r="D3930" i="2"/>
  <c r="B3930" i="2"/>
  <c r="A3930" i="2"/>
  <c r="O3929" i="2"/>
  <c r="M3929" i="2"/>
  <c r="L3929" i="2"/>
  <c r="E3929" i="2"/>
  <c r="D3929" i="2"/>
  <c r="B3929" i="2"/>
  <c r="A3929" i="2"/>
  <c r="O3928" i="2"/>
  <c r="M3928" i="2"/>
  <c r="L3928" i="2"/>
  <c r="E3928" i="2"/>
  <c r="D3928" i="2"/>
  <c r="B3928" i="2"/>
  <c r="A3928" i="2"/>
  <c r="O3927" i="2"/>
  <c r="M3927" i="2"/>
  <c r="L3927" i="2"/>
  <c r="E3927" i="2"/>
  <c r="D3927" i="2"/>
  <c r="B3927" i="2"/>
  <c r="A3927" i="2"/>
  <c r="O3926" i="2"/>
  <c r="O3925" i="2"/>
  <c r="M3925" i="2"/>
  <c r="L3925" i="2"/>
  <c r="E3925" i="2"/>
  <c r="D3925" i="2"/>
  <c r="B3925" i="2"/>
  <c r="A3925" i="2"/>
  <c r="O3924" i="2"/>
  <c r="O3923" i="2"/>
  <c r="O3922" i="2"/>
  <c r="M3922" i="2"/>
  <c r="L3922" i="2"/>
  <c r="E3922" i="2"/>
  <c r="D3922" i="2"/>
  <c r="B3922" i="2"/>
  <c r="A3922" i="2"/>
  <c r="O3921" i="2"/>
  <c r="M3921" i="2"/>
  <c r="L3921" i="2"/>
  <c r="E3921" i="2"/>
  <c r="D3921" i="2"/>
  <c r="B3921" i="2"/>
  <c r="A3921" i="2"/>
  <c r="O3920" i="2"/>
  <c r="M3920" i="2"/>
  <c r="L3920" i="2"/>
  <c r="E3920" i="2"/>
  <c r="D3920" i="2"/>
  <c r="B3920" i="2"/>
  <c r="A3920" i="2"/>
  <c r="O3919" i="2"/>
  <c r="M3919" i="2"/>
  <c r="L3919" i="2"/>
  <c r="E3919" i="2"/>
  <c r="D3919" i="2"/>
  <c r="B3919" i="2"/>
  <c r="A3919" i="2"/>
  <c r="O3918" i="2"/>
  <c r="M3918" i="2"/>
  <c r="L3918" i="2"/>
  <c r="E3918" i="2"/>
  <c r="D3918" i="2"/>
  <c r="B3918" i="2"/>
  <c r="A3918" i="2"/>
  <c r="O3917" i="2"/>
  <c r="M3917" i="2"/>
  <c r="L3917" i="2"/>
  <c r="E3917" i="2"/>
  <c r="D3917" i="2"/>
  <c r="B3917" i="2"/>
  <c r="A3917" i="2"/>
  <c r="O3916" i="2"/>
  <c r="M3916" i="2"/>
  <c r="L3916" i="2"/>
  <c r="E3916" i="2"/>
  <c r="D3916" i="2"/>
  <c r="B3916" i="2"/>
  <c r="A3916" i="2"/>
  <c r="O3915" i="2"/>
  <c r="M3915" i="2"/>
  <c r="L3915" i="2"/>
  <c r="E3915" i="2"/>
  <c r="D3915" i="2"/>
  <c r="B3915" i="2"/>
  <c r="A3915" i="2"/>
  <c r="O3914" i="2"/>
  <c r="M3914" i="2"/>
  <c r="L3914" i="2"/>
  <c r="E3914" i="2"/>
  <c r="D3914" i="2"/>
  <c r="B3914" i="2"/>
  <c r="A3914" i="2"/>
  <c r="O3913" i="2"/>
  <c r="M3913" i="2"/>
  <c r="L3913" i="2"/>
  <c r="E3913" i="2"/>
  <c r="D3913" i="2"/>
  <c r="B3913" i="2"/>
  <c r="A3913" i="2"/>
  <c r="O3912" i="2"/>
  <c r="M3912" i="2"/>
  <c r="L3912" i="2"/>
  <c r="E3912" i="2"/>
  <c r="D3912" i="2"/>
  <c r="B3912" i="2"/>
  <c r="A3912" i="2"/>
  <c r="O3911" i="2"/>
  <c r="M3911" i="2"/>
  <c r="L3911" i="2"/>
  <c r="E3911" i="2"/>
  <c r="D3911" i="2"/>
  <c r="B3911" i="2"/>
  <c r="A3911" i="2"/>
  <c r="O3910" i="2"/>
  <c r="M3910" i="2"/>
  <c r="L3910" i="2"/>
  <c r="E3910" i="2"/>
  <c r="D3910" i="2"/>
  <c r="B3910" i="2"/>
  <c r="A3910" i="2"/>
  <c r="O3909" i="2"/>
  <c r="M3909" i="2"/>
  <c r="L3909" i="2"/>
  <c r="E3909" i="2"/>
  <c r="D3909" i="2"/>
  <c r="B3909" i="2"/>
  <c r="A3909" i="2"/>
  <c r="O3908" i="2"/>
  <c r="M3908" i="2"/>
  <c r="L3908" i="2"/>
  <c r="E3908" i="2"/>
  <c r="D3908" i="2"/>
  <c r="B3908" i="2"/>
  <c r="A3908" i="2"/>
  <c r="O3907" i="2"/>
  <c r="M3907" i="2"/>
  <c r="L3907" i="2"/>
  <c r="E3907" i="2"/>
  <c r="D3907" i="2"/>
  <c r="B3907" i="2"/>
  <c r="A3907" i="2"/>
  <c r="O3906" i="2"/>
  <c r="M3906" i="2"/>
  <c r="L3906" i="2"/>
  <c r="E3906" i="2"/>
  <c r="D3906" i="2"/>
  <c r="B3906" i="2"/>
  <c r="A3906" i="2"/>
  <c r="O3905" i="2"/>
  <c r="M3905" i="2"/>
  <c r="L3905" i="2"/>
  <c r="E3905" i="2"/>
  <c r="D3905" i="2"/>
  <c r="B3905" i="2"/>
  <c r="A3905" i="2"/>
  <c r="O3904" i="2"/>
  <c r="M3904" i="2"/>
  <c r="L3904" i="2"/>
  <c r="E3904" i="2"/>
  <c r="D3904" i="2"/>
  <c r="B3904" i="2"/>
  <c r="A3904" i="2"/>
  <c r="O3903" i="2"/>
  <c r="M3903" i="2"/>
  <c r="L3903" i="2"/>
  <c r="E3903" i="2"/>
  <c r="D3903" i="2"/>
  <c r="B3903" i="2"/>
  <c r="A3903" i="2"/>
  <c r="O3902" i="2"/>
  <c r="M3902" i="2"/>
  <c r="L3902" i="2"/>
  <c r="E3902" i="2"/>
  <c r="D3902" i="2"/>
  <c r="B3902" i="2"/>
  <c r="A3902" i="2"/>
  <c r="O3901" i="2"/>
  <c r="M3901" i="2"/>
  <c r="L3901" i="2"/>
  <c r="E3901" i="2"/>
  <c r="D3901" i="2"/>
  <c r="B3901" i="2"/>
  <c r="A3901" i="2"/>
  <c r="O3900" i="2"/>
  <c r="M3900" i="2"/>
  <c r="L3900" i="2"/>
  <c r="E3900" i="2"/>
  <c r="D3900" i="2"/>
  <c r="B3900" i="2"/>
  <c r="A3900" i="2"/>
  <c r="O3899" i="2"/>
  <c r="O3898" i="2"/>
  <c r="O3897" i="2"/>
  <c r="M3897" i="2"/>
  <c r="L3897" i="2"/>
  <c r="E3897" i="2"/>
  <c r="D3897" i="2"/>
  <c r="B3897" i="2"/>
  <c r="A3897" i="2"/>
  <c r="O3896" i="2"/>
  <c r="O3895" i="2"/>
  <c r="O3894" i="2"/>
  <c r="M3894" i="2"/>
  <c r="L3894" i="2"/>
  <c r="E3894" i="2"/>
  <c r="D3894" i="2"/>
  <c r="B3894" i="2"/>
  <c r="A3894" i="2"/>
  <c r="O3893" i="2"/>
  <c r="M3893" i="2"/>
  <c r="L3893" i="2"/>
  <c r="E3893" i="2"/>
  <c r="D3893" i="2"/>
  <c r="B3893" i="2"/>
  <c r="A3893" i="2"/>
  <c r="O3892" i="2"/>
  <c r="O3891" i="2"/>
  <c r="M3891" i="2"/>
  <c r="L3891" i="2"/>
  <c r="E3891" i="2"/>
  <c r="D3891" i="2"/>
  <c r="B3891" i="2"/>
  <c r="A3891" i="2"/>
  <c r="O3890" i="2"/>
  <c r="M3890" i="2"/>
  <c r="L3890" i="2"/>
  <c r="E3890" i="2"/>
  <c r="D3890" i="2"/>
  <c r="B3890" i="2"/>
  <c r="A3890" i="2"/>
  <c r="O3889" i="2"/>
  <c r="M3889" i="2"/>
  <c r="L3889" i="2"/>
  <c r="E3889" i="2"/>
  <c r="D3889" i="2"/>
  <c r="B3889" i="2"/>
  <c r="A3889" i="2"/>
  <c r="O3888" i="2"/>
  <c r="M3888" i="2"/>
  <c r="L3888" i="2"/>
  <c r="E3888" i="2"/>
  <c r="D3888" i="2"/>
  <c r="B3888" i="2"/>
  <c r="A3888" i="2"/>
  <c r="O3887" i="2"/>
  <c r="M3887" i="2"/>
  <c r="L3887" i="2"/>
  <c r="E3887" i="2"/>
  <c r="D3887" i="2"/>
  <c r="B3887" i="2"/>
  <c r="A3887" i="2"/>
  <c r="O3886" i="2"/>
  <c r="M3886" i="2"/>
  <c r="L3886" i="2"/>
  <c r="E3886" i="2"/>
  <c r="D3886" i="2"/>
  <c r="B3886" i="2"/>
  <c r="A3886" i="2"/>
  <c r="O3885" i="2"/>
  <c r="M3885" i="2"/>
  <c r="L3885" i="2"/>
  <c r="E3885" i="2"/>
  <c r="D3885" i="2"/>
  <c r="B3885" i="2"/>
  <c r="A3885" i="2"/>
  <c r="O3884" i="2"/>
  <c r="M3884" i="2"/>
  <c r="L3884" i="2"/>
  <c r="E3884" i="2"/>
  <c r="D3884" i="2"/>
  <c r="B3884" i="2"/>
  <c r="A3884" i="2"/>
  <c r="O3883" i="2"/>
  <c r="O3882" i="2"/>
  <c r="M3882" i="2"/>
  <c r="L3882" i="2"/>
  <c r="E3882" i="2"/>
  <c r="D3882" i="2"/>
  <c r="B3882" i="2"/>
  <c r="A3882" i="2"/>
  <c r="O3881" i="2"/>
  <c r="M3881" i="2"/>
  <c r="L3881" i="2"/>
  <c r="E3881" i="2"/>
  <c r="D3881" i="2"/>
  <c r="B3881" i="2"/>
  <c r="A3881" i="2"/>
  <c r="O3880" i="2"/>
  <c r="M3880" i="2"/>
  <c r="L3880" i="2"/>
  <c r="E3880" i="2"/>
  <c r="D3880" i="2"/>
  <c r="B3880" i="2"/>
  <c r="A3880" i="2"/>
  <c r="O3879" i="2"/>
  <c r="M3879" i="2"/>
  <c r="L3879" i="2"/>
  <c r="E3879" i="2"/>
  <c r="D3879" i="2"/>
  <c r="B3879" i="2"/>
  <c r="A3879" i="2"/>
  <c r="O3878" i="2"/>
  <c r="O3877" i="2"/>
  <c r="M3877" i="2"/>
  <c r="L3877" i="2"/>
  <c r="E3877" i="2"/>
  <c r="D3877" i="2"/>
  <c r="B3877" i="2"/>
  <c r="A3877" i="2"/>
  <c r="O3876" i="2"/>
  <c r="M3876" i="2"/>
  <c r="L3876" i="2"/>
  <c r="E3876" i="2"/>
  <c r="D3876" i="2"/>
  <c r="B3876" i="2"/>
  <c r="A3876" i="2"/>
  <c r="O3875" i="2"/>
  <c r="M3875" i="2"/>
  <c r="L3875" i="2"/>
  <c r="E3875" i="2"/>
  <c r="D3875" i="2"/>
  <c r="B3875" i="2"/>
  <c r="A3875" i="2"/>
  <c r="O3874" i="2"/>
  <c r="M3874" i="2"/>
  <c r="L3874" i="2"/>
  <c r="E3874" i="2"/>
  <c r="D3874" i="2"/>
  <c r="B3874" i="2"/>
  <c r="A3874" i="2"/>
  <c r="O3873" i="2"/>
  <c r="M3873" i="2"/>
  <c r="L3873" i="2"/>
  <c r="E3873" i="2"/>
  <c r="D3873" i="2"/>
  <c r="B3873" i="2"/>
  <c r="A3873" i="2"/>
  <c r="O3872" i="2"/>
  <c r="M3872" i="2"/>
  <c r="L3872" i="2"/>
  <c r="E3872" i="2"/>
  <c r="D3872" i="2"/>
  <c r="B3872" i="2"/>
  <c r="A3872" i="2"/>
  <c r="O3871" i="2"/>
  <c r="O3870" i="2"/>
  <c r="M3870" i="2"/>
  <c r="L3870" i="2"/>
  <c r="E3870" i="2"/>
  <c r="D3870" i="2"/>
  <c r="B3870" i="2"/>
  <c r="A3870" i="2"/>
  <c r="O3869" i="2"/>
  <c r="M3869" i="2"/>
  <c r="L3869" i="2"/>
  <c r="E3869" i="2"/>
  <c r="D3869" i="2"/>
  <c r="B3869" i="2"/>
  <c r="A3869" i="2"/>
  <c r="O3868" i="2"/>
  <c r="M3868" i="2"/>
  <c r="L3868" i="2"/>
  <c r="E3868" i="2"/>
  <c r="D3868" i="2"/>
  <c r="B3868" i="2"/>
  <c r="A3868" i="2"/>
  <c r="O3867" i="2"/>
  <c r="M3867" i="2"/>
  <c r="L3867" i="2"/>
  <c r="E3867" i="2"/>
  <c r="D3867" i="2"/>
  <c r="B3867" i="2"/>
  <c r="A3867" i="2"/>
  <c r="O3866" i="2"/>
  <c r="M3866" i="2"/>
  <c r="L3866" i="2"/>
  <c r="E3866" i="2"/>
  <c r="D3866" i="2"/>
  <c r="B3866" i="2"/>
  <c r="A3866" i="2"/>
  <c r="O3865" i="2"/>
  <c r="M3865" i="2"/>
  <c r="L3865" i="2"/>
  <c r="E3865" i="2"/>
  <c r="D3865" i="2"/>
  <c r="B3865" i="2"/>
  <c r="A3865" i="2"/>
  <c r="O3864" i="2"/>
  <c r="M3864" i="2"/>
  <c r="L3864" i="2"/>
  <c r="E3864" i="2"/>
  <c r="D3864" i="2"/>
  <c r="B3864" i="2"/>
  <c r="A3864" i="2"/>
  <c r="O3863" i="2"/>
  <c r="M3863" i="2"/>
  <c r="L3863" i="2"/>
  <c r="E3863" i="2"/>
  <c r="D3863" i="2"/>
  <c r="B3863" i="2"/>
  <c r="A3863" i="2"/>
  <c r="O3862" i="2"/>
  <c r="M3862" i="2"/>
  <c r="L3862" i="2"/>
  <c r="E3862" i="2"/>
  <c r="D3862" i="2"/>
  <c r="B3862" i="2"/>
  <c r="A3862" i="2"/>
  <c r="O3861" i="2"/>
  <c r="M3861" i="2"/>
  <c r="L3861" i="2"/>
  <c r="E3861" i="2"/>
  <c r="D3861" i="2"/>
  <c r="B3861" i="2"/>
  <c r="A3861" i="2"/>
  <c r="O3860" i="2"/>
  <c r="O3859" i="2"/>
  <c r="M3859" i="2"/>
  <c r="L3859" i="2"/>
  <c r="E3859" i="2"/>
  <c r="D3859" i="2"/>
  <c r="B3859" i="2"/>
  <c r="A3859" i="2"/>
  <c r="O3858" i="2"/>
  <c r="M3858" i="2"/>
  <c r="L3858" i="2"/>
  <c r="E3858" i="2"/>
  <c r="D3858" i="2"/>
  <c r="B3858" i="2"/>
  <c r="A3858" i="2"/>
  <c r="O3857" i="2"/>
  <c r="M3857" i="2"/>
  <c r="L3857" i="2"/>
  <c r="E3857" i="2"/>
  <c r="D3857" i="2"/>
  <c r="B3857" i="2"/>
  <c r="A3857" i="2"/>
  <c r="O3856" i="2"/>
  <c r="M3856" i="2"/>
  <c r="L3856" i="2"/>
  <c r="E3856" i="2"/>
  <c r="D3856" i="2"/>
  <c r="B3856" i="2"/>
  <c r="A3856" i="2"/>
  <c r="O3855" i="2"/>
  <c r="M3855" i="2"/>
  <c r="L3855" i="2"/>
  <c r="E3855" i="2"/>
  <c r="D3855" i="2"/>
  <c r="B3855" i="2"/>
  <c r="A3855" i="2"/>
  <c r="O3854" i="2"/>
  <c r="O3853" i="2"/>
  <c r="O3852" i="2"/>
  <c r="O3851" i="2"/>
  <c r="M3851" i="2"/>
  <c r="L3851" i="2"/>
  <c r="E3851" i="2"/>
  <c r="D3851" i="2"/>
  <c r="B3851" i="2"/>
  <c r="A3851" i="2"/>
  <c r="O3850" i="2"/>
  <c r="M3850" i="2"/>
  <c r="L3850" i="2"/>
  <c r="E3850" i="2"/>
  <c r="D3850" i="2"/>
  <c r="B3850" i="2"/>
  <c r="A3850" i="2"/>
  <c r="O3849" i="2"/>
  <c r="M3849" i="2"/>
  <c r="L3849" i="2"/>
  <c r="E3849" i="2"/>
  <c r="D3849" i="2"/>
  <c r="B3849" i="2"/>
  <c r="A3849" i="2"/>
  <c r="O3848" i="2"/>
  <c r="M3848" i="2"/>
  <c r="L3848" i="2"/>
  <c r="E3848" i="2"/>
  <c r="D3848" i="2"/>
  <c r="B3848" i="2"/>
  <c r="A3848" i="2"/>
  <c r="O3847" i="2"/>
  <c r="M3847" i="2"/>
  <c r="L3847" i="2"/>
  <c r="E3847" i="2"/>
  <c r="D3847" i="2"/>
  <c r="B3847" i="2"/>
  <c r="A3847" i="2"/>
  <c r="O3846" i="2"/>
  <c r="M3846" i="2"/>
  <c r="L3846" i="2"/>
  <c r="E3846" i="2"/>
  <c r="D3846" i="2"/>
  <c r="B3846" i="2"/>
  <c r="A3846" i="2"/>
  <c r="O3845" i="2"/>
  <c r="O3844" i="2"/>
  <c r="O3843" i="2"/>
  <c r="M3843" i="2"/>
  <c r="L3843" i="2"/>
  <c r="E3843" i="2"/>
  <c r="D3843" i="2"/>
  <c r="B3843" i="2"/>
  <c r="A3843" i="2"/>
  <c r="O3842" i="2"/>
  <c r="O3841" i="2"/>
  <c r="O3840" i="2"/>
  <c r="O3839" i="2"/>
  <c r="M3839" i="2"/>
  <c r="L3839" i="2"/>
  <c r="E3839" i="2"/>
  <c r="D3839" i="2"/>
  <c r="B3839" i="2"/>
  <c r="A3839" i="2"/>
  <c r="O3838" i="2"/>
  <c r="M3838" i="2"/>
  <c r="L3838" i="2"/>
  <c r="E3838" i="2"/>
  <c r="D3838" i="2"/>
  <c r="B3838" i="2"/>
  <c r="A3838" i="2"/>
  <c r="O3837" i="2"/>
  <c r="M3837" i="2"/>
  <c r="L3837" i="2"/>
  <c r="E3837" i="2"/>
  <c r="D3837" i="2"/>
  <c r="B3837" i="2"/>
  <c r="A3837" i="2"/>
  <c r="O3836" i="2"/>
  <c r="M3836" i="2"/>
  <c r="L3836" i="2"/>
  <c r="E3836" i="2"/>
  <c r="D3836" i="2"/>
  <c r="B3836" i="2"/>
  <c r="A3836" i="2"/>
  <c r="O3835" i="2"/>
  <c r="M3835" i="2"/>
  <c r="L3835" i="2"/>
  <c r="E3835" i="2"/>
  <c r="D3835" i="2"/>
  <c r="B3835" i="2"/>
  <c r="A3835" i="2"/>
  <c r="O3834" i="2"/>
  <c r="M3834" i="2"/>
  <c r="L3834" i="2"/>
  <c r="E3834" i="2"/>
  <c r="D3834" i="2"/>
  <c r="B3834" i="2"/>
  <c r="A3834" i="2"/>
  <c r="O3833" i="2"/>
  <c r="M3833" i="2"/>
  <c r="L3833" i="2"/>
  <c r="E3833" i="2"/>
  <c r="D3833" i="2"/>
  <c r="B3833" i="2"/>
  <c r="A3833" i="2"/>
  <c r="O3832" i="2"/>
  <c r="M3832" i="2"/>
  <c r="L3832" i="2"/>
  <c r="E3832" i="2"/>
  <c r="D3832" i="2"/>
  <c r="B3832" i="2"/>
  <c r="A3832" i="2"/>
  <c r="O3831" i="2"/>
  <c r="M3831" i="2"/>
  <c r="L3831" i="2"/>
  <c r="E3831" i="2"/>
  <c r="D3831" i="2"/>
  <c r="B3831" i="2"/>
  <c r="A3831" i="2"/>
  <c r="O3830" i="2"/>
  <c r="M3830" i="2"/>
  <c r="L3830" i="2"/>
  <c r="E3830" i="2"/>
  <c r="D3830" i="2"/>
  <c r="B3830" i="2"/>
  <c r="A3830" i="2"/>
  <c r="O3829" i="2"/>
  <c r="M3829" i="2"/>
  <c r="L3829" i="2"/>
  <c r="E3829" i="2"/>
  <c r="D3829" i="2"/>
  <c r="B3829" i="2"/>
  <c r="A3829" i="2"/>
  <c r="O3828" i="2"/>
  <c r="M3828" i="2"/>
  <c r="L3828" i="2"/>
  <c r="E3828" i="2"/>
  <c r="D3828" i="2"/>
  <c r="B3828" i="2"/>
  <c r="A3828" i="2"/>
  <c r="O3827" i="2"/>
  <c r="M3827" i="2"/>
  <c r="L3827" i="2"/>
  <c r="E3827" i="2"/>
  <c r="D3827" i="2"/>
  <c r="B3827" i="2"/>
  <c r="A3827" i="2"/>
  <c r="O3826" i="2"/>
  <c r="M3826" i="2"/>
  <c r="L3826" i="2"/>
  <c r="E3826" i="2"/>
  <c r="D3826" i="2"/>
  <c r="B3826" i="2"/>
  <c r="A3826" i="2"/>
  <c r="O3825" i="2"/>
  <c r="O3824" i="2"/>
  <c r="O3823" i="2"/>
  <c r="M3823" i="2"/>
  <c r="L3823" i="2"/>
  <c r="E3823" i="2"/>
  <c r="D3823" i="2"/>
  <c r="B3823" i="2"/>
  <c r="A3823" i="2"/>
  <c r="O3822" i="2"/>
  <c r="M3822" i="2"/>
  <c r="L3822" i="2"/>
  <c r="E3822" i="2"/>
  <c r="D3822" i="2"/>
  <c r="B3822" i="2"/>
  <c r="A3822" i="2"/>
  <c r="O3821" i="2"/>
  <c r="O3820" i="2"/>
  <c r="M3820" i="2"/>
  <c r="L3820" i="2"/>
  <c r="E3820" i="2"/>
  <c r="D3820" i="2"/>
  <c r="B3820" i="2"/>
  <c r="A3820" i="2"/>
  <c r="O3819" i="2"/>
  <c r="M3819" i="2"/>
  <c r="L3819" i="2"/>
  <c r="E3819" i="2"/>
  <c r="D3819" i="2"/>
  <c r="B3819" i="2"/>
  <c r="A3819" i="2"/>
  <c r="O3818" i="2"/>
  <c r="O3817" i="2"/>
  <c r="M3817" i="2"/>
  <c r="L3817" i="2"/>
  <c r="E3817" i="2"/>
  <c r="D3817" i="2"/>
  <c r="B3817" i="2"/>
  <c r="A3817" i="2"/>
  <c r="O3816" i="2"/>
  <c r="O3815" i="2"/>
  <c r="M3815" i="2"/>
  <c r="L3815" i="2"/>
  <c r="E3815" i="2"/>
  <c r="D3815" i="2"/>
  <c r="B3815" i="2"/>
  <c r="A3815" i="2"/>
  <c r="O3814" i="2"/>
  <c r="M3814" i="2"/>
  <c r="L3814" i="2"/>
  <c r="E3814" i="2"/>
  <c r="D3814" i="2"/>
  <c r="B3814" i="2"/>
  <c r="A3814" i="2"/>
  <c r="O3813" i="2"/>
  <c r="M3813" i="2"/>
  <c r="L3813" i="2"/>
  <c r="E3813" i="2"/>
  <c r="D3813" i="2"/>
  <c r="B3813" i="2"/>
  <c r="A3813" i="2"/>
  <c r="O3812" i="2"/>
  <c r="M3812" i="2"/>
  <c r="L3812" i="2"/>
  <c r="E3812" i="2"/>
  <c r="D3812" i="2"/>
  <c r="B3812" i="2"/>
  <c r="A3812" i="2"/>
  <c r="O3811" i="2"/>
  <c r="M3811" i="2"/>
  <c r="L3811" i="2"/>
  <c r="E3811" i="2"/>
  <c r="D3811" i="2"/>
  <c r="B3811" i="2"/>
  <c r="A3811" i="2"/>
  <c r="O3810" i="2"/>
  <c r="O3809" i="2"/>
  <c r="M3809" i="2"/>
  <c r="L3809" i="2"/>
  <c r="E3809" i="2"/>
  <c r="D3809" i="2"/>
  <c r="B3809" i="2"/>
  <c r="A3809" i="2"/>
  <c r="O3808" i="2"/>
  <c r="M3808" i="2"/>
  <c r="L3808" i="2"/>
  <c r="E3808" i="2"/>
  <c r="D3808" i="2"/>
  <c r="B3808" i="2"/>
  <c r="A3808" i="2"/>
  <c r="O3807" i="2"/>
  <c r="M3807" i="2"/>
  <c r="L3807" i="2"/>
  <c r="E3807" i="2"/>
  <c r="D3807" i="2"/>
  <c r="B3807" i="2"/>
  <c r="A3807" i="2"/>
  <c r="O3806" i="2"/>
  <c r="M3806" i="2"/>
  <c r="L3806" i="2"/>
  <c r="E3806" i="2"/>
  <c r="D3806" i="2"/>
  <c r="B3806" i="2"/>
  <c r="A3806" i="2"/>
  <c r="O3805" i="2"/>
  <c r="M3805" i="2"/>
  <c r="L3805" i="2"/>
  <c r="E3805" i="2"/>
  <c r="D3805" i="2"/>
  <c r="B3805" i="2"/>
  <c r="A3805" i="2"/>
  <c r="O3804" i="2"/>
  <c r="M3804" i="2"/>
  <c r="L3804" i="2"/>
  <c r="E3804" i="2"/>
  <c r="D3804" i="2"/>
  <c r="B3804" i="2"/>
  <c r="A3804" i="2"/>
  <c r="M3803" i="2"/>
  <c r="L3803" i="2"/>
  <c r="E3803" i="2"/>
  <c r="D3803" i="2"/>
  <c r="B3803" i="2"/>
  <c r="A3803" i="2"/>
  <c r="O3802" i="2"/>
  <c r="M3802" i="2"/>
  <c r="L3802" i="2"/>
  <c r="E3802" i="2"/>
  <c r="D3802" i="2"/>
  <c r="B3802" i="2"/>
  <c r="A3802" i="2"/>
  <c r="O3801" i="2"/>
  <c r="M3801" i="2"/>
  <c r="L3801" i="2"/>
  <c r="E3801" i="2"/>
  <c r="D3801" i="2"/>
  <c r="B3801" i="2"/>
  <c r="A3801" i="2"/>
  <c r="O3800" i="2"/>
  <c r="M3800" i="2"/>
  <c r="L3800" i="2"/>
  <c r="E3800" i="2"/>
  <c r="D3800" i="2"/>
  <c r="B3800" i="2"/>
  <c r="A3800" i="2"/>
  <c r="O3799" i="2"/>
  <c r="O3798" i="2"/>
  <c r="M3798" i="2"/>
  <c r="L3798" i="2"/>
  <c r="E3798" i="2"/>
  <c r="D3798" i="2"/>
  <c r="B3798" i="2"/>
  <c r="A3798" i="2"/>
  <c r="O3797" i="2"/>
  <c r="M3797" i="2"/>
  <c r="L3797" i="2"/>
  <c r="E3797" i="2"/>
  <c r="D3797" i="2"/>
  <c r="B3797" i="2"/>
  <c r="A3797" i="2"/>
  <c r="O3796" i="2"/>
  <c r="O3795" i="2"/>
  <c r="O3794" i="2"/>
  <c r="M3794" i="2"/>
  <c r="L3794" i="2"/>
  <c r="E3794" i="2"/>
  <c r="D3794" i="2"/>
  <c r="B3794" i="2"/>
  <c r="A3794" i="2"/>
  <c r="O3793" i="2"/>
  <c r="O3792" i="2"/>
  <c r="O3791" i="2"/>
  <c r="M3791" i="2"/>
  <c r="L3791" i="2"/>
  <c r="E3791" i="2"/>
  <c r="D3791" i="2"/>
  <c r="B3791" i="2"/>
  <c r="A3791" i="2"/>
  <c r="O3790" i="2"/>
  <c r="M3790" i="2"/>
  <c r="L3790" i="2"/>
  <c r="E3790" i="2"/>
  <c r="D3790" i="2"/>
  <c r="B3790" i="2"/>
  <c r="A3790" i="2"/>
  <c r="O3789" i="2"/>
  <c r="M3789" i="2"/>
  <c r="L3789" i="2"/>
  <c r="E3789" i="2"/>
  <c r="D3789" i="2"/>
  <c r="B3789" i="2"/>
  <c r="A3789" i="2"/>
  <c r="O3788" i="2"/>
  <c r="M3788" i="2"/>
  <c r="L3788" i="2"/>
  <c r="E3788" i="2"/>
  <c r="D3788" i="2"/>
  <c r="B3788" i="2"/>
  <c r="A3788" i="2"/>
  <c r="O3787" i="2"/>
  <c r="M3787" i="2"/>
  <c r="L3787" i="2"/>
  <c r="E3787" i="2"/>
  <c r="D3787" i="2"/>
  <c r="B3787" i="2"/>
  <c r="A3787" i="2"/>
  <c r="O3786" i="2"/>
  <c r="M3786" i="2"/>
  <c r="L3786" i="2"/>
  <c r="E3786" i="2"/>
  <c r="D3786" i="2"/>
  <c r="B3786" i="2"/>
  <c r="A3786" i="2"/>
  <c r="O3785" i="2"/>
  <c r="M3785" i="2"/>
  <c r="L3785" i="2"/>
  <c r="E3785" i="2"/>
  <c r="D3785" i="2"/>
  <c r="B3785" i="2"/>
  <c r="A3785" i="2"/>
  <c r="O3784" i="2"/>
  <c r="M3784" i="2"/>
  <c r="L3784" i="2"/>
  <c r="E3784" i="2"/>
  <c r="D3784" i="2"/>
  <c r="B3784" i="2"/>
  <c r="A3784" i="2"/>
  <c r="O3783" i="2"/>
  <c r="M3783" i="2"/>
  <c r="L3783" i="2"/>
  <c r="E3783" i="2"/>
  <c r="D3783" i="2"/>
  <c r="B3783" i="2"/>
  <c r="A3783" i="2"/>
  <c r="O3782" i="2"/>
  <c r="M3782" i="2"/>
  <c r="L3782" i="2"/>
  <c r="E3782" i="2"/>
  <c r="D3782" i="2"/>
  <c r="B3782" i="2"/>
  <c r="A3782" i="2"/>
  <c r="O3781" i="2"/>
  <c r="M3781" i="2"/>
  <c r="L3781" i="2"/>
  <c r="E3781" i="2"/>
  <c r="D3781" i="2"/>
  <c r="B3781" i="2"/>
  <c r="A3781" i="2"/>
  <c r="O3780" i="2"/>
  <c r="M3780" i="2"/>
  <c r="L3780" i="2"/>
  <c r="E3780" i="2"/>
  <c r="D3780" i="2"/>
  <c r="B3780" i="2"/>
  <c r="A3780" i="2"/>
  <c r="O3779" i="2"/>
  <c r="M3779" i="2"/>
  <c r="L3779" i="2"/>
  <c r="E3779" i="2"/>
  <c r="D3779" i="2"/>
  <c r="B3779" i="2"/>
  <c r="A3779" i="2"/>
  <c r="O3778" i="2"/>
  <c r="M3778" i="2"/>
  <c r="L3778" i="2"/>
  <c r="E3778" i="2"/>
  <c r="D3778" i="2"/>
  <c r="B3778" i="2"/>
  <c r="A3778" i="2"/>
  <c r="O3777" i="2"/>
  <c r="O3776" i="2"/>
  <c r="O3775" i="2"/>
  <c r="M3775" i="2"/>
  <c r="L3775" i="2"/>
  <c r="E3775" i="2"/>
  <c r="D3775" i="2"/>
  <c r="B3775" i="2"/>
  <c r="A3775" i="2"/>
  <c r="O3774" i="2"/>
  <c r="M3774" i="2"/>
  <c r="L3774" i="2"/>
  <c r="E3774" i="2"/>
  <c r="D3774" i="2"/>
  <c r="B3774" i="2"/>
  <c r="A3774" i="2"/>
  <c r="O3773" i="2"/>
  <c r="M3773" i="2"/>
  <c r="L3773" i="2"/>
  <c r="E3773" i="2"/>
  <c r="D3773" i="2"/>
  <c r="B3773" i="2"/>
  <c r="A3773" i="2"/>
  <c r="O3772" i="2"/>
  <c r="O3771" i="2"/>
  <c r="M3771" i="2"/>
  <c r="L3771" i="2"/>
  <c r="E3771" i="2"/>
  <c r="D3771" i="2"/>
  <c r="B3771" i="2"/>
  <c r="A3771" i="2"/>
  <c r="O3770" i="2"/>
  <c r="M3770" i="2"/>
  <c r="L3770" i="2"/>
  <c r="E3770" i="2"/>
  <c r="D3770" i="2"/>
  <c r="B3770" i="2"/>
  <c r="A3770" i="2"/>
  <c r="O3769" i="2"/>
  <c r="M3769" i="2"/>
  <c r="L3769" i="2"/>
  <c r="E3769" i="2"/>
  <c r="D3769" i="2"/>
  <c r="B3769" i="2"/>
  <c r="A3769" i="2"/>
  <c r="O3768" i="2"/>
  <c r="M3768" i="2"/>
  <c r="L3768" i="2"/>
  <c r="E3768" i="2"/>
  <c r="D3768" i="2"/>
  <c r="B3768" i="2"/>
  <c r="A3768" i="2"/>
  <c r="O3767" i="2"/>
  <c r="M3767" i="2"/>
  <c r="L3767" i="2"/>
  <c r="E3767" i="2"/>
  <c r="D3767" i="2"/>
  <c r="B3767" i="2"/>
  <c r="A3767" i="2"/>
  <c r="O3766" i="2"/>
  <c r="M3766" i="2"/>
  <c r="L3766" i="2"/>
  <c r="E3766" i="2"/>
  <c r="D3766" i="2"/>
  <c r="B3766" i="2"/>
  <c r="A3766" i="2"/>
  <c r="O3765" i="2"/>
  <c r="O3764" i="2"/>
  <c r="O3763" i="2"/>
  <c r="O3762" i="2"/>
  <c r="M3762" i="2"/>
  <c r="L3762" i="2"/>
  <c r="E3762" i="2"/>
  <c r="D3762" i="2"/>
  <c r="B3762" i="2"/>
  <c r="A3762" i="2"/>
  <c r="O3761" i="2"/>
  <c r="M3761" i="2"/>
  <c r="L3761" i="2"/>
  <c r="E3761" i="2"/>
  <c r="D3761" i="2"/>
  <c r="B3761" i="2"/>
  <c r="A3761" i="2"/>
  <c r="O3760" i="2"/>
  <c r="M3760" i="2"/>
  <c r="L3760" i="2"/>
  <c r="E3760" i="2"/>
  <c r="D3760" i="2"/>
  <c r="B3760" i="2"/>
  <c r="A3760" i="2"/>
  <c r="O3759" i="2"/>
  <c r="M3759" i="2"/>
  <c r="L3759" i="2"/>
  <c r="E3759" i="2"/>
  <c r="D3759" i="2"/>
  <c r="B3759" i="2"/>
  <c r="A3759" i="2"/>
  <c r="O3758" i="2"/>
  <c r="M3758" i="2"/>
  <c r="L3758" i="2"/>
  <c r="E3758" i="2"/>
  <c r="D3758" i="2"/>
  <c r="B3758" i="2"/>
  <c r="A3758" i="2"/>
  <c r="O3757" i="2"/>
  <c r="M3757" i="2"/>
  <c r="L3757" i="2"/>
  <c r="E3757" i="2"/>
  <c r="D3757" i="2"/>
  <c r="B3757" i="2"/>
  <c r="A3757" i="2"/>
  <c r="O3756" i="2"/>
  <c r="M3756" i="2"/>
  <c r="L3756" i="2"/>
  <c r="E3756" i="2"/>
  <c r="D3756" i="2"/>
  <c r="B3756" i="2"/>
  <c r="A3756" i="2"/>
  <c r="O3755" i="2"/>
  <c r="M3755" i="2"/>
  <c r="L3755" i="2"/>
  <c r="E3755" i="2"/>
  <c r="D3755" i="2"/>
  <c r="B3755" i="2"/>
  <c r="A3755" i="2"/>
  <c r="O3754" i="2"/>
  <c r="M3754" i="2"/>
  <c r="L3754" i="2"/>
  <c r="E3754" i="2"/>
  <c r="D3754" i="2"/>
  <c r="B3754" i="2"/>
  <c r="A3754" i="2"/>
  <c r="O3753" i="2"/>
  <c r="M3753" i="2"/>
  <c r="L3753" i="2"/>
  <c r="E3753" i="2"/>
  <c r="D3753" i="2"/>
  <c r="B3753" i="2"/>
  <c r="A3753" i="2"/>
  <c r="O3752" i="2"/>
  <c r="M3752" i="2"/>
  <c r="L3752" i="2"/>
  <c r="E3752" i="2"/>
  <c r="D3752" i="2"/>
  <c r="B3752" i="2"/>
  <c r="A3752" i="2"/>
  <c r="O3751" i="2"/>
  <c r="M3751" i="2"/>
  <c r="L3751" i="2"/>
  <c r="E3751" i="2"/>
  <c r="D3751" i="2"/>
  <c r="B3751" i="2"/>
  <c r="A3751" i="2"/>
  <c r="O3750" i="2"/>
  <c r="M3750" i="2"/>
  <c r="L3750" i="2"/>
  <c r="E3750" i="2"/>
  <c r="D3750" i="2"/>
  <c r="B3750" i="2"/>
  <c r="A3750" i="2"/>
  <c r="O3749" i="2"/>
  <c r="M3749" i="2"/>
  <c r="L3749" i="2"/>
  <c r="E3749" i="2"/>
  <c r="D3749" i="2"/>
  <c r="B3749" i="2"/>
  <c r="A3749" i="2"/>
  <c r="O3748" i="2"/>
  <c r="M3748" i="2"/>
  <c r="L3748" i="2"/>
  <c r="E3748" i="2"/>
  <c r="D3748" i="2"/>
  <c r="B3748" i="2"/>
  <c r="A3748" i="2"/>
  <c r="O3747" i="2"/>
  <c r="O3746" i="2"/>
  <c r="O3745" i="2"/>
  <c r="O3744" i="2"/>
  <c r="M3744" i="2"/>
  <c r="L3744" i="2"/>
  <c r="E3744" i="2"/>
  <c r="D3744" i="2"/>
  <c r="B3744" i="2"/>
  <c r="A3744" i="2"/>
  <c r="O3743" i="2"/>
  <c r="M3743" i="2"/>
  <c r="L3743" i="2"/>
  <c r="E3743" i="2"/>
  <c r="D3743" i="2"/>
  <c r="B3743" i="2"/>
  <c r="A3743" i="2"/>
  <c r="O3742" i="2"/>
  <c r="M3742" i="2"/>
  <c r="L3742" i="2"/>
  <c r="E3742" i="2"/>
  <c r="D3742" i="2"/>
  <c r="B3742" i="2"/>
  <c r="A3742" i="2"/>
  <c r="O3741" i="2"/>
  <c r="M3741" i="2"/>
  <c r="L3741" i="2"/>
  <c r="E3741" i="2"/>
  <c r="D3741" i="2"/>
  <c r="B3741" i="2"/>
  <c r="A3741" i="2"/>
  <c r="M3740" i="2"/>
  <c r="L3740" i="2"/>
  <c r="E3740" i="2"/>
  <c r="D3740" i="2"/>
  <c r="B3740" i="2"/>
  <c r="A3740" i="2"/>
  <c r="O3739" i="2"/>
  <c r="M3739" i="2"/>
  <c r="L3739" i="2"/>
  <c r="E3739" i="2"/>
  <c r="D3739" i="2"/>
  <c r="B3739" i="2"/>
  <c r="A3739" i="2"/>
  <c r="O3738" i="2"/>
  <c r="M3738" i="2"/>
  <c r="L3738" i="2"/>
  <c r="E3738" i="2"/>
  <c r="D3738" i="2"/>
  <c r="B3738" i="2"/>
  <c r="A3738" i="2"/>
  <c r="O3737" i="2"/>
  <c r="M3737" i="2"/>
  <c r="L3737" i="2"/>
  <c r="E3737" i="2"/>
  <c r="D3737" i="2"/>
  <c r="B3737" i="2"/>
  <c r="A3737" i="2"/>
  <c r="O3736" i="2"/>
  <c r="M3736" i="2"/>
  <c r="L3736" i="2"/>
  <c r="E3736" i="2"/>
  <c r="D3736" i="2"/>
  <c r="B3736" i="2"/>
  <c r="A3736" i="2"/>
  <c r="O3735" i="2"/>
  <c r="M3735" i="2"/>
  <c r="L3735" i="2"/>
  <c r="E3735" i="2"/>
  <c r="D3735" i="2"/>
  <c r="B3735" i="2"/>
  <c r="A3735" i="2"/>
  <c r="O3734" i="2"/>
  <c r="M3734" i="2"/>
  <c r="L3734" i="2"/>
  <c r="E3734" i="2"/>
  <c r="D3734" i="2"/>
  <c r="B3734" i="2"/>
  <c r="A3734" i="2"/>
  <c r="O3733" i="2"/>
  <c r="M3733" i="2"/>
  <c r="L3733" i="2"/>
  <c r="E3733" i="2"/>
  <c r="D3733" i="2"/>
  <c r="B3733" i="2"/>
  <c r="A3733" i="2"/>
  <c r="O3732" i="2"/>
  <c r="M3732" i="2"/>
  <c r="L3732" i="2"/>
  <c r="E3732" i="2"/>
  <c r="D3732" i="2"/>
  <c r="B3732" i="2"/>
  <c r="A3732" i="2"/>
  <c r="O3731" i="2"/>
  <c r="M3731" i="2"/>
  <c r="L3731" i="2"/>
  <c r="E3731" i="2"/>
  <c r="D3731" i="2"/>
  <c r="B3731" i="2"/>
  <c r="A3731" i="2"/>
  <c r="O3730" i="2"/>
  <c r="O3729" i="2"/>
  <c r="O3728" i="2"/>
  <c r="M3728" i="2"/>
  <c r="L3728" i="2"/>
  <c r="E3728" i="2"/>
  <c r="D3728" i="2"/>
  <c r="B3728" i="2"/>
  <c r="A3728" i="2"/>
  <c r="O3727" i="2"/>
  <c r="M3727" i="2"/>
  <c r="L3727" i="2"/>
  <c r="E3727" i="2"/>
  <c r="D3727" i="2"/>
  <c r="B3727" i="2"/>
  <c r="A3727" i="2"/>
  <c r="O3726" i="2"/>
  <c r="O3725" i="2"/>
  <c r="M3725" i="2"/>
  <c r="L3725" i="2"/>
  <c r="E3725" i="2"/>
  <c r="D3725" i="2"/>
  <c r="B3725" i="2"/>
  <c r="A3725" i="2"/>
  <c r="O3724" i="2"/>
  <c r="M3724" i="2"/>
  <c r="L3724" i="2"/>
  <c r="E3724" i="2"/>
  <c r="D3724" i="2"/>
  <c r="B3724" i="2"/>
  <c r="A3724" i="2"/>
  <c r="O3723" i="2"/>
  <c r="M3723" i="2"/>
  <c r="L3723" i="2"/>
  <c r="E3723" i="2"/>
  <c r="D3723" i="2"/>
  <c r="B3723" i="2"/>
  <c r="A3723" i="2"/>
  <c r="O3722" i="2"/>
  <c r="M3722" i="2"/>
  <c r="L3722" i="2"/>
  <c r="E3722" i="2"/>
  <c r="D3722" i="2"/>
  <c r="B3722" i="2"/>
  <c r="A3722" i="2"/>
  <c r="O3721" i="2"/>
  <c r="M3721" i="2"/>
  <c r="L3721" i="2"/>
  <c r="E3721" i="2"/>
  <c r="D3721" i="2"/>
  <c r="B3721" i="2"/>
  <c r="A3721" i="2"/>
  <c r="O3720" i="2"/>
  <c r="M3720" i="2"/>
  <c r="L3720" i="2"/>
  <c r="E3720" i="2"/>
  <c r="D3720" i="2"/>
  <c r="B3720" i="2"/>
  <c r="A3720" i="2"/>
  <c r="O3719" i="2"/>
  <c r="M3719" i="2"/>
  <c r="L3719" i="2"/>
  <c r="E3719" i="2"/>
  <c r="D3719" i="2"/>
  <c r="B3719" i="2"/>
  <c r="A3719" i="2"/>
  <c r="O3718" i="2"/>
  <c r="M3718" i="2"/>
  <c r="L3718" i="2"/>
  <c r="E3718" i="2"/>
  <c r="D3718" i="2"/>
  <c r="B3718" i="2"/>
  <c r="A3718" i="2"/>
  <c r="O3717" i="2"/>
  <c r="M3717" i="2"/>
  <c r="L3717" i="2"/>
  <c r="E3717" i="2"/>
  <c r="D3717" i="2"/>
  <c r="B3717" i="2"/>
  <c r="A3717" i="2"/>
  <c r="O3716" i="2"/>
  <c r="M3716" i="2"/>
  <c r="L3716" i="2"/>
  <c r="E3716" i="2"/>
  <c r="D3716" i="2"/>
  <c r="B3716" i="2"/>
  <c r="A3716" i="2"/>
  <c r="O3715" i="2"/>
  <c r="O3714" i="2"/>
  <c r="O3713" i="2"/>
  <c r="M3713" i="2"/>
  <c r="L3713" i="2"/>
  <c r="E3713" i="2"/>
  <c r="D3713" i="2"/>
  <c r="B3713" i="2"/>
  <c r="A3713" i="2"/>
  <c r="O3712" i="2"/>
  <c r="M3712" i="2"/>
  <c r="L3712" i="2"/>
  <c r="E3712" i="2"/>
  <c r="D3712" i="2"/>
  <c r="B3712" i="2"/>
  <c r="A3712" i="2"/>
  <c r="O3711" i="2"/>
  <c r="O3710" i="2"/>
  <c r="M3710" i="2"/>
  <c r="L3710" i="2"/>
  <c r="E3710" i="2"/>
  <c r="D3710" i="2"/>
  <c r="B3710" i="2"/>
  <c r="A3710" i="2"/>
  <c r="O3709" i="2"/>
  <c r="M3709" i="2"/>
  <c r="L3709" i="2"/>
  <c r="E3709" i="2"/>
  <c r="D3709" i="2"/>
  <c r="B3709" i="2"/>
  <c r="A3709" i="2"/>
  <c r="O3708" i="2"/>
  <c r="M3708" i="2"/>
  <c r="L3708" i="2"/>
  <c r="E3708" i="2"/>
  <c r="D3708" i="2"/>
  <c r="B3708" i="2"/>
  <c r="A3708" i="2"/>
  <c r="O3707" i="2"/>
  <c r="M3707" i="2"/>
  <c r="L3707" i="2"/>
  <c r="E3707" i="2"/>
  <c r="D3707" i="2"/>
  <c r="B3707" i="2"/>
  <c r="A3707" i="2"/>
  <c r="O3706" i="2"/>
  <c r="O3705" i="2"/>
  <c r="M3705" i="2"/>
  <c r="L3705" i="2"/>
  <c r="E3705" i="2"/>
  <c r="D3705" i="2"/>
  <c r="B3705" i="2"/>
  <c r="A3705" i="2"/>
  <c r="O3704" i="2"/>
  <c r="M3704" i="2"/>
  <c r="L3704" i="2"/>
  <c r="E3704" i="2"/>
  <c r="D3704" i="2"/>
  <c r="B3704" i="2"/>
  <c r="A3704" i="2"/>
  <c r="O3703" i="2"/>
  <c r="M3703" i="2"/>
  <c r="L3703" i="2"/>
  <c r="E3703" i="2"/>
  <c r="D3703" i="2"/>
  <c r="B3703" i="2"/>
  <c r="A3703" i="2"/>
  <c r="O3702" i="2"/>
  <c r="M3702" i="2"/>
  <c r="L3702" i="2"/>
  <c r="E3702" i="2"/>
  <c r="D3702" i="2"/>
  <c r="B3702" i="2"/>
  <c r="A3702" i="2"/>
  <c r="O3701" i="2"/>
  <c r="M3701" i="2"/>
  <c r="L3701" i="2"/>
  <c r="E3701" i="2"/>
  <c r="D3701" i="2"/>
  <c r="B3701" i="2"/>
  <c r="A3701" i="2"/>
  <c r="O3700" i="2"/>
  <c r="M3700" i="2"/>
  <c r="L3700" i="2"/>
  <c r="E3700" i="2"/>
  <c r="D3700" i="2"/>
  <c r="B3700" i="2"/>
  <c r="A3700" i="2"/>
  <c r="O3699" i="2"/>
  <c r="M3699" i="2"/>
  <c r="L3699" i="2"/>
  <c r="E3699" i="2"/>
  <c r="D3699" i="2"/>
  <c r="B3699" i="2"/>
  <c r="A3699" i="2"/>
  <c r="O3698" i="2"/>
  <c r="M3698" i="2"/>
  <c r="L3698" i="2"/>
  <c r="E3698" i="2"/>
  <c r="D3698" i="2"/>
  <c r="B3698" i="2"/>
  <c r="A3698" i="2"/>
  <c r="O3697" i="2"/>
  <c r="O3696" i="2"/>
  <c r="O3695" i="2"/>
  <c r="M3695" i="2"/>
  <c r="L3695" i="2"/>
  <c r="E3695" i="2"/>
  <c r="D3695" i="2"/>
  <c r="B3695" i="2"/>
  <c r="A3695" i="2"/>
  <c r="O3694" i="2"/>
  <c r="M3694" i="2"/>
  <c r="L3694" i="2"/>
  <c r="E3694" i="2"/>
  <c r="D3694" i="2"/>
  <c r="B3694" i="2"/>
  <c r="A3694" i="2"/>
  <c r="O3693" i="2"/>
  <c r="M3693" i="2"/>
  <c r="L3693" i="2"/>
  <c r="E3693" i="2"/>
  <c r="D3693" i="2"/>
  <c r="B3693" i="2"/>
  <c r="A3693" i="2"/>
  <c r="O3692" i="2"/>
  <c r="M3692" i="2"/>
  <c r="L3692" i="2"/>
  <c r="E3692" i="2"/>
  <c r="D3692" i="2"/>
  <c r="B3692" i="2"/>
  <c r="A3692" i="2"/>
  <c r="O3691" i="2"/>
  <c r="M3691" i="2"/>
  <c r="L3691" i="2"/>
  <c r="E3691" i="2"/>
  <c r="D3691" i="2"/>
  <c r="B3691" i="2"/>
  <c r="A3691" i="2"/>
  <c r="O3690" i="2"/>
  <c r="M3690" i="2"/>
  <c r="L3690" i="2"/>
  <c r="E3690" i="2"/>
  <c r="D3690" i="2"/>
  <c r="B3690" i="2"/>
  <c r="A3690" i="2"/>
  <c r="O3689" i="2"/>
  <c r="M3689" i="2"/>
  <c r="L3689" i="2"/>
  <c r="E3689" i="2"/>
  <c r="D3689" i="2"/>
  <c r="B3689" i="2"/>
  <c r="A3689" i="2"/>
  <c r="O3688" i="2"/>
  <c r="M3688" i="2"/>
  <c r="L3688" i="2"/>
  <c r="E3688" i="2"/>
  <c r="D3688" i="2"/>
  <c r="B3688" i="2"/>
  <c r="A3688" i="2"/>
  <c r="O3687" i="2"/>
  <c r="O3686" i="2"/>
  <c r="O3685" i="2"/>
  <c r="O3684" i="2"/>
  <c r="O3683" i="2"/>
  <c r="O3682" i="2"/>
  <c r="M3682" i="2"/>
  <c r="L3682" i="2"/>
  <c r="E3682" i="2"/>
  <c r="D3682" i="2"/>
  <c r="B3682" i="2"/>
  <c r="A3682" i="2"/>
  <c r="O3681" i="2"/>
  <c r="M3681" i="2"/>
  <c r="L3681" i="2"/>
  <c r="E3681" i="2"/>
  <c r="D3681" i="2"/>
  <c r="B3681" i="2"/>
  <c r="A3681" i="2"/>
  <c r="O3680" i="2"/>
  <c r="M3680" i="2"/>
  <c r="L3680" i="2"/>
  <c r="E3680" i="2"/>
  <c r="D3680" i="2"/>
  <c r="B3680" i="2"/>
  <c r="A3680" i="2"/>
  <c r="O3679" i="2"/>
  <c r="O3678" i="2"/>
  <c r="M3678" i="2"/>
  <c r="L3678" i="2"/>
  <c r="E3678" i="2"/>
  <c r="D3678" i="2"/>
  <c r="B3678" i="2"/>
  <c r="A3678" i="2"/>
  <c r="O3677" i="2"/>
  <c r="M3677" i="2"/>
  <c r="L3677" i="2"/>
  <c r="E3677" i="2"/>
  <c r="D3677" i="2"/>
  <c r="B3677" i="2"/>
  <c r="A3677" i="2"/>
  <c r="O3676" i="2"/>
  <c r="O3675" i="2"/>
  <c r="M3675" i="2"/>
  <c r="L3675" i="2"/>
  <c r="E3675" i="2"/>
  <c r="D3675" i="2"/>
  <c r="B3675" i="2"/>
  <c r="A3675" i="2"/>
  <c r="O3674" i="2"/>
  <c r="M3674" i="2"/>
  <c r="L3674" i="2"/>
  <c r="E3674" i="2"/>
  <c r="D3674" i="2"/>
  <c r="B3674" i="2"/>
  <c r="A3674" i="2"/>
  <c r="O3673" i="2"/>
  <c r="M3673" i="2"/>
  <c r="L3673" i="2"/>
  <c r="E3673" i="2"/>
  <c r="D3673" i="2"/>
  <c r="B3673" i="2"/>
  <c r="A3673" i="2"/>
  <c r="O3672" i="2"/>
  <c r="M3672" i="2"/>
  <c r="L3672" i="2"/>
  <c r="E3672" i="2"/>
  <c r="D3672" i="2"/>
  <c r="B3672" i="2"/>
  <c r="A3672" i="2"/>
  <c r="O3671" i="2"/>
  <c r="M3671" i="2"/>
  <c r="L3671" i="2"/>
  <c r="E3671" i="2"/>
  <c r="D3671" i="2"/>
  <c r="B3671" i="2"/>
  <c r="A3671" i="2"/>
  <c r="O3670" i="2"/>
  <c r="M3670" i="2"/>
  <c r="L3670" i="2"/>
  <c r="E3670" i="2"/>
  <c r="D3670" i="2"/>
  <c r="B3670" i="2"/>
  <c r="A3670" i="2"/>
  <c r="O3669" i="2"/>
  <c r="M3669" i="2"/>
  <c r="L3669" i="2"/>
  <c r="E3669" i="2"/>
  <c r="D3669" i="2"/>
  <c r="B3669" i="2"/>
  <c r="A3669" i="2"/>
  <c r="O3668" i="2"/>
  <c r="M3668" i="2"/>
  <c r="L3668" i="2"/>
  <c r="E3668" i="2"/>
  <c r="D3668" i="2"/>
  <c r="B3668" i="2"/>
  <c r="A3668" i="2"/>
  <c r="O3667" i="2"/>
  <c r="M3667" i="2"/>
  <c r="L3667" i="2"/>
  <c r="E3667" i="2"/>
  <c r="D3667" i="2"/>
  <c r="B3667" i="2"/>
  <c r="A3667" i="2"/>
  <c r="O3666" i="2"/>
  <c r="M3666" i="2"/>
  <c r="L3666" i="2"/>
  <c r="E3666" i="2"/>
  <c r="D3666" i="2"/>
  <c r="B3666" i="2"/>
  <c r="A3666" i="2"/>
  <c r="O3665" i="2"/>
  <c r="O3664" i="2"/>
  <c r="M3664" i="2"/>
  <c r="L3664" i="2"/>
  <c r="E3664" i="2"/>
  <c r="D3664" i="2"/>
  <c r="B3664" i="2"/>
  <c r="A3664" i="2"/>
  <c r="O3663" i="2"/>
  <c r="M3663" i="2"/>
  <c r="L3663" i="2"/>
  <c r="E3663" i="2"/>
  <c r="D3663" i="2"/>
  <c r="B3663" i="2"/>
  <c r="A3663" i="2"/>
  <c r="O3662" i="2"/>
  <c r="M3662" i="2"/>
  <c r="L3662" i="2"/>
  <c r="E3662" i="2"/>
  <c r="D3662" i="2"/>
  <c r="B3662" i="2"/>
  <c r="A3662" i="2"/>
  <c r="O3661" i="2"/>
  <c r="M3661" i="2"/>
  <c r="L3661" i="2"/>
  <c r="E3661" i="2"/>
  <c r="D3661" i="2"/>
  <c r="B3661" i="2"/>
  <c r="A3661" i="2"/>
  <c r="O3660" i="2"/>
  <c r="M3660" i="2"/>
  <c r="L3660" i="2"/>
  <c r="E3660" i="2"/>
  <c r="D3660" i="2"/>
  <c r="B3660" i="2"/>
  <c r="A3660" i="2"/>
  <c r="O3659" i="2"/>
  <c r="M3659" i="2"/>
  <c r="L3659" i="2"/>
  <c r="E3659" i="2"/>
  <c r="D3659" i="2"/>
  <c r="B3659" i="2"/>
  <c r="A3659" i="2"/>
  <c r="O3658" i="2"/>
  <c r="M3658" i="2"/>
  <c r="L3658" i="2"/>
  <c r="E3658" i="2"/>
  <c r="D3658" i="2"/>
  <c r="B3658" i="2"/>
  <c r="A3658" i="2"/>
  <c r="O3657" i="2"/>
  <c r="M3657" i="2"/>
  <c r="L3657" i="2"/>
  <c r="E3657" i="2"/>
  <c r="D3657" i="2"/>
  <c r="B3657" i="2"/>
  <c r="A3657" i="2"/>
  <c r="O3656" i="2"/>
  <c r="O3655" i="2"/>
  <c r="M3655" i="2"/>
  <c r="L3655" i="2"/>
  <c r="E3655" i="2"/>
  <c r="D3655" i="2"/>
  <c r="B3655" i="2"/>
  <c r="A3655" i="2"/>
  <c r="O3654" i="2"/>
  <c r="M3654" i="2"/>
  <c r="L3654" i="2"/>
  <c r="E3654" i="2"/>
  <c r="D3654" i="2"/>
  <c r="B3654" i="2"/>
  <c r="A3654" i="2"/>
  <c r="O3653" i="2"/>
  <c r="M3653" i="2"/>
  <c r="L3653" i="2"/>
  <c r="E3653" i="2"/>
  <c r="D3653" i="2"/>
  <c r="B3653" i="2"/>
  <c r="A3653" i="2"/>
  <c r="O3652" i="2"/>
  <c r="O3651" i="2"/>
  <c r="O3650" i="2"/>
  <c r="M3650" i="2"/>
  <c r="L3650" i="2"/>
  <c r="E3650" i="2"/>
  <c r="D3650" i="2"/>
  <c r="B3650" i="2"/>
  <c r="A3650" i="2"/>
  <c r="O3649" i="2"/>
  <c r="M3649" i="2"/>
  <c r="L3649" i="2"/>
  <c r="E3649" i="2"/>
  <c r="D3649" i="2"/>
  <c r="B3649" i="2"/>
  <c r="A3649" i="2"/>
  <c r="O3648" i="2"/>
  <c r="M3648" i="2"/>
  <c r="L3648" i="2"/>
  <c r="E3648" i="2"/>
  <c r="D3648" i="2"/>
  <c r="B3648" i="2"/>
  <c r="A3648" i="2"/>
  <c r="O3647" i="2"/>
  <c r="M3647" i="2"/>
  <c r="L3647" i="2"/>
  <c r="E3647" i="2"/>
  <c r="D3647" i="2"/>
  <c r="B3647" i="2"/>
  <c r="A3647" i="2"/>
  <c r="O3646" i="2"/>
  <c r="M3646" i="2"/>
  <c r="L3646" i="2"/>
  <c r="E3646" i="2"/>
  <c r="D3646" i="2"/>
  <c r="B3646" i="2"/>
  <c r="A3646" i="2"/>
  <c r="O3645" i="2"/>
  <c r="M3645" i="2"/>
  <c r="L3645" i="2"/>
  <c r="E3645" i="2"/>
  <c r="D3645" i="2"/>
  <c r="B3645" i="2"/>
  <c r="A3645" i="2"/>
  <c r="O3644" i="2"/>
  <c r="M3644" i="2"/>
  <c r="L3644" i="2"/>
  <c r="E3644" i="2"/>
  <c r="D3644" i="2"/>
  <c r="B3644" i="2"/>
  <c r="A3644" i="2"/>
  <c r="O3643" i="2"/>
  <c r="O3642" i="2"/>
  <c r="O3641" i="2"/>
  <c r="O3640" i="2"/>
  <c r="M3640" i="2"/>
  <c r="L3640" i="2"/>
  <c r="E3640" i="2"/>
  <c r="D3640" i="2"/>
  <c r="B3640" i="2"/>
  <c r="A3640" i="2"/>
  <c r="O3639" i="2"/>
  <c r="M3639" i="2"/>
  <c r="L3639" i="2"/>
  <c r="E3639" i="2"/>
  <c r="D3639" i="2"/>
  <c r="B3639" i="2"/>
  <c r="A3639" i="2"/>
  <c r="O3638" i="2"/>
  <c r="M3638" i="2"/>
  <c r="L3638" i="2"/>
  <c r="E3638" i="2"/>
  <c r="D3638" i="2"/>
  <c r="B3638" i="2"/>
  <c r="A3638" i="2"/>
  <c r="O3637" i="2"/>
  <c r="M3637" i="2"/>
  <c r="L3637" i="2"/>
  <c r="E3637" i="2"/>
  <c r="D3637" i="2"/>
  <c r="B3637" i="2"/>
  <c r="A3637" i="2"/>
  <c r="O3636" i="2"/>
  <c r="M3636" i="2"/>
  <c r="L3636" i="2"/>
  <c r="E3636" i="2"/>
  <c r="D3636" i="2"/>
  <c r="B3636" i="2"/>
  <c r="A3636" i="2"/>
  <c r="O3635" i="2"/>
  <c r="O3634" i="2"/>
  <c r="M3634" i="2"/>
  <c r="L3634" i="2"/>
  <c r="E3634" i="2"/>
  <c r="D3634" i="2"/>
  <c r="B3634" i="2"/>
  <c r="A3634" i="2"/>
  <c r="O3633" i="2"/>
  <c r="M3633" i="2"/>
  <c r="L3633" i="2"/>
  <c r="E3633" i="2"/>
  <c r="D3633" i="2"/>
  <c r="B3633" i="2"/>
  <c r="A3633" i="2"/>
  <c r="O3632" i="2"/>
  <c r="M3632" i="2"/>
  <c r="L3632" i="2"/>
  <c r="E3632" i="2"/>
  <c r="D3632" i="2"/>
  <c r="B3632" i="2"/>
  <c r="A3632" i="2"/>
  <c r="O3631" i="2"/>
  <c r="M3631" i="2"/>
  <c r="L3631" i="2"/>
  <c r="E3631" i="2"/>
  <c r="D3631" i="2"/>
  <c r="B3631" i="2"/>
  <c r="A3631" i="2"/>
  <c r="O3630" i="2"/>
  <c r="M3630" i="2"/>
  <c r="L3630" i="2"/>
  <c r="E3630" i="2"/>
  <c r="D3630" i="2"/>
  <c r="B3630" i="2"/>
  <c r="A3630" i="2"/>
  <c r="O3629" i="2"/>
  <c r="O3628" i="2"/>
  <c r="M3628" i="2"/>
  <c r="L3628" i="2"/>
  <c r="E3628" i="2"/>
  <c r="D3628" i="2"/>
  <c r="B3628" i="2"/>
  <c r="A3628" i="2"/>
  <c r="O3627" i="2"/>
  <c r="M3627" i="2"/>
  <c r="L3627" i="2"/>
  <c r="E3627" i="2"/>
  <c r="D3627" i="2"/>
  <c r="B3627" i="2"/>
  <c r="A3627" i="2"/>
  <c r="O3626" i="2"/>
  <c r="M3626" i="2"/>
  <c r="L3626" i="2"/>
  <c r="E3626" i="2"/>
  <c r="D3626" i="2"/>
  <c r="B3626" i="2"/>
  <c r="A3626" i="2"/>
  <c r="O3625" i="2"/>
  <c r="M3625" i="2"/>
  <c r="L3625" i="2"/>
  <c r="E3625" i="2"/>
  <c r="D3625" i="2"/>
  <c r="B3625" i="2"/>
  <c r="A3625" i="2"/>
  <c r="O3624" i="2"/>
  <c r="M3624" i="2"/>
  <c r="L3624" i="2"/>
  <c r="E3624" i="2"/>
  <c r="D3624" i="2"/>
  <c r="B3624" i="2"/>
  <c r="A3624" i="2"/>
  <c r="O3623" i="2"/>
  <c r="M3623" i="2"/>
  <c r="L3623" i="2"/>
  <c r="E3623" i="2"/>
  <c r="D3623" i="2"/>
  <c r="B3623" i="2"/>
  <c r="A3623" i="2"/>
  <c r="O3622" i="2"/>
  <c r="M3622" i="2"/>
  <c r="L3622" i="2"/>
  <c r="E3622" i="2"/>
  <c r="D3622" i="2"/>
  <c r="B3622" i="2"/>
  <c r="A3622" i="2"/>
  <c r="O3621" i="2"/>
  <c r="M3621" i="2"/>
  <c r="L3621" i="2"/>
  <c r="E3621" i="2"/>
  <c r="D3621" i="2"/>
  <c r="B3621" i="2"/>
  <c r="A3621" i="2"/>
  <c r="O3620" i="2"/>
  <c r="O3619" i="2"/>
  <c r="O3618" i="2"/>
  <c r="M3618" i="2"/>
  <c r="L3618" i="2"/>
  <c r="E3618" i="2"/>
  <c r="D3618" i="2"/>
  <c r="B3618" i="2"/>
  <c r="A3618" i="2"/>
  <c r="O3617" i="2"/>
  <c r="M3617" i="2"/>
  <c r="L3617" i="2"/>
  <c r="E3617" i="2"/>
  <c r="D3617" i="2"/>
  <c r="B3617" i="2"/>
  <c r="A3617" i="2"/>
  <c r="O3616" i="2"/>
  <c r="M3616" i="2"/>
  <c r="L3616" i="2"/>
  <c r="E3616" i="2"/>
  <c r="D3616" i="2"/>
  <c r="B3616" i="2"/>
  <c r="A3616" i="2"/>
  <c r="O3615" i="2"/>
  <c r="M3615" i="2"/>
  <c r="L3615" i="2"/>
  <c r="E3615" i="2"/>
  <c r="D3615" i="2"/>
  <c r="B3615" i="2"/>
  <c r="A3615" i="2"/>
  <c r="O3614" i="2"/>
  <c r="M3614" i="2"/>
  <c r="L3614" i="2"/>
  <c r="E3614" i="2"/>
  <c r="D3614" i="2"/>
  <c r="B3614" i="2"/>
  <c r="A3614" i="2"/>
  <c r="O3613" i="2"/>
  <c r="M3613" i="2"/>
  <c r="L3613" i="2"/>
  <c r="E3613" i="2"/>
  <c r="D3613" i="2"/>
  <c r="B3613" i="2"/>
  <c r="A3613" i="2"/>
  <c r="O3612" i="2"/>
  <c r="M3612" i="2"/>
  <c r="L3612" i="2"/>
  <c r="E3612" i="2"/>
  <c r="D3612" i="2"/>
  <c r="B3612" i="2"/>
  <c r="A3612" i="2"/>
  <c r="O3611" i="2"/>
  <c r="M3611" i="2"/>
  <c r="L3611" i="2"/>
  <c r="E3611" i="2"/>
  <c r="D3611" i="2"/>
  <c r="B3611" i="2"/>
  <c r="A3611" i="2"/>
  <c r="O3610" i="2"/>
  <c r="M3610" i="2"/>
  <c r="L3610" i="2"/>
  <c r="E3610" i="2"/>
  <c r="D3610" i="2"/>
  <c r="B3610" i="2"/>
  <c r="A3610" i="2"/>
  <c r="O3609" i="2"/>
  <c r="M3609" i="2"/>
  <c r="L3609" i="2"/>
  <c r="E3609" i="2"/>
  <c r="D3609" i="2"/>
  <c r="B3609" i="2"/>
  <c r="A3609" i="2"/>
  <c r="O3608" i="2"/>
  <c r="M3608" i="2"/>
  <c r="L3608" i="2"/>
  <c r="E3608" i="2"/>
  <c r="D3608" i="2"/>
  <c r="B3608" i="2"/>
  <c r="A3608" i="2"/>
  <c r="O3607" i="2"/>
  <c r="M3607" i="2"/>
  <c r="L3607" i="2"/>
  <c r="E3607" i="2"/>
  <c r="D3607" i="2"/>
  <c r="B3607" i="2"/>
  <c r="A3607" i="2"/>
  <c r="O3606" i="2"/>
  <c r="M3606" i="2"/>
  <c r="L3606" i="2"/>
  <c r="E3606" i="2"/>
  <c r="D3606" i="2"/>
  <c r="B3606" i="2"/>
  <c r="A3606" i="2"/>
  <c r="O3605" i="2"/>
  <c r="M3605" i="2"/>
  <c r="L3605" i="2"/>
  <c r="E3605" i="2"/>
  <c r="D3605" i="2"/>
  <c r="B3605" i="2"/>
  <c r="A3605" i="2"/>
  <c r="O3604" i="2"/>
  <c r="M3604" i="2"/>
  <c r="L3604" i="2"/>
  <c r="E3604" i="2"/>
  <c r="D3604" i="2"/>
  <c r="B3604" i="2"/>
  <c r="A3604" i="2"/>
  <c r="O3603" i="2"/>
  <c r="M3603" i="2"/>
  <c r="L3603" i="2"/>
  <c r="E3603" i="2"/>
  <c r="D3603" i="2"/>
  <c r="B3603" i="2"/>
  <c r="A3603" i="2"/>
  <c r="O3602" i="2"/>
  <c r="O3601" i="2"/>
  <c r="M3601" i="2"/>
  <c r="L3601" i="2"/>
  <c r="E3601" i="2"/>
  <c r="D3601" i="2"/>
  <c r="B3601" i="2"/>
  <c r="A3601" i="2"/>
  <c r="O3600" i="2"/>
  <c r="M3600" i="2"/>
  <c r="L3600" i="2"/>
  <c r="E3600" i="2"/>
  <c r="D3600" i="2"/>
  <c r="B3600" i="2"/>
  <c r="A3600" i="2"/>
  <c r="O3599" i="2"/>
  <c r="M3599" i="2"/>
  <c r="L3599" i="2"/>
  <c r="E3599" i="2"/>
  <c r="D3599" i="2"/>
  <c r="B3599" i="2"/>
  <c r="A3599" i="2"/>
  <c r="O3598" i="2"/>
  <c r="M3598" i="2"/>
  <c r="L3598" i="2"/>
  <c r="E3598" i="2"/>
  <c r="D3598" i="2"/>
  <c r="B3598" i="2"/>
  <c r="A3598" i="2"/>
  <c r="O3597" i="2"/>
  <c r="M3597" i="2"/>
  <c r="L3597" i="2"/>
  <c r="E3597" i="2"/>
  <c r="D3597" i="2"/>
  <c r="B3597" i="2"/>
  <c r="A3597" i="2"/>
  <c r="O3596" i="2"/>
  <c r="M3596" i="2"/>
  <c r="L3596" i="2"/>
  <c r="E3596" i="2"/>
  <c r="D3596" i="2"/>
  <c r="B3596" i="2"/>
  <c r="A3596" i="2"/>
  <c r="O3595" i="2"/>
  <c r="M3595" i="2"/>
  <c r="L3595" i="2"/>
  <c r="E3595" i="2"/>
  <c r="D3595" i="2"/>
  <c r="B3595" i="2"/>
  <c r="A3595" i="2"/>
  <c r="O3594" i="2"/>
  <c r="M3594" i="2"/>
  <c r="L3594" i="2"/>
  <c r="E3594" i="2"/>
  <c r="D3594" i="2"/>
  <c r="B3594" i="2"/>
  <c r="A3594" i="2"/>
  <c r="O3593" i="2"/>
  <c r="M3593" i="2"/>
  <c r="L3593" i="2"/>
  <c r="E3593" i="2"/>
  <c r="D3593" i="2"/>
  <c r="B3593" i="2"/>
  <c r="A3593" i="2"/>
  <c r="O3592" i="2"/>
  <c r="M3592" i="2"/>
  <c r="L3592" i="2"/>
  <c r="E3592" i="2"/>
  <c r="D3592" i="2"/>
  <c r="B3592" i="2"/>
  <c r="A3592" i="2"/>
  <c r="O3591" i="2"/>
  <c r="M3591" i="2"/>
  <c r="L3591" i="2"/>
  <c r="E3591" i="2"/>
  <c r="D3591" i="2"/>
  <c r="B3591" i="2"/>
  <c r="A3591" i="2"/>
  <c r="O3590" i="2"/>
  <c r="O3589" i="2"/>
  <c r="O3588" i="2"/>
  <c r="O3587" i="2"/>
  <c r="M3587" i="2"/>
  <c r="L3587" i="2"/>
  <c r="E3587" i="2"/>
  <c r="D3587" i="2"/>
  <c r="B3587" i="2"/>
  <c r="A3587" i="2"/>
  <c r="O3586" i="2"/>
  <c r="O3585" i="2"/>
  <c r="O3584" i="2"/>
  <c r="M3584" i="2"/>
  <c r="L3584" i="2"/>
  <c r="E3584" i="2"/>
  <c r="D3584" i="2"/>
  <c r="B3584" i="2"/>
  <c r="A3584" i="2"/>
  <c r="O3583" i="2"/>
  <c r="M3583" i="2"/>
  <c r="L3583" i="2"/>
  <c r="E3583" i="2"/>
  <c r="D3583" i="2"/>
  <c r="B3583" i="2"/>
  <c r="A3583" i="2"/>
  <c r="O3582" i="2"/>
  <c r="M3582" i="2"/>
  <c r="L3582" i="2"/>
  <c r="E3582" i="2"/>
  <c r="D3582" i="2"/>
  <c r="B3582" i="2"/>
  <c r="A3582" i="2"/>
  <c r="O3581" i="2"/>
  <c r="M3581" i="2"/>
  <c r="L3581" i="2"/>
  <c r="E3581" i="2"/>
  <c r="D3581" i="2"/>
  <c r="B3581" i="2"/>
  <c r="A3581" i="2"/>
  <c r="O3580" i="2"/>
  <c r="M3580" i="2"/>
  <c r="L3580" i="2"/>
  <c r="E3580" i="2"/>
  <c r="D3580" i="2"/>
  <c r="B3580" i="2"/>
  <c r="A3580" i="2"/>
  <c r="O3579" i="2"/>
  <c r="M3579" i="2"/>
  <c r="L3579" i="2"/>
  <c r="E3579" i="2"/>
  <c r="D3579" i="2"/>
  <c r="B3579" i="2"/>
  <c r="A3579" i="2"/>
  <c r="O3578" i="2"/>
  <c r="M3578" i="2"/>
  <c r="L3578" i="2"/>
  <c r="E3578" i="2"/>
  <c r="D3578" i="2"/>
  <c r="B3578" i="2"/>
  <c r="A3578" i="2"/>
  <c r="O3577" i="2"/>
  <c r="M3577" i="2"/>
  <c r="L3577" i="2"/>
  <c r="E3577" i="2"/>
  <c r="D3577" i="2"/>
  <c r="B3577" i="2"/>
  <c r="A3577" i="2"/>
  <c r="O3576" i="2"/>
  <c r="O3575" i="2"/>
  <c r="M3575" i="2"/>
  <c r="L3575" i="2"/>
  <c r="E3575" i="2"/>
  <c r="D3575" i="2"/>
  <c r="B3575" i="2"/>
  <c r="A3575" i="2"/>
  <c r="O3574" i="2"/>
  <c r="M3574" i="2"/>
  <c r="L3574" i="2"/>
  <c r="E3574" i="2"/>
  <c r="D3574" i="2"/>
  <c r="B3574" i="2"/>
  <c r="A3574" i="2"/>
  <c r="O3573" i="2"/>
  <c r="M3573" i="2"/>
  <c r="L3573" i="2"/>
  <c r="E3573" i="2"/>
  <c r="D3573" i="2"/>
  <c r="B3573" i="2"/>
  <c r="A3573" i="2"/>
  <c r="O3572" i="2"/>
  <c r="M3572" i="2"/>
  <c r="L3572" i="2"/>
  <c r="E3572" i="2"/>
  <c r="D3572" i="2"/>
  <c r="B3572" i="2"/>
  <c r="A3572" i="2"/>
  <c r="O3571" i="2"/>
  <c r="M3571" i="2"/>
  <c r="L3571" i="2"/>
  <c r="E3571" i="2"/>
  <c r="D3571" i="2"/>
  <c r="B3571" i="2"/>
  <c r="A3571" i="2"/>
  <c r="O3570" i="2"/>
  <c r="M3570" i="2"/>
  <c r="L3570" i="2"/>
  <c r="E3570" i="2"/>
  <c r="D3570" i="2"/>
  <c r="B3570" i="2"/>
  <c r="A3570" i="2"/>
  <c r="O3569" i="2"/>
  <c r="M3569" i="2"/>
  <c r="L3569" i="2"/>
  <c r="E3569" i="2"/>
  <c r="D3569" i="2"/>
  <c r="B3569" i="2"/>
  <c r="A3569" i="2"/>
  <c r="O3568" i="2"/>
  <c r="M3568" i="2"/>
  <c r="L3568" i="2"/>
  <c r="E3568" i="2"/>
  <c r="D3568" i="2"/>
  <c r="B3568" i="2"/>
  <c r="A3568" i="2"/>
  <c r="O3567" i="2"/>
  <c r="M3567" i="2"/>
  <c r="L3567" i="2"/>
  <c r="E3567" i="2"/>
  <c r="D3567" i="2"/>
  <c r="B3567" i="2"/>
  <c r="A3567" i="2"/>
  <c r="O3566" i="2"/>
  <c r="O3565" i="2"/>
  <c r="M3565" i="2"/>
  <c r="L3565" i="2"/>
  <c r="E3565" i="2"/>
  <c r="D3565" i="2"/>
  <c r="B3565" i="2"/>
  <c r="A3565" i="2"/>
  <c r="O3564" i="2"/>
  <c r="M3564" i="2"/>
  <c r="L3564" i="2"/>
  <c r="E3564" i="2"/>
  <c r="D3564" i="2"/>
  <c r="B3564" i="2"/>
  <c r="A3564" i="2"/>
  <c r="O3563" i="2"/>
  <c r="M3563" i="2"/>
  <c r="L3563" i="2"/>
  <c r="E3563" i="2"/>
  <c r="D3563" i="2"/>
  <c r="B3563" i="2"/>
  <c r="A3563" i="2"/>
  <c r="O3562" i="2"/>
  <c r="M3562" i="2"/>
  <c r="L3562" i="2"/>
  <c r="E3562" i="2"/>
  <c r="D3562" i="2"/>
  <c r="B3562" i="2"/>
  <c r="A3562" i="2"/>
  <c r="O3561" i="2"/>
  <c r="M3561" i="2"/>
  <c r="L3561" i="2"/>
  <c r="E3561" i="2"/>
  <c r="D3561" i="2"/>
  <c r="B3561" i="2"/>
  <c r="A3561" i="2"/>
  <c r="O3560" i="2"/>
  <c r="M3560" i="2"/>
  <c r="L3560" i="2"/>
  <c r="E3560" i="2"/>
  <c r="D3560" i="2"/>
  <c r="B3560" i="2"/>
  <c r="A3560" i="2"/>
  <c r="O3559" i="2"/>
  <c r="M3559" i="2"/>
  <c r="L3559" i="2"/>
  <c r="E3559" i="2"/>
  <c r="D3559" i="2"/>
  <c r="B3559" i="2"/>
  <c r="A3559" i="2"/>
  <c r="O3558" i="2"/>
  <c r="O3557" i="2"/>
  <c r="O3556" i="2"/>
  <c r="M3556" i="2"/>
  <c r="L3556" i="2"/>
  <c r="E3556" i="2"/>
  <c r="D3556" i="2"/>
  <c r="B3556" i="2"/>
  <c r="A3556" i="2"/>
  <c r="O3555" i="2"/>
  <c r="M3555" i="2"/>
  <c r="L3555" i="2"/>
  <c r="E3555" i="2"/>
  <c r="D3555" i="2"/>
  <c r="B3555" i="2"/>
  <c r="A3555" i="2"/>
  <c r="O3554" i="2"/>
  <c r="M3554" i="2"/>
  <c r="L3554" i="2"/>
  <c r="E3554" i="2"/>
  <c r="D3554" i="2"/>
  <c r="B3554" i="2"/>
  <c r="A3554" i="2"/>
  <c r="O3553" i="2"/>
  <c r="M3553" i="2"/>
  <c r="L3553" i="2"/>
  <c r="E3553" i="2"/>
  <c r="D3553" i="2"/>
  <c r="B3553" i="2"/>
  <c r="A3553" i="2"/>
  <c r="O3552" i="2"/>
  <c r="M3552" i="2"/>
  <c r="L3552" i="2"/>
  <c r="E3552" i="2"/>
  <c r="D3552" i="2"/>
  <c r="B3552" i="2"/>
  <c r="A3552" i="2"/>
  <c r="O3551" i="2"/>
  <c r="M3551" i="2"/>
  <c r="L3551" i="2"/>
  <c r="E3551" i="2"/>
  <c r="D3551" i="2"/>
  <c r="B3551" i="2"/>
  <c r="A3551" i="2"/>
  <c r="O3550" i="2"/>
  <c r="M3550" i="2"/>
  <c r="L3550" i="2"/>
  <c r="E3550" i="2"/>
  <c r="D3550" i="2"/>
  <c r="B3550" i="2"/>
  <c r="A3550" i="2"/>
  <c r="O3549" i="2"/>
  <c r="M3549" i="2"/>
  <c r="L3549" i="2"/>
  <c r="E3549" i="2"/>
  <c r="D3549" i="2"/>
  <c r="B3549" i="2"/>
  <c r="A3549" i="2"/>
  <c r="O3548" i="2"/>
  <c r="O3547" i="2"/>
  <c r="M3547" i="2"/>
  <c r="L3547" i="2"/>
  <c r="E3547" i="2"/>
  <c r="D3547" i="2"/>
  <c r="B3547" i="2"/>
  <c r="A3547" i="2"/>
  <c r="O3546" i="2"/>
  <c r="O3545" i="2"/>
  <c r="M3545" i="2"/>
  <c r="L3545" i="2"/>
  <c r="E3545" i="2"/>
  <c r="D3545" i="2"/>
  <c r="B3545" i="2"/>
  <c r="A3545" i="2"/>
  <c r="O3544" i="2"/>
  <c r="M3544" i="2"/>
  <c r="L3544" i="2"/>
  <c r="E3544" i="2"/>
  <c r="D3544" i="2"/>
  <c r="B3544" i="2"/>
  <c r="A3544" i="2"/>
  <c r="M3543" i="2"/>
  <c r="L3543" i="2"/>
  <c r="E3543" i="2"/>
  <c r="D3543" i="2"/>
  <c r="B3543" i="2"/>
  <c r="A3543" i="2"/>
  <c r="O3542" i="2"/>
  <c r="M3542" i="2"/>
  <c r="L3542" i="2"/>
  <c r="E3542" i="2"/>
  <c r="D3542" i="2"/>
  <c r="B3542" i="2"/>
  <c r="A3542" i="2"/>
  <c r="O3541" i="2"/>
  <c r="M3541" i="2"/>
  <c r="L3541" i="2"/>
  <c r="E3541" i="2"/>
  <c r="D3541" i="2"/>
  <c r="B3541" i="2"/>
  <c r="A3541" i="2"/>
  <c r="O3540" i="2"/>
  <c r="M3540" i="2"/>
  <c r="L3540" i="2"/>
  <c r="E3540" i="2"/>
  <c r="D3540" i="2"/>
  <c r="B3540" i="2"/>
  <c r="A3540" i="2"/>
  <c r="O3539" i="2"/>
  <c r="M3539" i="2"/>
  <c r="L3539" i="2"/>
  <c r="E3539" i="2"/>
  <c r="D3539" i="2"/>
  <c r="B3539" i="2"/>
  <c r="A3539" i="2"/>
  <c r="O3538" i="2"/>
  <c r="M3538" i="2"/>
  <c r="L3538" i="2"/>
  <c r="E3538" i="2"/>
  <c r="D3538" i="2"/>
  <c r="B3538" i="2"/>
  <c r="A3538" i="2"/>
  <c r="O3537" i="2"/>
  <c r="O3536" i="2"/>
  <c r="M3536" i="2"/>
  <c r="L3536" i="2"/>
  <c r="E3536" i="2"/>
  <c r="D3536" i="2"/>
  <c r="B3536" i="2"/>
  <c r="A3536" i="2"/>
  <c r="O3535" i="2"/>
  <c r="M3535" i="2"/>
  <c r="L3535" i="2"/>
  <c r="E3535" i="2"/>
  <c r="D3535" i="2"/>
  <c r="B3535" i="2"/>
  <c r="A3535" i="2"/>
  <c r="M3534" i="2"/>
  <c r="L3534" i="2"/>
  <c r="E3534" i="2"/>
  <c r="D3534" i="2"/>
  <c r="B3534" i="2"/>
  <c r="A3534" i="2"/>
  <c r="O3533" i="2"/>
  <c r="M3533" i="2"/>
  <c r="L3533" i="2"/>
  <c r="E3533" i="2"/>
  <c r="D3533" i="2"/>
  <c r="B3533" i="2"/>
  <c r="A3533" i="2"/>
  <c r="O3532" i="2"/>
  <c r="M3532" i="2"/>
  <c r="L3532" i="2"/>
  <c r="E3532" i="2"/>
  <c r="D3532" i="2"/>
  <c r="B3532" i="2"/>
  <c r="A3532" i="2"/>
  <c r="O3531" i="2"/>
  <c r="M3531" i="2"/>
  <c r="L3531" i="2"/>
  <c r="E3531" i="2"/>
  <c r="D3531" i="2"/>
  <c r="B3531" i="2"/>
  <c r="A3531" i="2"/>
  <c r="O3530" i="2"/>
  <c r="M3530" i="2"/>
  <c r="L3530" i="2"/>
  <c r="E3530" i="2"/>
  <c r="D3530" i="2"/>
  <c r="B3530" i="2"/>
  <c r="A3530" i="2"/>
  <c r="O3529" i="2"/>
  <c r="M3529" i="2"/>
  <c r="L3529" i="2"/>
  <c r="E3529" i="2"/>
  <c r="D3529" i="2"/>
  <c r="B3529" i="2"/>
  <c r="A3529" i="2"/>
  <c r="O3528" i="2"/>
  <c r="M3528" i="2"/>
  <c r="L3528" i="2"/>
  <c r="E3528" i="2"/>
  <c r="D3528" i="2"/>
  <c r="B3528" i="2"/>
  <c r="A3528" i="2"/>
  <c r="O3527" i="2"/>
  <c r="M3527" i="2"/>
  <c r="L3527" i="2"/>
  <c r="E3527" i="2"/>
  <c r="D3527" i="2"/>
  <c r="B3527" i="2"/>
  <c r="A3527" i="2"/>
  <c r="O3526" i="2"/>
  <c r="M3526" i="2"/>
  <c r="L3526" i="2"/>
  <c r="E3526" i="2"/>
  <c r="D3526" i="2"/>
  <c r="B3526" i="2"/>
  <c r="A3526" i="2"/>
  <c r="O3525" i="2"/>
  <c r="M3525" i="2"/>
  <c r="L3525" i="2"/>
  <c r="E3525" i="2"/>
  <c r="D3525" i="2"/>
  <c r="B3525" i="2"/>
  <c r="A3525" i="2"/>
  <c r="O3524" i="2"/>
  <c r="M3524" i="2"/>
  <c r="L3524" i="2"/>
  <c r="E3524" i="2"/>
  <c r="D3524" i="2"/>
  <c r="B3524" i="2"/>
  <c r="A3524" i="2"/>
  <c r="O3523" i="2"/>
  <c r="M3523" i="2"/>
  <c r="L3523" i="2"/>
  <c r="E3523" i="2"/>
  <c r="D3523" i="2"/>
  <c r="B3523" i="2"/>
  <c r="A3523" i="2"/>
  <c r="O3522" i="2"/>
  <c r="M3522" i="2"/>
  <c r="L3522" i="2"/>
  <c r="E3522" i="2"/>
  <c r="D3522" i="2"/>
  <c r="B3522" i="2"/>
  <c r="A3522" i="2"/>
  <c r="O3521" i="2"/>
  <c r="O3520" i="2"/>
  <c r="O3519" i="2"/>
  <c r="O3518" i="2"/>
  <c r="M3518" i="2"/>
  <c r="L3518" i="2"/>
  <c r="E3518" i="2"/>
  <c r="D3518" i="2"/>
  <c r="B3518" i="2"/>
  <c r="A3518" i="2"/>
  <c r="O3517" i="2"/>
  <c r="M3517" i="2"/>
  <c r="L3517" i="2"/>
  <c r="E3517" i="2"/>
  <c r="D3517" i="2"/>
  <c r="B3517" i="2"/>
  <c r="A3517" i="2"/>
  <c r="O3516" i="2"/>
  <c r="M3516" i="2"/>
  <c r="L3516" i="2"/>
  <c r="E3516" i="2"/>
  <c r="D3516" i="2"/>
  <c r="B3516" i="2"/>
  <c r="A3516" i="2"/>
  <c r="O3515" i="2"/>
  <c r="M3515" i="2"/>
  <c r="L3515" i="2"/>
  <c r="E3515" i="2"/>
  <c r="D3515" i="2"/>
  <c r="B3515" i="2"/>
  <c r="A3515" i="2"/>
  <c r="O3514" i="2"/>
  <c r="M3514" i="2"/>
  <c r="L3514" i="2"/>
  <c r="E3514" i="2"/>
  <c r="D3514" i="2"/>
  <c r="B3514" i="2"/>
  <c r="A3514" i="2"/>
  <c r="O3513" i="2"/>
  <c r="M3513" i="2"/>
  <c r="L3513" i="2"/>
  <c r="E3513" i="2"/>
  <c r="D3513" i="2"/>
  <c r="B3513" i="2"/>
  <c r="A3513" i="2"/>
  <c r="O3512" i="2"/>
  <c r="M3512" i="2"/>
  <c r="L3512" i="2"/>
  <c r="E3512" i="2"/>
  <c r="D3512" i="2"/>
  <c r="B3512" i="2"/>
  <c r="A3512" i="2"/>
  <c r="O3511" i="2"/>
  <c r="M3511" i="2"/>
  <c r="L3511" i="2"/>
  <c r="E3511" i="2"/>
  <c r="D3511" i="2"/>
  <c r="B3511" i="2"/>
  <c r="A3511" i="2"/>
  <c r="O3510" i="2"/>
  <c r="M3510" i="2"/>
  <c r="L3510" i="2"/>
  <c r="E3510" i="2"/>
  <c r="D3510" i="2"/>
  <c r="B3510" i="2"/>
  <c r="A3510" i="2"/>
  <c r="O3509" i="2"/>
  <c r="M3509" i="2"/>
  <c r="L3509" i="2"/>
  <c r="E3509" i="2"/>
  <c r="D3509" i="2"/>
  <c r="B3509" i="2"/>
  <c r="A3509" i="2"/>
  <c r="O3508" i="2"/>
  <c r="M3508" i="2"/>
  <c r="L3508" i="2"/>
  <c r="E3508" i="2"/>
  <c r="D3508" i="2"/>
  <c r="B3508" i="2"/>
  <c r="A3508" i="2"/>
  <c r="O3507" i="2"/>
  <c r="M3507" i="2"/>
  <c r="L3507" i="2"/>
  <c r="E3507" i="2"/>
  <c r="D3507" i="2"/>
  <c r="B3507" i="2"/>
  <c r="A3507" i="2"/>
  <c r="O3506" i="2"/>
  <c r="M3506" i="2"/>
  <c r="L3506" i="2"/>
  <c r="E3506" i="2"/>
  <c r="D3506" i="2"/>
  <c r="B3506" i="2"/>
  <c r="A3506" i="2"/>
  <c r="O3505" i="2"/>
  <c r="M3505" i="2"/>
  <c r="L3505" i="2"/>
  <c r="E3505" i="2"/>
  <c r="D3505" i="2"/>
  <c r="B3505" i="2"/>
  <c r="A3505" i="2"/>
  <c r="O3504" i="2"/>
  <c r="M3504" i="2"/>
  <c r="L3504" i="2"/>
  <c r="E3504" i="2"/>
  <c r="D3504" i="2"/>
  <c r="B3504" i="2"/>
  <c r="A3504" i="2"/>
  <c r="O3503" i="2"/>
  <c r="O3502" i="2"/>
  <c r="M3502" i="2"/>
  <c r="L3502" i="2"/>
  <c r="E3502" i="2"/>
  <c r="D3502" i="2"/>
  <c r="B3502" i="2"/>
  <c r="A3502" i="2"/>
  <c r="O3501" i="2"/>
  <c r="M3501" i="2"/>
  <c r="L3501" i="2"/>
  <c r="E3501" i="2"/>
  <c r="D3501" i="2"/>
  <c r="B3501" i="2"/>
  <c r="A3501" i="2"/>
  <c r="O3500" i="2"/>
  <c r="M3500" i="2"/>
  <c r="L3500" i="2"/>
  <c r="E3500" i="2"/>
  <c r="D3500" i="2"/>
  <c r="B3500" i="2"/>
  <c r="A3500" i="2"/>
  <c r="O3499" i="2"/>
  <c r="M3499" i="2"/>
  <c r="L3499" i="2"/>
  <c r="E3499" i="2"/>
  <c r="D3499" i="2"/>
  <c r="B3499" i="2"/>
  <c r="A3499" i="2"/>
  <c r="O3498" i="2"/>
  <c r="O3497" i="2"/>
  <c r="M3497" i="2"/>
  <c r="L3497" i="2"/>
  <c r="E3497" i="2"/>
  <c r="D3497" i="2"/>
  <c r="B3497" i="2"/>
  <c r="A3497" i="2"/>
  <c r="O3496" i="2"/>
  <c r="M3496" i="2"/>
  <c r="L3496" i="2"/>
  <c r="E3496" i="2"/>
  <c r="D3496" i="2"/>
  <c r="B3496" i="2"/>
  <c r="A3496" i="2"/>
  <c r="O3495" i="2"/>
  <c r="M3495" i="2"/>
  <c r="L3495" i="2"/>
  <c r="E3495" i="2"/>
  <c r="D3495" i="2"/>
  <c r="B3495" i="2"/>
  <c r="A3495" i="2"/>
  <c r="O3494" i="2"/>
  <c r="M3494" i="2"/>
  <c r="L3494" i="2"/>
  <c r="E3494" i="2"/>
  <c r="D3494" i="2"/>
  <c r="B3494" i="2"/>
  <c r="A3494" i="2"/>
  <c r="O3493" i="2"/>
  <c r="M3493" i="2"/>
  <c r="L3493" i="2"/>
  <c r="E3493" i="2"/>
  <c r="D3493" i="2"/>
  <c r="B3493" i="2"/>
  <c r="A3493" i="2"/>
  <c r="O3492" i="2"/>
  <c r="M3492" i="2"/>
  <c r="L3492" i="2"/>
  <c r="E3492" i="2"/>
  <c r="D3492" i="2"/>
  <c r="B3492" i="2"/>
  <c r="A3492" i="2"/>
  <c r="O3491" i="2"/>
  <c r="M3491" i="2"/>
  <c r="L3491" i="2"/>
  <c r="E3491" i="2"/>
  <c r="D3491" i="2"/>
  <c r="B3491" i="2"/>
  <c r="A3491" i="2"/>
  <c r="O3490" i="2"/>
  <c r="M3490" i="2"/>
  <c r="L3490" i="2"/>
  <c r="E3490" i="2"/>
  <c r="D3490" i="2"/>
  <c r="B3490" i="2"/>
  <c r="A3490" i="2"/>
  <c r="O3489" i="2"/>
  <c r="M3489" i="2"/>
  <c r="L3489" i="2"/>
  <c r="E3489" i="2"/>
  <c r="D3489" i="2"/>
  <c r="B3489" i="2"/>
  <c r="A3489" i="2"/>
  <c r="O3488" i="2"/>
  <c r="O3487" i="2"/>
  <c r="M3487" i="2"/>
  <c r="L3487" i="2"/>
  <c r="E3487" i="2"/>
  <c r="D3487" i="2"/>
  <c r="B3487" i="2"/>
  <c r="A3487" i="2"/>
  <c r="O3486" i="2"/>
  <c r="O3485" i="2"/>
  <c r="M3485" i="2"/>
  <c r="L3485" i="2"/>
  <c r="E3485" i="2"/>
  <c r="D3485" i="2"/>
  <c r="B3485" i="2"/>
  <c r="A3485" i="2"/>
  <c r="O3484" i="2"/>
  <c r="M3484" i="2"/>
  <c r="L3484" i="2"/>
  <c r="E3484" i="2"/>
  <c r="D3484" i="2"/>
  <c r="B3484" i="2"/>
  <c r="A3484" i="2"/>
  <c r="O3483" i="2"/>
  <c r="M3483" i="2"/>
  <c r="L3483" i="2"/>
  <c r="E3483" i="2"/>
  <c r="D3483" i="2"/>
  <c r="B3483" i="2"/>
  <c r="A3483" i="2"/>
  <c r="O3482" i="2"/>
  <c r="O3481" i="2"/>
  <c r="M3481" i="2"/>
  <c r="L3481" i="2"/>
  <c r="E3481" i="2"/>
  <c r="D3481" i="2"/>
  <c r="B3481" i="2"/>
  <c r="A3481" i="2"/>
  <c r="O3480" i="2"/>
  <c r="M3480" i="2"/>
  <c r="L3480" i="2"/>
  <c r="E3480" i="2"/>
  <c r="D3480" i="2"/>
  <c r="B3480" i="2"/>
  <c r="A3480" i="2"/>
  <c r="O3479" i="2"/>
  <c r="M3479" i="2"/>
  <c r="L3479" i="2"/>
  <c r="E3479" i="2"/>
  <c r="D3479" i="2"/>
  <c r="B3479" i="2"/>
  <c r="A3479" i="2"/>
  <c r="O3478" i="2"/>
  <c r="O3477" i="2"/>
  <c r="O3476" i="2"/>
  <c r="M3476" i="2"/>
  <c r="L3476" i="2"/>
  <c r="E3476" i="2"/>
  <c r="D3476" i="2"/>
  <c r="B3476" i="2"/>
  <c r="A3476" i="2"/>
  <c r="O3475" i="2"/>
  <c r="O3474" i="2"/>
  <c r="O3473" i="2"/>
  <c r="M3473" i="2"/>
  <c r="L3473" i="2"/>
  <c r="E3473" i="2"/>
  <c r="D3473" i="2"/>
  <c r="B3473" i="2"/>
  <c r="A3473" i="2"/>
  <c r="O3472" i="2"/>
  <c r="M3472" i="2"/>
  <c r="L3472" i="2"/>
  <c r="E3472" i="2"/>
  <c r="D3472" i="2"/>
  <c r="B3472" i="2"/>
  <c r="A3472" i="2"/>
  <c r="O3471" i="2"/>
  <c r="M3471" i="2"/>
  <c r="L3471" i="2"/>
  <c r="E3471" i="2"/>
  <c r="D3471" i="2"/>
  <c r="B3471" i="2"/>
  <c r="A3471" i="2"/>
  <c r="O3470" i="2"/>
  <c r="M3470" i="2"/>
  <c r="L3470" i="2"/>
  <c r="E3470" i="2"/>
  <c r="D3470" i="2"/>
  <c r="B3470" i="2"/>
  <c r="A3470" i="2"/>
  <c r="O3469" i="2"/>
  <c r="M3469" i="2"/>
  <c r="L3469" i="2"/>
  <c r="E3469" i="2"/>
  <c r="D3469" i="2"/>
  <c r="B3469" i="2"/>
  <c r="A3469" i="2"/>
  <c r="O3468" i="2"/>
  <c r="M3468" i="2"/>
  <c r="L3468" i="2"/>
  <c r="E3468" i="2"/>
  <c r="D3468" i="2"/>
  <c r="B3468" i="2"/>
  <c r="A3468" i="2"/>
  <c r="O3467" i="2"/>
  <c r="M3467" i="2"/>
  <c r="L3467" i="2"/>
  <c r="E3467" i="2"/>
  <c r="D3467" i="2"/>
  <c r="B3467" i="2"/>
  <c r="A3467" i="2"/>
  <c r="O3466" i="2"/>
  <c r="M3466" i="2"/>
  <c r="L3466" i="2"/>
  <c r="E3466" i="2"/>
  <c r="D3466" i="2"/>
  <c r="B3466" i="2"/>
  <c r="A3466" i="2"/>
  <c r="O3465" i="2"/>
  <c r="M3465" i="2"/>
  <c r="L3465" i="2"/>
  <c r="E3465" i="2"/>
  <c r="D3465" i="2"/>
  <c r="B3465" i="2"/>
  <c r="A3465" i="2"/>
  <c r="O3464" i="2"/>
  <c r="M3464" i="2"/>
  <c r="L3464" i="2"/>
  <c r="E3464" i="2"/>
  <c r="D3464" i="2"/>
  <c r="B3464" i="2"/>
  <c r="A3464" i="2"/>
  <c r="O3463" i="2"/>
  <c r="M3463" i="2"/>
  <c r="L3463" i="2"/>
  <c r="E3463" i="2"/>
  <c r="D3463" i="2"/>
  <c r="B3463" i="2"/>
  <c r="A3463" i="2"/>
  <c r="M3462" i="2"/>
  <c r="L3462" i="2"/>
  <c r="E3462" i="2"/>
  <c r="D3462" i="2"/>
  <c r="B3462" i="2"/>
  <c r="A3462" i="2"/>
  <c r="O3461" i="2"/>
  <c r="M3461" i="2"/>
  <c r="L3461" i="2"/>
  <c r="E3461" i="2"/>
  <c r="D3461" i="2"/>
  <c r="B3461" i="2"/>
  <c r="A3461" i="2"/>
  <c r="O3460" i="2"/>
  <c r="M3460" i="2"/>
  <c r="L3460" i="2"/>
  <c r="E3460" i="2"/>
  <c r="D3460" i="2"/>
  <c r="B3460" i="2"/>
  <c r="A3460" i="2"/>
  <c r="O3459" i="2"/>
  <c r="M3459" i="2"/>
  <c r="L3459" i="2"/>
  <c r="E3459" i="2"/>
  <c r="D3459" i="2"/>
  <c r="B3459" i="2"/>
  <c r="A3459" i="2"/>
  <c r="O3458" i="2"/>
  <c r="M3458" i="2"/>
  <c r="L3458" i="2"/>
  <c r="E3458" i="2"/>
  <c r="D3458" i="2"/>
  <c r="B3458" i="2"/>
  <c r="A3458" i="2"/>
  <c r="O3457" i="2"/>
  <c r="M3457" i="2"/>
  <c r="L3457" i="2"/>
  <c r="E3457" i="2"/>
  <c r="D3457" i="2"/>
  <c r="B3457" i="2"/>
  <c r="A3457" i="2"/>
  <c r="O3456" i="2"/>
  <c r="M3456" i="2"/>
  <c r="L3456" i="2"/>
  <c r="E3456" i="2"/>
  <c r="D3456" i="2"/>
  <c r="B3456" i="2"/>
  <c r="A3456" i="2"/>
  <c r="O3455" i="2"/>
  <c r="M3455" i="2"/>
  <c r="L3455" i="2"/>
  <c r="E3455" i="2"/>
  <c r="D3455" i="2"/>
  <c r="B3455" i="2"/>
  <c r="A3455" i="2"/>
  <c r="O3454" i="2"/>
  <c r="M3454" i="2"/>
  <c r="L3454" i="2"/>
  <c r="E3454" i="2"/>
  <c r="D3454" i="2"/>
  <c r="B3454" i="2"/>
  <c r="A3454" i="2"/>
  <c r="O3453" i="2"/>
  <c r="M3453" i="2"/>
  <c r="L3453" i="2"/>
  <c r="E3453" i="2"/>
  <c r="D3453" i="2"/>
  <c r="B3453" i="2"/>
  <c r="A3453" i="2"/>
  <c r="O3452" i="2"/>
  <c r="M3452" i="2"/>
  <c r="L3452" i="2"/>
  <c r="E3452" i="2"/>
  <c r="D3452" i="2"/>
  <c r="B3452" i="2"/>
  <c r="A3452" i="2"/>
  <c r="M3451" i="2"/>
  <c r="L3451" i="2"/>
  <c r="E3451" i="2"/>
  <c r="D3451" i="2"/>
  <c r="B3451" i="2"/>
  <c r="A3451" i="2"/>
  <c r="O3450" i="2"/>
  <c r="M3450" i="2"/>
  <c r="L3450" i="2"/>
  <c r="E3450" i="2"/>
  <c r="D3450" i="2"/>
  <c r="B3450" i="2"/>
  <c r="A3450" i="2"/>
  <c r="O3449" i="2"/>
  <c r="M3449" i="2"/>
  <c r="L3449" i="2"/>
  <c r="E3449" i="2"/>
  <c r="D3449" i="2"/>
  <c r="B3449" i="2"/>
  <c r="A3449" i="2"/>
  <c r="O3448" i="2"/>
  <c r="O3447" i="2"/>
  <c r="O3446" i="2"/>
  <c r="M3446" i="2"/>
  <c r="L3446" i="2"/>
  <c r="E3446" i="2"/>
  <c r="D3446" i="2"/>
  <c r="B3446" i="2"/>
  <c r="A3446" i="2"/>
  <c r="O3445" i="2"/>
  <c r="M3445" i="2"/>
  <c r="L3445" i="2"/>
  <c r="E3445" i="2"/>
  <c r="D3445" i="2"/>
  <c r="B3445" i="2"/>
  <c r="A3445" i="2"/>
  <c r="O3444" i="2"/>
  <c r="M3444" i="2"/>
  <c r="L3444" i="2"/>
  <c r="E3444" i="2"/>
  <c r="D3444" i="2"/>
  <c r="B3444" i="2"/>
  <c r="A3444" i="2"/>
  <c r="M3443" i="2"/>
  <c r="L3443" i="2"/>
  <c r="E3443" i="2"/>
  <c r="D3443" i="2"/>
  <c r="B3443" i="2"/>
  <c r="A3443" i="2"/>
  <c r="O3442" i="2"/>
  <c r="M3442" i="2"/>
  <c r="L3442" i="2"/>
  <c r="E3442" i="2"/>
  <c r="D3442" i="2"/>
  <c r="B3442" i="2"/>
  <c r="A3442" i="2"/>
  <c r="O3441" i="2"/>
  <c r="M3441" i="2"/>
  <c r="L3441" i="2"/>
  <c r="E3441" i="2"/>
  <c r="D3441" i="2"/>
  <c r="B3441" i="2"/>
  <c r="A3441" i="2"/>
  <c r="O3440" i="2"/>
  <c r="M3440" i="2"/>
  <c r="L3440" i="2"/>
  <c r="E3440" i="2"/>
  <c r="D3440" i="2"/>
  <c r="B3440" i="2"/>
  <c r="A3440" i="2"/>
  <c r="O3439" i="2"/>
  <c r="M3439" i="2"/>
  <c r="L3439" i="2"/>
  <c r="E3439" i="2"/>
  <c r="D3439" i="2"/>
  <c r="B3439" i="2"/>
  <c r="A3439" i="2"/>
  <c r="O3438" i="2"/>
  <c r="M3438" i="2"/>
  <c r="L3438" i="2"/>
  <c r="E3438" i="2"/>
  <c r="D3438" i="2"/>
  <c r="B3438" i="2"/>
  <c r="A3438" i="2"/>
  <c r="O3437" i="2"/>
  <c r="M3437" i="2"/>
  <c r="L3437" i="2"/>
  <c r="E3437" i="2"/>
  <c r="D3437" i="2"/>
  <c r="B3437" i="2"/>
  <c r="A3437" i="2"/>
  <c r="O3436" i="2"/>
  <c r="M3436" i="2"/>
  <c r="L3436" i="2"/>
  <c r="E3436" i="2"/>
  <c r="D3436" i="2"/>
  <c r="B3436" i="2"/>
  <c r="A3436" i="2"/>
  <c r="M3435" i="2"/>
  <c r="L3435" i="2"/>
  <c r="E3435" i="2"/>
  <c r="D3435" i="2"/>
  <c r="B3435" i="2"/>
  <c r="A3435" i="2"/>
  <c r="O3434" i="2"/>
  <c r="M3434" i="2"/>
  <c r="L3434" i="2"/>
  <c r="E3434" i="2"/>
  <c r="D3434" i="2"/>
  <c r="B3434" i="2"/>
  <c r="A3434" i="2"/>
  <c r="O3433" i="2"/>
  <c r="M3433" i="2"/>
  <c r="L3433" i="2"/>
  <c r="E3433" i="2"/>
  <c r="D3433" i="2"/>
  <c r="B3433" i="2"/>
  <c r="A3433" i="2"/>
  <c r="O3432" i="2"/>
  <c r="M3432" i="2"/>
  <c r="L3432" i="2"/>
  <c r="E3432" i="2"/>
  <c r="D3432" i="2"/>
  <c r="B3432" i="2"/>
  <c r="A3432" i="2"/>
  <c r="O3431" i="2"/>
  <c r="M3431" i="2"/>
  <c r="L3431" i="2"/>
  <c r="E3431" i="2"/>
  <c r="D3431" i="2"/>
  <c r="B3431" i="2"/>
  <c r="A3431" i="2"/>
  <c r="O3430" i="2"/>
  <c r="M3430" i="2"/>
  <c r="L3430" i="2"/>
  <c r="E3430" i="2"/>
  <c r="D3430" i="2"/>
  <c r="B3430" i="2"/>
  <c r="A3430" i="2"/>
  <c r="O3429" i="2"/>
  <c r="M3429" i="2"/>
  <c r="L3429" i="2"/>
  <c r="E3429" i="2"/>
  <c r="D3429" i="2"/>
  <c r="B3429" i="2"/>
  <c r="A3429" i="2"/>
  <c r="O3428" i="2"/>
  <c r="O3427" i="2"/>
  <c r="M3427" i="2"/>
  <c r="L3427" i="2"/>
  <c r="E3427" i="2"/>
  <c r="D3427" i="2"/>
  <c r="B3427" i="2"/>
  <c r="A3427" i="2"/>
  <c r="O3426" i="2"/>
  <c r="M3426" i="2"/>
  <c r="L3426" i="2"/>
  <c r="E3426" i="2"/>
  <c r="D3426" i="2"/>
  <c r="B3426" i="2"/>
  <c r="A3426" i="2"/>
  <c r="O3425" i="2"/>
  <c r="M3425" i="2"/>
  <c r="L3425" i="2"/>
  <c r="E3425" i="2"/>
  <c r="D3425" i="2"/>
  <c r="B3425" i="2"/>
  <c r="A3425" i="2"/>
  <c r="O3424" i="2"/>
  <c r="M3424" i="2"/>
  <c r="L3424" i="2"/>
  <c r="E3424" i="2"/>
  <c r="D3424" i="2"/>
  <c r="B3424" i="2"/>
  <c r="A3424" i="2"/>
  <c r="O3423" i="2"/>
  <c r="O3422" i="2"/>
  <c r="O3421" i="2"/>
  <c r="O3420" i="2"/>
  <c r="M3420" i="2"/>
  <c r="L3420" i="2"/>
  <c r="E3420" i="2"/>
  <c r="D3420" i="2"/>
  <c r="B3420" i="2"/>
  <c r="A3420" i="2"/>
  <c r="O3419" i="2"/>
  <c r="M3419" i="2"/>
  <c r="L3419" i="2"/>
  <c r="E3419" i="2"/>
  <c r="D3419" i="2"/>
  <c r="B3419" i="2"/>
  <c r="A3419" i="2"/>
  <c r="O3418" i="2"/>
  <c r="M3418" i="2"/>
  <c r="L3418" i="2"/>
  <c r="E3418" i="2"/>
  <c r="D3418" i="2"/>
  <c r="B3418" i="2"/>
  <c r="A3418" i="2"/>
  <c r="O3417" i="2"/>
  <c r="O3416" i="2"/>
  <c r="M3416" i="2"/>
  <c r="L3416" i="2"/>
  <c r="E3416" i="2"/>
  <c r="D3416" i="2"/>
  <c r="B3416" i="2"/>
  <c r="A3416" i="2"/>
  <c r="O3415" i="2"/>
  <c r="M3415" i="2"/>
  <c r="L3415" i="2"/>
  <c r="E3415" i="2"/>
  <c r="D3415" i="2"/>
  <c r="B3415" i="2"/>
  <c r="A3415" i="2"/>
  <c r="O3414" i="2"/>
  <c r="M3414" i="2"/>
  <c r="L3414" i="2"/>
  <c r="E3414" i="2"/>
  <c r="D3414" i="2"/>
  <c r="B3414" i="2"/>
  <c r="A3414" i="2"/>
  <c r="O3413" i="2"/>
  <c r="M3413" i="2"/>
  <c r="L3413" i="2"/>
  <c r="E3413" i="2"/>
  <c r="D3413" i="2"/>
  <c r="B3413" i="2"/>
  <c r="A3413" i="2"/>
  <c r="O3412" i="2"/>
  <c r="M3412" i="2"/>
  <c r="L3412" i="2"/>
  <c r="E3412" i="2"/>
  <c r="D3412" i="2"/>
  <c r="B3412" i="2"/>
  <c r="A3412" i="2"/>
  <c r="O3411" i="2"/>
  <c r="M3411" i="2"/>
  <c r="L3411" i="2"/>
  <c r="E3411" i="2"/>
  <c r="D3411" i="2"/>
  <c r="B3411" i="2"/>
  <c r="A3411" i="2"/>
  <c r="O3410" i="2"/>
  <c r="M3410" i="2"/>
  <c r="L3410" i="2"/>
  <c r="E3410" i="2"/>
  <c r="D3410" i="2"/>
  <c r="B3410" i="2"/>
  <c r="A3410" i="2"/>
  <c r="O3409" i="2"/>
  <c r="M3409" i="2"/>
  <c r="L3409" i="2"/>
  <c r="E3409" i="2"/>
  <c r="D3409" i="2"/>
  <c r="B3409" i="2"/>
  <c r="A3409" i="2"/>
  <c r="O3408" i="2"/>
  <c r="M3408" i="2"/>
  <c r="L3408" i="2"/>
  <c r="E3408" i="2"/>
  <c r="D3408" i="2"/>
  <c r="B3408" i="2"/>
  <c r="A3408" i="2"/>
  <c r="O3407" i="2"/>
  <c r="O3406" i="2"/>
  <c r="O3405" i="2"/>
  <c r="M3405" i="2"/>
  <c r="L3405" i="2"/>
  <c r="E3405" i="2"/>
  <c r="D3405" i="2"/>
  <c r="B3405" i="2"/>
  <c r="A3405" i="2"/>
  <c r="O3404" i="2"/>
  <c r="M3404" i="2"/>
  <c r="L3404" i="2"/>
  <c r="E3404" i="2"/>
  <c r="D3404" i="2"/>
  <c r="B3404" i="2"/>
  <c r="A3404" i="2"/>
  <c r="O3403" i="2"/>
  <c r="M3403" i="2"/>
  <c r="L3403" i="2"/>
  <c r="E3403" i="2"/>
  <c r="D3403" i="2"/>
  <c r="B3403" i="2"/>
  <c r="A3403" i="2"/>
  <c r="O3402" i="2"/>
  <c r="O3401" i="2"/>
  <c r="M3401" i="2"/>
  <c r="L3401" i="2"/>
  <c r="E3401" i="2"/>
  <c r="D3401" i="2"/>
  <c r="B3401" i="2"/>
  <c r="A3401" i="2"/>
  <c r="O3400" i="2"/>
  <c r="M3400" i="2"/>
  <c r="L3400" i="2"/>
  <c r="E3400" i="2"/>
  <c r="D3400" i="2"/>
  <c r="B3400" i="2"/>
  <c r="A3400" i="2"/>
  <c r="O3399" i="2"/>
  <c r="M3399" i="2"/>
  <c r="L3399" i="2"/>
  <c r="E3399" i="2"/>
  <c r="D3399" i="2"/>
  <c r="B3399" i="2"/>
  <c r="A3399" i="2"/>
  <c r="O3398" i="2"/>
  <c r="M3398" i="2"/>
  <c r="L3398" i="2"/>
  <c r="E3398" i="2"/>
  <c r="D3398" i="2"/>
  <c r="B3398" i="2"/>
  <c r="A3398" i="2"/>
  <c r="O3397" i="2"/>
  <c r="O3396" i="2"/>
  <c r="O3395" i="2"/>
  <c r="M3395" i="2"/>
  <c r="L3395" i="2"/>
  <c r="E3395" i="2"/>
  <c r="D3395" i="2"/>
  <c r="B3395" i="2"/>
  <c r="A3395" i="2"/>
  <c r="O3394" i="2"/>
  <c r="M3394" i="2"/>
  <c r="L3394" i="2"/>
  <c r="E3394" i="2"/>
  <c r="D3394" i="2"/>
  <c r="B3394" i="2"/>
  <c r="A3394" i="2"/>
  <c r="O3393" i="2"/>
  <c r="M3393" i="2"/>
  <c r="L3393" i="2"/>
  <c r="E3393" i="2"/>
  <c r="D3393" i="2"/>
  <c r="B3393" i="2"/>
  <c r="A3393" i="2"/>
  <c r="O3392" i="2"/>
  <c r="M3392" i="2"/>
  <c r="L3392" i="2"/>
  <c r="E3392" i="2"/>
  <c r="D3392" i="2"/>
  <c r="B3392" i="2"/>
  <c r="A3392" i="2"/>
  <c r="O3391" i="2"/>
  <c r="M3391" i="2"/>
  <c r="L3391" i="2"/>
  <c r="E3391" i="2"/>
  <c r="D3391" i="2"/>
  <c r="B3391" i="2"/>
  <c r="A3391" i="2"/>
  <c r="O3390" i="2"/>
  <c r="M3390" i="2"/>
  <c r="L3390" i="2"/>
  <c r="E3390" i="2"/>
  <c r="D3390" i="2"/>
  <c r="B3390" i="2"/>
  <c r="A3390" i="2"/>
  <c r="O3389" i="2"/>
  <c r="O3388" i="2"/>
  <c r="M3388" i="2"/>
  <c r="L3388" i="2"/>
  <c r="E3388" i="2"/>
  <c r="D3388" i="2"/>
  <c r="B3388" i="2"/>
  <c r="A3388" i="2"/>
  <c r="O3387" i="2"/>
  <c r="M3387" i="2"/>
  <c r="L3387" i="2"/>
  <c r="E3387" i="2"/>
  <c r="D3387" i="2"/>
  <c r="B3387" i="2"/>
  <c r="A3387" i="2"/>
  <c r="O3386" i="2"/>
  <c r="O3385" i="2"/>
  <c r="M3385" i="2"/>
  <c r="L3385" i="2"/>
  <c r="E3385" i="2"/>
  <c r="D3385" i="2"/>
  <c r="B3385" i="2"/>
  <c r="A3385" i="2"/>
  <c r="O3384" i="2"/>
  <c r="M3384" i="2"/>
  <c r="L3384" i="2"/>
  <c r="E3384" i="2"/>
  <c r="D3384" i="2"/>
  <c r="B3384" i="2"/>
  <c r="A3384" i="2"/>
  <c r="O3383" i="2"/>
  <c r="M3383" i="2"/>
  <c r="L3383" i="2"/>
  <c r="E3383" i="2"/>
  <c r="D3383" i="2"/>
  <c r="B3383" i="2"/>
  <c r="A3383" i="2"/>
  <c r="O3382" i="2"/>
  <c r="M3382" i="2"/>
  <c r="L3382" i="2"/>
  <c r="E3382" i="2"/>
  <c r="D3382" i="2"/>
  <c r="B3382" i="2"/>
  <c r="A3382" i="2"/>
  <c r="O3381" i="2"/>
  <c r="M3381" i="2"/>
  <c r="L3381" i="2"/>
  <c r="E3381" i="2"/>
  <c r="D3381" i="2"/>
  <c r="B3381" i="2"/>
  <c r="A3381" i="2"/>
  <c r="O3380" i="2"/>
  <c r="M3380" i="2"/>
  <c r="L3380" i="2"/>
  <c r="E3380" i="2"/>
  <c r="D3380" i="2"/>
  <c r="B3380" i="2"/>
  <c r="A3380" i="2"/>
  <c r="O3379" i="2"/>
  <c r="M3379" i="2"/>
  <c r="L3379" i="2"/>
  <c r="E3379" i="2"/>
  <c r="D3379" i="2"/>
  <c r="B3379" i="2"/>
  <c r="A3379" i="2"/>
  <c r="O3378" i="2"/>
  <c r="M3378" i="2"/>
  <c r="L3378" i="2"/>
  <c r="E3378" i="2"/>
  <c r="D3378" i="2"/>
  <c r="B3378" i="2"/>
  <c r="A3378" i="2"/>
  <c r="O3377" i="2"/>
  <c r="M3377" i="2"/>
  <c r="L3377" i="2"/>
  <c r="E3377" i="2"/>
  <c r="D3377" i="2"/>
  <c r="B3377" i="2"/>
  <c r="A3377" i="2"/>
  <c r="O3376" i="2"/>
  <c r="M3376" i="2"/>
  <c r="L3376" i="2"/>
  <c r="E3376" i="2"/>
  <c r="D3376" i="2"/>
  <c r="B3376" i="2"/>
  <c r="A3376" i="2"/>
  <c r="O3375" i="2"/>
  <c r="M3375" i="2"/>
  <c r="L3375" i="2"/>
  <c r="E3375" i="2"/>
  <c r="D3375" i="2"/>
  <c r="B3375" i="2"/>
  <c r="A3375" i="2"/>
  <c r="O3374" i="2"/>
  <c r="M3374" i="2"/>
  <c r="L3374" i="2"/>
  <c r="E3374" i="2"/>
  <c r="D3374" i="2"/>
  <c r="B3374" i="2"/>
  <c r="A3374" i="2"/>
  <c r="O3373" i="2"/>
  <c r="O3372" i="2"/>
  <c r="O3371" i="2"/>
  <c r="M3371" i="2"/>
  <c r="L3371" i="2"/>
  <c r="E3371" i="2"/>
  <c r="D3371" i="2"/>
  <c r="B3371" i="2"/>
  <c r="A3371" i="2"/>
  <c r="O3370" i="2"/>
  <c r="M3370" i="2"/>
  <c r="L3370" i="2"/>
  <c r="E3370" i="2"/>
  <c r="D3370" i="2"/>
  <c r="B3370" i="2"/>
  <c r="A3370" i="2"/>
  <c r="O3369" i="2"/>
  <c r="M3369" i="2"/>
  <c r="L3369" i="2"/>
  <c r="E3369" i="2"/>
  <c r="D3369" i="2"/>
  <c r="B3369" i="2"/>
  <c r="A3369" i="2"/>
  <c r="M3368" i="2"/>
  <c r="L3368" i="2"/>
  <c r="E3368" i="2"/>
  <c r="D3368" i="2"/>
  <c r="B3368" i="2"/>
  <c r="A3368" i="2"/>
  <c r="O3367" i="2"/>
  <c r="M3367" i="2"/>
  <c r="L3367" i="2"/>
  <c r="E3367" i="2"/>
  <c r="D3367" i="2"/>
  <c r="B3367" i="2"/>
  <c r="A3367" i="2"/>
  <c r="O3366" i="2"/>
  <c r="M3366" i="2"/>
  <c r="L3366" i="2"/>
  <c r="E3366" i="2"/>
  <c r="D3366" i="2"/>
  <c r="B3366" i="2"/>
  <c r="A3366" i="2"/>
  <c r="O3365" i="2"/>
  <c r="M3365" i="2"/>
  <c r="L3365" i="2"/>
  <c r="E3365" i="2"/>
  <c r="D3365" i="2"/>
  <c r="B3365" i="2"/>
  <c r="A3365" i="2"/>
  <c r="O3364" i="2"/>
  <c r="M3364" i="2"/>
  <c r="L3364" i="2"/>
  <c r="E3364" i="2"/>
  <c r="D3364" i="2"/>
  <c r="B3364" i="2"/>
  <c r="A3364" i="2"/>
  <c r="O3363" i="2"/>
  <c r="M3363" i="2"/>
  <c r="L3363" i="2"/>
  <c r="E3363" i="2"/>
  <c r="D3363" i="2"/>
  <c r="B3363" i="2"/>
  <c r="A3363" i="2"/>
  <c r="O3362" i="2"/>
  <c r="M3362" i="2"/>
  <c r="L3362" i="2"/>
  <c r="E3362" i="2"/>
  <c r="D3362" i="2"/>
  <c r="B3362" i="2"/>
  <c r="A3362" i="2"/>
  <c r="O3361" i="2"/>
  <c r="M3361" i="2"/>
  <c r="L3361" i="2"/>
  <c r="E3361" i="2"/>
  <c r="D3361" i="2"/>
  <c r="B3361" i="2"/>
  <c r="A3361" i="2"/>
  <c r="O3360" i="2"/>
  <c r="M3360" i="2"/>
  <c r="L3360" i="2"/>
  <c r="E3360" i="2"/>
  <c r="D3360" i="2"/>
  <c r="B3360" i="2"/>
  <c r="A3360" i="2"/>
  <c r="O3359" i="2"/>
  <c r="M3359" i="2"/>
  <c r="L3359" i="2"/>
  <c r="E3359" i="2"/>
  <c r="D3359" i="2"/>
  <c r="B3359" i="2"/>
  <c r="A3359" i="2"/>
  <c r="O3358" i="2"/>
  <c r="O3357" i="2"/>
  <c r="M3357" i="2"/>
  <c r="L3357" i="2"/>
  <c r="E3357" i="2"/>
  <c r="D3357" i="2"/>
  <c r="B3357" i="2"/>
  <c r="A3357" i="2"/>
  <c r="O3356" i="2"/>
  <c r="M3356" i="2"/>
  <c r="L3356" i="2"/>
  <c r="E3356" i="2"/>
  <c r="D3356" i="2"/>
  <c r="B3356" i="2"/>
  <c r="A3356" i="2"/>
  <c r="O3355" i="2"/>
  <c r="M3355" i="2"/>
  <c r="L3355" i="2"/>
  <c r="E3355" i="2"/>
  <c r="D3355" i="2"/>
  <c r="B3355" i="2"/>
  <c r="A3355" i="2"/>
  <c r="O3354" i="2"/>
  <c r="M3354" i="2"/>
  <c r="L3354" i="2"/>
  <c r="E3354" i="2"/>
  <c r="D3354" i="2"/>
  <c r="B3354" i="2"/>
  <c r="A3354" i="2"/>
  <c r="O3353" i="2"/>
  <c r="M3353" i="2"/>
  <c r="L3353" i="2"/>
  <c r="E3353" i="2"/>
  <c r="D3353" i="2"/>
  <c r="B3353" i="2"/>
  <c r="A3353" i="2"/>
  <c r="O3352" i="2"/>
  <c r="O3351" i="2"/>
  <c r="M3351" i="2"/>
  <c r="L3351" i="2"/>
  <c r="E3351" i="2"/>
  <c r="D3351" i="2"/>
  <c r="B3351" i="2"/>
  <c r="A3351" i="2"/>
  <c r="O3350" i="2"/>
  <c r="M3350" i="2"/>
  <c r="L3350" i="2"/>
  <c r="E3350" i="2"/>
  <c r="D3350" i="2"/>
  <c r="B3350" i="2"/>
  <c r="A3350" i="2"/>
  <c r="O3349" i="2"/>
  <c r="M3349" i="2"/>
  <c r="L3349" i="2"/>
  <c r="E3349" i="2"/>
  <c r="D3349" i="2"/>
  <c r="B3349" i="2"/>
  <c r="A3349" i="2"/>
  <c r="O3348" i="2"/>
  <c r="M3348" i="2"/>
  <c r="L3348" i="2"/>
  <c r="E3348" i="2"/>
  <c r="D3348" i="2"/>
  <c r="B3348" i="2"/>
  <c r="A3348" i="2"/>
  <c r="O3347" i="2"/>
  <c r="M3347" i="2"/>
  <c r="L3347" i="2"/>
  <c r="E3347" i="2"/>
  <c r="D3347" i="2"/>
  <c r="B3347" i="2"/>
  <c r="A3347" i="2"/>
  <c r="O3346" i="2"/>
  <c r="M3346" i="2"/>
  <c r="L3346" i="2"/>
  <c r="E3346" i="2"/>
  <c r="D3346" i="2"/>
  <c r="B3346" i="2"/>
  <c r="A3346" i="2"/>
  <c r="O3345" i="2"/>
  <c r="M3345" i="2"/>
  <c r="L3345" i="2"/>
  <c r="E3345" i="2"/>
  <c r="D3345" i="2"/>
  <c r="B3345" i="2"/>
  <c r="A3345" i="2"/>
  <c r="O3344" i="2"/>
  <c r="M3344" i="2"/>
  <c r="L3344" i="2"/>
  <c r="E3344" i="2"/>
  <c r="D3344" i="2"/>
  <c r="B3344" i="2"/>
  <c r="A3344" i="2"/>
  <c r="O3343" i="2"/>
  <c r="M3343" i="2"/>
  <c r="L3343" i="2"/>
  <c r="E3343" i="2"/>
  <c r="D3343" i="2"/>
  <c r="B3343" i="2"/>
  <c r="A3343" i="2"/>
  <c r="O3342" i="2"/>
  <c r="M3342" i="2"/>
  <c r="L3342" i="2"/>
  <c r="E3342" i="2"/>
  <c r="D3342" i="2"/>
  <c r="B3342" i="2"/>
  <c r="A3342" i="2"/>
  <c r="O3341" i="2"/>
  <c r="O3340" i="2"/>
  <c r="M3340" i="2"/>
  <c r="L3340" i="2"/>
  <c r="E3340" i="2"/>
  <c r="D3340" i="2"/>
  <c r="B3340" i="2"/>
  <c r="A3340" i="2"/>
  <c r="O3339" i="2"/>
  <c r="M3339" i="2"/>
  <c r="L3339" i="2"/>
  <c r="E3339" i="2"/>
  <c r="D3339" i="2"/>
  <c r="B3339" i="2"/>
  <c r="A3339" i="2"/>
  <c r="O3338" i="2"/>
  <c r="M3338" i="2"/>
  <c r="L3338" i="2"/>
  <c r="E3338" i="2"/>
  <c r="D3338" i="2"/>
  <c r="B3338" i="2"/>
  <c r="A3338" i="2"/>
  <c r="O3337" i="2"/>
  <c r="M3337" i="2"/>
  <c r="L3337" i="2"/>
  <c r="E3337" i="2"/>
  <c r="D3337" i="2"/>
  <c r="B3337" i="2"/>
  <c r="A3337" i="2"/>
  <c r="O3336" i="2"/>
  <c r="M3336" i="2"/>
  <c r="L3336" i="2"/>
  <c r="E3336" i="2"/>
  <c r="D3336" i="2"/>
  <c r="B3336" i="2"/>
  <c r="A3336" i="2"/>
  <c r="O3335" i="2"/>
  <c r="M3335" i="2"/>
  <c r="L3335" i="2"/>
  <c r="E3335" i="2"/>
  <c r="D3335" i="2"/>
  <c r="B3335" i="2"/>
  <c r="A3335" i="2"/>
  <c r="O3334" i="2"/>
  <c r="M3334" i="2"/>
  <c r="L3334" i="2"/>
  <c r="E3334" i="2"/>
  <c r="D3334" i="2"/>
  <c r="B3334" i="2"/>
  <c r="A3334" i="2"/>
  <c r="O3333" i="2"/>
  <c r="M3333" i="2"/>
  <c r="L3333" i="2"/>
  <c r="E3333" i="2"/>
  <c r="D3333" i="2"/>
  <c r="B3333" i="2"/>
  <c r="A3333" i="2"/>
  <c r="O3332" i="2"/>
  <c r="O3331" i="2"/>
  <c r="O3330" i="2"/>
  <c r="M3330" i="2"/>
  <c r="L3330" i="2"/>
  <c r="E3330" i="2"/>
  <c r="D3330" i="2"/>
  <c r="B3330" i="2"/>
  <c r="A3330" i="2"/>
  <c r="O3329" i="2"/>
  <c r="M3329" i="2"/>
  <c r="L3329" i="2"/>
  <c r="E3329" i="2"/>
  <c r="D3329" i="2"/>
  <c r="B3329" i="2"/>
  <c r="A3329" i="2"/>
  <c r="O3328" i="2"/>
  <c r="M3328" i="2"/>
  <c r="L3328" i="2"/>
  <c r="E3328" i="2"/>
  <c r="D3328" i="2"/>
  <c r="B3328" i="2"/>
  <c r="A3328" i="2"/>
  <c r="O3327" i="2"/>
  <c r="M3327" i="2"/>
  <c r="L3327" i="2"/>
  <c r="E3327" i="2"/>
  <c r="D3327" i="2"/>
  <c r="B3327" i="2"/>
  <c r="A3327" i="2"/>
  <c r="O3326" i="2"/>
  <c r="M3326" i="2"/>
  <c r="L3326" i="2"/>
  <c r="E3326" i="2"/>
  <c r="D3326" i="2"/>
  <c r="B3326" i="2"/>
  <c r="A3326" i="2"/>
  <c r="O3325" i="2"/>
  <c r="M3325" i="2"/>
  <c r="L3325" i="2"/>
  <c r="E3325" i="2"/>
  <c r="D3325" i="2"/>
  <c r="B3325" i="2"/>
  <c r="A3325" i="2"/>
  <c r="O3324" i="2"/>
  <c r="M3324" i="2"/>
  <c r="L3324" i="2"/>
  <c r="E3324" i="2"/>
  <c r="D3324" i="2"/>
  <c r="B3324" i="2"/>
  <c r="A3324" i="2"/>
  <c r="O3323" i="2"/>
  <c r="M3323" i="2"/>
  <c r="L3323" i="2"/>
  <c r="E3323" i="2"/>
  <c r="D3323" i="2"/>
  <c r="B3323" i="2"/>
  <c r="A3323" i="2"/>
  <c r="O3322" i="2"/>
  <c r="M3322" i="2"/>
  <c r="L3322" i="2"/>
  <c r="E3322" i="2"/>
  <c r="D3322" i="2"/>
  <c r="B3322" i="2"/>
  <c r="A3322" i="2"/>
  <c r="O3321" i="2"/>
  <c r="M3321" i="2"/>
  <c r="L3321" i="2"/>
  <c r="E3321" i="2"/>
  <c r="D3321" i="2"/>
  <c r="B3321" i="2"/>
  <c r="A3321" i="2"/>
  <c r="O3320" i="2"/>
  <c r="M3320" i="2"/>
  <c r="L3320" i="2"/>
  <c r="E3320" i="2"/>
  <c r="D3320" i="2"/>
  <c r="B3320" i="2"/>
  <c r="A3320" i="2"/>
  <c r="O3319" i="2"/>
  <c r="O3318" i="2"/>
  <c r="O3317" i="2"/>
  <c r="O3316" i="2"/>
  <c r="M3316" i="2"/>
  <c r="L3316" i="2"/>
  <c r="E3316" i="2"/>
  <c r="D3316" i="2"/>
  <c r="B3316" i="2"/>
  <c r="A3316" i="2"/>
  <c r="O3315" i="2"/>
  <c r="M3315" i="2"/>
  <c r="L3315" i="2"/>
  <c r="E3315" i="2"/>
  <c r="D3315" i="2"/>
  <c r="B3315" i="2"/>
  <c r="A3315" i="2"/>
  <c r="O3314" i="2"/>
  <c r="M3314" i="2"/>
  <c r="L3314" i="2"/>
  <c r="E3314" i="2"/>
  <c r="D3314" i="2"/>
  <c r="B3314" i="2"/>
  <c r="A3314" i="2"/>
  <c r="O3313" i="2"/>
  <c r="M3313" i="2"/>
  <c r="L3313" i="2"/>
  <c r="E3313" i="2"/>
  <c r="D3313" i="2"/>
  <c r="B3313" i="2"/>
  <c r="A3313" i="2"/>
  <c r="O3312" i="2"/>
  <c r="M3312" i="2"/>
  <c r="L3312" i="2"/>
  <c r="E3312" i="2"/>
  <c r="D3312" i="2"/>
  <c r="B3312" i="2"/>
  <c r="A3312" i="2"/>
  <c r="O3311" i="2"/>
  <c r="M3311" i="2"/>
  <c r="L3311" i="2"/>
  <c r="E3311" i="2"/>
  <c r="D3311" i="2"/>
  <c r="B3311" i="2"/>
  <c r="A3311" i="2"/>
  <c r="O3310" i="2"/>
  <c r="O3309" i="2"/>
  <c r="O3308" i="2"/>
  <c r="M3308" i="2"/>
  <c r="L3308" i="2"/>
  <c r="E3308" i="2"/>
  <c r="D3308" i="2"/>
  <c r="B3308" i="2"/>
  <c r="A3308" i="2"/>
  <c r="O3307" i="2"/>
  <c r="M3307" i="2"/>
  <c r="L3307" i="2"/>
  <c r="E3307" i="2"/>
  <c r="D3307" i="2"/>
  <c r="B3307" i="2"/>
  <c r="A3307" i="2"/>
  <c r="O3306" i="2"/>
  <c r="M3306" i="2"/>
  <c r="L3306" i="2"/>
  <c r="E3306" i="2"/>
  <c r="D3306" i="2"/>
  <c r="B3306" i="2"/>
  <c r="A3306" i="2"/>
  <c r="O3305" i="2"/>
  <c r="M3305" i="2"/>
  <c r="L3305" i="2"/>
  <c r="E3305" i="2"/>
  <c r="D3305" i="2"/>
  <c r="B3305" i="2"/>
  <c r="A3305" i="2"/>
  <c r="O3304" i="2"/>
  <c r="M3304" i="2"/>
  <c r="L3304" i="2"/>
  <c r="E3304" i="2"/>
  <c r="D3304" i="2"/>
  <c r="B3304" i="2"/>
  <c r="A3304" i="2"/>
  <c r="O3303" i="2"/>
  <c r="M3303" i="2"/>
  <c r="L3303" i="2"/>
  <c r="E3303" i="2"/>
  <c r="D3303" i="2"/>
  <c r="B3303" i="2"/>
  <c r="A3303" i="2"/>
  <c r="O3302" i="2"/>
  <c r="M3302" i="2"/>
  <c r="L3302" i="2"/>
  <c r="E3302" i="2"/>
  <c r="D3302" i="2"/>
  <c r="B3302" i="2"/>
  <c r="A3302" i="2"/>
  <c r="O3301" i="2"/>
  <c r="O3300" i="2"/>
  <c r="M3300" i="2"/>
  <c r="L3300" i="2"/>
  <c r="E3300" i="2"/>
  <c r="D3300" i="2"/>
  <c r="B3300" i="2"/>
  <c r="A3300" i="2"/>
  <c r="O3299" i="2"/>
  <c r="M3299" i="2"/>
  <c r="L3299" i="2"/>
  <c r="E3299" i="2"/>
  <c r="D3299" i="2"/>
  <c r="B3299" i="2"/>
  <c r="A3299" i="2"/>
  <c r="O3298" i="2"/>
  <c r="O3297" i="2"/>
  <c r="O3296" i="2"/>
  <c r="M3296" i="2"/>
  <c r="L3296" i="2"/>
  <c r="E3296" i="2"/>
  <c r="D3296" i="2"/>
  <c r="B3296" i="2"/>
  <c r="A3296" i="2"/>
  <c r="M3295" i="2"/>
  <c r="L3295" i="2"/>
  <c r="E3295" i="2"/>
  <c r="D3295" i="2"/>
  <c r="B3295" i="2"/>
  <c r="A3295" i="2"/>
  <c r="O3294" i="2"/>
  <c r="M3294" i="2"/>
  <c r="L3294" i="2"/>
  <c r="E3294" i="2"/>
  <c r="D3294" i="2"/>
  <c r="B3294" i="2"/>
  <c r="A3294" i="2"/>
  <c r="O3293" i="2"/>
  <c r="O3292" i="2"/>
  <c r="M3292" i="2"/>
  <c r="L3292" i="2"/>
  <c r="E3292" i="2"/>
  <c r="D3292" i="2"/>
  <c r="B3292" i="2"/>
  <c r="A3292" i="2"/>
  <c r="O3291" i="2"/>
  <c r="M3291" i="2"/>
  <c r="L3291" i="2"/>
  <c r="E3291" i="2"/>
  <c r="D3291" i="2"/>
  <c r="B3291" i="2"/>
  <c r="A3291" i="2"/>
  <c r="O3290" i="2"/>
  <c r="M3290" i="2"/>
  <c r="L3290" i="2"/>
  <c r="E3290" i="2"/>
  <c r="D3290" i="2"/>
  <c r="B3290" i="2"/>
  <c r="A3290" i="2"/>
  <c r="O3289" i="2"/>
  <c r="O3288" i="2"/>
  <c r="M3288" i="2"/>
  <c r="L3288" i="2"/>
  <c r="E3288" i="2"/>
  <c r="D3288" i="2"/>
  <c r="B3288" i="2"/>
  <c r="A3288" i="2"/>
  <c r="O3287" i="2"/>
  <c r="M3287" i="2"/>
  <c r="L3287" i="2"/>
  <c r="E3287" i="2"/>
  <c r="D3287" i="2"/>
  <c r="B3287" i="2"/>
  <c r="A3287" i="2"/>
  <c r="O3286" i="2"/>
  <c r="M3286" i="2"/>
  <c r="L3286" i="2"/>
  <c r="E3286" i="2"/>
  <c r="D3286" i="2"/>
  <c r="B3286" i="2"/>
  <c r="A3286" i="2"/>
  <c r="O3285" i="2"/>
  <c r="M3285" i="2"/>
  <c r="L3285" i="2"/>
  <c r="E3285" i="2"/>
  <c r="D3285" i="2"/>
  <c r="B3285" i="2"/>
  <c r="A3285" i="2"/>
  <c r="O3284" i="2"/>
  <c r="M3284" i="2"/>
  <c r="L3284" i="2"/>
  <c r="E3284" i="2"/>
  <c r="D3284" i="2"/>
  <c r="B3284" i="2"/>
  <c r="A3284" i="2"/>
  <c r="O3283" i="2"/>
  <c r="O3282" i="2"/>
  <c r="M3282" i="2"/>
  <c r="L3282" i="2"/>
  <c r="E3282" i="2"/>
  <c r="D3282" i="2"/>
  <c r="B3282" i="2"/>
  <c r="A3282" i="2"/>
  <c r="O3281" i="2"/>
  <c r="M3281" i="2"/>
  <c r="L3281" i="2"/>
  <c r="E3281" i="2"/>
  <c r="D3281" i="2"/>
  <c r="B3281" i="2"/>
  <c r="A3281" i="2"/>
  <c r="O3280" i="2"/>
  <c r="M3280" i="2"/>
  <c r="L3280" i="2"/>
  <c r="E3280" i="2"/>
  <c r="D3280" i="2"/>
  <c r="B3280" i="2"/>
  <c r="A3280" i="2"/>
  <c r="O3279" i="2"/>
  <c r="M3279" i="2"/>
  <c r="L3279" i="2"/>
  <c r="E3279" i="2"/>
  <c r="D3279" i="2"/>
  <c r="B3279" i="2"/>
  <c r="A3279" i="2"/>
  <c r="O3278" i="2"/>
  <c r="O3277" i="2"/>
  <c r="M3277" i="2"/>
  <c r="L3277" i="2"/>
  <c r="E3277" i="2"/>
  <c r="D3277" i="2"/>
  <c r="B3277" i="2"/>
  <c r="A3277" i="2"/>
  <c r="O3276" i="2"/>
  <c r="M3276" i="2"/>
  <c r="L3276" i="2"/>
  <c r="E3276" i="2"/>
  <c r="D3276" i="2"/>
  <c r="B3276" i="2"/>
  <c r="A3276" i="2"/>
  <c r="O3275" i="2"/>
  <c r="M3275" i="2"/>
  <c r="L3275" i="2"/>
  <c r="E3275" i="2"/>
  <c r="D3275" i="2"/>
  <c r="B3275" i="2"/>
  <c r="A3275" i="2"/>
  <c r="O3274" i="2"/>
  <c r="M3274" i="2"/>
  <c r="L3274" i="2"/>
  <c r="E3274" i="2"/>
  <c r="D3274" i="2"/>
  <c r="B3274" i="2"/>
  <c r="A3274" i="2"/>
  <c r="O3273" i="2"/>
  <c r="M3273" i="2"/>
  <c r="L3273" i="2"/>
  <c r="E3273" i="2"/>
  <c r="D3273" i="2"/>
  <c r="B3273" i="2"/>
  <c r="A3273" i="2"/>
  <c r="O3272" i="2"/>
  <c r="M3272" i="2"/>
  <c r="L3272" i="2"/>
  <c r="E3272" i="2"/>
  <c r="D3272" i="2"/>
  <c r="B3272" i="2"/>
  <c r="A3272" i="2"/>
  <c r="O3271" i="2"/>
  <c r="O3270" i="2"/>
  <c r="M3270" i="2"/>
  <c r="L3270" i="2"/>
  <c r="E3270" i="2"/>
  <c r="D3270" i="2"/>
  <c r="B3270" i="2"/>
  <c r="A3270" i="2"/>
  <c r="O3269" i="2"/>
  <c r="M3269" i="2"/>
  <c r="L3269" i="2"/>
  <c r="E3269" i="2"/>
  <c r="D3269" i="2"/>
  <c r="B3269" i="2"/>
  <c r="A3269" i="2"/>
  <c r="O3268" i="2"/>
  <c r="M3268" i="2"/>
  <c r="L3268" i="2"/>
  <c r="E3268" i="2"/>
  <c r="D3268" i="2"/>
  <c r="B3268" i="2"/>
  <c r="A3268" i="2"/>
  <c r="O3267" i="2"/>
  <c r="M3267" i="2"/>
  <c r="L3267" i="2"/>
  <c r="E3267" i="2"/>
  <c r="D3267" i="2"/>
  <c r="B3267" i="2"/>
  <c r="A3267" i="2"/>
  <c r="O3266" i="2"/>
  <c r="O3265" i="2"/>
  <c r="M3265" i="2"/>
  <c r="L3265" i="2"/>
  <c r="E3265" i="2"/>
  <c r="D3265" i="2"/>
  <c r="B3265" i="2"/>
  <c r="A3265" i="2"/>
  <c r="O3264" i="2"/>
  <c r="O3263" i="2"/>
  <c r="M3263" i="2"/>
  <c r="L3263" i="2"/>
  <c r="E3263" i="2"/>
  <c r="D3263" i="2"/>
  <c r="B3263" i="2"/>
  <c r="A3263" i="2"/>
  <c r="O3262" i="2"/>
  <c r="M3262" i="2"/>
  <c r="L3262" i="2"/>
  <c r="E3262" i="2"/>
  <c r="D3262" i="2"/>
  <c r="B3262" i="2"/>
  <c r="A3262" i="2"/>
  <c r="O3261" i="2"/>
  <c r="O3260" i="2"/>
  <c r="O3259" i="2"/>
  <c r="M3259" i="2"/>
  <c r="L3259" i="2"/>
  <c r="E3259" i="2"/>
  <c r="D3259" i="2"/>
  <c r="B3259" i="2"/>
  <c r="A3259" i="2"/>
  <c r="O3258" i="2"/>
  <c r="M3258" i="2"/>
  <c r="L3258" i="2"/>
  <c r="E3258" i="2"/>
  <c r="D3258" i="2"/>
  <c r="B3258" i="2"/>
  <c r="A3258" i="2"/>
  <c r="O3257" i="2"/>
  <c r="M3257" i="2"/>
  <c r="L3257" i="2"/>
  <c r="E3257" i="2"/>
  <c r="D3257" i="2"/>
  <c r="B3257" i="2"/>
  <c r="A3257" i="2"/>
  <c r="O3256" i="2"/>
  <c r="O3255" i="2"/>
  <c r="M3255" i="2"/>
  <c r="L3255" i="2"/>
  <c r="E3255" i="2"/>
  <c r="D3255" i="2"/>
  <c r="B3255" i="2"/>
  <c r="A3255" i="2"/>
  <c r="O3254" i="2"/>
  <c r="M3254" i="2"/>
  <c r="L3254" i="2"/>
  <c r="E3254" i="2"/>
  <c r="D3254" i="2"/>
  <c r="B3254" i="2"/>
  <c r="A3254" i="2"/>
  <c r="O3253" i="2"/>
  <c r="M3253" i="2"/>
  <c r="L3253" i="2"/>
  <c r="E3253" i="2"/>
  <c r="D3253" i="2"/>
  <c r="B3253" i="2"/>
  <c r="A3253" i="2"/>
  <c r="O3252" i="2"/>
  <c r="M3252" i="2"/>
  <c r="L3252" i="2"/>
  <c r="E3252" i="2"/>
  <c r="D3252" i="2"/>
  <c r="B3252" i="2"/>
  <c r="A3252" i="2"/>
  <c r="O3251" i="2"/>
  <c r="M3251" i="2"/>
  <c r="L3251" i="2"/>
  <c r="E3251" i="2"/>
  <c r="D3251" i="2"/>
  <c r="B3251" i="2"/>
  <c r="A3251" i="2"/>
  <c r="O3250" i="2"/>
  <c r="M3250" i="2"/>
  <c r="L3250" i="2"/>
  <c r="E3250" i="2"/>
  <c r="D3250" i="2"/>
  <c r="B3250" i="2"/>
  <c r="A3250" i="2"/>
  <c r="O3249" i="2"/>
  <c r="M3249" i="2"/>
  <c r="L3249" i="2"/>
  <c r="E3249" i="2"/>
  <c r="D3249" i="2"/>
  <c r="B3249" i="2"/>
  <c r="A3249" i="2"/>
  <c r="O3248" i="2"/>
  <c r="M3248" i="2"/>
  <c r="L3248" i="2"/>
  <c r="E3248" i="2"/>
  <c r="D3248" i="2"/>
  <c r="B3248" i="2"/>
  <c r="A3248" i="2"/>
  <c r="M3247" i="2"/>
  <c r="L3247" i="2"/>
  <c r="E3247" i="2"/>
  <c r="D3247" i="2"/>
  <c r="B3247" i="2"/>
  <c r="A3247" i="2"/>
  <c r="O3246" i="2"/>
  <c r="O3245" i="2"/>
  <c r="M3245" i="2"/>
  <c r="L3245" i="2"/>
  <c r="E3245" i="2"/>
  <c r="D3245" i="2"/>
  <c r="B3245" i="2"/>
  <c r="A3245" i="2"/>
  <c r="O3244" i="2"/>
  <c r="M3244" i="2"/>
  <c r="L3244" i="2"/>
  <c r="E3244" i="2"/>
  <c r="D3244" i="2"/>
  <c r="B3244" i="2"/>
  <c r="A3244" i="2"/>
  <c r="O3243" i="2"/>
  <c r="M3243" i="2"/>
  <c r="L3243" i="2"/>
  <c r="E3243" i="2"/>
  <c r="D3243" i="2"/>
  <c r="B3243" i="2"/>
  <c r="A3243" i="2"/>
  <c r="O3242" i="2"/>
  <c r="O3241" i="2"/>
  <c r="O3240" i="2"/>
  <c r="M3240" i="2"/>
  <c r="L3240" i="2"/>
  <c r="E3240" i="2"/>
  <c r="D3240" i="2"/>
  <c r="B3240" i="2"/>
  <c r="A3240" i="2"/>
  <c r="O3239" i="2"/>
  <c r="O3238" i="2"/>
  <c r="M3238" i="2"/>
  <c r="L3238" i="2"/>
  <c r="E3238" i="2"/>
  <c r="D3238" i="2"/>
  <c r="B3238" i="2"/>
  <c r="A3238" i="2"/>
  <c r="O3237" i="2"/>
  <c r="O3236" i="2"/>
  <c r="M3236" i="2"/>
  <c r="L3236" i="2"/>
  <c r="E3236" i="2"/>
  <c r="D3236" i="2"/>
  <c r="B3236" i="2"/>
  <c r="A3236" i="2"/>
  <c r="O3235" i="2"/>
  <c r="M3235" i="2"/>
  <c r="L3235" i="2"/>
  <c r="E3235" i="2"/>
  <c r="D3235" i="2"/>
  <c r="B3235" i="2"/>
  <c r="A3235" i="2"/>
  <c r="O3234" i="2"/>
  <c r="M3234" i="2"/>
  <c r="L3234" i="2"/>
  <c r="E3234" i="2"/>
  <c r="D3234" i="2"/>
  <c r="B3234" i="2"/>
  <c r="A3234" i="2"/>
  <c r="O3233" i="2"/>
  <c r="O3232" i="2"/>
  <c r="O3231" i="2"/>
  <c r="O3230" i="2"/>
  <c r="M3230" i="2"/>
  <c r="L3230" i="2"/>
  <c r="E3230" i="2"/>
  <c r="D3230" i="2"/>
  <c r="B3230" i="2"/>
  <c r="A3230" i="2"/>
  <c r="O3229" i="2"/>
  <c r="M3229" i="2"/>
  <c r="L3229" i="2"/>
  <c r="E3229" i="2"/>
  <c r="D3229" i="2"/>
  <c r="B3229" i="2"/>
  <c r="A3229" i="2"/>
  <c r="O3228" i="2"/>
  <c r="M3228" i="2"/>
  <c r="L3228" i="2"/>
  <c r="E3228" i="2"/>
  <c r="D3228" i="2"/>
  <c r="B3228" i="2"/>
  <c r="A3228" i="2"/>
  <c r="O3227" i="2"/>
  <c r="M3227" i="2"/>
  <c r="L3227" i="2"/>
  <c r="E3227" i="2"/>
  <c r="D3227" i="2"/>
  <c r="B3227" i="2"/>
  <c r="A3227" i="2"/>
  <c r="O3226" i="2"/>
  <c r="O3225" i="2"/>
  <c r="M3225" i="2"/>
  <c r="L3225" i="2"/>
  <c r="E3225" i="2"/>
  <c r="D3225" i="2"/>
  <c r="B3225" i="2"/>
  <c r="A3225" i="2"/>
  <c r="O3224" i="2"/>
  <c r="O3223" i="2"/>
  <c r="M3223" i="2"/>
  <c r="L3223" i="2"/>
  <c r="E3223" i="2"/>
  <c r="D3223" i="2"/>
  <c r="B3223" i="2"/>
  <c r="A3223" i="2"/>
  <c r="O3222" i="2"/>
  <c r="M3222" i="2"/>
  <c r="L3222" i="2"/>
  <c r="E3222" i="2"/>
  <c r="D3222" i="2"/>
  <c r="B3222" i="2"/>
  <c r="A3222" i="2"/>
  <c r="O3221" i="2"/>
  <c r="M3221" i="2"/>
  <c r="L3221" i="2"/>
  <c r="E3221" i="2"/>
  <c r="D3221" i="2"/>
  <c r="B3221" i="2"/>
  <c r="A3221" i="2"/>
  <c r="O3220" i="2"/>
  <c r="M3220" i="2"/>
  <c r="L3220" i="2"/>
  <c r="E3220" i="2"/>
  <c r="D3220" i="2"/>
  <c r="B3220" i="2"/>
  <c r="A3220" i="2"/>
  <c r="O3219" i="2"/>
  <c r="M3219" i="2"/>
  <c r="L3219" i="2"/>
  <c r="E3219" i="2"/>
  <c r="D3219" i="2"/>
  <c r="B3219" i="2"/>
  <c r="A3219" i="2"/>
  <c r="O3218" i="2"/>
  <c r="M3218" i="2"/>
  <c r="L3218" i="2"/>
  <c r="E3218" i="2"/>
  <c r="D3218" i="2"/>
  <c r="B3218" i="2"/>
  <c r="A3218" i="2"/>
  <c r="O3217" i="2"/>
  <c r="M3217" i="2"/>
  <c r="L3217" i="2"/>
  <c r="E3217" i="2"/>
  <c r="D3217" i="2"/>
  <c r="B3217" i="2"/>
  <c r="A3217" i="2"/>
  <c r="O3216" i="2"/>
  <c r="M3216" i="2"/>
  <c r="L3216" i="2"/>
  <c r="E3216" i="2"/>
  <c r="D3216" i="2"/>
  <c r="B3216" i="2"/>
  <c r="A3216" i="2"/>
  <c r="O3215" i="2"/>
  <c r="O3214" i="2"/>
  <c r="M3214" i="2"/>
  <c r="L3214" i="2"/>
  <c r="E3214" i="2"/>
  <c r="D3214" i="2"/>
  <c r="B3214" i="2"/>
  <c r="A3214" i="2"/>
  <c r="O3213" i="2"/>
  <c r="M3213" i="2"/>
  <c r="L3213" i="2"/>
  <c r="E3213" i="2"/>
  <c r="D3213" i="2"/>
  <c r="B3213" i="2"/>
  <c r="A3213" i="2"/>
  <c r="O3212" i="2"/>
  <c r="M3212" i="2"/>
  <c r="L3212" i="2"/>
  <c r="E3212" i="2"/>
  <c r="D3212" i="2"/>
  <c r="B3212" i="2"/>
  <c r="A3212" i="2"/>
  <c r="O3211" i="2"/>
  <c r="M3211" i="2"/>
  <c r="L3211" i="2"/>
  <c r="E3211" i="2"/>
  <c r="D3211" i="2"/>
  <c r="B3211" i="2"/>
  <c r="A3211" i="2"/>
  <c r="O3210" i="2"/>
  <c r="M3210" i="2"/>
  <c r="L3210" i="2"/>
  <c r="E3210" i="2"/>
  <c r="D3210" i="2"/>
  <c r="B3210" i="2"/>
  <c r="A3210" i="2"/>
  <c r="O3209" i="2"/>
  <c r="M3209" i="2"/>
  <c r="L3209" i="2"/>
  <c r="E3209" i="2"/>
  <c r="D3209" i="2"/>
  <c r="B3209" i="2"/>
  <c r="A3209" i="2"/>
  <c r="O3208" i="2"/>
  <c r="M3208" i="2"/>
  <c r="L3208" i="2"/>
  <c r="E3208" i="2"/>
  <c r="D3208" i="2"/>
  <c r="B3208" i="2"/>
  <c r="A3208" i="2"/>
  <c r="O3207" i="2"/>
  <c r="M3207" i="2"/>
  <c r="L3207" i="2"/>
  <c r="E3207" i="2"/>
  <c r="D3207" i="2"/>
  <c r="B3207" i="2"/>
  <c r="A3207" i="2"/>
  <c r="O3206" i="2"/>
  <c r="M3206" i="2"/>
  <c r="L3206" i="2"/>
  <c r="E3206" i="2"/>
  <c r="D3206" i="2"/>
  <c r="B3206" i="2"/>
  <c r="A3206" i="2"/>
  <c r="O3205" i="2"/>
  <c r="M3205" i="2"/>
  <c r="L3205" i="2"/>
  <c r="E3205" i="2"/>
  <c r="D3205" i="2"/>
  <c r="B3205" i="2"/>
  <c r="A3205" i="2"/>
  <c r="O3204" i="2"/>
  <c r="M3204" i="2"/>
  <c r="L3204" i="2"/>
  <c r="E3204" i="2"/>
  <c r="D3204" i="2"/>
  <c r="B3204" i="2"/>
  <c r="A3204" i="2"/>
  <c r="O3203" i="2"/>
  <c r="M3203" i="2"/>
  <c r="L3203" i="2"/>
  <c r="E3203" i="2"/>
  <c r="D3203" i="2"/>
  <c r="B3203" i="2"/>
  <c r="A3203" i="2"/>
  <c r="O3202" i="2"/>
  <c r="M3202" i="2"/>
  <c r="L3202" i="2"/>
  <c r="E3202" i="2"/>
  <c r="D3202" i="2"/>
  <c r="B3202" i="2"/>
  <c r="A3202" i="2"/>
  <c r="O3201" i="2"/>
  <c r="M3201" i="2"/>
  <c r="L3201" i="2"/>
  <c r="E3201" i="2"/>
  <c r="D3201" i="2"/>
  <c r="B3201" i="2"/>
  <c r="A3201" i="2"/>
  <c r="O3200" i="2"/>
  <c r="M3200" i="2"/>
  <c r="L3200" i="2"/>
  <c r="E3200" i="2"/>
  <c r="D3200" i="2"/>
  <c r="B3200" i="2"/>
  <c r="A3200" i="2"/>
  <c r="O3199" i="2"/>
  <c r="M3199" i="2"/>
  <c r="L3199" i="2"/>
  <c r="E3199" i="2"/>
  <c r="D3199" i="2"/>
  <c r="B3199" i="2"/>
  <c r="A3199" i="2"/>
  <c r="O3198" i="2"/>
  <c r="M3198" i="2"/>
  <c r="L3198" i="2"/>
  <c r="E3198" i="2"/>
  <c r="D3198" i="2"/>
  <c r="B3198" i="2"/>
  <c r="A3198" i="2"/>
  <c r="O3197" i="2"/>
  <c r="M3197" i="2"/>
  <c r="L3197" i="2"/>
  <c r="E3197" i="2"/>
  <c r="D3197" i="2"/>
  <c r="B3197" i="2"/>
  <c r="A3197" i="2"/>
  <c r="O3196" i="2"/>
  <c r="M3196" i="2"/>
  <c r="L3196" i="2"/>
  <c r="E3196" i="2"/>
  <c r="D3196" i="2"/>
  <c r="B3196" i="2"/>
  <c r="A3196" i="2"/>
  <c r="O3195" i="2"/>
  <c r="M3195" i="2"/>
  <c r="L3195" i="2"/>
  <c r="E3195" i="2"/>
  <c r="D3195" i="2"/>
  <c r="B3195" i="2"/>
  <c r="A3195" i="2"/>
  <c r="O3194" i="2"/>
  <c r="M3194" i="2"/>
  <c r="L3194" i="2"/>
  <c r="E3194" i="2"/>
  <c r="D3194" i="2"/>
  <c r="B3194" i="2"/>
  <c r="A3194" i="2"/>
  <c r="O3193" i="2"/>
  <c r="M3193" i="2"/>
  <c r="L3193" i="2"/>
  <c r="E3193" i="2"/>
  <c r="D3193" i="2"/>
  <c r="B3193" i="2"/>
  <c r="A3193" i="2"/>
  <c r="O3192" i="2"/>
  <c r="M3192" i="2"/>
  <c r="L3192" i="2"/>
  <c r="E3192" i="2"/>
  <c r="D3192" i="2"/>
  <c r="B3192" i="2"/>
  <c r="A3192" i="2"/>
  <c r="O3191" i="2"/>
  <c r="M3191" i="2"/>
  <c r="L3191" i="2"/>
  <c r="E3191" i="2"/>
  <c r="D3191" i="2"/>
  <c r="B3191" i="2"/>
  <c r="A3191" i="2"/>
  <c r="O3190" i="2"/>
  <c r="M3190" i="2"/>
  <c r="L3190" i="2"/>
  <c r="E3190" i="2"/>
  <c r="D3190" i="2"/>
  <c r="B3190" i="2"/>
  <c r="A3190" i="2"/>
  <c r="O3189" i="2"/>
  <c r="M3189" i="2"/>
  <c r="L3189" i="2"/>
  <c r="E3189" i="2"/>
  <c r="D3189" i="2"/>
  <c r="B3189" i="2"/>
  <c r="A3189" i="2"/>
  <c r="O3188" i="2"/>
  <c r="M3188" i="2"/>
  <c r="L3188" i="2"/>
  <c r="E3188" i="2"/>
  <c r="D3188" i="2"/>
  <c r="B3188" i="2"/>
  <c r="A3188" i="2"/>
  <c r="O3187" i="2"/>
  <c r="M3187" i="2"/>
  <c r="L3187" i="2"/>
  <c r="E3187" i="2"/>
  <c r="D3187" i="2"/>
  <c r="B3187" i="2"/>
  <c r="A3187" i="2"/>
  <c r="O3186" i="2"/>
  <c r="M3186" i="2"/>
  <c r="L3186" i="2"/>
  <c r="E3186" i="2"/>
  <c r="D3186" i="2"/>
  <c r="B3186" i="2"/>
  <c r="A3186" i="2"/>
  <c r="O3185" i="2"/>
  <c r="M3185" i="2"/>
  <c r="L3185" i="2"/>
  <c r="E3185" i="2"/>
  <c r="D3185" i="2"/>
  <c r="B3185" i="2"/>
  <c r="A3185" i="2"/>
  <c r="O3184" i="2"/>
  <c r="M3184" i="2"/>
  <c r="L3184" i="2"/>
  <c r="E3184" i="2"/>
  <c r="D3184" i="2"/>
  <c r="B3184" i="2"/>
  <c r="A3184" i="2"/>
  <c r="O3183" i="2"/>
  <c r="M3183" i="2"/>
  <c r="L3183" i="2"/>
  <c r="E3183" i="2"/>
  <c r="D3183" i="2"/>
  <c r="B3183" i="2"/>
  <c r="A3183" i="2"/>
  <c r="O3182" i="2"/>
  <c r="M3182" i="2"/>
  <c r="L3182" i="2"/>
  <c r="E3182" i="2"/>
  <c r="D3182" i="2"/>
  <c r="B3182" i="2"/>
  <c r="A3182" i="2"/>
  <c r="O3181" i="2"/>
  <c r="M3181" i="2"/>
  <c r="L3181" i="2"/>
  <c r="E3181" i="2"/>
  <c r="D3181" i="2"/>
  <c r="B3181" i="2"/>
  <c r="A3181" i="2"/>
  <c r="O3180" i="2"/>
  <c r="M3180" i="2"/>
  <c r="L3180" i="2"/>
  <c r="E3180" i="2"/>
  <c r="D3180" i="2"/>
  <c r="B3180" i="2"/>
  <c r="A3180" i="2"/>
  <c r="O3179" i="2"/>
  <c r="M3179" i="2"/>
  <c r="L3179" i="2"/>
  <c r="E3179" i="2"/>
  <c r="D3179" i="2"/>
  <c r="B3179" i="2"/>
  <c r="A3179" i="2"/>
  <c r="O3178" i="2"/>
  <c r="O3177" i="2"/>
  <c r="O3176" i="2"/>
  <c r="O3175" i="2"/>
  <c r="M3175" i="2"/>
  <c r="L3175" i="2"/>
  <c r="E3175" i="2"/>
  <c r="D3175" i="2"/>
  <c r="B3175" i="2"/>
  <c r="A3175" i="2"/>
  <c r="O3174" i="2"/>
  <c r="M3174" i="2"/>
  <c r="L3174" i="2"/>
  <c r="E3174" i="2"/>
  <c r="D3174" i="2"/>
  <c r="B3174" i="2"/>
  <c r="A3174" i="2"/>
  <c r="O3173" i="2"/>
  <c r="O3172" i="2"/>
  <c r="M3172" i="2"/>
  <c r="L3172" i="2"/>
  <c r="E3172" i="2"/>
  <c r="D3172" i="2"/>
  <c r="B3172" i="2"/>
  <c r="A3172" i="2"/>
  <c r="O3171" i="2"/>
  <c r="M3171" i="2"/>
  <c r="L3171" i="2"/>
  <c r="E3171" i="2"/>
  <c r="D3171" i="2"/>
  <c r="B3171" i="2"/>
  <c r="A3171" i="2"/>
  <c r="O3170" i="2"/>
  <c r="M3170" i="2"/>
  <c r="L3170" i="2"/>
  <c r="E3170" i="2"/>
  <c r="D3170" i="2"/>
  <c r="B3170" i="2"/>
  <c r="A3170" i="2"/>
  <c r="O3169" i="2"/>
  <c r="M3169" i="2"/>
  <c r="L3169" i="2"/>
  <c r="E3169" i="2"/>
  <c r="D3169" i="2"/>
  <c r="B3169" i="2"/>
  <c r="A3169" i="2"/>
  <c r="O3168" i="2"/>
  <c r="M3168" i="2"/>
  <c r="L3168" i="2"/>
  <c r="E3168" i="2"/>
  <c r="D3168" i="2"/>
  <c r="B3168" i="2"/>
  <c r="A3168" i="2"/>
  <c r="O3167" i="2"/>
  <c r="M3167" i="2"/>
  <c r="L3167" i="2"/>
  <c r="E3167" i="2"/>
  <c r="D3167" i="2"/>
  <c r="B3167" i="2"/>
  <c r="A3167" i="2"/>
  <c r="O3166" i="2"/>
  <c r="M3166" i="2"/>
  <c r="L3166" i="2"/>
  <c r="E3166" i="2"/>
  <c r="D3166" i="2"/>
  <c r="B3166" i="2"/>
  <c r="A3166" i="2"/>
  <c r="O3165" i="2"/>
  <c r="M3165" i="2"/>
  <c r="L3165" i="2"/>
  <c r="E3165" i="2"/>
  <c r="D3165" i="2"/>
  <c r="B3165" i="2"/>
  <c r="A3165" i="2"/>
  <c r="O3164" i="2"/>
  <c r="M3164" i="2"/>
  <c r="L3164" i="2"/>
  <c r="E3164" i="2"/>
  <c r="D3164" i="2"/>
  <c r="B3164" i="2"/>
  <c r="A3164" i="2"/>
  <c r="O3163" i="2"/>
  <c r="O3162" i="2"/>
  <c r="O3161" i="2"/>
  <c r="O3160" i="2"/>
  <c r="M3160" i="2"/>
  <c r="L3160" i="2"/>
  <c r="E3160" i="2"/>
  <c r="D3160" i="2"/>
  <c r="B3160" i="2"/>
  <c r="A3160" i="2"/>
  <c r="O3159" i="2"/>
  <c r="M3159" i="2"/>
  <c r="L3159" i="2"/>
  <c r="E3159" i="2"/>
  <c r="D3159" i="2"/>
  <c r="B3159" i="2"/>
  <c r="A3159" i="2"/>
  <c r="O3158" i="2"/>
  <c r="M3158" i="2"/>
  <c r="L3158" i="2"/>
  <c r="E3158" i="2"/>
  <c r="D3158" i="2"/>
  <c r="B3158" i="2"/>
  <c r="A3158" i="2"/>
  <c r="O3157" i="2"/>
  <c r="M3157" i="2"/>
  <c r="L3157" i="2"/>
  <c r="E3157" i="2"/>
  <c r="D3157" i="2"/>
  <c r="B3157" i="2"/>
  <c r="A3157" i="2"/>
  <c r="O3156" i="2"/>
  <c r="O3155" i="2"/>
  <c r="O3154" i="2"/>
  <c r="M3154" i="2"/>
  <c r="L3154" i="2"/>
  <c r="E3154" i="2"/>
  <c r="D3154" i="2"/>
  <c r="B3154" i="2"/>
  <c r="A3154" i="2"/>
  <c r="O3153" i="2"/>
  <c r="M3153" i="2"/>
  <c r="L3153" i="2"/>
  <c r="E3153" i="2"/>
  <c r="D3153" i="2"/>
  <c r="B3153" i="2"/>
  <c r="A3153" i="2"/>
  <c r="O3152" i="2"/>
  <c r="M3152" i="2"/>
  <c r="L3152" i="2"/>
  <c r="E3152" i="2"/>
  <c r="D3152" i="2"/>
  <c r="B3152" i="2"/>
  <c r="A3152" i="2"/>
  <c r="O3151" i="2"/>
  <c r="M3151" i="2"/>
  <c r="L3151" i="2"/>
  <c r="E3151" i="2"/>
  <c r="D3151" i="2"/>
  <c r="B3151" i="2"/>
  <c r="A3151" i="2"/>
  <c r="O3150" i="2"/>
  <c r="M3150" i="2"/>
  <c r="L3150" i="2"/>
  <c r="E3150" i="2"/>
  <c r="D3150" i="2"/>
  <c r="B3150" i="2"/>
  <c r="A3150" i="2"/>
  <c r="O3149" i="2"/>
  <c r="M3149" i="2"/>
  <c r="L3149" i="2"/>
  <c r="E3149" i="2"/>
  <c r="D3149" i="2"/>
  <c r="B3149" i="2"/>
  <c r="A3149" i="2"/>
  <c r="O3148" i="2"/>
  <c r="M3148" i="2"/>
  <c r="L3148" i="2"/>
  <c r="E3148" i="2"/>
  <c r="D3148" i="2"/>
  <c r="B3148" i="2"/>
  <c r="A3148" i="2"/>
  <c r="O3147" i="2"/>
  <c r="M3147" i="2"/>
  <c r="L3147" i="2"/>
  <c r="E3147" i="2"/>
  <c r="D3147" i="2"/>
  <c r="B3147" i="2"/>
  <c r="A3147" i="2"/>
  <c r="O3146" i="2"/>
  <c r="M3146" i="2"/>
  <c r="L3146" i="2"/>
  <c r="E3146" i="2"/>
  <c r="D3146" i="2"/>
  <c r="B3146" i="2"/>
  <c r="A3146" i="2"/>
  <c r="O3145" i="2"/>
  <c r="M3145" i="2"/>
  <c r="L3145" i="2"/>
  <c r="E3145" i="2"/>
  <c r="D3145" i="2"/>
  <c r="B3145" i="2"/>
  <c r="A3145" i="2"/>
  <c r="O3144" i="2"/>
  <c r="M3144" i="2"/>
  <c r="L3144" i="2"/>
  <c r="E3144" i="2"/>
  <c r="D3144" i="2"/>
  <c r="B3144" i="2"/>
  <c r="A3144" i="2"/>
  <c r="O3143" i="2"/>
  <c r="M3143" i="2"/>
  <c r="L3143" i="2"/>
  <c r="E3143" i="2"/>
  <c r="D3143" i="2"/>
  <c r="B3143" i="2"/>
  <c r="A3143" i="2"/>
  <c r="O3142" i="2"/>
  <c r="M3142" i="2"/>
  <c r="L3142" i="2"/>
  <c r="E3142" i="2"/>
  <c r="D3142" i="2"/>
  <c r="B3142" i="2"/>
  <c r="A3142" i="2"/>
  <c r="O3141" i="2"/>
  <c r="M3141" i="2"/>
  <c r="L3141" i="2"/>
  <c r="E3141" i="2"/>
  <c r="D3141" i="2"/>
  <c r="B3141" i="2"/>
  <c r="A3141" i="2"/>
  <c r="O3140" i="2"/>
  <c r="M3140" i="2"/>
  <c r="L3140" i="2"/>
  <c r="E3140" i="2"/>
  <c r="D3140" i="2"/>
  <c r="B3140" i="2"/>
  <c r="A3140" i="2"/>
  <c r="O3139" i="2"/>
  <c r="M3139" i="2"/>
  <c r="L3139" i="2"/>
  <c r="E3139" i="2"/>
  <c r="D3139" i="2"/>
  <c r="B3139" i="2"/>
  <c r="A3139" i="2"/>
  <c r="O3138" i="2"/>
  <c r="M3138" i="2"/>
  <c r="L3138" i="2"/>
  <c r="E3138" i="2"/>
  <c r="D3138" i="2"/>
  <c r="B3138" i="2"/>
  <c r="A3138" i="2"/>
  <c r="O3137" i="2"/>
  <c r="O3136" i="2"/>
  <c r="M3136" i="2"/>
  <c r="L3136" i="2"/>
  <c r="E3136" i="2"/>
  <c r="D3136" i="2"/>
  <c r="B3136" i="2"/>
  <c r="A3136" i="2"/>
  <c r="O3135" i="2"/>
  <c r="M3135" i="2"/>
  <c r="L3135" i="2"/>
  <c r="E3135" i="2"/>
  <c r="D3135" i="2"/>
  <c r="B3135" i="2"/>
  <c r="A3135" i="2"/>
  <c r="O3134" i="2"/>
  <c r="M3134" i="2"/>
  <c r="L3134" i="2"/>
  <c r="E3134" i="2"/>
  <c r="D3134" i="2"/>
  <c r="B3134" i="2"/>
  <c r="A3134" i="2"/>
  <c r="O3133" i="2"/>
  <c r="M3133" i="2"/>
  <c r="L3133" i="2"/>
  <c r="E3133" i="2"/>
  <c r="D3133" i="2"/>
  <c r="B3133" i="2"/>
  <c r="A3133" i="2"/>
  <c r="O3132" i="2"/>
  <c r="M3132" i="2"/>
  <c r="L3132" i="2"/>
  <c r="E3132" i="2"/>
  <c r="D3132" i="2"/>
  <c r="B3132" i="2"/>
  <c r="A3132" i="2"/>
  <c r="O3131" i="2"/>
  <c r="M3131" i="2"/>
  <c r="L3131" i="2"/>
  <c r="E3131" i="2"/>
  <c r="D3131" i="2"/>
  <c r="B3131" i="2"/>
  <c r="A3131" i="2"/>
  <c r="O3130" i="2"/>
  <c r="M3130" i="2"/>
  <c r="L3130" i="2"/>
  <c r="E3130" i="2"/>
  <c r="D3130" i="2"/>
  <c r="B3130" i="2"/>
  <c r="A3130" i="2"/>
  <c r="O3129" i="2"/>
  <c r="M3129" i="2"/>
  <c r="L3129" i="2"/>
  <c r="E3129" i="2"/>
  <c r="D3129" i="2"/>
  <c r="B3129" i="2"/>
  <c r="A3129" i="2"/>
  <c r="O3128" i="2"/>
  <c r="M3128" i="2"/>
  <c r="L3128" i="2"/>
  <c r="E3128" i="2"/>
  <c r="D3128" i="2"/>
  <c r="B3128" i="2"/>
  <c r="A3128" i="2"/>
  <c r="O3127" i="2"/>
  <c r="M3127" i="2"/>
  <c r="L3127" i="2"/>
  <c r="E3127" i="2"/>
  <c r="D3127" i="2"/>
  <c r="B3127" i="2"/>
  <c r="A3127" i="2"/>
  <c r="O3126" i="2"/>
  <c r="O3125" i="2"/>
  <c r="M3125" i="2"/>
  <c r="L3125" i="2"/>
  <c r="E3125" i="2"/>
  <c r="D3125" i="2"/>
  <c r="B3125" i="2"/>
  <c r="A3125" i="2"/>
  <c r="O3124" i="2"/>
  <c r="O3123" i="2"/>
  <c r="O3122" i="2"/>
  <c r="O3121" i="2"/>
  <c r="M3121" i="2"/>
  <c r="L3121" i="2"/>
  <c r="E3121" i="2"/>
  <c r="D3121" i="2"/>
  <c r="B3121" i="2"/>
  <c r="A3121" i="2"/>
  <c r="O3120" i="2"/>
  <c r="M3120" i="2"/>
  <c r="L3120" i="2"/>
  <c r="E3120" i="2"/>
  <c r="D3120" i="2"/>
  <c r="B3120" i="2"/>
  <c r="A3120" i="2"/>
  <c r="O3119" i="2"/>
  <c r="O3118" i="2"/>
  <c r="O3117" i="2"/>
  <c r="O3116" i="2"/>
  <c r="M3116" i="2"/>
  <c r="L3116" i="2"/>
  <c r="E3116" i="2"/>
  <c r="D3116" i="2"/>
  <c r="B3116" i="2"/>
  <c r="A3116" i="2"/>
  <c r="O3115" i="2"/>
  <c r="M3115" i="2"/>
  <c r="L3115" i="2"/>
  <c r="E3115" i="2"/>
  <c r="D3115" i="2"/>
  <c r="B3115" i="2"/>
  <c r="A3115" i="2"/>
  <c r="O3114" i="2"/>
  <c r="M3114" i="2"/>
  <c r="L3114" i="2"/>
  <c r="E3114" i="2"/>
  <c r="D3114" i="2"/>
  <c r="B3114" i="2"/>
  <c r="A3114" i="2"/>
  <c r="O3113" i="2"/>
  <c r="M3113" i="2"/>
  <c r="L3113" i="2"/>
  <c r="E3113" i="2"/>
  <c r="D3113" i="2"/>
  <c r="B3113" i="2"/>
  <c r="A3113" i="2"/>
  <c r="O3112" i="2"/>
  <c r="M3112" i="2"/>
  <c r="L3112" i="2"/>
  <c r="E3112" i="2"/>
  <c r="D3112" i="2"/>
  <c r="B3112" i="2"/>
  <c r="A3112" i="2"/>
  <c r="O3111" i="2"/>
  <c r="M3111" i="2"/>
  <c r="L3111" i="2"/>
  <c r="E3111" i="2"/>
  <c r="D3111" i="2"/>
  <c r="B3111" i="2"/>
  <c r="A3111" i="2"/>
  <c r="O3110" i="2"/>
  <c r="M3110" i="2"/>
  <c r="L3110" i="2"/>
  <c r="E3110" i="2"/>
  <c r="D3110" i="2"/>
  <c r="B3110" i="2"/>
  <c r="A3110" i="2"/>
  <c r="O3109" i="2"/>
  <c r="M3109" i="2"/>
  <c r="L3109" i="2"/>
  <c r="E3109" i="2"/>
  <c r="D3109" i="2"/>
  <c r="B3109" i="2"/>
  <c r="A3109" i="2"/>
  <c r="O3108" i="2"/>
  <c r="M3108" i="2"/>
  <c r="L3108" i="2"/>
  <c r="E3108" i="2"/>
  <c r="D3108" i="2"/>
  <c r="B3108" i="2"/>
  <c r="A3108" i="2"/>
  <c r="O3107" i="2"/>
  <c r="M3107" i="2"/>
  <c r="L3107" i="2"/>
  <c r="E3107" i="2"/>
  <c r="D3107" i="2"/>
  <c r="B3107" i="2"/>
  <c r="A3107" i="2"/>
  <c r="O3106" i="2"/>
  <c r="M3106" i="2"/>
  <c r="L3106" i="2"/>
  <c r="E3106" i="2"/>
  <c r="D3106" i="2"/>
  <c r="B3106" i="2"/>
  <c r="A3106" i="2"/>
  <c r="O3105" i="2"/>
  <c r="M3105" i="2"/>
  <c r="L3105" i="2"/>
  <c r="E3105" i="2"/>
  <c r="D3105" i="2"/>
  <c r="B3105" i="2"/>
  <c r="A3105" i="2"/>
  <c r="O3104" i="2"/>
  <c r="M3104" i="2"/>
  <c r="L3104" i="2"/>
  <c r="E3104" i="2"/>
  <c r="D3104" i="2"/>
  <c r="B3104" i="2"/>
  <c r="A3104" i="2"/>
  <c r="O3103" i="2"/>
  <c r="O3102" i="2"/>
  <c r="O3101" i="2"/>
  <c r="O3100" i="2"/>
  <c r="O3099" i="2"/>
  <c r="M3099" i="2"/>
  <c r="L3099" i="2"/>
  <c r="E3099" i="2"/>
  <c r="D3099" i="2"/>
  <c r="B3099" i="2"/>
  <c r="A3099" i="2"/>
  <c r="O3098" i="2"/>
  <c r="O3097" i="2"/>
  <c r="O3096" i="2"/>
  <c r="O3095" i="2"/>
  <c r="M3095" i="2"/>
  <c r="L3095" i="2"/>
  <c r="E3095" i="2"/>
  <c r="D3095" i="2"/>
  <c r="B3095" i="2"/>
  <c r="A3095" i="2"/>
  <c r="O3094" i="2"/>
  <c r="M3094" i="2"/>
  <c r="L3094" i="2"/>
  <c r="E3094" i="2"/>
  <c r="D3094" i="2"/>
  <c r="B3094" i="2"/>
  <c r="A3094" i="2"/>
  <c r="O3093" i="2"/>
  <c r="M3093" i="2"/>
  <c r="L3093" i="2"/>
  <c r="E3093" i="2"/>
  <c r="D3093" i="2"/>
  <c r="B3093" i="2"/>
  <c r="A3093" i="2"/>
  <c r="O3092" i="2"/>
  <c r="M3092" i="2"/>
  <c r="L3092" i="2"/>
  <c r="E3092" i="2"/>
  <c r="D3092" i="2"/>
  <c r="B3092" i="2"/>
  <c r="A3092" i="2"/>
  <c r="O3091" i="2"/>
  <c r="M3091" i="2"/>
  <c r="L3091" i="2"/>
  <c r="E3091" i="2"/>
  <c r="D3091" i="2"/>
  <c r="B3091" i="2"/>
  <c r="A3091" i="2"/>
  <c r="O3090" i="2"/>
  <c r="M3090" i="2"/>
  <c r="L3090" i="2"/>
  <c r="E3090" i="2"/>
  <c r="D3090" i="2"/>
  <c r="B3090" i="2"/>
  <c r="A3090" i="2"/>
  <c r="O3089" i="2"/>
  <c r="M3089" i="2"/>
  <c r="L3089" i="2"/>
  <c r="E3089" i="2"/>
  <c r="D3089" i="2"/>
  <c r="B3089" i="2"/>
  <c r="A3089" i="2"/>
  <c r="O3088" i="2"/>
  <c r="M3088" i="2"/>
  <c r="L3088" i="2"/>
  <c r="E3088" i="2"/>
  <c r="D3088" i="2"/>
  <c r="B3088" i="2"/>
  <c r="A3088" i="2"/>
  <c r="O3087" i="2"/>
  <c r="M3087" i="2"/>
  <c r="L3087" i="2"/>
  <c r="E3087" i="2"/>
  <c r="D3087" i="2"/>
  <c r="B3087" i="2"/>
  <c r="A3087" i="2"/>
  <c r="O3086" i="2"/>
  <c r="M3086" i="2"/>
  <c r="L3086" i="2"/>
  <c r="E3086" i="2"/>
  <c r="D3086" i="2"/>
  <c r="B3086" i="2"/>
  <c r="A3086" i="2"/>
  <c r="O3085" i="2"/>
  <c r="M3085" i="2"/>
  <c r="L3085" i="2"/>
  <c r="E3085" i="2"/>
  <c r="D3085" i="2"/>
  <c r="B3085" i="2"/>
  <c r="A3085" i="2"/>
  <c r="O3084" i="2"/>
  <c r="M3084" i="2"/>
  <c r="L3084" i="2"/>
  <c r="E3084" i="2"/>
  <c r="D3084" i="2"/>
  <c r="B3084" i="2"/>
  <c r="A3084" i="2"/>
  <c r="O3083" i="2"/>
  <c r="O3082" i="2"/>
  <c r="M3082" i="2"/>
  <c r="L3082" i="2"/>
  <c r="E3082" i="2"/>
  <c r="D3082" i="2"/>
  <c r="B3082" i="2"/>
  <c r="A3082" i="2"/>
  <c r="O3081" i="2"/>
  <c r="M3081" i="2"/>
  <c r="L3081" i="2"/>
  <c r="E3081" i="2"/>
  <c r="D3081" i="2"/>
  <c r="B3081" i="2"/>
  <c r="A3081" i="2"/>
  <c r="O3080" i="2"/>
  <c r="M3080" i="2"/>
  <c r="L3080" i="2"/>
  <c r="E3080" i="2"/>
  <c r="D3080" i="2"/>
  <c r="B3080" i="2"/>
  <c r="A3080" i="2"/>
  <c r="O3079" i="2"/>
  <c r="O3078" i="2"/>
  <c r="O3077" i="2"/>
  <c r="M3077" i="2"/>
  <c r="L3077" i="2"/>
  <c r="E3077" i="2"/>
  <c r="D3077" i="2"/>
  <c r="B3077" i="2"/>
  <c r="A3077" i="2"/>
  <c r="O3076" i="2"/>
  <c r="M3076" i="2"/>
  <c r="L3076" i="2"/>
  <c r="E3076" i="2"/>
  <c r="D3076" i="2"/>
  <c r="B3076" i="2"/>
  <c r="A3076" i="2"/>
  <c r="O3075" i="2"/>
  <c r="M3075" i="2"/>
  <c r="L3075" i="2"/>
  <c r="E3075" i="2"/>
  <c r="D3075" i="2"/>
  <c r="B3075" i="2"/>
  <c r="A3075" i="2"/>
  <c r="O3074" i="2"/>
  <c r="M3074" i="2"/>
  <c r="L3074" i="2"/>
  <c r="E3074" i="2"/>
  <c r="D3074" i="2"/>
  <c r="B3074" i="2"/>
  <c r="A3074" i="2"/>
  <c r="O3073" i="2"/>
  <c r="M3073" i="2"/>
  <c r="L3073" i="2"/>
  <c r="E3073" i="2"/>
  <c r="D3073" i="2"/>
  <c r="B3073" i="2"/>
  <c r="A3073" i="2"/>
  <c r="O3072" i="2"/>
  <c r="M3072" i="2"/>
  <c r="L3072" i="2"/>
  <c r="E3072" i="2"/>
  <c r="D3072" i="2"/>
  <c r="B3072" i="2"/>
  <c r="A3072" i="2"/>
  <c r="O3071" i="2"/>
  <c r="O3070" i="2"/>
  <c r="O3069" i="2"/>
  <c r="M3069" i="2"/>
  <c r="L3069" i="2"/>
  <c r="E3069" i="2"/>
  <c r="D3069" i="2"/>
  <c r="B3069" i="2"/>
  <c r="A3069" i="2"/>
  <c r="O3068" i="2"/>
  <c r="M3068" i="2"/>
  <c r="L3068" i="2"/>
  <c r="E3068" i="2"/>
  <c r="D3068" i="2"/>
  <c r="B3068" i="2"/>
  <c r="A3068" i="2"/>
  <c r="O3067" i="2"/>
  <c r="M3067" i="2"/>
  <c r="L3067" i="2"/>
  <c r="E3067" i="2"/>
  <c r="D3067" i="2"/>
  <c r="B3067" i="2"/>
  <c r="A3067" i="2"/>
  <c r="O3066" i="2"/>
  <c r="M3066" i="2"/>
  <c r="L3066" i="2"/>
  <c r="E3066" i="2"/>
  <c r="D3066" i="2"/>
  <c r="B3066" i="2"/>
  <c r="A3066" i="2"/>
  <c r="O3065" i="2"/>
  <c r="O3064" i="2"/>
  <c r="M3064" i="2"/>
  <c r="L3064" i="2"/>
  <c r="E3064" i="2"/>
  <c r="D3064" i="2"/>
  <c r="B3064" i="2"/>
  <c r="A3064" i="2"/>
  <c r="O3063" i="2"/>
  <c r="M3063" i="2"/>
  <c r="L3063" i="2"/>
  <c r="E3063" i="2"/>
  <c r="D3063" i="2"/>
  <c r="B3063" i="2"/>
  <c r="A3063" i="2"/>
  <c r="O3062" i="2"/>
  <c r="M3062" i="2"/>
  <c r="L3062" i="2"/>
  <c r="E3062" i="2"/>
  <c r="D3062" i="2"/>
  <c r="B3062" i="2"/>
  <c r="A3062" i="2"/>
  <c r="O3061" i="2"/>
  <c r="M3061" i="2"/>
  <c r="L3061" i="2"/>
  <c r="E3061" i="2"/>
  <c r="D3061" i="2"/>
  <c r="B3061" i="2"/>
  <c r="A3061" i="2"/>
  <c r="O3060" i="2"/>
  <c r="M3060" i="2"/>
  <c r="L3060" i="2"/>
  <c r="E3060" i="2"/>
  <c r="D3060" i="2"/>
  <c r="B3060" i="2"/>
  <c r="A3060" i="2"/>
  <c r="O3059" i="2"/>
  <c r="M3059" i="2"/>
  <c r="L3059" i="2"/>
  <c r="E3059" i="2"/>
  <c r="D3059" i="2"/>
  <c r="B3059" i="2"/>
  <c r="A3059" i="2"/>
  <c r="O3058" i="2"/>
  <c r="M3058" i="2"/>
  <c r="L3058" i="2"/>
  <c r="E3058" i="2"/>
  <c r="D3058" i="2"/>
  <c r="B3058" i="2"/>
  <c r="A3058" i="2"/>
  <c r="O3057" i="2"/>
  <c r="O3056" i="2"/>
  <c r="O3055" i="2"/>
  <c r="M3055" i="2"/>
  <c r="L3055" i="2"/>
  <c r="E3055" i="2"/>
  <c r="D3055" i="2"/>
  <c r="B3055" i="2"/>
  <c r="A3055" i="2"/>
  <c r="O3054" i="2"/>
  <c r="M3054" i="2"/>
  <c r="L3054" i="2"/>
  <c r="E3054" i="2"/>
  <c r="D3054" i="2"/>
  <c r="B3054" i="2"/>
  <c r="A3054" i="2"/>
  <c r="O3053" i="2"/>
  <c r="O3052" i="2"/>
  <c r="O3051" i="2"/>
  <c r="M3051" i="2"/>
  <c r="L3051" i="2"/>
  <c r="E3051" i="2"/>
  <c r="D3051" i="2"/>
  <c r="B3051" i="2"/>
  <c r="A3051" i="2"/>
  <c r="O3050" i="2"/>
  <c r="M3050" i="2"/>
  <c r="L3050" i="2"/>
  <c r="E3050" i="2"/>
  <c r="D3050" i="2"/>
  <c r="B3050" i="2"/>
  <c r="A3050" i="2"/>
  <c r="O3049" i="2"/>
  <c r="M3049" i="2"/>
  <c r="L3049" i="2"/>
  <c r="E3049" i="2"/>
  <c r="D3049" i="2"/>
  <c r="B3049" i="2"/>
  <c r="A3049" i="2"/>
  <c r="O3048" i="2"/>
  <c r="M3048" i="2"/>
  <c r="L3048" i="2"/>
  <c r="E3048" i="2"/>
  <c r="D3048" i="2"/>
  <c r="B3048" i="2"/>
  <c r="A3048" i="2"/>
  <c r="O3047" i="2"/>
  <c r="M3047" i="2"/>
  <c r="L3047" i="2"/>
  <c r="E3047" i="2"/>
  <c r="D3047" i="2"/>
  <c r="B3047" i="2"/>
  <c r="A3047" i="2"/>
  <c r="O3046" i="2"/>
  <c r="M3046" i="2"/>
  <c r="L3046" i="2"/>
  <c r="E3046" i="2"/>
  <c r="D3046" i="2"/>
  <c r="B3046" i="2"/>
  <c r="A3046" i="2"/>
  <c r="O3045" i="2"/>
  <c r="O3044" i="2"/>
  <c r="M3044" i="2"/>
  <c r="L3044" i="2"/>
  <c r="E3044" i="2"/>
  <c r="D3044" i="2"/>
  <c r="B3044" i="2"/>
  <c r="A3044" i="2"/>
  <c r="O3043" i="2"/>
  <c r="M3043" i="2"/>
  <c r="L3043" i="2"/>
  <c r="E3043" i="2"/>
  <c r="D3043" i="2"/>
  <c r="B3043" i="2"/>
  <c r="A3043" i="2"/>
  <c r="O3042" i="2"/>
  <c r="M3042" i="2"/>
  <c r="L3042" i="2"/>
  <c r="E3042" i="2"/>
  <c r="D3042" i="2"/>
  <c r="B3042" i="2"/>
  <c r="A3042" i="2"/>
  <c r="O3041" i="2"/>
  <c r="M3041" i="2"/>
  <c r="L3041" i="2"/>
  <c r="E3041" i="2"/>
  <c r="D3041" i="2"/>
  <c r="B3041" i="2"/>
  <c r="A3041" i="2"/>
  <c r="O3040" i="2"/>
  <c r="M3040" i="2"/>
  <c r="L3040" i="2"/>
  <c r="E3040" i="2"/>
  <c r="D3040" i="2"/>
  <c r="B3040" i="2"/>
  <c r="A3040" i="2"/>
  <c r="O3039" i="2"/>
  <c r="M3039" i="2"/>
  <c r="L3039" i="2"/>
  <c r="E3039" i="2"/>
  <c r="D3039" i="2"/>
  <c r="B3039" i="2"/>
  <c r="A3039" i="2"/>
  <c r="O3038" i="2"/>
  <c r="M3038" i="2"/>
  <c r="L3038" i="2"/>
  <c r="E3038" i="2"/>
  <c r="D3038" i="2"/>
  <c r="B3038" i="2"/>
  <c r="A3038" i="2"/>
  <c r="O3037" i="2"/>
  <c r="M3037" i="2"/>
  <c r="L3037" i="2"/>
  <c r="E3037" i="2"/>
  <c r="D3037" i="2"/>
  <c r="B3037" i="2"/>
  <c r="A3037" i="2"/>
  <c r="M3036" i="2"/>
  <c r="L3036" i="2"/>
  <c r="E3036" i="2"/>
  <c r="D3036" i="2"/>
  <c r="B3036" i="2"/>
  <c r="A3036" i="2"/>
  <c r="O3035" i="2"/>
  <c r="M3035" i="2"/>
  <c r="L3035" i="2"/>
  <c r="E3035" i="2"/>
  <c r="D3035" i="2"/>
  <c r="B3035" i="2"/>
  <c r="A3035" i="2"/>
  <c r="O3034" i="2"/>
  <c r="M3034" i="2"/>
  <c r="L3034" i="2"/>
  <c r="E3034" i="2"/>
  <c r="D3034" i="2"/>
  <c r="B3034" i="2"/>
  <c r="A3034" i="2"/>
  <c r="O3033" i="2"/>
  <c r="M3033" i="2"/>
  <c r="L3033" i="2"/>
  <c r="E3033" i="2"/>
  <c r="D3033" i="2"/>
  <c r="B3033" i="2"/>
  <c r="A3033" i="2"/>
  <c r="O3032" i="2"/>
  <c r="M3032" i="2"/>
  <c r="L3032" i="2"/>
  <c r="E3032" i="2"/>
  <c r="D3032" i="2"/>
  <c r="B3032" i="2"/>
  <c r="A3032" i="2"/>
  <c r="O3031" i="2"/>
  <c r="M3031" i="2"/>
  <c r="L3031" i="2"/>
  <c r="E3031" i="2"/>
  <c r="D3031" i="2"/>
  <c r="B3031" i="2"/>
  <c r="A3031" i="2"/>
  <c r="O3030" i="2"/>
  <c r="M3030" i="2"/>
  <c r="L3030" i="2"/>
  <c r="E3030" i="2"/>
  <c r="D3030" i="2"/>
  <c r="B3030" i="2"/>
  <c r="A3030" i="2"/>
  <c r="O3029" i="2"/>
  <c r="M3029" i="2"/>
  <c r="L3029" i="2"/>
  <c r="E3029" i="2"/>
  <c r="D3029" i="2"/>
  <c r="B3029" i="2"/>
  <c r="A3029" i="2"/>
  <c r="O3028" i="2"/>
  <c r="M3028" i="2"/>
  <c r="L3028" i="2"/>
  <c r="E3028" i="2"/>
  <c r="D3028" i="2"/>
  <c r="B3028" i="2"/>
  <c r="A3028" i="2"/>
  <c r="O3027" i="2"/>
  <c r="M3027" i="2"/>
  <c r="L3027" i="2"/>
  <c r="E3027" i="2"/>
  <c r="D3027" i="2"/>
  <c r="B3027" i="2"/>
  <c r="A3027" i="2"/>
  <c r="O3026" i="2"/>
  <c r="M3026" i="2"/>
  <c r="L3026" i="2"/>
  <c r="E3026" i="2"/>
  <c r="D3026" i="2"/>
  <c r="B3026" i="2"/>
  <c r="A3026" i="2"/>
  <c r="O3025" i="2"/>
  <c r="M3025" i="2"/>
  <c r="L3025" i="2"/>
  <c r="E3025" i="2"/>
  <c r="D3025" i="2"/>
  <c r="B3025" i="2"/>
  <c r="A3025" i="2"/>
  <c r="O3024" i="2"/>
  <c r="M3024" i="2"/>
  <c r="L3024" i="2"/>
  <c r="E3024" i="2"/>
  <c r="D3024" i="2"/>
  <c r="B3024" i="2"/>
  <c r="A3024" i="2"/>
  <c r="O3023" i="2"/>
  <c r="M3023" i="2"/>
  <c r="L3023" i="2"/>
  <c r="E3023" i="2"/>
  <c r="D3023" i="2"/>
  <c r="B3023" i="2"/>
  <c r="A3023" i="2"/>
  <c r="O3022" i="2"/>
  <c r="M3022" i="2"/>
  <c r="L3022" i="2"/>
  <c r="E3022" i="2"/>
  <c r="D3022" i="2"/>
  <c r="B3022" i="2"/>
  <c r="A3022" i="2"/>
  <c r="O3021" i="2"/>
  <c r="M3021" i="2"/>
  <c r="L3021" i="2"/>
  <c r="E3021" i="2"/>
  <c r="D3021" i="2"/>
  <c r="B3021" i="2"/>
  <c r="A3021" i="2"/>
  <c r="O3020" i="2"/>
  <c r="M3020" i="2"/>
  <c r="L3020" i="2"/>
  <c r="E3020" i="2"/>
  <c r="D3020" i="2"/>
  <c r="B3020" i="2"/>
  <c r="A3020" i="2"/>
  <c r="O3019" i="2"/>
  <c r="M3019" i="2"/>
  <c r="L3019" i="2"/>
  <c r="E3019" i="2"/>
  <c r="D3019" i="2"/>
  <c r="B3019" i="2"/>
  <c r="A3019" i="2"/>
  <c r="O3018" i="2"/>
  <c r="M3018" i="2"/>
  <c r="L3018" i="2"/>
  <c r="E3018" i="2"/>
  <c r="D3018" i="2"/>
  <c r="B3018" i="2"/>
  <c r="A3018" i="2"/>
  <c r="O3017" i="2"/>
  <c r="M3017" i="2"/>
  <c r="L3017" i="2"/>
  <c r="E3017" i="2"/>
  <c r="D3017" i="2"/>
  <c r="B3017" i="2"/>
  <c r="A3017" i="2"/>
  <c r="O3016" i="2"/>
  <c r="M3016" i="2"/>
  <c r="L3016" i="2"/>
  <c r="E3016" i="2"/>
  <c r="D3016" i="2"/>
  <c r="B3016" i="2"/>
  <c r="A3016" i="2"/>
  <c r="O3015" i="2"/>
  <c r="M3015" i="2"/>
  <c r="L3015" i="2"/>
  <c r="E3015" i="2"/>
  <c r="D3015" i="2"/>
  <c r="B3015" i="2"/>
  <c r="A3015" i="2"/>
  <c r="O3014" i="2"/>
  <c r="M3014" i="2"/>
  <c r="L3014" i="2"/>
  <c r="E3014" i="2"/>
  <c r="D3014" i="2"/>
  <c r="B3014" i="2"/>
  <c r="A3014" i="2"/>
  <c r="O3013" i="2"/>
  <c r="M3013" i="2"/>
  <c r="L3013" i="2"/>
  <c r="E3013" i="2"/>
  <c r="D3013" i="2"/>
  <c r="B3013" i="2"/>
  <c r="A3013" i="2"/>
  <c r="O3012" i="2"/>
  <c r="M3012" i="2"/>
  <c r="L3012" i="2"/>
  <c r="E3012" i="2"/>
  <c r="D3012" i="2"/>
  <c r="B3012" i="2"/>
  <c r="A3012" i="2"/>
  <c r="O3011" i="2"/>
  <c r="M3011" i="2"/>
  <c r="L3011" i="2"/>
  <c r="E3011" i="2"/>
  <c r="D3011" i="2"/>
  <c r="B3011" i="2"/>
  <c r="A3011" i="2"/>
  <c r="O3010" i="2"/>
  <c r="O3009" i="2"/>
  <c r="O3008" i="2"/>
  <c r="M3008" i="2"/>
  <c r="L3008" i="2"/>
  <c r="E3008" i="2"/>
  <c r="D3008" i="2"/>
  <c r="B3008" i="2"/>
  <c r="A3008" i="2"/>
  <c r="O3007" i="2"/>
  <c r="M3007" i="2"/>
  <c r="L3007" i="2"/>
  <c r="E3007" i="2"/>
  <c r="D3007" i="2"/>
  <c r="B3007" i="2"/>
  <c r="A3007" i="2"/>
  <c r="O3006" i="2"/>
  <c r="O3005" i="2"/>
  <c r="O3004" i="2"/>
  <c r="O3003" i="2"/>
  <c r="M3003" i="2"/>
  <c r="L3003" i="2"/>
  <c r="E3003" i="2"/>
  <c r="D3003" i="2"/>
  <c r="B3003" i="2"/>
  <c r="A3003" i="2"/>
  <c r="O3002" i="2"/>
  <c r="O3001" i="2"/>
  <c r="M3001" i="2"/>
  <c r="L3001" i="2"/>
  <c r="E3001" i="2"/>
  <c r="D3001" i="2"/>
  <c r="B3001" i="2"/>
  <c r="A3001" i="2"/>
  <c r="M3000" i="2"/>
  <c r="L3000" i="2"/>
  <c r="E3000" i="2"/>
  <c r="D3000" i="2"/>
  <c r="B3000" i="2"/>
  <c r="A3000" i="2"/>
  <c r="O2999" i="2"/>
  <c r="M2999" i="2"/>
  <c r="L2999" i="2"/>
  <c r="E2999" i="2"/>
  <c r="D2999" i="2"/>
  <c r="B2999" i="2"/>
  <c r="A2999" i="2"/>
  <c r="O2998" i="2"/>
  <c r="M2998" i="2"/>
  <c r="L2998" i="2"/>
  <c r="E2998" i="2"/>
  <c r="D2998" i="2"/>
  <c r="B2998" i="2"/>
  <c r="A2998" i="2"/>
  <c r="O2997" i="2"/>
  <c r="O2996" i="2"/>
  <c r="M2996" i="2"/>
  <c r="L2996" i="2"/>
  <c r="E2996" i="2"/>
  <c r="D2996" i="2"/>
  <c r="B2996" i="2"/>
  <c r="A2996" i="2"/>
  <c r="O2995" i="2"/>
  <c r="M2995" i="2"/>
  <c r="L2995" i="2"/>
  <c r="E2995" i="2"/>
  <c r="D2995" i="2"/>
  <c r="B2995" i="2"/>
  <c r="A2995" i="2"/>
  <c r="O2994" i="2"/>
  <c r="M2994" i="2"/>
  <c r="L2994" i="2"/>
  <c r="E2994" i="2"/>
  <c r="D2994" i="2"/>
  <c r="B2994" i="2"/>
  <c r="A2994" i="2"/>
  <c r="O2993" i="2"/>
  <c r="M2993" i="2"/>
  <c r="L2993" i="2"/>
  <c r="E2993" i="2"/>
  <c r="D2993" i="2"/>
  <c r="B2993" i="2"/>
  <c r="A2993" i="2"/>
  <c r="O2992" i="2"/>
  <c r="O2991" i="2"/>
  <c r="O2990" i="2"/>
  <c r="O2989" i="2"/>
  <c r="M2989" i="2"/>
  <c r="L2989" i="2"/>
  <c r="E2989" i="2"/>
  <c r="D2989" i="2"/>
  <c r="B2989" i="2"/>
  <c r="A2989" i="2"/>
  <c r="O2988" i="2"/>
  <c r="M2988" i="2"/>
  <c r="L2988" i="2"/>
  <c r="E2988" i="2"/>
  <c r="D2988" i="2"/>
  <c r="B2988" i="2"/>
  <c r="A2988" i="2"/>
  <c r="O2987" i="2"/>
  <c r="M2987" i="2"/>
  <c r="L2987" i="2"/>
  <c r="E2987" i="2"/>
  <c r="D2987" i="2"/>
  <c r="B2987" i="2"/>
  <c r="A2987" i="2"/>
  <c r="O2986" i="2"/>
  <c r="M2986" i="2"/>
  <c r="L2986" i="2"/>
  <c r="E2986" i="2"/>
  <c r="D2986" i="2"/>
  <c r="B2986" i="2"/>
  <c r="A2986" i="2"/>
  <c r="O2985" i="2"/>
  <c r="M2985" i="2"/>
  <c r="L2985" i="2"/>
  <c r="E2985" i="2"/>
  <c r="D2985" i="2"/>
  <c r="B2985" i="2"/>
  <c r="A2985" i="2"/>
  <c r="O2984" i="2"/>
  <c r="M2984" i="2"/>
  <c r="L2984" i="2"/>
  <c r="E2984" i="2"/>
  <c r="D2984" i="2"/>
  <c r="B2984" i="2"/>
  <c r="A2984" i="2"/>
  <c r="O2983" i="2"/>
  <c r="M2983" i="2"/>
  <c r="L2983" i="2"/>
  <c r="E2983" i="2"/>
  <c r="D2983" i="2"/>
  <c r="B2983" i="2"/>
  <c r="A2983" i="2"/>
  <c r="O2982" i="2"/>
  <c r="M2982" i="2"/>
  <c r="L2982" i="2"/>
  <c r="E2982" i="2"/>
  <c r="D2982" i="2"/>
  <c r="B2982" i="2"/>
  <c r="A2982" i="2"/>
  <c r="O2981" i="2"/>
  <c r="M2981" i="2"/>
  <c r="L2981" i="2"/>
  <c r="E2981" i="2"/>
  <c r="D2981" i="2"/>
  <c r="B2981" i="2"/>
  <c r="A2981" i="2"/>
  <c r="O2980" i="2"/>
  <c r="M2980" i="2"/>
  <c r="L2980" i="2"/>
  <c r="E2980" i="2"/>
  <c r="D2980" i="2"/>
  <c r="B2980" i="2"/>
  <c r="A2980" i="2"/>
  <c r="O2979" i="2"/>
  <c r="M2979" i="2"/>
  <c r="L2979" i="2"/>
  <c r="E2979" i="2"/>
  <c r="D2979" i="2"/>
  <c r="B2979" i="2"/>
  <c r="A2979" i="2"/>
  <c r="O2978" i="2"/>
  <c r="O2977" i="2"/>
  <c r="M2977" i="2"/>
  <c r="L2977" i="2"/>
  <c r="E2977" i="2"/>
  <c r="D2977" i="2"/>
  <c r="B2977" i="2"/>
  <c r="A2977" i="2"/>
  <c r="O2976" i="2"/>
  <c r="M2976" i="2"/>
  <c r="L2976" i="2"/>
  <c r="E2976" i="2"/>
  <c r="D2976" i="2"/>
  <c r="B2976" i="2"/>
  <c r="A2976" i="2"/>
  <c r="O2975" i="2"/>
  <c r="M2975" i="2"/>
  <c r="L2975" i="2"/>
  <c r="E2975" i="2"/>
  <c r="D2975" i="2"/>
  <c r="B2975" i="2"/>
  <c r="A2975" i="2"/>
  <c r="O2974" i="2"/>
  <c r="M2974" i="2"/>
  <c r="L2974" i="2"/>
  <c r="E2974" i="2"/>
  <c r="D2974" i="2"/>
  <c r="B2974" i="2"/>
  <c r="A2974" i="2"/>
  <c r="O2973" i="2"/>
  <c r="M2973" i="2"/>
  <c r="L2973" i="2"/>
  <c r="E2973" i="2"/>
  <c r="D2973" i="2"/>
  <c r="B2973" i="2"/>
  <c r="A2973" i="2"/>
  <c r="O2972" i="2"/>
  <c r="O2971" i="2"/>
  <c r="O2970" i="2"/>
  <c r="O2969" i="2"/>
  <c r="M2969" i="2"/>
  <c r="L2969" i="2"/>
  <c r="E2969" i="2"/>
  <c r="D2969" i="2"/>
  <c r="B2969" i="2"/>
  <c r="A2969" i="2"/>
  <c r="O2968" i="2"/>
  <c r="M2968" i="2"/>
  <c r="L2968" i="2"/>
  <c r="E2968" i="2"/>
  <c r="D2968" i="2"/>
  <c r="B2968" i="2"/>
  <c r="A2968" i="2"/>
  <c r="O2967" i="2"/>
  <c r="M2967" i="2"/>
  <c r="L2967" i="2"/>
  <c r="E2967" i="2"/>
  <c r="D2967" i="2"/>
  <c r="B2967" i="2"/>
  <c r="A2967" i="2"/>
  <c r="O2966" i="2"/>
  <c r="M2966" i="2"/>
  <c r="L2966" i="2"/>
  <c r="E2966" i="2"/>
  <c r="D2966" i="2"/>
  <c r="B2966" i="2"/>
  <c r="A2966" i="2"/>
  <c r="O2965" i="2"/>
  <c r="M2965" i="2"/>
  <c r="L2965" i="2"/>
  <c r="E2965" i="2"/>
  <c r="D2965" i="2"/>
  <c r="B2965" i="2"/>
  <c r="A2965" i="2"/>
  <c r="O2964" i="2"/>
  <c r="M2964" i="2"/>
  <c r="L2964" i="2"/>
  <c r="E2964" i="2"/>
  <c r="D2964" i="2"/>
  <c r="B2964" i="2"/>
  <c r="A2964" i="2"/>
  <c r="O2963" i="2"/>
  <c r="M2963" i="2"/>
  <c r="L2963" i="2"/>
  <c r="E2963" i="2"/>
  <c r="D2963" i="2"/>
  <c r="B2963" i="2"/>
  <c r="A2963" i="2"/>
  <c r="O2962" i="2"/>
  <c r="M2962" i="2"/>
  <c r="L2962" i="2"/>
  <c r="E2962" i="2"/>
  <c r="D2962" i="2"/>
  <c r="B2962" i="2"/>
  <c r="A2962" i="2"/>
  <c r="O2961" i="2"/>
  <c r="O2960" i="2"/>
  <c r="O2959" i="2"/>
  <c r="O2958" i="2"/>
  <c r="O2957" i="2"/>
  <c r="O2956" i="2"/>
  <c r="O2955" i="2"/>
  <c r="O2954" i="2"/>
  <c r="M2954" i="2"/>
  <c r="L2954" i="2"/>
  <c r="E2954" i="2"/>
  <c r="D2954" i="2"/>
  <c r="B2954" i="2"/>
  <c r="A2954" i="2"/>
  <c r="O2953" i="2"/>
  <c r="M2953" i="2"/>
  <c r="L2953" i="2"/>
  <c r="E2953" i="2"/>
  <c r="D2953" i="2"/>
  <c r="B2953" i="2"/>
  <c r="A2953" i="2"/>
  <c r="O2952" i="2"/>
  <c r="O2951" i="2"/>
  <c r="M2951" i="2"/>
  <c r="L2951" i="2"/>
  <c r="E2951" i="2"/>
  <c r="D2951" i="2"/>
  <c r="B2951" i="2"/>
  <c r="A2951" i="2"/>
  <c r="O2950" i="2"/>
  <c r="M2950" i="2"/>
  <c r="L2950" i="2"/>
  <c r="E2950" i="2"/>
  <c r="D2950" i="2"/>
  <c r="B2950" i="2"/>
  <c r="A2950" i="2"/>
  <c r="O2949" i="2"/>
  <c r="M2949" i="2"/>
  <c r="L2949" i="2"/>
  <c r="E2949" i="2"/>
  <c r="D2949" i="2"/>
  <c r="B2949" i="2"/>
  <c r="A2949" i="2"/>
  <c r="O2948" i="2"/>
  <c r="M2948" i="2"/>
  <c r="L2948" i="2"/>
  <c r="E2948" i="2"/>
  <c r="D2948" i="2"/>
  <c r="B2948" i="2"/>
  <c r="A2948" i="2"/>
  <c r="O2947" i="2"/>
  <c r="M2947" i="2"/>
  <c r="L2947" i="2"/>
  <c r="E2947" i="2"/>
  <c r="D2947" i="2"/>
  <c r="B2947" i="2"/>
  <c r="A2947" i="2"/>
  <c r="O2946" i="2"/>
  <c r="M2946" i="2"/>
  <c r="L2946" i="2"/>
  <c r="E2946" i="2"/>
  <c r="D2946" i="2"/>
  <c r="B2946" i="2"/>
  <c r="A2946" i="2"/>
  <c r="O2945" i="2"/>
  <c r="M2945" i="2"/>
  <c r="L2945" i="2"/>
  <c r="E2945" i="2"/>
  <c r="D2945" i="2"/>
  <c r="B2945" i="2"/>
  <c r="A2945" i="2"/>
  <c r="O2944" i="2"/>
  <c r="M2944" i="2"/>
  <c r="L2944" i="2"/>
  <c r="E2944" i="2"/>
  <c r="D2944" i="2"/>
  <c r="B2944" i="2"/>
  <c r="A2944" i="2"/>
  <c r="O2943" i="2"/>
  <c r="O2942" i="2"/>
  <c r="M2942" i="2"/>
  <c r="L2942" i="2"/>
  <c r="E2942" i="2"/>
  <c r="D2942" i="2"/>
  <c r="B2942" i="2"/>
  <c r="A2942" i="2"/>
  <c r="O2941" i="2"/>
  <c r="M2941" i="2"/>
  <c r="L2941" i="2"/>
  <c r="E2941" i="2"/>
  <c r="D2941" i="2"/>
  <c r="B2941" i="2"/>
  <c r="A2941" i="2"/>
  <c r="O2940" i="2"/>
  <c r="M2940" i="2"/>
  <c r="L2940" i="2"/>
  <c r="E2940" i="2"/>
  <c r="D2940" i="2"/>
  <c r="B2940" i="2"/>
  <c r="A2940" i="2"/>
  <c r="O2939" i="2"/>
  <c r="M2939" i="2"/>
  <c r="L2939" i="2"/>
  <c r="E2939" i="2"/>
  <c r="D2939" i="2"/>
  <c r="B2939" i="2"/>
  <c r="A2939" i="2"/>
  <c r="O2938" i="2"/>
  <c r="O2937" i="2"/>
  <c r="O2936" i="2"/>
  <c r="O2935" i="2"/>
  <c r="M2935" i="2"/>
  <c r="L2935" i="2"/>
  <c r="E2935" i="2"/>
  <c r="D2935" i="2"/>
  <c r="B2935" i="2"/>
  <c r="A2935" i="2"/>
  <c r="O2934" i="2"/>
  <c r="M2934" i="2"/>
  <c r="L2934" i="2"/>
  <c r="E2934" i="2"/>
  <c r="D2934" i="2"/>
  <c r="B2934" i="2"/>
  <c r="A2934" i="2"/>
  <c r="O2933" i="2"/>
  <c r="M2933" i="2"/>
  <c r="L2933" i="2"/>
  <c r="E2933" i="2"/>
  <c r="D2933" i="2"/>
  <c r="B2933" i="2"/>
  <c r="A2933" i="2"/>
  <c r="O2932" i="2"/>
  <c r="O2931" i="2"/>
  <c r="O2930" i="2"/>
  <c r="M2930" i="2"/>
  <c r="L2930" i="2"/>
  <c r="E2930" i="2"/>
  <c r="D2930" i="2"/>
  <c r="B2930" i="2"/>
  <c r="A2930" i="2"/>
  <c r="O2929" i="2"/>
  <c r="M2929" i="2"/>
  <c r="L2929" i="2"/>
  <c r="E2929" i="2"/>
  <c r="D2929" i="2"/>
  <c r="B2929" i="2"/>
  <c r="A2929" i="2"/>
  <c r="O2928" i="2"/>
  <c r="O2927" i="2"/>
  <c r="M2927" i="2"/>
  <c r="L2927" i="2"/>
  <c r="E2927" i="2"/>
  <c r="D2927" i="2"/>
  <c r="B2927" i="2"/>
  <c r="A2927" i="2"/>
  <c r="O2926" i="2"/>
  <c r="M2926" i="2"/>
  <c r="L2926" i="2"/>
  <c r="E2926" i="2"/>
  <c r="D2926" i="2"/>
  <c r="B2926" i="2"/>
  <c r="A2926" i="2"/>
  <c r="O2925" i="2"/>
  <c r="M2925" i="2"/>
  <c r="L2925" i="2"/>
  <c r="E2925" i="2"/>
  <c r="D2925" i="2"/>
  <c r="B2925" i="2"/>
  <c r="A2925" i="2"/>
  <c r="O2924" i="2"/>
  <c r="O2923" i="2"/>
  <c r="M2923" i="2"/>
  <c r="L2923" i="2"/>
  <c r="E2923" i="2"/>
  <c r="D2923" i="2"/>
  <c r="B2923" i="2"/>
  <c r="A2923" i="2"/>
  <c r="O2922" i="2"/>
  <c r="M2922" i="2"/>
  <c r="L2922" i="2"/>
  <c r="E2922" i="2"/>
  <c r="D2922" i="2"/>
  <c r="B2922" i="2"/>
  <c r="A2922" i="2"/>
  <c r="O2921" i="2"/>
  <c r="O2920" i="2"/>
  <c r="M2920" i="2"/>
  <c r="L2920" i="2"/>
  <c r="E2920" i="2"/>
  <c r="D2920" i="2"/>
  <c r="B2920" i="2"/>
  <c r="A2920" i="2"/>
  <c r="O2919" i="2"/>
  <c r="M2919" i="2"/>
  <c r="L2919" i="2"/>
  <c r="E2919" i="2"/>
  <c r="D2919" i="2"/>
  <c r="B2919" i="2"/>
  <c r="A2919" i="2"/>
  <c r="O2918" i="2"/>
  <c r="M2918" i="2"/>
  <c r="L2918" i="2"/>
  <c r="E2918" i="2"/>
  <c r="D2918" i="2"/>
  <c r="B2918" i="2"/>
  <c r="A2918" i="2"/>
  <c r="O2917" i="2"/>
  <c r="M2917" i="2"/>
  <c r="L2917" i="2"/>
  <c r="E2917" i="2"/>
  <c r="D2917" i="2"/>
  <c r="B2917" i="2"/>
  <c r="A2917" i="2"/>
  <c r="O2916" i="2"/>
  <c r="O2915" i="2"/>
  <c r="M2915" i="2"/>
  <c r="L2915" i="2"/>
  <c r="E2915" i="2"/>
  <c r="D2915" i="2"/>
  <c r="B2915" i="2"/>
  <c r="A2915" i="2"/>
  <c r="O2914" i="2"/>
  <c r="M2914" i="2"/>
  <c r="L2914" i="2"/>
  <c r="E2914" i="2"/>
  <c r="D2914" i="2"/>
  <c r="B2914" i="2"/>
  <c r="A2914" i="2"/>
  <c r="O2913" i="2"/>
  <c r="M2913" i="2"/>
  <c r="L2913" i="2"/>
  <c r="E2913" i="2"/>
  <c r="D2913" i="2"/>
  <c r="B2913" i="2"/>
  <c r="A2913" i="2"/>
  <c r="O2912" i="2"/>
  <c r="M2912" i="2"/>
  <c r="L2912" i="2"/>
  <c r="E2912" i="2"/>
  <c r="D2912" i="2"/>
  <c r="B2912" i="2"/>
  <c r="A2912" i="2"/>
  <c r="O2911" i="2"/>
  <c r="O2910" i="2"/>
  <c r="M2910" i="2"/>
  <c r="L2910" i="2"/>
  <c r="E2910" i="2"/>
  <c r="D2910" i="2"/>
  <c r="B2910" i="2"/>
  <c r="A2910" i="2"/>
  <c r="O2909" i="2"/>
  <c r="M2909" i="2"/>
  <c r="L2909" i="2"/>
  <c r="E2909" i="2"/>
  <c r="D2909" i="2"/>
  <c r="B2909" i="2"/>
  <c r="A2909" i="2"/>
  <c r="O2908" i="2"/>
  <c r="M2908" i="2"/>
  <c r="L2908" i="2"/>
  <c r="E2908" i="2"/>
  <c r="D2908" i="2"/>
  <c r="B2908" i="2"/>
  <c r="A2908" i="2"/>
  <c r="O2907" i="2"/>
  <c r="O2906" i="2"/>
  <c r="M2906" i="2"/>
  <c r="L2906" i="2"/>
  <c r="E2906" i="2"/>
  <c r="D2906" i="2"/>
  <c r="B2906" i="2"/>
  <c r="A2906" i="2"/>
  <c r="O2905" i="2"/>
  <c r="M2905" i="2"/>
  <c r="L2905" i="2"/>
  <c r="E2905" i="2"/>
  <c r="D2905" i="2"/>
  <c r="B2905" i="2"/>
  <c r="A2905" i="2"/>
  <c r="O2904" i="2"/>
  <c r="M2904" i="2"/>
  <c r="L2904" i="2"/>
  <c r="E2904" i="2"/>
  <c r="D2904" i="2"/>
  <c r="B2904" i="2"/>
  <c r="A2904" i="2"/>
  <c r="O2903" i="2"/>
  <c r="M2903" i="2"/>
  <c r="L2903" i="2"/>
  <c r="E2903" i="2"/>
  <c r="D2903" i="2"/>
  <c r="B2903" i="2"/>
  <c r="A2903" i="2"/>
  <c r="O2902" i="2"/>
  <c r="M2902" i="2"/>
  <c r="L2902" i="2"/>
  <c r="E2902" i="2"/>
  <c r="D2902" i="2"/>
  <c r="B2902" i="2"/>
  <c r="A2902" i="2"/>
  <c r="O2901" i="2"/>
  <c r="M2901" i="2"/>
  <c r="L2901" i="2"/>
  <c r="E2901" i="2"/>
  <c r="D2901" i="2"/>
  <c r="B2901" i="2"/>
  <c r="A2901" i="2"/>
  <c r="O2900" i="2"/>
  <c r="M2900" i="2"/>
  <c r="L2900" i="2"/>
  <c r="E2900" i="2"/>
  <c r="D2900" i="2"/>
  <c r="B2900" i="2"/>
  <c r="A2900" i="2"/>
  <c r="O2899" i="2"/>
  <c r="M2899" i="2"/>
  <c r="L2899" i="2"/>
  <c r="E2899" i="2"/>
  <c r="D2899" i="2"/>
  <c r="B2899" i="2"/>
  <c r="A2899" i="2"/>
  <c r="O2898" i="2"/>
  <c r="M2898" i="2"/>
  <c r="L2898" i="2"/>
  <c r="E2898" i="2"/>
  <c r="D2898" i="2"/>
  <c r="B2898" i="2"/>
  <c r="A2898" i="2"/>
  <c r="O2897" i="2"/>
  <c r="M2897" i="2"/>
  <c r="L2897" i="2"/>
  <c r="E2897" i="2"/>
  <c r="D2897" i="2"/>
  <c r="B2897" i="2"/>
  <c r="A2897" i="2"/>
  <c r="O2896" i="2"/>
  <c r="M2896" i="2"/>
  <c r="L2896" i="2"/>
  <c r="E2896" i="2"/>
  <c r="D2896" i="2"/>
  <c r="B2896" i="2"/>
  <c r="A2896" i="2"/>
  <c r="O2895" i="2"/>
  <c r="M2895" i="2"/>
  <c r="L2895" i="2"/>
  <c r="E2895" i="2"/>
  <c r="D2895" i="2"/>
  <c r="B2895" i="2"/>
  <c r="A2895" i="2"/>
  <c r="O2894" i="2"/>
  <c r="M2894" i="2"/>
  <c r="L2894" i="2"/>
  <c r="E2894" i="2"/>
  <c r="D2894" i="2"/>
  <c r="B2894" i="2"/>
  <c r="A2894" i="2"/>
  <c r="O2893" i="2"/>
  <c r="M2893" i="2"/>
  <c r="L2893" i="2"/>
  <c r="E2893" i="2"/>
  <c r="D2893" i="2"/>
  <c r="B2893" i="2"/>
  <c r="A2893" i="2"/>
  <c r="O2892" i="2"/>
  <c r="M2892" i="2"/>
  <c r="L2892" i="2"/>
  <c r="E2892" i="2"/>
  <c r="D2892" i="2"/>
  <c r="B2892" i="2"/>
  <c r="A2892" i="2"/>
  <c r="O2891" i="2"/>
  <c r="M2891" i="2"/>
  <c r="L2891" i="2"/>
  <c r="E2891" i="2"/>
  <c r="D2891" i="2"/>
  <c r="B2891" i="2"/>
  <c r="A2891" i="2"/>
  <c r="O2890" i="2"/>
  <c r="M2890" i="2"/>
  <c r="L2890" i="2"/>
  <c r="E2890" i="2"/>
  <c r="D2890" i="2"/>
  <c r="B2890" i="2"/>
  <c r="A2890" i="2"/>
  <c r="O2889" i="2"/>
  <c r="M2889" i="2"/>
  <c r="L2889" i="2"/>
  <c r="E2889" i="2"/>
  <c r="D2889" i="2"/>
  <c r="B2889" i="2"/>
  <c r="A2889" i="2"/>
  <c r="O2888" i="2"/>
  <c r="M2888" i="2"/>
  <c r="L2888" i="2"/>
  <c r="E2888" i="2"/>
  <c r="D2888" i="2"/>
  <c r="B2888" i="2"/>
  <c r="A2888" i="2"/>
  <c r="O2887" i="2"/>
  <c r="M2887" i="2"/>
  <c r="L2887" i="2"/>
  <c r="E2887" i="2"/>
  <c r="D2887" i="2"/>
  <c r="B2887" i="2"/>
  <c r="A2887" i="2"/>
  <c r="O2886" i="2"/>
  <c r="M2886" i="2"/>
  <c r="L2886" i="2"/>
  <c r="E2886" i="2"/>
  <c r="D2886" i="2"/>
  <c r="B2886" i="2"/>
  <c r="A2886" i="2"/>
  <c r="O2885" i="2"/>
  <c r="M2885" i="2"/>
  <c r="L2885" i="2"/>
  <c r="E2885" i="2"/>
  <c r="D2885" i="2"/>
  <c r="B2885" i="2"/>
  <c r="A2885" i="2"/>
  <c r="O2884" i="2"/>
  <c r="M2884" i="2"/>
  <c r="L2884" i="2"/>
  <c r="E2884" i="2"/>
  <c r="D2884" i="2"/>
  <c r="B2884" i="2"/>
  <c r="A2884" i="2"/>
  <c r="O2883" i="2"/>
  <c r="O2882" i="2"/>
  <c r="O2881" i="2"/>
  <c r="M2881" i="2"/>
  <c r="L2881" i="2"/>
  <c r="E2881" i="2"/>
  <c r="D2881" i="2"/>
  <c r="B2881" i="2"/>
  <c r="A2881" i="2"/>
  <c r="O2880" i="2"/>
  <c r="M2880" i="2"/>
  <c r="L2880" i="2"/>
  <c r="E2880" i="2"/>
  <c r="D2880" i="2"/>
  <c r="B2880" i="2"/>
  <c r="A2880" i="2"/>
  <c r="O2879" i="2"/>
  <c r="O2878" i="2"/>
  <c r="M2878" i="2"/>
  <c r="L2878" i="2"/>
  <c r="E2878" i="2"/>
  <c r="D2878" i="2"/>
  <c r="B2878" i="2"/>
  <c r="A2878" i="2"/>
  <c r="O2877" i="2"/>
  <c r="M2877" i="2"/>
  <c r="L2877" i="2"/>
  <c r="E2877" i="2"/>
  <c r="D2877" i="2"/>
  <c r="B2877" i="2"/>
  <c r="A2877" i="2"/>
  <c r="O2876" i="2"/>
  <c r="O2875" i="2"/>
  <c r="O2874" i="2"/>
  <c r="O2873" i="2"/>
  <c r="M2873" i="2"/>
  <c r="L2873" i="2"/>
  <c r="E2873" i="2"/>
  <c r="D2873" i="2"/>
  <c r="B2873" i="2"/>
  <c r="A2873" i="2"/>
  <c r="O2872" i="2"/>
  <c r="M2872" i="2"/>
  <c r="L2872" i="2"/>
  <c r="E2872" i="2"/>
  <c r="D2872" i="2"/>
  <c r="B2872" i="2"/>
  <c r="A2872" i="2"/>
  <c r="O2871" i="2"/>
  <c r="M2871" i="2"/>
  <c r="L2871" i="2"/>
  <c r="E2871" i="2"/>
  <c r="D2871" i="2"/>
  <c r="B2871" i="2"/>
  <c r="A2871" i="2"/>
  <c r="O2870" i="2"/>
  <c r="M2870" i="2"/>
  <c r="L2870" i="2"/>
  <c r="E2870" i="2"/>
  <c r="D2870" i="2"/>
  <c r="B2870" i="2"/>
  <c r="A2870" i="2"/>
  <c r="O2869" i="2"/>
  <c r="M2869" i="2"/>
  <c r="L2869" i="2"/>
  <c r="E2869" i="2"/>
  <c r="D2869" i="2"/>
  <c r="B2869" i="2"/>
  <c r="A2869" i="2"/>
  <c r="O2868" i="2"/>
  <c r="O2867" i="2"/>
  <c r="O2866" i="2"/>
  <c r="M2866" i="2"/>
  <c r="L2866" i="2"/>
  <c r="E2866" i="2"/>
  <c r="D2866" i="2"/>
  <c r="B2866" i="2"/>
  <c r="A2866" i="2"/>
  <c r="O2865" i="2"/>
  <c r="M2865" i="2"/>
  <c r="L2865" i="2"/>
  <c r="E2865" i="2"/>
  <c r="D2865" i="2"/>
  <c r="B2865" i="2"/>
  <c r="A2865" i="2"/>
  <c r="O2864" i="2"/>
  <c r="M2864" i="2"/>
  <c r="L2864" i="2"/>
  <c r="E2864" i="2"/>
  <c r="D2864" i="2"/>
  <c r="B2864" i="2"/>
  <c r="A2864" i="2"/>
  <c r="O2863" i="2"/>
  <c r="M2863" i="2"/>
  <c r="L2863" i="2"/>
  <c r="E2863" i="2"/>
  <c r="D2863" i="2"/>
  <c r="B2863" i="2"/>
  <c r="A2863" i="2"/>
  <c r="M2862" i="2"/>
  <c r="L2862" i="2"/>
  <c r="E2862" i="2"/>
  <c r="D2862" i="2"/>
  <c r="B2862" i="2"/>
  <c r="A2862" i="2"/>
  <c r="O2861" i="2"/>
  <c r="M2861" i="2"/>
  <c r="L2861" i="2"/>
  <c r="E2861" i="2"/>
  <c r="D2861" i="2"/>
  <c r="B2861" i="2"/>
  <c r="A2861" i="2"/>
  <c r="O2860" i="2"/>
  <c r="M2860" i="2"/>
  <c r="L2860" i="2"/>
  <c r="E2860" i="2"/>
  <c r="D2860" i="2"/>
  <c r="B2860" i="2"/>
  <c r="A2860" i="2"/>
  <c r="O2859" i="2"/>
  <c r="O2858" i="2"/>
  <c r="M2858" i="2"/>
  <c r="L2858" i="2"/>
  <c r="E2858" i="2"/>
  <c r="D2858" i="2"/>
  <c r="B2858" i="2"/>
  <c r="A2858" i="2"/>
  <c r="O2857" i="2"/>
  <c r="M2857" i="2"/>
  <c r="L2857" i="2"/>
  <c r="E2857" i="2"/>
  <c r="D2857" i="2"/>
  <c r="B2857" i="2"/>
  <c r="A2857" i="2"/>
  <c r="O2856" i="2"/>
  <c r="M2856" i="2"/>
  <c r="L2856" i="2"/>
  <c r="E2856" i="2"/>
  <c r="D2856" i="2"/>
  <c r="B2856" i="2"/>
  <c r="A2856" i="2"/>
  <c r="O2855" i="2"/>
  <c r="M2855" i="2"/>
  <c r="L2855" i="2"/>
  <c r="E2855" i="2"/>
  <c r="D2855" i="2"/>
  <c r="B2855" i="2"/>
  <c r="A2855" i="2"/>
  <c r="O2854" i="2"/>
  <c r="M2854" i="2"/>
  <c r="L2854" i="2"/>
  <c r="E2854" i="2"/>
  <c r="D2854" i="2"/>
  <c r="B2854" i="2"/>
  <c r="A2854" i="2"/>
  <c r="O2853" i="2"/>
  <c r="M2853" i="2"/>
  <c r="L2853" i="2"/>
  <c r="E2853" i="2"/>
  <c r="D2853" i="2"/>
  <c r="B2853" i="2"/>
  <c r="A2853" i="2"/>
  <c r="O2852" i="2"/>
  <c r="M2852" i="2"/>
  <c r="L2852" i="2"/>
  <c r="E2852" i="2"/>
  <c r="D2852" i="2"/>
  <c r="B2852" i="2"/>
  <c r="A2852" i="2"/>
  <c r="O2851" i="2"/>
  <c r="M2851" i="2"/>
  <c r="L2851" i="2"/>
  <c r="E2851" i="2"/>
  <c r="D2851" i="2"/>
  <c r="B2851" i="2"/>
  <c r="A2851" i="2"/>
  <c r="O2850" i="2"/>
  <c r="M2850" i="2"/>
  <c r="L2850" i="2"/>
  <c r="E2850" i="2"/>
  <c r="D2850" i="2"/>
  <c r="B2850" i="2"/>
  <c r="A2850" i="2"/>
  <c r="O2849" i="2"/>
  <c r="M2849" i="2"/>
  <c r="L2849" i="2"/>
  <c r="E2849" i="2"/>
  <c r="D2849" i="2"/>
  <c r="B2849" i="2"/>
  <c r="A2849" i="2"/>
  <c r="O2848" i="2"/>
  <c r="M2848" i="2"/>
  <c r="L2848" i="2"/>
  <c r="E2848" i="2"/>
  <c r="D2848" i="2"/>
  <c r="B2848" i="2"/>
  <c r="A2848" i="2"/>
  <c r="O2847" i="2"/>
  <c r="M2847" i="2"/>
  <c r="L2847" i="2"/>
  <c r="E2847" i="2"/>
  <c r="D2847" i="2"/>
  <c r="B2847" i="2"/>
  <c r="A2847" i="2"/>
  <c r="O2846" i="2"/>
  <c r="M2846" i="2"/>
  <c r="L2846" i="2"/>
  <c r="E2846" i="2"/>
  <c r="D2846" i="2"/>
  <c r="B2846" i="2"/>
  <c r="A2846" i="2"/>
  <c r="O2845" i="2"/>
  <c r="O2844" i="2"/>
  <c r="O2843" i="2"/>
  <c r="O2842" i="2"/>
  <c r="M2842" i="2"/>
  <c r="L2842" i="2"/>
  <c r="E2842" i="2"/>
  <c r="D2842" i="2"/>
  <c r="B2842" i="2"/>
  <c r="A2842" i="2"/>
  <c r="O2841" i="2"/>
  <c r="O2840" i="2"/>
  <c r="M2840" i="2"/>
  <c r="L2840" i="2"/>
  <c r="E2840" i="2"/>
  <c r="D2840" i="2"/>
  <c r="B2840" i="2"/>
  <c r="A2840" i="2"/>
  <c r="O2839" i="2"/>
  <c r="M2839" i="2"/>
  <c r="L2839" i="2"/>
  <c r="E2839" i="2"/>
  <c r="D2839" i="2"/>
  <c r="B2839" i="2"/>
  <c r="A2839" i="2"/>
  <c r="O2838" i="2"/>
  <c r="M2838" i="2"/>
  <c r="L2838" i="2"/>
  <c r="E2838" i="2"/>
  <c r="D2838" i="2"/>
  <c r="B2838" i="2"/>
  <c r="A2838" i="2"/>
  <c r="O2837" i="2"/>
  <c r="M2837" i="2"/>
  <c r="L2837" i="2"/>
  <c r="E2837" i="2"/>
  <c r="D2837" i="2"/>
  <c r="B2837" i="2"/>
  <c r="A2837" i="2"/>
  <c r="O2836" i="2"/>
  <c r="M2836" i="2"/>
  <c r="L2836" i="2"/>
  <c r="E2836" i="2"/>
  <c r="D2836" i="2"/>
  <c r="B2836" i="2"/>
  <c r="A2836" i="2"/>
  <c r="O2835" i="2"/>
  <c r="M2835" i="2"/>
  <c r="L2835" i="2"/>
  <c r="E2835" i="2"/>
  <c r="D2835" i="2"/>
  <c r="B2835" i="2"/>
  <c r="A2835" i="2"/>
  <c r="O2834" i="2"/>
  <c r="M2834" i="2"/>
  <c r="L2834" i="2"/>
  <c r="E2834" i="2"/>
  <c r="D2834" i="2"/>
  <c r="B2834" i="2"/>
  <c r="A2834" i="2"/>
  <c r="O2833" i="2"/>
  <c r="M2833" i="2"/>
  <c r="L2833" i="2"/>
  <c r="E2833" i="2"/>
  <c r="D2833" i="2"/>
  <c r="B2833" i="2"/>
  <c r="A2833" i="2"/>
  <c r="O2832" i="2"/>
  <c r="M2832" i="2"/>
  <c r="L2832" i="2"/>
  <c r="E2832" i="2"/>
  <c r="D2832" i="2"/>
  <c r="B2832" i="2"/>
  <c r="A2832" i="2"/>
  <c r="O2831" i="2"/>
  <c r="O2830" i="2"/>
  <c r="M2830" i="2"/>
  <c r="L2830" i="2"/>
  <c r="E2830" i="2"/>
  <c r="D2830" i="2"/>
  <c r="B2830" i="2"/>
  <c r="A2830" i="2"/>
  <c r="O2829" i="2"/>
  <c r="O2828" i="2"/>
  <c r="O2827" i="2"/>
  <c r="O2826" i="2"/>
  <c r="M2826" i="2"/>
  <c r="L2826" i="2"/>
  <c r="E2826" i="2"/>
  <c r="D2826" i="2"/>
  <c r="B2826" i="2"/>
  <c r="A2826" i="2"/>
  <c r="O2825" i="2"/>
  <c r="O2824" i="2"/>
  <c r="M2824" i="2"/>
  <c r="L2824" i="2"/>
  <c r="E2824" i="2"/>
  <c r="D2824" i="2"/>
  <c r="B2824" i="2"/>
  <c r="A2824" i="2"/>
  <c r="O2823" i="2"/>
  <c r="O2822" i="2"/>
  <c r="O2821" i="2"/>
  <c r="M2821" i="2"/>
  <c r="L2821" i="2"/>
  <c r="E2821" i="2"/>
  <c r="D2821" i="2"/>
  <c r="B2821" i="2"/>
  <c r="A2821" i="2"/>
  <c r="O2820" i="2"/>
  <c r="M2820" i="2"/>
  <c r="L2820" i="2"/>
  <c r="E2820" i="2"/>
  <c r="D2820" i="2"/>
  <c r="B2820" i="2"/>
  <c r="A2820" i="2"/>
  <c r="O2819" i="2"/>
  <c r="O2818" i="2"/>
  <c r="O2817" i="2"/>
  <c r="O2816" i="2"/>
  <c r="O2815" i="2"/>
  <c r="O2814" i="2"/>
  <c r="O2813" i="2"/>
  <c r="O2812" i="2"/>
  <c r="O2811" i="2"/>
  <c r="O2810" i="2"/>
  <c r="O2809" i="2"/>
  <c r="O2808" i="2"/>
  <c r="O2807" i="2"/>
  <c r="O2806" i="2"/>
  <c r="O2805" i="2"/>
  <c r="O2804" i="2"/>
  <c r="O2803" i="2"/>
  <c r="O2802" i="2"/>
  <c r="O2801" i="2"/>
  <c r="O2800" i="2"/>
  <c r="O2799" i="2"/>
  <c r="O2798" i="2"/>
  <c r="O2797" i="2"/>
  <c r="O2796" i="2"/>
  <c r="O2795" i="2"/>
  <c r="O2794" i="2"/>
  <c r="O2793" i="2"/>
  <c r="O2792" i="2"/>
  <c r="O2791" i="2"/>
  <c r="O2790" i="2"/>
  <c r="O2789" i="2"/>
  <c r="O2788" i="2"/>
  <c r="M2788" i="2"/>
  <c r="L2788" i="2"/>
  <c r="E2788" i="2"/>
  <c r="D2788" i="2"/>
  <c r="B2788" i="2"/>
  <c r="A2788" i="2"/>
  <c r="O2787" i="2"/>
  <c r="O2786" i="2"/>
  <c r="O2785" i="2"/>
  <c r="O2784" i="2"/>
  <c r="O2783" i="2"/>
  <c r="O2782" i="2"/>
  <c r="O2781" i="2"/>
  <c r="M2781" i="2"/>
  <c r="L2781" i="2"/>
  <c r="E2781" i="2"/>
  <c r="D2781" i="2"/>
  <c r="B2781" i="2"/>
  <c r="A2781" i="2"/>
  <c r="O2780" i="2"/>
  <c r="O2779" i="2"/>
  <c r="O2778" i="2"/>
  <c r="O2777" i="2"/>
  <c r="O2776" i="2"/>
  <c r="O2775" i="2"/>
  <c r="M2775" i="2"/>
  <c r="L2775" i="2"/>
  <c r="E2775" i="2"/>
  <c r="D2775" i="2"/>
  <c r="B2775" i="2"/>
  <c r="A2775" i="2"/>
  <c r="O2774" i="2"/>
  <c r="M2774" i="2"/>
  <c r="L2774" i="2"/>
  <c r="E2774" i="2"/>
  <c r="D2774" i="2"/>
  <c r="B2774" i="2"/>
  <c r="A2774" i="2"/>
  <c r="O2773" i="2"/>
  <c r="M2773" i="2"/>
  <c r="L2773" i="2"/>
  <c r="E2773" i="2"/>
  <c r="D2773" i="2"/>
  <c r="B2773" i="2"/>
  <c r="A2773" i="2"/>
  <c r="O2772" i="2"/>
  <c r="O2771" i="2"/>
  <c r="O2770" i="2"/>
  <c r="O2769" i="2"/>
  <c r="O2768" i="2"/>
  <c r="M2768" i="2"/>
  <c r="L2768" i="2"/>
  <c r="E2768" i="2"/>
  <c r="D2768" i="2"/>
  <c r="B2768" i="2"/>
  <c r="A2768" i="2"/>
  <c r="O2767" i="2"/>
  <c r="O2766" i="2"/>
  <c r="O2765" i="2"/>
  <c r="O2764" i="2"/>
  <c r="O2763" i="2"/>
  <c r="O2762" i="2"/>
  <c r="O2761" i="2"/>
  <c r="O2760" i="2"/>
  <c r="O2759" i="2"/>
  <c r="O2758" i="2"/>
  <c r="M2758" i="2"/>
  <c r="L2758" i="2"/>
  <c r="E2758" i="2"/>
  <c r="D2758" i="2"/>
  <c r="B2758" i="2"/>
  <c r="A2758" i="2"/>
  <c r="O2757" i="2"/>
  <c r="M2757" i="2"/>
  <c r="L2757" i="2"/>
  <c r="E2757" i="2"/>
  <c r="D2757" i="2"/>
  <c r="B2757" i="2"/>
  <c r="A2757" i="2"/>
  <c r="O2756" i="2"/>
  <c r="O2755" i="2"/>
  <c r="O2754" i="2"/>
  <c r="M2754" i="2"/>
  <c r="L2754" i="2"/>
  <c r="E2754" i="2"/>
  <c r="D2754" i="2"/>
  <c r="B2754" i="2"/>
  <c r="A2754" i="2"/>
  <c r="O2753" i="2"/>
  <c r="O2752" i="2"/>
  <c r="O2751" i="2"/>
  <c r="O2750" i="2"/>
  <c r="O2749" i="2"/>
  <c r="O2748" i="2"/>
  <c r="M2748" i="2"/>
  <c r="L2748" i="2"/>
  <c r="E2748" i="2"/>
  <c r="D2748" i="2"/>
  <c r="B2748" i="2"/>
  <c r="A2748" i="2"/>
  <c r="O2747" i="2"/>
  <c r="O2746" i="2"/>
  <c r="O2745" i="2"/>
  <c r="O2744" i="2"/>
  <c r="O2743" i="2"/>
  <c r="O2742" i="2"/>
  <c r="O2741" i="2"/>
  <c r="M2741" i="2"/>
  <c r="L2741" i="2"/>
  <c r="E2741" i="2"/>
  <c r="D2741" i="2"/>
  <c r="B2741" i="2"/>
  <c r="A2741" i="2"/>
  <c r="O2740" i="2"/>
  <c r="O2739" i="2"/>
  <c r="O2738" i="2"/>
  <c r="M2738" i="2"/>
  <c r="L2738" i="2"/>
  <c r="E2738" i="2"/>
  <c r="D2738" i="2"/>
  <c r="B2738" i="2"/>
  <c r="A2738" i="2"/>
  <c r="O2737" i="2"/>
  <c r="O2736" i="2"/>
  <c r="O2735" i="2"/>
  <c r="O2734" i="2"/>
  <c r="M2734" i="2"/>
  <c r="L2734" i="2"/>
  <c r="E2734" i="2"/>
  <c r="D2734" i="2"/>
  <c r="B2734" i="2"/>
  <c r="A2734" i="2"/>
  <c r="O2733" i="2"/>
  <c r="O2732" i="2"/>
  <c r="O2731" i="2"/>
  <c r="O2730" i="2"/>
  <c r="O2729" i="2"/>
  <c r="M2729" i="2"/>
  <c r="L2729" i="2"/>
  <c r="E2729" i="2"/>
  <c r="D2729" i="2"/>
  <c r="B2729" i="2"/>
  <c r="A2729" i="2"/>
  <c r="O2728" i="2"/>
  <c r="M2728" i="2"/>
  <c r="L2728" i="2"/>
  <c r="E2728" i="2"/>
  <c r="D2728" i="2"/>
  <c r="B2728" i="2"/>
  <c r="A2728" i="2"/>
  <c r="O2727" i="2"/>
  <c r="O2726" i="2"/>
  <c r="M2726" i="2"/>
  <c r="L2726" i="2"/>
  <c r="E2726" i="2"/>
  <c r="D2726" i="2"/>
  <c r="B2726" i="2"/>
  <c r="A2726" i="2"/>
  <c r="O2725" i="2"/>
  <c r="M2725" i="2"/>
  <c r="L2725" i="2"/>
  <c r="E2725" i="2"/>
  <c r="D2725" i="2"/>
  <c r="B2725" i="2"/>
  <c r="A2725" i="2"/>
  <c r="O2724" i="2"/>
  <c r="M2724" i="2"/>
  <c r="L2724" i="2"/>
  <c r="E2724" i="2"/>
  <c r="D2724" i="2"/>
  <c r="B2724" i="2"/>
  <c r="A2724" i="2"/>
  <c r="O2723" i="2"/>
  <c r="O2722" i="2"/>
  <c r="M2722" i="2"/>
  <c r="L2722" i="2"/>
  <c r="E2722" i="2"/>
  <c r="D2722" i="2"/>
  <c r="B2722" i="2"/>
  <c r="A2722" i="2"/>
  <c r="O2721" i="2"/>
  <c r="O2720" i="2"/>
  <c r="O2719" i="2"/>
  <c r="O2718" i="2"/>
  <c r="O2717" i="2"/>
  <c r="O2716" i="2"/>
  <c r="O2715" i="2"/>
  <c r="M2715" i="2"/>
  <c r="L2715" i="2"/>
  <c r="E2715" i="2"/>
  <c r="D2715" i="2"/>
  <c r="B2715" i="2"/>
  <c r="A2715" i="2"/>
  <c r="O2714" i="2"/>
  <c r="M2714" i="2"/>
  <c r="L2714" i="2"/>
  <c r="E2714" i="2"/>
  <c r="D2714" i="2"/>
  <c r="B2714" i="2"/>
  <c r="A2714" i="2"/>
  <c r="O2713" i="2"/>
  <c r="M2713" i="2"/>
  <c r="L2713" i="2"/>
  <c r="E2713" i="2"/>
  <c r="D2713" i="2"/>
  <c r="B2713" i="2"/>
  <c r="A2713" i="2"/>
  <c r="O2712" i="2"/>
  <c r="M2712" i="2"/>
  <c r="L2712" i="2"/>
  <c r="E2712" i="2"/>
  <c r="D2712" i="2"/>
  <c r="B2712" i="2"/>
  <c r="A2712" i="2"/>
  <c r="O2711" i="2"/>
  <c r="O2710" i="2"/>
  <c r="O2709" i="2"/>
  <c r="O2708" i="2"/>
  <c r="M2708" i="2"/>
  <c r="L2708" i="2"/>
  <c r="E2708" i="2"/>
  <c r="D2708" i="2"/>
  <c r="B2708" i="2"/>
  <c r="A2708" i="2"/>
  <c r="O2707" i="2"/>
  <c r="M2707" i="2"/>
  <c r="L2707" i="2"/>
  <c r="E2707" i="2"/>
  <c r="D2707" i="2"/>
  <c r="B2707" i="2"/>
  <c r="A2707" i="2"/>
  <c r="O2706" i="2"/>
  <c r="M2706" i="2"/>
  <c r="L2706" i="2"/>
  <c r="E2706" i="2"/>
  <c r="D2706" i="2"/>
  <c r="B2706" i="2"/>
  <c r="A2706" i="2"/>
  <c r="O2705" i="2"/>
  <c r="O2704" i="2"/>
  <c r="O2703" i="2"/>
  <c r="O2702" i="2"/>
  <c r="M2702" i="2"/>
  <c r="L2702" i="2"/>
  <c r="E2702" i="2"/>
  <c r="D2702" i="2"/>
  <c r="B2702" i="2"/>
  <c r="A2702" i="2"/>
  <c r="O2701" i="2"/>
  <c r="O2700" i="2"/>
  <c r="M2700" i="2"/>
  <c r="L2700" i="2"/>
  <c r="E2700" i="2"/>
  <c r="D2700" i="2"/>
  <c r="B2700" i="2"/>
  <c r="A2700" i="2"/>
  <c r="O2699" i="2"/>
  <c r="M2699" i="2"/>
  <c r="L2699" i="2"/>
  <c r="E2699" i="2"/>
  <c r="D2699" i="2"/>
  <c r="B2699" i="2"/>
  <c r="A2699" i="2"/>
  <c r="O2698" i="2"/>
  <c r="O2697" i="2"/>
  <c r="O2696" i="2"/>
  <c r="O2695" i="2"/>
  <c r="O2694" i="2"/>
  <c r="M2694" i="2"/>
  <c r="L2694" i="2"/>
  <c r="E2694" i="2"/>
  <c r="D2694" i="2"/>
  <c r="B2694" i="2"/>
  <c r="A2694" i="2"/>
  <c r="O2693" i="2"/>
  <c r="O2692" i="2"/>
  <c r="O2691" i="2"/>
  <c r="M2691" i="2"/>
  <c r="L2691" i="2"/>
  <c r="E2691" i="2"/>
  <c r="D2691" i="2"/>
  <c r="B2691" i="2"/>
  <c r="A2691" i="2"/>
  <c r="O2690" i="2"/>
  <c r="M2690" i="2"/>
  <c r="L2690" i="2"/>
  <c r="E2690" i="2"/>
  <c r="D2690" i="2"/>
  <c r="B2690" i="2"/>
  <c r="A2690" i="2"/>
  <c r="O2689" i="2"/>
  <c r="O2688" i="2"/>
  <c r="O2687" i="2"/>
  <c r="M2687" i="2"/>
  <c r="L2687" i="2"/>
  <c r="E2687" i="2"/>
  <c r="D2687" i="2"/>
  <c r="B2687" i="2"/>
  <c r="A2687" i="2"/>
  <c r="O2686" i="2"/>
  <c r="M2686" i="2"/>
  <c r="L2686" i="2"/>
  <c r="E2686" i="2"/>
  <c r="D2686" i="2"/>
  <c r="B2686" i="2"/>
  <c r="A2686" i="2"/>
  <c r="O2685" i="2"/>
  <c r="M2685" i="2"/>
  <c r="L2685" i="2"/>
  <c r="E2685" i="2"/>
  <c r="D2685" i="2"/>
  <c r="B2685" i="2"/>
  <c r="A2685" i="2"/>
  <c r="O2684" i="2"/>
  <c r="M2684" i="2"/>
  <c r="L2684" i="2"/>
  <c r="E2684" i="2"/>
  <c r="D2684" i="2"/>
  <c r="B2684" i="2"/>
  <c r="A2684" i="2"/>
  <c r="O2683" i="2"/>
  <c r="M2683" i="2"/>
  <c r="L2683" i="2"/>
  <c r="E2683" i="2"/>
  <c r="D2683" i="2"/>
  <c r="B2683" i="2"/>
  <c r="A2683" i="2"/>
  <c r="O2682" i="2"/>
  <c r="M2682" i="2"/>
  <c r="L2682" i="2"/>
  <c r="E2682" i="2"/>
  <c r="D2682" i="2"/>
  <c r="B2682" i="2"/>
  <c r="A2682" i="2"/>
  <c r="O2681" i="2"/>
  <c r="O2680" i="2"/>
  <c r="M2680" i="2"/>
  <c r="L2680" i="2"/>
  <c r="E2680" i="2"/>
  <c r="D2680" i="2"/>
  <c r="B2680" i="2"/>
  <c r="A2680" i="2"/>
  <c r="O2679" i="2"/>
  <c r="O2678" i="2"/>
  <c r="O2677" i="2"/>
  <c r="M2677" i="2"/>
  <c r="L2677" i="2"/>
  <c r="E2677" i="2"/>
  <c r="D2677" i="2"/>
  <c r="B2677" i="2"/>
  <c r="A2677" i="2"/>
  <c r="O2676" i="2"/>
  <c r="M2676" i="2"/>
  <c r="L2676" i="2"/>
  <c r="E2676" i="2"/>
  <c r="D2676" i="2"/>
  <c r="B2676" i="2"/>
  <c r="A2676" i="2"/>
  <c r="O2675" i="2"/>
  <c r="M2675" i="2"/>
  <c r="L2675" i="2"/>
  <c r="E2675" i="2"/>
  <c r="D2675" i="2"/>
  <c r="B2675" i="2"/>
  <c r="A2675" i="2"/>
  <c r="O2674" i="2"/>
  <c r="M2674" i="2"/>
  <c r="L2674" i="2"/>
  <c r="E2674" i="2"/>
  <c r="D2674" i="2"/>
  <c r="B2674" i="2"/>
  <c r="A2674" i="2"/>
  <c r="O2673" i="2"/>
  <c r="O2672" i="2"/>
  <c r="M2672" i="2"/>
  <c r="L2672" i="2"/>
  <c r="E2672" i="2"/>
  <c r="D2672" i="2"/>
  <c r="B2672" i="2"/>
  <c r="A2672" i="2"/>
  <c r="O2671" i="2"/>
  <c r="M2671" i="2"/>
  <c r="L2671" i="2"/>
  <c r="E2671" i="2"/>
  <c r="D2671" i="2"/>
  <c r="B2671" i="2"/>
  <c r="A2671" i="2"/>
  <c r="O2670" i="2"/>
  <c r="M2670" i="2"/>
  <c r="L2670" i="2"/>
  <c r="E2670" i="2"/>
  <c r="D2670" i="2"/>
  <c r="B2670" i="2"/>
  <c r="A2670" i="2"/>
  <c r="O2669" i="2"/>
  <c r="O2668" i="2"/>
  <c r="O2667" i="2"/>
  <c r="O2666" i="2"/>
  <c r="O2665" i="2"/>
  <c r="O2664" i="2"/>
  <c r="M2664" i="2"/>
  <c r="L2664" i="2"/>
  <c r="E2664" i="2"/>
  <c r="D2664" i="2"/>
  <c r="B2664" i="2"/>
  <c r="A2664" i="2"/>
  <c r="O2663" i="2"/>
  <c r="M2663" i="2"/>
  <c r="L2663" i="2"/>
  <c r="E2663" i="2"/>
  <c r="D2663" i="2"/>
  <c r="B2663" i="2"/>
  <c r="A2663" i="2"/>
  <c r="O2662" i="2"/>
  <c r="O2661" i="2"/>
  <c r="M2661" i="2"/>
  <c r="L2661" i="2"/>
  <c r="E2661" i="2"/>
  <c r="D2661" i="2"/>
  <c r="B2661" i="2"/>
  <c r="A2661" i="2"/>
  <c r="O2660" i="2"/>
  <c r="M2660" i="2"/>
  <c r="L2660" i="2"/>
  <c r="E2660" i="2"/>
  <c r="D2660" i="2"/>
  <c r="B2660" i="2"/>
  <c r="A2660" i="2"/>
  <c r="O2659" i="2"/>
  <c r="O2658" i="2"/>
  <c r="M2658" i="2"/>
  <c r="L2658" i="2"/>
  <c r="E2658" i="2"/>
  <c r="D2658" i="2"/>
  <c r="B2658" i="2"/>
  <c r="A2658" i="2"/>
  <c r="O2657" i="2"/>
  <c r="O2656" i="2"/>
  <c r="O2655" i="2"/>
  <c r="O2654" i="2"/>
  <c r="M2654" i="2"/>
  <c r="L2654" i="2"/>
  <c r="E2654" i="2"/>
  <c r="D2654" i="2"/>
  <c r="B2654" i="2"/>
  <c r="A2654" i="2"/>
  <c r="O2653" i="2"/>
  <c r="M2653" i="2"/>
  <c r="L2653" i="2"/>
  <c r="E2653" i="2"/>
  <c r="D2653" i="2"/>
  <c r="B2653" i="2"/>
  <c r="A2653" i="2"/>
  <c r="O2652" i="2"/>
  <c r="M2652" i="2"/>
  <c r="L2652" i="2"/>
  <c r="E2652" i="2"/>
  <c r="D2652" i="2"/>
  <c r="B2652" i="2"/>
  <c r="A2652" i="2"/>
  <c r="O2651" i="2"/>
  <c r="O2650" i="2"/>
  <c r="M2650" i="2"/>
  <c r="L2650" i="2"/>
  <c r="E2650" i="2"/>
  <c r="D2650" i="2"/>
  <c r="B2650" i="2"/>
  <c r="A2650" i="2"/>
  <c r="O2649" i="2"/>
  <c r="M2649" i="2"/>
  <c r="L2649" i="2"/>
  <c r="E2649" i="2"/>
  <c r="D2649" i="2"/>
  <c r="B2649" i="2"/>
  <c r="A2649" i="2"/>
  <c r="O2648" i="2"/>
  <c r="M2648" i="2"/>
  <c r="L2648" i="2"/>
  <c r="E2648" i="2"/>
  <c r="D2648" i="2"/>
  <c r="B2648" i="2"/>
  <c r="A2648" i="2"/>
  <c r="O2647" i="2"/>
  <c r="M2647" i="2"/>
  <c r="L2647" i="2"/>
  <c r="E2647" i="2"/>
  <c r="D2647" i="2"/>
  <c r="B2647" i="2"/>
  <c r="A2647" i="2"/>
  <c r="O2646" i="2"/>
  <c r="M2646" i="2"/>
  <c r="L2646" i="2"/>
  <c r="E2646" i="2"/>
  <c r="D2646" i="2"/>
  <c r="B2646" i="2"/>
  <c r="A2646" i="2"/>
  <c r="O2645" i="2"/>
  <c r="M2645" i="2"/>
  <c r="L2645" i="2"/>
  <c r="E2645" i="2"/>
  <c r="D2645" i="2"/>
  <c r="B2645" i="2"/>
  <c r="A2645" i="2"/>
  <c r="O2644" i="2"/>
  <c r="O2643" i="2"/>
  <c r="M2643" i="2"/>
  <c r="L2643" i="2"/>
  <c r="E2643" i="2"/>
  <c r="D2643" i="2"/>
  <c r="B2643" i="2"/>
  <c r="A2643" i="2"/>
  <c r="O2642" i="2"/>
  <c r="O2641" i="2"/>
  <c r="O2640" i="2"/>
  <c r="M2640" i="2"/>
  <c r="L2640" i="2"/>
  <c r="E2640" i="2"/>
  <c r="D2640" i="2"/>
  <c r="B2640" i="2"/>
  <c r="A2640" i="2"/>
  <c r="O2639" i="2"/>
  <c r="M2639" i="2"/>
  <c r="L2639" i="2"/>
  <c r="E2639" i="2"/>
  <c r="D2639" i="2"/>
  <c r="B2639" i="2"/>
  <c r="A2639" i="2"/>
  <c r="O2638" i="2"/>
  <c r="M2638" i="2"/>
  <c r="L2638" i="2"/>
  <c r="E2638" i="2"/>
  <c r="D2638" i="2"/>
  <c r="B2638" i="2"/>
  <c r="A2638" i="2"/>
  <c r="O2637" i="2"/>
  <c r="O2636" i="2"/>
  <c r="M2636" i="2"/>
  <c r="L2636" i="2"/>
  <c r="E2636" i="2"/>
  <c r="D2636" i="2"/>
  <c r="B2636" i="2"/>
  <c r="A2636" i="2"/>
  <c r="O2635" i="2"/>
  <c r="M2635" i="2"/>
  <c r="L2635" i="2"/>
  <c r="E2635" i="2"/>
  <c r="D2635" i="2"/>
  <c r="B2635" i="2"/>
  <c r="A2635" i="2"/>
  <c r="O2634" i="2"/>
  <c r="M2634" i="2"/>
  <c r="L2634" i="2"/>
  <c r="E2634" i="2"/>
  <c r="D2634" i="2"/>
  <c r="B2634" i="2"/>
  <c r="A2634" i="2"/>
  <c r="O2633" i="2"/>
  <c r="O2632" i="2"/>
  <c r="O2631" i="2"/>
  <c r="M2631" i="2"/>
  <c r="L2631" i="2"/>
  <c r="E2631" i="2"/>
  <c r="D2631" i="2"/>
  <c r="B2631" i="2"/>
  <c r="A2631" i="2"/>
  <c r="O2630" i="2"/>
  <c r="O2629" i="2"/>
  <c r="M2629" i="2"/>
  <c r="L2629" i="2"/>
  <c r="E2629" i="2"/>
  <c r="D2629" i="2"/>
  <c r="B2629" i="2"/>
  <c r="A2629" i="2"/>
  <c r="O2628" i="2"/>
  <c r="M2628" i="2"/>
  <c r="L2628" i="2"/>
  <c r="E2628" i="2"/>
  <c r="D2628" i="2"/>
  <c r="B2628" i="2"/>
  <c r="A2628" i="2"/>
  <c r="O2627" i="2"/>
  <c r="M2627" i="2"/>
  <c r="L2627" i="2"/>
  <c r="E2627" i="2"/>
  <c r="D2627" i="2"/>
  <c r="B2627" i="2"/>
  <c r="A2627" i="2"/>
  <c r="O2626" i="2"/>
  <c r="M2626" i="2"/>
  <c r="L2626" i="2"/>
  <c r="E2626" i="2"/>
  <c r="D2626" i="2"/>
  <c r="B2626" i="2"/>
  <c r="A2626" i="2"/>
  <c r="O2625" i="2"/>
  <c r="M2625" i="2"/>
  <c r="L2625" i="2"/>
  <c r="E2625" i="2"/>
  <c r="D2625" i="2"/>
  <c r="B2625" i="2"/>
  <c r="A2625" i="2"/>
  <c r="O2624" i="2"/>
  <c r="O2623" i="2"/>
  <c r="O2622" i="2"/>
  <c r="O2621" i="2"/>
  <c r="M2621" i="2"/>
  <c r="L2621" i="2"/>
  <c r="E2621" i="2"/>
  <c r="D2621" i="2"/>
  <c r="B2621" i="2"/>
  <c r="A2621" i="2"/>
  <c r="O2620" i="2"/>
  <c r="M2620" i="2"/>
  <c r="L2620" i="2"/>
  <c r="E2620" i="2"/>
  <c r="D2620" i="2"/>
  <c r="B2620" i="2"/>
  <c r="A2620" i="2"/>
  <c r="O2619" i="2"/>
  <c r="M2619" i="2"/>
  <c r="L2619" i="2"/>
  <c r="E2619" i="2"/>
  <c r="D2619" i="2"/>
  <c r="B2619" i="2"/>
  <c r="A2619" i="2"/>
  <c r="O2618" i="2"/>
  <c r="M2618" i="2"/>
  <c r="L2618" i="2"/>
  <c r="E2618" i="2"/>
  <c r="D2618" i="2"/>
  <c r="B2618" i="2"/>
  <c r="A2618" i="2"/>
  <c r="O2617" i="2"/>
  <c r="O2616" i="2"/>
  <c r="O2615" i="2"/>
  <c r="M2615" i="2"/>
  <c r="L2615" i="2"/>
  <c r="E2615" i="2"/>
  <c r="D2615" i="2"/>
  <c r="B2615" i="2"/>
  <c r="A2615" i="2"/>
  <c r="O2614" i="2"/>
  <c r="M2614" i="2"/>
  <c r="L2614" i="2"/>
  <c r="E2614" i="2"/>
  <c r="D2614" i="2"/>
  <c r="B2614" i="2"/>
  <c r="A2614" i="2"/>
  <c r="O2613" i="2"/>
  <c r="O2612" i="2"/>
  <c r="M2612" i="2"/>
  <c r="L2612" i="2"/>
  <c r="E2612" i="2"/>
  <c r="D2612" i="2"/>
  <c r="B2612" i="2"/>
  <c r="A2612" i="2"/>
  <c r="O2611" i="2"/>
  <c r="M2611" i="2"/>
  <c r="L2611" i="2"/>
  <c r="E2611" i="2"/>
  <c r="D2611" i="2"/>
  <c r="B2611" i="2"/>
  <c r="A2611" i="2"/>
  <c r="O2610" i="2"/>
  <c r="O2609" i="2"/>
  <c r="O2608" i="2"/>
  <c r="O2607" i="2"/>
  <c r="M2607" i="2"/>
  <c r="L2607" i="2"/>
  <c r="E2607" i="2"/>
  <c r="D2607" i="2"/>
  <c r="B2607" i="2"/>
  <c r="A2607" i="2"/>
  <c r="O2606" i="2"/>
  <c r="M2606" i="2"/>
  <c r="L2606" i="2"/>
  <c r="E2606" i="2"/>
  <c r="D2606" i="2"/>
  <c r="B2606" i="2"/>
  <c r="A2606" i="2"/>
  <c r="O2605" i="2"/>
  <c r="O2604" i="2"/>
  <c r="M2604" i="2"/>
  <c r="L2604" i="2"/>
  <c r="E2604" i="2"/>
  <c r="D2604" i="2"/>
  <c r="B2604" i="2"/>
  <c r="A2604" i="2"/>
  <c r="O2603" i="2"/>
  <c r="O2602" i="2"/>
  <c r="O2601" i="2"/>
  <c r="M2601" i="2"/>
  <c r="L2601" i="2"/>
  <c r="E2601" i="2"/>
  <c r="D2601" i="2"/>
  <c r="B2601" i="2"/>
  <c r="A2601" i="2"/>
  <c r="O2600" i="2"/>
  <c r="M2600" i="2"/>
  <c r="L2600" i="2"/>
  <c r="E2600" i="2"/>
  <c r="D2600" i="2"/>
  <c r="B2600" i="2"/>
  <c r="A2600" i="2"/>
  <c r="O2599" i="2"/>
  <c r="O2598" i="2"/>
  <c r="O2597" i="2"/>
  <c r="M2597" i="2"/>
  <c r="L2597" i="2"/>
  <c r="E2597" i="2"/>
  <c r="D2597" i="2"/>
  <c r="B2597" i="2"/>
  <c r="A2597" i="2"/>
  <c r="O2596" i="2"/>
  <c r="M2596" i="2"/>
  <c r="L2596" i="2"/>
  <c r="E2596" i="2"/>
  <c r="D2596" i="2"/>
  <c r="B2596" i="2"/>
  <c r="A2596" i="2"/>
  <c r="O2595" i="2"/>
  <c r="O2594" i="2"/>
  <c r="O2593" i="2"/>
  <c r="O2592" i="2"/>
  <c r="O2591" i="2"/>
  <c r="O2590" i="2"/>
  <c r="O2589" i="2"/>
  <c r="O2588" i="2"/>
  <c r="O2587" i="2"/>
  <c r="M2587" i="2"/>
  <c r="L2587" i="2"/>
  <c r="E2587" i="2"/>
  <c r="D2587" i="2"/>
  <c r="B2587" i="2"/>
  <c r="A2587" i="2"/>
  <c r="O2586" i="2"/>
  <c r="O2585" i="2"/>
  <c r="M2585" i="2"/>
  <c r="L2585" i="2"/>
  <c r="E2585" i="2"/>
  <c r="D2585" i="2"/>
  <c r="B2585" i="2"/>
  <c r="A2585" i="2"/>
  <c r="O2584" i="2"/>
  <c r="M2584" i="2"/>
  <c r="L2584" i="2"/>
  <c r="E2584" i="2"/>
  <c r="D2584" i="2"/>
  <c r="B2584" i="2"/>
  <c r="A2584" i="2"/>
  <c r="O2583" i="2"/>
  <c r="O2582" i="2"/>
  <c r="O2581" i="2"/>
  <c r="O2580" i="2"/>
  <c r="M2580" i="2"/>
  <c r="L2580" i="2"/>
  <c r="E2580" i="2"/>
  <c r="D2580" i="2"/>
  <c r="B2580" i="2"/>
  <c r="A2580" i="2"/>
  <c r="O2579" i="2"/>
  <c r="M2579" i="2"/>
  <c r="L2579" i="2"/>
  <c r="E2579" i="2"/>
  <c r="D2579" i="2"/>
  <c r="B2579" i="2"/>
  <c r="A2579" i="2"/>
  <c r="O2578" i="2"/>
  <c r="M2578" i="2"/>
  <c r="L2578" i="2"/>
  <c r="E2578" i="2"/>
  <c r="D2578" i="2"/>
  <c r="B2578" i="2"/>
  <c r="A2578" i="2"/>
  <c r="O2577" i="2"/>
  <c r="O2576" i="2"/>
  <c r="O2575" i="2"/>
  <c r="O2574" i="2"/>
  <c r="M2574" i="2"/>
  <c r="L2574" i="2"/>
  <c r="E2574" i="2"/>
  <c r="D2574" i="2"/>
  <c r="B2574" i="2"/>
  <c r="A2574" i="2"/>
  <c r="O2573" i="2"/>
  <c r="M2573" i="2"/>
  <c r="L2573" i="2"/>
  <c r="E2573" i="2"/>
  <c r="D2573" i="2"/>
  <c r="B2573" i="2"/>
  <c r="A2573" i="2"/>
  <c r="O2572" i="2"/>
  <c r="M2572" i="2"/>
  <c r="L2572" i="2"/>
  <c r="E2572" i="2"/>
  <c r="D2572" i="2"/>
  <c r="B2572" i="2"/>
  <c r="A2572" i="2"/>
  <c r="O2571" i="2"/>
  <c r="M2571" i="2"/>
  <c r="L2571" i="2"/>
  <c r="E2571" i="2"/>
  <c r="D2571" i="2"/>
  <c r="B2571" i="2"/>
  <c r="A2571" i="2"/>
  <c r="O2570" i="2"/>
  <c r="O2569" i="2"/>
  <c r="M2569" i="2"/>
  <c r="L2569" i="2"/>
  <c r="E2569" i="2"/>
  <c r="D2569" i="2"/>
  <c r="B2569" i="2"/>
  <c r="A2569" i="2"/>
  <c r="O2568" i="2"/>
  <c r="M2568" i="2"/>
  <c r="L2568" i="2"/>
  <c r="E2568" i="2"/>
  <c r="D2568" i="2"/>
  <c r="B2568" i="2"/>
  <c r="A2568" i="2"/>
  <c r="O2567" i="2"/>
  <c r="M2567" i="2"/>
  <c r="L2567" i="2"/>
  <c r="E2567" i="2"/>
  <c r="D2567" i="2"/>
  <c r="B2567" i="2"/>
  <c r="A2567" i="2"/>
  <c r="O2566" i="2"/>
  <c r="O2565" i="2"/>
  <c r="O2564" i="2"/>
  <c r="M2564" i="2"/>
  <c r="L2564" i="2"/>
  <c r="E2564" i="2"/>
  <c r="D2564" i="2"/>
  <c r="B2564" i="2"/>
  <c r="A2564" i="2"/>
  <c r="O2563" i="2"/>
  <c r="M2563" i="2"/>
  <c r="L2563" i="2"/>
  <c r="E2563" i="2"/>
  <c r="D2563" i="2"/>
  <c r="B2563" i="2"/>
  <c r="A2563" i="2"/>
  <c r="O2562" i="2"/>
  <c r="M2562" i="2"/>
  <c r="L2562" i="2"/>
  <c r="E2562" i="2"/>
  <c r="D2562" i="2"/>
  <c r="B2562" i="2"/>
  <c r="A2562" i="2"/>
  <c r="O2561" i="2"/>
  <c r="O2560" i="2"/>
  <c r="M2560" i="2"/>
  <c r="L2560" i="2"/>
  <c r="E2560" i="2"/>
  <c r="D2560" i="2"/>
  <c r="B2560" i="2"/>
  <c r="A2560" i="2"/>
  <c r="O2559" i="2"/>
  <c r="O2558" i="2"/>
  <c r="O2557" i="2"/>
  <c r="O2556" i="2"/>
  <c r="O2555" i="2"/>
  <c r="M2555" i="2"/>
  <c r="L2555" i="2"/>
  <c r="E2555" i="2"/>
  <c r="D2555" i="2"/>
  <c r="B2555" i="2"/>
  <c r="A2555" i="2"/>
  <c r="O2554" i="2"/>
  <c r="M2554" i="2"/>
  <c r="L2554" i="2"/>
  <c r="E2554" i="2"/>
  <c r="D2554" i="2"/>
  <c r="B2554" i="2"/>
  <c r="A2554" i="2"/>
  <c r="O2553" i="2"/>
  <c r="M2553" i="2"/>
  <c r="L2553" i="2"/>
  <c r="E2553" i="2"/>
  <c r="D2553" i="2"/>
  <c r="B2553" i="2"/>
  <c r="A2553" i="2"/>
  <c r="O2552" i="2"/>
  <c r="M2552" i="2"/>
  <c r="L2552" i="2"/>
  <c r="E2552" i="2"/>
  <c r="D2552" i="2"/>
  <c r="B2552" i="2"/>
  <c r="A2552" i="2"/>
  <c r="O2551" i="2"/>
  <c r="O2550" i="2"/>
  <c r="M2550" i="2"/>
  <c r="L2550" i="2"/>
  <c r="E2550" i="2"/>
  <c r="D2550" i="2"/>
  <c r="B2550" i="2"/>
  <c r="A2550" i="2"/>
  <c r="O2549" i="2"/>
  <c r="O2548" i="2"/>
  <c r="M2548" i="2"/>
  <c r="L2548" i="2"/>
  <c r="E2548" i="2"/>
  <c r="D2548" i="2"/>
  <c r="B2548" i="2"/>
  <c r="A2548" i="2"/>
  <c r="O2547" i="2"/>
  <c r="O2546" i="2"/>
  <c r="O2545" i="2"/>
  <c r="O2544" i="2"/>
  <c r="O2543" i="2"/>
  <c r="O2542" i="2"/>
  <c r="O2541" i="2"/>
  <c r="O2540" i="2"/>
  <c r="M2540" i="2"/>
  <c r="L2540" i="2"/>
  <c r="E2540" i="2"/>
  <c r="D2540" i="2"/>
  <c r="B2540" i="2"/>
  <c r="A2540" i="2"/>
  <c r="O2539" i="2"/>
  <c r="M2539" i="2"/>
  <c r="L2539" i="2"/>
  <c r="E2539" i="2"/>
  <c r="D2539" i="2"/>
  <c r="B2539" i="2"/>
  <c r="A2539" i="2"/>
  <c r="O2538" i="2"/>
  <c r="M2538" i="2"/>
  <c r="L2538" i="2"/>
  <c r="E2538" i="2"/>
  <c r="D2538" i="2"/>
  <c r="B2538" i="2"/>
  <c r="A2538" i="2"/>
  <c r="O2537" i="2"/>
  <c r="M2537" i="2"/>
  <c r="L2537" i="2"/>
  <c r="E2537" i="2"/>
  <c r="D2537" i="2"/>
  <c r="B2537" i="2"/>
  <c r="A2537" i="2"/>
  <c r="O2536" i="2"/>
  <c r="O2535" i="2"/>
  <c r="O2534" i="2"/>
  <c r="M2534" i="2"/>
  <c r="L2534" i="2"/>
  <c r="E2534" i="2"/>
  <c r="D2534" i="2"/>
  <c r="B2534" i="2"/>
  <c r="A2534" i="2"/>
  <c r="O2533" i="2"/>
  <c r="M2533" i="2"/>
  <c r="L2533" i="2"/>
  <c r="E2533" i="2"/>
  <c r="D2533" i="2"/>
  <c r="B2533" i="2"/>
  <c r="A2533" i="2"/>
  <c r="O2532" i="2"/>
  <c r="M2532" i="2"/>
  <c r="L2532" i="2"/>
  <c r="E2532" i="2"/>
  <c r="D2532" i="2"/>
  <c r="B2532" i="2"/>
  <c r="A2532" i="2"/>
  <c r="O2531" i="2"/>
  <c r="M2531" i="2"/>
  <c r="L2531" i="2"/>
  <c r="E2531" i="2"/>
  <c r="D2531" i="2"/>
  <c r="B2531" i="2"/>
  <c r="A2531" i="2"/>
  <c r="O2530" i="2"/>
  <c r="M2530" i="2"/>
  <c r="L2530" i="2"/>
  <c r="E2530" i="2"/>
  <c r="D2530" i="2"/>
  <c r="B2530" i="2"/>
  <c r="A2530" i="2"/>
  <c r="O2529" i="2"/>
  <c r="O2528" i="2"/>
  <c r="O2527" i="2"/>
  <c r="M2527" i="2"/>
  <c r="L2527" i="2"/>
  <c r="E2527" i="2"/>
  <c r="D2527" i="2"/>
  <c r="B2527" i="2"/>
  <c r="A2527" i="2"/>
  <c r="O2526" i="2"/>
  <c r="O2525" i="2"/>
  <c r="M2525" i="2"/>
  <c r="L2525" i="2"/>
  <c r="E2525" i="2"/>
  <c r="D2525" i="2"/>
  <c r="B2525" i="2"/>
  <c r="A2525" i="2"/>
  <c r="O2524" i="2"/>
  <c r="M2524" i="2"/>
  <c r="L2524" i="2"/>
  <c r="E2524" i="2"/>
  <c r="D2524" i="2"/>
  <c r="B2524" i="2"/>
  <c r="A2524" i="2"/>
  <c r="O2523" i="2"/>
  <c r="O2522" i="2"/>
  <c r="O2521" i="2"/>
  <c r="M2521" i="2"/>
  <c r="L2521" i="2"/>
  <c r="E2521" i="2"/>
  <c r="D2521" i="2"/>
  <c r="B2521" i="2"/>
  <c r="A2521" i="2"/>
  <c r="O2520" i="2"/>
  <c r="M2520" i="2"/>
  <c r="L2520" i="2"/>
  <c r="E2520" i="2"/>
  <c r="D2520" i="2"/>
  <c r="B2520" i="2"/>
  <c r="A2520" i="2"/>
  <c r="O2519" i="2"/>
  <c r="O2518" i="2"/>
  <c r="M2518" i="2"/>
  <c r="L2518" i="2"/>
  <c r="E2518" i="2"/>
  <c r="D2518" i="2"/>
  <c r="B2518" i="2"/>
  <c r="A2518" i="2"/>
  <c r="O2517" i="2"/>
  <c r="M2517" i="2"/>
  <c r="L2517" i="2"/>
  <c r="E2517" i="2"/>
  <c r="D2517" i="2"/>
  <c r="B2517" i="2"/>
  <c r="A2517" i="2"/>
  <c r="O2516" i="2"/>
  <c r="M2516" i="2"/>
  <c r="L2516" i="2"/>
  <c r="E2516" i="2"/>
  <c r="D2516" i="2"/>
  <c r="B2516" i="2"/>
  <c r="A2516" i="2"/>
  <c r="O2515" i="2"/>
  <c r="M2515" i="2"/>
  <c r="L2515" i="2"/>
  <c r="E2515" i="2"/>
  <c r="D2515" i="2"/>
  <c r="B2515" i="2"/>
  <c r="A2515" i="2"/>
  <c r="O2514" i="2"/>
  <c r="O2513" i="2"/>
  <c r="O2512" i="2"/>
  <c r="M2512" i="2"/>
  <c r="L2512" i="2"/>
  <c r="E2512" i="2"/>
  <c r="D2512" i="2"/>
  <c r="B2512" i="2"/>
  <c r="A2512" i="2"/>
  <c r="O2511" i="2"/>
  <c r="M2511" i="2"/>
  <c r="L2511" i="2"/>
  <c r="E2511" i="2"/>
  <c r="D2511" i="2"/>
  <c r="B2511" i="2"/>
  <c r="A2511" i="2"/>
  <c r="O2510" i="2"/>
  <c r="M2510" i="2"/>
  <c r="L2510" i="2"/>
  <c r="E2510" i="2"/>
  <c r="D2510" i="2"/>
  <c r="B2510" i="2"/>
  <c r="A2510" i="2"/>
  <c r="O2509" i="2"/>
  <c r="O2508" i="2"/>
  <c r="O2507" i="2"/>
  <c r="O2506" i="2"/>
  <c r="O2505" i="2"/>
  <c r="O2504" i="2"/>
  <c r="O2503" i="2"/>
  <c r="O2502" i="2"/>
  <c r="O2501" i="2"/>
  <c r="O2500" i="2"/>
  <c r="O2499" i="2"/>
  <c r="O2498" i="2"/>
  <c r="O2497" i="2"/>
  <c r="O2496" i="2"/>
  <c r="O2495" i="2"/>
  <c r="O2494" i="2"/>
  <c r="O2493" i="2"/>
  <c r="O2492" i="2"/>
  <c r="O2491" i="2"/>
  <c r="O2490" i="2"/>
  <c r="O2489" i="2"/>
  <c r="O2488" i="2"/>
  <c r="O2487" i="2"/>
  <c r="O2486" i="2"/>
  <c r="O2485" i="2"/>
  <c r="O2484" i="2"/>
  <c r="O2483" i="2"/>
  <c r="O2482" i="2"/>
  <c r="O2481" i="2"/>
  <c r="O2480" i="2"/>
  <c r="O2479" i="2"/>
  <c r="M2479" i="2"/>
  <c r="L2479" i="2"/>
  <c r="E2479" i="2"/>
  <c r="D2479" i="2"/>
  <c r="B2479" i="2"/>
  <c r="A2479" i="2"/>
  <c r="O2478" i="2"/>
  <c r="M2478" i="2"/>
  <c r="L2478" i="2"/>
  <c r="E2478" i="2"/>
  <c r="D2478" i="2"/>
  <c r="B2478" i="2"/>
  <c r="A2478" i="2"/>
  <c r="O2477" i="2"/>
  <c r="M2477" i="2"/>
  <c r="L2477" i="2"/>
  <c r="E2477" i="2"/>
  <c r="D2477" i="2"/>
  <c r="B2477" i="2"/>
  <c r="A2477" i="2"/>
  <c r="O2476" i="2"/>
  <c r="M2476" i="2"/>
  <c r="L2476" i="2"/>
  <c r="E2476" i="2"/>
  <c r="D2476" i="2"/>
  <c r="B2476" i="2"/>
  <c r="A2476" i="2"/>
  <c r="O2475" i="2"/>
  <c r="O2474" i="2"/>
  <c r="M2474" i="2"/>
  <c r="L2474" i="2"/>
  <c r="E2474" i="2"/>
  <c r="D2474" i="2"/>
  <c r="B2474" i="2"/>
  <c r="A2474" i="2"/>
  <c r="O2473" i="2"/>
  <c r="O2472" i="2"/>
  <c r="O2471" i="2"/>
  <c r="M2471" i="2"/>
  <c r="L2471" i="2"/>
  <c r="E2471" i="2"/>
  <c r="D2471" i="2"/>
  <c r="B2471" i="2"/>
  <c r="A2471" i="2"/>
  <c r="O2470" i="2"/>
  <c r="M2470" i="2"/>
  <c r="L2470" i="2"/>
  <c r="E2470" i="2"/>
  <c r="D2470" i="2"/>
  <c r="B2470" i="2"/>
  <c r="A2470" i="2"/>
  <c r="O2469" i="2"/>
  <c r="O2468" i="2"/>
  <c r="M2468" i="2"/>
  <c r="L2468" i="2"/>
  <c r="E2468" i="2"/>
  <c r="D2468" i="2"/>
  <c r="B2468" i="2"/>
  <c r="A2468" i="2"/>
  <c r="O2467" i="2"/>
  <c r="O2466" i="2"/>
  <c r="O2465" i="2"/>
  <c r="O2464" i="2"/>
  <c r="M2464" i="2"/>
  <c r="L2464" i="2"/>
  <c r="E2464" i="2"/>
  <c r="D2464" i="2"/>
  <c r="B2464" i="2"/>
  <c r="A2464" i="2"/>
  <c r="O2463" i="2"/>
  <c r="M2463" i="2"/>
  <c r="L2463" i="2"/>
  <c r="E2463" i="2"/>
  <c r="D2463" i="2"/>
  <c r="B2463" i="2"/>
  <c r="A2463" i="2"/>
  <c r="O2462" i="2"/>
  <c r="O2461" i="2"/>
  <c r="M2461" i="2"/>
  <c r="L2461" i="2"/>
  <c r="E2461" i="2"/>
  <c r="D2461" i="2"/>
  <c r="B2461" i="2"/>
  <c r="A2461" i="2"/>
  <c r="O2460" i="2"/>
  <c r="O2459" i="2"/>
  <c r="M2459" i="2"/>
  <c r="L2459" i="2"/>
  <c r="E2459" i="2"/>
  <c r="D2459" i="2"/>
  <c r="B2459" i="2"/>
  <c r="A2459" i="2"/>
  <c r="O2458" i="2"/>
  <c r="O2457" i="2"/>
  <c r="M2457" i="2"/>
  <c r="L2457" i="2"/>
  <c r="E2457" i="2"/>
  <c r="D2457" i="2"/>
  <c r="B2457" i="2"/>
  <c r="A2457" i="2"/>
  <c r="O2456" i="2"/>
  <c r="M2456" i="2"/>
  <c r="L2456" i="2"/>
  <c r="E2456" i="2"/>
  <c r="D2456" i="2"/>
  <c r="B2456" i="2"/>
  <c r="A2456" i="2"/>
  <c r="O2455" i="2"/>
  <c r="M2455" i="2"/>
  <c r="L2455" i="2"/>
  <c r="E2455" i="2"/>
  <c r="D2455" i="2"/>
  <c r="B2455" i="2"/>
  <c r="A2455" i="2"/>
  <c r="O2454" i="2"/>
  <c r="O2453" i="2"/>
  <c r="O2452" i="2"/>
  <c r="M2452" i="2"/>
  <c r="L2452" i="2"/>
  <c r="E2452" i="2"/>
  <c r="D2452" i="2"/>
  <c r="B2452" i="2"/>
  <c r="A2452" i="2"/>
  <c r="O2451" i="2"/>
  <c r="O2450" i="2"/>
  <c r="O2449" i="2"/>
  <c r="O2448" i="2"/>
  <c r="O2447" i="2"/>
  <c r="O2446" i="2"/>
  <c r="O2445" i="2"/>
  <c r="O2444" i="2"/>
  <c r="O2443" i="2"/>
  <c r="M2443" i="2"/>
  <c r="L2443" i="2"/>
  <c r="E2443" i="2"/>
  <c r="D2443" i="2"/>
  <c r="B2443" i="2"/>
  <c r="A2443" i="2"/>
  <c r="O2442" i="2"/>
  <c r="O2441" i="2"/>
  <c r="M2441" i="2"/>
  <c r="L2441" i="2"/>
  <c r="E2441" i="2"/>
  <c r="D2441" i="2"/>
  <c r="B2441" i="2"/>
  <c r="A2441" i="2"/>
  <c r="O2440" i="2"/>
  <c r="M2440" i="2"/>
  <c r="L2440" i="2"/>
  <c r="E2440" i="2"/>
  <c r="D2440" i="2"/>
  <c r="B2440" i="2"/>
  <c r="A2440" i="2"/>
  <c r="O2439" i="2"/>
  <c r="M2439" i="2"/>
  <c r="L2439" i="2"/>
  <c r="E2439" i="2"/>
  <c r="D2439" i="2"/>
  <c r="B2439" i="2"/>
  <c r="A2439" i="2"/>
  <c r="O2438" i="2"/>
  <c r="M2438" i="2"/>
  <c r="L2438" i="2"/>
  <c r="E2438" i="2"/>
  <c r="D2438" i="2"/>
  <c r="B2438" i="2"/>
  <c r="A2438" i="2"/>
  <c r="O2437" i="2"/>
  <c r="O2436" i="2"/>
  <c r="M2436" i="2"/>
  <c r="L2436" i="2"/>
  <c r="E2436" i="2"/>
  <c r="D2436" i="2"/>
  <c r="B2436" i="2"/>
  <c r="A2436" i="2"/>
  <c r="O2435" i="2"/>
  <c r="O2434" i="2"/>
  <c r="O2433" i="2"/>
  <c r="O2432" i="2"/>
  <c r="M2432" i="2"/>
  <c r="L2432" i="2"/>
  <c r="E2432" i="2"/>
  <c r="D2432" i="2"/>
  <c r="B2432" i="2"/>
  <c r="A2432" i="2"/>
  <c r="O2431" i="2"/>
  <c r="M2431" i="2"/>
  <c r="L2431" i="2"/>
  <c r="E2431" i="2"/>
  <c r="D2431" i="2"/>
  <c r="B2431" i="2"/>
  <c r="A2431" i="2"/>
  <c r="O2430" i="2"/>
  <c r="M2430" i="2"/>
  <c r="L2430" i="2"/>
  <c r="E2430" i="2"/>
  <c r="D2430" i="2"/>
  <c r="B2430" i="2"/>
  <c r="A2430" i="2"/>
  <c r="O2429" i="2"/>
  <c r="M2429" i="2"/>
  <c r="L2429" i="2"/>
  <c r="E2429" i="2"/>
  <c r="D2429" i="2"/>
  <c r="B2429" i="2"/>
  <c r="A2429" i="2"/>
  <c r="O2428" i="2"/>
  <c r="M2428" i="2"/>
  <c r="L2428" i="2"/>
  <c r="E2428" i="2"/>
  <c r="D2428" i="2"/>
  <c r="B2428" i="2"/>
  <c r="A2428" i="2"/>
  <c r="O2427" i="2"/>
  <c r="M2427" i="2"/>
  <c r="L2427" i="2"/>
  <c r="E2427" i="2"/>
  <c r="D2427" i="2"/>
  <c r="B2427" i="2"/>
  <c r="A2427" i="2"/>
  <c r="O2426" i="2"/>
  <c r="O2425" i="2"/>
  <c r="O2424" i="2"/>
  <c r="M2424" i="2"/>
  <c r="L2424" i="2"/>
  <c r="E2424" i="2"/>
  <c r="D2424" i="2"/>
  <c r="B2424" i="2"/>
  <c r="A2424" i="2"/>
  <c r="O2423" i="2"/>
  <c r="O2422" i="2"/>
  <c r="O2421" i="2"/>
  <c r="O2420" i="2"/>
  <c r="O2419" i="2"/>
  <c r="O2418" i="2"/>
  <c r="O2417" i="2"/>
  <c r="O2416" i="2"/>
  <c r="O2415" i="2"/>
  <c r="M2415" i="2"/>
  <c r="L2415" i="2"/>
  <c r="E2415" i="2"/>
  <c r="D2415" i="2"/>
  <c r="B2415" i="2"/>
  <c r="A2415" i="2"/>
  <c r="O2414" i="2"/>
  <c r="M2414" i="2"/>
  <c r="L2414" i="2"/>
  <c r="E2414" i="2"/>
  <c r="D2414" i="2"/>
  <c r="B2414" i="2"/>
  <c r="A2414" i="2"/>
  <c r="O2413" i="2"/>
  <c r="O2412" i="2"/>
  <c r="M2412" i="2"/>
  <c r="L2412" i="2"/>
  <c r="E2412" i="2"/>
  <c r="D2412" i="2"/>
  <c r="B2412" i="2"/>
  <c r="A2412" i="2"/>
  <c r="O2411" i="2"/>
  <c r="O2410" i="2"/>
  <c r="O2409" i="2"/>
  <c r="M2409" i="2"/>
  <c r="L2409" i="2"/>
  <c r="E2409" i="2"/>
  <c r="D2409" i="2"/>
  <c r="B2409" i="2"/>
  <c r="A2409" i="2"/>
  <c r="O2408" i="2"/>
  <c r="O2407" i="2"/>
  <c r="M2407" i="2"/>
  <c r="L2407" i="2"/>
  <c r="E2407" i="2"/>
  <c r="D2407" i="2"/>
  <c r="B2407" i="2"/>
  <c r="A2407" i="2"/>
  <c r="O2406" i="2"/>
  <c r="M2406" i="2"/>
  <c r="L2406" i="2"/>
  <c r="E2406" i="2"/>
  <c r="D2406" i="2"/>
  <c r="B2406" i="2"/>
  <c r="A2406" i="2"/>
  <c r="O2405" i="2"/>
  <c r="O2404" i="2"/>
  <c r="M2404" i="2"/>
  <c r="L2404" i="2"/>
  <c r="E2404" i="2"/>
  <c r="D2404" i="2"/>
  <c r="B2404" i="2"/>
  <c r="A2404" i="2"/>
  <c r="O2403" i="2"/>
  <c r="M2403" i="2"/>
  <c r="L2403" i="2"/>
  <c r="E2403" i="2"/>
  <c r="D2403" i="2"/>
  <c r="B2403" i="2"/>
  <c r="A2403" i="2"/>
  <c r="O2402" i="2"/>
  <c r="M2402" i="2"/>
  <c r="L2402" i="2"/>
  <c r="E2402" i="2"/>
  <c r="D2402" i="2"/>
  <c r="B2402" i="2"/>
  <c r="A2402" i="2"/>
  <c r="O2401" i="2"/>
  <c r="M2401" i="2"/>
  <c r="L2401" i="2"/>
  <c r="E2401" i="2"/>
  <c r="D2401" i="2"/>
  <c r="B2401" i="2"/>
  <c r="A2401" i="2"/>
  <c r="O2400" i="2"/>
  <c r="M2400" i="2"/>
  <c r="L2400" i="2"/>
  <c r="E2400" i="2"/>
  <c r="D2400" i="2"/>
  <c r="B2400" i="2"/>
  <c r="A2400" i="2"/>
  <c r="O2399" i="2"/>
  <c r="M2399" i="2"/>
  <c r="L2399" i="2"/>
  <c r="E2399" i="2"/>
  <c r="D2399" i="2"/>
  <c r="B2399" i="2"/>
  <c r="A2399" i="2"/>
  <c r="O2398" i="2"/>
  <c r="M2398" i="2"/>
  <c r="L2398" i="2"/>
  <c r="E2398" i="2"/>
  <c r="D2398" i="2"/>
  <c r="B2398" i="2"/>
  <c r="A2398" i="2"/>
  <c r="O2397" i="2"/>
  <c r="M2397" i="2"/>
  <c r="L2397" i="2"/>
  <c r="E2397" i="2"/>
  <c r="D2397" i="2"/>
  <c r="B2397" i="2"/>
  <c r="A2397" i="2"/>
  <c r="O2396" i="2"/>
  <c r="M2396" i="2"/>
  <c r="L2396" i="2"/>
  <c r="E2396" i="2"/>
  <c r="D2396" i="2"/>
  <c r="B2396" i="2"/>
  <c r="A2396" i="2"/>
  <c r="O2395" i="2"/>
  <c r="O2394" i="2"/>
  <c r="O2393" i="2"/>
  <c r="M2393" i="2"/>
  <c r="L2393" i="2"/>
  <c r="E2393" i="2"/>
  <c r="D2393" i="2"/>
  <c r="B2393" i="2"/>
  <c r="A2393" i="2"/>
  <c r="O2392" i="2"/>
  <c r="M2392" i="2"/>
  <c r="L2392" i="2"/>
  <c r="E2392" i="2"/>
  <c r="D2392" i="2"/>
  <c r="B2392" i="2"/>
  <c r="A2392" i="2"/>
  <c r="O2391" i="2"/>
  <c r="M2391" i="2"/>
  <c r="L2391" i="2"/>
  <c r="E2391" i="2"/>
  <c r="D2391" i="2"/>
  <c r="B2391" i="2"/>
  <c r="A2391" i="2"/>
  <c r="O2390" i="2"/>
  <c r="M2390" i="2"/>
  <c r="L2390" i="2"/>
  <c r="E2390" i="2"/>
  <c r="D2390" i="2"/>
  <c r="B2390" i="2"/>
  <c r="A2390" i="2"/>
  <c r="O2389" i="2"/>
  <c r="M2389" i="2"/>
  <c r="L2389" i="2"/>
  <c r="E2389" i="2"/>
  <c r="D2389" i="2"/>
  <c r="B2389" i="2"/>
  <c r="A2389" i="2"/>
  <c r="O2388" i="2"/>
  <c r="O2387" i="2"/>
  <c r="M2387" i="2"/>
  <c r="L2387" i="2"/>
  <c r="E2387" i="2"/>
  <c r="D2387" i="2"/>
  <c r="B2387" i="2"/>
  <c r="A2387" i="2"/>
  <c r="O2386" i="2"/>
  <c r="M2386" i="2"/>
  <c r="L2386" i="2"/>
  <c r="E2386" i="2"/>
  <c r="D2386" i="2"/>
  <c r="B2386" i="2"/>
  <c r="A2386" i="2"/>
  <c r="O2385" i="2"/>
  <c r="O2384" i="2"/>
  <c r="O2383" i="2"/>
  <c r="O2382" i="2"/>
  <c r="O2381" i="2"/>
  <c r="M2381" i="2"/>
  <c r="L2381" i="2"/>
  <c r="E2381" i="2"/>
  <c r="D2381" i="2"/>
  <c r="B2381" i="2"/>
  <c r="A2381" i="2"/>
  <c r="O2380" i="2"/>
  <c r="O2379" i="2"/>
  <c r="M2379" i="2"/>
  <c r="L2379" i="2"/>
  <c r="E2379" i="2"/>
  <c r="D2379" i="2"/>
  <c r="B2379" i="2"/>
  <c r="A2379" i="2"/>
  <c r="O2378" i="2"/>
  <c r="M2378" i="2"/>
  <c r="L2378" i="2"/>
  <c r="E2378" i="2"/>
  <c r="D2378" i="2"/>
  <c r="B2378" i="2"/>
  <c r="A2378" i="2"/>
  <c r="O2377" i="2"/>
  <c r="O2376" i="2"/>
  <c r="O2375" i="2"/>
  <c r="O2374" i="2"/>
  <c r="M2374" i="2"/>
  <c r="L2374" i="2"/>
  <c r="E2374" i="2"/>
  <c r="D2374" i="2"/>
  <c r="B2374" i="2"/>
  <c r="A2374" i="2"/>
  <c r="O2373" i="2"/>
  <c r="M2373" i="2"/>
  <c r="L2373" i="2"/>
  <c r="E2373" i="2"/>
  <c r="D2373" i="2"/>
  <c r="B2373" i="2"/>
  <c r="A2373" i="2"/>
  <c r="O2372" i="2"/>
  <c r="O2371" i="2"/>
  <c r="M2371" i="2"/>
  <c r="L2371" i="2"/>
  <c r="E2371" i="2"/>
  <c r="D2371" i="2"/>
  <c r="B2371" i="2"/>
  <c r="A2371" i="2"/>
  <c r="O2370" i="2"/>
  <c r="O2369" i="2"/>
  <c r="M2369" i="2"/>
  <c r="L2369" i="2"/>
  <c r="E2369" i="2"/>
  <c r="D2369" i="2"/>
  <c r="B2369" i="2"/>
  <c r="A2369" i="2"/>
  <c r="O2368" i="2"/>
  <c r="O2367" i="2"/>
  <c r="O2366" i="2"/>
  <c r="M2366" i="2"/>
  <c r="L2366" i="2"/>
  <c r="E2366" i="2"/>
  <c r="D2366" i="2"/>
  <c r="B2366" i="2"/>
  <c r="A2366" i="2"/>
  <c r="O2365" i="2"/>
  <c r="O2364" i="2"/>
  <c r="M2364" i="2"/>
  <c r="L2364" i="2"/>
  <c r="E2364" i="2"/>
  <c r="D2364" i="2"/>
  <c r="B2364" i="2"/>
  <c r="A2364" i="2"/>
  <c r="O2363" i="2"/>
  <c r="M2363" i="2"/>
  <c r="L2363" i="2"/>
  <c r="E2363" i="2"/>
  <c r="D2363" i="2"/>
  <c r="B2363" i="2"/>
  <c r="A2363" i="2"/>
  <c r="O2362" i="2"/>
  <c r="O2361" i="2"/>
  <c r="O2360" i="2"/>
  <c r="M2360" i="2"/>
  <c r="L2360" i="2"/>
  <c r="E2360" i="2"/>
  <c r="D2360" i="2"/>
  <c r="B2360" i="2"/>
  <c r="A2360" i="2"/>
  <c r="O2359" i="2"/>
  <c r="M2359" i="2"/>
  <c r="L2359" i="2"/>
  <c r="E2359" i="2"/>
  <c r="D2359" i="2"/>
  <c r="B2359" i="2"/>
  <c r="A2359" i="2"/>
  <c r="O2358" i="2"/>
  <c r="M2358" i="2"/>
  <c r="L2358" i="2"/>
  <c r="E2358" i="2"/>
  <c r="D2358" i="2"/>
  <c r="B2358" i="2"/>
  <c r="A2358" i="2"/>
  <c r="O2357" i="2"/>
  <c r="M2357" i="2"/>
  <c r="L2357" i="2"/>
  <c r="E2357" i="2"/>
  <c r="D2357" i="2"/>
  <c r="B2357" i="2"/>
  <c r="A2357" i="2"/>
  <c r="O2356" i="2"/>
  <c r="M2356" i="2"/>
  <c r="L2356" i="2"/>
  <c r="E2356" i="2"/>
  <c r="D2356" i="2"/>
  <c r="B2356" i="2"/>
  <c r="A2356" i="2"/>
  <c r="O2355" i="2"/>
  <c r="M2355" i="2"/>
  <c r="L2355" i="2"/>
  <c r="E2355" i="2"/>
  <c r="D2355" i="2"/>
  <c r="B2355" i="2"/>
  <c r="A2355" i="2"/>
  <c r="O2354" i="2"/>
  <c r="M2354" i="2"/>
  <c r="L2354" i="2"/>
  <c r="E2354" i="2"/>
  <c r="D2354" i="2"/>
  <c r="B2354" i="2"/>
  <c r="A2354" i="2"/>
  <c r="O2353" i="2"/>
  <c r="O2352" i="2"/>
  <c r="M2352" i="2"/>
  <c r="L2352" i="2"/>
  <c r="E2352" i="2"/>
  <c r="D2352" i="2"/>
  <c r="B2352" i="2"/>
  <c r="A2352" i="2"/>
  <c r="O2351" i="2"/>
  <c r="O2350" i="2"/>
  <c r="O2349" i="2"/>
  <c r="M2349" i="2"/>
  <c r="L2349" i="2"/>
  <c r="E2349" i="2"/>
  <c r="D2349" i="2"/>
  <c r="B2349" i="2"/>
  <c r="A2349" i="2"/>
  <c r="O2348" i="2"/>
  <c r="O2347" i="2"/>
  <c r="O2346" i="2"/>
  <c r="O2345" i="2"/>
  <c r="M2345" i="2"/>
  <c r="L2345" i="2"/>
  <c r="E2345" i="2"/>
  <c r="D2345" i="2"/>
  <c r="B2345" i="2"/>
  <c r="A2345" i="2"/>
  <c r="O2344" i="2"/>
  <c r="M2344" i="2"/>
  <c r="L2344" i="2"/>
  <c r="E2344" i="2"/>
  <c r="D2344" i="2"/>
  <c r="B2344" i="2"/>
  <c r="A2344" i="2"/>
  <c r="O2343" i="2"/>
  <c r="O2342" i="2"/>
  <c r="M2342" i="2"/>
  <c r="L2342" i="2"/>
  <c r="E2342" i="2"/>
  <c r="D2342" i="2"/>
  <c r="B2342" i="2"/>
  <c r="A2342" i="2"/>
  <c r="O2341" i="2"/>
  <c r="M2341" i="2"/>
  <c r="L2341" i="2"/>
  <c r="E2341" i="2"/>
  <c r="D2341" i="2"/>
  <c r="B2341" i="2"/>
  <c r="A2341" i="2"/>
  <c r="O2340" i="2"/>
  <c r="O2339" i="2"/>
  <c r="O2338" i="2"/>
  <c r="O2337" i="2"/>
  <c r="O2336" i="2"/>
  <c r="O2335" i="2"/>
  <c r="O2334" i="2"/>
  <c r="M2334" i="2"/>
  <c r="L2334" i="2"/>
  <c r="E2334" i="2"/>
  <c r="D2334" i="2"/>
  <c r="B2334" i="2"/>
  <c r="A2334" i="2"/>
  <c r="O2333" i="2"/>
  <c r="M2333" i="2"/>
  <c r="L2333" i="2"/>
  <c r="E2333" i="2"/>
  <c r="D2333" i="2"/>
  <c r="B2333" i="2"/>
  <c r="A2333" i="2"/>
  <c r="O2332" i="2"/>
  <c r="O2331" i="2"/>
  <c r="M2331" i="2"/>
  <c r="L2331" i="2"/>
  <c r="E2331" i="2"/>
  <c r="D2331" i="2"/>
  <c r="B2331" i="2"/>
  <c r="A2331" i="2"/>
  <c r="O2330" i="2"/>
  <c r="M2330" i="2"/>
  <c r="L2330" i="2"/>
  <c r="E2330" i="2"/>
  <c r="D2330" i="2"/>
  <c r="B2330" i="2"/>
  <c r="A2330" i="2"/>
  <c r="O2329" i="2"/>
  <c r="O2328" i="2"/>
  <c r="O2327" i="2"/>
  <c r="O2326" i="2"/>
  <c r="O2325" i="2"/>
  <c r="O2324" i="2"/>
  <c r="O2323" i="2"/>
  <c r="O2322" i="2"/>
  <c r="O2321" i="2"/>
  <c r="O2320" i="2"/>
  <c r="O2319" i="2"/>
  <c r="O2318" i="2"/>
  <c r="O2317" i="2"/>
  <c r="O2316" i="2"/>
  <c r="O2315" i="2"/>
  <c r="M2315" i="2"/>
  <c r="L2315" i="2"/>
  <c r="E2315" i="2"/>
  <c r="D2315" i="2"/>
  <c r="B2315" i="2"/>
  <c r="A2315" i="2"/>
  <c r="O2314" i="2"/>
  <c r="M2314" i="2"/>
  <c r="L2314" i="2"/>
  <c r="E2314" i="2"/>
  <c r="D2314" i="2"/>
  <c r="B2314" i="2"/>
  <c r="A2314" i="2"/>
  <c r="O2313" i="2"/>
  <c r="O2312" i="2"/>
  <c r="O2311" i="2"/>
  <c r="M2311" i="2"/>
  <c r="L2311" i="2"/>
  <c r="E2311" i="2"/>
  <c r="D2311" i="2"/>
  <c r="B2311" i="2"/>
  <c r="A2311" i="2"/>
  <c r="O2310" i="2"/>
  <c r="M2310" i="2"/>
  <c r="L2310" i="2"/>
  <c r="E2310" i="2"/>
  <c r="D2310" i="2"/>
  <c r="B2310" i="2"/>
  <c r="A2310" i="2"/>
  <c r="O2309" i="2"/>
  <c r="M2309" i="2"/>
  <c r="L2309" i="2"/>
  <c r="E2309" i="2"/>
  <c r="D2309" i="2"/>
  <c r="B2309" i="2"/>
  <c r="A2309" i="2"/>
  <c r="O2308" i="2"/>
  <c r="O2307" i="2"/>
  <c r="M2307" i="2"/>
  <c r="L2307" i="2"/>
  <c r="E2307" i="2"/>
  <c r="D2307" i="2"/>
  <c r="B2307" i="2"/>
  <c r="A2307" i="2"/>
  <c r="O2306" i="2"/>
  <c r="M2306" i="2"/>
  <c r="L2306" i="2"/>
  <c r="E2306" i="2"/>
  <c r="D2306" i="2"/>
  <c r="B2306" i="2"/>
  <c r="A2306" i="2"/>
  <c r="O2305" i="2"/>
  <c r="M2305" i="2"/>
  <c r="L2305" i="2"/>
  <c r="E2305" i="2"/>
  <c r="D2305" i="2"/>
  <c r="B2305" i="2"/>
  <c r="A2305" i="2"/>
  <c r="O2304" i="2"/>
  <c r="O2303" i="2"/>
  <c r="M2303" i="2"/>
  <c r="L2303" i="2"/>
  <c r="E2303" i="2"/>
  <c r="D2303" i="2"/>
  <c r="B2303" i="2"/>
  <c r="A2303" i="2"/>
  <c r="O2302" i="2"/>
  <c r="O2301" i="2"/>
  <c r="O2300" i="2"/>
  <c r="M2300" i="2"/>
  <c r="L2300" i="2"/>
  <c r="E2300" i="2"/>
  <c r="D2300" i="2"/>
  <c r="B2300" i="2"/>
  <c r="A2300" i="2"/>
  <c r="O2299" i="2"/>
  <c r="M2299" i="2"/>
  <c r="L2299" i="2"/>
  <c r="E2299" i="2"/>
  <c r="D2299" i="2"/>
  <c r="B2299" i="2"/>
  <c r="A2299" i="2"/>
  <c r="O2298" i="2"/>
  <c r="M2298" i="2"/>
  <c r="L2298" i="2"/>
  <c r="E2298" i="2"/>
  <c r="D2298" i="2"/>
  <c r="B2298" i="2"/>
  <c r="A2298" i="2"/>
  <c r="O2297" i="2"/>
  <c r="M2297" i="2"/>
  <c r="L2297" i="2"/>
  <c r="E2297" i="2"/>
  <c r="D2297" i="2"/>
  <c r="B2297" i="2"/>
  <c r="A2297" i="2"/>
  <c r="O2296" i="2"/>
  <c r="O2295" i="2"/>
  <c r="O2294" i="2"/>
  <c r="O2293" i="2"/>
  <c r="O2292" i="2"/>
  <c r="O2291" i="2"/>
  <c r="O2290" i="2"/>
  <c r="M2290" i="2"/>
  <c r="L2290" i="2"/>
  <c r="E2290" i="2"/>
  <c r="D2290" i="2"/>
  <c r="B2290" i="2"/>
  <c r="A2290" i="2"/>
  <c r="O2289" i="2"/>
  <c r="O2288" i="2"/>
  <c r="M2288" i="2"/>
  <c r="L2288" i="2"/>
  <c r="E2288" i="2"/>
  <c r="D2288" i="2"/>
  <c r="B2288" i="2"/>
  <c r="A2288" i="2"/>
  <c r="O2287" i="2"/>
  <c r="M2287" i="2"/>
  <c r="L2287" i="2"/>
  <c r="E2287" i="2"/>
  <c r="D2287" i="2"/>
  <c r="B2287" i="2"/>
  <c r="A2287" i="2"/>
  <c r="O2286" i="2"/>
  <c r="O2285" i="2"/>
  <c r="O2284" i="2"/>
  <c r="O2283" i="2"/>
  <c r="M2283" i="2"/>
  <c r="L2283" i="2"/>
  <c r="E2283" i="2"/>
  <c r="D2283" i="2"/>
  <c r="B2283" i="2"/>
  <c r="A2283" i="2"/>
  <c r="O2282" i="2"/>
  <c r="M2282" i="2"/>
  <c r="L2282" i="2"/>
  <c r="E2282" i="2"/>
  <c r="D2282" i="2"/>
  <c r="B2282" i="2"/>
  <c r="A2282" i="2"/>
  <c r="O2281" i="2"/>
  <c r="O2280" i="2"/>
  <c r="M2280" i="2"/>
  <c r="L2280" i="2"/>
  <c r="E2280" i="2"/>
  <c r="D2280" i="2"/>
  <c r="B2280" i="2"/>
  <c r="A2280" i="2"/>
  <c r="O2279" i="2"/>
  <c r="M2279" i="2"/>
  <c r="L2279" i="2"/>
  <c r="E2279" i="2"/>
  <c r="D2279" i="2"/>
  <c r="B2279" i="2"/>
  <c r="A2279" i="2"/>
  <c r="O2278" i="2"/>
  <c r="O2277" i="2"/>
  <c r="O2276" i="2"/>
  <c r="M2276" i="2"/>
  <c r="L2276" i="2"/>
  <c r="E2276" i="2"/>
  <c r="D2276" i="2"/>
  <c r="B2276" i="2"/>
  <c r="A2276" i="2"/>
  <c r="O2275" i="2"/>
  <c r="O2274" i="2"/>
  <c r="M2274" i="2"/>
  <c r="L2274" i="2"/>
  <c r="E2274" i="2"/>
  <c r="D2274" i="2"/>
  <c r="B2274" i="2"/>
  <c r="A2274" i="2"/>
  <c r="O2273" i="2"/>
  <c r="O2272" i="2"/>
  <c r="O2271" i="2"/>
  <c r="M2271" i="2"/>
  <c r="L2271" i="2"/>
  <c r="E2271" i="2"/>
  <c r="D2271" i="2"/>
  <c r="B2271" i="2"/>
  <c r="A2271" i="2"/>
  <c r="O2270" i="2"/>
  <c r="M2270" i="2"/>
  <c r="L2270" i="2"/>
  <c r="E2270" i="2"/>
  <c r="D2270" i="2"/>
  <c r="B2270" i="2"/>
  <c r="A2270" i="2"/>
  <c r="O2269" i="2"/>
  <c r="M2269" i="2"/>
  <c r="L2269" i="2"/>
  <c r="E2269" i="2"/>
  <c r="D2269" i="2"/>
  <c r="B2269" i="2"/>
  <c r="A2269" i="2"/>
  <c r="O2268" i="2"/>
  <c r="M2268" i="2"/>
  <c r="L2268" i="2"/>
  <c r="E2268" i="2"/>
  <c r="D2268" i="2"/>
  <c r="B2268" i="2"/>
  <c r="A2268" i="2"/>
  <c r="O2267" i="2"/>
  <c r="O2266" i="2"/>
  <c r="M2266" i="2"/>
  <c r="L2266" i="2"/>
  <c r="E2266" i="2"/>
  <c r="D2266" i="2"/>
  <c r="B2266" i="2"/>
  <c r="A2266" i="2"/>
  <c r="O2265" i="2"/>
  <c r="O2264" i="2"/>
  <c r="O2263" i="2"/>
  <c r="O2262" i="2"/>
  <c r="M2262" i="2"/>
  <c r="L2262" i="2"/>
  <c r="E2262" i="2"/>
  <c r="D2262" i="2"/>
  <c r="B2262" i="2"/>
  <c r="A2262" i="2"/>
  <c r="O2261" i="2"/>
  <c r="O2260" i="2"/>
  <c r="O2259" i="2"/>
  <c r="O2258" i="2"/>
  <c r="O2257" i="2"/>
  <c r="M2257" i="2"/>
  <c r="L2257" i="2"/>
  <c r="E2257" i="2"/>
  <c r="D2257" i="2"/>
  <c r="B2257" i="2"/>
  <c r="A2257" i="2"/>
  <c r="O2256" i="2"/>
  <c r="O2255" i="2"/>
  <c r="M2255" i="2"/>
  <c r="L2255" i="2"/>
  <c r="E2255" i="2"/>
  <c r="D2255" i="2"/>
  <c r="B2255" i="2"/>
  <c r="A2255" i="2"/>
  <c r="O2254" i="2"/>
  <c r="O2253" i="2"/>
  <c r="O2252" i="2"/>
  <c r="M2252" i="2"/>
  <c r="L2252" i="2"/>
  <c r="E2252" i="2"/>
  <c r="D2252" i="2"/>
  <c r="B2252" i="2"/>
  <c r="A2252" i="2"/>
  <c r="O2251" i="2"/>
  <c r="O2250" i="2"/>
  <c r="M2250" i="2"/>
  <c r="L2250" i="2"/>
  <c r="E2250" i="2"/>
  <c r="D2250" i="2"/>
  <c r="B2250" i="2"/>
  <c r="A2250" i="2"/>
  <c r="O2249" i="2"/>
  <c r="O2248" i="2"/>
  <c r="O2247" i="2"/>
  <c r="O2246" i="2"/>
  <c r="O2245" i="2"/>
  <c r="M2245" i="2"/>
  <c r="L2245" i="2"/>
  <c r="E2245" i="2"/>
  <c r="D2245" i="2"/>
  <c r="B2245" i="2"/>
  <c r="A2245" i="2"/>
  <c r="O2244" i="2"/>
  <c r="M2244" i="2"/>
  <c r="L2244" i="2"/>
  <c r="E2244" i="2"/>
  <c r="D2244" i="2"/>
  <c r="B2244" i="2"/>
  <c r="A2244" i="2"/>
  <c r="O2243" i="2"/>
  <c r="O2242" i="2"/>
  <c r="M2242" i="2"/>
  <c r="L2242" i="2"/>
  <c r="E2242" i="2"/>
  <c r="D2242" i="2"/>
  <c r="B2242" i="2"/>
  <c r="A2242" i="2"/>
  <c r="O2241" i="2"/>
  <c r="M2241" i="2"/>
  <c r="L2241" i="2"/>
  <c r="E2241" i="2"/>
  <c r="D2241" i="2"/>
  <c r="B2241" i="2"/>
  <c r="A2241" i="2"/>
  <c r="O2240" i="2"/>
  <c r="M2240" i="2"/>
  <c r="L2240" i="2"/>
  <c r="E2240" i="2"/>
  <c r="D2240" i="2"/>
  <c r="B2240" i="2"/>
  <c r="A2240" i="2"/>
  <c r="O2239" i="2"/>
  <c r="M2239" i="2"/>
  <c r="L2239" i="2"/>
  <c r="E2239" i="2"/>
  <c r="D2239" i="2"/>
  <c r="B2239" i="2"/>
  <c r="A2239" i="2"/>
  <c r="O2238" i="2"/>
  <c r="O2237" i="2"/>
  <c r="O2236" i="2"/>
  <c r="M2236" i="2"/>
  <c r="L2236" i="2"/>
  <c r="E2236" i="2"/>
  <c r="D2236" i="2"/>
  <c r="B2236" i="2"/>
  <c r="A2236" i="2"/>
  <c r="O2235" i="2"/>
  <c r="O2234" i="2"/>
  <c r="O2233" i="2"/>
  <c r="O2232" i="2"/>
  <c r="M2232" i="2"/>
  <c r="L2232" i="2"/>
  <c r="E2232" i="2"/>
  <c r="D2232" i="2"/>
  <c r="B2232" i="2"/>
  <c r="A2232" i="2"/>
  <c r="O2231" i="2"/>
  <c r="O2230" i="2"/>
  <c r="O2229" i="2"/>
  <c r="M2229" i="2"/>
  <c r="L2229" i="2"/>
  <c r="E2229" i="2"/>
  <c r="D2229" i="2"/>
  <c r="B2229" i="2"/>
  <c r="A2229" i="2"/>
  <c r="O2228" i="2"/>
  <c r="O2227" i="2"/>
  <c r="M2227" i="2"/>
  <c r="L2227" i="2"/>
  <c r="E2227" i="2"/>
  <c r="D2227" i="2"/>
  <c r="B2227" i="2"/>
  <c r="A2227" i="2"/>
  <c r="O2226" i="2"/>
  <c r="O2225" i="2"/>
  <c r="O2224" i="2"/>
  <c r="O2223" i="2"/>
  <c r="O2222" i="2"/>
  <c r="O2221" i="2"/>
  <c r="O2220" i="2"/>
  <c r="M2220" i="2"/>
  <c r="L2220" i="2"/>
  <c r="E2220" i="2"/>
  <c r="D2220" i="2"/>
  <c r="B2220" i="2"/>
  <c r="A2220" i="2"/>
  <c r="O2219" i="2"/>
  <c r="M2219" i="2"/>
  <c r="L2219" i="2"/>
  <c r="E2219" i="2"/>
  <c r="D2219" i="2"/>
  <c r="B2219" i="2"/>
  <c r="A2219" i="2"/>
  <c r="O2218" i="2"/>
  <c r="O2217" i="2"/>
  <c r="M2217" i="2"/>
  <c r="L2217" i="2"/>
  <c r="E2217" i="2"/>
  <c r="D2217" i="2"/>
  <c r="B2217" i="2"/>
  <c r="A2217" i="2"/>
  <c r="O2216" i="2"/>
  <c r="O2215" i="2"/>
  <c r="O2214" i="2"/>
  <c r="O2213" i="2"/>
  <c r="M2213" i="2"/>
  <c r="L2213" i="2"/>
  <c r="E2213" i="2"/>
  <c r="D2213" i="2"/>
  <c r="B2213" i="2"/>
  <c r="A2213" i="2"/>
  <c r="O2212" i="2"/>
  <c r="O2211" i="2"/>
  <c r="O2210" i="2"/>
  <c r="O2209" i="2"/>
  <c r="O2208" i="2"/>
  <c r="O2207" i="2"/>
  <c r="O2206" i="2"/>
  <c r="M2206" i="2"/>
  <c r="L2206" i="2"/>
  <c r="E2206" i="2"/>
  <c r="D2206" i="2"/>
  <c r="B2206" i="2"/>
  <c r="A2206" i="2"/>
  <c r="O2205" i="2"/>
  <c r="O2204" i="2"/>
  <c r="O2203" i="2"/>
  <c r="M2203" i="2"/>
  <c r="L2203" i="2"/>
  <c r="E2203" i="2"/>
  <c r="D2203" i="2"/>
  <c r="B2203" i="2"/>
  <c r="A2203" i="2"/>
  <c r="O2202" i="2"/>
  <c r="O2201" i="2"/>
  <c r="M2201" i="2"/>
  <c r="L2201" i="2"/>
  <c r="E2201" i="2"/>
  <c r="D2201" i="2"/>
  <c r="B2201" i="2"/>
  <c r="A2201" i="2"/>
  <c r="O2200" i="2"/>
  <c r="M2200" i="2"/>
  <c r="L2200" i="2"/>
  <c r="E2200" i="2"/>
  <c r="D2200" i="2"/>
  <c r="B2200" i="2"/>
  <c r="A2200" i="2"/>
  <c r="O2199" i="2"/>
  <c r="M2199" i="2"/>
  <c r="L2199" i="2"/>
  <c r="E2199" i="2"/>
  <c r="D2199" i="2"/>
  <c r="B2199" i="2"/>
  <c r="A2199" i="2"/>
  <c r="O2198" i="2"/>
  <c r="O2197" i="2"/>
  <c r="O2196" i="2"/>
  <c r="O2195" i="2"/>
  <c r="M2195" i="2"/>
  <c r="L2195" i="2"/>
  <c r="E2195" i="2"/>
  <c r="D2195" i="2"/>
  <c r="B2195" i="2"/>
  <c r="A2195" i="2"/>
  <c r="O2194" i="2"/>
  <c r="O2193" i="2"/>
  <c r="M2193" i="2"/>
  <c r="L2193" i="2"/>
  <c r="E2193" i="2"/>
  <c r="D2193" i="2"/>
  <c r="B2193" i="2"/>
  <c r="A2193" i="2"/>
  <c r="O2192" i="2"/>
  <c r="M2192" i="2"/>
  <c r="L2192" i="2"/>
  <c r="E2192" i="2"/>
  <c r="D2192" i="2"/>
  <c r="B2192" i="2"/>
  <c r="A2192" i="2"/>
  <c r="O2191" i="2"/>
  <c r="O2190" i="2"/>
  <c r="O2189" i="2"/>
  <c r="O2188" i="2"/>
  <c r="M2188" i="2"/>
  <c r="L2188" i="2"/>
  <c r="E2188" i="2"/>
  <c r="D2188" i="2"/>
  <c r="B2188" i="2"/>
  <c r="A2188" i="2"/>
  <c r="O2187" i="2"/>
  <c r="M2187" i="2"/>
  <c r="L2187" i="2"/>
  <c r="E2187" i="2"/>
  <c r="D2187" i="2"/>
  <c r="B2187" i="2"/>
  <c r="A2187" i="2"/>
  <c r="O2186" i="2"/>
  <c r="M2186" i="2"/>
  <c r="L2186" i="2"/>
  <c r="E2186" i="2"/>
  <c r="D2186" i="2"/>
  <c r="B2186" i="2"/>
  <c r="A2186" i="2"/>
  <c r="O2185" i="2"/>
  <c r="O2184" i="2"/>
  <c r="M2184" i="2"/>
  <c r="L2184" i="2"/>
  <c r="E2184" i="2"/>
  <c r="D2184" i="2"/>
  <c r="B2184" i="2"/>
  <c r="A2184" i="2"/>
  <c r="O2183" i="2"/>
  <c r="M2183" i="2"/>
  <c r="L2183" i="2"/>
  <c r="E2183" i="2"/>
  <c r="D2183" i="2"/>
  <c r="B2183" i="2"/>
  <c r="A2183" i="2"/>
  <c r="O2182" i="2"/>
  <c r="M2182" i="2"/>
  <c r="L2182" i="2"/>
  <c r="E2182" i="2"/>
  <c r="D2182" i="2"/>
  <c r="B2182" i="2"/>
  <c r="A2182" i="2"/>
  <c r="O2181" i="2"/>
  <c r="O2180" i="2"/>
  <c r="M2180" i="2"/>
  <c r="L2180" i="2"/>
  <c r="E2180" i="2"/>
  <c r="D2180" i="2"/>
  <c r="B2180" i="2"/>
  <c r="A2180" i="2"/>
  <c r="O2179" i="2"/>
  <c r="O2178" i="2"/>
  <c r="M2178" i="2"/>
  <c r="L2178" i="2"/>
  <c r="E2178" i="2"/>
  <c r="D2178" i="2"/>
  <c r="B2178" i="2"/>
  <c r="A2178" i="2"/>
  <c r="O2177" i="2"/>
  <c r="O2176" i="2"/>
  <c r="O2175" i="2"/>
  <c r="O2174" i="2"/>
  <c r="O2173" i="2"/>
  <c r="O2172" i="2"/>
  <c r="O2171" i="2"/>
  <c r="M2171" i="2"/>
  <c r="L2171" i="2"/>
  <c r="E2171" i="2"/>
  <c r="D2171" i="2"/>
  <c r="B2171" i="2"/>
  <c r="A2171" i="2"/>
  <c r="O2170" i="2"/>
  <c r="O2169" i="2"/>
  <c r="O2168" i="2"/>
  <c r="O2167" i="2"/>
  <c r="M2167" i="2"/>
  <c r="L2167" i="2"/>
  <c r="E2167" i="2"/>
  <c r="D2167" i="2"/>
  <c r="B2167" i="2"/>
  <c r="A2167" i="2"/>
  <c r="O2166" i="2"/>
  <c r="O2165" i="2"/>
  <c r="O2164" i="2"/>
  <c r="O2163" i="2"/>
  <c r="O2162" i="2"/>
  <c r="M2162" i="2"/>
  <c r="L2162" i="2"/>
  <c r="E2162" i="2"/>
  <c r="D2162" i="2"/>
  <c r="B2162" i="2"/>
  <c r="A2162" i="2"/>
  <c r="O2161" i="2"/>
  <c r="M2161" i="2"/>
  <c r="L2161" i="2"/>
  <c r="E2161" i="2"/>
  <c r="D2161" i="2"/>
  <c r="B2161" i="2"/>
  <c r="A2161" i="2"/>
  <c r="O2160" i="2"/>
  <c r="O2159" i="2"/>
  <c r="M2159" i="2"/>
  <c r="L2159" i="2"/>
  <c r="E2159" i="2"/>
  <c r="D2159" i="2"/>
  <c r="B2159" i="2"/>
  <c r="A2159" i="2"/>
  <c r="O2158" i="2"/>
  <c r="O2157" i="2"/>
  <c r="O2156" i="2"/>
  <c r="O2155" i="2"/>
  <c r="O2154" i="2"/>
  <c r="M2154" i="2"/>
  <c r="L2154" i="2"/>
  <c r="E2154" i="2"/>
  <c r="D2154" i="2"/>
  <c r="B2154" i="2"/>
  <c r="A2154" i="2"/>
  <c r="O2153" i="2"/>
  <c r="O2152" i="2"/>
  <c r="M2152" i="2"/>
  <c r="L2152" i="2"/>
  <c r="E2152" i="2"/>
  <c r="D2152" i="2"/>
  <c r="B2152" i="2"/>
  <c r="A2152" i="2"/>
  <c r="O2151" i="2"/>
  <c r="M2151" i="2"/>
  <c r="L2151" i="2"/>
  <c r="E2151" i="2"/>
  <c r="D2151" i="2"/>
  <c r="B2151" i="2"/>
  <c r="A2151" i="2"/>
  <c r="O2150" i="2"/>
  <c r="O2149" i="2"/>
  <c r="O2148" i="2"/>
  <c r="O2147" i="2"/>
  <c r="O2146" i="2"/>
  <c r="M2146" i="2"/>
  <c r="L2146" i="2"/>
  <c r="E2146" i="2"/>
  <c r="D2146" i="2"/>
  <c r="B2146" i="2"/>
  <c r="A2146" i="2"/>
  <c r="O2145" i="2"/>
  <c r="M2145" i="2"/>
  <c r="L2145" i="2"/>
  <c r="E2145" i="2"/>
  <c r="D2145" i="2"/>
  <c r="B2145" i="2"/>
  <c r="A2145" i="2"/>
  <c r="O2144" i="2"/>
  <c r="M2144" i="2"/>
  <c r="L2144" i="2"/>
  <c r="E2144" i="2"/>
  <c r="D2144" i="2"/>
  <c r="B2144" i="2"/>
  <c r="A2144" i="2"/>
  <c r="O2143" i="2"/>
  <c r="O2142" i="2"/>
  <c r="M2142" i="2"/>
  <c r="L2142" i="2"/>
  <c r="E2142" i="2"/>
  <c r="D2142" i="2"/>
  <c r="B2142" i="2"/>
  <c r="A2142" i="2"/>
  <c r="O2141" i="2"/>
  <c r="M2141" i="2"/>
  <c r="L2141" i="2"/>
  <c r="E2141" i="2"/>
  <c r="D2141" i="2"/>
  <c r="B2141" i="2"/>
  <c r="A2141" i="2"/>
  <c r="O2140" i="2"/>
  <c r="M2140" i="2"/>
  <c r="L2140" i="2"/>
  <c r="E2140" i="2"/>
  <c r="D2140" i="2"/>
  <c r="B2140" i="2"/>
  <c r="A2140" i="2"/>
  <c r="O2139" i="2"/>
  <c r="O2138" i="2"/>
  <c r="O2137" i="2"/>
  <c r="O2136" i="2"/>
  <c r="M2136" i="2"/>
  <c r="L2136" i="2"/>
  <c r="E2136" i="2"/>
  <c r="D2136" i="2"/>
  <c r="B2136" i="2"/>
  <c r="A2136" i="2"/>
  <c r="O2135" i="2"/>
  <c r="O2134" i="2"/>
  <c r="O2133" i="2"/>
  <c r="M2133" i="2"/>
  <c r="L2133" i="2"/>
  <c r="E2133" i="2"/>
  <c r="D2133" i="2"/>
  <c r="B2133" i="2"/>
  <c r="A2133" i="2"/>
  <c r="O2132" i="2"/>
  <c r="O2131" i="2"/>
  <c r="M2131" i="2"/>
  <c r="L2131" i="2"/>
  <c r="E2131" i="2"/>
  <c r="D2131" i="2"/>
  <c r="B2131" i="2"/>
  <c r="A2131" i="2"/>
  <c r="O2130" i="2"/>
  <c r="M2130" i="2"/>
  <c r="L2130" i="2"/>
  <c r="E2130" i="2"/>
  <c r="D2130" i="2"/>
  <c r="B2130" i="2"/>
  <c r="A2130" i="2"/>
  <c r="O2129" i="2"/>
  <c r="M2129" i="2"/>
  <c r="L2129" i="2"/>
  <c r="E2129" i="2"/>
  <c r="D2129" i="2"/>
  <c r="B2129" i="2"/>
  <c r="A2129" i="2"/>
  <c r="O2128" i="2"/>
  <c r="O2127" i="2"/>
  <c r="O2126" i="2"/>
  <c r="M2126" i="2"/>
  <c r="L2126" i="2"/>
  <c r="E2126" i="2"/>
  <c r="D2126" i="2"/>
  <c r="B2126" i="2"/>
  <c r="A2126" i="2"/>
  <c r="O2125" i="2"/>
  <c r="M2125" i="2"/>
  <c r="L2125" i="2"/>
  <c r="E2125" i="2"/>
  <c r="D2125" i="2"/>
  <c r="B2125" i="2"/>
  <c r="A2125" i="2"/>
  <c r="O2124" i="2"/>
  <c r="O2123" i="2"/>
  <c r="M2123" i="2"/>
  <c r="L2123" i="2"/>
  <c r="E2123" i="2"/>
  <c r="D2123" i="2"/>
  <c r="B2123" i="2"/>
  <c r="A2123" i="2"/>
  <c r="O2122" i="2"/>
  <c r="O2121" i="2"/>
  <c r="M2121" i="2"/>
  <c r="L2121" i="2"/>
  <c r="E2121" i="2"/>
  <c r="D2121" i="2"/>
  <c r="B2121" i="2"/>
  <c r="A2121" i="2"/>
  <c r="O2120" i="2"/>
  <c r="M2120" i="2"/>
  <c r="L2120" i="2"/>
  <c r="E2120" i="2"/>
  <c r="D2120" i="2"/>
  <c r="B2120" i="2"/>
  <c r="A2120" i="2"/>
  <c r="O2119" i="2"/>
  <c r="M2119" i="2"/>
  <c r="L2119" i="2"/>
  <c r="E2119" i="2"/>
  <c r="D2119" i="2"/>
  <c r="B2119" i="2"/>
  <c r="A2119" i="2"/>
  <c r="O2118" i="2"/>
  <c r="M2118" i="2"/>
  <c r="L2118" i="2"/>
  <c r="E2118" i="2"/>
  <c r="D2118" i="2"/>
  <c r="B2118" i="2"/>
  <c r="A2118" i="2"/>
  <c r="O2117" i="2"/>
  <c r="M2117" i="2"/>
  <c r="L2117" i="2"/>
  <c r="E2117" i="2"/>
  <c r="D2117" i="2"/>
  <c r="B2117" i="2"/>
  <c r="A2117" i="2"/>
  <c r="O2116" i="2"/>
  <c r="M2116" i="2"/>
  <c r="L2116" i="2"/>
  <c r="E2116" i="2"/>
  <c r="D2116" i="2"/>
  <c r="B2116" i="2"/>
  <c r="A2116" i="2"/>
  <c r="O2115" i="2"/>
  <c r="O2114" i="2"/>
  <c r="M2114" i="2"/>
  <c r="L2114" i="2"/>
  <c r="E2114" i="2"/>
  <c r="D2114" i="2"/>
  <c r="B2114" i="2"/>
  <c r="A2114" i="2"/>
  <c r="O2113" i="2"/>
  <c r="O2112" i="2"/>
  <c r="O2111" i="2"/>
  <c r="O2110" i="2"/>
  <c r="M2110" i="2"/>
  <c r="L2110" i="2"/>
  <c r="E2110" i="2"/>
  <c r="D2110" i="2"/>
  <c r="B2110" i="2"/>
  <c r="A2110" i="2"/>
  <c r="O2109" i="2"/>
  <c r="O2108" i="2"/>
  <c r="O2107" i="2"/>
  <c r="O2106" i="2"/>
  <c r="O2105" i="2"/>
  <c r="O2104" i="2"/>
  <c r="M2104" i="2"/>
  <c r="L2104" i="2"/>
  <c r="E2104" i="2"/>
  <c r="D2104" i="2"/>
  <c r="B2104" i="2"/>
  <c r="A2104" i="2"/>
  <c r="O2103" i="2"/>
  <c r="O2102" i="2"/>
  <c r="O2101" i="2"/>
  <c r="O2100" i="2"/>
  <c r="M2100" i="2"/>
  <c r="L2100" i="2"/>
  <c r="E2100" i="2"/>
  <c r="D2100" i="2"/>
  <c r="B2100" i="2"/>
  <c r="A2100" i="2"/>
  <c r="O2099" i="2"/>
  <c r="M2099" i="2"/>
  <c r="L2099" i="2"/>
  <c r="E2099" i="2"/>
  <c r="D2099" i="2"/>
  <c r="B2099" i="2"/>
  <c r="A2099" i="2"/>
  <c r="O2098" i="2"/>
  <c r="O2097" i="2"/>
  <c r="O2096" i="2"/>
  <c r="O2095" i="2"/>
  <c r="M2095" i="2"/>
  <c r="L2095" i="2"/>
  <c r="E2095" i="2"/>
  <c r="D2095" i="2"/>
  <c r="B2095" i="2"/>
  <c r="A2095" i="2"/>
  <c r="O2094" i="2"/>
  <c r="O2093" i="2"/>
  <c r="O2092" i="2"/>
  <c r="O2091" i="2"/>
  <c r="O2090" i="2"/>
  <c r="O2089" i="2"/>
  <c r="O2088" i="2"/>
  <c r="O2087" i="2"/>
  <c r="O2086" i="2"/>
  <c r="O2085" i="2"/>
  <c r="O2084" i="2"/>
  <c r="O2083" i="2"/>
  <c r="O2082" i="2"/>
  <c r="O2081" i="2"/>
  <c r="O2080" i="2"/>
  <c r="O2079" i="2"/>
  <c r="O2078" i="2"/>
  <c r="O2077" i="2"/>
  <c r="O2076" i="2"/>
  <c r="O2075" i="2"/>
  <c r="O2074" i="2"/>
  <c r="O2073" i="2"/>
  <c r="O2072" i="2"/>
  <c r="O2071" i="2"/>
  <c r="O2070" i="2"/>
  <c r="M2070" i="2"/>
  <c r="L2070" i="2"/>
  <c r="E2070" i="2"/>
  <c r="D2070" i="2"/>
  <c r="B2070" i="2"/>
  <c r="A2070" i="2"/>
  <c r="O2069" i="2"/>
  <c r="M2069" i="2"/>
  <c r="L2069" i="2"/>
  <c r="E2069" i="2"/>
  <c r="D2069" i="2"/>
  <c r="B2069" i="2"/>
  <c r="A2069" i="2"/>
  <c r="O2068" i="2"/>
  <c r="M2068" i="2"/>
  <c r="L2068" i="2"/>
  <c r="E2068" i="2"/>
  <c r="D2068" i="2"/>
  <c r="B2068" i="2"/>
  <c r="A2068" i="2"/>
  <c r="O2067" i="2"/>
  <c r="M2067" i="2"/>
  <c r="L2067" i="2"/>
  <c r="E2067" i="2"/>
  <c r="D2067" i="2"/>
  <c r="B2067" i="2"/>
  <c r="A2067" i="2"/>
  <c r="O2066" i="2"/>
  <c r="O2065" i="2"/>
  <c r="M2065" i="2"/>
  <c r="L2065" i="2"/>
  <c r="E2065" i="2"/>
  <c r="D2065" i="2"/>
  <c r="B2065" i="2"/>
  <c r="A2065" i="2"/>
  <c r="O2064" i="2"/>
  <c r="O2063" i="2"/>
  <c r="M2063" i="2"/>
  <c r="L2063" i="2"/>
  <c r="E2063" i="2"/>
  <c r="D2063" i="2"/>
  <c r="B2063" i="2"/>
  <c r="A2063" i="2"/>
  <c r="O2062" i="2"/>
  <c r="M2062" i="2"/>
  <c r="L2062" i="2"/>
  <c r="E2062" i="2"/>
  <c r="D2062" i="2"/>
  <c r="B2062" i="2"/>
  <c r="A2062" i="2"/>
  <c r="O2061" i="2"/>
  <c r="O2060" i="2"/>
  <c r="O2059" i="2"/>
  <c r="M2059" i="2"/>
  <c r="L2059" i="2"/>
  <c r="E2059" i="2"/>
  <c r="D2059" i="2"/>
  <c r="B2059" i="2"/>
  <c r="A2059" i="2"/>
  <c r="O2058" i="2"/>
  <c r="O2057" i="2"/>
  <c r="M2057" i="2"/>
  <c r="L2057" i="2"/>
  <c r="E2057" i="2"/>
  <c r="D2057" i="2"/>
  <c r="B2057" i="2"/>
  <c r="A2057" i="2"/>
  <c r="O2056" i="2"/>
  <c r="O2055" i="2"/>
  <c r="O2054" i="2"/>
  <c r="O2053" i="2"/>
  <c r="O2052" i="2"/>
  <c r="O2051" i="2"/>
  <c r="M2051" i="2"/>
  <c r="L2051" i="2"/>
  <c r="E2051" i="2"/>
  <c r="D2051" i="2"/>
  <c r="B2051" i="2"/>
  <c r="A2051" i="2"/>
  <c r="O2050" i="2"/>
  <c r="O2049" i="2"/>
  <c r="O2048" i="2"/>
  <c r="M2048" i="2"/>
  <c r="L2048" i="2"/>
  <c r="E2048" i="2"/>
  <c r="D2048" i="2"/>
  <c r="B2048" i="2"/>
  <c r="A2048" i="2"/>
  <c r="O2047" i="2"/>
  <c r="O2046" i="2"/>
  <c r="O2045" i="2"/>
  <c r="M2045" i="2"/>
  <c r="L2045" i="2"/>
  <c r="E2045" i="2"/>
  <c r="D2045" i="2"/>
  <c r="B2045" i="2"/>
  <c r="A2045" i="2"/>
  <c r="O2044" i="2"/>
  <c r="M2044" i="2"/>
  <c r="L2044" i="2"/>
  <c r="E2044" i="2"/>
  <c r="D2044" i="2"/>
  <c r="B2044" i="2"/>
  <c r="A2044" i="2"/>
  <c r="O2043" i="2"/>
  <c r="O2042" i="2"/>
  <c r="M2042" i="2"/>
  <c r="L2042" i="2"/>
  <c r="E2042" i="2"/>
  <c r="D2042" i="2"/>
  <c r="B2042" i="2"/>
  <c r="A2042" i="2"/>
  <c r="O2041" i="2"/>
  <c r="O2040" i="2"/>
  <c r="M2040" i="2"/>
  <c r="L2040" i="2"/>
  <c r="E2040" i="2"/>
  <c r="D2040" i="2"/>
  <c r="B2040" i="2"/>
  <c r="A2040" i="2"/>
  <c r="O2039" i="2"/>
  <c r="M2039" i="2"/>
  <c r="L2039" i="2"/>
  <c r="E2039" i="2"/>
  <c r="D2039" i="2"/>
  <c r="B2039" i="2"/>
  <c r="A2039" i="2"/>
  <c r="O2038" i="2"/>
  <c r="M2038" i="2"/>
  <c r="L2038" i="2"/>
  <c r="E2038" i="2"/>
  <c r="D2038" i="2"/>
  <c r="B2038" i="2"/>
  <c r="A2038" i="2"/>
  <c r="O2037" i="2"/>
  <c r="M2037" i="2"/>
  <c r="L2037" i="2"/>
  <c r="E2037" i="2"/>
  <c r="D2037" i="2"/>
  <c r="B2037" i="2"/>
  <c r="A2037" i="2"/>
  <c r="O2036" i="2"/>
  <c r="O2035" i="2"/>
  <c r="M2035" i="2"/>
  <c r="L2035" i="2"/>
  <c r="E2035" i="2"/>
  <c r="D2035" i="2"/>
  <c r="B2035" i="2"/>
  <c r="A2035" i="2"/>
  <c r="O2034" i="2"/>
  <c r="O2033" i="2"/>
  <c r="M2033" i="2"/>
  <c r="L2033" i="2"/>
  <c r="E2033" i="2"/>
  <c r="D2033" i="2"/>
  <c r="B2033" i="2"/>
  <c r="A2033" i="2"/>
  <c r="O2032" i="2"/>
  <c r="O2031" i="2"/>
  <c r="O2030" i="2"/>
  <c r="M2030" i="2"/>
  <c r="L2030" i="2"/>
  <c r="E2030" i="2"/>
  <c r="D2030" i="2"/>
  <c r="B2030" i="2"/>
  <c r="A2030" i="2"/>
  <c r="O2029" i="2"/>
  <c r="O2028" i="2"/>
  <c r="O2027" i="2"/>
  <c r="O2026" i="2"/>
  <c r="M2026" i="2"/>
  <c r="L2026" i="2"/>
  <c r="E2026" i="2"/>
  <c r="D2026" i="2"/>
  <c r="B2026" i="2"/>
  <c r="A2026" i="2"/>
  <c r="O2025" i="2"/>
  <c r="M2025" i="2"/>
  <c r="L2025" i="2"/>
  <c r="E2025" i="2"/>
  <c r="D2025" i="2"/>
  <c r="B2025" i="2"/>
  <c r="A2025" i="2"/>
  <c r="O2024" i="2"/>
  <c r="O2023" i="2"/>
  <c r="M2023" i="2"/>
  <c r="L2023" i="2"/>
  <c r="E2023" i="2"/>
  <c r="D2023" i="2"/>
  <c r="B2023" i="2"/>
  <c r="A2023" i="2"/>
  <c r="O2022" i="2"/>
  <c r="M2022" i="2"/>
  <c r="L2022" i="2"/>
  <c r="E2022" i="2"/>
  <c r="D2022" i="2"/>
  <c r="B2022" i="2"/>
  <c r="A2022" i="2"/>
  <c r="O2021" i="2"/>
  <c r="O2020" i="2"/>
  <c r="M2020" i="2"/>
  <c r="L2020" i="2"/>
  <c r="E2020" i="2"/>
  <c r="D2020" i="2"/>
  <c r="B2020" i="2"/>
  <c r="A2020" i="2"/>
  <c r="O2019" i="2"/>
  <c r="O2018" i="2"/>
  <c r="M2018" i="2"/>
  <c r="L2018" i="2"/>
  <c r="E2018" i="2"/>
  <c r="D2018" i="2"/>
  <c r="B2018" i="2"/>
  <c r="A2018" i="2"/>
  <c r="O2017" i="2"/>
  <c r="O2016" i="2"/>
  <c r="O2015" i="2"/>
  <c r="M2015" i="2"/>
  <c r="L2015" i="2"/>
  <c r="E2015" i="2"/>
  <c r="D2015" i="2"/>
  <c r="B2015" i="2"/>
  <c r="A2015" i="2"/>
  <c r="O2014" i="2"/>
  <c r="M2014" i="2"/>
  <c r="L2014" i="2"/>
  <c r="E2014" i="2"/>
  <c r="D2014" i="2"/>
  <c r="B2014" i="2"/>
  <c r="A2014" i="2"/>
  <c r="O2013" i="2"/>
  <c r="M2013" i="2"/>
  <c r="L2013" i="2"/>
  <c r="E2013" i="2"/>
  <c r="D2013" i="2"/>
  <c r="B2013" i="2"/>
  <c r="A2013" i="2"/>
  <c r="O2012" i="2"/>
  <c r="O2011" i="2"/>
  <c r="M2011" i="2"/>
  <c r="L2011" i="2"/>
  <c r="E2011" i="2"/>
  <c r="D2011" i="2"/>
  <c r="B2011" i="2"/>
  <c r="A2011" i="2"/>
  <c r="O2010" i="2"/>
  <c r="M2010" i="2"/>
  <c r="L2010" i="2"/>
  <c r="E2010" i="2"/>
  <c r="D2010" i="2"/>
  <c r="B2010" i="2"/>
  <c r="A2010" i="2"/>
  <c r="O2009" i="2"/>
  <c r="O2008" i="2"/>
  <c r="M2008" i="2"/>
  <c r="L2008" i="2"/>
  <c r="E2008" i="2"/>
  <c r="D2008" i="2"/>
  <c r="B2008" i="2"/>
  <c r="A2008" i="2"/>
  <c r="O2007" i="2"/>
  <c r="O2006" i="2"/>
  <c r="M2006" i="2"/>
  <c r="L2006" i="2"/>
  <c r="E2006" i="2"/>
  <c r="D2006" i="2"/>
  <c r="B2006" i="2"/>
  <c r="A2006" i="2"/>
  <c r="O2005" i="2"/>
  <c r="M2005" i="2"/>
  <c r="L2005" i="2"/>
  <c r="E2005" i="2"/>
  <c r="D2005" i="2"/>
  <c r="B2005" i="2"/>
  <c r="A2005" i="2"/>
  <c r="O2004" i="2"/>
  <c r="O2003" i="2"/>
  <c r="M2003" i="2"/>
  <c r="L2003" i="2"/>
  <c r="E2003" i="2"/>
  <c r="D2003" i="2"/>
  <c r="B2003" i="2"/>
  <c r="A2003" i="2"/>
  <c r="O2002" i="2"/>
  <c r="M2002" i="2"/>
  <c r="L2002" i="2"/>
  <c r="E2002" i="2"/>
  <c r="D2002" i="2"/>
  <c r="B2002" i="2"/>
  <c r="A2002" i="2"/>
  <c r="O2001" i="2"/>
  <c r="O2000" i="2"/>
  <c r="M2000" i="2"/>
  <c r="L2000" i="2"/>
  <c r="E2000" i="2"/>
  <c r="D2000" i="2"/>
  <c r="B2000" i="2"/>
  <c r="A2000" i="2"/>
  <c r="O1999" i="2"/>
  <c r="M1999" i="2"/>
  <c r="L1999" i="2"/>
  <c r="E1999" i="2"/>
  <c r="D1999" i="2"/>
  <c r="B1999" i="2"/>
  <c r="A1999" i="2"/>
  <c r="O1998" i="2"/>
  <c r="O1997" i="2"/>
  <c r="M1997" i="2"/>
  <c r="L1997" i="2"/>
  <c r="E1997" i="2"/>
  <c r="D1997" i="2"/>
  <c r="B1997" i="2"/>
  <c r="A1997" i="2"/>
  <c r="O1996" i="2"/>
  <c r="O1995" i="2"/>
  <c r="O1994" i="2"/>
  <c r="O1993" i="2"/>
  <c r="M1993" i="2"/>
  <c r="L1993" i="2"/>
  <c r="E1993" i="2"/>
  <c r="D1993" i="2"/>
  <c r="B1993" i="2"/>
  <c r="A1993" i="2"/>
  <c r="O1992" i="2"/>
  <c r="O1991" i="2"/>
  <c r="O1990" i="2"/>
  <c r="M1990" i="2"/>
  <c r="L1990" i="2"/>
  <c r="E1990" i="2"/>
  <c r="D1990" i="2"/>
  <c r="B1990" i="2"/>
  <c r="A1990" i="2"/>
  <c r="O1989" i="2"/>
  <c r="O1988" i="2"/>
  <c r="M1988" i="2"/>
  <c r="L1988" i="2"/>
  <c r="E1988" i="2"/>
  <c r="D1988" i="2"/>
  <c r="B1988" i="2"/>
  <c r="A1988" i="2"/>
  <c r="O1987" i="2"/>
  <c r="M1987" i="2"/>
  <c r="L1987" i="2"/>
  <c r="E1987" i="2"/>
  <c r="D1987" i="2"/>
  <c r="B1987" i="2"/>
  <c r="A1987" i="2"/>
  <c r="O1986" i="2"/>
  <c r="M1986" i="2"/>
  <c r="L1986" i="2"/>
  <c r="E1986" i="2"/>
  <c r="D1986" i="2"/>
  <c r="B1986" i="2"/>
  <c r="A1986" i="2"/>
  <c r="O1985" i="2"/>
  <c r="O1984" i="2"/>
  <c r="M1984" i="2"/>
  <c r="L1984" i="2"/>
  <c r="E1984" i="2"/>
  <c r="D1984" i="2"/>
  <c r="B1984" i="2"/>
  <c r="A1984" i="2"/>
  <c r="O1983" i="2"/>
  <c r="M1983" i="2"/>
  <c r="L1983" i="2"/>
  <c r="E1983" i="2"/>
  <c r="D1983" i="2"/>
  <c r="B1983" i="2"/>
  <c r="A1983" i="2"/>
  <c r="O1982" i="2"/>
  <c r="O1981" i="2"/>
  <c r="O1980" i="2"/>
  <c r="M1980" i="2"/>
  <c r="L1980" i="2"/>
  <c r="E1980" i="2"/>
  <c r="D1980" i="2"/>
  <c r="B1980" i="2"/>
  <c r="A1980" i="2"/>
  <c r="O1979" i="2"/>
  <c r="O1978" i="2"/>
  <c r="O1977" i="2"/>
  <c r="M1977" i="2"/>
  <c r="L1977" i="2"/>
  <c r="E1977" i="2"/>
  <c r="D1977" i="2"/>
  <c r="B1977" i="2"/>
  <c r="A1977" i="2"/>
  <c r="O1976" i="2"/>
  <c r="O1975" i="2"/>
  <c r="O1974" i="2"/>
  <c r="M1974" i="2"/>
  <c r="L1974" i="2"/>
  <c r="E1974" i="2"/>
  <c r="D1974" i="2"/>
  <c r="B1974" i="2"/>
  <c r="A1974" i="2"/>
  <c r="O1973" i="2"/>
  <c r="O1972" i="2"/>
  <c r="O1971" i="2"/>
  <c r="M1971" i="2"/>
  <c r="L1971" i="2"/>
  <c r="E1971" i="2"/>
  <c r="D1971" i="2"/>
  <c r="B1971" i="2"/>
  <c r="A1971" i="2"/>
  <c r="O1970" i="2"/>
  <c r="O1969" i="2"/>
  <c r="M1969" i="2"/>
  <c r="L1969" i="2"/>
  <c r="E1969" i="2"/>
  <c r="D1969" i="2"/>
  <c r="B1969" i="2"/>
  <c r="A1969" i="2"/>
  <c r="O1968" i="2"/>
  <c r="O1967" i="2"/>
  <c r="O1966" i="2"/>
  <c r="M1966" i="2"/>
  <c r="L1966" i="2"/>
  <c r="E1966" i="2"/>
  <c r="D1966" i="2"/>
  <c r="B1966" i="2"/>
  <c r="A1966" i="2"/>
  <c r="O1965" i="2"/>
  <c r="M1965" i="2"/>
  <c r="L1965" i="2"/>
  <c r="E1965" i="2"/>
  <c r="D1965" i="2"/>
  <c r="B1965" i="2"/>
  <c r="A1965" i="2"/>
  <c r="O1964" i="2"/>
  <c r="O1963" i="2"/>
  <c r="M1963" i="2"/>
  <c r="L1963" i="2"/>
  <c r="E1963" i="2"/>
  <c r="D1963" i="2"/>
  <c r="B1963" i="2"/>
  <c r="A1963" i="2"/>
  <c r="O1962" i="2"/>
  <c r="M1962" i="2"/>
  <c r="L1962" i="2"/>
  <c r="E1962" i="2"/>
  <c r="D1962" i="2"/>
  <c r="B1962" i="2"/>
  <c r="A1962" i="2"/>
  <c r="O1961" i="2"/>
  <c r="M1961" i="2"/>
  <c r="L1961" i="2"/>
  <c r="E1961" i="2"/>
  <c r="D1961" i="2"/>
  <c r="B1961" i="2"/>
  <c r="A1961" i="2"/>
  <c r="O1960" i="2"/>
  <c r="O1959" i="2"/>
  <c r="O1958" i="2"/>
  <c r="M1958" i="2"/>
  <c r="L1958" i="2"/>
  <c r="E1958" i="2"/>
  <c r="D1958" i="2"/>
  <c r="B1958" i="2"/>
  <c r="A1958" i="2"/>
  <c r="O1957" i="2"/>
  <c r="O1956" i="2"/>
  <c r="O1955" i="2"/>
  <c r="O1954" i="2"/>
  <c r="O1953" i="2"/>
  <c r="O1952" i="2"/>
  <c r="O1951" i="2"/>
  <c r="M1951" i="2"/>
  <c r="L1951" i="2"/>
  <c r="E1951" i="2"/>
  <c r="D1951" i="2"/>
  <c r="B1951" i="2"/>
  <c r="A1951" i="2"/>
  <c r="O1950" i="2"/>
  <c r="M1950" i="2"/>
  <c r="L1950" i="2"/>
  <c r="E1950" i="2"/>
  <c r="D1950" i="2"/>
  <c r="B1950" i="2"/>
  <c r="A1950" i="2"/>
  <c r="O1949" i="2"/>
  <c r="O1948" i="2"/>
  <c r="O1947" i="2"/>
  <c r="O1946" i="2"/>
  <c r="O1945" i="2"/>
  <c r="O1944" i="2"/>
  <c r="O1943" i="2"/>
  <c r="O1942" i="2"/>
  <c r="M1942" i="2"/>
  <c r="L1942" i="2"/>
  <c r="E1942" i="2"/>
  <c r="D1942" i="2"/>
  <c r="B1942" i="2"/>
  <c r="A1942" i="2"/>
  <c r="O1941" i="2"/>
  <c r="O1940" i="2"/>
  <c r="O1939" i="2"/>
  <c r="M1939" i="2"/>
  <c r="L1939" i="2"/>
  <c r="E1939" i="2"/>
  <c r="D1939" i="2"/>
  <c r="B1939" i="2"/>
  <c r="A1939" i="2"/>
  <c r="O1938" i="2"/>
  <c r="O1937" i="2"/>
  <c r="M1937" i="2"/>
  <c r="L1937" i="2"/>
  <c r="E1937" i="2"/>
  <c r="D1937" i="2"/>
  <c r="B1937" i="2"/>
  <c r="A1937" i="2"/>
  <c r="O1936" i="2"/>
  <c r="M1936" i="2"/>
  <c r="L1936" i="2"/>
  <c r="E1936" i="2"/>
  <c r="D1936" i="2"/>
  <c r="B1936" i="2"/>
  <c r="A1936" i="2"/>
  <c r="O1935" i="2"/>
  <c r="M1935" i="2"/>
  <c r="L1935" i="2"/>
  <c r="E1935" i="2"/>
  <c r="D1935" i="2"/>
  <c r="B1935" i="2"/>
  <c r="A1935" i="2"/>
  <c r="O1934" i="2"/>
  <c r="O1933" i="2"/>
  <c r="O1932" i="2"/>
  <c r="M1932" i="2"/>
  <c r="L1932" i="2"/>
  <c r="E1932" i="2"/>
  <c r="D1932" i="2"/>
  <c r="B1932" i="2"/>
  <c r="A1932" i="2"/>
  <c r="O1931" i="2"/>
  <c r="M1931" i="2"/>
  <c r="L1931" i="2"/>
  <c r="E1931" i="2"/>
  <c r="D1931" i="2"/>
  <c r="B1931" i="2"/>
  <c r="A1931" i="2"/>
  <c r="O1930" i="2"/>
  <c r="M1930" i="2"/>
  <c r="L1930" i="2"/>
  <c r="E1930" i="2"/>
  <c r="D1930" i="2"/>
  <c r="B1930" i="2"/>
  <c r="A1930" i="2"/>
  <c r="O1929" i="2"/>
  <c r="M1929" i="2"/>
  <c r="L1929" i="2"/>
  <c r="E1929" i="2"/>
  <c r="D1929" i="2"/>
  <c r="B1929" i="2"/>
  <c r="A1929" i="2"/>
  <c r="O1928" i="2"/>
  <c r="M1928" i="2"/>
  <c r="L1928" i="2"/>
  <c r="E1928" i="2"/>
  <c r="D1928" i="2"/>
  <c r="B1928" i="2"/>
  <c r="A1928" i="2"/>
  <c r="O1927" i="2"/>
  <c r="O1926" i="2"/>
  <c r="O1925" i="2"/>
  <c r="M1925" i="2"/>
  <c r="L1925" i="2"/>
  <c r="E1925" i="2"/>
  <c r="D1925" i="2"/>
  <c r="B1925" i="2"/>
  <c r="A1925" i="2"/>
  <c r="O1924" i="2"/>
  <c r="O1923" i="2"/>
  <c r="O1922" i="2"/>
  <c r="M1922" i="2"/>
  <c r="L1922" i="2"/>
  <c r="E1922" i="2"/>
  <c r="D1922" i="2"/>
  <c r="B1922" i="2"/>
  <c r="A1922" i="2"/>
  <c r="O1921" i="2"/>
  <c r="O1920" i="2"/>
  <c r="O1919" i="2"/>
  <c r="O1918" i="2"/>
  <c r="O1917" i="2"/>
  <c r="M1917" i="2"/>
  <c r="L1917" i="2"/>
  <c r="E1917" i="2"/>
  <c r="D1917" i="2"/>
  <c r="B1917" i="2"/>
  <c r="A1917" i="2"/>
  <c r="O1916" i="2"/>
  <c r="O1915" i="2"/>
  <c r="O1914" i="2"/>
  <c r="O1913" i="2"/>
  <c r="O1912" i="2"/>
  <c r="M1912" i="2"/>
  <c r="L1912" i="2"/>
  <c r="E1912" i="2"/>
  <c r="D1912" i="2"/>
  <c r="B1912" i="2"/>
  <c r="A1912" i="2"/>
  <c r="O1911" i="2"/>
  <c r="M1911" i="2"/>
  <c r="L1911" i="2"/>
  <c r="E1911" i="2"/>
  <c r="D1911" i="2"/>
  <c r="B1911" i="2"/>
  <c r="A1911" i="2"/>
  <c r="O1910" i="2"/>
  <c r="O1909" i="2"/>
  <c r="M1909" i="2"/>
  <c r="L1909" i="2"/>
  <c r="E1909" i="2"/>
  <c r="D1909" i="2"/>
  <c r="B1909" i="2"/>
  <c r="A1909" i="2"/>
  <c r="O1908" i="2"/>
  <c r="M1908" i="2"/>
  <c r="L1908" i="2"/>
  <c r="E1908" i="2"/>
  <c r="D1908" i="2"/>
  <c r="B1908" i="2"/>
  <c r="A1908" i="2"/>
  <c r="O1907" i="2"/>
  <c r="O1906" i="2"/>
  <c r="O1905" i="2"/>
  <c r="O1904" i="2"/>
  <c r="M1904" i="2"/>
  <c r="L1904" i="2"/>
  <c r="E1904" i="2"/>
  <c r="D1904" i="2"/>
  <c r="B1904" i="2"/>
  <c r="A1904" i="2"/>
  <c r="O1903" i="2"/>
  <c r="M1903" i="2"/>
  <c r="L1903" i="2"/>
  <c r="E1903" i="2"/>
  <c r="D1903" i="2"/>
  <c r="B1903" i="2"/>
  <c r="A1903" i="2"/>
  <c r="O1902" i="2"/>
  <c r="M1902" i="2"/>
  <c r="L1902" i="2"/>
  <c r="E1902" i="2"/>
  <c r="D1902" i="2"/>
  <c r="B1902" i="2"/>
  <c r="A1902" i="2"/>
  <c r="O1901" i="2"/>
  <c r="M1901" i="2"/>
  <c r="L1901" i="2"/>
  <c r="E1901" i="2"/>
  <c r="D1901" i="2"/>
  <c r="B1901" i="2"/>
  <c r="A1901" i="2"/>
  <c r="O1900" i="2"/>
  <c r="O1899" i="2"/>
  <c r="M1899" i="2"/>
  <c r="L1899" i="2"/>
  <c r="E1899" i="2"/>
  <c r="D1899" i="2"/>
  <c r="B1899" i="2"/>
  <c r="A1899" i="2"/>
  <c r="O1898" i="2"/>
  <c r="O1897" i="2"/>
  <c r="O1896" i="2"/>
  <c r="O1895" i="2"/>
  <c r="O1894" i="2"/>
  <c r="O1893" i="2"/>
  <c r="O1892" i="2"/>
  <c r="M1892" i="2"/>
  <c r="L1892" i="2"/>
  <c r="E1892" i="2"/>
  <c r="D1892" i="2"/>
  <c r="B1892" i="2"/>
  <c r="A1892" i="2"/>
  <c r="O1891" i="2"/>
  <c r="O1890" i="2"/>
  <c r="O1889" i="2"/>
  <c r="O1888" i="2"/>
  <c r="M1888" i="2"/>
  <c r="L1888" i="2"/>
  <c r="E1888" i="2"/>
  <c r="D1888" i="2"/>
  <c r="B1888" i="2"/>
  <c r="A1888" i="2"/>
  <c r="O1887" i="2"/>
  <c r="M1887" i="2"/>
  <c r="L1887" i="2"/>
  <c r="E1887" i="2"/>
  <c r="D1887" i="2"/>
  <c r="B1887" i="2"/>
  <c r="A1887" i="2"/>
  <c r="O1886" i="2"/>
  <c r="O1885" i="2"/>
  <c r="M1885" i="2"/>
  <c r="L1885" i="2"/>
  <c r="E1885" i="2"/>
  <c r="D1885" i="2"/>
  <c r="B1885" i="2"/>
  <c r="A1885" i="2"/>
  <c r="O1884" i="2"/>
  <c r="M1884" i="2"/>
  <c r="L1884" i="2"/>
  <c r="E1884" i="2"/>
  <c r="D1884" i="2"/>
  <c r="B1884" i="2"/>
  <c r="A1884" i="2"/>
  <c r="O1883" i="2"/>
  <c r="O1882" i="2"/>
  <c r="M1882" i="2"/>
  <c r="L1882" i="2"/>
  <c r="E1882" i="2"/>
  <c r="D1882" i="2"/>
  <c r="B1882" i="2"/>
  <c r="A1882" i="2"/>
  <c r="O1881" i="2"/>
  <c r="O1880" i="2"/>
  <c r="O1879" i="2"/>
  <c r="M1879" i="2"/>
  <c r="L1879" i="2"/>
  <c r="E1879" i="2"/>
  <c r="D1879" i="2"/>
  <c r="B1879" i="2"/>
  <c r="A1879" i="2"/>
  <c r="O1878" i="2"/>
  <c r="M1878" i="2"/>
  <c r="L1878" i="2"/>
  <c r="E1878" i="2"/>
  <c r="D1878" i="2"/>
  <c r="B1878" i="2"/>
  <c r="A1878" i="2"/>
  <c r="O1877" i="2"/>
  <c r="O1876" i="2"/>
  <c r="M1876" i="2"/>
  <c r="L1876" i="2"/>
  <c r="E1876" i="2"/>
  <c r="D1876" i="2"/>
  <c r="B1876" i="2"/>
  <c r="A1876" i="2"/>
  <c r="O1875" i="2"/>
  <c r="O1874" i="2"/>
  <c r="M1874" i="2"/>
  <c r="L1874" i="2"/>
  <c r="E1874" i="2"/>
  <c r="D1874" i="2"/>
  <c r="B1874" i="2"/>
  <c r="A1874" i="2"/>
  <c r="O1873" i="2"/>
  <c r="O1872" i="2"/>
  <c r="M1872" i="2"/>
  <c r="L1872" i="2"/>
  <c r="E1872" i="2"/>
  <c r="D1872" i="2"/>
  <c r="B1872" i="2"/>
  <c r="A1872" i="2"/>
  <c r="O1871" i="2"/>
  <c r="M1871" i="2"/>
  <c r="L1871" i="2"/>
  <c r="E1871" i="2"/>
  <c r="D1871" i="2"/>
  <c r="B1871" i="2"/>
  <c r="A1871" i="2"/>
  <c r="O1870" i="2"/>
  <c r="O1869" i="2"/>
  <c r="M1869" i="2"/>
  <c r="L1869" i="2"/>
  <c r="E1869" i="2"/>
  <c r="D1869" i="2"/>
  <c r="B1869" i="2"/>
  <c r="A1869" i="2"/>
  <c r="O1868" i="2"/>
  <c r="M1868" i="2"/>
  <c r="L1868" i="2"/>
  <c r="E1868" i="2"/>
  <c r="D1868" i="2"/>
  <c r="B1868" i="2"/>
  <c r="A1868" i="2"/>
  <c r="O1867" i="2"/>
  <c r="M1867" i="2"/>
  <c r="L1867" i="2"/>
  <c r="E1867" i="2"/>
  <c r="D1867" i="2"/>
  <c r="B1867" i="2"/>
  <c r="A1867" i="2"/>
  <c r="O1866" i="2"/>
  <c r="M1866" i="2"/>
  <c r="L1866" i="2"/>
  <c r="E1866" i="2"/>
  <c r="D1866" i="2"/>
  <c r="B1866" i="2"/>
  <c r="A1866" i="2"/>
  <c r="O1865" i="2"/>
  <c r="M1865" i="2"/>
  <c r="L1865" i="2"/>
  <c r="E1865" i="2"/>
  <c r="D1865" i="2"/>
  <c r="B1865" i="2"/>
  <c r="A1865" i="2"/>
  <c r="O1864" i="2"/>
  <c r="O1863" i="2"/>
  <c r="M1863" i="2"/>
  <c r="L1863" i="2"/>
  <c r="E1863" i="2"/>
  <c r="D1863" i="2"/>
  <c r="B1863" i="2"/>
  <c r="A1863" i="2"/>
  <c r="O1862" i="2"/>
  <c r="O1861" i="2"/>
  <c r="O1860" i="2"/>
  <c r="M1860" i="2"/>
  <c r="L1860" i="2"/>
  <c r="E1860" i="2"/>
  <c r="D1860" i="2"/>
  <c r="B1860" i="2"/>
  <c r="A1860" i="2"/>
  <c r="O1859" i="2"/>
  <c r="M1859" i="2"/>
  <c r="L1859" i="2"/>
  <c r="E1859" i="2"/>
  <c r="D1859" i="2"/>
  <c r="B1859" i="2"/>
  <c r="A1859" i="2"/>
  <c r="O1858" i="2"/>
  <c r="O1857" i="2"/>
  <c r="O1856" i="2"/>
  <c r="O1855" i="2"/>
  <c r="M1855" i="2"/>
  <c r="L1855" i="2"/>
  <c r="E1855" i="2"/>
  <c r="D1855" i="2"/>
  <c r="B1855" i="2"/>
  <c r="A1855" i="2"/>
  <c r="O1854" i="2"/>
  <c r="M1854" i="2"/>
  <c r="L1854" i="2"/>
  <c r="E1854" i="2"/>
  <c r="D1854" i="2"/>
  <c r="B1854" i="2"/>
  <c r="A1854" i="2"/>
  <c r="O1853" i="2"/>
  <c r="M1853" i="2"/>
  <c r="L1853" i="2"/>
  <c r="E1853" i="2"/>
  <c r="D1853" i="2"/>
  <c r="B1853" i="2"/>
  <c r="A1853" i="2"/>
  <c r="O1852" i="2"/>
  <c r="O1851" i="2"/>
  <c r="M1851" i="2"/>
  <c r="L1851" i="2"/>
  <c r="E1851" i="2"/>
  <c r="D1851" i="2"/>
  <c r="B1851" i="2"/>
  <c r="A1851" i="2"/>
  <c r="O1850" i="2"/>
  <c r="M1850" i="2"/>
  <c r="L1850" i="2"/>
  <c r="E1850" i="2"/>
  <c r="D1850" i="2"/>
  <c r="B1850" i="2"/>
  <c r="A1850" i="2"/>
  <c r="O1849" i="2"/>
  <c r="M1849" i="2"/>
  <c r="L1849" i="2"/>
  <c r="E1849" i="2"/>
  <c r="D1849" i="2"/>
  <c r="B1849" i="2"/>
  <c r="A1849" i="2"/>
  <c r="O1848" i="2"/>
  <c r="M1848" i="2"/>
  <c r="L1848" i="2"/>
  <c r="E1848" i="2"/>
  <c r="D1848" i="2"/>
  <c r="B1848" i="2"/>
  <c r="A1848" i="2"/>
  <c r="O1847" i="2"/>
  <c r="M1847" i="2"/>
  <c r="L1847" i="2"/>
  <c r="E1847" i="2"/>
  <c r="D1847" i="2"/>
  <c r="B1847" i="2"/>
  <c r="A1847" i="2"/>
  <c r="O1846" i="2"/>
  <c r="O1845" i="2"/>
  <c r="M1845" i="2"/>
  <c r="L1845" i="2"/>
  <c r="E1845" i="2"/>
  <c r="D1845" i="2"/>
  <c r="B1845" i="2"/>
  <c r="A1845" i="2"/>
  <c r="O1844" i="2"/>
  <c r="O1843" i="2"/>
  <c r="M1843" i="2"/>
  <c r="L1843" i="2"/>
  <c r="E1843" i="2"/>
  <c r="D1843" i="2"/>
  <c r="B1843" i="2"/>
  <c r="A1843" i="2"/>
  <c r="O1842" i="2"/>
  <c r="M1842" i="2"/>
  <c r="L1842" i="2"/>
  <c r="E1842" i="2"/>
  <c r="D1842" i="2"/>
  <c r="B1842" i="2"/>
  <c r="A1842" i="2"/>
  <c r="O1841" i="2"/>
  <c r="O1840" i="2"/>
  <c r="O1839" i="2"/>
  <c r="O1838" i="2"/>
  <c r="O1837" i="2"/>
  <c r="M1837" i="2"/>
  <c r="L1837" i="2"/>
  <c r="E1837" i="2"/>
  <c r="D1837" i="2"/>
  <c r="B1837" i="2"/>
  <c r="A1837" i="2"/>
  <c r="O1836" i="2"/>
  <c r="O1835" i="2"/>
  <c r="O1834" i="2"/>
  <c r="O1833" i="2"/>
  <c r="O1832" i="2"/>
  <c r="O1831" i="2"/>
  <c r="O1830" i="2"/>
  <c r="O1829" i="2"/>
  <c r="O1828" i="2"/>
  <c r="M1828" i="2"/>
  <c r="L1828" i="2"/>
  <c r="E1828" i="2"/>
  <c r="D1828" i="2"/>
  <c r="B1828" i="2"/>
  <c r="A1828" i="2"/>
  <c r="O1827" i="2"/>
  <c r="O1826" i="2"/>
  <c r="M1826" i="2"/>
  <c r="L1826" i="2"/>
  <c r="E1826" i="2"/>
  <c r="D1826" i="2"/>
  <c r="B1826" i="2"/>
  <c r="A1826" i="2"/>
  <c r="O1825" i="2"/>
  <c r="O1824" i="2"/>
  <c r="M1824" i="2"/>
  <c r="L1824" i="2"/>
  <c r="E1824" i="2"/>
  <c r="D1824" i="2"/>
  <c r="B1824" i="2"/>
  <c r="A1824" i="2"/>
  <c r="O1823" i="2"/>
  <c r="O1822" i="2"/>
  <c r="M1822" i="2"/>
  <c r="L1822" i="2"/>
  <c r="E1822" i="2"/>
  <c r="D1822" i="2"/>
  <c r="B1822" i="2"/>
  <c r="A1822" i="2"/>
  <c r="O1821" i="2"/>
  <c r="O1820" i="2"/>
  <c r="O1819" i="2"/>
  <c r="O1818" i="2"/>
  <c r="M1818" i="2"/>
  <c r="L1818" i="2"/>
  <c r="E1818" i="2"/>
  <c r="D1818" i="2"/>
  <c r="B1818" i="2"/>
  <c r="A1818" i="2"/>
  <c r="O1817" i="2"/>
  <c r="M1817" i="2"/>
  <c r="L1817" i="2"/>
  <c r="E1817" i="2"/>
  <c r="D1817" i="2"/>
  <c r="B1817" i="2"/>
  <c r="A1817" i="2"/>
  <c r="O1816" i="2"/>
  <c r="O1815" i="2"/>
  <c r="O1814" i="2"/>
  <c r="M1814" i="2"/>
  <c r="L1814" i="2"/>
  <c r="E1814" i="2"/>
  <c r="D1814" i="2"/>
  <c r="B1814" i="2"/>
  <c r="A1814" i="2"/>
  <c r="O1813" i="2"/>
  <c r="O1812" i="2"/>
  <c r="O1811" i="2"/>
  <c r="M1811" i="2"/>
  <c r="L1811" i="2"/>
  <c r="E1811" i="2"/>
  <c r="D1811" i="2"/>
  <c r="B1811" i="2"/>
  <c r="A1811" i="2"/>
  <c r="O1810" i="2"/>
  <c r="O1809" i="2"/>
  <c r="O1808" i="2"/>
  <c r="O1807" i="2"/>
  <c r="O1806" i="2"/>
  <c r="O1805" i="2"/>
  <c r="O1804" i="2"/>
  <c r="O1803" i="2"/>
  <c r="O1802" i="2"/>
  <c r="O1801" i="2"/>
  <c r="O1800" i="2"/>
  <c r="M1800" i="2"/>
  <c r="L1800" i="2"/>
  <c r="E1800" i="2"/>
  <c r="D1800" i="2"/>
  <c r="B1800" i="2"/>
  <c r="A1800" i="2"/>
  <c r="O1799" i="2"/>
  <c r="O1798" i="2"/>
  <c r="M1798" i="2"/>
  <c r="L1798" i="2"/>
  <c r="E1798" i="2"/>
  <c r="D1798" i="2"/>
  <c r="B1798" i="2"/>
  <c r="A1798" i="2"/>
  <c r="O1797" i="2"/>
  <c r="M1797" i="2"/>
  <c r="L1797" i="2"/>
  <c r="E1797" i="2"/>
  <c r="D1797" i="2"/>
  <c r="B1797" i="2"/>
  <c r="A1797" i="2"/>
  <c r="O1796" i="2"/>
  <c r="O1795" i="2"/>
  <c r="M1795" i="2"/>
  <c r="L1795" i="2"/>
  <c r="E1795" i="2"/>
  <c r="D1795" i="2"/>
  <c r="B1795" i="2"/>
  <c r="A1795" i="2"/>
  <c r="O1794" i="2"/>
  <c r="O1793" i="2"/>
  <c r="M1793" i="2"/>
  <c r="L1793" i="2"/>
  <c r="E1793" i="2"/>
  <c r="D1793" i="2"/>
  <c r="B1793" i="2"/>
  <c r="A1793" i="2"/>
  <c r="O1792" i="2"/>
  <c r="O1791" i="2"/>
  <c r="M1791" i="2"/>
  <c r="L1791" i="2"/>
  <c r="E1791" i="2"/>
  <c r="D1791" i="2"/>
  <c r="B1791" i="2"/>
  <c r="A1791" i="2"/>
  <c r="O1790" i="2"/>
  <c r="O1789" i="2"/>
  <c r="M1789" i="2"/>
  <c r="L1789" i="2"/>
  <c r="E1789" i="2"/>
  <c r="D1789" i="2"/>
  <c r="B1789" i="2"/>
  <c r="A1789" i="2"/>
  <c r="O1788" i="2"/>
  <c r="O1787" i="2"/>
  <c r="O1786" i="2"/>
  <c r="M1786" i="2"/>
  <c r="L1786" i="2"/>
  <c r="E1786" i="2"/>
  <c r="D1786" i="2"/>
  <c r="B1786" i="2"/>
  <c r="A1786" i="2"/>
  <c r="O1785" i="2"/>
  <c r="O1784" i="2"/>
  <c r="O1783" i="2"/>
  <c r="O1782" i="2"/>
  <c r="M1782" i="2"/>
  <c r="L1782" i="2"/>
  <c r="E1782" i="2"/>
  <c r="D1782" i="2"/>
  <c r="B1782" i="2"/>
  <c r="A1782" i="2"/>
  <c r="O1781" i="2"/>
  <c r="O1780" i="2"/>
  <c r="O1779" i="2"/>
  <c r="O1778" i="2"/>
  <c r="O1777" i="2"/>
  <c r="M1777" i="2"/>
  <c r="L1777" i="2"/>
  <c r="E1777" i="2"/>
  <c r="D1777" i="2"/>
  <c r="B1777" i="2"/>
  <c r="A1777" i="2"/>
  <c r="O1776" i="2"/>
  <c r="O1775" i="2"/>
  <c r="M1775" i="2"/>
  <c r="L1775" i="2"/>
  <c r="E1775" i="2"/>
  <c r="D1775" i="2"/>
  <c r="B1775" i="2"/>
  <c r="A1775" i="2"/>
  <c r="O1774" i="2"/>
  <c r="O1773" i="2"/>
  <c r="M1773" i="2"/>
  <c r="L1773" i="2"/>
  <c r="E1773" i="2"/>
  <c r="D1773" i="2"/>
  <c r="B1773" i="2"/>
  <c r="A1773" i="2"/>
  <c r="O1772" i="2"/>
  <c r="O1771" i="2"/>
  <c r="M1771" i="2"/>
  <c r="L1771" i="2"/>
  <c r="E1771" i="2"/>
  <c r="D1771" i="2"/>
  <c r="B1771" i="2"/>
  <c r="A1771" i="2"/>
  <c r="O1770" i="2"/>
  <c r="O1769" i="2"/>
  <c r="O1768" i="2"/>
  <c r="O1767" i="2"/>
  <c r="M1767" i="2"/>
  <c r="L1767" i="2"/>
  <c r="E1767" i="2"/>
  <c r="D1767" i="2"/>
  <c r="B1767" i="2"/>
  <c r="A1767" i="2"/>
  <c r="O1766" i="2"/>
  <c r="O1765" i="2"/>
  <c r="O1764" i="2"/>
  <c r="M1764" i="2"/>
  <c r="L1764" i="2"/>
  <c r="E1764" i="2"/>
  <c r="D1764" i="2"/>
  <c r="B1764" i="2"/>
  <c r="A1764" i="2"/>
  <c r="O1763" i="2"/>
  <c r="O1762" i="2"/>
  <c r="O1761" i="2"/>
  <c r="O1760" i="2"/>
  <c r="M1760" i="2"/>
  <c r="L1760" i="2"/>
  <c r="E1760" i="2"/>
  <c r="D1760" i="2"/>
  <c r="B1760" i="2"/>
  <c r="A1760" i="2"/>
  <c r="O1759" i="2"/>
  <c r="O1758" i="2"/>
  <c r="O1757" i="2"/>
  <c r="M1757" i="2"/>
  <c r="L1757" i="2"/>
  <c r="E1757" i="2"/>
  <c r="D1757" i="2"/>
  <c r="B1757" i="2"/>
  <c r="A1757" i="2"/>
  <c r="O1756" i="2"/>
  <c r="O1755" i="2"/>
  <c r="O1754" i="2"/>
  <c r="M1754" i="2"/>
  <c r="L1754" i="2"/>
  <c r="E1754" i="2"/>
  <c r="D1754" i="2"/>
  <c r="B1754" i="2"/>
  <c r="A1754" i="2"/>
  <c r="O1753" i="2"/>
  <c r="O1752" i="2"/>
  <c r="O1751" i="2"/>
  <c r="O1750" i="2"/>
  <c r="M1750" i="2"/>
  <c r="L1750" i="2"/>
  <c r="E1750" i="2"/>
  <c r="D1750" i="2"/>
  <c r="B1750" i="2"/>
  <c r="A1750" i="2"/>
  <c r="O1749" i="2"/>
  <c r="O1748" i="2"/>
  <c r="O1747" i="2"/>
  <c r="O1746" i="2"/>
  <c r="M1746" i="2"/>
  <c r="L1746" i="2"/>
  <c r="E1746" i="2"/>
  <c r="D1746" i="2"/>
  <c r="B1746" i="2"/>
  <c r="A1746" i="2"/>
  <c r="O1745" i="2"/>
  <c r="M1745" i="2"/>
  <c r="L1745" i="2"/>
  <c r="E1745" i="2"/>
  <c r="D1745" i="2"/>
  <c r="B1745" i="2"/>
  <c r="A1745" i="2"/>
  <c r="O1744" i="2"/>
  <c r="O1743" i="2"/>
  <c r="O1742" i="2"/>
  <c r="O1741" i="2"/>
  <c r="O1740" i="2"/>
  <c r="O1739" i="2"/>
  <c r="O1738" i="2"/>
  <c r="O1737" i="2"/>
  <c r="O1736" i="2"/>
  <c r="O1735" i="2"/>
  <c r="O1734" i="2"/>
  <c r="O1733" i="2"/>
  <c r="O1732" i="2"/>
  <c r="O1731" i="2"/>
  <c r="O1730" i="2"/>
  <c r="O1729" i="2"/>
  <c r="O1728" i="2"/>
  <c r="O1727" i="2"/>
  <c r="O1726" i="2"/>
  <c r="O1725" i="2"/>
  <c r="O1724" i="2"/>
  <c r="O1723" i="2"/>
  <c r="O1722" i="2"/>
  <c r="O1721" i="2"/>
  <c r="O1720" i="2"/>
  <c r="O1719" i="2"/>
  <c r="O1718" i="2"/>
  <c r="O1717" i="2"/>
  <c r="O1716" i="2"/>
  <c r="M1716" i="2"/>
  <c r="L1716" i="2"/>
  <c r="E1716" i="2"/>
  <c r="D1716" i="2"/>
  <c r="B1716" i="2"/>
  <c r="A1716" i="2"/>
  <c r="O1715" i="2"/>
  <c r="O1714" i="2"/>
  <c r="O1713" i="2"/>
  <c r="M1713" i="2"/>
  <c r="L1713" i="2"/>
  <c r="E1713" i="2"/>
  <c r="D1713" i="2"/>
  <c r="B1713" i="2"/>
  <c r="A1713" i="2"/>
  <c r="O1712" i="2"/>
  <c r="O1711" i="2"/>
  <c r="O1710" i="2"/>
  <c r="M1710" i="2"/>
  <c r="L1710" i="2"/>
  <c r="E1710" i="2"/>
  <c r="D1710" i="2"/>
  <c r="B1710" i="2"/>
  <c r="A1710" i="2"/>
  <c r="O1709" i="2"/>
  <c r="M1709" i="2"/>
  <c r="L1709" i="2"/>
  <c r="E1709" i="2"/>
  <c r="D1709" i="2"/>
  <c r="B1709" i="2"/>
  <c r="A1709" i="2"/>
  <c r="O1708" i="2"/>
  <c r="M1708" i="2"/>
  <c r="L1708" i="2"/>
  <c r="E1708" i="2"/>
  <c r="D1708" i="2"/>
  <c r="B1708" i="2"/>
  <c r="A1708" i="2"/>
  <c r="O1707" i="2"/>
  <c r="M1707" i="2"/>
  <c r="L1707" i="2"/>
  <c r="E1707" i="2"/>
  <c r="D1707" i="2"/>
  <c r="B1707" i="2"/>
  <c r="A1707" i="2"/>
  <c r="O1706" i="2"/>
  <c r="M1706" i="2"/>
  <c r="L1706" i="2"/>
  <c r="E1706" i="2"/>
  <c r="D1706" i="2"/>
  <c r="B1706" i="2"/>
  <c r="A1706" i="2"/>
  <c r="O1705" i="2"/>
  <c r="O1704" i="2"/>
  <c r="M1704" i="2"/>
  <c r="L1704" i="2"/>
  <c r="E1704" i="2"/>
  <c r="D1704" i="2"/>
  <c r="B1704" i="2"/>
  <c r="A1704" i="2"/>
  <c r="O1703" i="2"/>
  <c r="O1702" i="2"/>
  <c r="O1701" i="2"/>
  <c r="O1700" i="2"/>
  <c r="M1700" i="2"/>
  <c r="L1700" i="2"/>
  <c r="E1700" i="2"/>
  <c r="D1700" i="2"/>
  <c r="B1700" i="2"/>
  <c r="A1700" i="2"/>
  <c r="O1699" i="2"/>
  <c r="O1698" i="2"/>
  <c r="O1697" i="2"/>
  <c r="M1697" i="2"/>
  <c r="L1697" i="2"/>
  <c r="E1697" i="2"/>
  <c r="D1697" i="2"/>
  <c r="B1697" i="2"/>
  <c r="A1697" i="2"/>
  <c r="O1696" i="2"/>
  <c r="M1696" i="2"/>
  <c r="L1696" i="2"/>
  <c r="E1696" i="2"/>
  <c r="D1696" i="2"/>
  <c r="B1696" i="2"/>
  <c r="A1696" i="2"/>
  <c r="O1695" i="2"/>
  <c r="O1694" i="2"/>
  <c r="O1693" i="2"/>
  <c r="M1693" i="2"/>
  <c r="L1693" i="2"/>
  <c r="E1693" i="2"/>
  <c r="D1693" i="2"/>
  <c r="B1693" i="2"/>
  <c r="A1693" i="2"/>
  <c r="O1692" i="2"/>
  <c r="M1692" i="2"/>
  <c r="L1692" i="2"/>
  <c r="E1692" i="2"/>
  <c r="D1692" i="2"/>
  <c r="B1692" i="2"/>
  <c r="A1692" i="2"/>
  <c r="O1691" i="2"/>
  <c r="O1690" i="2"/>
  <c r="M1690" i="2"/>
  <c r="L1690" i="2"/>
  <c r="E1690" i="2"/>
  <c r="D1690" i="2"/>
  <c r="B1690" i="2"/>
  <c r="A1690" i="2"/>
  <c r="O1689" i="2"/>
  <c r="M1689" i="2"/>
  <c r="L1689" i="2"/>
  <c r="E1689" i="2"/>
  <c r="D1689" i="2"/>
  <c r="B1689" i="2"/>
  <c r="A1689" i="2"/>
  <c r="O1688" i="2"/>
  <c r="M1688" i="2"/>
  <c r="L1688" i="2"/>
  <c r="E1688" i="2"/>
  <c r="D1688" i="2"/>
  <c r="B1688" i="2"/>
  <c r="A1688" i="2"/>
  <c r="O1687" i="2"/>
  <c r="M1687" i="2"/>
  <c r="L1687" i="2"/>
  <c r="E1687" i="2"/>
  <c r="D1687" i="2"/>
  <c r="B1687" i="2"/>
  <c r="A1687" i="2"/>
  <c r="O1686" i="2"/>
  <c r="O1685" i="2"/>
  <c r="O1684" i="2"/>
  <c r="O1683" i="2"/>
  <c r="M1683" i="2"/>
  <c r="L1683" i="2"/>
  <c r="E1683" i="2"/>
  <c r="D1683" i="2"/>
  <c r="B1683" i="2"/>
  <c r="A1683" i="2"/>
  <c r="O1682" i="2"/>
  <c r="M1682" i="2"/>
  <c r="L1682" i="2"/>
  <c r="E1682" i="2"/>
  <c r="D1682" i="2"/>
  <c r="B1682" i="2"/>
  <c r="A1682" i="2"/>
  <c r="O1681" i="2"/>
  <c r="M1681" i="2"/>
  <c r="L1681" i="2"/>
  <c r="E1681" i="2"/>
  <c r="D1681" i="2"/>
  <c r="B1681" i="2"/>
  <c r="A1681" i="2"/>
  <c r="O1680" i="2"/>
  <c r="M1680" i="2"/>
  <c r="L1680" i="2"/>
  <c r="E1680" i="2"/>
  <c r="D1680" i="2"/>
  <c r="B1680" i="2"/>
  <c r="A1680" i="2"/>
  <c r="O1679" i="2"/>
  <c r="M1679" i="2"/>
  <c r="L1679" i="2"/>
  <c r="E1679" i="2"/>
  <c r="D1679" i="2"/>
  <c r="B1679" i="2"/>
  <c r="A1679" i="2"/>
  <c r="O1678" i="2"/>
  <c r="M1678" i="2"/>
  <c r="L1678" i="2"/>
  <c r="E1678" i="2"/>
  <c r="D1678" i="2"/>
  <c r="B1678" i="2"/>
  <c r="A1678" i="2"/>
  <c r="O1677" i="2"/>
  <c r="M1677" i="2"/>
  <c r="L1677" i="2"/>
  <c r="E1677" i="2"/>
  <c r="D1677" i="2"/>
  <c r="B1677" i="2"/>
  <c r="A1677" i="2"/>
  <c r="O1676" i="2"/>
  <c r="M1676" i="2"/>
  <c r="L1676" i="2"/>
  <c r="E1676" i="2"/>
  <c r="D1676" i="2"/>
  <c r="B1676" i="2"/>
  <c r="A1676" i="2"/>
  <c r="O1675" i="2"/>
  <c r="M1675" i="2"/>
  <c r="L1675" i="2"/>
  <c r="E1675" i="2"/>
  <c r="D1675" i="2"/>
  <c r="B1675" i="2"/>
  <c r="A1675" i="2"/>
  <c r="O1674" i="2"/>
  <c r="O1673" i="2"/>
  <c r="M1673" i="2"/>
  <c r="L1673" i="2"/>
  <c r="E1673" i="2"/>
  <c r="D1673" i="2"/>
  <c r="B1673" i="2"/>
  <c r="A1673" i="2"/>
  <c r="O1672" i="2"/>
  <c r="M1672" i="2"/>
  <c r="L1672" i="2"/>
  <c r="E1672" i="2"/>
  <c r="D1672" i="2"/>
  <c r="B1672" i="2"/>
  <c r="A1672" i="2"/>
  <c r="O1671" i="2"/>
  <c r="M1671" i="2"/>
  <c r="L1671" i="2"/>
  <c r="E1671" i="2"/>
  <c r="D1671" i="2"/>
  <c r="B1671" i="2"/>
  <c r="A1671" i="2"/>
  <c r="O1670" i="2"/>
  <c r="O1669" i="2"/>
  <c r="M1669" i="2"/>
  <c r="L1669" i="2"/>
  <c r="E1669" i="2"/>
  <c r="D1669" i="2"/>
  <c r="B1669" i="2"/>
  <c r="A1669" i="2"/>
  <c r="O1668" i="2"/>
  <c r="M1668" i="2"/>
  <c r="L1668" i="2"/>
  <c r="E1668" i="2"/>
  <c r="D1668" i="2"/>
  <c r="B1668" i="2"/>
  <c r="A1668" i="2"/>
  <c r="O1667" i="2"/>
  <c r="O1666" i="2"/>
  <c r="O1665" i="2"/>
  <c r="M1665" i="2"/>
  <c r="L1665" i="2"/>
  <c r="E1665" i="2"/>
  <c r="D1665" i="2"/>
  <c r="B1665" i="2"/>
  <c r="A1665" i="2"/>
  <c r="O1664" i="2"/>
  <c r="O1663" i="2"/>
  <c r="M1663" i="2"/>
  <c r="L1663" i="2"/>
  <c r="E1663" i="2"/>
  <c r="D1663" i="2"/>
  <c r="B1663" i="2"/>
  <c r="A1663" i="2"/>
  <c r="O1662" i="2"/>
  <c r="M1662" i="2"/>
  <c r="L1662" i="2"/>
  <c r="E1662" i="2"/>
  <c r="D1662" i="2"/>
  <c r="B1662" i="2"/>
  <c r="A1662" i="2"/>
  <c r="O1661" i="2"/>
  <c r="M1661" i="2"/>
  <c r="L1661" i="2"/>
  <c r="E1661" i="2"/>
  <c r="D1661" i="2"/>
  <c r="B1661" i="2"/>
  <c r="A1661" i="2"/>
  <c r="O1660" i="2"/>
  <c r="M1660" i="2"/>
  <c r="L1660" i="2"/>
  <c r="E1660" i="2"/>
  <c r="D1660" i="2"/>
  <c r="B1660" i="2"/>
  <c r="A1660" i="2"/>
  <c r="O1659" i="2"/>
  <c r="M1659" i="2"/>
  <c r="L1659" i="2"/>
  <c r="E1659" i="2"/>
  <c r="D1659" i="2"/>
  <c r="B1659" i="2"/>
  <c r="A1659" i="2"/>
  <c r="O1658" i="2"/>
  <c r="O1657" i="2"/>
  <c r="O1656" i="2"/>
  <c r="O1655" i="2"/>
  <c r="O1654" i="2"/>
  <c r="O1653" i="2"/>
  <c r="O1652" i="2"/>
  <c r="O1651" i="2"/>
  <c r="O1650" i="2"/>
  <c r="O1649" i="2"/>
  <c r="O1648" i="2"/>
  <c r="O1647" i="2"/>
  <c r="M1647" i="2"/>
  <c r="L1647" i="2"/>
  <c r="E1647" i="2"/>
  <c r="D1647" i="2"/>
  <c r="B1647" i="2"/>
  <c r="A1647" i="2"/>
  <c r="O1646" i="2"/>
  <c r="O1645" i="2"/>
  <c r="O1644" i="2"/>
  <c r="M1644" i="2"/>
  <c r="L1644" i="2"/>
  <c r="E1644" i="2"/>
  <c r="D1644" i="2"/>
  <c r="B1644" i="2"/>
  <c r="A1644" i="2"/>
  <c r="O1643" i="2"/>
  <c r="M1643" i="2"/>
  <c r="L1643" i="2"/>
  <c r="E1643" i="2"/>
  <c r="D1643" i="2"/>
  <c r="B1643" i="2"/>
  <c r="A1643" i="2"/>
  <c r="O1642" i="2"/>
  <c r="O1641" i="2"/>
  <c r="O1640" i="2"/>
  <c r="O1639" i="2"/>
  <c r="O1638" i="2"/>
  <c r="M1638" i="2"/>
  <c r="L1638" i="2"/>
  <c r="E1638" i="2"/>
  <c r="D1638" i="2"/>
  <c r="B1638" i="2"/>
  <c r="A1638" i="2"/>
  <c r="O1637" i="2"/>
  <c r="M1637" i="2"/>
  <c r="L1637" i="2"/>
  <c r="E1637" i="2"/>
  <c r="D1637" i="2"/>
  <c r="B1637" i="2"/>
  <c r="A1637" i="2"/>
  <c r="O1636" i="2"/>
  <c r="O1635" i="2"/>
  <c r="M1635" i="2"/>
  <c r="L1635" i="2"/>
  <c r="E1635" i="2"/>
  <c r="D1635" i="2"/>
  <c r="B1635" i="2"/>
  <c r="A1635" i="2"/>
  <c r="O1634" i="2"/>
  <c r="O1633" i="2"/>
  <c r="M1633" i="2"/>
  <c r="L1633" i="2"/>
  <c r="E1633" i="2"/>
  <c r="D1633" i="2"/>
  <c r="B1633" i="2"/>
  <c r="A1633" i="2"/>
  <c r="O1632" i="2"/>
  <c r="M1632" i="2"/>
  <c r="L1632" i="2"/>
  <c r="E1632" i="2"/>
  <c r="D1632" i="2"/>
  <c r="B1632" i="2"/>
  <c r="A1632" i="2"/>
  <c r="O1631" i="2"/>
  <c r="O1630" i="2"/>
  <c r="M1630" i="2"/>
  <c r="L1630" i="2"/>
  <c r="E1630" i="2"/>
  <c r="D1630" i="2"/>
  <c r="B1630" i="2"/>
  <c r="A1630" i="2"/>
  <c r="O1629" i="2"/>
  <c r="O1628" i="2"/>
  <c r="O1627" i="2"/>
  <c r="M1627" i="2"/>
  <c r="L1627" i="2"/>
  <c r="E1627" i="2"/>
  <c r="D1627" i="2"/>
  <c r="B1627" i="2"/>
  <c r="A1627" i="2"/>
  <c r="O1626" i="2"/>
  <c r="M1626" i="2"/>
  <c r="L1626" i="2"/>
  <c r="E1626" i="2"/>
  <c r="D1626" i="2"/>
  <c r="B1626" i="2"/>
  <c r="A1626" i="2"/>
  <c r="O1625" i="2"/>
  <c r="M1625" i="2"/>
  <c r="L1625" i="2"/>
  <c r="E1625" i="2"/>
  <c r="D1625" i="2"/>
  <c r="B1625" i="2"/>
  <c r="A1625" i="2"/>
  <c r="O1624" i="2"/>
  <c r="M1624" i="2"/>
  <c r="L1624" i="2"/>
  <c r="E1624" i="2"/>
  <c r="D1624" i="2"/>
  <c r="B1624" i="2"/>
  <c r="A1624" i="2"/>
  <c r="O1623" i="2"/>
  <c r="O1622" i="2"/>
  <c r="M1622" i="2"/>
  <c r="L1622" i="2"/>
  <c r="E1622" i="2"/>
  <c r="D1622" i="2"/>
  <c r="B1622" i="2"/>
  <c r="A1622" i="2"/>
  <c r="O1621" i="2"/>
  <c r="M1621" i="2"/>
  <c r="L1621" i="2"/>
  <c r="E1621" i="2"/>
  <c r="D1621" i="2"/>
  <c r="B1621" i="2"/>
  <c r="A1621" i="2"/>
  <c r="O1620" i="2"/>
  <c r="M1620" i="2"/>
  <c r="L1620" i="2"/>
  <c r="E1620" i="2"/>
  <c r="D1620" i="2"/>
  <c r="B1620" i="2"/>
  <c r="A1620" i="2"/>
  <c r="O1619" i="2"/>
  <c r="M1619" i="2"/>
  <c r="L1619" i="2"/>
  <c r="E1619" i="2"/>
  <c r="D1619" i="2"/>
  <c r="B1619" i="2"/>
  <c r="A1619" i="2"/>
  <c r="O1618" i="2"/>
  <c r="O1617" i="2"/>
  <c r="M1617" i="2"/>
  <c r="L1617" i="2"/>
  <c r="E1617" i="2"/>
  <c r="D1617" i="2"/>
  <c r="B1617" i="2"/>
  <c r="A1617" i="2"/>
  <c r="O1616" i="2"/>
  <c r="O1615" i="2"/>
  <c r="M1615" i="2"/>
  <c r="L1615" i="2"/>
  <c r="E1615" i="2"/>
  <c r="D1615" i="2"/>
  <c r="B1615" i="2"/>
  <c r="A1615" i="2"/>
  <c r="O1614" i="2"/>
  <c r="O1613" i="2"/>
  <c r="M1613" i="2"/>
  <c r="L1613" i="2"/>
  <c r="E1613" i="2"/>
  <c r="D1613" i="2"/>
  <c r="B1613" i="2"/>
  <c r="A1613" i="2"/>
  <c r="O1612" i="2"/>
  <c r="M1612" i="2"/>
  <c r="L1612" i="2"/>
  <c r="E1612" i="2"/>
  <c r="D1612" i="2"/>
  <c r="B1612" i="2"/>
  <c r="A1612" i="2"/>
  <c r="O1611" i="2"/>
  <c r="M1611" i="2"/>
  <c r="L1611" i="2"/>
  <c r="E1611" i="2"/>
  <c r="D1611" i="2"/>
  <c r="B1611" i="2"/>
  <c r="A1611" i="2"/>
  <c r="O1610" i="2"/>
  <c r="M1610" i="2"/>
  <c r="L1610" i="2"/>
  <c r="E1610" i="2"/>
  <c r="D1610" i="2"/>
  <c r="B1610" i="2"/>
  <c r="A1610" i="2"/>
  <c r="O1609" i="2"/>
  <c r="O1608" i="2"/>
  <c r="M1608" i="2"/>
  <c r="L1608" i="2"/>
  <c r="E1608" i="2"/>
  <c r="D1608" i="2"/>
  <c r="B1608" i="2"/>
  <c r="A1608" i="2"/>
  <c r="O1607" i="2"/>
  <c r="M1607" i="2"/>
  <c r="L1607" i="2"/>
  <c r="E1607" i="2"/>
  <c r="D1607" i="2"/>
  <c r="B1607" i="2"/>
  <c r="A1607" i="2"/>
  <c r="O1606" i="2"/>
  <c r="O1605" i="2"/>
  <c r="O1604" i="2"/>
  <c r="O1603" i="2"/>
  <c r="O1602" i="2"/>
  <c r="M1602" i="2"/>
  <c r="L1602" i="2"/>
  <c r="E1602" i="2"/>
  <c r="D1602" i="2"/>
  <c r="B1602" i="2"/>
  <c r="A1602" i="2"/>
  <c r="O1601" i="2"/>
  <c r="O1600" i="2"/>
  <c r="O1599" i="2"/>
  <c r="M1599" i="2"/>
  <c r="L1599" i="2"/>
  <c r="E1599" i="2"/>
  <c r="D1599" i="2"/>
  <c r="B1599" i="2"/>
  <c r="A1599" i="2"/>
  <c r="O1598" i="2"/>
  <c r="M1598" i="2"/>
  <c r="L1598" i="2"/>
  <c r="E1598" i="2"/>
  <c r="D1598" i="2"/>
  <c r="B1598" i="2"/>
  <c r="A1598" i="2"/>
  <c r="O1597" i="2"/>
  <c r="M1597" i="2"/>
  <c r="L1597" i="2"/>
  <c r="E1597" i="2"/>
  <c r="D1597" i="2"/>
  <c r="B1597" i="2"/>
  <c r="A1597" i="2"/>
  <c r="O1596" i="2"/>
  <c r="O1595" i="2"/>
  <c r="O1594" i="2"/>
  <c r="M1594" i="2"/>
  <c r="L1594" i="2"/>
  <c r="E1594" i="2"/>
  <c r="D1594" i="2"/>
  <c r="B1594" i="2"/>
  <c r="A1594" i="2"/>
  <c r="O1593" i="2"/>
  <c r="M1593" i="2"/>
  <c r="L1593" i="2"/>
  <c r="E1593" i="2"/>
  <c r="D1593" i="2"/>
  <c r="B1593" i="2"/>
  <c r="A1593" i="2"/>
  <c r="O1592" i="2"/>
  <c r="M1592" i="2"/>
  <c r="L1592" i="2"/>
  <c r="E1592" i="2"/>
  <c r="D1592" i="2"/>
  <c r="B1592" i="2"/>
  <c r="A1592" i="2"/>
  <c r="O1591" i="2"/>
  <c r="M1591" i="2"/>
  <c r="L1591" i="2"/>
  <c r="E1591" i="2"/>
  <c r="D1591" i="2"/>
  <c r="B1591" i="2"/>
  <c r="A1591" i="2"/>
  <c r="O1590" i="2"/>
  <c r="O1589" i="2"/>
  <c r="M1589" i="2"/>
  <c r="L1589" i="2"/>
  <c r="E1589" i="2"/>
  <c r="D1589" i="2"/>
  <c r="B1589" i="2"/>
  <c r="A1589" i="2"/>
  <c r="O1588" i="2"/>
  <c r="O1587" i="2"/>
  <c r="O1586" i="2"/>
  <c r="O1585" i="2"/>
  <c r="M1585" i="2"/>
  <c r="L1585" i="2"/>
  <c r="E1585" i="2"/>
  <c r="D1585" i="2"/>
  <c r="B1585" i="2"/>
  <c r="A1585" i="2"/>
  <c r="O1584" i="2"/>
  <c r="O1583" i="2"/>
  <c r="O1582" i="2"/>
  <c r="M1582" i="2"/>
  <c r="L1582" i="2"/>
  <c r="E1582" i="2"/>
  <c r="D1582" i="2"/>
  <c r="B1582" i="2"/>
  <c r="A1582" i="2"/>
  <c r="O1581" i="2"/>
  <c r="O1580" i="2"/>
  <c r="M1580" i="2"/>
  <c r="L1580" i="2"/>
  <c r="E1580" i="2"/>
  <c r="D1580" i="2"/>
  <c r="B1580" i="2"/>
  <c r="A1580" i="2"/>
  <c r="O1579" i="2"/>
  <c r="M1579" i="2"/>
  <c r="L1579" i="2"/>
  <c r="E1579" i="2"/>
  <c r="D1579" i="2"/>
  <c r="B1579" i="2"/>
  <c r="A1579" i="2"/>
  <c r="O1578" i="2"/>
  <c r="M1578" i="2"/>
  <c r="L1578" i="2"/>
  <c r="E1578" i="2"/>
  <c r="D1578" i="2"/>
  <c r="B1578" i="2"/>
  <c r="A1578" i="2"/>
  <c r="O1577" i="2"/>
  <c r="M1577" i="2"/>
  <c r="L1577" i="2"/>
  <c r="E1577" i="2"/>
  <c r="D1577" i="2"/>
  <c r="B1577" i="2"/>
  <c r="A1577" i="2"/>
  <c r="O1576" i="2"/>
  <c r="M1576" i="2"/>
  <c r="L1576" i="2"/>
  <c r="E1576" i="2"/>
  <c r="D1576" i="2"/>
  <c r="B1576" i="2"/>
  <c r="A1576" i="2"/>
  <c r="O1575" i="2"/>
  <c r="M1575" i="2"/>
  <c r="L1575" i="2"/>
  <c r="E1575" i="2"/>
  <c r="D1575" i="2"/>
  <c r="B1575" i="2"/>
  <c r="A1575" i="2"/>
  <c r="O1574" i="2"/>
  <c r="M1574" i="2"/>
  <c r="L1574" i="2"/>
  <c r="E1574" i="2"/>
  <c r="D1574" i="2"/>
  <c r="B1574" i="2"/>
  <c r="A1574" i="2"/>
  <c r="O1573" i="2"/>
  <c r="M1573" i="2"/>
  <c r="L1573" i="2"/>
  <c r="E1573" i="2"/>
  <c r="D1573" i="2"/>
  <c r="B1573" i="2"/>
  <c r="A1573" i="2"/>
  <c r="O1572" i="2"/>
  <c r="O1571" i="2"/>
  <c r="O1570" i="2"/>
  <c r="O1569" i="2"/>
  <c r="O1568" i="2"/>
  <c r="O1567" i="2"/>
  <c r="M1567" i="2"/>
  <c r="L1567" i="2"/>
  <c r="E1567" i="2"/>
  <c r="D1567" i="2"/>
  <c r="B1567" i="2"/>
  <c r="A1567" i="2"/>
  <c r="O1566" i="2"/>
  <c r="M1566" i="2"/>
  <c r="L1566" i="2"/>
  <c r="E1566" i="2"/>
  <c r="D1566" i="2"/>
  <c r="B1566" i="2"/>
  <c r="A1566" i="2"/>
  <c r="O1565" i="2"/>
  <c r="M1565" i="2"/>
  <c r="L1565" i="2"/>
  <c r="E1565" i="2"/>
  <c r="D1565" i="2"/>
  <c r="B1565" i="2"/>
  <c r="A1565" i="2"/>
  <c r="O1564" i="2"/>
  <c r="O1563" i="2"/>
  <c r="M1563" i="2"/>
  <c r="L1563" i="2"/>
  <c r="E1563" i="2"/>
  <c r="D1563" i="2"/>
  <c r="B1563" i="2"/>
  <c r="A1563" i="2"/>
  <c r="O1562" i="2"/>
  <c r="M1562" i="2"/>
  <c r="L1562" i="2"/>
  <c r="E1562" i="2"/>
  <c r="D1562" i="2"/>
  <c r="B1562" i="2"/>
  <c r="A1562" i="2"/>
  <c r="O1561" i="2"/>
  <c r="O1560" i="2"/>
  <c r="M1560" i="2"/>
  <c r="L1560" i="2"/>
  <c r="E1560" i="2"/>
  <c r="D1560" i="2"/>
  <c r="B1560" i="2"/>
  <c r="A1560" i="2"/>
  <c r="O1559" i="2"/>
  <c r="O1558" i="2"/>
  <c r="O1557" i="2"/>
  <c r="M1557" i="2"/>
  <c r="L1557" i="2"/>
  <c r="E1557" i="2"/>
  <c r="D1557" i="2"/>
  <c r="B1557" i="2"/>
  <c r="A1557" i="2"/>
  <c r="O1556" i="2"/>
  <c r="M1556" i="2"/>
  <c r="L1556" i="2"/>
  <c r="E1556" i="2"/>
  <c r="D1556" i="2"/>
  <c r="B1556" i="2"/>
  <c r="A1556" i="2"/>
  <c r="O1555" i="2"/>
  <c r="M1555" i="2"/>
  <c r="L1555" i="2"/>
  <c r="E1555" i="2"/>
  <c r="D1555" i="2"/>
  <c r="B1555" i="2"/>
  <c r="A1555" i="2"/>
  <c r="O1554" i="2"/>
  <c r="M1554" i="2"/>
  <c r="L1554" i="2"/>
  <c r="E1554" i="2"/>
  <c r="D1554" i="2"/>
  <c r="B1554" i="2"/>
  <c r="A1554" i="2"/>
  <c r="O1553" i="2"/>
  <c r="O1552" i="2"/>
  <c r="O1551" i="2"/>
  <c r="M1551" i="2"/>
  <c r="L1551" i="2"/>
  <c r="E1551" i="2"/>
  <c r="D1551" i="2"/>
  <c r="B1551" i="2"/>
  <c r="A1551" i="2"/>
  <c r="O1550" i="2"/>
  <c r="M1550" i="2"/>
  <c r="L1550" i="2"/>
  <c r="E1550" i="2"/>
  <c r="D1550" i="2"/>
  <c r="B1550" i="2"/>
  <c r="A1550" i="2"/>
  <c r="O1549" i="2"/>
  <c r="M1549" i="2"/>
  <c r="L1549" i="2"/>
  <c r="E1549" i="2"/>
  <c r="D1549" i="2"/>
  <c r="B1549" i="2"/>
  <c r="A1549" i="2"/>
  <c r="O1548" i="2"/>
  <c r="M1548" i="2"/>
  <c r="L1548" i="2"/>
  <c r="E1548" i="2"/>
  <c r="D1548" i="2"/>
  <c r="B1548" i="2"/>
  <c r="A1548" i="2"/>
  <c r="O1547" i="2"/>
  <c r="O1546" i="2"/>
  <c r="M1546" i="2"/>
  <c r="L1546" i="2"/>
  <c r="E1546" i="2"/>
  <c r="D1546" i="2"/>
  <c r="B1546" i="2"/>
  <c r="A1546" i="2"/>
  <c r="O1545" i="2"/>
  <c r="O1544" i="2"/>
  <c r="M1544" i="2"/>
  <c r="L1544" i="2"/>
  <c r="E1544" i="2"/>
  <c r="D1544" i="2"/>
  <c r="B1544" i="2"/>
  <c r="A1544" i="2"/>
  <c r="O1543" i="2"/>
  <c r="O1542" i="2"/>
  <c r="O1541" i="2"/>
  <c r="M1541" i="2"/>
  <c r="L1541" i="2"/>
  <c r="E1541" i="2"/>
  <c r="D1541" i="2"/>
  <c r="B1541" i="2"/>
  <c r="A1541" i="2"/>
  <c r="O1540" i="2"/>
  <c r="M1540" i="2"/>
  <c r="L1540" i="2"/>
  <c r="E1540" i="2"/>
  <c r="D1540" i="2"/>
  <c r="B1540" i="2"/>
  <c r="A1540" i="2"/>
  <c r="O1539" i="2"/>
  <c r="M1539" i="2"/>
  <c r="L1539" i="2"/>
  <c r="E1539" i="2"/>
  <c r="D1539" i="2"/>
  <c r="B1539" i="2"/>
  <c r="A1539" i="2"/>
  <c r="O1538" i="2"/>
  <c r="M1538" i="2"/>
  <c r="L1538" i="2"/>
  <c r="E1538" i="2"/>
  <c r="D1538" i="2"/>
  <c r="B1538" i="2"/>
  <c r="A1538" i="2"/>
  <c r="O1537" i="2"/>
  <c r="O1536" i="2"/>
  <c r="M1536" i="2"/>
  <c r="L1536" i="2"/>
  <c r="E1536" i="2"/>
  <c r="D1536" i="2"/>
  <c r="B1536" i="2"/>
  <c r="A1536" i="2"/>
  <c r="O1535" i="2"/>
  <c r="M1535" i="2"/>
  <c r="L1535" i="2"/>
  <c r="E1535" i="2"/>
  <c r="D1535" i="2"/>
  <c r="B1535" i="2"/>
  <c r="A1535" i="2"/>
  <c r="O1534" i="2"/>
  <c r="O1533" i="2"/>
  <c r="O1532" i="2"/>
  <c r="O1531" i="2"/>
  <c r="O1530" i="2"/>
  <c r="O1529" i="2"/>
  <c r="O1528" i="2"/>
  <c r="M1528" i="2"/>
  <c r="L1528" i="2"/>
  <c r="E1528" i="2"/>
  <c r="D1528" i="2"/>
  <c r="B1528" i="2"/>
  <c r="A1528" i="2"/>
  <c r="O1527" i="2"/>
  <c r="M1527" i="2"/>
  <c r="L1527" i="2"/>
  <c r="E1527" i="2"/>
  <c r="D1527" i="2"/>
  <c r="B1527" i="2"/>
  <c r="A1527" i="2"/>
  <c r="O1526" i="2"/>
  <c r="M1526" i="2"/>
  <c r="L1526" i="2"/>
  <c r="E1526" i="2"/>
  <c r="D1526" i="2"/>
  <c r="B1526" i="2"/>
  <c r="A1526" i="2"/>
  <c r="O1525" i="2"/>
  <c r="M1525" i="2"/>
  <c r="L1525" i="2"/>
  <c r="E1525" i="2"/>
  <c r="D1525" i="2"/>
  <c r="B1525" i="2"/>
  <c r="A1525" i="2"/>
  <c r="O1524" i="2"/>
  <c r="M1524" i="2"/>
  <c r="L1524" i="2"/>
  <c r="E1524" i="2"/>
  <c r="D1524" i="2"/>
  <c r="B1524" i="2"/>
  <c r="A1524" i="2"/>
  <c r="O1523" i="2"/>
  <c r="M1523" i="2"/>
  <c r="L1523" i="2"/>
  <c r="E1523" i="2"/>
  <c r="D1523" i="2"/>
  <c r="B1523" i="2"/>
  <c r="A1523" i="2"/>
  <c r="O1522" i="2"/>
  <c r="M1522" i="2"/>
  <c r="L1522" i="2"/>
  <c r="E1522" i="2"/>
  <c r="D1522" i="2"/>
  <c r="B1522" i="2"/>
  <c r="A1522" i="2"/>
  <c r="O1521" i="2"/>
  <c r="M1521" i="2"/>
  <c r="L1521" i="2"/>
  <c r="E1521" i="2"/>
  <c r="D1521" i="2"/>
  <c r="B1521" i="2"/>
  <c r="A1521" i="2"/>
  <c r="O1520" i="2"/>
  <c r="O1519" i="2"/>
  <c r="M1519" i="2"/>
  <c r="L1519" i="2"/>
  <c r="E1519" i="2"/>
  <c r="D1519" i="2"/>
  <c r="B1519" i="2"/>
  <c r="A1519" i="2"/>
  <c r="O1518" i="2"/>
  <c r="O1517" i="2"/>
  <c r="M1517" i="2"/>
  <c r="L1517" i="2"/>
  <c r="E1517" i="2"/>
  <c r="D1517" i="2"/>
  <c r="B1517" i="2"/>
  <c r="A1517" i="2"/>
  <c r="O1516" i="2"/>
  <c r="M1516" i="2"/>
  <c r="L1516" i="2"/>
  <c r="E1516" i="2"/>
  <c r="D1516" i="2"/>
  <c r="B1516" i="2"/>
  <c r="A1516" i="2"/>
  <c r="O1515" i="2"/>
  <c r="M1515" i="2"/>
  <c r="L1515" i="2"/>
  <c r="E1515" i="2"/>
  <c r="D1515" i="2"/>
  <c r="B1515" i="2"/>
  <c r="A1515" i="2"/>
  <c r="O1514" i="2"/>
  <c r="O1513" i="2"/>
  <c r="O1512" i="2"/>
  <c r="M1512" i="2"/>
  <c r="L1512" i="2"/>
  <c r="E1512" i="2"/>
  <c r="D1512" i="2"/>
  <c r="B1512" i="2"/>
  <c r="A1512" i="2"/>
  <c r="O1511" i="2"/>
  <c r="M1511" i="2"/>
  <c r="L1511" i="2"/>
  <c r="E1511" i="2"/>
  <c r="D1511" i="2"/>
  <c r="B1511" i="2"/>
  <c r="A1511" i="2"/>
  <c r="O1510" i="2"/>
  <c r="O1509" i="2"/>
  <c r="O1508" i="2"/>
  <c r="O1507" i="2"/>
  <c r="O1506" i="2"/>
  <c r="O1505" i="2"/>
  <c r="O1504" i="2"/>
  <c r="O1503" i="2"/>
  <c r="M1503" i="2"/>
  <c r="L1503" i="2"/>
  <c r="E1503" i="2"/>
  <c r="D1503" i="2"/>
  <c r="B1503" i="2"/>
  <c r="A1503" i="2"/>
  <c r="O1502" i="2"/>
  <c r="O1501" i="2"/>
  <c r="M1501" i="2"/>
  <c r="L1501" i="2"/>
  <c r="E1501" i="2"/>
  <c r="D1501" i="2"/>
  <c r="B1501" i="2"/>
  <c r="A1501" i="2"/>
  <c r="O1500" i="2"/>
  <c r="O1499" i="2"/>
  <c r="O1498" i="2"/>
  <c r="O1497" i="2"/>
  <c r="M1497" i="2"/>
  <c r="L1497" i="2"/>
  <c r="E1497" i="2"/>
  <c r="D1497" i="2"/>
  <c r="B1497" i="2"/>
  <c r="A1497" i="2"/>
  <c r="O1496" i="2"/>
  <c r="O1495" i="2"/>
  <c r="M1495" i="2"/>
  <c r="L1495" i="2"/>
  <c r="E1495" i="2"/>
  <c r="D1495" i="2"/>
  <c r="B1495" i="2"/>
  <c r="A1495" i="2"/>
  <c r="O1494" i="2"/>
  <c r="O1493" i="2"/>
  <c r="O1492" i="2"/>
  <c r="O1491" i="2"/>
  <c r="O1490" i="2"/>
  <c r="O1489" i="2"/>
  <c r="O1488" i="2"/>
  <c r="O1487" i="2"/>
  <c r="O1486" i="2"/>
  <c r="O1485" i="2"/>
  <c r="O1484" i="2"/>
  <c r="M1484" i="2"/>
  <c r="L1484" i="2"/>
  <c r="E1484" i="2"/>
  <c r="D1484" i="2"/>
  <c r="B1484" i="2"/>
  <c r="A1484" i="2"/>
  <c r="O1483" i="2"/>
  <c r="M1483" i="2"/>
  <c r="L1483" i="2"/>
  <c r="E1483" i="2"/>
  <c r="D1483" i="2"/>
  <c r="B1483" i="2"/>
  <c r="A1483" i="2"/>
  <c r="O1482" i="2"/>
  <c r="O1481" i="2"/>
  <c r="M1481" i="2"/>
  <c r="L1481" i="2"/>
  <c r="E1481" i="2"/>
  <c r="D1481" i="2"/>
  <c r="B1481" i="2"/>
  <c r="A1481" i="2"/>
  <c r="O1480" i="2"/>
  <c r="O1479" i="2"/>
  <c r="M1479" i="2"/>
  <c r="L1479" i="2"/>
  <c r="E1479" i="2"/>
  <c r="D1479" i="2"/>
  <c r="B1479" i="2"/>
  <c r="A1479" i="2"/>
  <c r="O1478" i="2"/>
  <c r="O1477" i="2"/>
  <c r="O1476" i="2"/>
  <c r="O1475" i="2"/>
  <c r="O1474" i="2"/>
  <c r="O1473" i="2"/>
  <c r="M1473" i="2"/>
  <c r="L1473" i="2"/>
  <c r="E1473" i="2"/>
  <c r="D1473" i="2"/>
  <c r="B1473" i="2"/>
  <c r="A1473" i="2"/>
  <c r="O1472" i="2"/>
  <c r="O1471" i="2"/>
  <c r="O1470" i="2"/>
  <c r="M1470" i="2"/>
  <c r="L1470" i="2"/>
  <c r="E1470" i="2"/>
  <c r="D1470" i="2"/>
  <c r="B1470" i="2"/>
  <c r="A1470" i="2"/>
  <c r="O1469" i="2"/>
  <c r="O1468" i="2"/>
  <c r="M1468" i="2"/>
  <c r="L1468" i="2"/>
  <c r="E1468" i="2"/>
  <c r="D1468" i="2"/>
  <c r="B1468" i="2"/>
  <c r="A1468" i="2"/>
  <c r="O1467" i="2"/>
  <c r="O1466" i="2"/>
  <c r="M1466" i="2"/>
  <c r="L1466" i="2"/>
  <c r="E1466" i="2"/>
  <c r="D1466" i="2"/>
  <c r="B1466" i="2"/>
  <c r="A1466" i="2"/>
  <c r="O1465" i="2"/>
  <c r="O1464" i="2"/>
  <c r="O1463" i="2"/>
  <c r="O1462" i="2"/>
  <c r="O1461" i="2"/>
  <c r="O1460" i="2"/>
  <c r="O1459" i="2"/>
  <c r="O1458" i="2"/>
  <c r="O1457" i="2"/>
  <c r="O1456" i="2"/>
  <c r="M1456" i="2"/>
  <c r="L1456" i="2"/>
  <c r="E1456" i="2"/>
  <c r="D1456" i="2"/>
  <c r="B1456" i="2"/>
  <c r="A1456" i="2"/>
  <c r="O1455" i="2"/>
  <c r="M1455" i="2"/>
  <c r="L1455" i="2"/>
  <c r="E1455" i="2"/>
  <c r="D1455" i="2"/>
  <c r="B1455" i="2"/>
  <c r="A1455" i="2"/>
  <c r="O1454" i="2"/>
  <c r="M1454" i="2"/>
  <c r="L1454" i="2"/>
  <c r="E1454" i="2"/>
  <c r="D1454" i="2"/>
  <c r="B1454" i="2"/>
  <c r="A1454" i="2"/>
  <c r="O1453" i="2"/>
  <c r="O1452" i="2"/>
  <c r="O1451" i="2"/>
  <c r="O1450" i="2"/>
  <c r="M1450" i="2"/>
  <c r="L1450" i="2"/>
  <c r="E1450" i="2"/>
  <c r="D1450" i="2"/>
  <c r="B1450" i="2"/>
  <c r="A1450" i="2"/>
  <c r="O1449" i="2"/>
  <c r="O1448" i="2"/>
  <c r="O1447" i="2"/>
  <c r="M1447" i="2"/>
  <c r="L1447" i="2"/>
  <c r="E1447" i="2"/>
  <c r="D1447" i="2"/>
  <c r="B1447" i="2"/>
  <c r="A1447" i="2"/>
  <c r="O1446" i="2"/>
  <c r="O1445" i="2"/>
  <c r="O1444" i="2"/>
  <c r="O1443" i="2"/>
  <c r="O1442" i="2"/>
  <c r="O1441" i="2"/>
  <c r="O1440" i="2"/>
  <c r="M1440" i="2"/>
  <c r="L1440" i="2"/>
  <c r="E1440" i="2"/>
  <c r="D1440" i="2"/>
  <c r="B1440" i="2"/>
  <c r="A1440" i="2"/>
  <c r="O1439" i="2"/>
  <c r="O1438" i="2"/>
  <c r="M1438" i="2"/>
  <c r="L1438" i="2"/>
  <c r="E1438" i="2"/>
  <c r="D1438" i="2"/>
  <c r="B1438" i="2"/>
  <c r="A1438" i="2"/>
  <c r="O1437" i="2"/>
  <c r="O1436" i="2"/>
  <c r="O1435" i="2"/>
  <c r="O1434" i="2"/>
  <c r="O1433" i="2"/>
  <c r="M1433" i="2"/>
  <c r="L1433" i="2"/>
  <c r="E1433" i="2"/>
  <c r="D1433" i="2"/>
  <c r="B1433" i="2"/>
  <c r="A1433" i="2"/>
  <c r="O1432" i="2"/>
  <c r="O1431" i="2"/>
  <c r="M1431" i="2"/>
  <c r="L1431" i="2"/>
  <c r="E1431" i="2"/>
  <c r="D1431" i="2"/>
  <c r="B1431" i="2"/>
  <c r="A1431" i="2"/>
  <c r="O1430" i="2"/>
  <c r="M1430" i="2"/>
  <c r="L1430" i="2"/>
  <c r="E1430" i="2"/>
  <c r="D1430" i="2"/>
  <c r="B1430" i="2"/>
  <c r="A1430" i="2"/>
  <c r="O1429" i="2"/>
  <c r="O1428" i="2"/>
  <c r="M1428" i="2"/>
  <c r="L1428" i="2"/>
  <c r="E1428" i="2"/>
  <c r="D1428" i="2"/>
  <c r="B1428" i="2"/>
  <c r="A1428" i="2"/>
  <c r="O1427" i="2"/>
  <c r="M1427" i="2"/>
  <c r="L1427" i="2"/>
  <c r="E1427" i="2"/>
  <c r="D1427" i="2"/>
  <c r="B1427" i="2"/>
  <c r="A1427" i="2"/>
  <c r="O1426" i="2"/>
  <c r="M1426" i="2"/>
  <c r="L1426" i="2"/>
  <c r="E1426" i="2"/>
  <c r="D1426" i="2"/>
  <c r="B1426" i="2"/>
  <c r="A1426" i="2"/>
  <c r="O1425" i="2"/>
  <c r="O1424" i="2"/>
  <c r="M1424" i="2"/>
  <c r="L1424" i="2"/>
  <c r="E1424" i="2"/>
  <c r="D1424" i="2"/>
  <c r="B1424" i="2"/>
  <c r="A1424" i="2"/>
  <c r="O1423" i="2"/>
  <c r="M1423" i="2"/>
  <c r="L1423" i="2"/>
  <c r="E1423" i="2"/>
  <c r="D1423" i="2"/>
  <c r="B1423" i="2"/>
  <c r="A1423" i="2"/>
  <c r="O1422" i="2"/>
  <c r="O1421" i="2"/>
  <c r="O1420" i="2"/>
  <c r="O1419" i="2"/>
  <c r="M1419" i="2"/>
  <c r="L1419" i="2"/>
  <c r="E1419" i="2"/>
  <c r="D1419" i="2"/>
  <c r="B1419" i="2"/>
  <c r="A1419" i="2"/>
  <c r="O1418" i="2"/>
  <c r="O1417" i="2"/>
  <c r="M1417" i="2"/>
  <c r="L1417" i="2"/>
  <c r="E1417" i="2"/>
  <c r="D1417" i="2"/>
  <c r="B1417" i="2"/>
  <c r="A1417" i="2"/>
  <c r="O1416" i="2"/>
  <c r="O1415" i="2"/>
  <c r="M1415" i="2"/>
  <c r="L1415" i="2"/>
  <c r="E1415" i="2"/>
  <c r="D1415" i="2"/>
  <c r="B1415" i="2"/>
  <c r="A1415" i="2"/>
  <c r="O1414" i="2"/>
  <c r="O1413" i="2"/>
  <c r="M1413" i="2"/>
  <c r="L1413" i="2"/>
  <c r="E1413" i="2"/>
  <c r="D1413" i="2"/>
  <c r="B1413" i="2"/>
  <c r="A1413" i="2"/>
  <c r="O1412" i="2"/>
  <c r="O1411" i="2"/>
  <c r="O1410" i="2"/>
  <c r="M1410" i="2"/>
  <c r="L1410" i="2"/>
  <c r="E1410" i="2"/>
  <c r="D1410" i="2"/>
  <c r="B1410" i="2"/>
  <c r="A1410" i="2"/>
  <c r="O1409" i="2"/>
  <c r="O1408" i="2"/>
  <c r="M1408" i="2"/>
  <c r="L1408" i="2"/>
  <c r="E1408" i="2"/>
  <c r="D1408" i="2"/>
  <c r="B1408" i="2"/>
  <c r="A1408" i="2"/>
  <c r="O1407" i="2"/>
  <c r="O1406" i="2"/>
  <c r="M1406" i="2"/>
  <c r="L1406" i="2"/>
  <c r="E1406" i="2"/>
  <c r="D1406" i="2"/>
  <c r="B1406" i="2"/>
  <c r="A1406" i="2"/>
  <c r="O1405" i="2"/>
  <c r="O1404" i="2"/>
  <c r="M1404" i="2"/>
  <c r="L1404" i="2"/>
  <c r="E1404" i="2"/>
  <c r="D1404" i="2"/>
  <c r="B1404" i="2"/>
  <c r="A1404" i="2"/>
  <c r="O1403" i="2"/>
  <c r="O1402" i="2"/>
  <c r="O1401" i="2"/>
  <c r="M1401" i="2"/>
  <c r="L1401" i="2"/>
  <c r="E1401" i="2"/>
  <c r="D1401" i="2"/>
  <c r="B1401" i="2"/>
  <c r="A1401" i="2"/>
  <c r="O1400" i="2"/>
  <c r="M1400" i="2"/>
  <c r="L1400" i="2"/>
  <c r="E1400" i="2"/>
  <c r="D1400" i="2"/>
  <c r="B1400" i="2"/>
  <c r="A1400" i="2"/>
  <c r="O1399" i="2"/>
  <c r="M1399" i="2"/>
  <c r="L1399" i="2"/>
  <c r="E1399" i="2"/>
  <c r="D1399" i="2"/>
  <c r="B1399" i="2"/>
  <c r="A1399" i="2"/>
  <c r="O1398" i="2"/>
  <c r="M1398" i="2"/>
  <c r="L1398" i="2"/>
  <c r="E1398" i="2"/>
  <c r="D1398" i="2"/>
  <c r="B1398" i="2"/>
  <c r="A1398" i="2"/>
  <c r="O1397" i="2"/>
  <c r="O1396" i="2"/>
  <c r="M1396" i="2"/>
  <c r="L1396" i="2"/>
  <c r="E1396" i="2"/>
  <c r="D1396" i="2"/>
  <c r="B1396" i="2"/>
  <c r="A1396" i="2"/>
  <c r="O1395" i="2"/>
  <c r="M1395" i="2"/>
  <c r="L1395" i="2"/>
  <c r="E1395" i="2"/>
  <c r="D1395" i="2"/>
  <c r="B1395" i="2"/>
  <c r="A1395" i="2"/>
  <c r="O1394" i="2"/>
  <c r="O1393" i="2"/>
  <c r="O1392" i="2"/>
  <c r="O1391" i="2"/>
  <c r="M1391" i="2"/>
  <c r="L1391" i="2"/>
  <c r="E1391" i="2"/>
  <c r="D1391" i="2"/>
  <c r="B1391" i="2"/>
  <c r="A1391" i="2"/>
  <c r="O1390" i="2"/>
  <c r="O1389" i="2"/>
  <c r="O1388" i="2"/>
  <c r="O1387" i="2"/>
  <c r="O1386" i="2"/>
  <c r="O1385" i="2"/>
  <c r="M1385" i="2"/>
  <c r="L1385" i="2"/>
  <c r="E1385" i="2"/>
  <c r="D1385" i="2"/>
  <c r="B1385" i="2"/>
  <c r="A1385" i="2"/>
  <c r="O1384" i="2"/>
  <c r="O1383" i="2"/>
  <c r="O1382" i="2"/>
  <c r="O1381" i="2"/>
  <c r="O1380" i="2"/>
  <c r="O1379" i="2"/>
  <c r="O1378" i="2"/>
  <c r="M1378" i="2"/>
  <c r="L1378" i="2"/>
  <c r="E1378" i="2"/>
  <c r="D1378" i="2"/>
  <c r="B1378" i="2"/>
  <c r="A1378" i="2"/>
  <c r="O1377" i="2"/>
  <c r="O1376" i="2"/>
  <c r="M1376" i="2"/>
  <c r="L1376" i="2"/>
  <c r="E1376" i="2"/>
  <c r="D1376" i="2"/>
  <c r="B1376" i="2"/>
  <c r="A1376" i="2"/>
  <c r="O1375" i="2"/>
  <c r="O1374" i="2"/>
  <c r="O1373" i="2"/>
  <c r="O1372" i="2"/>
  <c r="O1371" i="2"/>
  <c r="O1370" i="2"/>
  <c r="O1369" i="2"/>
  <c r="O1368" i="2"/>
  <c r="O1367" i="2"/>
  <c r="O1366" i="2"/>
  <c r="O1365" i="2"/>
  <c r="O1364" i="2"/>
  <c r="O1363" i="2"/>
  <c r="O1362" i="2"/>
  <c r="M1362" i="2"/>
  <c r="L1362" i="2"/>
  <c r="E1362" i="2"/>
  <c r="D1362" i="2"/>
  <c r="B1362" i="2"/>
  <c r="A1362" i="2"/>
  <c r="O1361" i="2"/>
  <c r="O1360" i="2"/>
  <c r="O1359" i="2"/>
  <c r="M1359" i="2"/>
  <c r="L1359" i="2"/>
  <c r="E1359" i="2"/>
  <c r="D1359" i="2"/>
  <c r="B1359" i="2"/>
  <c r="A1359" i="2"/>
  <c r="O1358" i="2"/>
  <c r="O1357" i="2"/>
  <c r="O1356" i="2"/>
  <c r="O1355" i="2"/>
  <c r="O1354" i="2"/>
  <c r="O1353" i="2"/>
  <c r="M1353" i="2"/>
  <c r="L1353" i="2"/>
  <c r="E1353" i="2"/>
  <c r="D1353" i="2"/>
  <c r="B1353" i="2"/>
  <c r="A1353" i="2"/>
  <c r="O1352" i="2"/>
  <c r="O1351" i="2"/>
  <c r="O1350" i="2"/>
  <c r="M1350" i="2"/>
  <c r="L1350" i="2"/>
  <c r="E1350" i="2"/>
  <c r="D1350" i="2"/>
  <c r="B1350" i="2"/>
  <c r="A1350" i="2"/>
  <c r="O1349" i="2"/>
  <c r="O1348" i="2"/>
  <c r="O1347" i="2"/>
  <c r="O1346" i="2"/>
  <c r="O1345" i="2"/>
  <c r="O1344" i="2"/>
  <c r="M1344" i="2"/>
  <c r="L1344" i="2"/>
  <c r="E1344" i="2"/>
  <c r="D1344" i="2"/>
  <c r="B1344" i="2"/>
  <c r="A1344" i="2"/>
  <c r="O1343" i="2"/>
  <c r="O1342" i="2"/>
  <c r="M1342" i="2"/>
  <c r="L1342" i="2"/>
  <c r="E1342" i="2"/>
  <c r="D1342" i="2"/>
  <c r="B1342" i="2"/>
  <c r="A1342" i="2"/>
  <c r="O1341" i="2"/>
  <c r="O1340" i="2"/>
  <c r="O1339" i="2"/>
  <c r="O1338" i="2"/>
  <c r="O1337" i="2"/>
  <c r="O1336" i="2"/>
  <c r="O1335" i="2"/>
  <c r="O1334" i="2"/>
  <c r="O1333" i="2"/>
  <c r="M1333" i="2"/>
  <c r="L1333" i="2"/>
  <c r="E1333" i="2"/>
  <c r="D1333" i="2"/>
  <c r="B1333" i="2"/>
  <c r="A1333" i="2"/>
  <c r="O1332" i="2"/>
  <c r="O1331" i="2"/>
  <c r="M1331" i="2"/>
  <c r="L1331" i="2"/>
  <c r="E1331" i="2"/>
  <c r="D1331" i="2"/>
  <c r="B1331" i="2"/>
  <c r="A1331" i="2"/>
  <c r="O1330" i="2"/>
  <c r="O1329" i="2"/>
  <c r="O1328" i="2"/>
  <c r="O1327" i="2"/>
  <c r="O1326" i="2"/>
  <c r="M1326" i="2"/>
  <c r="L1326" i="2"/>
  <c r="E1326" i="2"/>
  <c r="D1326" i="2"/>
  <c r="B1326" i="2"/>
  <c r="A1326" i="2"/>
  <c r="O1325" i="2"/>
  <c r="O1324" i="2"/>
  <c r="O1323" i="2"/>
  <c r="O1322" i="2"/>
  <c r="O1321" i="2"/>
  <c r="O1320" i="2"/>
  <c r="O1319" i="2"/>
  <c r="O1318" i="2"/>
  <c r="O1317" i="2"/>
  <c r="O1316" i="2"/>
  <c r="O1315" i="2"/>
  <c r="O1314" i="2"/>
  <c r="O1313" i="2"/>
  <c r="O1312" i="2"/>
  <c r="O1311" i="2"/>
  <c r="O1310" i="2"/>
  <c r="M1310" i="2"/>
  <c r="L1310" i="2"/>
  <c r="E1310" i="2"/>
  <c r="D1310" i="2"/>
  <c r="B1310" i="2"/>
  <c r="A1310" i="2"/>
  <c r="O1309" i="2"/>
  <c r="O1308" i="2"/>
  <c r="O1307" i="2"/>
  <c r="M1307" i="2"/>
  <c r="L1307" i="2"/>
  <c r="E1307" i="2"/>
  <c r="D1307" i="2"/>
  <c r="B1307" i="2"/>
  <c r="A1307" i="2"/>
  <c r="O1306" i="2"/>
  <c r="O1305" i="2"/>
  <c r="M1305" i="2"/>
  <c r="L1305" i="2"/>
  <c r="E1305" i="2"/>
  <c r="D1305" i="2"/>
  <c r="B1305" i="2"/>
  <c r="A1305" i="2"/>
  <c r="O1304" i="2"/>
  <c r="M1304" i="2"/>
  <c r="L1304" i="2"/>
  <c r="E1304" i="2"/>
  <c r="D1304" i="2"/>
  <c r="B1304" i="2"/>
  <c r="A1304" i="2"/>
  <c r="O1303" i="2"/>
  <c r="O1302" i="2"/>
  <c r="O1301" i="2"/>
  <c r="O1300" i="2"/>
  <c r="M1300" i="2"/>
  <c r="L1300" i="2"/>
  <c r="E1300" i="2"/>
  <c r="D1300" i="2"/>
  <c r="B1300" i="2"/>
  <c r="A1300" i="2"/>
  <c r="O1299" i="2"/>
  <c r="M1299" i="2"/>
  <c r="L1299" i="2"/>
  <c r="E1299" i="2"/>
  <c r="D1299" i="2"/>
  <c r="B1299" i="2"/>
  <c r="A1299" i="2"/>
  <c r="O1298" i="2"/>
  <c r="M1298" i="2"/>
  <c r="L1298" i="2"/>
  <c r="E1298" i="2"/>
  <c r="D1298" i="2"/>
  <c r="B1298" i="2"/>
  <c r="A1298" i="2"/>
  <c r="O1297" i="2"/>
  <c r="M1297" i="2"/>
  <c r="L1297" i="2"/>
  <c r="E1297" i="2"/>
  <c r="D1297" i="2"/>
  <c r="B1297" i="2"/>
  <c r="A1297" i="2"/>
  <c r="O1296" i="2"/>
  <c r="O1295" i="2"/>
  <c r="M1295" i="2"/>
  <c r="L1295" i="2"/>
  <c r="E1295" i="2"/>
  <c r="D1295" i="2"/>
  <c r="B1295" i="2"/>
  <c r="A1295" i="2"/>
  <c r="O1294" i="2"/>
  <c r="M1294" i="2"/>
  <c r="L1294" i="2"/>
  <c r="E1294" i="2"/>
  <c r="D1294" i="2"/>
  <c r="B1294" i="2"/>
  <c r="A1294" i="2"/>
  <c r="O1293" i="2"/>
  <c r="O1292" i="2"/>
  <c r="O1291" i="2"/>
  <c r="O1290" i="2"/>
  <c r="O1289" i="2"/>
  <c r="O1288" i="2"/>
  <c r="O1287" i="2"/>
  <c r="O1286" i="2"/>
  <c r="M1286" i="2"/>
  <c r="L1286" i="2"/>
  <c r="E1286" i="2"/>
  <c r="D1286" i="2"/>
  <c r="B1286" i="2"/>
  <c r="A1286" i="2"/>
  <c r="O1285" i="2"/>
  <c r="O1284" i="2"/>
  <c r="O1283" i="2"/>
  <c r="O1282" i="2"/>
  <c r="M1282" i="2"/>
  <c r="L1282" i="2"/>
  <c r="E1282" i="2"/>
  <c r="D1282" i="2"/>
  <c r="B1282" i="2"/>
  <c r="A1282" i="2"/>
  <c r="O1281" i="2"/>
  <c r="O1280" i="2"/>
  <c r="O1279" i="2"/>
  <c r="M1279" i="2"/>
  <c r="L1279" i="2"/>
  <c r="E1279" i="2"/>
  <c r="D1279" i="2"/>
  <c r="B1279" i="2"/>
  <c r="A1279" i="2"/>
  <c r="O1278" i="2"/>
  <c r="M1278" i="2"/>
  <c r="L1278" i="2"/>
  <c r="E1278" i="2"/>
  <c r="D1278" i="2"/>
  <c r="B1278" i="2"/>
  <c r="A1278" i="2"/>
  <c r="O1277" i="2"/>
  <c r="O1276" i="2"/>
  <c r="M1276" i="2"/>
  <c r="L1276" i="2"/>
  <c r="E1276" i="2"/>
  <c r="D1276" i="2"/>
  <c r="B1276" i="2"/>
  <c r="A1276" i="2"/>
  <c r="O1275" i="2"/>
  <c r="M1275" i="2"/>
  <c r="L1275" i="2"/>
  <c r="E1275" i="2"/>
  <c r="D1275" i="2"/>
  <c r="B1275" i="2"/>
  <c r="A1275" i="2"/>
  <c r="O1274" i="2"/>
  <c r="O1273" i="2"/>
  <c r="M1273" i="2"/>
  <c r="L1273" i="2"/>
  <c r="E1273" i="2"/>
  <c r="D1273" i="2"/>
  <c r="B1273" i="2"/>
  <c r="A1273" i="2"/>
  <c r="O1272" i="2"/>
  <c r="M1272" i="2"/>
  <c r="L1272" i="2"/>
  <c r="E1272" i="2"/>
  <c r="D1272" i="2"/>
  <c r="B1272" i="2"/>
  <c r="A1272" i="2"/>
  <c r="O1271" i="2"/>
  <c r="O1270" i="2"/>
  <c r="O1269" i="2"/>
  <c r="O1268" i="2"/>
  <c r="O1267" i="2"/>
  <c r="O1266" i="2"/>
  <c r="O1265" i="2"/>
  <c r="M1265" i="2"/>
  <c r="L1265" i="2"/>
  <c r="E1265" i="2"/>
  <c r="D1265" i="2"/>
  <c r="B1265" i="2"/>
  <c r="A1265" i="2"/>
  <c r="O1264" i="2"/>
  <c r="M1264" i="2"/>
  <c r="L1264" i="2"/>
  <c r="E1264" i="2"/>
  <c r="D1264" i="2"/>
  <c r="B1264" i="2"/>
  <c r="A1264" i="2"/>
  <c r="O1263" i="2"/>
  <c r="M1263" i="2"/>
  <c r="L1263" i="2"/>
  <c r="E1263" i="2"/>
  <c r="D1263" i="2"/>
  <c r="B1263" i="2"/>
  <c r="A1263" i="2"/>
  <c r="O1262" i="2"/>
  <c r="O1261" i="2"/>
  <c r="M1261" i="2"/>
  <c r="L1261" i="2"/>
  <c r="E1261" i="2"/>
  <c r="D1261" i="2"/>
  <c r="B1261" i="2"/>
  <c r="A1261" i="2"/>
  <c r="O1260" i="2"/>
  <c r="O1259" i="2"/>
  <c r="O1258" i="2"/>
  <c r="O1257" i="2"/>
  <c r="O1256" i="2"/>
  <c r="O1255" i="2"/>
  <c r="O1254" i="2"/>
  <c r="O1253" i="2"/>
  <c r="O1252" i="2"/>
  <c r="O1251" i="2"/>
  <c r="O1250" i="2"/>
  <c r="O1249" i="2"/>
  <c r="O1248" i="2"/>
  <c r="M1248" i="2"/>
  <c r="L1248" i="2"/>
  <c r="E1248" i="2"/>
  <c r="D1248" i="2"/>
  <c r="B1248" i="2"/>
  <c r="A1248" i="2"/>
  <c r="O1247" i="2"/>
  <c r="M1247" i="2"/>
  <c r="L1247" i="2"/>
  <c r="E1247" i="2"/>
  <c r="D1247" i="2"/>
  <c r="B1247" i="2"/>
  <c r="A1247" i="2"/>
  <c r="O1246" i="2"/>
  <c r="M1246" i="2"/>
  <c r="L1246" i="2"/>
  <c r="E1246" i="2"/>
  <c r="D1246" i="2"/>
  <c r="B1246" i="2"/>
  <c r="A1246" i="2"/>
  <c r="O1245" i="2"/>
  <c r="O1244" i="2"/>
  <c r="M1244" i="2"/>
  <c r="L1244" i="2"/>
  <c r="E1244" i="2"/>
  <c r="D1244" i="2"/>
  <c r="B1244" i="2"/>
  <c r="A1244" i="2"/>
  <c r="O1243" i="2"/>
  <c r="M1243" i="2"/>
  <c r="L1243" i="2"/>
  <c r="E1243" i="2"/>
  <c r="D1243" i="2"/>
  <c r="B1243" i="2"/>
  <c r="A1243" i="2"/>
  <c r="O1242" i="2"/>
  <c r="O1241" i="2"/>
  <c r="O1240" i="2"/>
  <c r="O1239" i="2"/>
  <c r="M1239" i="2"/>
  <c r="L1239" i="2"/>
  <c r="E1239" i="2"/>
  <c r="D1239" i="2"/>
  <c r="B1239" i="2"/>
  <c r="A1239" i="2"/>
  <c r="O1238" i="2"/>
  <c r="M1238" i="2"/>
  <c r="L1238" i="2"/>
  <c r="E1238" i="2"/>
  <c r="D1238" i="2"/>
  <c r="B1238" i="2"/>
  <c r="A1238" i="2"/>
  <c r="O1237" i="2"/>
  <c r="O1236" i="2"/>
  <c r="O1235" i="2"/>
  <c r="M1235" i="2"/>
  <c r="L1235" i="2"/>
  <c r="E1235" i="2"/>
  <c r="D1235" i="2"/>
  <c r="B1235" i="2"/>
  <c r="A1235" i="2"/>
  <c r="O1234" i="2"/>
  <c r="M1234" i="2"/>
  <c r="L1234" i="2"/>
  <c r="E1234" i="2"/>
  <c r="D1234" i="2"/>
  <c r="B1234" i="2"/>
  <c r="A1234" i="2"/>
  <c r="O1233" i="2"/>
  <c r="O1232" i="2"/>
  <c r="M1232" i="2"/>
  <c r="L1232" i="2"/>
  <c r="E1232" i="2"/>
  <c r="D1232" i="2"/>
  <c r="B1232" i="2"/>
  <c r="A1232" i="2"/>
  <c r="O1231" i="2"/>
  <c r="O1230" i="2"/>
  <c r="M1230" i="2"/>
  <c r="L1230" i="2"/>
  <c r="E1230" i="2"/>
  <c r="D1230" i="2"/>
  <c r="B1230" i="2"/>
  <c r="A1230" i="2"/>
  <c r="O1229" i="2"/>
  <c r="M1229" i="2"/>
  <c r="L1229" i="2"/>
  <c r="E1229" i="2"/>
  <c r="D1229" i="2"/>
  <c r="B1229" i="2"/>
  <c r="A1229" i="2"/>
  <c r="O1228" i="2"/>
  <c r="M1228" i="2"/>
  <c r="L1228" i="2"/>
  <c r="E1228" i="2"/>
  <c r="D1228" i="2"/>
  <c r="B1228" i="2"/>
  <c r="A1228" i="2"/>
  <c r="O1227" i="2"/>
  <c r="O1226" i="2"/>
  <c r="O1225" i="2"/>
  <c r="M1225" i="2"/>
  <c r="L1225" i="2"/>
  <c r="E1225" i="2"/>
  <c r="D1225" i="2"/>
  <c r="B1225" i="2"/>
  <c r="A1225" i="2"/>
  <c r="O1224" i="2"/>
  <c r="O1223" i="2"/>
  <c r="M1223" i="2"/>
  <c r="L1223" i="2"/>
  <c r="E1223" i="2"/>
  <c r="D1223" i="2"/>
  <c r="B1223" i="2"/>
  <c r="A1223" i="2"/>
  <c r="O1222" i="2"/>
  <c r="O1221" i="2"/>
  <c r="O1220" i="2"/>
  <c r="M1220" i="2"/>
  <c r="L1220" i="2"/>
  <c r="E1220" i="2"/>
  <c r="D1220" i="2"/>
  <c r="B1220" i="2"/>
  <c r="A1220" i="2"/>
  <c r="O1219" i="2"/>
  <c r="M1219" i="2"/>
  <c r="L1219" i="2"/>
  <c r="E1219" i="2"/>
  <c r="D1219" i="2"/>
  <c r="B1219" i="2"/>
  <c r="A1219" i="2"/>
  <c r="O1218" i="2"/>
  <c r="O1217" i="2"/>
  <c r="M1217" i="2"/>
  <c r="L1217" i="2"/>
  <c r="E1217" i="2"/>
  <c r="D1217" i="2"/>
  <c r="B1217" i="2"/>
  <c r="A1217" i="2"/>
  <c r="O1216" i="2"/>
  <c r="M1216" i="2"/>
  <c r="L1216" i="2"/>
  <c r="E1216" i="2"/>
  <c r="D1216" i="2"/>
  <c r="B1216" i="2"/>
  <c r="A1216" i="2"/>
  <c r="O1215" i="2"/>
  <c r="M1215" i="2"/>
  <c r="L1215" i="2"/>
  <c r="E1215" i="2"/>
  <c r="D1215" i="2"/>
  <c r="B1215" i="2"/>
  <c r="A1215" i="2"/>
  <c r="O1214" i="2"/>
  <c r="O1213" i="2"/>
  <c r="M1213" i="2"/>
  <c r="L1213" i="2"/>
  <c r="E1213" i="2"/>
  <c r="D1213" i="2"/>
  <c r="B1213" i="2"/>
  <c r="A1213" i="2"/>
  <c r="O1212" i="2"/>
  <c r="O1211" i="2"/>
  <c r="M1211" i="2"/>
  <c r="L1211" i="2"/>
  <c r="E1211" i="2"/>
  <c r="D1211" i="2"/>
  <c r="B1211" i="2"/>
  <c r="A1211" i="2"/>
  <c r="O1210" i="2"/>
  <c r="O1209" i="2"/>
  <c r="M1209" i="2"/>
  <c r="L1209" i="2"/>
  <c r="E1209" i="2"/>
  <c r="D1209" i="2"/>
  <c r="B1209" i="2"/>
  <c r="A1209" i="2"/>
  <c r="O1208" i="2"/>
  <c r="M1208" i="2"/>
  <c r="L1208" i="2"/>
  <c r="E1208" i="2"/>
  <c r="D1208" i="2"/>
  <c r="B1208" i="2"/>
  <c r="A1208" i="2"/>
  <c r="O1207" i="2"/>
  <c r="M1207" i="2"/>
  <c r="L1207" i="2"/>
  <c r="E1207" i="2"/>
  <c r="D1207" i="2"/>
  <c r="B1207" i="2"/>
  <c r="A1207" i="2"/>
  <c r="O1206" i="2"/>
  <c r="O1205" i="2"/>
  <c r="M1205" i="2"/>
  <c r="L1205" i="2"/>
  <c r="E1205" i="2"/>
  <c r="D1205" i="2"/>
  <c r="B1205" i="2"/>
  <c r="A1205" i="2"/>
  <c r="O1204" i="2"/>
  <c r="M1204" i="2"/>
  <c r="L1204" i="2"/>
  <c r="E1204" i="2"/>
  <c r="D1204" i="2"/>
  <c r="B1204" i="2"/>
  <c r="A1204" i="2"/>
  <c r="O1203" i="2"/>
  <c r="O1202" i="2"/>
  <c r="M1202" i="2"/>
  <c r="L1202" i="2"/>
  <c r="E1202" i="2"/>
  <c r="D1202" i="2"/>
  <c r="B1202" i="2"/>
  <c r="A1202" i="2"/>
  <c r="O1201" i="2"/>
  <c r="M1201" i="2"/>
  <c r="L1201" i="2"/>
  <c r="E1201" i="2"/>
  <c r="D1201" i="2"/>
  <c r="B1201" i="2"/>
  <c r="A1201" i="2"/>
  <c r="O1200" i="2"/>
  <c r="M1200" i="2"/>
  <c r="L1200" i="2"/>
  <c r="E1200" i="2"/>
  <c r="D1200" i="2"/>
  <c r="B1200" i="2"/>
  <c r="A1200" i="2"/>
  <c r="O1199" i="2"/>
  <c r="M1199" i="2"/>
  <c r="L1199" i="2"/>
  <c r="E1199" i="2"/>
  <c r="D1199" i="2"/>
  <c r="B1199" i="2"/>
  <c r="A1199" i="2"/>
  <c r="O1198" i="2"/>
  <c r="O1197" i="2"/>
  <c r="O1196" i="2"/>
  <c r="O1195" i="2"/>
  <c r="M1195" i="2"/>
  <c r="L1195" i="2"/>
  <c r="E1195" i="2"/>
  <c r="D1195" i="2"/>
  <c r="B1195" i="2"/>
  <c r="A1195" i="2"/>
  <c r="O1194" i="2"/>
  <c r="O1193" i="2"/>
  <c r="O1192" i="2"/>
  <c r="M1192" i="2"/>
  <c r="L1192" i="2"/>
  <c r="E1192" i="2"/>
  <c r="D1192" i="2"/>
  <c r="B1192" i="2"/>
  <c r="A1192" i="2"/>
  <c r="O1191" i="2"/>
  <c r="O1190" i="2"/>
  <c r="M1190" i="2"/>
  <c r="L1190" i="2"/>
  <c r="E1190" i="2"/>
  <c r="D1190" i="2"/>
  <c r="B1190" i="2"/>
  <c r="A1190" i="2"/>
  <c r="O1189" i="2"/>
  <c r="M1189" i="2"/>
  <c r="L1189" i="2"/>
  <c r="E1189" i="2"/>
  <c r="D1189" i="2"/>
  <c r="B1189" i="2"/>
  <c r="A1189" i="2"/>
  <c r="O1188" i="2"/>
  <c r="O1187" i="2"/>
  <c r="O1186" i="2"/>
  <c r="O1185" i="2"/>
  <c r="O1184" i="2"/>
  <c r="O1183" i="2"/>
  <c r="M1183" i="2"/>
  <c r="L1183" i="2"/>
  <c r="E1183" i="2"/>
  <c r="D1183" i="2"/>
  <c r="B1183" i="2"/>
  <c r="A1183" i="2"/>
  <c r="O1182" i="2"/>
  <c r="O1181" i="2"/>
  <c r="O1180" i="2"/>
  <c r="M1180" i="2"/>
  <c r="L1180" i="2"/>
  <c r="E1180" i="2"/>
  <c r="D1180" i="2"/>
  <c r="B1180" i="2"/>
  <c r="A1180" i="2"/>
  <c r="O1179" i="2"/>
  <c r="O1178" i="2"/>
  <c r="O1177" i="2"/>
  <c r="M1177" i="2"/>
  <c r="L1177" i="2"/>
  <c r="E1177" i="2"/>
  <c r="D1177" i="2"/>
  <c r="B1177" i="2"/>
  <c r="A1177" i="2"/>
  <c r="O1176" i="2"/>
  <c r="O1175" i="2"/>
  <c r="M1175" i="2"/>
  <c r="L1175" i="2"/>
  <c r="E1175" i="2"/>
  <c r="D1175" i="2"/>
  <c r="B1175" i="2"/>
  <c r="A1175" i="2"/>
  <c r="O1174" i="2"/>
  <c r="M1174" i="2"/>
  <c r="L1174" i="2"/>
  <c r="E1174" i="2"/>
  <c r="D1174" i="2"/>
  <c r="B1174" i="2"/>
  <c r="A1174" i="2"/>
  <c r="O1173" i="2"/>
  <c r="O1172" i="2"/>
  <c r="O1171" i="2"/>
  <c r="O1170" i="2"/>
  <c r="M1170" i="2"/>
  <c r="L1170" i="2"/>
  <c r="E1170" i="2"/>
  <c r="D1170" i="2"/>
  <c r="B1170" i="2"/>
  <c r="A1170" i="2"/>
  <c r="O1169" i="2"/>
  <c r="M1169" i="2"/>
  <c r="L1169" i="2"/>
  <c r="E1169" i="2"/>
  <c r="D1169" i="2"/>
  <c r="B1169" i="2"/>
  <c r="A1169" i="2"/>
  <c r="O1168" i="2"/>
  <c r="M1168" i="2"/>
  <c r="L1168" i="2"/>
  <c r="E1168" i="2"/>
  <c r="D1168" i="2"/>
  <c r="B1168" i="2"/>
  <c r="A1168" i="2"/>
  <c r="O1167" i="2"/>
  <c r="O1166" i="2"/>
  <c r="O1165" i="2"/>
  <c r="M1165" i="2"/>
  <c r="L1165" i="2"/>
  <c r="E1165" i="2"/>
  <c r="D1165" i="2"/>
  <c r="B1165" i="2"/>
  <c r="A1165" i="2"/>
  <c r="O1164" i="2"/>
  <c r="M1164" i="2"/>
  <c r="L1164" i="2"/>
  <c r="E1164" i="2"/>
  <c r="D1164" i="2"/>
  <c r="B1164" i="2"/>
  <c r="A1164" i="2"/>
  <c r="O1163" i="2"/>
  <c r="M1163" i="2"/>
  <c r="L1163" i="2"/>
  <c r="E1163" i="2"/>
  <c r="D1163" i="2"/>
  <c r="B1163" i="2"/>
  <c r="A1163" i="2"/>
  <c r="O1162" i="2"/>
  <c r="O1161" i="2"/>
  <c r="O1160" i="2"/>
  <c r="M1160" i="2"/>
  <c r="L1160" i="2"/>
  <c r="E1160" i="2"/>
  <c r="D1160" i="2"/>
  <c r="B1160" i="2"/>
  <c r="A1160" i="2"/>
  <c r="O1159" i="2"/>
  <c r="O1158" i="2"/>
  <c r="O1157" i="2"/>
  <c r="M1157" i="2"/>
  <c r="L1157" i="2"/>
  <c r="E1157" i="2"/>
  <c r="D1157" i="2"/>
  <c r="B1157" i="2"/>
  <c r="A1157" i="2"/>
  <c r="O1156" i="2"/>
  <c r="M1156" i="2"/>
  <c r="L1156" i="2"/>
  <c r="E1156" i="2"/>
  <c r="D1156" i="2"/>
  <c r="B1156" i="2"/>
  <c r="A1156" i="2"/>
  <c r="O1155" i="2"/>
  <c r="M1155" i="2"/>
  <c r="L1155" i="2"/>
  <c r="E1155" i="2"/>
  <c r="D1155" i="2"/>
  <c r="B1155" i="2"/>
  <c r="A1155" i="2"/>
  <c r="O1154" i="2"/>
  <c r="M1154" i="2"/>
  <c r="L1154" i="2"/>
  <c r="E1154" i="2"/>
  <c r="D1154" i="2"/>
  <c r="B1154" i="2"/>
  <c r="A1154" i="2"/>
  <c r="O1153" i="2"/>
  <c r="O1152" i="2"/>
  <c r="O1151" i="2"/>
  <c r="M1151" i="2"/>
  <c r="L1151" i="2"/>
  <c r="E1151" i="2"/>
  <c r="D1151" i="2"/>
  <c r="B1151" i="2"/>
  <c r="A1151" i="2"/>
  <c r="O1150" i="2"/>
  <c r="O1149" i="2"/>
  <c r="O1148" i="2"/>
  <c r="O1147" i="2"/>
  <c r="M1147" i="2"/>
  <c r="L1147" i="2"/>
  <c r="E1147" i="2"/>
  <c r="D1147" i="2"/>
  <c r="B1147" i="2"/>
  <c r="A1147" i="2"/>
  <c r="O1146" i="2"/>
  <c r="O1145" i="2"/>
  <c r="M1145" i="2"/>
  <c r="L1145" i="2"/>
  <c r="E1145" i="2"/>
  <c r="D1145" i="2"/>
  <c r="B1145" i="2"/>
  <c r="A1145" i="2"/>
  <c r="O1144" i="2"/>
  <c r="O1143" i="2"/>
  <c r="M1143" i="2"/>
  <c r="L1143" i="2"/>
  <c r="E1143" i="2"/>
  <c r="D1143" i="2"/>
  <c r="B1143" i="2"/>
  <c r="A1143" i="2"/>
  <c r="O1142" i="2"/>
  <c r="M1142" i="2"/>
  <c r="L1142" i="2"/>
  <c r="E1142" i="2"/>
  <c r="D1142" i="2"/>
  <c r="B1142" i="2"/>
  <c r="A1142" i="2"/>
  <c r="O1141" i="2"/>
  <c r="O1140" i="2"/>
  <c r="O1139" i="2"/>
  <c r="O1138" i="2"/>
  <c r="O1137" i="2"/>
  <c r="O1136" i="2"/>
  <c r="O1135" i="2"/>
  <c r="O1134" i="2"/>
  <c r="O1133" i="2"/>
  <c r="O1132" i="2"/>
  <c r="M1132" i="2"/>
  <c r="L1132" i="2"/>
  <c r="E1132" i="2"/>
  <c r="D1132" i="2"/>
  <c r="B1132" i="2"/>
  <c r="A1132" i="2"/>
  <c r="O1131" i="2"/>
  <c r="O1130" i="2"/>
  <c r="O1129" i="2"/>
  <c r="O1128" i="2"/>
  <c r="O1127" i="2"/>
  <c r="O1126" i="2"/>
  <c r="O1125" i="2"/>
  <c r="O1124" i="2"/>
  <c r="O1123" i="2"/>
  <c r="O1122" i="2"/>
  <c r="O1121" i="2"/>
  <c r="M1121" i="2"/>
  <c r="L1121" i="2"/>
  <c r="E1121" i="2"/>
  <c r="D1121" i="2"/>
  <c r="B1121" i="2"/>
  <c r="A1121" i="2"/>
  <c r="O1120" i="2"/>
  <c r="M1120" i="2"/>
  <c r="L1120" i="2"/>
  <c r="E1120" i="2"/>
  <c r="D1120" i="2"/>
  <c r="B1120" i="2"/>
  <c r="A1120" i="2"/>
  <c r="O1119" i="2"/>
  <c r="M1119" i="2"/>
  <c r="L1119" i="2"/>
  <c r="E1119" i="2"/>
  <c r="D1119" i="2"/>
  <c r="B1119" i="2"/>
  <c r="A1119" i="2"/>
  <c r="O1118" i="2"/>
  <c r="M1118" i="2"/>
  <c r="L1118" i="2"/>
  <c r="E1118" i="2"/>
  <c r="D1118" i="2"/>
  <c r="B1118" i="2"/>
  <c r="A1118" i="2"/>
  <c r="O1117" i="2"/>
  <c r="O1116" i="2"/>
  <c r="O1115" i="2"/>
  <c r="O1114" i="2"/>
  <c r="O1113" i="2"/>
  <c r="O1112" i="2"/>
  <c r="O1111" i="2"/>
  <c r="O1110" i="2"/>
  <c r="M1110" i="2"/>
  <c r="L1110" i="2"/>
  <c r="E1110" i="2"/>
  <c r="D1110" i="2"/>
  <c r="B1110" i="2"/>
  <c r="A1110" i="2"/>
  <c r="O1109" i="2"/>
  <c r="M1109" i="2"/>
  <c r="L1109" i="2"/>
  <c r="E1109" i="2"/>
  <c r="D1109" i="2"/>
  <c r="B1109" i="2"/>
  <c r="A1109" i="2"/>
  <c r="O1108" i="2"/>
  <c r="M1108" i="2"/>
  <c r="L1108" i="2"/>
  <c r="E1108" i="2"/>
  <c r="D1108" i="2"/>
  <c r="B1108" i="2"/>
  <c r="A1108" i="2"/>
  <c r="O1107" i="2"/>
  <c r="M1107" i="2"/>
  <c r="L1107" i="2"/>
  <c r="E1107" i="2"/>
  <c r="D1107" i="2"/>
  <c r="B1107" i="2"/>
  <c r="A1107" i="2"/>
  <c r="O1106" i="2"/>
  <c r="M1106" i="2"/>
  <c r="L1106" i="2"/>
  <c r="E1106" i="2"/>
  <c r="D1106" i="2"/>
  <c r="B1106" i="2"/>
  <c r="A1106" i="2"/>
  <c r="O1105" i="2"/>
  <c r="O1104" i="2"/>
  <c r="O1103" i="2"/>
  <c r="O1102" i="2"/>
  <c r="O1101" i="2"/>
  <c r="O1100" i="2"/>
  <c r="O1099" i="2"/>
  <c r="O1098" i="2"/>
  <c r="M1098" i="2"/>
  <c r="L1098" i="2"/>
  <c r="E1098" i="2"/>
  <c r="D1098" i="2"/>
  <c r="B1098" i="2"/>
  <c r="A1098" i="2"/>
  <c r="O1097" i="2"/>
  <c r="O1096" i="2"/>
  <c r="M1096" i="2"/>
  <c r="L1096" i="2"/>
  <c r="E1096" i="2"/>
  <c r="D1096" i="2"/>
  <c r="B1096" i="2"/>
  <c r="A1096" i="2"/>
  <c r="O1095" i="2"/>
  <c r="M1095" i="2"/>
  <c r="L1095" i="2"/>
  <c r="E1095" i="2"/>
  <c r="D1095" i="2"/>
  <c r="B1095" i="2"/>
  <c r="A1095" i="2"/>
  <c r="O1094" i="2"/>
  <c r="M1094" i="2"/>
  <c r="L1094" i="2"/>
  <c r="E1094" i="2"/>
  <c r="D1094" i="2"/>
  <c r="B1094" i="2"/>
  <c r="A1094" i="2"/>
  <c r="O1093" i="2"/>
  <c r="O1092" i="2"/>
  <c r="M1092" i="2"/>
  <c r="L1092" i="2"/>
  <c r="E1092" i="2"/>
  <c r="D1092" i="2"/>
  <c r="B1092" i="2"/>
  <c r="A1092" i="2"/>
  <c r="O1091" i="2"/>
  <c r="M1091" i="2"/>
  <c r="L1091" i="2"/>
  <c r="E1091" i="2"/>
  <c r="D1091" i="2"/>
  <c r="B1091" i="2"/>
  <c r="A1091" i="2"/>
  <c r="O1090" i="2"/>
  <c r="M1090" i="2"/>
  <c r="L1090" i="2"/>
  <c r="E1090" i="2"/>
  <c r="D1090" i="2"/>
  <c r="B1090" i="2"/>
  <c r="A1090" i="2"/>
  <c r="O1089" i="2"/>
  <c r="M1089" i="2"/>
  <c r="L1089" i="2"/>
  <c r="E1089" i="2"/>
  <c r="D1089" i="2"/>
  <c r="B1089" i="2"/>
  <c r="A1089" i="2"/>
  <c r="O1088" i="2"/>
  <c r="M1088" i="2"/>
  <c r="L1088" i="2"/>
  <c r="E1088" i="2"/>
  <c r="D1088" i="2"/>
  <c r="B1088" i="2"/>
  <c r="A1088" i="2"/>
  <c r="O1087" i="2"/>
  <c r="O1086" i="2"/>
  <c r="M1086" i="2"/>
  <c r="L1086" i="2"/>
  <c r="E1086" i="2"/>
  <c r="D1086" i="2"/>
  <c r="B1086" i="2"/>
  <c r="A1086" i="2"/>
  <c r="O1085" i="2"/>
  <c r="O1084" i="2"/>
  <c r="M1084" i="2"/>
  <c r="L1084" i="2"/>
  <c r="E1084" i="2"/>
  <c r="D1084" i="2"/>
  <c r="B1084" i="2"/>
  <c r="A1084" i="2"/>
  <c r="O1083" i="2"/>
  <c r="O1082" i="2"/>
  <c r="O1081" i="2"/>
  <c r="O1080" i="2"/>
  <c r="O1079" i="2"/>
  <c r="O1078" i="2"/>
  <c r="M1078" i="2"/>
  <c r="L1078" i="2"/>
  <c r="E1078" i="2"/>
  <c r="D1078" i="2"/>
  <c r="B1078" i="2"/>
  <c r="A1078" i="2"/>
  <c r="O1077" i="2"/>
  <c r="O1076" i="2"/>
  <c r="M1076" i="2"/>
  <c r="L1076" i="2"/>
  <c r="E1076" i="2"/>
  <c r="D1076" i="2"/>
  <c r="B1076" i="2"/>
  <c r="A1076" i="2"/>
  <c r="O1075" i="2"/>
  <c r="M1075" i="2"/>
  <c r="L1075" i="2"/>
  <c r="E1075" i="2"/>
  <c r="D1075" i="2"/>
  <c r="B1075" i="2"/>
  <c r="A1075" i="2"/>
  <c r="O1074" i="2"/>
  <c r="O1073" i="2"/>
  <c r="M1073" i="2"/>
  <c r="L1073" i="2"/>
  <c r="E1073" i="2"/>
  <c r="D1073" i="2"/>
  <c r="B1073" i="2"/>
  <c r="A1073" i="2"/>
  <c r="O1072" i="2"/>
  <c r="O1071" i="2"/>
  <c r="O1070" i="2"/>
  <c r="O1069" i="2"/>
  <c r="O1068" i="2"/>
  <c r="M1068" i="2"/>
  <c r="L1068" i="2"/>
  <c r="E1068" i="2"/>
  <c r="D1068" i="2"/>
  <c r="B1068" i="2"/>
  <c r="A1068" i="2"/>
  <c r="O1067" i="2"/>
  <c r="M1067" i="2"/>
  <c r="L1067" i="2"/>
  <c r="E1067" i="2"/>
  <c r="D1067" i="2"/>
  <c r="B1067" i="2"/>
  <c r="A1067" i="2"/>
  <c r="O1066" i="2"/>
  <c r="M1066" i="2"/>
  <c r="L1066" i="2"/>
  <c r="E1066" i="2"/>
  <c r="D1066" i="2"/>
  <c r="B1066" i="2"/>
  <c r="A1066" i="2"/>
  <c r="O1065" i="2"/>
  <c r="O1064" i="2"/>
  <c r="M1064" i="2"/>
  <c r="L1064" i="2"/>
  <c r="E1064" i="2"/>
  <c r="D1064" i="2"/>
  <c r="B1064" i="2"/>
  <c r="A1064" i="2"/>
  <c r="O1063" i="2"/>
  <c r="M1063" i="2"/>
  <c r="L1063" i="2"/>
  <c r="E1063" i="2"/>
  <c r="D1063" i="2"/>
  <c r="B1063" i="2"/>
  <c r="A1063" i="2"/>
  <c r="O1062" i="2"/>
  <c r="M1062" i="2"/>
  <c r="L1062" i="2"/>
  <c r="E1062" i="2"/>
  <c r="D1062" i="2"/>
  <c r="B1062" i="2"/>
  <c r="A1062" i="2"/>
  <c r="O1061" i="2"/>
  <c r="M1061" i="2"/>
  <c r="L1061" i="2"/>
  <c r="E1061" i="2"/>
  <c r="D1061" i="2"/>
  <c r="B1061" i="2"/>
  <c r="A1061" i="2"/>
  <c r="O1060" i="2"/>
  <c r="M1060" i="2"/>
  <c r="L1060" i="2"/>
  <c r="E1060" i="2"/>
  <c r="D1060" i="2"/>
  <c r="B1060" i="2"/>
  <c r="A1060" i="2"/>
  <c r="O1059" i="2"/>
  <c r="O1058" i="2"/>
  <c r="O1057" i="2"/>
  <c r="M1057" i="2"/>
  <c r="L1057" i="2"/>
  <c r="E1057" i="2"/>
  <c r="D1057" i="2"/>
  <c r="B1057" i="2"/>
  <c r="A1057" i="2"/>
  <c r="O1056" i="2"/>
  <c r="O1055" i="2"/>
  <c r="O1054" i="2"/>
  <c r="O1053" i="2"/>
  <c r="O1052" i="2"/>
  <c r="O1051" i="2"/>
  <c r="M1051" i="2"/>
  <c r="L1051" i="2"/>
  <c r="E1051" i="2"/>
  <c r="D1051" i="2"/>
  <c r="B1051" i="2"/>
  <c r="A1051" i="2"/>
  <c r="O1050" i="2"/>
  <c r="M1050" i="2"/>
  <c r="L1050" i="2"/>
  <c r="E1050" i="2"/>
  <c r="D1050" i="2"/>
  <c r="B1050" i="2"/>
  <c r="A1050" i="2"/>
  <c r="O1049" i="2"/>
  <c r="M1049" i="2"/>
  <c r="L1049" i="2"/>
  <c r="E1049" i="2"/>
  <c r="D1049" i="2"/>
  <c r="B1049" i="2"/>
  <c r="A1049" i="2"/>
  <c r="O1048" i="2"/>
  <c r="O1047" i="2"/>
  <c r="O1046" i="2"/>
  <c r="O1045" i="2"/>
  <c r="M1045" i="2"/>
  <c r="L1045" i="2"/>
  <c r="E1045" i="2"/>
  <c r="D1045" i="2"/>
  <c r="B1045" i="2"/>
  <c r="A1045" i="2"/>
  <c r="O1044" i="2"/>
  <c r="O1043" i="2"/>
  <c r="O1042" i="2"/>
  <c r="O1041" i="2"/>
  <c r="M1041" i="2"/>
  <c r="L1041" i="2"/>
  <c r="E1041" i="2"/>
  <c r="D1041" i="2"/>
  <c r="B1041" i="2"/>
  <c r="A1041" i="2"/>
  <c r="O1040" i="2"/>
  <c r="M1040" i="2"/>
  <c r="L1040" i="2"/>
  <c r="E1040" i="2"/>
  <c r="D1040" i="2"/>
  <c r="B1040" i="2"/>
  <c r="A1040" i="2"/>
  <c r="O1039" i="2"/>
  <c r="M1039" i="2"/>
  <c r="L1039" i="2"/>
  <c r="E1039" i="2"/>
  <c r="D1039" i="2"/>
  <c r="B1039" i="2"/>
  <c r="A1039" i="2"/>
  <c r="O1038" i="2"/>
  <c r="O1037" i="2"/>
  <c r="O1036" i="2"/>
  <c r="O1035" i="2"/>
  <c r="M1035" i="2"/>
  <c r="L1035" i="2"/>
  <c r="E1035" i="2"/>
  <c r="D1035" i="2"/>
  <c r="B1035" i="2"/>
  <c r="A1035" i="2"/>
  <c r="O1034" i="2"/>
  <c r="O1033" i="2"/>
  <c r="M1033" i="2"/>
  <c r="L1033" i="2"/>
  <c r="E1033" i="2"/>
  <c r="D1033" i="2"/>
  <c r="B1033" i="2"/>
  <c r="A1033" i="2"/>
  <c r="O1032" i="2"/>
  <c r="O1031" i="2"/>
  <c r="M1031" i="2"/>
  <c r="L1031" i="2"/>
  <c r="E1031" i="2"/>
  <c r="D1031" i="2"/>
  <c r="B1031" i="2"/>
  <c r="A1031" i="2"/>
  <c r="O1030" i="2"/>
  <c r="O1029" i="2"/>
  <c r="M1029" i="2"/>
  <c r="L1029" i="2"/>
  <c r="E1029" i="2"/>
  <c r="D1029" i="2"/>
  <c r="B1029" i="2"/>
  <c r="A1029" i="2"/>
  <c r="O1028" i="2"/>
  <c r="O1027" i="2"/>
  <c r="O1026" i="2"/>
  <c r="O1025" i="2"/>
  <c r="M1025" i="2"/>
  <c r="L1025" i="2"/>
  <c r="E1025" i="2"/>
  <c r="D1025" i="2"/>
  <c r="B1025" i="2"/>
  <c r="A1025" i="2"/>
  <c r="O1024" i="2"/>
  <c r="M1024" i="2"/>
  <c r="L1024" i="2"/>
  <c r="E1024" i="2"/>
  <c r="D1024" i="2"/>
  <c r="B1024" i="2"/>
  <c r="A1024" i="2"/>
  <c r="O1023" i="2"/>
  <c r="M1023" i="2"/>
  <c r="L1023" i="2"/>
  <c r="E1023" i="2"/>
  <c r="D1023" i="2"/>
  <c r="B1023" i="2"/>
  <c r="A1023" i="2"/>
  <c r="O1022" i="2"/>
  <c r="M1022" i="2"/>
  <c r="L1022" i="2"/>
  <c r="E1022" i="2"/>
  <c r="D1022" i="2"/>
  <c r="B1022" i="2"/>
  <c r="A1022" i="2"/>
  <c r="O1021" i="2"/>
  <c r="M1021" i="2"/>
  <c r="L1021" i="2"/>
  <c r="E1021" i="2"/>
  <c r="D1021" i="2"/>
  <c r="B1021" i="2"/>
  <c r="A1021" i="2"/>
  <c r="O1020" i="2"/>
  <c r="O1019" i="2"/>
  <c r="O1018" i="2"/>
  <c r="O1017" i="2"/>
  <c r="M1017" i="2"/>
  <c r="L1017" i="2"/>
  <c r="E1017" i="2"/>
  <c r="D1017" i="2"/>
  <c r="B1017" i="2"/>
  <c r="A1017" i="2"/>
  <c r="O1016" i="2"/>
  <c r="M1016" i="2"/>
  <c r="L1016" i="2"/>
  <c r="E1016" i="2"/>
  <c r="D1016" i="2"/>
  <c r="B1016" i="2"/>
  <c r="A1016" i="2"/>
  <c r="O1015" i="2"/>
  <c r="O1014" i="2"/>
  <c r="M1014" i="2"/>
  <c r="L1014" i="2"/>
  <c r="E1014" i="2"/>
  <c r="D1014" i="2"/>
  <c r="B1014" i="2"/>
  <c r="A1014" i="2"/>
  <c r="O1013" i="2"/>
  <c r="O1012" i="2"/>
  <c r="O1011" i="2"/>
  <c r="M1011" i="2"/>
  <c r="L1011" i="2"/>
  <c r="E1011" i="2"/>
  <c r="D1011" i="2"/>
  <c r="B1011" i="2"/>
  <c r="A1011" i="2"/>
  <c r="O1010" i="2"/>
  <c r="O1009" i="2"/>
  <c r="M1009" i="2"/>
  <c r="L1009" i="2"/>
  <c r="E1009" i="2"/>
  <c r="D1009" i="2"/>
  <c r="B1009" i="2"/>
  <c r="A1009" i="2"/>
  <c r="O1008" i="2"/>
  <c r="M1008" i="2"/>
  <c r="L1008" i="2"/>
  <c r="E1008" i="2"/>
  <c r="D1008" i="2"/>
  <c r="B1008" i="2"/>
  <c r="A1008" i="2"/>
  <c r="O1007" i="2"/>
  <c r="M1007" i="2"/>
  <c r="L1007" i="2"/>
  <c r="E1007" i="2"/>
  <c r="D1007" i="2"/>
  <c r="B1007" i="2"/>
  <c r="A1007" i="2"/>
  <c r="O1006" i="2"/>
  <c r="O1005" i="2"/>
  <c r="M1005" i="2"/>
  <c r="L1005" i="2"/>
  <c r="E1005" i="2"/>
  <c r="D1005" i="2"/>
  <c r="B1005" i="2"/>
  <c r="A1005" i="2"/>
  <c r="O1004" i="2"/>
  <c r="O1003" i="2"/>
  <c r="O1002" i="2"/>
  <c r="M1002" i="2"/>
  <c r="L1002" i="2"/>
  <c r="E1002" i="2"/>
  <c r="D1002" i="2"/>
  <c r="B1002" i="2"/>
  <c r="A1002" i="2"/>
  <c r="O1001" i="2"/>
  <c r="M1001" i="2"/>
  <c r="L1001" i="2"/>
  <c r="E1001" i="2"/>
  <c r="D1001" i="2"/>
  <c r="B1001" i="2"/>
  <c r="A1001" i="2"/>
  <c r="O1000" i="2"/>
  <c r="O999" i="2"/>
  <c r="O998" i="2"/>
  <c r="O997" i="2"/>
  <c r="M997" i="2"/>
  <c r="L997" i="2"/>
  <c r="E997" i="2"/>
  <c r="D997" i="2"/>
  <c r="B997" i="2"/>
  <c r="A997" i="2"/>
  <c r="O996" i="2"/>
  <c r="O995" i="2"/>
  <c r="O994" i="2"/>
  <c r="M994" i="2"/>
  <c r="L994" i="2"/>
  <c r="E994" i="2"/>
  <c r="D994" i="2"/>
  <c r="B994" i="2"/>
  <c r="A994" i="2"/>
  <c r="O993" i="2"/>
  <c r="M993" i="2"/>
  <c r="L993" i="2"/>
  <c r="E993" i="2"/>
  <c r="D993" i="2"/>
  <c r="B993" i="2"/>
  <c r="A993" i="2"/>
  <c r="O992" i="2"/>
  <c r="M992" i="2"/>
  <c r="L992" i="2"/>
  <c r="E992" i="2"/>
  <c r="D992" i="2"/>
  <c r="B992" i="2"/>
  <c r="A992" i="2"/>
  <c r="O991" i="2"/>
  <c r="O990" i="2"/>
  <c r="O989" i="2"/>
  <c r="M989" i="2"/>
  <c r="L989" i="2"/>
  <c r="E989" i="2"/>
  <c r="D989" i="2"/>
  <c r="B989" i="2"/>
  <c r="A989" i="2"/>
  <c r="O988" i="2"/>
  <c r="O987" i="2"/>
  <c r="M987" i="2"/>
  <c r="L987" i="2"/>
  <c r="E987" i="2"/>
  <c r="D987" i="2"/>
  <c r="B987" i="2"/>
  <c r="A987" i="2"/>
  <c r="O986" i="2"/>
  <c r="O985" i="2"/>
  <c r="M985" i="2"/>
  <c r="L985" i="2"/>
  <c r="E985" i="2"/>
  <c r="D985" i="2"/>
  <c r="B985" i="2"/>
  <c r="A985" i="2"/>
  <c r="O984" i="2"/>
  <c r="M984" i="2"/>
  <c r="L984" i="2"/>
  <c r="E984" i="2"/>
  <c r="D984" i="2"/>
  <c r="B984" i="2"/>
  <c r="A984" i="2"/>
  <c r="O983" i="2"/>
  <c r="M983" i="2"/>
  <c r="L983" i="2"/>
  <c r="E983" i="2"/>
  <c r="D983" i="2"/>
  <c r="B983" i="2"/>
  <c r="A983" i="2"/>
  <c r="O982" i="2"/>
  <c r="O981" i="2"/>
  <c r="O980" i="2"/>
  <c r="O979" i="2"/>
  <c r="O978" i="2"/>
  <c r="O977" i="2"/>
  <c r="M977" i="2"/>
  <c r="L977" i="2"/>
  <c r="E977" i="2"/>
  <c r="D977" i="2"/>
  <c r="B977" i="2"/>
  <c r="A977" i="2"/>
  <c r="O976" i="2"/>
  <c r="M976" i="2"/>
  <c r="L976" i="2"/>
  <c r="E976" i="2"/>
  <c r="D976" i="2"/>
  <c r="B976" i="2"/>
  <c r="A976" i="2"/>
  <c r="O975" i="2"/>
  <c r="O974" i="2"/>
  <c r="M974" i="2"/>
  <c r="L974" i="2"/>
  <c r="E974" i="2"/>
  <c r="D974" i="2"/>
  <c r="B974" i="2"/>
  <c r="A974" i="2"/>
  <c r="O973" i="2"/>
  <c r="O972" i="2"/>
  <c r="M972" i="2"/>
  <c r="L972" i="2"/>
  <c r="E972" i="2"/>
  <c r="D972" i="2"/>
  <c r="B972" i="2"/>
  <c r="A972" i="2"/>
  <c r="O971" i="2"/>
  <c r="O970" i="2"/>
  <c r="O969" i="2"/>
  <c r="O968" i="2"/>
  <c r="O967" i="2"/>
  <c r="O966" i="2"/>
  <c r="O965" i="2"/>
  <c r="O964" i="2"/>
  <c r="O963" i="2"/>
  <c r="O962" i="2"/>
  <c r="O961" i="2"/>
  <c r="M961" i="2"/>
  <c r="L961" i="2"/>
  <c r="E961" i="2"/>
  <c r="D961" i="2"/>
  <c r="B961" i="2"/>
  <c r="A961" i="2"/>
  <c r="O960" i="2"/>
  <c r="O959" i="2"/>
  <c r="O958" i="2"/>
  <c r="M958" i="2"/>
  <c r="L958" i="2"/>
  <c r="E958" i="2"/>
  <c r="D958" i="2"/>
  <c r="B958" i="2"/>
  <c r="A958" i="2"/>
  <c r="O957" i="2"/>
  <c r="O956" i="2"/>
  <c r="M956" i="2"/>
  <c r="L956" i="2"/>
  <c r="E956" i="2"/>
  <c r="D956" i="2"/>
  <c r="B956" i="2"/>
  <c r="A956" i="2"/>
  <c r="O955" i="2"/>
  <c r="M955" i="2"/>
  <c r="L955" i="2"/>
  <c r="E955" i="2"/>
  <c r="D955" i="2"/>
  <c r="B955" i="2"/>
  <c r="A955" i="2"/>
  <c r="O954" i="2"/>
  <c r="O953" i="2"/>
  <c r="O952" i="2"/>
  <c r="M952" i="2"/>
  <c r="L952" i="2"/>
  <c r="E952" i="2"/>
  <c r="D952" i="2"/>
  <c r="B952" i="2"/>
  <c r="A952" i="2"/>
  <c r="O951" i="2"/>
  <c r="O950" i="2"/>
  <c r="M950" i="2"/>
  <c r="L950" i="2"/>
  <c r="E950" i="2"/>
  <c r="D950" i="2"/>
  <c r="B950" i="2"/>
  <c r="A950" i="2"/>
  <c r="O949" i="2"/>
  <c r="O948" i="2"/>
  <c r="O947" i="2"/>
  <c r="M947" i="2"/>
  <c r="L947" i="2"/>
  <c r="E947" i="2"/>
  <c r="D947" i="2"/>
  <c r="B947" i="2"/>
  <c r="A947" i="2"/>
  <c r="O946" i="2"/>
  <c r="O945" i="2"/>
  <c r="O944" i="2"/>
  <c r="M944" i="2"/>
  <c r="L944" i="2"/>
  <c r="E944" i="2"/>
  <c r="D944" i="2"/>
  <c r="B944" i="2"/>
  <c r="A944" i="2"/>
  <c r="O943" i="2"/>
  <c r="O942" i="2"/>
  <c r="M942" i="2"/>
  <c r="L942" i="2"/>
  <c r="E942" i="2"/>
  <c r="D942" i="2"/>
  <c r="B942" i="2"/>
  <c r="A942" i="2"/>
  <c r="O941" i="2"/>
  <c r="O940" i="2"/>
  <c r="O939" i="2"/>
  <c r="M939" i="2"/>
  <c r="L939" i="2"/>
  <c r="E939" i="2"/>
  <c r="D939" i="2"/>
  <c r="B939" i="2"/>
  <c r="A939" i="2"/>
  <c r="O938" i="2"/>
  <c r="M938" i="2"/>
  <c r="L938" i="2"/>
  <c r="E938" i="2"/>
  <c r="D938" i="2"/>
  <c r="B938" i="2"/>
  <c r="A938" i="2"/>
  <c r="O937" i="2"/>
  <c r="O936" i="2"/>
  <c r="M936" i="2"/>
  <c r="L936" i="2"/>
  <c r="E936" i="2"/>
  <c r="D936" i="2"/>
  <c r="B936" i="2"/>
  <c r="A936" i="2"/>
  <c r="O935" i="2"/>
  <c r="M935" i="2"/>
  <c r="L935" i="2"/>
  <c r="E935" i="2"/>
  <c r="D935" i="2"/>
  <c r="B935" i="2"/>
  <c r="A935" i="2"/>
  <c r="O934" i="2"/>
  <c r="M934" i="2"/>
  <c r="L934" i="2"/>
  <c r="E934" i="2"/>
  <c r="D934" i="2"/>
  <c r="B934" i="2"/>
  <c r="A934" i="2"/>
  <c r="O933" i="2"/>
  <c r="M933" i="2"/>
  <c r="L933" i="2"/>
  <c r="E933" i="2"/>
  <c r="D933" i="2"/>
  <c r="B933" i="2"/>
  <c r="A933" i="2"/>
  <c r="O932" i="2"/>
  <c r="M932" i="2"/>
  <c r="L932" i="2"/>
  <c r="E932" i="2"/>
  <c r="D932" i="2"/>
  <c r="B932" i="2"/>
  <c r="A932" i="2"/>
  <c r="O931" i="2"/>
  <c r="O930" i="2"/>
  <c r="O929" i="2"/>
  <c r="M929" i="2"/>
  <c r="L929" i="2"/>
  <c r="E929" i="2"/>
  <c r="D929" i="2"/>
  <c r="B929" i="2"/>
  <c r="A929" i="2"/>
  <c r="O928" i="2"/>
  <c r="O927" i="2"/>
  <c r="M927" i="2"/>
  <c r="L927" i="2"/>
  <c r="E927" i="2"/>
  <c r="D927" i="2"/>
  <c r="B927" i="2"/>
  <c r="A927" i="2"/>
  <c r="O926" i="2"/>
  <c r="M926" i="2"/>
  <c r="L926" i="2"/>
  <c r="E926" i="2"/>
  <c r="D926" i="2"/>
  <c r="B926" i="2"/>
  <c r="A926" i="2"/>
  <c r="O925" i="2"/>
  <c r="O924" i="2"/>
  <c r="O923" i="2"/>
  <c r="O922" i="2"/>
  <c r="O921" i="2"/>
  <c r="O920" i="2"/>
  <c r="O919" i="2"/>
  <c r="O918" i="2"/>
  <c r="O917" i="2"/>
  <c r="O916" i="2"/>
  <c r="O915" i="2"/>
  <c r="O914" i="2"/>
  <c r="O913" i="2"/>
  <c r="M913" i="2"/>
  <c r="L913" i="2"/>
  <c r="E913" i="2"/>
  <c r="D913" i="2"/>
  <c r="B913" i="2"/>
  <c r="A913" i="2"/>
  <c r="O912" i="2"/>
  <c r="O911" i="2"/>
  <c r="M911" i="2"/>
  <c r="L911" i="2"/>
  <c r="E911" i="2"/>
  <c r="D911" i="2"/>
  <c r="B911" i="2"/>
  <c r="A911" i="2"/>
  <c r="O910" i="2"/>
  <c r="M910" i="2"/>
  <c r="L910" i="2"/>
  <c r="E910" i="2"/>
  <c r="D910" i="2"/>
  <c r="B910" i="2"/>
  <c r="A910" i="2"/>
  <c r="O909" i="2"/>
  <c r="M909" i="2"/>
  <c r="L909" i="2"/>
  <c r="E909" i="2"/>
  <c r="D909" i="2"/>
  <c r="B909" i="2"/>
  <c r="A909" i="2"/>
  <c r="O908" i="2"/>
  <c r="O907" i="2"/>
  <c r="M907" i="2"/>
  <c r="L907" i="2"/>
  <c r="E907" i="2"/>
  <c r="D907" i="2"/>
  <c r="B907" i="2"/>
  <c r="A907" i="2"/>
  <c r="O906" i="2"/>
  <c r="M906" i="2"/>
  <c r="L906" i="2"/>
  <c r="E906" i="2"/>
  <c r="D906" i="2"/>
  <c r="B906" i="2"/>
  <c r="A906" i="2"/>
  <c r="O905" i="2"/>
  <c r="M905" i="2"/>
  <c r="L905" i="2"/>
  <c r="E905" i="2"/>
  <c r="D905" i="2"/>
  <c r="B905" i="2"/>
  <c r="A905" i="2"/>
  <c r="O904" i="2"/>
  <c r="M904" i="2"/>
  <c r="L904" i="2"/>
  <c r="E904" i="2"/>
  <c r="D904" i="2"/>
  <c r="B904" i="2"/>
  <c r="A904" i="2"/>
  <c r="O903" i="2"/>
  <c r="M903" i="2"/>
  <c r="L903" i="2"/>
  <c r="E903" i="2"/>
  <c r="D903" i="2"/>
  <c r="B903" i="2"/>
  <c r="A903" i="2"/>
  <c r="O902" i="2"/>
  <c r="M902" i="2"/>
  <c r="L902" i="2"/>
  <c r="E902" i="2"/>
  <c r="D902" i="2"/>
  <c r="B902" i="2"/>
  <c r="A902" i="2"/>
  <c r="O901" i="2"/>
  <c r="O900" i="2"/>
  <c r="O899" i="2"/>
  <c r="M899" i="2"/>
  <c r="L899" i="2"/>
  <c r="E899" i="2"/>
  <c r="D899" i="2"/>
  <c r="B899" i="2"/>
  <c r="A899" i="2"/>
  <c r="O898" i="2"/>
  <c r="M898" i="2"/>
  <c r="L898" i="2"/>
  <c r="E898" i="2"/>
  <c r="D898" i="2"/>
  <c r="B898" i="2"/>
  <c r="A898" i="2"/>
  <c r="O897" i="2"/>
  <c r="M897" i="2"/>
  <c r="L897" i="2"/>
  <c r="E897" i="2"/>
  <c r="D897" i="2"/>
  <c r="B897" i="2"/>
  <c r="A897" i="2"/>
  <c r="O896" i="2"/>
  <c r="M896" i="2"/>
  <c r="L896" i="2"/>
  <c r="E896" i="2"/>
  <c r="D896" i="2"/>
  <c r="B896" i="2"/>
  <c r="A896" i="2"/>
  <c r="O895" i="2"/>
  <c r="O894" i="2"/>
  <c r="M894" i="2"/>
  <c r="L894" i="2"/>
  <c r="E894" i="2"/>
  <c r="D894" i="2"/>
  <c r="B894" i="2"/>
  <c r="A894" i="2"/>
  <c r="O893" i="2"/>
  <c r="M893" i="2"/>
  <c r="L893" i="2"/>
  <c r="E893" i="2"/>
  <c r="D893" i="2"/>
  <c r="B893" i="2"/>
  <c r="A893" i="2"/>
  <c r="O892" i="2"/>
  <c r="M892" i="2"/>
  <c r="L892" i="2"/>
  <c r="E892" i="2"/>
  <c r="D892" i="2"/>
  <c r="B892" i="2"/>
  <c r="A892" i="2"/>
  <c r="O891" i="2"/>
  <c r="M891" i="2"/>
  <c r="L891" i="2"/>
  <c r="E891" i="2"/>
  <c r="D891" i="2"/>
  <c r="B891" i="2"/>
  <c r="A891" i="2"/>
  <c r="O890" i="2"/>
  <c r="O889" i="2"/>
  <c r="O888" i="2"/>
  <c r="O887" i="2"/>
  <c r="O886" i="2"/>
  <c r="O885" i="2"/>
  <c r="O884" i="2"/>
  <c r="O883" i="2"/>
  <c r="O882" i="2"/>
  <c r="M882" i="2"/>
  <c r="L882" i="2"/>
  <c r="E882" i="2"/>
  <c r="D882" i="2"/>
  <c r="B882" i="2"/>
  <c r="A882" i="2"/>
  <c r="O881" i="2"/>
  <c r="M881" i="2"/>
  <c r="L881" i="2"/>
  <c r="E881" i="2"/>
  <c r="D881" i="2"/>
  <c r="B881" i="2"/>
  <c r="A881" i="2"/>
  <c r="O880" i="2"/>
  <c r="M880" i="2"/>
  <c r="L880" i="2"/>
  <c r="E880" i="2"/>
  <c r="D880" i="2"/>
  <c r="B880" i="2"/>
  <c r="A880" i="2"/>
  <c r="O879" i="2"/>
  <c r="M879" i="2"/>
  <c r="L879" i="2"/>
  <c r="E879" i="2"/>
  <c r="D879" i="2"/>
  <c r="B879" i="2"/>
  <c r="A879" i="2"/>
  <c r="O878" i="2"/>
  <c r="M878" i="2"/>
  <c r="L878" i="2"/>
  <c r="E878" i="2"/>
  <c r="D878" i="2"/>
  <c r="B878" i="2"/>
  <c r="A878" i="2"/>
  <c r="O877" i="2"/>
  <c r="O876" i="2"/>
  <c r="M876" i="2"/>
  <c r="L876" i="2"/>
  <c r="E876" i="2"/>
  <c r="D876" i="2"/>
  <c r="B876" i="2"/>
  <c r="A876" i="2"/>
  <c r="O875" i="2"/>
  <c r="O874" i="2"/>
  <c r="M874" i="2"/>
  <c r="L874" i="2"/>
  <c r="E874" i="2"/>
  <c r="D874" i="2"/>
  <c r="B874" i="2"/>
  <c r="A874" i="2"/>
  <c r="O873" i="2"/>
  <c r="O872" i="2"/>
  <c r="O871" i="2"/>
  <c r="M871" i="2"/>
  <c r="L871" i="2"/>
  <c r="E871" i="2"/>
  <c r="D871" i="2"/>
  <c r="B871" i="2"/>
  <c r="A871" i="2"/>
  <c r="O870" i="2"/>
  <c r="O869" i="2"/>
  <c r="M869" i="2"/>
  <c r="L869" i="2"/>
  <c r="E869" i="2"/>
  <c r="D869" i="2"/>
  <c r="B869" i="2"/>
  <c r="A869" i="2"/>
  <c r="O868" i="2"/>
  <c r="O867" i="2"/>
  <c r="M867" i="2"/>
  <c r="L867" i="2"/>
  <c r="E867" i="2"/>
  <c r="D867" i="2"/>
  <c r="B867" i="2"/>
  <c r="A867" i="2"/>
  <c r="O866" i="2"/>
  <c r="O865" i="2"/>
  <c r="M865" i="2"/>
  <c r="L865" i="2"/>
  <c r="E865" i="2"/>
  <c r="D865" i="2"/>
  <c r="B865" i="2"/>
  <c r="A865" i="2"/>
  <c r="O864" i="2"/>
  <c r="M864" i="2"/>
  <c r="L864" i="2"/>
  <c r="E864" i="2"/>
  <c r="D864" i="2"/>
  <c r="B864" i="2"/>
  <c r="A864" i="2"/>
  <c r="O863" i="2"/>
  <c r="O862" i="2"/>
  <c r="O861" i="2"/>
  <c r="M861" i="2"/>
  <c r="L861" i="2"/>
  <c r="E861" i="2"/>
  <c r="D861" i="2"/>
  <c r="B861" i="2"/>
  <c r="A861" i="2"/>
  <c r="O860" i="2"/>
  <c r="O859" i="2"/>
  <c r="O858" i="2"/>
  <c r="M858" i="2"/>
  <c r="L858" i="2"/>
  <c r="E858" i="2"/>
  <c r="D858" i="2"/>
  <c r="B858" i="2"/>
  <c r="A858" i="2"/>
  <c r="O857" i="2"/>
  <c r="M857" i="2"/>
  <c r="L857" i="2"/>
  <c r="E857" i="2"/>
  <c r="D857" i="2"/>
  <c r="B857" i="2"/>
  <c r="A857" i="2"/>
  <c r="O856" i="2"/>
  <c r="O855" i="2"/>
  <c r="O854" i="2"/>
  <c r="O853" i="2"/>
  <c r="M853" i="2"/>
  <c r="L853" i="2"/>
  <c r="E853" i="2"/>
  <c r="D853" i="2"/>
  <c r="B853" i="2"/>
  <c r="A853" i="2"/>
  <c r="O852" i="2"/>
  <c r="O851" i="2"/>
  <c r="M851" i="2"/>
  <c r="L851" i="2"/>
  <c r="E851" i="2"/>
  <c r="D851" i="2"/>
  <c r="B851" i="2"/>
  <c r="A851" i="2"/>
  <c r="O850" i="2"/>
  <c r="M850" i="2"/>
  <c r="L850" i="2"/>
  <c r="E850" i="2"/>
  <c r="D850" i="2"/>
  <c r="B850" i="2"/>
  <c r="A850" i="2"/>
  <c r="O849" i="2"/>
  <c r="O848" i="2"/>
  <c r="O847" i="2"/>
  <c r="O846" i="2"/>
  <c r="M846" i="2"/>
  <c r="L846" i="2"/>
  <c r="E846" i="2"/>
  <c r="D846" i="2"/>
  <c r="B846" i="2"/>
  <c r="A846" i="2"/>
  <c r="O845" i="2"/>
  <c r="M845" i="2"/>
  <c r="L845" i="2"/>
  <c r="E845" i="2"/>
  <c r="D845" i="2"/>
  <c r="B845" i="2"/>
  <c r="A845" i="2"/>
  <c r="O844" i="2"/>
  <c r="O843" i="2"/>
  <c r="O842" i="2"/>
  <c r="M842" i="2"/>
  <c r="L842" i="2"/>
  <c r="E842" i="2"/>
  <c r="D842" i="2"/>
  <c r="B842" i="2"/>
  <c r="A842" i="2"/>
  <c r="O841" i="2"/>
  <c r="O840" i="2"/>
  <c r="O839" i="2"/>
  <c r="O838" i="2"/>
  <c r="M838" i="2"/>
  <c r="L838" i="2"/>
  <c r="E838" i="2"/>
  <c r="D838" i="2"/>
  <c r="B838" i="2"/>
  <c r="A838" i="2"/>
  <c r="O837" i="2"/>
  <c r="O836" i="2"/>
  <c r="O835" i="2"/>
  <c r="O834" i="2"/>
  <c r="O833" i="2"/>
  <c r="O832" i="2"/>
  <c r="O831" i="2"/>
  <c r="O830" i="2"/>
  <c r="O829" i="2"/>
  <c r="O828" i="2"/>
  <c r="O827" i="2"/>
  <c r="O826" i="2"/>
  <c r="M826" i="2"/>
  <c r="L826" i="2"/>
  <c r="E826" i="2"/>
  <c r="D826" i="2"/>
  <c r="B826" i="2"/>
  <c r="A826" i="2"/>
  <c r="O825" i="2"/>
  <c r="O824" i="2"/>
  <c r="O823" i="2"/>
  <c r="O822" i="2"/>
  <c r="O821" i="2"/>
  <c r="O820" i="2"/>
  <c r="O819" i="2"/>
  <c r="O818" i="2"/>
  <c r="M818" i="2"/>
  <c r="L818" i="2"/>
  <c r="E818" i="2"/>
  <c r="D818" i="2"/>
  <c r="B818" i="2"/>
  <c r="A818" i="2"/>
  <c r="O817" i="2"/>
  <c r="O816" i="2"/>
  <c r="O815" i="2"/>
  <c r="O814" i="2"/>
  <c r="O813" i="2"/>
  <c r="O812" i="2"/>
  <c r="O811" i="2"/>
  <c r="O810" i="2"/>
  <c r="O809" i="2"/>
  <c r="M809" i="2"/>
  <c r="L809" i="2"/>
  <c r="E809" i="2"/>
  <c r="D809" i="2"/>
  <c r="B809" i="2"/>
  <c r="A809" i="2"/>
  <c r="O808" i="2"/>
  <c r="O807" i="2"/>
  <c r="O806" i="2"/>
  <c r="O805" i="2"/>
  <c r="M805" i="2"/>
  <c r="L805" i="2"/>
  <c r="E805" i="2"/>
  <c r="D805" i="2"/>
  <c r="B805" i="2"/>
  <c r="A805" i="2"/>
  <c r="O804" i="2"/>
  <c r="O803" i="2"/>
  <c r="O802" i="2"/>
  <c r="O801" i="2"/>
  <c r="O800" i="2"/>
  <c r="M800" i="2"/>
  <c r="L800" i="2"/>
  <c r="E800" i="2"/>
  <c r="D800" i="2"/>
  <c r="B800" i="2"/>
  <c r="A800" i="2"/>
  <c r="O799" i="2"/>
  <c r="O798" i="2"/>
  <c r="O797" i="2"/>
  <c r="O796" i="2"/>
  <c r="M796" i="2"/>
  <c r="L796" i="2"/>
  <c r="E796" i="2"/>
  <c r="D796" i="2"/>
  <c r="B796" i="2"/>
  <c r="A796" i="2"/>
  <c r="O795" i="2"/>
  <c r="O794" i="2"/>
  <c r="O793" i="2"/>
  <c r="O792" i="2"/>
  <c r="M792" i="2"/>
  <c r="L792" i="2"/>
  <c r="E792" i="2"/>
  <c r="D792" i="2"/>
  <c r="B792" i="2"/>
  <c r="A792" i="2"/>
  <c r="O791" i="2"/>
  <c r="O790" i="2"/>
  <c r="O789" i="2"/>
  <c r="O788" i="2"/>
  <c r="M788" i="2"/>
  <c r="L788" i="2"/>
  <c r="E788" i="2"/>
  <c r="D788" i="2"/>
  <c r="B788" i="2"/>
  <c r="A788" i="2"/>
  <c r="O787" i="2"/>
  <c r="O786" i="2"/>
  <c r="O785" i="2"/>
  <c r="O784" i="2"/>
  <c r="O783" i="2"/>
  <c r="M783" i="2"/>
  <c r="L783" i="2"/>
  <c r="E783" i="2"/>
  <c r="D783" i="2"/>
  <c r="B783" i="2"/>
  <c r="A783" i="2"/>
  <c r="O782" i="2"/>
  <c r="M782" i="2"/>
  <c r="L782" i="2"/>
  <c r="E782" i="2"/>
  <c r="D782" i="2"/>
  <c r="B782" i="2"/>
  <c r="A782" i="2"/>
  <c r="O781" i="2"/>
  <c r="O780" i="2"/>
  <c r="O779" i="2"/>
  <c r="O778" i="2"/>
  <c r="M778" i="2"/>
  <c r="L778" i="2"/>
  <c r="E778" i="2"/>
  <c r="D778" i="2"/>
  <c r="B778" i="2"/>
  <c r="A778" i="2"/>
  <c r="O777" i="2"/>
  <c r="O776" i="2"/>
  <c r="O775" i="2"/>
  <c r="O774" i="2"/>
  <c r="M774" i="2"/>
  <c r="L774" i="2"/>
  <c r="E774" i="2"/>
  <c r="D774" i="2"/>
  <c r="B774" i="2"/>
  <c r="A774" i="2"/>
  <c r="O773" i="2"/>
  <c r="O772" i="2"/>
  <c r="O771" i="2"/>
  <c r="M771" i="2"/>
  <c r="L771" i="2"/>
  <c r="E771" i="2"/>
  <c r="D771" i="2"/>
  <c r="B771" i="2"/>
  <c r="A771" i="2"/>
  <c r="O770" i="2"/>
  <c r="O769" i="2"/>
  <c r="M769" i="2"/>
  <c r="L769" i="2"/>
  <c r="E769" i="2"/>
  <c r="D769" i="2"/>
  <c r="B769" i="2"/>
  <c r="A769" i="2"/>
  <c r="O768" i="2"/>
  <c r="O767" i="2"/>
  <c r="O766" i="2"/>
  <c r="O765" i="2"/>
  <c r="O764" i="2"/>
  <c r="O763" i="2"/>
  <c r="O762" i="2"/>
  <c r="O761" i="2"/>
  <c r="O760" i="2"/>
  <c r="O759" i="2"/>
  <c r="O758" i="2"/>
  <c r="M758" i="2"/>
  <c r="L758" i="2"/>
  <c r="E758" i="2"/>
  <c r="D758" i="2"/>
  <c r="B758" i="2"/>
  <c r="A758" i="2"/>
  <c r="O757" i="2"/>
  <c r="O756" i="2"/>
  <c r="O755" i="2"/>
  <c r="M755" i="2"/>
  <c r="L755" i="2"/>
  <c r="E755" i="2"/>
  <c r="D755" i="2"/>
  <c r="B755" i="2"/>
  <c r="A755" i="2"/>
  <c r="O754" i="2"/>
  <c r="M754" i="2"/>
  <c r="L754" i="2"/>
  <c r="E754" i="2"/>
  <c r="D754" i="2"/>
  <c r="B754" i="2"/>
  <c r="A754" i="2"/>
  <c r="O753" i="2"/>
  <c r="O752" i="2"/>
  <c r="M752" i="2"/>
  <c r="L752" i="2"/>
  <c r="E752" i="2"/>
  <c r="D752" i="2"/>
  <c r="B752" i="2"/>
  <c r="A752" i="2"/>
  <c r="O751" i="2"/>
  <c r="O750" i="2"/>
  <c r="O749" i="2"/>
  <c r="M749" i="2"/>
  <c r="L749" i="2"/>
  <c r="E749" i="2"/>
  <c r="D749" i="2"/>
  <c r="B749" i="2"/>
  <c r="A749" i="2"/>
  <c r="O748" i="2"/>
  <c r="O747" i="2"/>
  <c r="O746" i="2"/>
  <c r="M746" i="2"/>
  <c r="L746" i="2"/>
  <c r="E746" i="2"/>
  <c r="D746" i="2"/>
  <c r="B746" i="2"/>
  <c r="A746" i="2"/>
  <c r="O745" i="2"/>
  <c r="M745" i="2"/>
  <c r="L745" i="2"/>
  <c r="E745" i="2"/>
  <c r="D745" i="2"/>
  <c r="B745" i="2"/>
  <c r="A745" i="2"/>
  <c r="O744" i="2"/>
  <c r="O743" i="2"/>
  <c r="O742" i="2"/>
  <c r="O741" i="2"/>
  <c r="O740" i="2"/>
  <c r="M740" i="2"/>
  <c r="L740" i="2"/>
  <c r="E740" i="2"/>
  <c r="D740" i="2"/>
  <c r="B740" i="2"/>
  <c r="A740" i="2"/>
  <c r="O739" i="2"/>
  <c r="O738" i="2"/>
  <c r="M738" i="2"/>
  <c r="L738" i="2"/>
  <c r="E738" i="2"/>
  <c r="D738" i="2"/>
  <c r="B738" i="2"/>
  <c r="A738" i="2"/>
  <c r="O737" i="2"/>
  <c r="O736" i="2"/>
  <c r="O735" i="2"/>
  <c r="O734" i="2"/>
  <c r="M734" i="2"/>
  <c r="L734" i="2"/>
  <c r="E734" i="2"/>
  <c r="D734" i="2"/>
  <c r="B734" i="2"/>
  <c r="A734" i="2"/>
  <c r="O733" i="2"/>
  <c r="O732" i="2"/>
  <c r="O731" i="2"/>
  <c r="O730" i="2"/>
  <c r="M730" i="2"/>
  <c r="L730" i="2"/>
  <c r="E730" i="2"/>
  <c r="D730" i="2"/>
  <c r="B730" i="2"/>
  <c r="A730" i="2"/>
  <c r="O729" i="2"/>
  <c r="O728" i="2"/>
  <c r="O727" i="2"/>
  <c r="O726" i="2"/>
  <c r="O725" i="2"/>
  <c r="O724" i="2"/>
  <c r="O723" i="2"/>
  <c r="O722" i="2"/>
  <c r="M722" i="2"/>
  <c r="L722" i="2"/>
  <c r="E722" i="2"/>
  <c r="D722" i="2"/>
  <c r="B722" i="2"/>
  <c r="A722" i="2"/>
  <c r="O721" i="2"/>
  <c r="O720" i="2"/>
  <c r="O719" i="2"/>
  <c r="O718" i="2"/>
  <c r="O717" i="2"/>
  <c r="M717" i="2"/>
  <c r="L717" i="2"/>
  <c r="E717" i="2"/>
  <c r="D717" i="2"/>
  <c r="B717" i="2"/>
  <c r="A717" i="2"/>
  <c r="O716" i="2"/>
  <c r="O715" i="2"/>
  <c r="O714" i="2"/>
  <c r="M714" i="2"/>
  <c r="L714" i="2"/>
  <c r="E714" i="2"/>
  <c r="D714" i="2"/>
  <c r="B714" i="2"/>
  <c r="A714" i="2"/>
  <c r="O713" i="2"/>
  <c r="O712" i="2"/>
  <c r="M712" i="2"/>
  <c r="L712" i="2"/>
  <c r="E712" i="2"/>
  <c r="D712" i="2"/>
  <c r="B712" i="2"/>
  <c r="A712" i="2"/>
  <c r="O711" i="2"/>
  <c r="O710" i="2"/>
  <c r="M710" i="2"/>
  <c r="L710" i="2"/>
  <c r="E710" i="2"/>
  <c r="D710" i="2"/>
  <c r="B710" i="2"/>
  <c r="A710" i="2"/>
  <c r="O709" i="2"/>
  <c r="O708" i="2"/>
  <c r="O707" i="2"/>
  <c r="O706" i="2"/>
  <c r="M706" i="2"/>
  <c r="L706" i="2"/>
  <c r="E706" i="2"/>
  <c r="D706" i="2"/>
  <c r="B706" i="2"/>
  <c r="A706" i="2"/>
  <c r="O705" i="2"/>
  <c r="M705" i="2"/>
  <c r="L705" i="2"/>
  <c r="E705" i="2"/>
  <c r="D705" i="2"/>
  <c r="B705" i="2"/>
  <c r="A705" i="2"/>
  <c r="O704" i="2"/>
  <c r="M704" i="2"/>
  <c r="L704" i="2"/>
  <c r="E704" i="2"/>
  <c r="D704" i="2"/>
  <c r="B704" i="2"/>
  <c r="A704" i="2"/>
  <c r="O703" i="2"/>
  <c r="O702" i="2"/>
  <c r="O701" i="2"/>
  <c r="O700" i="2"/>
  <c r="M700" i="2"/>
  <c r="L700" i="2"/>
  <c r="E700" i="2"/>
  <c r="D700" i="2"/>
  <c r="B700" i="2"/>
  <c r="A700" i="2"/>
  <c r="O699" i="2"/>
  <c r="M699" i="2"/>
  <c r="L699" i="2"/>
  <c r="E699" i="2"/>
  <c r="D699" i="2"/>
  <c r="B699" i="2"/>
  <c r="A699" i="2"/>
  <c r="O698" i="2"/>
  <c r="O697" i="2"/>
  <c r="M697" i="2"/>
  <c r="L697" i="2"/>
  <c r="E697" i="2"/>
  <c r="D697" i="2"/>
  <c r="B697" i="2"/>
  <c r="A697" i="2"/>
  <c r="O696" i="2"/>
  <c r="M696" i="2"/>
  <c r="L696" i="2"/>
  <c r="E696" i="2"/>
  <c r="D696" i="2"/>
  <c r="B696" i="2"/>
  <c r="A696" i="2"/>
  <c r="O695" i="2"/>
  <c r="M695" i="2"/>
  <c r="L695" i="2"/>
  <c r="E695" i="2"/>
  <c r="D695" i="2"/>
  <c r="B695" i="2"/>
  <c r="A695" i="2"/>
  <c r="O694" i="2"/>
  <c r="O693" i="2"/>
  <c r="M693" i="2"/>
  <c r="L693" i="2"/>
  <c r="E693" i="2"/>
  <c r="D693" i="2"/>
  <c r="B693" i="2"/>
  <c r="A693" i="2"/>
  <c r="O692" i="2"/>
  <c r="O691" i="2"/>
  <c r="M691" i="2"/>
  <c r="L691" i="2"/>
  <c r="E691" i="2"/>
  <c r="D691" i="2"/>
  <c r="B691" i="2"/>
  <c r="A691" i="2"/>
  <c r="O690" i="2"/>
  <c r="M690" i="2"/>
  <c r="L690" i="2"/>
  <c r="E690" i="2"/>
  <c r="D690" i="2"/>
  <c r="B690" i="2"/>
  <c r="A690" i="2"/>
  <c r="O689" i="2"/>
  <c r="O688" i="2"/>
  <c r="O687" i="2"/>
  <c r="M687" i="2"/>
  <c r="L687" i="2"/>
  <c r="E687" i="2"/>
  <c r="D687" i="2"/>
  <c r="B687" i="2"/>
  <c r="A687" i="2"/>
  <c r="O686" i="2"/>
  <c r="M686" i="2"/>
  <c r="L686" i="2"/>
  <c r="E686" i="2"/>
  <c r="D686" i="2"/>
  <c r="B686" i="2"/>
  <c r="A686" i="2"/>
  <c r="O685" i="2"/>
  <c r="M685" i="2"/>
  <c r="L685" i="2"/>
  <c r="E685" i="2"/>
  <c r="D685" i="2"/>
  <c r="B685" i="2"/>
  <c r="A685" i="2"/>
  <c r="O684" i="2"/>
  <c r="M684" i="2"/>
  <c r="L684" i="2"/>
  <c r="E684" i="2"/>
  <c r="D684" i="2"/>
  <c r="B684" i="2"/>
  <c r="A684" i="2"/>
  <c r="O683" i="2"/>
  <c r="O682" i="2"/>
  <c r="O681" i="2"/>
  <c r="M681" i="2"/>
  <c r="L681" i="2"/>
  <c r="E681" i="2"/>
  <c r="D681" i="2"/>
  <c r="B681" i="2"/>
  <c r="A681" i="2"/>
  <c r="O680" i="2"/>
  <c r="M680" i="2"/>
  <c r="L680" i="2"/>
  <c r="E680" i="2"/>
  <c r="D680" i="2"/>
  <c r="B680" i="2"/>
  <c r="A680" i="2"/>
  <c r="O679" i="2"/>
  <c r="M679" i="2"/>
  <c r="L679" i="2"/>
  <c r="E679" i="2"/>
  <c r="D679" i="2"/>
  <c r="B679" i="2"/>
  <c r="A679" i="2"/>
  <c r="O678" i="2"/>
  <c r="O677" i="2"/>
  <c r="M677" i="2"/>
  <c r="L677" i="2"/>
  <c r="E677" i="2"/>
  <c r="D677" i="2"/>
  <c r="B677" i="2"/>
  <c r="A677" i="2"/>
  <c r="O676" i="2"/>
  <c r="M676" i="2"/>
  <c r="L676" i="2"/>
  <c r="E676" i="2"/>
  <c r="D676" i="2"/>
  <c r="B676" i="2"/>
  <c r="A676" i="2"/>
  <c r="O675" i="2"/>
  <c r="M675" i="2"/>
  <c r="L675" i="2"/>
  <c r="E675" i="2"/>
  <c r="D675" i="2"/>
  <c r="B675" i="2"/>
  <c r="A675" i="2"/>
  <c r="O674" i="2"/>
  <c r="M674" i="2"/>
  <c r="L674" i="2"/>
  <c r="E674" i="2"/>
  <c r="D674" i="2"/>
  <c r="B674" i="2"/>
  <c r="A674" i="2"/>
  <c r="O673" i="2"/>
  <c r="O672" i="2"/>
  <c r="M672" i="2"/>
  <c r="L672" i="2"/>
  <c r="E672" i="2"/>
  <c r="D672" i="2"/>
  <c r="B672" i="2"/>
  <c r="A672" i="2"/>
  <c r="O671" i="2"/>
  <c r="M671" i="2"/>
  <c r="L671" i="2"/>
  <c r="E671" i="2"/>
  <c r="D671" i="2"/>
  <c r="B671" i="2"/>
  <c r="A671" i="2"/>
  <c r="O670" i="2"/>
  <c r="O669" i="2"/>
  <c r="O668" i="2"/>
  <c r="M668" i="2"/>
  <c r="L668" i="2"/>
  <c r="E668" i="2"/>
  <c r="D668" i="2"/>
  <c r="B668" i="2"/>
  <c r="A668" i="2"/>
  <c r="O667" i="2"/>
  <c r="O666" i="2"/>
  <c r="O665" i="2"/>
  <c r="O664" i="2"/>
  <c r="M664" i="2"/>
  <c r="L664" i="2"/>
  <c r="E664" i="2"/>
  <c r="D664" i="2"/>
  <c r="B664" i="2"/>
  <c r="A664" i="2"/>
  <c r="O663" i="2"/>
  <c r="O662" i="2"/>
  <c r="O661" i="2"/>
  <c r="M661" i="2"/>
  <c r="L661" i="2"/>
  <c r="E661" i="2"/>
  <c r="D661" i="2"/>
  <c r="B661" i="2"/>
  <c r="A661" i="2"/>
  <c r="O660" i="2"/>
  <c r="M660" i="2"/>
  <c r="L660" i="2"/>
  <c r="E660" i="2"/>
  <c r="D660" i="2"/>
  <c r="B660" i="2"/>
  <c r="A660" i="2"/>
  <c r="O659" i="2"/>
  <c r="O658" i="2"/>
  <c r="O657" i="2"/>
  <c r="O656" i="2"/>
  <c r="O655" i="2"/>
  <c r="O654" i="2"/>
  <c r="O653" i="2"/>
  <c r="M653" i="2"/>
  <c r="L653" i="2"/>
  <c r="E653" i="2"/>
  <c r="D653" i="2"/>
  <c r="B653" i="2"/>
  <c r="A653" i="2"/>
  <c r="O652" i="2"/>
  <c r="O651" i="2"/>
  <c r="O650" i="2"/>
  <c r="O649" i="2"/>
  <c r="O648" i="2"/>
  <c r="O647" i="2"/>
  <c r="M647" i="2"/>
  <c r="L647" i="2"/>
  <c r="E647" i="2"/>
  <c r="D647" i="2"/>
  <c r="B647" i="2"/>
  <c r="A647" i="2"/>
  <c r="O646" i="2"/>
  <c r="O645" i="2"/>
  <c r="O644" i="2"/>
  <c r="O643" i="2"/>
  <c r="O642" i="2"/>
  <c r="O641" i="2"/>
  <c r="M641" i="2"/>
  <c r="L641" i="2"/>
  <c r="E641" i="2"/>
  <c r="D641" i="2"/>
  <c r="B641" i="2"/>
  <c r="A641" i="2"/>
  <c r="O640" i="2"/>
  <c r="M640" i="2"/>
  <c r="L640" i="2"/>
  <c r="E640" i="2"/>
  <c r="D640" i="2"/>
  <c r="B640" i="2"/>
  <c r="A640" i="2"/>
  <c r="O639" i="2"/>
  <c r="O638" i="2"/>
  <c r="M638" i="2"/>
  <c r="L638" i="2"/>
  <c r="E638" i="2"/>
  <c r="D638" i="2"/>
  <c r="B638" i="2"/>
  <c r="A638" i="2"/>
  <c r="O637" i="2"/>
  <c r="M637" i="2"/>
  <c r="L637" i="2"/>
  <c r="E637" i="2"/>
  <c r="D637" i="2"/>
  <c r="B637" i="2"/>
  <c r="A637" i="2"/>
  <c r="O636" i="2"/>
  <c r="O635" i="2"/>
  <c r="O634" i="2"/>
  <c r="O633" i="2"/>
  <c r="O632" i="2"/>
  <c r="M632" i="2"/>
  <c r="L632" i="2"/>
  <c r="E632" i="2"/>
  <c r="D632" i="2"/>
  <c r="B632" i="2"/>
  <c r="A632" i="2"/>
  <c r="O631" i="2"/>
  <c r="M631" i="2"/>
  <c r="L631" i="2"/>
  <c r="E631" i="2"/>
  <c r="D631" i="2"/>
  <c r="B631" i="2"/>
  <c r="A631" i="2"/>
  <c r="O630" i="2"/>
  <c r="M630" i="2"/>
  <c r="L630" i="2"/>
  <c r="E630" i="2"/>
  <c r="D630" i="2"/>
  <c r="B630" i="2"/>
  <c r="A630" i="2"/>
  <c r="O629" i="2"/>
  <c r="M629" i="2"/>
  <c r="L629" i="2"/>
  <c r="E629" i="2"/>
  <c r="D629" i="2"/>
  <c r="B629" i="2"/>
  <c r="A629" i="2"/>
  <c r="O628" i="2"/>
  <c r="O627" i="2"/>
  <c r="M627" i="2"/>
  <c r="L627" i="2"/>
  <c r="E627" i="2"/>
  <c r="D627" i="2"/>
  <c r="B627" i="2"/>
  <c r="A627" i="2"/>
  <c r="O626" i="2"/>
  <c r="M626" i="2"/>
  <c r="L626" i="2"/>
  <c r="E626" i="2"/>
  <c r="D626" i="2"/>
  <c r="B626" i="2"/>
  <c r="A626" i="2"/>
  <c r="O625" i="2"/>
  <c r="M625" i="2"/>
  <c r="L625" i="2"/>
  <c r="E625" i="2"/>
  <c r="D625" i="2"/>
  <c r="B625" i="2"/>
  <c r="A625" i="2"/>
  <c r="O624" i="2"/>
  <c r="O623" i="2"/>
  <c r="M623" i="2"/>
  <c r="L623" i="2"/>
  <c r="E623" i="2"/>
  <c r="D623" i="2"/>
  <c r="B623" i="2"/>
  <c r="A623" i="2"/>
  <c r="O622" i="2"/>
  <c r="M622" i="2"/>
  <c r="L622" i="2"/>
  <c r="E622" i="2"/>
  <c r="D622" i="2"/>
  <c r="B622" i="2"/>
  <c r="A622" i="2"/>
  <c r="O621" i="2"/>
  <c r="M621" i="2"/>
  <c r="L621" i="2"/>
  <c r="E621" i="2"/>
  <c r="D621" i="2"/>
  <c r="B621" i="2"/>
  <c r="A621" i="2"/>
  <c r="O620" i="2"/>
  <c r="O619" i="2"/>
  <c r="O618" i="2"/>
  <c r="M618" i="2"/>
  <c r="L618" i="2"/>
  <c r="E618" i="2"/>
  <c r="D618" i="2"/>
  <c r="B618" i="2"/>
  <c r="A618" i="2"/>
  <c r="O617" i="2"/>
  <c r="M617" i="2"/>
  <c r="L617" i="2"/>
  <c r="E617" i="2"/>
  <c r="D617" i="2"/>
  <c r="B617" i="2"/>
  <c r="A617" i="2"/>
  <c r="O616" i="2"/>
  <c r="O615" i="2"/>
  <c r="O614" i="2"/>
  <c r="O613" i="2"/>
  <c r="O612" i="2"/>
  <c r="O611" i="2"/>
  <c r="O610" i="2"/>
  <c r="O609" i="2"/>
  <c r="O608" i="2"/>
  <c r="O607" i="2"/>
  <c r="M607" i="2"/>
  <c r="L607" i="2"/>
  <c r="E607" i="2"/>
  <c r="D607" i="2"/>
  <c r="B607" i="2"/>
  <c r="A607" i="2"/>
  <c r="O606" i="2"/>
  <c r="O605" i="2"/>
  <c r="M605" i="2"/>
  <c r="L605" i="2"/>
  <c r="E605" i="2"/>
  <c r="D605" i="2"/>
  <c r="B605" i="2"/>
  <c r="A605" i="2"/>
  <c r="O604" i="2"/>
  <c r="O603" i="2"/>
  <c r="O602" i="2"/>
  <c r="O601" i="2"/>
  <c r="M601" i="2"/>
  <c r="L601" i="2"/>
  <c r="E601" i="2"/>
  <c r="D601" i="2"/>
  <c r="B601" i="2"/>
  <c r="A601" i="2"/>
  <c r="O600" i="2"/>
  <c r="M600" i="2"/>
  <c r="L600" i="2"/>
  <c r="E600" i="2"/>
  <c r="D600" i="2"/>
  <c r="B600" i="2"/>
  <c r="A600" i="2"/>
  <c r="O599" i="2"/>
  <c r="O598" i="2"/>
  <c r="M598" i="2"/>
  <c r="L598" i="2"/>
  <c r="E598" i="2"/>
  <c r="D598" i="2"/>
  <c r="B598" i="2"/>
  <c r="A598" i="2"/>
  <c r="O597" i="2"/>
  <c r="M597" i="2"/>
  <c r="L597" i="2"/>
  <c r="E597" i="2"/>
  <c r="D597" i="2"/>
  <c r="B597" i="2"/>
  <c r="A597" i="2"/>
  <c r="O596" i="2"/>
  <c r="O595" i="2"/>
  <c r="M595" i="2"/>
  <c r="L595" i="2"/>
  <c r="E595" i="2"/>
  <c r="D595" i="2"/>
  <c r="B595" i="2"/>
  <c r="A595" i="2"/>
  <c r="O594" i="2"/>
  <c r="O593" i="2"/>
  <c r="M593" i="2"/>
  <c r="L593" i="2"/>
  <c r="E593" i="2"/>
  <c r="D593" i="2"/>
  <c r="B593" i="2"/>
  <c r="A593" i="2"/>
  <c r="O592" i="2"/>
  <c r="M592" i="2"/>
  <c r="L592" i="2"/>
  <c r="E592" i="2"/>
  <c r="D592" i="2"/>
  <c r="B592" i="2"/>
  <c r="A592" i="2"/>
  <c r="O591" i="2"/>
  <c r="M591" i="2"/>
  <c r="L591" i="2"/>
  <c r="E591" i="2"/>
  <c r="D591" i="2"/>
  <c r="B591" i="2"/>
  <c r="A591" i="2"/>
  <c r="O590" i="2"/>
  <c r="O589" i="2"/>
  <c r="O588" i="2"/>
  <c r="O587" i="2"/>
  <c r="O586" i="2"/>
  <c r="M586" i="2"/>
  <c r="L586" i="2"/>
  <c r="E586" i="2"/>
  <c r="D586" i="2"/>
  <c r="B586" i="2"/>
  <c r="A586" i="2"/>
  <c r="O585" i="2"/>
  <c r="O584" i="2"/>
  <c r="M584" i="2"/>
  <c r="L584" i="2"/>
  <c r="E584" i="2"/>
  <c r="D584" i="2"/>
  <c r="B584" i="2"/>
  <c r="A584" i="2"/>
  <c r="O583" i="2"/>
  <c r="M583" i="2"/>
  <c r="L583" i="2"/>
  <c r="E583" i="2"/>
  <c r="D583" i="2"/>
  <c r="B583" i="2"/>
  <c r="A583" i="2"/>
  <c r="O582" i="2"/>
  <c r="M582" i="2"/>
  <c r="L582" i="2"/>
  <c r="E582" i="2"/>
  <c r="D582" i="2"/>
  <c r="B582" i="2"/>
  <c r="A582" i="2"/>
  <c r="O581" i="2"/>
  <c r="M581" i="2"/>
  <c r="L581" i="2"/>
  <c r="E581" i="2"/>
  <c r="D581" i="2"/>
  <c r="B581" i="2"/>
  <c r="A581" i="2"/>
  <c r="O580" i="2"/>
  <c r="M580" i="2"/>
  <c r="L580" i="2"/>
  <c r="E580" i="2"/>
  <c r="D580" i="2"/>
  <c r="B580" i="2"/>
  <c r="A580" i="2"/>
  <c r="O579" i="2"/>
  <c r="M579" i="2"/>
  <c r="L579" i="2"/>
  <c r="E579" i="2"/>
  <c r="D579" i="2"/>
  <c r="B579" i="2"/>
  <c r="A579" i="2"/>
  <c r="O578" i="2"/>
  <c r="O577" i="2"/>
  <c r="O576" i="2"/>
  <c r="O575" i="2"/>
  <c r="M575" i="2"/>
  <c r="L575" i="2"/>
  <c r="E575" i="2"/>
  <c r="D575" i="2"/>
  <c r="B575" i="2"/>
  <c r="A575" i="2"/>
  <c r="O574" i="2"/>
  <c r="O573" i="2"/>
  <c r="M573" i="2"/>
  <c r="L573" i="2"/>
  <c r="E573" i="2"/>
  <c r="D573" i="2"/>
  <c r="B573" i="2"/>
  <c r="A573" i="2"/>
  <c r="O572" i="2"/>
  <c r="O571" i="2"/>
  <c r="M571" i="2"/>
  <c r="L571" i="2"/>
  <c r="E571" i="2"/>
  <c r="D571" i="2"/>
  <c r="B571" i="2"/>
  <c r="A571" i="2"/>
  <c r="O570" i="2"/>
  <c r="M570" i="2"/>
  <c r="L570" i="2"/>
  <c r="E570" i="2"/>
  <c r="D570" i="2"/>
  <c r="B570" i="2"/>
  <c r="A570" i="2"/>
  <c r="O569" i="2"/>
  <c r="O568" i="2"/>
  <c r="O567" i="2"/>
  <c r="M567" i="2"/>
  <c r="L567" i="2"/>
  <c r="E567" i="2"/>
  <c r="D567" i="2"/>
  <c r="B567" i="2"/>
  <c r="A567" i="2"/>
  <c r="O566" i="2"/>
  <c r="O565" i="2"/>
  <c r="O564" i="2"/>
  <c r="O563" i="2"/>
  <c r="M563" i="2"/>
  <c r="L563" i="2"/>
  <c r="E563" i="2"/>
  <c r="D563" i="2"/>
  <c r="B563" i="2"/>
  <c r="A563" i="2"/>
  <c r="O562" i="2"/>
  <c r="M562" i="2"/>
  <c r="L562" i="2"/>
  <c r="E562" i="2"/>
  <c r="D562" i="2"/>
  <c r="B562" i="2"/>
  <c r="A562" i="2"/>
  <c r="O561" i="2"/>
  <c r="O560" i="2"/>
  <c r="O559" i="2"/>
  <c r="O558" i="2"/>
  <c r="O557" i="2"/>
  <c r="O556" i="2"/>
  <c r="M556" i="2"/>
  <c r="L556" i="2"/>
  <c r="E556" i="2"/>
  <c r="D556" i="2"/>
  <c r="B556" i="2"/>
  <c r="A556" i="2"/>
  <c r="O555" i="2"/>
  <c r="M555" i="2"/>
  <c r="L555" i="2"/>
  <c r="E555" i="2"/>
  <c r="D555" i="2"/>
  <c r="B555" i="2"/>
  <c r="A555" i="2"/>
  <c r="O554" i="2"/>
  <c r="O553" i="2"/>
  <c r="O552" i="2"/>
  <c r="M552" i="2"/>
  <c r="L552" i="2"/>
  <c r="E552" i="2"/>
  <c r="D552" i="2"/>
  <c r="B552" i="2"/>
  <c r="A552" i="2"/>
  <c r="O551" i="2"/>
  <c r="O550" i="2"/>
  <c r="O549" i="2"/>
  <c r="M549" i="2"/>
  <c r="L549" i="2"/>
  <c r="E549" i="2"/>
  <c r="D549" i="2"/>
  <c r="B549" i="2"/>
  <c r="A549" i="2"/>
  <c r="O548" i="2"/>
  <c r="M548" i="2"/>
  <c r="L548" i="2"/>
  <c r="E548" i="2"/>
  <c r="D548" i="2"/>
  <c r="B548" i="2"/>
  <c r="A548" i="2"/>
  <c r="O547" i="2"/>
  <c r="M547" i="2"/>
  <c r="L547" i="2"/>
  <c r="E547" i="2"/>
  <c r="D547" i="2"/>
  <c r="B547" i="2"/>
  <c r="A547" i="2"/>
  <c r="O546" i="2"/>
  <c r="O545" i="2"/>
  <c r="M545" i="2"/>
  <c r="L545" i="2"/>
  <c r="E545" i="2"/>
  <c r="D545" i="2"/>
  <c r="B545" i="2"/>
  <c r="A545" i="2"/>
  <c r="O544" i="2"/>
  <c r="M544" i="2"/>
  <c r="L544" i="2"/>
  <c r="E544" i="2"/>
  <c r="D544" i="2"/>
  <c r="B544" i="2"/>
  <c r="A544" i="2"/>
  <c r="O543" i="2"/>
  <c r="M543" i="2"/>
  <c r="L543" i="2"/>
  <c r="E543" i="2"/>
  <c r="D543" i="2"/>
  <c r="B543" i="2"/>
  <c r="A543" i="2"/>
  <c r="O542" i="2"/>
  <c r="M542" i="2"/>
  <c r="L542" i="2"/>
  <c r="E542" i="2"/>
  <c r="D542" i="2"/>
  <c r="B542" i="2"/>
  <c r="A542" i="2"/>
  <c r="O541" i="2"/>
  <c r="M541" i="2"/>
  <c r="L541" i="2"/>
  <c r="E541" i="2"/>
  <c r="D541" i="2"/>
  <c r="B541" i="2"/>
  <c r="A541" i="2"/>
  <c r="O540" i="2"/>
  <c r="O539" i="2"/>
  <c r="O538" i="2"/>
  <c r="O537" i="2"/>
  <c r="M537" i="2"/>
  <c r="L537" i="2"/>
  <c r="E537" i="2"/>
  <c r="D537" i="2"/>
  <c r="B537" i="2"/>
  <c r="A537" i="2"/>
  <c r="O536" i="2"/>
  <c r="O535" i="2"/>
  <c r="M535" i="2"/>
  <c r="L535" i="2"/>
  <c r="E535" i="2"/>
  <c r="D535" i="2"/>
  <c r="B535" i="2"/>
  <c r="A535" i="2"/>
  <c r="O534" i="2"/>
  <c r="M534" i="2"/>
  <c r="L534" i="2"/>
  <c r="E534" i="2"/>
  <c r="D534" i="2"/>
  <c r="B534" i="2"/>
  <c r="A534" i="2"/>
  <c r="O533" i="2"/>
  <c r="M533" i="2"/>
  <c r="L533" i="2"/>
  <c r="E533" i="2"/>
  <c r="D533" i="2"/>
  <c r="B533" i="2"/>
  <c r="A533" i="2"/>
  <c r="O532" i="2"/>
  <c r="M532" i="2"/>
  <c r="L532" i="2"/>
  <c r="E532" i="2"/>
  <c r="D532" i="2"/>
  <c r="B532" i="2"/>
  <c r="A532" i="2"/>
  <c r="O531" i="2"/>
  <c r="M531" i="2"/>
  <c r="L531" i="2"/>
  <c r="E531" i="2"/>
  <c r="D531" i="2"/>
  <c r="B531" i="2"/>
  <c r="A531" i="2"/>
  <c r="O530" i="2"/>
  <c r="M530" i="2"/>
  <c r="L530" i="2"/>
  <c r="E530" i="2"/>
  <c r="D530" i="2"/>
  <c r="B530" i="2"/>
  <c r="A530" i="2"/>
  <c r="O529" i="2"/>
  <c r="O528" i="2"/>
  <c r="O527" i="2"/>
  <c r="O526" i="2"/>
  <c r="M526" i="2"/>
  <c r="L526" i="2"/>
  <c r="E526" i="2"/>
  <c r="D526" i="2"/>
  <c r="B526" i="2"/>
  <c r="A526" i="2"/>
  <c r="O525" i="2"/>
  <c r="M525" i="2"/>
  <c r="L525" i="2"/>
  <c r="E525" i="2"/>
  <c r="D525" i="2"/>
  <c r="B525" i="2"/>
  <c r="A525" i="2"/>
  <c r="O524" i="2"/>
  <c r="O523" i="2"/>
  <c r="O522" i="2"/>
  <c r="O521" i="2"/>
  <c r="O520" i="2"/>
  <c r="O519" i="2"/>
  <c r="O518" i="2"/>
  <c r="M518" i="2"/>
  <c r="L518" i="2"/>
  <c r="E518" i="2"/>
  <c r="D518" i="2"/>
  <c r="B518" i="2"/>
  <c r="A518" i="2"/>
  <c r="O517" i="2"/>
  <c r="O516" i="2"/>
  <c r="M516" i="2"/>
  <c r="L516" i="2"/>
  <c r="E516" i="2"/>
  <c r="D516" i="2"/>
  <c r="B516" i="2"/>
  <c r="A516" i="2"/>
  <c r="O515" i="2"/>
  <c r="M515" i="2"/>
  <c r="L515" i="2"/>
  <c r="E515" i="2"/>
  <c r="D515" i="2"/>
  <c r="B515" i="2"/>
  <c r="A515" i="2"/>
  <c r="O514" i="2"/>
  <c r="M514" i="2"/>
  <c r="L514" i="2"/>
  <c r="E514" i="2"/>
  <c r="D514" i="2"/>
  <c r="B514" i="2"/>
  <c r="A514" i="2"/>
  <c r="O513" i="2"/>
  <c r="M513" i="2"/>
  <c r="L513" i="2"/>
  <c r="E513" i="2"/>
  <c r="D513" i="2"/>
  <c r="B513" i="2"/>
  <c r="A513" i="2"/>
  <c r="O512" i="2"/>
  <c r="M512" i="2"/>
  <c r="L512" i="2"/>
  <c r="E512" i="2"/>
  <c r="D512" i="2"/>
  <c r="B512" i="2"/>
  <c r="A512" i="2"/>
  <c r="O511" i="2"/>
  <c r="M511" i="2"/>
  <c r="L511" i="2"/>
  <c r="E511" i="2"/>
  <c r="D511" i="2"/>
  <c r="B511" i="2"/>
  <c r="A511" i="2"/>
  <c r="O510" i="2"/>
  <c r="O509" i="2"/>
  <c r="M509" i="2"/>
  <c r="L509" i="2"/>
  <c r="E509" i="2"/>
  <c r="D509" i="2"/>
  <c r="B509" i="2"/>
  <c r="A509" i="2"/>
  <c r="O508" i="2"/>
  <c r="M508" i="2"/>
  <c r="L508" i="2"/>
  <c r="E508" i="2"/>
  <c r="D508" i="2"/>
  <c r="B508" i="2"/>
  <c r="A508" i="2"/>
  <c r="O507" i="2"/>
  <c r="O506" i="2"/>
  <c r="M506" i="2"/>
  <c r="L506" i="2"/>
  <c r="E506" i="2"/>
  <c r="D506" i="2"/>
  <c r="B506" i="2"/>
  <c r="A506" i="2"/>
  <c r="O505" i="2"/>
  <c r="O504" i="2"/>
  <c r="O503" i="2"/>
  <c r="O502" i="2"/>
  <c r="O501" i="2"/>
  <c r="O500" i="2"/>
  <c r="M500" i="2"/>
  <c r="L500" i="2"/>
  <c r="E500" i="2"/>
  <c r="D500" i="2"/>
  <c r="B500" i="2"/>
  <c r="A500" i="2"/>
  <c r="O499" i="2"/>
  <c r="M499" i="2"/>
  <c r="L499" i="2"/>
  <c r="E499" i="2"/>
  <c r="D499" i="2"/>
  <c r="B499" i="2"/>
  <c r="A499" i="2"/>
  <c r="O498" i="2"/>
  <c r="O497" i="2"/>
  <c r="M497" i="2"/>
  <c r="L497" i="2"/>
  <c r="E497" i="2"/>
  <c r="D497" i="2"/>
  <c r="B497" i="2"/>
  <c r="A497" i="2"/>
  <c r="O496" i="2"/>
  <c r="M496" i="2"/>
  <c r="L496" i="2"/>
  <c r="E496" i="2"/>
  <c r="D496" i="2"/>
  <c r="B496" i="2"/>
  <c r="A496" i="2"/>
  <c r="O495" i="2"/>
  <c r="M495" i="2"/>
  <c r="L495" i="2"/>
  <c r="E495" i="2"/>
  <c r="D495" i="2"/>
  <c r="B495" i="2"/>
  <c r="A495" i="2"/>
  <c r="O494" i="2"/>
  <c r="O493" i="2"/>
  <c r="O492" i="2"/>
  <c r="M492" i="2"/>
  <c r="L492" i="2"/>
  <c r="E492" i="2"/>
  <c r="D492" i="2"/>
  <c r="B492" i="2"/>
  <c r="A492" i="2"/>
  <c r="O491" i="2"/>
  <c r="O490" i="2"/>
  <c r="M490" i="2"/>
  <c r="L490" i="2"/>
  <c r="E490" i="2"/>
  <c r="D490" i="2"/>
  <c r="B490" i="2"/>
  <c r="A490" i="2"/>
  <c r="O489" i="2"/>
  <c r="M489" i="2"/>
  <c r="L489" i="2"/>
  <c r="E489" i="2"/>
  <c r="D489" i="2"/>
  <c r="B489" i="2"/>
  <c r="A489" i="2"/>
  <c r="O488" i="2"/>
  <c r="O487" i="2"/>
  <c r="O486" i="2"/>
  <c r="O485" i="2"/>
  <c r="O484" i="2"/>
  <c r="M484" i="2"/>
  <c r="L484" i="2"/>
  <c r="E484" i="2"/>
  <c r="D484" i="2"/>
  <c r="B484" i="2"/>
  <c r="A484" i="2"/>
  <c r="O483" i="2"/>
  <c r="O482" i="2"/>
  <c r="M482" i="2"/>
  <c r="L482" i="2"/>
  <c r="E482" i="2"/>
  <c r="D482" i="2"/>
  <c r="B482" i="2"/>
  <c r="A482" i="2"/>
  <c r="O481" i="2"/>
  <c r="O480" i="2"/>
  <c r="M480" i="2"/>
  <c r="L480" i="2"/>
  <c r="E480" i="2"/>
  <c r="D480" i="2"/>
  <c r="B480" i="2"/>
  <c r="A480" i="2"/>
  <c r="O479" i="2"/>
  <c r="M479" i="2"/>
  <c r="L479" i="2"/>
  <c r="E479" i="2"/>
  <c r="D479" i="2"/>
  <c r="B479" i="2"/>
  <c r="A479" i="2"/>
  <c r="O478" i="2"/>
  <c r="M478" i="2"/>
  <c r="L478" i="2"/>
  <c r="E478" i="2"/>
  <c r="D478" i="2"/>
  <c r="B478" i="2"/>
  <c r="A478" i="2"/>
  <c r="O477" i="2"/>
  <c r="O476" i="2"/>
  <c r="M476" i="2"/>
  <c r="L476" i="2"/>
  <c r="E476" i="2"/>
  <c r="D476" i="2"/>
  <c r="B476" i="2"/>
  <c r="A476" i="2"/>
  <c r="O475" i="2"/>
  <c r="O474" i="2"/>
  <c r="O473" i="2"/>
  <c r="O472" i="2"/>
  <c r="O471" i="2"/>
  <c r="M471" i="2"/>
  <c r="L471" i="2"/>
  <c r="E471" i="2"/>
  <c r="D471" i="2"/>
  <c r="B471" i="2"/>
  <c r="A471" i="2"/>
  <c r="O470" i="2"/>
  <c r="O469" i="2"/>
  <c r="O468" i="2"/>
  <c r="M468" i="2"/>
  <c r="L468" i="2"/>
  <c r="E468" i="2"/>
  <c r="D468" i="2"/>
  <c r="B468" i="2"/>
  <c r="A468" i="2"/>
  <c r="O467" i="2"/>
  <c r="M467" i="2"/>
  <c r="L467" i="2"/>
  <c r="E467" i="2"/>
  <c r="D467" i="2"/>
  <c r="B467" i="2"/>
  <c r="A467" i="2"/>
  <c r="O466" i="2"/>
  <c r="O465" i="2"/>
  <c r="O464" i="2"/>
  <c r="M464" i="2"/>
  <c r="L464" i="2"/>
  <c r="E464" i="2"/>
  <c r="D464" i="2"/>
  <c r="B464" i="2"/>
  <c r="A464" i="2"/>
  <c r="O463" i="2"/>
  <c r="M463" i="2"/>
  <c r="L463" i="2"/>
  <c r="E463" i="2"/>
  <c r="D463" i="2"/>
  <c r="B463" i="2"/>
  <c r="A463" i="2"/>
  <c r="O462" i="2"/>
  <c r="O461" i="2"/>
  <c r="M461" i="2"/>
  <c r="L461" i="2"/>
  <c r="E461" i="2"/>
  <c r="D461" i="2"/>
  <c r="B461" i="2"/>
  <c r="A461" i="2"/>
  <c r="O460" i="2"/>
  <c r="O459" i="2"/>
  <c r="O458" i="2"/>
  <c r="O457" i="2"/>
  <c r="M457" i="2"/>
  <c r="L457" i="2"/>
  <c r="E457" i="2"/>
  <c r="D457" i="2"/>
  <c r="B457" i="2"/>
  <c r="A457" i="2"/>
  <c r="O456" i="2"/>
  <c r="M456" i="2"/>
  <c r="L456" i="2"/>
  <c r="E456" i="2"/>
  <c r="D456" i="2"/>
  <c r="B456" i="2"/>
  <c r="A456" i="2"/>
  <c r="O455" i="2"/>
  <c r="M455" i="2"/>
  <c r="L455" i="2"/>
  <c r="E455" i="2"/>
  <c r="D455" i="2"/>
  <c r="B455" i="2"/>
  <c r="A455" i="2"/>
  <c r="O454" i="2"/>
  <c r="O453" i="2"/>
  <c r="O452" i="2"/>
  <c r="M452" i="2"/>
  <c r="L452" i="2"/>
  <c r="E452" i="2"/>
  <c r="D452" i="2"/>
  <c r="B452" i="2"/>
  <c r="A452" i="2"/>
  <c r="O451" i="2"/>
  <c r="M451" i="2"/>
  <c r="L451" i="2"/>
  <c r="E451" i="2"/>
  <c r="D451" i="2"/>
  <c r="B451" i="2"/>
  <c r="A451" i="2"/>
  <c r="O450" i="2"/>
  <c r="O449" i="2"/>
  <c r="O448" i="2"/>
  <c r="O447" i="2"/>
  <c r="M447" i="2"/>
  <c r="L447" i="2"/>
  <c r="E447" i="2"/>
  <c r="D447" i="2"/>
  <c r="B447" i="2"/>
  <c r="A447" i="2"/>
  <c r="O446" i="2"/>
  <c r="O445" i="2"/>
  <c r="O444" i="2"/>
  <c r="M444" i="2"/>
  <c r="L444" i="2"/>
  <c r="E444" i="2"/>
  <c r="D444" i="2"/>
  <c r="B444" i="2"/>
  <c r="A444" i="2"/>
  <c r="O443" i="2"/>
  <c r="M443" i="2"/>
  <c r="L443" i="2"/>
  <c r="E443" i="2"/>
  <c r="D443" i="2"/>
  <c r="B443" i="2"/>
  <c r="A443" i="2"/>
  <c r="O442" i="2"/>
  <c r="O441" i="2"/>
  <c r="O440" i="2"/>
  <c r="O439" i="2"/>
  <c r="O438" i="2"/>
  <c r="M438" i="2"/>
  <c r="L438" i="2"/>
  <c r="E438" i="2"/>
  <c r="D438" i="2"/>
  <c r="B438" i="2"/>
  <c r="A438" i="2"/>
  <c r="O437" i="2"/>
  <c r="M437" i="2"/>
  <c r="L437" i="2"/>
  <c r="E437" i="2"/>
  <c r="D437" i="2"/>
  <c r="B437" i="2"/>
  <c r="A437" i="2"/>
  <c r="O436" i="2"/>
  <c r="M436" i="2"/>
  <c r="L436" i="2"/>
  <c r="E436" i="2"/>
  <c r="D436" i="2"/>
  <c r="B436" i="2"/>
  <c r="A436" i="2"/>
  <c r="O435" i="2"/>
  <c r="M435" i="2"/>
  <c r="L435" i="2"/>
  <c r="E435" i="2"/>
  <c r="D435" i="2"/>
  <c r="B435" i="2"/>
  <c r="A435" i="2"/>
  <c r="O434" i="2"/>
  <c r="M434" i="2"/>
  <c r="L434" i="2"/>
  <c r="E434" i="2"/>
  <c r="D434" i="2"/>
  <c r="B434" i="2"/>
  <c r="A434" i="2"/>
  <c r="O433" i="2"/>
  <c r="M433" i="2"/>
  <c r="L433" i="2"/>
  <c r="E433" i="2"/>
  <c r="D433" i="2"/>
  <c r="B433" i="2"/>
  <c r="A433" i="2"/>
  <c r="O432" i="2"/>
  <c r="M432" i="2"/>
  <c r="L432" i="2"/>
  <c r="E432" i="2"/>
  <c r="D432" i="2"/>
  <c r="B432" i="2"/>
  <c r="A432" i="2"/>
  <c r="O431" i="2"/>
  <c r="M431" i="2"/>
  <c r="L431" i="2"/>
  <c r="E431" i="2"/>
  <c r="D431" i="2"/>
  <c r="B431" i="2"/>
  <c r="A431" i="2"/>
  <c r="O430" i="2"/>
  <c r="M430" i="2"/>
  <c r="L430" i="2"/>
  <c r="E430" i="2"/>
  <c r="D430" i="2"/>
  <c r="B430" i="2"/>
  <c r="A430" i="2"/>
  <c r="O429" i="2"/>
  <c r="M429" i="2"/>
  <c r="L429" i="2"/>
  <c r="E429" i="2"/>
  <c r="D429" i="2"/>
  <c r="B429" i="2"/>
  <c r="A429" i="2"/>
  <c r="O428" i="2"/>
  <c r="O427" i="2"/>
  <c r="M427" i="2"/>
  <c r="L427" i="2"/>
  <c r="E427" i="2"/>
  <c r="D427" i="2"/>
  <c r="B427" i="2"/>
  <c r="A427" i="2"/>
  <c r="O426" i="2"/>
  <c r="M426" i="2"/>
  <c r="L426" i="2"/>
  <c r="E426" i="2"/>
  <c r="D426" i="2"/>
  <c r="B426" i="2"/>
  <c r="A426" i="2"/>
  <c r="O425" i="2"/>
  <c r="M425" i="2"/>
  <c r="L425" i="2"/>
  <c r="E425" i="2"/>
  <c r="D425" i="2"/>
  <c r="B425" i="2"/>
  <c r="A425" i="2"/>
  <c r="O424" i="2"/>
  <c r="M424" i="2"/>
  <c r="L424" i="2"/>
  <c r="E424" i="2"/>
  <c r="D424" i="2"/>
  <c r="B424" i="2"/>
  <c r="A424" i="2"/>
  <c r="O423" i="2"/>
  <c r="M423" i="2"/>
  <c r="L423" i="2"/>
  <c r="E423" i="2"/>
  <c r="D423" i="2"/>
  <c r="B423" i="2"/>
  <c r="A423" i="2"/>
  <c r="O422" i="2"/>
  <c r="O421" i="2"/>
  <c r="O420" i="2"/>
  <c r="O419" i="2"/>
  <c r="O418" i="2"/>
  <c r="O417" i="2"/>
  <c r="M417" i="2"/>
  <c r="L417" i="2"/>
  <c r="E417" i="2"/>
  <c r="D417" i="2"/>
  <c r="B417" i="2"/>
  <c r="A417" i="2"/>
  <c r="O416" i="2"/>
  <c r="O415" i="2"/>
  <c r="O414" i="2"/>
  <c r="M414" i="2"/>
  <c r="L414" i="2"/>
  <c r="E414" i="2"/>
  <c r="D414" i="2"/>
  <c r="B414" i="2"/>
  <c r="A414" i="2"/>
  <c r="O413" i="2"/>
  <c r="M413" i="2"/>
  <c r="L413" i="2"/>
  <c r="E413" i="2"/>
  <c r="D413" i="2"/>
  <c r="B413" i="2"/>
  <c r="A413" i="2"/>
  <c r="O412" i="2"/>
  <c r="O411" i="2"/>
  <c r="M411" i="2"/>
  <c r="L411" i="2"/>
  <c r="E411" i="2"/>
  <c r="D411" i="2"/>
  <c r="B411" i="2"/>
  <c r="A411" i="2"/>
  <c r="O410" i="2"/>
  <c r="M410" i="2"/>
  <c r="L410" i="2"/>
  <c r="E410" i="2"/>
  <c r="D410" i="2"/>
  <c r="B410" i="2"/>
  <c r="A410" i="2"/>
  <c r="O409" i="2"/>
  <c r="M409" i="2"/>
  <c r="L409" i="2"/>
  <c r="E409" i="2"/>
  <c r="D409" i="2"/>
  <c r="B409" i="2"/>
  <c r="A409" i="2"/>
  <c r="O408" i="2"/>
  <c r="O407" i="2"/>
  <c r="O406" i="2"/>
  <c r="O405" i="2"/>
  <c r="M405" i="2"/>
  <c r="L405" i="2"/>
  <c r="E405" i="2"/>
  <c r="D405" i="2"/>
  <c r="B405" i="2"/>
  <c r="A405" i="2"/>
  <c r="O404" i="2"/>
  <c r="O403" i="2"/>
  <c r="O402" i="2"/>
  <c r="O401" i="2"/>
  <c r="O400" i="2"/>
  <c r="O399" i="2"/>
  <c r="M399" i="2"/>
  <c r="L399" i="2"/>
  <c r="E399" i="2"/>
  <c r="D399" i="2"/>
  <c r="B399" i="2"/>
  <c r="A399" i="2"/>
  <c r="O398" i="2"/>
  <c r="O397" i="2"/>
  <c r="M397" i="2"/>
  <c r="L397" i="2"/>
  <c r="E397" i="2"/>
  <c r="D397" i="2"/>
  <c r="B397" i="2"/>
  <c r="A397" i="2"/>
  <c r="O396" i="2"/>
  <c r="M396" i="2"/>
  <c r="L396" i="2"/>
  <c r="E396" i="2"/>
  <c r="D396" i="2"/>
  <c r="B396" i="2"/>
  <c r="A396" i="2"/>
  <c r="O395" i="2"/>
  <c r="M395" i="2"/>
  <c r="L395" i="2"/>
  <c r="E395" i="2"/>
  <c r="D395" i="2"/>
  <c r="B395" i="2"/>
  <c r="A395" i="2"/>
  <c r="O394" i="2"/>
  <c r="O393" i="2"/>
  <c r="O392" i="2"/>
  <c r="M392" i="2"/>
  <c r="L392" i="2"/>
  <c r="E392" i="2"/>
  <c r="D392" i="2"/>
  <c r="B392" i="2"/>
  <c r="A392" i="2"/>
  <c r="O391" i="2"/>
  <c r="M391" i="2"/>
  <c r="L391" i="2"/>
  <c r="E391" i="2"/>
  <c r="D391" i="2"/>
  <c r="B391" i="2"/>
  <c r="A391" i="2"/>
  <c r="O390" i="2"/>
  <c r="M390" i="2"/>
  <c r="L390" i="2"/>
  <c r="E390" i="2"/>
  <c r="D390" i="2"/>
  <c r="B390" i="2"/>
  <c r="A390" i="2"/>
  <c r="O389" i="2"/>
  <c r="O388" i="2"/>
  <c r="M388" i="2"/>
  <c r="L388" i="2"/>
  <c r="E388" i="2"/>
  <c r="D388" i="2"/>
  <c r="B388" i="2"/>
  <c r="A388" i="2"/>
  <c r="O387" i="2"/>
  <c r="O386" i="2"/>
  <c r="O385" i="2"/>
  <c r="M385" i="2"/>
  <c r="L385" i="2"/>
  <c r="E385" i="2"/>
  <c r="D385" i="2"/>
  <c r="B385" i="2"/>
  <c r="A385" i="2"/>
  <c r="O384" i="2"/>
  <c r="O383" i="2"/>
  <c r="M383" i="2"/>
  <c r="L383" i="2"/>
  <c r="E383" i="2"/>
  <c r="D383" i="2"/>
  <c r="B383" i="2"/>
  <c r="A383" i="2"/>
  <c r="O382" i="2"/>
  <c r="O381" i="2"/>
  <c r="O380" i="2"/>
  <c r="M380" i="2"/>
  <c r="L380" i="2"/>
  <c r="E380" i="2"/>
  <c r="D380" i="2"/>
  <c r="B380" i="2"/>
  <c r="A380" i="2"/>
  <c r="O379" i="2"/>
  <c r="M379" i="2"/>
  <c r="L379" i="2"/>
  <c r="E379" i="2"/>
  <c r="D379" i="2"/>
  <c r="B379" i="2"/>
  <c r="A379" i="2"/>
  <c r="O378" i="2"/>
  <c r="O377" i="2"/>
  <c r="O376" i="2"/>
  <c r="O375" i="2"/>
  <c r="O374" i="2"/>
  <c r="O373" i="2"/>
  <c r="O372" i="2"/>
  <c r="O371" i="2"/>
  <c r="O370" i="2"/>
  <c r="O369" i="2"/>
  <c r="O368" i="2"/>
  <c r="M368" i="2"/>
  <c r="L368" i="2"/>
  <c r="E368" i="2"/>
  <c r="D368" i="2"/>
  <c r="B368" i="2"/>
  <c r="A368" i="2"/>
  <c r="O367" i="2"/>
  <c r="M367" i="2"/>
  <c r="L367" i="2"/>
  <c r="E367" i="2"/>
  <c r="D367" i="2"/>
  <c r="B367" i="2"/>
  <c r="A367" i="2"/>
  <c r="O366" i="2"/>
  <c r="M366" i="2"/>
  <c r="L366" i="2"/>
  <c r="E366" i="2"/>
  <c r="D366" i="2"/>
  <c r="B366" i="2"/>
  <c r="A366" i="2"/>
  <c r="O365" i="2"/>
  <c r="O364" i="2"/>
  <c r="M364" i="2"/>
  <c r="L364" i="2"/>
  <c r="E364" i="2"/>
  <c r="D364" i="2"/>
  <c r="B364" i="2"/>
  <c r="A364" i="2"/>
  <c r="O363" i="2"/>
  <c r="O362" i="2"/>
  <c r="O361" i="2"/>
  <c r="O360" i="2"/>
  <c r="O359" i="2"/>
  <c r="O358" i="2"/>
  <c r="O357" i="2"/>
  <c r="M357" i="2"/>
  <c r="L357" i="2"/>
  <c r="E357" i="2"/>
  <c r="D357" i="2"/>
  <c r="B357" i="2"/>
  <c r="A357" i="2"/>
  <c r="O356" i="2"/>
  <c r="M356" i="2"/>
  <c r="L356" i="2"/>
  <c r="E356" i="2"/>
  <c r="D356" i="2"/>
  <c r="B356" i="2"/>
  <c r="A356" i="2"/>
  <c r="O355" i="2"/>
  <c r="M355" i="2"/>
  <c r="L355" i="2"/>
  <c r="E355" i="2"/>
  <c r="D355" i="2"/>
  <c r="B355" i="2"/>
  <c r="A355" i="2"/>
  <c r="O354" i="2"/>
  <c r="M354" i="2"/>
  <c r="L354" i="2"/>
  <c r="E354" i="2"/>
  <c r="D354" i="2"/>
  <c r="B354" i="2"/>
  <c r="A354" i="2"/>
  <c r="O353" i="2"/>
  <c r="O352" i="2"/>
  <c r="O351" i="2"/>
  <c r="O350" i="2"/>
  <c r="O349" i="2"/>
  <c r="M349" i="2"/>
  <c r="L349" i="2"/>
  <c r="E349" i="2"/>
  <c r="D349" i="2"/>
  <c r="B349" i="2"/>
  <c r="A349" i="2"/>
  <c r="O348" i="2"/>
  <c r="O347" i="2"/>
  <c r="M347" i="2"/>
  <c r="L347" i="2"/>
  <c r="E347" i="2"/>
  <c r="D347" i="2"/>
  <c r="B347" i="2"/>
  <c r="A347" i="2"/>
  <c r="O346" i="2"/>
  <c r="M346" i="2"/>
  <c r="L346" i="2"/>
  <c r="E346" i="2"/>
  <c r="D346" i="2"/>
  <c r="B346" i="2"/>
  <c r="A346" i="2"/>
  <c r="O345" i="2"/>
  <c r="O344" i="2"/>
  <c r="M344" i="2"/>
  <c r="L344" i="2"/>
  <c r="E344" i="2"/>
  <c r="D344" i="2"/>
  <c r="B344" i="2"/>
  <c r="A344" i="2"/>
  <c r="O343" i="2"/>
  <c r="M343" i="2"/>
  <c r="L343" i="2"/>
  <c r="E343" i="2"/>
  <c r="D343" i="2"/>
  <c r="B343" i="2"/>
  <c r="A343" i="2"/>
  <c r="O342" i="2"/>
  <c r="O341" i="2"/>
  <c r="M341" i="2"/>
  <c r="L341" i="2"/>
  <c r="E341" i="2"/>
  <c r="D341" i="2"/>
  <c r="B341" i="2"/>
  <c r="A341" i="2"/>
  <c r="O340" i="2"/>
  <c r="M340" i="2"/>
  <c r="L340" i="2"/>
  <c r="E340" i="2"/>
  <c r="D340" i="2"/>
  <c r="B340" i="2"/>
  <c r="A340" i="2"/>
  <c r="O339" i="2"/>
  <c r="O338" i="2"/>
  <c r="O337" i="2"/>
  <c r="O336" i="2"/>
  <c r="M336" i="2"/>
  <c r="L336" i="2"/>
  <c r="E336" i="2"/>
  <c r="D336" i="2"/>
  <c r="B336" i="2"/>
  <c r="A336" i="2"/>
  <c r="O335" i="2"/>
  <c r="M335" i="2"/>
  <c r="L335" i="2"/>
  <c r="E335" i="2"/>
  <c r="D335" i="2"/>
  <c r="B335" i="2"/>
  <c r="A335" i="2"/>
  <c r="O334" i="2"/>
  <c r="O333" i="2"/>
  <c r="M333" i="2"/>
  <c r="L333" i="2"/>
  <c r="E333" i="2"/>
  <c r="D333" i="2"/>
  <c r="B333" i="2"/>
  <c r="A333" i="2"/>
  <c r="O332" i="2"/>
  <c r="O331" i="2"/>
  <c r="O330" i="2"/>
  <c r="O329" i="2"/>
  <c r="M329" i="2"/>
  <c r="L329" i="2"/>
  <c r="E329" i="2"/>
  <c r="D329" i="2"/>
  <c r="B329" i="2"/>
  <c r="A329" i="2"/>
  <c r="O328" i="2"/>
  <c r="M328" i="2"/>
  <c r="L328" i="2"/>
  <c r="E328" i="2"/>
  <c r="D328" i="2"/>
  <c r="B328" i="2"/>
  <c r="A328" i="2"/>
  <c r="O327" i="2"/>
  <c r="M327" i="2"/>
  <c r="L327" i="2"/>
  <c r="E327" i="2"/>
  <c r="D327" i="2"/>
  <c r="B327" i="2"/>
  <c r="A327" i="2"/>
  <c r="O326" i="2"/>
  <c r="M326" i="2"/>
  <c r="L326" i="2"/>
  <c r="E326" i="2"/>
  <c r="D326" i="2"/>
  <c r="B326" i="2"/>
  <c r="A326" i="2"/>
  <c r="O325" i="2"/>
  <c r="O324" i="2"/>
  <c r="M324" i="2"/>
  <c r="L324" i="2"/>
  <c r="E324" i="2"/>
  <c r="D324" i="2"/>
  <c r="B324" i="2"/>
  <c r="A324" i="2"/>
  <c r="O323" i="2"/>
  <c r="M323" i="2"/>
  <c r="L323" i="2"/>
  <c r="E323" i="2"/>
  <c r="D323" i="2"/>
  <c r="B323" i="2"/>
  <c r="A323" i="2"/>
  <c r="O322" i="2"/>
  <c r="M322" i="2"/>
  <c r="L322" i="2"/>
  <c r="E322" i="2"/>
  <c r="D322" i="2"/>
  <c r="B322" i="2"/>
  <c r="A322" i="2"/>
  <c r="O321" i="2"/>
  <c r="O320" i="2"/>
  <c r="O319" i="2"/>
  <c r="O318" i="2"/>
  <c r="M318" i="2"/>
  <c r="L318" i="2"/>
  <c r="E318" i="2"/>
  <c r="D318" i="2"/>
  <c r="B318" i="2"/>
  <c r="A318" i="2"/>
  <c r="O317" i="2"/>
  <c r="O316" i="2"/>
  <c r="O315" i="2"/>
  <c r="M315" i="2"/>
  <c r="L315" i="2"/>
  <c r="E315" i="2"/>
  <c r="D315" i="2"/>
  <c r="B315" i="2"/>
  <c r="A315" i="2"/>
  <c r="O314" i="2"/>
  <c r="M314" i="2"/>
  <c r="L314" i="2"/>
  <c r="E314" i="2"/>
  <c r="D314" i="2"/>
  <c r="B314" i="2"/>
  <c r="A314" i="2"/>
  <c r="O313" i="2"/>
  <c r="M313" i="2"/>
  <c r="L313" i="2"/>
  <c r="E313" i="2"/>
  <c r="D313" i="2"/>
  <c r="B313" i="2"/>
  <c r="A313" i="2"/>
  <c r="O312" i="2"/>
  <c r="M312" i="2"/>
  <c r="L312" i="2"/>
  <c r="E312" i="2"/>
  <c r="D312" i="2"/>
  <c r="B312" i="2"/>
  <c r="A312" i="2"/>
  <c r="O311" i="2"/>
  <c r="O310" i="2"/>
  <c r="M310" i="2"/>
  <c r="L310" i="2"/>
  <c r="E310" i="2"/>
  <c r="D310" i="2"/>
  <c r="B310" i="2"/>
  <c r="A310" i="2"/>
  <c r="O309" i="2"/>
  <c r="O308" i="2"/>
  <c r="M308" i="2"/>
  <c r="L308" i="2"/>
  <c r="E308" i="2"/>
  <c r="D308" i="2"/>
  <c r="B308" i="2"/>
  <c r="A308" i="2"/>
  <c r="O307" i="2"/>
  <c r="O306" i="2"/>
  <c r="M306" i="2"/>
  <c r="L306" i="2"/>
  <c r="E306" i="2"/>
  <c r="D306" i="2"/>
  <c r="B306" i="2"/>
  <c r="A306" i="2"/>
  <c r="O305" i="2"/>
  <c r="O304" i="2"/>
  <c r="O303" i="2"/>
  <c r="O302" i="2"/>
  <c r="O301" i="2"/>
  <c r="O300" i="2"/>
  <c r="O299" i="2"/>
  <c r="O298" i="2"/>
  <c r="O297" i="2"/>
  <c r="O296" i="2"/>
  <c r="O295" i="2"/>
  <c r="O294" i="2"/>
  <c r="O293" i="2"/>
  <c r="O292" i="2"/>
  <c r="O291" i="2"/>
  <c r="O290" i="2"/>
  <c r="O289" i="2"/>
  <c r="O288" i="2"/>
  <c r="O287" i="2"/>
  <c r="O286" i="2"/>
  <c r="O285" i="2"/>
  <c r="O284" i="2"/>
  <c r="O283" i="2"/>
  <c r="O282" i="2"/>
  <c r="O281" i="2"/>
  <c r="M281" i="2"/>
  <c r="L281" i="2"/>
  <c r="E281" i="2"/>
  <c r="D281" i="2"/>
  <c r="B281" i="2"/>
  <c r="A281" i="2"/>
  <c r="O280" i="2"/>
  <c r="O279" i="2"/>
  <c r="M279" i="2"/>
  <c r="L279" i="2"/>
  <c r="E279" i="2"/>
  <c r="D279" i="2"/>
  <c r="B279" i="2"/>
  <c r="A279" i="2"/>
  <c r="O278" i="2"/>
  <c r="M278" i="2"/>
  <c r="L278" i="2"/>
  <c r="E278" i="2"/>
  <c r="D278" i="2"/>
  <c r="B278" i="2"/>
  <c r="A278" i="2"/>
  <c r="O277" i="2"/>
  <c r="O276" i="2"/>
  <c r="O275" i="2"/>
  <c r="M275" i="2"/>
  <c r="L275" i="2"/>
  <c r="E275" i="2"/>
  <c r="D275" i="2"/>
  <c r="B275" i="2"/>
  <c r="A275" i="2"/>
  <c r="O274" i="2"/>
  <c r="M274" i="2"/>
  <c r="L274" i="2"/>
  <c r="E274" i="2"/>
  <c r="D274" i="2"/>
  <c r="B274" i="2"/>
  <c r="A274" i="2"/>
  <c r="O273" i="2"/>
  <c r="M273" i="2"/>
  <c r="L273" i="2"/>
  <c r="E273" i="2"/>
  <c r="D273" i="2"/>
  <c r="B273" i="2"/>
  <c r="A273" i="2"/>
  <c r="O272" i="2"/>
  <c r="M272" i="2"/>
  <c r="L272" i="2"/>
  <c r="E272" i="2"/>
  <c r="D272" i="2"/>
  <c r="B272" i="2"/>
  <c r="A272" i="2"/>
  <c r="O271" i="2"/>
  <c r="M271" i="2"/>
  <c r="L271" i="2"/>
  <c r="E271" i="2"/>
  <c r="D271" i="2"/>
  <c r="B271" i="2"/>
  <c r="A271" i="2"/>
  <c r="O270" i="2"/>
  <c r="M270" i="2"/>
  <c r="L270" i="2"/>
  <c r="E270" i="2"/>
  <c r="D270" i="2"/>
  <c r="B270" i="2"/>
  <c r="A270" i="2"/>
  <c r="O269" i="2"/>
  <c r="M269" i="2"/>
  <c r="L269" i="2"/>
  <c r="E269" i="2"/>
  <c r="D269" i="2"/>
  <c r="B269" i="2"/>
  <c r="A269" i="2"/>
  <c r="O268" i="2"/>
  <c r="O267" i="2"/>
  <c r="M267" i="2"/>
  <c r="L267" i="2"/>
  <c r="E267" i="2"/>
  <c r="D267" i="2"/>
  <c r="B267" i="2"/>
  <c r="A267" i="2"/>
  <c r="O266" i="2"/>
  <c r="M266" i="2"/>
  <c r="L266" i="2"/>
  <c r="E266" i="2"/>
  <c r="D266" i="2"/>
  <c r="B266" i="2"/>
  <c r="A266" i="2"/>
  <c r="O265" i="2"/>
  <c r="M265" i="2"/>
  <c r="L265" i="2"/>
  <c r="E265" i="2"/>
  <c r="D265" i="2"/>
  <c r="B265" i="2"/>
  <c r="A265" i="2"/>
  <c r="O264" i="2"/>
  <c r="O263" i="2"/>
  <c r="M263" i="2"/>
  <c r="L263" i="2"/>
  <c r="E263" i="2"/>
  <c r="D263" i="2"/>
  <c r="B263" i="2"/>
  <c r="A263" i="2"/>
  <c r="O262" i="2"/>
  <c r="O261" i="2"/>
  <c r="M261" i="2"/>
  <c r="L261" i="2"/>
  <c r="E261" i="2"/>
  <c r="D261" i="2"/>
  <c r="B261" i="2"/>
  <c r="A261" i="2"/>
  <c r="O260" i="2"/>
  <c r="M260" i="2"/>
  <c r="L260" i="2"/>
  <c r="E260" i="2"/>
  <c r="D260" i="2"/>
  <c r="B260" i="2"/>
  <c r="A260" i="2"/>
  <c r="O259" i="2"/>
  <c r="M259" i="2"/>
  <c r="L259" i="2"/>
  <c r="E259" i="2"/>
  <c r="D259" i="2"/>
  <c r="B259" i="2"/>
  <c r="A259" i="2"/>
  <c r="O258" i="2"/>
  <c r="O257" i="2"/>
  <c r="M257" i="2"/>
  <c r="L257" i="2"/>
  <c r="E257" i="2"/>
  <c r="D257" i="2"/>
  <c r="B257" i="2"/>
  <c r="A257" i="2"/>
  <c r="O256" i="2"/>
  <c r="O255" i="2"/>
  <c r="M255" i="2"/>
  <c r="L255" i="2"/>
  <c r="E255" i="2"/>
  <c r="D255" i="2"/>
  <c r="B255" i="2"/>
  <c r="A255" i="2"/>
  <c r="O254" i="2"/>
  <c r="M254" i="2"/>
  <c r="L254" i="2"/>
  <c r="E254" i="2"/>
  <c r="D254" i="2"/>
  <c r="B254" i="2"/>
  <c r="A254" i="2"/>
  <c r="O253" i="2"/>
  <c r="O252" i="2"/>
  <c r="M252" i="2"/>
  <c r="L252" i="2"/>
  <c r="E252" i="2"/>
  <c r="D252" i="2"/>
  <c r="B252" i="2"/>
  <c r="A252" i="2"/>
  <c r="O251" i="2"/>
  <c r="O250" i="2"/>
  <c r="O249" i="2"/>
  <c r="O248" i="2"/>
  <c r="O247" i="2"/>
  <c r="O246" i="2"/>
  <c r="O245" i="2"/>
  <c r="O244" i="2"/>
  <c r="M244" i="2"/>
  <c r="L244" i="2"/>
  <c r="E244" i="2"/>
  <c r="D244" i="2"/>
  <c r="B244" i="2"/>
  <c r="A244" i="2"/>
  <c r="O243" i="2"/>
  <c r="M243" i="2"/>
  <c r="L243" i="2"/>
  <c r="E243" i="2"/>
  <c r="D243" i="2"/>
  <c r="B243" i="2"/>
  <c r="A243" i="2"/>
  <c r="O242" i="2"/>
  <c r="O241" i="2"/>
  <c r="O240" i="2"/>
  <c r="O239" i="2"/>
  <c r="M239" i="2"/>
  <c r="L239" i="2"/>
  <c r="E239" i="2"/>
  <c r="D239" i="2"/>
  <c r="B239" i="2"/>
  <c r="A239" i="2"/>
  <c r="O238" i="2"/>
  <c r="M238" i="2"/>
  <c r="L238" i="2"/>
  <c r="E238" i="2"/>
  <c r="D238" i="2"/>
  <c r="B238" i="2"/>
  <c r="A238" i="2"/>
  <c r="O237" i="2"/>
  <c r="M237" i="2"/>
  <c r="L237" i="2"/>
  <c r="E237" i="2"/>
  <c r="D237" i="2"/>
  <c r="B237" i="2"/>
  <c r="A237" i="2"/>
  <c r="O236" i="2"/>
  <c r="O235" i="2"/>
  <c r="O234" i="2"/>
  <c r="O233" i="2"/>
  <c r="O232" i="2"/>
  <c r="M232" i="2"/>
  <c r="L232" i="2"/>
  <c r="E232" i="2"/>
  <c r="D232" i="2"/>
  <c r="B232" i="2"/>
  <c r="A232" i="2"/>
  <c r="O231" i="2"/>
  <c r="M231" i="2"/>
  <c r="L231" i="2"/>
  <c r="E231" i="2"/>
  <c r="D231" i="2"/>
  <c r="B231" i="2"/>
  <c r="A231" i="2"/>
  <c r="O230" i="2"/>
  <c r="O229" i="2"/>
  <c r="M229" i="2"/>
  <c r="L229" i="2"/>
  <c r="E229" i="2"/>
  <c r="D229" i="2"/>
  <c r="B229" i="2"/>
  <c r="A229" i="2"/>
  <c r="O228" i="2"/>
  <c r="M228" i="2"/>
  <c r="L228" i="2"/>
  <c r="E228" i="2"/>
  <c r="D228" i="2"/>
  <c r="B228" i="2"/>
  <c r="A228" i="2"/>
  <c r="O227" i="2"/>
  <c r="O226" i="2"/>
  <c r="M226" i="2"/>
  <c r="L226" i="2"/>
  <c r="E226" i="2"/>
  <c r="D226" i="2"/>
  <c r="B226" i="2"/>
  <c r="A226" i="2"/>
  <c r="O225" i="2"/>
  <c r="O224" i="2"/>
  <c r="O223" i="2"/>
  <c r="M223" i="2"/>
  <c r="L223" i="2"/>
  <c r="E223" i="2"/>
  <c r="D223" i="2"/>
  <c r="B223" i="2"/>
  <c r="A223" i="2"/>
  <c r="O222" i="2"/>
  <c r="M222" i="2"/>
  <c r="L222" i="2"/>
  <c r="E222" i="2"/>
  <c r="D222" i="2"/>
  <c r="B222" i="2"/>
  <c r="A222" i="2"/>
  <c r="O221" i="2"/>
  <c r="M221" i="2"/>
  <c r="L221" i="2"/>
  <c r="E221" i="2"/>
  <c r="D221" i="2"/>
  <c r="B221" i="2"/>
  <c r="A221" i="2"/>
  <c r="O220" i="2"/>
  <c r="M220" i="2"/>
  <c r="L220" i="2"/>
  <c r="E220" i="2"/>
  <c r="D220" i="2"/>
  <c r="B220" i="2"/>
  <c r="A220" i="2"/>
  <c r="O219" i="2"/>
  <c r="O218" i="2"/>
  <c r="M218" i="2"/>
  <c r="L218" i="2"/>
  <c r="E218" i="2"/>
  <c r="D218" i="2"/>
  <c r="B218" i="2"/>
  <c r="A218" i="2"/>
  <c r="O217" i="2"/>
  <c r="M217" i="2"/>
  <c r="L217" i="2"/>
  <c r="E217" i="2"/>
  <c r="D217" i="2"/>
  <c r="B217" i="2"/>
  <c r="A217" i="2"/>
  <c r="O216" i="2"/>
  <c r="O215" i="2"/>
  <c r="O214" i="2"/>
  <c r="O213" i="2"/>
  <c r="O212" i="2"/>
  <c r="O211" i="2"/>
  <c r="M211" i="2"/>
  <c r="L211" i="2"/>
  <c r="E211" i="2"/>
  <c r="D211" i="2"/>
  <c r="B211" i="2"/>
  <c r="A211" i="2"/>
  <c r="O210" i="2"/>
  <c r="M210" i="2"/>
  <c r="L210" i="2"/>
  <c r="E210" i="2"/>
  <c r="D210" i="2"/>
  <c r="B210" i="2"/>
  <c r="A210" i="2"/>
  <c r="O209" i="2"/>
  <c r="O208" i="2"/>
  <c r="O207" i="2"/>
  <c r="M207" i="2"/>
  <c r="L207" i="2"/>
  <c r="E207" i="2"/>
  <c r="D207" i="2"/>
  <c r="B207" i="2"/>
  <c r="A207" i="2"/>
  <c r="O206" i="2"/>
  <c r="M206" i="2"/>
  <c r="L206" i="2"/>
  <c r="E206" i="2"/>
  <c r="D206" i="2"/>
  <c r="B206" i="2"/>
  <c r="A206" i="2"/>
  <c r="O205" i="2"/>
  <c r="O204" i="2"/>
  <c r="O203" i="2"/>
  <c r="O202" i="2"/>
  <c r="O201" i="2"/>
  <c r="M201" i="2"/>
  <c r="L201" i="2"/>
  <c r="E201" i="2"/>
  <c r="D201" i="2"/>
  <c r="B201" i="2"/>
  <c r="A201" i="2"/>
  <c r="O200" i="2"/>
  <c r="M200" i="2"/>
  <c r="L200" i="2"/>
  <c r="E200" i="2"/>
  <c r="D200" i="2"/>
  <c r="B200" i="2"/>
  <c r="A200" i="2"/>
  <c r="O199" i="2"/>
  <c r="M199" i="2"/>
  <c r="L199" i="2"/>
  <c r="E199" i="2"/>
  <c r="D199" i="2"/>
  <c r="B199" i="2"/>
  <c r="A199" i="2"/>
  <c r="O198" i="2"/>
  <c r="O197" i="2"/>
  <c r="M197" i="2"/>
  <c r="L197" i="2"/>
  <c r="E197" i="2"/>
  <c r="D197" i="2"/>
  <c r="B197" i="2"/>
  <c r="A197" i="2"/>
  <c r="O196" i="2"/>
  <c r="M196" i="2"/>
  <c r="L196" i="2"/>
  <c r="E196" i="2"/>
  <c r="D196" i="2"/>
  <c r="B196" i="2"/>
  <c r="A196" i="2"/>
  <c r="O195" i="2"/>
  <c r="O194" i="2"/>
  <c r="O193" i="2"/>
  <c r="O192" i="2"/>
  <c r="M192" i="2"/>
  <c r="L192" i="2"/>
  <c r="E192" i="2"/>
  <c r="D192" i="2"/>
  <c r="B192" i="2"/>
  <c r="A192" i="2"/>
  <c r="O191" i="2"/>
  <c r="O190" i="2"/>
  <c r="M190" i="2"/>
  <c r="L190" i="2"/>
  <c r="E190" i="2"/>
  <c r="D190" i="2"/>
  <c r="B190" i="2"/>
  <c r="A190" i="2"/>
  <c r="O189" i="2"/>
  <c r="M189" i="2"/>
  <c r="L189" i="2"/>
  <c r="E189" i="2"/>
  <c r="D189" i="2"/>
  <c r="B189" i="2"/>
  <c r="A189" i="2"/>
  <c r="O188" i="2"/>
  <c r="M188" i="2"/>
  <c r="L188" i="2"/>
  <c r="E188" i="2"/>
  <c r="D188" i="2"/>
  <c r="B188" i="2"/>
  <c r="A188" i="2"/>
  <c r="O187" i="2"/>
  <c r="M187" i="2"/>
  <c r="L187" i="2"/>
  <c r="E187" i="2"/>
  <c r="D187" i="2"/>
  <c r="B187" i="2"/>
  <c r="A187" i="2"/>
  <c r="O186" i="2"/>
  <c r="M186" i="2"/>
  <c r="L186" i="2"/>
  <c r="E186" i="2"/>
  <c r="D186" i="2"/>
  <c r="B186" i="2"/>
  <c r="A186" i="2"/>
  <c r="O185" i="2"/>
  <c r="O184" i="2"/>
  <c r="M184" i="2"/>
  <c r="L184" i="2"/>
  <c r="E184" i="2"/>
  <c r="D184" i="2"/>
  <c r="B184" i="2"/>
  <c r="A184" i="2"/>
  <c r="O183" i="2"/>
  <c r="M183" i="2"/>
  <c r="L183" i="2"/>
  <c r="E183" i="2"/>
  <c r="D183" i="2"/>
  <c r="B183" i="2"/>
  <c r="A183" i="2"/>
  <c r="O182" i="2"/>
  <c r="M182" i="2"/>
  <c r="L182" i="2"/>
  <c r="E182" i="2"/>
  <c r="D182" i="2"/>
  <c r="B182" i="2"/>
  <c r="A182" i="2"/>
  <c r="O181" i="2"/>
  <c r="O180" i="2"/>
  <c r="O179" i="2"/>
  <c r="M179" i="2"/>
  <c r="L179" i="2"/>
  <c r="E179" i="2"/>
  <c r="D179" i="2"/>
  <c r="B179" i="2"/>
  <c r="A179" i="2"/>
  <c r="O178" i="2"/>
  <c r="O177" i="2"/>
  <c r="O176" i="2"/>
  <c r="O175" i="2"/>
  <c r="O174" i="2"/>
  <c r="O173" i="2"/>
  <c r="M173" i="2"/>
  <c r="L173" i="2"/>
  <c r="E173" i="2"/>
  <c r="D173" i="2"/>
  <c r="B173" i="2"/>
  <c r="A173" i="2"/>
  <c r="O172" i="2"/>
  <c r="O171" i="2"/>
  <c r="M171" i="2"/>
  <c r="L171" i="2"/>
  <c r="E171" i="2"/>
  <c r="D171" i="2"/>
  <c r="B171" i="2"/>
  <c r="A171" i="2"/>
  <c r="O170" i="2"/>
  <c r="M170" i="2"/>
  <c r="L170" i="2"/>
  <c r="E170" i="2"/>
  <c r="D170" i="2"/>
  <c r="B170" i="2"/>
  <c r="A170" i="2"/>
  <c r="O169" i="2"/>
  <c r="O168" i="2"/>
  <c r="O167" i="2"/>
  <c r="M167" i="2"/>
  <c r="L167" i="2"/>
  <c r="E167" i="2"/>
  <c r="D167" i="2"/>
  <c r="B167" i="2"/>
  <c r="A167" i="2"/>
  <c r="O166" i="2"/>
  <c r="M166" i="2"/>
  <c r="L166" i="2"/>
  <c r="E166" i="2"/>
  <c r="D166" i="2"/>
  <c r="B166" i="2"/>
  <c r="A166" i="2"/>
  <c r="O165" i="2"/>
  <c r="M165" i="2"/>
  <c r="L165" i="2"/>
  <c r="E165" i="2"/>
  <c r="D165" i="2"/>
  <c r="B165" i="2"/>
  <c r="A165" i="2"/>
  <c r="O164" i="2"/>
  <c r="M164" i="2"/>
  <c r="L164" i="2"/>
  <c r="E164" i="2"/>
  <c r="D164" i="2"/>
  <c r="B164" i="2"/>
  <c r="A164" i="2"/>
  <c r="O163" i="2"/>
  <c r="O162" i="2"/>
  <c r="M162" i="2"/>
  <c r="L162" i="2"/>
  <c r="E162" i="2"/>
  <c r="D162" i="2"/>
  <c r="B162" i="2"/>
  <c r="A162" i="2"/>
  <c r="O161" i="2"/>
  <c r="M161" i="2"/>
  <c r="L161" i="2"/>
  <c r="E161" i="2"/>
  <c r="D161" i="2"/>
  <c r="B161" i="2"/>
  <c r="A161" i="2"/>
  <c r="O160" i="2"/>
  <c r="M160" i="2"/>
  <c r="L160" i="2"/>
  <c r="E160" i="2"/>
  <c r="D160" i="2"/>
  <c r="B160" i="2"/>
  <c r="A160" i="2"/>
  <c r="O159" i="2"/>
  <c r="M159" i="2"/>
  <c r="L159" i="2"/>
  <c r="E159" i="2"/>
  <c r="D159" i="2"/>
  <c r="B159" i="2"/>
  <c r="A159" i="2"/>
  <c r="O158" i="2"/>
  <c r="O157" i="2"/>
  <c r="O156" i="2"/>
  <c r="O155" i="2"/>
  <c r="M155" i="2"/>
  <c r="L155" i="2"/>
  <c r="E155" i="2"/>
  <c r="D155" i="2"/>
  <c r="B155" i="2"/>
  <c r="A155" i="2"/>
  <c r="O154" i="2"/>
  <c r="O153" i="2"/>
  <c r="M153" i="2"/>
  <c r="L153" i="2"/>
  <c r="E153" i="2"/>
  <c r="D153" i="2"/>
  <c r="B153" i="2"/>
  <c r="A153" i="2"/>
  <c r="O152" i="2"/>
  <c r="O151" i="2"/>
  <c r="M151" i="2"/>
  <c r="L151" i="2"/>
  <c r="E151" i="2"/>
  <c r="D151" i="2"/>
  <c r="B151" i="2"/>
  <c r="A151" i="2"/>
  <c r="O150" i="2"/>
  <c r="M150" i="2"/>
  <c r="L150" i="2"/>
  <c r="E150" i="2"/>
  <c r="D150" i="2"/>
  <c r="B150" i="2"/>
  <c r="A150" i="2"/>
  <c r="O149" i="2"/>
  <c r="M149" i="2"/>
  <c r="L149" i="2"/>
  <c r="E149" i="2"/>
  <c r="D149" i="2"/>
  <c r="B149" i="2"/>
  <c r="A149" i="2"/>
  <c r="O148" i="2"/>
  <c r="O147" i="2"/>
  <c r="M147" i="2"/>
  <c r="L147" i="2"/>
  <c r="E147" i="2"/>
  <c r="D147" i="2"/>
  <c r="B147" i="2"/>
  <c r="A147" i="2"/>
  <c r="O146" i="2"/>
  <c r="M146" i="2"/>
  <c r="L146" i="2"/>
  <c r="E146" i="2"/>
  <c r="D146" i="2"/>
  <c r="B146" i="2"/>
  <c r="A146" i="2"/>
  <c r="O145" i="2"/>
  <c r="M145" i="2"/>
  <c r="L145" i="2"/>
  <c r="E145" i="2"/>
  <c r="D145" i="2"/>
  <c r="B145" i="2"/>
  <c r="A145" i="2"/>
  <c r="O144" i="2"/>
  <c r="M144" i="2"/>
  <c r="L144" i="2"/>
  <c r="E144" i="2"/>
  <c r="D144" i="2"/>
  <c r="B144" i="2"/>
  <c r="A144" i="2"/>
  <c r="O143" i="2"/>
  <c r="O142" i="2"/>
  <c r="M142" i="2"/>
  <c r="L142" i="2"/>
  <c r="E142" i="2"/>
  <c r="D142" i="2"/>
  <c r="B142" i="2"/>
  <c r="A142" i="2"/>
  <c r="O141" i="2"/>
  <c r="O140" i="2"/>
  <c r="O139" i="2"/>
  <c r="O138" i="2"/>
  <c r="O137" i="2"/>
  <c r="M137" i="2"/>
  <c r="L137" i="2"/>
  <c r="E137" i="2"/>
  <c r="D137" i="2"/>
  <c r="B137" i="2"/>
  <c r="A137" i="2"/>
  <c r="O136" i="2"/>
  <c r="O135" i="2"/>
  <c r="O134" i="2"/>
  <c r="O133" i="2"/>
  <c r="O132" i="2"/>
  <c r="O131" i="2"/>
  <c r="O130" i="2"/>
  <c r="O129" i="2"/>
  <c r="O128" i="2"/>
  <c r="O127" i="2"/>
  <c r="O126" i="2"/>
  <c r="O125" i="2"/>
  <c r="O124" i="2"/>
  <c r="M124" i="2"/>
  <c r="L124" i="2"/>
  <c r="E124" i="2"/>
  <c r="D124" i="2"/>
  <c r="B124" i="2"/>
  <c r="A124" i="2"/>
  <c r="O123" i="2"/>
  <c r="O122" i="2"/>
  <c r="M122" i="2"/>
  <c r="L122" i="2"/>
  <c r="E122" i="2"/>
  <c r="D122" i="2"/>
  <c r="B122" i="2"/>
  <c r="A122" i="2"/>
  <c r="O121" i="2"/>
  <c r="O120" i="2"/>
  <c r="O119" i="2"/>
  <c r="O118" i="2"/>
  <c r="M118" i="2"/>
  <c r="L118" i="2"/>
  <c r="E118" i="2"/>
  <c r="D118" i="2"/>
  <c r="B118" i="2"/>
  <c r="A118" i="2"/>
  <c r="O117" i="2"/>
  <c r="O116" i="2"/>
  <c r="O115" i="2"/>
  <c r="M115" i="2"/>
  <c r="L115" i="2"/>
  <c r="E115" i="2"/>
  <c r="D115" i="2"/>
  <c r="B115" i="2"/>
  <c r="A115" i="2"/>
  <c r="O114" i="2"/>
  <c r="O113" i="2"/>
  <c r="O112" i="2"/>
  <c r="M112" i="2"/>
  <c r="L112" i="2"/>
  <c r="E112" i="2"/>
  <c r="D112" i="2"/>
  <c r="B112" i="2"/>
  <c r="A112" i="2"/>
  <c r="O111" i="2"/>
  <c r="M111" i="2"/>
  <c r="L111" i="2"/>
  <c r="E111" i="2"/>
  <c r="D111" i="2"/>
  <c r="B111" i="2"/>
  <c r="A111" i="2"/>
  <c r="O110" i="2"/>
  <c r="M110" i="2"/>
  <c r="L110" i="2"/>
  <c r="E110" i="2"/>
  <c r="D110" i="2"/>
  <c r="B110" i="2"/>
  <c r="A110" i="2"/>
  <c r="O109" i="2"/>
  <c r="M109" i="2"/>
  <c r="L109" i="2"/>
  <c r="E109" i="2"/>
  <c r="D109" i="2"/>
  <c r="B109" i="2"/>
  <c r="A109" i="2"/>
  <c r="O108" i="2"/>
  <c r="O107" i="2"/>
  <c r="M107" i="2"/>
  <c r="L107" i="2"/>
  <c r="E107" i="2"/>
  <c r="D107" i="2"/>
  <c r="B107" i="2"/>
  <c r="A107" i="2"/>
  <c r="O106" i="2"/>
  <c r="M106" i="2"/>
  <c r="L106" i="2"/>
  <c r="E106" i="2"/>
  <c r="D106" i="2"/>
  <c r="B106" i="2"/>
  <c r="A106" i="2"/>
  <c r="O105" i="2"/>
  <c r="O104" i="2"/>
  <c r="M104" i="2"/>
  <c r="L104" i="2"/>
  <c r="E104" i="2"/>
  <c r="D104" i="2"/>
  <c r="B104" i="2"/>
  <c r="A104" i="2"/>
  <c r="O103" i="2"/>
  <c r="O102" i="2"/>
  <c r="M102" i="2"/>
  <c r="L102" i="2"/>
  <c r="E102" i="2"/>
  <c r="D102" i="2"/>
  <c r="B102" i="2"/>
  <c r="A102" i="2"/>
  <c r="O101" i="2"/>
  <c r="M101" i="2"/>
  <c r="L101" i="2"/>
  <c r="E101" i="2"/>
  <c r="D101" i="2"/>
  <c r="B101" i="2"/>
  <c r="A101" i="2"/>
  <c r="O100" i="2"/>
  <c r="O99" i="2"/>
  <c r="O98" i="2"/>
  <c r="M98" i="2"/>
  <c r="L98" i="2"/>
  <c r="E98" i="2"/>
  <c r="D98" i="2"/>
  <c r="B98" i="2"/>
  <c r="A98" i="2"/>
  <c r="O97" i="2"/>
  <c r="M97" i="2"/>
  <c r="L97" i="2"/>
  <c r="E97" i="2"/>
  <c r="D97" i="2"/>
  <c r="B97" i="2"/>
  <c r="A97" i="2"/>
  <c r="O96" i="2"/>
  <c r="M96" i="2"/>
  <c r="L96" i="2"/>
  <c r="E96" i="2"/>
  <c r="D96" i="2"/>
  <c r="B96" i="2"/>
  <c r="A96" i="2"/>
  <c r="O95" i="2"/>
  <c r="M95" i="2"/>
  <c r="L95" i="2"/>
  <c r="E95" i="2"/>
  <c r="D95" i="2"/>
  <c r="B95" i="2"/>
  <c r="A95" i="2"/>
  <c r="O94" i="2"/>
  <c r="M94" i="2"/>
  <c r="L94" i="2"/>
  <c r="E94" i="2"/>
  <c r="D94" i="2"/>
  <c r="B94" i="2"/>
  <c r="A94" i="2"/>
  <c r="O93" i="2"/>
  <c r="M93" i="2"/>
  <c r="L93" i="2"/>
  <c r="E93" i="2"/>
  <c r="D93" i="2"/>
  <c r="B93" i="2"/>
  <c r="A93" i="2"/>
  <c r="O92" i="2"/>
  <c r="M92" i="2"/>
  <c r="L92" i="2"/>
  <c r="E92" i="2"/>
  <c r="D92" i="2"/>
  <c r="B92" i="2"/>
  <c r="A92" i="2"/>
  <c r="O91" i="2"/>
  <c r="O90" i="2"/>
  <c r="O89" i="2"/>
  <c r="M89" i="2"/>
  <c r="L89" i="2"/>
  <c r="E89" i="2"/>
  <c r="D89" i="2"/>
  <c r="B89" i="2"/>
  <c r="A89" i="2"/>
  <c r="O88" i="2"/>
  <c r="O87" i="2"/>
  <c r="M87" i="2"/>
  <c r="L87" i="2"/>
  <c r="E87" i="2"/>
  <c r="D87" i="2"/>
  <c r="B87" i="2"/>
  <c r="A87" i="2"/>
  <c r="O86" i="2"/>
  <c r="M86" i="2"/>
  <c r="L86" i="2"/>
  <c r="E86" i="2"/>
  <c r="D86" i="2"/>
  <c r="B86" i="2"/>
  <c r="A86" i="2"/>
  <c r="O85" i="2"/>
  <c r="O84" i="2"/>
  <c r="O83" i="2"/>
  <c r="M83" i="2"/>
  <c r="L83" i="2"/>
  <c r="E83" i="2"/>
  <c r="D83" i="2"/>
  <c r="B83" i="2"/>
  <c r="A83" i="2"/>
  <c r="O82" i="2"/>
  <c r="M82" i="2"/>
  <c r="L82" i="2"/>
  <c r="E82" i="2"/>
  <c r="D82" i="2"/>
  <c r="B82" i="2"/>
  <c r="A82" i="2"/>
  <c r="O81" i="2"/>
  <c r="M81" i="2"/>
  <c r="L81" i="2"/>
  <c r="E81" i="2"/>
  <c r="D81" i="2"/>
  <c r="B81" i="2"/>
  <c r="A81" i="2"/>
  <c r="O80" i="2"/>
  <c r="O79" i="2"/>
  <c r="M79" i="2"/>
  <c r="L79" i="2"/>
  <c r="E79" i="2"/>
  <c r="D79" i="2"/>
  <c r="B79" i="2"/>
  <c r="A79" i="2"/>
  <c r="O78" i="2"/>
  <c r="O77" i="2"/>
  <c r="O76" i="2"/>
  <c r="M76" i="2"/>
  <c r="L76" i="2"/>
  <c r="E76" i="2"/>
  <c r="D76" i="2"/>
  <c r="B76" i="2"/>
  <c r="A76" i="2"/>
  <c r="O75" i="2"/>
  <c r="O74" i="2"/>
  <c r="M74" i="2"/>
  <c r="L74" i="2"/>
  <c r="E74" i="2"/>
  <c r="D74" i="2"/>
  <c r="B74" i="2"/>
  <c r="A74" i="2"/>
  <c r="O73" i="2"/>
  <c r="M73" i="2"/>
  <c r="L73" i="2"/>
  <c r="E73" i="2"/>
  <c r="D73" i="2"/>
  <c r="B73" i="2"/>
  <c r="A73" i="2"/>
  <c r="O72" i="2"/>
  <c r="M72" i="2"/>
  <c r="L72" i="2"/>
  <c r="E72" i="2"/>
  <c r="D72" i="2"/>
  <c r="B72" i="2"/>
  <c r="A72" i="2"/>
  <c r="O71" i="2"/>
  <c r="M71" i="2"/>
  <c r="L71" i="2"/>
  <c r="E71" i="2"/>
  <c r="D71" i="2"/>
  <c r="B71" i="2"/>
  <c r="A71" i="2"/>
  <c r="O70" i="2"/>
  <c r="M70" i="2"/>
  <c r="L70" i="2"/>
  <c r="E70" i="2"/>
  <c r="D70" i="2"/>
  <c r="B70" i="2"/>
  <c r="A70" i="2"/>
  <c r="O69" i="2"/>
  <c r="M69" i="2"/>
  <c r="L69" i="2"/>
  <c r="E69" i="2"/>
  <c r="D69" i="2"/>
  <c r="B69" i="2"/>
  <c r="A69" i="2"/>
  <c r="O68" i="2"/>
  <c r="M68" i="2"/>
  <c r="L68" i="2"/>
  <c r="E68" i="2"/>
  <c r="D68" i="2"/>
  <c r="B68" i="2"/>
  <c r="A68" i="2"/>
  <c r="O67" i="2"/>
  <c r="O66" i="2"/>
  <c r="O65" i="2"/>
  <c r="M65" i="2"/>
  <c r="L65" i="2"/>
  <c r="E65" i="2"/>
  <c r="D65" i="2"/>
  <c r="B65" i="2"/>
  <c r="A65" i="2"/>
  <c r="O64" i="2"/>
  <c r="O63" i="2"/>
  <c r="M63" i="2"/>
  <c r="L63" i="2"/>
  <c r="E63" i="2"/>
  <c r="D63" i="2"/>
  <c r="B63" i="2"/>
  <c r="A63" i="2"/>
  <c r="O62" i="2"/>
  <c r="O61" i="2"/>
  <c r="O60" i="2"/>
  <c r="O59" i="2"/>
  <c r="M59" i="2"/>
  <c r="L59" i="2"/>
  <c r="E59" i="2"/>
  <c r="D59" i="2"/>
  <c r="B59" i="2"/>
  <c r="A59" i="2"/>
  <c r="O58" i="2"/>
  <c r="O57" i="2"/>
  <c r="O56" i="2"/>
  <c r="O55" i="2"/>
  <c r="M55" i="2"/>
  <c r="L55" i="2"/>
  <c r="E55" i="2"/>
  <c r="D55" i="2"/>
  <c r="B55" i="2"/>
  <c r="A55" i="2"/>
  <c r="O54" i="2"/>
  <c r="M54" i="2"/>
  <c r="L54" i="2"/>
  <c r="E54" i="2"/>
  <c r="D54" i="2"/>
  <c r="B54" i="2"/>
  <c r="A54" i="2"/>
  <c r="O53" i="2"/>
  <c r="M53" i="2"/>
  <c r="L53" i="2"/>
  <c r="E53" i="2"/>
  <c r="D53" i="2"/>
  <c r="B53" i="2"/>
  <c r="A53" i="2"/>
  <c r="O52" i="2"/>
  <c r="O51" i="2"/>
  <c r="O50" i="2"/>
  <c r="M50" i="2"/>
  <c r="L50" i="2"/>
  <c r="E50" i="2"/>
  <c r="D50" i="2"/>
  <c r="B50" i="2"/>
  <c r="A50" i="2"/>
  <c r="O49" i="2"/>
  <c r="M49" i="2"/>
  <c r="L49" i="2"/>
  <c r="E49" i="2"/>
  <c r="D49" i="2"/>
  <c r="B49" i="2"/>
  <c r="A49" i="2"/>
  <c r="O48" i="2"/>
  <c r="M48" i="2"/>
  <c r="L48" i="2"/>
  <c r="E48" i="2"/>
  <c r="D48" i="2"/>
  <c r="B48" i="2"/>
  <c r="A48" i="2"/>
  <c r="O47" i="2"/>
  <c r="O46" i="2"/>
  <c r="O45" i="2"/>
  <c r="M45" i="2"/>
  <c r="L45" i="2"/>
  <c r="E45" i="2"/>
  <c r="D45" i="2"/>
  <c r="B45" i="2"/>
  <c r="A45" i="2"/>
  <c r="O44" i="2"/>
  <c r="O43" i="2"/>
  <c r="O42" i="2"/>
  <c r="M42" i="2"/>
  <c r="L42" i="2"/>
  <c r="E42" i="2"/>
  <c r="D42" i="2"/>
  <c r="B42" i="2"/>
  <c r="A42" i="2"/>
  <c r="O41" i="2"/>
  <c r="O40" i="2"/>
  <c r="O39" i="2"/>
  <c r="O38" i="2"/>
  <c r="O37" i="2"/>
  <c r="O36" i="2"/>
  <c r="O35" i="2"/>
  <c r="O34" i="2"/>
  <c r="O33" i="2"/>
  <c r="O32" i="2"/>
  <c r="O31" i="2"/>
  <c r="O30" i="2"/>
  <c r="O29" i="2"/>
  <c r="O28" i="2"/>
  <c r="O27" i="2"/>
  <c r="O26" i="2"/>
  <c r="O25" i="2"/>
  <c r="O24" i="2"/>
  <c r="O23" i="2"/>
  <c r="O22" i="2"/>
  <c r="M22" i="2"/>
  <c r="L22" i="2"/>
  <c r="E22" i="2"/>
  <c r="D22" i="2"/>
  <c r="B22" i="2"/>
  <c r="A22" i="2"/>
  <c r="O21" i="2"/>
  <c r="M21" i="2"/>
  <c r="L21" i="2"/>
  <c r="E21" i="2"/>
  <c r="D21" i="2"/>
  <c r="B21" i="2"/>
  <c r="A21" i="2"/>
  <c r="O20" i="2"/>
  <c r="M20" i="2"/>
  <c r="L20" i="2"/>
  <c r="E20" i="2"/>
  <c r="D20" i="2"/>
  <c r="B20" i="2"/>
  <c r="A20" i="2"/>
  <c r="O19" i="2"/>
  <c r="M19" i="2"/>
  <c r="L19" i="2"/>
  <c r="E19" i="2"/>
  <c r="D19" i="2"/>
  <c r="B19" i="2"/>
  <c r="A19" i="2"/>
  <c r="O18" i="2"/>
  <c r="O17" i="2"/>
  <c r="O16" i="2"/>
  <c r="O15" i="2"/>
  <c r="M15" i="2"/>
  <c r="L15" i="2"/>
  <c r="E15" i="2"/>
  <c r="D15" i="2"/>
  <c r="B15" i="2"/>
  <c r="A15" i="2"/>
  <c r="O14" i="2"/>
  <c r="M14" i="2"/>
  <c r="L14" i="2"/>
  <c r="E14" i="2"/>
  <c r="D14" i="2"/>
  <c r="B14" i="2"/>
  <c r="A14" i="2"/>
  <c r="O13" i="2"/>
  <c r="M13" i="2"/>
  <c r="L13" i="2"/>
  <c r="E13" i="2"/>
  <c r="D13" i="2"/>
  <c r="B13" i="2"/>
  <c r="A13" i="2"/>
  <c r="O12" i="2"/>
  <c r="M12" i="2"/>
  <c r="L12" i="2"/>
  <c r="E12" i="2"/>
  <c r="D12" i="2"/>
  <c r="B12" i="2"/>
  <c r="A12" i="2"/>
  <c r="O11" i="2"/>
  <c r="O10" i="2"/>
  <c r="O9" i="2"/>
  <c r="M9" i="2"/>
  <c r="L9" i="2"/>
  <c r="E9" i="2"/>
  <c r="D9" i="2"/>
  <c r="B9" i="2"/>
  <c r="A9" i="2"/>
  <c r="O8" i="2"/>
  <c r="M8" i="2"/>
  <c r="L8" i="2"/>
  <c r="E8" i="2"/>
  <c r="D8" i="2"/>
  <c r="B8" i="2"/>
  <c r="A8" i="2"/>
  <c r="O7" i="2"/>
  <c r="M7" i="2"/>
  <c r="L7" i="2"/>
  <c r="E7" i="2"/>
  <c r="D7" i="2"/>
  <c r="B7" i="2"/>
  <c r="A7" i="2"/>
  <c r="O6" i="2"/>
  <c r="O5" i="2"/>
  <c r="M5" i="2"/>
  <c r="L5" i="2"/>
  <c r="E5" i="2"/>
  <c r="D5" i="2"/>
  <c r="B5" i="2"/>
  <c r="A5" i="2"/>
  <c r="O4" i="2"/>
  <c r="M4" i="2"/>
  <c r="L4" i="2"/>
  <c r="E4" i="2"/>
  <c r="D4" i="2"/>
  <c r="B4" i="2"/>
  <c r="A4" i="2"/>
  <c r="O3" i="2"/>
  <c r="M3" i="2"/>
  <c r="L3" i="2"/>
  <c r="E3" i="2"/>
  <c r="D3" i="2"/>
  <c r="B3" i="2"/>
  <c r="A3" i="2"/>
</calcChain>
</file>

<file path=xl/sharedStrings.xml><?xml version="1.0" encoding="utf-8"?>
<sst xmlns="http://schemas.openxmlformats.org/spreadsheetml/2006/main" count="7316" uniqueCount="48">
  <si>
    <t>Report Name:</t>
  </si>
  <si>
    <t>Email Open and Click Rates</t>
  </si>
  <si>
    <t>Export Date Time:</t>
  </si>
  <si>
    <t>01 Jul 2026 13:46 BST</t>
  </si>
  <si>
    <t>Last Ran Date:</t>
  </si>
  <si>
    <t>01 Jul 2026 13:45 BST</t>
  </si>
  <si>
    <t>Description:</t>
  </si>
  <si>
    <t/>
  </si>
  <si>
    <t>Export By:</t>
  </si>
  <si>
    <t>sfeck@otsuka-europe.com</t>
  </si>
  <si>
    <t>Report Type:</t>
  </si>
  <si>
    <t>Sent Email with Account and Approved Document and Email Activity</t>
  </si>
  <si>
    <t>Filters:</t>
  </si>
  <si>
    <t>Sent Email &gt; Sent Date is in the range "01 Jun 2026 to 30 Jun 2026"</t>
  </si>
  <si>
    <t>Tags:</t>
  </si>
  <si>
    <t>Admin</t>
  </si>
  <si>
    <t>Vault Name:</t>
  </si>
  <si>
    <t>Otsuka Europe Vault CRM</t>
  </si>
  <si>
    <t>Domain Name:</t>
  </si>
  <si>
    <t>otsuka-europe</t>
  </si>
  <si>
    <t>Account (7277)</t>
  </si>
  <si>
    <t>Approved Document (7277)</t>
  </si>
  <si>
    <t>Sent Email (7277)</t>
  </si>
  <si>
    <t>Email Activity (13763)</t>
  </si>
  <si>
    <t>Name [*]</t>
  </si>
  <si>
    <t>Country [*]</t>
  </si>
  <si>
    <t>Primary Country [**]</t>
  </si>
  <si>
    <t>Approved Document Name</t>
  </si>
  <si>
    <t>Sent Email Name▴</t>
  </si>
  <si>
    <t>Last Open</t>
  </si>
  <si>
    <t>Opened</t>
  </si>
  <si>
    <t>Total Opens</t>
  </si>
  <si>
    <t>Clicked</t>
  </si>
  <si>
    <t>Last Click</t>
  </si>
  <si>
    <t>Total Clicks</t>
  </si>
  <si>
    <t>Email Template</t>
  </si>
  <si>
    <t>From Address</t>
  </si>
  <si>
    <t>Sent Date</t>
  </si>
  <si>
    <t>Email Activity Name</t>
  </si>
  <si>
    <t>GB</t>
  </si>
  <si>
    <t>AT</t>
  </si>
  <si>
    <t>ES</t>
  </si>
  <si>
    <t>FR</t>
  </si>
  <si>
    <t>DE</t>
  </si>
  <si>
    <t>IT</t>
  </si>
  <si>
    <t>CH</t>
  </si>
  <si>
    <t>NL</t>
  </si>
  <si>
    <t>DK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</si>
</sst>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9]dd\ mmm\ yyyy\ hh:mm\ &quot;BST&quot;;@"/>
  </numFmts>
  <fonts count="5" x14ac:knownFonts="1">
    <font>
      <sz val="11"/>
      <color indexed="8"/>
      <name val="Aptos Narrow"/>
      <family val="2"/>
      <scheme val="minor"/>
    </font>
    <font>
      <b/>
      <sz val="10.5"/>
      <color rgb="FF303030"/>
      <name val="Calibri"/>
      <family val="2"/>
    </font>
    <font>
      <b/>
      <sz val="10.5"/>
      <color rgb="FFFFFFFF"/>
      <name val="Calibri"/>
      <family val="2"/>
    </font>
    <font>
      <sz val="10.5"/>
      <color rgb="FF0066CC"/>
      <name val="Calibri"/>
      <family val="2"/>
    </font>
    <font>
      <sz val="10.5"/>
      <color rgb="FF303030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rgb="FFEEEEEE"/>
      </patternFill>
    </fill>
    <fill>
      <patternFill patternType="solid">
        <fgColor rgb="FFF8972B"/>
      </patternFill>
    </fill>
    <fill>
      <patternFill patternType="solid">
        <fgColor rgb="FF1453B8"/>
      </patternFill>
    </fill>
    <fill>
      <patternFill patternType="solid">
        <fgColor rgb="FF539137"/>
      </patternFill>
    </fill>
    <fill>
      <patternFill patternType="solid">
        <fgColor rgb="FFDADADA"/>
      </patternFill>
    </fill>
    <fill>
      <patternFill patternType="solid">
        <fgColor rgb="FFFAB463"/>
      </patternFill>
    </fill>
    <fill>
      <patternFill patternType="solid">
        <fgColor rgb="FFACC8F6"/>
      </patternFill>
    </fill>
    <fill>
      <patternFill patternType="solid">
        <fgColor rgb="FF82B16F"/>
      </patternFill>
    </fill>
    <fill>
      <patternFill patternType="solid">
        <fgColor rgb="FFF8F8F8"/>
      </patternFill>
    </fill>
    <fill>
      <patternFill patternType="solid">
        <fgColor rgb="FFFFEFD5"/>
      </patternFill>
    </fill>
    <fill>
      <patternFill patternType="solid">
        <fgColor rgb="FFE3EDFC"/>
      </patternFill>
    </fill>
    <fill>
      <patternFill patternType="solid">
        <fgColor rgb="FFE0F3E0"/>
      </patternFill>
    </fill>
    <fill>
      <patternFill patternType="none">
        <bgColor indexed="64"/>
      </patternFill>
    </fill>
  </fills>
  <borders count="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 style="thin">
        <color indexed="9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3" borderId="1" xfId="0" applyFont="1" applyFill="1" applyBorder="1" applyAlignment="1">
      <alignment horizontal="left" wrapText="1"/>
    </xf>
    <xf numFmtId="0" fontId="2" fillId="5" borderId="1" xfId="0" applyFont="1" applyFill="1" applyBorder="1" applyAlignment="1">
      <alignment horizontal="left" wrapText="1"/>
    </xf>
    <xf numFmtId="0" fontId="1" fillId="6" borderId="1" xfId="0" applyFont="1" applyFill="1" applyBorder="1" applyAlignment="1">
      <alignment horizontal="left" wrapText="1"/>
    </xf>
    <xf numFmtId="0" fontId="1" fillId="7" borderId="1" xfId="0" applyFont="1" applyFill="1" applyBorder="1" applyAlignment="1">
      <alignment horizontal="left" wrapText="1"/>
    </xf>
    <xf numFmtId="0" fontId="1" fillId="8" borderId="1" xfId="0" applyFont="1" applyFill="1" applyBorder="1" applyAlignment="1">
      <alignment horizontal="left" wrapText="1"/>
    </xf>
    <xf numFmtId="0" fontId="1" fillId="9" borderId="1" xfId="0" applyFont="1" applyFill="1" applyBorder="1" applyAlignment="1">
      <alignment horizontal="left" wrapText="1"/>
    </xf>
    <xf numFmtId="0" fontId="3" fillId="10" borderId="1" xfId="0" applyFont="1" applyFill="1" applyBorder="1" applyAlignment="1">
      <alignment horizontal="left" vertical="center" wrapText="1"/>
    </xf>
    <xf numFmtId="0" fontId="4" fillId="10" borderId="1" xfId="0" applyFont="1" applyFill="1" applyBorder="1" applyAlignment="1">
      <alignment horizontal="left" vertical="center" wrapText="1"/>
    </xf>
    <xf numFmtId="0" fontId="3" fillId="11" borderId="1" xfId="0" applyFont="1" applyFill="1" applyBorder="1" applyAlignment="1">
      <alignment horizontal="left" vertical="center" wrapText="1"/>
    </xf>
    <xf numFmtId="0" fontId="3" fillId="12" borderId="1" xfId="0" applyFont="1" applyFill="1" applyBorder="1" applyAlignment="1">
      <alignment horizontal="left" vertical="center" wrapText="1"/>
    </xf>
    <xf numFmtId="0" fontId="4" fillId="12" borderId="1" xfId="0" applyFont="1" applyFill="1" applyBorder="1" applyAlignment="1">
      <alignment horizontal="left" vertical="center" wrapText="1"/>
    </xf>
    <xf numFmtId="3" fontId="4" fillId="12" borderId="1" xfId="0" applyNumberFormat="1" applyFont="1" applyFill="1" applyBorder="1" applyAlignment="1">
      <alignment horizontal="right" vertical="center" wrapText="1"/>
    </xf>
    <xf numFmtId="164" fontId="4" fillId="12" borderId="1" xfId="0" applyNumberFormat="1" applyFont="1" applyFill="1" applyBorder="1" applyAlignment="1">
      <alignment horizontal="left" vertical="center" wrapText="1"/>
    </xf>
    <xf numFmtId="0" fontId="3" fillId="13" borderId="1" xfId="0" applyFont="1" applyFill="1" applyBorder="1" applyAlignment="1">
      <alignment horizontal="left" vertical="top" wrapText="1"/>
    </xf>
    <xf numFmtId="0" fontId="4" fillId="13" borderId="1" xfId="0" applyFont="1" applyFill="1" applyBorder="1" applyAlignment="1">
      <alignment horizontal="left" vertical="top" wrapText="1"/>
    </xf>
    <xf numFmtId="0" fontId="0" fillId="14" borderId="3" xfId="0" applyFill="1" applyBorder="1" applyAlignment="1">
      <alignment wrapText="1"/>
    </xf>
    <xf numFmtId="0" fontId="3" fillId="10" borderId="1" xfId="0" applyFont="1" applyFill="1" applyBorder="1" applyAlignment="1">
      <alignment horizontal="left" vertical="center" wrapText="1"/>
    </xf>
    <xf numFmtId="0" fontId="0" fillId="0" borderId="0" xfId="0"/>
    <xf numFmtId="0" fontId="0" fillId="14" borderId="2" xfId="0" applyFill="1" applyBorder="1"/>
    <xf numFmtId="0" fontId="4" fillId="10" borderId="1" xfId="0" applyFont="1" applyFill="1" applyBorder="1" applyAlignment="1">
      <alignment horizontal="left" vertical="center" wrapText="1"/>
    </xf>
    <xf numFmtId="0" fontId="3" fillId="11" borderId="1" xfId="0" applyFont="1" applyFill="1" applyBorder="1" applyAlignment="1">
      <alignment horizontal="left" vertical="center" wrapText="1"/>
    </xf>
    <xf numFmtId="0" fontId="3" fillId="12" borderId="1" xfId="0" applyFont="1" applyFill="1" applyBorder="1" applyAlignment="1">
      <alignment horizontal="left" vertical="center" wrapText="1"/>
    </xf>
    <xf numFmtId="164" fontId="4" fillId="12" borderId="1" xfId="0" applyNumberFormat="1" applyFont="1" applyFill="1" applyBorder="1" applyAlignment="1">
      <alignment horizontal="left" vertical="center" wrapText="1"/>
    </xf>
    <xf numFmtId="3" fontId="4" fillId="12" borderId="1" xfId="0" applyNumberFormat="1" applyFont="1" applyFill="1" applyBorder="1" applyAlignment="1">
      <alignment horizontal="right" vertical="center" wrapText="1"/>
    </xf>
    <xf numFmtId="0" fontId="4" fillId="1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wrapText="1"/>
    </xf>
    <xf numFmtId="0" fontId="2" fillId="4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11"/>
  <sheetViews>
    <sheetView tabSelected="1" workbookViewId="0"/>
  </sheetViews>
  <sheetFormatPr baseColWidth="10" defaultColWidth="8.83203125" defaultRowHeight="15" x14ac:dyDescent="0.2"/>
  <cols>
    <col min="2" max="2" width="17.6640625" customWidth="1"/>
    <col min="3" max="3" width="64.1640625" customWidth="1"/>
  </cols>
  <sheetData>
    <row r="2" spans="2:3" x14ac:dyDescent="0.2">
      <c r="B2" t="s">
        <v>0</v>
      </c>
      <c r="C2" t="s">
        <v>1</v>
      </c>
    </row>
    <row r="3" spans="2:3" x14ac:dyDescent="0.2">
      <c r="B3" t="s">
        <v>2</v>
      </c>
      <c r="C3" t="s">
        <v>3</v>
      </c>
    </row>
    <row r="4" spans="2:3" x14ac:dyDescent="0.2">
      <c r="B4" t="s">
        <v>4</v>
      </c>
      <c r="C4" t="s">
        <v>5</v>
      </c>
    </row>
    <row r="5" spans="2:3" x14ac:dyDescent="0.2">
      <c r="B5" t="s">
        <v>6</v>
      </c>
      <c r="C5" t="s">
        <v>7</v>
      </c>
    </row>
    <row r="6" spans="2:3" x14ac:dyDescent="0.2">
      <c r="B6" t="s">
        <v>8</v>
      </c>
      <c r="C6" t="s">
        <v>9</v>
      </c>
    </row>
    <row r="7" spans="2:3" x14ac:dyDescent="0.2">
      <c r="B7" t="s">
        <v>10</v>
      </c>
      <c r="C7" t="s">
        <v>11</v>
      </c>
    </row>
    <row r="8" spans="2:3" ht="16" x14ac:dyDescent="0.2">
      <c r="B8" t="s">
        <v>12</v>
      </c>
      <c r="C8" s="16" t="s">
        <v>13</v>
      </c>
    </row>
    <row r="9" spans="2:3" x14ac:dyDescent="0.2">
      <c r="B9" t="s">
        <v>14</v>
      </c>
      <c r="C9" t="s">
        <v>15</v>
      </c>
    </row>
    <row r="10" spans="2:3" x14ac:dyDescent="0.2">
      <c r="B10" t="s">
        <v>16</v>
      </c>
      <c r="C10" t="s">
        <v>17</v>
      </c>
    </row>
    <row r="11" spans="2:3" x14ac:dyDescent="0.2">
      <c r="B11" t="s">
        <v>18</v>
      </c>
      <c r="C11" t="s">
        <v>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3796"/>
  <sheetViews>
    <sheetView workbookViewId="0">
      <pane ySplit="2" topLeftCell="A3" activePane="bottomLeft" state="frozen"/>
      <selection pane="bottomLeft"/>
    </sheetView>
  </sheetViews>
  <sheetFormatPr baseColWidth="10" defaultColWidth="8.83203125" defaultRowHeight="15" x14ac:dyDescent="0.2"/>
  <cols>
    <col min="1" max="1" width="28" customWidth="1"/>
    <col min="2" max="3" width="22" customWidth="1"/>
    <col min="4" max="5" width="28" customWidth="1"/>
    <col min="6" max="14" width="22" customWidth="1"/>
    <col min="15" max="15" width="28" customWidth="1"/>
  </cols>
  <sheetData>
    <row r="1" spans="1:15" ht="16" x14ac:dyDescent="0.2">
      <c r="A1" s="26" t="s">
        <v>20</v>
      </c>
      <c r="B1" s="26"/>
      <c r="C1" s="26"/>
      <c r="D1" s="1" t="s">
        <v>21</v>
      </c>
      <c r="E1" s="27" t="s">
        <v>22</v>
      </c>
      <c r="F1" s="27"/>
      <c r="G1" s="27"/>
      <c r="H1" s="27"/>
      <c r="I1" s="27"/>
      <c r="J1" s="27"/>
      <c r="K1" s="27"/>
      <c r="L1" s="27"/>
      <c r="M1" s="27"/>
      <c r="N1" s="27"/>
      <c r="O1" s="2" t="s">
        <v>23</v>
      </c>
    </row>
    <row r="2" spans="1:15" ht="16" x14ac:dyDescent="0.2">
      <c r="A2" s="3" t="s">
        <v>24</v>
      </c>
      <c r="B2" s="3" t="s">
        <v>25</v>
      </c>
      <c r="C2" s="3" t="s">
        <v>26</v>
      </c>
      <c r="D2" s="4" t="s">
        <v>27</v>
      </c>
      <c r="E2" s="5" t="s">
        <v>28</v>
      </c>
      <c r="F2" s="5" t="s">
        <v>29</v>
      </c>
      <c r="G2" s="5" t="s">
        <v>30</v>
      </c>
      <c r="H2" s="5" t="s">
        <v>31</v>
      </c>
      <c r="I2" s="5" t="s">
        <v>32</v>
      </c>
      <c r="J2" s="5" t="s">
        <v>33</v>
      </c>
      <c r="K2" s="5" t="s">
        <v>34</v>
      </c>
      <c r="L2" s="5" t="s">
        <v>35</v>
      </c>
      <c r="M2" s="5" t="s">
        <v>36</v>
      </c>
      <c r="N2" s="5" t="s">
        <v>37</v>
      </c>
      <c r="O2" s="6" t="s">
        <v>38</v>
      </c>
    </row>
    <row r="3" spans="1:15" ht="32" x14ac:dyDescent="0.2">
      <c r="A3" s="7" t="str">
        <f>HYPERLINK("https://otsuka-europe-crm.veevavault.com/ui/#object/account__v/V4T00000001Y009", "Raquel Thapa")</f>
        <v>Raquel Thapa</v>
      </c>
      <c r="B3" s="7" t="str">
        <f>HYPERLINK("https://otsuka-europe-crm.veevavault.com/ui/#object/vcountry__v/VENZ000004SONFK", "GB")</f>
        <v>GB</v>
      </c>
      <c r="C3" s="8" t="s">
        <v>39</v>
      </c>
      <c r="D3" s="9" t="str">
        <f>HYPERLINK("https://otsuka-europe-crm.veevavault.com/ui/#object/approved_document__v/V5OZ025E82PXJSL", "Otsuka Privacy Notice - UK (v2)")</f>
        <v>Otsuka Privacy Notice - UK (v2)</v>
      </c>
      <c r="E3" s="10" t="str">
        <f>HYPERLINK("https://otsuka-europe-crm.veevavault.com/ui/#object/sent_email__v/VBL00000002O024", "SE-001430880")</f>
        <v>SE-001430880</v>
      </c>
      <c r="F3" s="11"/>
      <c r="G3" s="12">
        <v>0</v>
      </c>
      <c r="H3" s="12">
        <v>0</v>
      </c>
      <c r="I3" s="12">
        <v>0</v>
      </c>
      <c r="J3" s="11"/>
      <c r="K3" s="12">
        <v>0</v>
      </c>
      <c r="L3" s="10" t="str">
        <f>HYPERLINK("https://otsuka-europe-crm.veevavault.com/ui/#object/approved_document__v/V5OZ025E82PXJSL", "Otsuka Privacy Notice - UK (v2)")</f>
        <v>Otsuka Privacy Notice - UK (v2)</v>
      </c>
      <c r="M3" s="10" t="str">
        <f>HYPERLINK("mailto:PStyler@crm.otsuka-europe.com", "PStyler@crm.otsuka-europe.com")</f>
        <v>PStyler@crm.otsuka-europe.com</v>
      </c>
      <c r="N3" s="13">
        <v>46174.333877314813</v>
      </c>
      <c r="O3" s="14" t="str">
        <f>HYPERLINK("https://otsuka-europe-crm.veevavault.com/ui/#object/email_activity__v/V8C00000003L074", "EN-002086072")</f>
        <v>EN-002086072</v>
      </c>
    </row>
    <row r="4" spans="1:15" ht="32" x14ac:dyDescent="0.2">
      <c r="A4" s="7" t="str">
        <f>HYPERLINK("https://otsuka-europe-crm.veevavault.com/ui/#object/account__v/V4T00000001Y010", "John Guly")</f>
        <v>John Guly</v>
      </c>
      <c r="B4" s="7" t="str">
        <f>HYPERLINK("https://otsuka-europe-crm.veevavault.com/ui/#object/vcountry__v/VENZ000004SONFK", "GB")</f>
        <v>GB</v>
      </c>
      <c r="C4" s="8" t="s">
        <v>39</v>
      </c>
      <c r="D4" s="9" t="str">
        <f>HYPERLINK("https://otsuka-europe-crm.veevavault.com/ui/#object/approved_document__v/V5OZ025E82PXJSL", "Otsuka Privacy Notice - UK (v2)")</f>
        <v>Otsuka Privacy Notice - UK (v2)</v>
      </c>
      <c r="E4" s="10" t="str">
        <f>HYPERLINK("https://otsuka-europe-crm.veevavault.com/ui/#object/sent_email__v/VBL00000002N016", "SE-001430881")</f>
        <v>SE-001430881</v>
      </c>
      <c r="F4" s="11"/>
      <c r="G4" s="12">
        <v>0</v>
      </c>
      <c r="H4" s="12">
        <v>0</v>
      </c>
      <c r="I4" s="12">
        <v>0</v>
      </c>
      <c r="J4" s="11"/>
      <c r="K4" s="12">
        <v>0</v>
      </c>
      <c r="L4" s="10" t="str">
        <f>HYPERLINK("https://otsuka-europe-crm.veevavault.com/ui/#object/approved_document__v/V5OZ025E82PXJSL", "Otsuka Privacy Notice - UK (v2)")</f>
        <v>Otsuka Privacy Notice - UK (v2)</v>
      </c>
      <c r="M4" s="10" t="str">
        <f>HYPERLINK("mailto:PStyler@crm.otsuka-europe.com", "PStyler@crm.otsuka-europe.com")</f>
        <v>PStyler@crm.otsuka-europe.com</v>
      </c>
      <c r="N4" s="13">
        <v>46174.33388888889</v>
      </c>
      <c r="O4" s="14" t="str">
        <f>HYPERLINK("https://otsuka-europe-crm.veevavault.com/ui/#object/email_activity__v/V8C00000003K088", "EN-002086073")</f>
        <v>EN-002086073</v>
      </c>
    </row>
    <row r="5" spans="1:15" ht="16" x14ac:dyDescent="0.2">
      <c r="A5" s="17" t="str">
        <f>HYPERLINK("https://otsuka-europe-crm.veevavault.com/ui/#object/account__v/V4T00000001Z013", "Rodel Roldan")</f>
        <v>Rodel Roldan</v>
      </c>
      <c r="B5" s="17" t="str">
        <f>HYPERLINK("https://otsuka-europe-crm.veevavault.com/ui/#object/vcountry__v/VENZ000004SONFK", "GB")</f>
        <v>GB</v>
      </c>
      <c r="C5" s="20" t="s">
        <v>39</v>
      </c>
      <c r="D5" s="21" t="str">
        <f>HYPERLINK("https://otsuka-europe-crm.veevavault.com/ui/#object/approved_document__v/V5OZ025E82PXJSL", "Otsuka Privacy Notice - UK (v2)")</f>
        <v>Otsuka Privacy Notice - UK (v2)</v>
      </c>
      <c r="E5" s="22" t="str">
        <f>HYPERLINK("https://otsuka-europe-crm.veevavault.com/ui/#object/sent_email__v/VBL00000002O025", "SE-001430882")</f>
        <v>SE-001430882</v>
      </c>
      <c r="F5" s="23">
        <v>46174.334791666668</v>
      </c>
      <c r="G5" s="24">
        <v>1</v>
      </c>
      <c r="H5" s="24">
        <v>1</v>
      </c>
      <c r="I5" s="24">
        <v>0</v>
      </c>
      <c r="J5" s="25"/>
      <c r="K5" s="24">
        <v>0</v>
      </c>
      <c r="L5" s="22" t="str">
        <f>HYPERLINK("https://otsuka-europe-crm.veevavault.com/ui/#object/approved_document__v/V5OZ025E82PXJSL", "Otsuka Privacy Notice - UK (v2)")</f>
        <v>Otsuka Privacy Notice - UK (v2)</v>
      </c>
      <c r="M5" s="22" t="str">
        <f>HYPERLINK("mailto:PStyler@crm.otsuka-europe.com", "PStyler@crm.otsuka-europe.com")</f>
        <v>PStyler@crm.otsuka-europe.com</v>
      </c>
      <c r="N5" s="23">
        <v>46174.334201388891</v>
      </c>
      <c r="O5" s="14" t="str">
        <f>HYPERLINK("https://otsuka-europe-crm.veevavault.com/ui/#object/email_activity__v/V8C00000003K089", "EN-002086074")</f>
        <v>EN-002086074</v>
      </c>
    </row>
    <row r="6" spans="1:15" ht="16" x14ac:dyDescent="0.2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4" t="str">
        <f>HYPERLINK("https://otsuka-europe-crm.veevavault.com/ui/#object/email_activity__v/V8C00000003K092", "EN-002086078")</f>
        <v>EN-002086078</v>
      </c>
    </row>
    <row r="7" spans="1:15" ht="32" x14ac:dyDescent="0.2">
      <c r="A7" s="7" t="str">
        <f>HYPERLINK("https://otsuka-europe-crm.veevavault.com/ui/#object/account__v/V4TZ025E895Q099", "Sheima Ahmed")</f>
        <v>Sheima Ahmed</v>
      </c>
      <c r="B7" s="7" t="str">
        <f>HYPERLINK("https://otsuka-europe-crm.veevavault.com/ui/#object/vcountry__v/VENZ000004SONFK", "GB")</f>
        <v>GB</v>
      </c>
      <c r="C7" s="8" t="s">
        <v>39</v>
      </c>
      <c r="D7" s="9" t="str">
        <f>HYPERLINK("https://otsuka-europe-crm.veevavault.com/ui/#object/approved_document__v/V5OZ025E82PXJSL", "Otsuka Privacy Notice - UK (v2)")</f>
        <v>Otsuka Privacy Notice - UK (v2)</v>
      </c>
      <c r="E7" s="10" t="str">
        <f>HYPERLINK("https://otsuka-europe-crm.veevavault.com/ui/#object/sent_email__v/VBL00000002O026", "SE-001430883")</f>
        <v>SE-001430883</v>
      </c>
      <c r="F7" s="11"/>
      <c r="G7" s="12">
        <v>0</v>
      </c>
      <c r="H7" s="12">
        <v>0</v>
      </c>
      <c r="I7" s="12">
        <v>0</v>
      </c>
      <c r="J7" s="11"/>
      <c r="K7" s="12">
        <v>0</v>
      </c>
      <c r="L7" s="10" t="str">
        <f>HYPERLINK("https://otsuka-europe-crm.veevavault.com/ui/#object/approved_document__v/V5OZ025E82PXJSL", "Otsuka Privacy Notice - UK (v2)")</f>
        <v>Otsuka Privacy Notice - UK (v2)</v>
      </c>
      <c r="M7" s="10" t="str">
        <f>HYPERLINK("mailto:PStyler@crm.otsuka-europe.com", "PStyler@crm.otsuka-europe.com")</f>
        <v>PStyler@crm.otsuka-europe.com</v>
      </c>
      <c r="N7" s="13">
        <v>46174.334606481483</v>
      </c>
      <c r="O7" s="14" t="str">
        <f>HYPERLINK("https://otsuka-europe-crm.veevavault.com/ui/#object/email_activity__v/V8C00000003K091", "EN-002086077")</f>
        <v>EN-002086077</v>
      </c>
    </row>
    <row r="8" spans="1:15" ht="32" x14ac:dyDescent="0.2">
      <c r="A8" s="7" t="str">
        <f>HYPERLINK("https://otsuka-europe-crm.veevavault.com/ui/#object/account__v/V4T00000001W140", "Grant Hayman")</f>
        <v>Grant Hayman</v>
      </c>
      <c r="B8" s="7" t="str">
        <f>HYPERLINK("https://otsuka-europe-crm.veevavault.com/ui/#object/vcountry__v/VENZ000004SONFK", "GB")</f>
        <v>GB</v>
      </c>
      <c r="C8" s="8" t="s">
        <v>39</v>
      </c>
      <c r="D8" s="9" t="str">
        <f>HYPERLINK("https://otsuka-europe-crm.veevavault.com/ui/#object/approved_document__v/V5OZ025E82PXJSL", "Otsuka Privacy Notice - UK (v2)")</f>
        <v>Otsuka Privacy Notice - UK (v2)</v>
      </c>
      <c r="E8" s="10" t="str">
        <f>HYPERLINK("https://otsuka-europe-crm.veevavault.com/ui/#object/sent_email__v/VBL00000002O027", "SE-001430884")</f>
        <v>SE-001430884</v>
      </c>
      <c r="F8" s="11"/>
      <c r="G8" s="12">
        <v>0</v>
      </c>
      <c r="H8" s="12">
        <v>0</v>
      </c>
      <c r="I8" s="12">
        <v>0</v>
      </c>
      <c r="J8" s="11"/>
      <c r="K8" s="12">
        <v>0</v>
      </c>
      <c r="L8" s="10" t="str">
        <f>HYPERLINK("https://otsuka-europe-crm.veevavault.com/ui/#object/approved_document__v/V5OZ025E82PXJSL", "Otsuka Privacy Notice - UK (v2)")</f>
        <v>Otsuka Privacy Notice - UK (v2)</v>
      </c>
      <c r="M8" s="10" t="str">
        <f>HYPERLINK("mailto:PStyler@crm.otsuka-europe.com", "PStyler@crm.otsuka-europe.com")</f>
        <v>PStyler@crm.otsuka-europe.com</v>
      </c>
      <c r="N8" s="13">
        <v>46174.33489583333</v>
      </c>
      <c r="O8" s="14" t="str">
        <f>HYPERLINK("https://otsuka-europe-crm.veevavault.com/ui/#object/email_activity__v/V8C00000003K093", "EN-002086079")</f>
        <v>EN-002086079</v>
      </c>
    </row>
    <row r="9" spans="1:15" ht="16" x14ac:dyDescent="0.2">
      <c r="A9" s="17" t="str">
        <f>HYPERLINK("https://otsuka-europe-crm.veevavault.com/ui/#object/account__v/V4T00000000L044", "Madhavi Kadambi")</f>
        <v>Madhavi Kadambi</v>
      </c>
      <c r="B9" s="17" t="str">
        <f>HYPERLINK("https://otsuka-europe-crm.veevavault.com/ui/#object/vcountry__v/VENZ000004SONFK", "GB")</f>
        <v>GB</v>
      </c>
      <c r="C9" s="20" t="s">
        <v>39</v>
      </c>
      <c r="D9" s="21" t="str">
        <f>HYPERLINK("https://otsuka-europe-crm.veevavault.com/ui/#object/approved_document__v/V5OZ025E82PXJSL", "Otsuka Privacy Notice - UK (v2)")</f>
        <v>Otsuka Privacy Notice - UK (v2)</v>
      </c>
      <c r="E9" s="22" t="str">
        <f>HYPERLINK("https://otsuka-europe-crm.veevavault.com/ui/#object/sent_email__v/VBL00000002N017", "SE-001430885")</f>
        <v>SE-001430885</v>
      </c>
      <c r="F9" s="23">
        <v>46174.425821759258</v>
      </c>
      <c r="G9" s="24">
        <v>1</v>
      </c>
      <c r="H9" s="24">
        <v>2</v>
      </c>
      <c r="I9" s="24">
        <v>0</v>
      </c>
      <c r="J9" s="25"/>
      <c r="K9" s="24">
        <v>0</v>
      </c>
      <c r="L9" s="22" t="str">
        <f>HYPERLINK("https://otsuka-europe-crm.veevavault.com/ui/#object/approved_document__v/V5OZ025E82PXJSL", "Otsuka Privacy Notice - UK (v2)")</f>
        <v>Otsuka Privacy Notice - UK (v2)</v>
      </c>
      <c r="M9" s="22" t="str">
        <f>HYPERLINK("mailto:PStyler@crm.otsuka-europe.com", "PStyler@crm.otsuka-europe.com")</f>
        <v>PStyler@crm.otsuka-europe.com</v>
      </c>
      <c r="N9" s="23">
        <v>46174.335243055553</v>
      </c>
      <c r="O9" s="14" t="str">
        <f>HYPERLINK("https://otsuka-europe-crm.veevavault.com/ui/#object/email_activity__v/V8C00000003K112", "EN-002086111")</f>
        <v>EN-002086111</v>
      </c>
    </row>
    <row r="10" spans="1:15" ht="16" x14ac:dyDescent="0.2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4" t="str">
        <f>HYPERLINK("https://otsuka-europe-crm.veevavault.com/ui/#object/email_activity__v/V8C00000003K113", "EN-002086112")</f>
        <v>EN-002086112</v>
      </c>
    </row>
    <row r="11" spans="1:15" ht="16" x14ac:dyDescent="0.2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4" t="str">
        <f>HYPERLINK("https://otsuka-europe-crm.veevavault.com/ui/#object/email_activity__v/V8C00000003L076", "EN-002086080")</f>
        <v>EN-002086080</v>
      </c>
    </row>
    <row r="12" spans="1:15" ht="32" x14ac:dyDescent="0.2">
      <c r="A12" s="7" t="str">
        <f>HYPERLINK("https://otsuka-europe-crm.veevavault.com/ui/#object/account__v/V4T00000001Y010", "John Guly")</f>
        <v>John Guly</v>
      </c>
      <c r="B12" s="7" t="str">
        <f>HYPERLINK("https://otsuka-europe-crm.veevavault.com/ui/#object/vcountry__v/VENZ000004SONFK", "GB")</f>
        <v>GB</v>
      </c>
      <c r="C12" s="8" t="s">
        <v>39</v>
      </c>
      <c r="D12" s="9" t="str">
        <f>HYPERLINK("https://otsuka-europe-crm.veevavault.com/ui/#object/approved_document__v/V5OZ025E82PXJSL", "Otsuka Privacy Notice - UK (v2)")</f>
        <v>Otsuka Privacy Notice - UK (v2)</v>
      </c>
      <c r="E12" s="10" t="str">
        <f>HYPERLINK("https://otsuka-europe-crm.veevavault.com/ui/#object/sent_email__v/VBL00000002N018", "SE-001430886")</f>
        <v>SE-001430886</v>
      </c>
      <c r="F12" s="11"/>
      <c r="G12" s="12">
        <v>0</v>
      </c>
      <c r="H12" s="12">
        <v>0</v>
      </c>
      <c r="I12" s="12">
        <v>0</v>
      </c>
      <c r="J12" s="11"/>
      <c r="K12" s="12">
        <v>0</v>
      </c>
      <c r="L12" s="10" t="str">
        <f>HYPERLINK("https://otsuka-europe-crm.veevavault.com/ui/#object/approved_document__v/V5OZ025E82PXJSL", "Otsuka Privacy Notice - UK (v2)")</f>
        <v>Otsuka Privacy Notice - UK (v2)</v>
      </c>
      <c r="M12" s="10" t="str">
        <f>HYPERLINK("mailto:PStyler@crm.otsuka-europe.com", "PStyler@crm.otsuka-europe.com")</f>
        <v>PStyler@crm.otsuka-europe.com</v>
      </c>
      <c r="N12" s="13">
        <v>46174.340543981481</v>
      </c>
      <c r="O12" s="14" t="str">
        <f>HYPERLINK("https://otsuka-europe-crm.veevavault.com/ui/#object/email_activity__v/V8C00000003K094", "EN-002086081")</f>
        <v>EN-002086081</v>
      </c>
    </row>
    <row r="13" spans="1:15" ht="32" x14ac:dyDescent="0.2">
      <c r="A13" s="7" t="str">
        <f>HYPERLINK("https://otsuka-europe-crm.veevavault.com/ui/#object/account__v/V4T00000001W140", "Grant Hayman")</f>
        <v>Grant Hayman</v>
      </c>
      <c r="B13" s="7" t="str">
        <f>HYPERLINK("https://otsuka-europe-crm.veevavault.com/ui/#object/vcountry__v/VENZ000004SONFK", "GB")</f>
        <v>GB</v>
      </c>
      <c r="C13" s="8" t="s">
        <v>39</v>
      </c>
      <c r="D13" s="9" t="str">
        <f>HYPERLINK("https://otsuka-europe-crm.veevavault.com/ui/#object/approved_document__v/V5OZ025E82PXJSL", "Otsuka Privacy Notice - UK (v2)")</f>
        <v>Otsuka Privacy Notice - UK (v2)</v>
      </c>
      <c r="E13" s="10" t="str">
        <f>HYPERLINK("https://otsuka-europe-crm.veevavault.com/ui/#object/sent_email__v/VBL00000002N019", "SE-001430887")</f>
        <v>SE-001430887</v>
      </c>
      <c r="F13" s="11"/>
      <c r="G13" s="12">
        <v>0</v>
      </c>
      <c r="H13" s="12">
        <v>0</v>
      </c>
      <c r="I13" s="12">
        <v>0</v>
      </c>
      <c r="J13" s="11"/>
      <c r="K13" s="12">
        <v>0</v>
      </c>
      <c r="L13" s="10" t="str">
        <f>HYPERLINK("https://otsuka-europe-crm.veevavault.com/ui/#object/approved_document__v/V5OZ025E82PXJSL", "Otsuka Privacy Notice - UK (v2)")</f>
        <v>Otsuka Privacy Notice - UK (v2)</v>
      </c>
      <c r="M13" s="10" t="str">
        <f>HYPERLINK("mailto:PStyler@crm.otsuka-europe.com", "PStyler@crm.otsuka-europe.com")</f>
        <v>PStyler@crm.otsuka-europe.com</v>
      </c>
      <c r="N13" s="13">
        <v>46174.340844907405</v>
      </c>
      <c r="O13" s="14" t="str">
        <f>HYPERLINK("https://otsuka-europe-crm.veevavault.com/ui/#object/email_activity__v/V8C00000003K095", "EN-002086082")</f>
        <v>EN-002086082</v>
      </c>
    </row>
    <row r="14" spans="1:15" ht="32" x14ac:dyDescent="0.2">
      <c r="A14" s="7" t="str">
        <f>HYPERLINK("https://otsuka-europe-crm.veevavault.com/ui/#object/account__v/V4TZ0000062R2VW", "Dorothea Heininger")</f>
        <v>Dorothea Heininger</v>
      </c>
      <c r="B14" s="7" t="str">
        <f>HYPERLINK("https://otsuka-europe-crm.veevavault.com/ui/#object/vcountry__v/VENZ000004SONFD", "AT")</f>
        <v>AT</v>
      </c>
      <c r="C14" s="8" t="s">
        <v>40</v>
      </c>
      <c r="D14" s="9" t="str">
        <f>HYPERLINK("https://otsuka-europe-crm.veevavault.com/ui/#object/approved_document__v/V5O00000000K004", "Austria - Consent Email - Aug25 v2")</f>
        <v>Austria - Consent Email - Aug25 v2</v>
      </c>
      <c r="E14" s="10" t="str">
        <f>HYPERLINK("https://otsuka-europe-crm.veevavault.com/ui/#object/sent_email__v/VBL00000002N020", "SE-001430888")</f>
        <v>SE-001430888</v>
      </c>
      <c r="F14" s="11"/>
      <c r="G14" s="12">
        <v>0</v>
      </c>
      <c r="H14" s="12">
        <v>0</v>
      </c>
      <c r="I14" s="12">
        <v>0</v>
      </c>
      <c r="J14" s="11"/>
      <c r="K14" s="12">
        <v>0</v>
      </c>
      <c r="L14" s="10" t="str">
        <f>HYPERLINK("https://otsuka-europe-crm.veevavault.com/ui/#object/approved_document__v/V5O00000000K004", "Austria - Consent Email - Aug25 v2")</f>
        <v>Austria - Consent Email - Aug25 v2</v>
      </c>
      <c r="M14" s="10" t="str">
        <f>HYPERLINK("mailto:nlerchner@crm.otsuka-europe.com", "nlerchner@crm.otsuka-europe.com")</f>
        <v>nlerchner@crm.otsuka-europe.com</v>
      </c>
      <c r="N14" s="13">
        <v>46174.36</v>
      </c>
      <c r="O14" s="14" t="str">
        <f>HYPERLINK("https://otsuka-europe-crm.veevavault.com/ui/#object/email_activity__v/V8C00000003L079", "EN-002086086")</f>
        <v>EN-002086086</v>
      </c>
    </row>
    <row r="15" spans="1:15" ht="16" x14ac:dyDescent="0.2">
      <c r="A15" s="17" t="str">
        <f>HYPERLINK("https://otsuka-europe-crm.veevavault.com/ui/#object/account__v/V4TZ06G6OBI6ERE", "Christoph Strehblow")</f>
        <v>Christoph Strehblow</v>
      </c>
      <c r="B15" s="17" t="str">
        <f>HYPERLINK("https://otsuka-europe-crm.veevavault.com/ui/#object/vcountry__v/VENZ000004SONFD", "AT")</f>
        <v>AT</v>
      </c>
      <c r="C15" s="20" t="s">
        <v>40</v>
      </c>
      <c r="D15" s="21" t="str">
        <f>HYPERLINK("https://otsuka-europe-crm.veevavault.com/ui/#object/approved_document__v/V5O00000001A029", "VAE AT E-REP - Symposiumsbericht ÖGR 2025 (Rheumatologie)")</f>
        <v>VAE AT E-REP - Symposiumsbericht ÖGR 2025 (Rheumatologie)</v>
      </c>
      <c r="E15" s="22" t="str">
        <f>HYPERLINK("https://otsuka-europe-crm.veevavault.com/ui/#object/sent_email__v/VBL00000002O028", "SE-001430889")</f>
        <v>SE-001430889</v>
      </c>
      <c r="F15" s="23">
        <v>46177.788888888892</v>
      </c>
      <c r="G15" s="24">
        <v>1</v>
      </c>
      <c r="H15" s="24">
        <v>2</v>
      </c>
      <c r="I15" s="24">
        <v>0</v>
      </c>
      <c r="J15" s="25"/>
      <c r="K15" s="24">
        <v>0</v>
      </c>
      <c r="L15" s="22" t="str">
        <f>HYPERLINK("https://otsuka-europe-crm.veevavault.com/ui/#object/approved_document__v/V5O00000001A029", "VAE AT E-REP - Symposiumsbericht ÖGR 2025 (Rheumatologie)")</f>
        <v>VAE AT E-REP - Symposiumsbericht ÖGR 2025 (Rheumatologie)</v>
      </c>
      <c r="M15" s="22" t="str">
        <f>HYPERLINK("mailto:nlerchner@crm.otsuka-europe.com", "nlerchner@crm.otsuka-europe.com")</f>
        <v>nlerchner@crm.otsuka-europe.com</v>
      </c>
      <c r="N15" s="23">
        <v>46174.368009259262</v>
      </c>
      <c r="O15" s="14" t="str">
        <f>HYPERLINK("https://otsuka-europe-crm.veevavault.com/ui/#object/email_activity__v/V8C00000003K101", "EN-002086092")</f>
        <v>EN-002086092</v>
      </c>
    </row>
    <row r="16" spans="1:15" ht="16" x14ac:dyDescent="0.2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4" t="str">
        <f>HYPERLINK("https://otsuka-europe-crm.veevavault.com/ui/#object/email_activity__v/V8C00000003L206", "EN-002086638")</f>
        <v>EN-002086638</v>
      </c>
    </row>
    <row r="17" spans="1:15" ht="16" x14ac:dyDescent="0.2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4" t="str">
        <f>HYPERLINK("https://otsuka-europe-crm.veevavault.com/ui/#object/email_activity__v/V8C00000003M593", "EN-002089209")</f>
        <v>EN-002089209</v>
      </c>
    </row>
    <row r="18" spans="1:15" ht="16" x14ac:dyDescent="0.2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4" t="str">
        <f>HYPERLINK("https://otsuka-europe-crm.veevavault.com/ui/#object/email_activity__v/V8C00000003N337", "EN-002088514")</f>
        <v>EN-002088514</v>
      </c>
    </row>
    <row r="19" spans="1:15" ht="48" x14ac:dyDescent="0.2">
      <c r="A19" s="7" t="str">
        <f>HYPERLINK("https://otsuka-europe-crm.veevavault.com/ui/#object/account__v/V4TZ0000062R0U9", "Julia Katzenbeisser")</f>
        <v>Julia Katzenbeisser</v>
      </c>
      <c r="B19" s="7" t="str">
        <f>HYPERLINK("https://otsuka-europe-crm.veevavault.com/ui/#object/vcountry__v/VENZ000004SONFD", "AT")</f>
        <v>AT</v>
      </c>
      <c r="C19" s="8" t="s">
        <v>40</v>
      </c>
      <c r="D19" s="9" t="str">
        <f>HYPERLINK("https://otsuka-europe-crm.veevavault.com/ui/#object/approved_document__v/V5O00000001H016", "VAE AT E-REP - Einladung Lupologen WS Westen (Rheumatologie)")</f>
        <v>VAE AT E-REP - Einladung Lupologen WS Westen (Rheumatologie)</v>
      </c>
      <c r="E19" s="10" t="str">
        <f>HYPERLINK("https://otsuka-europe-crm.veevavault.com/ui/#object/sent_email__v/VBL00000002O029", "SE-001430890")</f>
        <v>SE-001430890</v>
      </c>
      <c r="F19" s="11"/>
      <c r="G19" s="12">
        <v>0</v>
      </c>
      <c r="H19" s="12">
        <v>0</v>
      </c>
      <c r="I19" s="12">
        <v>0</v>
      </c>
      <c r="J19" s="11"/>
      <c r="K19" s="12">
        <v>0</v>
      </c>
      <c r="L19" s="10" t="str">
        <f>HYPERLINK("https://otsuka-europe-crm.veevavault.com/ui/#object/approved_document__v/V5O00000001H016", "VAE AT E-REP - Einladung Lupologen WS Westen (Rheumatologie)")</f>
        <v>VAE AT E-REP - Einladung Lupologen WS Westen (Rheumatologie)</v>
      </c>
      <c r="M19" s="10" t="str">
        <f>HYPERLINK("mailto:nlerchner@crm.otsuka-europe.com", "nlerchner@crm.otsuka-europe.com")</f>
        <v>nlerchner@crm.otsuka-europe.com</v>
      </c>
      <c r="N19" s="13">
        <v>46174.371261574073</v>
      </c>
      <c r="O19" s="14" t="str">
        <f>HYPERLINK("https://otsuka-europe-crm.veevavault.com/ui/#object/email_activity__v/V8C00000003L081", "EN-002086094")</f>
        <v>EN-002086094</v>
      </c>
    </row>
    <row r="20" spans="1:15" ht="48" x14ac:dyDescent="0.2">
      <c r="A20" s="7" t="str">
        <f>HYPERLINK("https://otsuka-europe-crm.veevavault.com/ui/#object/account__v/V4TZ0000062R0U9", "Julia Katzenbeisser")</f>
        <v>Julia Katzenbeisser</v>
      </c>
      <c r="B20" s="7" t="str">
        <f>HYPERLINK("https://otsuka-europe-crm.veevavault.com/ui/#object/vcountry__v/VENZ000004SONFD", "AT")</f>
        <v>AT</v>
      </c>
      <c r="C20" s="8" t="s">
        <v>40</v>
      </c>
      <c r="D20" s="9" t="str">
        <f>HYPERLINK("https://otsuka-europe-crm.veevavault.com/ui/#object/approved_document__v/V5O00000001A029", "VAE AT E-REP - Symposiumsbericht ÖGR 2025 (Rheumatologie)")</f>
        <v>VAE AT E-REP - Symposiumsbericht ÖGR 2025 (Rheumatologie)</v>
      </c>
      <c r="E20" s="10" t="str">
        <f>HYPERLINK("https://otsuka-europe-crm.veevavault.com/ui/#object/sent_email__v/VBL00000002O030", "SE-001430891")</f>
        <v>SE-001430891</v>
      </c>
      <c r="F20" s="11"/>
      <c r="G20" s="12">
        <v>0</v>
      </c>
      <c r="H20" s="12">
        <v>0</v>
      </c>
      <c r="I20" s="12">
        <v>0</v>
      </c>
      <c r="J20" s="11"/>
      <c r="K20" s="12">
        <v>0</v>
      </c>
      <c r="L20" s="10" t="str">
        <f>HYPERLINK("https://otsuka-europe-crm.veevavault.com/ui/#object/approved_document__v/V5O00000001A029", "VAE AT E-REP - Symposiumsbericht ÖGR 2025 (Rheumatologie)")</f>
        <v>VAE AT E-REP - Symposiumsbericht ÖGR 2025 (Rheumatologie)</v>
      </c>
      <c r="M20" s="10" t="str">
        <f>HYPERLINK("mailto:nlerchner@crm.otsuka-europe.com", "nlerchner@crm.otsuka-europe.com")</f>
        <v>nlerchner@crm.otsuka-europe.com</v>
      </c>
      <c r="N20" s="13">
        <v>46174.371608796297</v>
      </c>
      <c r="O20" s="14" t="str">
        <f>HYPERLINK("https://otsuka-europe-crm.veevavault.com/ui/#object/email_activity__v/V8C00000003L082", "EN-002086095")</f>
        <v>EN-002086095</v>
      </c>
    </row>
    <row r="21" spans="1:15" ht="48" x14ac:dyDescent="0.2">
      <c r="A21" s="7" t="str">
        <f>HYPERLINK("https://otsuka-europe-crm.veevavault.com/ui/#object/account__v/V4TZ06G6OBII44D", "Frank Jakob Schneider-Sonnweber")</f>
        <v>Frank Jakob Schneider-Sonnweber</v>
      </c>
      <c r="B21" s="7" t="str">
        <f>HYPERLINK("https://otsuka-europe-crm.veevavault.com/ui/#object/vcountry__v/VENZ000004SONFD", "AT")</f>
        <v>AT</v>
      </c>
      <c r="C21" s="8" t="s">
        <v>40</v>
      </c>
      <c r="D21" s="9" t="str">
        <f>HYPERLINK("https://otsuka-europe-crm.veevavault.com/ui/#object/approved_document__v/V5O00000001A029", "VAE AT E-REP - Symposiumsbericht ÖGR 2025 (Rheumatologie)")</f>
        <v>VAE AT E-REP - Symposiumsbericht ÖGR 2025 (Rheumatologie)</v>
      </c>
      <c r="E21" s="10" t="str">
        <f>HYPERLINK("https://otsuka-europe-crm.veevavault.com/ui/#object/sent_email__v/VBL00000002O031", "SE-001430892")</f>
        <v>SE-001430892</v>
      </c>
      <c r="F21" s="11"/>
      <c r="G21" s="12">
        <v>0</v>
      </c>
      <c r="H21" s="12">
        <v>0</v>
      </c>
      <c r="I21" s="12">
        <v>0</v>
      </c>
      <c r="J21" s="11"/>
      <c r="K21" s="12">
        <v>0</v>
      </c>
      <c r="L21" s="10" t="str">
        <f>HYPERLINK("https://otsuka-europe-crm.veevavault.com/ui/#object/approved_document__v/V5O00000001A029", "VAE AT E-REP - Symposiumsbericht ÖGR 2025 (Rheumatologie)")</f>
        <v>VAE AT E-REP - Symposiumsbericht ÖGR 2025 (Rheumatologie)</v>
      </c>
      <c r="M21" s="10" t="str">
        <f>HYPERLINK("mailto:nlerchner@crm.otsuka-europe.com", "nlerchner@crm.otsuka-europe.com")</f>
        <v>nlerchner@crm.otsuka-europe.com</v>
      </c>
      <c r="N21" s="13">
        <v>46174.375636574077</v>
      </c>
      <c r="O21" s="14" t="str">
        <f>HYPERLINK("https://otsuka-europe-crm.veevavault.com/ui/#object/email_activity__v/V8C00000003L083", "EN-002086096")</f>
        <v>EN-002086096</v>
      </c>
    </row>
    <row r="22" spans="1:15" ht="16" x14ac:dyDescent="0.2">
      <c r="A22" s="17" t="str">
        <f>HYPERLINK("https://otsuka-europe-crm.veevavault.com/ui/#object/account__v/V4TZ06G6O71TCIT", "VIRGILIO TRAID SENDER")</f>
        <v>VIRGILIO TRAID SENDER</v>
      </c>
      <c r="B22" s="17" t="str">
        <f>HYPERLINK("https://otsuka-europe-crm.veevavault.com/ui/#object/vcountry__v/VENZ000004SONF5", "ES")</f>
        <v>ES</v>
      </c>
      <c r="C22" s="20" t="s">
        <v>41</v>
      </c>
      <c r="D22" s="21" t="str">
        <f>HYPERLINK("https://otsuka-europe-crm.veevavault.com/ui/#object/approved_document__v/V5O00000001I001", "RXULTI - Programa webinar RXPERTS 11 junio")</f>
        <v>RXULTI - Programa webinar RXPERTS 11 junio</v>
      </c>
      <c r="E22" s="22" t="str">
        <f>HYPERLINK("https://otsuka-europe-crm.veevavault.com/ui/#object/sent_email__v/VBL00000002N021", "SE-001430893")</f>
        <v>SE-001430893</v>
      </c>
      <c r="F22" s="23">
        <v>46186.348425925928</v>
      </c>
      <c r="G22" s="24">
        <v>1</v>
      </c>
      <c r="H22" s="24">
        <v>8</v>
      </c>
      <c r="I22" s="24">
        <v>1</v>
      </c>
      <c r="J22" s="23">
        <v>46184.744618055556</v>
      </c>
      <c r="K22" s="24">
        <v>11</v>
      </c>
      <c r="L22" s="22" t="str">
        <f>HYPERLINK("https://otsuka-europe-crm.veevavault.com/ui/#object/approved_document__v/V5O00000001I001", "RXULTI - Programa webinar RXPERTS 11 junio")</f>
        <v>RXULTI - Programa webinar RXPERTS 11 junio</v>
      </c>
      <c r="M22" s="22" t="str">
        <f>HYPERLINK("mailto:jdiaz@crm.otsuka-europe.com", "jdiaz@crm.otsuka-europe.com")</f>
        <v>jdiaz@crm.otsuka-europe.com</v>
      </c>
      <c r="N22" s="23">
        <v>46174.402650462966</v>
      </c>
      <c r="O22" s="14" t="str">
        <f>HYPERLINK("https://otsuka-europe-crm.veevavault.com/ui/#object/email_activity__v/V8C00000003K132", "EN-002086152")</f>
        <v>EN-002086152</v>
      </c>
    </row>
    <row r="23" spans="1:15" ht="16" x14ac:dyDescent="0.2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4" t="str">
        <f>HYPERLINK("https://otsuka-europe-crm.veevavault.com/ui/#object/email_activity__v/V8C00000003K680", "EN-002087136")</f>
        <v>EN-002087136</v>
      </c>
    </row>
    <row r="24" spans="1:15" ht="16" x14ac:dyDescent="0.2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4" t="str">
        <f>HYPERLINK("https://otsuka-europe-crm.veevavault.com/ui/#object/email_activity__v/V8C00000003K681", "EN-002087137")</f>
        <v>EN-002087137</v>
      </c>
    </row>
    <row r="25" spans="1:15" ht="16" x14ac:dyDescent="0.2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4" t="str">
        <f>HYPERLINK("https://otsuka-europe-crm.veevavault.com/ui/#object/email_activity__v/V8C00000003L086", "EN-002086102")</f>
        <v>EN-002086102</v>
      </c>
    </row>
    <row r="26" spans="1:15" ht="16" x14ac:dyDescent="0.2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4" t="str">
        <f>HYPERLINK("https://otsuka-europe-crm.veevavault.com/ui/#object/email_activity__v/V8C00000003L544", "EN-002087133")</f>
        <v>EN-002087133</v>
      </c>
    </row>
    <row r="27" spans="1:15" ht="16" x14ac:dyDescent="0.2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4" t="str">
        <f>HYPERLINK("https://otsuka-europe-crm.veevavault.com/ui/#object/email_activity__v/V8C00000003M457", "EN-002088940")</f>
        <v>EN-002088940</v>
      </c>
    </row>
    <row r="28" spans="1:15" ht="16" x14ac:dyDescent="0.2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4" t="str">
        <f>HYPERLINK("https://otsuka-europe-crm.veevavault.com/ui/#object/email_activity__v/V8C00000003M458", "EN-002088941")</f>
        <v>EN-002088941</v>
      </c>
    </row>
    <row r="29" spans="1:15" ht="16" x14ac:dyDescent="0.2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4" t="str">
        <f>HYPERLINK("https://otsuka-europe-crm.veevavault.com/ui/#object/email_activity__v/V8C00000003S942", "EN-002094736")</f>
        <v>EN-002094736</v>
      </c>
    </row>
    <row r="30" spans="1:15" ht="16" x14ac:dyDescent="0.2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4" t="str">
        <f>HYPERLINK("https://otsuka-europe-crm.veevavault.com/ui/#object/email_activity__v/V8C00000003S943", "EN-002094737")</f>
        <v>EN-002094737</v>
      </c>
    </row>
    <row r="31" spans="1:15" ht="16" x14ac:dyDescent="0.2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4" t="str">
        <f>HYPERLINK("https://otsuka-europe-crm.veevavault.com/ui/#object/email_activity__v/V8C00000003S944", "EN-002094739")</f>
        <v>EN-002094739</v>
      </c>
    </row>
    <row r="32" spans="1:15" ht="16" x14ac:dyDescent="0.2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4" t="str">
        <f>HYPERLINK("https://otsuka-europe-crm.veevavault.com/ui/#object/email_activity__v/V8C00000003S953", "EN-002094755")</f>
        <v>EN-002094755</v>
      </c>
    </row>
    <row r="33" spans="1:15" ht="16" x14ac:dyDescent="0.2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4" t="str">
        <f>HYPERLINK("https://otsuka-europe-crm.veevavault.com/ui/#object/email_activity__v/V8C00000003S957", "EN-002094761")</f>
        <v>EN-002094761</v>
      </c>
    </row>
    <row r="34" spans="1:15" ht="16" x14ac:dyDescent="0.2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4" t="str">
        <f>HYPERLINK("https://otsuka-europe-crm.veevavault.com/ui/#object/email_activity__v/V8C00000003S958", "EN-002094762")</f>
        <v>EN-002094762</v>
      </c>
    </row>
    <row r="35" spans="1:15" ht="16" x14ac:dyDescent="0.2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4" t="str">
        <f>HYPERLINK("https://otsuka-europe-crm.veevavault.com/ui/#object/email_activity__v/V8C00000003S968", "EN-002094784")</f>
        <v>EN-002094784</v>
      </c>
    </row>
    <row r="36" spans="1:15" ht="16" x14ac:dyDescent="0.2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4" t="str">
        <f>HYPERLINK("https://otsuka-europe-crm.veevavault.com/ui/#object/email_activity__v/V8C00000003S969", "EN-002094785")</f>
        <v>EN-002094785</v>
      </c>
    </row>
    <row r="37" spans="1:15" ht="16" x14ac:dyDescent="0.2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4" t="str">
        <f>HYPERLINK("https://otsuka-europe-crm.veevavault.com/ui/#object/email_activity__v/V8C00000003T555", "EN-002094730")</f>
        <v>EN-002094730</v>
      </c>
    </row>
    <row r="38" spans="1:15" ht="16" x14ac:dyDescent="0.2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4" t="str">
        <f>HYPERLINK("https://otsuka-europe-crm.veevavault.com/ui/#object/email_activity__v/V8C00000003T556", "EN-002094731")</f>
        <v>EN-002094731</v>
      </c>
    </row>
    <row r="39" spans="1:15" ht="16" x14ac:dyDescent="0.2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4" t="str">
        <f>HYPERLINK("https://otsuka-europe-crm.veevavault.com/ui/#object/email_activity__v/V8C00000003T560", "EN-002094738")</f>
        <v>EN-002094738</v>
      </c>
    </row>
    <row r="40" spans="1:15" ht="16" x14ac:dyDescent="0.2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4" t="str">
        <f>HYPERLINK("https://otsuka-europe-crm.veevavault.com/ui/#object/email_activity__v/V8C00000003T570", "EN-002094763")</f>
        <v>EN-002094763</v>
      </c>
    </row>
    <row r="41" spans="1:15" ht="16" x14ac:dyDescent="0.2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4" t="str">
        <f>HYPERLINK("https://otsuka-europe-crm.veevavault.com/ui/#object/email_activity__v/V8C00000003V421", "EN-002095610")</f>
        <v>EN-002095610</v>
      </c>
    </row>
    <row r="42" spans="1:15" ht="16" x14ac:dyDescent="0.2">
      <c r="A42" s="17" t="str">
        <f>HYPERLINK("https://otsuka-europe-crm.veevavault.com/ui/#object/account__v/V4TZ06G6O71T8VU", "MIGUEL ANGEL LOPEZ-NEVOT GARCIA")</f>
        <v>MIGUEL ANGEL LOPEZ-NEVOT GARCIA</v>
      </c>
      <c r="B42" s="17" t="str">
        <f>HYPERLINK("https://otsuka-europe-crm.veevavault.com/ui/#object/vcountry__v/VENZ000004SONF5", "ES")</f>
        <v>ES</v>
      </c>
      <c r="C42" s="20" t="s">
        <v>41</v>
      </c>
      <c r="D42" s="21" t="str">
        <f>HYPERLINK("https://otsuka-europe-crm.veevavault.com/ui/#object/approved_document__v/V5O00000001I001", "RXULTI - Programa webinar RXPERTS 11 junio")</f>
        <v>RXULTI - Programa webinar RXPERTS 11 junio</v>
      </c>
      <c r="E42" s="22" t="str">
        <f>HYPERLINK("https://otsuka-europe-crm.veevavault.com/ui/#object/sent_email__v/VBL00000002O032", "SE-001430894")</f>
        <v>SE-001430894</v>
      </c>
      <c r="F42" s="23">
        <v>46181.763020833336</v>
      </c>
      <c r="G42" s="24">
        <v>1</v>
      </c>
      <c r="H42" s="24">
        <v>1</v>
      </c>
      <c r="I42" s="24">
        <v>0</v>
      </c>
      <c r="J42" s="25"/>
      <c r="K42" s="24">
        <v>0</v>
      </c>
      <c r="L42" s="22" t="str">
        <f>HYPERLINK("https://otsuka-europe-crm.veevavault.com/ui/#object/approved_document__v/V5O00000001I001", "RXULTI - Programa webinar RXPERTS 11 junio")</f>
        <v>RXULTI - Programa webinar RXPERTS 11 junio</v>
      </c>
      <c r="M42" s="22" t="str">
        <f>HYPERLINK("mailto:oestevez@crm.otsuka-europe.com", "oestevez@crm.otsuka-europe.com")</f>
        <v>oestevez@crm.otsuka-europe.com</v>
      </c>
      <c r="N42" s="23">
        <v>46174.414965277778</v>
      </c>
      <c r="O42" s="14" t="str">
        <f>HYPERLINK("https://otsuka-europe-crm.veevavault.com/ui/#object/email_activity__v/V8C00000003K108", "EN-002086106")</f>
        <v>EN-002086106</v>
      </c>
    </row>
    <row r="43" spans="1:15" ht="16" x14ac:dyDescent="0.2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4" t="str">
        <f>HYPERLINK("https://otsuka-europe-crm.veevavault.com/ui/#object/email_activity__v/V8C00000003K110", "EN-002086109")</f>
        <v>EN-002086109</v>
      </c>
    </row>
    <row r="44" spans="1:15" ht="16" x14ac:dyDescent="0.2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4" t="str">
        <f>HYPERLINK("https://otsuka-europe-crm.veevavault.com/ui/#object/email_activity__v/V8C00000003R274", "EN-002092180")</f>
        <v>EN-002092180</v>
      </c>
    </row>
    <row r="45" spans="1:15" ht="16" x14ac:dyDescent="0.2">
      <c r="A45" s="17" t="str">
        <f>HYPERLINK("https://otsuka-europe-crm.veevavault.com/ui/#object/account__v/V4TZ06G6O71TB71", "LAURA MATA ITURRALDE")</f>
        <v>LAURA MATA ITURRALDE</v>
      </c>
      <c r="B45" s="17" t="str">
        <f>HYPERLINK("https://otsuka-europe-crm.veevavault.com/ui/#object/vcountry__v/VENZ000004SONF5", "ES")</f>
        <v>ES</v>
      </c>
      <c r="C45" s="20" t="s">
        <v>41</v>
      </c>
      <c r="D45" s="21" t="str">
        <f>HYPERLINK("https://otsuka-europe-crm.veevavault.com/ui/#object/approved_document__v/V5O00000001I001", "RXULTI - Programa webinar RXPERTS 11 junio")</f>
        <v>RXULTI - Programa webinar RXPERTS 11 junio</v>
      </c>
      <c r="E45" s="22" t="str">
        <f>HYPERLINK("https://otsuka-europe-crm.veevavault.com/ui/#object/sent_email__v/VBL00000002O033", "SE-001430895")</f>
        <v>SE-001430895</v>
      </c>
      <c r="F45" s="23">
        <v>46181.67564814815</v>
      </c>
      <c r="G45" s="24">
        <v>1</v>
      </c>
      <c r="H45" s="24">
        <v>1</v>
      </c>
      <c r="I45" s="24">
        <v>0</v>
      </c>
      <c r="J45" s="25"/>
      <c r="K45" s="24">
        <v>0</v>
      </c>
      <c r="L45" s="22" t="str">
        <f>HYPERLINK("https://otsuka-europe-crm.veevavault.com/ui/#object/approved_document__v/V5O00000001I001", "RXULTI - Programa webinar RXPERTS 11 junio")</f>
        <v>RXULTI - Programa webinar RXPERTS 11 junio</v>
      </c>
      <c r="M45" s="22" t="str">
        <f>HYPERLINK("mailto:oestevez@crm.otsuka-europe.com", "oestevez@crm.otsuka-europe.com")</f>
        <v>oestevez@crm.otsuka-europe.com</v>
      </c>
      <c r="N45" s="23">
        <v>46174.414965277778</v>
      </c>
      <c r="O45" s="14" t="str">
        <f>HYPERLINK("https://otsuka-europe-crm.veevavault.com/ui/#object/email_activity__v/V8C00000003K109", "EN-002086107")</f>
        <v>EN-002086107</v>
      </c>
    </row>
    <row r="46" spans="1:15" ht="16" x14ac:dyDescent="0.2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4" t="str">
        <f>HYPERLINK("https://otsuka-europe-crm.veevavault.com/ui/#object/email_activity__v/V8C00000003K118", "EN-002086123")</f>
        <v>EN-002086123</v>
      </c>
    </row>
    <row r="47" spans="1:15" ht="16" x14ac:dyDescent="0.2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4" t="str">
        <f>HYPERLINK("https://otsuka-europe-crm.veevavault.com/ui/#object/email_activity__v/V8C00000003Q628", "EN-002092080")</f>
        <v>EN-002092080</v>
      </c>
    </row>
    <row r="48" spans="1:15" ht="48" x14ac:dyDescent="0.2">
      <c r="A48" s="7" t="str">
        <f>HYPERLINK("https://otsuka-europe-crm.veevavault.com/ui/#object/account__v/V4TZ00000633LLH", "TRAIAN DANIEL ALEXEI")</f>
        <v>TRAIAN DANIEL ALEXEI</v>
      </c>
      <c r="B48" s="7" t="str">
        <f>HYPERLINK("https://otsuka-europe-crm.veevavault.com/ui/#object/vcountry__v/VENZ000004SONFA", "FR")</f>
        <v>FR</v>
      </c>
      <c r="C48" s="8" t="s">
        <v>42</v>
      </c>
      <c r="D48" s="9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E48" s="10" t="str">
        <f>HYPERLINK("https://otsuka-europe-crm.veevavault.com/ui/#object/sent_email__v/VBL00000002O034", "SE-001430896")</f>
        <v>SE-001430896</v>
      </c>
      <c r="F48" s="11"/>
      <c r="G48" s="12">
        <v>0</v>
      </c>
      <c r="H48" s="12">
        <v>0</v>
      </c>
      <c r="I48" s="12">
        <v>0</v>
      </c>
      <c r="J48" s="11"/>
      <c r="K48" s="12">
        <v>0</v>
      </c>
      <c r="L48" s="10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M48" s="10" t="str">
        <f>HYPERLINK("mailto:ijardy@crm.otsuka-europe.com", "ijardy@crm.otsuka-europe.com")</f>
        <v>ijardy@crm.otsuka-europe.com</v>
      </c>
      <c r="N48" s="13">
        <v>46178.092199074075</v>
      </c>
      <c r="O48" s="14" t="str">
        <f>HYPERLINK("https://otsuka-europe-crm.veevavault.com/ui/#object/email_activity__v/V8C00000003P004", "EN-002089258")</f>
        <v>EN-002089258</v>
      </c>
    </row>
    <row r="49" spans="1:15" ht="48" x14ac:dyDescent="0.2">
      <c r="A49" s="7" t="str">
        <f>HYPERLINK("https://otsuka-europe-crm.veevavault.com/ui/#object/account__v/V4TZ00000633P0D", "JEAN DIDIER DECKOUS MOUNTOU")</f>
        <v>JEAN DIDIER DECKOUS MOUNTOU</v>
      </c>
      <c r="B49" s="7" t="str">
        <f>HYPERLINK("https://otsuka-europe-crm.veevavault.com/ui/#object/vcountry__v/VENZ000004SONFA", "FR")</f>
        <v>FR</v>
      </c>
      <c r="C49" s="8" t="s">
        <v>42</v>
      </c>
      <c r="D49" s="9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E49" s="10" t="str">
        <f>HYPERLINK("https://otsuka-europe-crm.veevavault.com/ui/#object/sent_email__v/VBL00000002N022", "SE-001430897")</f>
        <v>SE-001430897</v>
      </c>
      <c r="F49" s="11"/>
      <c r="G49" s="12">
        <v>0</v>
      </c>
      <c r="H49" s="12">
        <v>0</v>
      </c>
      <c r="I49" s="12">
        <v>0</v>
      </c>
      <c r="J49" s="11"/>
      <c r="K49" s="12">
        <v>0</v>
      </c>
      <c r="L49" s="10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M49" s="10" t="str">
        <f>HYPERLINK("mailto:ijardy@crm.otsuka-europe.com", "ijardy@crm.otsuka-europe.com")</f>
        <v>ijardy@crm.otsuka-europe.com</v>
      </c>
      <c r="N49" s="13">
        <v>46175.633923611109</v>
      </c>
      <c r="O49" s="14" t="str">
        <f>HYPERLINK("https://otsuka-europe-crm.veevavault.com/ui/#object/email_activity__v/V8C00000003M044", "EN-002087916")</f>
        <v>EN-002087916</v>
      </c>
    </row>
    <row r="50" spans="1:15" ht="16" x14ac:dyDescent="0.2">
      <c r="A50" s="17" t="str">
        <f>HYPERLINK("https://otsuka-europe-crm.veevavault.com/ui/#object/account__v/V4T00000001Y002", "Patricia Jacob")</f>
        <v>Patricia Jacob</v>
      </c>
      <c r="B50" s="17" t="str">
        <f>HYPERLINK("https://otsuka-europe-crm.veevavault.com/ui/#object/vcountry__v/VENZ000004SONFK", "GB")</f>
        <v>GB</v>
      </c>
      <c r="C50" s="20" t="s">
        <v>39</v>
      </c>
      <c r="D50" s="21" t="str">
        <f>HYPERLINK("https://otsuka-europe-crm.veevavault.com/ui/#object/approved_document__v/V5O00000000D081", "UK - Consent Email 1 Aug 25")</f>
        <v>UK - Consent Email 1 Aug 25</v>
      </c>
      <c r="E50" s="22" t="str">
        <f>HYPERLINK("https://otsuka-europe-crm.veevavault.com/ui/#object/sent_email__v/VBL00000002O035", "SE-001430898")</f>
        <v>SE-001430898</v>
      </c>
      <c r="F50" s="23">
        <v>46174.473356481481</v>
      </c>
      <c r="G50" s="24">
        <v>1</v>
      </c>
      <c r="H50" s="24">
        <v>1</v>
      </c>
      <c r="I50" s="24">
        <v>1</v>
      </c>
      <c r="J50" s="23">
        <v>46174.473356481481</v>
      </c>
      <c r="K50" s="24">
        <v>1</v>
      </c>
      <c r="L50" s="22" t="str">
        <f>HYPERLINK("https://otsuka-europe-crm.veevavault.com/ui/#object/approved_document__v/V5O00000000D081", "UK - Consent Email 1 Aug 25")</f>
        <v>UK - Consent Email 1 Aug 25</v>
      </c>
      <c r="M50" s="22" t="str">
        <f>HYPERLINK("mailto:draval@crm.otsuka-europe.com", "draval@crm.otsuka-europe.com")</f>
        <v>draval@crm.otsuka-europe.com</v>
      </c>
      <c r="N50" s="23">
        <v>46174.432928240742</v>
      </c>
      <c r="O50" s="14" t="str">
        <f>HYPERLINK("https://otsuka-europe-crm.veevavault.com/ui/#object/email_activity__v/V8C00000003L089", "EN-002086113")</f>
        <v>EN-002086113</v>
      </c>
    </row>
    <row r="51" spans="1:15" ht="16" x14ac:dyDescent="0.2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4" t="str">
        <f>HYPERLINK("https://otsuka-europe-crm.veevavault.com/ui/#object/email_activity__v/V8C00000003L108", "EN-002086150")</f>
        <v>EN-002086150</v>
      </c>
    </row>
    <row r="52" spans="1:15" ht="16" x14ac:dyDescent="0.2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4" t="str">
        <f>HYPERLINK("https://otsuka-europe-crm.veevavault.com/ui/#object/email_activity__v/V8C00000003L109", "EN-002086149")</f>
        <v>EN-002086149</v>
      </c>
    </row>
    <row r="53" spans="1:15" ht="32" x14ac:dyDescent="0.2">
      <c r="A53" s="7" t="str">
        <f>HYPERLINK("https://otsuka-europe-crm.veevavault.com/ui/#object/account__v/V4TZ04ASG8VBSEL", "Karise Graham")</f>
        <v>Karise Graham</v>
      </c>
      <c r="B53" s="7" t="str">
        <f>HYPERLINK("https://otsuka-europe-crm.veevavault.com/ui/#object/vcountry__v/VENZ000004SONFK", "GB")</f>
        <v>GB</v>
      </c>
      <c r="C53" s="8" t="s">
        <v>39</v>
      </c>
      <c r="D53" s="9" t="str">
        <f>HYPERLINK("https://otsuka-europe-crm.veevavault.com/ui/#object/approved_document__v/V5O00000001H005", "LDM DR P2P Invite 23-Jun-26 [digital]")</f>
        <v>LDM DR P2P Invite 23-Jun-26 [digital]</v>
      </c>
      <c r="E53" s="10" t="str">
        <f>HYPERLINK("https://otsuka-europe-crm.veevavault.com/ui/#object/sent_email__v/VBL00000002N023", "SE-001430899")</f>
        <v>SE-001430899</v>
      </c>
      <c r="F53" s="11"/>
      <c r="G53" s="12">
        <v>0</v>
      </c>
      <c r="H53" s="12">
        <v>0</v>
      </c>
      <c r="I53" s="12">
        <v>0</v>
      </c>
      <c r="J53" s="11"/>
      <c r="K53" s="12">
        <v>0</v>
      </c>
      <c r="L53" s="10" t="str">
        <f>HYPERLINK("https://otsuka-europe-crm.veevavault.com/ui/#object/approved_document__v/V5O00000001H005", "LDM DR P2P Invite 23-Jun-26 [digital]")</f>
        <v>LDM DR P2P Invite 23-Jun-26 [digital]</v>
      </c>
      <c r="M53" s="10" t="str">
        <f>HYPERLINK("mailto:draval@crm.otsuka-europe.com", "draval@crm.otsuka-europe.com")</f>
        <v>draval@crm.otsuka-europe.com</v>
      </c>
      <c r="N53" s="13">
        <v>46174.434803240743</v>
      </c>
      <c r="O53" s="14" t="str">
        <f>HYPERLINK("https://otsuka-europe-crm.veevavault.com/ui/#object/email_activity__v/V8C00000003K115", "EN-002086115")</f>
        <v>EN-002086115</v>
      </c>
    </row>
    <row r="54" spans="1:15" ht="32" x14ac:dyDescent="0.2">
      <c r="A54" s="7" t="str">
        <f>HYPERLINK("https://otsuka-europe-crm.veevavault.com/ui/#object/account__v/V4TZ04ASG8VBSEL", "Karise Graham")</f>
        <v>Karise Graham</v>
      </c>
      <c r="B54" s="7" t="str">
        <f>HYPERLINK("https://otsuka-europe-crm.veevavault.com/ui/#object/vcountry__v/VENZ000004SONFK", "GB")</f>
        <v>GB</v>
      </c>
      <c r="C54" s="8" t="s">
        <v>39</v>
      </c>
      <c r="D54" s="9" t="str">
        <f>HYPERLINK("https://otsuka-europe-crm.veevavault.com/ui/#object/approved_document__v/V5O00000001H007", "DR P2P Invite 18-Jun-26 [digital]")</f>
        <v>DR P2P Invite 18-Jun-26 [digital]</v>
      </c>
      <c r="E54" s="10" t="str">
        <f>HYPERLINK("https://otsuka-europe-crm.veevavault.com/ui/#object/sent_email__v/VBL00000002N024", "SE-001430900")</f>
        <v>SE-001430900</v>
      </c>
      <c r="F54" s="11"/>
      <c r="G54" s="12">
        <v>0</v>
      </c>
      <c r="H54" s="12">
        <v>0</v>
      </c>
      <c r="I54" s="12">
        <v>0</v>
      </c>
      <c r="J54" s="11"/>
      <c r="K54" s="12">
        <v>0</v>
      </c>
      <c r="L54" s="10" t="str">
        <f>HYPERLINK("https://otsuka-europe-crm.veevavault.com/ui/#object/approved_document__v/V5O00000001H007", "DR P2P Invite 18-Jun-26 [digital]")</f>
        <v>DR P2P Invite 18-Jun-26 [digital]</v>
      </c>
      <c r="M54" s="10" t="str">
        <f>HYPERLINK("mailto:draval@crm.otsuka-europe.com", "draval@crm.otsuka-europe.com")</f>
        <v>draval@crm.otsuka-europe.com</v>
      </c>
      <c r="N54" s="13">
        <v>46174.434942129628</v>
      </c>
      <c r="O54" s="14" t="str">
        <f>HYPERLINK("https://otsuka-europe-crm.veevavault.com/ui/#object/email_activity__v/V8C00000003K116", "EN-002086116")</f>
        <v>EN-002086116</v>
      </c>
    </row>
    <row r="55" spans="1:15" ht="16" x14ac:dyDescent="0.2">
      <c r="A55" s="17" t="str">
        <f>HYPERLINK("https://otsuka-europe-crm.veevavault.com/ui/#object/account__v/V4TZ06G6O8KU1W1", "Mehtab Rahman")</f>
        <v>Mehtab Rahman</v>
      </c>
      <c r="B55" s="17" t="str">
        <f>HYPERLINK("https://otsuka-europe-crm.veevavault.com/ui/#object/vcountry__v/VENZ000004SONFK", "GB")</f>
        <v>GB</v>
      </c>
      <c r="C55" s="20" t="s">
        <v>39</v>
      </c>
      <c r="D55" s="21" t="str">
        <f>HYPERLINK("https://otsuka-europe-crm.veevavault.com/ui/#object/approved_document__v/V5O00000001H005", "LDM DR P2P Invite 23-Jun-26 [digital]")</f>
        <v>LDM DR P2P Invite 23-Jun-26 [digital]</v>
      </c>
      <c r="E55" s="22" t="str">
        <f>HYPERLINK("https://otsuka-europe-crm.veevavault.com/ui/#object/sent_email__v/VBL00000002N025", "SE-001430901")</f>
        <v>SE-001430901</v>
      </c>
      <c r="F55" s="23">
        <v>46174.451053240744</v>
      </c>
      <c r="G55" s="24">
        <v>1</v>
      </c>
      <c r="H55" s="24">
        <v>2</v>
      </c>
      <c r="I55" s="24">
        <v>0</v>
      </c>
      <c r="J55" s="25"/>
      <c r="K55" s="24">
        <v>0</v>
      </c>
      <c r="L55" s="22" t="str">
        <f>HYPERLINK("https://otsuka-europe-crm.veevavault.com/ui/#object/approved_document__v/V5O00000001H005", "LDM DR P2P Invite 23-Jun-26 [digital]")</f>
        <v>LDM DR P2P Invite 23-Jun-26 [digital]</v>
      </c>
      <c r="M55" s="22" t="str">
        <f>HYPERLINK("mailto:draval@crm.otsuka-europe.com", "draval@crm.otsuka-europe.com")</f>
        <v>draval@crm.otsuka-europe.com</v>
      </c>
      <c r="N55" s="23">
        <v>46174.450254629628</v>
      </c>
      <c r="O55" s="14" t="str">
        <f>HYPERLINK("https://otsuka-europe-crm.veevavault.com/ui/#object/email_activity__v/V8C00000003K121", "EN-002086127")</f>
        <v>EN-002086127</v>
      </c>
    </row>
    <row r="56" spans="1:15" ht="16" x14ac:dyDescent="0.2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4" t="str">
        <f>HYPERLINK("https://otsuka-europe-crm.veevavault.com/ui/#object/email_activity__v/V8C00000003L095", "EN-002086125")</f>
        <v>EN-002086125</v>
      </c>
    </row>
    <row r="57" spans="1:15" ht="16" x14ac:dyDescent="0.2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4" t="str">
        <f>HYPERLINK("https://otsuka-europe-crm.veevavault.com/ui/#object/email_activity__v/V8C00000003L096", "EN-002086129")</f>
        <v>EN-002086129</v>
      </c>
    </row>
    <row r="58" spans="1:15" ht="16" x14ac:dyDescent="0.2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4" t="str">
        <f>HYPERLINK("https://otsuka-europe-crm.veevavault.com/ui/#object/email_activity__v/V8C00000003P054", "EN-002089344")</f>
        <v>EN-002089344</v>
      </c>
    </row>
    <row r="59" spans="1:15" ht="16" x14ac:dyDescent="0.2">
      <c r="A59" s="17" t="str">
        <f>HYPERLINK("https://otsuka-europe-crm.veevavault.com/ui/#object/account__v/V4TZ06G6O8KU1W1", "Mehtab Rahman")</f>
        <v>Mehtab Rahman</v>
      </c>
      <c r="B59" s="17" t="str">
        <f>HYPERLINK("https://otsuka-europe-crm.veevavault.com/ui/#object/vcountry__v/VENZ000004SONFK", "GB")</f>
        <v>GB</v>
      </c>
      <c r="C59" s="20" t="s">
        <v>39</v>
      </c>
      <c r="D59" s="21" t="str">
        <f>HYPERLINK("https://otsuka-europe-crm.veevavault.com/ui/#object/approved_document__v/V5O00000001H007", "DR P2P Invite 18-Jun-26 [digital]")</f>
        <v>DR P2P Invite 18-Jun-26 [digital]</v>
      </c>
      <c r="E59" s="22" t="str">
        <f>HYPERLINK("https://otsuka-europe-crm.veevavault.com/ui/#object/sent_email__v/VBL00000002N026", "SE-001430902")</f>
        <v>SE-001430902</v>
      </c>
      <c r="F59" s="23">
        <v>46174.450937499998</v>
      </c>
      <c r="G59" s="24">
        <v>1</v>
      </c>
      <c r="H59" s="24">
        <v>2</v>
      </c>
      <c r="I59" s="24">
        <v>0</v>
      </c>
      <c r="J59" s="25"/>
      <c r="K59" s="24">
        <v>0</v>
      </c>
      <c r="L59" s="22" t="str">
        <f>HYPERLINK("https://otsuka-europe-crm.veevavault.com/ui/#object/approved_document__v/V5O00000001H007", "DR P2P Invite 18-Jun-26 [digital]")</f>
        <v>DR P2P Invite 18-Jun-26 [digital]</v>
      </c>
      <c r="M59" s="22" t="str">
        <f>HYPERLINK("mailto:draval@crm.otsuka-europe.com", "draval@crm.otsuka-europe.com")</f>
        <v>draval@crm.otsuka-europe.com</v>
      </c>
      <c r="N59" s="23">
        <v>46174.450358796297</v>
      </c>
      <c r="O59" s="14" t="str">
        <f>HYPERLINK("https://otsuka-europe-crm.veevavault.com/ui/#object/email_activity__v/V8C00000003K119", "EN-002086124")</f>
        <v>EN-002086124</v>
      </c>
    </row>
    <row r="60" spans="1:15" ht="16" x14ac:dyDescent="0.2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4" t="str">
        <f>HYPERLINK("https://otsuka-europe-crm.veevavault.com/ui/#object/email_activity__v/V8C00000003K120", "EN-002086126")</f>
        <v>EN-002086126</v>
      </c>
    </row>
    <row r="61" spans="1:15" ht="16" x14ac:dyDescent="0.2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4" t="str">
        <f>HYPERLINK("https://otsuka-europe-crm.veevavault.com/ui/#object/email_activity__v/V8C00000003K122", "EN-002086128")</f>
        <v>EN-002086128</v>
      </c>
    </row>
    <row r="62" spans="1:15" ht="16" x14ac:dyDescent="0.2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4" t="str">
        <f>HYPERLINK("https://otsuka-europe-crm.veevavault.com/ui/#object/email_activity__v/V8C00000003P056", "EN-002089346")</f>
        <v>EN-002089346</v>
      </c>
    </row>
    <row r="63" spans="1:15" ht="16" x14ac:dyDescent="0.2">
      <c r="A63" s="17" t="str">
        <f>HYPERLINK("https://otsuka-europe-crm.veevavault.com/ui/#object/account__v/V4T00000000R009", "Tsz Law")</f>
        <v>Tsz Law</v>
      </c>
      <c r="B63" s="17" t="str">
        <f>HYPERLINK("https://otsuka-europe-crm.veevavault.com/ui/#object/vcountry__v/VENZ000004SONFK", "GB")</f>
        <v>GB</v>
      </c>
      <c r="C63" s="20" t="s">
        <v>39</v>
      </c>
      <c r="D63" s="21" t="str">
        <f>HYPERLINK("https://otsuka-europe-crm.veevavault.com/ui/#object/approved_document__v/V5O00000001H005", "LDM DR P2P Invite 23-Jun-26 [digital]")</f>
        <v>LDM DR P2P Invite 23-Jun-26 [digital]</v>
      </c>
      <c r="E63" s="22" t="str">
        <f>HYPERLINK("https://otsuka-europe-crm.veevavault.com/ui/#object/sent_email__v/VBL00000002N027", "SE-001430903")</f>
        <v>SE-001430903</v>
      </c>
      <c r="F63" s="25"/>
      <c r="G63" s="24">
        <v>0</v>
      </c>
      <c r="H63" s="24">
        <v>0</v>
      </c>
      <c r="I63" s="24">
        <v>0</v>
      </c>
      <c r="J63" s="25"/>
      <c r="K63" s="24">
        <v>0</v>
      </c>
      <c r="L63" s="22" t="str">
        <f>HYPERLINK("https://otsuka-europe-crm.veevavault.com/ui/#object/approved_document__v/V5O00000001H005", "LDM DR P2P Invite 23-Jun-26 [digital]")</f>
        <v>LDM DR P2P Invite 23-Jun-26 [digital]</v>
      </c>
      <c r="M63" s="22" t="str">
        <f>HYPERLINK("mailto:draval@crm.otsuka-europe.com", "draval@crm.otsuka-europe.com")</f>
        <v>draval@crm.otsuka-europe.com</v>
      </c>
      <c r="N63" s="23">
        <v>46174.451145833336</v>
      </c>
      <c r="O63" s="14" t="str">
        <f>HYPERLINK("https://otsuka-europe-crm.veevavault.com/ui/#object/email_activity__v/V8C00000003K124", "EN-002086134")</f>
        <v>EN-002086134</v>
      </c>
    </row>
    <row r="64" spans="1:15" ht="16" x14ac:dyDescent="0.2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4" t="str">
        <f>HYPERLINK("https://otsuka-europe-crm.veevavault.com/ui/#object/email_activity__v/V8C00000003L097", "EN-002086130")</f>
        <v>EN-002086130</v>
      </c>
    </row>
    <row r="65" spans="1:15" ht="16" x14ac:dyDescent="0.2">
      <c r="A65" s="17" t="str">
        <f>HYPERLINK("https://otsuka-europe-crm.veevavault.com/ui/#object/account__v/V4T00000000R009", "Tsz Law")</f>
        <v>Tsz Law</v>
      </c>
      <c r="B65" s="17" t="str">
        <f>HYPERLINK("https://otsuka-europe-crm.veevavault.com/ui/#object/vcountry__v/VENZ000004SONFK", "GB")</f>
        <v>GB</v>
      </c>
      <c r="C65" s="20" t="s">
        <v>39</v>
      </c>
      <c r="D65" s="21" t="str">
        <f>HYPERLINK("https://otsuka-europe-crm.veevavault.com/ui/#object/approved_document__v/V5O00000001H007", "DR P2P Invite 18-Jun-26 [digital]")</f>
        <v>DR P2P Invite 18-Jun-26 [digital]</v>
      </c>
      <c r="E65" s="22" t="str">
        <f>HYPERLINK("https://otsuka-europe-crm.veevavault.com/ui/#object/sent_email__v/VBL00000002N028", "SE-001430904")</f>
        <v>SE-001430904</v>
      </c>
      <c r="F65" s="23">
        <v>46174.451273148145</v>
      </c>
      <c r="G65" s="24">
        <v>1</v>
      </c>
      <c r="H65" s="24">
        <v>1</v>
      </c>
      <c r="I65" s="24">
        <v>0</v>
      </c>
      <c r="J65" s="25"/>
      <c r="K65" s="24">
        <v>0</v>
      </c>
      <c r="L65" s="22" t="str">
        <f>HYPERLINK("https://otsuka-europe-crm.veevavault.com/ui/#object/approved_document__v/V5O00000001H007", "DR P2P Invite 18-Jun-26 [digital]")</f>
        <v>DR P2P Invite 18-Jun-26 [digital]</v>
      </c>
      <c r="M65" s="22" t="str">
        <f>HYPERLINK("mailto:draval@crm.otsuka-europe.com", "draval@crm.otsuka-europe.com")</f>
        <v>draval@crm.otsuka-europe.com</v>
      </c>
      <c r="N65" s="23">
        <v>46174.451203703706</v>
      </c>
      <c r="O65" s="14" t="str">
        <f>HYPERLINK("https://otsuka-europe-crm.veevavault.com/ui/#object/email_activity__v/V8C00000003K123", "EN-002086131")</f>
        <v>EN-002086131</v>
      </c>
    </row>
    <row r="66" spans="1:15" ht="16" x14ac:dyDescent="0.2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4" t="str">
        <f>HYPERLINK("https://otsuka-europe-crm.veevavault.com/ui/#object/email_activity__v/V8C00000003L098", "EN-002086132")</f>
        <v>EN-002086132</v>
      </c>
    </row>
    <row r="67" spans="1:15" ht="16" x14ac:dyDescent="0.2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4" t="str">
        <f>HYPERLINK("https://otsuka-europe-crm.veevavault.com/ui/#object/email_activity__v/V8C00000003L099", "EN-002086133")</f>
        <v>EN-002086133</v>
      </c>
    </row>
    <row r="68" spans="1:15" ht="32" x14ac:dyDescent="0.2">
      <c r="A68" s="7" t="str">
        <f>HYPERLINK("https://otsuka-europe-crm.veevavault.com/ui/#object/account__v/V4T000000021013", "Jennifer Osborne")</f>
        <v>Jennifer Osborne</v>
      </c>
      <c r="B68" s="7" t="str">
        <f>HYPERLINK("https://otsuka-europe-crm.veevavault.com/ui/#object/vcountry__v/VENZ000004SONFK", "GB")</f>
        <v>GB</v>
      </c>
      <c r="C68" s="8" t="s">
        <v>39</v>
      </c>
      <c r="D68" s="9" t="str">
        <f>HYPERLINK("https://otsuka-europe-crm.veevavault.com/ui/#object/approved_document__v/V5OZ025E82PXJSL", "Otsuka Privacy Notice - UK (v2)")</f>
        <v>Otsuka Privacy Notice - UK (v2)</v>
      </c>
      <c r="E68" s="10" t="str">
        <f>HYPERLINK("https://otsuka-europe-crm.veevavault.com/ui/#object/sent_email__v/VBL00000002N030", "SE-001430905")</f>
        <v>SE-001430905</v>
      </c>
      <c r="F68" s="11"/>
      <c r="G68" s="12">
        <v>0</v>
      </c>
      <c r="H68" s="12">
        <v>0</v>
      </c>
      <c r="I68" s="12">
        <v>0</v>
      </c>
      <c r="J68" s="11"/>
      <c r="K68" s="12">
        <v>0</v>
      </c>
      <c r="L68" s="10" t="str">
        <f>HYPERLINK("https://otsuka-europe-crm.veevavault.com/ui/#object/approved_document__v/V5OZ025E82PXJSL", "Otsuka Privacy Notice - UK (v2)")</f>
        <v>Otsuka Privacy Notice - UK (v2)</v>
      </c>
      <c r="M68" s="10" t="str">
        <f>HYPERLINK("mailto:KWood@crm.otsuka-europe.com", "KWood@crm.otsuka-europe.com")</f>
        <v>KWood@crm.otsuka-europe.com</v>
      </c>
      <c r="N68" s="13">
        <v>46174.489803240744</v>
      </c>
      <c r="O68" s="14" t="str">
        <f>HYPERLINK("https://otsuka-europe-crm.veevavault.com/ui/#object/email_activity__v/V8C00000003K136", "EN-002086158")</f>
        <v>EN-002086158</v>
      </c>
    </row>
    <row r="69" spans="1:15" ht="48" x14ac:dyDescent="0.2">
      <c r="A69" s="7" t="str">
        <f>HYPERLINK("https://otsuka-europe-crm.veevavault.com/ui/#object/account__v/V4TZ06G6OB44RCJ", "OLIVIER FAIN")</f>
        <v>OLIVIER FAIN</v>
      </c>
      <c r="B69" s="7" t="str">
        <f>HYPERLINK("https://otsuka-europe-crm.veevavault.com/ui/#object/vcountry__v/VENZ000004SONFA", "FR")</f>
        <v>FR</v>
      </c>
      <c r="C69" s="8" t="s">
        <v>42</v>
      </c>
      <c r="D69" s="9" t="str">
        <f>HYPERLINK("https://otsuka-europe-crm.veevavault.com/ui/#object/approved_document__v/V5O000000019008", "INVITATION VAD 2026 DAWNZERA")</f>
        <v>INVITATION VAD 2026 DAWNZERA</v>
      </c>
      <c r="E69" s="10" t="str">
        <f>HYPERLINK("https://otsuka-europe-crm.veevavault.com/ui/#object/sent_email__v/VBL00000002N031", "SE-001430906")</f>
        <v>SE-001430906</v>
      </c>
      <c r="F69" s="11"/>
      <c r="G69" s="12">
        <v>0</v>
      </c>
      <c r="H69" s="12">
        <v>0</v>
      </c>
      <c r="I69" s="12">
        <v>0</v>
      </c>
      <c r="J69" s="11"/>
      <c r="K69" s="12">
        <v>0</v>
      </c>
      <c r="L69" s="10" t="str">
        <f>HYPERLINK("https://otsuka-europe-crm.veevavault.com/ui/#object/approved_document__v/V5O000000019008", "INVITATION VAD 2026 DAWNZERA")</f>
        <v>INVITATION VAD 2026 DAWNZERA</v>
      </c>
      <c r="M69" s="10" t="str">
        <f>HYPERLINK("mailto:lopizzi-delerat@crm.otsuka-europe.com", "lopizzi-delerat@crm.otsuka-europe.com")</f>
        <v>lopizzi-delerat@crm.otsuka-europe.com</v>
      </c>
      <c r="N69" s="13">
        <v>46174.588935185187</v>
      </c>
      <c r="O69" s="14" t="str">
        <f>HYPERLINK("https://otsuka-europe-crm.veevavault.com/ui/#object/email_activity__v/V8C00000003L125", "EN-002086175")</f>
        <v>EN-002086175</v>
      </c>
    </row>
    <row r="70" spans="1:15" ht="32" x14ac:dyDescent="0.2">
      <c r="A70" s="7" t="str">
        <f>HYPERLINK("https://otsuka-europe-crm.veevavault.com/ui/#object/account__v/V4T00000001F016", "Nicolas Trathnigg")</f>
        <v>Nicolas Trathnigg</v>
      </c>
      <c r="B70" s="7" t="str">
        <f>HYPERLINK("https://otsuka-europe-crm.veevavault.com/ui/#object/vcountry__v/VENZ000004SONFD", "AT")</f>
        <v>AT</v>
      </c>
      <c r="C70" s="8" t="s">
        <v>40</v>
      </c>
      <c r="D70" s="9" t="str">
        <f>HYPERLINK("https://otsuka-europe-crm.veevavault.com/ui/#object/approved_document__v/V5O00000000S023", "INA VAE AT EREP – EL OeGHO 2026 Bregenz")</f>
        <v>INA VAE AT EREP – EL OeGHO 2026 Bregenz</v>
      </c>
      <c r="E70" s="10" t="str">
        <f>HYPERLINK("https://otsuka-europe-crm.veevavault.com/ui/#object/sent_email__v/VBL00000002N032", "SE-001430907")</f>
        <v>SE-001430907</v>
      </c>
      <c r="F70" s="11"/>
      <c r="G70" s="12">
        <v>0</v>
      </c>
      <c r="H70" s="12">
        <v>0</v>
      </c>
      <c r="I70" s="12">
        <v>0</v>
      </c>
      <c r="J70" s="11"/>
      <c r="K70" s="12">
        <v>0</v>
      </c>
      <c r="L70" s="10" t="str">
        <f>HYPERLINK("https://otsuka-europe-crm.veevavault.com/ui/#object/approved_document__v/V5O00000000S023", "INA VAE AT EREP – EL OeGHO 2026 Bregenz")</f>
        <v>INA VAE AT EREP – EL OeGHO 2026 Bregenz</v>
      </c>
      <c r="M70" s="10" t="str">
        <f>HYPERLINK("mailto:nlerchner@crm.otsuka-europe.com", "nlerchner@crm.otsuka-europe.com")</f>
        <v>nlerchner@crm.otsuka-europe.com</v>
      </c>
      <c r="N70" s="13">
        <v>46174.597141203703</v>
      </c>
      <c r="O70" s="14" t="str">
        <f>HYPERLINK("https://otsuka-europe-crm.veevavault.com/ui/#object/email_activity__v/V8C00000003L126", "EN-002086176")</f>
        <v>EN-002086176</v>
      </c>
    </row>
    <row r="71" spans="1:15" ht="32" x14ac:dyDescent="0.2">
      <c r="A71" s="7" t="str">
        <f>HYPERLINK("https://otsuka-europe-crm.veevavault.com/ui/#object/account__v/V4T00000001F016", "Nicolas Trathnigg")</f>
        <v>Nicolas Trathnigg</v>
      </c>
      <c r="B71" s="7" t="str">
        <f>HYPERLINK("https://otsuka-europe-crm.veevavault.com/ui/#object/vcountry__v/VENZ000004SONFD", "AT")</f>
        <v>AT</v>
      </c>
      <c r="C71" s="8" t="s">
        <v>40</v>
      </c>
      <c r="D71" s="9" t="str">
        <f>HYPERLINK("https://otsuka-europe-crm.veevavault.com/ui/#object/approved_document__v/V5OZ025E82U22VS", "INA VAE AT EREP - Patienten mit TP53-Mutation")</f>
        <v>INA VAE AT EREP - Patienten mit TP53-Mutation</v>
      </c>
      <c r="E71" s="10" t="str">
        <f>HYPERLINK("https://otsuka-europe-crm.veevavault.com/ui/#object/sent_email__v/VBL00000002N033", "SE-001430908")</f>
        <v>SE-001430908</v>
      </c>
      <c r="F71" s="11"/>
      <c r="G71" s="12">
        <v>0</v>
      </c>
      <c r="H71" s="12">
        <v>0</v>
      </c>
      <c r="I71" s="12">
        <v>0</v>
      </c>
      <c r="J71" s="11"/>
      <c r="K71" s="12">
        <v>0</v>
      </c>
      <c r="L71" s="10" t="str">
        <f>HYPERLINK("https://otsuka-europe-crm.veevavault.com/ui/#object/approved_document__v/V5OZ025E82U22VS", "INA VAE AT EREP - Patienten mit TP53-Mutation")</f>
        <v>INA VAE AT EREP - Patienten mit TP53-Mutation</v>
      </c>
      <c r="M71" s="10" t="str">
        <f>HYPERLINK("mailto:nlerchner@crm.otsuka-europe.com", "nlerchner@crm.otsuka-europe.com")</f>
        <v>nlerchner@crm.otsuka-europe.com</v>
      </c>
      <c r="N71" s="13">
        <v>46174.597627314812</v>
      </c>
      <c r="O71" s="14" t="str">
        <f>HYPERLINK("https://otsuka-europe-crm.veevavault.com/ui/#object/email_activity__v/V8C00000003K140", "EN-002086177")</f>
        <v>EN-002086177</v>
      </c>
    </row>
    <row r="72" spans="1:15" ht="48" x14ac:dyDescent="0.2">
      <c r="A72" s="7" t="str">
        <f>HYPERLINK("https://otsuka-europe-crm.veevavault.com/ui/#object/account__v/V4T00000001F016", "Nicolas Trathnigg")</f>
        <v>Nicolas Trathnigg</v>
      </c>
      <c r="B72" s="7" t="str">
        <f>HYPERLINK("https://otsuka-europe-crm.veevavault.com/ui/#object/vcountry__v/VENZ000004SONFD", "AT")</f>
        <v>AT</v>
      </c>
      <c r="C72" s="8" t="s">
        <v>40</v>
      </c>
      <c r="D72" s="9" t="str">
        <f>HYPERLINK("https://otsuka-europe-crm.veevavault.com/ui/#object/approved_document__v/V5OZ025E82UJ0IB", "INAQOVI VAE AT EREP- OeGHO-Kongress 2025 Bericht")</f>
        <v>INAQOVI VAE AT EREP- OeGHO-Kongress 2025 Bericht</v>
      </c>
      <c r="E72" s="10" t="str">
        <f>HYPERLINK("https://otsuka-europe-crm.veevavault.com/ui/#object/sent_email__v/VBL00000002N034", "SE-001430909")</f>
        <v>SE-001430909</v>
      </c>
      <c r="F72" s="11"/>
      <c r="G72" s="12">
        <v>0</v>
      </c>
      <c r="H72" s="12">
        <v>0</v>
      </c>
      <c r="I72" s="12">
        <v>0</v>
      </c>
      <c r="J72" s="11"/>
      <c r="K72" s="12">
        <v>0</v>
      </c>
      <c r="L72" s="10" t="str">
        <f>HYPERLINK("https://otsuka-europe-crm.veevavault.com/ui/#object/approved_document__v/V5OZ025E82UJ0IB", "INAQOVI VAE AT EREP- OeGHO-Kongress 2025 Bericht")</f>
        <v>INAQOVI VAE AT EREP- OeGHO-Kongress 2025 Bericht</v>
      </c>
      <c r="M72" s="10" t="str">
        <f>HYPERLINK("mailto:nlerchner@crm.otsuka-europe.com", "nlerchner@crm.otsuka-europe.com")</f>
        <v>nlerchner@crm.otsuka-europe.com</v>
      </c>
      <c r="N72" s="13">
        <v>46174.597962962966</v>
      </c>
      <c r="O72" s="14" t="str">
        <f>HYPERLINK("https://otsuka-europe-crm.veevavault.com/ui/#object/email_activity__v/V8C00000003K141", "EN-002086178")</f>
        <v>EN-002086178</v>
      </c>
    </row>
    <row r="73" spans="1:15" ht="32" x14ac:dyDescent="0.2">
      <c r="A73" s="7" t="str">
        <f>HYPERLINK("https://otsuka-europe-crm.veevavault.com/ui/#object/account__v/V4T00000001F016", "Nicolas Trathnigg")</f>
        <v>Nicolas Trathnigg</v>
      </c>
      <c r="B73" s="7" t="str">
        <f>HYPERLINK("https://otsuka-europe-crm.veevavault.com/ui/#object/vcountry__v/VENZ000004SONFD", "AT")</f>
        <v>AT</v>
      </c>
      <c r="C73" s="8" t="s">
        <v>40</v>
      </c>
      <c r="D73" s="9" t="str">
        <f>HYPERLINK("https://otsuka-europe-crm.veevavault.com/ui/#object/approved_document__v/V5OZ025E82UUDM2", "INA VAE AT EREP - EHA NL – Versand")</f>
        <v>INA VAE AT EREP - EHA NL – Versand</v>
      </c>
      <c r="E73" s="10" t="str">
        <f>HYPERLINK("https://otsuka-europe-crm.veevavault.com/ui/#object/sent_email__v/VBL00000002N035", "SE-001430910")</f>
        <v>SE-001430910</v>
      </c>
      <c r="F73" s="11"/>
      <c r="G73" s="12">
        <v>0</v>
      </c>
      <c r="H73" s="12">
        <v>0</v>
      </c>
      <c r="I73" s="12">
        <v>0</v>
      </c>
      <c r="J73" s="11"/>
      <c r="K73" s="12">
        <v>0</v>
      </c>
      <c r="L73" s="10" t="str">
        <f>HYPERLINK("https://otsuka-europe-crm.veevavault.com/ui/#object/approved_document__v/V5OZ025E82UUDM2", "INA VAE AT EREP - EHA NL – Versand")</f>
        <v>INA VAE AT EREP - EHA NL – Versand</v>
      </c>
      <c r="M73" s="10" t="str">
        <f>HYPERLINK("mailto:nlerchner@crm.otsuka-europe.com", "nlerchner@crm.otsuka-europe.com")</f>
        <v>nlerchner@crm.otsuka-europe.com</v>
      </c>
      <c r="N73" s="13">
        <v>46174.598287037035</v>
      </c>
      <c r="O73" s="14" t="str">
        <f>HYPERLINK("https://otsuka-europe-crm.veevavault.com/ui/#object/email_activity__v/V8C00000003K142", "EN-002086179")</f>
        <v>EN-002086179</v>
      </c>
    </row>
    <row r="74" spans="1:15" ht="16" x14ac:dyDescent="0.2">
      <c r="A74" s="17" t="str">
        <f>HYPERLINK("https://otsuka-europe-crm.veevavault.com/ui/#object/account__v/V4T000000020016", "DIANA RAMOS LOZANO")</f>
        <v>DIANA RAMOS LOZANO</v>
      </c>
      <c r="B74" s="17" t="str">
        <f>HYPERLINK("https://otsuka-europe-crm.veevavault.com/ui/#object/vcountry__v/VENZ000004SONF5", "ES")</f>
        <v>ES</v>
      </c>
      <c r="C74" s="20" t="s">
        <v>41</v>
      </c>
      <c r="D74" s="21" t="str">
        <f>HYPERLINK("https://otsuka-europe-crm.veevavault.com/ui/#object/approved_document__v/V5OZ06G6O6RFL1P", "ES Veeva Privacy Notice Email")</f>
        <v>ES Veeva Privacy Notice Email</v>
      </c>
      <c r="E74" s="22" t="str">
        <f>HYPERLINK("https://otsuka-europe-crm.veevavault.com/ui/#object/sent_email__v/VBL00000002N036", "SE-001430911")</f>
        <v>SE-001430911</v>
      </c>
      <c r="F74" s="23">
        <v>46182.540821759256</v>
      </c>
      <c r="G74" s="24">
        <v>1</v>
      </c>
      <c r="H74" s="24">
        <v>1</v>
      </c>
      <c r="I74" s="24">
        <v>0</v>
      </c>
      <c r="J74" s="25"/>
      <c r="K74" s="24">
        <v>0</v>
      </c>
      <c r="L74" s="22" t="str">
        <f>HYPERLINK("https://otsuka-europe-crm.veevavault.com/ui/#object/approved_document__v/V5OZ06G6O6RFL1P", "ES Veeva Privacy Notice Email")</f>
        <v>ES Veeva Privacy Notice Email</v>
      </c>
      <c r="M74" s="22" t="str">
        <f>HYPERLINK("mailto:cmaroto@crm.otsuka-europe.com", "cmaroto@crm.otsuka-europe.com")</f>
        <v>cmaroto@crm.otsuka-europe.com</v>
      </c>
      <c r="N74" s="23">
        <v>46174.60528935185</v>
      </c>
      <c r="O74" s="14" t="str">
        <f>HYPERLINK("https://otsuka-europe-crm.veevavault.com/ui/#object/email_activity__v/V8C00000003L127", "EN-002086180")</f>
        <v>EN-002086180</v>
      </c>
    </row>
    <row r="75" spans="1:15" ht="16" x14ac:dyDescent="0.2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4" t="str">
        <f>HYPERLINK("https://otsuka-europe-crm.veevavault.com/ui/#object/email_activity__v/V8C00000003R636", "EN-002092919")</f>
        <v>EN-002092919</v>
      </c>
    </row>
    <row r="76" spans="1:15" ht="16" x14ac:dyDescent="0.2">
      <c r="A76" s="17" t="str">
        <f>HYPERLINK("https://otsuka-europe-crm.veevavault.com/ui/#object/account__v/V4TZ025E83JBE1U", "MARIA MAR TORMO DIAZ")</f>
        <v>MARIA MAR TORMO DIAZ</v>
      </c>
      <c r="B76" s="17" t="str">
        <f>HYPERLINK("https://otsuka-europe-crm.veevavault.com/ui/#object/vcountry__v/VENZ000004SONF5", "ES")</f>
        <v>ES</v>
      </c>
      <c r="C76" s="20" t="s">
        <v>41</v>
      </c>
      <c r="D76" s="21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76" s="22" t="str">
        <f>HYPERLINK("https://otsuka-europe-crm.veevavault.com/ui/#object/sent_email__v/VBL00000002O040", "SE-001430912")</f>
        <v>SE-001430912</v>
      </c>
      <c r="F76" s="25"/>
      <c r="G76" s="24">
        <v>0</v>
      </c>
      <c r="H76" s="24">
        <v>0</v>
      </c>
      <c r="I76" s="24">
        <v>0</v>
      </c>
      <c r="J76" s="25"/>
      <c r="K76" s="24">
        <v>0</v>
      </c>
      <c r="L76" s="22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76" s="22" t="str">
        <f>HYPERLINK("mailto:ccoll@crm.otsuka-europe.com", "ccoll@crm.otsuka-europe.com")</f>
        <v>ccoll@crm.otsuka-europe.com</v>
      </c>
      <c r="N76" s="23">
        <v>46174.619432870371</v>
      </c>
      <c r="O76" s="14" t="str">
        <f>HYPERLINK("https://otsuka-europe-crm.veevavault.com/ui/#object/email_activity__v/V8C00000003K146", "EN-002086185")</f>
        <v>EN-002086185</v>
      </c>
    </row>
    <row r="77" spans="1:15" ht="16" x14ac:dyDescent="0.2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4" t="str">
        <f>HYPERLINK("https://otsuka-europe-crm.veevavault.com/ui/#object/email_activity__v/V8C00000003K463", "EN-002086518")</f>
        <v>EN-002086518</v>
      </c>
    </row>
    <row r="78" spans="1:15" ht="16" x14ac:dyDescent="0.2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4" t="str">
        <f>HYPERLINK("https://otsuka-europe-crm.veevavault.com/ui/#object/email_activity__v/V8C00000003P136", "EN-002089506")</f>
        <v>EN-002089506</v>
      </c>
    </row>
    <row r="79" spans="1:15" ht="16" x14ac:dyDescent="0.2">
      <c r="A79" s="17" t="str">
        <f>HYPERLINK("https://otsuka-europe-crm.veevavault.com/ui/#object/account__v/V4TZ025E833RHVH", "JUAN JOSE BARGAY LLEONART")</f>
        <v>JUAN JOSE BARGAY LLEONART</v>
      </c>
      <c r="B79" s="17" t="str">
        <f>HYPERLINK("https://otsuka-europe-crm.veevavault.com/ui/#object/vcountry__v/VENZ000004SONF5", "ES")</f>
        <v>ES</v>
      </c>
      <c r="C79" s="20" t="s">
        <v>41</v>
      </c>
      <c r="D79" s="21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79" s="22" t="str">
        <f>HYPERLINK("https://otsuka-europe-crm.veevavault.com/ui/#object/sent_email__v/VBL00000002O041", "SE-001430913")</f>
        <v>SE-001430913</v>
      </c>
      <c r="F79" s="25"/>
      <c r="G79" s="24">
        <v>0</v>
      </c>
      <c r="H79" s="24">
        <v>0</v>
      </c>
      <c r="I79" s="24">
        <v>0</v>
      </c>
      <c r="J79" s="25"/>
      <c r="K79" s="24">
        <v>0</v>
      </c>
      <c r="L79" s="22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79" s="22" t="str">
        <f>HYPERLINK("mailto:ccoll@crm.otsuka-europe.com", "ccoll@crm.otsuka-europe.com")</f>
        <v>ccoll@crm.otsuka-europe.com</v>
      </c>
      <c r="N79" s="23">
        <v>46174.619432870371</v>
      </c>
      <c r="O79" s="14" t="str">
        <f>HYPERLINK("https://otsuka-europe-crm.veevavault.com/ui/#object/email_activity__v/V8C00000003K508", "EN-002086605")</f>
        <v>EN-002086605</v>
      </c>
    </row>
    <row r="80" spans="1:15" ht="16" x14ac:dyDescent="0.2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4" t="str">
        <f>HYPERLINK("https://otsuka-europe-crm.veevavault.com/ui/#object/email_activity__v/V8C00000003L129", "EN-002086194")</f>
        <v>EN-002086194</v>
      </c>
    </row>
    <row r="81" spans="1:15" ht="48" x14ac:dyDescent="0.2">
      <c r="A81" s="7" t="str">
        <f>HYPERLINK("https://otsuka-europe-crm.veevavault.com/ui/#object/account__v/V4TZ06G6O71TALS", "ROSA COLL JORDA")</f>
        <v>ROSA COLL JORDA</v>
      </c>
      <c r="B81" s="7" t="str">
        <f>HYPERLINK("https://otsuka-europe-crm.veevavault.com/ui/#object/vcountry__v/VENZ000004SONF5", "ES")</f>
        <v>ES</v>
      </c>
      <c r="C81" s="8" t="s">
        <v>41</v>
      </c>
      <c r="D81" s="9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81" s="10" t="str">
        <f>HYPERLINK("https://otsuka-europe-crm.veevavault.com/ui/#object/sent_email__v/VBL00000002O042", "SE-001430914")</f>
        <v>SE-001430914</v>
      </c>
      <c r="F81" s="11"/>
      <c r="G81" s="12">
        <v>0</v>
      </c>
      <c r="H81" s="12">
        <v>0</v>
      </c>
      <c r="I81" s="12">
        <v>0</v>
      </c>
      <c r="J81" s="11"/>
      <c r="K81" s="12">
        <v>0</v>
      </c>
      <c r="L81" s="10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81" s="10" t="str">
        <f>HYPERLINK("mailto:ccoll@crm.otsuka-europe.com", "ccoll@crm.otsuka-europe.com")</f>
        <v>ccoll@crm.otsuka-europe.com</v>
      </c>
      <c r="N81" s="13">
        <v>46174.619421296295</v>
      </c>
      <c r="O81" s="14" t="str">
        <f>HYPERLINK("https://otsuka-europe-crm.veevavault.com/ui/#object/email_activity__v/V8C00000003L134", "EN-002086204")</f>
        <v>EN-002086204</v>
      </c>
    </row>
    <row r="82" spans="1:15" ht="48" x14ac:dyDescent="0.2">
      <c r="A82" s="7" t="str">
        <f>HYPERLINK("https://otsuka-europe-crm.veevavault.com/ui/#object/account__v/V4TZ06G6O71TC67", "MARTA CERVERA CALVO")</f>
        <v>MARTA CERVERA CALVO</v>
      </c>
      <c r="B82" s="7" t="str">
        <f>HYPERLINK("https://otsuka-europe-crm.veevavault.com/ui/#object/vcountry__v/VENZ000004SONF5", "ES")</f>
        <v>ES</v>
      </c>
      <c r="C82" s="8" t="s">
        <v>41</v>
      </c>
      <c r="D82" s="9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82" s="10" t="str">
        <f>HYPERLINK("https://otsuka-europe-crm.veevavault.com/ui/#object/sent_email__v/VBL00000002O043", "SE-001430915")</f>
        <v>SE-001430915</v>
      </c>
      <c r="F82" s="11"/>
      <c r="G82" s="12">
        <v>0</v>
      </c>
      <c r="H82" s="12">
        <v>0</v>
      </c>
      <c r="I82" s="12">
        <v>0</v>
      </c>
      <c r="J82" s="11"/>
      <c r="K82" s="12">
        <v>0</v>
      </c>
      <c r="L82" s="10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82" s="10" t="str">
        <f>HYPERLINK("mailto:ccoll@crm.otsuka-europe.com", "ccoll@crm.otsuka-europe.com")</f>
        <v>ccoll@crm.otsuka-europe.com</v>
      </c>
      <c r="N82" s="13">
        <v>46174.619432870371</v>
      </c>
      <c r="O82" s="14" t="str">
        <f>HYPERLINK("https://otsuka-europe-crm.veevavault.com/ui/#object/email_activity__v/V8C00000003K154", "EN-002086197")</f>
        <v>EN-002086197</v>
      </c>
    </row>
    <row r="83" spans="1:15" ht="16" x14ac:dyDescent="0.2">
      <c r="A83" s="17" t="str">
        <f>HYPERLINK("https://otsuka-europe-crm.veevavault.com/ui/#object/account__v/V4TZ06G6O71TCMK", "SUSANA VIVES POLO")</f>
        <v>SUSANA VIVES POLO</v>
      </c>
      <c r="B83" s="17" t="str">
        <f>HYPERLINK("https://otsuka-europe-crm.veevavault.com/ui/#object/vcountry__v/VENZ000004SONF5", "ES")</f>
        <v>ES</v>
      </c>
      <c r="C83" s="20" t="s">
        <v>41</v>
      </c>
      <c r="D83" s="21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83" s="22" t="str">
        <f>HYPERLINK("https://otsuka-europe-crm.veevavault.com/ui/#object/sent_email__v/VBL00000002O044", "SE-001430916")</f>
        <v>SE-001430916</v>
      </c>
      <c r="F83" s="23">
        <v>46174.752824074072</v>
      </c>
      <c r="G83" s="24">
        <v>1</v>
      </c>
      <c r="H83" s="24">
        <v>1</v>
      </c>
      <c r="I83" s="24">
        <v>1</v>
      </c>
      <c r="J83" s="23">
        <v>46174.752824074072</v>
      </c>
      <c r="K83" s="24">
        <v>1</v>
      </c>
      <c r="L83" s="22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83" s="22" t="str">
        <f>HYPERLINK("mailto:ccoll@crm.otsuka-europe.com", "ccoll@crm.otsuka-europe.com")</f>
        <v>ccoll@crm.otsuka-europe.com</v>
      </c>
      <c r="N83" s="23">
        <v>46174.619432870371</v>
      </c>
      <c r="O83" s="14" t="str">
        <f>HYPERLINK("https://otsuka-europe-crm.veevavault.com/ui/#object/email_activity__v/V8C00000003K156", "EN-002086199")</f>
        <v>EN-002086199</v>
      </c>
    </row>
    <row r="84" spans="1:15" ht="16" x14ac:dyDescent="0.2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4" t="str">
        <f>HYPERLINK("https://otsuka-europe-crm.veevavault.com/ui/#object/email_activity__v/V8C00000003L266", "EN-002086751")</f>
        <v>EN-002086751</v>
      </c>
    </row>
    <row r="85" spans="1:15" ht="16" x14ac:dyDescent="0.2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4" t="str">
        <f>HYPERLINK("https://otsuka-europe-crm.veevavault.com/ui/#object/email_activity__v/V8C00000003L267", "EN-002086750")</f>
        <v>EN-002086750</v>
      </c>
    </row>
    <row r="86" spans="1:15" ht="48" x14ac:dyDescent="0.2">
      <c r="A86" s="7" t="str">
        <f>HYPERLINK("https://otsuka-europe-crm.veevavault.com/ui/#object/account__v/V4TZ025E85WU2ZU", "ANTONIA CLADERA SERRA")</f>
        <v>ANTONIA CLADERA SERRA</v>
      </c>
      <c r="B86" s="7" t="str">
        <f>HYPERLINK("https://otsuka-europe-crm.veevavault.com/ui/#object/vcountry__v/VENZ000004SONF5", "ES")</f>
        <v>ES</v>
      </c>
      <c r="C86" s="8" t="s">
        <v>41</v>
      </c>
      <c r="D86" s="9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86" s="10" t="str">
        <f>HYPERLINK("https://otsuka-europe-crm.veevavault.com/ui/#object/sent_email__v/VBL00000002O045", "SE-001430917")</f>
        <v>SE-001430917</v>
      </c>
      <c r="F86" s="11"/>
      <c r="G86" s="12">
        <v>0</v>
      </c>
      <c r="H86" s="12">
        <v>0</v>
      </c>
      <c r="I86" s="12">
        <v>0</v>
      </c>
      <c r="J86" s="11"/>
      <c r="K86" s="12">
        <v>0</v>
      </c>
      <c r="L86" s="10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86" s="10" t="str">
        <f>HYPERLINK("mailto:ccoll@crm.otsuka-europe.com", "ccoll@crm.otsuka-europe.com")</f>
        <v>ccoll@crm.otsuka-europe.com</v>
      </c>
      <c r="N86" s="13">
        <v>46174.619421296295</v>
      </c>
      <c r="O86" s="14" t="str">
        <f>HYPERLINK("https://otsuka-europe-crm.veevavault.com/ui/#object/email_activity__v/V8C00000003K148", "EN-002086187")</f>
        <v>EN-002086187</v>
      </c>
    </row>
    <row r="87" spans="1:15" ht="16" x14ac:dyDescent="0.2">
      <c r="A87" s="17" t="str">
        <f>HYPERLINK("https://otsuka-europe-crm.veevavault.com/ui/#object/account__v/V4TZ025E82D5OMH", "MARIA DIEZ CAMPELO")</f>
        <v>MARIA DIEZ CAMPELO</v>
      </c>
      <c r="B87" s="17" t="str">
        <f>HYPERLINK("https://otsuka-europe-crm.veevavault.com/ui/#object/vcountry__v/VENZ000004SONF5", "ES")</f>
        <v>ES</v>
      </c>
      <c r="C87" s="20" t="s">
        <v>41</v>
      </c>
      <c r="D87" s="21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87" s="22" t="str">
        <f>HYPERLINK("https://otsuka-europe-crm.veevavault.com/ui/#object/sent_email__v/VBL00000002O046", "SE-001430918")</f>
        <v>SE-001430918</v>
      </c>
      <c r="F87" s="25"/>
      <c r="G87" s="24">
        <v>0</v>
      </c>
      <c r="H87" s="24">
        <v>0</v>
      </c>
      <c r="I87" s="24">
        <v>0</v>
      </c>
      <c r="J87" s="25"/>
      <c r="K87" s="24">
        <v>0</v>
      </c>
      <c r="L87" s="22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87" s="22" t="str">
        <f>HYPERLINK("mailto:ccoll@crm.otsuka-europe.com", "ccoll@crm.otsuka-europe.com")</f>
        <v>ccoll@crm.otsuka-europe.com</v>
      </c>
      <c r="N87" s="23">
        <v>46174.619421296295</v>
      </c>
      <c r="O87" s="14" t="str">
        <f>HYPERLINK("https://otsuka-europe-crm.veevavault.com/ui/#object/email_activity__v/V8C00000003K158", "EN-002086201")</f>
        <v>EN-002086201</v>
      </c>
    </row>
    <row r="88" spans="1:15" ht="16" x14ac:dyDescent="0.2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4" t="str">
        <f>HYPERLINK("https://otsuka-europe-crm.veevavault.com/ui/#object/email_activity__v/V8C00000003K607", "EN-002086840")</f>
        <v>EN-002086840</v>
      </c>
    </row>
    <row r="89" spans="1:15" ht="16" x14ac:dyDescent="0.2">
      <c r="A89" s="17" t="str">
        <f>HYPERLINK("https://otsuka-europe-crm.veevavault.com/ui/#object/account__v/V4TZ025E83OWHHA", "ANA PEREZ GONZALEZ")</f>
        <v>ANA PEREZ GONZALEZ</v>
      </c>
      <c r="B89" s="17" t="str">
        <f>HYPERLINK("https://otsuka-europe-crm.veevavault.com/ui/#object/vcountry__v/VENZ000004SONF5", "ES")</f>
        <v>ES</v>
      </c>
      <c r="C89" s="20" t="s">
        <v>41</v>
      </c>
      <c r="D89" s="21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89" s="22" t="str">
        <f>HYPERLINK("https://otsuka-europe-crm.veevavault.com/ui/#object/sent_email__v/VBL00000002O047", "SE-001430919")</f>
        <v>SE-001430919</v>
      </c>
      <c r="F89" s="23">
        <v>46174.650752314818</v>
      </c>
      <c r="G89" s="24">
        <v>1</v>
      </c>
      <c r="H89" s="24">
        <v>2</v>
      </c>
      <c r="I89" s="24">
        <v>0</v>
      </c>
      <c r="J89" s="25"/>
      <c r="K89" s="24">
        <v>0</v>
      </c>
      <c r="L89" s="22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89" s="22" t="str">
        <f>HYPERLINK("mailto:ccoll@crm.otsuka-europe.com", "ccoll@crm.otsuka-europe.com")</f>
        <v>ccoll@crm.otsuka-europe.com</v>
      </c>
      <c r="N89" s="23">
        <v>46174.619421296295</v>
      </c>
      <c r="O89" s="14" t="str">
        <f>HYPERLINK("https://otsuka-europe-crm.veevavault.com/ui/#object/email_activity__v/V8C00000003K155", "EN-002086198")</f>
        <v>EN-002086198</v>
      </c>
    </row>
    <row r="90" spans="1:15" ht="16" x14ac:dyDescent="0.2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4" t="str">
        <f>HYPERLINK("https://otsuka-europe-crm.veevavault.com/ui/#object/email_activity__v/V8C00000003K491", "EN-002086561")</f>
        <v>EN-002086561</v>
      </c>
    </row>
    <row r="91" spans="1:15" ht="16" x14ac:dyDescent="0.2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4" t="str">
        <f>HYPERLINK("https://otsuka-europe-crm.veevavault.com/ui/#object/email_activity__v/V8C00000003L158", "EN-002086559")</f>
        <v>EN-002086559</v>
      </c>
    </row>
    <row r="92" spans="1:15" ht="48" x14ac:dyDescent="0.2">
      <c r="A92" s="7" t="str">
        <f>HYPERLINK("https://otsuka-europe-crm.veevavault.com/ui/#object/account__v/V4TZ06G6O71T9X6", "JORDI ESTEVE REYNER")</f>
        <v>JORDI ESTEVE REYNER</v>
      </c>
      <c r="B92" s="7" t="str">
        <f t="shared" ref="B92:B98" si="0">HYPERLINK("https://otsuka-europe-crm.veevavault.com/ui/#object/vcountry__v/VENZ000004SONF5", "ES")</f>
        <v>ES</v>
      </c>
      <c r="C92" s="8" t="s">
        <v>41</v>
      </c>
      <c r="D92" s="9" t="str">
        <f t="shared" ref="D92:D98" si="1"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92" s="10" t="str">
        <f>HYPERLINK("https://otsuka-europe-crm.veevavault.com/ui/#object/sent_email__v/VBL00000002O048", "SE-001430920")</f>
        <v>SE-001430920</v>
      </c>
      <c r="F92" s="11"/>
      <c r="G92" s="12">
        <v>0</v>
      </c>
      <c r="H92" s="12">
        <v>0</v>
      </c>
      <c r="I92" s="12">
        <v>0</v>
      </c>
      <c r="J92" s="11"/>
      <c r="K92" s="12">
        <v>0</v>
      </c>
      <c r="L92" s="10" t="str">
        <f t="shared" ref="L92:L98" si="2"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92" s="10" t="str">
        <f t="shared" ref="M92:M98" si="3">HYPERLINK("mailto:ccoll@crm.otsuka-europe.com", "ccoll@crm.otsuka-europe.com")</f>
        <v>ccoll@crm.otsuka-europe.com</v>
      </c>
      <c r="N92" s="13">
        <v>46174.619421296295</v>
      </c>
      <c r="O92" s="14" t="str">
        <f>HYPERLINK("https://otsuka-europe-crm.veevavault.com/ui/#object/email_activity__v/V8C00000003L133", "EN-002086203")</f>
        <v>EN-002086203</v>
      </c>
    </row>
    <row r="93" spans="1:15" ht="48" x14ac:dyDescent="0.2">
      <c r="A93" s="7" t="str">
        <f>HYPERLINK("https://otsuka-europe-crm.veevavault.com/ui/#object/account__v/V4TZ025E83439SM", "ANA GARRIDO DIAZ")</f>
        <v>ANA GARRIDO DIAZ</v>
      </c>
      <c r="B93" s="7" t="str">
        <f t="shared" si="0"/>
        <v>ES</v>
      </c>
      <c r="C93" s="8" t="s">
        <v>41</v>
      </c>
      <c r="D93" s="9" t="str">
        <f t="shared" si="1"/>
        <v>INA -  Webinar "30 minutos en casa" con la Dra. Irene Sánchez - 15 junio</v>
      </c>
      <c r="E93" s="10" t="str">
        <f>HYPERLINK("https://otsuka-europe-crm.veevavault.com/ui/#object/sent_email__v/VBL00000002O049", "SE-001430921")</f>
        <v>SE-001430921</v>
      </c>
      <c r="F93" s="11"/>
      <c r="G93" s="12">
        <v>0</v>
      </c>
      <c r="H93" s="12">
        <v>0</v>
      </c>
      <c r="I93" s="12">
        <v>0</v>
      </c>
      <c r="J93" s="11"/>
      <c r="K93" s="12">
        <v>0</v>
      </c>
      <c r="L93" s="10" t="str">
        <f t="shared" si="2"/>
        <v>INA -  Webinar "30 minutos en casa" con la Dra. Irene Sánchez - 15 junio</v>
      </c>
      <c r="M93" s="10" t="str">
        <f t="shared" si="3"/>
        <v>ccoll@crm.otsuka-europe.com</v>
      </c>
      <c r="N93" s="13">
        <v>46174.619432870371</v>
      </c>
      <c r="O93" s="14" t="str">
        <f>HYPERLINK("https://otsuka-europe-crm.veevavault.com/ui/#object/email_activity__v/V8C00000003L130", "EN-002086192")</f>
        <v>EN-002086192</v>
      </c>
    </row>
    <row r="94" spans="1:15" ht="48" x14ac:dyDescent="0.2">
      <c r="A94" s="7" t="str">
        <f>HYPERLINK("https://otsuka-europe-crm.veevavault.com/ui/#object/account__v/V4TZ025E83BM3Y7", "DAVID GALLARDO GIRALT")</f>
        <v>DAVID GALLARDO GIRALT</v>
      </c>
      <c r="B94" s="7" t="str">
        <f t="shared" si="0"/>
        <v>ES</v>
      </c>
      <c r="C94" s="8" t="s">
        <v>41</v>
      </c>
      <c r="D94" s="9" t="str">
        <f t="shared" si="1"/>
        <v>INA -  Webinar "30 minutos en casa" con la Dra. Irene Sánchez - 15 junio</v>
      </c>
      <c r="E94" s="10" t="str">
        <f>HYPERLINK("https://otsuka-europe-crm.veevavault.com/ui/#object/sent_email__v/VBL00000002O050", "SE-001430922")</f>
        <v>SE-001430922</v>
      </c>
      <c r="F94" s="11"/>
      <c r="G94" s="12">
        <v>0</v>
      </c>
      <c r="H94" s="12">
        <v>0</v>
      </c>
      <c r="I94" s="12">
        <v>0</v>
      </c>
      <c r="J94" s="11"/>
      <c r="K94" s="12">
        <v>0</v>
      </c>
      <c r="L94" s="10" t="str">
        <f t="shared" si="2"/>
        <v>INA -  Webinar "30 minutos en casa" con la Dra. Irene Sánchez - 15 junio</v>
      </c>
      <c r="M94" s="10" t="str">
        <f t="shared" si="3"/>
        <v>ccoll@crm.otsuka-europe.com</v>
      </c>
      <c r="N94" s="13">
        <v>46174.619432870371</v>
      </c>
      <c r="O94" s="14" t="str">
        <f>HYPERLINK("https://otsuka-europe-crm.veevavault.com/ui/#object/email_activity__v/V8C00000003K159", "EN-002086202")</f>
        <v>EN-002086202</v>
      </c>
    </row>
    <row r="95" spans="1:15" ht="48" x14ac:dyDescent="0.2">
      <c r="A95" s="7" t="str">
        <f>HYPERLINK("https://otsuka-europe-crm.veevavault.com/ui/#object/account__v/V4TZ025E85BLCLE", "MARINA CORNEJO GARCIA")</f>
        <v>MARINA CORNEJO GARCIA</v>
      </c>
      <c r="B95" s="7" t="str">
        <f t="shared" si="0"/>
        <v>ES</v>
      </c>
      <c r="C95" s="8" t="s">
        <v>41</v>
      </c>
      <c r="D95" s="9" t="str">
        <f t="shared" si="1"/>
        <v>INA -  Webinar "30 minutos en casa" con la Dra. Irene Sánchez - 15 junio</v>
      </c>
      <c r="E95" s="10" t="str">
        <f>HYPERLINK("https://otsuka-europe-crm.veevavault.com/ui/#object/sent_email__v/VBL00000002O051", "SE-001430923")</f>
        <v>SE-001430923</v>
      </c>
      <c r="F95" s="11"/>
      <c r="G95" s="12">
        <v>0</v>
      </c>
      <c r="H95" s="12">
        <v>0</v>
      </c>
      <c r="I95" s="12">
        <v>0</v>
      </c>
      <c r="J95" s="11"/>
      <c r="K95" s="12">
        <v>0</v>
      </c>
      <c r="L95" s="10" t="str">
        <f t="shared" si="2"/>
        <v>INA -  Webinar "30 minutos en casa" con la Dra. Irene Sánchez - 15 junio</v>
      </c>
      <c r="M95" s="10" t="str">
        <f t="shared" si="3"/>
        <v>ccoll@crm.otsuka-europe.com</v>
      </c>
      <c r="N95" s="13">
        <v>46174.619432870371</v>
      </c>
      <c r="O95" s="14" t="str">
        <f>HYPERLINK("https://otsuka-europe-crm.veevavault.com/ui/#object/email_activity__v/V8C00000003K150", "EN-002086189")</f>
        <v>EN-002086189</v>
      </c>
    </row>
    <row r="96" spans="1:15" ht="48" x14ac:dyDescent="0.2">
      <c r="A96" s="7" t="str">
        <f>HYPERLINK("https://otsuka-europe-crm.veevavault.com/ui/#object/account__v/V4TZ025E841A9ML", "LUIS RODRIGUEZ FERNANDEZ")</f>
        <v>LUIS RODRIGUEZ FERNANDEZ</v>
      </c>
      <c r="B96" s="7" t="str">
        <f t="shared" si="0"/>
        <v>ES</v>
      </c>
      <c r="C96" s="8" t="s">
        <v>41</v>
      </c>
      <c r="D96" s="9" t="str">
        <f t="shared" si="1"/>
        <v>INA -  Webinar "30 minutos en casa" con la Dra. Irene Sánchez - 15 junio</v>
      </c>
      <c r="E96" s="10" t="str">
        <f>HYPERLINK("https://otsuka-europe-crm.veevavault.com/ui/#object/sent_email__v/VBL00000002O052", "SE-001430924")</f>
        <v>SE-001430924</v>
      </c>
      <c r="F96" s="11"/>
      <c r="G96" s="12">
        <v>0</v>
      </c>
      <c r="H96" s="12">
        <v>0</v>
      </c>
      <c r="I96" s="12">
        <v>0</v>
      </c>
      <c r="J96" s="11"/>
      <c r="K96" s="12">
        <v>0</v>
      </c>
      <c r="L96" s="10" t="str">
        <f t="shared" si="2"/>
        <v>INA -  Webinar "30 minutos en casa" con la Dra. Irene Sánchez - 15 junio</v>
      </c>
      <c r="M96" s="10" t="str">
        <f t="shared" si="3"/>
        <v>ccoll@crm.otsuka-europe.com</v>
      </c>
      <c r="N96" s="13">
        <v>46174.619432870371</v>
      </c>
      <c r="O96" s="14" t="str">
        <f>HYPERLINK("https://otsuka-europe-crm.veevavault.com/ui/#object/email_activity__v/V8C00000003L132", "EN-002086193")</f>
        <v>EN-002086193</v>
      </c>
    </row>
    <row r="97" spans="1:15" ht="48" x14ac:dyDescent="0.2">
      <c r="A97" s="7" t="str">
        <f>HYPERLINK("https://otsuka-europe-crm.veevavault.com/ui/#object/account__v/V4TZ025E830AE3D", "RAIMUNDO GARCIA BOYERO")</f>
        <v>RAIMUNDO GARCIA BOYERO</v>
      </c>
      <c r="B97" s="7" t="str">
        <f t="shared" si="0"/>
        <v>ES</v>
      </c>
      <c r="C97" s="8" t="s">
        <v>41</v>
      </c>
      <c r="D97" s="9" t="str">
        <f t="shared" si="1"/>
        <v>INA -  Webinar "30 minutos en casa" con la Dra. Irene Sánchez - 15 junio</v>
      </c>
      <c r="E97" s="10" t="str">
        <f>HYPERLINK("https://otsuka-europe-crm.veevavault.com/ui/#object/sent_email__v/VBL00000002O053", "SE-001430925")</f>
        <v>SE-001430925</v>
      </c>
      <c r="F97" s="11"/>
      <c r="G97" s="12">
        <v>0</v>
      </c>
      <c r="H97" s="12">
        <v>0</v>
      </c>
      <c r="I97" s="12">
        <v>0</v>
      </c>
      <c r="J97" s="11"/>
      <c r="K97" s="12">
        <v>0</v>
      </c>
      <c r="L97" s="10" t="str">
        <f t="shared" si="2"/>
        <v>INA -  Webinar "30 minutos en casa" con la Dra. Irene Sánchez - 15 junio</v>
      </c>
      <c r="M97" s="10" t="str">
        <f t="shared" si="3"/>
        <v>ccoll@crm.otsuka-europe.com</v>
      </c>
      <c r="N97" s="13">
        <v>46174.619421296295</v>
      </c>
      <c r="O97" s="14" t="str">
        <f>HYPERLINK("https://otsuka-europe-crm.veevavault.com/ui/#object/email_activity__v/V8C00000003K145", "EN-002086184")</f>
        <v>EN-002086184</v>
      </c>
    </row>
    <row r="98" spans="1:15" ht="16" x14ac:dyDescent="0.2">
      <c r="A98" s="17" t="str">
        <f>HYPERLINK("https://otsuka-europe-crm.veevavault.com/ui/#object/account__v/V4TZ025E85QV2KD", "LUCIA GARCIA MAÑO")</f>
        <v>LUCIA GARCIA MAÑO</v>
      </c>
      <c r="B98" s="17" t="str">
        <f t="shared" si="0"/>
        <v>ES</v>
      </c>
      <c r="C98" s="20" t="s">
        <v>41</v>
      </c>
      <c r="D98" s="21" t="str">
        <f t="shared" si="1"/>
        <v>INA -  Webinar "30 minutos en casa" con la Dra. Irene Sánchez - 15 junio</v>
      </c>
      <c r="E98" s="22" t="str">
        <f>HYPERLINK("https://otsuka-europe-crm.veevavault.com/ui/#object/sent_email__v/VBL00000002O054", "SE-001430926")</f>
        <v>SE-001430926</v>
      </c>
      <c r="F98" s="25"/>
      <c r="G98" s="24">
        <v>0</v>
      </c>
      <c r="H98" s="24">
        <v>0</v>
      </c>
      <c r="I98" s="24">
        <v>0</v>
      </c>
      <c r="J98" s="25"/>
      <c r="K98" s="24">
        <v>0</v>
      </c>
      <c r="L98" s="22" t="str">
        <f t="shared" si="2"/>
        <v>INA -  Webinar "30 minutos en casa" con la Dra. Irene Sánchez - 15 junio</v>
      </c>
      <c r="M98" s="22" t="str">
        <f t="shared" si="3"/>
        <v>ccoll@crm.otsuka-europe.com</v>
      </c>
      <c r="N98" s="23">
        <v>46174.619432870371</v>
      </c>
      <c r="O98" s="14" t="str">
        <f>HYPERLINK("https://otsuka-europe-crm.veevavault.com/ui/#object/email_activity__v/V8C00000003K151", "EN-002086190")</f>
        <v>EN-002086190</v>
      </c>
    </row>
    <row r="99" spans="1:15" ht="16" x14ac:dyDescent="0.2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4" t="str">
        <f>HYPERLINK("https://otsuka-europe-crm.veevavault.com/ui/#object/email_activity__v/V8C00000003K501", "EN-002086586")</f>
        <v>EN-002086586</v>
      </c>
    </row>
    <row r="100" spans="1:15" ht="16" x14ac:dyDescent="0.2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4" t="str">
        <f>HYPERLINK("https://otsuka-europe-crm.veevavault.com/ui/#object/email_activity__v/V8C000000042239", "EN-002100191")</f>
        <v>EN-002100191</v>
      </c>
    </row>
    <row r="101" spans="1:15" ht="48" x14ac:dyDescent="0.2">
      <c r="A101" s="7" t="str">
        <f>HYPERLINK("https://otsuka-europe-crm.veevavault.com/ui/#object/account__v/V4TZ025E878U8QD", "FERRAN VALL-LLOVERA CALMET")</f>
        <v>FERRAN VALL-LLOVERA CALMET</v>
      </c>
      <c r="B101" s="7" t="str">
        <f>HYPERLINK("https://otsuka-europe-crm.veevavault.com/ui/#object/vcountry__v/VENZ000004SONF5", "ES")</f>
        <v>ES</v>
      </c>
      <c r="C101" s="8" t="s">
        <v>41</v>
      </c>
      <c r="D101" s="9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101" s="10" t="str">
        <f>HYPERLINK("https://otsuka-europe-crm.veevavault.com/ui/#object/sent_email__v/VBL00000002O055", "SE-001430927")</f>
        <v>SE-001430927</v>
      </c>
      <c r="F101" s="11"/>
      <c r="G101" s="12">
        <v>0</v>
      </c>
      <c r="H101" s="12">
        <v>0</v>
      </c>
      <c r="I101" s="12">
        <v>0</v>
      </c>
      <c r="J101" s="11"/>
      <c r="K101" s="12">
        <v>0</v>
      </c>
      <c r="L101" s="10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101" s="10" t="str">
        <f>HYPERLINK("mailto:ccoll@crm.otsuka-europe.com", "ccoll@crm.otsuka-europe.com")</f>
        <v>ccoll@crm.otsuka-europe.com</v>
      </c>
      <c r="N101" s="13">
        <v>46174.619432870371</v>
      </c>
      <c r="O101" s="14" t="str">
        <f>HYPERLINK("https://otsuka-europe-crm.veevavault.com/ui/#object/email_activity__v/V8C00000003K161", "EN-002086206")</f>
        <v>EN-002086206</v>
      </c>
    </row>
    <row r="102" spans="1:15" ht="16" x14ac:dyDescent="0.2">
      <c r="A102" s="17" t="str">
        <f>HYPERLINK("https://otsuka-europe-crm.veevavault.com/ui/#object/account__v/V4TZ025E838LAFY", "ANTONIA SAMPOL MAYOL")</f>
        <v>ANTONIA SAMPOL MAYOL</v>
      </c>
      <c r="B102" s="17" t="str">
        <f>HYPERLINK("https://otsuka-europe-crm.veevavault.com/ui/#object/vcountry__v/VENZ000004SONF5", "ES")</f>
        <v>ES</v>
      </c>
      <c r="C102" s="20" t="s">
        <v>41</v>
      </c>
      <c r="D102" s="21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102" s="22" t="str">
        <f>HYPERLINK("https://otsuka-europe-crm.veevavault.com/ui/#object/sent_email__v/VBL00000002O056", "SE-001430928")</f>
        <v>SE-001430928</v>
      </c>
      <c r="F102" s="25"/>
      <c r="G102" s="24">
        <v>0</v>
      </c>
      <c r="H102" s="24">
        <v>0</v>
      </c>
      <c r="I102" s="24">
        <v>0</v>
      </c>
      <c r="J102" s="25"/>
      <c r="K102" s="24">
        <v>0</v>
      </c>
      <c r="L102" s="22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102" s="22" t="str">
        <f>HYPERLINK("mailto:ccoll@crm.otsuka-europe.com", "ccoll@crm.otsuka-europe.com")</f>
        <v>ccoll@crm.otsuka-europe.com</v>
      </c>
      <c r="N102" s="23">
        <v>46174.619421296295</v>
      </c>
      <c r="O102" s="14" t="str">
        <f>HYPERLINK("https://otsuka-europe-crm.veevavault.com/ui/#object/email_activity__v/V8C00000003K144", "EN-002086183")</f>
        <v>EN-002086183</v>
      </c>
    </row>
    <row r="103" spans="1:15" ht="16" x14ac:dyDescent="0.2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4" t="str">
        <f>HYPERLINK("https://otsuka-europe-crm.veevavault.com/ui/#object/email_activity__v/V8C00000003L284", "EN-002086774")</f>
        <v>EN-002086774</v>
      </c>
    </row>
    <row r="104" spans="1:15" ht="16" x14ac:dyDescent="0.2">
      <c r="A104" s="17" t="str">
        <f>HYPERLINK("https://otsuka-europe-crm.veevavault.com/ui/#object/account__v/V4TZ06G6O71T9CT", "MARIA TERESA BERNAL DEL CASTILLO")</f>
        <v>MARIA TERESA BERNAL DEL CASTILLO</v>
      </c>
      <c r="B104" s="17" t="str">
        <f>HYPERLINK("https://otsuka-europe-crm.veevavault.com/ui/#object/vcountry__v/VENZ000004SONF5", "ES")</f>
        <v>ES</v>
      </c>
      <c r="C104" s="20" t="s">
        <v>41</v>
      </c>
      <c r="D104" s="21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104" s="22" t="str">
        <f>HYPERLINK("https://otsuka-europe-crm.veevavault.com/ui/#object/sent_email__v/VBL00000002O057", "SE-001430929")</f>
        <v>SE-001430929</v>
      </c>
      <c r="F104" s="23">
        <v>46174.662187499998</v>
      </c>
      <c r="G104" s="24">
        <v>1</v>
      </c>
      <c r="H104" s="24">
        <v>1</v>
      </c>
      <c r="I104" s="24">
        <v>0</v>
      </c>
      <c r="J104" s="25"/>
      <c r="K104" s="24">
        <v>0</v>
      </c>
      <c r="L104" s="22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104" s="22" t="str">
        <f>HYPERLINK("mailto:ccoll@crm.otsuka-europe.com", "ccoll@crm.otsuka-europe.com")</f>
        <v>ccoll@crm.otsuka-europe.com</v>
      </c>
      <c r="N104" s="23">
        <v>46174.619421296295</v>
      </c>
      <c r="O104" s="14" t="str">
        <f>HYPERLINK("https://otsuka-europe-crm.veevavault.com/ui/#object/email_activity__v/V8C00000003K152", "EN-002086191")</f>
        <v>EN-002086191</v>
      </c>
    </row>
    <row r="105" spans="1:15" ht="16" x14ac:dyDescent="0.2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4" t="str">
        <f>HYPERLINK("https://otsuka-europe-crm.veevavault.com/ui/#object/email_activity__v/V8C00000003L170", "EN-002086578")</f>
        <v>EN-002086578</v>
      </c>
    </row>
    <row r="106" spans="1:15" ht="48" x14ac:dyDescent="0.2">
      <c r="A106" s="7" t="str">
        <f>HYPERLINK("https://otsuka-europe-crm.veevavault.com/ui/#object/account__v/V4TZ025E85BKBK9", "INES ZUGASTI ASIN")</f>
        <v>INES ZUGASTI ASIN</v>
      </c>
      <c r="B106" s="7" t="str">
        <f>HYPERLINK("https://otsuka-europe-crm.veevavault.com/ui/#object/vcountry__v/VENZ000004SONF5", "ES")</f>
        <v>ES</v>
      </c>
      <c r="C106" s="8" t="s">
        <v>41</v>
      </c>
      <c r="D106" s="9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106" s="10" t="str">
        <f>HYPERLINK("https://otsuka-europe-crm.veevavault.com/ui/#object/sent_email__v/VBL00000002O058", "SE-001430930")</f>
        <v>SE-001430930</v>
      </c>
      <c r="F106" s="11"/>
      <c r="G106" s="12">
        <v>0</v>
      </c>
      <c r="H106" s="12">
        <v>0</v>
      </c>
      <c r="I106" s="12">
        <v>0</v>
      </c>
      <c r="J106" s="11"/>
      <c r="K106" s="12">
        <v>0</v>
      </c>
      <c r="L106" s="10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106" s="10" t="str">
        <f>HYPERLINK("mailto:ccoll@crm.otsuka-europe.com", "ccoll@crm.otsuka-europe.com")</f>
        <v>ccoll@crm.otsuka-europe.com</v>
      </c>
      <c r="N106" s="13">
        <v>46174.619421296295</v>
      </c>
      <c r="O106" s="14" t="str">
        <f>HYPERLINK("https://otsuka-europe-crm.veevavault.com/ui/#object/email_activity__v/V8C00000003K160", "EN-002086205")</f>
        <v>EN-002086205</v>
      </c>
    </row>
    <row r="107" spans="1:15" ht="16" x14ac:dyDescent="0.2">
      <c r="A107" s="17" t="str">
        <f>HYPERLINK("https://otsuka-europe-crm.veevavault.com/ui/#object/account__v/V4TZ04ASGE7FDFX", "ANA ALFONSO PIEROLA")</f>
        <v>ANA ALFONSO PIEROLA</v>
      </c>
      <c r="B107" s="17" t="str">
        <f>HYPERLINK("https://otsuka-europe-crm.veevavault.com/ui/#object/vcountry__v/VENZ000004SONF5", "ES")</f>
        <v>ES</v>
      </c>
      <c r="C107" s="20" t="s">
        <v>41</v>
      </c>
      <c r="D107" s="21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107" s="22" t="str">
        <f>HYPERLINK("https://otsuka-europe-crm.veevavault.com/ui/#object/sent_email__v/VBL00000002O059", "SE-001430931")</f>
        <v>SE-001430931</v>
      </c>
      <c r="F107" s="23">
        <v>46174.755127314813</v>
      </c>
      <c r="G107" s="24">
        <v>1</v>
      </c>
      <c r="H107" s="24">
        <v>1</v>
      </c>
      <c r="I107" s="24">
        <v>0</v>
      </c>
      <c r="J107" s="25"/>
      <c r="K107" s="24">
        <v>0</v>
      </c>
      <c r="L107" s="22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107" s="22" t="str">
        <f>HYPERLINK("mailto:ccoll@crm.otsuka-europe.com", "ccoll@crm.otsuka-europe.com")</f>
        <v>ccoll@crm.otsuka-europe.com</v>
      </c>
      <c r="N107" s="23">
        <v>46174.619421296295</v>
      </c>
      <c r="O107" s="14" t="str">
        <f>HYPERLINK("https://otsuka-europe-crm.veevavault.com/ui/#object/email_activity__v/V8C00000003K157", "EN-002086200")</f>
        <v>EN-002086200</v>
      </c>
    </row>
    <row r="108" spans="1:15" ht="16" x14ac:dyDescent="0.2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4" t="str">
        <f>HYPERLINK("https://otsuka-europe-crm.veevavault.com/ui/#object/email_activity__v/V8C00000003L271", "EN-002086755")</f>
        <v>EN-002086755</v>
      </c>
    </row>
    <row r="109" spans="1:15" ht="48" x14ac:dyDescent="0.2">
      <c r="A109" s="7" t="str">
        <f>HYPERLINK("https://otsuka-europe-crm.veevavault.com/ui/#object/account__v/V4TZ025E881UBZY", "SARA MONTOLIO CHIVA")</f>
        <v>SARA MONTOLIO CHIVA</v>
      </c>
      <c r="B109" s="7" t="str">
        <f>HYPERLINK("https://otsuka-europe-crm.veevavault.com/ui/#object/vcountry__v/VENZ000004SONF5", "ES")</f>
        <v>ES</v>
      </c>
      <c r="C109" s="8" t="s">
        <v>41</v>
      </c>
      <c r="D109" s="9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109" s="10" t="str">
        <f>HYPERLINK("https://otsuka-europe-crm.veevavault.com/ui/#object/sent_email__v/VBL00000002O060", "SE-001430932")</f>
        <v>SE-001430932</v>
      </c>
      <c r="F109" s="11"/>
      <c r="G109" s="12">
        <v>0</v>
      </c>
      <c r="H109" s="12">
        <v>0</v>
      </c>
      <c r="I109" s="12">
        <v>0</v>
      </c>
      <c r="J109" s="11"/>
      <c r="K109" s="12">
        <v>0</v>
      </c>
      <c r="L109" s="10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109" s="10" t="str">
        <f>HYPERLINK("mailto:ccoll@crm.otsuka-europe.com", "ccoll@crm.otsuka-europe.com")</f>
        <v>ccoll@crm.otsuka-europe.com</v>
      </c>
      <c r="N109" s="13">
        <v>46174.619432870371</v>
      </c>
      <c r="O109" s="14" t="str">
        <f>HYPERLINK("https://otsuka-europe-crm.veevavault.com/ui/#object/email_activity__v/V8C00000003L131", "EN-002086195")</f>
        <v>EN-002086195</v>
      </c>
    </row>
    <row r="110" spans="1:15" ht="48" x14ac:dyDescent="0.2">
      <c r="A110" s="7" t="str">
        <f>HYPERLINK("https://otsuka-europe-crm.veevavault.com/ui/#object/account__v/V4TZ025E834H7KJ", "GUADALUPE OÑATE HOSPITAL")</f>
        <v>GUADALUPE OÑATE HOSPITAL</v>
      </c>
      <c r="B110" s="7" t="str">
        <f>HYPERLINK("https://otsuka-europe-crm.veevavault.com/ui/#object/vcountry__v/VENZ000004SONF5", "ES")</f>
        <v>ES</v>
      </c>
      <c r="C110" s="8" t="s">
        <v>41</v>
      </c>
      <c r="D110" s="9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110" s="10" t="str">
        <f>HYPERLINK("https://otsuka-europe-crm.veevavault.com/ui/#object/sent_email__v/VBL00000002O061", "SE-001430933")</f>
        <v>SE-001430933</v>
      </c>
      <c r="F110" s="11"/>
      <c r="G110" s="12">
        <v>0</v>
      </c>
      <c r="H110" s="12">
        <v>0</v>
      </c>
      <c r="I110" s="12">
        <v>0</v>
      </c>
      <c r="J110" s="11"/>
      <c r="K110" s="12">
        <v>0</v>
      </c>
      <c r="L110" s="10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110" s="10" t="str">
        <f>HYPERLINK("mailto:ccoll@crm.otsuka-europe.com", "ccoll@crm.otsuka-europe.com")</f>
        <v>ccoll@crm.otsuka-europe.com</v>
      </c>
      <c r="N110" s="13">
        <v>46174.619432870371</v>
      </c>
      <c r="O110" s="14" t="str">
        <f>HYPERLINK("https://otsuka-europe-crm.veevavault.com/ui/#object/email_activity__v/V8C00000003K147", "EN-002086186")</f>
        <v>EN-002086186</v>
      </c>
    </row>
    <row r="111" spans="1:15" ht="48" x14ac:dyDescent="0.2">
      <c r="A111" s="7" t="str">
        <f>HYPERLINK("https://otsuka-europe-crm.veevavault.com/ui/#object/account__v/V4TZ025E83OV5SH", "MARINA DIAZ BEYA")</f>
        <v>MARINA DIAZ BEYA</v>
      </c>
      <c r="B111" s="7" t="str">
        <f>HYPERLINK("https://otsuka-europe-crm.veevavault.com/ui/#object/vcountry__v/VENZ000004SONF5", "ES")</f>
        <v>ES</v>
      </c>
      <c r="C111" s="8" t="s">
        <v>41</v>
      </c>
      <c r="D111" s="9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111" s="10" t="str">
        <f>HYPERLINK("https://otsuka-europe-crm.veevavault.com/ui/#object/sent_email__v/VBL00000002O062", "SE-001430934")</f>
        <v>SE-001430934</v>
      </c>
      <c r="F111" s="11"/>
      <c r="G111" s="12">
        <v>0</v>
      </c>
      <c r="H111" s="12">
        <v>0</v>
      </c>
      <c r="I111" s="12">
        <v>0</v>
      </c>
      <c r="J111" s="11"/>
      <c r="K111" s="12">
        <v>0</v>
      </c>
      <c r="L111" s="10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111" s="10" t="str">
        <f>HYPERLINK("mailto:ccoll@crm.otsuka-europe.com", "ccoll@crm.otsuka-europe.com")</f>
        <v>ccoll@crm.otsuka-europe.com</v>
      </c>
      <c r="N111" s="13">
        <v>46174.619432870371</v>
      </c>
      <c r="O111" s="14" t="str">
        <f>HYPERLINK("https://otsuka-europe-crm.veevavault.com/ui/#object/email_activity__v/V8C00000003K149", "EN-002086188")</f>
        <v>EN-002086188</v>
      </c>
    </row>
    <row r="112" spans="1:15" ht="16" x14ac:dyDescent="0.2">
      <c r="A112" s="17" t="str">
        <f>HYPERLINK("https://otsuka-europe-crm.veevavault.com/ui/#object/account__v/V4TZ025E881EZ59", "PAULA GOMEZ FERNANDEZ")</f>
        <v>PAULA GOMEZ FERNANDEZ</v>
      </c>
      <c r="B112" s="17" t="str">
        <f>HYPERLINK("https://otsuka-europe-crm.veevavault.com/ui/#object/vcountry__v/VENZ000004SONF5", "ES")</f>
        <v>ES</v>
      </c>
      <c r="C112" s="20" t="s">
        <v>41</v>
      </c>
      <c r="D112" s="21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112" s="22" t="str">
        <f>HYPERLINK("https://otsuka-europe-crm.veevavault.com/ui/#object/sent_email__v/VBL00000002O063", "SE-001430935")</f>
        <v>SE-001430935</v>
      </c>
      <c r="F112" s="23">
        <v>46174.631840277776</v>
      </c>
      <c r="G112" s="24">
        <v>1</v>
      </c>
      <c r="H112" s="24">
        <v>2</v>
      </c>
      <c r="I112" s="24">
        <v>0</v>
      </c>
      <c r="J112" s="25"/>
      <c r="K112" s="24">
        <v>0</v>
      </c>
      <c r="L112" s="22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112" s="22" t="str">
        <f>HYPERLINK("mailto:ccoll@crm.otsuka-europe.com", "ccoll@crm.otsuka-europe.com")</f>
        <v>ccoll@crm.otsuka-europe.com</v>
      </c>
      <c r="N112" s="23">
        <v>46174.619432870371</v>
      </c>
      <c r="O112" s="14" t="str">
        <f>HYPERLINK("https://otsuka-europe-crm.veevavault.com/ui/#object/email_activity__v/V8C00000003K153", "EN-002086196")</f>
        <v>EN-002086196</v>
      </c>
    </row>
    <row r="113" spans="1:15" ht="16" x14ac:dyDescent="0.2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4" t="str">
        <f>HYPERLINK("https://otsuka-europe-crm.veevavault.com/ui/#object/email_activity__v/V8C00000003K455", "EN-002086506")</f>
        <v>EN-002086506</v>
      </c>
    </row>
    <row r="114" spans="1:15" ht="16" x14ac:dyDescent="0.2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4" t="str">
        <f>HYPERLINK("https://otsuka-europe-crm.veevavault.com/ui/#object/email_activity__v/V8C00000003K456", "EN-002086507")</f>
        <v>EN-002086507</v>
      </c>
    </row>
    <row r="115" spans="1:15" ht="16" x14ac:dyDescent="0.2">
      <c r="A115" s="17" t="str">
        <f>HYPERLINK("https://otsuka-europe-crm.veevavault.com/ui/#object/account__v/V4TZ06G6O71T8HA", "ANA MERINO RIBAS")</f>
        <v>ANA MERINO RIBAS</v>
      </c>
      <c r="B115" s="17" t="str">
        <f>HYPERLINK("https://otsuka-europe-crm.veevavault.com/ui/#object/vcountry__v/VENZ000004SONF5", "ES")</f>
        <v>ES</v>
      </c>
      <c r="C115" s="20" t="s">
        <v>41</v>
      </c>
      <c r="D115" s="21" t="str">
        <f>HYPERLINK("https://otsuka-europe-crm.veevavault.com/ui/#object/approved_document__v/V5O00000001H022", "LUP - VAE invitación simposio SEN-SER - Nefro")</f>
        <v>LUP - VAE invitación simposio SEN-SER - Nefro</v>
      </c>
      <c r="E115" s="22" t="str">
        <f>HYPERLINK("https://otsuka-europe-crm.veevavault.com/ui/#object/sent_email__v/VBL00000002O064", "SE-001430936")</f>
        <v>SE-001430936</v>
      </c>
      <c r="F115" s="23">
        <v>46174.632175925923</v>
      </c>
      <c r="G115" s="24">
        <v>1</v>
      </c>
      <c r="H115" s="24">
        <v>1</v>
      </c>
      <c r="I115" s="24">
        <v>0</v>
      </c>
      <c r="J115" s="25"/>
      <c r="K115" s="24">
        <v>0</v>
      </c>
      <c r="L115" s="22" t="str">
        <f>HYPERLINK("https://otsuka-europe-crm.veevavault.com/ui/#object/approved_document__v/V5O00000001H022", "LUP - VAE invitación simposio SEN-SER - Nefro")</f>
        <v>LUP - VAE invitación simposio SEN-SER - Nefro</v>
      </c>
      <c r="M115" s="22" t="str">
        <f>HYPERLINK("mailto:gsammali@crm.otsuka-europe.com", "gsammali@crm.otsuka-europe.com")</f>
        <v>gsammali@crm.otsuka-europe.com</v>
      </c>
      <c r="N115" s="23">
        <v>46174.619710648149</v>
      </c>
      <c r="O115" s="14" t="str">
        <f>HYPERLINK("https://otsuka-europe-crm.veevavault.com/ui/#object/email_activity__v/V8C00000003K162", "EN-002086207")</f>
        <v>EN-002086207</v>
      </c>
    </row>
    <row r="116" spans="1:15" ht="16" x14ac:dyDescent="0.2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4" t="str">
        <f>HYPERLINK("https://otsuka-europe-crm.veevavault.com/ui/#object/email_activity__v/V8C00000003K462", "EN-002086516")</f>
        <v>EN-002086516</v>
      </c>
    </row>
    <row r="117" spans="1:15" ht="16" x14ac:dyDescent="0.2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4" t="str">
        <f>HYPERLINK("https://otsuka-europe-crm.veevavault.com/ui/#object/email_activity__v/V8C00000003M135", "EN-002088077")</f>
        <v>EN-002088077</v>
      </c>
    </row>
    <row r="118" spans="1:15" ht="16" x14ac:dyDescent="0.2">
      <c r="A118" s="17" t="str">
        <f>HYPERLINK("https://otsuka-europe-crm.veevavault.com/ui/#object/account__v/V4TZ06G6O8KXB3I", "OLGA GRACIA GARCIA")</f>
        <v>OLGA GRACIA GARCIA</v>
      </c>
      <c r="B118" s="17" t="str">
        <f>HYPERLINK("https://otsuka-europe-crm.veevavault.com/ui/#object/vcountry__v/VENZ000004SONF5", "ES")</f>
        <v>ES</v>
      </c>
      <c r="C118" s="20" t="s">
        <v>41</v>
      </c>
      <c r="D118" s="21" t="str">
        <f>HYPERLINK("https://otsuka-europe-crm.veevavault.com/ui/#object/approved_document__v/V5O00000001H022", "LUP - VAE invitación simposio SEN-SER - Nefro")</f>
        <v>LUP - VAE invitación simposio SEN-SER - Nefro</v>
      </c>
      <c r="E118" s="22" t="str">
        <f>HYPERLINK("https://otsuka-europe-crm.veevavault.com/ui/#object/sent_email__v/VBL00000002O065", "SE-001430937")</f>
        <v>SE-001430937</v>
      </c>
      <c r="F118" s="23">
        <v>46199.927731481483</v>
      </c>
      <c r="G118" s="24">
        <v>1</v>
      </c>
      <c r="H118" s="24">
        <v>1</v>
      </c>
      <c r="I118" s="24">
        <v>1</v>
      </c>
      <c r="J118" s="23">
        <v>46199.927731481483</v>
      </c>
      <c r="K118" s="24">
        <v>1</v>
      </c>
      <c r="L118" s="22" t="str">
        <f>HYPERLINK("https://otsuka-europe-crm.veevavault.com/ui/#object/approved_document__v/V5O00000001H022", "LUP - VAE invitación simposio SEN-SER - Nefro")</f>
        <v>LUP - VAE invitación simposio SEN-SER - Nefro</v>
      </c>
      <c r="M118" s="22" t="str">
        <f>HYPERLINK("mailto:gsammali@crm.otsuka-europe.com", "gsammali@crm.otsuka-europe.com")</f>
        <v>gsammali@crm.otsuka-europe.com</v>
      </c>
      <c r="N118" s="23">
        <v>46174.619710648149</v>
      </c>
      <c r="O118" s="14" t="str">
        <f>HYPERLINK("https://otsuka-europe-crm.veevavault.com/ui/#object/email_activity__v/V8C00000003L138", "EN-002086222")</f>
        <v>EN-002086222</v>
      </c>
    </row>
    <row r="119" spans="1:15" ht="16" x14ac:dyDescent="0.2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4" t="str">
        <f>HYPERLINK("https://otsuka-europe-crm.veevavault.com/ui/#object/email_activity__v/V8C000000041244", "EN-002100155")</f>
        <v>EN-002100155</v>
      </c>
    </row>
    <row r="120" spans="1:15" ht="16" x14ac:dyDescent="0.2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4" t="str">
        <f>HYPERLINK("https://otsuka-europe-crm.veevavault.com/ui/#object/email_activity__v/V8C000000042218", "EN-002100153")</f>
        <v>EN-002100153</v>
      </c>
    </row>
    <row r="121" spans="1:15" ht="16" x14ac:dyDescent="0.2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4" t="str">
        <f>HYPERLINK("https://otsuka-europe-crm.veevavault.com/ui/#object/email_activity__v/V8C000000042219", "EN-002100152")</f>
        <v>EN-002100152</v>
      </c>
    </row>
    <row r="122" spans="1:15" ht="16" x14ac:dyDescent="0.2">
      <c r="A122" s="17" t="str">
        <f>HYPERLINK("https://otsuka-europe-crm.veevavault.com/ui/#object/account__v/V4TZ06G6O71TCEF", "ANNA SAURINA SOLE")</f>
        <v>ANNA SAURINA SOLE</v>
      </c>
      <c r="B122" s="17" t="str">
        <f>HYPERLINK("https://otsuka-europe-crm.veevavault.com/ui/#object/vcountry__v/VENZ000004SONF5", "ES")</f>
        <v>ES</v>
      </c>
      <c r="C122" s="20" t="s">
        <v>41</v>
      </c>
      <c r="D122" s="21" t="str">
        <f>HYPERLINK("https://otsuka-europe-crm.veevavault.com/ui/#object/approved_document__v/V5O00000001H022", "LUP - VAE invitación simposio SEN-SER - Nefro")</f>
        <v>LUP - VAE invitación simposio SEN-SER - Nefro</v>
      </c>
      <c r="E122" s="22" t="str">
        <f>HYPERLINK("https://otsuka-europe-crm.veevavault.com/ui/#object/sent_email__v/VBL00000002O066", "SE-001430938")</f>
        <v>SE-001430938</v>
      </c>
      <c r="F122" s="23">
        <v>46174.74763888889</v>
      </c>
      <c r="G122" s="24">
        <v>1</v>
      </c>
      <c r="H122" s="24">
        <v>1</v>
      </c>
      <c r="I122" s="24">
        <v>0</v>
      </c>
      <c r="J122" s="25"/>
      <c r="K122" s="24">
        <v>0</v>
      </c>
      <c r="L122" s="22" t="str">
        <f>HYPERLINK("https://otsuka-europe-crm.veevavault.com/ui/#object/approved_document__v/V5O00000001H022", "LUP - VAE invitación simposio SEN-SER - Nefro")</f>
        <v>LUP - VAE invitación simposio SEN-SER - Nefro</v>
      </c>
      <c r="M122" s="22" t="str">
        <f>HYPERLINK("mailto:gsammali@crm.otsuka-europe.com", "gsammali@crm.otsuka-europe.com")</f>
        <v>gsammali@crm.otsuka-europe.com</v>
      </c>
      <c r="N122" s="23">
        <v>46174.619710648149</v>
      </c>
      <c r="O122" s="14" t="str">
        <f>HYPERLINK("https://otsuka-europe-crm.veevavault.com/ui/#object/email_activity__v/V8C00000003L137", "EN-002086221")</f>
        <v>EN-002086221</v>
      </c>
    </row>
    <row r="123" spans="1:15" ht="16" x14ac:dyDescent="0.2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4" t="str">
        <f>HYPERLINK("https://otsuka-europe-crm.veevavault.com/ui/#object/email_activity__v/V8C00000003L262", "EN-002086743")</f>
        <v>EN-002086743</v>
      </c>
    </row>
    <row r="124" spans="1:15" ht="16" x14ac:dyDescent="0.2">
      <c r="A124" s="17" t="str">
        <f>HYPERLINK("https://otsuka-europe-crm.veevavault.com/ui/#object/account__v/V4TZ06G6O71TAVP", "MARIA PILAR MARTIN AZARA")</f>
        <v>MARIA PILAR MARTIN AZARA</v>
      </c>
      <c r="B124" s="17" t="str">
        <f>HYPERLINK("https://otsuka-europe-crm.veevavault.com/ui/#object/vcountry__v/VENZ000004SONF5", "ES")</f>
        <v>ES</v>
      </c>
      <c r="C124" s="20" t="s">
        <v>41</v>
      </c>
      <c r="D124" s="21" t="str">
        <f>HYPERLINK("https://otsuka-europe-crm.veevavault.com/ui/#object/approved_document__v/V5O00000001H022", "LUP - VAE invitación simposio SEN-SER - Nefro")</f>
        <v>LUP - VAE invitación simposio SEN-SER - Nefro</v>
      </c>
      <c r="E124" s="22" t="str">
        <f>HYPERLINK("https://otsuka-europe-crm.veevavault.com/ui/#object/sent_email__v/VBL00000002O067", "SE-001430939")</f>
        <v>SE-001430939</v>
      </c>
      <c r="F124" s="25"/>
      <c r="G124" s="24">
        <v>0</v>
      </c>
      <c r="H124" s="24">
        <v>0</v>
      </c>
      <c r="I124" s="24">
        <v>1</v>
      </c>
      <c r="J124" s="23">
        <v>46184.211828703701</v>
      </c>
      <c r="K124" s="24">
        <v>3</v>
      </c>
      <c r="L124" s="22" t="str">
        <f>HYPERLINK("https://otsuka-europe-crm.veevavault.com/ui/#object/approved_document__v/V5O00000001H022", "LUP - VAE invitación simposio SEN-SER - Nefro")</f>
        <v>LUP - VAE invitación simposio SEN-SER - Nefro</v>
      </c>
      <c r="M124" s="22" t="str">
        <f>HYPERLINK("mailto:gsammali@crm.otsuka-europe.com", "gsammali@crm.otsuka-europe.com")</f>
        <v>gsammali@crm.otsuka-europe.com</v>
      </c>
      <c r="N124" s="23">
        <v>46174.619710648149</v>
      </c>
      <c r="O124" s="14" t="str">
        <f>HYPERLINK("https://otsuka-europe-crm.veevavault.com/ui/#object/email_activity__v/V8C00000003K173", "EN-002086219")</f>
        <v>EN-002086219</v>
      </c>
    </row>
    <row r="125" spans="1:15" ht="16" x14ac:dyDescent="0.2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4" t="str">
        <f>HYPERLINK("https://otsuka-europe-crm.veevavault.com/ui/#object/email_activity__v/V8C00000003K586", "EN-002086796")</f>
        <v>EN-002086796</v>
      </c>
    </row>
    <row r="126" spans="1:15" ht="16" x14ac:dyDescent="0.2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4" t="str">
        <f>HYPERLINK("https://otsuka-europe-crm.veevavault.com/ui/#object/email_activity__v/V8C00000003K587", "EN-002086797")</f>
        <v>EN-002086797</v>
      </c>
    </row>
    <row r="127" spans="1:15" ht="16" x14ac:dyDescent="0.2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4" t="str">
        <f>HYPERLINK("https://otsuka-europe-crm.veevavault.com/ui/#object/email_activity__v/V8C00000003L299", "EN-002086795")</f>
        <v>EN-002086795</v>
      </c>
    </row>
    <row r="128" spans="1:15" ht="16" x14ac:dyDescent="0.2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4" t="str">
        <f>HYPERLINK("https://otsuka-europe-crm.veevavault.com/ui/#object/email_activity__v/V8C00000003L305", "EN-002086809")</f>
        <v>EN-002086809</v>
      </c>
    </row>
    <row r="129" spans="1:15" ht="16" x14ac:dyDescent="0.2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4" t="str">
        <f>HYPERLINK("https://otsuka-europe-crm.veevavault.com/ui/#object/email_activity__v/V8C00000003L306", "EN-002086810")</f>
        <v>EN-002086810</v>
      </c>
    </row>
    <row r="130" spans="1:15" ht="16" x14ac:dyDescent="0.2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4" t="str">
        <f>HYPERLINK("https://otsuka-europe-crm.veevavault.com/ui/#object/email_activity__v/V8C00000003L307", "EN-002086811")</f>
        <v>EN-002086811</v>
      </c>
    </row>
    <row r="131" spans="1:15" ht="16" x14ac:dyDescent="0.2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4" t="str">
        <f>HYPERLINK("https://otsuka-europe-crm.veevavault.com/ui/#object/email_activity__v/V8C00000003L308", "EN-002086812")</f>
        <v>EN-002086812</v>
      </c>
    </row>
    <row r="132" spans="1:15" ht="16" x14ac:dyDescent="0.2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4" t="str">
        <f>HYPERLINK("https://otsuka-europe-crm.veevavault.com/ui/#object/email_activity__v/V8C00000003T426", "EN-002094468")</f>
        <v>EN-002094468</v>
      </c>
    </row>
    <row r="133" spans="1:15" ht="16" x14ac:dyDescent="0.2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4" t="str">
        <f>HYPERLINK("https://otsuka-europe-crm.veevavault.com/ui/#object/email_activity__v/V8C00000003T427", "EN-002094469")</f>
        <v>EN-002094469</v>
      </c>
    </row>
    <row r="134" spans="1:15" ht="16" x14ac:dyDescent="0.2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4" t="str">
        <f>HYPERLINK("https://otsuka-europe-crm.veevavault.com/ui/#object/email_activity__v/V8C00000003T431", "EN-002094474")</f>
        <v>EN-002094474</v>
      </c>
    </row>
    <row r="135" spans="1:15" ht="16" x14ac:dyDescent="0.2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4" t="str">
        <f>HYPERLINK("https://otsuka-europe-crm.veevavault.com/ui/#object/email_activity__v/V8C00000003Z441", "EN-002099560")</f>
        <v>EN-002099560</v>
      </c>
    </row>
    <row r="136" spans="1:15" ht="16" x14ac:dyDescent="0.2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4" t="str">
        <f>HYPERLINK("https://otsuka-europe-crm.veevavault.com/ui/#object/email_activity__v/V8C000000042472", "EN-002100660")</f>
        <v>EN-002100660</v>
      </c>
    </row>
    <row r="137" spans="1:15" ht="16" x14ac:dyDescent="0.2">
      <c r="A137" s="17" t="str">
        <f>HYPERLINK("https://otsuka-europe-crm.veevavault.com/ui/#object/account__v/V4TZ06G6O71T9UY", "XAVIER FULLADOSA OLIVERAS")</f>
        <v>XAVIER FULLADOSA OLIVERAS</v>
      </c>
      <c r="B137" s="17" t="str">
        <f>HYPERLINK("https://otsuka-europe-crm.veevavault.com/ui/#object/vcountry__v/VENZ000004SONF5", "ES")</f>
        <v>ES</v>
      </c>
      <c r="C137" s="20" t="s">
        <v>41</v>
      </c>
      <c r="D137" s="21" t="str">
        <f>HYPERLINK("https://otsuka-europe-crm.veevavault.com/ui/#object/approved_document__v/V5O00000001H022", "LUP - VAE invitación simposio SEN-SER - Nefro")</f>
        <v>LUP - VAE invitación simposio SEN-SER - Nefro</v>
      </c>
      <c r="E137" s="22" t="str">
        <f>HYPERLINK("https://otsuka-europe-crm.veevavault.com/ui/#object/sent_email__v/VBL00000002O068", "SE-001430940")</f>
        <v>SE-001430940</v>
      </c>
      <c r="F137" s="23">
        <v>46174.679502314815</v>
      </c>
      <c r="G137" s="24">
        <v>1</v>
      </c>
      <c r="H137" s="24">
        <v>2</v>
      </c>
      <c r="I137" s="24">
        <v>1</v>
      </c>
      <c r="J137" s="23">
        <v>46174.679606481484</v>
      </c>
      <c r="K137" s="24">
        <v>1</v>
      </c>
      <c r="L137" s="22" t="str">
        <f>HYPERLINK("https://otsuka-europe-crm.veevavault.com/ui/#object/approved_document__v/V5O00000001H022", "LUP - VAE invitación simposio SEN-SER - Nefro")</f>
        <v>LUP - VAE invitación simposio SEN-SER - Nefro</v>
      </c>
      <c r="M137" s="22" t="str">
        <f>HYPERLINK("mailto:gsammali@crm.otsuka-europe.com", "gsammali@crm.otsuka-europe.com")</f>
        <v>gsammali@crm.otsuka-europe.com</v>
      </c>
      <c r="N137" s="23">
        <v>46174.619710648149</v>
      </c>
      <c r="O137" s="14" t="str">
        <f>HYPERLINK("https://otsuka-europe-crm.veevavault.com/ui/#object/email_activity__v/V8C00000003K452", "EN-002086502")</f>
        <v>EN-002086502</v>
      </c>
    </row>
    <row r="138" spans="1:15" ht="16" x14ac:dyDescent="0.2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4" t="str">
        <f>HYPERLINK("https://otsuka-europe-crm.veevavault.com/ui/#object/email_activity__v/V8C00000003L136", "EN-002086220")</f>
        <v>EN-002086220</v>
      </c>
    </row>
    <row r="139" spans="1:15" ht="16" x14ac:dyDescent="0.2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4" t="str">
        <f>HYPERLINK("https://otsuka-europe-crm.veevavault.com/ui/#object/email_activity__v/V8C00000003L203", "EN-002086635")</f>
        <v>EN-002086635</v>
      </c>
    </row>
    <row r="140" spans="1:15" ht="16" x14ac:dyDescent="0.2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4" t="str">
        <f>HYPERLINK("https://otsuka-europe-crm.veevavault.com/ui/#object/email_activity__v/V8C00000003L204", "EN-002086636")</f>
        <v>EN-002086636</v>
      </c>
    </row>
    <row r="141" spans="1:15" ht="16" x14ac:dyDescent="0.2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4" t="str">
        <f>HYPERLINK("https://otsuka-europe-crm.veevavault.com/ui/#object/email_activity__v/V8C00000003L242", "EN-002086702")</f>
        <v>EN-002086702</v>
      </c>
    </row>
    <row r="142" spans="1:15" ht="16" x14ac:dyDescent="0.2">
      <c r="A142" s="17" t="str">
        <f>HYPERLINK("https://otsuka-europe-crm.veevavault.com/ui/#object/account__v/V4TZ06G6O71T8VC", "PAULA ANTON PAMPOLS")</f>
        <v>PAULA ANTON PAMPOLS</v>
      </c>
      <c r="B142" s="17" t="str">
        <f>HYPERLINK("https://otsuka-europe-crm.veevavault.com/ui/#object/vcountry__v/VENZ000004SONF5", "ES")</f>
        <v>ES</v>
      </c>
      <c r="C142" s="20" t="s">
        <v>41</v>
      </c>
      <c r="D142" s="21" t="str">
        <f>HYPERLINK("https://otsuka-europe-crm.veevavault.com/ui/#object/approved_document__v/V5O00000001H022", "LUP - VAE invitación simposio SEN-SER - Nefro")</f>
        <v>LUP - VAE invitación simposio SEN-SER - Nefro</v>
      </c>
      <c r="E142" s="22" t="str">
        <f>HYPERLINK("https://otsuka-europe-crm.veevavault.com/ui/#object/sent_email__v/VBL00000002O069", "SE-001430941")</f>
        <v>SE-001430941</v>
      </c>
      <c r="F142" s="23">
        <v>46175.266111111108</v>
      </c>
      <c r="G142" s="24">
        <v>1</v>
      </c>
      <c r="H142" s="24">
        <v>1</v>
      </c>
      <c r="I142" s="24">
        <v>0</v>
      </c>
      <c r="J142" s="25"/>
      <c r="K142" s="24">
        <v>0</v>
      </c>
      <c r="L142" s="22" t="str">
        <f>HYPERLINK("https://otsuka-europe-crm.veevavault.com/ui/#object/approved_document__v/V5O00000001H022", "LUP - VAE invitación simposio SEN-SER - Nefro")</f>
        <v>LUP - VAE invitación simposio SEN-SER - Nefro</v>
      </c>
      <c r="M142" s="22" t="str">
        <f>HYPERLINK("mailto:gsammali@crm.otsuka-europe.com", "gsammali@crm.otsuka-europe.com")</f>
        <v>gsammali@crm.otsuka-europe.com</v>
      </c>
      <c r="N142" s="23">
        <v>46174.619710648149</v>
      </c>
      <c r="O142" s="14" t="str">
        <f>HYPERLINK("https://otsuka-europe-crm.veevavault.com/ui/#object/email_activity__v/V8C00000003K170", "EN-002086215")</f>
        <v>EN-002086215</v>
      </c>
    </row>
    <row r="143" spans="1:15" ht="16" x14ac:dyDescent="0.2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4" t="str">
        <f>HYPERLINK("https://otsuka-europe-crm.veevavault.com/ui/#object/email_activity__v/V8C00000003L325", "EN-002086848")</f>
        <v>EN-002086848</v>
      </c>
    </row>
    <row r="144" spans="1:15" ht="32" x14ac:dyDescent="0.2">
      <c r="A144" s="7" t="str">
        <f>HYPERLINK("https://otsuka-europe-crm.veevavault.com/ui/#object/account__v/V4TZ06G6O71TBF5", "MARUJA ISABEL NAVARRO DIAZ")</f>
        <v>MARUJA ISABEL NAVARRO DIAZ</v>
      </c>
      <c r="B144" s="7" t="str">
        <f>HYPERLINK("https://otsuka-europe-crm.veevavault.com/ui/#object/vcountry__v/VENZ000004SONF5", "ES")</f>
        <v>ES</v>
      </c>
      <c r="C144" s="8" t="s">
        <v>41</v>
      </c>
      <c r="D144" s="9" t="str">
        <f>HYPERLINK("https://otsuka-europe-crm.veevavault.com/ui/#object/approved_document__v/V5O00000001H022", "LUP - VAE invitación simposio SEN-SER - Nefro")</f>
        <v>LUP - VAE invitación simposio SEN-SER - Nefro</v>
      </c>
      <c r="E144" s="10" t="str">
        <f>HYPERLINK("https://otsuka-europe-crm.veevavault.com/ui/#object/sent_email__v/VBL00000002O070", "SE-001430942")</f>
        <v>SE-001430942</v>
      </c>
      <c r="F144" s="11"/>
      <c r="G144" s="12">
        <v>0</v>
      </c>
      <c r="H144" s="12">
        <v>0</v>
      </c>
      <c r="I144" s="12">
        <v>0</v>
      </c>
      <c r="J144" s="11"/>
      <c r="K144" s="12">
        <v>0</v>
      </c>
      <c r="L144" s="10" t="str">
        <f>HYPERLINK("https://otsuka-europe-crm.veevavault.com/ui/#object/approved_document__v/V5O00000001H022", "LUP - VAE invitación simposio SEN-SER - Nefro")</f>
        <v>LUP - VAE invitación simposio SEN-SER - Nefro</v>
      </c>
      <c r="M144" s="10" t="str">
        <f>HYPERLINK("mailto:gsammali@crm.otsuka-europe.com", "gsammali@crm.otsuka-europe.com")</f>
        <v>gsammali@crm.otsuka-europe.com</v>
      </c>
      <c r="N144" s="13">
        <v>46174.619710648149</v>
      </c>
      <c r="O144" s="14" t="str">
        <f>HYPERLINK("https://otsuka-europe-crm.veevavault.com/ui/#object/email_activity__v/V8C00000003K166", "EN-002086211")</f>
        <v>EN-002086211</v>
      </c>
    </row>
    <row r="145" spans="1:15" ht="32" x14ac:dyDescent="0.2">
      <c r="A145" s="7" t="str">
        <f>HYPERLINK("https://otsuka-europe-crm.veevavault.com/ui/#object/account__v/V4TZ04ASG79T3MJ", "IARA KARLLA DA SILVA SANTOS")</f>
        <v>IARA KARLLA DA SILVA SANTOS</v>
      </c>
      <c r="B145" s="7" t="str">
        <f>HYPERLINK("https://otsuka-europe-crm.veevavault.com/ui/#object/vcountry__v/VENZ000004SONF5", "ES")</f>
        <v>ES</v>
      </c>
      <c r="C145" s="8" t="s">
        <v>41</v>
      </c>
      <c r="D145" s="9" t="str">
        <f>HYPERLINK("https://otsuka-europe-crm.veevavault.com/ui/#object/approved_document__v/V5O00000001H022", "LUP - VAE invitación simposio SEN-SER - Nefro")</f>
        <v>LUP - VAE invitación simposio SEN-SER - Nefro</v>
      </c>
      <c r="E145" s="10" t="str">
        <f>HYPERLINK("https://otsuka-europe-crm.veevavault.com/ui/#object/sent_email__v/VBL00000002O071", "SE-001430943")</f>
        <v>SE-001430943</v>
      </c>
      <c r="F145" s="11"/>
      <c r="G145" s="12">
        <v>0</v>
      </c>
      <c r="H145" s="12">
        <v>0</v>
      </c>
      <c r="I145" s="12">
        <v>0</v>
      </c>
      <c r="J145" s="11"/>
      <c r="K145" s="12">
        <v>0</v>
      </c>
      <c r="L145" s="10" t="str">
        <f>HYPERLINK("https://otsuka-europe-crm.veevavault.com/ui/#object/approved_document__v/V5O00000001H022", "LUP - VAE invitación simposio SEN-SER - Nefro")</f>
        <v>LUP - VAE invitación simposio SEN-SER - Nefro</v>
      </c>
      <c r="M145" s="10" t="str">
        <f>HYPERLINK("mailto:gsammali@crm.otsuka-europe.com", "gsammali@crm.otsuka-europe.com")</f>
        <v>gsammali@crm.otsuka-europe.com</v>
      </c>
      <c r="N145" s="13">
        <v>46174.619710648149</v>
      </c>
      <c r="O145" s="14" t="str">
        <f>HYPERLINK("https://otsuka-europe-crm.veevavault.com/ui/#object/email_activity__v/V8C00000003K176", "EN-002086226")</f>
        <v>EN-002086226</v>
      </c>
    </row>
    <row r="146" spans="1:15" ht="32" x14ac:dyDescent="0.2">
      <c r="A146" s="7" t="str">
        <f>HYPERLINK("https://otsuka-europe-crm.veevavault.com/ui/#object/account__v/V4TZ025E82A4P65", "DAVID ANDRE AZUBELL")</f>
        <v>DAVID ANDRE AZUBELL</v>
      </c>
      <c r="B146" s="7" t="str">
        <f>HYPERLINK("https://otsuka-europe-crm.veevavault.com/ui/#object/vcountry__v/VENZ000004SONF5", "ES")</f>
        <v>ES</v>
      </c>
      <c r="C146" s="8" t="s">
        <v>41</v>
      </c>
      <c r="D146" s="9" t="str">
        <f>HYPERLINK("https://otsuka-europe-crm.veevavault.com/ui/#object/approved_document__v/V5O00000001H022", "LUP - VAE invitación simposio SEN-SER - Nefro")</f>
        <v>LUP - VAE invitación simposio SEN-SER - Nefro</v>
      </c>
      <c r="E146" s="10" t="str">
        <f>HYPERLINK("https://otsuka-europe-crm.veevavault.com/ui/#object/sent_email__v/VBL00000002O072", "SE-001430944")</f>
        <v>SE-001430944</v>
      </c>
      <c r="F146" s="11"/>
      <c r="G146" s="12">
        <v>0</v>
      </c>
      <c r="H146" s="12">
        <v>0</v>
      </c>
      <c r="I146" s="12">
        <v>0</v>
      </c>
      <c r="J146" s="11"/>
      <c r="K146" s="12">
        <v>0</v>
      </c>
      <c r="L146" s="10" t="str">
        <f>HYPERLINK("https://otsuka-europe-crm.veevavault.com/ui/#object/approved_document__v/V5O00000001H022", "LUP - VAE invitación simposio SEN-SER - Nefro")</f>
        <v>LUP - VAE invitación simposio SEN-SER - Nefro</v>
      </c>
      <c r="M146" s="10" t="str">
        <f>HYPERLINK("mailto:gsammali@crm.otsuka-europe.com", "gsammali@crm.otsuka-europe.com")</f>
        <v>gsammali@crm.otsuka-europe.com</v>
      </c>
      <c r="N146" s="13">
        <v>46174.619710648149</v>
      </c>
      <c r="O146" s="14" t="str">
        <f>HYPERLINK("https://otsuka-europe-crm.veevavault.com/ui/#object/email_activity__v/V8C00000003K168", "EN-002086213")</f>
        <v>EN-002086213</v>
      </c>
    </row>
    <row r="147" spans="1:15" ht="16" x14ac:dyDescent="0.2">
      <c r="A147" s="17" t="str">
        <f>HYPERLINK("https://otsuka-europe-crm.veevavault.com/ui/#object/account__v/V4TZ06G6O71TAJT", "PABLO JAVIER IÑIGO GIL")</f>
        <v>PABLO JAVIER IÑIGO GIL</v>
      </c>
      <c r="B147" s="17" t="str">
        <f>HYPERLINK("https://otsuka-europe-crm.veevavault.com/ui/#object/vcountry__v/VENZ000004SONF5", "ES")</f>
        <v>ES</v>
      </c>
      <c r="C147" s="20" t="s">
        <v>41</v>
      </c>
      <c r="D147" s="21" t="str">
        <f>HYPERLINK("https://otsuka-europe-crm.veevavault.com/ui/#object/approved_document__v/V5O00000001H022", "LUP - VAE invitación simposio SEN-SER - Nefro")</f>
        <v>LUP - VAE invitación simposio SEN-SER - Nefro</v>
      </c>
      <c r="E147" s="22" t="str">
        <f>HYPERLINK("https://otsuka-europe-crm.veevavault.com/ui/#object/sent_email__v/VBL00000002O073", "SE-001430945")</f>
        <v>SE-001430945</v>
      </c>
      <c r="F147" s="23">
        <v>46174.640798611108</v>
      </c>
      <c r="G147" s="24">
        <v>1</v>
      </c>
      <c r="H147" s="24">
        <v>1</v>
      </c>
      <c r="I147" s="24">
        <v>0</v>
      </c>
      <c r="J147" s="25"/>
      <c r="K147" s="24">
        <v>0</v>
      </c>
      <c r="L147" s="22" t="str">
        <f>HYPERLINK("https://otsuka-europe-crm.veevavault.com/ui/#object/approved_document__v/V5O00000001H022", "LUP - VAE invitación simposio SEN-SER - Nefro")</f>
        <v>LUP - VAE invitación simposio SEN-SER - Nefro</v>
      </c>
      <c r="M147" s="22" t="str">
        <f>HYPERLINK("mailto:gsammali@crm.otsuka-europe.com", "gsammali@crm.otsuka-europe.com")</f>
        <v>gsammali@crm.otsuka-europe.com</v>
      </c>
      <c r="N147" s="23">
        <v>46174.619710648149</v>
      </c>
      <c r="O147" s="14" t="str">
        <f>HYPERLINK("https://otsuka-europe-crm.veevavault.com/ui/#object/email_activity__v/V8C00000003L139", "EN-002086223")</f>
        <v>EN-002086223</v>
      </c>
    </row>
    <row r="148" spans="1:15" ht="16" x14ac:dyDescent="0.2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4" t="str">
        <f>HYPERLINK("https://otsuka-europe-crm.veevavault.com/ui/#object/email_activity__v/V8C00000003L149", "EN-002086536")</f>
        <v>EN-002086536</v>
      </c>
    </row>
    <row r="149" spans="1:15" ht="32" x14ac:dyDescent="0.2">
      <c r="A149" s="7" t="str">
        <f>HYPERLINK("https://otsuka-europe-crm.veevavault.com/ui/#object/account__v/V4TZ06G6O71TB37", "NADIA MARTIN ALEMANY")</f>
        <v>NADIA MARTIN ALEMANY</v>
      </c>
      <c r="B149" s="7" t="str">
        <f>HYPERLINK("https://otsuka-europe-crm.veevavault.com/ui/#object/vcountry__v/VENZ000004SONF5", "ES")</f>
        <v>ES</v>
      </c>
      <c r="C149" s="8" t="s">
        <v>41</v>
      </c>
      <c r="D149" s="9" t="str">
        <f>HYPERLINK("https://otsuka-europe-crm.veevavault.com/ui/#object/approved_document__v/V5O00000001H022", "LUP - VAE invitación simposio SEN-SER - Nefro")</f>
        <v>LUP - VAE invitación simposio SEN-SER - Nefro</v>
      </c>
      <c r="E149" s="10" t="str">
        <f>HYPERLINK("https://otsuka-europe-crm.veevavault.com/ui/#object/sent_email__v/VBL00000002O074", "SE-001430946")</f>
        <v>SE-001430946</v>
      </c>
      <c r="F149" s="11"/>
      <c r="G149" s="12">
        <v>0</v>
      </c>
      <c r="H149" s="12">
        <v>0</v>
      </c>
      <c r="I149" s="12">
        <v>0</v>
      </c>
      <c r="J149" s="11"/>
      <c r="K149" s="12">
        <v>0</v>
      </c>
      <c r="L149" s="10" t="str">
        <f>HYPERLINK("https://otsuka-europe-crm.veevavault.com/ui/#object/approved_document__v/V5O00000001H022", "LUP - VAE invitación simposio SEN-SER - Nefro")</f>
        <v>LUP - VAE invitación simposio SEN-SER - Nefro</v>
      </c>
      <c r="M149" s="10" t="str">
        <f>HYPERLINK("mailto:gsammali@crm.otsuka-europe.com", "gsammali@crm.otsuka-europe.com")</f>
        <v>gsammali@crm.otsuka-europe.com</v>
      </c>
      <c r="N149" s="13">
        <v>46174.619710648149</v>
      </c>
      <c r="O149" s="14" t="str">
        <f>HYPERLINK("https://otsuka-europe-crm.veevavault.com/ui/#object/email_activity__v/V8C00000003K172", "EN-002086217")</f>
        <v>EN-002086217</v>
      </c>
    </row>
    <row r="150" spans="1:15" ht="32" x14ac:dyDescent="0.2">
      <c r="A150" s="7" t="str">
        <f>HYPERLINK("https://otsuka-europe-crm.veevavault.com/ui/#object/account__v/V4TZ04ASGBNMVRN", "YANEL ADRIANA ACOSTA BAPTISTA")</f>
        <v>YANEL ADRIANA ACOSTA BAPTISTA</v>
      </c>
      <c r="B150" s="7" t="str">
        <f>HYPERLINK("https://otsuka-europe-crm.veevavault.com/ui/#object/vcountry__v/VENZ000004SONF5", "ES")</f>
        <v>ES</v>
      </c>
      <c r="C150" s="8" t="s">
        <v>41</v>
      </c>
      <c r="D150" s="9" t="str">
        <f>HYPERLINK("https://otsuka-europe-crm.veevavault.com/ui/#object/approved_document__v/V5O00000001H022", "LUP - VAE invitación simposio SEN-SER - Nefro")</f>
        <v>LUP - VAE invitación simposio SEN-SER - Nefro</v>
      </c>
      <c r="E150" s="10" t="str">
        <f>HYPERLINK("https://otsuka-europe-crm.veevavault.com/ui/#object/sent_email__v/VBL00000002O075", "SE-001430947")</f>
        <v>SE-001430947</v>
      </c>
      <c r="F150" s="11"/>
      <c r="G150" s="12">
        <v>0</v>
      </c>
      <c r="H150" s="12">
        <v>0</v>
      </c>
      <c r="I150" s="12">
        <v>0</v>
      </c>
      <c r="J150" s="11"/>
      <c r="K150" s="12">
        <v>0</v>
      </c>
      <c r="L150" s="10" t="str">
        <f>HYPERLINK("https://otsuka-europe-crm.veevavault.com/ui/#object/approved_document__v/V5O00000001H022", "LUP - VAE invitación simposio SEN-SER - Nefro")</f>
        <v>LUP - VAE invitación simposio SEN-SER - Nefro</v>
      </c>
      <c r="M150" s="10" t="str">
        <f>HYPERLINK("mailto:gsammali@crm.otsuka-europe.com", "gsammali@crm.otsuka-europe.com")</f>
        <v>gsammali@crm.otsuka-europe.com</v>
      </c>
      <c r="N150" s="13">
        <v>46174.619710648149</v>
      </c>
      <c r="O150" s="14" t="str">
        <f>HYPERLINK("https://otsuka-europe-crm.veevavault.com/ui/#object/email_activity__v/V8C00000003K164", "EN-002086209")</f>
        <v>EN-002086209</v>
      </c>
    </row>
    <row r="151" spans="1:15" ht="16" x14ac:dyDescent="0.2">
      <c r="A151" s="17" t="str">
        <f>HYPERLINK("https://otsuka-europe-crm.veevavault.com/ui/#object/account__v/V4TZ06G6O71TA98", "MERITXELL IBERNON VILARO")</f>
        <v>MERITXELL IBERNON VILARO</v>
      </c>
      <c r="B151" s="17" t="str">
        <f>HYPERLINK("https://otsuka-europe-crm.veevavault.com/ui/#object/vcountry__v/VENZ000004SONF5", "ES")</f>
        <v>ES</v>
      </c>
      <c r="C151" s="20" t="s">
        <v>41</v>
      </c>
      <c r="D151" s="21" t="str">
        <f>HYPERLINK("https://otsuka-europe-crm.veevavault.com/ui/#object/approved_document__v/V5O00000001H022", "LUP - VAE invitación simposio SEN-SER - Nefro")</f>
        <v>LUP - VAE invitación simposio SEN-SER - Nefro</v>
      </c>
      <c r="E151" s="22" t="str">
        <f>HYPERLINK("https://otsuka-europe-crm.veevavault.com/ui/#object/sent_email__v/VBL00000002O076", "SE-001430948")</f>
        <v>SE-001430948</v>
      </c>
      <c r="F151" s="25"/>
      <c r="G151" s="24">
        <v>0</v>
      </c>
      <c r="H151" s="24">
        <v>0</v>
      </c>
      <c r="I151" s="24">
        <v>0</v>
      </c>
      <c r="J151" s="25"/>
      <c r="K151" s="24">
        <v>0</v>
      </c>
      <c r="L151" s="22" t="str">
        <f>HYPERLINK("https://otsuka-europe-crm.veevavault.com/ui/#object/approved_document__v/V5O00000001H022", "LUP - VAE invitación simposio SEN-SER - Nefro")</f>
        <v>LUP - VAE invitación simposio SEN-SER - Nefro</v>
      </c>
      <c r="M151" s="22" t="str">
        <f>HYPERLINK("mailto:gsammali@crm.otsuka-europe.com", "gsammali@crm.otsuka-europe.com")</f>
        <v>gsammali@crm.otsuka-europe.com</v>
      </c>
      <c r="N151" s="23">
        <v>46174.619710648149</v>
      </c>
      <c r="O151" s="14" t="str">
        <f>HYPERLINK("https://otsuka-europe-crm.veevavault.com/ui/#object/email_activity__v/V8C00000003K175", "EN-002086225")</f>
        <v>EN-002086225</v>
      </c>
    </row>
    <row r="152" spans="1:15" ht="16" x14ac:dyDescent="0.2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4" t="str">
        <f>HYPERLINK("https://otsuka-europe-crm.veevavault.com/ui/#object/email_activity__v/V8C00000003K182", "EN-002086232")</f>
        <v>EN-002086232</v>
      </c>
    </row>
    <row r="153" spans="1:15" ht="16" x14ac:dyDescent="0.2">
      <c r="A153" s="17" t="str">
        <f>HYPERLINK("https://otsuka-europe-crm.veevavault.com/ui/#object/account__v/V4TZ06G6O71TBU0", "MONICA POU POTAU")</f>
        <v>MONICA POU POTAU</v>
      </c>
      <c r="B153" s="17" t="str">
        <f>HYPERLINK("https://otsuka-europe-crm.veevavault.com/ui/#object/vcountry__v/VENZ000004SONF5", "ES")</f>
        <v>ES</v>
      </c>
      <c r="C153" s="20" t="s">
        <v>41</v>
      </c>
      <c r="D153" s="21" t="str">
        <f>HYPERLINK("https://otsuka-europe-crm.veevavault.com/ui/#object/approved_document__v/V5O00000001H022", "LUP - VAE invitación simposio SEN-SER - Nefro")</f>
        <v>LUP - VAE invitación simposio SEN-SER - Nefro</v>
      </c>
      <c r="E153" s="22" t="str">
        <f>HYPERLINK("https://otsuka-europe-crm.veevavault.com/ui/#object/sent_email__v/VBL00000002O077", "SE-001430949")</f>
        <v>SE-001430949</v>
      </c>
      <c r="F153" s="23">
        <v>46174.670173611114</v>
      </c>
      <c r="G153" s="24">
        <v>1</v>
      </c>
      <c r="H153" s="24">
        <v>1</v>
      </c>
      <c r="I153" s="24">
        <v>0</v>
      </c>
      <c r="J153" s="25"/>
      <c r="K153" s="24">
        <v>0</v>
      </c>
      <c r="L153" s="22" t="str">
        <f>HYPERLINK("https://otsuka-europe-crm.veevavault.com/ui/#object/approved_document__v/V5O00000001H022", "LUP - VAE invitación simposio SEN-SER - Nefro")</f>
        <v>LUP - VAE invitación simposio SEN-SER - Nefro</v>
      </c>
      <c r="M153" s="22" t="str">
        <f>HYPERLINK("mailto:gsammali@crm.otsuka-europe.com", "gsammali@crm.otsuka-europe.com")</f>
        <v>gsammali@crm.otsuka-europe.com</v>
      </c>
      <c r="N153" s="23">
        <v>46174.619710648149</v>
      </c>
      <c r="O153" s="14" t="str">
        <f>HYPERLINK("https://otsuka-europe-crm.veevavault.com/ui/#object/email_activity__v/V8C00000003K165", "EN-002086210")</f>
        <v>EN-002086210</v>
      </c>
    </row>
    <row r="154" spans="1:15" ht="16" x14ac:dyDescent="0.2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4" t="str">
        <f>HYPERLINK("https://otsuka-europe-crm.veevavault.com/ui/#object/email_activity__v/V8C00000003K514", "EN-002086614")</f>
        <v>EN-002086614</v>
      </c>
    </row>
    <row r="155" spans="1:15" ht="16" x14ac:dyDescent="0.2">
      <c r="A155" s="17" t="str">
        <f>HYPERLINK("https://otsuka-europe-crm.veevavault.com/ui/#object/account__v/V4TZ06G6O71TBGM", "EDUARDO PARRA MONCASI")</f>
        <v>EDUARDO PARRA MONCASI</v>
      </c>
      <c r="B155" s="17" t="str">
        <f>HYPERLINK("https://otsuka-europe-crm.veevavault.com/ui/#object/vcountry__v/VENZ000004SONF5", "ES")</f>
        <v>ES</v>
      </c>
      <c r="C155" s="20" t="s">
        <v>41</v>
      </c>
      <c r="D155" s="21" t="str">
        <f>HYPERLINK("https://otsuka-europe-crm.veevavault.com/ui/#object/approved_document__v/V5O00000001H022", "LUP - VAE invitación simposio SEN-SER - Nefro")</f>
        <v>LUP - VAE invitación simposio SEN-SER - Nefro</v>
      </c>
      <c r="E155" s="22" t="str">
        <f>HYPERLINK("https://otsuka-europe-crm.veevavault.com/ui/#object/sent_email__v/VBL00000002O078", "SE-001430950")</f>
        <v>SE-001430950</v>
      </c>
      <c r="F155" s="23">
        <v>46174.657870370371</v>
      </c>
      <c r="G155" s="24">
        <v>1</v>
      </c>
      <c r="H155" s="24">
        <v>2</v>
      </c>
      <c r="I155" s="24">
        <v>0</v>
      </c>
      <c r="J155" s="25"/>
      <c r="K155" s="24">
        <v>0</v>
      </c>
      <c r="L155" s="22" t="str">
        <f>HYPERLINK("https://otsuka-europe-crm.veevavault.com/ui/#object/approved_document__v/V5O00000001H022", "LUP - VAE invitación simposio SEN-SER - Nefro")</f>
        <v>LUP - VAE invitación simposio SEN-SER - Nefro</v>
      </c>
      <c r="M155" s="22" t="str">
        <f>HYPERLINK("mailto:gsammali@crm.otsuka-europe.com", "gsammali@crm.otsuka-europe.com")</f>
        <v>gsammali@crm.otsuka-europe.com</v>
      </c>
      <c r="N155" s="23">
        <v>46174.619710648149</v>
      </c>
      <c r="O155" s="14" t="str">
        <f>HYPERLINK("https://otsuka-europe-crm.veevavault.com/ui/#object/email_activity__v/V8C00000003K225", "EN-002086275")</f>
        <v>EN-002086275</v>
      </c>
    </row>
    <row r="156" spans="1:15" ht="16" x14ac:dyDescent="0.2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4" t="str">
        <f>HYPERLINK("https://otsuka-europe-crm.veevavault.com/ui/#object/email_activity__v/V8C00000003K496", "EN-002086574")</f>
        <v>EN-002086574</v>
      </c>
    </row>
    <row r="157" spans="1:15" ht="16" x14ac:dyDescent="0.2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4" t="str">
        <f>HYPERLINK("https://otsuka-europe-crm.veevavault.com/ui/#object/email_activity__v/V8C00000003L135", "EN-002086218")</f>
        <v>EN-002086218</v>
      </c>
    </row>
    <row r="158" spans="1:15" ht="16" x14ac:dyDescent="0.2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4" t="str">
        <f>HYPERLINK("https://otsuka-europe-crm.veevavault.com/ui/#object/email_activity__v/V8C00000003L317", "EN-002086832")</f>
        <v>EN-002086832</v>
      </c>
    </row>
    <row r="159" spans="1:15" ht="32" x14ac:dyDescent="0.2">
      <c r="A159" s="7" t="str">
        <f>HYPERLINK("https://otsuka-europe-crm.veevavault.com/ui/#object/account__v/V4TZ025E87C17M9", "OANA RAP COPINDEAN")</f>
        <v>OANA RAP COPINDEAN</v>
      </c>
      <c r="B159" s="7" t="str">
        <f>HYPERLINK("https://otsuka-europe-crm.veevavault.com/ui/#object/vcountry__v/VENZ000004SONF5", "ES")</f>
        <v>ES</v>
      </c>
      <c r="C159" s="8" t="s">
        <v>41</v>
      </c>
      <c r="D159" s="9" t="str">
        <f>HYPERLINK("https://otsuka-europe-crm.veevavault.com/ui/#object/approved_document__v/V5O00000001H022", "LUP - VAE invitación simposio SEN-SER - Nefro")</f>
        <v>LUP - VAE invitación simposio SEN-SER - Nefro</v>
      </c>
      <c r="E159" s="10" t="str">
        <f>HYPERLINK("https://otsuka-europe-crm.veevavault.com/ui/#object/sent_email__v/VBL00000002O079", "SE-001430951")</f>
        <v>SE-001430951</v>
      </c>
      <c r="F159" s="11"/>
      <c r="G159" s="12">
        <v>0</v>
      </c>
      <c r="H159" s="12">
        <v>0</v>
      </c>
      <c r="I159" s="12">
        <v>0</v>
      </c>
      <c r="J159" s="11"/>
      <c r="K159" s="12">
        <v>0</v>
      </c>
      <c r="L159" s="10" t="str">
        <f>HYPERLINK("https://otsuka-europe-crm.veevavault.com/ui/#object/approved_document__v/V5O00000001H022", "LUP - VAE invitación simposio SEN-SER - Nefro")</f>
        <v>LUP - VAE invitación simposio SEN-SER - Nefro</v>
      </c>
      <c r="M159" s="10" t="str">
        <f>HYPERLINK("mailto:gsammali@crm.otsuka-europe.com", "gsammali@crm.otsuka-europe.com")</f>
        <v>gsammali@crm.otsuka-europe.com</v>
      </c>
      <c r="N159" s="13">
        <v>46174.619710648149</v>
      </c>
      <c r="O159" s="14" t="str">
        <f>HYPERLINK("https://otsuka-europe-crm.veevavault.com/ui/#object/email_activity__v/V8C00000003K163", "EN-002086208")</f>
        <v>EN-002086208</v>
      </c>
    </row>
    <row r="160" spans="1:15" ht="32" x14ac:dyDescent="0.2">
      <c r="A160" s="7" t="str">
        <f>HYPERLINK("https://otsuka-europe-crm.veevavault.com/ui/#object/account__v/V4TZ06G6OA5RNTJ", "JORDI CALABIA MARTINEZ")</f>
        <v>JORDI CALABIA MARTINEZ</v>
      </c>
      <c r="B160" s="7" t="str">
        <f>HYPERLINK("https://otsuka-europe-crm.veevavault.com/ui/#object/vcountry__v/VENZ000004SONF5", "ES")</f>
        <v>ES</v>
      </c>
      <c r="C160" s="8" t="s">
        <v>41</v>
      </c>
      <c r="D160" s="9" t="str">
        <f>HYPERLINK("https://otsuka-europe-crm.veevavault.com/ui/#object/approved_document__v/V5O00000001H022", "LUP - VAE invitación simposio SEN-SER - Nefro")</f>
        <v>LUP - VAE invitación simposio SEN-SER - Nefro</v>
      </c>
      <c r="E160" s="10" t="str">
        <f>HYPERLINK("https://otsuka-europe-crm.veevavault.com/ui/#object/sent_email__v/VBL00000002O080", "SE-001430952")</f>
        <v>SE-001430952</v>
      </c>
      <c r="F160" s="11"/>
      <c r="G160" s="12">
        <v>0</v>
      </c>
      <c r="H160" s="12">
        <v>0</v>
      </c>
      <c r="I160" s="12">
        <v>0</v>
      </c>
      <c r="J160" s="11"/>
      <c r="K160" s="12">
        <v>0</v>
      </c>
      <c r="L160" s="10" t="str">
        <f>HYPERLINK("https://otsuka-europe-crm.veevavault.com/ui/#object/approved_document__v/V5O00000001H022", "LUP - VAE invitación simposio SEN-SER - Nefro")</f>
        <v>LUP - VAE invitación simposio SEN-SER - Nefro</v>
      </c>
      <c r="M160" s="10" t="str">
        <f>HYPERLINK("mailto:gsammali@crm.otsuka-europe.com", "gsammali@crm.otsuka-europe.com")</f>
        <v>gsammali@crm.otsuka-europe.com</v>
      </c>
      <c r="N160" s="13">
        <v>46174.619710648149</v>
      </c>
      <c r="O160" s="14" t="str">
        <f>HYPERLINK("https://otsuka-europe-crm.veevavault.com/ui/#object/email_activity__v/V8C00000003K169", "EN-002086214")</f>
        <v>EN-002086214</v>
      </c>
    </row>
    <row r="161" spans="1:15" ht="32" x14ac:dyDescent="0.2">
      <c r="A161" s="7" t="str">
        <f>HYPERLINK("https://otsuka-europe-crm.veevavault.com/ui/#object/account__v/V4TZ025E83NRYU2", "ELISABET MASSO JIMENEZ")</f>
        <v>ELISABET MASSO JIMENEZ</v>
      </c>
      <c r="B161" s="7" t="str">
        <f>HYPERLINK("https://otsuka-europe-crm.veevavault.com/ui/#object/vcountry__v/VENZ000004SONF5", "ES")</f>
        <v>ES</v>
      </c>
      <c r="C161" s="8" t="s">
        <v>41</v>
      </c>
      <c r="D161" s="9" t="str">
        <f>HYPERLINK("https://otsuka-europe-crm.veevavault.com/ui/#object/approved_document__v/V5O00000001H022", "LUP - VAE invitación simposio SEN-SER - Nefro")</f>
        <v>LUP - VAE invitación simposio SEN-SER - Nefro</v>
      </c>
      <c r="E161" s="10" t="str">
        <f>HYPERLINK("https://otsuka-europe-crm.veevavault.com/ui/#object/sent_email__v/VBL00000002O081", "SE-001430953")</f>
        <v>SE-001430953</v>
      </c>
      <c r="F161" s="11"/>
      <c r="G161" s="12">
        <v>0</v>
      </c>
      <c r="H161" s="12">
        <v>0</v>
      </c>
      <c r="I161" s="12">
        <v>0</v>
      </c>
      <c r="J161" s="11"/>
      <c r="K161" s="12">
        <v>0</v>
      </c>
      <c r="L161" s="10" t="str">
        <f>HYPERLINK("https://otsuka-europe-crm.veevavault.com/ui/#object/approved_document__v/V5O00000001H022", "LUP - VAE invitación simposio SEN-SER - Nefro")</f>
        <v>LUP - VAE invitación simposio SEN-SER - Nefro</v>
      </c>
      <c r="M161" s="10" t="str">
        <f>HYPERLINK("mailto:gsammali@crm.otsuka-europe.com", "gsammali@crm.otsuka-europe.com")</f>
        <v>gsammali@crm.otsuka-europe.com</v>
      </c>
      <c r="N161" s="13">
        <v>46174.619710648149</v>
      </c>
      <c r="O161" s="14" t="str">
        <f>HYPERLINK("https://otsuka-europe-crm.veevavault.com/ui/#object/email_activity__v/V8C00000003K171", "EN-002086216")</f>
        <v>EN-002086216</v>
      </c>
    </row>
    <row r="162" spans="1:15" ht="16" x14ac:dyDescent="0.2">
      <c r="A162" s="17" t="str">
        <f>HYPERLINK("https://otsuka-europe-crm.veevavault.com/ui/#object/account__v/V4TZ06G6O71T7JO", "JULIANA BORDIGNON DRAIBE")</f>
        <v>JULIANA BORDIGNON DRAIBE</v>
      </c>
      <c r="B162" s="17" t="str">
        <f>HYPERLINK("https://otsuka-europe-crm.veevavault.com/ui/#object/vcountry__v/VENZ000004SONF5", "ES")</f>
        <v>ES</v>
      </c>
      <c r="C162" s="20" t="s">
        <v>41</v>
      </c>
      <c r="D162" s="21" t="str">
        <f>HYPERLINK("https://otsuka-europe-crm.veevavault.com/ui/#object/approved_document__v/V5O00000001H022", "LUP - VAE invitación simposio SEN-SER - Nefro")</f>
        <v>LUP - VAE invitación simposio SEN-SER - Nefro</v>
      </c>
      <c r="E162" s="22" t="str">
        <f>HYPERLINK("https://otsuka-europe-crm.veevavault.com/ui/#object/sent_email__v/VBL00000002O082", "SE-001430954")</f>
        <v>SE-001430954</v>
      </c>
      <c r="F162" s="25"/>
      <c r="G162" s="24">
        <v>0</v>
      </c>
      <c r="H162" s="24">
        <v>0</v>
      </c>
      <c r="I162" s="24">
        <v>0</v>
      </c>
      <c r="J162" s="25"/>
      <c r="K162" s="24">
        <v>0</v>
      </c>
      <c r="L162" s="22" t="str">
        <f>HYPERLINK("https://otsuka-europe-crm.veevavault.com/ui/#object/approved_document__v/V5O00000001H022", "LUP - VAE invitación simposio SEN-SER - Nefro")</f>
        <v>LUP - VAE invitación simposio SEN-SER - Nefro</v>
      </c>
      <c r="M162" s="22" t="str">
        <f>HYPERLINK("mailto:gsammali@crm.otsuka-europe.com", "gsammali@crm.otsuka-europe.com")</f>
        <v>gsammali@crm.otsuka-europe.com</v>
      </c>
      <c r="N162" s="23">
        <v>46174.619710648149</v>
      </c>
      <c r="O162" s="14" t="str">
        <f>HYPERLINK("https://otsuka-europe-crm.veevavault.com/ui/#object/email_activity__v/V8C00000003K174", "EN-002086224")</f>
        <v>EN-002086224</v>
      </c>
    </row>
    <row r="163" spans="1:15" ht="16" x14ac:dyDescent="0.2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4" t="str">
        <f>HYPERLINK("https://otsuka-europe-crm.veevavault.com/ui/#object/email_activity__v/V8C00000003L224", "EN-002086660")</f>
        <v>EN-002086660</v>
      </c>
    </row>
    <row r="164" spans="1:15" ht="32" x14ac:dyDescent="0.2">
      <c r="A164" s="7" t="str">
        <f>HYPERLINK("https://otsuka-europe-crm.veevavault.com/ui/#object/account__v/V4TZ04ASGGI5W3I", "MARIA VERONICA COLL BRITO")</f>
        <v>MARIA VERONICA COLL BRITO</v>
      </c>
      <c r="B164" s="7" t="str">
        <f>HYPERLINK("https://otsuka-europe-crm.veevavault.com/ui/#object/vcountry__v/VENZ000004SONF5", "ES")</f>
        <v>ES</v>
      </c>
      <c r="C164" s="8" t="s">
        <v>41</v>
      </c>
      <c r="D164" s="9" t="str">
        <f>HYPERLINK("https://otsuka-europe-crm.veevavault.com/ui/#object/approved_document__v/V5O00000001H022", "LUP - VAE invitación simposio SEN-SER - Nefro")</f>
        <v>LUP - VAE invitación simposio SEN-SER - Nefro</v>
      </c>
      <c r="E164" s="10" t="str">
        <f>HYPERLINK("https://otsuka-europe-crm.veevavault.com/ui/#object/sent_email__v/VBL00000002O083", "SE-001430955")</f>
        <v>SE-001430955</v>
      </c>
      <c r="F164" s="11"/>
      <c r="G164" s="12">
        <v>0</v>
      </c>
      <c r="H164" s="12">
        <v>0</v>
      </c>
      <c r="I164" s="12">
        <v>0</v>
      </c>
      <c r="J164" s="11"/>
      <c r="K164" s="12">
        <v>0</v>
      </c>
      <c r="L164" s="10" t="str">
        <f>HYPERLINK("https://otsuka-europe-crm.veevavault.com/ui/#object/approved_document__v/V5O00000001H022", "LUP - VAE invitación simposio SEN-SER - Nefro")</f>
        <v>LUP - VAE invitación simposio SEN-SER - Nefro</v>
      </c>
      <c r="M164" s="10" t="str">
        <f>HYPERLINK("mailto:gsammali@crm.otsuka-europe.com", "gsammali@crm.otsuka-europe.com")</f>
        <v>gsammali@crm.otsuka-europe.com</v>
      </c>
      <c r="N164" s="13">
        <v>46174.619710648149</v>
      </c>
      <c r="O164" s="14" t="str">
        <f>HYPERLINK("https://otsuka-europe-crm.veevavault.com/ui/#object/email_activity__v/V8C00000003K167", "EN-002086212")</f>
        <v>EN-002086212</v>
      </c>
    </row>
    <row r="165" spans="1:15" ht="32" x14ac:dyDescent="0.2">
      <c r="A165" s="7" t="str">
        <f>HYPERLINK("https://otsuka-europe-crm.veevavault.com/ui/#object/account__v/V4TZ04ASG9MC2VK", "DELIA REINA SANZ")</f>
        <v>DELIA REINA SANZ</v>
      </c>
      <c r="B165" s="7" t="str">
        <f>HYPERLINK("https://otsuka-europe-crm.veevavault.com/ui/#object/vcountry__v/VENZ000004SONF5", "ES")</f>
        <v>ES</v>
      </c>
      <c r="C165" s="8" t="s">
        <v>41</v>
      </c>
      <c r="D165" s="9" t="str">
        <f>HYPERLINK("https://otsuka-europe-crm.veevavault.com/ui/#object/approved_document__v/V5O00000001H025", "LUP - VAE invitación simposio SEN-SER - Reuma")</f>
        <v>LUP - VAE invitación simposio SEN-SER - Reuma</v>
      </c>
      <c r="E165" s="10" t="str">
        <f>HYPERLINK("https://otsuka-europe-crm.veevavault.com/ui/#object/sent_email__v/VBL00000002N038", "SE-001430956")</f>
        <v>SE-001430956</v>
      </c>
      <c r="F165" s="11"/>
      <c r="G165" s="12">
        <v>0</v>
      </c>
      <c r="H165" s="12">
        <v>0</v>
      </c>
      <c r="I165" s="12">
        <v>0</v>
      </c>
      <c r="J165" s="11"/>
      <c r="K165" s="12">
        <v>0</v>
      </c>
      <c r="L165" s="10" t="str">
        <f>HYPERLINK("https://otsuka-europe-crm.veevavault.com/ui/#object/approved_document__v/V5O00000001H025", "LUP - VAE invitación simposio SEN-SER - Reuma")</f>
        <v>LUP - VAE invitación simposio SEN-SER - Reuma</v>
      </c>
      <c r="M165" s="10" t="str">
        <f>HYPERLINK("mailto:gsammali@crm.otsuka-europe.com", "gsammali@crm.otsuka-europe.com")</f>
        <v>gsammali@crm.otsuka-europe.com</v>
      </c>
      <c r="N165" s="13">
        <v>46174.620740740742</v>
      </c>
      <c r="O165" s="14" t="str">
        <f>HYPERLINK("https://otsuka-europe-crm.veevavault.com/ui/#object/email_activity__v/V8C00000003K178", "EN-002086228")</f>
        <v>EN-002086228</v>
      </c>
    </row>
    <row r="166" spans="1:15" ht="32" x14ac:dyDescent="0.2">
      <c r="A166" s="7" t="str">
        <f>HYPERLINK("https://otsuka-europe-crm.veevavault.com/ui/#object/account__v/V4TZ06G6O9VLJHY", "ANNE MARGARET RIVEROS FRUTOS")</f>
        <v>ANNE MARGARET RIVEROS FRUTOS</v>
      </c>
      <c r="B166" s="7" t="str">
        <f>HYPERLINK("https://otsuka-europe-crm.veevavault.com/ui/#object/vcountry__v/VENZ000004SONF5", "ES")</f>
        <v>ES</v>
      </c>
      <c r="C166" s="8" t="s">
        <v>41</v>
      </c>
      <c r="D166" s="9" t="str">
        <f>HYPERLINK("https://otsuka-europe-crm.veevavault.com/ui/#object/approved_document__v/V5O00000001H025", "LUP - VAE invitación simposio SEN-SER - Reuma")</f>
        <v>LUP - VAE invitación simposio SEN-SER - Reuma</v>
      </c>
      <c r="E166" s="10" t="str">
        <f>HYPERLINK("https://otsuka-europe-crm.veevavault.com/ui/#object/sent_email__v/VBL00000002N039", "SE-001430957")</f>
        <v>SE-001430957</v>
      </c>
      <c r="F166" s="11"/>
      <c r="G166" s="12">
        <v>0</v>
      </c>
      <c r="H166" s="12">
        <v>0</v>
      </c>
      <c r="I166" s="12">
        <v>0</v>
      </c>
      <c r="J166" s="11"/>
      <c r="K166" s="12">
        <v>0</v>
      </c>
      <c r="L166" s="10" t="str">
        <f>HYPERLINK("https://otsuka-europe-crm.veevavault.com/ui/#object/approved_document__v/V5O00000001H025", "LUP - VAE invitación simposio SEN-SER - Reuma")</f>
        <v>LUP - VAE invitación simposio SEN-SER - Reuma</v>
      </c>
      <c r="M166" s="10" t="str">
        <f>HYPERLINK("mailto:gsammali@crm.otsuka-europe.com", "gsammali@crm.otsuka-europe.com")</f>
        <v>gsammali@crm.otsuka-europe.com</v>
      </c>
      <c r="N166" s="13">
        <v>46174.620740740742</v>
      </c>
      <c r="O166" s="14" t="str">
        <f>HYPERLINK("https://otsuka-europe-crm.veevavault.com/ui/#object/email_activity__v/V8C00000003K177", "EN-002086227")</f>
        <v>EN-002086227</v>
      </c>
    </row>
    <row r="167" spans="1:15" ht="16" x14ac:dyDescent="0.2">
      <c r="A167" s="17" t="str">
        <f>HYPERLINK("https://otsuka-europe-crm.veevavault.com/ui/#object/account__v/V4TZ04ASG9MC2X2", "SERGIO HEREDIA MARTIN")</f>
        <v>SERGIO HEREDIA MARTIN</v>
      </c>
      <c r="B167" s="17" t="str">
        <f>HYPERLINK("https://otsuka-europe-crm.veevavault.com/ui/#object/vcountry__v/VENZ000004SONF5", "ES")</f>
        <v>ES</v>
      </c>
      <c r="C167" s="20" t="s">
        <v>41</v>
      </c>
      <c r="D167" s="21" t="str">
        <f>HYPERLINK("https://otsuka-europe-crm.veevavault.com/ui/#object/approved_document__v/V5O00000001H025", "LUP - VAE invitación simposio SEN-SER - Reuma")</f>
        <v>LUP - VAE invitación simposio SEN-SER - Reuma</v>
      </c>
      <c r="E167" s="22" t="str">
        <f>HYPERLINK("https://otsuka-europe-crm.veevavault.com/ui/#object/sent_email__v/VBL00000002N040", "SE-001430958")</f>
        <v>SE-001430958</v>
      </c>
      <c r="F167" s="23">
        <v>46174.623414351852</v>
      </c>
      <c r="G167" s="24">
        <v>1</v>
      </c>
      <c r="H167" s="24">
        <v>2</v>
      </c>
      <c r="I167" s="24">
        <v>0</v>
      </c>
      <c r="J167" s="25"/>
      <c r="K167" s="24">
        <v>0</v>
      </c>
      <c r="L167" s="22" t="str">
        <f>HYPERLINK("https://otsuka-europe-crm.veevavault.com/ui/#object/approved_document__v/V5O00000001H025", "LUP - VAE invitación simposio SEN-SER - Reuma")</f>
        <v>LUP - VAE invitación simposio SEN-SER - Reuma</v>
      </c>
      <c r="M167" s="22" t="str">
        <f>HYPERLINK("mailto:gsammali@crm.otsuka-europe.com", "gsammali@crm.otsuka-europe.com")</f>
        <v>gsammali@crm.otsuka-europe.com</v>
      </c>
      <c r="N167" s="23">
        <v>46174.620740740742</v>
      </c>
      <c r="O167" s="14" t="str">
        <f>HYPERLINK("https://otsuka-europe-crm.veevavault.com/ui/#object/email_activity__v/V8C00000003K179", "EN-002086229")</f>
        <v>EN-002086229</v>
      </c>
    </row>
    <row r="168" spans="1:15" ht="16" x14ac:dyDescent="0.2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4" t="str">
        <f>HYPERLINK("https://otsuka-europe-crm.veevavault.com/ui/#object/email_activity__v/V8C00000003K191", "EN-002086241")</f>
        <v>EN-002086241</v>
      </c>
    </row>
    <row r="169" spans="1:15" ht="16" x14ac:dyDescent="0.2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4" t="str">
        <f>HYPERLINK("https://otsuka-europe-crm.veevavault.com/ui/#object/email_activity__v/V8C00000003K192", "EN-002086242")</f>
        <v>EN-002086242</v>
      </c>
    </row>
    <row r="170" spans="1:15" ht="32" x14ac:dyDescent="0.2">
      <c r="A170" s="7" t="str">
        <f>HYPERLINK("https://otsuka-europe-crm.veevavault.com/ui/#object/account__v/V4TZ04ASG9M8EXK", "JUDIT FONT URGELLES")</f>
        <v>JUDIT FONT URGELLES</v>
      </c>
      <c r="B170" s="7" t="str">
        <f>HYPERLINK("https://otsuka-europe-crm.veevavault.com/ui/#object/vcountry__v/VENZ000004SONF5", "ES")</f>
        <v>ES</v>
      </c>
      <c r="C170" s="8" t="s">
        <v>41</v>
      </c>
      <c r="D170" s="9" t="str">
        <f>HYPERLINK("https://otsuka-europe-crm.veevavault.com/ui/#object/approved_document__v/V5O00000001H025", "LUP - VAE invitación simposio SEN-SER - Reuma")</f>
        <v>LUP - VAE invitación simposio SEN-SER - Reuma</v>
      </c>
      <c r="E170" s="10" t="str">
        <f>HYPERLINK("https://otsuka-europe-crm.veevavault.com/ui/#object/sent_email__v/VBL00000002N041", "SE-001430959")</f>
        <v>SE-001430959</v>
      </c>
      <c r="F170" s="11"/>
      <c r="G170" s="12">
        <v>0</v>
      </c>
      <c r="H170" s="12">
        <v>0</v>
      </c>
      <c r="I170" s="12">
        <v>0</v>
      </c>
      <c r="J170" s="11"/>
      <c r="K170" s="12">
        <v>0</v>
      </c>
      <c r="L170" s="10" t="str">
        <f>HYPERLINK("https://otsuka-europe-crm.veevavault.com/ui/#object/approved_document__v/V5O00000001H025", "LUP - VAE invitación simposio SEN-SER - Reuma")</f>
        <v>LUP - VAE invitación simposio SEN-SER - Reuma</v>
      </c>
      <c r="M170" s="10" t="str">
        <f>HYPERLINK("mailto:gsammali@crm.otsuka-europe.com", "gsammali@crm.otsuka-europe.com")</f>
        <v>gsammali@crm.otsuka-europe.com</v>
      </c>
      <c r="N170" s="13">
        <v>46174.621296296296</v>
      </c>
      <c r="O170" s="14" t="str">
        <f>HYPERLINK("https://otsuka-europe-crm.veevavault.com/ui/#object/email_activity__v/V8C00000003K180", "EN-002086230")</f>
        <v>EN-002086230</v>
      </c>
    </row>
    <row r="171" spans="1:15" ht="16" x14ac:dyDescent="0.2">
      <c r="A171" s="17" t="str">
        <f>HYPERLINK("https://otsuka-europe-crm.veevavault.com/ui/#object/account__v/V4TZ04ASG9M8EVR", "IVETTE CASAFONT SOLE")</f>
        <v>IVETTE CASAFONT SOLE</v>
      </c>
      <c r="B171" s="17" t="str">
        <f>HYPERLINK("https://otsuka-europe-crm.veevavault.com/ui/#object/vcountry__v/VENZ000004SONF5", "ES")</f>
        <v>ES</v>
      </c>
      <c r="C171" s="20" t="s">
        <v>41</v>
      </c>
      <c r="D171" s="21" t="str">
        <f>HYPERLINK("https://otsuka-europe-crm.veevavault.com/ui/#object/approved_document__v/V5O00000001H025", "LUP - VAE invitación simposio SEN-SER - Reuma")</f>
        <v>LUP - VAE invitación simposio SEN-SER - Reuma</v>
      </c>
      <c r="E171" s="22" t="str">
        <f>HYPERLINK("https://otsuka-europe-crm.veevavault.com/ui/#object/sent_email__v/VBL00000002N042", "SE-001430960")</f>
        <v>SE-001430960</v>
      </c>
      <c r="F171" s="23">
        <v>46174.842939814815</v>
      </c>
      <c r="G171" s="24">
        <v>1</v>
      </c>
      <c r="H171" s="24">
        <v>1</v>
      </c>
      <c r="I171" s="24">
        <v>0</v>
      </c>
      <c r="J171" s="25"/>
      <c r="K171" s="24">
        <v>0</v>
      </c>
      <c r="L171" s="22" t="str">
        <f>HYPERLINK("https://otsuka-europe-crm.veevavault.com/ui/#object/approved_document__v/V5O00000001H025", "LUP - VAE invitación simposio SEN-SER - Reuma")</f>
        <v>LUP - VAE invitación simposio SEN-SER - Reuma</v>
      </c>
      <c r="M171" s="22" t="str">
        <f>HYPERLINK("mailto:gsammali@crm.otsuka-europe.com", "gsammali@crm.otsuka-europe.com")</f>
        <v>gsammali@crm.otsuka-europe.com</v>
      </c>
      <c r="N171" s="23">
        <v>46174.621296296296</v>
      </c>
      <c r="O171" s="14" t="str">
        <f>HYPERLINK("https://otsuka-europe-crm.veevavault.com/ui/#object/email_activity__v/V8C00000003K181", "EN-002086231")</f>
        <v>EN-002086231</v>
      </c>
    </row>
    <row r="172" spans="1:15" ht="16" x14ac:dyDescent="0.2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4" t="str">
        <f>HYPERLINK("https://otsuka-europe-crm.veevavault.com/ui/#object/email_activity__v/V8C00000003L289", "EN-002086780")</f>
        <v>EN-002086780</v>
      </c>
    </row>
    <row r="173" spans="1:15" ht="16" x14ac:dyDescent="0.2">
      <c r="A173" s="17" t="str">
        <f>HYPERLINK("https://otsuka-europe-crm.veevavault.com/ui/#object/account__v/V4TZ025E831DT5Y", "DANIELA GARCIA-AGREDA VACA")</f>
        <v>DANIELA GARCIA-AGREDA VACA</v>
      </c>
      <c r="B173" s="17" t="str">
        <f>HYPERLINK("https://otsuka-europe-crm.veevavault.com/ui/#object/vcountry__v/VENZ000004SONF5", "ES")</f>
        <v>ES</v>
      </c>
      <c r="C173" s="20" t="s">
        <v>41</v>
      </c>
      <c r="D173" s="21" t="str">
        <f>HYPERLINK("https://otsuka-europe-crm.veevavault.com/ui/#object/approved_document__v/V5O00000001H022", "LUP - VAE invitación simposio SEN-SER - Nefro")</f>
        <v>LUP - VAE invitación simposio SEN-SER - Nefro</v>
      </c>
      <c r="E173" s="22" t="str">
        <f>HYPERLINK("https://otsuka-europe-crm.veevavault.com/ui/#object/sent_email__v/VBL00000002N043", "SE-001430961")</f>
        <v>SE-001430961</v>
      </c>
      <c r="F173" s="23">
        <v>46174.622395833336</v>
      </c>
      <c r="G173" s="24">
        <v>1</v>
      </c>
      <c r="H173" s="24">
        <v>2</v>
      </c>
      <c r="I173" s="24">
        <v>1</v>
      </c>
      <c r="J173" s="23">
        <v>46174.622395833336</v>
      </c>
      <c r="K173" s="24">
        <v>2</v>
      </c>
      <c r="L173" s="22" t="str">
        <f>HYPERLINK("https://otsuka-europe-crm.veevavault.com/ui/#object/approved_document__v/V5O00000001H022", "LUP - VAE invitación simposio SEN-SER - Nefro")</f>
        <v>LUP - VAE invitación simposio SEN-SER - Nefro</v>
      </c>
      <c r="M173" s="22" t="str">
        <f>HYPERLINK("mailto:gsammali@crm.otsuka-europe.com", "gsammali@crm.otsuka-europe.com")</f>
        <v>gsammali@crm.otsuka-europe.com</v>
      </c>
      <c r="N173" s="23">
        <v>46174.622129629628</v>
      </c>
      <c r="O173" s="14" t="str">
        <f>HYPERLINK("https://otsuka-europe-crm.veevavault.com/ui/#object/email_activity__v/V8C00000003K183", "EN-002086233")</f>
        <v>EN-002086233</v>
      </c>
    </row>
    <row r="174" spans="1:15" ht="16" x14ac:dyDescent="0.2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4" t="str">
        <f>HYPERLINK("https://otsuka-europe-crm.veevavault.com/ui/#object/email_activity__v/V8C00000003K186", "EN-002086237")</f>
        <v>EN-002086237</v>
      </c>
    </row>
    <row r="175" spans="1:15" ht="16" x14ac:dyDescent="0.2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4" t="str">
        <f>HYPERLINK("https://otsuka-europe-crm.veevavault.com/ui/#object/email_activity__v/V8C00000003K187", "EN-002086236")</f>
        <v>EN-002086236</v>
      </c>
    </row>
    <row r="176" spans="1:15" ht="16" x14ac:dyDescent="0.2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4" t="str">
        <f>HYPERLINK("https://otsuka-europe-crm.veevavault.com/ui/#object/email_activity__v/V8C00000003K188", "EN-002086238")</f>
        <v>EN-002086238</v>
      </c>
    </row>
    <row r="177" spans="1:15" ht="16" x14ac:dyDescent="0.2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4" t="str">
        <f>HYPERLINK("https://otsuka-europe-crm.veevavault.com/ui/#object/email_activity__v/V8C00000003K189", "EN-002086239")</f>
        <v>EN-002086239</v>
      </c>
    </row>
    <row r="178" spans="1:15" ht="16" x14ac:dyDescent="0.2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4" t="str">
        <f>HYPERLINK("https://otsuka-europe-crm.veevavault.com/ui/#object/email_activity__v/V8C00000003K457", "EN-002086509")</f>
        <v>EN-002086509</v>
      </c>
    </row>
    <row r="179" spans="1:15" ht="16" x14ac:dyDescent="0.2">
      <c r="A179" s="17" t="str">
        <f>HYPERLINK("https://otsuka-europe-crm.veevavault.com/ui/#object/account__v/V4TZ06G6O71T7OB", "ELIAS ALEJANDRO JATEM ESCALANTE")</f>
        <v>ELIAS ALEJANDRO JATEM ESCALANTE</v>
      </c>
      <c r="B179" s="17" t="str">
        <f>HYPERLINK("https://otsuka-europe-crm.veevavault.com/ui/#object/vcountry__v/VENZ000004SONF5", "ES")</f>
        <v>ES</v>
      </c>
      <c r="C179" s="20" t="s">
        <v>41</v>
      </c>
      <c r="D179" s="21" t="str">
        <f>HYPERLINK("https://otsuka-europe-crm.veevavault.com/ui/#object/approved_document__v/V5O00000001H022", "LUP - VAE invitación simposio SEN-SER - Nefro")</f>
        <v>LUP - VAE invitación simposio SEN-SER - Nefro</v>
      </c>
      <c r="E179" s="22" t="str">
        <f>HYPERLINK("https://otsuka-europe-crm.veevavault.com/ui/#object/sent_email__v/VBL00000002N044", "SE-001430962")</f>
        <v>SE-001430962</v>
      </c>
      <c r="F179" s="23">
        <v>46175.261273148149</v>
      </c>
      <c r="G179" s="24">
        <v>1</v>
      </c>
      <c r="H179" s="24">
        <v>2</v>
      </c>
      <c r="I179" s="24">
        <v>0</v>
      </c>
      <c r="J179" s="25"/>
      <c r="K179" s="24">
        <v>0</v>
      </c>
      <c r="L179" s="22" t="str">
        <f>HYPERLINK("https://otsuka-europe-crm.veevavault.com/ui/#object/approved_document__v/V5O00000001H022", "LUP - VAE invitación simposio SEN-SER - Nefro")</f>
        <v>LUP - VAE invitación simposio SEN-SER - Nefro</v>
      </c>
      <c r="M179" s="22" t="str">
        <f>HYPERLINK("mailto:gsammali@crm.otsuka-europe.com", "gsammali@crm.otsuka-europe.com")</f>
        <v>gsammali@crm.otsuka-europe.com</v>
      </c>
      <c r="N179" s="23">
        <v>46174.622129629628</v>
      </c>
      <c r="O179" s="14" t="str">
        <f>HYPERLINK("https://otsuka-europe-crm.veevavault.com/ui/#object/email_activity__v/V8C00000003K184", "EN-002086234")</f>
        <v>EN-002086234</v>
      </c>
    </row>
    <row r="180" spans="1:15" ht="16" x14ac:dyDescent="0.2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4" t="str">
        <f>HYPERLINK("https://otsuka-europe-crm.veevavault.com/ui/#object/email_activity__v/V8C00000003K185", "EN-002086235")</f>
        <v>EN-002086235</v>
      </c>
    </row>
    <row r="181" spans="1:15" ht="16" x14ac:dyDescent="0.2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4" t="str">
        <f>HYPERLINK("https://otsuka-europe-crm.veevavault.com/ui/#object/email_activity__v/V8C00000003K612", "EN-002086847")</f>
        <v>EN-002086847</v>
      </c>
    </row>
    <row r="182" spans="1:15" ht="32" x14ac:dyDescent="0.2">
      <c r="A182" s="7" t="str">
        <f>HYPERLINK("https://otsuka-europe-crm.veevavault.com/ui/#object/account__v/V4TZ025E83P7WIE", "ELENA RIERA ALONSO")</f>
        <v>ELENA RIERA ALONSO</v>
      </c>
      <c r="B182" s="7" t="str">
        <f>HYPERLINK("https://otsuka-europe-crm.veevavault.com/ui/#object/vcountry__v/VENZ000004SONF5", "ES")</f>
        <v>ES</v>
      </c>
      <c r="C182" s="8" t="s">
        <v>41</v>
      </c>
      <c r="D182" s="9" t="str">
        <f>HYPERLINK("https://otsuka-europe-crm.veevavault.com/ui/#object/approved_document__v/V5O00000001H025", "LUP - VAE invitación simposio SEN-SER - Reuma")</f>
        <v>LUP - VAE invitación simposio SEN-SER - Reuma</v>
      </c>
      <c r="E182" s="10" t="str">
        <f>HYPERLINK("https://otsuka-europe-crm.veevavault.com/ui/#object/sent_email__v/VBL00000002N045", "SE-001430963")</f>
        <v>SE-001430963</v>
      </c>
      <c r="F182" s="11"/>
      <c r="G182" s="12">
        <v>0</v>
      </c>
      <c r="H182" s="12">
        <v>0</v>
      </c>
      <c r="I182" s="12">
        <v>0</v>
      </c>
      <c r="J182" s="11"/>
      <c r="K182" s="12">
        <v>0</v>
      </c>
      <c r="L182" s="10" t="str">
        <f>HYPERLINK("https://otsuka-europe-crm.veevavault.com/ui/#object/approved_document__v/V5O00000001H025", "LUP - VAE invitación simposio SEN-SER - Reuma")</f>
        <v>LUP - VAE invitación simposio SEN-SER - Reuma</v>
      </c>
      <c r="M182" s="10" t="str">
        <f>HYPERLINK("mailto:ccoll@crm.otsuka-europe.com", "ccoll@crm.otsuka-europe.com")</f>
        <v>ccoll@crm.otsuka-europe.com</v>
      </c>
      <c r="N182" s="13">
        <v>46174.6252662037</v>
      </c>
      <c r="O182" s="14" t="str">
        <f>HYPERLINK("https://otsuka-europe-crm.veevavault.com/ui/#object/email_activity__v/V8C00000003K255", "EN-002086305")</f>
        <v>EN-002086305</v>
      </c>
    </row>
    <row r="183" spans="1:15" ht="32" x14ac:dyDescent="0.2">
      <c r="A183" s="7" t="str">
        <f>HYPERLINK("https://otsuka-europe-crm.veevavault.com/ui/#object/account__v/V4TZ025E85JK6LH", "CLAUDIA ARANGO SILVA")</f>
        <v>CLAUDIA ARANGO SILVA</v>
      </c>
      <c r="B183" s="7" t="str">
        <f>HYPERLINK("https://otsuka-europe-crm.veevavault.com/ui/#object/vcountry__v/VENZ000004SONF5", "ES")</f>
        <v>ES</v>
      </c>
      <c r="C183" s="8" t="s">
        <v>41</v>
      </c>
      <c r="D183" s="9" t="str">
        <f>HYPERLINK("https://otsuka-europe-crm.veevavault.com/ui/#object/approved_document__v/V5O00000001H025", "LUP - VAE invitación simposio SEN-SER - Reuma")</f>
        <v>LUP - VAE invitación simposio SEN-SER - Reuma</v>
      </c>
      <c r="E183" s="10" t="str">
        <f>HYPERLINK("https://otsuka-europe-crm.veevavault.com/ui/#object/sent_email__v/VBL00000002N046", "SE-001430964")</f>
        <v>SE-001430964</v>
      </c>
      <c r="F183" s="11"/>
      <c r="G183" s="12">
        <v>0</v>
      </c>
      <c r="H183" s="12">
        <v>0</v>
      </c>
      <c r="I183" s="12">
        <v>0</v>
      </c>
      <c r="J183" s="11"/>
      <c r="K183" s="12">
        <v>0</v>
      </c>
      <c r="L183" s="10" t="str">
        <f>HYPERLINK("https://otsuka-europe-crm.veevavault.com/ui/#object/approved_document__v/V5O00000001H025", "LUP - VAE invitación simposio SEN-SER - Reuma")</f>
        <v>LUP - VAE invitación simposio SEN-SER - Reuma</v>
      </c>
      <c r="M183" s="10" t="str">
        <f>HYPERLINK("mailto:ccoll@crm.otsuka-europe.com", "ccoll@crm.otsuka-europe.com")</f>
        <v>ccoll@crm.otsuka-europe.com</v>
      </c>
      <c r="N183" s="13">
        <v>46174.625289351854</v>
      </c>
      <c r="O183" s="14" t="str">
        <f>HYPERLINK("https://otsuka-europe-crm.veevavault.com/ui/#object/email_activity__v/V8C00000003K239", "EN-002086289")</f>
        <v>EN-002086289</v>
      </c>
    </row>
    <row r="184" spans="1:15" ht="16" x14ac:dyDescent="0.2">
      <c r="A184" s="17" t="str">
        <f>HYPERLINK("https://otsuka-europe-crm.veevavault.com/ui/#object/account__v/V4TZ025E876XEHN", "TERESA FONT GAYA")</f>
        <v>TERESA FONT GAYA</v>
      </c>
      <c r="B184" s="17" t="str">
        <f>HYPERLINK("https://otsuka-europe-crm.veevavault.com/ui/#object/vcountry__v/VENZ000004SONF5", "ES")</f>
        <v>ES</v>
      </c>
      <c r="C184" s="20" t="s">
        <v>41</v>
      </c>
      <c r="D184" s="21" t="str">
        <f>HYPERLINK("https://otsuka-europe-crm.veevavault.com/ui/#object/approved_document__v/V5O00000001H025", "LUP - VAE invitación simposio SEN-SER - Reuma")</f>
        <v>LUP - VAE invitación simposio SEN-SER - Reuma</v>
      </c>
      <c r="E184" s="22" t="str">
        <f>HYPERLINK("https://otsuka-europe-crm.veevavault.com/ui/#object/sent_email__v/VBL00000002N047", "SE-001430965")</f>
        <v>SE-001430965</v>
      </c>
      <c r="F184" s="23">
        <v>46175.337002314816</v>
      </c>
      <c r="G184" s="24">
        <v>1</v>
      </c>
      <c r="H184" s="24">
        <v>1</v>
      </c>
      <c r="I184" s="24">
        <v>0</v>
      </c>
      <c r="J184" s="25"/>
      <c r="K184" s="24">
        <v>0</v>
      </c>
      <c r="L184" s="22" t="str">
        <f>HYPERLINK("https://otsuka-europe-crm.veevavault.com/ui/#object/approved_document__v/V5O00000001H025", "LUP - VAE invitación simposio SEN-SER - Reuma")</f>
        <v>LUP - VAE invitación simposio SEN-SER - Reuma</v>
      </c>
      <c r="M184" s="22" t="str">
        <f>HYPERLINK("mailto:ccoll@crm.otsuka-europe.com", "ccoll@crm.otsuka-europe.com")</f>
        <v>ccoll@crm.otsuka-europe.com</v>
      </c>
      <c r="N184" s="23">
        <v>46174.625289351854</v>
      </c>
      <c r="O184" s="14" t="str">
        <f>HYPERLINK("https://otsuka-europe-crm.veevavault.com/ui/#object/email_activity__v/V8C00000003K233", "EN-002086283")</f>
        <v>EN-002086283</v>
      </c>
    </row>
    <row r="185" spans="1:15" ht="16" x14ac:dyDescent="0.2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4" t="str">
        <f>HYPERLINK("https://otsuka-europe-crm.veevavault.com/ui/#object/email_activity__v/V8C00000003L329", "EN-002086864")</f>
        <v>EN-002086864</v>
      </c>
    </row>
    <row r="186" spans="1:15" ht="32" x14ac:dyDescent="0.2">
      <c r="A186" s="7" t="str">
        <f>HYPERLINK("https://otsuka-europe-crm.veevavault.com/ui/#object/account__v/V4TZ04ASG9HF77Y", "ALBA QUESADA MORENO")</f>
        <v>ALBA QUESADA MORENO</v>
      </c>
      <c r="B186" s="7" t="str">
        <f>HYPERLINK("https://otsuka-europe-crm.veevavault.com/ui/#object/vcountry__v/VENZ000004SONF5", "ES")</f>
        <v>ES</v>
      </c>
      <c r="C186" s="8" t="s">
        <v>41</v>
      </c>
      <c r="D186" s="9" t="str">
        <f>HYPERLINK("https://otsuka-europe-crm.veevavault.com/ui/#object/approved_document__v/V5O00000001H025", "LUP - VAE invitación simposio SEN-SER - Reuma")</f>
        <v>LUP - VAE invitación simposio SEN-SER - Reuma</v>
      </c>
      <c r="E186" s="10" t="str">
        <f>HYPERLINK("https://otsuka-europe-crm.veevavault.com/ui/#object/sent_email__v/VBL00000002N048", "SE-001430966")</f>
        <v>SE-001430966</v>
      </c>
      <c r="F186" s="11"/>
      <c r="G186" s="12">
        <v>0</v>
      </c>
      <c r="H186" s="12">
        <v>0</v>
      </c>
      <c r="I186" s="12">
        <v>0</v>
      </c>
      <c r="J186" s="11"/>
      <c r="K186" s="12">
        <v>0</v>
      </c>
      <c r="L186" s="10" t="str">
        <f>HYPERLINK("https://otsuka-europe-crm.veevavault.com/ui/#object/approved_document__v/V5O00000001H025", "LUP - VAE invitación simposio SEN-SER - Reuma")</f>
        <v>LUP - VAE invitación simposio SEN-SER - Reuma</v>
      </c>
      <c r="M186" s="10" t="str">
        <f>HYPERLINK("mailto:ccoll@crm.otsuka-europe.com", "ccoll@crm.otsuka-europe.com")</f>
        <v>ccoll@crm.otsuka-europe.com</v>
      </c>
      <c r="N186" s="13">
        <v>46174.625289351854</v>
      </c>
      <c r="O186" s="14" t="str">
        <f>HYPERLINK("https://otsuka-europe-crm.veevavault.com/ui/#object/email_activity__v/V8C00000003K231", "EN-002086281")</f>
        <v>EN-002086281</v>
      </c>
    </row>
    <row r="187" spans="1:15" ht="32" x14ac:dyDescent="0.2">
      <c r="A187" s="7" t="str">
        <f>HYPERLINK("https://otsuka-europe-crm.veevavault.com/ui/#object/account__v/V4TZ04ASGB4WQ3U", "PATRICIA CORZO GARCIA")</f>
        <v>PATRICIA CORZO GARCIA</v>
      </c>
      <c r="B187" s="7" t="str">
        <f>HYPERLINK("https://otsuka-europe-crm.veevavault.com/ui/#object/vcountry__v/VENZ000004SONF5", "ES")</f>
        <v>ES</v>
      </c>
      <c r="C187" s="8" t="s">
        <v>41</v>
      </c>
      <c r="D187" s="9" t="str">
        <f>HYPERLINK("https://otsuka-europe-crm.veevavault.com/ui/#object/approved_document__v/V5O00000001H025", "LUP - VAE invitación simposio SEN-SER - Reuma")</f>
        <v>LUP - VAE invitación simposio SEN-SER - Reuma</v>
      </c>
      <c r="E187" s="10" t="str">
        <f>HYPERLINK("https://otsuka-europe-crm.veevavault.com/ui/#object/sent_email__v/VBL00000002N049", "SE-001430967")</f>
        <v>SE-001430967</v>
      </c>
      <c r="F187" s="11"/>
      <c r="G187" s="12">
        <v>0</v>
      </c>
      <c r="H187" s="12">
        <v>0</v>
      </c>
      <c r="I187" s="12">
        <v>0</v>
      </c>
      <c r="J187" s="11"/>
      <c r="K187" s="12">
        <v>0</v>
      </c>
      <c r="L187" s="10" t="str">
        <f>HYPERLINK("https://otsuka-europe-crm.veevavault.com/ui/#object/approved_document__v/V5O00000001H025", "LUP - VAE invitación simposio SEN-SER - Reuma")</f>
        <v>LUP - VAE invitación simposio SEN-SER - Reuma</v>
      </c>
      <c r="M187" s="10" t="str">
        <f>HYPERLINK("mailto:ccoll@crm.otsuka-europe.com", "ccoll@crm.otsuka-europe.com")</f>
        <v>ccoll@crm.otsuka-europe.com</v>
      </c>
      <c r="N187" s="13">
        <v>46174.625289351854</v>
      </c>
      <c r="O187" s="14" t="str">
        <f>HYPERLINK("https://otsuka-europe-crm.veevavault.com/ui/#object/email_activity__v/V8C00000003K228", "EN-002086278")</f>
        <v>EN-002086278</v>
      </c>
    </row>
    <row r="188" spans="1:15" ht="32" x14ac:dyDescent="0.2">
      <c r="A188" s="7" t="str">
        <f>HYPERLINK("https://otsuka-europe-crm.veevavault.com/ui/#object/account__v/V4TZ025E85SK79C", "JULIA BERNARDEZ MORENO")</f>
        <v>JULIA BERNARDEZ MORENO</v>
      </c>
      <c r="B188" s="7" t="str">
        <f>HYPERLINK("https://otsuka-europe-crm.veevavault.com/ui/#object/vcountry__v/VENZ000004SONF5", "ES")</f>
        <v>ES</v>
      </c>
      <c r="C188" s="8" t="s">
        <v>41</v>
      </c>
      <c r="D188" s="9" t="str">
        <f>HYPERLINK("https://otsuka-europe-crm.veevavault.com/ui/#object/approved_document__v/V5O00000001H025", "LUP - VAE invitación simposio SEN-SER - Reuma")</f>
        <v>LUP - VAE invitación simposio SEN-SER - Reuma</v>
      </c>
      <c r="E188" s="10" t="str">
        <f>HYPERLINK("https://otsuka-europe-crm.veevavault.com/ui/#object/sent_email__v/VBL00000002N050", "SE-001430968")</f>
        <v>SE-001430968</v>
      </c>
      <c r="F188" s="11"/>
      <c r="G188" s="12">
        <v>0</v>
      </c>
      <c r="H188" s="12">
        <v>0</v>
      </c>
      <c r="I188" s="12">
        <v>0</v>
      </c>
      <c r="J188" s="11"/>
      <c r="K188" s="12">
        <v>0</v>
      </c>
      <c r="L188" s="10" t="str">
        <f>HYPERLINK("https://otsuka-europe-crm.veevavault.com/ui/#object/approved_document__v/V5O00000001H025", "LUP - VAE invitación simposio SEN-SER - Reuma")</f>
        <v>LUP - VAE invitación simposio SEN-SER - Reuma</v>
      </c>
      <c r="M188" s="10" t="str">
        <f>HYPERLINK("mailto:ccoll@crm.otsuka-europe.com", "ccoll@crm.otsuka-europe.com")</f>
        <v>ccoll@crm.otsuka-europe.com</v>
      </c>
      <c r="N188" s="13">
        <v>46174.625289351854</v>
      </c>
      <c r="O188" s="14" t="str">
        <f>HYPERLINK("https://otsuka-europe-crm.veevavault.com/ui/#object/email_activity__v/V8C00000003K241", "EN-002086291")</f>
        <v>EN-002086291</v>
      </c>
    </row>
    <row r="189" spans="1:15" ht="32" x14ac:dyDescent="0.2">
      <c r="A189" s="7" t="str">
        <f>HYPERLINK("https://otsuka-europe-crm.veevavault.com/ui/#object/account__v/V4TZ025E86G5XX5", "PATRICIA MOYA ALVARADO")</f>
        <v>PATRICIA MOYA ALVARADO</v>
      </c>
      <c r="B189" s="7" t="str">
        <f>HYPERLINK("https://otsuka-europe-crm.veevavault.com/ui/#object/vcountry__v/VENZ000004SONF5", "ES")</f>
        <v>ES</v>
      </c>
      <c r="C189" s="8" t="s">
        <v>41</v>
      </c>
      <c r="D189" s="9" t="str">
        <f>HYPERLINK("https://otsuka-europe-crm.veevavault.com/ui/#object/approved_document__v/V5O00000001H025", "LUP - VAE invitación simposio SEN-SER - Reuma")</f>
        <v>LUP - VAE invitación simposio SEN-SER - Reuma</v>
      </c>
      <c r="E189" s="10" t="str">
        <f>HYPERLINK("https://otsuka-europe-crm.veevavault.com/ui/#object/sent_email__v/VBL00000002N051", "SE-001430969")</f>
        <v>SE-001430969</v>
      </c>
      <c r="F189" s="11"/>
      <c r="G189" s="12">
        <v>0</v>
      </c>
      <c r="H189" s="12">
        <v>0</v>
      </c>
      <c r="I189" s="12">
        <v>0</v>
      </c>
      <c r="J189" s="11"/>
      <c r="K189" s="12">
        <v>0</v>
      </c>
      <c r="L189" s="10" t="str">
        <f>HYPERLINK("https://otsuka-europe-crm.veevavault.com/ui/#object/approved_document__v/V5O00000001H025", "LUP - VAE invitación simposio SEN-SER - Reuma")</f>
        <v>LUP - VAE invitación simposio SEN-SER - Reuma</v>
      </c>
      <c r="M189" s="10" t="str">
        <f>HYPERLINK("mailto:ccoll@crm.otsuka-europe.com", "ccoll@crm.otsuka-europe.com")</f>
        <v>ccoll@crm.otsuka-europe.com</v>
      </c>
      <c r="N189" s="13">
        <v>46174.625289351854</v>
      </c>
      <c r="O189" s="14" t="str">
        <f>HYPERLINK("https://otsuka-europe-crm.veevavault.com/ui/#object/email_activity__v/V8C00000003K217", "EN-002086267")</f>
        <v>EN-002086267</v>
      </c>
    </row>
    <row r="190" spans="1:15" ht="16" x14ac:dyDescent="0.2">
      <c r="A190" s="17" t="str">
        <f>HYPERLINK("https://otsuka-europe-crm.veevavault.com/ui/#object/account__v/V4TZ025E82WZJ62", "ANTONIO JOSE LOZANO SAEZ")</f>
        <v>ANTONIO JOSE LOZANO SAEZ</v>
      </c>
      <c r="B190" s="17" t="str">
        <f>HYPERLINK("https://otsuka-europe-crm.veevavault.com/ui/#object/vcountry__v/VENZ000004SONF5", "ES")</f>
        <v>ES</v>
      </c>
      <c r="C190" s="20" t="s">
        <v>41</v>
      </c>
      <c r="D190" s="21" t="str">
        <f>HYPERLINK("https://otsuka-europe-crm.veevavault.com/ui/#object/approved_document__v/V5O00000001H025", "LUP - VAE invitación simposio SEN-SER - Reuma")</f>
        <v>LUP - VAE invitación simposio SEN-SER - Reuma</v>
      </c>
      <c r="E190" s="22" t="str">
        <f>HYPERLINK("https://otsuka-europe-crm.veevavault.com/ui/#object/sent_email__v/VBL00000002N052", "SE-001430970")</f>
        <v>SE-001430970</v>
      </c>
      <c r="F190" s="25"/>
      <c r="G190" s="24">
        <v>0</v>
      </c>
      <c r="H190" s="24">
        <v>0</v>
      </c>
      <c r="I190" s="24">
        <v>0</v>
      </c>
      <c r="J190" s="25"/>
      <c r="K190" s="24">
        <v>0</v>
      </c>
      <c r="L190" s="22" t="str">
        <f>HYPERLINK("https://otsuka-europe-crm.veevavault.com/ui/#object/approved_document__v/V5O00000001H025", "LUP - VAE invitación simposio SEN-SER - Reuma")</f>
        <v>LUP - VAE invitación simposio SEN-SER - Reuma</v>
      </c>
      <c r="M190" s="22" t="str">
        <f>HYPERLINK("mailto:ccoll@crm.otsuka-europe.com", "ccoll@crm.otsuka-europe.com")</f>
        <v>ccoll@crm.otsuka-europe.com</v>
      </c>
      <c r="N190" s="23">
        <v>46174.625289351854</v>
      </c>
      <c r="O190" s="14" t="str">
        <f>HYPERLINK("https://otsuka-europe-crm.veevavault.com/ui/#object/email_activity__v/V8C00000003K254", "EN-002086304")</f>
        <v>EN-002086304</v>
      </c>
    </row>
    <row r="191" spans="1:15" ht="16" x14ac:dyDescent="0.2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4" t="str">
        <f>HYPERLINK("https://otsuka-europe-crm.veevavault.com/ui/#object/email_activity__v/V8C00000003K611", "EN-002086845")</f>
        <v>EN-002086845</v>
      </c>
    </row>
    <row r="192" spans="1:15" ht="16" x14ac:dyDescent="0.2">
      <c r="A192" s="17" t="str">
        <f>HYPERLINK("https://otsuka-europe-crm.veevavault.com/ui/#object/account__v/V4TZ04ASGAADDZO", "MARILE SANABRIA HERNANDEZ")</f>
        <v>MARILE SANABRIA HERNANDEZ</v>
      </c>
      <c r="B192" s="17" t="str">
        <f>HYPERLINK("https://otsuka-europe-crm.veevavault.com/ui/#object/vcountry__v/VENZ000004SONF5", "ES")</f>
        <v>ES</v>
      </c>
      <c r="C192" s="20" t="s">
        <v>41</v>
      </c>
      <c r="D192" s="21" t="str">
        <f>HYPERLINK("https://otsuka-europe-crm.veevavault.com/ui/#object/approved_document__v/V5O00000001H025", "LUP - VAE invitación simposio SEN-SER - Reuma")</f>
        <v>LUP - VAE invitación simposio SEN-SER - Reuma</v>
      </c>
      <c r="E192" s="22" t="str">
        <f>HYPERLINK("https://otsuka-europe-crm.veevavault.com/ui/#object/sent_email__v/VBL00000002N053", "SE-001430971")</f>
        <v>SE-001430971</v>
      </c>
      <c r="F192" s="23">
        <v>46175.258113425924</v>
      </c>
      <c r="G192" s="24">
        <v>1</v>
      </c>
      <c r="H192" s="24">
        <v>3</v>
      </c>
      <c r="I192" s="24">
        <v>0</v>
      </c>
      <c r="J192" s="25"/>
      <c r="K192" s="24">
        <v>0</v>
      </c>
      <c r="L192" s="22" t="str">
        <f>HYPERLINK("https://otsuka-europe-crm.veevavault.com/ui/#object/approved_document__v/V5O00000001H025", "LUP - VAE invitación simposio SEN-SER - Reuma")</f>
        <v>LUP - VAE invitación simposio SEN-SER - Reuma</v>
      </c>
      <c r="M192" s="22" t="str">
        <f>HYPERLINK("mailto:ccoll@crm.otsuka-europe.com", "ccoll@crm.otsuka-europe.com")</f>
        <v>ccoll@crm.otsuka-europe.com</v>
      </c>
      <c r="N192" s="23">
        <v>46174.625289351854</v>
      </c>
      <c r="O192" s="14" t="str">
        <f>HYPERLINK("https://otsuka-europe-crm.veevavault.com/ui/#object/email_activity__v/V8C00000003K209", "EN-002086259")</f>
        <v>EN-002086259</v>
      </c>
    </row>
    <row r="193" spans="1:15" ht="16" x14ac:dyDescent="0.2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4" t="str">
        <f>HYPERLINK("https://otsuka-europe-crm.veevavault.com/ui/#object/email_activity__v/V8C00000003K256", "EN-002086306")</f>
        <v>EN-002086306</v>
      </c>
    </row>
    <row r="194" spans="1:15" ht="16" x14ac:dyDescent="0.2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4" t="str">
        <f>HYPERLINK("https://otsuka-europe-crm.veevavault.com/ui/#object/email_activity__v/V8C00000003K602", "EN-002086824")</f>
        <v>EN-002086824</v>
      </c>
    </row>
    <row r="195" spans="1:15" ht="16" x14ac:dyDescent="0.2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4" t="str">
        <f>HYPERLINK("https://otsuka-europe-crm.veevavault.com/ui/#object/email_activity__v/V8C00000003L324", "EN-002086846")</f>
        <v>EN-002086846</v>
      </c>
    </row>
    <row r="196" spans="1:15" ht="32" x14ac:dyDescent="0.2">
      <c r="A196" s="7" t="str">
        <f>HYPERLINK("https://otsuka-europe-crm.veevavault.com/ui/#object/account__v/V4TZ025E8413Q7H", "HELENA SIRERA PERELLO")</f>
        <v>HELENA SIRERA PERELLO</v>
      </c>
      <c r="B196" s="7" t="str">
        <f>HYPERLINK("https://otsuka-europe-crm.veevavault.com/ui/#object/vcountry__v/VENZ000004SONF5", "ES")</f>
        <v>ES</v>
      </c>
      <c r="C196" s="8" t="s">
        <v>41</v>
      </c>
      <c r="D196" s="9" t="str">
        <f>HYPERLINK("https://otsuka-europe-crm.veevavault.com/ui/#object/approved_document__v/V5O00000001H025", "LUP - VAE invitación simposio SEN-SER - Reuma")</f>
        <v>LUP - VAE invitación simposio SEN-SER - Reuma</v>
      </c>
      <c r="E196" s="10" t="str">
        <f>HYPERLINK("https://otsuka-europe-crm.veevavault.com/ui/#object/sent_email__v/VBL00000002N054", "SE-001430972")</f>
        <v>SE-001430972</v>
      </c>
      <c r="F196" s="11"/>
      <c r="G196" s="12">
        <v>0</v>
      </c>
      <c r="H196" s="12">
        <v>0</v>
      </c>
      <c r="I196" s="12">
        <v>0</v>
      </c>
      <c r="J196" s="11"/>
      <c r="K196" s="12">
        <v>0</v>
      </c>
      <c r="L196" s="10" t="str">
        <f>HYPERLINK("https://otsuka-europe-crm.veevavault.com/ui/#object/approved_document__v/V5O00000001H025", "LUP - VAE invitación simposio SEN-SER - Reuma")</f>
        <v>LUP - VAE invitación simposio SEN-SER - Reuma</v>
      </c>
      <c r="M196" s="10" t="str">
        <f>HYPERLINK("mailto:ccoll@crm.otsuka-europe.com", "ccoll@crm.otsuka-europe.com")</f>
        <v>ccoll@crm.otsuka-europe.com</v>
      </c>
      <c r="N196" s="13">
        <v>46174.625289351854</v>
      </c>
      <c r="O196" s="14" t="str">
        <f>HYPERLINK("https://otsuka-europe-crm.veevavault.com/ui/#object/email_activity__v/V8C00000003K248", "EN-002086298")</f>
        <v>EN-002086298</v>
      </c>
    </row>
    <row r="197" spans="1:15" ht="16" x14ac:dyDescent="0.2">
      <c r="A197" s="17" t="str">
        <f>HYPERLINK("https://otsuka-europe-crm.veevavault.com/ui/#object/account__v/V4TZ025E892EO47", "JAIR JAVIER BASTIDAS VINUEZA")</f>
        <v>JAIR JAVIER BASTIDAS VINUEZA</v>
      </c>
      <c r="B197" s="17" t="str">
        <f>HYPERLINK("https://otsuka-europe-crm.veevavault.com/ui/#object/vcountry__v/VENZ000004SONF5", "ES")</f>
        <v>ES</v>
      </c>
      <c r="C197" s="20" t="s">
        <v>41</v>
      </c>
      <c r="D197" s="21" t="str">
        <f>HYPERLINK("https://otsuka-europe-crm.veevavault.com/ui/#object/approved_document__v/V5O00000001H025", "LUP - VAE invitación simposio SEN-SER - Reuma")</f>
        <v>LUP - VAE invitación simposio SEN-SER - Reuma</v>
      </c>
      <c r="E197" s="22" t="str">
        <f>HYPERLINK("https://otsuka-europe-crm.veevavault.com/ui/#object/sent_email__v/VBL00000002N055", "SE-001430973")</f>
        <v>SE-001430973</v>
      </c>
      <c r="F197" s="23">
        <v>46174.626712962963</v>
      </c>
      <c r="G197" s="24">
        <v>1</v>
      </c>
      <c r="H197" s="24">
        <v>1</v>
      </c>
      <c r="I197" s="24">
        <v>0</v>
      </c>
      <c r="J197" s="25"/>
      <c r="K197" s="24">
        <v>0</v>
      </c>
      <c r="L197" s="22" t="str">
        <f>HYPERLINK("https://otsuka-europe-crm.veevavault.com/ui/#object/approved_document__v/V5O00000001H025", "LUP - VAE invitación simposio SEN-SER - Reuma")</f>
        <v>LUP - VAE invitación simposio SEN-SER - Reuma</v>
      </c>
      <c r="M197" s="22" t="str">
        <f>HYPERLINK("mailto:ccoll@crm.otsuka-europe.com", "ccoll@crm.otsuka-europe.com")</f>
        <v>ccoll@crm.otsuka-europe.com</v>
      </c>
      <c r="N197" s="23">
        <v>46174.62537037037</v>
      </c>
      <c r="O197" s="14" t="str">
        <f>HYPERLINK("https://otsuka-europe-crm.veevavault.com/ui/#object/email_activity__v/V8C00000003K206", "EN-002086256")</f>
        <v>EN-002086256</v>
      </c>
    </row>
    <row r="198" spans="1:15" ht="16" x14ac:dyDescent="0.2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4" t="str">
        <f>HYPERLINK("https://otsuka-europe-crm.veevavault.com/ui/#object/email_activity__v/V8C00000003K394", "EN-002086444")</f>
        <v>EN-002086444</v>
      </c>
    </row>
    <row r="199" spans="1:15" ht="32" x14ac:dyDescent="0.2">
      <c r="A199" s="7" t="str">
        <f>HYPERLINK("https://otsuka-europe-crm.veevavault.com/ui/#object/account__v/V4TZ025E83ZVCG2", "LIDIA DE PRADO PEÑA")</f>
        <v>LIDIA DE PRADO PEÑA</v>
      </c>
      <c r="B199" s="7" t="str">
        <f>HYPERLINK("https://otsuka-europe-crm.veevavault.com/ui/#object/vcountry__v/VENZ000004SONF5", "ES")</f>
        <v>ES</v>
      </c>
      <c r="C199" s="8" t="s">
        <v>41</v>
      </c>
      <c r="D199" s="9" t="str">
        <f>HYPERLINK("https://otsuka-europe-crm.veevavault.com/ui/#object/approved_document__v/V5O00000001H025", "LUP - VAE invitación simposio SEN-SER - Reuma")</f>
        <v>LUP - VAE invitación simposio SEN-SER - Reuma</v>
      </c>
      <c r="E199" s="10" t="str">
        <f>HYPERLINK("https://otsuka-europe-crm.veevavault.com/ui/#object/sent_email__v/VBL00000002N056", "SE-001430974")</f>
        <v>SE-001430974</v>
      </c>
      <c r="F199" s="11"/>
      <c r="G199" s="12">
        <v>0</v>
      </c>
      <c r="H199" s="12">
        <v>0</v>
      </c>
      <c r="I199" s="12">
        <v>0</v>
      </c>
      <c r="J199" s="11"/>
      <c r="K199" s="12">
        <v>0</v>
      </c>
      <c r="L199" s="10" t="str">
        <f>HYPERLINK("https://otsuka-europe-crm.veevavault.com/ui/#object/approved_document__v/V5O00000001H025", "LUP - VAE invitación simposio SEN-SER - Reuma")</f>
        <v>LUP - VAE invitación simposio SEN-SER - Reuma</v>
      </c>
      <c r="M199" s="10" t="str">
        <f>HYPERLINK("mailto:ccoll@crm.otsuka-europe.com", "ccoll@crm.otsuka-europe.com")</f>
        <v>ccoll@crm.otsuka-europe.com</v>
      </c>
      <c r="N199" s="13">
        <v>46174.625289351854</v>
      </c>
      <c r="O199" s="14" t="str">
        <f>HYPERLINK("https://otsuka-europe-crm.veevavault.com/ui/#object/email_activity__v/V8C00000003K251", "EN-002086301")</f>
        <v>EN-002086301</v>
      </c>
    </row>
    <row r="200" spans="1:15" ht="32" x14ac:dyDescent="0.2">
      <c r="A200" s="7" t="str">
        <f>HYPERLINK("https://otsuka-europe-crm.veevavault.com/ui/#object/account__v/V4TZ025E82X32V4", "MARIA ARANTZAZU CONESA MATEOS")</f>
        <v>MARIA ARANTZAZU CONESA MATEOS</v>
      </c>
      <c r="B200" s="7" t="str">
        <f>HYPERLINK("https://otsuka-europe-crm.veevavault.com/ui/#object/vcountry__v/VENZ000004SONF5", "ES")</f>
        <v>ES</v>
      </c>
      <c r="C200" s="8" t="s">
        <v>41</v>
      </c>
      <c r="D200" s="9" t="str">
        <f>HYPERLINK("https://otsuka-europe-crm.veevavault.com/ui/#object/approved_document__v/V5O00000001H025", "LUP - VAE invitación simposio SEN-SER - Reuma")</f>
        <v>LUP - VAE invitación simposio SEN-SER - Reuma</v>
      </c>
      <c r="E200" s="10" t="str">
        <f>HYPERLINK("https://otsuka-europe-crm.veevavault.com/ui/#object/sent_email__v/VBL00000002N057", "SE-001430975")</f>
        <v>SE-001430975</v>
      </c>
      <c r="F200" s="11"/>
      <c r="G200" s="12">
        <v>0</v>
      </c>
      <c r="H200" s="12">
        <v>0</v>
      </c>
      <c r="I200" s="12">
        <v>0</v>
      </c>
      <c r="J200" s="11"/>
      <c r="K200" s="12">
        <v>0</v>
      </c>
      <c r="L200" s="10" t="str">
        <f>HYPERLINK("https://otsuka-europe-crm.veevavault.com/ui/#object/approved_document__v/V5O00000001H025", "LUP - VAE invitación simposio SEN-SER - Reuma")</f>
        <v>LUP - VAE invitación simposio SEN-SER - Reuma</v>
      </c>
      <c r="M200" s="10" t="str">
        <f>HYPERLINK("mailto:ccoll@crm.otsuka-europe.com", "ccoll@crm.otsuka-europe.com")</f>
        <v>ccoll@crm.otsuka-europe.com</v>
      </c>
      <c r="N200" s="13">
        <v>46174.625289351854</v>
      </c>
      <c r="O200" s="14" t="str">
        <f>HYPERLINK("https://otsuka-europe-crm.veevavault.com/ui/#object/email_activity__v/V8C00000003K220", "EN-002086270")</f>
        <v>EN-002086270</v>
      </c>
    </row>
    <row r="201" spans="1:15" ht="16" x14ac:dyDescent="0.2">
      <c r="A201" s="17" t="str">
        <f>HYPERLINK("https://otsuka-europe-crm.veevavault.com/ui/#object/account__v/V4TZ04ASG9629IW", "LIDIA ESTOPIÑAN FORTEA")</f>
        <v>LIDIA ESTOPIÑAN FORTEA</v>
      </c>
      <c r="B201" s="17" t="str">
        <f>HYPERLINK("https://otsuka-europe-crm.veevavault.com/ui/#object/vcountry__v/VENZ000004SONF5", "ES")</f>
        <v>ES</v>
      </c>
      <c r="C201" s="20" t="s">
        <v>41</v>
      </c>
      <c r="D201" s="21" t="str">
        <f>HYPERLINK("https://otsuka-europe-crm.veevavault.com/ui/#object/approved_document__v/V5O00000001H025", "LUP - VAE invitación simposio SEN-SER - Reuma")</f>
        <v>LUP - VAE invitación simposio SEN-SER - Reuma</v>
      </c>
      <c r="E201" s="22" t="str">
        <f>HYPERLINK("https://otsuka-europe-crm.veevavault.com/ui/#object/sent_email__v/VBL00000002N058", "SE-001430976")</f>
        <v>SE-001430976</v>
      </c>
      <c r="F201" s="25"/>
      <c r="G201" s="24">
        <v>0</v>
      </c>
      <c r="H201" s="24">
        <v>0</v>
      </c>
      <c r="I201" s="24">
        <v>1</v>
      </c>
      <c r="J201" s="23">
        <v>46174.719293981485</v>
      </c>
      <c r="K201" s="24">
        <v>1</v>
      </c>
      <c r="L201" s="22" t="str">
        <f>HYPERLINK("https://otsuka-europe-crm.veevavault.com/ui/#object/approved_document__v/V5O00000001H025", "LUP - VAE invitación simposio SEN-SER - Reuma")</f>
        <v>LUP - VAE invitación simposio SEN-SER - Reuma</v>
      </c>
      <c r="M201" s="22" t="str">
        <f>HYPERLINK("mailto:ccoll@crm.otsuka-europe.com", "ccoll@crm.otsuka-europe.com")</f>
        <v>ccoll@crm.otsuka-europe.com</v>
      </c>
      <c r="N201" s="23">
        <v>46174.625289351854</v>
      </c>
      <c r="O201" s="14" t="str">
        <f>HYPERLINK("https://otsuka-europe-crm.veevavault.com/ui/#object/email_activity__v/V8C00000003K250", "EN-002086300")</f>
        <v>EN-002086300</v>
      </c>
    </row>
    <row r="202" spans="1:15" ht="16" x14ac:dyDescent="0.2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4" t="str">
        <f>HYPERLINK("https://otsuka-europe-crm.veevavault.com/ui/#object/email_activity__v/V8C00000003K555", "EN-002086715")</f>
        <v>EN-002086715</v>
      </c>
    </row>
    <row r="203" spans="1:15" ht="16" x14ac:dyDescent="0.2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4" t="str">
        <f>HYPERLINK("https://otsuka-europe-crm.veevavault.com/ui/#object/email_activity__v/V8C00000003L251", "EN-002086718")</f>
        <v>EN-002086718</v>
      </c>
    </row>
    <row r="204" spans="1:15" ht="16" x14ac:dyDescent="0.2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4" t="str">
        <f>HYPERLINK("https://otsuka-europe-crm.veevavault.com/ui/#object/email_activity__v/V8C00000003L275", "EN-002086760")</f>
        <v>EN-002086760</v>
      </c>
    </row>
    <row r="205" spans="1:15" ht="16" x14ac:dyDescent="0.2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4" t="str">
        <f>HYPERLINK("https://otsuka-europe-crm.veevavault.com/ui/#object/email_activity__v/V8C00000003V034", "EN-002094878")</f>
        <v>EN-002094878</v>
      </c>
    </row>
    <row r="206" spans="1:15" ht="32" x14ac:dyDescent="0.2">
      <c r="A206" s="7" t="str">
        <f>HYPERLINK("https://otsuka-europe-crm.veevavault.com/ui/#object/account__v/V4TZ04ASGEC6OFJ", "INMACULADA ROS VILAMAJO")</f>
        <v>INMACULADA ROS VILAMAJO</v>
      </c>
      <c r="B206" s="7" t="str">
        <f>HYPERLINK("https://otsuka-europe-crm.veevavault.com/ui/#object/vcountry__v/VENZ000004SONF5", "ES")</f>
        <v>ES</v>
      </c>
      <c r="C206" s="8" t="s">
        <v>41</v>
      </c>
      <c r="D206" s="9" t="str">
        <f>HYPERLINK("https://otsuka-europe-crm.veevavault.com/ui/#object/approved_document__v/V5O00000001H025", "LUP - VAE invitación simposio SEN-SER - Reuma")</f>
        <v>LUP - VAE invitación simposio SEN-SER - Reuma</v>
      </c>
      <c r="E206" s="10" t="str">
        <f>HYPERLINK("https://otsuka-europe-crm.veevavault.com/ui/#object/sent_email__v/VBL00000002N059", "SE-001430977")</f>
        <v>SE-001430977</v>
      </c>
      <c r="F206" s="11"/>
      <c r="G206" s="12">
        <v>0</v>
      </c>
      <c r="H206" s="12">
        <v>0</v>
      </c>
      <c r="I206" s="12">
        <v>0</v>
      </c>
      <c r="J206" s="11"/>
      <c r="K206" s="12">
        <v>0</v>
      </c>
      <c r="L206" s="10" t="str">
        <f>HYPERLINK("https://otsuka-europe-crm.veevavault.com/ui/#object/approved_document__v/V5O00000001H025", "LUP - VAE invitación simposio SEN-SER - Reuma")</f>
        <v>LUP - VAE invitación simposio SEN-SER - Reuma</v>
      </c>
      <c r="M206" s="10" t="str">
        <f>HYPERLINK("mailto:ccoll@crm.otsuka-europe.com", "ccoll@crm.otsuka-europe.com")</f>
        <v>ccoll@crm.otsuka-europe.com</v>
      </c>
      <c r="N206" s="13">
        <v>46174.625289351854</v>
      </c>
      <c r="O206" s="14" t="str">
        <f>HYPERLINK("https://otsuka-europe-crm.veevavault.com/ui/#object/email_activity__v/V8C00000003K221", "EN-002086271")</f>
        <v>EN-002086271</v>
      </c>
    </row>
    <row r="207" spans="1:15" ht="16" x14ac:dyDescent="0.2">
      <c r="A207" s="17" t="str">
        <f>HYPERLINK("https://otsuka-europe-crm.veevavault.com/ui/#object/account__v/V4TZ04ASGAGEZ0G", "JUAN CAMILO SARMIENTO MONROY")</f>
        <v>JUAN CAMILO SARMIENTO MONROY</v>
      </c>
      <c r="B207" s="17" t="str">
        <f>HYPERLINK("https://otsuka-europe-crm.veevavault.com/ui/#object/vcountry__v/VENZ000004SONF5", "ES")</f>
        <v>ES</v>
      </c>
      <c r="C207" s="20" t="s">
        <v>41</v>
      </c>
      <c r="D207" s="21" t="str">
        <f>HYPERLINK("https://otsuka-europe-crm.veevavault.com/ui/#object/approved_document__v/V5O00000001H025", "LUP - VAE invitación simposio SEN-SER - Reuma")</f>
        <v>LUP - VAE invitación simposio SEN-SER - Reuma</v>
      </c>
      <c r="E207" s="22" t="str">
        <f>HYPERLINK("https://otsuka-europe-crm.veevavault.com/ui/#object/sent_email__v/VBL00000002N060", "SE-001430978")</f>
        <v>SE-001430978</v>
      </c>
      <c r="F207" s="23">
        <v>46174.901458333334</v>
      </c>
      <c r="G207" s="24">
        <v>1</v>
      </c>
      <c r="H207" s="24">
        <v>2</v>
      </c>
      <c r="I207" s="24">
        <v>0</v>
      </c>
      <c r="J207" s="25"/>
      <c r="K207" s="24">
        <v>0</v>
      </c>
      <c r="L207" s="22" t="str">
        <f>HYPERLINK("https://otsuka-europe-crm.veevavault.com/ui/#object/approved_document__v/V5O00000001H025", "LUP - VAE invitación simposio SEN-SER - Reuma")</f>
        <v>LUP - VAE invitación simposio SEN-SER - Reuma</v>
      </c>
      <c r="M207" s="22" t="str">
        <f>HYPERLINK("mailto:ccoll@crm.otsuka-europe.com", "ccoll@crm.otsuka-europe.com")</f>
        <v>ccoll@crm.otsuka-europe.com</v>
      </c>
      <c r="N207" s="23">
        <v>46174.625393518516</v>
      </c>
      <c r="O207" s="14" t="str">
        <f>HYPERLINK("https://otsuka-europe-crm.veevavault.com/ui/#object/email_activity__v/V8C00000003K199", "EN-002086249")</f>
        <v>EN-002086249</v>
      </c>
    </row>
    <row r="208" spans="1:15" ht="16" x14ac:dyDescent="0.2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4" t="str">
        <f>HYPERLINK("https://otsuka-europe-crm.veevavault.com/ui/#object/email_activity__v/V8C00000003K546", "EN-002086691")</f>
        <v>EN-002086691</v>
      </c>
    </row>
    <row r="209" spans="1:15" ht="16" x14ac:dyDescent="0.2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4" t="str">
        <f>HYPERLINK("https://otsuka-europe-crm.veevavault.com/ui/#object/email_activity__v/V8C00000003L302", "EN-002086804")</f>
        <v>EN-002086804</v>
      </c>
    </row>
    <row r="210" spans="1:15" ht="32" x14ac:dyDescent="0.2">
      <c r="A210" s="7" t="str">
        <f>HYPERLINK("https://otsuka-europe-crm.veevavault.com/ui/#object/account__v/V4T000000010098", "HELENA CODES MENDEZ")</f>
        <v>HELENA CODES MENDEZ</v>
      </c>
      <c r="B210" s="7" t="str">
        <f>HYPERLINK("https://otsuka-europe-crm.veevavault.com/ui/#object/vcountry__v/VENZ000004SONF5", "ES")</f>
        <v>ES</v>
      </c>
      <c r="C210" s="8" t="s">
        <v>41</v>
      </c>
      <c r="D210" s="9" t="str">
        <f>HYPERLINK("https://otsuka-europe-crm.veevavault.com/ui/#object/approved_document__v/V5O00000001H025", "LUP - VAE invitación simposio SEN-SER - Reuma")</f>
        <v>LUP - VAE invitación simposio SEN-SER - Reuma</v>
      </c>
      <c r="E210" s="10" t="str">
        <f>HYPERLINK("https://otsuka-europe-crm.veevavault.com/ui/#object/sent_email__v/VBL00000002N061", "SE-001430979")</f>
        <v>SE-001430979</v>
      </c>
      <c r="F210" s="11"/>
      <c r="G210" s="12">
        <v>0</v>
      </c>
      <c r="H210" s="12">
        <v>0</v>
      </c>
      <c r="I210" s="12">
        <v>0</v>
      </c>
      <c r="J210" s="11"/>
      <c r="K210" s="12">
        <v>0</v>
      </c>
      <c r="L210" s="10" t="str">
        <f>HYPERLINK("https://otsuka-europe-crm.veevavault.com/ui/#object/approved_document__v/V5O00000001H025", "LUP - VAE invitación simposio SEN-SER - Reuma")</f>
        <v>LUP - VAE invitación simposio SEN-SER - Reuma</v>
      </c>
      <c r="M210" s="10" t="str">
        <f>HYPERLINK("mailto:ccoll@crm.otsuka-europe.com", "ccoll@crm.otsuka-europe.com")</f>
        <v>ccoll@crm.otsuka-europe.com</v>
      </c>
      <c r="N210" s="13">
        <v>46174.625289351854</v>
      </c>
      <c r="O210" s="14" t="str">
        <f>HYPERLINK("https://otsuka-europe-crm.veevavault.com/ui/#object/email_activity__v/V8C00000003K207", "EN-002086257")</f>
        <v>EN-002086257</v>
      </c>
    </row>
    <row r="211" spans="1:15" ht="16" x14ac:dyDescent="0.2">
      <c r="A211" s="17" t="str">
        <f>HYPERLINK("https://otsuka-europe-crm.veevavault.com/ui/#object/account__v/V4TZ025E834QHZG", "SEBASTIAN SANDOVAL MORENO")</f>
        <v>SEBASTIAN SANDOVAL MORENO</v>
      </c>
      <c r="B211" s="17" t="str">
        <f>HYPERLINK("https://otsuka-europe-crm.veevavault.com/ui/#object/vcountry__v/VENZ000004SONF5", "ES")</f>
        <v>ES</v>
      </c>
      <c r="C211" s="20" t="s">
        <v>41</v>
      </c>
      <c r="D211" s="21" t="str">
        <f>HYPERLINK("https://otsuka-europe-crm.veevavault.com/ui/#object/approved_document__v/V5O00000001H025", "LUP - VAE invitación simposio SEN-SER - Reuma")</f>
        <v>LUP - VAE invitación simposio SEN-SER - Reuma</v>
      </c>
      <c r="E211" s="22" t="str">
        <f>HYPERLINK("https://otsuka-europe-crm.veevavault.com/ui/#object/sent_email__v/VBL00000002N062", "SE-001430980")</f>
        <v>SE-001430980</v>
      </c>
      <c r="F211" s="25"/>
      <c r="G211" s="24">
        <v>0</v>
      </c>
      <c r="H211" s="24">
        <v>0</v>
      </c>
      <c r="I211" s="24">
        <v>1</v>
      </c>
      <c r="J211" s="23">
        <v>46174.643958333334</v>
      </c>
      <c r="K211" s="24">
        <v>1</v>
      </c>
      <c r="L211" s="22" t="str">
        <f>HYPERLINK("https://otsuka-europe-crm.veevavault.com/ui/#object/approved_document__v/V5O00000001H025", "LUP - VAE invitación simposio SEN-SER - Reuma")</f>
        <v>LUP - VAE invitación simposio SEN-SER - Reuma</v>
      </c>
      <c r="M211" s="22" t="str">
        <f>HYPERLINK("mailto:ccoll@crm.otsuka-europe.com", "ccoll@crm.otsuka-europe.com")</f>
        <v>ccoll@crm.otsuka-europe.com</v>
      </c>
      <c r="N211" s="23">
        <v>46174.625405092593</v>
      </c>
      <c r="O211" s="14" t="str">
        <f>HYPERLINK("https://otsuka-europe-crm.veevavault.com/ui/#object/email_activity__v/V8C00000003K203", "EN-002086253")</f>
        <v>EN-002086253</v>
      </c>
    </row>
    <row r="212" spans="1:15" ht="16" x14ac:dyDescent="0.2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4" t="str">
        <f>HYPERLINK("https://otsuka-europe-crm.veevavault.com/ui/#object/email_activity__v/V8C00000003K482", "EN-002086547")</f>
        <v>EN-002086547</v>
      </c>
    </row>
    <row r="213" spans="1:15" ht="16" x14ac:dyDescent="0.2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4" t="str">
        <f>HYPERLINK("https://otsuka-europe-crm.veevavault.com/ui/#object/email_activity__v/V8C00000003K484", "EN-002086550")</f>
        <v>EN-002086550</v>
      </c>
    </row>
    <row r="214" spans="1:15" ht="16" x14ac:dyDescent="0.2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4" t="str">
        <f>HYPERLINK("https://otsuka-europe-crm.veevavault.com/ui/#object/email_activity__v/V8C00000003L199", "EN-002086624")</f>
        <v>EN-002086624</v>
      </c>
    </row>
    <row r="215" spans="1:15" ht="16" x14ac:dyDescent="0.2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4" t="str">
        <f>HYPERLINK("https://otsuka-europe-crm.veevavault.com/ui/#object/email_activity__v/V8C00000003L747", "EN-002087472")</f>
        <v>EN-002087472</v>
      </c>
    </row>
    <row r="216" spans="1:15" ht="16" x14ac:dyDescent="0.2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4" t="str">
        <f>HYPERLINK("https://otsuka-europe-crm.veevavault.com/ui/#object/email_activity__v/V8C00000003Q697", "EN-002092233")</f>
        <v>EN-002092233</v>
      </c>
    </row>
    <row r="217" spans="1:15" ht="32" x14ac:dyDescent="0.2">
      <c r="A217" s="7" t="str">
        <f>HYPERLINK("https://otsuka-europe-crm.veevavault.com/ui/#object/account__v/V4TZ04ASGEBWRWC", "PAULA VALENTINA ESTRADA ALARCON")</f>
        <v>PAULA VALENTINA ESTRADA ALARCON</v>
      </c>
      <c r="B217" s="7" t="str">
        <f>HYPERLINK("https://otsuka-europe-crm.veevavault.com/ui/#object/vcountry__v/VENZ000004SONF5", "ES")</f>
        <v>ES</v>
      </c>
      <c r="C217" s="8" t="s">
        <v>41</v>
      </c>
      <c r="D217" s="9" t="str">
        <f>HYPERLINK("https://otsuka-europe-crm.veevavault.com/ui/#object/approved_document__v/V5O00000001H025", "LUP - VAE invitación simposio SEN-SER - Reuma")</f>
        <v>LUP - VAE invitación simposio SEN-SER - Reuma</v>
      </c>
      <c r="E217" s="10" t="str">
        <f>HYPERLINK("https://otsuka-europe-crm.veevavault.com/ui/#object/sent_email__v/VBL00000002N063", "SE-001430981")</f>
        <v>SE-001430981</v>
      </c>
      <c r="F217" s="11"/>
      <c r="G217" s="12">
        <v>0</v>
      </c>
      <c r="H217" s="12">
        <v>0</v>
      </c>
      <c r="I217" s="12">
        <v>0</v>
      </c>
      <c r="J217" s="11"/>
      <c r="K217" s="12">
        <v>0</v>
      </c>
      <c r="L217" s="10" t="str">
        <f>HYPERLINK("https://otsuka-europe-crm.veevavault.com/ui/#object/approved_document__v/V5O00000001H025", "LUP - VAE invitación simposio SEN-SER - Reuma")</f>
        <v>LUP - VAE invitación simposio SEN-SER - Reuma</v>
      </c>
      <c r="M217" s="10" t="str">
        <f>HYPERLINK("mailto:ccoll@crm.otsuka-europe.com", "ccoll@crm.otsuka-europe.com")</f>
        <v>ccoll@crm.otsuka-europe.com</v>
      </c>
      <c r="N217" s="13">
        <v>46174.625289351854</v>
      </c>
      <c r="O217" s="14" t="str">
        <f>HYPERLINK("https://otsuka-europe-crm.veevavault.com/ui/#object/email_activity__v/V8C00000003K249", "EN-002086299")</f>
        <v>EN-002086299</v>
      </c>
    </row>
    <row r="218" spans="1:15" ht="16" x14ac:dyDescent="0.2">
      <c r="A218" s="17" t="str">
        <f>HYPERLINK("https://otsuka-europe-crm.veevavault.com/ui/#object/account__v/V4TZ025E85JF1EV", "ORIANA ANGELICA OMAÑA IGLESIAS")</f>
        <v>ORIANA ANGELICA OMAÑA IGLESIAS</v>
      </c>
      <c r="B218" s="17" t="str">
        <f>HYPERLINK("https://otsuka-europe-crm.veevavault.com/ui/#object/vcountry__v/VENZ000004SONF5", "ES")</f>
        <v>ES</v>
      </c>
      <c r="C218" s="20" t="s">
        <v>41</v>
      </c>
      <c r="D218" s="21" t="str">
        <f>HYPERLINK("https://otsuka-europe-crm.veevavault.com/ui/#object/approved_document__v/V5O00000001H025", "LUP - VAE invitación simposio SEN-SER - Reuma")</f>
        <v>LUP - VAE invitación simposio SEN-SER - Reuma</v>
      </c>
      <c r="E218" s="22" t="str">
        <f>HYPERLINK("https://otsuka-europe-crm.veevavault.com/ui/#object/sent_email__v/VBL00000002N064", "SE-001430982")</f>
        <v>SE-001430982</v>
      </c>
      <c r="F218" s="23">
        <v>46174.638564814813</v>
      </c>
      <c r="G218" s="24">
        <v>1</v>
      </c>
      <c r="H218" s="24">
        <v>1</v>
      </c>
      <c r="I218" s="24">
        <v>0</v>
      </c>
      <c r="J218" s="25"/>
      <c r="K218" s="24">
        <v>0</v>
      </c>
      <c r="L218" s="22" t="str">
        <f>HYPERLINK("https://otsuka-europe-crm.veevavault.com/ui/#object/approved_document__v/V5O00000001H025", "LUP - VAE invitación simposio SEN-SER - Reuma")</f>
        <v>LUP - VAE invitación simposio SEN-SER - Reuma</v>
      </c>
      <c r="M218" s="22" t="str">
        <f>HYPERLINK("mailto:ccoll@crm.otsuka-europe.com", "ccoll@crm.otsuka-europe.com")</f>
        <v>ccoll@crm.otsuka-europe.com</v>
      </c>
      <c r="N218" s="23">
        <v>46174.625289351854</v>
      </c>
      <c r="O218" s="14" t="str">
        <f>HYPERLINK("https://otsuka-europe-crm.veevavault.com/ui/#object/email_activity__v/V8C00000003K223", "EN-002086273")</f>
        <v>EN-002086273</v>
      </c>
    </row>
    <row r="219" spans="1:15" ht="16" x14ac:dyDescent="0.2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4" t="str">
        <f>HYPERLINK("https://otsuka-europe-crm.veevavault.com/ui/#object/email_activity__v/V8C00000003K476", "EN-002086533")</f>
        <v>EN-002086533</v>
      </c>
    </row>
    <row r="220" spans="1:15" ht="32" x14ac:dyDescent="0.2">
      <c r="A220" s="7" t="str">
        <f>HYPERLINK("https://otsuka-europe-crm.veevavault.com/ui/#object/account__v/V4TZ04ASG9MC2VK", "DELIA REINA SANZ")</f>
        <v>DELIA REINA SANZ</v>
      </c>
      <c r="B220" s="7" t="str">
        <f>HYPERLINK("https://otsuka-europe-crm.veevavault.com/ui/#object/vcountry__v/VENZ000004SONF5", "ES")</f>
        <v>ES</v>
      </c>
      <c r="C220" s="8" t="s">
        <v>41</v>
      </c>
      <c r="D220" s="9" t="str">
        <f>HYPERLINK("https://otsuka-europe-crm.veevavault.com/ui/#object/approved_document__v/V5O00000001H025", "LUP - VAE invitación simposio SEN-SER - Reuma")</f>
        <v>LUP - VAE invitación simposio SEN-SER - Reuma</v>
      </c>
      <c r="E220" s="10" t="str">
        <f>HYPERLINK("https://otsuka-europe-crm.veevavault.com/ui/#object/sent_email__v/VBL00000002N065", "SE-001430983")</f>
        <v>SE-001430983</v>
      </c>
      <c r="F220" s="11"/>
      <c r="G220" s="12">
        <v>0</v>
      </c>
      <c r="H220" s="12">
        <v>0</v>
      </c>
      <c r="I220" s="12">
        <v>0</v>
      </c>
      <c r="J220" s="11"/>
      <c r="K220" s="12">
        <v>0</v>
      </c>
      <c r="L220" s="10" t="str">
        <f>HYPERLINK("https://otsuka-europe-crm.veevavault.com/ui/#object/approved_document__v/V5O00000001H025", "LUP - VAE invitación simposio SEN-SER - Reuma")</f>
        <v>LUP - VAE invitación simposio SEN-SER - Reuma</v>
      </c>
      <c r="M220" s="10" t="str">
        <f>HYPERLINK("mailto:ccoll@crm.otsuka-europe.com", "ccoll@crm.otsuka-europe.com")</f>
        <v>ccoll@crm.otsuka-europe.com</v>
      </c>
      <c r="N220" s="13">
        <v>46174.625289351854</v>
      </c>
      <c r="O220" s="14" t="str">
        <f>HYPERLINK("https://otsuka-europe-crm.veevavault.com/ui/#object/email_activity__v/V8C00000003K240", "EN-002086290")</f>
        <v>EN-002086290</v>
      </c>
    </row>
    <row r="221" spans="1:15" ht="32" x14ac:dyDescent="0.2">
      <c r="A221" s="7" t="str">
        <f>HYPERLINK("https://otsuka-europe-crm.veevavault.com/ui/#object/account__v/V4TZ04ASG96298S", "LAURA CRESPI MARTINEZ")</f>
        <v>LAURA CRESPI MARTINEZ</v>
      </c>
      <c r="B221" s="7" t="str">
        <f>HYPERLINK("https://otsuka-europe-crm.veevavault.com/ui/#object/vcountry__v/VENZ000004SONF5", "ES")</f>
        <v>ES</v>
      </c>
      <c r="C221" s="8" t="s">
        <v>41</v>
      </c>
      <c r="D221" s="9" t="str">
        <f>HYPERLINK("https://otsuka-europe-crm.veevavault.com/ui/#object/approved_document__v/V5O00000001H025", "LUP - VAE invitación simposio SEN-SER - Reuma")</f>
        <v>LUP - VAE invitación simposio SEN-SER - Reuma</v>
      </c>
      <c r="E221" s="10" t="str">
        <f>HYPERLINK("https://otsuka-europe-crm.veevavault.com/ui/#object/sent_email__v/VBL00000002N066", "SE-001430984")</f>
        <v>SE-001430984</v>
      </c>
      <c r="F221" s="11"/>
      <c r="G221" s="12">
        <v>0</v>
      </c>
      <c r="H221" s="12">
        <v>0</v>
      </c>
      <c r="I221" s="12">
        <v>0</v>
      </c>
      <c r="J221" s="11"/>
      <c r="K221" s="12">
        <v>0</v>
      </c>
      <c r="L221" s="10" t="str">
        <f>HYPERLINK("https://otsuka-europe-crm.veevavault.com/ui/#object/approved_document__v/V5O00000001H025", "LUP - VAE invitación simposio SEN-SER - Reuma")</f>
        <v>LUP - VAE invitación simposio SEN-SER - Reuma</v>
      </c>
      <c r="M221" s="10" t="str">
        <f>HYPERLINK("mailto:ccoll@crm.otsuka-europe.com", "ccoll@crm.otsuka-europe.com")</f>
        <v>ccoll@crm.otsuka-europe.com</v>
      </c>
      <c r="N221" s="13">
        <v>46174.625289351854</v>
      </c>
      <c r="O221" s="14" t="str">
        <f>HYPERLINK("https://otsuka-europe-crm.veevavault.com/ui/#object/email_activity__v/V8C00000003K229", "EN-002086279")</f>
        <v>EN-002086279</v>
      </c>
    </row>
    <row r="222" spans="1:15" ht="32" x14ac:dyDescent="0.2">
      <c r="A222" s="7" t="str">
        <f>HYPERLINK("https://otsuka-europe-crm.veevavault.com/ui/#object/account__v/V4TZ025E87IXEF2", "REGINA FARE GARCIA")</f>
        <v>REGINA FARE GARCIA</v>
      </c>
      <c r="B222" s="7" t="str">
        <f>HYPERLINK("https://otsuka-europe-crm.veevavault.com/ui/#object/vcountry__v/VENZ000004SONF5", "ES")</f>
        <v>ES</v>
      </c>
      <c r="C222" s="8" t="s">
        <v>41</v>
      </c>
      <c r="D222" s="9" t="str">
        <f>HYPERLINK("https://otsuka-europe-crm.veevavault.com/ui/#object/approved_document__v/V5O00000001H025", "LUP - VAE invitación simposio SEN-SER - Reuma")</f>
        <v>LUP - VAE invitación simposio SEN-SER - Reuma</v>
      </c>
      <c r="E222" s="10" t="str">
        <f>HYPERLINK("https://otsuka-europe-crm.veevavault.com/ui/#object/sent_email__v/VBL00000002N067", "SE-001430985")</f>
        <v>SE-001430985</v>
      </c>
      <c r="F222" s="11"/>
      <c r="G222" s="12">
        <v>0</v>
      </c>
      <c r="H222" s="12">
        <v>0</v>
      </c>
      <c r="I222" s="12">
        <v>0</v>
      </c>
      <c r="J222" s="11"/>
      <c r="K222" s="12">
        <v>0</v>
      </c>
      <c r="L222" s="10" t="str">
        <f>HYPERLINK("https://otsuka-europe-crm.veevavault.com/ui/#object/approved_document__v/V5O00000001H025", "LUP - VAE invitación simposio SEN-SER - Reuma")</f>
        <v>LUP - VAE invitación simposio SEN-SER - Reuma</v>
      </c>
      <c r="M222" s="10" t="str">
        <f>HYPERLINK("mailto:ccoll@crm.otsuka-europe.com", "ccoll@crm.otsuka-europe.com")</f>
        <v>ccoll@crm.otsuka-europe.com</v>
      </c>
      <c r="N222" s="13">
        <v>46174.625289351854</v>
      </c>
      <c r="O222" s="14" t="str">
        <f>HYPERLINK("https://otsuka-europe-crm.veevavault.com/ui/#object/email_activity__v/V8C00000003K232", "EN-002086282")</f>
        <v>EN-002086282</v>
      </c>
    </row>
    <row r="223" spans="1:15" ht="16" x14ac:dyDescent="0.2">
      <c r="A223" s="17" t="str">
        <f>HYPERLINK("https://otsuka-europe-crm.veevavault.com/ui/#object/account__v/V4TZ025E83DWCD8", "MARIELA CARMEN UYAGUARI MOROCHO")</f>
        <v>MARIELA CARMEN UYAGUARI MOROCHO</v>
      </c>
      <c r="B223" s="17" t="str">
        <f>HYPERLINK("https://otsuka-europe-crm.veevavault.com/ui/#object/vcountry__v/VENZ000004SONF5", "ES")</f>
        <v>ES</v>
      </c>
      <c r="C223" s="20" t="s">
        <v>41</v>
      </c>
      <c r="D223" s="21" t="str">
        <f>HYPERLINK("https://otsuka-europe-crm.veevavault.com/ui/#object/approved_document__v/V5O00000001H025", "LUP - VAE invitación simposio SEN-SER - Reuma")</f>
        <v>LUP - VAE invitación simposio SEN-SER - Reuma</v>
      </c>
      <c r="E223" s="22" t="str">
        <f>HYPERLINK("https://otsuka-europe-crm.veevavault.com/ui/#object/sent_email__v/VBL00000002N068", "SE-001430986")</f>
        <v>SE-001430986</v>
      </c>
      <c r="F223" s="23">
        <v>46181.764988425923</v>
      </c>
      <c r="G223" s="24">
        <v>1</v>
      </c>
      <c r="H223" s="24">
        <v>2</v>
      </c>
      <c r="I223" s="24">
        <v>0</v>
      </c>
      <c r="J223" s="25"/>
      <c r="K223" s="24">
        <v>0</v>
      </c>
      <c r="L223" s="22" t="str">
        <f>HYPERLINK("https://otsuka-europe-crm.veevavault.com/ui/#object/approved_document__v/V5O00000001H025", "LUP - VAE invitación simposio SEN-SER - Reuma")</f>
        <v>LUP - VAE invitación simposio SEN-SER - Reuma</v>
      </c>
      <c r="M223" s="22" t="str">
        <f>HYPERLINK("mailto:ccoll@crm.otsuka-europe.com", "ccoll@crm.otsuka-europe.com")</f>
        <v>ccoll@crm.otsuka-europe.com</v>
      </c>
      <c r="N223" s="23">
        <v>46174.625393518516</v>
      </c>
      <c r="O223" s="14" t="str">
        <f>HYPERLINK("https://otsuka-europe-crm.veevavault.com/ui/#object/email_activity__v/V8C00000003K200", "EN-002086250")</f>
        <v>EN-002086250</v>
      </c>
    </row>
    <row r="224" spans="1:15" ht="16" x14ac:dyDescent="0.2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4" t="str">
        <f>HYPERLINK("https://otsuka-europe-crm.veevavault.com/ui/#object/email_activity__v/V8C00000003K257", "EN-002086307")</f>
        <v>EN-002086307</v>
      </c>
    </row>
    <row r="225" spans="1:15" ht="16" x14ac:dyDescent="0.2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4" t="str">
        <f>HYPERLINK("https://otsuka-europe-crm.veevavault.com/ui/#object/email_activity__v/V8C00000003Q670", "EN-002092183")</f>
        <v>EN-002092183</v>
      </c>
    </row>
    <row r="226" spans="1:15" ht="16" x14ac:dyDescent="0.2">
      <c r="A226" s="17" t="str">
        <f>HYPERLINK("https://otsuka-europe-crm.veevavault.com/ui/#object/account__v/V4TZ06G6O9VLJFM", "BEATRIZ FRADE SOSA")</f>
        <v>BEATRIZ FRADE SOSA</v>
      </c>
      <c r="B226" s="17" t="str">
        <f>HYPERLINK("https://otsuka-europe-crm.veevavault.com/ui/#object/vcountry__v/VENZ000004SONF5", "ES")</f>
        <v>ES</v>
      </c>
      <c r="C226" s="20" t="s">
        <v>41</v>
      </c>
      <c r="D226" s="21" t="str">
        <f>HYPERLINK("https://otsuka-europe-crm.veevavault.com/ui/#object/approved_document__v/V5O00000001H025", "LUP - VAE invitación simposio SEN-SER - Reuma")</f>
        <v>LUP - VAE invitación simposio SEN-SER - Reuma</v>
      </c>
      <c r="E226" s="22" t="str">
        <f>HYPERLINK("https://otsuka-europe-crm.veevavault.com/ui/#object/sent_email__v/VBL00000002N069", "SE-001430987")</f>
        <v>SE-001430987</v>
      </c>
      <c r="F226" s="23">
        <v>46174.646469907406</v>
      </c>
      <c r="G226" s="24">
        <v>1</v>
      </c>
      <c r="H226" s="24">
        <v>1</v>
      </c>
      <c r="I226" s="24">
        <v>0</v>
      </c>
      <c r="J226" s="25"/>
      <c r="K226" s="24">
        <v>0</v>
      </c>
      <c r="L226" s="22" t="str">
        <f>HYPERLINK("https://otsuka-europe-crm.veevavault.com/ui/#object/approved_document__v/V5O00000001H025", "LUP - VAE invitación simposio SEN-SER - Reuma")</f>
        <v>LUP - VAE invitación simposio SEN-SER - Reuma</v>
      </c>
      <c r="M226" s="22" t="str">
        <f>HYPERLINK("mailto:ccoll@crm.otsuka-europe.com", "ccoll@crm.otsuka-europe.com")</f>
        <v>ccoll@crm.otsuka-europe.com</v>
      </c>
      <c r="N226" s="23">
        <v>46174.625289351854</v>
      </c>
      <c r="O226" s="14" t="str">
        <f>HYPERLINK("https://otsuka-europe-crm.veevavault.com/ui/#object/email_activity__v/V8C00000003K212", "EN-002086262")</f>
        <v>EN-002086262</v>
      </c>
    </row>
    <row r="227" spans="1:15" ht="16" x14ac:dyDescent="0.2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4" t="str">
        <f>HYPERLINK("https://otsuka-europe-crm.veevavault.com/ui/#object/email_activity__v/V8C00000003K487", "EN-002086554")</f>
        <v>EN-002086554</v>
      </c>
    </row>
    <row r="228" spans="1:15" ht="32" x14ac:dyDescent="0.2">
      <c r="A228" s="7" t="str">
        <f>HYPERLINK("https://otsuka-europe-crm.veevavault.com/ui/#object/account__v/V4TZ025E85ANY1R", "ALBERT CASALS URQUIZA")</f>
        <v>ALBERT CASALS URQUIZA</v>
      </c>
      <c r="B228" s="7" t="str">
        <f>HYPERLINK("https://otsuka-europe-crm.veevavault.com/ui/#object/vcountry__v/VENZ000004SONF5", "ES")</f>
        <v>ES</v>
      </c>
      <c r="C228" s="8" t="s">
        <v>41</v>
      </c>
      <c r="D228" s="9" t="str">
        <f>HYPERLINK("https://otsuka-europe-crm.veevavault.com/ui/#object/approved_document__v/V5O00000001H025", "LUP - VAE invitación simposio SEN-SER - Reuma")</f>
        <v>LUP - VAE invitación simposio SEN-SER - Reuma</v>
      </c>
      <c r="E228" s="10" t="str">
        <f>HYPERLINK("https://otsuka-europe-crm.veevavault.com/ui/#object/sent_email__v/VBL00000002N070", "SE-001430988")</f>
        <v>SE-001430988</v>
      </c>
      <c r="F228" s="11"/>
      <c r="G228" s="12">
        <v>0</v>
      </c>
      <c r="H228" s="12">
        <v>0</v>
      </c>
      <c r="I228" s="12">
        <v>0</v>
      </c>
      <c r="J228" s="11"/>
      <c r="K228" s="12">
        <v>0</v>
      </c>
      <c r="L228" s="10" t="str">
        <f>HYPERLINK("https://otsuka-europe-crm.veevavault.com/ui/#object/approved_document__v/V5O00000001H025", "LUP - VAE invitación simposio SEN-SER - Reuma")</f>
        <v>LUP - VAE invitación simposio SEN-SER - Reuma</v>
      </c>
      <c r="M228" s="10" t="str">
        <f>HYPERLINK("mailto:ccoll@crm.otsuka-europe.com", "ccoll@crm.otsuka-europe.com")</f>
        <v>ccoll@crm.otsuka-europe.com</v>
      </c>
      <c r="N228" s="13">
        <v>46174.625289351854</v>
      </c>
      <c r="O228" s="14" t="str">
        <f>HYPERLINK("https://otsuka-europe-crm.veevavault.com/ui/#object/email_activity__v/V8C00000003K238", "EN-002086288")</f>
        <v>EN-002086288</v>
      </c>
    </row>
    <row r="229" spans="1:15" ht="16" x14ac:dyDescent="0.2">
      <c r="A229" s="17" t="str">
        <f>HYPERLINK("https://otsuka-europe-crm.veevavault.com/ui/#object/account__v/V4TZ04ASGAP2CFD", "ROBERTO FRANCO GUMUCIO SANGUINO")</f>
        <v>ROBERTO FRANCO GUMUCIO SANGUINO</v>
      </c>
      <c r="B229" s="17" t="str">
        <f>HYPERLINK("https://otsuka-europe-crm.veevavault.com/ui/#object/vcountry__v/VENZ000004SONF5", "ES")</f>
        <v>ES</v>
      </c>
      <c r="C229" s="20" t="s">
        <v>41</v>
      </c>
      <c r="D229" s="21" t="str">
        <f>HYPERLINK("https://otsuka-europe-crm.veevavault.com/ui/#object/approved_document__v/V5O00000001H025", "LUP - VAE invitación simposio SEN-SER - Reuma")</f>
        <v>LUP - VAE invitación simposio SEN-SER - Reuma</v>
      </c>
      <c r="E229" s="22" t="str">
        <f>HYPERLINK("https://otsuka-europe-crm.veevavault.com/ui/#object/sent_email__v/VBL00000002N071", "SE-001430989")</f>
        <v>SE-001430989</v>
      </c>
      <c r="F229" s="23">
        <v>46174.625509259262</v>
      </c>
      <c r="G229" s="24">
        <v>1</v>
      </c>
      <c r="H229" s="24">
        <v>1</v>
      </c>
      <c r="I229" s="24">
        <v>0</v>
      </c>
      <c r="J229" s="25"/>
      <c r="K229" s="24">
        <v>0</v>
      </c>
      <c r="L229" s="22" t="str">
        <f>HYPERLINK("https://otsuka-europe-crm.veevavault.com/ui/#object/approved_document__v/V5O00000001H025", "LUP - VAE invitación simposio SEN-SER - Reuma")</f>
        <v>LUP - VAE invitación simposio SEN-SER - Reuma</v>
      </c>
      <c r="M229" s="22" t="str">
        <f>HYPERLINK("mailto:ccoll@crm.otsuka-europe.com", "ccoll@crm.otsuka-europe.com")</f>
        <v>ccoll@crm.otsuka-europe.com</v>
      </c>
      <c r="N229" s="23">
        <v>46174.625289351854</v>
      </c>
      <c r="O229" s="14" t="str">
        <f>HYPERLINK("https://otsuka-europe-crm.veevavault.com/ui/#object/email_activity__v/V8C00000003K227", "EN-002086277")</f>
        <v>EN-002086277</v>
      </c>
    </row>
    <row r="230" spans="1:15" ht="16" x14ac:dyDescent="0.2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4" t="str">
        <f>HYPERLINK("https://otsuka-europe-crm.veevavault.com/ui/#object/email_activity__v/V8C00000003K242", "EN-002086292")</f>
        <v>EN-002086292</v>
      </c>
    </row>
    <row r="231" spans="1:15" ht="32" x14ac:dyDescent="0.2">
      <c r="A231" s="7" t="str">
        <f>HYPERLINK("https://otsuka-europe-crm.veevavault.com/ui/#object/account__v/V4TZ025E8411P26", "JOANA ROVIRA AGUILAR")</f>
        <v>JOANA ROVIRA AGUILAR</v>
      </c>
      <c r="B231" s="7" t="str">
        <f>HYPERLINK("https://otsuka-europe-crm.veevavault.com/ui/#object/vcountry__v/VENZ000004SONF5", "ES")</f>
        <v>ES</v>
      </c>
      <c r="C231" s="8" t="s">
        <v>41</v>
      </c>
      <c r="D231" s="9" t="str">
        <f>HYPERLINK("https://otsuka-europe-crm.veevavault.com/ui/#object/approved_document__v/V5O00000001H025", "LUP - VAE invitación simposio SEN-SER - Reuma")</f>
        <v>LUP - VAE invitación simposio SEN-SER - Reuma</v>
      </c>
      <c r="E231" s="10" t="str">
        <f>HYPERLINK("https://otsuka-europe-crm.veevavault.com/ui/#object/sent_email__v/VBL00000002N072", "SE-001430990")</f>
        <v>SE-001430990</v>
      </c>
      <c r="F231" s="11"/>
      <c r="G231" s="12">
        <v>0</v>
      </c>
      <c r="H231" s="12">
        <v>0</v>
      </c>
      <c r="I231" s="12">
        <v>0</v>
      </c>
      <c r="J231" s="11"/>
      <c r="K231" s="12">
        <v>0</v>
      </c>
      <c r="L231" s="10" t="str">
        <f>HYPERLINK("https://otsuka-europe-crm.veevavault.com/ui/#object/approved_document__v/V5O00000001H025", "LUP - VAE invitación simposio SEN-SER - Reuma")</f>
        <v>LUP - VAE invitación simposio SEN-SER - Reuma</v>
      </c>
      <c r="M231" s="10" t="str">
        <f>HYPERLINK("mailto:ccoll@crm.otsuka-europe.com", "ccoll@crm.otsuka-europe.com")</f>
        <v>ccoll@crm.otsuka-europe.com</v>
      </c>
      <c r="N231" s="13">
        <v>46174.625289351854</v>
      </c>
      <c r="O231" s="14" t="str">
        <f>HYPERLINK("https://otsuka-europe-crm.veevavault.com/ui/#object/email_activity__v/V8C00000003K253", "EN-002086303")</f>
        <v>EN-002086303</v>
      </c>
    </row>
    <row r="232" spans="1:15" ht="16" x14ac:dyDescent="0.2">
      <c r="A232" s="17" t="str">
        <f>HYPERLINK("https://otsuka-europe-crm.veevavault.com/ui/#object/account__v/V4TZ025E86KXG5G", "JOSHUA ADOLFO PEÑAFIEL SAM")</f>
        <v>JOSHUA ADOLFO PEÑAFIEL SAM</v>
      </c>
      <c r="B232" s="17" t="str">
        <f>HYPERLINK("https://otsuka-europe-crm.veevavault.com/ui/#object/vcountry__v/VENZ000004SONF5", "ES")</f>
        <v>ES</v>
      </c>
      <c r="C232" s="20" t="s">
        <v>41</v>
      </c>
      <c r="D232" s="21" t="str">
        <f>HYPERLINK("https://otsuka-europe-crm.veevavault.com/ui/#object/approved_document__v/V5O00000001H025", "LUP - VAE invitación simposio SEN-SER - Reuma")</f>
        <v>LUP - VAE invitación simposio SEN-SER - Reuma</v>
      </c>
      <c r="E232" s="22" t="str">
        <f>HYPERLINK("https://otsuka-europe-crm.veevavault.com/ui/#object/sent_email__v/VBL00000002N073", "SE-001430991")</f>
        <v>SE-001430991</v>
      </c>
      <c r="F232" s="23">
        <v>46174.899375000001</v>
      </c>
      <c r="G232" s="24">
        <v>1</v>
      </c>
      <c r="H232" s="24">
        <v>2</v>
      </c>
      <c r="I232" s="24">
        <v>1</v>
      </c>
      <c r="J232" s="23">
        <v>46174.659629629627</v>
      </c>
      <c r="K232" s="24">
        <v>1</v>
      </c>
      <c r="L232" s="22" t="str">
        <f>HYPERLINK("https://otsuka-europe-crm.veevavault.com/ui/#object/approved_document__v/V5O00000001H025", "LUP - VAE invitación simposio SEN-SER - Reuma")</f>
        <v>LUP - VAE invitación simposio SEN-SER - Reuma</v>
      </c>
      <c r="M232" s="22" t="str">
        <f>HYPERLINK("mailto:ccoll@crm.otsuka-europe.com", "ccoll@crm.otsuka-europe.com")</f>
        <v>ccoll@crm.otsuka-europe.com</v>
      </c>
      <c r="N232" s="23">
        <v>46174.625405092593</v>
      </c>
      <c r="O232" s="14" t="str">
        <f>HYPERLINK("https://otsuka-europe-crm.veevavault.com/ui/#object/email_activity__v/V8C00000003K202", "EN-002086252")</f>
        <v>EN-002086252</v>
      </c>
    </row>
    <row r="233" spans="1:15" ht="16" x14ac:dyDescent="0.2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4" t="str">
        <f>HYPERLINK("https://otsuka-europe-crm.veevavault.com/ui/#object/email_activity__v/V8C00000003K591", "EN-002086803")</f>
        <v>EN-002086803</v>
      </c>
    </row>
    <row r="234" spans="1:15" ht="16" x14ac:dyDescent="0.2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4" t="str">
        <f>HYPERLINK("https://otsuka-europe-crm.veevavault.com/ui/#object/email_activity__v/V8C00000003L168", "EN-002086575")</f>
        <v>EN-002086575</v>
      </c>
    </row>
    <row r="235" spans="1:15" ht="16" x14ac:dyDescent="0.2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4" t="str">
        <f>HYPERLINK("https://otsuka-europe-crm.veevavault.com/ui/#object/email_activity__v/V8C00000003L169", "EN-002086576")</f>
        <v>EN-002086576</v>
      </c>
    </row>
    <row r="236" spans="1:15" ht="16" x14ac:dyDescent="0.2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4" t="str">
        <f>HYPERLINK("https://otsuka-europe-crm.veevavault.com/ui/#object/email_activity__v/V8C00000003L198", "EN-002086623")</f>
        <v>EN-002086623</v>
      </c>
    </row>
    <row r="237" spans="1:15" ht="32" x14ac:dyDescent="0.2">
      <c r="A237" s="7" t="str">
        <f>HYPERLINK("https://otsuka-europe-crm.veevavault.com/ui/#object/account__v/V4TZ025E832J9WG", "MARIA IRENE CARRION BARBERA")</f>
        <v>MARIA IRENE CARRION BARBERA</v>
      </c>
      <c r="B237" s="7" t="str">
        <f>HYPERLINK("https://otsuka-europe-crm.veevavault.com/ui/#object/vcountry__v/VENZ000004SONF5", "ES")</f>
        <v>ES</v>
      </c>
      <c r="C237" s="8" t="s">
        <v>41</v>
      </c>
      <c r="D237" s="9" t="str">
        <f>HYPERLINK("https://otsuka-europe-crm.veevavault.com/ui/#object/approved_document__v/V5O00000001H025", "LUP - VAE invitación simposio SEN-SER - Reuma")</f>
        <v>LUP - VAE invitación simposio SEN-SER - Reuma</v>
      </c>
      <c r="E237" s="10" t="str">
        <f>HYPERLINK("https://otsuka-europe-crm.veevavault.com/ui/#object/sent_email__v/VBL00000002N074", "SE-001430992")</f>
        <v>SE-001430992</v>
      </c>
      <c r="F237" s="11"/>
      <c r="G237" s="12">
        <v>0</v>
      </c>
      <c r="H237" s="12">
        <v>0</v>
      </c>
      <c r="I237" s="12">
        <v>0</v>
      </c>
      <c r="J237" s="11"/>
      <c r="K237" s="12">
        <v>0</v>
      </c>
      <c r="L237" s="10" t="str">
        <f>HYPERLINK("https://otsuka-europe-crm.veevavault.com/ui/#object/approved_document__v/V5O00000001H025", "LUP - VAE invitación simposio SEN-SER - Reuma")</f>
        <v>LUP - VAE invitación simposio SEN-SER - Reuma</v>
      </c>
      <c r="M237" s="10" t="str">
        <f>HYPERLINK("mailto:ccoll@crm.otsuka-europe.com", "ccoll@crm.otsuka-europe.com")</f>
        <v>ccoll@crm.otsuka-europe.com</v>
      </c>
      <c r="N237" s="13">
        <v>46174.625289351854</v>
      </c>
      <c r="O237" s="14" t="str">
        <f>HYPERLINK("https://otsuka-europe-crm.veevavault.com/ui/#object/email_activity__v/V8C00000003K243", "EN-002086293")</f>
        <v>EN-002086293</v>
      </c>
    </row>
    <row r="238" spans="1:15" ht="32" x14ac:dyDescent="0.2">
      <c r="A238" s="7" t="str">
        <f>HYPERLINK("https://otsuka-europe-crm.veevavault.com/ui/#object/account__v/V4TZ04ASG9HF79W", "ANA URRUTICOECHEA ARANA")</f>
        <v>ANA URRUTICOECHEA ARANA</v>
      </c>
      <c r="B238" s="7" t="str">
        <f>HYPERLINK("https://otsuka-europe-crm.veevavault.com/ui/#object/vcountry__v/VENZ000004SONF5", "ES")</f>
        <v>ES</v>
      </c>
      <c r="C238" s="8" t="s">
        <v>41</v>
      </c>
      <c r="D238" s="9" t="str">
        <f>HYPERLINK("https://otsuka-europe-crm.veevavault.com/ui/#object/approved_document__v/V5O00000001H025", "LUP - VAE invitación simposio SEN-SER - Reuma")</f>
        <v>LUP - VAE invitación simposio SEN-SER - Reuma</v>
      </c>
      <c r="E238" s="10" t="str">
        <f>HYPERLINK("https://otsuka-europe-crm.veevavault.com/ui/#object/sent_email__v/VBL00000002N075", "SE-001430993")</f>
        <v>SE-001430993</v>
      </c>
      <c r="F238" s="11"/>
      <c r="G238" s="12">
        <v>0</v>
      </c>
      <c r="H238" s="12">
        <v>0</v>
      </c>
      <c r="I238" s="12">
        <v>0</v>
      </c>
      <c r="J238" s="11"/>
      <c r="K238" s="12">
        <v>0</v>
      </c>
      <c r="L238" s="10" t="str">
        <f>HYPERLINK("https://otsuka-europe-crm.veevavault.com/ui/#object/approved_document__v/V5O00000001H025", "LUP - VAE invitación simposio SEN-SER - Reuma")</f>
        <v>LUP - VAE invitación simposio SEN-SER - Reuma</v>
      </c>
      <c r="M238" s="10" t="str">
        <f>HYPERLINK("mailto:ccoll@crm.otsuka-europe.com", "ccoll@crm.otsuka-europe.com")</f>
        <v>ccoll@crm.otsuka-europe.com</v>
      </c>
      <c r="N238" s="13">
        <v>46174.625289351854</v>
      </c>
      <c r="O238" s="14" t="str">
        <f>HYPERLINK("https://otsuka-europe-crm.veevavault.com/ui/#object/email_activity__v/V8C00000003K215", "EN-002086265")</f>
        <v>EN-002086265</v>
      </c>
    </row>
    <row r="239" spans="1:15" ht="16" x14ac:dyDescent="0.2">
      <c r="A239" s="17" t="str">
        <f>HYPERLINK("https://otsuka-europe-crm.veevavault.com/ui/#object/account__v/V4TZ04ASGAGEXWS", "JOSE ALFREDO GOMEZ PUERTA")</f>
        <v>JOSE ALFREDO GOMEZ PUERTA</v>
      </c>
      <c r="B239" s="17" t="str">
        <f>HYPERLINK("https://otsuka-europe-crm.veevavault.com/ui/#object/vcountry__v/VENZ000004SONF5", "ES")</f>
        <v>ES</v>
      </c>
      <c r="C239" s="20" t="s">
        <v>41</v>
      </c>
      <c r="D239" s="21" t="str">
        <f>HYPERLINK("https://otsuka-europe-crm.veevavault.com/ui/#object/approved_document__v/V5O00000001H025", "LUP - VAE invitación simposio SEN-SER - Reuma")</f>
        <v>LUP - VAE invitación simposio SEN-SER - Reuma</v>
      </c>
      <c r="E239" s="22" t="str">
        <f>HYPERLINK("https://otsuka-europe-crm.veevavault.com/ui/#object/sent_email__v/VBL00000002N076", "SE-001430994")</f>
        <v>SE-001430994</v>
      </c>
      <c r="F239" s="23">
        <v>46174.626493055555</v>
      </c>
      <c r="G239" s="24">
        <v>1</v>
      </c>
      <c r="H239" s="24">
        <v>1</v>
      </c>
      <c r="I239" s="24">
        <v>1</v>
      </c>
      <c r="J239" s="23">
        <v>46174.626493055555</v>
      </c>
      <c r="K239" s="24">
        <v>1</v>
      </c>
      <c r="L239" s="22" t="str">
        <f>HYPERLINK("https://otsuka-europe-crm.veevavault.com/ui/#object/approved_document__v/V5O00000001H025", "LUP - VAE invitación simposio SEN-SER - Reuma")</f>
        <v>LUP - VAE invitación simposio SEN-SER - Reuma</v>
      </c>
      <c r="M239" s="22" t="str">
        <f>HYPERLINK("mailto:ccoll@crm.otsuka-europe.com", "ccoll@crm.otsuka-europe.com")</f>
        <v>ccoll@crm.otsuka-europe.com</v>
      </c>
      <c r="N239" s="23">
        <v>46174.625393518516</v>
      </c>
      <c r="O239" s="14" t="str">
        <f>HYPERLINK("https://otsuka-europe-crm.veevavault.com/ui/#object/email_activity__v/V8C00000003K205", "EN-002086255")</f>
        <v>EN-002086255</v>
      </c>
    </row>
    <row r="240" spans="1:15" ht="16" x14ac:dyDescent="0.2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4" t="str">
        <f>HYPERLINK("https://otsuka-europe-crm.veevavault.com/ui/#object/email_activity__v/V8C00000003K315", "EN-002086368")</f>
        <v>EN-002086368</v>
      </c>
    </row>
    <row r="241" spans="1:15" ht="16" x14ac:dyDescent="0.2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4" t="str">
        <f>HYPERLINK("https://otsuka-europe-crm.veevavault.com/ui/#object/email_activity__v/V8C00000003K317", "EN-002086365")</f>
        <v>EN-002086365</v>
      </c>
    </row>
    <row r="242" spans="1:15" ht="16" x14ac:dyDescent="0.2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4" t="str">
        <f>HYPERLINK("https://otsuka-europe-crm.veevavault.com/ui/#object/email_activity__v/V8C00000003K460", "EN-002086512")</f>
        <v>EN-002086512</v>
      </c>
    </row>
    <row r="243" spans="1:15" ht="32" x14ac:dyDescent="0.2">
      <c r="A243" s="7" t="str">
        <f>HYPERLINK("https://otsuka-europe-crm.veevavault.com/ui/#object/account__v/V4TZ04ASGB967AE", "RAMON FONTOVA GARROFE")</f>
        <v>RAMON FONTOVA GARROFE</v>
      </c>
      <c r="B243" s="7" t="str">
        <f>HYPERLINK("https://otsuka-europe-crm.veevavault.com/ui/#object/vcountry__v/VENZ000004SONF5", "ES")</f>
        <v>ES</v>
      </c>
      <c r="C243" s="8" t="s">
        <v>41</v>
      </c>
      <c r="D243" s="9" t="str">
        <f>HYPERLINK("https://otsuka-europe-crm.veevavault.com/ui/#object/approved_document__v/V5O00000001H025", "LUP - VAE invitación simposio SEN-SER - Reuma")</f>
        <v>LUP - VAE invitación simposio SEN-SER - Reuma</v>
      </c>
      <c r="E243" s="10" t="str">
        <f>HYPERLINK("https://otsuka-europe-crm.veevavault.com/ui/#object/sent_email__v/VBL00000002N077", "SE-001430995")</f>
        <v>SE-001430995</v>
      </c>
      <c r="F243" s="11"/>
      <c r="G243" s="12">
        <v>0</v>
      </c>
      <c r="H243" s="12">
        <v>0</v>
      </c>
      <c r="I243" s="12">
        <v>0</v>
      </c>
      <c r="J243" s="11"/>
      <c r="K243" s="12">
        <v>0</v>
      </c>
      <c r="L243" s="10" t="str">
        <f>HYPERLINK("https://otsuka-europe-crm.veevavault.com/ui/#object/approved_document__v/V5O00000001H025", "LUP - VAE invitación simposio SEN-SER - Reuma")</f>
        <v>LUP - VAE invitación simposio SEN-SER - Reuma</v>
      </c>
      <c r="M243" s="10" t="str">
        <f>HYPERLINK("mailto:ccoll@crm.otsuka-europe.com", "ccoll@crm.otsuka-europe.com")</f>
        <v>ccoll@crm.otsuka-europe.com</v>
      </c>
      <c r="N243" s="13">
        <v>46174.625289351854</v>
      </c>
      <c r="O243" s="14" t="str">
        <f>HYPERLINK("https://otsuka-europe-crm.veevavault.com/ui/#object/email_activity__v/V8C00000003K252", "EN-002086302")</f>
        <v>EN-002086302</v>
      </c>
    </row>
    <row r="244" spans="1:15" ht="16" x14ac:dyDescent="0.2">
      <c r="A244" s="17" t="str">
        <f>HYPERLINK("https://otsuka-europe-crm.veevavault.com/ui/#object/account__v/V4TZ06G6OB4F1KD", "FRANCISCO JAVIER NARVAEZ GARCIA")</f>
        <v>FRANCISCO JAVIER NARVAEZ GARCIA</v>
      </c>
      <c r="B244" s="17" t="str">
        <f>HYPERLINK("https://otsuka-europe-crm.veevavault.com/ui/#object/vcountry__v/VENZ000004SONF5", "ES")</f>
        <v>ES</v>
      </c>
      <c r="C244" s="20" t="s">
        <v>41</v>
      </c>
      <c r="D244" s="21" t="str">
        <f>HYPERLINK("https://otsuka-europe-crm.veevavault.com/ui/#object/approved_document__v/V5O00000001H025", "LUP - VAE invitación simposio SEN-SER - Reuma")</f>
        <v>LUP - VAE invitación simposio SEN-SER - Reuma</v>
      </c>
      <c r="E244" s="22" t="str">
        <f>HYPERLINK("https://otsuka-europe-crm.veevavault.com/ui/#object/sent_email__v/VBL00000002N078", "SE-001430996")</f>
        <v>SE-001430996</v>
      </c>
      <c r="F244" s="23">
        <v>46174.679618055554</v>
      </c>
      <c r="G244" s="24">
        <v>1</v>
      </c>
      <c r="H244" s="24">
        <v>5</v>
      </c>
      <c r="I244" s="24">
        <v>1</v>
      </c>
      <c r="J244" s="23">
        <v>46174.631192129629</v>
      </c>
      <c r="K244" s="24">
        <v>1</v>
      </c>
      <c r="L244" s="22" t="str">
        <f>HYPERLINK("https://otsuka-europe-crm.veevavault.com/ui/#object/approved_document__v/V5O00000001H025", "LUP - VAE invitación simposio SEN-SER - Reuma")</f>
        <v>LUP - VAE invitación simposio SEN-SER - Reuma</v>
      </c>
      <c r="M244" s="22" t="str">
        <f>HYPERLINK("mailto:ccoll@crm.otsuka-europe.com", "ccoll@crm.otsuka-europe.com")</f>
        <v>ccoll@crm.otsuka-europe.com</v>
      </c>
      <c r="N244" s="23">
        <v>46174.625289351854</v>
      </c>
      <c r="O244" s="14" t="str">
        <f>HYPERLINK("https://otsuka-europe-crm.veevavault.com/ui/#object/email_activity__v/V8C00000003K216", "EN-002086266")</f>
        <v>EN-002086266</v>
      </c>
    </row>
    <row r="245" spans="1:15" ht="16" x14ac:dyDescent="0.2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4" t="str">
        <f>HYPERLINK("https://otsuka-europe-crm.veevavault.com/ui/#object/email_activity__v/V8C00000003K453", "EN-002086503")</f>
        <v>EN-002086503</v>
      </c>
    </row>
    <row r="246" spans="1:15" ht="16" x14ac:dyDescent="0.2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4" t="str">
        <f>HYPERLINK("https://otsuka-europe-crm.veevavault.com/ui/#object/email_activity__v/V8C00000003K454", "EN-002086504")</f>
        <v>EN-002086504</v>
      </c>
    </row>
    <row r="247" spans="1:15" ht="16" x14ac:dyDescent="0.2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4" t="str">
        <f>HYPERLINK("https://otsuka-europe-crm.veevavault.com/ui/#object/email_activity__v/V8C00000003K458", "EN-002086510")</f>
        <v>EN-002086510</v>
      </c>
    </row>
    <row r="248" spans="1:15" ht="16" x14ac:dyDescent="0.2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4" t="str">
        <f>HYPERLINK("https://otsuka-europe-crm.veevavault.com/ui/#object/email_activity__v/V8C00000003L140", "EN-002086505")</f>
        <v>EN-002086505</v>
      </c>
    </row>
    <row r="249" spans="1:15" ht="16" x14ac:dyDescent="0.2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4" t="str">
        <f>HYPERLINK("https://otsuka-europe-crm.veevavault.com/ui/#object/email_activity__v/V8C00000003L141", "EN-002086508")</f>
        <v>EN-002086508</v>
      </c>
    </row>
    <row r="250" spans="1:15" ht="16" x14ac:dyDescent="0.2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4" t="str">
        <f>HYPERLINK("https://otsuka-europe-crm.veevavault.com/ui/#object/email_activity__v/V8C00000003L142", "EN-002086514")</f>
        <v>EN-002086514</v>
      </c>
    </row>
    <row r="251" spans="1:15" ht="16" x14ac:dyDescent="0.2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4" t="str">
        <f>HYPERLINK("https://otsuka-europe-crm.veevavault.com/ui/#object/email_activity__v/V8C00000003L205", "EN-002086637")</f>
        <v>EN-002086637</v>
      </c>
    </row>
    <row r="252" spans="1:15" ht="16" x14ac:dyDescent="0.2">
      <c r="A252" s="17" t="str">
        <f>HYPERLINK("https://otsuka-europe-crm.veevavault.com/ui/#object/account__v/V4TZ025E880W7DD", "MARIA BELEN BUSSO ALVAREZ")</f>
        <v>MARIA BELEN BUSSO ALVAREZ</v>
      </c>
      <c r="B252" s="17" t="str">
        <f>HYPERLINK("https://otsuka-europe-crm.veevavault.com/ui/#object/vcountry__v/VENZ000004SONF5", "ES")</f>
        <v>ES</v>
      </c>
      <c r="C252" s="20" t="s">
        <v>41</v>
      </c>
      <c r="D252" s="21" t="str">
        <f>HYPERLINK("https://otsuka-europe-crm.veevavault.com/ui/#object/approved_document__v/V5O00000001H025", "LUP - VAE invitación simposio SEN-SER - Reuma")</f>
        <v>LUP - VAE invitación simposio SEN-SER - Reuma</v>
      </c>
      <c r="E252" s="22" t="str">
        <f>HYPERLINK("https://otsuka-europe-crm.veevavault.com/ui/#object/sent_email__v/VBL00000002N079", "SE-001430997")</f>
        <v>SE-001430997</v>
      </c>
      <c r="F252" s="23">
        <v>46174.625474537039</v>
      </c>
      <c r="G252" s="24">
        <v>1</v>
      </c>
      <c r="H252" s="24">
        <v>1</v>
      </c>
      <c r="I252" s="24">
        <v>0</v>
      </c>
      <c r="J252" s="25"/>
      <c r="K252" s="24">
        <v>0</v>
      </c>
      <c r="L252" s="22" t="str">
        <f>HYPERLINK("https://otsuka-europe-crm.veevavault.com/ui/#object/approved_document__v/V5O00000001H025", "LUP - VAE invitación simposio SEN-SER - Reuma")</f>
        <v>LUP - VAE invitación simposio SEN-SER - Reuma</v>
      </c>
      <c r="M252" s="22" t="str">
        <f>HYPERLINK("mailto:ccoll@crm.otsuka-europe.com", "ccoll@crm.otsuka-europe.com")</f>
        <v>ccoll@crm.otsuka-europe.com</v>
      </c>
      <c r="N252" s="23">
        <v>46174.625289351854</v>
      </c>
      <c r="O252" s="14" t="str">
        <f>HYPERLINK("https://otsuka-europe-crm.veevavault.com/ui/#object/email_activity__v/V8C00000003K230", "EN-002086280")</f>
        <v>EN-002086280</v>
      </c>
    </row>
    <row r="253" spans="1:15" ht="16" x14ac:dyDescent="0.2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4" t="str">
        <f>HYPERLINK("https://otsuka-europe-crm.veevavault.com/ui/#object/email_activity__v/V8C00000003K234", "EN-002086284")</f>
        <v>EN-002086284</v>
      </c>
    </row>
    <row r="254" spans="1:15" ht="32" x14ac:dyDescent="0.2">
      <c r="A254" s="7" t="str">
        <f>HYPERLINK("https://otsuka-europe-crm.veevavault.com/ui/#object/account__v/V4TZ025E82UQVJ6", "ANNA PAMIES CORTS")</f>
        <v>ANNA PAMIES CORTS</v>
      </c>
      <c r="B254" s="7" t="str">
        <f>HYPERLINK("https://otsuka-europe-crm.veevavault.com/ui/#object/vcountry__v/VENZ000004SONF5", "ES")</f>
        <v>ES</v>
      </c>
      <c r="C254" s="8" t="s">
        <v>41</v>
      </c>
      <c r="D254" s="9" t="str">
        <f>HYPERLINK("https://otsuka-europe-crm.veevavault.com/ui/#object/approved_document__v/V5O00000001H025", "LUP - VAE invitación simposio SEN-SER - Reuma")</f>
        <v>LUP - VAE invitación simposio SEN-SER - Reuma</v>
      </c>
      <c r="E254" s="10" t="str">
        <f>HYPERLINK("https://otsuka-europe-crm.veevavault.com/ui/#object/sent_email__v/VBL00000002N080", "SE-001430998")</f>
        <v>SE-001430998</v>
      </c>
      <c r="F254" s="11"/>
      <c r="G254" s="12">
        <v>0</v>
      </c>
      <c r="H254" s="12">
        <v>0</v>
      </c>
      <c r="I254" s="12">
        <v>0</v>
      </c>
      <c r="J254" s="11"/>
      <c r="K254" s="12">
        <v>0</v>
      </c>
      <c r="L254" s="10" t="str">
        <f>HYPERLINK("https://otsuka-europe-crm.veevavault.com/ui/#object/approved_document__v/V5O00000001H025", "LUP - VAE invitación simposio SEN-SER - Reuma")</f>
        <v>LUP - VAE invitación simposio SEN-SER - Reuma</v>
      </c>
      <c r="M254" s="10" t="str">
        <f>HYPERLINK("mailto:ccoll@crm.otsuka-europe.com", "ccoll@crm.otsuka-europe.com")</f>
        <v>ccoll@crm.otsuka-europe.com</v>
      </c>
      <c r="N254" s="13">
        <v>46174.625289351854</v>
      </c>
      <c r="O254" s="14" t="str">
        <f>HYPERLINK("https://otsuka-europe-crm.veevavault.com/ui/#object/email_activity__v/V8C00000003K246", "EN-002086296")</f>
        <v>EN-002086296</v>
      </c>
    </row>
    <row r="255" spans="1:15" ht="16" x14ac:dyDescent="0.2">
      <c r="A255" s="17" t="str">
        <f>HYPERLINK("https://otsuka-europe-crm.veevavault.com/ui/#object/account__v/V4TZ04ASGB4LAF8", "PAOLA VIDAL MONTAL")</f>
        <v>PAOLA VIDAL MONTAL</v>
      </c>
      <c r="B255" s="17" t="str">
        <f>HYPERLINK("https://otsuka-europe-crm.veevavault.com/ui/#object/vcountry__v/VENZ000004SONF5", "ES")</f>
        <v>ES</v>
      </c>
      <c r="C255" s="20" t="s">
        <v>41</v>
      </c>
      <c r="D255" s="21" t="str">
        <f>HYPERLINK("https://otsuka-europe-crm.veevavault.com/ui/#object/approved_document__v/V5O00000001H025", "LUP - VAE invitación simposio SEN-SER - Reuma")</f>
        <v>LUP - VAE invitación simposio SEN-SER - Reuma</v>
      </c>
      <c r="E255" s="22" t="str">
        <f>HYPERLINK("https://otsuka-europe-crm.veevavault.com/ui/#object/sent_email__v/VBL00000002N081", "SE-001430999")</f>
        <v>SE-001430999</v>
      </c>
      <c r="F255" s="23">
        <v>46175.253958333335</v>
      </c>
      <c r="G255" s="24">
        <v>1</v>
      </c>
      <c r="H255" s="24">
        <v>1</v>
      </c>
      <c r="I255" s="24">
        <v>0</v>
      </c>
      <c r="J255" s="25"/>
      <c r="K255" s="24">
        <v>0</v>
      </c>
      <c r="L255" s="22" t="str">
        <f>HYPERLINK("https://otsuka-europe-crm.veevavault.com/ui/#object/approved_document__v/V5O00000001H025", "LUP - VAE invitación simposio SEN-SER - Reuma")</f>
        <v>LUP - VAE invitación simposio SEN-SER - Reuma</v>
      </c>
      <c r="M255" s="22" t="str">
        <f>HYPERLINK("mailto:ccoll@crm.otsuka-europe.com", "ccoll@crm.otsuka-europe.com")</f>
        <v>ccoll@crm.otsuka-europe.com</v>
      </c>
      <c r="N255" s="23">
        <v>46174.625289351854</v>
      </c>
      <c r="O255" s="14" t="str">
        <f>HYPERLINK("https://otsuka-europe-crm.veevavault.com/ui/#object/email_activity__v/V8C00000003K236", "EN-002086286")</f>
        <v>EN-002086286</v>
      </c>
    </row>
    <row r="256" spans="1:15" ht="16" x14ac:dyDescent="0.2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4" t="str">
        <f>HYPERLINK("https://otsuka-europe-crm.veevavault.com/ui/#object/email_activity__v/V8C00000003K609", "EN-002086843")</f>
        <v>EN-002086843</v>
      </c>
    </row>
    <row r="257" spans="1:15" ht="16" x14ac:dyDescent="0.2">
      <c r="A257" s="17" t="str">
        <f>HYPERLINK("https://otsuka-europe-crm.veevavault.com/ui/#object/account__v/V4TZ025E844GGW1", "JORGE LUIS RODAS FLORES")</f>
        <v>JORGE LUIS RODAS FLORES</v>
      </c>
      <c r="B257" s="17" t="str">
        <f>HYPERLINK("https://otsuka-europe-crm.veevavault.com/ui/#object/vcountry__v/VENZ000004SONF5", "ES")</f>
        <v>ES</v>
      </c>
      <c r="C257" s="20" t="s">
        <v>41</v>
      </c>
      <c r="D257" s="21" t="str">
        <f>HYPERLINK("https://otsuka-europe-crm.veevavault.com/ui/#object/approved_document__v/V5O00000001H025", "LUP - VAE invitación simposio SEN-SER - Reuma")</f>
        <v>LUP - VAE invitación simposio SEN-SER - Reuma</v>
      </c>
      <c r="E257" s="22" t="str">
        <f>HYPERLINK("https://otsuka-europe-crm.veevavault.com/ui/#object/sent_email__v/VBL00000002N082", "SE-001431000")</f>
        <v>SE-001431000</v>
      </c>
      <c r="F257" s="23">
        <v>46174.642418981479</v>
      </c>
      <c r="G257" s="24">
        <v>1</v>
      </c>
      <c r="H257" s="24">
        <v>1</v>
      </c>
      <c r="I257" s="24">
        <v>0</v>
      </c>
      <c r="J257" s="25"/>
      <c r="K257" s="24">
        <v>0</v>
      </c>
      <c r="L257" s="22" t="str">
        <f>HYPERLINK("https://otsuka-europe-crm.veevavault.com/ui/#object/approved_document__v/V5O00000001H025", "LUP - VAE invitación simposio SEN-SER - Reuma")</f>
        <v>LUP - VAE invitación simposio SEN-SER - Reuma</v>
      </c>
      <c r="M257" s="22" t="str">
        <f>HYPERLINK("mailto:ccoll@crm.otsuka-europe.com", "ccoll@crm.otsuka-europe.com")</f>
        <v>ccoll@crm.otsuka-europe.com</v>
      </c>
      <c r="N257" s="23">
        <v>46174.625289351854</v>
      </c>
      <c r="O257" s="14" t="str">
        <f>HYPERLINK("https://otsuka-europe-crm.veevavault.com/ui/#object/email_activity__v/V8C00000003K214", "EN-002086264")</f>
        <v>EN-002086264</v>
      </c>
    </row>
    <row r="258" spans="1:15" ht="16" x14ac:dyDescent="0.2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4" t="str">
        <f>HYPERLINK("https://otsuka-europe-crm.veevavault.com/ui/#object/email_activity__v/V8C00000003L154", "EN-002086545")</f>
        <v>EN-002086545</v>
      </c>
    </row>
    <row r="259" spans="1:15" ht="32" x14ac:dyDescent="0.2">
      <c r="A259" s="7" t="str">
        <f>HYPERLINK("https://otsuka-europe-crm.veevavault.com/ui/#object/account__v/V4TZ04ASGCDJBDQ", "ELENA LEONOR SIRVENT ALIERTA")</f>
        <v>ELENA LEONOR SIRVENT ALIERTA</v>
      </c>
      <c r="B259" s="7" t="str">
        <f>HYPERLINK("https://otsuka-europe-crm.veevavault.com/ui/#object/vcountry__v/VENZ000004SONF5", "ES")</f>
        <v>ES</v>
      </c>
      <c r="C259" s="8" t="s">
        <v>41</v>
      </c>
      <c r="D259" s="9" t="str">
        <f>HYPERLINK("https://otsuka-europe-crm.veevavault.com/ui/#object/approved_document__v/V5O00000001H025", "LUP - VAE invitación simposio SEN-SER - Reuma")</f>
        <v>LUP - VAE invitación simposio SEN-SER - Reuma</v>
      </c>
      <c r="E259" s="10" t="str">
        <f>HYPERLINK("https://otsuka-europe-crm.veevavault.com/ui/#object/sent_email__v/VBL00000002N083", "SE-001431001")</f>
        <v>SE-001431001</v>
      </c>
      <c r="F259" s="11"/>
      <c r="G259" s="12">
        <v>0</v>
      </c>
      <c r="H259" s="12">
        <v>0</v>
      </c>
      <c r="I259" s="12">
        <v>0</v>
      </c>
      <c r="J259" s="11"/>
      <c r="K259" s="12">
        <v>0</v>
      </c>
      <c r="L259" s="10" t="str">
        <f>HYPERLINK("https://otsuka-europe-crm.veevavault.com/ui/#object/approved_document__v/V5O00000001H025", "LUP - VAE invitación simposio SEN-SER - Reuma")</f>
        <v>LUP - VAE invitación simposio SEN-SER - Reuma</v>
      </c>
      <c r="M259" s="10" t="str">
        <f>HYPERLINK("mailto:ccoll@crm.otsuka-europe.com", "ccoll@crm.otsuka-europe.com")</f>
        <v>ccoll@crm.otsuka-europe.com</v>
      </c>
      <c r="N259" s="13">
        <v>46174.625289351854</v>
      </c>
      <c r="O259" s="14" t="str">
        <f>HYPERLINK("https://otsuka-europe-crm.veevavault.com/ui/#object/email_activity__v/V8C00000003K219", "EN-002086269")</f>
        <v>EN-002086269</v>
      </c>
    </row>
    <row r="260" spans="1:15" ht="32" x14ac:dyDescent="0.2">
      <c r="A260" s="7" t="str">
        <f>HYPERLINK("https://otsuka-europe-crm.veevavault.com/ui/#object/account__v/V4TZ06G6OB46CMI", "MARIA GALINDO IZQUIERDO")</f>
        <v>MARIA GALINDO IZQUIERDO</v>
      </c>
      <c r="B260" s="7" t="str">
        <f>HYPERLINK("https://otsuka-europe-crm.veevavault.com/ui/#object/vcountry__v/VENZ000004SONF5", "ES")</f>
        <v>ES</v>
      </c>
      <c r="C260" s="8" t="s">
        <v>41</v>
      </c>
      <c r="D260" s="9" t="str">
        <f>HYPERLINK("https://otsuka-europe-crm.veevavault.com/ui/#object/approved_document__v/V5O00000001H025", "LUP - VAE invitación simposio SEN-SER - Reuma")</f>
        <v>LUP - VAE invitación simposio SEN-SER - Reuma</v>
      </c>
      <c r="E260" s="10" t="str">
        <f>HYPERLINK("https://otsuka-europe-crm.veevavault.com/ui/#object/sent_email__v/VBL00000002N084", "SE-001431002")</f>
        <v>SE-001431002</v>
      </c>
      <c r="F260" s="11"/>
      <c r="G260" s="12">
        <v>0</v>
      </c>
      <c r="H260" s="12">
        <v>0</v>
      </c>
      <c r="I260" s="12">
        <v>0</v>
      </c>
      <c r="J260" s="11"/>
      <c r="K260" s="12">
        <v>0</v>
      </c>
      <c r="L260" s="10" t="str">
        <f>HYPERLINK("https://otsuka-europe-crm.veevavault.com/ui/#object/approved_document__v/V5O00000001H025", "LUP - VAE invitación simposio SEN-SER - Reuma")</f>
        <v>LUP - VAE invitación simposio SEN-SER - Reuma</v>
      </c>
      <c r="M260" s="10" t="str">
        <f>HYPERLINK("mailto:ccoll@crm.otsuka-europe.com", "ccoll@crm.otsuka-europe.com")</f>
        <v>ccoll@crm.otsuka-europe.com</v>
      </c>
      <c r="N260" s="13">
        <v>46174.625393518516</v>
      </c>
      <c r="O260" s="14" t="str">
        <f>HYPERLINK("https://otsuka-europe-crm.veevavault.com/ui/#object/email_activity__v/V8C00000003K198", "EN-002086248")</f>
        <v>EN-002086248</v>
      </c>
    </row>
    <row r="261" spans="1:15" ht="16" x14ac:dyDescent="0.2">
      <c r="A261" s="17" t="str">
        <f>HYPERLINK("https://otsuka-europe-crm.veevavault.com/ui/#object/account__v/V4TZ04ASGCDJCG0", "MARIA PILAR SANTO PANERO")</f>
        <v>MARIA PILAR SANTO PANERO</v>
      </c>
      <c r="B261" s="17" t="str">
        <f>HYPERLINK("https://otsuka-europe-crm.veevavault.com/ui/#object/vcountry__v/VENZ000004SONF5", "ES")</f>
        <v>ES</v>
      </c>
      <c r="C261" s="20" t="s">
        <v>41</v>
      </c>
      <c r="D261" s="21" t="str">
        <f>HYPERLINK("https://otsuka-europe-crm.veevavault.com/ui/#object/approved_document__v/V5O00000001H025", "LUP - VAE invitación simposio SEN-SER - Reuma")</f>
        <v>LUP - VAE invitación simposio SEN-SER - Reuma</v>
      </c>
      <c r="E261" s="22" t="str">
        <f>HYPERLINK("https://otsuka-europe-crm.veevavault.com/ui/#object/sent_email__v/VBL00000002N085", "SE-001431003")</f>
        <v>SE-001431003</v>
      </c>
      <c r="F261" s="23">
        <v>46174.633252314816</v>
      </c>
      <c r="G261" s="24">
        <v>1</v>
      </c>
      <c r="H261" s="24">
        <v>1</v>
      </c>
      <c r="I261" s="24">
        <v>0</v>
      </c>
      <c r="J261" s="25"/>
      <c r="K261" s="24">
        <v>0</v>
      </c>
      <c r="L261" s="22" t="str">
        <f>HYPERLINK("https://otsuka-europe-crm.veevavault.com/ui/#object/approved_document__v/V5O00000001H025", "LUP - VAE invitación simposio SEN-SER - Reuma")</f>
        <v>LUP - VAE invitación simposio SEN-SER - Reuma</v>
      </c>
      <c r="M261" s="22" t="str">
        <f>HYPERLINK("mailto:ccoll@crm.otsuka-europe.com", "ccoll@crm.otsuka-europe.com")</f>
        <v>ccoll@crm.otsuka-europe.com</v>
      </c>
      <c r="N261" s="23">
        <v>46174.625289351854</v>
      </c>
      <c r="O261" s="14" t="str">
        <f>HYPERLINK("https://otsuka-europe-crm.veevavault.com/ui/#object/email_activity__v/V8C00000003K247", "EN-002086297")</f>
        <v>EN-002086297</v>
      </c>
    </row>
    <row r="262" spans="1:15" ht="16" x14ac:dyDescent="0.2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4" t="str">
        <f>HYPERLINK("https://otsuka-europe-crm.veevavault.com/ui/#object/email_activity__v/V8C00000003K465", "EN-002086520")</f>
        <v>EN-002086520</v>
      </c>
    </row>
    <row r="263" spans="1:15" ht="16" x14ac:dyDescent="0.2">
      <c r="A263" s="17" t="str">
        <f>HYPERLINK("https://otsuka-europe-crm.veevavault.com/ui/#object/account__v/V4TZ04ASGABZIUJ", "MERITXELL SALLES LIZARZABURU")</f>
        <v>MERITXELL SALLES LIZARZABURU</v>
      </c>
      <c r="B263" s="17" t="str">
        <f>HYPERLINK("https://otsuka-europe-crm.veevavault.com/ui/#object/vcountry__v/VENZ000004SONF5", "ES")</f>
        <v>ES</v>
      </c>
      <c r="C263" s="20" t="s">
        <v>41</v>
      </c>
      <c r="D263" s="21" t="str">
        <f>HYPERLINK("https://otsuka-europe-crm.veevavault.com/ui/#object/approved_document__v/V5O00000001H025", "LUP - VAE invitación simposio SEN-SER - Reuma")</f>
        <v>LUP - VAE invitación simposio SEN-SER - Reuma</v>
      </c>
      <c r="E263" s="22" t="str">
        <f>HYPERLINK("https://otsuka-europe-crm.veevavault.com/ui/#object/sent_email__v/VBL00000002N086", "SE-001431004")</f>
        <v>SE-001431004</v>
      </c>
      <c r="F263" s="25"/>
      <c r="G263" s="24">
        <v>0</v>
      </c>
      <c r="H263" s="24">
        <v>0</v>
      </c>
      <c r="I263" s="24">
        <v>0</v>
      </c>
      <c r="J263" s="25"/>
      <c r="K263" s="24">
        <v>0</v>
      </c>
      <c r="L263" s="22" t="str">
        <f>HYPERLINK("https://otsuka-europe-crm.veevavault.com/ui/#object/approved_document__v/V5O00000001H025", "LUP - VAE invitación simposio SEN-SER - Reuma")</f>
        <v>LUP - VAE invitación simposio SEN-SER - Reuma</v>
      </c>
      <c r="M263" s="22" t="str">
        <f>HYPERLINK("mailto:ccoll@crm.otsuka-europe.com", "ccoll@crm.otsuka-europe.com")</f>
        <v>ccoll@crm.otsuka-europe.com</v>
      </c>
      <c r="N263" s="23">
        <v>46174.625289351854</v>
      </c>
      <c r="O263" s="14" t="str">
        <f>HYPERLINK("https://otsuka-europe-crm.veevavault.com/ui/#object/email_activity__v/V8C00000003K226", "EN-002086276")</f>
        <v>EN-002086276</v>
      </c>
    </row>
    <row r="264" spans="1:15" ht="16" x14ac:dyDescent="0.2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4" t="str">
        <f>HYPERLINK("https://otsuka-europe-crm.veevavault.com/ui/#object/email_activity__v/V8C00000003L318", "EN-002086833")</f>
        <v>EN-002086833</v>
      </c>
    </row>
    <row r="265" spans="1:15" ht="32" x14ac:dyDescent="0.2">
      <c r="A265" s="7" t="str">
        <f>HYPERLINK("https://otsuka-europe-crm.veevavault.com/ui/#object/account__v/V4TZ04ASGC2GZN2", "DELIA TAVERNER TORRENT")</f>
        <v>DELIA TAVERNER TORRENT</v>
      </c>
      <c r="B265" s="7" t="str">
        <f>HYPERLINK("https://otsuka-europe-crm.veevavault.com/ui/#object/vcountry__v/VENZ000004SONF5", "ES")</f>
        <v>ES</v>
      </c>
      <c r="C265" s="8" t="s">
        <v>41</v>
      </c>
      <c r="D265" s="9" t="str">
        <f>HYPERLINK("https://otsuka-europe-crm.veevavault.com/ui/#object/approved_document__v/V5O00000001H025", "LUP - VAE invitación simposio SEN-SER - Reuma")</f>
        <v>LUP - VAE invitación simposio SEN-SER - Reuma</v>
      </c>
      <c r="E265" s="10" t="str">
        <f>HYPERLINK("https://otsuka-europe-crm.veevavault.com/ui/#object/sent_email__v/VBL00000002N087", "SE-001431005")</f>
        <v>SE-001431005</v>
      </c>
      <c r="F265" s="11"/>
      <c r="G265" s="12">
        <v>0</v>
      </c>
      <c r="H265" s="12">
        <v>0</v>
      </c>
      <c r="I265" s="12">
        <v>0</v>
      </c>
      <c r="J265" s="11"/>
      <c r="K265" s="12">
        <v>0</v>
      </c>
      <c r="L265" s="10" t="str">
        <f>HYPERLINK("https://otsuka-europe-crm.veevavault.com/ui/#object/approved_document__v/V5O00000001H025", "LUP - VAE invitación simposio SEN-SER - Reuma")</f>
        <v>LUP - VAE invitación simposio SEN-SER - Reuma</v>
      </c>
      <c r="M265" s="10" t="str">
        <f>HYPERLINK("mailto:ccoll@crm.otsuka-europe.com", "ccoll@crm.otsuka-europe.com")</f>
        <v>ccoll@crm.otsuka-europe.com</v>
      </c>
      <c r="N265" s="13">
        <v>46174.625289351854</v>
      </c>
      <c r="O265" s="14" t="str">
        <f>HYPERLINK("https://otsuka-europe-crm.veevavault.com/ui/#object/email_activity__v/V8C00000003K244", "EN-002086294")</f>
        <v>EN-002086294</v>
      </c>
    </row>
    <row r="266" spans="1:15" ht="32" x14ac:dyDescent="0.2">
      <c r="A266" s="7" t="str">
        <f>HYPERLINK("https://otsuka-europe-crm.veevavault.com/ui/#object/account__v/V4TZ025E8413QQX", "ELISABET GARCIA CASARES")</f>
        <v>ELISABET GARCIA CASARES</v>
      </c>
      <c r="B266" s="7" t="str">
        <f>HYPERLINK("https://otsuka-europe-crm.veevavault.com/ui/#object/vcountry__v/VENZ000004SONF5", "ES")</f>
        <v>ES</v>
      </c>
      <c r="C266" s="8" t="s">
        <v>41</v>
      </c>
      <c r="D266" s="9" t="str">
        <f>HYPERLINK("https://otsuka-europe-crm.veevavault.com/ui/#object/approved_document__v/V5O00000001H025", "LUP - VAE invitación simposio SEN-SER - Reuma")</f>
        <v>LUP - VAE invitación simposio SEN-SER - Reuma</v>
      </c>
      <c r="E266" s="10" t="str">
        <f>HYPERLINK("https://otsuka-europe-crm.veevavault.com/ui/#object/sent_email__v/VBL00000002N088", "SE-001431006")</f>
        <v>SE-001431006</v>
      </c>
      <c r="F266" s="11"/>
      <c r="G266" s="12">
        <v>0</v>
      </c>
      <c r="H266" s="12">
        <v>0</v>
      </c>
      <c r="I266" s="12">
        <v>0</v>
      </c>
      <c r="J266" s="11"/>
      <c r="K266" s="12">
        <v>0</v>
      </c>
      <c r="L266" s="10" t="str">
        <f>HYPERLINK("https://otsuka-europe-crm.veevavault.com/ui/#object/approved_document__v/V5O00000001H025", "LUP - VAE invitación simposio SEN-SER - Reuma")</f>
        <v>LUP - VAE invitación simposio SEN-SER - Reuma</v>
      </c>
      <c r="M266" s="10" t="str">
        <f>HYPERLINK("mailto:ccoll@crm.otsuka-europe.com", "ccoll@crm.otsuka-europe.com")</f>
        <v>ccoll@crm.otsuka-europe.com</v>
      </c>
      <c r="N266" s="13">
        <v>46174.625289351854</v>
      </c>
      <c r="O266" s="14" t="str">
        <f>HYPERLINK("https://otsuka-europe-crm.veevavault.com/ui/#object/email_activity__v/V8C00000003K235", "EN-002086285")</f>
        <v>EN-002086285</v>
      </c>
    </row>
    <row r="267" spans="1:15" ht="16" x14ac:dyDescent="0.2">
      <c r="A267" s="17" t="str">
        <f>HYPERLINK("https://otsuka-europe-crm.veevavault.com/ui/#object/account__v/V4TZ04ASGB4TQAO", "SILVIA GARCIA CIRERA")</f>
        <v>SILVIA GARCIA CIRERA</v>
      </c>
      <c r="B267" s="17" t="str">
        <f>HYPERLINK("https://otsuka-europe-crm.veevavault.com/ui/#object/vcountry__v/VENZ000004SONF5", "ES")</f>
        <v>ES</v>
      </c>
      <c r="C267" s="20" t="s">
        <v>41</v>
      </c>
      <c r="D267" s="21" t="str">
        <f>HYPERLINK("https://otsuka-europe-crm.veevavault.com/ui/#object/approved_document__v/V5O00000001H025", "LUP - VAE invitación simposio SEN-SER - Reuma")</f>
        <v>LUP - VAE invitación simposio SEN-SER - Reuma</v>
      </c>
      <c r="E267" s="22" t="str">
        <f>HYPERLINK("https://otsuka-europe-crm.veevavault.com/ui/#object/sent_email__v/VBL00000002N089", "SE-001431007")</f>
        <v>SE-001431007</v>
      </c>
      <c r="F267" s="25"/>
      <c r="G267" s="24">
        <v>0</v>
      </c>
      <c r="H267" s="24">
        <v>0</v>
      </c>
      <c r="I267" s="24">
        <v>0</v>
      </c>
      <c r="J267" s="25"/>
      <c r="K267" s="24">
        <v>0</v>
      </c>
      <c r="L267" s="22" t="str">
        <f>HYPERLINK("https://otsuka-europe-crm.veevavault.com/ui/#object/approved_document__v/V5O00000001H025", "LUP - VAE invitación simposio SEN-SER - Reuma")</f>
        <v>LUP - VAE invitación simposio SEN-SER - Reuma</v>
      </c>
      <c r="M267" s="22" t="str">
        <f>HYPERLINK("mailto:ccoll@crm.otsuka-europe.com", "ccoll@crm.otsuka-europe.com")</f>
        <v>ccoll@crm.otsuka-europe.com</v>
      </c>
      <c r="N267" s="23">
        <v>46174.625289351854</v>
      </c>
      <c r="O267" s="14" t="str">
        <f>HYPERLINK("https://otsuka-europe-crm.veevavault.com/ui/#object/email_activity__v/V8C00000003K194", "EN-002086244")</f>
        <v>EN-002086244</v>
      </c>
    </row>
    <row r="268" spans="1:15" ht="16" x14ac:dyDescent="0.2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4" t="str">
        <f>HYPERLINK("https://otsuka-europe-crm.veevavault.com/ui/#object/email_activity__v/V8C00000003M404", "EN-002088840")</f>
        <v>EN-002088840</v>
      </c>
    </row>
    <row r="269" spans="1:15" ht="32" x14ac:dyDescent="0.2">
      <c r="A269" s="7" t="str">
        <f>HYPERLINK("https://otsuka-europe-crm.veevavault.com/ui/#object/account__v/V4TZ04ASGALJJS1", "BERTA PAULA MAGALLARES LOPEZ")</f>
        <v>BERTA PAULA MAGALLARES LOPEZ</v>
      </c>
      <c r="B269" s="7" t="str">
        <f t="shared" ref="B269:B275" si="4">HYPERLINK("https://otsuka-europe-crm.veevavault.com/ui/#object/vcountry__v/VENZ000004SONF5", "ES")</f>
        <v>ES</v>
      </c>
      <c r="C269" s="8" t="s">
        <v>41</v>
      </c>
      <c r="D269" s="9" t="str">
        <f t="shared" ref="D269:D275" si="5">HYPERLINK("https://otsuka-europe-crm.veevavault.com/ui/#object/approved_document__v/V5O00000001H025", "LUP - VAE invitación simposio SEN-SER - Reuma")</f>
        <v>LUP - VAE invitación simposio SEN-SER - Reuma</v>
      </c>
      <c r="E269" s="10" t="str">
        <f>HYPERLINK("https://otsuka-europe-crm.veevavault.com/ui/#object/sent_email__v/VBL00000002N090", "SE-001431008")</f>
        <v>SE-001431008</v>
      </c>
      <c r="F269" s="11"/>
      <c r="G269" s="12">
        <v>0</v>
      </c>
      <c r="H269" s="12">
        <v>0</v>
      </c>
      <c r="I269" s="12">
        <v>0</v>
      </c>
      <c r="J269" s="11"/>
      <c r="K269" s="12">
        <v>0</v>
      </c>
      <c r="L269" s="10" t="str">
        <f t="shared" ref="L269:L275" si="6">HYPERLINK("https://otsuka-europe-crm.veevavault.com/ui/#object/approved_document__v/V5O00000001H025", "LUP - VAE invitación simposio SEN-SER - Reuma")</f>
        <v>LUP - VAE invitación simposio SEN-SER - Reuma</v>
      </c>
      <c r="M269" s="10" t="str">
        <f t="shared" ref="M269:M275" si="7">HYPERLINK("mailto:ccoll@crm.otsuka-europe.com", "ccoll@crm.otsuka-europe.com")</f>
        <v>ccoll@crm.otsuka-europe.com</v>
      </c>
      <c r="N269" s="13">
        <v>46174.625289351854</v>
      </c>
      <c r="O269" s="14" t="str">
        <f>HYPERLINK("https://otsuka-europe-crm.veevavault.com/ui/#object/email_activity__v/V8C00000003K208", "EN-002086258")</f>
        <v>EN-002086258</v>
      </c>
    </row>
    <row r="270" spans="1:15" ht="32" x14ac:dyDescent="0.2">
      <c r="A270" s="7" t="str">
        <f>HYPERLINK("https://otsuka-europe-crm.veevavault.com/ui/#object/account__v/V4TZ025E83E49UY", "KATERINE FABIOLA LOPEZ GLORIA")</f>
        <v>KATERINE FABIOLA LOPEZ GLORIA</v>
      </c>
      <c r="B270" s="7" t="str">
        <f t="shared" si="4"/>
        <v>ES</v>
      </c>
      <c r="C270" s="8" t="s">
        <v>41</v>
      </c>
      <c r="D270" s="9" t="str">
        <f t="shared" si="5"/>
        <v>LUP - VAE invitación simposio SEN-SER - Reuma</v>
      </c>
      <c r="E270" s="10" t="str">
        <f>HYPERLINK("https://otsuka-europe-crm.veevavault.com/ui/#object/sent_email__v/VBL00000002N091", "SE-001431009")</f>
        <v>SE-001431009</v>
      </c>
      <c r="F270" s="11"/>
      <c r="G270" s="12">
        <v>0</v>
      </c>
      <c r="H270" s="12">
        <v>0</v>
      </c>
      <c r="I270" s="12">
        <v>0</v>
      </c>
      <c r="J270" s="11"/>
      <c r="K270" s="12">
        <v>0</v>
      </c>
      <c r="L270" s="10" t="str">
        <f t="shared" si="6"/>
        <v>LUP - VAE invitación simposio SEN-SER - Reuma</v>
      </c>
      <c r="M270" s="10" t="str">
        <f t="shared" si="7"/>
        <v>ccoll@crm.otsuka-europe.com</v>
      </c>
      <c r="N270" s="13">
        <v>46174.625289351854</v>
      </c>
      <c r="O270" s="14" t="str">
        <f>HYPERLINK("https://otsuka-europe-crm.veevavault.com/ui/#object/email_activity__v/V8C00000003K211", "EN-002086261")</f>
        <v>EN-002086261</v>
      </c>
    </row>
    <row r="271" spans="1:15" ht="32" x14ac:dyDescent="0.2">
      <c r="A271" s="7" t="str">
        <f>HYPERLINK("https://otsuka-europe-crm.veevavault.com/ui/#object/account__v/V4TZ025E85XQW3A", "CHAFIK ALEJANDRO CHACUR KISS")</f>
        <v>CHAFIK ALEJANDRO CHACUR KISS</v>
      </c>
      <c r="B271" s="7" t="str">
        <f t="shared" si="4"/>
        <v>ES</v>
      </c>
      <c r="C271" s="8" t="s">
        <v>41</v>
      </c>
      <c r="D271" s="9" t="str">
        <f t="shared" si="5"/>
        <v>LUP - VAE invitación simposio SEN-SER - Reuma</v>
      </c>
      <c r="E271" s="10" t="str">
        <f>HYPERLINK("https://otsuka-europe-crm.veevavault.com/ui/#object/sent_email__v/VBL00000002N092", "SE-001431010")</f>
        <v>SE-001431010</v>
      </c>
      <c r="F271" s="11"/>
      <c r="G271" s="12">
        <v>0</v>
      </c>
      <c r="H271" s="12">
        <v>0</v>
      </c>
      <c r="I271" s="12">
        <v>0</v>
      </c>
      <c r="J271" s="11"/>
      <c r="K271" s="12">
        <v>0</v>
      </c>
      <c r="L271" s="10" t="str">
        <f t="shared" si="6"/>
        <v>LUP - VAE invitación simposio SEN-SER - Reuma</v>
      </c>
      <c r="M271" s="10" t="str">
        <f t="shared" si="7"/>
        <v>ccoll@crm.otsuka-europe.com</v>
      </c>
      <c r="N271" s="13">
        <v>46174.625289351854</v>
      </c>
      <c r="O271" s="14" t="str">
        <f>HYPERLINK("https://otsuka-europe-crm.veevavault.com/ui/#object/email_activity__v/V8C00000003K237", "EN-002086287")</f>
        <v>EN-002086287</v>
      </c>
    </row>
    <row r="272" spans="1:15" ht="32" x14ac:dyDescent="0.2">
      <c r="A272" s="7" t="str">
        <f>HYPERLINK("https://otsuka-europe-crm.veevavault.com/ui/#object/account__v/V4TZ04ASG961DOR", "LAURA CALVO SANZ")</f>
        <v>LAURA CALVO SANZ</v>
      </c>
      <c r="B272" s="7" t="str">
        <f t="shared" si="4"/>
        <v>ES</v>
      </c>
      <c r="C272" s="8" t="s">
        <v>41</v>
      </c>
      <c r="D272" s="9" t="str">
        <f t="shared" si="5"/>
        <v>LUP - VAE invitación simposio SEN-SER - Reuma</v>
      </c>
      <c r="E272" s="10" t="str">
        <f>HYPERLINK("https://otsuka-europe-crm.veevavault.com/ui/#object/sent_email__v/VBL00000002N093", "SE-001431011")</f>
        <v>SE-001431011</v>
      </c>
      <c r="F272" s="11"/>
      <c r="G272" s="12">
        <v>0</v>
      </c>
      <c r="H272" s="12">
        <v>0</v>
      </c>
      <c r="I272" s="12">
        <v>0</v>
      </c>
      <c r="J272" s="11"/>
      <c r="K272" s="12">
        <v>0</v>
      </c>
      <c r="L272" s="10" t="str">
        <f t="shared" si="6"/>
        <v>LUP - VAE invitación simposio SEN-SER - Reuma</v>
      </c>
      <c r="M272" s="10" t="str">
        <f t="shared" si="7"/>
        <v>ccoll@crm.otsuka-europe.com</v>
      </c>
      <c r="N272" s="13">
        <v>46174.625289351854</v>
      </c>
      <c r="O272" s="14" t="str">
        <f>HYPERLINK("https://otsuka-europe-crm.veevavault.com/ui/#object/email_activity__v/V8C00000003K210", "EN-002086260")</f>
        <v>EN-002086260</v>
      </c>
    </row>
    <row r="273" spans="1:15" ht="32" x14ac:dyDescent="0.2">
      <c r="A273" s="7" t="str">
        <f>HYPERLINK("https://otsuka-europe-crm.veevavault.com/ui/#object/account__v/V4TZ06G6OBU76DL", "TAREK CARLOS SALMAN MONTE")</f>
        <v>TAREK CARLOS SALMAN MONTE</v>
      </c>
      <c r="B273" s="7" t="str">
        <f t="shared" si="4"/>
        <v>ES</v>
      </c>
      <c r="C273" s="8" t="s">
        <v>41</v>
      </c>
      <c r="D273" s="9" t="str">
        <f t="shared" si="5"/>
        <v>LUP - VAE invitación simposio SEN-SER - Reuma</v>
      </c>
      <c r="E273" s="10" t="str">
        <f>HYPERLINK("https://otsuka-europe-crm.veevavault.com/ui/#object/sent_email__v/VBL00000002N094", "SE-001431012")</f>
        <v>SE-001431012</v>
      </c>
      <c r="F273" s="11"/>
      <c r="G273" s="12">
        <v>0</v>
      </c>
      <c r="H273" s="12">
        <v>0</v>
      </c>
      <c r="I273" s="12">
        <v>0</v>
      </c>
      <c r="J273" s="11"/>
      <c r="K273" s="12">
        <v>0</v>
      </c>
      <c r="L273" s="10" t="str">
        <f t="shared" si="6"/>
        <v>LUP - VAE invitación simposio SEN-SER - Reuma</v>
      </c>
      <c r="M273" s="10" t="str">
        <f t="shared" si="7"/>
        <v>ccoll@crm.otsuka-europe.com</v>
      </c>
      <c r="N273" s="13">
        <v>46174.625289351854</v>
      </c>
      <c r="O273" s="14" t="str">
        <f>HYPERLINK("https://otsuka-europe-crm.veevavault.com/ui/#object/email_activity__v/V8C00000003K195", "EN-002086245")</f>
        <v>EN-002086245</v>
      </c>
    </row>
    <row r="274" spans="1:15" ht="32" x14ac:dyDescent="0.2">
      <c r="A274" s="7" t="str">
        <f>HYPERLINK("https://otsuka-europe-crm.veevavault.com/ui/#object/account__v/V4TZ04ASG9M8EVR", "IVETTE CASAFONT SOLE")</f>
        <v>IVETTE CASAFONT SOLE</v>
      </c>
      <c r="B274" s="7" t="str">
        <f t="shared" si="4"/>
        <v>ES</v>
      </c>
      <c r="C274" s="8" t="s">
        <v>41</v>
      </c>
      <c r="D274" s="9" t="str">
        <f t="shared" si="5"/>
        <v>LUP - VAE invitación simposio SEN-SER - Reuma</v>
      </c>
      <c r="E274" s="10" t="str">
        <f>HYPERLINK("https://otsuka-europe-crm.veevavault.com/ui/#object/sent_email__v/VBL00000002N095", "SE-001431013")</f>
        <v>SE-001431013</v>
      </c>
      <c r="F274" s="11"/>
      <c r="G274" s="12">
        <v>0</v>
      </c>
      <c r="H274" s="12">
        <v>0</v>
      </c>
      <c r="I274" s="12">
        <v>0</v>
      </c>
      <c r="J274" s="11"/>
      <c r="K274" s="12">
        <v>0</v>
      </c>
      <c r="L274" s="10" t="str">
        <f t="shared" si="6"/>
        <v>LUP - VAE invitación simposio SEN-SER - Reuma</v>
      </c>
      <c r="M274" s="10" t="str">
        <f t="shared" si="7"/>
        <v>ccoll@crm.otsuka-europe.com</v>
      </c>
      <c r="N274" s="13">
        <v>46174.625289351854</v>
      </c>
      <c r="O274" s="14" t="str">
        <f>HYPERLINK("https://otsuka-europe-crm.veevavault.com/ui/#object/email_activity__v/V8C00000003K213", "EN-002086263")</f>
        <v>EN-002086263</v>
      </c>
    </row>
    <row r="275" spans="1:15" ht="16" x14ac:dyDescent="0.2">
      <c r="A275" s="17" t="str">
        <f>HYPERLINK("https://otsuka-europe-crm.veevavault.com/ui/#object/account__v/V4TZ04ASG963020", "JULIA FERNANDEZ MELON")</f>
        <v>JULIA FERNANDEZ MELON</v>
      </c>
      <c r="B275" s="17" t="str">
        <f t="shared" si="4"/>
        <v>ES</v>
      </c>
      <c r="C275" s="20" t="s">
        <v>41</v>
      </c>
      <c r="D275" s="21" t="str">
        <f t="shared" si="5"/>
        <v>LUP - VAE invitación simposio SEN-SER - Reuma</v>
      </c>
      <c r="E275" s="22" t="str">
        <f>HYPERLINK("https://otsuka-europe-crm.veevavault.com/ui/#object/sent_email__v/VBL00000002N096", "SE-001431014")</f>
        <v>SE-001431014</v>
      </c>
      <c r="F275" s="23">
        <v>46174.675555555557</v>
      </c>
      <c r="G275" s="24">
        <v>1</v>
      </c>
      <c r="H275" s="24">
        <v>2</v>
      </c>
      <c r="I275" s="24">
        <v>0</v>
      </c>
      <c r="J275" s="25"/>
      <c r="K275" s="24">
        <v>0</v>
      </c>
      <c r="L275" s="22" t="str">
        <f t="shared" si="6"/>
        <v>LUP - VAE invitación simposio SEN-SER - Reuma</v>
      </c>
      <c r="M275" s="22" t="str">
        <f t="shared" si="7"/>
        <v>ccoll@crm.otsuka-europe.com</v>
      </c>
      <c r="N275" s="23">
        <v>46174.625393518516</v>
      </c>
      <c r="O275" s="14" t="str">
        <f>HYPERLINK("https://otsuka-europe-crm.veevavault.com/ui/#object/email_activity__v/V8C00000003K197", "EN-002086247")</f>
        <v>EN-002086247</v>
      </c>
    </row>
    <row r="276" spans="1:15" ht="16" x14ac:dyDescent="0.2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4" t="str">
        <f>HYPERLINK("https://otsuka-europe-crm.veevavault.com/ui/#object/email_activity__v/V8C00000003K518", "EN-002086629")</f>
        <v>EN-002086629</v>
      </c>
    </row>
    <row r="277" spans="1:15" ht="16" x14ac:dyDescent="0.2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4" t="str">
        <f>HYPERLINK("https://otsuka-europe-crm.veevavault.com/ui/#object/email_activity__v/V8C00000003K519", "EN-002086630")</f>
        <v>EN-002086630</v>
      </c>
    </row>
    <row r="278" spans="1:15" ht="32" x14ac:dyDescent="0.2">
      <c r="A278" s="7" t="str">
        <f>HYPERLINK("https://otsuka-europe-crm.veevavault.com/ui/#object/account__v/V4TZ025E87IXD6L", "ARIADNA RUSIÑOL JOVE")</f>
        <v>ARIADNA RUSIÑOL JOVE</v>
      </c>
      <c r="B278" s="7" t="str">
        <f>HYPERLINK("https://otsuka-europe-crm.veevavault.com/ui/#object/vcountry__v/VENZ000004SONF5", "ES")</f>
        <v>ES</v>
      </c>
      <c r="C278" s="8" t="s">
        <v>41</v>
      </c>
      <c r="D278" s="9" t="str">
        <f>HYPERLINK("https://otsuka-europe-crm.veevavault.com/ui/#object/approved_document__v/V5O00000001H025", "LUP - VAE invitación simposio SEN-SER - Reuma")</f>
        <v>LUP - VAE invitación simposio SEN-SER - Reuma</v>
      </c>
      <c r="E278" s="10" t="str">
        <f>HYPERLINK("https://otsuka-europe-crm.veevavault.com/ui/#object/sent_email__v/VBL00000002N097", "SE-001431015")</f>
        <v>SE-001431015</v>
      </c>
      <c r="F278" s="11"/>
      <c r="G278" s="12">
        <v>0</v>
      </c>
      <c r="H278" s="12">
        <v>0</v>
      </c>
      <c r="I278" s="12">
        <v>0</v>
      </c>
      <c r="J278" s="11"/>
      <c r="K278" s="12">
        <v>0</v>
      </c>
      <c r="L278" s="10" t="str">
        <f>HYPERLINK("https://otsuka-europe-crm.veevavault.com/ui/#object/approved_document__v/V5O00000001H025", "LUP - VAE invitación simposio SEN-SER - Reuma")</f>
        <v>LUP - VAE invitación simposio SEN-SER - Reuma</v>
      </c>
      <c r="M278" s="10" t="str">
        <f>HYPERLINK("mailto:ccoll@crm.otsuka-europe.com", "ccoll@crm.otsuka-europe.com")</f>
        <v>ccoll@crm.otsuka-europe.com</v>
      </c>
      <c r="N278" s="13">
        <v>46174.625405092593</v>
      </c>
      <c r="O278" s="14" t="str">
        <f>HYPERLINK("https://otsuka-europe-crm.veevavault.com/ui/#object/email_activity__v/V8C00000003K201", "EN-002086251")</f>
        <v>EN-002086251</v>
      </c>
    </row>
    <row r="279" spans="1:15" ht="16" x14ac:dyDescent="0.2">
      <c r="A279" s="17" t="str">
        <f>HYPERLINK("https://otsuka-europe-crm.veevavault.com/ui/#object/account__v/V4TZ04ASGCDLBBL", "SAMUEL HERNANDEZ BALDIZON")</f>
        <v>SAMUEL HERNANDEZ BALDIZON</v>
      </c>
      <c r="B279" s="17" t="str">
        <f>HYPERLINK("https://otsuka-europe-crm.veevavault.com/ui/#object/vcountry__v/VENZ000004SONF5", "ES")</f>
        <v>ES</v>
      </c>
      <c r="C279" s="20" t="s">
        <v>41</v>
      </c>
      <c r="D279" s="21" t="str">
        <f>HYPERLINK("https://otsuka-europe-crm.veevavault.com/ui/#object/approved_document__v/V5O00000001H025", "LUP - VAE invitación simposio SEN-SER - Reuma")</f>
        <v>LUP - VAE invitación simposio SEN-SER - Reuma</v>
      </c>
      <c r="E279" s="22" t="str">
        <f>HYPERLINK("https://otsuka-europe-crm.veevavault.com/ui/#object/sent_email__v/VBL00000002N098", "SE-001431016")</f>
        <v>SE-001431016</v>
      </c>
      <c r="F279" s="23">
        <v>46174.640601851854</v>
      </c>
      <c r="G279" s="24">
        <v>1</v>
      </c>
      <c r="H279" s="24">
        <v>1</v>
      </c>
      <c r="I279" s="24">
        <v>0</v>
      </c>
      <c r="J279" s="25"/>
      <c r="K279" s="24">
        <v>0</v>
      </c>
      <c r="L279" s="22" t="str">
        <f>HYPERLINK("https://otsuka-europe-crm.veevavault.com/ui/#object/approved_document__v/V5O00000001H025", "LUP - VAE invitación simposio SEN-SER - Reuma")</f>
        <v>LUP - VAE invitación simposio SEN-SER - Reuma</v>
      </c>
      <c r="M279" s="22" t="str">
        <f>HYPERLINK("mailto:ccoll@crm.otsuka-europe.com", "ccoll@crm.otsuka-europe.com")</f>
        <v>ccoll@crm.otsuka-europe.com</v>
      </c>
      <c r="N279" s="23">
        <v>46174.625393518516</v>
      </c>
      <c r="O279" s="14" t="str">
        <f>HYPERLINK("https://otsuka-europe-crm.veevavault.com/ui/#object/email_activity__v/V8C00000003K204", "EN-002086254")</f>
        <v>EN-002086254</v>
      </c>
    </row>
    <row r="280" spans="1:15" ht="16" x14ac:dyDescent="0.2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4" t="str">
        <f>HYPERLINK("https://otsuka-europe-crm.veevavault.com/ui/#object/email_activity__v/V8C00000003L148", "EN-002086535")</f>
        <v>EN-002086535</v>
      </c>
    </row>
    <row r="281" spans="1:15" ht="16" x14ac:dyDescent="0.2">
      <c r="A281" s="17" t="str">
        <f>HYPERLINK("https://otsuka-europe-crm.veevavault.com/ui/#object/account__v/V4TZ04ASG9ZQEUS", "MARITZA FLORES CORTES")</f>
        <v>MARITZA FLORES CORTES</v>
      </c>
      <c r="B281" s="17" t="str">
        <f>HYPERLINK("https://otsuka-europe-crm.veevavault.com/ui/#object/vcountry__v/VENZ000004SONF5", "ES")</f>
        <v>ES</v>
      </c>
      <c r="C281" s="20" t="s">
        <v>41</v>
      </c>
      <c r="D281" s="21" t="str">
        <f>HYPERLINK("https://otsuka-europe-crm.veevavault.com/ui/#object/approved_document__v/V5O00000001H025", "LUP - VAE invitación simposio SEN-SER - Reuma")</f>
        <v>LUP - VAE invitación simposio SEN-SER - Reuma</v>
      </c>
      <c r="E281" s="22" t="str">
        <f>HYPERLINK("https://otsuka-europe-crm.veevavault.com/ui/#object/sent_email__v/VBL00000002N099", "SE-001431017")</f>
        <v>SE-001431017</v>
      </c>
      <c r="F281" s="23">
        <v>46186.018206018518</v>
      </c>
      <c r="G281" s="24">
        <v>1</v>
      </c>
      <c r="H281" s="24">
        <v>6</v>
      </c>
      <c r="I281" s="24">
        <v>1</v>
      </c>
      <c r="J281" s="23">
        <v>46185.370868055557</v>
      </c>
      <c r="K281" s="24">
        <v>8</v>
      </c>
      <c r="L281" s="22" t="str">
        <f>HYPERLINK("https://otsuka-europe-crm.veevavault.com/ui/#object/approved_document__v/V5O00000001H025", "LUP - VAE invitación simposio SEN-SER - Reuma")</f>
        <v>LUP - VAE invitación simposio SEN-SER - Reuma</v>
      </c>
      <c r="M281" s="22" t="str">
        <f>HYPERLINK("mailto:ccoll@crm.otsuka-europe.com", "ccoll@crm.otsuka-europe.com")</f>
        <v>ccoll@crm.otsuka-europe.com</v>
      </c>
      <c r="N281" s="23">
        <v>46174.625393518516</v>
      </c>
      <c r="O281" s="14" t="str">
        <f>HYPERLINK("https://otsuka-europe-crm.veevavault.com/ui/#object/email_activity__v/V8C00000003K196", "EN-002086246")</f>
        <v>EN-002086246</v>
      </c>
    </row>
    <row r="282" spans="1:15" ht="16" x14ac:dyDescent="0.2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4" t="str">
        <f>HYPERLINK("https://otsuka-europe-crm.veevavault.com/ui/#object/email_activity__v/V8C00000003K583", "EN-002086786")</f>
        <v>EN-002086786</v>
      </c>
    </row>
    <row r="283" spans="1:15" ht="16" x14ac:dyDescent="0.2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4" t="str">
        <f>HYPERLINK("https://otsuka-europe-crm.veevavault.com/ui/#object/email_activity__v/V8C00000003K584", "EN-002086788")</f>
        <v>EN-002086788</v>
      </c>
    </row>
    <row r="284" spans="1:15" ht="16" x14ac:dyDescent="0.2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4" t="str">
        <f>HYPERLINK("https://otsuka-europe-crm.veevavault.com/ui/#object/email_activity__v/V8C00000003K610", "EN-002086844")</f>
        <v>EN-002086844</v>
      </c>
    </row>
    <row r="285" spans="1:15" ht="16" x14ac:dyDescent="0.2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4" t="str">
        <f>HYPERLINK("https://otsuka-europe-crm.veevavault.com/ui/#object/email_activity__v/V8C00000003L292", "EN-002086785")</f>
        <v>EN-002086785</v>
      </c>
    </row>
    <row r="286" spans="1:15" ht="16" x14ac:dyDescent="0.2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4" t="str">
        <f>HYPERLINK("https://otsuka-europe-crm.veevavault.com/ui/#object/email_activity__v/V8C00000003L293", "EN-002086787")</f>
        <v>EN-002086787</v>
      </c>
    </row>
    <row r="287" spans="1:15" ht="16" x14ac:dyDescent="0.2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4" t="str">
        <f>HYPERLINK("https://otsuka-europe-crm.veevavault.com/ui/#object/email_activity__v/V8C00000003L294", "EN-002086789")</f>
        <v>EN-002086789</v>
      </c>
    </row>
    <row r="288" spans="1:15" ht="16" x14ac:dyDescent="0.2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4" t="str">
        <f>HYPERLINK("https://otsuka-europe-crm.veevavault.com/ui/#object/email_activity__v/V8C00000003L295", "EN-002086791")</f>
        <v>EN-002086791</v>
      </c>
    </row>
    <row r="289" spans="1:15" ht="16" x14ac:dyDescent="0.2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4" t="str">
        <f>HYPERLINK("https://otsuka-europe-crm.veevavault.com/ui/#object/email_activity__v/V8C00000003L297", "EN-002086793")</f>
        <v>EN-002086793</v>
      </c>
    </row>
    <row r="290" spans="1:15" ht="16" x14ac:dyDescent="0.2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4" t="str">
        <f>HYPERLINK("https://otsuka-europe-crm.veevavault.com/ui/#object/email_activity__v/V8C00000003L298", "EN-002086794")</f>
        <v>EN-002086794</v>
      </c>
    </row>
    <row r="291" spans="1:15" ht="16" x14ac:dyDescent="0.2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4" t="str">
        <f>HYPERLINK("https://otsuka-europe-crm.veevavault.com/ui/#object/email_activity__v/V8C00000003U144", "EN-002095140")</f>
        <v>EN-002095140</v>
      </c>
    </row>
    <row r="292" spans="1:15" ht="16" x14ac:dyDescent="0.2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4" t="str">
        <f>HYPERLINK("https://otsuka-europe-crm.veevavault.com/ui/#object/email_activity__v/V8C00000003U163", "EN-002095188")</f>
        <v>EN-002095188</v>
      </c>
    </row>
    <row r="293" spans="1:15" ht="16" x14ac:dyDescent="0.2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4" t="str">
        <f>HYPERLINK("https://otsuka-europe-crm.veevavault.com/ui/#object/email_activity__v/V8C00000003V179", "EN-002095142")</f>
        <v>EN-002095142</v>
      </c>
    </row>
    <row r="294" spans="1:15" ht="16" x14ac:dyDescent="0.2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4" t="str">
        <f>HYPERLINK("https://otsuka-europe-crm.veevavault.com/ui/#object/email_activity__v/V8C00000003V180", "EN-002095143")</f>
        <v>EN-002095143</v>
      </c>
    </row>
    <row r="295" spans="1:15" ht="16" x14ac:dyDescent="0.2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4" t="str">
        <f>HYPERLINK("https://otsuka-europe-crm.veevavault.com/ui/#object/email_activity__v/V8C00000003V183", "EN-002095151")</f>
        <v>EN-002095151</v>
      </c>
    </row>
    <row r="296" spans="1:15" ht="16" x14ac:dyDescent="0.2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4" t="str">
        <f>HYPERLINK("https://otsuka-europe-crm.veevavault.com/ui/#object/email_activity__v/V8C00000003V184", "EN-002095152")</f>
        <v>EN-002095152</v>
      </c>
    </row>
    <row r="297" spans="1:15" ht="16" x14ac:dyDescent="0.2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4" t="str">
        <f>HYPERLINK("https://otsuka-europe-crm.veevavault.com/ui/#object/email_activity__v/V8C00000003V185", "EN-002095153")</f>
        <v>EN-002095153</v>
      </c>
    </row>
    <row r="298" spans="1:15" ht="16" x14ac:dyDescent="0.2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4" t="str">
        <f>HYPERLINK("https://otsuka-europe-crm.veevavault.com/ui/#object/email_activity__v/V8C00000003V188", "EN-002095157")</f>
        <v>EN-002095157</v>
      </c>
    </row>
    <row r="299" spans="1:15" ht="16" x14ac:dyDescent="0.2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4" t="str">
        <f>HYPERLINK("https://otsuka-europe-crm.veevavault.com/ui/#object/email_activity__v/V8C00000003V189", "EN-002095158")</f>
        <v>EN-002095158</v>
      </c>
    </row>
    <row r="300" spans="1:15" ht="16" x14ac:dyDescent="0.2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4" t="str">
        <f>HYPERLINK("https://otsuka-europe-crm.veevavault.com/ui/#object/email_activity__v/V8C00000003V190", "EN-002095159")</f>
        <v>EN-002095159</v>
      </c>
    </row>
    <row r="301" spans="1:15" ht="16" x14ac:dyDescent="0.2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4" t="str">
        <f>HYPERLINK("https://otsuka-europe-crm.veevavault.com/ui/#object/email_activity__v/V8C00000003V191", "EN-002095160")</f>
        <v>EN-002095160</v>
      </c>
    </row>
    <row r="302" spans="1:15" ht="16" x14ac:dyDescent="0.2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4" t="str">
        <f>HYPERLINK("https://otsuka-europe-crm.veevavault.com/ui/#object/email_activity__v/V8C00000003V195", "EN-002095164")</f>
        <v>EN-002095164</v>
      </c>
    </row>
    <row r="303" spans="1:15" ht="16" x14ac:dyDescent="0.2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4" t="str">
        <f>HYPERLINK("https://otsuka-europe-crm.veevavault.com/ui/#object/email_activity__v/V8C00000003V196", "EN-002095165")</f>
        <v>EN-002095165</v>
      </c>
    </row>
    <row r="304" spans="1:15" ht="16" x14ac:dyDescent="0.2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4" t="str">
        <f>HYPERLINK("https://otsuka-europe-crm.veevavault.com/ui/#object/email_activity__v/V8C00000003V197", "EN-002095166")</f>
        <v>EN-002095166</v>
      </c>
    </row>
    <row r="305" spans="1:15" ht="16" x14ac:dyDescent="0.2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4" t="str">
        <f>HYPERLINK("https://otsuka-europe-crm.veevavault.com/ui/#object/email_activity__v/V8C00000003V418", "EN-002095603")</f>
        <v>EN-002095603</v>
      </c>
    </row>
    <row r="306" spans="1:15" ht="16" x14ac:dyDescent="0.2">
      <c r="A306" s="17" t="str">
        <f>HYPERLINK("https://otsuka-europe-crm.veevavault.com/ui/#object/account__v/V4TZ06G6O9VLJHY", "ANNE MARGARET RIVEROS FRUTOS")</f>
        <v>ANNE MARGARET RIVEROS FRUTOS</v>
      </c>
      <c r="B306" s="17" t="str">
        <f>HYPERLINK("https://otsuka-europe-crm.veevavault.com/ui/#object/vcountry__v/VENZ000004SONF5", "ES")</f>
        <v>ES</v>
      </c>
      <c r="C306" s="20" t="s">
        <v>41</v>
      </c>
      <c r="D306" s="21" t="str">
        <f>HYPERLINK("https://otsuka-europe-crm.veevavault.com/ui/#object/approved_document__v/V5O00000001H025", "LUP - VAE invitación simposio SEN-SER - Reuma")</f>
        <v>LUP - VAE invitación simposio SEN-SER - Reuma</v>
      </c>
      <c r="E306" s="22" t="str">
        <f>HYPERLINK("https://otsuka-europe-crm.veevavault.com/ui/#object/sent_email__v/VBL00000002N100", "SE-001431018")</f>
        <v>SE-001431018</v>
      </c>
      <c r="F306" s="23">
        <v>46175.632557870369</v>
      </c>
      <c r="G306" s="24">
        <v>1</v>
      </c>
      <c r="H306" s="24">
        <v>1</v>
      </c>
      <c r="I306" s="24">
        <v>0</v>
      </c>
      <c r="J306" s="25"/>
      <c r="K306" s="24">
        <v>0</v>
      </c>
      <c r="L306" s="22" t="str">
        <f>HYPERLINK("https://otsuka-europe-crm.veevavault.com/ui/#object/approved_document__v/V5O00000001H025", "LUP - VAE invitación simposio SEN-SER - Reuma")</f>
        <v>LUP - VAE invitación simposio SEN-SER - Reuma</v>
      </c>
      <c r="M306" s="22" t="str">
        <f>HYPERLINK("mailto:ccoll@crm.otsuka-europe.com", "ccoll@crm.otsuka-europe.com")</f>
        <v>ccoll@crm.otsuka-europe.com</v>
      </c>
      <c r="N306" s="23">
        <v>46174.625289351854</v>
      </c>
      <c r="O306" s="14" t="str">
        <f>HYPERLINK("https://otsuka-europe-crm.veevavault.com/ui/#object/email_activity__v/V8C00000003K222", "EN-002086272")</f>
        <v>EN-002086272</v>
      </c>
    </row>
    <row r="307" spans="1:15" ht="16" x14ac:dyDescent="0.2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4" t="str">
        <f>HYPERLINK("https://otsuka-europe-crm.veevavault.com/ui/#object/email_activity__v/V8C00000003L962", "EN-002087912")</f>
        <v>EN-002087912</v>
      </c>
    </row>
    <row r="308" spans="1:15" ht="16" x14ac:dyDescent="0.2">
      <c r="A308" s="17" t="str">
        <f>HYPERLINK("https://otsuka-europe-crm.veevavault.com/ui/#object/account__v/V4TZ025E84G4UU9", "RICARDO DAVID GALARZA GAMBOA")</f>
        <v>RICARDO DAVID GALARZA GAMBOA</v>
      </c>
      <c r="B308" s="17" t="str">
        <f>HYPERLINK("https://otsuka-europe-crm.veevavault.com/ui/#object/vcountry__v/VENZ000004SONF5", "ES")</f>
        <v>ES</v>
      </c>
      <c r="C308" s="20" t="s">
        <v>41</v>
      </c>
      <c r="D308" s="21" t="str">
        <f>HYPERLINK("https://otsuka-europe-crm.veevavault.com/ui/#object/approved_document__v/V5O00000001H025", "LUP - VAE invitación simposio SEN-SER - Reuma")</f>
        <v>LUP - VAE invitación simposio SEN-SER - Reuma</v>
      </c>
      <c r="E308" s="22" t="str">
        <f>HYPERLINK("https://otsuka-europe-crm.veevavault.com/ui/#object/sent_email__v/VBL00000002N101", "SE-001431019")</f>
        <v>SE-001431019</v>
      </c>
      <c r="F308" s="23">
        <v>46174.741701388892</v>
      </c>
      <c r="G308" s="24">
        <v>1</v>
      </c>
      <c r="H308" s="24">
        <v>1</v>
      </c>
      <c r="I308" s="24">
        <v>0</v>
      </c>
      <c r="J308" s="25"/>
      <c r="K308" s="24">
        <v>0</v>
      </c>
      <c r="L308" s="22" t="str">
        <f>HYPERLINK("https://otsuka-europe-crm.veevavault.com/ui/#object/approved_document__v/V5O00000001H025", "LUP - VAE invitación simposio SEN-SER - Reuma")</f>
        <v>LUP - VAE invitación simposio SEN-SER - Reuma</v>
      </c>
      <c r="M308" s="22" t="str">
        <f>HYPERLINK("mailto:ccoll@crm.otsuka-europe.com", "ccoll@crm.otsuka-europe.com")</f>
        <v>ccoll@crm.otsuka-europe.com</v>
      </c>
      <c r="N308" s="23">
        <v>46174.625289351854</v>
      </c>
      <c r="O308" s="14" t="str">
        <f>HYPERLINK("https://otsuka-europe-crm.veevavault.com/ui/#object/email_activity__v/V8C00000003K245", "EN-002086295")</f>
        <v>EN-002086295</v>
      </c>
    </row>
    <row r="309" spans="1:15" ht="16" x14ac:dyDescent="0.2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4" t="str">
        <f>HYPERLINK("https://otsuka-europe-crm.veevavault.com/ui/#object/email_activity__v/V8C00000003K569", "EN-002086741")</f>
        <v>EN-002086741</v>
      </c>
    </row>
    <row r="310" spans="1:15" ht="16" x14ac:dyDescent="0.2">
      <c r="A310" s="17" t="str">
        <f>HYPERLINK("https://otsuka-europe-crm.veevavault.com/ui/#object/account__v/V4TZ025E85M0LUR", "ANA DANIELA ULLOA NAVAS")</f>
        <v>ANA DANIELA ULLOA NAVAS</v>
      </c>
      <c r="B310" s="17" t="str">
        <f>HYPERLINK("https://otsuka-europe-crm.veevavault.com/ui/#object/vcountry__v/VENZ000004SONF5", "ES")</f>
        <v>ES</v>
      </c>
      <c r="C310" s="20" t="s">
        <v>41</v>
      </c>
      <c r="D310" s="21" t="str">
        <f>HYPERLINK("https://otsuka-europe-crm.veevavault.com/ui/#object/approved_document__v/V5O00000001H025", "LUP - VAE invitación simposio SEN-SER - Reuma")</f>
        <v>LUP - VAE invitación simposio SEN-SER - Reuma</v>
      </c>
      <c r="E310" s="22" t="str">
        <f>HYPERLINK("https://otsuka-europe-crm.veevavault.com/ui/#object/sent_email__v/VBL00000002N102", "SE-001431020")</f>
        <v>SE-001431020</v>
      </c>
      <c r="F310" s="25"/>
      <c r="G310" s="24">
        <v>0</v>
      </c>
      <c r="H310" s="24">
        <v>0</v>
      </c>
      <c r="I310" s="24">
        <v>0</v>
      </c>
      <c r="J310" s="25"/>
      <c r="K310" s="24">
        <v>0</v>
      </c>
      <c r="L310" s="22" t="str">
        <f>HYPERLINK("https://otsuka-europe-crm.veevavault.com/ui/#object/approved_document__v/V5O00000001H025", "LUP - VAE invitación simposio SEN-SER - Reuma")</f>
        <v>LUP - VAE invitación simposio SEN-SER - Reuma</v>
      </c>
      <c r="M310" s="22" t="str">
        <f>HYPERLINK("mailto:ccoll@crm.otsuka-europe.com", "ccoll@crm.otsuka-europe.com")</f>
        <v>ccoll@crm.otsuka-europe.com</v>
      </c>
      <c r="N310" s="23">
        <v>46174.625289351854</v>
      </c>
      <c r="O310" s="14" t="str">
        <f>HYPERLINK("https://otsuka-europe-crm.veevavault.com/ui/#object/email_activity__v/V8C00000003K224", "EN-002086274")</f>
        <v>EN-002086274</v>
      </c>
    </row>
    <row r="311" spans="1:15" ht="16" x14ac:dyDescent="0.2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4" t="str">
        <f>HYPERLINK("https://otsuka-europe-crm.veevavault.com/ui/#object/email_activity__v/V8C00000003L186", "EN-002086604")</f>
        <v>EN-002086604</v>
      </c>
    </row>
    <row r="312" spans="1:15" ht="32" x14ac:dyDescent="0.2">
      <c r="A312" s="7" t="str">
        <f>HYPERLINK("https://otsuka-europe-crm.veevavault.com/ui/#object/account__v/V4TZ06G6O9VLJDT", "JOSEFINA CORTES HERNANDEZ")</f>
        <v>JOSEFINA CORTES HERNANDEZ</v>
      </c>
      <c r="B312" s="7" t="str">
        <f>HYPERLINK("https://otsuka-europe-crm.veevavault.com/ui/#object/vcountry__v/VENZ000004SONF5", "ES")</f>
        <v>ES</v>
      </c>
      <c r="C312" s="8" t="s">
        <v>41</v>
      </c>
      <c r="D312" s="9" t="str">
        <f>HYPERLINK("https://otsuka-europe-crm.veevavault.com/ui/#object/approved_document__v/V5O00000001H025", "LUP - VAE invitación simposio SEN-SER - Reuma")</f>
        <v>LUP - VAE invitación simposio SEN-SER - Reuma</v>
      </c>
      <c r="E312" s="10" t="str">
        <f>HYPERLINK("https://otsuka-europe-crm.veevavault.com/ui/#object/sent_email__v/VBL00000002N103", "SE-001431021")</f>
        <v>SE-001431021</v>
      </c>
      <c r="F312" s="11"/>
      <c r="G312" s="12">
        <v>0</v>
      </c>
      <c r="H312" s="12">
        <v>0</v>
      </c>
      <c r="I312" s="12">
        <v>0</v>
      </c>
      <c r="J312" s="11"/>
      <c r="K312" s="12">
        <v>0</v>
      </c>
      <c r="L312" s="10" t="str">
        <f>HYPERLINK("https://otsuka-europe-crm.veevavault.com/ui/#object/approved_document__v/V5O00000001H025", "LUP - VAE invitación simposio SEN-SER - Reuma")</f>
        <v>LUP - VAE invitación simposio SEN-SER - Reuma</v>
      </c>
      <c r="M312" s="10" t="str">
        <f>HYPERLINK("mailto:ccoll@crm.otsuka-europe.com", "ccoll@crm.otsuka-europe.com")</f>
        <v>ccoll@crm.otsuka-europe.com</v>
      </c>
      <c r="N312" s="13">
        <v>46174.625289351854</v>
      </c>
      <c r="O312" s="14" t="str">
        <f>HYPERLINK("https://otsuka-europe-crm.veevavault.com/ui/#object/email_activity__v/V8C00000003K218", "EN-002086268")</f>
        <v>EN-002086268</v>
      </c>
    </row>
    <row r="313" spans="1:15" ht="32" x14ac:dyDescent="0.2">
      <c r="A313" s="7" t="str">
        <f>HYPERLINK("https://otsuka-europe-crm.veevavault.com/ui/#object/account__v/V4TZ025E82V25MQ", "MARIA TERESA ESTEVE ALGORA")</f>
        <v>MARIA TERESA ESTEVE ALGORA</v>
      </c>
      <c r="B313" s="7" t="str">
        <f>HYPERLINK("https://otsuka-europe-crm.veevavault.com/ui/#object/vcountry__v/VENZ000004SONF5", "ES")</f>
        <v>ES</v>
      </c>
      <c r="C313" s="8" t="s">
        <v>41</v>
      </c>
      <c r="D313" s="9" t="str">
        <f>HYPERLINK("https://otsuka-europe-crm.veevavault.com/ui/#object/approved_document__v/V5O00000001H022", "LUP - VAE invitación simposio SEN-SER - Nefro")</f>
        <v>LUP - VAE invitación simposio SEN-SER - Nefro</v>
      </c>
      <c r="E313" s="10" t="str">
        <f>HYPERLINK("https://otsuka-europe-crm.veevavault.com/ui/#object/sent_email__v/VBL00000002N104", "SE-001431022")</f>
        <v>SE-001431022</v>
      </c>
      <c r="F313" s="11"/>
      <c r="G313" s="12">
        <v>0</v>
      </c>
      <c r="H313" s="12">
        <v>0</v>
      </c>
      <c r="I313" s="12">
        <v>0</v>
      </c>
      <c r="J313" s="11"/>
      <c r="K313" s="12">
        <v>0</v>
      </c>
      <c r="L313" s="10" t="str">
        <f>HYPERLINK("https://otsuka-europe-crm.veevavault.com/ui/#object/approved_document__v/V5O00000001H022", "LUP - VAE invitación simposio SEN-SER - Nefro")</f>
        <v>LUP - VAE invitación simposio SEN-SER - Nefro</v>
      </c>
      <c r="M313" s="10" t="str">
        <f>HYPERLINK("mailto:ccoll@crm.otsuka-europe.com", "ccoll@crm.otsuka-europe.com")</f>
        <v>ccoll@crm.otsuka-europe.com</v>
      </c>
      <c r="N313" s="13">
        <v>46174.626446759263</v>
      </c>
      <c r="O313" s="14" t="str">
        <f>HYPERLINK("https://otsuka-europe-crm.veevavault.com/ui/#object/email_activity__v/V8C00000003K360", "EN-002086410")</f>
        <v>EN-002086410</v>
      </c>
    </row>
    <row r="314" spans="1:15" ht="32" x14ac:dyDescent="0.2">
      <c r="A314" s="7" t="str">
        <f>HYPERLINK("https://otsuka-europe-crm.veevavault.com/ui/#object/account__v/V4TZ06G6O71TBO8", "MARIA DOLORES PRADOS GARRIDO")</f>
        <v>MARIA DOLORES PRADOS GARRIDO</v>
      </c>
      <c r="B314" s="7" t="str">
        <f>HYPERLINK("https://otsuka-europe-crm.veevavault.com/ui/#object/vcountry__v/VENZ000004SONF5", "ES")</f>
        <v>ES</v>
      </c>
      <c r="C314" s="8" t="s">
        <v>41</v>
      </c>
      <c r="D314" s="9" t="str">
        <f>HYPERLINK("https://otsuka-europe-crm.veevavault.com/ui/#object/approved_document__v/V5O00000001H022", "LUP - VAE invitación simposio SEN-SER - Nefro")</f>
        <v>LUP - VAE invitación simposio SEN-SER - Nefro</v>
      </c>
      <c r="E314" s="10" t="str">
        <f>HYPERLINK("https://otsuka-europe-crm.veevavault.com/ui/#object/sent_email__v/VBL00000002N105", "SE-001431023")</f>
        <v>SE-001431023</v>
      </c>
      <c r="F314" s="11"/>
      <c r="G314" s="12">
        <v>0</v>
      </c>
      <c r="H314" s="12">
        <v>0</v>
      </c>
      <c r="I314" s="12">
        <v>0</v>
      </c>
      <c r="J314" s="11"/>
      <c r="K314" s="12">
        <v>0</v>
      </c>
      <c r="L314" s="10" t="str">
        <f>HYPERLINK("https://otsuka-europe-crm.veevavault.com/ui/#object/approved_document__v/V5O00000001H022", "LUP - VAE invitación simposio SEN-SER - Nefro")</f>
        <v>LUP - VAE invitación simposio SEN-SER - Nefro</v>
      </c>
      <c r="M314" s="10" t="str">
        <f>HYPERLINK("mailto:ccoll@crm.otsuka-europe.com", "ccoll@crm.otsuka-europe.com")</f>
        <v>ccoll@crm.otsuka-europe.com</v>
      </c>
      <c r="N314" s="13">
        <v>46174.626446759263</v>
      </c>
      <c r="O314" s="14" t="str">
        <f>HYPERLINK("https://otsuka-europe-crm.veevavault.com/ui/#object/email_activity__v/V8C00000003K369", "EN-002086419")</f>
        <v>EN-002086419</v>
      </c>
    </row>
    <row r="315" spans="1:15" ht="16" x14ac:dyDescent="0.2">
      <c r="A315" s="17" t="str">
        <f>HYPERLINK("https://otsuka-europe-crm.veevavault.com/ui/#object/account__v/V4TZ025E87JMJIE", "CRISTINA GARCIA PAREJO")</f>
        <v>CRISTINA GARCIA PAREJO</v>
      </c>
      <c r="B315" s="17" t="str">
        <f>HYPERLINK("https://otsuka-europe-crm.veevavault.com/ui/#object/vcountry__v/VENZ000004SONF5", "ES")</f>
        <v>ES</v>
      </c>
      <c r="C315" s="20" t="s">
        <v>41</v>
      </c>
      <c r="D315" s="21" t="str">
        <f>HYPERLINK("https://otsuka-europe-crm.veevavault.com/ui/#object/approved_document__v/V5O00000001H022", "LUP - VAE invitación simposio SEN-SER - Nefro")</f>
        <v>LUP - VAE invitación simposio SEN-SER - Nefro</v>
      </c>
      <c r="E315" s="22" t="str">
        <f>HYPERLINK("https://otsuka-europe-crm.veevavault.com/ui/#object/sent_email__v/VBL00000002N106", "SE-001431024")</f>
        <v>SE-001431024</v>
      </c>
      <c r="F315" s="23">
        <v>46174.770972222221</v>
      </c>
      <c r="G315" s="24">
        <v>1</v>
      </c>
      <c r="H315" s="24">
        <v>2</v>
      </c>
      <c r="I315" s="24">
        <v>0</v>
      </c>
      <c r="J315" s="25"/>
      <c r="K315" s="24">
        <v>0</v>
      </c>
      <c r="L315" s="22" t="str">
        <f>HYPERLINK("https://otsuka-europe-crm.veevavault.com/ui/#object/approved_document__v/V5O00000001H022", "LUP - VAE invitación simposio SEN-SER - Nefro")</f>
        <v>LUP - VAE invitación simposio SEN-SER - Nefro</v>
      </c>
      <c r="M315" s="22" t="str">
        <f>HYPERLINK("mailto:ccoll@crm.otsuka-europe.com", "ccoll@crm.otsuka-europe.com")</f>
        <v>ccoll@crm.otsuka-europe.com</v>
      </c>
      <c r="N315" s="23">
        <v>46174.626400462963</v>
      </c>
      <c r="O315" s="14" t="str">
        <f>HYPERLINK("https://otsuka-europe-crm.veevavault.com/ui/#object/email_activity__v/V8C00000003K332", "EN-002086382")</f>
        <v>EN-002086382</v>
      </c>
    </row>
    <row r="316" spans="1:15" ht="16" x14ac:dyDescent="0.2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4" t="str">
        <f>HYPERLINK("https://otsuka-europe-crm.veevavault.com/ui/#object/email_activity__v/V8C00000003K348", "EN-002086398")</f>
        <v>EN-002086398</v>
      </c>
    </row>
    <row r="317" spans="1:15" ht="16" x14ac:dyDescent="0.2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4" t="str">
        <f>HYPERLINK("https://otsuka-europe-crm.veevavault.com/ui/#object/email_activity__v/V8C00000003K577", "EN-002086769")</f>
        <v>EN-002086769</v>
      </c>
    </row>
    <row r="318" spans="1:15" ht="16" x14ac:dyDescent="0.2">
      <c r="A318" s="17" t="str">
        <f>HYPERLINK("https://otsuka-europe-crm.veevavault.com/ui/#object/account__v/V4TZ04ASGGI2JZ1", "JUAN FERNANDEZ SOLIS")</f>
        <v>JUAN FERNANDEZ SOLIS</v>
      </c>
      <c r="B318" s="17" t="str">
        <f>HYPERLINK("https://otsuka-europe-crm.veevavault.com/ui/#object/vcountry__v/VENZ000004SONF5", "ES")</f>
        <v>ES</v>
      </c>
      <c r="C318" s="20" t="s">
        <v>41</v>
      </c>
      <c r="D318" s="21" t="str">
        <f>HYPERLINK("https://otsuka-europe-crm.veevavault.com/ui/#object/approved_document__v/V5O00000001H022", "LUP - VAE invitación simposio SEN-SER - Nefro")</f>
        <v>LUP - VAE invitación simposio SEN-SER - Nefro</v>
      </c>
      <c r="E318" s="22" t="str">
        <f>HYPERLINK("https://otsuka-europe-crm.veevavault.com/ui/#object/sent_email__v/VBL00000002N107", "SE-001431025")</f>
        <v>SE-001431025</v>
      </c>
      <c r="F318" s="23">
        <v>46185.428784722222</v>
      </c>
      <c r="G318" s="24">
        <v>1</v>
      </c>
      <c r="H318" s="24">
        <v>3</v>
      </c>
      <c r="I318" s="24">
        <v>0</v>
      </c>
      <c r="J318" s="25"/>
      <c r="K318" s="24">
        <v>0</v>
      </c>
      <c r="L318" s="22" t="str">
        <f>HYPERLINK("https://otsuka-europe-crm.veevavault.com/ui/#object/approved_document__v/V5O00000001H022", "LUP - VAE invitación simposio SEN-SER - Nefro")</f>
        <v>LUP - VAE invitación simposio SEN-SER - Nefro</v>
      </c>
      <c r="M318" s="22" t="str">
        <f>HYPERLINK("mailto:ccoll@crm.otsuka-europe.com", "ccoll@crm.otsuka-europe.com")</f>
        <v>ccoll@crm.otsuka-europe.com</v>
      </c>
      <c r="N318" s="23">
        <v>46174.626388888886</v>
      </c>
      <c r="O318" s="14" t="str">
        <f>HYPERLINK("https://otsuka-europe-crm.veevavault.com/ui/#object/email_activity__v/V8C00000003K371", "EN-002086421")</f>
        <v>EN-002086421</v>
      </c>
    </row>
    <row r="319" spans="1:15" ht="16" x14ac:dyDescent="0.2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4" t="str">
        <f>HYPERLINK("https://otsuka-europe-crm.veevavault.com/ui/#object/email_activity__v/V8C00000003M410", "EN-002088846")</f>
        <v>EN-002088846</v>
      </c>
    </row>
    <row r="320" spans="1:15" ht="16" x14ac:dyDescent="0.2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4" t="str">
        <f>HYPERLINK("https://otsuka-europe-crm.veevavault.com/ui/#object/email_activity__v/V8C00000003N299", "EN-002088453")</f>
        <v>EN-002088453</v>
      </c>
    </row>
    <row r="321" spans="1:15" ht="16" x14ac:dyDescent="0.2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4" t="str">
        <f>HYPERLINK("https://otsuka-europe-crm.veevavault.com/ui/#object/email_activity__v/V8C00000003V274", "EN-002095332")</f>
        <v>EN-002095332</v>
      </c>
    </row>
    <row r="322" spans="1:15" ht="32" x14ac:dyDescent="0.2">
      <c r="A322" s="7" t="str">
        <f>HYPERLINK("https://otsuka-europe-crm.veevavault.com/ui/#object/account__v/V4TZ06G6O71TCD3", "MARIA FERNANDA SILVA CEDEÑO")</f>
        <v>MARIA FERNANDA SILVA CEDEÑO</v>
      </c>
      <c r="B322" s="7" t="str">
        <f>HYPERLINK("https://otsuka-europe-crm.veevavault.com/ui/#object/vcountry__v/VENZ000004SONF5", "ES")</f>
        <v>ES</v>
      </c>
      <c r="C322" s="8" t="s">
        <v>41</v>
      </c>
      <c r="D322" s="9" t="str">
        <f>HYPERLINK("https://otsuka-europe-crm.veevavault.com/ui/#object/approved_document__v/V5O00000001H022", "LUP - VAE invitación simposio SEN-SER - Nefro")</f>
        <v>LUP - VAE invitación simposio SEN-SER - Nefro</v>
      </c>
      <c r="E322" s="10" t="str">
        <f>HYPERLINK("https://otsuka-europe-crm.veevavault.com/ui/#object/sent_email__v/VBL00000002N108", "SE-001431026")</f>
        <v>SE-001431026</v>
      </c>
      <c r="F322" s="11"/>
      <c r="G322" s="12">
        <v>0</v>
      </c>
      <c r="H322" s="12">
        <v>0</v>
      </c>
      <c r="I322" s="12">
        <v>0</v>
      </c>
      <c r="J322" s="11"/>
      <c r="K322" s="12">
        <v>0</v>
      </c>
      <c r="L322" s="10" t="str">
        <f>HYPERLINK("https://otsuka-europe-crm.veevavault.com/ui/#object/approved_document__v/V5O00000001H022", "LUP - VAE invitación simposio SEN-SER - Nefro")</f>
        <v>LUP - VAE invitación simposio SEN-SER - Nefro</v>
      </c>
      <c r="M322" s="10" t="str">
        <f>HYPERLINK("mailto:ccoll@crm.otsuka-europe.com", "ccoll@crm.otsuka-europe.com")</f>
        <v>ccoll@crm.otsuka-europe.com</v>
      </c>
      <c r="N322" s="13">
        <v>46174.626388888886</v>
      </c>
      <c r="O322" s="14" t="str">
        <f>HYPERLINK("https://otsuka-europe-crm.veevavault.com/ui/#object/email_activity__v/V8C00000003K275", "EN-002086325")</f>
        <v>EN-002086325</v>
      </c>
    </row>
    <row r="323" spans="1:15" ht="32" x14ac:dyDescent="0.2">
      <c r="A323" s="7" t="str">
        <f>HYPERLINK("https://otsuka-europe-crm.veevavault.com/ui/#object/account__v/V4TZ025E85LG0C9", "MARIA NOEL MARTINA LINGUA")</f>
        <v>MARIA NOEL MARTINA LINGUA</v>
      </c>
      <c r="B323" s="7" t="str">
        <f>HYPERLINK("https://otsuka-europe-crm.veevavault.com/ui/#object/vcountry__v/VENZ000004SONF5", "ES")</f>
        <v>ES</v>
      </c>
      <c r="C323" s="8" t="s">
        <v>41</v>
      </c>
      <c r="D323" s="9" t="str">
        <f>HYPERLINK("https://otsuka-europe-crm.veevavault.com/ui/#object/approved_document__v/V5O00000001H022", "LUP - VAE invitación simposio SEN-SER - Nefro")</f>
        <v>LUP - VAE invitación simposio SEN-SER - Nefro</v>
      </c>
      <c r="E323" s="10" t="str">
        <f>HYPERLINK("https://otsuka-europe-crm.veevavault.com/ui/#object/sent_email__v/VBL00000002N109", "SE-001431027")</f>
        <v>SE-001431027</v>
      </c>
      <c r="F323" s="11"/>
      <c r="G323" s="12">
        <v>0</v>
      </c>
      <c r="H323" s="12">
        <v>0</v>
      </c>
      <c r="I323" s="12">
        <v>0</v>
      </c>
      <c r="J323" s="11"/>
      <c r="K323" s="12">
        <v>0</v>
      </c>
      <c r="L323" s="10" t="str">
        <f>HYPERLINK("https://otsuka-europe-crm.veevavault.com/ui/#object/approved_document__v/V5O00000001H022", "LUP - VAE invitación simposio SEN-SER - Nefro")</f>
        <v>LUP - VAE invitación simposio SEN-SER - Nefro</v>
      </c>
      <c r="M323" s="10" t="str">
        <f>HYPERLINK("mailto:ccoll@crm.otsuka-europe.com", "ccoll@crm.otsuka-europe.com")</f>
        <v>ccoll@crm.otsuka-europe.com</v>
      </c>
      <c r="N323" s="13">
        <v>46174.626446759263</v>
      </c>
      <c r="O323" s="14" t="str">
        <f>HYPERLINK("https://otsuka-europe-crm.veevavault.com/ui/#object/email_activity__v/V8C00000003K327", "EN-002086377")</f>
        <v>EN-002086377</v>
      </c>
    </row>
    <row r="324" spans="1:15" ht="16" x14ac:dyDescent="0.2">
      <c r="A324" s="17" t="str">
        <f>HYPERLINK("https://otsuka-europe-crm.veevavault.com/ui/#object/account__v/V4TZ06G6O71T8OY", "IRENE AGRAZ PAMPLONA")</f>
        <v>IRENE AGRAZ PAMPLONA</v>
      </c>
      <c r="B324" s="17" t="str">
        <f>HYPERLINK("https://otsuka-europe-crm.veevavault.com/ui/#object/vcountry__v/VENZ000004SONF5", "ES")</f>
        <v>ES</v>
      </c>
      <c r="C324" s="20" t="s">
        <v>41</v>
      </c>
      <c r="D324" s="21" t="str">
        <f>HYPERLINK("https://otsuka-europe-crm.veevavault.com/ui/#object/approved_document__v/V5O00000001H022", "LUP - VAE invitación simposio SEN-SER - Nefro")</f>
        <v>LUP - VAE invitación simposio SEN-SER - Nefro</v>
      </c>
      <c r="E324" s="22" t="str">
        <f>HYPERLINK("https://otsuka-europe-crm.veevavault.com/ui/#object/sent_email__v/VBL00000002N110", "SE-001431028")</f>
        <v>SE-001431028</v>
      </c>
      <c r="F324" s="23">
        <v>46174.716805555552</v>
      </c>
      <c r="G324" s="24">
        <v>1</v>
      </c>
      <c r="H324" s="24">
        <v>1</v>
      </c>
      <c r="I324" s="24">
        <v>0</v>
      </c>
      <c r="J324" s="25"/>
      <c r="K324" s="24">
        <v>0</v>
      </c>
      <c r="L324" s="22" t="str">
        <f>HYPERLINK("https://otsuka-europe-crm.veevavault.com/ui/#object/approved_document__v/V5O00000001H022", "LUP - VAE invitación simposio SEN-SER - Nefro")</f>
        <v>LUP - VAE invitación simposio SEN-SER - Nefro</v>
      </c>
      <c r="M324" s="22" t="str">
        <f>HYPERLINK("mailto:ccoll@crm.otsuka-europe.com", "ccoll@crm.otsuka-europe.com")</f>
        <v>ccoll@crm.otsuka-europe.com</v>
      </c>
      <c r="N324" s="23">
        <v>46174.626423611109</v>
      </c>
      <c r="O324" s="14" t="str">
        <f>HYPERLINK("https://otsuka-europe-crm.veevavault.com/ui/#object/email_activity__v/V8C00000003K334", "EN-002086384")</f>
        <v>EN-002086384</v>
      </c>
    </row>
    <row r="325" spans="1:15" ht="16" x14ac:dyDescent="0.2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4" t="str">
        <f>HYPERLINK("https://otsuka-europe-crm.veevavault.com/ui/#object/email_activity__v/V8C00000003K552", "EN-002086708")</f>
        <v>EN-002086708</v>
      </c>
    </row>
    <row r="326" spans="1:15" ht="32" x14ac:dyDescent="0.2">
      <c r="A326" s="7" t="str">
        <f>HYPERLINK("https://otsuka-europe-crm.veevavault.com/ui/#object/account__v/V4TZ06G6O71T73O", "LUCIEMNE FERNANDEZ ANTUÑA")</f>
        <v>LUCIEMNE FERNANDEZ ANTUÑA</v>
      </c>
      <c r="B326" s="7" t="str">
        <f>HYPERLINK("https://otsuka-europe-crm.veevavault.com/ui/#object/vcountry__v/VENZ000004SONF5", "ES")</f>
        <v>ES</v>
      </c>
      <c r="C326" s="8" t="s">
        <v>41</v>
      </c>
      <c r="D326" s="9" t="str">
        <f>HYPERLINK("https://otsuka-europe-crm.veevavault.com/ui/#object/approved_document__v/V5O00000001H022", "LUP - VAE invitación simposio SEN-SER - Nefro")</f>
        <v>LUP - VAE invitación simposio SEN-SER - Nefro</v>
      </c>
      <c r="E326" s="10" t="str">
        <f>HYPERLINK("https://otsuka-europe-crm.veevavault.com/ui/#object/sent_email__v/VBL00000002N111", "SE-001431029")</f>
        <v>SE-001431029</v>
      </c>
      <c r="F326" s="11"/>
      <c r="G326" s="12">
        <v>0</v>
      </c>
      <c r="H326" s="12">
        <v>0</v>
      </c>
      <c r="I326" s="12">
        <v>0</v>
      </c>
      <c r="J326" s="11"/>
      <c r="K326" s="12">
        <v>0</v>
      </c>
      <c r="L326" s="10" t="str">
        <f>HYPERLINK("https://otsuka-europe-crm.veevavault.com/ui/#object/approved_document__v/V5O00000001H022", "LUP - VAE invitación simposio SEN-SER - Nefro")</f>
        <v>LUP - VAE invitación simposio SEN-SER - Nefro</v>
      </c>
      <c r="M326" s="10" t="str">
        <f>HYPERLINK("mailto:ccoll@crm.otsuka-europe.com", "ccoll@crm.otsuka-europe.com")</f>
        <v>ccoll@crm.otsuka-europe.com</v>
      </c>
      <c r="N326" s="13">
        <v>46174.626435185186</v>
      </c>
      <c r="O326" s="14" t="str">
        <f>HYPERLINK("https://otsuka-europe-crm.veevavault.com/ui/#object/email_activity__v/V8C00000003K355", "EN-002086405")</f>
        <v>EN-002086405</v>
      </c>
    </row>
    <row r="327" spans="1:15" ht="32" x14ac:dyDescent="0.2">
      <c r="A327" s="7" t="str">
        <f>HYPERLINK("https://otsuka-europe-crm.veevavault.com/ui/#object/account__v/V4TZ06G6O71TBNL", "ESTEBAN POCH LOPEZ DE BRIÑAS")</f>
        <v>ESTEBAN POCH LOPEZ DE BRIÑAS</v>
      </c>
      <c r="B327" s="7" t="str">
        <f>HYPERLINK("https://otsuka-europe-crm.veevavault.com/ui/#object/vcountry__v/VENZ000004SONF5", "ES")</f>
        <v>ES</v>
      </c>
      <c r="C327" s="8" t="s">
        <v>41</v>
      </c>
      <c r="D327" s="9" t="str">
        <f>HYPERLINK("https://otsuka-europe-crm.veevavault.com/ui/#object/approved_document__v/V5O00000001H022", "LUP - VAE invitación simposio SEN-SER - Nefro")</f>
        <v>LUP - VAE invitación simposio SEN-SER - Nefro</v>
      </c>
      <c r="E327" s="10" t="str">
        <f>HYPERLINK("https://otsuka-europe-crm.veevavault.com/ui/#object/sent_email__v/VBL00000002N112", "SE-001431030")</f>
        <v>SE-001431030</v>
      </c>
      <c r="F327" s="11"/>
      <c r="G327" s="12">
        <v>0</v>
      </c>
      <c r="H327" s="12">
        <v>0</v>
      </c>
      <c r="I327" s="12">
        <v>0</v>
      </c>
      <c r="J327" s="11"/>
      <c r="K327" s="12">
        <v>0</v>
      </c>
      <c r="L327" s="10" t="str">
        <f>HYPERLINK("https://otsuka-europe-crm.veevavault.com/ui/#object/approved_document__v/V5O00000001H022", "LUP - VAE invitación simposio SEN-SER - Nefro")</f>
        <v>LUP - VAE invitación simposio SEN-SER - Nefro</v>
      </c>
      <c r="M327" s="10" t="str">
        <f>HYPERLINK("mailto:ccoll@crm.otsuka-europe.com", "ccoll@crm.otsuka-europe.com")</f>
        <v>ccoll@crm.otsuka-europe.com</v>
      </c>
      <c r="N327" s="13">
        <v>46174.626388888886</v>
      </c>
      <c r="O327" s="14" t="str">
        <f>HYPERLINK("https://otsuka-europe-crm.veevavault.com/ui/#object/email_activity__v/V8C00000003K265", "EN-002086315")</f>
        <v>EN-002086315</v>
      </c>
    </row>
    <row r="328" spans="1:15" ht="32" x14ac:dyDescent="0.2">
      <c r="A328" s="7" t="str">
        <f>HYPERLINK("https://otsuka-europe-crm.veevavault.com/ui/#object/account__v/V4TZ06G6O71TJXW", "KARLA FLORES GIMENO")</f>
        <v>KARLA FLORES GIMENO</v>
      </c>
      <c r="B328" s="7" t="str">
        <f>HYPERLINK("https://otsuka-europe-crm.veevavault.com/ui/#object/vcountry__v/VENZ000004SONF5", "ES")</f>
        <v>ES</v>
      </c>
      <c r="C328" s="8" t="s">
        <v>41</v>
      </c>
      <c r="D328" s="9" t="str">
        <f>HYPERLINK("https://otsuka-europe-crm.veevavault.com/ui/#object/approved_document__v/V5O00000001H022", "LUP - VAE invitación simposio SEN-SER - Nefro")</f>
        <v>LUP - VAE invitación simposio SEN-SER - Nefro</v>
      </c>
      <c r="E328" s="10" t="str">
        <f>HYPERLINK("https://otsuka-europe-crm.veevavault.com/ui/#object/sent_email__v/VBL00000002N113", "SE-001431031")</f>
        <v>SE-001431031</v>
      </c>
      <c r="F328" s="11"/>
      <c r="G328" s="12">
        <v>0</v>
      </c>
      <c r="H328" s="12">
        <v>0</v>
      </c>
      <c r="I328" s="12">
        <v>0</v>
      </c>
      <c r="J328" s="11"/>
      <c r="K328" s="12">
        <v>0</v>
      </c>
      <c r="L328" s="10" t="str">
        <f>HYPERLINK("https://otsuka-europe-crm.veevavault.com/ui/#object/approved_document__v/V5O00000001H022", "LUP - VAE invitación simposio SEN-SER - Nefro")</f>
        <v>LUP - VAE invitación simposio SEN-SER - Nefro</v>
      </c>
      <c r="M328" s="10" t="str">
        <f>HYPERLINK("mailto:ccoll@crm.otsuka-europe.com", "ccoll@crm.otsuka-europe.com")</f>
        <v>ccoll@crm.otsuka-europe.com</v>
      </c>
      <c r="N328" s="13">
        <v>46174.626446759263</v>
      </c>
      <c r="O328" s="14" t="str">
        <f>HYPERLINK("https://otsuka-europe-crm.veevavault.com/ui/#object/email_activity__v/V8C00000003K343", "EN-002086393")</f>
        <v>EN-002086393</v>
      </c>
    </row>
    <row r="329" spans="1:15" ht="16" x14ac:dyDescent="0.2">
      <c r="A329" s="17" t="str">
        <f>HYPERLINK("https://otsuka-europe-crm.veevavault.com/ui/#object/account__v/V4TZ06G6O71TCJ3", "DAVID TURA ROSALES")</f>
        <v>DAVID TURA ROSALES</v>
      </c>
      <c r="B329" s="17" t="str">
        <f>HYPERLINK("https://otsuka-europe-crm.veevavault.com/ui/#object/vcountry__v/VENZ000004SONF5", "ES")</f>
        <v>ES</v>
      </c>
      <c r="C329" s="20" t="s">
        <v>41</v>
      </c>
      <c r="D329" s="21" t="str">
        <f>HYPERLINK("https://otsuka-europe-crm.veevavault.com/ui/#object/approved_document__v/V5O00000001H022", "LUP - VAE invitación simposio SEN-SER - Nefro")</f>
        <v>LUP - VAE invitación simposio SEN-SER - Nefro</v>
      </c>
      <c r="E329" s="22" t="str">
        <f>HYPERLINK("https://otsuka-europe-crm.veevavault.com/ui/#object/sent_email__v/VBL00000002N114", "SE-001431032")</f>
        <v>SE-001431032</v>
      </c>
      <c r="F329" s="23">
        <v>46174.851064814815</v>
      </c>
      <c r="G329" s="24">
        <v>1</v>
      </c>
      <c r="H329" s="24">
        <v>1</v>
      </c>
      <c r="I329" s="24">
        <v>1</v>
      </c>
      <c r="J329" s="23">
        <v>46174.851550925923</v>
      </c>
      <c r="K329" s="24">
        <v>1</v>
      </c>
      <c r="L329" s="22" t="str">
        <f>HYPERLINK("https://otsuka-europe-crm.veevavault.com/ui/#object/approved_document__v/V5O00000001H022", "LUP - VAE invitación simposio SEN-SER - Nefro")</f>
        <v>LUP - VAE invitación simposio SEN-SER - Nefro</v>
      </c>
      <c r="M329" s="22" t="str">
        <f>HYPERLINK("mailto:ccoll@crm.otsuka-europe.com", "ccoll@crm.otsuka-europe.com")</f>
        <v>ccoll@crm.otsuka-europe.com</v>
      </c>
      <c r="N329" s="23">
        <v>46174.626388888886</v>
      </c>
      <c r="O329" s="14" t="str">
        <f>HYPERLINK("https://otsuka-europe-crm.veevavault.com/ui/#object/email_activity__v/V8C00000003K385", "EN-002086435")</f>
        <v>EN-002086435</v>
      </c>
    </row>
    <row r="330" spans="1:15" ht="16" x14ac:dyDescent="0.2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4" t="str">
        <f>HYPERLINK("https://otsuka-europe-crm.veevavault.com/ui/#object/email_activity__v/V8C00000003L290", "EN-002086781")</f>
        <v>EN-002086781</v>
      </c>
    </row>
    <row r="331" spans="1:15" ht="16" x14ac:dyDescent="0.2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4" t="str">
        <f>HYPERLINK("https://otsuka-europe-crm.veevavault.com/ui/#object/email_activity__v/V8C00000003L291", "EN-002086782")</f>
        <v>EN-002086782</v>
      </c>
    </row>
    <row r="332" spans="1:15" ht="16" x14ac:dyDescent="0.2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4" t="str">
        <f>HYPERLINK("https://otsuka-europe-crm.veevavault.com/ui/#object/email_activity__v/V8C00000003L296", "EN-002086792")</f>
        <v>EN-002086792</v>
      </c>
    </row>
    <row r="333" spans="1:15" ht="16" x14ac:dyDescent="0.2">
      <c r="A333" s="17" t="str">
        <f>HYPERLINK("https://otsuka-europe-crm.veevavault.com/ui/#object/account__v/V4TZ025E82BHH6P", "ARANZAZU PARDO RUIZ")</f>
        <v>ARANZAZU PARDO RUIZ</v>
      </c>
      <c r="B333" s="17" t="str">
        <f>HYPERLINK("https://otsuka-europe-crm.veevavault.com/ui/#object/vcountry__v/VENZ000004SONF5", "ES")</f>
        <v>ES</v>
      </c>
      <c r="C333" s="20" t="s">
        <v>41</v>
      </c>
      <c r="D333" s="21" t="str">
        <f>HYPERLINK("https://otsuka-europe-crm.veevavault.com/ui/#object/approved_document__v/V5O00000001H022", "LUP - VAE invitación simposio SEN-SER - Nefro")</f>
        <v>LUP - VAE invitación simposio SEN-SER - Nefro</v>
      </c>
      <c r="E333" s="22" t="str">
        <f>HYPERLINK("https://otsuka-europe-crm.veevavault.com/ui/#object/sent_email__v/VBL00000002N115", "SE-001431033")</f>
        <v>SE-001431033</v>
      </c>
      <c r="F333" s="25"/>
      <c r="G333" s="24">
        <v>0</v>
      </c>
      <c r="H333" s="24">
        <v>0</v>
      </c>
      <c r="I333" s="24">
        <v>0</v>
      </c>
      <c r="J333" s="25"/>
      <c r="K333" s="24">
        <v>0</v>
      </c>
      <c r="L333" s="22" t="str">
        <f>HYPERLINK("https://otsuka-europe-crm.veevavault.com/ui/#object/approved_document__v/V5O00000001H022", "LUP - VAE invitación simposio SEN-SER - Nefro")</f>
        <v>LUP - VAE invitación simposio SEN-SER - Nefro</v>
      </c>
      <c r="M333" s="22" t="str">
        <f>HYPERLINK("mailto:ccoll@crm.otsuka-europe.com", "ccoll@crm.otsuka-europe.com")</f>
        <v>ccoll@crm.otsuka-europe.com</v>
      </c>
      <c r="N333" s="23">
        <v>46174.626388888886</v>
      </c>
      <c r="O333" s="14" t="str">
        <f>HYPERLINK("https://otsuka-europe-crm.veevavault.com/ui/#object/email_activity__v/V8C00000003K393", "EN-002086443")</f>
        <v>EN-002086443</v>
      </c>
    </row>
    <row r="334" spans="1:15" ht="16" x14ac:dyDescent="0.2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4" t="str">
        <f>HYPERLINK("https://otsuka-europe-crm.veevavault.com/ui/#object/email_activity__v/V8C00000003L285", "EN-002086775")</f>
        <v>EN-002086775</v>
      </c>
    </row>
    <row r="335" spans="1:15" ht="32" x14ac:dyDescent="0.2">
      <c r="A335" s="7" t="str">
        <f>HYPERLINK("https://otsuka-europe-crm.veevavault.com/ui/#object/account__v/V4TZ025E87FZH06", "ANA CRISTINA TUGORES VAZQUEZ")</f>
        <v>ANA CRISTINA TUGORES VAZQUEZ</v>
      </c>
      <c r="B335" s="7" t="str">
        <f>HYPERLINK("https://otsuka-europe-crm.veevavault.com/ui/#object/vcountry__v/VENZ000004SONF5", "ES")</f>
        <v>ES</v>
      </c>
      <c r="C335" s="8" t="s">
        <v>41</v>
      </c>
      <c r="D335" s="9" t="str">
        <f>HYPERLINK("https://otsuka-europe-crm.veevavault.com/ui/#object/approved_document__v/V5O00000001H022", "LUP - VAE invitación simposio SEN-SER - Nefro")</f>
        <v>LUP - VAE invitación simposio SEN-SER - Nefro</v>
      </c>
      <c r="E335" s="10" t="str">
        <f>HYPERLINK("https://otsuka-europe-crm.veevavault.com/ui/#object/sent_email__v/VBL00000002N116", "SE-001431034")</f>
        <v>SE-001431034</v>
      </c>
      <c r="F335" s="11"/>
      <c r="G335" s="12">
        <v>0</v>
      </c>
      <c r="H335" s="12">
        <v>0</v>
      </c>
      <c r="I335" s="12">
        <v>0</v>
      </c>
      <c r="J335" s="11"/>
      <c r="K335" s="12">
        <v>0</v>
      </c>
      <c r="L335" s="10" t="str">
        <f>HYPERLINK("https://otsuka-europe-crm.veevavault.com/ui/#object/approved_document__v/V5O00000001H022", "LUP - VAE invitación simposio SEN-SER - Nefro")</f>
        <v>LUP - VAE invitación simposio SEN-SER - Nefro</v>
      </c>
      <c r="M335" s="10" t="str">
        <f>HYPERLINK("mailto:ccoll@crm.otsuka-europe.com", "ccoll@crm.otsuka-europe.com")</f>
        <v>ccoll@crm.otsuka-europe.com</v>
      </c>
      <c r="N335" s="13">
        <v>46174.626388888886</v>
      </c>
      <c r="O335" s="14" t="str">
        <f>HYPERLINK("https://otsuka-europe-crm.veevavault.com/ui/#object/email_activity__v/V8C00000003K313", "EN-002086363")</f>
        <v>EN-002086363</v>
      </c>
    </row>
    <row r="336" spans="1:15" ht="16" x14ac:dyDescent="0.2">
      <c r="A336" s="17" t="str">
        <f>HYPERLINK("https://otsuka-europe-crm.veevavault.com/ui/#object/account__v/V4TZ025E88QKYNK", "ROGER ALABAU PERICH")</f>
        <v>ROGER ALABAU PERICH</v>
      </c>
      <c r="B336" s="17" t="str">
        <f>HYPERLINK("https://otsuka-europe-crm.veevavault.com/ui/#object/vcountry__v/VENZ000004SONF5", "ES")</f>
        <v>ES</v>
      </c>
      <c r="C336" s="20" t="s">
        <v>41</v>
      </c>
      <c r="D336" s="21" t="str">
        <f>HYPERLINK("https://otsuka-europe-crm.veevavault.com/ui/#object/approved_document__v/V5O00000001H022", "LUP - VAE invitación simposio SEN-SER - Nefro")</f>
        <v>LUP - VAE invitación simposio SEN-SER - Nefro</v>
      </c>
      <c r="E336" s="22" t="str">
        <f>HYPERLINK("https://otsuka-europe-crm.veevavault.com/ui/#object/sent_email__v/VBL00000002N117", "SE-001431035")</f>
        <v>SE-001431035</v>
      </c>
      <c r="F336" s="23">
        <v>46174.62709490741</v>
      </c>
      <c r="G336" s="24">
        <v>1</v>
      </c>
      <c r="H336" s="24">
        <v>2</v>
      </c>
      <c r="I336" s="24">
        <v>0</v>
      </c>
      <c r="J336" s="25"/>
      <c r="K336" s="24">
        <v>0</v>
      </c>
      <c r="L336" s="22" t="str">
        <f>HYPERLINK("https://otsuka-europe-crm.veevavault.com/ui/#object/approved_document__v/V5O00000001H022", "LUP - VAE invitación simposio SEN-SER - Nefro")</f>
        <v>LUP - VAE invitación simposio SEN-SER - Nefro</v>
      </c>
      <c r="M336" s="22" t="str">
        <f>HYPERLINK("mailto:ccoll@crm.otsuka-europe.com", "ccoll@crm.otsuka-europe.com")</f>
        <v>ccoll@crm.otsuka-europe.com</v>
      </c>
      <c r="N336" s="23">
        <v>46174.626388888886</v>
      </c>
      <c r="O336" s="14" t="str">
        <f>HYPERLINK("https://otsuka-europe-crm.veevavault.com/ui/#object/email_activity__v/V8C00000003K389", "EN-002086439")</f>
        <v>EN-002086439</v>
      </c>
    </row>
    <row r="337" spans="1:15" ht="16" x14ac:dyDescent="0.2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4" t="str">
        <f>HYPERLINK("https://otsuka-europe-crm.veevavault.com/ui/#object/email_activity__v/V8C00000003K397", "EN-002086447")</f>
        <v>EN-002086447</v>
      </c>
    </row>
    <row r="338" spans="1:15" ht="16" x14ac:dyDescent="0.2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4" t="str">
        <f>HYPERLINK("https://otsuka-europe-crm.veevavault.com/ui/#object/email_activity__v/V8C00000003K398", "EN-002086448")</f>
        <v>EN-002086448</v>
      </c>
    </row>
    <row r="339" spans="1:15" ht="16" x14ac:dyDescent="0.2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4" t="str">
        <f>HYPERLINK("https://otsuka-europe-crm.veevavault.com/ui/#object/email_activity__v/V8C00000003L303", "EN-002086806")</f>
        <v>EN-002086806</v>
      </c>
    </row>
    <row r="340" spans="1:15" ht="32" x14ac:dyDescent="0.2">
      <c r="A340" s="7" t="str">
        <f>HYPERLINK("https://otsuka-europe-crm.veevavault.com/ui/#object/account__v/V4TZ06G6OCBHSFO", "JORDI BOVER SANJUAN")</f>
        <v>JORDI BOVER SANJUAN</v>
      </c>
      <c r="B340" s="7" t="str">
        <f>HYPERLINK("https://otsuka-europe-crm.veevavault.com/ui/#object/vcountry__v/VENZ000004SONF5", "ES")</f>
        <v>ES</v>
      </c>
      <c r="C340" s="8" t="s">
        <v>41</v>
      </c>
      <c r="D340" s="9" t="str">
        <f>HYPERLINK("https://otsuka-europe-crm.veevavault.com/ui/#object/approved_document__v/V5O00000001H022", "LUP - VAE invitación simposio SEN-SER - Nefro")</f>
        <v>LUP - VAE invitación simposio SEN-SER - Nefro</v>
      </c>
      <c r="E340" s="10" t="str">
        <f>HYPERLINK("https://otsuka-europe-crm.veevavault.com/ui/#object/sent_email__v/VBL00000002N118", "SE-001431036")</f>
        <v>SE-001431036</v>
      </c>
      <c r="F340" s="11"/>
      <c r="G340" s="12">
        <v>0</v>
      </c>
      <c r="H340" s="12">
        <v>0</v>
      </c>
      <c r="I340" s="12">
        <v>0</v>
      </c>
      <c r="J340" s="11"/>
      <c r="K340" s="12">
        <v>0</v>
      </c>
      <c r="L340" s="10" t="str">
        <f>HYPERLINK("https://otsuka-europe-crm.veevavault.com/ui/#object/approved_document__v/V5O00000001H022", "LUP - VAE invitación simposio SEN-SER - Nefro")</f>
        <v>LUP - VAE invitación simposio SEN-SER - Nefro</v>
      </c>
      <c r="M340" s="10" t="str">
        <f>HYPERLINK("mailto:ccoll@crm.otsuka-europe.com", "ccoll@crm.otsuka-europe.com")</f>
        <v>ccoll@crm.otsuka-europe.com</v>
      </c>
      <c r="N340" s="13">
        <v>46174.626388888886</v>
      </c>
      <c r="O340" s="14" t="str">
        <f>HYPERLINK("https://otsuka-europe-crm.veevavault.com/ui/#object/email_activity__v/V8C00000003K386", "EN-002086436")</f>
        <v>EN-002086436</v>
      </c>
    </row>
    <row r="341" spans="1:15" ht="16" x14ac:dyDescent="0.2">
      <c r="A341" s="17" t="str">
        <f>HYPERLINK("https://otsuka-europe-crm.veevavault.com/ui/#object/account__v/V4TZ06G6O71TB31", "VICTOR MARTINEZ JIMENEZ")</f>
        <v>VICTOR MARTINEZ JIMENEZ</v>
      </c>
      <c r="B341" s="17" t="str">
        <f>HYPERLINK("https://otsuka-europe-crm.veevavault.com/ui/#object/vcountry__v/VENZ000004SONF5", "ES")</f>
        <v>ES</v>
      </c>
      <c r="C341" s="20" t="s">
        <v>41</v>
      </c>
      <c r="D341" s="21" t="str">
        <f>HYPERLINK("https://otsuka-europe-crm.veevavault.com/ui/#object/approved_document__v/V5O00000001H022", "LUP - VAE invitación simposio SEN-SER - Nefro")</f>
        <v>LUP - VAE invitación simposio SEN-SER - Nefro</v>
      </c>
      <c r="E341" s="22" t="str">
        <f>HYPERLINK("https://otsuka-europe-crm.veevavault.com/ui/#object/sent_email__v/VBL00000002N119", "SE-001431037")</f>
        <v>SE-001431037</v>
      </c>
      <c r="F341" s="25"/>
      <c r="G341" s="24">
        <v>0</v>
      </c>
      <c r="H341" s="24">
        <v>0</v>
      </c>
      <c r="I341" s="24">
        <v>0</v>
      </c>
      <c r="J341" s="25"/>
      <c r="K341" s="24">
        <v>0</v>
      </c>
      <c r="L341" s="22" t="str">
        <f>HYPERLINK("https://otsuka-europe-crm.veevavault.com/ui/#object/approved_document__v/V5O00000001H022", "LUP - VAE invitación simposio SEN-SER - Nefro")</f>
        <v>LUP - VAE invitación simposio SEN-SER - Nefro</v>
      </c>
      <c r="M341" s="22" t="str">
        <f>HYPERLINK("mailto:ccoll@crm.otsuka-europe.com", "ccoll@crm.otsuka-europe.com")</f>
        <v>ccoll@crm.otsuka-europe.com</v>
      </c>
      <c r="N341" s="23">
        <v>46174.626469907409</v>
      </c>
      <c r="O341" s="14" t="str">
        <f>HYPERLINK("https://otsuka-europe-crm.veevavault.com/ui/#object/email_activity__v/V8C00000003K347", "EN-002086397")</f>
        <v>EN-002086397</v>
      </c>
    </row>
    <row r="342" spans="1:15" ht="16" x14ac:dyDescent="0.2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4" t="str">
        <f>HYPERLINK("https://otsuka-europe-crm.veevavault.com/ui/#object/email_activity__v/V8C00000003P045", "EN-002089329")</f>
        <v>EN-002089329</v>
      </c>
    </row>
    <row r="343" spans="1:15" ht="32" x14ac:dyDescent="0.2">
      <c r="A343" s="7" t="str">
        <f>HYPERLINK("https://otsuka-europe-crm.veevavault.com/ui/#object/account__v/V4TZ06G6O9623GB", "JIMENA DEL RISCO ZEVALLOS")</f>
        <v>JIMENA DEL RISCO ZEVALLOS</v>
      </c>
      <c r="B343" s="7" t="str">
        <f>HYPERLINK("https://otsuka-europe-crm.veevavault.com/ui/#object/vcountry__v/VENZ000004SONF5", "ES")</f>
        <v>ES</v>
      </c>
      <c r="C343" s="8" t="s">
        <v>41</v>
      </c>
      <c r="D343" s="9" t="str">
        <f>HYPERLINK("https://otsuka-europe-crm.veevavault.com/ui/#object/approved_document__v/V5O00000001H022", "LUP - VAE invitación simposio SEN-SER - Nefro")</f>
        <v>LUP - VAE invitación simposio SEN-SER - Nefro</v>
      </c>
      <c r="E343" s="10" t="str">
        <f>HYPERLINK("https://otsuka-europe-crm.veevavault.com/ui/#object/sent_email__v/VBL00000002N120", "SE-001431038")</f>
        <v>SE-001431038</v>
      </c>
      <c r="F343" s="11"/>
      <c r="G343" s="12">
        <v>0</v>
      </c>
      <c r="H343" s="12">
        <v>0</v>
      </c>
      <c r="I343" s="12">
        <v>0</v>
      </c>
      <c r="J343" s="11"/>
      <c r="K343" s="12">
        <v>0</v>
      </c>
      <c r="L343" s="10" t="str">
        <f>HYPERLINK("https://otsuka-europe-crm.veevavault.com/ui/#object/approved_document__v/V5O00000001H022", "LUP - VAE invitación simposio SEN-SER - Nefro")</f>
        <v>LUP - VAE invitación simposio SEN-SER - Nefro</v>
      </c>
      <c r="M343" s="10" t="str">
        <f>HYPERLINK("mailto:ccoll@crm.otsuka-europe.com", "ccoll@crm.otsuka-europe.com")</f>
        <v>ccoll@crm.otsuka-europe.com</v>
      </c>
      <c r="N343" s="13">
        <v>46174.626446759263</v>
      </c>
      <c r="O343" s="14" t="str">
        <f>HYPERLINK("https://otsuka-europe-crm.veevavault.com/ui/#object/email_activity__v/V8C00000003K358", "EN-002086408")</f>
        <v>EN-002086408</v>
      </c>
    </row>
    <row r="344" spans="1:15" ht="16" x14ac:dyDescent="0.2">
      <c r="A344" s="17" t="str">
        <f>HYPERLINK("https://otsuka-europe-crm.veevavault.com/ui/#object/account__v/V4TZ04ASGGHVBE2", "JUAN JOSE SANCHEZ CANEL")</f>
        <v>JUAN JOSE SANCHEZ CANEL</v>
      </c>
      <c r="B344" s="17" t="str">
        <f>HYPERLINK("https://otsuka-europe-crm.veevavault.com/ui/#object/vcountry__v/VENZ000004SONF5", "ES")</f>
        <v>ES</v>
      </c>
      <c r="C344" s="20" t="s">
        <v>41</v>
      </c>
      <c r="D344" s="21" t="str">
        <f>HYPERLINK("https://otsuka-europe-crm.veevavault.com/ui/#object/approved_document__v/V5O00000001H022", "LUP - VAE invitación simposio SEN-SER - Nefro")</f>
        <v>LUP - VAE invitación simposio SEN-SER - Nefro</v>
      </c>
      <c r="E344" s="22" t="str">
        <f>HYPERLINK("https://otsuka-europe-crm.veevavault.com/ui/#object/sent_email__v/VBL00000002N121", "SE-001431039")</f>
        <v>SE-001431039</v>
      </c>
      <c r="F344" s="25"/>
      <c r="G344" s="24">
        <v>0</v>
      </c>
      <c r="H344" s="24">
        <v>0</v>
      </c>
      <c r="I344" s="24">
        <v>0</v>
      </c>
      <c r="J344" s="25"/>
      <c r="K344" s="24">
        <v>0</v>
      </c>
      <c r="L344" s="22" t="str">
        <f>HYPERLINK("https://otsuka-europe-crm.veevavault.com/ui/#object/approved_document__v/V5O00000001H022", "LUP - VAE invitación simposio SEN-SER - Nefro")</f>
        <v>LUP - VAE invitación simposio SEN-SER - Nefro</v>
      </c>
      <c r="M344" s="22" t="str">
        <f>HYPERLINK("mailto:ccoll@crm.otsuka-europe.com", "ccoll@crm.otsuka-europe.com")</f>
        <v>ccoll@crm.otsuka-europe.com</v>
      </c>
      <c r="N344" s="23">
        <v>46174.626354166663</v>
      </c>
      <c r="O344" s="14" t="str">
        <f>HYPERLINK("https://otsuka-europe-crm.veevavault.com/ui/#object/email_activity__v/V8C00000003K291", "EN-002086341")</f>
        <v>EN-002086341</v>
      </c>
    </row>
    <row r="345" spans="1:15" ht="16" x14ac:dyDescent="0.2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4" t="str">
        <f>HYPERLINK("https://otsuka-europe-crm.veevavault.com/ui/#object/email_activity__v/V8C00000003K590", "EN-002086802")</f>
        <v>EN-002086802</v>
      </c>
    </row>
    <row r="346" spans="1:15" ht="32" x14ac:dyDescent="0.2">
      <c r="A346" s="7" t="str">
        <f>HYPERLINK("https://otsuka-europe-crm.veevavault.com/ui/#object/account__v/V4TZ025E82SCT5H", "JUAN PABLO MORET CHIAPPE")</f>
        <v>JUAN PABLO MORET CHIAPPE</v>
      </c>
      <c r="B346" s="7" t="str">
        <f>HYPERLINK("https://otsuka-europe-crm.veevavault.com/ui/#object/vcountry__v/VENZ000004SONF5", "ES")</f>
        <v>ES</v>
      </c>
      <c r="C346" s="8" t="s">
        <v>41</v>
      </c>
      <c r="D346" s="9" t="str">
        <f>HYPERLINK("https://otsuka-europe-crm.veevavault.com/ui/#object/approved_document__v/V5O00000001H022", "LUP - VAE invitación simposio SEN-SER - Nefro")</f>
        <v>LUP - VAE invitación simposio SEN-SER - Nefro</v>
      </c>
      <c r="E346" s="10" t="str">
        <f>HYPERLINK("https://otsuka-europe-crm.veevavault.com/ui/#object/sent_email__v/VBL00000002N122", "SE-001431040")</f>
        <v>SE-001431040</v>
      </c>
      <c r="F346" s="11"/>
      <c r="G346" s="12">
        <v>0</v>
      </c>
      <c r="H346" s="12">
        <v>0</v>
      </c>
      <c r="I346" s="12">
        <v>0</v>
      </c>
      <c r="J346" s="11"/>
      <c r="K346" s="12">
        <v>0</v>
      </c>
      <c r="L346" s="10" t="str">
        <f>HYPERLINK("https://otsuka-europe-crm.veevavault.com/ui/#object/approved_document__v/V5O00000001H022", "LUP - VAE invitación simposio SEN-SER - Nefro")</f>
        <v>LUP - VAE invitación simposio SEN-SER - Nefro</v>
      </c>
      <c r="M346" s="10" t="str">
        <f>HYPERLINK("mailto:ccoll@crm.otsuka-europe.com", "ccoll@crm.otsuka-europe.com")</f>
        <v>ccoll@crm.otsuka-europe.com</v>
      </c>
      <c r="N346" s="13">
        <v>46174.626354166663</v>
      </c>
      <c r="O346" s="14" t="str">
        <f>HYPERLINK("https://otsuka-europe-crm.veevavault.com/ui/#object/email_activity__v/V8C00000003K290", "EN-002086340")</f>
        <v>EN-002086340</v>
      </c>
    </row>
    <row r="347" spans="1:15" ht="16" x14ac:dyDescent="0.2">
      <c r="A347" s="17" t="str">
        <f>HYPERLINK("https://otsuka-europe-crm.veevavault.com/ui/#object/account__v/V4TZ04ASGAGAHOY", "HUGO VERGARA PEREZ")</f>
        <v>HUGO VERGARA PEREZ</v>
      </c>
      <c r="B347" s="17" t="str">
        <f>HYPERLINK("https://otsuka-europe-crm.veevavault.com/ui/#object/vcountry__v/VENZ000004SONF5", "ES")</f>
        <v>ES</v>
      </c>
      <c r="C347" s="20" t="s">
        <v>41</v>
      </c>
      <c r="D347" s="21" t="str">
        <f>HYPERLINK("https://otsuka-europe-crm.veevavault.com/ui/#object/approved_document__v/V5O00000001H022", "LUP - VAE invitación simposio SEN-SER - Nefro")</f>
        <v>LUP - VAE invitación simposio SEN-SER - Nefro</v>
      </c>
      <c r="E347" s="22" t="str">
        <f>HYPERLINK("https://otsuka-europe-crm.veevavault.com/ui/#object/sent_email__v/VBL00000002N123", "SE-001431041")</f>
        <v>SE-001431041</v>
      </c>
      <c r="F347" s="25"/>
      <c r="G347" s="24">
        <v>0</v>
      </c>
      <c r="H347" s="24">
        <v>0</v>
      </c>
      <c r="I347" s="24">
        <v>0</v>
      </c>
      <c r="J347" s="25"/>
      <c r="K347" s="24">
        <v>0</v>
      </c>
      <c r="L347" s="22" t="str">
        <f>HYPERLINK("https://otsuka-europe-crm.veevavault.com/ui/#object/approved_document__v/V5O00000001H022", "LUP - VAE invitación simposio SEN-SER - Nefro")</f>
        <v>LUP - VAE invitación simposio SEN-SER - Nefro</v>
      </c>
      <c r="M347" s="22" t="str">
        <f>HYPERLINK("mailto:ccoll@crm.otsuka-europe.com", "ccoll@crm.otsuka-europe.com")</f>
        <v>ccoll@crm.otsuka-europe.com</v>
      </c>
      <c r="N347" s="23">
        <v>46174.626446759263</v>
      </c>
      <c r="O347" s="14" t="str">
        <f>HYPERLINK("https://otsuka-europe-crm.veevavault.com/ui/#object/email_activity__v/V8C00000003K328", "EN-002086378")</f>
        <v>EN-002086378</v>
      </c>
    </row>
    <row r="348" spans="1:15" ht="16" x14ac:dyDescent="0.2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4" t="str">
        <f>HYPERLINK("https://otsuka-europe-crm.veevavault.com/ui/#object/email_activity__v/V8C00000003L245", "EN-002086707")</f>
        <v>EN-002086707</v>
      </c>
    </row>
    <row r="349" spans="1:15" ht="16" x14ac:dyDescent="0.2">
      <c r="A349" s="17" t="str">
        <f>HYPERLINK("https://otsuka-europe-crm.veevavault.com/ui/#object/account__v/V4TZ06G6O71TBY3", "AMPARO RODA SAFONT")</f>
        <v>AMPARO RODA SAFONT</v>
      </c>
      <c r="B349" s="17" t="str">
        <f>HYPERLINK("https://otsuka-europe-crm.veevavault.com/ui/#object/vcountry__v/VENZ000004SONF5", "ES")</f>
        <v>ES</v>
      </c>
      <c r="C349" s="20" t="s">
        <v>41</v>
      </c>
      <c r="D349" s="21" t="str">
        <f>HYPERLINK("https://otsuka-europe-crm.veevavault.com/ui/#object/approved_document__v/V5O00000001H022", "LUP - VAE invitación simposio SEN-SER - Nefro")</f>
        <v>LUP - VAE invitación simposio SEN-SER - Nefro</v>
      </c>
      <c r="E349" s="22" t="str">
        <f>HYPERLINK("https://otsuka-europe-crm.veevavault.com/ui/#object/sent_email__v/VBL00000002N124", "SE-001431042")</f>
        <v>SE-001431042</v>
      </c>
      <c r="F349" s="23">
        <v>46174.98877314815</v>
      </c>
      <c r="G349" s="24">
        <v>1</v>
      </c>
      <c r="H349" s="24">
        <v>2</v>
      </c>
      <c r="I349" s="24">
        <v>1</v>
      </c>
      <c r="J349" s="23">
        <v>46174.698969907404</v>
      </c>
      <c r="K349" s="24">
        <v>1</v>
      </c>
      <c r="L349" s="22" t="str">
        <f>HYPERLINK("https://otsuka-europe-crm.veevavault.com/ui/#object/approved_document__v/V5O00000001H022", "LUP - VAE invitación simposio SEN-SER - Nefro")</f>
        <v>LUP - VAE invitación simposio SEN-SER - Nefro</v>
      </c>
      <c r="M349" s="22" t="str">
        <f>HYPERLINK("mailto:ccoll@crm.otsuka-europe.com", "ccoll@crm.otsuka-europe.com")</f>
        <v>ccoll@crm.otsuka-europe.com</v>
      </c>
      <c r="N349" s="23">
        <v>46174.626446759263</v>
      </c>
      <c r="O349" s="14" t="str">
        <f>HYPERLINK("https://otsuka-europe-crm.veevavault.com/ui/#object/email_activity__v/V8C00000003K365", "EN-002086415")</f>
        <v>EN-002086415</v>
      </c>
    </row>
    <row r="350" spans="1:15" ht="16" x14ac:dyDescent="0.2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4" t="str">
        <f>HYPERLINK("https://otsuka-europe-crm.veevavault.com/ui/#object/email_activity__v/V8C00000003K538", "EN-002086681")</f>
        <v>EN-002086681</v>
      </c>
    </row>
    <row r="351" spans="1:15" ht="16" x14ac:dyDescent="0.2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4" t="str">
        <f>HYPERLINK("https://otsuka-europe-crm.veevavault.com/ui/#object/email_activity__v/V8C00000003L232", "EN-002086680")</f>
        <v>EN-002086680</v>
      </c>
    </row>
    <row r="352" spans="1:15" ht="16" x14ac:dyDescent="0.2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4" t="str">
        <f>HYPERLINK("https://otsuka-europe-crm.veevavault.com/ui/#object/email_activity__v/V8C00000003L236", "EN-002086696")</f>
        <v>EN-002086696</v>
      </c>
    </row>
    <row r="353" spans="1:15" ht="16" x14ac:dyDescent="0.2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4" t="str">
        <f>HYPERLINK("https://otsuka-europe-crm.veevavault.com/ui/#object/email_activity__v/V8C00000003L319", "EN-002086835")</f>
        <v>EN-002086835</v>
      </c>
    </row>
    <row r="354" spans="1:15" ht="32" x14ac:dyDescent="0.2">
      <c r="A354" s="7" t="str">
        <f>HYPERLINK("https://otsuka-europe-crm.veevavault.com/ui/#object/account__v/V4TZ06G6O7W4ZMZ", "CASSANDRA PUIG HOOPER")</f>
        <v>CASSANDRA PUIG HOOPER</v>
      </c>
      <c r="B354" s="7" t="str">
        <f>HYPERLINK("https://otsuka-europe-crm.veevavault.com/ui/#object/vcountry__v/VENZ000004SONF5", "ES")</f>
        <v>ES</v>
      </c>
      <c r="C354" s="8" t="s">
        <v>41</v>
      </c>
      <c r="D354" s="9" t="str">
        <f>HYPERLINK("https://otsuka-europe-crm.veevavault.com/ui/#object/approved_document__v/V5O00000001H022", "LUP - VAE invitación simposio SEN-SER - Nefro")</f>
        <v>LUP - VAE invitación simposio SEN-SER - Nefro</v>
      </c>
      <c r="E354" s="10" t="str">
        <f>HYPERLINK("https://otsuka-europe-crm.veevavault.com/ui/#object/sent_email__v/VBL00000002N125", "SE-001431043")</f>
        <v>SE-001431043</v>
      </c>
      <c r="F354" s="11"/>
      <c r="G354" s="12">
        <v>0</v>
      </c>
      <c r="H354" s="12">
        <v>0</v>
      </c>
      <c r="I354" s="12">
        <v>0</v>
      </c>
      <c r="J354" s="11"/>
      <c r="K354" s="12">
        <v>0</v>
      </c>
      <c r="L354" s="10" t="str">
        <f>HYPERLINK("https://otsuka-europe-crm.veevavault.com/ui/#object/approved_document__v/V5O00000001H022", "LUP - VAE invitación simposio SEN-SER - Nefro")</f>
        <v>LUP - VAE invitación simposio SEN-SER - Nefro</v>
      </c>
      <c r="M354" s="10" t="str">
        <f>HYPERLINK("mailto:ccoll@crm.otsuka-europe.com", "ccoll@crm.otsuka-europe.com")</f>
        <v>ccoll@crm.otsuka-europe.com</v>
      </c>
      <c r="N354" s="13">
        <v>46174.626354166663</v>
      </c>
      <c r="O354" s="14" t="str">
        <f>HYPERLINK("https://otsuka-europe-crm.veevavault.com/ui/#object/email_activity__v/V8C00000003K294", "EN-002086344")</f>
        <v>EN-002086344</v>
      </c>
    </row>
    <row r="355" spans="1:15" ht="32" x14ac:dyDescent="0.2">
      <c r="A355" s="7" t="str">
        <f>HYPERLINK("https://otsuka-europe-crm.veevavault.com/ui/#object/account__v/V4TZ04ASGB4NJ3Q", "ANA CECILIA FARFAN RUIZ")</f>
        <v>ANA CECILIA FARFAN RUIZ</v>
      </c>
      <c r="B355" s="7" t="str">
        <f>HYPERLINK("https://otsuka-europe-crm.veevavault.com/ui/#object/vcountry__v/VENZ000004SONF5", "ES")</f>
        <v>ES</v>
      </c>
      <c r="C355" s="8" t="s">
        <v>41</v>
      </c>
      <c r="D355" s="9" t="str">
        <f>HYPERLINK("https://otsuka-europe-crm.veevavault.com/ui/#object/approved_document__v/V5O00000001H022", "LUP - VAE invitación simposio SEN-SER - Nefro")</f>
        <v>LUP - VAE invitación simposio SEN-SER - Nefro</v>
      </c>
      <c r="E355" s="10" t="str">
        <f>HYPERLINK("https://otsuka-europe-crm.veevavault.com/ui/#object/sent_email__v/VBL00000002N126", "SE-001431044")</f>
        <v>SE-001431044</v>
      </c>
      <c r="F355" s="11"/>
      <c r="G355" s="12">
        <v>0</v>
      </c>
      <c r="H355" s="12">
        <v>0</v>
      </c>
      <c r="I355" s="12">
        <v>0</v>
      </c>
      <c r="J355" s="11"/>
      <c r="K355" s="12">
        <v>0</v>
      </c>
      <c r="L355" s="10" t="str">
        <f>HYPERLINK("https://otsuka-europe-crm.veevavault.com/ui/#object/approved_document__v/V5O00000001H022", "LUP - VAE invitación simposio SEN-SER - Nefro")</f>
        <v>LUP - VAE invitación simposio SEN-SER - Nefro</v>
      </c>
      <c r="M355" s="10" t="str">
        <f>HYPERLINK("mailto:ccoll@crm.otsuka-europe.com", "ccoll@crm.otsuka-europe.com")</f>
        <v>ccoll@crm.otsuka-europe.com</v>
      </c>
      <c r="N355" s="13">
        <v>46174.626354166663</v>
      </c>
      <c r="O355" s="14" t="str">
        <f>HYPERLINK("https://otsuka-europe-crm.veevavault.com/ui/#object/email_activity__v/V8C00000003K376", "EN-002086426")</f>
        <v>EN-002086426</v>
      </c>
    </row>
    <row r="356" spans="1:15" ht="32" x14ac:dyDescent="0.2">
      <c r="A356" s="7" t="str">
        <f>HYPERLINK("https://otsuka-europe-crm.veevavault.com/ui/#object/account__v/V4TZ06G6O71WX8J", "MARTA ARTAMENDI LARRAÑAGA")</f>
        <v>MARTA ARTAMENDI LARRAÑAGA</v>
      </c>
      <c r="B356" s="7" t="str">
        <f>HYPERLINK("https://otsuka-europe-crm.veevavault.com/ui/#object/vcountry__v/VENZ000004SONF5", "ES")</f>
        <v>ES</v>
      </c>
      <c r="C356" s="8" t="s">
        <v>41</v>
      </c>
      <c r="D356" s="9" t="str">
        <f>HYPERLINK("https://otsuka-europe-crm.veevavault.com/ui/#object/approved_document__v/V5O00000001H022", "LUP - VAE invitación simposio SEN-SER - Nefro")</f>
        <v>LUP - VAE invitación simposio SEN-SER - Nefro</v>
      </c>
      <c r="E356" s="10" t="str">
        <f>HYPERLINK("https://otsuka-europe-crm.veevavault.com/ui/#object/sent_email__v/VBL00000002N127", "SE-001431045")</f>
        <v>SE-001431045</v>
      </c>
      <c r="F356" s="11"/>
      <c r="G356" s="12">
        <v>0</v>
      </c>
      <c r="H356" s="12">
        <v>0</v>
      </c>
      <c r="I356" s="12">
        <v>0</v>
      </c>
      <c r="J356" s="11"/>
      <c r="K356" s="12">
        <v>0</v>
      </c>
      <c r="L356" s="10" t="str">
        <f>HYPERLINK("https://otsuka-europe-crm.veevavault.com/ui/#object/approved_document__v/V5O00000001H022", "LUP - VAE invitación simposio SEN-SER - Nefro")</f>
        <v>LUP - VAE invitación simposio SEN-SER - Nefro</v>
      </c>
      <c r="M356" s="10" t="str">
        <f>HYPERLINK("mailto:ccoll@crm.otsuka-europe.com", "ccoll@crm.otsuka-europe.com")</f>
        <v>ccoll@crm.otsuka-europe.com</v>
      </c>
      <c r="N356" s="13">
        <v>46174.626354166663</v>
      </c>
      <c r="O356" s="14" t="str">
        <f>HYPERLINK("https://otsuka-europe-crm.veevavault.com/ui/#object/email_activity__v/V8C00000003K387", "EN-002086437")</f>
        <v>EN-002086437</v>
      </c>
    </row>
    <row r="357" spans="1:15" ht="16" x14ac:dyDescent="0.2">
      <c r="A357" s="17" t="str">
        <f>HYPERLINK("https://otsuka-europe-crm.veevavault.com/ui/#object/account__v/V4TZ06G6O71TCF3", "MARIA MILAGROS SIERRA CARPIO")</f>
        <v>MARIA MILAGROS SIERRA CARPIO</v>
      </c>
      <c r="B357" s="17" t="str">
        <f>HYPERLINK("https://otsuka-europe-crm.veevavault.com/ui/#object/vcountry__v/VENZ000004SONF5", "ES")</f>
        <v>ES</v>
      </c>
      <c r="C357" s="20" t="s">
        <v>41</v>
      </c>
      <c r="D357" s="21" t="str">
        <f>HYPERLINK("https://otsuka-europe-crm.veevavault.com/ui/#object/approved_document__v/V5O00000001H022", "LUP - VAE invitación simposio SEN-SER - Nefro")</f>
        <v>LUP - VAE invitación simposio SEN-SER - Nefro</v>
      </c>
      <c r="E357" s="22" t="str">
        <f>HYPERLINK("https://otsuka-europe-crm.veevavault.com/ui/#object/sent_email__v/VBL00000002N128", "SE-001431046")</f>
        <v>SE-001431046</v>
      </c>
      <c r="F357" s="23">
        <v>46174.684386574074</v>
      </c>
      <c r="G357" s="24">
        <v>1</v>
      </c>
      <c r="H357" s="24">
        <v>1</v>
      </c>
      <c r="I357" s="24">
        <v>1</v>
      </c>
      <c r="J357" s="23">
        <v>46177.554178240738</v>
      </c>
      <c r="K357" s="24">
        <v>2</v>
      </c>
      <c r="L357" s="22" t="str">
        <f>HYPERLINK("https://otsuka-europe-crm.veevavault.com/ui/#object/approved_document__v/V5O00000001H022", "LUP - VAE invitación simposio SEN-SER - Nefro")</f>
        <v>LUP - VAE invitación simposio SEN-SER - Nefro</v>
      </c>
      <c r="M357" s="22" t="str">
        <f>HYPERLINK("mailto:ccoll@crm.otsuka-europe.com", "ccoll@crm.otsuka-europe.com")</f>
        <v>ccoll@crm.otsuka-europe.com</v>
      </c>
      <c r="N357" s="23">
        <v>46174.626354166663</v>
      </c>
      <c r="O357" s="14" t="str">
        <f>HYPERLINK("https://otsuka-europe-crm.veevavault.com/ui/#object/email_activity__v/V8C00000003K388", "EN-002086438")</f>
        <v>EN-002086438</v>
      </c>
    </row>
    <row r="358" spans="1:15" ht="16" x14ac:dyDescent="0.2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4" t="str">
        <f>HYPERLINK("https://otsuka-europe-crm.veevavault.com/ui/#object/email_activity__v/V8C00000003K524", "EN-002086659")</f>
        <v>EN-002086659</v>
      </c>
    </row>
    <row r="359" spans="1:15" ht="16" x14ac:dyDescent="0.2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4" t="str">
        <f>HYPERLINK("https://otsuka-europe-crm.veevavault.com/ui/#object/email_activity__v/V8C00000003K525", "EN-002086658")</f>
        <v>EN-002086658</v>
      </c>
    </row>
    <row r="360" spans="1:15" ht="16" x14ac:dyDescent="0.2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4" t="str">
        <f>HYPERLINK("https://otsuka-europe-crm.veevavault.com/ui/#object/email_activity__v/V8C00000003K527", "EN-002086664")</f>
        <v>EN-002086664</v>
      </c>
    </row>
    <row r="361" spans="1:15" ht="16" x14ac:dyDescent="0.2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4" t="str">
        <f>HYPERLINK("https://otsuka-europe-crm.veevavault.com/ui/#object/email_activity__v/V8C00000003L238", "EN-002086698")</f>
        <v>EN-002086698</v>
      </c>
    </row>
    <row r="362" spans="1:15" ht="16" x14ac:dyDescent="0.2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4" t="str">
        <f>HYPERLINK("https://otsuka-europe-crm.veevavault.com/ui/#object/email_activity__v/V8C00000003M552", "EN-002089125")</f>
        <v>EN-002089125</v>
      </c>
    </row>
    <row r="363" spans="1:15" ht="16" x14ac:dyDescent="0.2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4" t="str">
        <f>HYPERLINK("https://otsuka-europe-crm.veevavault.com/ui/#object/email_activity__v/V8C00000003N660", "EN-002089102")</f>
        <v>EN-002089102</v>
      </c>
    </row>
    <row r="364" spans="1:15" ht="16" x14ac:dyDescent="0.2">
      <c r="A364" s="17" t="str">
        <f>HYPERLINK("https://otsuka-europe-crm.veevavault.com/ui/#object/account__v/V4TZ06G6O71TC7U", "MARIA DOLORES SANCHEZ DE LA NIETA GARCIA")</f>
        <v>MARIA DOLORES SANCHEZ DE LA NIETA GARCIA</v>
      </c>
      <c r="B364" s="17" t="str">
        <f>HYPERLINK("https://otsuka-europe-crm.veevavault.com/ui/#object/vcountry__v/VENZ000004SONF5", "ES")</f>
        <v>ES</v>
      </c>
      <c r="C364" s="20" t="s">
        <v>41</v>
      </c>
      <c r="D364" s="21" t="str">
        <f>HYPERLINK("https://otsuka-europe-crm.veevavault.com/ui/#object/approved_document__v/V5O00000001H022", "LUP - VAE invitación simposio SEN-SER - Nefro")</f>
        <v>LUP - VAE invitación simposio SEN-SER - Nefro</v>
      </c>
      <c r="E364" s="22" t="str">
        <f>HYPERLINK("https://otsuka-europe-crm.veevavault.com/ui/#object/sent_email__v/VBL00000002N129", "SE-001431047")</f>
        <v>SE-001431047</v>
      </c>
      <c r="F364" s="25"/>
      <c r="G364" s="24">
        <v>0</v>
      </c>
      <c r="H364" s="24">
        <v>0</v>
      </c>
      <c r="I364" s="24">
        <v>0</v>
      </c>
      <c r="J364" s="25"/>
      <c r="K364" s="24">
        <v>0</v>
      </c>
      <c r="L364" s="22" t="str">
        <f>HYPERLINK("https://otsuka-europe-crm.veevavault.com/ui/#object/approved_document__v/V5O00000001H022", "LUP - VAE invitación simposio SEN-SER - Nefro")</f>
        <v>LUP - VAE invitación simposio SEN-SER - Nefro</v>
      </c>
      <c r="M364" s="22" t="str">
        <f>HYPERLINK("mailto:ccoll@crm.otsuka-europe.com", "ccoll@crm.otsuka-europe.com")</f>
        <v>ccoll@crm.otsuka-europe.com</v>
      </c>
      <c r="N364" s="23">
        <v>46174.626446759263</v>
      </c>
      <c r="O364" s="14" t="str">
        <f>HYPERLINK("https://otsuka-europe-crm.veevavault.com/ui/#object/email_activity__v/V8C00000003K326", "EN-002086376")</f>
        <v>EN-002086376</v>
      </c>
    </row>
    <row r="365" spans="1:15" ht="16" x14ac:dyDescent="0.2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4" t="str">
        <f>HYPERLINK("https://otsuka-europe-crm.veevavault.com/ui/#object/email_activity__v/V8C00000003M260", "EN-002088488")</f>
        <v>EN-002088488</v>
      </c>
    </row>
    <row r="366" spans="1:15" ht="32" x14ac:dyDescent="0.2">
      <c r="A366" s="7" t="str">
        <f>HYPERLINK("https://otsuka-europe-crm.veevavault.com/ui/#object/account__v/V4TZ06G6O71TBOA", "MARIA CARMEN PRADOS SOLER")</f>
        <v>MARIA CARMEN PRADOS SOLER</v>
      </c>
      <c r="B366" s="7" t="str">
        <f>HYPERLINK("https://otsuka-europe-crm.veevavault.com/ui/#object/vcountry__v/VENZ000004SONF5", "ES")</f>
        <v>ES</v>
      </c>
      <c r="C366" s="8" t="s">
        <v>41</v>
      </c>
      <c r="D366" s="9" t="str">
        <f>HYPERLINK("https://otsuka-europe-crm.veevavault.com/ui/#object/approved_document__v/V5O00000001H022", "LUP - VAE invitación simposio SEN-SER - Nefro")</f>
        <v>LUP - VAE invitación simposio SEN-SER - Nefro</v>
      </c>
      <c r="E366" s="10" t="str">
        <f>HYPERLINK("https://otsuka-europe-crm.veevavault.com/ui/#object/sent_email__v/VBL00000002N130", "SE-001431048")</f>
        <v>SE-001431048</v>
      </c>
      <c r="F366" s="11"/>
      <c r="G366" s="12">
        <v>0</v>
      </c>
      <c r="H366" s="12">
        <v>0</v>
      </c>
      <c r="I366" s="12">
        <v>0</v>
      </c>
      <c r="J366" s="11"/>
      <c r="K366" s="12">
        <v>0</v>
      </c>
      <c r="L366" s="10" t="str">
        <f>HYPERLINK("https://otsuka-europe-crm.veevavault.com/ui/#object/approved_document__v/V5O00000001H022", "LUP - VAE invitación simposio SEN-SER - Nefro")</f>
        <v>LUP - VAE invitación simposio SEN-SER - Nefro</v>
      </c>
      <c r="M366" s="10" t="str">
        <f>HYPERLINK("mailto:ccoll@crm.otsuka-europe.com", "ccoll@crm.otsuka-europe.com")</f>
        <v>ccoll@crm.otsuka-europe.com</v>
      </c>
      <c r="N366" s="13">
        <v>46174.626446759263</v>
      </c>
      <c r="O366" s="14" t="str">
        <f>HYPERLINK("https://otsuka-europe-crm.veevavault.com/ui/#object/email_activity__v/V8C00000003K359", "EN-002086409")</f>
        <v>EN-002086409</v>
      </c>
    </row>
    <row r="367" spans="1:15" ht="32" x14ac:dyDescent="0.2">
      <c r="A367" s="7" t="str">
        <f>HYPERLINK("https://otsuka-europe-crm.veevavault.com/ui/#object/account__v/V4TZ06G6O71T8VA", "NORMA LORENA CASTILLO ERASO")</f>
        <v>NORMA LORENA CASTILLO ERASO</v>
      </c>
      <c r="B367" s="7" t="str">
        <f>HYPERLINK("https://otsuka-europe-crm.veevavault.com/ui/#object/vcountry__v/VENZ000004SONF5", "ES")</f>
        <v>ES</v>
      </c>
      <c r="C367" s="8" t="s">
        <v>41</v>
      </c>
      <c r="D367" s="9" t="str">
        <f>HYPERLINK("https://otsuka-europe-crm.veevavault.com/ui/#object/approved_document__v/V5O00000001H022", "LUP - VAE invitación simposio SEN-SER - Nefro")</f>
        <v>LUP - VAE invitación simposio SEN-SER - Nefro</v>
      </c>
      <c r="E367" s="10" t="str">
        <f>HYPERLINK("https://otsuka-europe-crm.veevavault.com/ui/#object/sent_email__v/VBL00000002N131", "SE-001431049")</f>
        <v>SE-001431049</v>
      </c>
      <c r="F367" s="11"/>
      <c r="G367" s="12">
        <v>0</v>
      </c>
      <c r="H367" s="12">
        <v>0</v>
      </c>
      <c r="I367" s="12">
        <v>0</v>
      </c>
      <c r="J367" s="11"/>
      <c r="K367" s="12">
        <v>0</v>
      </c>
      <c r="L367" s="10" t="str">
        <f>HYPERLINK("https://otsuka-europe-crm.veevavault.com/ui/#object/approved_document__v/V5O00000001H022", "LUP - VAE invitación simposio SEN-SER - Nefro")</f>
        <v>LUP - VAE invitación simposio SEN-SER - Nefro</v>
      </c>
      <c r="M367" s="10" t="str">
        <f>HYPERLINK("mailto:ccoll@crm.otsuka-europe.com", "ccoll@crm.otsuka-europe.com")</f>
        <v>ccoll@crm.otsuka-europe.com</v>
      </c>
      <c r="N367" s="13">
        <v>46174.626354166663</v>
      </c>
      <c r="O367" s="14" t="str">
        <f>HYPERLINK("https://otsuka-europe-crm.veevavault.com/ui/#object/email_activity__v/V8C00000003K374", "EN-002086424")</f>
        <v>EN-002086424</v>
      </c>
    </row>
    <row r="368" spans="1:15" ht="16" x14ac:dyDescent="0.2">
      <c r="A368" s="17" t="str">
        <f>HYPERLINK("https://otsuka-europe-crm.veevavault.com/ui/#object/account__v/V4TZ025E87FYSFA", "JAVIER EDUARDO REQUE SANTIVAÑEZ")</f>
        <v>JAVIER EDUARDO REQUE SANTIVAÑEZ</v>
      </c>
      <c r="B368" s="17" t="str">
        <f>HYPERLINK("https://otsuka-europe-crm.veevavault.com/ui/#object/vcountry__v/VENZ000004SONF5", "ES")</f>
        <v>ES</v>
      </c>
      <c r="C368" s="20" t="s">
        <v>41</v>
      </c>
      <c r="D368" s="21" t="str">
        <f>HYPERLINK("https://otsuka-europe-crm.veevavault.com/ui/#object/approved_document__v/V5O00000001H022", "LUP - VAE invitación simposio SEN-SER - Nefro")</f>
        <v>LUP - VAE invitación simposio SEN-SER - Nefro</v>
      </c>
      <c r="E368" s="22" t="str">
        <f>HYPERLINK("https://otsuka-europe-crm.veevavault.com/ui/#object/sent_email__v/VBL00000002N132", "SE-001431050")</f>
        <v>SE-001431050</v>
      </c>
      <c r="F368" s="23">
        <v>46181.439976851849</v>
      </c>
      <c r="G368" s="24">
        <v>1</v>
      </c>
      <c r="H368" s="24">
        <v>6</v>
      </c>
      <c r="I368" s="24">
        <v>1</v>
      </c>
      <c r="J368" s="23">
        <v>46181.440162037034</v>
      </c>
      <c r="K368" s="24">
        <v>2</v>
      </c>
      <c r="L368" s="22" t="str">
        <f>HYPERLINK("https://otsuka-europe-crm.veevavault.com/ui/#object/approved_document__v/V5O00000001H022", "LUP - VAE invitación simposio SEN-SER - Nefro")</f>
        <v>LUP - VAE invitación simposio SEN-SER - Nefro</v>
      </c>
      <c r="M368" s="22" t="str">
        <f>HYPERLINK("mailto:ccoll@crm.otsuka-europe.com", "ccoll@crm.otsuka-europe.com")</f>
        <v>ccoll@crm.otsuka-europe.com</v>
      </c>
      <c r="N368" s="23">
        <v>46174.626446759263</v>
      </c>
      <c r="O368" s="14" t="str">
        <f>HYPERLINK("https://otsuka-europe-crm.veevavault.com/ui/#object/email_activity__v/V8C00000003K324", "EN-002086374")</f>
        <v>EN-002086374</v>
      </c>
    </row>
    <row r="369" spans="1:15" ht="16" x14ac:dyDescent="0.2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4" t="str">
        <f>HYPERLINK("https://otsuka-europe-crm.veevavault.com/ui/#object/email_activity__v/V8C00000003K541", "EN-002086686")</f>
        <v>EN-002086686</v>
      </c>
    </row>
    <row r="370" spans="1:15" ht="16" x14ac:dyDescent="0.2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4" t="str">
        <f>HYPERLINK("https://otsuka-europe-crm.veevavault.com/ui/#object/email_activity__v/V8C00000003K542", "EN-002086685")</f>
        <v>EN-002086685</v>
      </c>
    </row>
    <row r="371" spans="1:15" ht="16" x14ac:dyDescent="0.2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4" t="str">
        <f>HYPERLINK("https://otsuka-europe-crm.veevavault.com/ui/#object/email_activity__v/V8C00000003K543", "EN-002086687")</f>
        <v>EN-002086687</v>
      </c>
    </row>
    <row r="372" spans="1:15" ht="16" x14ac:dyDescent="0.2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4" t="str">
        <f>HYPERLINK("https://otsuka-europe-crm.veevavault.com/ui/#object/email_activity__v/V8C00000003K580", "EN-002086779")</f>
        <v>EN-002086779</v>
      </c>
    </row>
    <row r="373" spans="1:15" ht="16" x14ac:dyDescent="0.2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4" t="str">
        <f>HYPERLINK("https://otsuka-europe-crm.veevavault.com/ui/#object/email_activity__v/V8C00000003L243", "EN-002086703")</f>
        <v>EN-002086703</v>
      </c>
    </row>
    <row r="374" spans="1:15" ht="16" x14ac:dyDescent="0.2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4" t="str">
        <f>HYPERLINK("https://otsuka-europe-crm.veevavault.com/ui/#object/email_activity__v/V8C00000003L282", "EN-002086771")</f>
        <v>EN-002086771</v>
      </c>
    </row>
    <row r="375" spans="1:15" ht="16" x14ac:dyDescent="0.2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4" t="str">
        <f>HYPERLINK("https://otsuka-europe-crm.veevavault.com/ui/#object/email_activity__v/V8C00000003L288", "EN-002086778")</f>
        <v>EN-002086778</v>
      </c>
    </row>
    <row r="376" spans="1:15" ht="16" x14ac:dyDescent="0.2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4" t="str">
        <f>HYPERLINK("https://otsuka-europe-crm.veevavault.com/ui/#object/email_activity__v/V8C00000003Q505", "EN-002091823")</f>
        <v>EN-002091823</v>
      </c>
    </row>
    <row r="377" spans="1:15" ht="16" x14ac:dyDescent="0.2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4" t="str">
        <f>HYPERLINK("https://otsuka-europe-crm.veevavault.com/ui/#object/email_activity__v/V8C00000003Q541", "EN-002091886")</f>
        <v>EN-002091886</v>
      </c>
    </row>
    <row r="378" spans="1:15" ht="16" x14ac:dyDescent="0.2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4" t="str">
        <f>HYPERLINK("https://otsuka-europe-crm.veevavault.com/ui/#object/email_activity__v/V8C00000003R081", "EN-002091824")</f>
        <v>EN-002091824</v>
      </c>
    </row>
    <row r="379" spans="1:15" ht="32" x14ac:dyDescent="0.2">
      <c r="A379" s="7" t="str">
        <f>HYPERLINK("https://otsuka-europe-crm.veevavault.com/ui/#object/account__v/V4TZ06G6O71T8AF", "ANIURYS CALVO ESPINOLA")</f>
        <v>ANIURYS CALVO ESPINOLA</v>
      </c>
      <c r="B379" s="7" t="str">
        <f>HYPERLINK("https://otsuka-europe-crm.veevavault.com/ui/#object/vcountry__v/VENZ000004SONF5", "ES")</f>
        <v>ES</v>
      </c>
      <c r="C379" s="8" t="s">
        <v>41</v>
      </c>
      <c r="D379" s="9" t="str">
        <f>HYPERLINK("https://otsuka-europe-crm.veevavault.com/ui/#object/approved_document__v/V5O00000001H022", "LUP - VAE invitación simposio SEN-SER - Nefro")</f>
        <v>LUP - VAE invitación simposio SEN-SER - Nefro</v>
      </c>
      <c r="E379" s="10" t="str">
        <f>HYPERLINK("https://otsuka-europe-crm.veevavault.com/ui/#object/sent_email__v/VBL00000002N133", "SE-001431051")</f>
        <v>SE-001431051</v>
      </c>
      <c r="F379" s="11"/>
      <c r="G379" s="12">
        <v>0</v>
      </c>
      <c r="H379" s="12">
        <v>0</v>
      </c>
      <c r="I379" s="12">
        <v>0</v>
      </c>
      <c r="J379" s="11"/>
      <c r="K379" s="12">
        <v>0</v>
      </c>
      <c r="L379" s="10" t="str">
        <f>HYPERLINK("https://otsuka-europe-crm.veevavault.com/ui/#object/approved_document__v/V5O00000001H022", "LUP - VAE invitación simposio SEN-SER - Nefro")</f>
        <v>LUP - VAE invitación simposio SEN-SER - Nefro</v>
      </c>
      <c r="M379" s="10" t="str">
        <f>HYPERLINK("mailto:ccoll@crm.otsuka-europe.com", "ccoll@crm.otsuka-europe.com")</f>
        <v>ccoll@crm.otsuka-europe.com</v>
      </c>
      <c r="N379" s="13">
        <v>46174.626354166663</v>
      </c>
      <c r="O379" s="14" t="str">
        <f>HYPERLINK("https://otsuka-europe-crm.veevavault.com/ui/#object/email_activity__v/V8C00000003K276", "EN-002086326")</f>
        <v>EN-002086326</v>
      </c>
    </row>
    <row r="380" spans="1:15" ht="16" x14ac:dyDescent="0.2">
      <c r="A380" s="17" t="str">
        <f>HYPERLINK("https://otsuka-europe-crm.veevavault.com/ui/#object/account__v/V4TZ025E84TMJY6", "CHRISTIAN ISRAEL ALFARO SANCHEZ")</f>
        <v>CHRISTIAN ISRAEL ALFARO SANCHEZ</v>
      </c>
      <c r="B380" s="17" t="str">
        <f>HYPERLINK("https://otsuka-europe-crm.veevavault.com/ui/#object/vcountry__v/VENZ000004SONF5", "ES")</f>
        <v>ES</v>
      </c>
      <c r="C380" s="20" t="s">
        <v>41</v>
      </c>
      <c r="D380" s="21" t="str">
        <f>HYPERLINK("https://otsuka-europe-crm.veevavault.com/ui/#object/approved_document__v/V5O00000001H022", "LUP - VAE invitación simposio SEN-SER - Nefro")</f>
        <v>LUP - VAE invitación simposio SEN-SER - Nefro</v>
      </c>
      <c r="E380" s="22" t="str">
        <f>HYPERLINK("https://otsuka-europe-crm.veevavault.com/ui/#object/sent_email__v/VBL00000002N134", "SE-001431052")</f>
        <v>SE-001431052</v>
      </c>
      <c r="F380" s="23">
        <v>46177.616053240738</v>
      </c>
      <c r="G380" s="24">
        <v>1</v>
      </c>
      <c r="H380" s="24">
        <v>2</v>
      </c>
      <c r="I380" s="24">
        <v>0</v>
      </c>
      <c r="J380" s="25"/>
      <c r="K380" s="24">
        <v>0</v>
      </c>
      <c r="L380" s="22" t="str">
        <f>HYPERLINK("https://otsuka-europe-crm.veevavault.com/ui/#object/approved_document__v/V5O00000001H022", "LUP - VAE invitación simposio SEN-SER - Nefro")</f>
        <v>LUP - VAE invitación simposio SEN-SER - Nefro</v>
      </c>
      <c r="M380" s="22" t="str">
        <f>HYPERLINK("mailto:ccoll@crm.otsuka-europe.com", "ccoll@crm.otsuka-europe.com")</f>
        <v>ccoll@crm.otsuka-europe.com</v>
      </c>
      <c r="N380" s="23">
        <v>46174.626354166663</v>
      </c>
      <c r="O380" s="14" t="str">
        <f>HYPERLINK("https://otsuka-europe-crm.veevavault.com/ui/#object/email_activity__v/V8C00000003K383", "EN-002086433")</f>
        <v>EN-002086433</v>
      </c>
    </row>
    <row r="381" spans="1:15" ht="16" x14ac:dyDescent="0.2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4" t="str">
        <f>HYPERLINK("https://otsuka-europe-crm.veevavault.com/ui/#object/email_activity__v/V8C00000003N676", "EN-002089138")</f>
        <v>EN-002089138</v>
      </c>
    </row>
    <row r="382" spans="1:15" ht="16" x14ac:dyDescent="0.2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4" t="str">
        <f>HYPERLINK("https://otsuka-europe-crm.veevavault.com/ui/#object/email_activity__v/V8C00000003N677", "EN-002089139")</f>
        <v>EN-002089139</v>
      </c>
    </row>
    <row r="383" spans="1:15" ht="16" x14ac:dyDescent="0.2">
      <c r="A383" s="17" t="str">
        <f>HYPERLINK("https://otsuka-europe-crm.veevavault.com/ui/#object/account__v/V4TZ06G6O71UQRO", "DIANA MARIA RODRIGUEZ ESPINOZA")</f>
        <v>DIANA MARIA RODRIGUEZ ESPINOZA</v>
      </c>
      <c r="B383" s="17" t="str">
        <f>HYPERLINK("https://otsuka-europe-crm.veevavault.com/ui/#object/vcountry__v/VENZ000004SONF5", "ES")</f>
        <v>ES</v>
      </c>
      <c r="C383" s="20" t="s">
        <v>41</v>
      </c>
      <c r="D383" s="21" t="str">
        <f>HYPERLINK("https://otsuka-europe-crm.veevavault.com/ui/#object/approved_document__v/V5O00000001H022", "LUP - VAE invitación simposio SEN-SER - Nefro")</f>
        <v>LUP - VAE invitación simposio SEN-SER - Nefro</v>
      </c>
      <c r="E383" s="22" t="str">
        <f>HYPERLINK("https://otsuka-europe-crm.veevavault.com/ui/#object/sent_email__v/VBL00000002N135", "SE-001431053")</f>
        <v>SE-001431053</v>
      </c>
      <c r="F383" s="25"/>
      <c r="G383" s="24">
        <v>0</v>
      </c>
      <c r="H383" s="24">
        <v>0</v>
      </c>
      <c r="I383" s="24">
        <v>0</v>
      </c>
      <c r="J383" s="25"/>
      <c r="K383" s="24">
        <v>0</v>
      </c>
      <c r="L383" s="22" t="str">
        <f>HYPERLINK("https://otsuka-europe-crm.veevavault.com/ui/#object/approved_document__v/V5O00000001H022", "LUP - VAE invitación simposio SEN-SER - Nefro")</f>
        <v>LUP - VAE invitación simposio SEN-SER - Nefro</v>
      </c>
      <c r="M383" s="22" t="str">
        <f>HYPERLINK("mailto:ccoll@crm.otsuka-europe.com", "ccoll@crm.otsuka-europe.com")</f>
        <v>ccoll@crm.otsuka-europe.com</v>
      </c>
      <c r="N383" s="23">
        <v>46174.626354166663</v>
      </c>
      <c r="O383" s="14" t="str">
        <f>HYPERLINK("https://otsuka-europe-crm.veevavault.com/ui/#object/email_activity__v/V8C00000003K372", "EN-002086422")</f>
        <v>EN-002086422</v>
      </c>
    </row>
    <row r="384" spans="1:15" ht="16" x14ac:dyDescent="0.2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4" t="str">
        <f>HYPERLINK("https://otsuka-europe-crm.veevavault.com/ui/#object/email_activity__v/V8C00000003L159", "EN-002086560")</f>
        <v>EN-002086560</v>
      </c>
    </row>
    <row r="385" spans="1:15" ht="16" x14ac:dyDescent="0.2">
      <c r="A385" s="17" t="str">
        <f>HYPERLINK("https://otsuka-europe-crm.veevavault.com/ui/#object/account__v/V4TZ025E8321J6A", "MARC PATRICIO LIEBANA")</f>
        <v>MARC PATRICIO LIEBANA</v>
      </c>
      <c r="B385" s="17" t="str">
        <f>HYPERLINK("https://otsuka-europe-crm.veevavault.com/ui/#object/vcountry__v/VENZ000004SONF5", "ES")</f>
        <v>ES</v>
      </c>
      <c r="C385" s="20" t="s">
        <v>41</v>
      </c>
      <c r="D385" s="21" t="str">
        <f>HYPERLINK("https://otsuka-europe-crm.veevavault.com/ui/#object/approved_document__v/V5O00000001H022", "LUP - VAE invitación simposio SEN-SER - Nefro")</f>
        <v>LUP - VAE invitación simposio SEN-SER - Nefro</v>
      </c>
      <c r="E385" s="22" t="str">
        <f>HYPERLINK("https://otsuka-europe-crm.veevavault.com/ui/#object/sent_email__v/VBL00000002N136", "SE-001431054")</f>
        <v>SE-001431054</v>
      </c>
      <c r="F385" s="23">
        <v>46187.672824074078</v>
      </c>
      <c r="G385" s="24">
        <v>1</v>
      </c>
      <c r="H385" s="24">
        <v>1</v>
      </c>
      <c r="I385" s="24">
        <v>0</v>
      </c>
      <c r="J385" s="25"/>
      <c r="K385" s="24">
        <v>0</v>
      </c>
      <c r="L385" s="22" t="str">
        <f>HYPERLINK("https://otsuka-europe-crm.veevavault.com/ui/#object/approved_document__v/V5O00000001H022", "LUP - VAE invitación simposio SEN-SER - Nefro")</f>
        <v>LUP - VAE invitación simposio SEN-SER - Nefro</v>
      </c>
      <c r="M385" s="22" t="str">
        <f>HYPERLINK("mailto:ccoll@crm.otsuka-europe.com", "ccoll@crm.otsuka-europe.com")</f>
        <v>ccoll@crm.otsuka-europe.com</v>
      </c>
      <c r="N385" s="23">
        <v>46174.626388888886</v>
      </c>
      <c r="O385" s="14" t="str">
        <f>HYPERLINK("https://otsuka-europe-crm.veevavault.com/ui/#object/email_activity__v/V8C00000003K380", "EN-002086430")</f>
        <v>EN-002086430</v>
      </c>
    </row>
    <row r="386" spans="1:15" ht="16" x14ac:dyDescent="0.2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4" t="str">
        <f>HYPERLINK("https://otsuka-europe-crm.veevavault.com/ui/#object/email_activity__v/V8C00000003K566", "EN-002086738")</f>
        <v>EN-002086738</v>
      </c>
    </row>
    <row r="387" spans="1:15" ht="16" x14ac:dyDescent="0.2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4" t="str">
        <f>HYPERLINK("https://otsuka-europe-crm.veevavault.com/ui/#object/email_activity__v/V8C00000003U423", "EN-002095705")</f>
        <v>EN-002095705</v>
      </c>
    </row>
    <row r="388" spans="1:15" ht="16" x14ac:dyDescent="0.2">
      <c r="A388" s="17" t="str">
        <f>HYPERLINK("https://otsuka-europe-crm.veevavault.com/ui/#object/account__v/V4TZ04ASGAGIU4J", "JUAN CARLOS GONZALEZ OLIVA")</f>
        <v>JUAN CARLOS GONZALEZ OLIVA</v>
      </c>
      <c r="B388" s="17" t="str">
        <f>HYPERLINK("https://otsuka-europe-crm.veevavault.com/ui/#object/vcountry__v/VENZ000004SONF5", "ES")</f>
        <v>ES</v>
      </c>
      <c r="C388" s="20" t="s">
        <v>41</v>
      </c>
      <c r="D388" s="21" t="str">
        <f>HYPERLINK("https://otsuka-europe-crm.veevavault.com/ui/#object/approved_document__v/V5O00000001H022", "LUP - VAE invitación simposio SEN-SER - Nefro")</f>
        <v>LUP - VAE invitación simposio SEN-SER - Nefro</v>
      </c>
      <c r="E388" s="22" t="str">
        <f>HYPERLINK("https://otsuka-europe-crm.veevavault.com/ui/#object/sent_email__v/VBL00000002N137", "SE-001431055")</f>
        <v>SE-001431055</v>
      </c>
      <c r="F388" s="23">
        <v>46178.911203703705</v>
      </c>
      <c r="G388" s="24">
        <v>1</v>
      </c>
      <c r="H388" s="24">
        <v>1</v>
      </c>
      <c r="I388" s="24">
        <v>0</v>
      </c>
      <c r="J388" s="25"/>
      <c r="K388" s="24">
        <v>0</v>
      </c>
      <c r="L388" s="22" t="str">
        <f>HYPERLINK("https://otsuka-europe-crm.veevavault.com/ui/#object/approved_document__v/V5O00000001H022", "LUP - VAE invitación simposio SEN-SER - Nefro")</f>
        <v>LUP - VAE invitación simposio SEN-SER - Nefro</v>
      </c>
      <c r="M388" s="22" t="str">
        <f>HYPERLINK("mailto:ccoll@crm.otsuka-europe.com", "ccoll@crm.otsuka-europe.com")</f>
        <v>ccoll@crm.otsuka-europe.com</v>
      </c>
      <c r="N388" s="23">
        <v>46174.626446759263</v>
      </c>
      <c r="O388" s="14" t="str">
        <f>HYPERLINK("https://otsuka-europe-crm.veevavault.com/ui/#object/email_activity__v/V8C00000003K366", "EN-002086416")</f>
        <v>EN-002086416</v>
      </c>
    </row>
    <row r="389" spans="1:15" ht="16" x14ac:dyDescent="0.2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4" t="str">
        <f>HYPERLINK("https://otsuka-europe-crm.veevavault.com/ui/#object/email_activity__v/V8C00000003O074", "EN-002089402")</f>
        <v>EN-002089402</v>
      </c>
    </row>
    <row r="390" spans="1:15" ht="32" x14ac:dyDescent="0.2">
      <c r="A390" s="7" t="str">
        <f>HYPERLINK("https://otsuka-europe-crm.veevavault.com/ui/#object/account__v/V4TZ06G6O71TBT4", "JOSE RAMON PONS PRADES")</f>
        <v>JOSE RAMON PONS PRADES</v>
      </c>
      <c r="B390" s="7" t="str">
        <f>HYPERLINK("https://otsuka-europe-crm.veevavault.com/ui/#object/vcountry__v/VENZ000004SONF5", "ES")</f>
        <v>ES</v>
      </c>
      <c r="C390" s="8" t="s">
        <v>41</v>
      </c>
      <c r="D390" s="9" t="str">
        <f>HYPERLINK("https://otsuka-europe-crm.veevavault.com/ui/#object/approved_document__v/V5O00000001H022", "LUP - VAE invitación simposio SEN-SER - Nefro")</f>
        <v>LUP - VAE invitación simposio SEN-SER - Nefro</v>
      </c>
      <c r="E390" s="10" t="str">
        <f>HYPERLINK("https://otsuka-europe-crm.veevavault.com/ui/#object/sent_email__v/VBL00000002N138", "SE-001431056")</f>
        <v>SE-001431056</v>
      </c>
      <c r="F390" s="11"/>
      <c r="G390" s="12">
        <v>0</v>
      </c>
      <c r="H390" s="12">
        <v>0</v>
      </c>
      <c r="I390" s="12">
        <v>0</v>
      </c>
      <c r="J390" s="11"/>
      <c r="K390" s="12">
        <v>0</v>
      </c>
      <c r="L390" s="10" t="str">
        <f>HYPERLINK("https://otsuka-europe-crm.veevavault.com/ui/#object/approved_document__v/V5O00000001H022", "LUP - VAE invitación simposio SEN-SER - Nefro")</f>
        <v>LUP - VAE invitación simposio SEN-SER - Nefro</v>
      </c>
      <c r="M390" s="10" t="str">
        <f>HYPERLINK("mailto:ccoll@crm.otsuka-europe.com", "ccoll@crm.otsuka-europe.com")</f>
        <v>ccoll@crm.otsuka-europe.com</v>
      </c>
      <c r="N390" s="13">
        <v>46174.626435185186</v>
      </c>
      <c r="O390" s="14" t="str">
        <f>HYPERLINK("https://otsuka-europe-crm.veevavault.com/ui/#object/email_activity__v/V8C00000003K356", "EN-002086406")</f>
        <v>EN-002086406</v>
      </c>
    </row>
    <row r="391" spans="1:15" ht="32" x14ac:dyDescent="0.2">
      <c r="A391" s="7" t="str">
        <f>HYPERLINK("https://otsuka-europe-crm.veevavault.com/ui/#object/account__v/V4TZ06G6O71TA8W", "ANTONIO GASCON MARIÑO")</f>
        <v>ANTONIO GASCON MARIÑO</v>
      </c>
      <c r="B391" s="7" t="str">
        <f>HYPERLINK("https://otsuka-europe-crm.veevavault.com/ui/#object/vcountry__v/VENZ000004SONF5", "ES")</f>
        <v>ES</v>
      </c>
      <c r="C391" s="8" t="s">
        <v>41</v>
      </c>
      <c r="D391" s="9" t="str">
        <f>HYPERLINK("https://otsuka-europe-crm.veevavault.com/ui/#object/approved_document__v/V5O00000001H022", "LUP - VAE invitación simposio SEN-SER - Nefro")</f>
        <v>LUP - VAE invitación simposio SEN-SER - Nefro</v>
      </c>
      <c r="E391" s="10" t="str">
        <f>HYPERLINK("https://otsuka-europe-crm.veevavault.com/ui/#object/sent_email__v/VBL00000002N139", "SE-001431057")</f>
        <v>SE-001431057</v>
      </c>
      <c r="F391" s="11"/>
      <c r="G391" s="12">
        <v>0</v>
      </c>
      <c r="H391" s="12">
        <v>0</v>
      </c>
      <c r="I391" s="12">
        <v>0</v>
      </c>
      <c r="J391" s="11"/>
      <c r="K391" s="12">
        <v>0</v>
      </c>
      <c r="L391" s="10" t="str">
        <f>HYPERLINK("https://otsuka-europe-crm.veevavault.com/ui/#object/approved_document__v/V5O00000001H022", "LUP - VAE invitación simposio SEN-SER - Nefro")</f>
        <v>LUP - VAE invitación simposio SEN-SER - Nefro</v>
      </c>
      <c r="M391" s="10" t="str">
        <f>HYPERLINK("mailto:ccoll@crm.otsuka-europe.com", "ccoll@crm.otsuka-europe.com")</f>
        <v>ccoll@crm.otsuka-europe.com</v>
      </c>
      <c r="N391" s="13">
        <v>46174.626458333332</v>
      </c>
      <c r="O391" s="14" t="str">
        <f>HYPERLINK("https://otsuka-europe-crm.veevavault.com/ui/#object/email_activity__v/V8C00000003K336", "EN-002086386")</f>
        <v>EN-002086386</v>
      </c>
    </row>
    <row r="392" spans="1:15" ht="16" x14ac:dyDescent="0.2">
      <c r="A392" s="17" t="str">
        <f>HYPERLINK("https://otsuka-europe-crm.veevavault.com/ui/#object/account__v/V4TZ06G6O71T8FL", "ALICIA MOLINA ANDUJAR")</f>
        <v>ALICIA MOLINA ANDUJAR</v>
      </c>
      <c r="B392" s="17" t="str">
        <f>HYPERLINK("https://otsuka-europe-crm.veevavault.com/ui/#object/vcountry__v/VENZ000004SONF5", "ES")</f>
        <v>ES</v>
      </c>
      <c r="C392" s="20" t="s">
        <v>41</v>
      </c>
      <c r="D392" s="21" t="str">
        <f>HYPERLINK("https://otsuka-europe-crm.veevavault.com/ui/#object/approved_document__v/V5O00000001H022", "LUP - VAE invitación simposio SEN-SER - Nefro")</f>
        <v>LUP - VAE invitación simposio SEN-SER - Nefro</v>
      </c>
      <c r="E392" s="22" t="str">
        <f>HYPERLINK("https://otsuka-europe-crm.veevavault.com/ui/#object/sent_email__v/VBL00000002N140", "SE-001431058")</f>
        <v>SE-001431058</v>
      </c>
      <c r="F392" s="23">
        <v>46174.685949074075</v>
      </c>
      <c r="G392" s="24">
        <v>1</v>
      </c>
      <c r="H392" s="24">
        <v>2</v>
      </c>
      <c r="I392" s="24">
        <v>0</v>
      </c>
      <c r="J392" s="25"/>
      <c r="K392" s="24">
        <v>0</v>
      </c>
      <c r="L392" s="22" t="str">
        <f>HYPERLINK("https://otsuka-europe-crm.veevavault.com/ui/#object/approved_document__v/V5O00000001H022", "LUP - VAE invitación simposio SEN-SER - Nefro")</f>
        <v>LUP - VAE invitación simposio SEN-SER - Nefro</v>
      </c>
      <c r="M392" s="22" t="str">
        <f>HYPERLINK("mailto:ccoll@crm.otsuka-europe.com", "ccoll@crm.otsuka-europe.com")</f>
        <v>ccoll@crm.otsuka-europe.com</v>
      </c>
      <c r="N392" s="23">
        <v>46174.626354166663</v>
      </c>
      <c r="O392" s="14" t="str">
        <f>HYPERLINK("https://otsuka-europe-crm.veevavault.com/ui/#object/email_activity__v/V8C00000003K285", "EN-002086335")</f>
        <v>EN-002086335</v>
      </c>
    </row>
    <row r="393" spans="1:15" ht="16" x14ac:dyDescent="0.2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4" t="str">
        <f>HYPERLINK("https://otsuka-europe-crm.veevavault.com/ui/#object/email_activity__v/V8C00000003K495", "EN-002086573")</f>
        <v>EN-002086573</v>
      </c>
    </row>
    <row r="394" spans="1:15" ht="16" x14ac:dyDescent="0.2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4" t="str">
        <f>HYPERLINK("https://otsuka-europe-crm.veevavault.com/ui/#object/email_activity__v/V8C00000003L226", "EN-002086663")</f>
        <v>EN-002086663</v>
      </c>
    </row>
    <row r="395" spans="1:15" ht="32" x14ac:dyDescent="0.2">
      <c r="A395" s="7" t="str">
        <f>HYPERLINK("https://otsuka-europe-crm.veevavault.com/ui/#object/account__v/V4TZ025E82C86GC", "MARINA VILLANUEVA CHULVI")</f>
        <v>MARINA VILLANUEVA CHULVI</v>
      </c>
      <c r="B395" s="7" t="str">
        <f>HYPERLINK("https://otsuka-europe-crm.veevavault.com/ui/#object/vcountry__v/VENZ000004SONF5", "ES")</f>
        <v>ES</v>
      </c>
      <c r="C395" s="8" t="s">
        <v>41</v>
      </c>
      <c r="D395" s="9" t="str">
        <f>HYPERLINK("https://otsuka-europe-crm.veevavault.com/ui/#object/approved_document__v/V5O00000001H022", "LUP - VAE invitación simposio SEN-SER - Nefro")</f>
        <v>LUP - VAE invitación simposio SEN-SER - Nefro</v>
      </c>
      <c r="E395" s="10" t="str">
        <f>HYPERLINK("https://otsuka-europe-crm.veevavault.com/ui/#object/sent_email__v/VBL00000002N141", "SE-001431059")</f>
        <v>SE-001431059</v>
      </c>
      <c r="F395" s="11"/>
      <c r="G395" s="12">
        <v>0</v>
      </c>
      <c r="H395" s="12">
        <v>0</v>
      </c>
      <c r="I395" s="12">
        <v>0</v>
      </c>
      <c r="J395" s="11"/>
      <c r="K395" s="12">
        <v>0</v>
      </c>
      <c r="L395" s="10" t="str">
        <f>HYPERLINK("https://otsuka-europe-crm.veevavault.com/ui/#object/approved_document__v/V5O00000001H022", "LUP - VAE invitación simposio SEN-SER - Nefro")</f>
        <v>LUP - VAE invitación simposio SEN-SER - Nefro</v>
      </c>
      <c r="M395" s="10" t="str">
        <f>HYPERLINK("mailto:ccoll@crm.otsuka-europe.com", "ccoll@crm.otsuka-europe.com")</f>
        <v>ccoll@crm.otsuka-europe.com</v>
      </c>
      <c r="N395" s="13">
        <v>46174.626354166663</v>
      </c>
      <c r="O395" s="14" t="str">
        <f>HYPERLINK("https://otsuka-europe-crm.veevavault.com/ui/#object/email_activity__v/V8C00000003K298", "EN-002086348")</f>
        <v>EN-002086348</v>
      </c>
    </row>
    <row r="396" spans="1:15" ht="32" x14ac:dyDescent="0.2">
      <c r="A396" s="7" t="str">
        <f>HYPERLINK("https://otsuka-europe-crm.veevavault.com/ui/#object/account__v/V4TZ06G6O71T8F3", "HILDA MERCEDES VILLAFUERTE LEDESMA")</f>
        <v>HILDA MERCEDES VILLAFUERTE LEDESMA</v>
      </c>
      <c r="B396" s="7" t="str">
        <f>HYPERLINK("https://otsuka-europe-crm.veevavault.com/ui/#object/vcountry__v/VENZ000004SONF5", "ES")</f>
        <v>ES</v>
      </c>
      <c r="C396" s="8" t="s">
        <v>41</v>
      </c>
      <c r="D396" s="9" t="str">
        <f>HYPERLINK("https://otsuka-europe-crm.veevavault.com/ui/#object/approved_document__v/V5O00000001H022", "LUP - VAE invitación simposio SEN-SER - Nefro")</f>
        <v>LUP - VAE invitación simposio SEN-SER - Nefro</v>
      </c>
      <c r="E396" s="10" t="str">
        <f>HYPERLINK("https://otsuka-europe-crm.veevavault.com/ui/#object/sent_email__v/VBL00000002N142", "SE-001431060")</f>
        <v>SE-001431060</v>
      </c>
      <c r="F396" s="11"/>
      <c r="G396" s="12">
        <v>0</v>
      </c>
      <c r="H396" s="12">
        <v>0</v>
      </c>
      <c r="I396" s="12">
        <v>0</v>
      </c>
      <c r="J396" s="11"/>
      <c r="K396" s="12">
        <v>0</v>
      </c>
      <c r="L396" s="10" t="str">
        <f>HYPERLINK("https://otsuka-europe-crm.veevavault.com/ui/#object/approved_document__v/V5O00000001H022", "LUP - VAE invitación simposio SEN-SER - Nefro")</f>
        <v>LUP - VAE invitación simposio SEN-SER - Nefro</v>
      </c>
      <c r="M396" s="10" t="str">
        <f>HYPERLINK("mailto:ccoll@crm.otsuka-europe.com", "ccoll@crm.otsuka-europe.com")</f>
        <v>ccoll@crm.otsuka-europe.com</v>
      </c>
      <c r="N396" s="13">
        <v>46174.626354166663</v>
      </c>
      <c r="O396" s="14" t="str">
        <f>HYPERLINK("https://otsuka-europe-crm.veevavault.com/ui/#object/email_activity__v/V8C00000003K323", "EN-002086373")</f>
        <v>EN-002086373</v>
      </c>
    </row>
    <row r="397" spans="1:15" ht="16" x14ac:dyDescent="0.2">
      <c r="A397" s="17" t="str">
        <f>HYPERLINK("https://otsuka-europe-crm.veevavault.com/ui/#object/account__v/V4TZ06G6O71TC45", "JORGE RUIZ CRIADO")</f>
        <v>JORGE RUIZ CRIADO</v>
      </c>
      <c r="B397" s="17" t="str">
        <f>HYPERLINK("https://otsuka-europe-crm.veevavault.com/ui/#object/vcountry__v/VENZ000004SONF5", "ES")</f>
        <v>ES</v>
      </c>
      <c r="C397" s="20" t="s">
        <v>41</v>
      </c>
      <c r="D397" s="21" t="str">
        <f>HYPERLINK("https://otsuka-europe-crm.veevavault.com/ui/#object/approved_document__v/V5O00000001H022", "LUP - VAE invitación simposio SEN-SER - Nefro")</f>
        <v>LUP - VAE invitación simposio SEN-SER - Nefro</v>
      </c>
      <c r="E397" s="22" t="str">
        <f>HYPERLINK("https://otsuka-europe-crm.veevavault.com/ui/#object/sent_email__v/VBL00000002N143", "SE-001431061")</f>
        <v>SE-001431061</v>
      </c>
      <c r="F397" s="25"/>
      <c r="G397" s="24">
        <v>0</v>
      </c>
      <c r="H397" s="24">
        <v>0</v>
      </c>
      <c r="I397" s="24">
        <v>0</v>
      </c>
      <c r="J397" s="25"/>
      <c r="K397" s="24">
        <v>0</v>
      </c>
      <c r="L397" s="22" t="str">
        <f>HYPERLINK("https://otsuka-europe-crm.veevavault.com/ui/#object/approved_document__v/V5O00000001H022", "LUP - VAE invitación simposio SEN-SER - Nefro")</f>
        <v>LUP - VAE invitación simposio SEN-SER - Nefro</v>
      </c>
      <c r="M397" s="22" t="str">
        <f>HYPERLINK("mailto:ccoll@crm.otsuka-europe.com", "ccoll@crm.otsuka-europe.com")</f>
        <v>ccoll@crm.otsuka-europe.com</v>
      </c>
      <c r="N397" s="23">
        <v>46174.626354166663</v>
      </c>
      <c r="O397" s="14" t="str">
        <f>HYPERLINK("https://otsuka-europe-crm.veevavault.com/ui/#object/email_activity__v/V8C00000003K297", "EN-002086347")</f>
        <v>EN-002086347</v>
      </c>
    </row>
    <row r="398" spans="1:15" ht="16" x14ac:dyDescent="0.2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4" t="str">
        <f>HYPERLINK("https://otsuka-europe-crm.veevavault.com/ui/#object/email_activity__v/V8C00000003L286", "EN-002086776")</f>
        <v>EN-002086776</v>
      </c>
    </row>
    <row r="399" spans="1:15" ht="16" x14ac:dyDescent="0.2">
      <c r="A399" s="17" t="str">
        <f>HYPERLINK("https://otsuka-europe-crm.veevavault.com/ui/#object/account__v/V4TZ04ASGGI1WPE", "LAURA MARCELA MORANTES HERNANDEZ")</f>
        <v>LAURA MARCELA MORANTES HERNANDEZ</v>
      </c>
      <c r="B399" s="17" t="str">
        <f>HYPERLINK("https://otsuka-europe-crm.veevavault.com/ui/#object/vcountry__v/VENZ000004SONF5", "ES")</f>
        <v>ES</v>
      </c>
      <c r="C399" s="20" t="s">
        <v>41</v>
      </c>
      <c r="D399" s="21" t="str">
        <f>HYPERLINK("https://otsuka-europe-crm.veevavault.com/ui/#object/approved_document__v/V5O00000001H022", "LUP - VAE invitación simposio SEN-SER - Nefro")</f>
        <v>LUP - VAE invitación simposio SEN-SER - Nefro</v>
      </c>
      <c r="E399" s="22" t="str">
        <f>HYPERLINK("https://otsuka-europe-crm.veevavault.com/ui/#object/sent_email__v/VBL00000002N144", "SE-001431062")</f>
        <v>SE-001431062</v>
      </c>
      <c r="F399" s="23">
        <v>46174.689826388887</v>
      </c>
      <c r="G399" s="24">
        <v>1</v>
      </c>
      <c r="H399" s="24">
        <v>1</v>
      </c>
      <c r="I399" s="24">
        <v>1</v>
      </c>
      <c r="J399" s="23">
        <v>46174.73542824074</v>
      </c>
      <c r="K399" s="24">
        <v>2</v>
      </c>
      <c r="L399" s="22" t="str">
        <f>HYPERLINK("https://otsuka-europe-crm.veevavault.com/ui/#object/approved_document__v/V5O00000001H022", "LUP - VAE invitación simposio SEN-SER - Nefro")</f>
        <v>LUP - VAE invitación simposio SEN-SER - Nefro</v>
      </c>
      <c r="M399" s="22" t="str">
        <f>HYPERLINK("mailto:ccoll@crm.otsuka-europe.com", "ccoll@crm.otsuka-europe.com")</f>
        <v>ccoll@crm.otsuka-europe.com</v>
      </c>
      <c r="N399" s="23">
        <v>46174.626354166663</v>
      </c>
      <c r="O399" s="14" t="str">
        <f>HYPERLINK("https://otsuka-europe-crm.veevavault.com/ui/#object/email_activity__v/V8C00000003K269", "EN-002086319")</f>
        <v>EN-002086319</v>
      </c>
    </row>
    <row r="400" spans="1:15" ht="16" x14ac:dyDescent="0.2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4" t="str">
        <f>HYPERLINK("https://otsuka-europe-crm.veevavault.com/ui/#object/email_activity__v/V8C00000003K532", "EN-002086671")</f>
        <v>EN-002086671</v>
      </c>
    </row>
    <row r="401" spans="1:15" ht="16" x14ac:dyDescent="0.2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4" t="str">
        <f>HYPERLINK("https://otsuka-europe-crm.veevavault.com/ui/#object/email_activity__v/V8C00000003K533", "EN-002086670")</f>
        <v>EN-002086670</v>
      </c>
    </row>
    <row r="402" spans="1:15" ht="16" x14ac:dyDescent="0.2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4" t="str">
        <f>HYPERLINK("https://otsuka-europe-crm.veevavault.com/ui/#object/email_activity__v/V8C00000003L235", "EN-002086695")</f>
        <v>EN-002086695</v>
      </c>
    </row>
    <row r="403" spans="1:15" ht="16" x14ac:dyDescent="0.2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4" t="str">
        <f>HYPERLINK("https://otsuka-europe-crm.veevavault.com/ui/#object/email_activity__v/V8C00000003L261", "EN-002086737")</f>
        <v>EN-002086737</v>
      </c>
    </row>
    <row r="404" spans="1:15" ht="16" x14ac:dyDescent="0.2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4" t="str">
        <f>HYPERLINK("https://otsuka-europe-crm.veevavault.com/ui/#object/email_activity__v/V8C00000003L273", "EN-002086758")</f>
        <v>EN-002086758</v>
      </c>
    </row>
    <row r="405" spans="1:15" ht="16" x14ac:dyDescent="0.2">
      <c r="A405" s="17" t="str">
        <f>HYPERLINK("https://otsuka-europe-crm.veevavault.com/ui/#object/account__v/V4TZ04ASG9MA1MT", "MARIA MILAGROS VAZQUEZ GOMEZ")</f>
        <v>MARIA MILAGROS VAZQUEZ GOMEZ</v>
      </c>
      <c r="B405" s="17" t="str">
        <f>HYPERLINK("https://otsuka-europe-crm.veevavault.com/ui/#object/vcountry__v/VENZ000004SONF5", "ES")</f>
        <v>ES</v>
      </c>
      <c r="C405" s="20" t="s">
        <v>41</v>
      </c>
      <c r="D405" s="21" t="str">
        <f>HYPERLINK("https://otsuka-europe-crm.veevavault.com/ui/#object/approved_document__v/V5O00000001H022", "LUP - VAE invitación simposio SEN-SER - Nefro")</f>
        <v>LUP - VAE invitación simposio SEN-SER - Nefro</v>
      </c>
      <c r="E405" s="22" t="str">
        <f>HYPERLINK("https://otsuka-europe-crm.veevavault.com/ui/#object/sent_email__v/VBL00000002N145", "SE-001431063")</f>
        <v>SE-001431063</v>
      </c>
      <c r="F405" s="23">
        <v>46175.755706018521</v>
      </c>
      <c r="G405" s="24">
        <v>1</v>
      </c>
      <c r="H405" s="24">
        <v>1</v>
      </c>
      <c r="I405" s="24">
        <v>1</v>
      </c>
      <c r="J405" s="23">
        <v>46175.755706018521</v>
      </c>
      <c r="K405" s="24">
        <v>1</v>
      </c>
      <c r="L405" s="22" t="str">
        <f>HYPERLINK("https://otsuka-europe-crm.veevavault.com/ui/#object/approved_document__v/V5O00000001H022", "LUP - VAE invitación simposio SEN-SER - Nefro")</f>
        <v>LUP - VAE invitación simposio SEN-SER - Nefro</v>
      </c>
      <c r="M405" s="22" t="str">
        <f>HYPERLINK("mailto:ccoll@crm.otsuka-europe.com", "ccoll@crm.otsuka-europe.com")</f>
        <v>ccoll@crm.otsuka-europe.com</v>
      </c>
      <c r="N405" s="23">
        <v>46174.626354166663</v>
      </c>
      <c r="O405" s="14" t="str">
        <f>HYPERLINK("https://otsuka-europe-crm.veevavault.com/ui/#object/email_activity__v/V8C00000003K267", "EN-002086317")</f>
        <v>EN-002086317</v>
      </c>
    </row>
    <row r="406" spans="1:15" ht="16" x14ac:dyDescent="0.2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4" t="str">
        <f>HYPERLINK("https://otsuka-europe-crm.veevavault.com/ui/#object/email_activity__v/V8C00000003M128", "EN-002088067")</f>
        <v>EN-002088067</v>
      </c>
    </row>
    <row r="407" spans="1:15" ht="16" x14ac:dyDescent="0.2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4" t="str">
        <f>HYPERLINK("https://otsuka-europe-crm.veevavault.com/ui/#object/email_activity__v/V8C00000003M129", "EN-002088066")</f>
        <v>EN-002088066</v>
      </c>
    </row>
    <row r="408" spans="1:15" ht="16" x14ac:dyDescent="0.2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4" t="str">
        <f>HYPERLINK("https://otsuka-europe-crm.veevavault.com/ui/#object/email_activity__v/V8C00000003N251", "EN-002088317")</f>
        <v>EN-002088317</v>
      </c>
    </row>
    <row r="409" spans="1:15" ht="32" x14ac:dyDescent="0.2">
      <c r="A409" s="7" t="str">
        <f>HYPERLINK("https://otsuka-europe-crm.veevavault.com/ui/#object/account__v/V4TZ025E82A5RFW", "CRISTINA AMOROS ROBLES")</f>
        <v>CRISTINA AMOROS ROBLES</v>
      </c>
      <c r="B409" s="7" t="str">
        <f>HYPERLINK("https://otsuka-europe-crm.veevavault.com/ui/#object/vcountry__v/VENZ000004SONF5", "ES")</f>
        <v>ES</v>
      </c>
      <c r="C409" s="8" t="s">
        <v>41</v>
      </c>
      <c r="D409" s="9" t="str">
        <f>HYPERLINK("https://otsuka-europe-crm.veevavault.com/ui/#object/approved_document__v/V5O00000001H022", "LUP - VAE invitación simposio SEN-SER - Nefro")</f>
        <v>LUP - VAE invitación simposio SEN-SER - Nefro</v>
      </c>
      <c r="E409" s="10" t="str">
        <f>HYPERLINK("https://otsuka-europe-crm.veevavault.com/ui/#object/sent_email__v/VBL00000002N146", "SE-001431064")</f>
        <v>SE-001431064</v>
      </c>
      <c r="F409" s="11"/>
      <c r="G409" s="12">
        <v>0</v>
      </c>
      <c r="H409" s="12">
        <v>0</v>
      </c>
      <c r="I409" s="12">
        <v>0</v>
      </c>
      <c r="J409" s="11"/>
      <c r="K409" s="12">
        <v>0</v>
      </c>
      <c r="L409" s="10" t="str">
        <f>HYPERLINK("https://otsuka-europe-crm.veevavault.com/ui/#object/approved_document__v/V5O00000001H022", "LUP - VAE invitación simposio SEN-SER - Nefro")</f>
        <v>LUP - VAE invitación simposio SEN-SER - Nefro</v>
      </c>
      <c r="M409" s="10" t="str">
        <f>HYPERLINK("mailto:ccoll@crm.otsuka-europe.com", "ccoll@crm.otsuka-europe.com")</f>
        <v>ccoll@crm.otsuka-europe.com</v>
      </c>
      <c r="N409" s="13">
        <v>46174.626354166663</v>
      </c>
      <c r="O409" s="14" t="str">
        <f>HYPERLINK("https://otsuka-europe-crm.veevavault.com/ui/#object/email_activity__v/V8C00000003K261", "EN-002086311")</f>
        <v>EN-002086311</v>
      </c>
    </row>
    <row r="410" spans="1:15" ht="32" x14ac:dyDescent="0.2">
      <c r="A410" s="7" t="str">
        <f>HYPERLINK("https://otsuka-europe-crm.veevavault.com/ui/#object/account__v/V4TZ06G6O71T84M", "LOURDES ROCA ARGENTE")</f>
        <v>LOURDES ROCA ARGENTE</v>
      </c>
      <c r="B410" s="7" t="str">
        <f>HYPERLINK("https://otsuka-europe-crm.veevavault.com/ui/#object/vcountry__v/VENZ000004SONF5", "ES")</f>
        <v>ES</v>
      </c>
      <c r="C410" s="8" t="s">
        <v>41</v>
      </c>
      <c r="D410" s="9" t="str">
        <f>HYPERLINK("https://otsuka-europe-crm.veevavault.com/ui/#object/approved_document__v/V5O00000001H022", "LUP - VAE invitación simposio SEN-SER - Nefro")</f>
        <v>LUP - VAE invitación simposio SEN-SER - Nefro</v>
      </c>
      <c r="E410" s="10" t="str">
        <f>HYPERLINK("https://otsuka-europe-crm.veevavault.com/ui/#object/sent_email__v/VBL00000002N147", "SE-001431065")</f>
        <v>SE-001431065</v>
      </c>
      <c r="F410" s="11"/>
      <c r="G410" s="12">
        <v>0</v>
      </c>
      <c r="H410" s="12">
        <v>0</v>
      </c>
      <c r="I410" s="12">
        <v>0</v>
      </c>
      <c r="J410" s="11"/>
      <c r="K410" s="12">
        <v>0</v>
      </c>
      <c r="L410" s="10" t="str">
        <f>HYPERLINK("https://otsuka-europe-crm.veevavault.com/ui/#object/approved_document__v/V5O00000001H022", "LUP - VAE invitación simposio SEN-SER - Nefro")</f>
        <v>LUP - VAE invitación simposio SEN-SER - Nefro</v>
      </c>
      <c r="M410" s="10" t="str">
        <f>HYPERLINK("mailto:ccoll@crm.otsuka-europe.com", "ccoll@crm.otsuka-europe.com")</f>
        <v>ccoll@crm.otsuka-europe.com</v>
      </c>
      <c r="N410" s="13">
        <v>46174.626354166663</v>
      </c>
      <c r="O410" s="14" t="str">
        <f>HYPERLINK("https://otsuka-europe-crm.veevavault.com/ui/#object/email_activity__v/V8C00000003K283", "EN-002086333")</f>
        <v>EN-002086333</v>
      </c>
    </row>
    <row r="411" spans="1:15" ht="16" x14ac:dyDescent="0.2">
      <c r="A411" s="17" t="str">
        <f>HYPERLINK("https://otsuka-europe-crm.veevavault.com/ui/#object/account__v/V4TZ025E878UPSA", "LUIS DAVID MEZA ANTUNEZ")</f>
        <v>LUIS DAVID MEZA ANTUNEZ</v>
      </c>
      <c r="B411" s="17" t="str">
        <f>HYPERLINK("https://otsuka-europe-crm.veevavault.com/ui/#object/vcountry__v/VENZ000004SONF5", "ES")</f>
        <v>ES</v>
      </c>
      <c r="C411" s="20" t="s">
        <v>41</v>
      </c>
      <c r="D411" s="21" t="str">
        <f>HYPERLINK("https://otsuka-europe-crm.veevavault.com/ui/#object/approved_document__v/V5O00000001H022", "LUP - VAE invitación simposio SEN-SER - Nefro")</f>
        <v>LUP - VAE invitación simposio SEN-SER - Nefro</v>
      </c>
      <c r="E411" s="22" t="str">
        <f>HYPERLINK("https://otsuka-europe-crm.veevavault.com/ui/#object/sent_email__v/VBL00000002N148", "SE-001431066")</f>
        <v>SE-001431066</v>
      </c>
      <c r="F411" s="25"/>
      <c r="G411" s="24">
        <v>0</v>
      </c>
      <c r="H411" s="24">
        <v>0</v>
      </c>
      <c r="I411" s="24">
        <v>0</v>
      </c>
      <c r="J411" s="25"/>
      <c r="K411" s="24">
        <v>0</v>
      </c>
      <c r="L411" s="22" t="str">
        <f>HYPERLINK("https://otsuka-europe-crm.veevavault.com/ui/#object/approved_document__v/V5O00000001H022", "LUP - VAE invitación simposio SEN-SER - Nefro")</f>
        <v>LUP - VAE invitación simposio SEN-SER - Nefro</v>
      </c>
      <c r="M411" s="22" t="str">
        <f>HYPERLINK("mailto:ccoll@crm.otsuka-europe.com", "ccoll@crm.otsuka-europe.com")</f>
        <v>ccoll@crm.otsuka-europe.com</v>
      </c>
      <c r="N411" s="23">
        <v>46174.626354166663</v>
      </c>
      <c r="O411" s="14" t="str">
        <f>HYPERLINK("https://otsuka-europe-crm.veevavault.com/ui/#object/email_activity__v/V8C00000003K273", "EN-002086323")</f>
        <v>EN-002086323</v>
      </c>
    </row>
    <row r="412" spans="1:15" ht="16" x14ac:dyDescent="0.2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4" t="str">
        <f>HYPERLINK("https://otsuka-europe-crm.veevavault.com/ui/#object/email_activity__v/V8C00000003K473", "EN-002086528")</f>
        <v>EN-002086528</v>
      </c>
    </row>
    <row r="413" spans="1:15" ht="32" x14ac:dyDescent="0.2">
      <c r="A413" s="7" t="str">
        <f>HYPERLINK("https://otsuka-europe-crm.veevavault.com/ui/#object/account__v/V4TZ04ASG6LG891", "ISABEL GALCERAN HERRERA")</f>
        <v>ISABEL GALCERAN HERRERA</v>
      </c>
      <c r="B413" s="7" t="str">
        <f>HYPERLINK("https://otsuka-europe-crm.veevavault.com/ui/#object/vcountry__v/VENZ000004SONF5", "ES")</f>
        <v>ES</v>
      </c>
      <c r="C413" s="8" t="s">
        <v>41</v>
      </c>
      <c r="D413" s="9" t="str">
        <f>HYPERLINK("https://otsuka-europe-crm.veevavault.com/ui/#object/approved_document__v/V5O00000001H022", "LUP - VAE invitación simposio SEN-SER - Nefro")</f>
        <v>LUP - VAE invitación simposio SEN-SER - Nefro</v>
      </c>
      <c r="E413" s="10" t="str">
        <f>HYPERLINK("https://otsuka-europe-crm.veevavault.com/ui/#object/sent_email__v/VBL00000002N149", "SE-001431067")</f>
        <v>SE-001431067</v>
      </c>
      <c r="F413" s="11"/>
      <c r="G413" s="12">
        <v>0</v>
      </c>
      <c r="H413" s="12">
        <v>0</v>
      </c>
      <c r="I413" s="12">
        <v>0</v>
      </c>
      <c r="J413" s="11"/>
      <c r="K413" s="12">
        <v>0</v>
      </c>
      <c r="L413" s="10" t="str">
        <f>HYPERLINK("https://otsuka-europe-crm.veevavault.com/ui/#object/approved_document__v/V5O00000001H022", "LUP - VAE invitación simposio SEN-SER - Nefro")</f>
        <v>LUP - VAE invitación simposio SEN-SER - Nefro</v>
      </c>
      <c r="M413" s="10" t="str">
        <f>HYPERLINK("mailto:ccoll@crm.otsuka-europe.com", "ccoll@crm.otsuka-europe.com")</f>
        <v>ccoll@crm.otsuka-europe.com</v>
      </c>
      <c r="N413" s="13">
        <v>46174.626354166663</v>
      </c>
      <c r="O413" s="14" t="str">
        <f>HYPERLINK("https://otsuka-europe-crm.veevavault.com/ui/#object/email_activity__v/V8C00000003K300", "EN-002086350")</f>
        <v>EN-002086350</v>
      </c>
    </row>
    <row r="414" spans="1:15" ht="16" x14ac:dyDescent="0.2">
      <c r="A414" s="17" t="str">
        <f>HYPERLINK("https://otsuka-europe-crm.veevavault.com/ui/#object/account__v/V4TZ025E86WTUOM", "GRECIA MARIA CARMEN MONROY CONDORI")</f>
        <v>GRECIA MARIA CARMEN MONROY CONDORI</v>
      </c>
      <c r="B414" s="17" t="str">
        <f>HYPERLINK("https://otsuka-europe-crm.veevavault.com/ui/#object/vcountry__v/VENZ000004SONF5", "ES")</f>
        <v>ES</v>
      </c>
      <c r="C414" s="20" t="s">
        <v>41</v>
      </c>
      <c r="D414" s="21" t="str">
        <f>HYPERLINK("https://otsuka-europe-crm.veevavault.com/ui/#object/approved_document__v/V5O00000001H022", "LUP - VAE invitación simposio SEN-SER - Nefro")</f>
        <v>LUP - VAE invitación simposio SEN-SER - Nefro</v>
      </c>
      <c r="E414" s="22" t="str">
        <f>HYPERLINK("https://otsuka-europe-crm.veevavault.com/ui/#object/sent_email__v/VBL00000002N150", "SE-001431068")</f>
        <v>SE-001431068</v>
      </c>
      <c r="F414" s="23">
        <v>46174.633842592593</v>
      </c>
      <c r="G414" s="24">
        <v>1</v>
      </c>
      <c r="H414" s="24">
        <v>2</v>
      </c>
      <c r="I414" s="24">
        <v>0</v>
      </c>
      <c r="J414" s="25"/>
      <c r="K414" s="24">
        <v>0</v>
      </c>
      <c r="L414" s="22" t="str">
        <f>HYPERLINK("https://otsuka-europe-crm.veevavault.com/ui/#object/approved_document__v/V5O00000001H022", "LUP - VAE invitación simposio SEN-SER - Nefro")</f>
        <v>LUP - VAE invitación simposio SEN-SER - Nefro</v>
      </c>
      <c r="M414" s="22" t="str">
        <f>HYPERLINK("mailto:ccoll@crm.otsuka-europe.com", "ccoll@crm.otsuka-europe.com")</f>
        <v>ccoll@crm.otsuka-europe.com</v>
      </c>
      <c r="N414" s="23">
        <v>46174.626354166663</v>
      </c>
      <c r="O414" s="14" t="str">
        <f>HYPERLINK("https://otsuka-europe-crm.veevavault.com/ui/#object/email_activity__v/V8C00000003K264", "EN-002086314")</f>
        <v>EN-002086314</v>
      </c>
    </row>
    <row r="415" spans="1:15" ht="16" x14ac:dyDescent="0.2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4" t="str">
        <f>HYPERLINK("https://otsuka-europe-crm.veevavault.com/ui/#object/email_activity__v/V8C00000003K464", "EN-002086519")</f>
        <v>EN-002086519</v>
      </c>
    </row>
    <row r="416" spans="1:15" ht="16" x14ac:dyDescent="0.2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4" t="str">
        <f>HYPERLINK("https://otsuka-europe-crm.veevavault.com/ui/#object/email_activity__v/V8C00000003K471", "EN-002086526")</f>
        <v>EN-002086526</v>
      </c>
    </row>
    <row r="417" spans="1:15" ht="16" x14ac:dyDescent="0.2">
      <c r="A417" s="17" t="str">
        <f>HYPERLINK("https://otsuka-europe-crm.veevavault.com/ui/#object/account__v/V4TZ06G6O71TB2J", "JUDITH FATIMA MARTINS MUÑOZ")</f>
        <v>JUDITH FATIMA MARTINS MUÑOZ</v>
      </c>
      <c r="B417" s="17" t="str">
        <f>HYPERLINK("https://otsuka-europe-crm.veevavault.com/ui/#object/vcountry__v/VENZ000004SONF5", "ES")</f>
        <v>ES</v>
      </c>
      <c r="C417" s="20" t="s">
        <v>41</v>
      </c>
      <c r="D417" s="21" t="str">
        <f>HYPERLINK("https://otsuka-europe-crm.veevavault.com/ui/#object/approved_document__v/V5O00000001H022", "LUP - VAE invitación simposio SEN-SER - Nefro")</f>
        <v>LUP - VAE invitación simposio SEN-SER - Nefro</v>
      </c>
      <c r="E417" s="22" t="str">
        <f>HYPERLINK("https://otsuka-europe-crm.veevavault.com/ui/#object/sent_email__v/VBL00000002N151", "SE-001431069")</f>
        <v>SE-001431069</v>
      </c>
      <c r="F417" s="23">
        <v>46174.67528935185</v>
      </c>
      <c r="G417" s="24">
        <v>1</v>
      </c>
      <c r="H417" s="24">
        <v>2</v>
      </c>
      <c r="I417" s="24">
        <v>1</v>
      </c>
      <c r="J417" s="23">
        <v>46174.675335648149</v>
      </c>
      <c r="K417" s="24">
        <v>1</v>
      </c>
      <c r="L417" s="22" t="str">
        <f>HYPERLINK("https://otsuka-europe-crm.veevavault.com/ui/#object/approved_document__v/V5O00000001H022", "LUP - VAE invitación simposio SEN-SER - Nefro")</f>
        <v>LUP - VAE invitación simposio SEN-SER - Nefro</v>
      </c>
      <c r="M417" s="22" t="str">
        <f>HYPERLINK("mailto:ccoll@crm.otsuka-europe.com", "ccoll@crm.otsuka-europe.com")</f>
        <v>ccoll@crm.otsuka-europe.com</v>
      </c>
      <c r="N417" s="23">
        <v>46174.626354166663</v>
      </c>
      <c r="O417" s="14" t="str">
        <f>HYPERLINK("https://otsuka-europe-crm.veevavault.com/ui/#object/email_activity__v/V8C00000003K259", "EN-002086309")</f>
        <v>EN-002086309</v>
      </c>
    </row>
    <row r="418" spans="1:15" ht="16" x14ac:dyDescent="0.2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4" t="str">
        <f>HYPERLINK("https://otsuka-europe-crm.veevavault.com/ui/#object/email_activity__v/V8C00000003K515", "EN-002086626")</f>
        <v>EN-002086626</v>
      </c>
    </row>
    <row r="419" spans="1:15" ht="16" x14ac:dyDescent="0.2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4" t="str">
        <f>HYPERLINK("https://otsuka-europe-crm.veevavault.com/ui/#object/email_activity__v/V8C00000003K516", "EN-002086627")</f>
        <v>EN-002086627</v>
      </c>
    </row>
    <row r="420" spans="1:15" ht="16" x14ac:dyDescent="0.2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4" t="str">
        <f>HYPERLINK("https://otsuka-europe-crm.veevavault.com/ui/#object/email_activity__v/V8C00000003K517", "EN-002086628")</f>
        <v>EN-002086628</v>
      </c>
    </row>
    <row r="421" spans="1:15" ht="16" x14ac:dyDescent="0.2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4" t="str">
        <f>HYPERLINK("https://otsuka-europe-crm.veevavault.com/ui/#object/email_activity__v/V8C00000003L241", "EN-002086701")</f>
        <v>EN-002086701</v>
      </c>
    </row>
    <row r="422" spans="1:15" ht="16" x14ac:dyDescent="0.2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4" t="str">
        <f>HYPERLINK("https://otsuka-europe-crm.veevavault.com/ui/#object/email_activity__v/V8C00000003L315", "EN-002086829")</f>
        <v>EN-002086829</v>
      </c>
    </row>
    <row r="423" spans="1:15" ht="32" x14ac:dyDescent="0.2">
      <c r="A423" s="7" t="str">
        <f>HYPERLINK("https://otsuka-europe-crm.veevavault.com/ui/#object/account__v/V4TZ04ASGCI47I7", "ROCIO VIDAL MORILLO-VELARDE")</f>
        <v>ROCIO VIDAL MORILLO-VELARDE</v>
      </c>
      <c r="B423" s="7" t="str">
        <f>HYPERLINK("https://otsuka-europe-crm.veevavault.com/ui/#object/vcountry__v/VENZ000004SONF5", "ES")</f>
        <v>ES</v>
      </c>
      <c r="C423" s="8" t="s">
        <v>41</v>
      </c>
      <c r="D423" s="9" t="str">
        <f>HYPERLINK("https://otsuka-europe-crm.veevavault.com/ui/#object/approved_document__v/V5O00000001H022", "LUP - VAE invitación simposio SEN-SER - Nefro")</f>
        <v>LUP - VAE invitación simposio SEN-SER - Nefro</v>
      </c>
      <c r="E423" s="10" t="str">
        <f>HYPERLINK("https://otsuka-europe-crm.veevavault.com/ui/#object/sent_email__v/VBL00000002N152", "SE-001431070")</f>
        <v>SE-001431070</v>
      </c>
      <c r="F423" s="11"/>
      <c r="G423" s="12">
        <v>0</v>
      </c>
      <c r="H423" s="12">
        <v>0</v>
      </c>
      <c r="I423" s="12">
        <v>0</v>
      </c>
      <c r="J423" s="11"/>
      <c r="K423" s="12">
        <v>0</v>
      </c>
      <c r="L423" s="10" t="str">
        <f>HYPERLINK("https://otsuka-europe-crm.veevavault.com/ui/#object/approved_document__v/V5O00000001H022", "LUP - VAE invitación simposio SEN-SER - Nefro")</f>
        <v>LUP - VAE invitación simposio SEN-SER - Nefro</v>
      </c>
      <c r="M423" s="10" t="str">
        <f>HYPERLINK("mailto:ccoll@crm.otsuka-europe.com", "ccoll@crm.otsuka-europe.com")</f>
        <v>ccoll@crm.otsuka-europe.com</v>
      </c>
      <c r="N423" s="13">
        <v>46174.626400462963</v>
      </c>
      <c r="O423" s="14" t="str">
        <f>HYPERLINK("https://otsuka-europe-crm.veevavault.com/ui/#object/email_activity__v/V8C00000003K349", "EN-002086399")</f>
        <v>EN-002086399</v>
      </c>
    </row>
    <row r="424" spans="1:15" ht="32" x14ac:dyDescent="0.2">
      <c r="A424" s="7" t="str">
        <f>HYPERLINK("https://otsuka-europe-crm.veevavault.com/ui/#object/account__v/V4TZ025E85G7QK9", "KATHERYN ISABEL MEMBREÑO BLANDON")</f>
        <v>KATHERYN ISABEL MEMBREÑO BLANDON</v>
      </c>
      <c r="B424" s="7" t="str">
        <f>HYPERLINK("https://otsuka-europe-crm.veevavault.com/ui/#object/vcountry__v/VENZ000004SONF5", "ES")</f>
        <v>ES</v>
      </c>
      <c r="C424" s="8" t="s">
        <v>41</v>
      </c>
      <c r="D424" s="9" t="str">
        <f>HYPERLINK("https://otsuka-europe-crm.veevavault.com/ui/#object/approved_document__v/V5O00000001H022", "LUP - VAE invitación simposio SEN-SER - Nefro")</f>
        <v>LUP - VAE invitación simposio SEN-SER - Nefro</v>
      </c>
      <c r="E424" s="10" t="str">
        <f>HYPERLINK("https://otsuka-europe-crm.veevavault.com/ui/#object/sent_email__v/VBL00000002N153", "SE-001431071")</f>
        <v>SE-001431071</v>
      </c>
      <c r="F424" s="11"/>
      <c r="G424" s="12">
        <v>0</v>
      </c>
      <c r="H424" s="12">
        <v>0</v>
      </c>
      <c r="I424" s="12">
        <v>0</v>
      </c>
      <c r="J424" s="11"/>
      <c r="K424" s="12">
        <v>0</v>
      </c>
      <c r="L424" s="10" t="str">
        <f>HYPERLINK("https://otsuka-europe-crm.veevavault.com/ui/#object/approved_document__v/V5O00000001H022", "LUP - VAE invitación simposio SEN-SER - Nefro")</f>
        <v>LUP - VAE invitación simposio SEN-SER - Nefro</v>
      </c>
      <c r="M424" s="10" t="str">
        <f>HYPERLINK("mailto:ccoll@crm.otsuka-europe.com", "ccoll@crm.otsuka-europe.com")</f>
        <v>ccoll@crm.otsuka-europe.com</v>
      </c>
      <c r="N424" s="13">
        <v>46174.626354166663</v>
      </c>
      <c r="O424" s="14" t="str">
        <f>HYPERLINK("https://otsuka-europe-crm.veevavault.com/ui/#object/email_activity__v/V8C00000003K301", "EN-002086351")</f>
        <v>EN-002086351</v>
      </c>
    </row>
    <row r="425" spans="1:15" ht="32" x14ac:dyDescent="0.2">
      <c r="A425" s="7" t="str">
        <f>HYPERLINK("https://otsuka-europe-crm.veevavault.com/ui/#object/account__v/V4TZ025E85BN4PT", "JULIA OLLE GRAU")</f>
        <v>JULIA OLLE GRAU</v>
      </c>
      <c r="B425" s="7" t="str">
        <f>HYPERLINK("https://otsuka-europe-crm.veevavault.com/ui/#object/vcountry__v/VENZ000004SONF5", "ES")</f>
        <v>ES</v>
      </c>
      <c r="C425" s="8" t="s">
        <v>41</v>
      </c>
      <c r="D425" s="9" t="str">
        <f>HYPERLINK("https://otsuka-europe-crm.veevavault.com/ui/#object/approved_document__v/V5O00000001H022", "LUP - VAE invitación simposio SEN-SER - Nefro")</f>
        <v>LUP - VAE invitación simposio SEN-SER - Nefro</v>
      </c>
      <c r="E425" s="10" t="str">
        <f>HYPERLINK("https://otsuka-europe-crm.veevavault.com/ui/#object/sent_email__v/VBL00000002N154", "SE-001431072")</f>
        <v>SE-001431072</v>
      </c>
      <c r="F425" s="11"/>
      <c r="G425" s="12">
        <v>0</v>
      </c>
      <c r="H425" s="12">
        <v>0</v>
      </c>
      <c r="I425" s="12">
        <v>0</v>
      </c>
      <c r="J425" s="11"/>
      <c r="K425" s="12">
        <v>0</v>
      </c>
      <c r="L425" s="10" t="str">
        <f>HYPERLINK("https://otsuka-europe-crm.veevavault.com/ui/#object/approved_document__v/V5O00000001H022", "LUP - VAE invitación simposio SEN-SER - Nefro")</f>
        <v>LUP - VAE invitación simposio SEN-SER - Nefro</v>
      </c>
      <c r="M425" s="10" t="str">
        <f>HYPERLINK("mailto:ccoll@crm.otsuka-europe.com", "ccoll@crm.otsuka-europe.com")</f>
        <v>ccoll@crm.otsuka-europe.com</v>
      </c>
      <c r="N425" s="13">
        <v>46174.626354166663</v>
      </c>
      <c r="O425" s="14" t="str">
        <f>HYPERLINK("https://otsuka-europe-crm.veevavault.com/ui/#object/email_activity__v/V8C00000003K272", "EN-002086322")</f>
        <v>EN-002086322</v>
      </c>
    </row>
    <row r="426" spans="1:15" ht="32" x14ac:dyDescent="0.2">
      <c r="A426" s="7" t="str">
        <f>HYPERLINK("https://otsuka-europe-crm.veevavault.com/ui/#object/account__v/V4TZ06G6O71TAJ3", "MARIA EMMA HUARTE LOZA")</f>
        <v>MARIA EMMA HUARTE LOZA</v>
      </c>
      <c r="B426" s="7" t="str">
        <f>HYPERLINK("https://otsuka-europe-crm.veevavault.com/ui/#object/vcountry__v/VENZ000004SONF5", "ES")</f>
        <v>ES</v>
      </c>
      <c r="C426" s="8" t="s">
        <v>41</v>
      </c>
      <c r="D426" s="9" t="str">
        <f>HYPERLINK("https://otsuka-europe-crm.veevavault.com/ui/#object/approved_document__v/V5O00000001H022", "LUP - VAE invitación simposio SEN-SER - Nefro")</f>
        <v>LUP - VAE invitación simposio SEN-SER - Nefro</v>
      </c>
      <c r="E426" s="10" t="str">
        <f>HYPERLINK("https://otsuka-europe-crm.veevavault.com/ui/#object/sent_email__v/VBL00000002N155", "SE-001431073")</f>
        <v>SE-001431073</v>
      </c>
      <c r="F426" s="11"/>
      <c r="G426" s="12">
        <v>0</v>
      </c>
      <c r="H426" s="12">
        <v>0</v>
      </c>
      <c r="I426" s="12">
        <v>0</v>
      </c>
      <c r="J426" s="11"/>
      <c r="K426" s="12">
        <v>0</v>
      </c>
      <c r="L426" s="10" t="str">
        <f>HYPERLINK("https://otsuka-europe-crm.veevavault.com/ui/#object/approved_document__v/V5O00000001H022", "LUP - VAE invitación simposio SEN-SER - Nefro")</f>
        <v>LUP - VAE invitación simposio SEN-SER - Nefro</v>
      </c>
      <c r="M426" s="10" t="str">
        <f>HYPERLINK("mailto:ccoll@crm.otsuka-europe.com", "ccoll@crm.otsuka-europe.com")</f>
        <v>ccoll@crm.otsuka-europe.com</v>
      </c>
      <c r="N426" s="13">
        <v>46174.626354166663</v>
      </c>
      <c r="O426" s="14" t="str">
        <f>HYPERLINK("https://otsuka-europe-crm.veevavault.com/ui/#object/email_activity__v/V8C00000003K311", "EN-002086361")</f>
        <v>EN-002086361</v>
      </c>
    </row>
    <row r="427" spans="1:15" ht="16" x14ac:dyDescent="0.2">
      <c r="A427" s="17" t="str">
        <f>HYPERLINK("https://otsuka-europe-crm.veevavault.com/ui/#object/account__v/V4TZ06G6O71TA97", "MARIA VICTORIA IÑIGO VANRELL")</f>
        <v>MARIA VICTORIA IÑIGO VANRELL</v>
      </c>
      <c r="B427" s="17" t="str">
        <f>HYPERLINK("https://otsuka-europe-crm.veevavault.com/ui/#object/vcountry__v/VENZ000004SONF5", "ES")</f>
        <v>ES</v>
      </c>
      <c r="C427" s="20" t="s">
        <v>41</v>
      </c>
      <c r="D427" s="21" t="str">
        <f>HYPERLINK("https://otsuka-europe-crm.veevavault.com/ui/#object/approved_document__v/V5O00000001H022", "LUP - VAE invitación simposio SEN-SER - Nefro")</f>
        <v>LUP - VAE invitación simposio SEN-SER - Nefro</v>
      </c>
      <c r="E427" s="22" t="str">
        <f>HYPERLINK("https://otsuka-europe-crm.veevavault.com/ui/#object/sent_email__v/VBL00000002N156", "SE-001431074")</f>
        <v>SE-001431074</v>
      </c>
      <c r="F427" s="23">
        <v>46174.756863425922</v>
      </c>
      <c r="G427" s="24">
        <v>1</v>
      </c>
      <c r="H427" s="24">
        <v>1</v>
      </c>
      <c r="I427" s="24">
        <v>0</v>
      </c>
      <c r="J427" s="25"/>
      <c r="K427" s="24">
        <v>0</v>
      </c>
      <c r="L427" s="22" t="str">
        <f>HYPERLINK("https://otsuka-europe-crm.veevavault.com/ui/#object/approved_document__v/V5O00000001H022", "LUP - VAE invitación simposio SEN-SER - Nefro")</f>
        <v>LUP - VAE invitación simposio SEN-SER - Nefro</v>
      </c>
      <c r="M427" s="22" t="str">
        <f>HYPERLINK("mailto:ccoll@crm.otsuka-europe.com", "ccoll@crm.otsuka-europe.com")</f>
        <v>ccoll@crm.otsuka-europe.com</v>
      </c>
      <c r="N427" s="23">
        <v>46174.626354166663</v>
      </c>
      <c r="O427" s="14" t="str">
        <f>HYPERLINK("https://otsuka-europe-crm.veevavault.com/ui/#object/email_activity__v/V8C00000003K258", "EN-002086308")</f>
        <v>EN-002086308</v>
      </c>
    </row>
    <row r="428" spans="1:15" ht="16" x14ac:dyDescent="0.2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4" t="str">
        <f>HYPERLINK("https://otsuka-europe-crm.veevavault.com/ui/#object/email_activity__v/V8C00000003K574", "EN-002086757")</f>
        <v>EN-002086757</v>
      </c>
    </row>
    <row r="429" spans="1:15" ht="32" x14ac:dyDescent="0.2">
      <c r="A429" s="7" t="str">
        <f>HYPERLINK("https://otsuka-europe-crm.veevavault.com/ui/#object/account__v/V4TZ06G6O71T84V", "JESSICA MARIA UGALDE ALTAMIRANO")</f>
        <v>JESSICA MARIA UGALDE ALTAMIRANO</v>
      </c>
      <c r="B429" s="7" t="str">
        <f t="shared" ref="B429:B438" si="8">HYPERLINK("https://otsuka-europe-crm.veevavault.com/ui/#object/vcountry__v/VENZ000004SONF5", "ES")</f>
        <v>ES</v>
      </c>
      <c r="C429" s="8" t="s">
        <v>41</v>
      </c>
      <c r="D429" s="9" t="str">
        <f t="shared" ref="D429:D438" si="9">HYPERLINK("https://otsuka-europe-crm.veevavault.com/ui/#object/approved_document__v/V5O00000001H022", "LUP - VAE invitación simposio SEN-SER - Nefro")</f>
        <v>LUP - VAE invitación simposio SEN-SER - Nefro</v>
      </c>
      <c r="E429" s="10" t="str">
        <f>HYPERLINK("https://otsuka-europe-crm.veevavault.com/ui/#object/sent_email__v/VBL00000002N157", "SE-001431075")</f>
        <v>SE-001431075</v>
      </c>
      <c r="F429" s="11"/>
      <c r="G429" s="12">
        <v>0</v>
      </c>
      <c r="H429" s="12">
        <v>0</v>
      </c>
      <c r="I429" s="12">
        <v>0</v>
      </c>
      <c r="J429" s="11"/>
      <c r="K429" s="12">
        <v>0</v>
      </c>
      <c r="L429" s="10" t="str">
        <f t="shared" ref="L429:L438" si="10">HYPERLINK("https://otsuka-europe-crm.veevavault.com/ui/#object/approved_document__v/V5O00000001H022", "LUP - VAE invitación simposio SEN-SER - Nefro")</f>
        <v>LUP - VAE invitación simposio SEN-SER - Nefro</v>
      </c>
      <c r="M429" s="10" t="str">
        <f t="shared" ref="M429:M438" si="11">HYPERLINK("mailto:ccoll@crm.otsuka-europe.com", "ccoll@crm.otsuka-europe.com")</f>
        <v>ccoll@crm.otsuka-europe.com</v>
      </c>
      <c r="N429" s="13">
        <v>46174.626388888886</v>
      </c>
      <c r="O429" s="14" t="str">
        <f>HYPERLINK("https://otsuka-europe-crm.veevavault.com/ui/#object/email_activity__v/V8C00000003K342", "EN-002086392")</f>
        <v>EN-002086392</v>
      </c>
    </row>
    <row r="430" spans="1:15" ht="32" x14ac:dyDescent="0.2">
      <c r="A430" s="7" t="str">
        <f>HYPERLINK("https://otsuka-europe-crm.veevavault.com/ui/#object/account__v/V4TZ04ASG6LNRDZ", "MARTA CRESPO BARRIO")</f>
        <v>MARTA CRESPO BARRIO</v>
      </c>
      <c r="B430" s="7" t="str">
        <f t="shared" si="8"/>
        <v>ES</v>
      </c>
      <c r="C430" s="8" t="s">
        <v>41</v>
      </c>
      <c r="D430" s="9" t="str">
        <f t="shared" si="9"/>
        <v>LUP - VAE invitación simposio SEN-SER - Nefro</v>
      </c>
      <c r="E430" s="10" t="str">
        <f>HYPERLINK("https://otsuka-europe-crm.veevavault.com/ui/#object/sent_email__v/VBL00000002N158", "SE-001431076")</f>
        <v>SE-001431076</v>
      </c>
      <c r="F430" s="11"/>
      <c r="G430" s="12">
        <v>0</v>
      </c>
      <c r="H430" s="12">
        <v>0</v>
      </c>
      <c r="I430" s="12">
        <v>0</v>
      </c>
      <c r="J430" s="11"/>
      <c r="K430" s="12">
        <v>0</v>
      </c>
      <c r="L430" s="10" t="str">
        <f t="shared" si="10"/>
        <v>LUP - VAE invitación simposio SEN-SER - Nefro</v>
      </c>
      <c r="M430" s="10" t="str">
        <f t="shared" si="11"/>
        <v>ccoll@crm.otsuka-europe.com</v>
      </c>
      <c r="N430" s="13">
        <v>46174.626354166663</v>
      </c>
      <c r="O430" s="14" t="str">
        <f>HYPERLINK("https://otsuka-europe-crm.veevavault.com/ui/#object/email_activity__v/V8C00000003K382", "EN-002086432")</f>
        <v>EN-002086432</v>
      </c>
    </row>
    <row r="431" spans="1:15" ht="32" x14ac:dyDescent="0.2">
      <c r="A431" s="7" t="str">
        <f>HYPERLINK("https://otsuka-europe-crm.veevavault.com/ui/#object/account__v/V4TZ06G6O71TB32", "HELENA MARCO RUSIÑOL")</f>
        <v>HELENA MARCO RUSIÑOL</v>
      </c>
      <c r="B431" s="7" t="str">
        <f t="shared" si="8"/>
        <v>ES</v>
      </c>
      <c r="C431" s="8" t="s">
        <v>41</v>
      </c>
      <c r="D431" s="9" t="str">
        <f t="shared" si="9"/>
        <v>LUP - VAE invitación simposio SEN-SER - Nefro</v>
      </c>
      <c r="E431" s="10" t="str">
        <f>HYPERLINK("https://otsuka-europe-crm.veevavault.com/ui/#object/sent_email__v/VBL00000002N159", "SE-001431077")</f>
        <v>SE-001431077</v>
      </c>
      <c r="F431" s="11"/>
      <c r="G431" s="12">
        <v>0</v>
      </c>
      <c r="H431" s="12">
        <v>0</v>
      </c>
      <c r="I431" s="12">
        <v>0</v>
      </c>
      <c r="J431" s="11"/>
      <c r="K431" s="12">
        <v>0</v>
      </c>
      <c r="L431" s="10" t="str">
        <f t="shared" si="10"/>
        <v>LUP - VAE invitación simposio SEN-SER - Nefro</v>
      </c>
      <c r="M431" s="10" t="str">
        <f t="shared" si="11"/>
        <v>ccoll@crm.otsuka-europe.com</v>
      </c>
      <c r="N431" s="13">
        <v>46174.626446759263</v>
      </c>
      <c r="O431" s="14" t="str">
        <f>HYPERLINK("https://otsuka-europe-crm.veevavault.com/ui/#object/email_activity__v/V8C00000003K344", "EN-002086394")</f>
        <v>EN-002086394</v>
      </c>
    </row>
    <row r="432" spans="1:15" ht="32" x14ac:dyDescent="0.2">
      <c r="A432" s="7" t="str">
        <f>HYPERLINK("https://otsuka-europe-crm.veevavault.com/ui/#object/account__v/V4TZ06G6O71TC73", "LAIA SANS ATXER")</f>
        <v>LAIA SANS ATXER</v>
      </c>
      <c r="B432" s="7" t="str">
        <f t="shared" si="8"/>
        <v>ES</v>
      </c>
      <c r="C432" s="8" t="s">
        <v>41</v>
      </c>
      <c r="D432" s="9" t="str">
        <f t="shared" si="9"/>
        <v>LUP - VAE invitación simposio SEN-SER - Nefro</v>
      </c>
      <c r="E432" s="10" t="str">
        <f>HYPERLINK("https://otsuka-europe-crm.veevavault.com/ui/#object/sent_email__v/VBL00000002N160", "SE-001431078")</f>
        <v>SE-001431078</v>
      </c>
      <c r="F432" s="11"/>
      <c r="G432" s="12">
        <v>0</v>
      </c>
      <c r="H432" s="12">
        <v>0</v>
      </c>
      <c r="I432" s="12">
        <v>0</v>
      </c>
      <c r="J432" s="11"/>
      <c r="K432" s="12">
        <v>0</v>
      </c>
      <c r="L432" s="10" t="str">
        <f t="shared" si="10"/>
        <v>LUP - VAE invitación simposio SEN-SER - Nefro</v>
      </c>
      <c r="M432" s="10" t="str">
        <f t="shared" si="11"/>
        <v>ccoll@crm.otsuka-europe.com</v>
      </c>
      <c r="N432" s="13">
        <v>46174.626354166663</v>
      </c>
      <c r="O432" s="14" t="str">
        <f>HYPERLINK("https://otsuka-europe-crm.veevavault.com/ui/#object/email_activity__v/V8C00000003K370", "EN-002086420")</f>
        <v>EN-002086420</v>
      </c>
    </row>
    <row r="433" spans="1:15" ht="32" x14ac:dyDescent="0.2">
      <c r="A433" s="7" t="str">
        <f>HYPERLINK("https://otsuka-europe-crm.veevavault.com/ui/#object/account__v/V4TZ04ASG7RXB3G", "EVA MARQUEZ MOSQUERA")</f>
        <v>EVA MARQUEZ MOSQUERA</v>
      </c>
      <c r="B433" s="7" t="str">
        <f t="shared" si="8"/>
        <v>ES</v>
      </c>
      <c r="C433" s="8" t="s">
        <v>41</v>
      </c>
      <c r="D433" s="9" t="str">
        <f t="shared" si="9"/>
        <v>LUP - VAE invitación simposio SEN-SER - Nefro</v>
      </c>
      <c r="E433" s="10" t="str">
        <f>HYPERLINK("https://otsuka-europe-crm.veevavault.com/ui/#object/sent_email__v/VBL00000002N161", "SE-001431079")</f>
        <v>SE-001431079</v>
      </c>
      <c r="F433" s="11"/>
      <c r="G433" s="12">
        <v>0</v>
      </c>
      <c r="H433" s="12">
        <v>0</v>
      </c>
      <c r="I433" s="12">
        <v>0</v>
      </c>
      <c r="J433" s="11"/>
      <c r="K433" s="12">
        <v>0</v>
      </c>
      <c r="L433" s="10" t="str">
        <f t="shared" si="10"/>
        <v>LUP - VAE invitación simposio SEN-SER - Nefro</v>
      </c>
      <c r="M433" s="10" t="str">
        <f t="shared" si="11"/>
        <v>ccoll@crm.otsuka-europe.com</v>
      </c>
      <c r="N433" s="13">
        <v>46174.626331018517</v>
      </c>
      <c r="O433" s="14" t="str">
        <f>HYPERLINK("https://otsuka-europe-crm.veevavault.com/ui/#object/email_activity__v/V8C00000003K322", "EN-002086372")</f>
        <v>EN-002086372</v>
      </c>
    </row>
    <row r="434" spans="1:15" ht="32" x14ac:dyDescent="0.2">
      <c r="A434" s="7" t="str">
        <f>HYPERLINK("https://otsuka-europe-crm.veevavault.com/ui/#object/account__v/V4TZ025E878V3AA", "MAITANE DEL POZO ECHEZARRETA")</f>
        <v>MAITANE DEL POZO ECHEZARRETA</v>
      </c>
      <c r="B434" s="7" t="str">
        <f t="shared" si="8"/>
        <v>ES</v>
      </c>
      <c r="C434" s="8" t="s">
        <v>41</v>
      </c>
      <c r="D434" s="9" t="str">
        <f t="shared" si="9"/>
        <v>LUP - VAE invitación simposio SEN-SER - Nefro</v>
      </c>
      <c r="E434" s="10" t="str">
        <f>HYPERLINK("https://otsuka-europe-crm.veevavault.com/ui/#object/sent_email__v/VBL00000002N162", "SE-001431080")</f>
        <v>SE-001431080</v>
      </c>
      <c r="F434" s="11"/>
      <c r="G434" s="12">
        <v>0</v>
      </c>
      <c r="H434" s="12">
        <v>0</v>
      </c>
      <c r="I434" s="12">
        <v>0</v>
      </c>
      <c r="J434" s="11"/>
      <c r="K434" s="12">
        <v>0</v>
      </c>
      <c r="L434" s="10" t="str">
        <f t="shared" si="10"/>
        <v>LUP - VAE invitación simposio SEN-SER - Nefro</v>
      </c>
      <c r="M434" s="10" t="str">
        <f t="shared" si="11"/>
        <v>ccoll@crm.otsuka-europe.com</v>
      </c>
      <c r="N434" s="13">
        <v>46174.626331018517</v>
      </c>
      <c r="O434" s="14" t="str">
        <f>HYPERLINK("https://otsuka-europe-crm.veevavault.com/ui/#object/email_activity__v/V8C00000003K321", "EN-002086371")</f>
        <v>EN-002086371</v>
      </c>
    </row>
    <row r="435" spans="1:15" ht="32" x14ac:dyDescent="0.2">
      <c r="A435" s="7" t="str">
        <f>HYPERLINK("https://otsuka-europe-crm.veevavault.com/ui/#object/account__v/V4TZ025E88TP0RK", "ESTELA MAS RODENAS")</f>
        <v>ESTELA MAS RODENAS</v>
      </c>
      <c r="B435" s="7" t="str">
        <f t="shared" si="8"/>
        <v>ES</v>
      </c>
      <c r="C435" s="8" t="s">
        <v>41</v>
      </c>
      <c r="D435" s="9" t="str">
        <f t="shared" si="9"/>
        <v>LUP - VAE invitación simposio SEN-SER - Nefro</v>
      </c>
      <c r="E435" s="10" t="str">
        <f>HYPERLINK("https://otsuka-europe-crm.veevavault.com/ui/#object/sent_email__v/VBL00000002N163", "SE-001431081")</f>
        <v>SE-001431081</v>
      </c>
      <c r="F435" s="11"/>
      <c r="G435" s="12">
        <v>0</v>
      </c>
      <c r="H435" s="12">
        <v>0</v>
      </c>
      <c r="I435" s="12">
        <v>0</v>
      </c>
      <c r="J435" s="11"/>
      <c r="K435" s="12">
        <v>0</v>
      </c>
      <c r="L435" s="10" t="str">
        <f t="shared" si="10"/>
        <v>LUP - VAE invitación simposio SEN-SER - Nefro</v>
      </c>
      <c r="M435" s="10" t="str">
        <f t="shared" si="11"/>
        <v>ccoll@crm.otsuka-europe.com</v>
      </c>
      <c r="N435" s="13">
        <v>46174.626331018517</v>
      </c>
      <c r="O435" s="14" t="str">
        <f>HYPERLINK("https://otsuka-europe-crm.veevavault.com/ui/#object/email_activity__v/V8C00000003K281", "EN-002086331")</f>
        <v>EN-002086331</v>
      </c>
    </row>
    <row r="436" spans="1:15" ht="32" x14ac:dyDescent="0.2">
      <c r="A436" s="7" t="str">
        <f>HYPERLINK("https://otsuka-europe-crm.veevavault.com/ui/#object/account__v/V4TZ06G6O71TC39", "ASUNCION RIUS PERIS")</f>
        <v>ASUNCION RIUS PERIS</v>
      </c>
      <c r="B436" s="7" t="str">
        <f t="shared" si="8"/>
        <v>ES</v>
      </c>
      <c r="C436" s="8" t="s">
        <v>41</v>
      </c>
      <c r="D436" s="9" t="str">
        <f t="shared" si="9"/>
        <v>LUP - VAE invitación simposio SEN-SER - Nefro</v>
      </c>
      <c r="E436" s="10" t="str">
        <f>HYPERLINK("https://otsuka-europe-crm.veevavault.com/ui/#object/sent_email__v/VBL00000002N164", "SE-001431082")</f>
        <v>SE-001431082</v>
      </c>
      <c r="F436" s="11"/>
      <c r="G436" s="12">
        <v>0</v>
      </c>
      <c r="H436" s="12">
        <v>0</v>
      </c>
      <c r="I436" s="12">
        <v>0</v>
      </c>
      <c r="J436" s="11"/>
      <c r="K436" s="12">
        <v>0</v>
      </c>
      <c r="L436" s="10" t="str">
        <f t="shared" si="10"/>
        <v>LUP - VAE invitación simposio SEN-SER - Nefro</v>
      </c>
      <c r="M436" s="10" t="str">
        <f t="shared" si="11"/>
        <v>ccoll@crm.otsuka-europe.com</v>
      </c>
      <c r="N436" s="13">
        <v>46174.626331018517</v>
      </c>
      <c r="O436" s="14" t="str">
        <f>HYPERLINK("https://otsuka-europe-crm.veevavault.com/ui/#object/email_activity__v/V8C00000003K280", "EN-002086330")</f>
        <v>EN-002086330</v>
      </c>
    </row>
    <row r="437" spans="1:15" ht="32" x14ac:dyDescent="0.2">
      <c r="A437" s="7" t="str">
        <f>HYPERLINK("https://otsuka-europe-crm.veevavault.com/ui/#object/account__v/V4TZ06G6O71TB20", "ORLANDO MARTINS DOMINGOS")</f>
        <v>ORLANDO MARTINS DOMINGOS</v>
      </c>
      <c r="B437" s="7" t="str">
        <f t="shared" si="8"/>
        <v>ES</v>
      </c>
      <c r="C437" s="8" t="s">
        <v>41</v>
      </c>
      <c r="D437" s="9" t="str">
        <f t="shared" si="9"/>
        <v>LUP - VAE invitación simposio SEN-SER - Nefro</v>
      </c>
      <c r="E437" s="10" t="str">
        <f>HYPERLINK("https://otsuka-europe-crm.veevavault.com/ui/#object/sent_email__v/VBL00000002N165", "SE-001431083")</f>
        <v>SE-001431083</v>
      </c>
      <c r="F437" s="11"/>
      <c r="G437" s="12">
        <v>0</v>
      </c>
      <c r="H437" s="12">
        <v>0</v>
      </c>
      <c r="I437" s="12">
        <v>0</v>
      </c>
      <c r="J437" s="11"/>
      <c r="K437" s="12">
        <v>0</v>
      </c>
      <c r="L437" s="10" t="str">
        <f t="shared" si="10"/>
        <v>LUP - VAE invitación simposio SEN-SER - Nefro</v>
      </c>
      <c r="M437" s="10" t="str">
        <f t="shared" si="11"/>
        <v>ccoll@crm.otsuka-europe.com</v>
      </c>
      <c r="N437" s="13">
        <v>46174.626331018517</v>
      </c>
      <c r="O437" s="14" t="str">
        <f>HYPERLINK("https://otsuka-europe-crm.veevavault.com/ui/#object/email_activity__v/V8C00000003K296", "EN-002086346")</f>
        <v>EN-002086346</v>
      </c>
    </row>
    <row r="438" spans="1:15" ht="16" x14ac:dyDescent="0.2">
      <c r="A438" s="17" t="str">
        <f>HYPERLINK("https://otsuka-europe-crm.veevavault.com/ui/#object/account__v/V4TZ06G6O852UOG", "LUIS FERNANDO QUINTANA PORRAS")</f>
        <v>LUIS FERNANDO QUINTANA PORRAS</v>
      </c>
      <c r="B438" s="17" t="str">
        <f t="shared" si="8"/>
        <v>ES</v>
      </c>
      <c r="C438" s="20" t="s">
        <v>41</v>
      </c>
      <c r="D438" s="21" t="str">
        <f t="shared" si="9"/>
        <v>LUP - VAE invitación simposio SEN-SER - Nefro</v>
      </c>
      <c r="E438" s="22" t="str">
        <f>HYPERLINK("https://otsuka-europe-crm.veevavault.com/ui/#object/sent_email__v/VBL00000002N166", "SE-001431084")</f>
        <v>SE-001431084</v>
      </c>
      <c r="F438" s="23">
        <v>46174.630185185182</v>
      </c>
      <c r="G438" s="24">
        <v>1</v>
      </c>
      <c r="H438" s="24">
        <v>2</v>
      </c>
      <c r="I438" s="24">
        <v>1</v>
      </c>
      <c r="J438" s="23">
        <v>46174.630266203705</v>
      </c>
      <c r="K438" s="24">
        <v>1</v>
      </c>
      <c r="L438" s="22" t="str">
        <f t="shared" si="10"/>
        <v>LUP - VAE invitación simposio SEN-SER - Nefro</v>
      </c>
      <c r="M438" s="22" t="str">
        <f t="shared" si="11"/>
        <v>ccoll@crm.otsuka-europe.com</v>
      </c>
      <c r="N438" s="23">
        <v>46174.626331018517</v>
      </c>
      <c r="O438" s="14" t="str">
        <f>HYPERLINK("https://otsuka-europe-crm.veevavault.com/ui/#object/email_activity__v/V8C00000003K289", "EN-002086339")</f>
        <v>EN-002086339</v>
      </c>
    </row>
    <row r="439" spans="1:15" ht="16" x14ac:dyDescent="0.2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4" t="str">
        <f>HYPERLINK("https://otsuka-europe-crm.veevavault.com/ui/#object/email_activity__v/V8C00000003K449", "EN-002086499")</f>
        <v>EN-002086499</v>
      </c>
    </row>
    <row r="440" spans="1:15" ht="16" x14ac:dyDescent="0.2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4" t="str">
        <f>HYPERLINK("https://otsuka-europe-crm.veevavault.com/ui/#object/email_activity__v/V8C00000003K450", "EN-002086500")</f>
        <v>EN-002086500</v>
      </c>
    </row>
    <row r="441" spans="1:15" ht="16" x14ac:dyDescent="0.2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4" t="str">
        <f>HYPERLINK("https://otsuka-europe-crm.veevavault.com/ui/#object/email_activity__v/V8C00000003K451", "EN-002086501")</f>
        <v>EN-002086501</v>
      </c>
    </row>
    <row r="442" spans="1:15" ht="16" x14ac:dyDescent="0.2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4" t="str">
        <f>HYPERLINK("https://otsuka-europe-crm.veevavault.com/ui/#object/email_activity__v/V8C00000003K461", "EN-002086513")</f>
        <v>EN-002086513</v>
      </c>
    </row>
    <row r="443" spans="1:15" ht="32" x14ac:dyDescent="0.2">
      <c r="A443" s="7" t="str">
        <f>HYPERLINK("https://otsuka-europe-crm.veevavault.com/ui/#object/account__v/V4TZ06G6O71TCN5", "MERCEDES HOMS DEL VALLE")</f>
        <v>MERCEDES HOMS DEL VALLE</v>
      </c>
      <c r="B443" s="7" t="str">
        <f>HYPERLINK("https://otsuka-europe-crm.veevavault.com/ui/#object/vcountry__v/VENZ000004SONF5", "ES")</f>
        <v>ES</v>
      </c>
      <c r="C443" s="8" t="s">
        <v>41</v>
      </c>
      <c r="D443" s="9" t="str">
        <f>HYPERLINK("https://otsuka-europe-crm.veevavault.com/ui/#object/approved_document__v/V5O00000001H022", "LUP - VAE invitación simposio SEN-SER - Nefro")</f>
        <v>LUP - VAE invitación simposio SEN-SER - Nefro</v>
      </c>
      <c r="E443" s="10" t="str">
        <f>HYPERLINK("https://otsuka-europe-crm.veevavault.com/ui/#object/sent_email__v/VBL00000002N167", "SE-001431085")</f>
        <v>SE-001431085</v>
      </c>
      <c r="F443" s="11"/>
      <c r="G443" s="12">
        <v>0</v>
      </c>
      <c r="H443" s="12">
        <v>0</v>
      </c>
      <c r="I443" s="12">
        <v>0</v>
      </c>
      <c r="J443" s="11"/>
      <c r="K443" s="12">
        <v>0</v>
      </c>
      <c r="L443" s="10" t="str">
        <f>HYPERLINK("https://otsuka-europe-crm.veevavault.com/ui/#object/approved_document__v/V5O00000001H022", "LUP - VAE invitación simposio SEN-SER - Nefro")</f>
        <v>LUP - VAE invitación simposio SEN-SER - Nefro</v>
      </c>
      <c r="M443" s="10" t="str">
        <f>HYPERLINK("mailto:ccoll@crm.otsuka-europe.com", "ccoll@crm.otsuka-europe.com")</f>
        <v>ccoll@crm.otsuka-europe.com</v>
      </c>
      <c r="N443" s="13">
        <v>46174.626331018517</v>
      </c>
      <c r="O443" s="14" t="str">
        <f>HYPERLINK("https://otsuka-europe-crm.veevavault.com/ui/#object/email_activity__v/V8C00000003K378", "EN-002086428")</f>
        <v>EN-002086428</v>
      </c>
    </row>
    <row r="444" spans="1:15" ht="16" x14ac:dyDescent="0.2">
      <c r="A444" s="17" t="str">
        <f>HYPERLINK("https://otsuka-europe-crm.veevavault.com/ui/#object/account__v/V4TZ025E85M0UKL", "JOSE ANTONIO FERRERAS GASCO")</f>
        <v>JOSE ANTONIO FERRERAS GASCO</v>
      </c>
      <c r="B444" s="17" t="str">
        <f>HYPERLINK("https://otsuka-europe-crm.veevavault.com/ui/#object/vcountry__v/VENZ000004SONF5", "ES")</f>
        <v>ES</v>
      </c>
      <c r="C444" s="20" t="s">
        <v>41</v>
      </c>
      <c r="D444" s="21" t="str">
        <f>HYPERLINK("https://otsuka-europe-crm.veevavault.com/ui/#object/approved_document__v/V5O00000001H022", "LUP - VAE invitación simposio SEN-SER - Nefro")</f>
        <v>LUP - VAE invitación simposio SEN-SER - Nefro</v>
      </c>
      <c r="E444" s="22" t="str">
        <f>HYPERLINK("https://otsuka-europe-crm.veevavault.com/ui/#object/sent_email__v/VBL00000002N168", "SE-001431086")</f>
        <v>SE-001431086</v>
      </c>
      <c r="F444" s="25"/>
      <c r="G444" s="24">
        <v>0</v>
      </c>
      <c r="H444" s="24">
        <v>0</v>
      </c>
      <c r="I444" s="24">
        <v>0</v>
      </c>
      <c r="J444" s="25"/>
      <c r="K444" s="24">
        <v>0</v>
      </c>
      <c r="L444" s="22" t="str">
        <f>HYPERLINK("https://otsuka-europe-crm.veevavault.com/ui/#object/approved_document__v/V5O00000001H022", "LUP - VAE invitación simposio SEN-SER - Nefro")</f>
        <v>LUP - VAE invitación simposio SEN-SER - Nefro</v>
      </c>
      <c r="M444" s="22" t="str">
        <f>HYPERLINK("mailto:ccoll@crm.otsuka-europe.com", "ccoll@crm.otsuka-europe.com")</f>
        <v>ccoll@crm.otsuka-europe.com</v>
      </c>
      <c r="N444" s="23">
        <v>46174.626331018517</v>
      </c>
      <c r="O444" s="14" t="str">
        <f>HYPERLINK("https://otsuka-europe-crm.veevavault.com/ui/#object/email_activity__v/V8C00000003K279", "EN-002086329")</f>
        <v>EN-002086329</v>
      </c>
    </row>
    <row r="445" spans="1:15" ht="16" x14ac:dyDescent="0.2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4" t="str">
        <f>HYPERLINK("https://otsuka-europe-crm.veevavault.com/ui/#object/email_activity__v/V8C00000003L157", "EN-002086555")</f>
        <v>EN-002086555</v>
      </c>
    </row>
    <row r="446" spans="1:15" ht="16" x14ac:dyDescent="0.2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4" t="str">
        <f>HYPERLINK("https://otsuka-europe-crm.veevavault.com/ui/#object/email_activity__v/V8C00000003L310", "EN-002086819")</f>
        <v>EN-002086819</v>
      </c>
    </row>
    <row r="447" spans="1:15" ht="16" x14ac:dyDescent="0.2">
      <c r="A447" s="17" t="str">
        <f>HYPERLINK("https://otsuka-europe-crm.veevavault.com/ui/#object/account__v/V4TZ06G6O71TBVH", "ROSA RAMOS SANCHEZ")</f>
        <v>ROSA RAMOS SANCHEZ</v>
      </c>
      <c r="B447" s="17" t="str">
        <f>HYPERLINK("https://otsuka-europe-crm.veevavault.com/ui/#object/vcountry__v/VENZ000004SONF5", "ES")</f>
        <v>ES</v>
      </c>
      <c r="C447" s="20" t="s">
        <v>41</v>
      </c>
      <c r="D447" s="21" t="str">
        <f>HYPERLINK("https://otsuka-europe-crm.veevavault.com/ui/#object/approved_document__v/V5O00000001H022", "LUP - VAE invitación simposio SEN-SER - Nefro")</f>
        <v>LUP - VAE invitación simposio SEN-SER - Nefro</v>
      </c>
      <c r="E447" s="22" t="str">
        <f>HYPERLINK("https://otsuka-europe-crm.veevavault.com/ui/#object/sent_email__v/VBL00000002N169", "SE-001431087")</f>
        <v>SE-001431087</v>
      </c>
      <c r="F447" s="23">
        <v>46174.652800925927</v>
      </c>
      <c r="G447" s="24">
        <v>1</v>
      </c>
      <c r="H447" s="24">
        <v>1</v>
      </c>
      <c r="I447" s="24">
        <v>1</v>
      </c>
      <c r="J447" s="23">
        <v>46174.65315972222</v>
      </c>
      <c r="K447" s="24">
        <v>1</v>
      </c>
      <c r="L447" s="22" t="str">
        <f>HYPERLINK("https://otsuka-europe-crm.veevavault.com/ui/#object/approved_document__v/V5O00000001H022", "LUP - VAE invitación simposio SEN-SER - Nefro")</f>
        <v>LUP - VAE invitación simposio SEN-SER - Nefro</v>
      </c>
      <c r="M447" s="22" t="str">
        <f>HYPERLINK("mailto:ccoll@crm.otsuka-europe.com", "ccoll@crm.otsuka-europe.com")</f>
        <v>ccoll@crm.otsuka-europe.com</v>
      </c>
      <c r="N447" s="23">
        <v>46174.626331018517</v>
      </c>
      <c r="O447" s="14" t="str">
        <f>HYPERLINK("https://otsuka-europe-crm.veevavault.com/ui/#object/email_activity__v/V8C00000003K318", "EN-002086366")</f>
        <v>EN-002086366</v>
      </c>
    </row>
    <row r="448" spans="1:15" ht="16" x14ac:dyDescent="0.2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4" t="str">
        <f>HYPERLINK("https://otsuka-europe-crm.veevavault.com/ui/#object/email_activity__v/V8C00000003K494", "EN-002086566")</f>
        <v>EN-002086566</v>
      </c>
    </row>
    <row r="449" spans="1:15" ht="16" x14ac:dyDescent="0.2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4" t="str">
        <f>HYPERLINK("https://otsuka-europe-crm.veevavault.com/ui/#object/email_activity__v/V8C00000003L161", "EN-002086565")</f>
        <v>EN-002086565</v>
      </c>
    </row>
    <row r="450" spans="1:15" ht="16" x14ac:dyDescent="0.2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4" t="str">
        <f>HYPERLINK("https://otsuka-europe-crm.veevavault.com/ui/#object/email_activity__v/V8C00000003L200", "EN-002086625")</f>
        <v>EN-002086625</v>
      </c>
    </row>
    <row r="451" spans="1:15" ht="32" x14ac:dyDescent="0.2">
      <c r="A451" s="7" t="str">
        <f>HYPERLINK("https://otsuka-europe-crm.veevavault.com/ui/#object/account__v/V4TZ025E82C89DT", "MARIA CASANOVA APARICIO")</f>
        <v>MARIA CASANOVA APARICIO</v>
      </c>
      <c r="B451" s="7" t="str">
        <f>HYPERLINK("https://otsuka-europe-crm.veevavault.com/ui/#object/vcountry__v/VENZ000004SONF5", "ES")</f>
        <v>ES</v>
      </c>
      <c r="C451" s="8" t="s">
        <v>41</v>
      </c>
      <c r="D451" s="9" t="str">
        <f>HYPERLINK("https://otsuka-europe-crm.veevavault.com/ui/#object/approved_document__v/V5O00000001H022", "LUP - VAE invitación simposio SEN-SER - Nefro")</f>
        <v>LUP - VAE invitación simposio SEN-SER - Nefro</v>
      </c>
      <c r="E451" s="10" t="str">
        <f>HYPERLINK("https://otsuka-europe-crm.veevavault.com/ui/#object/sent_email__v/VBL00000002N170", "SE-001431088")</f>
        <v>SE-001431088</v>
      </c>
      <c r="F451" s="11"/>
      <c r="G451" s="12">
        <v>0</v>
      </c>
      <c r="H451" s="12">
        <v>0</v>
      </c>
      <c r="I451" s="12">
        <v>0</v>
      </c>
      <c r="J451" s="11"/>
      <c r="K451" s="12">
        <v>0</v>
      </c>
      <c r="L451" s="10" t="str">
        <f>HYPERLINK("https://otsuka-europe-crm.veevavault.com/ui/#object/approved_document__v/V5O00000001H022", "LUP - VAE invitación simposio SEN-SER - Nefro")</f>
        <v>LUP - VAE invitación simposio SEN-SER - Nefro</v>
      </c>
      <c r="M451" s="10" t="str">
        <f>HYPERLINK("mailto:ccoll@crm.otsuka-europe.com", "ccoll@crm.otsuka-europe.com")</f>
        <v>ccoll@crm.otsuka-europe.com</v>
      </c>
      <c r="N451" s="13">
        <v>46174.626354166663</v>
      </c>
      <c r="O451" s="14" t="str">
        <f>HYPERLINK("https://otsuka-europe-crm.veevavault.com/ui/#object/email_activity__v/V8C00000003K306", "EN-002086356")</f>
        <v>EN-002086356</v>
      </c>
    </row>
    <row r="452" spans="1:15" ht="16" x14ac:dyDescent="0.2">
      <c r="A452" s="17" t="str">
        <f>HYPERLINK("https://otsuka-europe-crm.veevavault.com/ui/#object/account__v/V4TZ06G6O71TBPV", "MANUEL RAMIREZ DE ARELLANO SERNA")</f>
        <v>MANUEL RAMIREZ DE ARELLANO SERNA</v>
      </c>
      <c r="B452" s="17" t="str">
        <f>HYPERLINK("https://otsuka-europe-crm.veevavault.com/ui/#object/vcountry__v/VENZ000004SONF5", "ES")</f>
        <v>ES</v>
      </c>
      <c r="C452" s="20" t="s">
        <v>41</v>
      </c>
      <c r="D452" s="21" t="str">
        <f>HYPERLINK("https://otsuka-europe-crm.veevavault.com/ui/#object/approved_document__v/V5O00000001H022", "LUP - VAE invitación simposio SEN-SER - Nefro")</f>
        <v>LUP - VAE invitación simposio SEN-SER - Nefro</v>
      </c>
      <c r="E452" s="22" t="str">
        <f>HYPERLINK("https://otsuka-europe-crm.veevavault.com/ui/#object/sent_email__v/VBL00000002N171", "SE-001431089")</f>
        <v>SE-001431089</v>
      </c>
      <c r="F452" s="23">
        <v>46174.626493055555</v>
      </c>
      <c r="G452" s="24">
        <v>1</v>
      </c>
      <c r="H452" s="24">
        <v>1</v>
      </c>
      <c r="I452" s="24">
        <v>1</v>
      </c>
      <c r="J452" s="23">
        <v>46174.626712962963</v>
      </c>
      <c r="K452" s="24">
        <v>1</v>
      </c>
      <c r="L452" s="22" t="str">
        <f>HYPERLINK("https://otsuka-europe-crm.veevavault.com/ui/#object/approved_document__v/V5O00000001H022", "LUP - VAE invitación simposio SEN-SER - Nefro")</f>
        <v>LUP - VAE invitación simposio SEN-SER - Nefro</v>
      </c>
      <c r="M452" s="22" t="str">
        <f>HYPERLINK("mailto:ccoll@crm.otsuka-europe.com", "ccoll@crm.otsuka-europe.com")</f>
        <v>ccoll@crm.otsuka-europe.com</v>
      </c>
      <c r="N452" s="23">
        <v>46174.626331018517</v>
      </c>
      <c r="O452" s="14" t="str">
        <f>HYPERLINK("https://otsuka-europe-crm.veevavault.com/ui/#object/email_activity__v/V8C00000003K271", "EN-002086321")</f>
        <v>EN-002086321</v>
      </c>
    </row>
    <row r="453" spans="1:15" ht="16" x14ac:dyDescent="0.2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4" t="str">
        <f>HYPERLINK("https://otsuka-europe-crm.veevavault.com/ui/#object/email_activity__v/V8C00000003K316", "EN-002086369")</f>
        <v>EN-002086369</v>
      </c>
    </row>
    <row r="454" spans="1:15" ht="16" x14ac:dyDescent="0.2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4" t="str">
        <f>HYPERLINK("https://otsuka-europe-crm.veevavault.com/ui/#object/email_activity__v/V8C00000003K395", "EN-002086445")</f>
        <v>EN-002086445</v>
      </c>
    </row>
    <row r="455" spans="1:15" ht="32" x14ac:dyDescent="0.2">
      <c r="A455" s="7" t="str">
        <f>HYPERLINK("https://otsuka-europe-crm.veevavault.com/ui/#object/account__v/V4TZ04ASG8V7V07", "STHEFANNY CAROLINA GONZALEZ GARCIA")</f>
        <v>STHEFANNY CAROLINA GONZALEZ GARCIA</v>
      </c>
      <c r="B455" s="7" t="str">
        <f>HYPERLINK("https://otsuka-europe-crm.veevavault.com/ui/#object/vcountry__v/VENZ000004SONF5", "ES")</f>
        <v>ES</v>
      </c>
      <c r="C455" s="8" t="s">
        <v>41</v>
      </c>
      <c r="D455" s="9" t="str">
        <f>HYPERLINK("https://otsuka-europe-crm.veevavault.com/ui/#object/approved_document__v/V5O00000001H022", "LUP - VAE invitación simposio SEN-SER - Nefro")</f>
        <v>LUP - VAE invitación simposio SEN-SER - Nefro</v>
      </c>
      <c r="E455" s="10" t="str">
        <f>HYPERLINK("https://otsuka-europe-crm.veevavault.com/ui/#object/sent_email__v/VBL00000002N172", "SE-001431090")</f>
        <v>SE-001431090</v>
      </c>
      <c r="F455" s="11"/>
      <c r="G455" s="12">
        <v>0</v>
      </c>
      <c r="H455" s="12">
        <v>0</v>
      </c>
      <c r="I455" s="12">
        <v>0</v>
      </c>
      <c r="J455" s="11"/>
      <c r="K455" s="12">
        <v>0</v>
      </c>
      <c r="L455" s="10" t="str">
        <f>HYPERLINK("https://otsuka-europe-crm.veevavault.com/ui/#object/approved_document__v/V5O00000001H022", "LUP - VAE invitación simposio SEN-SER - Nefro")</f>
        <v>LUP - VAE invitación simposio SEN-SER - Nefro</v>
      </c>
      <c r="M455" s="10" t="str">
        <f>HYPERLINK("mailto:ccoll@crm.otsuka-europe.com", "ccoll@crm.otsuka-europe.com")</f>
        <v>ccoll@crm.otsuka-europe.com</v>
      </c>
      <c r="N455" s="13">
        <v>46174.626354166663</v>
      </c>
      <c r="O455" s="14" t="str">
        <f>HYPERLINK("https://otsuka-europe-crm.veevavault.com/ui/#object/email_activity__v/V8C00000003K307", "EN-002086357")</f>
        <v>EN-002086357</v>
      </c>
    </row>
    <row r="456" spans="1:15" ht="32" x14ac:dyDescent="0.2">
      <c r="A456" s="7" t="str">
        <f>HYPERLINK("https://otsuka-europe-crm.veevavault.com/ui/#object/account__v/V4TZ025E86GOECL", "ASTRID PATRICIA HERNANDEZ SIERRA")</f>
        <v>ASTRID PATRICIA HERNANDEZ SIERRA</v>
      </c>
      <c r="B456" s="7" t="str">
        <f>HYPERLINK("https://otsuka-europe-crm.veevavault.com/ui/#object/vcountry__v/VENZ000004SONF5", "ES")</f>
        <v>ES</v>
      </c>
      <c r="C456" s="8" t="s">
        <v>41</v>
      </c>
      <c r="D456" s="9" t="str">
        <f>HYPERLINK("https://otsuka-europe-crm.veevavault.com/ui/#object/approved_document__v/V5O00000001H022", "LUP - VAE invitación simposio SEN-SER - Nefro")</f>
        <v>LUP - VAE invitación simposio SEN-SER - Nefro</v>
      </c>
      <c r="E456" s="10" t="str">
        <f>HYPERLINK("https://otsuka-europe-crm.veevavault.com/ui/#object/sent_email__v/VBL00000002N173", "SE-001431091")</f>
        <v>SE-001431091</v>
      </c>
      <c r="F456" s="11"/>
      <c r="G456" s="12">
        <v>0</v>
      </c>
      <c r="H456" s="12">
        <v>0</v>
      </c>
      <c r="I456" s="12">
        <v>0</v>
      </c>
      <c r="J456" s="11"/>
      <c r="K456" s="12">
        <v>0</v>
      </c>
      <c r="L456" s="10" t="str">
        <f>HYPERLINK("https://otsuka-europe-crm.veevavault.com/ui/#object/approved_document__v/V5O00000001H022", "LUP - VAE invitación simposio SEN-SER - Nefro")</f>
        <v>LUP - VAE invitación simposio SEN-SER - Nefro</v>
      </c>
      <c r="M456" s="10" t="str">
        <f>HYPERLINK("mailto:ccoll@crm.otsuka-europe.com", "ccoll@crm.otsuka-europe.com")</f>
        <v>ccoll@crm.otsuka-europe.com</v>
      </c>
      <c r="N456" s="13">
        <v>46174.626354166663</v>
      </c>
      <c r="O456" s="14" t="str">
        <f>HYPERLINK("https://otsuka-europe-crm.veevavault.com/ui/#object/email_activity__v/V8C00000003K282", "EN-002086332")</f>
        <v>EN-002086332</v>
      </c>
    </row>
    <row r="457" spans="1:15" ht="16" x14ac:dyDescent="0.2">
      <c r="A457" s="17" t="str">
        <f>HYPERLINK("https://otsuka-europe-crm.veevavault.com/ui/#object/account__v/V4TZ025E878VARP", "SERGIO IBAÑEZ SANCHEZ")</f>
        <v>SERGIO IBAÑEZ SANCHEZ</v>
      </c>
      <c r="B457" s="17" t="str">
        <f>HYPERLINK("https://otsuka-europe-crm.veevavault.com/ui/#object/vcountry__v/VENZ000004SONF5", "ES")</f>
        <v>ES</v>
      </c>
      <c r="C457" s="20" t="s">
        <v>41</v>
      </c>
      <c r="D457" s="21" t="str">
        <f>HYPERLINK("https://otsuka-europe-crm.veevavault.com/ui/#object/approved_document__v/V5O00000001H022", "LUP - VAE invitación simposio SEN-SER - Nefro")</f>
        <v>LUP - VAE invitación simposio SEN-SER - Nefro</v>
      </c>
      <c r="E457" s="22" t="str">
        <f>HYPERLINK("https://otsuka-europe-crm.veevavault.com/ui/#object/sent_email__v/VBL00000002N174", "SE-001431092")</f>
        <v>SE-001431092</v>
      </c>
      <c r="F457" s="25"/>
      <c r="G457" s="24">
        <v>0</v>
      </c>
      <c r="H457" s="24">
        <v>0</v>
      </c>
      <c r="I457" s="24">
        <v>0</v>
      </c>
      <c r="J457" s="25"/>
      <c r="K457" s="24">
        <v>0</v>
      </c>
      <c r="L457" s="22" t="str">
        <f>HYPERLINK("https://otsuka-europe-crm.veevavault.com/ui/#object/approved_document__v/V5O00000001H022", "LUP - VAE invitación simposio SEN-SER - Nefro")</f>
        <v>LUP - VAE invitación simposio SEN-SER - Nefro</v>
      </c>
      <c r="M457" s="22" t="str">
        <f>HYPERLINK("mailto:ccoll@crm.otsuka-europe.com", "ccoll@crm.otsuka-europe.com")</f>
        <v>ccoll@crm.otsuka-europe.com</v>
      </c>
      <c r="N457" s="23">
        <v>46174.62641203704</v>
      </c>
      <c r="O457" s="14" t="str">
        <f>HYPERLINK("https://otsuka-europe-crm.veevavault.com/ui/#object/email_activity__v/V8C00000003K352", "EN-002086402")</f>
        <v>EN-002086402</v>
      </c>
    </row>
    <row r="458" spans="1:15" ht="16" x14ac:dyDescent="0.2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4" t="str">
        <f>HYPERLINK("https://otsuka-europe-crm.veevavault.com/ui/#object/email_activity__v/V8C00000003K825", "EN-002087497")</f>
        <v>EN-002087497</v>
      </c>
    </row>
    <row r="459" spans="1:15" ht="16" x14ac:dyDescent="0.2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4" t="str">
        <f>HYPERLINK("https://otsuka-europe-crm.veevavault.com/ui/#object/email_activity__v/V8C00000003M222", "EN-002088414")</f>
        <v>EN-002088414</v>
      </c>
    </row>
    <row r="460" spans="1:15" ht="16" x14ac:dyDescent="0.2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4" t="str">
        <f>HYPERLINK("https://otsuka-europe-crm.veevavault.com/ui/#object/email_activity__v/V8C00000003M236", "EN-002088432")</f>
        <v>EN-002088432</v>
      </c>
    </row>
    <row r="461" spans="1:15" ht="16" x14ac:dyDescent="0.2">
      <c r="A461" s="17" t="str">
        <f>HYPERLINK("https://otsuka-europe-crm.veevavault.com/ui/#object/account__v/V4TZ025E82A5S7N", "ARIADNA GONZALEZ GARCIA")</f>
        <v>ARIADNA GONZALEZ GARCIA</v>
      </c>
      <c r="B461" s="17" t="str">
        <f>HYPERLINK("https://otsuka-europe-crm.veevavault.com/ui/#object/vcountry__v/VENZ000004SONF5", "ES")</f>
        <v>ES</v>
      </c>
      <c r="C461" s="20" t="s">
        <v>41</v>
      </c>
      <c r="D461" s="21" t="str">
        <f>HYPERLINK("https://otsuka-europe-crm.veevavault.com/ui/#object/approved_document__v/V5O00000001H022", "LUP - VAE invitación simposio SEN-SER - Nefro")</f>
        <v>LUP - VAE invitación simposio SEN-SER - Nefro</v>
      </c>
      <c r="E461" s="22" t="str">
        <f>HYPERLINK("https://otsuka-europe-crm.veevavault.com/ui/#object/sent_email__v/VBL00000002N175", "SE-001431093")</f>
        <v>SE-001431093</v>
      </c>
      <c r="F461" s="23">
        <v>46187.385127314818</v>
      </c>
      <c r="G461" s="24">
        <v>1</v>
      </c>
      <c r="H461" s="24">
        <v>1</v>
      </c>
      <c r="I461" s="24">
        <v>0</v>
      </c>
      <c r="J461" s="25"/>
      <c r="K461" s="24">
        <v>0</v>
      </c>
      <c r="L461" s="22" t="str">
        <f>HYPERLINK("https://otsuka-europe-crm.veevavault.com/ui/#object/approved_document__v/V5O00000001H022", "LUP - VAE invitación simposio SEN-SER - Nefro")</f>
        <v>LUP - VAE invitación simposio SEN-SER - Nefro</v>
      </c>
      <c r="M461" s="22" t="str">
        <f>HYPERLINK("mailto:ccoll@crm.otsuka-europe.com", "ccoll@crm.otsuka-europe.com")</f>
        <v>ccoll@crm.otsuka-europe.com</v>
      </c>
      <c r="N461" s="23">
        <v>46174.626354166663</v>
      </c>
      <c r="O461" s="14" t="str">
        <f>HYPERLINK("https://otsuka-europe-crm.veevavault.com/ui/#object/email_activity__v/V8C00000003K309", "EN-002086359")</f>
        <v>EN-002086359</v>
      </c>
    </row>
    <row r="462" spans="1:15" ht="16" x14ac:dyDescent="0.2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4" t="str">
        <f>HYPERLINK("https://otsuka-europe-crm.veevavault.com/ui/#object/email_activity__v/V8C00000003V455", "EN-002095682")</f>
        <v>EN-002095682</v>
      </c>
    </row>
    <row r="463" spans="1:15" ht="32" x14ac:dyDescent="0.2">
      <c r="A463" s="7" t="str">
        <f>HYPERLINK("https://otsuka-europe-crm.veevavault.com/ui/#object/account__v/V4TZ04ASGBX7LP5", "MERCEDES MONTANER PIZA")</f>
        <v>MERCEDES MONTANER PIZA</v>
      </c>
      <c r="B463" s="7" t="str">
        <f>HYPERLINK("https://otsuka-europe-crm.veevavault.com/ui/#object/vcountry__v/VENZ000004SONF5", "ES")</f>
        <v>ES</v>
      </c>
      <c r="C463" s="8" t="s">
        <v>41</v>
      </c>
      <c r="D463" s="9" t="str">
        <f>HYPERLINK("https://otsuka-europe-crm.veevavault.com/ui/#object/approved_document__v/V5O00000001H022", "LUP - VAE invitación simposio SEN-SER - Nefro")</f>
        <v>LUP - VAE invitación simposio SEN-SER - Nefro</v>
      </c>
      <c r="E463" s="10" t="str">
        <f>HYPERLINK("https://otsuka-europe-crm.veevavault.com/ui/#object/sent_email__v/VBL00000002N176", "SE-001431094")</f>
        <v>SE-001431094</v>
      </c>
      <c r="F463" s="11"/>
      <c r="G463" s="12">
        <v>0</v>
      </c>
      <c r="H463" s="12">
        <v>0</v>
      </c>
      <c r="I463" s="12">
        <v>0</v>
      </c>
      <c r="J463" s="11"/>
      <c r="K463" s="12">
        <v>0</v>
      </c>
      <c r="L463" s="10" t="str">
        <f>HYPERLINK("https://otsuka-europe-crm.veevavault.com/ui/#object/approved_document__v/V5O00000001H022", "LUP - VAE invitación simposio SEN-SER - Nefro")</f>
        <v>LUP - VAE invitación simposio SEN-SER - Nefro</v>
      </c>
      <c r="M463" s="10" t="str">
        <f>HYPERLINK("mailto:ccoll@crm.otsuka-europe.com", "ccoll@crm.otsuka-europe.com")</f>
        <v>ccoll@crm.otsuka-europe.com</v>
      </c>
      <c r="N463" s="13">
        <v>46174.626354166663</v>
      </c>
      <c r="O463" s="14" t="str">
        <f>HYPERLINK("https://otsuka-europe-crm.veevavault.com/ui/#object/email_activity__v/V8C00000003K268", "EN-002086318")</f>
        <v>EN-002086318</v>
      </c>
    </row>
    <row r="464" spans="1:15" ht="16" x14ac:dyDescent="0.2">
      <c r="A464" s="17" t="str">
        <f>HYPERLINK("https://otsuka-europe-crm.veevavault.com/ui/#object/account__v/V4TZ04ASGBC5QX5", "JULIA GARRO MARTINEZ")</f>
        <v>JULIA GARRO MARTINEZ</v>
      </c>
      <c r="B464" s="17" t="str">
        <f>HYPERLINK("https://otsuka-europe-crm.veevavault.com/ui/#object/vcountry__v/VENZ000004SONF5", "ES")</f>
        <v>ES</v>
      </c>
      <c r="C464" s="20" t="s">
        <v>41</v>
      </c>
      <c r="D464" s="21" t="str">
        <f>HYPERLINK("https://otsuka-europe-crm.veevavault.com/ui/#object/approved_document__v/V5O00000001H022", "LUP - VAE invitación simposio SEN-SER - Nefro")</f>
        <v>LUP - VAE invitación simposio SEN-SER - Nefro</v>
      </c>
      <c r="E464" s="22" t="str">
        <f>HYPERLINK("https://otsuka-europe-crm.veevavault.com/ui/#object/sent_email__v/VBL00000002N177", "SE-001431095")</f>
        <v>SE-001431095</v>
      </c>
      <c r="F464" s="23">
        <v>46175.378541666665</v>
      </c>
      <c r="G464" s="24">
        <v>1</v>
      </c>
      <c r="H464" s="24">
        <v>1</v>
      </c>
      <c r="I464" s="24">
        <v>0</v>
      </c>
      <c r="J464" s="25"/>
      <c r="K464" s="24">
        <v>0</v>
      </c>
      <c r="L464" s="22" t="str">
        <f>HYPERLINK("https://otsuka-europe-crm.veevavault.com/ui/#object/approved_document__v/V5O00000001H022", "LUP - VAE invitación simposio SEN-SER - Nefro")</f>
        <v>LUP - VAE invitación simposio SEN-SER - Nefro</v>
      </c>
      <c r="M464" s="22" t="str">
        <f>HYPERLINK("mailto:ccoll@crm.otsuka-europe.com", "ccoll@crm.otsuka-europe.com")</f>
        <v>ccoll@crm.otsuka-europe.com</v>
      </c>
      <c r="N464" s="23">
        <v>46174.626354166663</v>
      </c>
      <c r="O464" s="14" t="str">
        <f>HYPERLINK("https://otsuka-europe-crm.veevavault.com/ui/#object/email_activity__v/V8C00000003K260", "EN-002086310")</f>
        <v>EN-002086310</v>
      </c>
    </row>
    <row r="465" spans="1:15" ht="16" x14ac:dyDescent="0.2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4" t="str">
        <f>HYPERLINK("https://otsuka-europe-crm.veevavault.com/ui/#object/email_activity__v/V8C00000003K498", "EN-002086581")</f>
        <v>EN-002086581</v>
      </c>
    </row>
    <row r="466" spans="1:15" ht="16" x14ac:dyDescent="0.2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4" t="str">
        <f>HYPERLINK("https://otsuka-europe-crm.veevavault.com/ui/#object/email_activity__v/V8C00000003L367", "EN-002086912")</f>
        <v>EN-002086912</v>
      </c>
    </row>
    <row r="467" spans="1:15" ht="32" x14ac:dyDescent="0.2">
      <c r="A467" s="7" t="str">
        <f>HYPERLINK("https://otsuka-europe-crm.veevavault.com/ui/#object/account__v/V4TZ06G6O71TCBW", "ROSER TORRA BALCELLS")</f>
        <v>ROSER TORRA BALCELLS</v>
      </c>
      <c r="B467" s="7" t="str">
        <f>HYPERLINK("https://otsuka-europe-crm.veevavault.com/ui/#object/vcountry__v/VENZ000004SONF5", "ES")</f>
        <v>ES</v>
      </c>
      <c r="C467" s="8" t="s">
        <v>41</v>
      </c>
      <c r="D467" s="9" t="str">
        <f>HYPERLINK("https://otsuka-europe-crm.veevavault.com/ui/#object/approved_document__v/V5O00000001H022", "LUP - VAE invitación simposio SEN-SER - Nefro")</f>
        <v>LUP - VAE invitación simposio SEN-SER - Nefro</v>
      </c>
      <c r="E467" s="10" t="str">
        <f>HYPERLINK("https://otsuka-europe-crm.veevavault.com/ui/#object/sent_email__v/VBL00000002N178", "SE-001431096")</f>
        <v>SE-001431096</v>
      </c>
      <c r="F467" s="11"/>
      <c r="G467" s="12">
        <v>0</v>
      </c>
      <c r="H467" s="12">
        <v>0</v>
      </c>
      <c r="I467" s="12">
        <v>0</v>
      </c>
      <c r="J467" s="11"/>
      <c r="K467" s="12">
        <v>0</v>
      </c>
      <c r="L467" s="10" t="str">
        <f>HYPERLINK("https://otsuka-europe-crm.veevavault.com/ui/#object/approved_document__v/V5O00000001H022", "LUP - VAE invitación simposio SEN-SER - Nefro")</f>
        <v>LUP - VAE invitación simposio SEN-SER - Nefro</v>
      </c>
      <c r="M467" s="10" t="str">
        <f>HYPERLINK("mailto:ccoll@crm.otsuka-europe.com", "ccoll@crm.otsuka-europe.com")</f>
        <v>ccoll@crm.otsuka-europe.com</v>
      </c>
      <c r="N467" s="13">
        <v>46174.626354166663</v>
      </c>
      <c r="O467" s="14" t="str">
        <f>HYPERLINK("https://otsuka-europe-crm.veevavault.com/ui/#object/email_activity__v/V8C00000003K299", "EN-002086349")</f>
        <v>EN-002086349</v>
      </c>
    </row>
    <row r="468" spans="1:15" ht="16" x14ac:dyDescent="0.2">
      <c r="A468" s="17" t="str">
        <f>HYPERLINK("https://otsuka-europe-crm.veevavault.com/ui/#object/account__v/V4TZ06G6O71TAZ9", "CARLOS ALBERTO MAÑERO RODRIGUEZ")</f>
        <v>CARLOS ALBERTO MAÑERO RODRIGUEZ</v>
      </c>
      <c r="B468" s="17" t="str">
        <f>HYPERLINK("https://otsuka-europe-crm.veevavault.com/ui/#object/vcountry__v/VENZ000004SONF5", "ES")</f>
        <v>ES</v>
      </c>
      <c r="C468" s="20" t="s">
        <v>41</v>
      </c>
      <c r="D468" s="21" t="str">
        <f>HYPERLINK("https://otsuka-europe-crm.veevavault.com/ui/#object/approved_document__v/V5O00000001H022", "LUP - VAE invitación simposio SEN-SER - Nefro")</f>
        <v>LUP - VAE invitación simposio SEN-SER - Nefro</v>
      </c>
      <c r="E468" s="22" t="str">
        <f>HYPERLINK("https://otsuka-europe-crm.veevavault.com/ui/#object/sent_email__v/VBL00000002N179", "SE-001431097")</f>
        <v>SE-001431097</v>
      </c>
      <c r="F468" s="23">
        <v>46174.626539351855</v>
      </c>
      <c r="G468" s="24">
        <v>1</v>
      </c>
      <c r="H468" s="24">
        <v>1</v>
      </c>
      <c r="I468" s="24">
        <v>0</v>
      </c>
      <c r="J468" s="25"/>
      <c r="K468" s="24">
        <v>0</v>
      </c>
      <c r="L468" s="22" t="str">
        <f>HYPERLINK("https://otsuka-europe-crm.veevavault.com/ui/#object/approved_document__v/V5O00000001H022", "LUP - VAE invitación simposio SEN-SER - Nefro")</f>
        <v>LUP - VAE invitación simposio SEN-SER - Nefro</v>
      </c>
      <c r="M468" s="22" t="str">
        <f>HYPERLINK("mailto:ccoll@crm.otsuka-europe.com", "ccoll@crm.otsuka-europe.com")</f>
        <v>ccoll@crm.otsuka-europe.com</v>
      </c>
      <c r="N468" s="23">
        <v>46174.626354166663</v>
      </c>
      <c r="O468" s="14" t="str">
        <f>HYPERLINK("https://otsuka-europe-crm.veevavault.com/ui/#object/email_activity__v/V8C00000003K302", "EN-002086352")</f>
        <v>EN-002086352</v>
      </c>
    </row>
    <row r="469" spans="1:15" ht="16" x14ac:dyDescent="0.2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4" t="str">
        <f>HYPERLINK("https://otsuka-europe-crm.veevavault.com/ui/#object/email_activity__v/V8C00000003K391", "EN-002086441")</f>
        <v>EN-002086441</v>
      </c>
    </row>
    <row r="470" spans="1:15" ht="16" x14ac:dyDescent="0.2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4" t="str">
        <f>HYPERLINK("https://otsuka-europe-crm.veevavault.com/ui/#object/email_activity__v/V8C00000003N529", "EN-002088836")</f>
        <v>EN-002088836</v>
      </c>
    </row>
    <row r="471" spans="1:15" ht="16" x14ac:dyDescent="0.2">
      <c r="A471" s="17" t="str">
        <f>HYPERLINK("https://otsuka-europe-crm.veevavault.com/ui/#object/account__v/V4TZ06G6O71T95W", "RAUL EDILBERTO ALVARADO GUTIERREZ")</f>
        <v>RAUL EDILBERTO ALVARADO GUTIERREZ</v>
      </c>
      <c r="B471" s="17" t="str">
        <f>HYPERLINK("https://otsuka-europe-crm.veevavault.com/ui/#object/vcountry__v/VENZ000004SONF5", "ES")</f>
        <v>ES</v>
      </c>
      <c r="C471" s="20" t="s">
        <v>41</v>
      </c>
      <c r="D471" s="21" t="str">
        <f>HYPERLINK("https://otsuka-europe-crm.veevavault.com/ui/#object/approved_document__v/V5O00000001H022", "LUP - VAE invitación simposio SEN-SER - Nefro")</f>
        <v>LUP - VAE invitación simposio SEN-SER - Nefro</v>
      </c>
      <c r="E471" s="22" t="str">
        <f>HYPERLINK("https://otsuka-europe-crm.veevavault.com/ui/#object/sent_email__v/VBL00000002N180", "SE-001431098")</f>
        <v>SE-001431098</v>
      </c>
      <c r="F471" s="23">
        <v>46174.654293981483</v>
      </c>
      <c r="G471" s="24">
        <v>1</v>
      </c>
      <c r="H471" s="24">
        <v>1</v>
      </c>
      <c r="I471" s="24">
        <v>1</v>
      </c>
      <c r="J471" s="23">
        <v>46174.654293981483</v>
      </c>
      <c r="K471" s="24">
        <v>1</v>
      </c>
      <c r="L471" s="22" t="str">
        <f>HYPERLINK("https://otsuka-europe-crm.veevavault.com/ui/#object/approved_document__v/V5O00000001H022", "LUP - VAE invitación simposio SEN-SER - Nefro")</f>
        <v>LUP - VAE invitación simposio SEN-SER - Nefro</v>
      </c>
      <c r="M471" s="22" t="str">
        <f>HYPERLINK("mailto:ccoll@crm.otsuka-europe.com", "ccoll@crm.otsuka-europe.com")</f>
        <v>ccoll@crm.otsuka-europe.com</v>
      </c>
      <c r="N471" s="23">
        <v>46174.626354166663</v>
      </c>
      <c r="O471" s="14" t="str">
        <f>HYPERLINK("https://otsuka-europe-crm.veevavault.com/ui/#object/email_activity__v/V8C00000003K304", "EN-002086354")</f>
        <v>EN-002086354</v>
      </c>
    </row>
    <row r="472" spans="1:15" ht="16" x14ac:dyDescent="0.2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4" t="str">
        <f>HYPERLINK("https://otsuka-europe-crm.veevavault.com/ui/#object/email_activity__v/V8C00000003L164", "EN-002086570")</f>
        <v>EN-002086570</v>
      </c>
    </row>
    <row r="473" spans="1:15" ht="16" x14ac:dyDescent="0.2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4" t="str">
        <f>HYPERLINK("https://otsuka-europe-crm.veevavault.com/ui/#object/email_activity__v/V8C00000003L165", "EN-002086569")</f>
        <v>EN-002086569</v>
      </c>
    </row>
    <row r="474" spans="1:15" ht="16" x14ac:dyDescent="0.2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4" t="str">
        <f>HYPERLINK("https://otsuka-europe-crm.veevavault.com/ui/#object/email_activity__v/V8C00000003L197", "EN-002086622")</f>
        <v>EN-002086622</v>
      </c>
    </row>
    <row r="475" spans="1:15" ht="16" x14ac:dyDescent="0.2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4" t="str">
        <f>HYPERLINK("https://otsuka-europe-crm.veevavault.com/ui/#object/email_activity__v/V8C00000003L201", "EN-002086633")</f>
        <v>EN-002086633</v>
      </c>
    </row>
    <row r="476" spans="1:15" ht="16" x14ac:dyDescent="0.2">
      <c r="A476" s="17" t="str">
        <f>HYPERLINK("https://otsuka-europe-crm.veevavault.com/ui/#object/account__v/V4TZ06G6O71T9MW", "CECILIA DALL-ANESE SIEGENTHALER")</f>
        <v>CECILIA DALL-ANESE SIEGENTHALER</v>
      </c>
      <c r="B476" s="17" t="str">
        <f>HYPERLINK("https://otsuka-europe-crm.veevavault.com/ui/#object/vcountry__v/VENZ000004SONF5", "ES")</f>
        <v>ES</v>
      </c>
      <c r="C476" s="20" t="s">
        <v>41</v>
      </c>
      <c r="D476" s="21" t="str">
        <f>HYPERLINK("https://otsuka-europe-crm.veevavault.com/ui/#object/approved_document__v/V5O00000001H022", "LUP - VAE invitación simposio SEN-SER - Nefro")</f>
        <v>LUP - VAE invitación simposio SEN-SER - Nefro</v>
      </c>
      <c r="E476" s="22" t="str">
        <f>HYPERLINK("https://otsuka-europe-crm.veevavault.com/ui/#object/sent_email__v/VBL00000002N181", "SE-001431099")</f>
        <v>SE-001431099</v>
      </c>
      <c r="F476" s="25"/>
      <c r="G476" s="24">
        <v>0</v>
      </c>
      <c r="H476" s="24">
        <v>0</v>
      </c>
      <c r="I476" s="24">
        <v>0</v>
      </c>
      <c r="J476" s="25"/>
      <c r="K476" s="24">
        <v>0</v>
      </c>
      <c r="L476" s="22" t="str">
        <f>HYPERLINK("https://otsuka-europe-crm.veevavault.com/ui/#object/approved_document__v/V5O00000001H022", "LUP - VAE invitación simposio SEN-SER - Nefro")</f>
        <v>LUP - VAE invitación simposio SEN-SER - Nefro</v>
      </c>
      <c r="M476" s="22" t="str">
        <f>HYPERLINK("mailto:ccoll@crm.otsuka-europe.com", "ccoll@crm.otsuka-europe.com")</f>
        <v>ccoll@crm.otsuka-europe.com</v>
      </c>
      <c r="N476" s="23">
        <v>46174.62641203704</v>
      </c>
      <c r="O476" s="14" t="str">
        <f>HYPERLINK("https://otsuka-europe-crm.veevavault.com/ui/#object/email_activity__v/V8C00000003K351", "EN-002086401")</f>
        <v>EN-002086401</v>
      </c>
    </row>
    <row r="477" spans="1:15" ht="16" x14ac:dyDescent="0.2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4" t="str">
        <f>HYPERLINK("https://otsuka-europe-crm.veevavault.com/ui/#object/email_activity__v/V8C00000003L287", "EN-002086777")</f>
        <v>EN-002086777</v>
      </c>
    </row>
    <row r="478" spans="1:15" ht="32" x14ac:dyDescent="0.2">
      <c r="A478" s="7" t="str">
        <f>HYPERLINK("https://otsuka-europe-crm.veevavault.com/ui/#object/account__v/V4TZ025E89AZY58", "NESTOR GABRIEL TOAPANTA GAIBOR")</f>
        <v>NESTOR GABRIEL TOAPANTA GAIBOR</v>
      </c>
      <c r="B478" s="7" t="str">
        <f>HYPERLINK("https://otsuka-europe-crm.veevavault.com/ui/#object/vcountry__v/VENZ000004SONF5", "ES")</f>
        <v>ES</v>
      </c>
      <c r="C478" s="8" t="s">
        <v>41</v>
      </c>
      <c r="D478" s="9" t="str">
        <f>HYPERLINK("https://otsuka-europe-crm.veevavault.com/ui/#object/approved_document__v/V5O00000001H022", "LUP - VAE invitación simposio SEN-SER - Nefro")</f>
        <v>LUP - VAE invitación simposio SEN-SER - Nefro</v>
      </c>
      <c r="E478" s="10" t="str">
        <f>HYPERLINK("https://otsuka-europe-crm.veevavault.com/ui/#object/sent_email__v/VBL00000002N182", "SE-001431100")</f>
        <v>SE-001431100</v>
      </c>
      <c r="F478" s="11"/>
      <c r="G478" s="12">
        <v>0</v>
      </c>
      <c r="H478" s="12">
        <v>0</v>
      </c>
      <c r="I478" s="12">
        <v>0</v>
      </c>
      <c r="J478" s="11"/>
      <c r="K478" s="12">
        <v>0</v>
      </c>
      <c r="L478" s="10" t="str">
        <f>HYPERLINK("https://otsuka-europe-crm.veevavault.com/ui/#object/approved_document__v/V5O00000001H022", "LUP - VAE invitación simposio SEN-SER - Nefro")</f>
        <v>LUP - VAE invitación simposio SEN-SER - Nefro</v>
      </c>
      <c r="M478" s="10" t="str">
        <f>HYPERLINK("mailto:ccoll@crm.otsuka-europe.com", "ccoll@crm.otsuka-europe.com")</f>
        <v>ccoll@crm.otsuka-europe.com</v>
      </c>
      <c r="N478" s="13">
        <v>46174.626354166663</v>
      </c>
      <c r="O478" s="14" t="str">
        <f>HYPERLINK("https://otsuka-europe-crm.veevavault.com/ui/#object/email_activity__v/V8C00000003K262", "EN-002086312")</f>
        <v>EN-002086312</v>
      </c>
    </row>
    <row r="479" spans="1:15" ht="32" x14ac:dyDescent="0.2">
      <c r="A479" s="7" t="str">
        <f>HYPERLINK("https://otsuka-europe-crm.veevavault.com/ui/#object/account__v/V4TZ04ASG9H6T65", "BEATRIZ GARCIA PERIS")</f>
        <v>BEATRIZ GARCIA PERIS</v>
      </c>
      <c r="B479" s="7" t="str">
        <f>HYPERLINK("https://otsuka-europe-crm.veevavault.com/ui/#object/vcountry__v/VENZ000004SONF5", "ES")</f>
        <v>ES</v>
      </c>
      <c r="C479" s="8" t="s">
        <v>41</v>
      </c>
      <c r="D479" s="9" t="str">
        <f>HYPERLINK("https://otsuka-europe-crm.veevavault.com/ui/#object/approved_document__v/V5O00000001H022", "LUP - VAE invitación simposio SEN-SER - Nefro")</f>
        <v>LUP - VAE invitación simposio SEN-SER - Nefro</v>
      </c>
      <c r="E479" s="10" t="str">
        <f>HYPERLINK("https://otsuka-europe-crm.veevavault.com/ui/#object/sent_email__v/VBL00000002N183", "SE-001431101")</f>
        <v>SE-001431101</v>
      </c>
      <c r="F479" s="11"/>
      <c r="G479" s="12">
        <v>0</v>
      </c>
      <c r="H479" s="12">
        <v>0</v>
      </c>
      <c r="I479" s="12">
        <v>0</v>
      </c>
      <c r="J479" s="11"/>
      <c r="K479" s="12">
        <v>0</v>
      </c>
      <c r="L479" s="10" t="str">
        <f>HYPERLINK("https://otsuka-europe-crm.veevavault.com/ui/#object/approved_document__v/V5O00000001H022", "LUP - VAE invitación simposio SEN-SER - Nefro")</f>
        <v>LUP - VAE invitación simposio SEN-SER - Nefro</v>
      </c>
      <c r="M479" s="10" t="str">
        <f>HYPERLINK("mailto:ccoll@crm.otsuka-europe.com", "ccoll@crm.otsuka-europe.com")</f>
        <v>ccoll@crm.otsuka-europe.com</v>
      </c>
      <c r="N479" s="13">
        <v>46174.626388888886</v>
      </c>
      <c r="O479" s="14" t="str">
        <f>HYPERLINK("https://otsuka-europe-crm.veevavault.com/ui/#object/email_activity__v/V8C00000003K373", "EN-002086423")</f>
        <v>EN-002086423</v>
      </c>
    </row>
    <row r="480" spans="1:15" ht="16" x14ac:dyDescent="0.2">
      <c r="A480" s="17" t="str">
        <f>HYPERLINK("https://otsuka-europe-crm.veevavault.com/ui/#object/account__v/V4TZ06G6O71TBY2", "EVA RODRIGUEZ GARCIA")</f>
        <v>EVA RODRIGUEZ GARCIA</v>
      </c>
      <c r="B480" s="17" t="str">
        <f>HYPERLINK("https://otsuka-europe-crm.veevavault.com/ui/#object/vcountry__v/VENZ000004SONF5", "ES")</f>
        <v>ES</v>
      </c>
      <c r="C480" s="20" t="s">
        <v>41</v>
      </c>
      <c r="D480" s="21" t="str">
        <f>HYPERLINK("https://otsuka-europe-crm.veevavault.com/ui/#object/approved_document__v/V5O00000001H022", "LUP - VAE invitación simposio SEN-SER - Nefro")</f>
        <v>LUP - VAE invitación simposio SEN-SER - Nefro</v>
      </c>
      <c r="E480" s="22" t="str">
        <f>HYPERLINK("https://otsuka-europe-crm.veevavault.com/ui/#object/sent_email__v/VBL00000002N184", "SE-001431102")</f>
        <v>SE-001431102</v>
      </c>
      <c r="F480" s="25"/>
      <c r="G480" s="24">
        <v>0</v>
      </c>
      <c r="H480" s="24">
        <v>0</v>
      </c>
      <c r="I480" s="24">
        <v>0</v>
      </c>
      <c r="J480" s="25"/>
      <c r="K480" s="24">
        <v>0</v>
      </c>
      <c r="L480" s="22" t="str">
        <f>HYPERLINK("https://otsuka-europe-crm.veevavault.com/ui/#object/approved_document__v/V5O00000001H022", "LUP - VAE invitación simposio SEN-SER - Nefro")</f>
        <v>LUP - VAE invitación simposio SEN-SER - Nefro</v>
      </c>
      <c r="M480" s="22" t="str">
        <f>HYPERLINK("mailto:ccoll@crm.otsuka-europe.com", "ccoll@crm.otsuka-europe.com")</f>
        <v>ccoll@crm.otsuka-europe.com</v>
      </c>
      <c r="N480" s="23">
        <v>46174.626388888886</v>
      </c>
      <c r="O480" s="14" t="str">
        <f>HYPERLINK("https://otsuka-europe-crm.veevavault.com/ui/#object/email_activity__v/V8C00000003K310", "EN-002086360")</f>
        <v>EN-002086360</v>
      </c>
    </row>
    <row r="481" spans="1:15" ht="16" x14ac:dyDescent="0.2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4" t="str">
        <f>HYPERLINK("https://otsuka-europe-crm.veevavault.com/ui/#object/email_activity__v/V8C00000003K608", "EN-002086842")</f>
        <v>EN-002086842</v>
      </c>
    </row>
    <row r="482" spans="1:15" ht="16" x14ac:dyDescent="0.2">
      <c r="A482" s="17" t="str">
        <f>HYPERLINK("https://otsuka-europe-crm.veevavault.com/ui/#object/account__v/V4TZ06G6O71T9FF", "JORDI CALLS GINESTA")</f>
        <v>JORDI CALLS GINESTA</v>
      </c>
      <c r="B482" s="17" t="str">
        <f>HYPERLINK("https://otsuka-europe-crm.veevavault.com/ui/#object/vcountry__v/VENZ000004SONF5", "ES")</f>
        <v>ES</v>
      </c>
      <c r="C482" s="20" t="s">
        <v>41</v>
      </c>
      <c r="D482" s="21" t="str">
        <f>HYPERLINK("https://otsuka-europe-crm.veevavault.com/ui/#object/approved_document__v/V5O00000001H022", "LUP - VAE invitación simposio SEN-SER - Nefro")</f>
        <v>LUP - VAE invitación simposio SEN-SER - Nefro</v>
      </c>
      <c r="E482" s="22" t="str">
        <f>HYPERLINK("https://otsuka-europe-crm.veevavault.com/ui/#object/sent_email__v/VBL00000002N185", "SE-001431103")</f>
        <v>SE-001431103</v>
      </c>
      <c r="F482" s="25"/>
      <c r="G482" s="24">
        <v>0</v>
      </c>
      <c r="H482" s="24">
        <v>0</v>
      </c>
      <c r="I482" s="24">
        <v>0</v>
      </c>
      <c r="J482" s="25"/>
      <c r="K482" s="24">
        <v>0</v>
      </c>
      <c r="L482" s="22" t="str">
        <f>HYPERLINK("https://otsuka-europe-crm.veevavault.com/ui/#object/approved_document__v/V5O00000001H022", "LUP - VAE invitación simposio SEN-SER - Nefro")</f>
        <v>LUP - VAE invitación simposio SEN-SER - Nefro</v>
      </c>
      <c r="M482" s="22" t="str">
        <f>HYPERLINK("mailto:ccoll@crm.otsuka-europe.com", "ccoll@crm.otsuka-europe.com")</f>
        <v>ccoll@crm.otsuka-europe.com</v>
      </c>
      <c r="N482" s="23">
        <v>46174.626388888886</v>
      </c>
      <c r="O482" s="14" t="str">
        <f>HYPERLINK("https://otsuka-europe-crm.veevavault.com/ui/#object/email_activity__v/V8C00000003K392", "EN-002086442")</f>
        <v>EN-002086442</v>
      </c>
    </row>
    <row r="483" spans="1:15" ht="16" x14ac:dyDescent="0.2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4" t="str">
        <f>HYPERLINK("https://otsuka-europe-crm.veevavault.com/ui/#object/email_activity__v/V8C00000003L973", "EN-002087943")</f>
        <v>EN-002087943</v>
      </c>
    </row>
    <row r="484" spans="1:15" ht="16" x14ac:dyDescent="0.2">
      <c r="A484" s="17" t="str">
        <f>HYPERLINK("https://otsuka-europe-crm.veevavault.com/ui/#object/account__v/V4TZ06G6O71T8HZ", "ASUNCION FERRER NADAL")</f>
        <v>ASUNCION FERRER NADAL</v>
      </c>
      <c r="B484" s="17" t="str">
        <f>HYPERLINK("https://otsuka-europe-crm.veevavault.com/ui/#object/vcountry__v/VENZ000004SONF5", "ES")</f>
        <v>ES</v>
      </c>
      <c r="C484" s="20" t="s">
        <v>41</v>
      </c>
      <c r="D484" s="21" t="str">
        <f>HYPERLINK("https://otsuka-europe-crm.veevavault.com/ui/#object/approved_document__v/V5O00000001H022", "LUP - VAE invitación simposio SEN-SER - Nefro")</f>
        <v>LUP - VAE invitación simposio SEN-SER - Nefro</v>
      </c>
      <c r="E484" s="22" t="str">
        <f>HYPERLINK("https://otsuka-europe-crm.veevavault.com/ui/#object/sent_email__v/VBL00000002N186", "SE-001431104")</f>
        <v>SE-001431104</v>
      </c>
      <c r="F484" s="23">
        <v>46175.451469907406</v>
      </c>
      <c r="G484" s="24">
        <v>1</v>
      </c>
      <c r="H484" s="24">
        <v>2</v>
      </c>
      <c r="I484" s="24">
        <v>1</v>
      </c>
      <c r="J484" s="23">
        <v>46175.452210648145</v>
      </c>
      <c r="K484" s="24">
        <v>1</v>
      </c>
      <c r="L484" s="22" t="str">
        <f>HYPERLINK("https://otsuka-europe-crm.veevavault.com/ui/#object/approved_document__v/V5O00000001H022", "LUP - VAE invitación simposio SEN-SER - Nefro")</f>
        <v>LUP - VAE invitación simposio SEN-SER - Nefro</v>
      </c>
      <c r="M484" s="22" t="str">
        <f>HYPERLINK("mailto:ccoll@crm.otsuka-europe.com", "ccoll@crm.otsuka-europe.com")</f>
        <v>ccoll@crm.otsuka-europe.com</v>
      </c>
      <c r="N484" s="23">
        <v>46174.626388888886</v>
      </c>
      <c r="O484" s="14" t="str">
        <f>HYPERLINK("https://otsuka-europe-crm.veevavault.com/ui/#object/email_activity__v/V8C00000003K277", "EN-002086327")</f>
        <v>EN-002086327</v>
      </c>
    </row>
    <row r="485" spans="1:15" ht="16" x14ac:dyDescent="0.2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4" t="str">
        <f>HYPERLINK("https://otsuka-europe-crm.veevavault.com/ui/#object/email_activity__v/V8C00000003K664", "EN-002086957")</f>
        <v>EN-002086957</v>
      </c>
    </row>
    <row r="486" spans="1:15" ht="16" x14ac:dyDescent="0.2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4" t="str">
        <f>HYPERLINK("https://otsuka-europe-crm.veevavault.com/ui/#object/email_activity__v/V8C00000003K665", "EN-002086958")</f>
        <v>EN-002086958</v>
      </c>
    </row>
    <row r="487" spans="1:15" ht="16" x14ac:dyDescent="0.2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4" t="str">
        <f>HYPERLINK("https://otsuka-europe-crm.veevavault.com/ui/#object/email_activity__v/V8C00000003K667", "EN-002086960")</f>
        <v>EN-002086960</v>
      </c>
    </row>
    <row r="488" spans="1:15" ht="16" x14ac:dyDescent="0.2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4" t="str">
        <f>HYPERLINK("https://otsuka-europe-crm.veevavault.com/ui/#object/email_activity__v/V8C00000003L537", "EN-002087125")</f>
        <v>EN-002087125</v>
      </c>
    </row>
    <row r="489" spans="1:15" ht="32" x14ac:dyDescent="0.2">
      <c r="A489" s="7" t="str">
        <f>HYPERLINK("https://otsuka-europe-crm.veevavault.com/ui/#object/account__v/V4TZ025E82A5WUA", "MICHELLE ANDREA LINAREZ BREA")</f>
        <v>MICHELLE ANDREA LINAREZ BREA</v>
      </c>
      <c r="B489" s="7" t="str">
        <f>HYPERLINK("https://otsuka-europe-crm.veevavault.com/ui/#object/vcountry__v/VENZ000004SONF5", "ES")</f>
        <v>ES</v>
      </c>
      <c r="C489" s="8" t="s">
        <v>41</v>
      </c>
      <c r="D489" s="9" t="str">
        <f>HYPERLINK("https://otsuka-europe-crm.veevavault.com/ui/#object/approved_document__v/V5O00000001H022", "LUP - VAE invitación simposio SEN-SER - Nefro")</f>
        <v>LUP - VAE invitación simposio SEN-SER - Nefro</v>
      </c>
      <c r="E489" s="10" t="str">
        <f>HYPERLINK("https://otsuka-europe-crm.veevavault.com/ui/#object/sent_email__v/VBL00000002N187", "SE-001431105")</f>
        <v>SE-001431105</v>
      </c>
      <c r="F489" s="11"/>
      <c r="G489" s="12">
        <v>0</v>
      </c>
      <c r="H489" s="12">
        <v>0</v>
      </c>
      <c r="I489" s="12">
        <v>0</v>
      </c>
      <c r="J489" s="11"/>
      <c r="K489" s="12">
        <v>0</v>
      </c>
      <c r="L489" s="10" t="str">
        <f>HYPERLINK("https://otsuka-europe-crm.veevavault.com/ui/#object/approved_document__v/V5O00000001H022", "LUP - VAE invitación simposio SEN-SER - Nefro")</f>
        <v>LUP - VAE invitación simposio SEN-SER - Nefro</v>
      </c>
      <c r="M489" s="10" t="str">
        <f>HYPERLINK("mailto:ccoll@crm.otsuka-europe.com", "ccoll@crm.otsuka-europe.com")</f>
        <v>ccoll@crm.otsuka-europe.com</v>
      </c>
      <c r="N489" s="13">
        <v>46174.626458333332</v>
      </c>
      <c r="O489" s="14" t="str">
        <f>HYPERLINK("https://otsuka-europe-crm.veevavault.com/ui/#object/email_activity__v/V8C00000003K346", "EN-002086396")</f>
        <v>EN-002086396</v>
      </c>
    </row>
    <row r="490" spans="1:15" ht="16" x14ac:dyDescent="0.2">
      <c r="A490" s="17" t="str">
        <f>HYPERLINK("https://otsuka-europe-crm.veevavault.com/ui/#object/account__v/V4TZ06G6O71TCEF", "ANNA SAURINA SOLE")</f>
        <v>ANNA SAURINA SOLE</v>
      </c>
      <c r="B490" s="17" t="str">
        <f>HYPERLINK("https://otsuka-europe-crm.veevavault.com/ui/#object/vcountry__v/VENZ000004SONF5", "ES")</f>
        <v>ES</v>
      </c>
      <c r="C490" s="20" t="s">
        <v>41</v>
      </c>
      <c r="D490" s="21" t="str">
        <f>HYPERLINK("https://otsuka-europe-crm.veevavault.com/ui/#object/approved_document__v/V5O00000001H022", "LUP - VAE invitación simposio SEN-SER - Nefro")</f>
        <v>LUP - VAE invitación simposio SEN-SER - Nefro</v>
      </c>
      <c r="E490" s="22" t="str">
        <f>HYPERLINK("https://otsuka-europe-crm.veevavault.com/ui/#object/sent_email__v/VBL00000002N188", "SE-001431106")</f>
        <v>SE-001431106</v>
      </c>
      <c r="F490" s="23">
        <v>46174.747766203705</v>
      </c>
      <c r="G490" s="24">
        <v>1</v>
      </c>
      <c r="H490" s="24">
        <v>1</v>
      </c>
      <c r="I490" s="24">
        <v>0</v>
      </c>
      <c r="J490" s="25"/>
      <c r="K490" s="24">
        <v>0</v>
      </c>
      <c r="L490" s="22" t="str">
        <f>HYPERLINK("https://otsuka-europe-crm.veevavault.com/ui/#object/approved_document__v/V5O00000001H022", "LUP - VAE invitación simposio SEN-SER - Nefro")</f>
        <v>LUP - VAE invitación simposio SEN-SER - Nefro</v>
      </c>
      <c r="M490" s="22" t="str">
        <f>HYPERLINK("mailto:ccoll@crm.otsuka-europe.com", "ccoll@crm.otsuka-europe.com")</f>
        <v>ccoll@crm.otsuka-europe.com</v>
      </c>
      <c r="N490" s="23">
        <v>46174.626388888886</v>
      </c>
      <c r="O490" s="14" t="str">
        <f>HYPERLINK("https://otsuka-europe-crm.veevavault.com/ui/#object/email_activity__v/V8C00000003K381", "EN-002086431")</f>
        <v>EN-002086431</v>
      </c>
    </row>
    <row r="491" spans="1:15" ht="16" x14ac:dyDescent="0.2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4" t="str">
        <f>HYPERLINK("https://otsuka-europe-crm.veevavault.com/ui/#object/email_activity__v/V8C00000003L263", "EN-002086744")</f>
        <v>EN-002086744</v>
      </c>
    </row>
    <row r="492" spans="1:15" ht="16" x14ac:dyDescent="0.2">
      <c r="A492" s="17" t="str">
        <f>HYPERLINK("https://otsuka-europe-crm.veevavault.com/ui/#object/account__v/V4TZ06G6O71T8B0", "SANTIAGO MARIÑO LOPEZ")</f>
        <v>SANTIAGO MARIÑO LOPEZ</v>
      </c>
      <c r="B492" s="17" t="str">
        <f>HYPERLINK("https://otsuka-europe-crm.veevavault.com/ui/#object/vcountry__v/VENZ000004SONF5", "ES")</f>
        <v>ES</v>
      </c>
      <c r="C492" s="20" t="s">
        <v>41</v>
      </c>
      <c r="D492" s="21" t="str">
        <f>HYPERLINK("https://otsuka-europe-crm.veevavault.com/ui/#object/approved_document__v/V5O00000001H022", "LUP - VAE invitación simposio SEN-SER - Nefro")</f>
        <v>LUP - VAE invitación simposio SEN-SER - Nefro</v>
      </c>
      <c r="E492" s="22" t="str">
        <f>HYPERLINK("https://otsuka-europe-crm.veevavault.com/ui/#object/sent_email__v/VBL00000002N189", "SE-001431107")</f>
        <v>SE-001431107</v>
      </c>
      <c r="F492" s="25"/>
      <c r="G492" s="24">
        <v>0</v>
      </c>
      <c r="H492" s="24">
        <v>0</v>
      </c>
      <c r="I492" s="24">
        <v>0</v>
      </c>
      <c r="J492" s="25"/>
      <c r="K492" s="24">
        <v>0</v>
      </c>
      <c r="L492" s="22" t="str">
        <f>HYPERLINK("https://otsuka-europe-crm.veevavault.com/ui/#object/approved_document__v/V5O00000001H022", "LUP - VAE invitación simposio SEN-SER - Nefro")</f>
        <v>LUP - VAE invitación simposio SEN-SER - Nefro</v>
      </c>
      <c r="M492" s="22" t="str">
        <f>HYPERLINK("mailto:ccoll@crm.otsuka-europe.com", "ccoll@crm.otsuka-europe.com")</f>
        <v>ccoll@crm.otsuka-europe.com</v>
      </c>
      <c r="N492" s="23">
        <v>46174.626446759263</v>
      </c>
      <c r="O492" s="14" t="str">
        <f>HYPERLINK("https://otsuka-europe-crm.veevavault.com/ui/#object/email_activity__v/V8C00000003K368", "EN-002086418")</f>
        <v>EN-002086418</v>
      </c>
    </row>
    <row r="493" spans="1:15" ht="16" x14ac:dyDescent="0.2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4" t="str">
        <f>HYPERLINK("https://otsuka-europe-crm.veevavault.com/ui/#object/email_activity__v/V8C00000003L320", "EN-002086836")</f>
        <v>EN-002086836</v>
      </c>
    </row>
    <row r="494" spans="1:15" ht="16" x14ac:dyDescent="0.2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4" t="str">
        <f>HYPERLINK("https://otsuka-europe-crm.veevavault.com/ui/#object/email_activity__v/V8C00000003S419", "EN-002093737")</f>
        <v>EN-002093737</v>
      </c>
    </row>
    <row r="495" spans="1:15" ht="32" x14ac:dyDescent="0.2">
      <c r="A495" s="7" t="str">
        <f>HYPERLINK("https://otsuka-europe-crm.veevavault.com/ui/#object/account__v/V4TZ06G6O71T9K5", "JUAN MANUEL BUADES FUSTER")</f>
        <v>JUAN MANUEL BUADES FUSTER</v>
      </c>
      <c r="B495" s="7" t="str">
        <f>HYPERLINK("https://otsuka-europe-crm.veevavault.com/ui/#object/vcountry__v/VENZ000004SONF5", "ES")</f>
        <v>ES</v>
      </c>
      <c r="C495" s="8" t="s">
        <v>41</v>
      </c>
      <c r="D495" s="9" t="str">
        <f>HYPERLINK("https://otsuka-europe-crm.veevavault.com/ui/#object/approved_document__v/V5O00000001H022", "LUP - VAE invitación simposio SEN-SER - Nefro")</f>
        <v>LUP - VAE invitación simposio SEN-SER - Nefro</v>
      </c>
      <c r="E495" s="10" t="str">
        <f>HYPERLINK("https://otsuka-europe-crm.veevavault.com/ui/#object/sent_email__v/VBL00000002N190", "SE-001431108")</f>
        <v>SE-001431108</v>
      </c>
      <c r="F495" s="11"/>
      <c r="G495" s="12">
        <v>0</v>
      </c>
      <c r="H495" s="12">
        <v>0</v>
      </c>
      <c r="I495" s="12">
        <v>0</v>
      </c>
      <c r="J495" s="11"/>
      <c r="K495" s="12">
        <v>0</v>
      </c>
      <c r="L495" s="10" t="str">
        <f>HYPERLINK("https://otsuka-europe-crm.veevavault.com/ui/#object/approved_document__v/V5O00000001H022", "LUP - VAE invitación simposio SEN-SER - Nefro")</f>
        <v>LUP - VAE invitación simposio SEN-SER - Nefro</v>
      </c>
      <c r="M495" s="10" t="str">
        <f>HYPERLINK("mailto:ccoll@crm.otsuka-europe.com", "ccoll@crm.otsuka-europe.com")</f>
        <v>ccoll@crm.otsuka-europe.com</v>
      </c>
      <c r="N495" s="13">
        <v>46174.626388888886</v>
      </c>
      <c r="O495" s="14" t="str">
        <f>HYPERLINK("https://otsuka-europe-crm.veevavault.com/ui/#object/email_activity__v/V8C00000003K292", "EN-002086342")</f>
        <v>EN-002086342</v>
      </c>
    </row>
    <row r="496" spans="1:15" ht="32" x14ac:dyDescent="0.2">
      <c r="A496" s="7" t="str">
        <f>HYPERLINK("https://otsuka-europe-crm.veevavault.com/ui/#object/account__v/V4TZ06G6OBU76C6", "MONTSERRAT MERCEDES DIAZ ENCARNACION")</f>
        <v>MONTSERRAT MERCEDES DIAZ ENCARNACION</v>
      </c>
      <c r="B496" s="7" t="str">
        <f>HYPERLINK("https://otsuka-europe-crm.veevavault.com/ui/#object/vcountry__v/VENZ000004SONF5", "ES")</f>
        <v>ES</v>
      </c>
      <c r="C496" s="8" t="s">
        <v>41</v>
      </c>
      <c r="D496" s="9" t="str">
        <f>HYPERLINK("https://otsuka-europe-crm.veevavault.com/ui/#object/approved_document__v/V5O00000001H022", "LUP - VAE invitación simposio SEN-SER - Nefro")</f>
        <v>LUP - VAE invitación simposio SEN-SER - Nefro</v>
      </c>
      <c r="E496" s="10" t="str">
        <f>HYPERLINK("https://otsuka-europe-crm.veevavault.com/ui/#object/sent_email__v/VBL00000002N191", "SE-001431109")</f>
        <v>SE-001431109</v>
      </c>
      <c r="F496" s="11"/>
      <c r="G496" s="12">
        <v>0</v>
      </c>
      <c r="H496" s="12">
        <v>0</v>
      </c>
      <c r="I496" s="12">
        <v>0</v>
      </c>
      <c r="J496" s="11"/>
      <c r="K496" s="12">
        <v>0</v>
      </c>
      <c r="L496" s="10" t="str">
        <f>HYPERLINK("https://otsuka-europe-crm.veevavault.com/ui/#object/approved_document__v/V5O00000001H022", "LUP - VAE invitación simposio SEN-SER - Nefro")</f>
        <v>LUP - VAE invitación simposio SEN-SER - Nefro</v>
      </c>
      <c r="M496" s="10" t="str">
        <f>HYPERLINK("mailto:ccoll@crm.otsuka-europe.com", "ccoll@crm.otsuka-europe.com")</f>
        <v>ccoll@crm.otsuka-europe.com</v>
      </c>
      <c r="N496" s="13">
        <v>46174.626388888886</v>
      </c>
      <c r="O496" s="14" t="str">
        <f>HYPERLINK("https://otsuka-europe-crm.veevavault.com/ui/#object/email_activity__v/V8C00000003K293", "EN-002086343")</f>
        <v>EN-002086343</v>
      </c>
    </row>
    <row r="497" spans="1:15" ht="16" x14ac:dyDescent="0.2">
      <c r="A497" s="17" t="str">
        <f>HYPERLINK("https://otsuka-europe-crm.veevavault.com/ui/#object/account__v/V4TZ06G6O71T8DL", "JAVIER NARANJO MUÑOZ")</f>
        <v>JAVIER NARANJO MUÑOZ</v>
      </c>
      <c r="B497" s="17" t="str">
        <f>HYPERLINK("https://otsuka-europe-crm.veevavault.com/ui/#object/vcountry__v/VENZ000004SONF5", "ES")</f>
        <v>ES</v>
      </c>
      <c r="C497" s="20" t="s">
        <v>41</v>
      </c>
      <c r="D497" s="21" t="str">
        <f>HYPERLINK("https://otsuka-europe-crm.veevavault.com/ui/#object/approved_document__v/V5O00000001H022", "LUP - VAE invitación simposio SEN-SER - Nefro")</f>
        <v>LUP - VAE invitación simposio SEN-SER - Nefro</v>
      </c>
      <c r="E497" s="22" t="str">
        <f>HYPERLINK("https://otsuka-europe-crm.veevavault.com/ui/#object/sent_email__v/VBL00000002N192", "SE-001431110")</f>
        <v>SE-001431110</v>
      </c>
      <c r="F497" s="23">
        <v>46174.645497685182</v>
      </c>
      <c r="G497" s="24">
        <v>1</v>
      </c>
      <c r="H497" s="24">
        <v>1</v>
      </c>
      <c r="I497" s="24">
        <v>0</v>
      </c>
      <c r="J497" s="25"/>
      <c r="K497" s="24">
        <v>0</v>
      </c>
      <c r="L497" s="22" t="str">
        <f>HYPERLINK("https://otsuka-europe-crm.veevavault.com/ui/#object/approved_document__v/V5O00000001H022", "LUP - VAE invitación simposio SEN-SER - Nefro")</f>
        <v>LUP - VAE invitación simposio SEN-SER - Nefro</v>
      </c>
      <c r="M497" s="22" t="str">
        <f>HYPERLINK("mailto:ccoll@crm.otsuka-europe.com", "ccoll@crm.otsuka-europe.com")</f>
        <v>ccoll@crm.otsuka-europe.com</v>
      </c>
      <c r="N497" s="23">
        <v>46174.626446759263</v>
      </c>
      <c r="O497" s="14" t="str">
        <f>HYPERLINK("https://otsuka-europe-crm.veevavault.com/ui/#object/email_activity__v/V8C00000003K357", "EN-002086407")</f>
        <v>EN-002086407</v>
      </c>
    </row>
    <row r="498" spans="1:15" ht="16" x14ac:dyDescent="0.2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4" t="str">
        <f>HYPERLINK("https://otsuka-europe-crm.veevavault.com/ui/#object/email_activity__v/V8C00000003K486", "EN-002086553")</f>
        <v>EN-002086553</v>
      </c>
    </row>
    <row r="499" spans="1:15" ht="32" x14ac:dyDescent="0.2">
      <c r="A499" s="7" t="str">
        <f>HYPERLINK("https://otsuka-europe-crm.veevavault.com/ui/#object/account__v/V4TZ06G6O71T9NR", "MARIA TERESA COMPTE JOVE")</f>
        <v>MARIA TERESA COMPTE JOVE</v>
      </c>
      <c r="B499" s="7" t="str">
        <f>HYPERLINK("https://otsuka-europe-crm.veevavault.com/ui/#object/vcountry__v/VENZ000004SONF5", "ES")</f>
        <v>ES</v>
      </c>
      <c r="C499" s="8" t="s">
        <v>41</v>
      </c>
      <c r="D499" s="9" t="str">
        <f>HYPERLINK("https://otsuka-europe-crm.veevavault.com/ui/#object/approved_document__v/V5O00000001H022", "LUP - VAE invitación simposio SEN-SER - Nefro")</f>
        <v>LUP - VAE invitación simposio SEN-SER - Nefro</v>
      </c>
      <c r="E499" s="10" t="str">
        <f>HYPERLINK("https://otsuka-europe-crm.veevavault.com/ui/#object/sent_email__v/VBL00000002N193", "SE-001431111")</f>
        <v>SE-001431111</v>
      </c>
      <c r="F499" s="11"/>
      <c r="G499" s="12">
        <v>0</v>
      </c>
      <c r="H499" s="12">
        <v>0</v>
      </c>
      <c r="I499" s="12">
        <v>0</v>
      </c>
      <c r="J499" s="11"/>
      <c r="K499" s="12">
        <v>0</v>
      </c>
      <c r="L499" s="10" t="str">
        <f>HYPERLINK("https://otsuka-europe-crm.veevavault.com/ui/#object/approved_document__v/V5O00000001H022", "LUP - VAE invitación simposio SEN-SER - Nefro")</f>
        <v>LUP - VAE invitación simposio SEN-SER - Nefro</v>
      </c>
      <c r="M499" s="10" t="str">
        <f>HYPERLINK("mailto:ccoll@crm.otsuka-europe.com", "ccoll@crm.otsuka-europe.com")</f>
        <v>ccoll@crm.otsuka-europe.com</v>
      </c>
      <c r="N499" s="13">
        <v>46174.626435185186</v>
      </c>
      <c r="O499" s="14" t="str">
        <f>HYPERLINK("https://otsuka-europe-crm.veevavault.com/ui/#object/email_activity__v/V8C00000003K354", "EN-002086404")</f>
        <v>EN-002086404</v>
      </c>
    </row>
    <row r="500" spans="1:15" ht="16" x14ac:dyDescent="0.2">
      <c r="A500" s="17" t="str">
        <f>HYPERLINK("https://otsuka-europe-crm.veevavault.com/ui/#object/account__v/V4TZ06G6O71TC3Y", "VERONICA RUIZ GARCIA")</f>
        <v>VERONICA RUIZ GARCIA</v>
      </c>
      <c r="B500" s="17" t="str">
        <f>HYPERLINK("https://otsuka-europe-crm.veevavault.com/ui/#object/vcountry__v/VENZ000004SONF5", "ES")</f>
        <v>ES</v>
      </c>
      <c r="C500" s="20" t="s">
        <v>41</v>
      </c>
      <c r="D500" s="21" t="str">
        <f>HYPERLINK("https://otsuka-europe-crm.veevavault.com/ui/#object/approved_document__v/V5O00000001H022", "LUP - VAE invitación simposio SEN-SER - Nefro")</f>
        <v>LUP - VAE invitación simposio SEN-SER - Nefro</v>
      </c>
      <c r="E500" s="22" t="str">
        <f>HYPERLINK("https://otsuka-europe-crm.veevavault.com/ui/#object/sent_email__v/VBL00000002N194", "SE-001431112")</f>
        <v>SE-001431112</v>
      </c>
      <c r="F500" s="23">
        <v>46179.409768518519</v>
      </c>
      <c r="G500" s="24">
        <v>1</v>
      </c>
      <c r="H500" s="24">
        <v>1</v>
      </c>
      <c r="I500" s="24">
        <v>1</v>
      </c>
      <c r="J500" s="23">
        <v>46179.410081018519</v>
      </c>
      <c r="K500" s="24">
        <v>1</v>
      </c>
      <c r="L500" s="22" t="str">
        <f>HYPERLINK("https://otsuka-europe-crm.veevavault.com/ui/#object/approved_document__v/V5O00000001H022", "LUP - VAE invitación simposio SEN-SER - Nefro")</f>
        <v>LUP - VAE invitación simposio SEN-SER - Nefro</v>
      </c>
      <c r="M500" s="22" t="str">
        <f>HYPERLINK("mailto:ccoll@crm.otsuka-europe.com", "ccoll@crm.otsuka-europe.com")</f>
        <v>ccoll@crm.otsuka-europe.com</v>
      </c>
      <c r="N500" s="23">
        <v>46174.626481481479</v>
      </c>
      <c r="O500" s="14" t="str">
        <f>HYPERLINK("https://otsuka-europe-crm.veevavault.com/ui/#object/email_activity__v/V8C00000003K331", "EN-002086381")</f>
        <v>EN-002086381</v>
      </c>
    </row>
    <row r="501" spans="1:15" ht="16" x14ac:dyDescent="0.2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4" t="str">
        <f>HYPERLINK("https://otsuka-europe-crm.veevavault.com/ui/#object/email_activity__v/V8C00000003K597", "EN-002086817")</f>
        <v>EN-002086817</v>
      </c>
    </row>
    <row r="502" spans="1:15" ht="16" x14ac:dyDescent="0.2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4" t="str">
        <f>HYPERLINK("https://otsuka-europe-crm.veevavault.com/ui/#object/email_activity__v/V8C00000003O082", "EN-002089415")</f>
        <v>EN-002089415</v>
      </c>
    </row>
    <row r="503" spans="1:15" ht="16" x14ac:dyDescent="0.2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4" t="str">
        <f>HYPERLINK("https://otsuka-europe-crm.veevavault.com/ui/#object/email_activity__v/V8C00000003O083", "EN-002089416")</f>
        <v>EN-002089416</v>
      </c>
    </row>
    <row r="504" spans="1:15" ht="16" x14ac:dyDescent="0.2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4" t="str">
        <f>HYPERLINK("https://otsuka-europe-crm.veevavault.com/ui/#object/email_activity__v/V8C00000003O102", "EN-002089456")</f>
        <v>EN-002089456</v>
      </c>
    </row>
    <row r="505" spans="1:15" ht="16" x14ac:dyDescent="0.2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4" t="str">
        <f>HYPERLINK("https://otsuka-europe-crm.veevavault.com/ui/#object/email_activity__v/V8C00000003P094", "EN-002089417")</f>
        <v>EN-002089417</v>
      </c>
    </row>
    <row r="506" spans="1:15" ht="16" x14ac:dyDescent="0.2">
      <c r="A506" s="17" t="str">
        <f>HYPERLINK("https://otsuka-europe-crm.veevavault.com/ui/#object/account__v/V4T00000001O090", "BETTY ODETTE CHAMOUN HUACON")</f>
        <v>BETTY ODETTE CHAMOUN HUACON</v>
      </c>
      <c r="B506" s="17" t="str">
        <f>HYPERLINK("https://otsuka-europe-crm.veevavault.com/ui/#object/vcountry__v/VENZ000004SONF5", "ES")</f>
        <v>ES</v>
      </c>
      <c r="C506" s="20" t="s">
        <v>41</v>
      </c>
      <c r="D506" s="21" t="str">
        <f>HYPERLINK("https://otsuka-europe-crm.veevavault.com/ui/#object/approved_document__v/V5O00000001H022", "LUP - VAE invitación simposio SEN-SER - Nefro")</f>
        <v>LUP - VAE invitación simposio SEN-SER - Nefro</v>
      </c>
      <c r="E506" s="22" t="str">
        <f>HYPERLINK("https://otsuka-europe-crm.veevavault.com/ui/#object/sent_email__v/VBL00000002N195", "SE-001431113")</f>
        <v>SE-001431113</v>
      </c>
      <c r="F506" s="23">
        <v>46174.682800925926</v>
      </c>
      <c r="G506" s="24">
        <v>1</v>
      </c>
      <c r="H506" s="24">
        <v>1</v>
      </c>
      <c r="I506" s="24">
        <v>0</v>
      </c>
      <c r="J506" s="25"/>
      <c r="K506" s="24">
        <v>0</v>
      </c>
      <c r="L506" s="22" t="str">
        <f>HYPERLINK("https://otsuka-europe-crm.veevavault.com/ui/#object/approved_document__v/V5O00000001H022", "LUP - VAE invitación simposio SEN-SER - Nefro")</f>
        <v>LUP - VAE invitación simposio SEN-SER - Nefro</v>
      </c>
      <c r="M506" s="22" t="str">
        <f>HYPERLINK("mailto:ccoll@crm.otsuka-europe.com", "ccoll@crm.otsuka-europe.com")</f>
        <v>ccoll@crm.otsuka-europe.com</v>
      </c>
      <c r="N506" s="23">
        <v>46174.626388888886</v>
      </c>
      <c r="O506" s="14" t="str">
        <f>HYPERLINK("https://otsuka-europe-crm.veevavault.com/ui/#object/email_activity__v/V8C00000003K384", "EN-002086434")</f>
        <v>EN-002086434</v>
      </c>
    </row>
    <row r="507" spans="1:15" ht="16" x14ac:dyDescent="0.2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4" t="str">
        <f>HYPERLINK("https://otsuka-europe-crm.veevavault.com/ui/#object/email_activity__v/V8C00000003K522", "EN-002086656")</f>
        <v>EN-002086656</v>
      </c>
    </row>
    <row r="508" spans="1:15" ht="32" x14ac:dyDescent="0.2">
      <c r="A508" s="7" t="str">
        <f>HYPERLINK("https://otsuka-europe-crm.veevavault.com/ui/#object/account__v/V4TZ025E82G72II", "KARLA JACKELINE LOPEZ ESPINOZA")</f>
        <v>KARLA JACKELINE LOPEZ ESPINOZA</v>
      </c>
      <c r="B508" s="7" t="str">
        <f>HYPERLINK("https://otsuka-europe-crm.veevavault.com/ui/#object/vcountry__v/VENZ000004SONF5", "ES")</f>
        <v>ES</v>
      </c>
      <c r="C508" s="8" t="s">
        <v>41</v>
      </c>
      <c r="D508" s="9" t="str">
        <f>HYPERLINK("https://otsuka-europe-crm.veevavault.com/ui/#object/approved_document__v/V5O00000001H022", "LUP - VAE invitación simposio SEN-SER - Nefro")</f>
        <v>LUP - VAE invitación simposio SEN-SER - Nefro</v>
      </c>
      <c r="E508" s="10" t="str">
        <f>HYPERLINK("https://otsuka-europe-crm.veevavault.com/ui/#object/sent_email__v/VBL00000002N196", "SE-001431114")</f>
        <v>SE-001431114</v>
      </c>
      <c r="F508" s="11"/>
      <c r="G508" s="12">
        <v>0</v>
      </c>
      <c r="H508" s="12">
        <v>0</v>
      </c>
      <c r="I508" s="12">
        <v>0</v>
      </c>
      <c r="J508" s="11"/>
      <c r="K508" s="12">
        <v>0</v>
      </c>
      <c r="L508" s="10" t="str">
        <f>HYPERLINK("https://otsuka-europe-crm.veevavault.com/ui/#object/approved_document__v/V5O00000001H022", "LUP - VAE invitación simposio SEN-SER - Nefro")</f>
        <v>LUP - VAE invitación simposio SEN-SER - Nefro</v>
      </c>
      <c r="M508" s="10" t="str">
        <f>HYPERLINK("mailto:ccoll@crm.otsuka-europe.com", "ccoll@crm.otsuka-europe.com")</f>
        <v>ccoll@crm.otsuka-europe.com</v>
      </c>
      <c r="N508" s="13">
        <v>46174.626388888886</v>
      </c>
      <c r="O508" s="14" t="str">
        <f>HYPERLINK("https://otsuka-europe-crm.veevavault.com/ui/#object/email_activity__v/V8C00000003K390", "EN-002086440")</f>
        <v>EN-002086440</v>
      </c>
    </row>
    <row r="509" spans="1:15" ht="16" x14ac:dyDescent="0.2">
      <c r="A509" s="17" t="str">
        <f>HYPERLINK("https://otsuka-europe-crm.veevavault.com/ui/#object/account__v/V4TZ04ASG7RX91O", "NANCY DANIELA VALENCIA MORALES")</f>
        <v>NANCY DANIELA VALENCIA MORALES</v>
      </c>
      <c r="B509" s="17" t="str">
        <f>HYPERLINK("https://otsuka-europe-crm.veevavault.com/ui/#object/vcountry__v/VENZ000004SONF5", "ES")</f>
        <v>ES</v>
      </c>
      <c r="C509" s="20" t="s">
        <v>41</v>
      </c>
      <c r="D509" s="21" t="str">
        <f>HYPERLINK("https://otsuka-europe-crm.veevavault.com/ui/#object/approved_document__v/V5O00000001H022", "LUP - VAE invitación simposio SEN-SER - Nefro")</f>
        <v>LUP - VAE invitación simposio SEN-SER - Nefro</v>
      </c>
      <c r="E509" s="22" t="str">
        <f>HYPERLINK("https://otsuka-europe-crm.veevavault.com/ui/#object/sent_email__v/VBL00000002N197", "SE-001431115")</f>
        <v>SE-001431115</v>
      </c>
      <c r="F509" s="25"/>
      <c r="G509" s="24">
        <v>0</v>
      </c>
      <c r="H509" s="24">
        <v>0</v>
      </c>
      <c r="I509" s="24">
        <v>0</v>
      </c>
      <c r="J509" s="25"/>
      <c r="K509" s="24">
        <v>0</v>
      </c>
      <c r="L509" s="22" t="str">
        <f>HYPERLINK("https://otsuka-europe-crm.veevavault.com/ui/#object/approved_document__v/V5O00000001H022", "LUP - VAE invitación simposio SEN-SER - Nefro")</f>
        <v>LUP - VAE invitación simposio SEN-SER - Nefro</v>
      </c>
      <c r="M509" s="22" t="str">
        <f>HYPERLINK("mailto:ccoll@crm.otsuka-europe.com", "ccoll@crm.otsuka-europe.com")</f>
        <v>ccoll@crm.otsuka-europe.com</v>
      </c>
      <c r="N509" s="23">
        <v>46174.626469907409</v>
      </c>
      <c r="O509" s="14" t="str">
        <f>HYPERLINK("https://otsuka-europe-crm.veevavault.com/ui/#object/email_activity__v/V8C00000003K338", "EN-002086388")</f>
        <v>EN-002086388</v>
      </c>
    </row>
    <row r="510" spans="1:15" ht="16" x14ac:dyDescent="0.2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4" t="str">
        <f>HYPERLINK("https://otsuka-europe-crm.veevavault.com/ui/#object/email_activity__v/V8C00000003P097", "EN-002089420")</f>
        <v>EN-002089420</v>
      </c>
    </row>
    <row r="511" spans="1:15" ht="32" x14ac:dyDescent="0.2">
      <c r="A511" s="7" t="str">
        <f>HYPERLINK("https://otsuka-europe-crm.veevavault.com/ui/#object/account__v/V4TZ04ASGGI2N7M", "URSULA LUZ VADILLO VIDAL")</f>
        <v>URSULA LUZ VADILLO VIDAL</v>
      </c>
      <c r="B511" s="7" t="str">
        <f t="shared" ref="B511:B516" si="12">HYPERLINK("https://otsuka-europe-crm.veevavault.com/ui/#object/vcountry__v/VENZ000004SONF5", "ES")</f>
        <v>ES</v>
      </c>
      <c r="C511" s="8" t="s">
        <v>41</v>
      </c>
      <c r="D511" s="9" t="str">
        <f t="shared" ref="D511:D516" si="13">HYPERLINK("https://otsuka-europe-crm.veevavault.com/ui/#object/approved_document__v/V5O00000001H022", "LUP - VAE invitación simposio SEN-SER - Nefro")</f>
        <v>LUP - VAE invitación simposio SEN-SER - Nefro</v>
      </c>
      <c r="E511" s="10" t="str">
        <f>HYPERLINK("https://otsuka-europe-crm.veevavault.com/ui/#object/sent_email__v/VBL00000002N198", "SE-001431116")</f>
        <v>SE-001431116</v>
      </c>
      <c r="F511" s="11"/>
      <c r="G511" s="12">
        <v>0</v>
      </c>
      <c r="H511" s="12">
        <v>0</v>
      </c>
      <c r="I511" s="12">
        <v>0</v>
      </c>
      <c r="J511" s="11"/>
      <c r="K511" s="12">
        <v>0</v>
      </c>
      <c r="L511" s="10" t="str">
        <f t="shared" ref="L511:L516" si="14">HYPERLINK("https://otsuka-europe-crm.veevavault.com/ui/#object/approved_document__v/V5O00000001H022", "LUP - VAE invitación simposio SEN-SER - Nefro")</f>
        <v>LUP - VAE invitación simposio SEN-SER - Nefro</v>
      </c>
      <c r="M511" s="10" t="str">
        <f t="shared" ref="M511:M516" si="15">HYPERLINK("mailto:ccoll@crm.otsuka-europe.com", "ccoll@crm.otsuka-europe.com")</f>
        <v>ccoll@crm.otsuka-europe.com</v>
      </c>
      <c r="N511" s="13">
        <v>46174.62641203704</v>
      </c>
      <c r="O511" s="14" t="str">
        <f>HYPERLINK("https://otsuka-europe-crm.veevavault.com/ui/#object/email_activity__v/V8C00000003K350", "EN-002086400")</f>
        <v>EN-002086400</v>
      </c>
    </row>
    <row r="512" spans="1:15" ht="32" x14ac:dyDescent="0.2">
      <c r="A512" s="7" t="str">
        <f>HYPERLINK("https://otsuka-europe-crm.veevavault.com/ui/#object/account__v/V4TZ06G6O71TBQ0", "MARIO ALBERTO PAVONE")</f>
        <v>MARIO ALBERTO PAVONE</v>
      </c>
      <c r="B512" s="7" t="str">
        <f t="shared" si="12"/>
        <v>ES</v>
      </c>
      <c r="C512" s="8" t="s">
        <v>41</v>
      </c>
      <c r="D512" s="9" t="str">
        <f t="shared" si="13"/>
        <v>LUP - VAE invitación simposio SEN-SER - Nefro</v>
      </c>
      <c r="E512" s="10" t="str">
        <f>HYPERLINK("https://otsuka-europe-crm.veevavault.com/ui/#object/sent_email__v/VBL00000002N199", "SE-001431117")</f>
        <v>SE-001431117</v>
      </c>
      <c r="F512" s="11"/>
      <c r="G512" s="12">
        <v>0</v>
      </c>
      <c r="H512" s="12">
        <v>0</v>
      </c>
      <c r="I512" s="12">
        <v>0</v>
      </c>
      <c r="J512" s="11"/>
      <c r="K512" s="12">
        <v>0</v>
      </c>
      <c r="L512" s="10" t="str">
        <f t="shared" si="14"/>
        <v>LUP - VAE invitación simposio SEN-SER - Nefro</v>
      </c>
      <c r="M512" s="10" t="str">
        <f t="shared" si="15"/>
        <v>ccoll@crm.otsuka-europe.com</v>
      </c>
      <c r="N512" s="13">
        <v>46174.626423611109</v>
      </c>
      <c r="O512" s="14" t="str">
        <f>HYPERLINK("https://otsuka-europe-crm.veevavault.com/ui/#object/email_activity__v/V8C00000003K363", "EN-002086413")</f>
        <v>EN-002086413</v>
      </c>
    </row>
    <row r="513" spans="1:15" ht="32" x14ac:dyDescent="0.2">
      <c r="A513" s="7" t="str">
        <f>HYPERLINK("https://otsuka-europe-crm.veevavault.com/ui/#object/account__v/V4TZ025E878UUVL", "LUIS FERNANDO DOMINGUEZ REINA")</f>
        <v>LUIS FERNANDO DOMINGUEZ REINA</v>
      </c>
      <c r="B513" s="7" t="str">
        <f t="shared" si="12"/>
        <v>ES</v>
      </c>
      <c r="C513" s="8" t="s">
        <v>41</v>
      </c>
      <c r="D513" s="9" t="str">
        <f t="shared" si="13"/>
        <v>LUP - VAE invitación simposio SEN-SER - Nefro</v>
      </c>
      <c r="E513" s="10" t="str">
        <f>HYPERLINK("https://otsuka-europe-crm.veevavault.com/ui/#object/sent_email__v/VBL00000002N200", "SE-001431118")</f>
        <v>SE-001431118</v>
      </c>
      <c r="F513" s="11"/>
      <c r="G513" s="12">
        <v>0</v>
      </c>
      <c r="H513" s="12">
        <v>0</v>
      </c>
      <c r="I513" s="12">
        <v>0</v>
      </c>
      <c r="J513" s="11"/>
      <c r="K513" s="12">
        <v>0</v>
      </c>
      <c r="L513" s="10" t="str">
        <f t="shared" si="14"/>
        <v>LUP - VAE invitación simposio SEN-SER - Nefro</v>
      </c>
      <c r="M513" s="10" t="str">
        <f t="shared" si="15"/>
        <v>ccoll@crm.otsuka-europe.com</v>
      </c>
      <c r="N513" s="13">
        <v>46174.626331018517</v>
      </c>
      <c r="O513" s="14" t="str">
        <f>HYPERLINK("https://otsuka-europe-crm.veevavault.com/ui/#object/email_activity__v/V8C00000003K278", "EN-002086328")</f>
        <v>EN-002086328</v>
      </c>
    </row>
    <row r="514" spans="1:15" ht="32" x14ac:dyDescent="0.2">
      <c r="A514" s="7" t="str">
        <f>HYPERLINK("https://otsuka-europe-crm.veevavault.com/ui/#object/account__v/V4TZ06G6O71TBGI", "AINA REMEI OBRADOR MULET")</f>
        <v>AINA REMEI OBRADOR MULET</v>
      </c>
      <c r="B514" s="7" t="str">
        <f t="shared" si="12"/>
        <v>ES</v>
      </c>
      <c r="C514" s="8" t="s">
        <v>41</v>
      </c>
      <c r="D514" s="9" t="str">
        <f t="shared" si="13"/>
        <v>LUP - VAE invitación simposio SEN-SER - Nefro</v>
      </c>
      <c r="E514" s="10" t="str">
        <f>HYPERLINK("https://otsuka-europe-crm.veevavault.com/ui/#object/sent_email__v/VBL00000002N201", "SE-001431119")</f>
        <v>SE-001431119</v>
      </c>
      <c r="F514" s="11"/>
      <c r="G514" s="12">
        <v>0</v>
      </c>
      <c r="H514" s="12">
        <v>0</v>
      </c>
      <c r="I514" s="12">
        <v>0</v>
      </c>
      <c r="J514" s="11"/>
      <c r="K514" s="12">
        <v>0</v>
      </c>
      <c r="L514" s="10" t="str">
        <f t="shared" si="14"/>
        <v>LUP - VAE invitación simposio SEN-SER - Nefro</v>
      </c>
      <c r="M514" s="10" t="str">
        <f t="shared" si="15"/>
        <v>ccoll@crm.otsuka-europe.com</v>
      </c>
      <c r="N514" s="13">
        <v>46174.626331018517</v>
      </c>
      <c r="O514" s="14" t="str">
        <f>HYPERLINK("https://otsuka-europe-crm.veevavault.com/ui/#object/email_activity__v/V8C00000003K467", "EN-002086522")</f>
        <v>EN-002086522</v>
      </c>
    </row>
    <row r="515" spans="1:15" ht="32" x14ac:dyDescent="0.2">
      <c r="A515" s="7" t="str">
        <f>HYPERLINK("https://otsuka-europe-crm.veevavault.com/ui/#object/account__v/V4TZ04ASGGCFLUE", "JORGE IVAN ZAMORA CARRILLO")</f>
        <v>JORGE IVAN ZAMORA CARRILLO</v>
      </c>
      <c r="B515" s="7" t="str">
        <f t="shared" si="12"/>
        <v>ES</v>
      </c>
      <c r="C515" s="8" t="s">
        <v>41</v>
      </c>
      <c r="D515" s="9" t="str">
        <f t="shared" si="13"/>
        <v>LUP - VAE invitación simposio SEN-SER - Nefro</v>
      </c>
      <c r="E515" s="10" t="str">
        <f>HYPERLINK("https://otsuka-europe-crm.veevavault.com/ui/#object/sent_email__v/VBL00000002N202", "SE-001431120")</f>
        <v>SE-001431120</v>
      </c>
      <c r="F515" s="11"/>
      <c r="G515" s="12">
        <v>0</v>
      </c>
      <c r="H515" s="12">
        <v>0</v>
      </c>
      <c r="I515" s="12">
        <v>0</v>
      </c>
      <c r="J515" s="11"/>
      <c r="K515" s="12">
        <v>0</v>
      </c>
      <c r="L515" s="10" t="str">
        <f t="shared" si="14"/>
        <v>LUP - VAE invitación simposio SEN-SER - Nefro</v>
      </c>
      <c r="M515" s="10" t="str">
        <f t="shared" si="15"/>
        <v>ccoll@crm.otsuka-europe.com</v>
      </c>
      <c r="N515" s="13">
        <v>46174.626331018517</v>
      </c>
      <c r="O515" s="14" t="str">
        <f>HYPERLINK("https://otsuka-europe-crm.veevavault.com/ui/#object/email_activity__v/V8C00000003K284", "EN-002086334")</f>
        <v>EN-002086334</v>
      </c>
    </row>
    <row r="516" spans="1:15" ht="16" x14ac:dyDescent="0.2">
      <c r="A516" s="17" t="str">
        <f>HYPERLINK("https://otsuka-europe-crm.veevavault.com/ui/#object/account__v/V4TZ025E877WSPV", "FABRIZZIO HUMBERTO POMA SAAVEDRA")</f>
        <v>FABRIZZIO HUMBERTO POMA SAAVEDRA</v>
      </c>
      <c r="B516" s="17" t="str">
        <f t="shared" si="12"/>
        <v>ES</v>
      </c>
      <c r="C516" s="20" t="s">
        <v>41</v>
      </c>
      <c r="D516" s="21" t="str">
        <f t="shared" si="13"/>
        <v>LUP - VAE invitación simposio SEN-SER - Nefro</v>
      </c>
      <c r="E516" s="22" t="str">
        <f>HYPERLINK("https://otsuka-europe-crm.veevavault.com/ui/#object/sent_email__v/VBL00000002N203", "SE-001431121")</f>
        <v>SE-001431121</v>
      </c>
      <c r="F516" s="25"/>
      <c r="G516" s="24">
        <v>0</v>
      </c>
      <c r="H516" s="24">
        <v>0</v>
      </c>
      <c r="I516" s="24">
        <v>0</v>
      </c>
      <c r="J516" s="25"/>
      <c r="K516" s="24">
        <v>0</v>
      </c>
      <c r="L516" s="22" t="str">
        <f t="shared" si="14"/>
        <v>LUP - VAE invitación simposio SEN-SER - Nefro</v>
      </c>
      <c r="M516" s="22" t="str">
        <f t="shared" si="15"/>
        <v>ccoll@crm.otsuka-europe.com</v>
      </c>
      <c r="N516" s="23">
        <v>46174.626331018517</v>
      </c>
      <c r="O516" s="14" t="str">
        <f>HYPERLINK("https://otsuka-europe-crm.veevavault.com/ui/#object/email_activity__v/V8C00000003K286", "EN-002086336")</f>
        <v>EN-002086336</v>
      </c>
    </row>
    <row r="517" spans="1:15" ht="16" x14ac:dyDescent="0.2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4" t="str">
        <f>HYPERLINK("https://otsuka-europe-crm.veevavault.com/ui/#object/email_activity__v/V8C00000003K592", "EN-002086805")</f>
        <v>EN-002086805</v>
      </c>
    </row>
    <row r="518" spans="1:15" ht="16" x14ac:dyDescent="0.2">
      <c r="A518" s="17" t="str">
        <f>HYPERLINK("https://otsuka-europe-crm.veevavault.com/ui/#object/account__v/V4TZ025E87GCXMX", "CLAUDIA FLORES CORTES")</f>
        <v>CLAUDIA FLORES CORTES</v>
      </c>
      <c r="B518" s="17" t="str">
        <f>HYPERLINK("https://otsuka-europe-crm.veevavault.com/ui/#object/vcountry__v/VENZ000004SONF5", "ES")</f>
        <v>ES</v>
      </c>
      <c r="C518" s="20" t="s">
        <v>41</v>
      </c>
      <c r="D518" s="21" t="str">
        <f>HYPERLINK("https://otsuka-europe-crm.veevavault.com/ui/#object/approved_document__v/V5O00000001H022", "LUP - VAE invitación simposio SEN-SER - Nefro")</f>
        <v>LUP - VAE invitación simposio SEN-SER - Nefro</v>
      </c>
      <c r="E518" s="22" t="str">
        <f>HYPERLINK("https://otsuka-europe-crm.veevavault.com/ui/#object/sent_email__v/VBL00000002N204", "SE-001431122")</f>
        <v>SE-001431122</v>
      </c>
      <c r="F518" s="23">
        <v>46184.931886574072</v>
      </c>
      <c r="G518" s="24">
        <v>1</v>
      </c>
      <c r="H518" s="24">
        <v>4</v>
      </c>
      <c r="I518" s="24">
        <v>1</v>
      </c>
      <c r="J518" s="23">
        <v>46184.931932870371</v>
      </c>
      <c r="K518" s="24">
        <v>1</v>
      </c>
      <c r="L518" s="22" t="str">
        <f>HYPERLINK("https://otsuka-europe-crm.veevavault.com/ui/#object/approved_document__v/V5O00000001H022", "LUP - VAE invitación simposio SEN-SER - Nefro")</f>
        <v>LUP - VAE invitación simposio SEN-SER - Nefro</v>
      </c>
      <c r="M518" s="22" t="str">
        <f>HYPERLINK("mailto:ccoll@crm.otsuka-europe.com", "ccoll@crm.otsuka-europe.com")</f>
        <v>ccoll@crm.otsuka-europe.com</v>
      </c>
      <c r="N518" s="23">
        <v>46174.626331018517</v>
      </c>
      <c r="O518" s="14" t="str">
        <f>HYPERLINK("https://otsuka-europe-crm.veevavault.com/ui/#object/email_activity__v/V8C00000003K339", "EN-002086389")</f>
        <v>EN-002086389</v>
      </c>
    </row>
    <row r="519" spans="1:15" ht="16" x14ac:dyDescent="0.2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4" t="str">
        <f>HYPERLINK("https://otsuka-europe-crm.veevavault.com/ui/#object/email_activity__v/V8C00000003K567", "EN-002086739")</f>
        <v>EN-002086739</v>
      </c>
    </row>
    <row r="520" spans="1:15" ht="16" x14ac:dyDescent="0.2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4" t="str">
        <f>HYPERLINK("https://otsuka-europe-crm.veevavault.com/ui/#object/email_activity__v/V8C00000003K568", "EN-002086740")</f>
        <v>EN-002086740</v>
      </c>
    </row>
    <row r="521" spans="1:15" ht="16" x14ac:dyDescent="0.2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4" t="str">
        <f>HYPERLINK("https://otsuka-europe-crm.veevavault.com/ui/#object/email_activity__v/V8C00000003K570", "EN-002086742")</f>
        <v>EN-002086742</v>
      </c>
    </row>
    <row r="522" spans="1:15" ht="16" x14ac:dyDescent="0.2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4" t="str">
        <f>HYPERLINK("https://otsuka-europe-crm.veevavault.com/ui/#object/email_activity__v/V8C00000003U020", "EN-002094862")</f>
        <v>EN-002094862</v>
      </c>
    </row>
    <row r="523" spans="1:15" ht="16" x14ac:dyDescent="0.2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4" t="str">
        <f>HYPERLINK("https://otsuka-europe-crm.veevavault.com/ui/#object/email_activity__v/V8C00000003U021", "EN-002094863")</f>
        <v>EN-002094863</v>
      </c>
    </row>
    <row r="524" spans="1:15" ht="16" x14ac:dyDescent="0.2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4" t="str">
        <f>HYPERLINK("https://otsuka-europe-crm.veevavault.com/ui/#object/email_activity__v/V8C00000003V028", "EN-002094872")</f>
        <v>EN-002094872</v>
      </c>
    </row>
    <row r="525" spans="1:15" ht="32" x14ac:dyDescent="0.2">
      <c r="A525" s="7" t="str">
        <f>HYPERLINK("https://otsuka-europe-crm.veevavault.com/ui/#object/account__v/V4TZ06G6O810I1W", "ALEJANDRO JOSE ROSALES MONTERO")</f>
        <v>ALEJANDRO JOSE ROSALES MONTERO</v>
      </c>
      <c r="B525" s="7" t="str">
        <f>HYPERLINK("https://otsuka-europe-crm.veevavault.com/ui/#object/vcountry__v/VENZ000004SONF5", "ES")</f>
        <v>ES</v>
      </c>
      <c r="C525" s="8" t="s">
        <v>41</v>
      </c>
      <c r="D525" s="9" t="str">
        <f>HYPERLINK("https://otsuka-europe-crm.veevavault.com/ui/#object/approved_document__v/V5O00000001H022", "LUP - VAE invitación simposio SEN-SER - Nefro")</f>
        <v>LUP - VAE invitación simposio SEN-SER - Nefro</v>
      </c>
      <c r="E525" s="10" t="str">
        <f>HYPERLINK("https://otsuka-europe-crm.veevavault.com/ui/#object/sent_email__v/VBL00000002N205", "SE-001431123")</f>
        <v>SE-001431123</v>
      </c>
      <c r="F525" s="11"/>
      <c r="G525" s="12">
        <v>0</v>
      </c>
      <c r="H525" s="12">
        <v>0</v>
      </c>
      <c r="I525" s="12">
        <v>0</v>
      </c>
      <c r="J525" s="11"/>
      <c r="K525" s="12">
        <v>0</v>
      </c>
      <c r="L525" s="10" t="str">
        <f>HYPERLINK("https://otsuka-europe-crm.veevavault.com/ui/#object/approved_document__v/V5O00000001H022", "LUP - VAE invitación simposio SEN-SER - Nefro")</f>
        <v>LUP - VAE invitación simposio SEN-SER - Nefro</v>
      </c>
      <c r="M525" s="10" t="str">
        <f>HYPERLINK("mailto:ccoll@crm.otsuka-europe.com", "ccoll@crm.otsuka-europe.com")</f>
        <v>ccoll@crm.otsuka-europe.com</v>
      </c>
      <c r="N525" s="13">
        <v>46174.626331018517</v>
      </c>
      <c r="O525" s="14" t="str">
        <f>HYPERLINK("https://otsuka-europe-crm.veevavault.com/ui/#object/email_activity__v/V8C00000003K319", "EN-002086367")</f>
        <v>EN-002086367</v>
      </c>
    </row>
    <row r="526" spans="1:15" ht="16" x14ac:dyDescent="0.2">
      <c r="A526" s="17" t="str">
        <f>HYPERLINK("https://otsuka-europe-crm.veevavault.com/ui/#object/account__v/V4TZ06G6O71TBNH", "ANTONIO FRANCISCO PLANAS PONS")</f>
        <v>ANTONIO FRANCISCO PLANAS PONS</v>
      </c>
      <c r="B526" s="17" t="str">
        <f>HYPERLINK("https://otsuka-europe-crm.veevavault.com/ui/#object/vcountry__v/VENZ000004SONF5", "ES")</f>
        <v>ES</v>
      </c>
      <c r="C526" s="20" t="s">
        <v>41</v>
      </c>
      <c r="D526" s="21" t="str">
        <f>HYPERLINK("https://otsuka-europe-crm.veevavault.com/ui/#object/approved_document__v/V5O00000001H022", "LUP - VAE invitación simposio SEN-SER - Nefro")</f>
        <v>LUP - VAE invitación simposio SEN-SER - Nefro</v>
      </c>
      <c r="E526" s="22" t="str">
        <f>HYPERLINK("https://otsuka-europe-crm.veevavault.com/ui/#object/sent_email__v/VBL00000002N206", "SE-001431124")</f>
        <v>SE-001431124</v>
      </c>
      <c r="F526" s="23">
        <v>46174.637499999997</v>
      </c>
      <c r="G526" s="24">
        <v>1</v>
      </c>
      <c r="H526" s="24">
        <v>1</v>
      </c>
      <c r="I526" s="24">
        <v>1</v>
      </c>
      <c r="J526" s="23">
        <v>46192.499456018515</v>
      </c>
      <c r="K526" s="24">
        <v>1</v>
      </c>
      <c r="L526" s="22" t="str">
        <f>HYPERLINK("https://otsuka-europe-crm.veevavault.com/ui/#object/approved_document__v/V5O00000001H022", "LUP - VAE invitación simposio SEN-SER - Nefro")</f>
        <v>LUP - VAE invitación simposio SEN-SER - Nefro</v>
      </c>
      <c r="M526" s="22" t="str">
        <f>HYPERLINK("mailto:ccoll@crm.otsuka-europe.com", "ccoll@crm.otsuka-europe.com")</f>
        <v>ccoll@crm.otsuka-europe.com</v>
      </c>
      <c r="N526" s="23">
        <v>46174.626331018517</v>
      </c>
      <c r="O526" s="14" t="str">
        <f>HYPERLINK("https://otsuka-europe-crm.veevavault.com/ui/#object/email_activity__v/V8C00000003K288", "EN-002086338")</f>
        <v>EN-002086338</v>
      </c>
    </row>
    <row r="527" spans="1:15" ht="16" x14ac:dyDescent="0.2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4" t="str">
        <f>HYPERLINK("https://otsuka-europe-crm.veevavault.com/ui/#object/email_activity__v/V8C00000003K474", "EN-002086531")</f>
        <v>EN-002086531</v>
      </c>
    </row>
    <row r="528" spans="1:15" ht="16" x14ac:dyDescent="0.2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4" t="str">
        <f>HYPERLINK("https://otsuka-europe-crm.veevavault.com/ui/#object/email_activity__v/V8C000000040045", "EN-002098788")</f>
        <v>EN-002098788</v>
      </c>
    </row>
    <row r="529" spans="1:15" ht="16" x14ac:dyDescent="0.2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4" t="str">
        <f>HYPERLINK("https://otsuka-europe-crm.veevavault.com/ui/#object/email_activity__v/V8C000000040048", "EN-002098791")</f>
        <v>EN-002098791</v>
      </c>
    </row>
    <row r="530" spans="1:15" ht="32" x14ac:dyDescent="0.2">
      <c r="A530" s="7" t="str">
        <f>HYPERLINK("https://otsuka-europe-crm.veevavault.com/ui/#object/account__v/V4TZ025E894MIXS", "SARA NUÑEZ DELGADO")</f>
        <v>SARA NUÑEZ DELGADO</v>
      </c>
      <c r="B530" s="7" t="str">
        <f t="shared" ref="B530:B535" si="16">HYPERLINK("https://otsuka-europe-crm.veevavault.com/ui/#object/vcountry__v/VENZ000004SONF5", "ES")</f>
        <v>ES</v>
      </c>
      <c r="C530" s="8" t="s">
        <v>41</v>
      </c>
      <c r="D530" s="9" t="str">
        <f t="shared" ref="D530:D535" si="17">HYPERLINK("https://otsuka-europe-crm.veevavault.com/ui/#object/approved_document__v/V5O00000001H022", "LUP - VAE invitación simposio SEN-SER - Nefro")</f>
        <v>LUP - VAE invitación simposio SEN-SER - Nefro</v>
      </c>
      <c r="E530" s="10" t="str">
        <f>HYPERLINK("https://otsuka-europe-crm.veevavault.com/ui/#object/sent_email__v/VBL00000002N207", "SE-001431125")</f>
        <v>SE-001431125</v>
      </c>
      <c r="F530" s="11"/>
      <c r="G530" s="12">
        <v>0</v>
      </c>
      <c r="H530" s="12">
        <v>0</v>
      </c>
      <c r="I530" s="12">
        <v>0</v>
      </c>
      <c r="J530" s="11"/>
      <c r="K530" s="12">
        <v>0</v>
      </c>
      <c r="L530" s="10" t="str">
        <f t="shared" ref="L530:L535" si="18">HYPERLINK("https://otsuka-europe-crm.veevavault.com/ui/#object/approved_document__v/V5O00000001H022", "LUP - VAE invitación simposio SEN-SER - Nefro")</f>
        <v>LUP - VAE invitación simposio SEN-SER - Nefro</v>
      </c>
      <c r="M530" s="10" t="str">
        <f t="shared" ref="M530:M535" si="19">HYPERLINK("mailto:ccoll@crm.otsuka-europe.com", "ccoll@crm.otsuka-europe.com")</f>
        <v>ccoll@crm.otsuka-europe.com</v>
      </c>
      <c r="N530" s="13">
        <v>46174.626331018517</v>
      </c>
      <c r="O530" s="14" t="str">
        <f>HYPERLINK("https://otsuka-europe-crm.veevavault.com/ui/#object/email_activity__v/V8C00000003K287", "EN-002086337")</f>
        <v>EN-002086337</v>
      </c>
    </row>
    <row r="531" spans="1:15" ht="32" x14ac:dyDescent="0.2">
      <c r="A531" s="7" t="str">
        <f>HYPERLINK("https://otsuka-europe-crm.veevavault.com/ui/#object/account__v/V4TZ06G6O71TCDU", "MARIA JOSE SOLER ROMEO")</f>
        <v>MARIA JOSE SOLER ROMEO</v>
      </c>
      <c r="B531" s="7" t="str">
        <f t="shared" si="16"/>
        <v>ES</v>
      </c>
      <c r="C531" s="8" t="s">
        <v>41</v>
      </c>
      <c r="D531" s="9" t="str">
        <f t="shared" si="17"/>
        <v>LUP - VAE invitación simposio SEN-SER - Nefro</v>
      </c>
      <c r="E531" s="10" t="str">
        <f>HYPERLINK("https://otsuka-europe-crm.veevavault.com/ui/#object/sent_email__v/VBL00000002N208", "SE-001431126")</f>
        <v>SE-001431126</v>
      </c>
      <c r="F531" s="11"/>
      <c r="G531" s="12">
        <v>0</v>
      </c>
      <c r="H531" s="12">
        <v>0</v>
      </c>
      <c r="I531" s="12">
        <v>0</v>
      </c>
      <c r="J531" s="11"/>
      <c r="K531" s="12">
        <v>0</v>
      </c>
      <c r="L531" s="10" t="str">
        <f t="shared" si="18"/>
        <v>LUP - VAE invitación simposio SEN-SER - Nefro</v>
      </c>
      <c r="M531" s="10" t="str">
        <f t="shared" si="19"/>
        <v>ccoll@crm.otsuka-europe.com</v>
      </c>
      <c r="N531" s="13">
        <v>46174.626331018517</v>
      </c>
      <c r="O531" s="14" t="str">
        <f>HYPERLINK("https://otsuka-europe-crm.veevavault.com/ui/#object/email_activity__v/V8C00000003K295", "EN-002086345")</f>
        <v>EN-002086345</v>
      </c>
    </row>
    <row r="532" spans="1:15" ht="32" x14ac:dyDescent="0.2">
      <c r="A532" s="7" t="str">
        <f>HYPERLINK("https://otsuka-europe-crm.veevavault.com/ui/#object/account__v/V4TZ04ASGGI40KA", "ONIA FRANQUET CANALS")</f>
        <v>ONIA FRANQUET CANALS</v>
      </c>
      <c r="B532" s="7" t="str">
        <f t="shared" si="16"/>
        <v>ES</v>
      </c>
      <c r="C532" s="8" t="s">
        <v>41</v>
      </c>
      <c r="D532" s="9" t="str">
        <f t="shared" si="17"/>
        <v>LUP - VAE invitación simposio SEN-SER - Nefro</v>
      </c>
      <c r="E532" s="10" t="str">
        <f>HYPERLINK("https://otsuka-europe-crm.veevavault.com/ui/#object/sent_email__v/VBL00000002N209", "SE-001431127")</f>
        <v>SE-001431127</v>
      </c>
      <c r="F532" s="11"/>
      <c r="G532" s="12">
        <v>0</v>
      </c>
      <c r="H532" s="12">
        <v>0</v>
      </c>
      <c r="I532" s="12">
        <v>0</v>
      </c>
      <c r="J532" s="11"/>
      <c r="K532" s="12">
        <v>0</v>
      </c>
      <c r="L532" s="10" t="str">
        <f t="shared" si="18"/>
        <v>LUP - VAE invitación simposio SEN-SER - Nefro</v>
      </c>
      <c r="M532" s="10" t="str">
        <f t="shared" si="19"/>
        <v>ccoll@crm.otsuka-europe.com</v>
      </c>
      <c r="N532" s="13">
        <v>46174.626331018517</v>
      </c>
      <c r="O532" s="14" t="str">
        <f>HYPERLINK("https://otsuka-europe-crm.veevavault.com/ui/#object/email_activity__v/V8C00000003K320", "EN-002086370")</f>
        <v>EN-002086370</v>
      </c>
    </row>
    <row r="533" spans="1:15" ht="32" x14ac:dyDescent="0.2">
      <c r="A533" s="7" t="str">
        <f>HYPERLINK("https://otsuka-europe-crm.veevavault.com/ui/#object/account__v/V4TZ06G6O71TBEJ", "ALBERTO ORTIZ ARDUAN")</f>
        <v>ALBERTO ORTIZ ARDUAN</v>
      </c>
      <c r="B533" s="7" t="str">
        <f t="shared" si="16"/>
        <v>ES</v>
      </c>
      <c r="C533" s="8" t="s">
        <v>41</v>
      </c>
      <c r="D533" s="9" t="str">
        <f t="shared" si="17"/>
        <v>LUP - VAE invitación simposio SEN-SER - Nefro</v>
      </c>
      <c r="E533" s="10" t="str">
        <f>HYPERLINK("https://otsuka-europe-crm.veevavault.com/ui/#object/sent_email__v/VBL00000002N210", "SE-001431128")</f>
        <v>SE-001431128</v>
      </c>
      <c r="F533" s="11"/>
      <c r="G533" s="12">
        <v>0</v>
      </c>
      <c r="H533" s="12">
        <v>0</v>
      </c>
      <c r="I533" s="12">
        <v>0</v>
      </c>
      <c r="J533" s="11"/>
      <c r="K533" s="12">
        <v>0</v>
      </c>
      <c r="L533" s="10" t="str">
        <f t="shared" si="18"/>
        <v>LUP - VAE invitación simposio SEN-SER - Nefro</v>
      </c>
      <c r="M533" s="10" t="str">
        <f t="shared" si="19"/>
        <v>ccoll@crm.otsuka-europe.com</v>
      </c>
      <c r="N533" s="13">
        <v>46174.626354166663</v>
      </c>
      <c r="O533" s="14" t="str">
        <f>HYPERLINK("https://otsuka-europe-crm.veevavault.com/ui/#object/email_activity__v/V8C00000003K270", "EN-002086320")</f>
        <v>EN-002086320</v>
      </c>
    </row>
    <row r="534" spans="1:15" ht="32" x14ac:dyDescent="0.2">
      <c r="A534" s="7" t="str">
        <f>HYPERLINK("https://otsuka-europe-crm.veevavault.com/ui/#object/account__v/V4TZ06G6O71UQS8", "PALOMA LIVIANOS ARIAS-CAMISON")</f>
        <v>PALOMA LIVIANOS ARIAS-CAMISON</v>
      </c>
      <c r="B534" s="7" t="str">
        <f t="shared" si="16"/>
        <v>ES</v>
      </c>
      <c r="C534" s="8" t="s">
        <v>41</v>
      </c>
      <c r="D534" s="9" t="str">
        <f t="shared" si="17"/>
        <v>LUP - VAE invitación simposio SEN-SER - Nefro</v>
      </c>
      <c r="E534" s="10" t="str">
        <f>HYPERLINK("https://otsuka-europe-crm.veevavault.com/ui/#object/sent_email__v/VBL00000002N211", "SE-001431129")</f>
        <v>SE-001431129</v>
      </c>
      <c r="F534" s="11"/>
      <c r="G534" s="12">
        <v>0</v>
      </c>
      <c r="H534" s="12">
        <v>0</v>
      </c>
      <c r="I534" s="12">
        <v>0</v>
      </c>
      <c r="J534" s="11"/>
      <c r="K534" s="12">
        <v>0</v>
      </c>
      <c r="L534" s="10" t="str">
        <f t="shared" si="18"/>
        <v>LUP - VAE invitación simposio SEN-SER - Nefro</v>
      </c>
      <c r="M534" s="10" t="str">
        <f t="shared" si="19"/>
        <v>ccoll@crm.otsuka-europe.com</v>
      </c>
      <c r="N534" s="13">
        <v>46174.626377314817</v>
      </c>
      <c r="O534" s="14" t="str">
        <f>HYPERLINK("https://otsuka-europe-crm.veevavault.com/ui/#object/email_activity__v/V8C00000003K341", "EN-002086391")</f>
        <v>EN-002086391</v>
      </c>
    </row>
    <row r="535" spans="1:15" ht="16" x14ac:dyDescent="0.2">
      <c r="A535" s="17" t="str">
        <f>HYPERLINK("https://otsuka-europe-crm.veevavault.com/ui/#object/account__v/V4TZ025E88XIUVF", "ANDRES HERRERA NARANJO")</f>
        <v>ANDRES HERRERA NARANJO</v>
      </c>
      <c r="B535" s="17" t="str">
        <f t="shared" si="16"/>
        <v>ES</v>
      </c>
      <c r="C535" s="20" t="s">
        <v>41</v>
      </c>
      <c r="D535" s="21" t="str">
        <f t="shared" si="17"/>
        <v>LUP - VAE invitación simposio SEN-SER - Nefro</v>
      </c>
      <c r="E535" s="22" t="str">
        <f>HYPERLINK("https://otsuka-europe-crm.veevavault.com/ui/#object/sent_email__v/VBL00000002N212", "SE-001431130")</f>
        <v>SE-001431130</v>
      </c>
      <c r="F535" s="23">
        <v>46175.504386574074</v>
      </c>
      <c r="G535" s="24">
        <v>1</v>
      </c>
      <c r="H535" s="24">
        <v>1</v>
      </c>
      <c r="I535" s="24">
        <v>0</v>
      </c>
      <c r="J535" s="25"/>
      <c r="K535" s="24">
        <v>0</v>
      </c>
      <c r="L535" s="22" t="str">
        <f t="shared" si="18"/>
        <v>LUP - VAE invitación simposio SEN-SER - Nefro</v>
      </c>
      <c r="M535" s="22" t="str">
        <f t="shared" si="19"/>
        <v>ccoll@crm.otsuka-europe.com</v>
      </c>
      <c r="N535" s="23">
        <v>46174.626354166663</v>
      </c>
      <c r="O535" s="14" t="str">
        <f>HYPERLINK("https://otsuka-europe-crm.veevavault.com/ui/#object/email_activity__v/V8C00000003K308", "EN-002086358")</f>
        <v>EN-002086358</v>
      </c>
    </row>
    <row r="536" spans="1:15" ht="16" x14ac:dyDescent="0.2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4" t="str">
        <f>HYPERLINK("https://otsuka-europe-crm.veevavault.com/ui/#object/email_activity__v/V8C00000003K807", "EN-002087460")</f>
        <v>EN-002087460</v>
      </c>
    </row>
    <row r="537" spans="1:15" ht="16" x14ac:dyDescent="0.2">
      <c r="A537" s="17" t="str">
        <f>HYPERLINK("https://otsuka-europe-crm.veevavault.com/ui/#object/account__v/V4TZ025E885VOSI", "FATIMA ALVAREDO DE BEAS")</f>
        <v>FATIMA ALVAREDO DE BEAS</v>
      </c>
      <c r="B537" s="17" t="str">
        <f>HYPERLINK("https://otsuka-europe-crm.veevavault.com/ui/#object/vcountry__v/VENZ000004SONF5", "ES")</f>
        <v>ES</v>
      </c>
      <c r="C537" s="20" t="s">
        <v>41</v>
      </c>
      <c r="D537" s="21" t="str">
        <f>HYPERLINK("https://otsuka-europe-crm.veevavault.com/ui/#object/approved_document__v/V5O00000001H022", "LUP - VAE invitación simposio SEN-SER - Nefro")</f>
        <v>LUP - VAE invitación simposio SEN-SER - Nefro</v>
      </c>
      <c r="E537" s="22" t="str">
        <f>HYPERLINK("https://otsuka-europe-crm.veevavault.com/ui/#object/sent_email__v/VBL00000002N213", "SE-001431131")</f>
        <v>SE-001431131</v>
      </c>
      <c r="F537" s="23">
        <v>46175.503449074073</v>
      </c>
      <c r="G537" s="24">
        <v>1</v>
      </c>
      <c r="H537" s="24">
        <v>1</v>
      </c>
      <c r="I537" s="24">
        <v>1</v>
      </c>
      <c r="J537" s="23">
        <v>46175.503449074073</v>
      </c>
      <c r="K537" s="24">
        <v>1</v>
      </c>
      <c r="L537" s="22" t="str">
        <f>HYPERLINK("https://otsuka-europe-crm.veevavault.com/ui/#object/approved_document__v/V5O00000001H022", "LUP - VAE invitación simposio SEN-SER - Nefro")</f>
        <v>LUP - VAE invitación simposio SEN-SER - Nefro</v>
      </c>
      <c r="M537" s="22" t="str">
        <f>HYPERLINK("mailto:ccoll@crm.otsuka-europe.com", "ccoll@crm.otsuka-europe.com")</f>
        <v>ccoll@crm.otsuka-europe.com</v>
      </c>
      <c r="N537" s="23">
        <v>46174.626354166663</v>
      </c>
      <c r="O537" s="14" t="str">
        <f>HYPERLINK("https://otsuka-europe-crm.veevavault.com/ui/#object/email_activity__v/V8C00000003K303", "EN-002086353")</f>
        <v>EN-002086353</v>
      </c>
    </row>
    <row r="538" spans="1:15" ht="16" x14ac:dyDescent="0.2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4" t="str">
        <f>HYPERLINK("https://otsuka-europe-crm.veevavault.com/ui/#object/email_activity__v/V8C00000003K804", "EN-002087458")</f>
        <v>EN-002087458</v>
      </c>
    </row>
    <row r="539" spans="1:15" ht="16" x14ac:dyDescent="0.2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4" t="str">
        <f>HYPERLINK("https://otsuka-europe-crm.veevavault.com/ui/#object/email_activity__v/V8C00000003K805", "EN-002087457")</f>
        <v>EN-002087457</v>
      </c>
    </row>
    <row r="540" spans="1:15" ht="16" x14ac:dyDescent="0.2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4" t="str">
        <f>HYPERLINK("https://otsuka-europe-crm.veevavault.com/ui/#object/email_activity__v/V8C00000003L752", "EN-002087477")</f>
        <v>EN-002087477</v>
      </c>
    </row>
    <row r="541" spans="1:15" ht="32" x14ac:dyDescent="0.2">
      <c r="A541" s="7" t="str">
        <f>HYPERLINK("https://otsuka-europe-crm.veevavault.com/ui/#object/account__v/V4TZ025E878U13E", "MARIO LADO FUENTES")</f>
        <v>MARIO LADO FUENTES</v>
      </c>
      <c r="B541" s="7" t="str">
        <f>HYPERLINK("https://otsuka-europe-crm.veevavault.com/ui/#object/vcountry__v/VENZ000004SONF5", "ES")</f>
        <v>ES</v>
      </c>
      <c r="C541" s="8" t="s">
        <v>41</v>
      </c>
      <c r="D541" s="9" t="str">
        <f>HYPERLINK("https://otsuka-europe-crm.veevavault.com/ui/#object/approved_document__v/V5O00000001H022", "LUP - VAE invitación simposio SEN-SER - Nefro")</f>
        <v>LUP - VAE invitación simposio SEN-SER - Nefro</v>
      </c>
      <c r="E541" s="10" t="str">
        <f>HYPERLINK("https://otsuka-europe-crm.veevavault.com/ui/#object/sent_email__v/VBL00000002N214", "SE-001431132")</f>
        <v>SE-001431132</v>
      </c>
      <c r="F541" s="11"/>
      <c r="G541" s="12">
        <v>0</v>
      </c>
      <c r="H541" s="12">
        <v>0</v>
      </c>
      <c r="I541" s="12">
        <v>0</v>
      </c>
      <c r="J541" s="11"/>
      <c r="K541" s="12">
        <v>0</v>
      </c>
      <c r="L541" s="10" t="str">
        <f>HYPERLINK("https://otsuka-europe-crm.veevavault.com/ui/#object/approved_document__v/V5O00000001H022", "LUP - VAE invitación simposio SEN-SER - Nefro")</f>
        <v>LUP - VAE invitación simposio SEN-SER - Nefro</v>
      </c>
      <c r="M541" s="10" t="str">
        <f>HYPERLINK("mailto:ccoll@crm.otsuka-europe.com", "ccoll@crm.otsuka-europe.com")</f>
        <v>ccoll@crm.otsuka-europe.com</v>
      </c>
      <c r="N541" s="13">
        <v>46174.626377314817</v>
      </c>
      <c r="O541" s="14" t="str">
        <f>HYPERLINK("https://otsuka-europe-crm.veevavault.com/ui/#object/email_activity__v/V8C00000003K340", "EN-002086390")</f>
        <v>EN-002086390</v>
      </c>
    </row>
    <row r="542" spans="1:15" ht="32" x14ac:dyDescent="0.2">
      <c r="A542" s="7" t="str">
        <f>HYPERLINK("https://otsuka-europe-crm.veevavault.com/ui/#object/account__v/V4TZ04ASG9234F7", "SILVIA TORRES CAMPOS")</f>
        <v>SILVIA TORRES CAMPOS</v>
      </c>
      <c r="B542" s="7" t="str">
        <f>HYPERLINK("https://otsuka-europe-crm.veevavault.com/ui/#object/vcountry__v/VENZ000004SONF5", "ES")</f>
        <v>ES</v>
      </c>
      <c r="C542" s="8" t="s">
        <v>41</v>
      </c>
      <c r="D542" s="9" t="str">
        <f>HYPERLINK("https://otsuka-europe-crm.veevavault.com/ui/#object/approved_document__v/V5O00000001H022", "LUP - VAE invitación simposio SEN-SER - Nefro")</f>
        <v>LUP - VAE invitación simposio SEN-SER - Nefro</v>
      </c>
      <c r="E542" s="10" t="str">
        <f>HYPERLINK("https://otsuka-europe-crm.veevavault.com/ui/#object/sent_email__v/VBL00000002N215", "SE-001431133")</f>
        <v>SE-001431133</v>
      </c>
      <c r="F542" s="11"/>
      <c r="G542" s="12">
        <v>0</v>
      </c>
      <c r="H542" s="12">
        <v>0</v>
      </c>
      <c r="I542" s="12">
        <v>0</v>
      </c>
      <c r="J542" s="11"/>
      <c r="K542" s="12">
        <v>0</v>
      </c>
      <c r="L542" s="10" t="str">
        <f>HYPERLINK("https://otsuka-europe-crm.veevavault.com/ui/#object/approved_document__v/V5O00000001H022", "LUP - VAE invitación simposio SEN-SER - Nefro")</f>
        <v>LUP - VAE invitación simposio SEN-SER - Nefro</v>
      </c>
      <c r="M542" s="10" t="str">
        <f>HYPERLINK("mailto:ccoll@crm.otsuka-europe.com", "ccoll@crm.otsuka-europe.com")</f>
        <v>ccoll@crm.otsuka-europe.com</v>
      </c>
      <c r="N542" s="13">
        <v>46174.62641203704</v>
      </c>
      <c r="O542" s="14" t="str">
        <f>HYPERLINK("https://otsuka-europe-crm.veevavault.com/ui/#object/email_activity__v/V8C00000003K362", "EN-002086412")</f>
        <v>EN-002086412</v>
      </c>
    </row>
    <row r="543" spans="1:15" ht="32" x14ac:dyDescent="0.2">
      <c r="A543" s="7" t="str">
        <f>HYPERLINK("https://otsuka-europe-crm.veevavault.com/ui/#object/account__v/V4TZ04ASGG579JH", "JOAQUIM CASALS URQUIZA")</f>
        <v>JOAQUIM CASALS URQUIZA</v>
      </c>
      <c r="B543" s="7" t="str">
        <f>HYPERLINK("https://otsuka-europe-crm.veevavault.com/ui/#object/vcountry__v/VENZ000004SONF5", "ES")</f>
        <v>ES</v>
      </c>
      <c r="C543" s="8" t="s">
        <v>41</v>
      </c>
      <c r="D543" s="9" t="str">
        <f>HYPERLINK("https://otsuka-europe-crm.veevavault.com/ui/#object/approved_document__v/V5O00000001H022", "LUP - VAE invitación simposio SEN-SER - Nefro")</f>
        <v>LUP - VAE invitación simposio SEN-SER - Nefro</v>
      </c>
      <c r="E543" s="10" t="str">
        <f>HYPERLINK("https://otsuka-europe-crm.veevavault.com/ui/#object/sent_email__v/VBL00000002N216", "SE-001431134")</f>
        <v>SE-001431134</v>
      </c>
      <c r="F543" s="11"/>
      <c r="G543" s="12">
        <v>0</v>
      </c>
      <c r="H543" s="12">
        <v>0</v>
      </c>
      <c r="I543" s="12">
        <v>0</v>
      </c>
      <c r="J543" s="11"/>
      <c r="K543" s="12">
        <v>0</v>
      </c>
      <c r="L543" s="10" t="str">
        <f>HYPERLINK("https://otsuka-europe-crm.veevavault.com/ui/#object/approved_document__v/V5O00000001H022", "LUP - VAE invitación simposio SEN-SER - Nefro")</f>
        <v>LUP - VAE invitación simposio SEN-SER - Nefro</v>
      </c>
      <c r="M543" s="10" t="str">
        <f>HYPERLINK("mailto:ccoll@crm.otsuka-europe.com", "ccoll@crm.otsuka-europe.com")</f>
        <v>ccoll@crm.otsuka-europe.com</v>
      </c>
      <c r="N543" s="13">
        <v>46174.626354166663</v>
      </c>
      <c r="O543" s="14" t="str">
        <f>HYPERLINK("https://otsuka-europe-crm.veevavault.com/ui/#object/email_activity__v/V8C00000003K305", "EN-002086355")</f>
        <v>EN-002086355</v>
      </c>
    </row>
    <row r="544" spans="1:15" ht="32" x14ac:dyDescent="0.2">
      <c r="A544" s="7" t="str">
        <f>HYPERLINK("https://otsuka-europe-crm.veevavault.com/ui/#object/account__v/V4TZ06G6O71TAUW", "PATRICIA GRACIA LOSADA GONZALEZ")</f>
        <v>PATRICIA GRACIA LOSADA GONZALEZ</v>
      </c>
      <c r="B544" s="7" t="str">
        <f>HYPERLINK("https://otsuka-europe-crm.veevavault.com/ui/#object/vcountry__v/VENZ000004SONF5", "ES")</f>
        <v>ES</v>
      </c>
      <c r="C544" s="8" t="s">
        <v>41</v>
      </c>
      <c r="D544" s="9" t="str">
        <f>HYPERLINK("https://otsuka-europe-crm.veevavault.com/ui/#object/approved_document__v/V5O00000001H022", "LUP - VAE invitación simposio SEN-SER - Nefro")</f>
        <v>LUP - VAE invitación simposio SEN-SER - Nefro</v>
      </c>
      <c r="E544" s="10" t="str">
        <f>HYPERLINK("https://otsuka-europe-crm.veevavault.com/ui/#object/sent_email__v/VBL00000002N217", "SE-001431135")</f>
        <v>SE-001431135</v>
      </c>
      <c r="F544" s="11"/>
      <c r="G544" s="12">
        <v>0</v>
      </c>
      <c r="H544" s="12">
        <v>0</v>
      </c>
      <c r="I544" s="12">
        <v>0</v>
      </c>
      <c r="J544" s="11"/>
      <c r="K544" s="12">
        <v>0</v>
      </c>
      <c r="L544" s="10" t="str">
        <f>HYPERLINK("https://otsuka-europe-crm.veevavault.com/ui/#object/approved_document__v/V5O00000001H022", "LUP - VAE invitación simposio SEN-SER - Nefro")</f>
        <v>LUP - VAE invitación simposio SEN-SER - Nefro</v>
      </c>
      <c r="M544" s="10" t="str">
        <f>HYPERLINK("mailto:ccoll@crm.otsuka-europe.com", "ccoll@crm.otsuka-europe.com")</f>
        <v>ccoll@crm.otsuka-europe.com</v>
      </c>
      <c r="N544" s="13">
        <v>46174.626354166663</v>
      </c>
      <c r="O544" s="14" t="str">
        <f>HYPERLINK("https://otsuka-europe-crm.veevavault.com/ui/#object/email_activity__v/V8C00000003K466", "EN-002086521")</f>
        <v>EN-002086521</v>
      </c>
    </row>
    <row r="545" spans="1:15" ht="16" x14ac:dyDescent="0.2">
      <c r="A545" s="17" t="str">
        <f>HYPERLINK("https://otsuka-europe-crm.veevavault.com/ui/#object/account__v/V4TZ06G6O71T9EY", "XOANA BARROS FREIRIA")</f>
        <v>XOANA BARROS FREIRIA</v>
      </c>
      <c r="B545" s="17" t="str">
        <f>HYPERLINK("https://otsuka-europe-crm.veevavault.com/ui/#object/vcountry__v/VENZ000004SONF5", "ES")</f>
        <v>ES</v>
      </c>
      <c r="C545" s="20" t="s">
        <v>41</v>
      </c>
      <c r="D545" s="21" t="str">
        <f>HYPERLINK("https://otsuka-europe-crm.veevavault.com/ui/#object/approved_document__v/V5O00000001H022", "LUP - VAE invitación simposio SEN-SER - Nefro")</f>
        <v>LUP - VAE invitación simposio SEN-SER - Nefro</v>
      </c>
      <c r="E545" s="22" t="str">
        <f>HYPERLINK("https://otsuka-europe-crm.veevavault.com/ui/#object/sent_email__v/VBL00000002N218", "SE-001431136")</f>
        <v>SE-001431136</v>
      </c>
      <c r="F545" s="23">
        <v>46175.286516203705</v>
      </c>
      <c r="G545" s="24">
        <v>1</v>
      </c>
      <c r="H545" s="24">
        <v>1</v>
      </c>
      <c r="I545" s="24">
        <v>0</v>
      </c>
      <c r="J545" s="25"/>
      <c r="K545" s="24">
        <v>0</v>
      </c>
      <c r="L545" s="22" t="str">
        <f>HYPERLINK("https://otsuka-europe-crm.veevavault.com/ui/#object/approved_document__v/V5O00000001H022", "LUP - VAE invitación simposio SEN-SER - Nefro")</f>
        <v>LUP - VAE invitación simposio SEN-SER - Nefro</v>
      </c>
      <c r="M545" s="22" t="str">
        <f>HYPERLINK("mailto:ccoll@crm.otsuka-europe.com", "ccoll@crm.otsuka-europe.com")</f>
        <v>ccoll@crm.otsuka-europe.com</v>
      </c>
      <c r="N545" s="23">
        <v>46174.626423611109</v>
      </c>
      <c r="O545" s="14" t="str">
        <f>HYPERLINK("https://otsuka-europe-crm.veevavault.com/ui/#object/email_activity__v/V8C00000003K364", "EN-002086414")</f>
        <v>EN-002086414</v>
      </c>
    </row>
    <row r="546" spans="1:15" ht="16" x14ac:dyDescent="0.2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4" t="str">
        <f>HYPERLINK("https://otsuka-europe-crm.veevavault.com/ui/#object/email_activity__v/V8C00000003K613", "EN-002086850")</f>
        <v>EN-002086850</v>
      </c>
    </row>
    <row r="547" spans="1:15" ht="32" x14ac:dyDescent="0.2">
      <c r="A547" s="7" t="str">
        <f>HYPERLINK("https://otsuka-europe-crm.veevavault.com/ui/#object/account__v/V4TZ06G6O71TBLF", "LAUREANO PEREZ OLLER")</f>
        <v>LAUREANO PEREZ OLLER</v>
      </c>
      <c r="B547" s="7" t="str">
        <f>HYPERLINK("https://otsuka-europe-crm.veevavault.com/ui/#object/vcountry__v/VENZ000004SONF5", "ES")</f>
        <v>ES</v>
      </c>
      <c r="C547" s="8" t="s">
        <v>41</v>
      </c>
      <c r="D547" s="9" t="str">
        <f>HYPERLINK("https://otsuka-europe-crm.veevavault.com/ui/#object/approved_document__v/V5O00000001H022", "LUP - VAE invitación simposio SEN-SER - Nefro")</f>
        <v>LUP - VAE invitación simposio SEN-SER - Nefro</v>
      </c>
      <c r="E547" s="10" t="str">
        <f>HYPERLINK("https://otsuka-europe-crm.veevavault.com/ui/#object/sent_email__v/VBL00000002N219", "SE-001431137")</f>
        <v>SE-001431137</v>
      </c>
      <c r="F547" s="11"/>
      <c r="G547" s="12">
        <v>0</v>
      </c>
      <c r="H547" s="12">
        <v>0</v>
      </c>
      <c r="I547" s="12">
        <v>0</v>
      </c>
      <c r="J547" s="11"/>
      <c r="K547" s="12">
        <v>0</v>
      </c>
      <c r="L547" s="10" t="str">
        <f>HYPERLINK("https://otsuka-europe-crm.veevavault.com/ui/#object/approved_document__v/V5O00000001H022", "LUP - VAE invitación simposio SEN-SER - Nefro")</f>
        <v>LUP - VAE invitación simposio SEN-SER - Nefro</v>
      </c>
      <c r="M547" s="10" t="str">
        <f>HYPERLINK("mailto:ccoll@crm.otsuka-europe.com", "ccoll@crm.otsuka-europe.com")</f>
        <v>ccoll@crm.otsuka-europe.com</v>
      </c>
      <c r="N547" s="13">
        <v>46174.626354166663</v>
      </c>
      <c r="O547" s="14" t="str">
        <f>HYPERLINK("https://otsuka-europe-crm.veevavault.com/ui/#object/email_activity__v/V8C00000003K375", "EN-002086425")</f>
        <v>EN-002086425</v>
      </c>
    </row>
    <row r="548" spans="1:15" ht="32" x14ac:dyDescent="0.2">
      <c r="A548" s="7" t="str">
        <f>HYPERLINK("https://otsuka-europe-crm.veevavault.com/ui/#object/account__v/V4TZ06G6O71TBYV", "NEUS RODRIGUEZ FARRE")</f>
        <v>NEUS RODRIGUEZ FARRE</v>
      </c>
      <c r="B548" s="7" t="str">
        <f>HYPERLINK("https://otsuka-europe-crm.veevavault.com/ui/#object/vcountry__v/VENZ000004SONF5", "ES")</f>
        <v>ES</v>
      </c>
      <c r="C548" s="8" t="s">
        <v>41</v>
      </c>
      <c r="D548" s="9" t="str">
        <f>HYPERLINK("https://otsuka-europe-crm.veevavault.com/ui/#object/approved_document__v/V5O00000001H022", "LUP - VAE invitación simposio SEN-SER - Nefro")</f>
        <v>LUP - VAE invitación simposio SEN-SER - Nefro</v>
      </c>
      <c r="E548" s="10" t="str">
        <f>HYPERLINK("https://otsuka-europe-crm.veevavault.com/ui/#object/sent_email__v/VBL00000002N220", "SE-001431138")</f>
        <v>SE-001431138</v>
      </c>
      <c r="F548" s="11"/>
      <c r="G548" s="12">
        <v>0</v>
      </c>
      <c r="H548" s="12">
        <v>0</v>
      </c>
      <c r="I548" s="12">
        <v>0</v>
      </c>
      <c r="J548" s="11"/>
      <c r="K548" s="12">
        <v>0</v>
      </c>
      <c r="L548" s="10" t="str">
        <f>HYPERLINK("https://otsuka-europe-crm.veevavault.com/ui/#object/approved_document__v/V5O00000001H022", "LUP - VAE invitación simposio SEN-SER - Nefro")</f>
        <v>LUP - VAE invitación simposio SEN-SER - Nefro</v>
      </c>
      <c r="M548" s="10" t="str">
        <f>HYPERLINK("mailto:ccoll@crm.otsuka-europe.com", "ccoll@crm.otsuka-europe.com")</f>
        <v>ccoll@crm.otsuka-europe.com</v>
      </c>
      <c r="N548" s="13">
        <v>46174.626446759263</v>
      </c>
      <c r="O548" s="14" t="str">
        <f>HYPERLINK("https://otsuka-europe-crm.veevavault.com/ui/#object/email_activity__v/V8C00000003K361", "EN-002086411")</f>
        <v>EN-002086411</v>
      </c>
    </row>
    <row r="549" spans="1:15" ht="16" x14ac:dyDescent="0.2">
      <c r="A549" s="17" t="str">
        <f>HYPERLINK("https://otsuka-europe-crm.veevavault.com/ui/#object/account__v/V4TZ06G6O71TC0H", "MARIA MERCEDES ELENA SAIZ MARTINEZ")</f>
        <v>MARIA MERCEDES ELENA SAIZ MARTINEZ</v>
      </c>
      <c r="B549" s="17" t="str">
        <f>HYPERLINK("https://otsuka-europe-crm.veevavault.com/ui/#object/vcountry__v/VENZ000004SONF5", "ES")</f>
        <v>ES</v>
      </c>
      <c r="C549" s="20" t="s">
        <v>41</v>
      </c>
      <c r="D549" s="21" t="str">
        <f>HYPERLINK("https://otsuka-europe-crm.veevavault.com/ui/#object/approved_document__v/V5O00000001H022", "LUP - VAE invitación simposio SEN-SER - Nefro")</f>
        <v>LUP - VAE invitación simposio SEN-SER - Nefro</v>
      </c>
      <c r="E549" s="22" t="str">
        <f>HYPERLINK("https://otsuka-europe-crm.veevavault.com/ui/#object/sent_email__v/VBL00000002N221", "SE-001431139")</f>
        <v>SE-001431139</v>
      </c>
      <c r="F549" s="23">
        <v>46174.937592592592</v>
      </c>
      <c r="G549" s="24">
        <v>1</v>
      </c>
      <c r="H549" s="24">
        <v>2</v>
      </c>
      <c r="I549" s="24">
        <v>0</v>
      </c>
      <c r="J549" s="25"/>
      <c r="K549" s="24">
        <v>0</v>
      </c>
      <c r="L549" s="22" t="str">
        <f>HYPERLINK("https://otsuka-europe-crm.veevavault.com/ui/#object/approved_document__v/V5O00000001H022", "LUP - VAE invitación simposio SEN-SER - Nefro")</f>
        <v>LUP - VAE invitación simposio SEN-SER - Nefro</v>
      </c>
      <c r="M549" s="22" t="str">
        <f>HYPERLINK("mailto:ccoll@crm.otsuka-europe.com", "ccoll@crm.otsuka-europe.com")</f>
        <v>ccoll@crm.otsuka-europe.com</v>
      </c>
      <c r="N549" s="23">
        <v>46174.626388888886</v>
      </c>
      <c r="O549" s="14" t="str">
        <f>HYPERLINK("https://otsuka-europe-crm.veevavault.com/ui/#object/email_activity__v/V8C00000003K469", "EN-002086524")</f>
        <v>EN-002086524</v>
      </c>
    </row>
    <row r="550" spans="1:15" ht="16" x14ac:dyDescent="0.2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4" t="str">
        <f>HYPERLINK("https://otsuka-europe-crm.veevavault.com/ui/#object/email_activity__v/V8C00000003K599", "EN-002086820")</f>
        <v>EN-002086820</v>
      </c>
    </row>
    <row r="551" spans="1:15" ht="16" x14ac:dyDescent="0.2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4" t="str">
        <f>HYPERLINK("https://otsuka-europe-crm.veevavault.com/ui/#object/email_activity__v/V8C00000003K600", "EN-002086821")</f>
        <v>EN-002086821</v>
      </c>
    </row>
    <row r="552" spans="1:15" ht="16" x14ac:dyDescent="0.2">
      <c r="A552" s="17" t="str">
        <f>HYPERLINK("https://otsuka-europe-crm.veevavault.com/ui/#object/account__v/V4TZ06G6O71T9E2", "MARIA SAGRARIO BALDA MANZANOS")</f>
        <v>MARIA SAGRARIO BALDA MANZANOS</v>
      </c>
      <c r="B552" s="17" t="str">
        <f>HYPERLINK("https://otsuka-europe-crm.veevavault.com/ui/#object/vcountry__v/VENZ000004SONF5", "ES")</f>
        <v>ES</v>
      </c>
      <c r="C552" s="20" t="s">
        <v>41</v>
      </c>
      <c r="D552" s="21" t="str">
        <f>HYPERLINK("https://otsuka-europe-crm.veevavault.com/ui/#object/approved_document__v/V5O00000001H022", "LUP - VAE invitación simposio SEN-SER - Nefro")</f>
        <v>LUP - VAE invitación simposio SEN-SER - Nefro</v>
      </c>
      <c r="E552" s="22" t="str">
        <f>HYPERLINK("https://otsuka-europe-crm.veevavault.com/ui/#object/sent_email__v/VBL00000002N222", "SE-001431140")</f>
        <v>SE-001431140</v>
      </c>
      <c r="F552" s="23">
        <v>46174.626562500001</v>
      </c>
      <c r="G552" s="24">
        <v>1</v>
      </c>
      <c r="H552" s="24">
        <v>1</v>
      </c>
      <c r="I552" s="24">
        <v>1</v>
      </c>
      <c r="J552" s="23">
        <v>46174.62703703704</v>
      </c>
      <c r="K552" s="24">
        <v>1</v>
      </c>
      <c r="L552" s="22" t="str">
        <f>HYPERLINK("https://otsuka-europe-crm.veevavault.com/ui/#object/approved_document__v/V5O00000001H022", "LUP - VAE invitación simposio SEN-SER - Nefro")</f>
        <v>LUP - VAE invitación simposio SEN-SER - Nefro</v>
      </c>
      <c r="M552" s="22" t="str">
        <f>HYPERLINK("mailto:ccoll@crm.otsuka-europe.com", "ccoll@crm.otsuka-europe.com")</f>
        <v>ccoll@crm.otsuka-europe.com</v>
      </c>
      <c r="N552" s="23">
        <v>46174.626446759263</v>
      </c>
      <c r="O552" s="14" t="str">
        <f>HYPERLINK("https://otsuka-europe-crm.veevavault.com/ui/#object/email_activity__v/V8C00000003K345", "EN-002086395")</f>
        <v>EN-002086395</v>
      </c>
    </row>
    <row r="553" spans="1:15" ht="16" x14ac:dyDescent="0.2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4" t="str">
        <f>HYPERLINK("https://otsuka-europe-crm.veevavault.com/ui/#object/email_activity__v/V8C00000003K377", "EN-002086427")</f>
        <v>EN-002086427</v>
      </c>
    </row>
    <row r="554" spans="1:15" ht="16" x14ac:dyDescent="0.2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4" t="str">
        <f>HYPERLINK("https://otsuka-europe-crm.veevavault.com/ui/#object/email_activity__v/V8C00000003K399", "EN-002086449")</f>
        <v>EN-002086449</v>
      </c>
    </row>
    <row r="555" spans="1:15" ht="32" x14ac:dyDescent="0.2">
      <c r="A555" s="7" t="str">
        <f>HYPERLINK("https://otsuka-europe-crm.veevavault.com/ui/#object/account__v/V4TZ06G6O71US89", "ELENA GUILLEN OLMOS")</f>
        <v>ELENA GUILLEN OLMOS</v>
      </c>
      <c r="B555" s="7" t="str">
        <f>HYPERLINK("https://otsuka-europe-crm.veevavault.com/ui/#object/vcountry__v/VENZ000004SONF5", "ES")</f>
        <v>ES</v>
      </c>
      <c r="C555" s="8" t="s">
        <v>41</v>
      </c>
      <c r="D555" s="9" t="str">
        <f>HYPERLINK("https://otsuka-europe-crm.veevavault.com/ui/#object/approved_document__v/V5O00000001H022", "LUP - VAE invitación simposio SEN-SER - Nefro")</f>
        <v>LUP - VAE invitación simposio SEN-SER - Nefro</v>
      </c>
      <c r="E555" s="10" t="str">
        <f>HYPERLINK("https://otsuka-europe-crm.veevavault.com/ui/#object/sent_email__v/VBL00000002N223", "SE-001431141")</f>
        <v>SE-001431141</v>
      </c>
      <c r="F555" s="11"/>
      <c r="G555" s="12">
        <v>0</v>
      </c>
      <c r="H555" s="12">
        <v>0</v>
      </c>
      <c r="I555" s="12">
        <v>0</v>
      </c>
      <c r="J555" s="11"/>
      <c r="K555" s="12">
        <v>0</v>
      </c>
      <c r="L555" s="10" t="str">
        <f>HYPERLINK("https://otsuka-europe-crm.veevavault.com/ui/#object/approved_document__v/V5O00000001H022", "LUP - VAE invitación simposio SEN-SER - Nefro")</f>
        <v>LUP - VAE invitación simposio SEN-SER - Nefro</v>
      </c>
      <c r="M555" s="10" t="str">
        <f>HYPERLINK("mailto:ccoll@crm.otsuka-europe.com", "ccoll@crm.otsuka-europe.com")</f>
        <v>ccoll@crm.otsuka-europe.com</v>
      </c>
      <c r="N555" s="13">
        <v>46174.626388888886</v>
      </c>
      <c r="O555" s="14" t="str">
        <f>HYPERLINK("https://otsuka-europe-crm.veevavault.com/ui/#object/email_activity__v/V8C00000003K379", "EN-002086429")</f>
        <v>EN-002086429</v>
      </c>
    </row>
    <row r="556" spans="1:15" ht="16" x14ac:dyDescent="0.2">
      <c r="A556" s="17" t="str">
        <f>HYPERLINK("https://otsuka-europe-crm.veevavault.com/ui/#object/account__v/V4TZ06G6O71T9QD", "MARIA ANGELES FENOLLOSA SEGARRA")</f>
        <v>MARIA ANGELES FENOLLOSA SEGARRA</v>
      </c>
      <c r="B556" s="17" t="str">
        <f>HYPERLINK("https://otsuka-europe-crm.veevavault.com/ui/#object/vcountry__v/VENZ000004SONF5", "ES")</f>
        <v>ES</v>
      </c>
      <c r="C556" s="20" t="s">
        <v>41</v>
      </c>
      <c r="D556" s="21" t="str">
        <f>HYPERLINK("https://otsuka-europe-crm.veevavault.com/ui/#object/approved_document__v/V5O00000001H022", "LUP - VAE invitación simposio SEN-SER - Nefro")</f>
        <v>LUP - VAE invitación simposio SEN-SER - Nefro</v>
      </c>
      <c r="E556" s="22" t="str">
        <f>HYPERLINK("https://otsuka-europe-crm.veevavault.com/ui/#object/sent_email__v/VBL00000002N224", "SE-001431142")</f>
        <v>SE-001431142</v>
      </c>
      <c r="F556" s="23">
        <v>46174.733877314815</v>
      </c>
      <c r="G556" s="24">
        <v>1</v>
      </c>
      <c r="H556" s="24">
        <v>3</v>
      </c>
      <c r="I556" s="24">
        <v>1</v>
      </c>
      <c r="J556" s="23">
        <v>46174.73400462963</v>
      </c>
      <c r="K556" s="24">
        <v>1</v>
      </c>
      <c r="L556" s="22" t="str">
        <f>HYPERLINK("https://otsuka-europe-crm.veevavault.com/ui/#object/approved_document__v/V5O00000001H022", "LUP - VAE invitación simposio SEN-SER - Nefro")</f>
        <v>LUP - VAE invitación simposio SEN-SER - Nefro</v>
      </c>
      <c r="M556" s="22" t="str">
        <f>HYPERLINK("mailto:ccoll@crm.otsuka-europe.com", "ccoll@crm.otsuka-europe.com")</f>
        <v>ccoll@crm.otsuka-europe.com</v>
      </c>
      <c r="N556" s="23">
        <v>46174.626388888886</v>
      </c>
      <c r="O556" s="14" t="str">
        <f>HYPERLINK("https://otsuka-europe-crm.veevavault.com/ui/#object/email_activity__v/V8C00000003K266", "EN-002086316")</f>
        <v>EN-002086316</v>
      </c>
    </row>
    <row r="557" spans="1:15" ht="16" x14ac:dyDescent="0.2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4" t="str">
        <f>HYPERLINK("https://otsuka-europe-crm.veevavault.com/ui/#object/email_activity__v/V8C00000003K480", "EN-002086544")</f>
        <v>EN-002086544</v>
      </c>
    </row>
    <row r="558" spans="1:15" ht="16" x14ac:dyDescent="0.2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4" t="str">
        <f>HYPERLINK("https://otsuka-europe-crm.veevavault.com/ui/#object/email_activity__v/V8C00000003L152", "EN-002086542")</f>
        <v>EN-002086542</v>
      </c>
    </row>
    <row r="559" spans="1:15" ht="16" x14ac:dyDescent="0.2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4" t="str">
        <f>HYPERLINK("https://otsuka-europe-crm.veevavault.com/ui/#object/email_activity__v/V8C00000003L259", "EN-002086736")</f>
        <v>EN-002086736</v>
      </c>
    </row>
    <row r="560" spans="1:15" ht="16" x14ac:dyDescent="0.2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4" t="str">
        <f>HYPERLINK("https://otsuka-europe-crm.veevavault.com/ui/#object/email_activity__v/V8C00000003L260", "EN-002086735")</f>
        <v>EN-002086735</v>
      </c>
    </row>
    <row r="561" spans="1:15" ht="16" x14ac:dyDescent="0.2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4" t="str">
        <f>HYPERLINK("https://otsuka-europe-crm.veevavault.com/ui/#object/email_activity__v/V8C00000003L276", "EN-002086761")</f>
        <v>EN-002086761</v>
      </c>
    </row>
    <row r="562" spans="1:15" ht="32" x14ac:dyDescent="0.2">
      <c r="A562" s="7" t="str">
        <f>HYPERLINK("https://otsuka-europe-crm.veevavault.com/ui/#object/account__v/V4TZ06G6O71T7UF", "ROCIO CARAMELO HERNANDEZ")</f>
        <v>ROCIO CARAMELO HERNANDEZ</v>
      </c>
      <c r="B562" s="7" t="str">
        <f>HYPERLINK("https://otsuka-europe-crm.veevavault.com/ui/#object/vcountry__v/VENZ000004SONF5", "ES")</f>
        <v>ES</v>
      </c>
      <c r="C562" s="8" t="s">
        <v>41</v>
      </c>
      <c r="D562" s="9" t="str">
        <f>HYPERLINK("https://otsuka-europe-crm.veevavault.com/ui/#object/approved_document__v/V5O00000001H022", "LUP - VAE invitación simposio SEN-SER - Nefro")</f>
        <v>LUP - VAE invitación simposio SEN-SER - Nefro</v>
      </c>
      <c r="E562" s="10" t="str">
        <f>HYPERLINK("https://otsuka-europe-crm.veevavault.com/ui/#object/sent_email__v/VBL00000002N225", "SE-001431143")</f>
        <v>SE-001431143</v>
      </c>
      <c r="F562" s="11"/>
      <c r="G562" s="12">
        <v>0</v>
      </c>
      <c r="H562" s="12">
        <v>0</v>
      </c>
      <c r="I562" s="12">
        <v>0</v>
      </c>
      <c r="J562" s="11"/>
      <c r="K562" s="12">
        <v>0</v>
      </c>
      <c r="L562" s="10" t="str">
        <f>HYPERLINK("https://otsuka-europe-crm.veevavault.com/ui/#object/approved_document__v/V5O00000001H022", "LUP - VAE invitación simposio SEN-SER - Nefro")</f>
        <v>LUP - VAE invitación simposio SEN-SER - Nefro</v>
      </c>
      <c r="M562" s="10" t="str">
        <f>HYPERLINK("mailto:ccoll@crm.otsuka-europe.com", "ccoll@crm.otsuka-europe.com")</f>
        <v>ccoll@crm.otsuka-europe.com</v>
      </c>
      <c r="N562" s="13">
        <v>46174.626446759263</v>
      </c>
      <c r="O562" s="14" t="str">
        <f>HYPERLINK("https://otsuka-europe-crm.veevavault.com/ui/#object/email_activity__v/V8C00000003K325", "EN-002086375")</f>
        <v>EN-002086375</v>
      </c>
    </row>
    <row r="563" spans="1:15" ht="16" x14ac:dyDescent="0.2">
      <c r="A563" s="17" t="str">
        <f>HYPERLINK("https://otsuka-europe-crm.veevavault.com/ui/#object/account__v/V4TZ06G6O71TBTG", "MARIA TERESA PIN GODOS")</f>
        <v>MARIA TERESA PIN GODOS</v>
      </c>
      <c r="B563" s="17" t="str">
        <f>HYPERLINK("https://otsuka-europe-crm.veevavault.com/ui/#object/vcountry__v/VENZ000004SONF5", "ES")</f>
        <v>ES</v>
      </c>
      <c r="C563" s="20" t="s">
        <v>41</v>
      </c>
      <c r="D563" s="21" t="str">
        <f>HYPERLINK("https://otsuka-europe-crm.veevavault.com/ui/#object/approved_document__v/V5O00000001H022", "LUP - VAE invitación simposio SEN-SER - Nefro")</f>
        <v>LUP - VAE invitación simposio SEN-SER - Nefro</v>
      </c>
      <c r="E563" s="22" t="str">
        <f>HYPERLINK("https://otsuka-europe-crm.veevavault.com/ui/#object/sent_email__v/VBL00000002N226", "SE-001431144")</f>
        <v>SE-001431144</v>
      </c>
      <c r="F563" s="23">
        <v>46174.859016203707</v>
      </c>
      <c r="G563" s="24">
        <v>1</v>
      </c>
      <c r="H563" s="24">
        <v>3</v>
      </c>
      <c r="I563" s="24">
        <v>0</v>
      </c>
      <c r="J563" s="25"/>
      <c r="K563" s="24">
        <v>0</v>
      </c>
      <c r="L563" s="22" t="str">
        <f>HYPERLINK("https://otsuka-europe-crm.veevavault.com/ui/#object/approved_document__v/V5O00000001H022", "LUP - VAE invitación simposio SEN-SER - Nefro")</f>
        <v>LUP - VAE invitación simposio SEN-SER - Nefro</v>
      </c>
      <c r="M563" s="22" t="str">
        <f>HYPERLINK("mailto:ccoll@crm.otsuka-europe.com", "ccoll@crm.otsuka-europe.com")</f>
        <v>ccoll@crm.otsuka-europe.com</v>
      </c>
      <c r="N563" s="23">
        <v>46174.62641203704</v>
      </c>
      <c r="O563" s="14" t="str">
        <f>HYPERLINK("https://otsuka-europe-crm.veevavault.com/ui/#object/email_activity__v/V8C00000003K353", "EN-002086403")</f>
        <v>EN-002086403</v>
      </c>
    </row>
    <row r="564" spans="1:15" ht="16" x14ac:dyDescent="0.2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4" t="str">
        <f>HYPERLINK("https://otsuka-europe-crm.veevavault.com/ui/#object/email_activity__v/V8C00000003K581", "EN-002086783")</f>
        <v>EN-002086783</v>
      </c>
    </row>
    <row r="565" spans="1:15" ht="16" x14ac:dyDescent="0.2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4" t="str">
        <f>HYPERLINK("https://otsuka-europe-crm.veevavault.com/ui/#object/email_activity__v/V8C00000003L268", "EN-002086752")</f>
        <v>EN-002086752</v>
      </c>
    </row>
    <row r="566" spans="1:15" ht="16" x14ac:dyDescent="0.2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4" t="str">
        <f>HYPERLINK("https://otsuka-europe-crm.veevavault.com/ui/#object/email_activity__v/V8C00000003L270", "EN-002086754")</f>
        <v>EN-002086754</v>
      </c>
    </row>
    <row r="567" spans="1:15" ht="16" x14ac:dyDescent="0.2">
      <c r="A567" s="17" t="str">
        <f>HYPERLINK("https://otsuka-europe-crm.veevavault.com/ui/#object/account__v/V4TZ04ASGE04VRJ", "LISSETT JOSEFINA PULIDO")</f>
        <v>LISSETT JOSEFINA PULIDO</v>
      </c>
      <c r="B567" s="17" t="str">
        <f>HYPERLINK("https://otsuka-europe-crm.veevavault.com/ui/#object/vcountry__v/VENZ000004SONF5", "ES")</f>
        <v>ES</v>
      </c>
      <c r="C567" s="20" t="s">
        <v>41</v>
      </c>
      <c r="D567" s="21" t="str">
        <f>HYPERLINK("https://otsuka-europe-crm.veevavault.com/ui/#object/approved_document__v/V5O00000001H022", "LUP - VAE invitación simposio SEN-SER - Nefro")</f>
        <v>LUP - VAE invitación simposio SEN-SER - Nefro</v>
      </c>
      <c r="E567" s="22" t="str">
        <f>HYPERLINK("https://otsuka-europe-crm.veevavault.com/ui/#object/sent_email__v/VBL00000002N227", "SE-001431145")</f>
        <v>SE-001431145</v>
      </c>
      <c r="F567" s="23">
        <v>46174.760509259257</v>
      </c>
      <c r="G567" s="24">
        <v>1</v>
      </c>
      <c r="H567" s="24">
        <v>2</v>
      </c>
      <c r="I567" s="24">
        <v>0</v>
      </c>
      <c r="J567" s="25"/>
      <c r="K567" s="24">
        <v>0</v>
      </c>
      <c r="L567" s="22" t="str">
        <f>HYPERLINK("https://otsuka-europe-crm.veevavault.com/ui/#object/approved_document__v/V5O00000001H022", "LUP - VAE invitación simposio SEN-SER - Nefro")</f>
        <v>LUP - VAE invitación simposio SEN-SER - Nefro</v>
      </c>
      <c r="M567" s="22" t="str">
        <f>HYPERLINK("mailto:ccoll@crm.otsuka-europe.com", "ccoll@crm.otsuka-europe.com")</f>
        <v>ccoll@crm.otsuka-europe.com</v>
      </c>
      <c r="N567" s="23">
        <v>46174.626388888886</v>
      </c>
      <c r="O567" s="14" t="str">
        <f>HYPERLINK("https://otsuka-europe-crm.veevavault.com/ui/#object/email_activity__v/V8C00000003K263", "EN-002086313")</f>
        <v>EN-002086313</v>
      </c>
    </row>
    <row r="568" spans="1:15" ht="16" x14ac:dyDescent="0.2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4" t="str">
        <f>HYPERLINK("https://otsuka-europe-crm.veevavault.com/ui/#object/email_activity__v/V8C00000003K575", "EN-002086764")</f>
        <v>EN-002086764</v>
      </c>
    </row>
    <row r="569" spans="1:15" ht="16" x14ac:dyDescent="0.2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4" t="str">
        <f>HYPERLINK("https://otsuka-europe-crm.veevavault.com/ui/#object/email_activity__v/V8C00000003L279", "EN-002086765")</f>
        <v>EN-002086765</v>
      </c>
    </row>
    <row r="570" spans="1:15" ht="32" x14ac:dyDescent="0.2">
      <c r="A570" s="7" t="str">
        <f>HYPERLINK("https://otsuka-europe-crm.veevavault.com/ui/#object/account__v/V4TZ06G6O71T87X", "SHEILA BERMEJO GARCIA")</f>
        <v>SHEILA BERMEJO GARCIA</v>
      </c>
      <c r="B570" s="7" t="str">
        <f>HYPERLINK("https://otsuka-europe-crm.veevavault.com/ui/#object/vcountry__v/VENZ000004SONF5", "ES")</f>
        <v>ES</v>
      </c>
      <c r="C570" s="8" t="s">
        <v>41</v>
      </c>
      <c r="D570" s="9" t="str">
        <f>HYPERLINK("https://otsuka-europe-crm.veevavault.com/ui/#object/approved_document__v/V5O00000001H022", "LUP - VAE invitación simposio SEN-SER - Nefro")</f>
        <v>LUP - VAE invitación simposio SEN-SER - Nefro</v>
      </c>
      <c r="E570" s="10" t="str">
        <f>HYPERLINK("https://otsuka-europe-crm.veevavault.com/ui/#object/sent_email__v/VBL00000002N228", "SE-001431146")</f>
        <v>SE-001431146</v>
      </c>
      <c r="F570" s="11"/>
      <c r="G570" s="12">
        <v>0</v>
      </c>
      <c r="H570" s="12">
        <v>0</v>
      </c>
      <c r="I570" s="12">
        <v>0</v>
      </c>
      <c r="J570" s="11"/>
      <c r="K570" s="12">
        <v>0</v>
      </c>
      <c r="L570" s="10" t="str">
        <f>HYPERLINK("https://otsuka-europe-crm.veevavault.com/ui/#object/approved_document__v/V5O00000001H022", "LUP - VAE invitación simposio SEN-SER - Nefro")</f>
        <v>LUP - VAE invitación simposio SEN-SER - Nefro</v>
      </c>
      <c r="M570" s="10" t="str">
        <f>HYPERLINK("mailto:ccoll@crm.otsuka-europe.com", "ccoll@crm.otsuka-europe.com")</f>
        <v>ccoll@crm.otsuka-europe.com</v>
      </c>
      <c r="N570" s="13">
        <v>46174.626388888886</v>
      </c>
      <c r="O570" s="14" t="str">
        <f>HYPERLINK("https://otsuka-europe-crm.veevavault.com/ui/#object/email_activity__v/V8C00000003K312", "EN-002086362")</f>
        <v>EN-002086362</v>
      </c>
    </row>
    <row r="571" spans="1:15" ht="16" x14ac:dyDescent="0.2">
      <c r="A571" s="17" t="str">
        <f>HYPERLINK("https://otsuka-europe-crm.veevavault.com/ui/#object/account__v/V4TZ06G6O71T8HH", "AROA ROVIRA ROIG")</f>
        <v>AROA ROVIRA ROIG</v>
      </c>
      <c r="B571" s="17" t="str">
        <f>HYPERLINK("https://otsuka-europe-crm.veevavault.com/ui/#object/vcountry__v/VENZ000004SONF5", "ES")</f>
        <v>ES</v>
      </c>
      <c r="C571" s="20" t="s">
        <v>41</v>
      </c>
      <c r="D571" s="21" t="str">
        <f>HYPERLINK("https://otsuka-europe-crm.veevavault.com/ui/#object/approved_document__v/V5O00000001H022", "LUP - VAE invitación simposio SEN-SER - Nefro")</f>
        <v>LUP - VAE invitación simposio SEN-SER - Nefro</v>
      </c>
      <c r="E571" s="22" t="str">
        <f>HYPERLINK("https://otsuka-europe-crm.veevavault.com/ui/#object/sent_email__v/VBL00000002N229", "SE-001431147")</f>
        <v>SE-001431147</v>
      </c>
      <c r="F571" s="23">
        <v>46174.634571759256</v>
      </c>
      <c r="G571" s="24">
        <v>1</v>
      </c>
      <c r="H571" s="24">
        <v>1</v>
      </c>
      <c r="I571" s="24">
        <v>0</v>
      </c>
      <c r="J571" s="25"/>
      <c r="K571" s="24">
        <v>0</v>
      </c>
      <c r="L571" s="22" t="str">
        <f>HYPERLINK("https://otsuka-europe-crm.veevavault.com/ui/#object/approved_document__v/V5O00000001H022", "LUP - VAE invitación simposio SEN-SER - Nefro")</f>
        <v>LUP - VAE invitación simposio SEN-SER - Nefro</v>
      </c>
      <c r="M571" s="22" t="str">
        <f>HYPERLINK("mailto:ccoll@crm.otsuka-europe.com", "ccoll@crm.otsuka-europe.com")</f>
        <v>ccoll@crm.otsuka-europe.com</v>
      </c>
      <c r="N571" s="23">
        <v>46174.626446759263</v>
      </c>
      <c r="O571" s="14" t="str">
        <f>HYPERLINK("https://otsuka-europe-crm.veevavault.com/ui/#object/email_activity__v/V8C00000003K367", "EN-002086417")</f>
        <v>EN-002086417</v>
      </c>
    </row>
    <row r="572" spans="1:15" ht="16" x14ac:dyDescent="0.2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4" t="str">
        <f>HYPERLINK("https://otsuka-europe-crm.veevavault.com/ui/#object/email_activity__v/V8C00000003L145", "EN-002086529")</f>
        <v>EN-002086529</v>
      </c>
    </row>
    <row r="573" spans="1:15" ht="16" x14ac:dyDescent="0.2">
      <c r="A573" s="17" t="str">
        <f>HYPERLINK("https://otsuka-europe-crm.veevavault.com/ui/#object/account__v/V4TZ06G6O71T9X3", "RAFAEL JOSE ESTEBAN DE LA ROSA")</f>
        <v>RAFAEL JOSE ESTEBAN DE LA ROSA</v>
      </c>
      <c r="B573" s="17" t="str">
        <f>HYPERLINK("https://otsuka-europe-crm.veevavault.com/ui/#object/vcountry__v/VENZ000004SONF5", "ES")</f>
        <v>ES</v>
      </c>
      <c r="C573" s="20" t="s">
        <v>41</v>
      </c>
      <c r="D573" s="21" t="str">
        <f>HYPERLINK("https://otsuka-europe-crm.veevavault.com/ui/#object/approved_document__v/V5O00000001H022", "LUP - VAE invitación simposio SEN-SER - Nefro")</f>
        <v>LUP - VAE invitación simposio SEN-SER - Nefro</v>
      </c>
      <c r="E573" s="22" t="str">
        <f>HYPERLINK("https://otsuka-europe-crm.veevavault.com/ui/#object/sent_email__v/VBL00000002N230", "SE-001431148")</f>
        <v>SE-001431148</v>
      </c>
      <c r="F573" s="23">
        <v>46174.626840277779</v>
      </c>
      <c r="G573" s="24">
        <v>1</v>
      </c>
      <c r="H573" s="24">
        <v>1</v>
      </c>
      <c r="I573" s="24">
        <v>0</v>
      </c>
      <c r="J573" s="25"/>
      <c r="K573" s="24">
        <v>0</v>
      </c>
      <c r="L573" s="22" t="str">
        <f>HYPERLINK("https://otsuka-europe-crm.veevavault.com/ui/#object/approved_document__v/V5O00000001H022", "LUP - VAE invitación simposio SEN-SER - Nefro")</f>
        <v>LUP - VAE invitación simposio SEN-SER - Nefro</v>
      </c>
      <c r="M573" s="22" t="str">
        <f>HYPERLINK("mailto:ccoll@crm.otsuka-europe.com", "ccoll@crm.otsuka-europe.com")</f>
        <v>ccoll@crm.otsuka-europe.com</v>
      </c>
      <c r="N573" s="23">
        <v>46174.626469907409</v>
      </c>
      <c r="O573" s="14" t="str">
        <f>HYPERLINK("https://otsuka-europe-crm.veevavault.com/ui/#object/email_activity__v/V8C00000003K330", "EN-002086380")</f>
        <v>EN-002086380</v>
      </c>
    </row>
    <row r="574" spans="1:15" ht="16" x14ac:dyDescent="0.2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4" t="str">
        <f>HYPERLINK("https://otsuka-europe-crm.veevavault.com/ui/#object/email_activity__v/V8C00000003K396", "EN-002086446")</f>
        <v>EN-002086446</v>
      </c>
    </row>
    <row r="575" spans="1:15" ht="16" x14ac:dyDescent="0.2">
      <c r="A575" s="17" t="str">
        <f>HYPERLINK("https://otsuka-europe-crm.veevavault.com/ui/#object/account__v/V4TZ025E82CXZP2", "SILVIA ALOS GUIMERA")</f>
        <v>SILVIA ALOS GUIMERA</v>
      </c>
      <c r="B575" s="17" t="str">
        <f>HYPERLINK("https://otsuka-europe-crm.veevavault.com/ui/#object/vcountry__v/VENZ000004SONF5", "ES")</f>
        <v>ES</v>
      </c>
      <c r="C575" s="20" t="s">
        <v>41</v>
      </c>
      <c r="D575" s="21" t="str">
        <f>HYPERLINK("https://otsuka-europe-crm.veevavault.com/ui/#object/approved_document__v/V5O00000001H022", "LUP - VAE invitación simposio SEN-SER - Nefro")</f>
        <v>LUP - VAE invitación simposio SEN-SER - Nefro</v>
      </c>
      <c r="E575" s="22" t="str">
        <f>HYPERLINK("https://otsuka-europe-crm.veevavault.com/ui/#object/sent_email__v/VBL00000002N231", "SE-001431149")</f>
        <v>SE-001431149</v>
      </c>
      <c r="F575" s="23">
        <v>46175.532106481478</v>
      </c>
      <c r="G575" s="24">
        <v>1</v>
      </c>
      <c r="H575" s="24">
        <v>1</v>
      </c>
      <c r="I575" s="24">
        <v>0</v>
      </c>
      <c r="J575" s="25"/>
      <c r="K575" s="24">
        <v>0</v>
      </c>
      <c r="L575" s="22" t="str">
        <f>HYPERLINK("https://otsuka-europe-crm.veevavault.com/ui/#object/approved_document__v/V5O00000001H022", "LUP - VAE invitación simposio SEN-SER - Nefro")</f>
        <v>LUP - VAE invitación simposio SEN-SER - Nefro</v>
      </c>
      <c r="M575" s="22" t="str">
        <f>HYPERLINK("mailto:ccoll@crm.otsuka-europe.com", "ccoll@crm.otsuka-europe.com")</f>
        <v>ccoll@crm.otsuka-europe.com</v>
      </c>
      <c r="N575" s="23">
        <v>46174.626423611109</v>
      </c>
      <c r="O575" s="14" t="str">
        <f>HYPERLINK("https://otsuka-europe-crm.veevavault.com/ui/#object/email_activity__v/V8C00000003K335", "EN-002086385")</f>
        <v>EN-002086385</v>
      </c>
    </row>
    <row r="576" spans="1:15" ht="16" x14ac:dyDescent="0.2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4" t="str">
        <f>HYPERLINK("https://otsuka-europe-crm.veevavault.com/ui/#object/email_activity__v/V8C00000003K830", "EN-002087508")</f>
        <v>EN-002087508</v>
      </c>
    </row>
    <row r="577" spans="1:15" ht="16" x14ac:dyDescent="0.2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4" t="str">
        <f>HYPERLINK("https://otsuka-europe-crm.veevavault.com/ui/#object/email_activity__v/V8C00000003M381", "EN-002088778")</f>
        <v>EN-002088778</v>
      </c>
    </row>
    <row r="578" spans="1:15" ht="16" x14ac:dyDescent="0.2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4" t="str">
        <f>HYPERLINK("https://otsuka-europe-crm.veevavault.com/ui/#object/email_activity__v/V8C00000003N435", "EN-002088688")</f>
        <v>EN-002088688</v>
      </c>
    </row>
    <row r="579" spans="1:15" ht="32" x14ac:dyDescent="0.2">
      <c r="A579" s="7" t="str">
        <f>HYPERLINK("https://otsuka-europe-crm.veevavault.com/ui/#object/account__v/V4TZ06G6O71TAZ7", "JOSEFA GLORIA MARTINEZ MATEU")</f>
        <v>JOSEFA GLORIA MARTINEZ MATEU</v>
      </c>
      <c r="B579" s="7" t="str">
        <f t="shared" ref="B579:B584" si="20">HYPERLINK("https://otsuka-europe-crm.veevavault.com/ui/#object/vcountry__v/VENZ000004SONF5", "ES")</f>
        <v>ES</v>
      </c>
      <c r="C579" s="8" t="s">
        <v>41</v>
      </c>
      <c r="D579" s="9" t="str">
        <f t="shared" ref="D579:D584" si="21">HYPERLINK("https://otsuka-europe-crm.veevavault.com/ui/#object/approved_document__v/V5O00000001H022", "LUP - VAE invitación simposio SEN-SER - Nefro")</f>
        <v>LUP - VAE invitación simposio SEN-SER - Nefro</v>
      </c>
      <c r="E579" s="10" t="str">
        <f>HYPERLINK("https://otsuka-europe-crm.veevavault.com/ui/#object/sent_email__v/VBL00000002N232", "SE-001431150")</f>
        <v>SE-001431150</v>
      </c>
      <c r="F579" s="11"/>
      <c r="G579" s="12">
        <v>0</v>
      </c>
      <c r="H579" s="12">
        <v>0</v>
      </c>
      <c r="I579" s="12">
        <v>0</v>
      </c>
      <c r="J579" s="11"/>
      <c r="K579" s="12">
        <v>0</v>
      </c>
      <c r="L579" s="10" t="str">
        <f t="shared" ref="L579:L584" si="22">HYPERLINK("https://otsuka-europe-crm.veevavault.com/ui/#object/approved_document__v/V5O00000001H022", "LUP - VAE invitación simposio SEN-SER - Nefro")</f>
        <v>LUP - VAE invitación simposio SEN-SER - Nefro</v>
      </c>
      <c r="M579" s="10" t="str">
        <f t="shared" ref="M579:M584" si="23">HYPERLINK("mailto:ccoll@crm.otsuka-europe.com", "ccoll@crm.otsuka-europe.com")</f>
        <v>ccoll@crm.otsuka-europe.com</v>
      </c>
      <c r="N579" s="13">
        <v>46174.626388888886</v>
      </c>
      <c r="O579" s="14" t="str">
        <f>HYPERLINK("https://otsuka-europe-crm.veevavault.com/ui/#object/email_activity__v/V8C00000003K468", "EN-002086523")</f>
        <v>EN-002086523</v>
      </c>
    </row>
    <row r="580" spans="1:15" ht="32" x14ac:dyDescent="0.2">
      <c r="A580" s="7" t="str">
        <f>HYPERLINK("https://otsuka-europe-crm.veevavault.com/ui/#object/account__v/V4TZ04ASGB4V0IB", "ANNA DOMINGUEZ GUASCH")</f>
        <v>ANNA DOMINGUEZ GUASCH</v>
      </c>
      <c r="B580" s="7" t="str">
        <f t="shared" si="20"/>
        <v>ES</v>
      </c>
      <c r="C580" s="8" t="s">
        <v>41</v>
      </c>
      <c r="D580" s="9" t="str">
        <f t="shared" si="21"/>
        <v>LUP - VAE invitación simposio SEN-SER - Nefro</v>
      </c>
      <c r="E580" s="10" t="str">
        <f>HYPERLINK("https://otsuka-europe-crm.veevavault.com/ui/#object/sent_email__v/VBL00000002N233", "SE-001431151")</f>
        <v>SE-001431151</v>
      </c>
      <c r="F580" s="11"/>
      <c r="G580" s="12">
        <v>0</v>
      </c>
      <c r="H580" s="12">
        <v>0</v>
      </c>
      <c r="I580" s="12">
        <v>0</v>
      </c>
      <c r="J580" s="11"/>
      <c r="K580" s="12">
        <v>0</v>
      </c>
      <c r="L580" s="10" t="str">
        <f t="shared" si="22"/>
        <v>LUP - VAE invitación simposio SEN-SER - Nefro</v>
      </c>
      <c r="M580" s="10" t="str">
        <f t="shared" si="23"/>
        <v>ccoll@crm.otsuka-europe.com</v>
      </c>
      <c r="N580" s="13">
        <v>46174.626423611109</v>
      </c>
      <c r="O580" s="14" t="str">
        <f>HYPERLINK("https://otsuka-europe-crm.veevavault.com/ui/#object/email_activity__v/V8C00000003K333", "EN-002086383")</f>
        <v>EN-002086383</v>
      </c>
    </row>
    <row r="581" spans="1:15" ht="32" x14ac:dyDescent="0.2">
      <c r="A581" s="7" t="str">
        <f>HYPERLINK("https://otsuka-europe-crm.veevavault.com/ui/#object/account__v/V4TZ04ASGGI61CG", "MARTA MARTINEZ CHILLARON")</f>
        <v>MARTA MARTINEZ CHILLARON</v>
      </c>
      <c r="B581" s="7" t="str">
        <f t="shared" si="20"/>
        <v>ES</v>
      </c>
      <c r="C581" s="8" t="s">
        <v>41</v>
      </c>
      <c r="D581" s="9" t="str">
        <f t="shared" si="21"/>
        <v>LUP - VAE invitación simposio SEN-SER - Nefro</v>
      </c>
      <c r="E581" s="10" t="str">
        <f>HYPERLINK("https://otsuka-europe-crm.veevavault.com/ui/#object/sent_email__v/VBL00000002N234", "SE-001431152")</f>
        <v>SE-001431152</v>
      </c>
      <c r="F581" s="11"/>
      <c r="G581" s="12">
        <v>0</v>
      </c>
      <c r="H581" s="12">
        <v>0</v>
      </c>
      <c r="I581" s="12">
        <v>0</v>
      </c>
      <c r="J581" s="11"/>
      <c r="K581" s="12">
        <v>0</v>
      </c>
      <c r="L581" s="10" t="str">
        <f t="shared" si="22"/>
        <v>LUP - VAE invitación simposio SEN-SER - Nefro</v>
      </c>
      <c r="M581" s="10" t="str">
        <f t="shared" si="23"/>
        <v>ccoll@crm.otsuka-europe.com</v>
      </c>
      <c r="N581" s="13">
        <v>46174.626388888886</v>
      </c>
      <c r="O581" s="14" t="str">
        <f>HYPERLINK("https://otsuka-europe-crm.veevavault.com/ui/#object/email_activity__v/V8C00000003K274", "EN-002086324")</f>
        <v>EN-002086324</v>
      </c>
    </row>
    <row r="582" spans="1:15" ht="32" x14ac:dyDescent="0.2">
      <c r="A582" s="7" t="str">
        <f>HYPERLINK("https://otsuka-europe-crm.veevavault.com/ui/#object/account__v/V4TZ025E82A6PUP", "MARIA IRAOLA LEGARRA")</f>
        <v>MARIA IRAOLA LEGARRA</v>
      </c>
      <c r="B582" s="7" t="str">
        <f t="shared" si="20"/>
        <v>ES</v>
      </c>
      <c r="C582" s="8" t="s">
        <v>41</v>
      </c>
      <c r="D582" s="9" t="str">
        <f t="shared" si="21"/>
        <v>LUP - VAE invitación simposio SEN-SER - Nefro</v>
      </c>
      <c r="E582" s="10" t="str">
        <f>HYPERLINK("https://otsuka-europe-crm.veevavault.com/ui/#object/sent_email__v/VBL00000002N235", "SE-001431153")</f>
        <v>SE-001431153</v>
      </c>
      <c r="F582" s="11"/>
      <c r="G582" s="12">
        <v>0</v>
      </c>
      <c r="H582" s="12">
        <v>0</v>
      </c>
      <c r="I582" s="12">
        <v>0</v>
      </c>
      <c r="J582" s="11"/>
      <c r="K582" s="12">
        <v>0</v>
      </c>
      <c r="L582" s="10" t="str">
        <f t="shared" si="22"/>
        <v>LUP - VAE invitación simposio SEN-SER - Nefro</v>
      </c>
      <c r="M582" s="10" t="str">
        <f t="shared" si="23"/>
        <v>ccoll@crm.otsuka-europe.com</v>
      </c>
      <c r="N582" s="13">
        <v>46174.626458333332</v>
      </c>
      <c r="O582" s="14" t="str">
        <f>HYPERLINK("https://otsuka-europe-crm.veevavault.com/ui/#object/email_activity__v/V8C00000003K337", "EN-002086387")</f>
        <v>EN-002086387</v>
      </c>
    </row>
    <row r="583" spans="1:15" ht="32" x14ac:dyDescent="0.2">
      <c r="A583" s="7" t="str">
        <f>HYPERLINK("https://otsuka-europe-crm.veevavault.com/ui/#object/account__v/V4TZ06G6O71TC1Q", "MARIA ESTHER ROSSICH FONT")</f>
        <v>MARIA ESTHER ROSSICH FONT</v>
      </c>
      <c r="B583" s="7" t="str">
        <f t="shared" si="20"/>
        <v>ES</v>
      </c>
      <c r="C583" s="8" t="s">
        <v>41</v>
      </c>
      <c r="D583" s="9" t="str">
        <f t="shared" si="21"/>
        <v>LUP - VAE invitación simposio SEN-SER - Nefro</v>
      </c>
      <c r="E583" s="10" t="str">
        <f>HYPERLINK("https://otsuka-europe-crm.veevavault.com/ui/#object/sent_email__v/VBL00000002N236", "SE-001431154")</f>
        <v>SE-001431154</v>
      </c>
      <c r="F583" s="11"/>
      <c r="G583" s="12">
        <v>0</v>
      </c>
      <c r="H583" s="12">
        <v>0</v>
      </c>
      <c r="I583" s="12">
        <v>0</v>
      </c>
      <c r="J583" s="11"/>
      <c r="K583" s="12">
        <v>0</v>
      </c>
      <c r="L583" s="10" t="str">
        <f t="shared" si="22"/>
        <v>LUP - VAE invitación simposio SEN-SER - Nefro</v>
      </c>
      <c r="M583" s="10" t="str">
        <f t="shared" si="23"/>
        <v>ccoll@crm.otsuka-europe.com</v>
      </c>
      <c r="N583" s="13">
        <v>46174.626469907409</v>
      </c>
      <c r="O583" s="14" t="str">
        <f>HYPERLINK("https://otsuka-europe-crm.veevavault.com/ui/#object/email_activity__v/V8C00000003K329", "EN-002086379")</f>
        <v>EN-002086379</v>
      </c>
    </row>
    <row r="584" spans="1:15" ht="16" x14ac:dyDescent="0.2">
      <c r="A584" s="17" t="str">
        <f>HYPERLINK("https://otsuka-europe-crm.veevavault.com/ui/#object/account__v/V4TZ06G6O71T86D", "MARC XIPELL FONT")</f>
        <v>MARC XIPELL FONT</v>
      </c>
      <c r="B584" s="17" t="str">
        <f t="shared" si="20"/>
        <v>ES</v>
      </c>
      <c r="C584" s="20" t="s">
        <v>41</v>
      </c>
      <c r="D584" s="21" t="str">
        <f t="shared" si="21"/>
        <v>LUP - VAE invitación simposio SEN-SER - Nefro</v>
      </c>
      <c r="E584" s="22" t="str">
        <f>HYPERLINK("https://otsuka-europe-crm.veevavault.com/ui/#object/sent_email__v/VBL00000002N237", "SE-001431155")</f>
        <v>SE-001431155</v>
      </c>
      <c r="F584" s="23">
        <v>46174.638506944444</v>
      </c>
      <c r="G584" s="24">
        <v>1</v>
      </c>
      <c r="H584" s="24">
        <v>1</v>
      </c>
      <c r="I584" s="24">
        <v>0</v>
      </c>
      <c r="J584" s="25"/>
      <c r="K584" s="24">
        <v>0</v>
      </c>
      <c r="L584" s="22" t="str">
        <f t="shared" si="22"/>
        <v>LUP - VAE invitación simposio SEN-SER - Nefro</v>
      </c>
      <c r="M584" s="22" t="str">
        <f t="shared" si="23"/>
        <v>ccoll@crm.otsuka-europe.com</v>
      </c>
      <c r="N584" s="23">
        <v>46174.626388888886</v>
      </c>
      <c r="O584" s="14" t="str">
        <f>HYPERLINK("https://otsuka-europe-crm.veevavault.com/ui/#object/email_activity__v/V8C00000003K314", "EN-002086364")</f>
        <v>EN-002086364</v>
      </c>
    </row>
    <row r="585" spans="1:15" ht="16" x14ac:dyDescent="0.2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4" t="str">
        <f>HYPERLINK("https://otsuka-europe-crm.veevavault.com/ui/#object/email_activity__v/V8C00000003K475", "EN-002086532")</f>
        <v>EN-002086532</v>
      </c>
    </row>
    <row r="586" spans="1:15" ht="16" x14ac:dyDescent="0.2">
      <c r="A586" s="17" t="str">
        <f>HYPERLINK("https://otsuka-europe-crm.veevavault.com/ui/#object/account__v/V4TZ025E83ECM0M", "AGATA ALMELA GALLEGO")</f>
        <v>AGATA ALMELA GALLEGO</v>
      </c>
      <c r="B586" s="17" t="str">
        <f>HYPERLINK("https://otsuka-europe-crm.veevavault.com/ui/#object/vcountry__v/VENZ000004SONF5", "ES")</f>
        <v>ES</v>
      </c>
      <c r="C586" s="20" t="s">
        <v>41</v>
      </c>
      <c r="D586" s="21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586" s="22" t="str">
        <f>HYPERLINK("https://otsuka-europe-crm.veevavault.com/ui/#object/sent_email__v/VBL00000002O084", "SE-001431156")</f>
        <v>SE-001431156</v>
      </c>
      <c r="F586" s="23">
        <v>46174.648090277777</v>
      </c>
      <c r="G586" s="24">
        <v>1</v>
      </c>
      <c r="H586" s="24">
        <v>4</v>
      </c>
      <c r="I586" s="24">
        <v>0</v>
      </c>
      <c r="J586" s="25"/>
      <c r="K586" s="24">
        <v>0</v>
      </c>
      <c r="L586" s="22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586" s="22" t="str">
        <f>HYPERLINK("mailto:jguri@crm.otsuka-europe.com", "jguri@crm.otsuka-europe.com")</f>
        <v>jguri@crm.otsuka-europe.com</v>
      </c>
      <c r="N586" s="23">
        <v>46174.629120370373</v>
      </c>
      <c r="O586" s="14" t="str">
        <f>HYPERLINK("https://otsuka-europe-crm.veevavault.com/ui/#object/email_activity__v/V8C00000003K440", "EN-002086490")</f>
        <v>EN-002086490</v>
      </c>
    </row>
    <row r="587" spans="1:15" ht="16" x14ac:dyDescent="0.2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4" t="str">
        <f>HYPERLINK("https://otsuka-europe-crm.veevavault.com/ui/#object/email_activity__v/V8C00000003K485", "EN-002086551")</f>
        <v>EN-002086551</v>
      </c>
    </row>
    <row r="588" spans="1:15" ht="16" x14ac:dyDescent="0.2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4" t="str">
        <f>HYPERLINK("https://otsuka-europe-crm.veevavault.com/ui/#object/email_activity__v/V8C00000003K489", "EN-002086557")</f>
        <v>EN-002086557</v>
      </c>
    </row>
    <row r="589" spans="1:15" ht="16" x14ac:dyDescent="0.2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4" t="str">
        <f>HYPERLINK("https://otsuka-europe-crm.veevavault.com/ui/#object/email_activity__v/V8C00000003K490", "EN-002086558")</f>
        <v>EN-002086558</v>
      </c>
    </row>
    <row r="590" spans="1:15" ht="16" x14ac:dyDescent="0.2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4" t="str">
        <f>HYPERLINK("https://otsuka-europe-crm.veevavault.com/ui/#object/email_activity__v/V8C00000003L156", "EN-002086552")</f>
        <v>EN-002086552</v>
      </c>
    </row>
    <row r="591" spans="1:15" ht="48" x14ac:dyDescent="0.2">
      <c r="A591" s="7" t="str">
        <f>HYPERLINK("https://otsuka-europe-crm.veevavault.com/ui/#object/account__v/V4TZ025E83OAJYY", "EMILIA PARDAL DE LA MANO")</f>
        <v>EMILIA PARDAL DE LA MANO</v>
      </c>
      <c r="B591" s="7" t="str">
        <f>HYPERLINK("https://otsuka-europe-crm.veevavault.com/ui/#object/vcountry__v/VENZ000004SONF5", "ES")</f>
        <v>ES</v>
      </c>
      <c r="C591" s="8" t="s">
        <v>41</v>
      </c>
      <c r="D591" s="9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591" s="10" t="str">
        <f>HYPERLINK("https://otsuka-europe-crm.veevavault.com/ui/#object/sent_email__v/VBL00000002O085", "SE-001431157")</f>
        <v>SE-001431157</v>
      </c>
      <c r="F591" s="11"/>
      <c r="G591" s="12">
        <v>0</v>
      </c>
      <c r="H591" s="12">
        <v>0</v>
      </c>
      <c r="I591" s="12">
        <v>0</v>
      </c>
      <c r="J591" s="11"/>
      <c r="K591" s="12">
        <v>0</v>
      </c>
      <c r="L591" s="10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591" s="10" t="str">
        <f>HYPERLINK("mailto:jguri@crm.otsuka-europe.com", "jguri@crm.otsuka-europe.com")</f>
        <v>jguri@crm.otsuka-europe.com</v>
      </c>
      <c r="N591" s="13">
        <v>46174.629120370373</v>
      </c>
      <c r="O591" s="14" t="str">
        <f>HYPERLINK("https://otsuka-europe-crm.veevavault.com/ui/#object/email_activity__v/V8C00000003K405", "EN-002086455")</f>
        <v>EN-002086455</v>
      </c>
    </row>
    <row r="592" spans="1:15" ht="48" x14ac:dyDescent="0.2">
      <c r="A592" s="7" t="str">
        <f>HYPERLINK("https://otsuka-europe-crm.veevavault.com/ui/#object/account__v/V4TZ025E84EDWK8", "CLARA ISABEL GONZALEZ SANTILLANA")</f>
        <v>CLARA ISABEL GONZALEZ SANTILLANA</v>
      </c>
      <c r="B592" s="7" t="str">
        <f>HYPERLINK("https://otsuka-europe-crm.veevavault.com/ui/#object/vcountry__v/VENZ000004SONF5", "ES")</f>
        <v>ES</v>
      </c>
      <c r="C592" s="8" t="s">
        <v>41</v>
      </c>
      <c r="D592" s="9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592" s="10" t="str">
        <f>HYPERLINK("https://otsuka-europe-crm.veevavault.com/ui/#object/sent_email__v/VBL00000002O086", "SE-001431158")</f>
        <v>SE-001431158</v>
      </c>
      <c r="F592" s="11"/>
      <c r="G592" s="12">
        <v>0</v>
      </c>
      <c r="H592" s="12">
        <v>0</v>
      </c>
      <c r="I592" s="12">
        <v>0</v>
      </c>
      <c r="J592" s="11"/>
      <c r="K592" s="12">
        <v>0</v>
      </c>
      <c r="L592" s="10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592" s="10" t="str">
        <f>HYPERLINK("mailto:jguri@crm.otsuka-europe.com", "jguri@crm.otsuka-europe.com")</f>
        <v>jguri@crm.otsuka-europe.com</v>
      </c>
      <c r="N592" s="13">
        <v>46174.629120370373</v>
      </c>
      <c r="O592" s="14" t="str">
        <f>HYPERLINK("https://otsuka-europe-crm.veevavault.com/ui/#object/email_activity__v/V8C00000003K441", "EN-002086491")</f>
        <v>EN-002086491</v>
      </c>
    </row>
    <row r="593" spans="1:15" ht="16" x14ac:dyDescent="0.2">
      <c r="A593" s="17" t="str">
        <f>HYPERLINK("https://otsuka-europe-crm.veevavault.com/ui/#object/account__v/V4TZ025E87JDLR2", "JUAN CARLOS VALLEJO LLAMAS")</f>
        <v>JUAN CARLOS VALLEJO LLAMAS</v>
      </c>
      <c r="B593" s="17" t="str">
        <f>HYPERLINK("https://otsuka-europe-crm.veevavault.com/ui/#object/vcountry__v/VENZ000004SONF5", "ES")</f>
        <v>ES</v>
      </c>
      <c r="C593" s="20" t="s">
        <v>41</v>
      </c>
      <c r="D593" s="21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593" s="22" t="str">
        <f>HYPERLINK("https://otsuka-europe-crm.veevavault.com/ui/#object/sent_email__v/VBL00000002O087", "SE-001431159")</f>
        <v>SE-001431159</v>
      </c>
      <c r="F593" s="25"/>
      <c r="G593" s="24">
        <v>0</v>
      </c>
      <c r="H593" s="24">
        <v>0</v>
      </c>
      <c r="I593" s="24">
        <v>0</v>
      </c>
      <c r="J593" s="25"/>
      <c r="K593" s="24">
        <v>0</v>
      </c>
      <c r="L593" s="22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593" s="22" t="str">
        <f>HYPERLINK("mailto:jguri@crm.otsuka-europe.com", "jguri@crm.otsuka-europe.com")</f>
        <v>jguri@crm.otsuka-europe.com</v>
      </c>
      <c r="N593" s="23">
        <v>46174.629120370373</v>
      </c>
      <c r="O593" s="14" t="str">
        <f>HYPERLINK("https://otsuka-europe-crm.veevavault.com/ui/#object/email_activity__v/V8C00000003K404", "EN-002086454")</f>
        <v>EN-002086454</v>
      </c>
    </row>
    <row r="594" spans="1:15" ht="16" x14ac:dyDescent="0.2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4" t="str">
        <f>HYPERLINK("https://otsuka-europe-crm.veevavault.com/ui/#object/email_activity__v/V8C00000003L247", "EN-002086711")</f>
        <v>EN-002086711</v>
      </c>
    </row>
    <row r="595" spans="1:15" ht="16" x14ac:dyDescent="0.2">
      <c r="A595" s="17" t="str">
        <f>HYPERLINK("https://otsuka-europe-crm.veevavault.com/ui/#object/account__v/V4TZ025E85UNO04", "LUIS MIGUEL JUAREZ SALCEDO")</f>
        <v>LUIS MIGUEL JUAREZ SALCEDO</v>
      </c>
      <c r="B595" s="17" t="str">
        <f>HYPERLINK("https://otsuka-europe-crm.veevavault.com/ui/#object/vcountry__v/VENZ000004SONF5", "ES")</f>
        <v>ES</v>
      </c>
      <c r="C595" s="20" t="s">
        <v>41</v>
      </c>
      <c r="D595" s="21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595" s="22" t="str">
        <f>HYPERLINK("https://otsuka-europe-crm.veevavault.com/ui/#object/sent_email__v/VBL00000002O088", "SE-001431160")</f>
        <v>SE-001431160</v>
      </c>
      <c r="F595" s="23">
        <v>46174.652233796296</v>
      </c>
      <c r="G595" s="24">
        <v>1</v>
      </c>
      <c r="H595" s="24">
        <v>1</v>
      </c>
      <c r="I595" s="24">
        <v>0</v>
      </c>
      <c r="J595" s="25"/>
      <c r="K595" s="24">
        <v>0</v>
      </c>
      <c r="L595" s="22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595" s="22" t="str">
        <f>HYPERLINK("mailto:jguri@crm.otsuka-europe.com", "jguri@crm.otsuka-europe.com")</f>
        <v>jguri@crm.otsuka-europe.com</v>
      </c>
      <c r="N595" s="23">
        <v>46174.629120370373</v>
      </c>
      <c r="O595" s="14" t="str">
        <f>HYPERLINK("https://otsuka-europe-crm.veevavault.com/ui/#object/email_activity__v/V8C00000003K413", "EN-002086463")</f>
        <v>EN-002086463</v>
      </c>
    </row>
    <row r="596" spans="1:15" ht="16" x14ac:dyDescent="0.2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4" t="str">
        <f>HYPERLINK("https://otsuka-europe-crm.veevavault.com/ui/#object/email_activity__v/V8C00000003L160", "EN-002086563")</f>
        <v>EN-002086563</v>
      </c>
    </row>
    <row r="597" spans="1:15" ht="48" x14ac:dyDescent="0.2">
      <c r="A597" s="7" t="str">
        <f>HYPERLINK("https://otsuka-europe-crm.veevavault.com/ui/#object/account__v/V4TZ025E86KXALE", "ANA SEBRANGO SADIA")</f>
        <v>ANA SEBRANGO SADIA</v>
      </c>
      <c r="B597" s="7" t="str">
        <f>HYPERLINK("https://otsuka-europe-crm.veevavault.com/ui/#object/vcountry__v/VENZ000004SONF5", "ES")</f>
        <v>ES</v>
      </c>
      <c r="C597" s="8" t="s">
        <v>41</v>
      </c>
      <c r="D597" s="9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597" s="10" t="str">
        <f>HYPERLINK("https://otsuka-europe-crm.veevavault.com/ui/#object/sent_email__v/VBL00000002O089", "SE-001431161")</f>
        <v>SE-001431161</v>
      </c>
      <c r="F597" s="11"/>
      <c r="G597" s="12">
        <v>0</v>
      </c>
      <c r="H597" s="12">
        <v>0</v>
      </c>
      <c r="I597" s="12">
        <v>0</v>
      </c>
      <c r="J597" s="11"/>
      <c r="K597" s="12">
        <v>0</v>
      </c>
      <c r="L597" s="10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597" s="10" t="str">
        <f>HYPERLINK("mailto:jguri@crm.otsuka-europe.com", "jguri@crm.otsuka-europe.com")</f>
        <v>jguri@crm.otsuka-europe.com</v>
      </c>
      <c r="N597" s="13">
        <v>46174.629120370373</v>
      </c>
      <c r="O597" s="14" t="str">
        <f>HYPERLINK("https://otsuka-europe-crm.veevavault.com/ui/#object/email_activity__v/V8C00000003K424", "EN-002086474")</f>
        <v>EN-002086474</v>
      </c>
    </row>
    <row r="598" spans="1:15" ht="16" x14ac:dyDescent="0.2">
      <c r="A598" s="17" t="str">
        <f>HYPERLINK("https://otsuka-europe-crm.veevavault.com/ui/#object/account__v/V4TZ025E861OJ62", "AIDA CALO PEREZ")</f>
        <v>AIDA CALO PEREZ</v>
      </c>
      <c r="B598" s="17" t="str">
        <f>HYPERLINK("https://otsuka-europe-crm.veevavault.com/ui/#object/vcountry__v/VENZ000004SONF5", "ES")</f>
        <v>ES</v>
      </c>
      <c r="C598" s="20" t="s">
        <v>41</v>
      </c>
      <c r="D598" s="21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598" s="22" t="str">
        <f>HYPERLINK("https://otsuka-europe-crm.veevavault.com/ui/#object/sent_email__v/VBL00000002O090", "SE-001431162")</f>
        <v>SE-001431162</v>
      </c>
      <c r="F598" s="23">
        <v>46174.680879629632</v>
      </c>
      <c r="G598" s="24">
        <v>1</v>
      </c>
      <c r="H598" s="24">
        <v>1</v>
      </c>
      <c r="I598" s="24">
        <v>0</v>
      </c>
      <c r="J598" s="25"/>
      <c r="K598" s="24">
        <v>0</v>
      </c>
      <c r="L598" s="22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598" s="22" t="str">
        <f>HYPERLINK("mailto:jguri@crm.otsuka-europe.com", "jguri@crm.otsuka-europe.com")</f>
        <v>jguri@crm.otsuka-europe.com</v>
      </c>
      <c r="N598" s="23">
        <v>46174.629120370373</v>
      </c>
      <c r="O598" s="14" t="str">
        <f>HYPERLINK("https://otsuka-europe-crm.veevavault.com/ui/#object/email_activity__v/V8C00000003K421", "EN-002086471")</f>
        <v>EN-002086471</v>
      </c>
    </row>
    <row r="599" spans="1:15" ht="16" x14ac:dyDescent="0.2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4" t="str">
        <f>HYPERLINK("https://otsuka-europe-crm.veevavault.com/ui/#object/email_activity__v/V8C00000003L221", "EN-002086653")</f>
        <v>EN-002086653</v>
      </c>
    </row>
    <row r="600" spans="1:15" ht="48" x14ac:dyDescent="0.2">
      <c r="A600" s="7" t="str">
        <f>HYPERLINK("https://otsuka-europe-crm.veevavault.com/ui/#object/account__v/V4TZ025E86WIBK1", "BLANCA VEGAS VILLALMANZO")</f>
        <v>BLANCA VEGAS VILLALMANZO</v>
      </c>
      <c r="B600" s="7" t="str">
        <f>HYPERLINK("https://otsuka-europe-crm.veevavault.com/ui/#object/vcountry__v/VENZ000004SONF5", "ES")</f>
        <v>ES</v>
      </c>
      <c r="C600" s="8" t="s">
        <v>41</v>
      </c>
      <c r="D600" s="9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600" s="10" t="str">
        <f>HYPERLINK("https://otsuka-europe-crm.veevavault.com/ui/#object/sent_email__v/VBL00000002O091", "SE-001431163")</f>
        <v>SE-001431163</v>
      </c>
      <c r="F600" s="11"/>
      <c r="G600" s="12">
        <v>0</v>
      </c>
      <c r="H600" s="12">
        <v>0</v>
      </c>
      <c r="I600" s="12">
        <v>0</v>
      </c>
      <c r="J600" s="11"/>
      <c r="K600" s="12">
        <v>0</v>
      </c>
      <c r="L600" s="10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600" s="10" t="str">
        <f>HYPERLINK("mailto:jguri@crm.otsuka-europe.com", "jguri@crm.otsuka-europe.com")</f>
        <v>jguri@crm.otsuka-europe.com</v>
      </c>
      <c r="N600" s="13">
        <v>46174.629120370373</v>
      </c>
      <c r="O600" s="14" t="str">
        <f>HYPERLINK("https://otsuka-europe-crm.veevavault.com/ui/#object/email_activity__v/V8C00000003K414", "EN-002086464")</f>
        <v>EN-002086464</v>
      </c>
    </row>
    <row r="601" spans="1:15" ht="16" x14ac:dyDescent="0.2">
      <c r="A601" s="17" t="str">
        <f>HYPERLINK("https://otsuka-europe-crm.veevavault.com/ui/#object/account__v/V4T00000001X076", "ALVARO BIENERT GARCIA")</f>
        <v>ALVARO BIENERT GARCIA</v>
      </c>
      <c r="B601" s="17" t="str">
        <f>HYPERLINK("https://otsuka-europe-crm.veevavault.com/ui/#object/vcountry__v/VENZ000004SONF5", "ES")</f>
        <v>ES</v>
      </c>
      <c r="C601" s="20" t="s">
        <v>41</v>
      </c>
      <c r="D601" s="21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601" s="22" t="str">
        <f>HYPERLINK("https://otsuka-europe-crm.veevavault.com/ui/#object/sent_email__v/VBL00000002O092", "SE-001431164")</f>
        <v>SE-001431164</v>
      </c>
      <c r="F601" s="23">
        <v>46188.651469907411</v>
      </c>
      <c r="G601" s="24">
        <v>1</v>
      </c>
      <c r="H601" s="24">
        <v>2</v>
      </c>
      <c r="I601" s="24">
        <v>1</v>
      </c>
      <c r="J601" s="23">
        <v>46174.730185185188</v>
      </c>
      <c r="K601" s="24">
        <v>1</v>
      </c>
      <c r="L601" s="22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601" s="22" t="str">
        <f>HYPERLINK("mailto:jguri@crm.otsuka-europe.com", "jguri@crm.otsuka-europe.com")</f>
        <v>jguri@crm.otsuka-europe.com</v>
      </c>
      <c r="N601" s="23">
        <v>46174.629120370373</v>
      </c>
      <c r="O601" s="14" t="str">
        <f>HYPERLINK("https://otsuka-europe-crm.veevavault.com/ui/#object/email_activity__v/V8C00000003K436", "EN-002086486")</f>
        <v>EN-002086486</v>
      </c>
    </row>
    <row r="602" spans="1:15" ht="16" x14ac:dyDescent="0.2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4" t="str">
        <f>HYPERLINK("https://otsuka-europe-crm.veevavault.com/ui/#object/email_activity__v/V8C00000003K564", "EN-002086733")</f>
        <v>EN-002086733</v>
      </c>
    </row>
    <row r="603" spans="1:15" ht="16" x14ac:dyDescent="0.2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4" t="str">
        <f>HYPERLINK("https://otsuka-europe-crm.veevavault.com/ui/#object/email_activity__v/V8C00000003K565", "EN-002086734")</f>
        <v>EN-002086734</v>
      </c>
    </row>
    <row r="604" spans="1:15" ht="16" x14ac:dyDescent="0.2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4" t="str">
        <f>HYPERLINK("https://otsuka-europe-crm.veevavault.com/ui/#object/email_activity__v/V8C00000003U759", "EN-002096430")</f>
        <v>EN-002096430</v>
      </c>
    </row>
    <row r="605" spans="1:15" ht="16" x14ac:dyDescent="0.2">
      <c r="A605" s="17" t="str">
        <f>HYPERLINK("https://otsuka-europe-crm.veevavault.com/ui/#object/account__v/V4TZ025E84IKZIY", "CRISTIAN ESCOLANO ESCOBAR")</f>
        <v>CRISTIAN ESCOLANO ESCOBAR</v>
      </c>
      <c r="B605" s="17" t="str">
        <f>HYPERLINK("https://otsuka-europe-crm.veevavault.com/ui/#object/vcountry__v/VENZ000004SONF5", "ES")</f>
        <v>ES</v>
      </c>
      <c r="C605" s="20" t="s">
        <v>41</v>
      </c>
      <c r="D605" s="21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605" s="22" t="str">
        <f>HYPERLINK("https://otsuka-europe-crm.veevavault.com/ui/#object/sent_email__v/VBL00000002O093", "SE-001431165")</f>
        <v>SE-001431165</v>
      </c>
      <c r="F605" s="23">
        <v>46174.632048611114</v>
      </c>
      <c r="G605" s="24">
        <v>1</v>
      </c>
      <c r="H605" s="24">
        <v>1</v>
      </c>
      <c r="I605" s="24">
        <v>0</v>
      </c>
      <c r="J605" s="25"/>
      <c r="K605" s="24">
        <v>0</v>
      </c>
      <c r="L605" s="22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605" s="22" t="str">
        <f>HYPERLINK("mailto:jguri@crm.otsuka-europe.com", "jguri@crm.otsuka-europe.com")</f>
        <v>jguri@crm.otsuka-europe.com</v>
      </c>
      <c r="N605" s="23">
        <v>46174.629120370373</v>
      </c>
      <c r="O605" s="14" t="str">
        <f>HYPERLINK("https://otsuka-europe-crm.veevavault.com/ui/#object/email_activity__v/V8C00000003K437", "EN-002086487")</f>
        <v>EN-002086487</v>
      </c>
    </row>
    <row r="606" spans="1:15" ht="16" x14ac:dyDescent="0.2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4" t="str">
        <f>HYPERLINK("https://otsuka-europe-crm.veevavault.com/ui/#object/email_activity__v/V8C00000003L143", "EN-002086515")</f>
        <v>EN-002086515</v>
      </c>
    </row>
    <row r="607" spans="1:15" ht="16" x14ac:dyDescent="0.2">
      <c r="A607" s="17" t="str">
        <f>HYPERLINK("https://otsuka-europe-crm.veevavault.com/ui/#object/account__v/V4TZ025E87VHGCD", "RAQUEL DE PAZ ARIAS")</f>
        <v>RAQUEL DE PAZ ARIAS</v>
      </c>
      <c r="B607" s="17" t="str">
        <f>HYPERLINK("https://otsuka-europe-crm.veevavault.com/ui/#object/vcountry__v/VENZ000004SONF5", "ES")</f>
        <v>ES</v>
      </c>
      <c r="C607" s="20" t="s">
        <v>41</v>
      </c>
      <c r="D607" s="21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607" s="22" t="str">
        <f>HYPERLINK("https://otsuka-europe-crm.veevavault.com/ui/#object/sent_email__v/VBL00000002O094", "SE-001431166")</f>
        <v>SE-001431166</v>
      </c>
      <c r="F607" s="23">
        <v>46175.716527777775</v>
      </c>
      <c r="G607" s="24">
        <v>1</v>
      </c>
      <c r="H607" s="24">
        <v>4</v>
      </c>
      <c r="I607" s="24">
        <v>1</v>
      </c>
      <c r="J607" s="23">
        <v>46175.426550925928</v>
      </c>
      <c r="K607" s="24">
        <v>2</v>
      </c>
      <c r="L607" s="22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607" s="22" t="str">
        <f>HYPERLINK("mailto:jguri@crm.otsuka-europe.com", "jguri@crm.otsuka-europe.com")</f>
        <v>jguri@crm.otsuka-europe.com</v>
      </c>
      <c r="N607" s="23">
        <v>46174.629120370373</v>
      </c>
      <c r="O607" s="14" t="str">
        <f>HYPERLINK("https://otsuka-europe-crm.veevavault.com/ui/#object/email_activity__v/V8C00000003K446", "EN-002086496")</f>
        <v>EN-002086496</v>
      </c>
    </row>
    <row r="608" spans="1:15" ht="16" x14ac:dyDescent="0.2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4" t="str">
        <f>HYPERLINK("https://otsuka-europe-crm.veevavault.com/ui/#object/email_activity__v/V8C00000003K500", "EN-002086584")</f>
        <v>EN-002086584</v>
      </c>
    </row>
    <row r="609" spans="1:15" ht="16" x14ac:dyDescent="0.2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4" t="str">
        <f>HYPERLINK("https://otsuka-europe-crm.veevavault.com/ui/#object/email_activity__v/V8C00000003K579", "EN-002086772")</f>
        <v>EN-002086772</v>
      </c>
    </row>
    <row r="610" spans="1:15" ht="16" x14ac:dyDescent="0.2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4" t="str">
        <f>HYPERLINK("https://otsuka-europe-crm.veevavault.com/ui/#object/email_activity__v/V8C00000003L147", "EN-002086534")</f>
        <v>EN-002086534</v>
      </c>
    </row>
    <row r="611" spans="1:15" ht="16" x14ac:dyDescent="0.2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4" t="str">
        <f>HYPERLINK("https://otsuka-europe-crm.veevavault.com/ui/#object/email_activity__v/V8C00000003L174", "EN-002086585")</f>
        <v>EN-002086585</v>
      </c>
    </row>
    <row r="612" spans="1:15" ht="16" x14ac:dyDescent="0.2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4" t="str">
        <f>HYPERLINK("https://otsuka-europe-crm.veevavault.com/ui/#object/email_activity__v/V8C00000003L280", "EN-002086767")</f>
        <v>EN-002086767</v>
      </c>
    </row>
    <row r="613" spans="1:15" ht="16" x14ac:dyDescent="0.2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4" t="str">
        <f>HYPERLINK("https://otsuka-europe-crm.veevavault.com/ui/#object/email_activity__v/V8C00000003L376", "EN-002086936")</f>
        <v>EN-002086936</v>
      </c>
    </row>
    <row r="614" spans="1:15" ht="16" x14ac:dyDescent="0.2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4" t="str">
        <f>HYPERLINK("https://otsuka-europe-crm.veevavault.com/ui/#object/email_activity__v/V8C00000003L377", "EN-002086937")</f>
        <v>EN-002086937</v>
      </c>
    </row>
    <row r="615" spans="1:15" ht="16" x14ac:dyDescent="0.2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4" t="str">
        <f>HYPERLINK("https://otsuka-europe-crm.veevavault.com/ui/#object/email_activity__v/V8C00000003M104", "EN-002088033")</f>
        <v>EN-002088033</v>
      </c>
    </row>
    <row r="616" spans="1:15" ht="16" x14ac:dyDescent="0.2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4" t="str">
        <f>HYPERLINK("https://otsuka-europe-crm.veevavault.com/ui/#object/email_activity__v/V8C00000003Z179", "EN-002098956")</f>
        <v>EN-002098956</v>
      </c>
    </row>
    <row r="617" spans="1:15" ht="48" x14ac:dyDescent="0.2">
      <c r="A617" s="7" t="str">
        <f>HYPERLINK("https://otsuka-europe-crm.veevavault.com/ui/#object/account__v/V4TZ025E84EDD9T", "CECILIA HERAS BENITO")</f>
        <v>CECILIA HERAS BENITO</v>
      </c>
      <c r="B617" s="7" t="str">
        <f>HYPERLINK("https://otsuka-europe-crm.veevavault.com/ui/#object/vcountry__v/VENZ000004SONF5", "ES")</f>
        <v>ES</v>
      </c>
      <c r="C617" s="8" t="s">
        <v>41</v>
      </c>
      <c r="D617" s="9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617" s="10" t="str">
        <f>HYPERLINK("https://otsuka-europe-crm.veevavault.com/ui/#object/sent_email__v/VBL00000002O095", "SE-001431167")</f>
        <v>SE-001431167</v>
      </c>
      <c r="F617" s="11"/>
      <c r="G617" s="12">
        <v>0</v>
      </c>
      <c r="H617" s="12">
        <v>0</v>
      </c>
      <c r="I617" s="12">
        <v>0</v>
      </c>
      <c r="J617" s="11"/>
      <c r="K617" s="12">
        <v>0</v>
      </c>
      <c r="L617" s="10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617" s="10" t="str">
        <f>HYPERLINK("mailto:jguri@crm.otsuka-europe.com", "jguri@crm.otsuka-europe.com")</f>
        <v>jguri@crm.otsuka-europe.com</v>
      </c>
      <c r="N617" s="13">
        <v>46174.629120370373</v>
      </c>
      <c r="O617" s="14" t="str">
        <f>HYPERLINK("https://otsuka-europe-crm.veevavault.com/ui/#object/email_activity__v/V8C00000003K432", "EN-002086482")</f>
        <v>EN-002086482</v>
      </c>
    </row>
    <row r="618" spans="1:15" ht="16" x14ac:dyDescent="0.2">
      <c r="A618" s="17" t="str">
        <f>HYPERLINK("https://otsuka-europe-crm.veevavault.com/ui/#object/account__v/V4TZ025E86OXDXZ", "ERIEL ALEXIS MARCHECO PUPO")</f>
        <v>ERIEL ALEXIS MARCHECO PUPO</v>
      </c>
      <c r="B618" s="17" t="str">
        <f>HYPERLINK("https://otsuka-europe-crm.veevavault.com/ui/#object/vcountry__v/VENZ000004SONF5", "ES")</f>
        <v>ES</v>
      </c>
      <c r="C618" s="20" t="s">
        <v>41</v>
      </c>
      <c r="D618" s="21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618" s="22" t="str">
        <f>HYPERLINK("https://otsuka-europe-crm.veevavault.com/ui/#object/sent_email__v/VBL00000002O096", "SE-001431168")</f>
        <v>SE-001431168</v>
      </c>
      <c r="F618" s="23">
        <v>46174.629178240742</v>
      </c>
      <c r="G618" s="24">
        <v>1</v>
      </c>
      <c r="H618" s="24">
        <v>1</v>
      </c>
      <c r="I618" s="24">
        <v>0</v>
      </c>
      <c r="J618" s="25"/>
      <c r="K618" s="24">
        <v>0</v>
      </c>
      <c r="L618" s="22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618" s="22" t="str">
        <f>HYPERLINK("mailto:jguri@crm.otsuka-europe.com", "jguri@crm.otsuka-europe.com")</f>
        <v>jguri@crm.otsuka-europe.com</v>
      </c>
      <c r="N618" s="23">
        <v>46174.62909722222</v>
      </c>
      <c r="O618" s="14" t="str">
        <f>HYPERLINK("https://otsuka-europe-crm.veevavault.com/ui/#object/email_activity__v/V8C00000003K402", "EN-002086452")</f>
        <v>EN-002086452</v>
      </c>
    </row>
    <row r="619" spans="1:15" ht="16" x14ac:dyDescent="0.2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4" t="str">
        <f>HYPERLINK("https://otsuka-europe-crm.veevavault.com/ui/#object/email_activity__v/V8C00000003K410", "EN-002086460")</f>
        <v>EN-002086460</v>
      </c>
    </row>
    <row r="620" spans="1:15" ht="16" x14ac:dyDescent="0.2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4" t="str">
        <f>HYPERLINK("https://otsuka-europe-crm.veevavault.com/ui/#object/email_activity__v/V8C00000003M080", "EN-002087996")</f>
        <v>EN-002087996</v>
      </c>
    </row>
    <row r="621" spans="1:15" ht="48" x14ac:dyDescent="0.2">
      <c r="A621" s="7" t="str">
        <f>HYPERLINK("https://otsuka-europe-crm.veevavault.com/ui/#object/account__v/V4TZ06G6O71T9CP", "JUAN MIGUEL BERGUA BURGUES")</f>
        <v>JUAN MIGUEL BERGUA BURGUES</v>
      </c>
      <c r="B621" s="7" t="str">
        <f>HYPERLINK("https://otsuka-europe-crm.veevavault.com/ui/#object/vcountry__v/VENZ000004SONF5", "ES")</f>
        <v>ES</v>
      </c>
      <c r="C621" s="8" t="s">
        <v>41</v>
      </c>
      <c r="D621" s="9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621" s="10" t="str">
        <f>HYPERLINK("https://otsuka-europe-crm.veevavault.com/ui/#object/sent_email__v/VBL00000002O097", "SE-001431169")</f>
        <v>SE-001431169</v>
      </c>
      <c r="F621" s="11"/>
      <c r="G621" s="12">
        <v>0</v>
      </c>
      <c r="H621" s="12">
        <v>0</v>
      </c>
      <c r="I621" s="12">
        <v>0</v>
      </c>
      <c r="J621" s="11"/>
      <c r="K621" s="12">
        <v>0</v>
      </c>
      <c r="L621" s="10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621" s="10" t="str">
        <f>HYPERLINK("mailto:jguri@crm.otsuka-europe.com", "jguri@crm.otsuka-europe.com")</f>
        <v>jguri@crm.otsuka-europe.com</v>
      </c>
      <c r="N621" s="13">
        <v>46174.62909722222</v>
      </c>
      <c r="O621" s="14" t="str">
        <f>HYPERLINK("https://otsuka-europe-crm.veevavault.com/ui/#object/email_activity__v/V8C00000003K400", "EN-002086450")</f>
        <v>EN-002086450</v>
      </c>
    </row>
    <row r="622" spans="1:15" ht="48" x14ac:dyDescent="0.2">
      <c r="A622" s="7" t="str">
        <f>HYPERLINK("https://otsuka-europe-crm.veevavault.com/ui/#object/account__v/V4TZ025E84EDRUT", "MARIA PILAR BRAVO BARAHONA")</f>
        <v>MARIA PILAR BRAVO BARAHONA</v>
      </c>
      <c r="B622" s="7" t="str">
        <f>HYPERLINK("https://otsuka-europe-crm.veevavault.com/ui/#object/vcountry__v/VENZ000004SONF5", "ES")</f>
        <v>ES</v>
      </c>
      <c r="C622" s="8" t="s">
        <v>41</v>
      </c>
      <c r="D622" s="9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622" s="10" t="str">
        <f>HYPERLINK("https://otsuka-europe-crm.veevavault.com/ui/#object/sent_email__v/VBL00000002O098", "SE-001431170")</f>
        <v>SE-001431170</v>
      </c>
      <c r="F622" s="11"/>
      <c r="G622" s="12">
        <v>0</v>
      </c>
      <c r="H622" s="12">
        <v>0</v>
      </c>
      <c r="I622" s="12">
        <v>0</v>
      </c>
      <c r="J622" s="11"/>
      <c r="K622" s="12">
        <v>0</v>
      </c>
      <c r="L622" s="10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622" s="10" t="str">
        <f>HYPERLINK("mailto:jguri@crm.otsuka-europe.com", "jguri@crm.otsuka-europe.com")</f>
        <v>jguri@crm.otsuka-europe.com</v>
      </c>
      <c r="N622" s="13">
        <v>46174.62909722222</v>
      </c>
      <c r="O622" s="14" t="str">
        <f>HYPERLINK("https://otsuka-europe-crm.veevavault.com/ui/#object/email_activity__v/V8C00000003K422", "EN-002086472")</f>
        <v>EN-002086472</v>
      </c>
    </row>
    <row r="623" spans="1:15" ht="16" x14ac:dyDescent="0.2">
      <c r="A623" s="17" t="str">
        <f>HYPERLINK("https://otsuka-europe-crm.veevavault.com/ui/#object/account__v/V4TZ025E83POZ65", "MARTA POLO ZARZUELA")</f>
        <v>MARTA POLO ZARZUELA</v>
      </c>
      <c r="B623" s="17" t="str">
        <f>HYPERLINK("https://otsuka-europe-crm.veevavault.com/ui/#object/vcountry__v/VENZ000004SONF5", "ES")</f>
        <v>ES</v>
      </c>
      <c r="C623" s="20" t="s">
        <v>41</v>
      </c>
      <c r="D623" s="21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623" s="22" t="str">
        <f>HYPERLINK("https://otsuka-europe-crm.veevavault.com/ui/#object/sent_email__v/VBL00000002O099", "SE-001431171")</f>
        <v>SE-001431171</v>
      </c>
      <c r="F623" s="23">
        <v>46194.424143518518</v>
      </c>
      <c r="G623" s="24">
        <v>1</v>
      </c>
      <c r="H623" s="24">
        <v>1</v>
      </c>
      <c r="I623" s="24">
        <v>0</v>
      </c>
      <c r="J623" s="25"/>
      <c r="K623" s="24">
        <v>0</v>
      </c>
      <c r="L623" s="22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623" s="22" t="str">
        <f>HYPERLINK("mailto:jguri@crm.otsuka-europe.com", "jguri@crm.otsuka-europe.com")</f>
        <v>jguri@crm.otsuka-europe.com</v>
      </c>
      <c r="N623" s="23">
        <v>46174.62909722222</v>
      </c>
      <c r="O623" s="14" t="str">
        <f>HYPERLINK("https://otsuka-europe-crm.veevavault.com/ui/#object/email_activity__v/V8C00000003K425", "EN-002086475")</f>
        <v>EN-002086475</v>
      </c>
    </row>
    <row r="624" spans="1:15" ht="16" x14ac:dyDescent="0.2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4" t="str">
        <f>HYPERLINK("https://otsuka-europe-crm.veevavault.com/ui/#object/email_activity__v/V8C00000003Z159", "EN-002098932")</f>
        <v>EN-002098932</v>
      </c>
    </row>
    <row r="625" spans="1:15" ht="48" x14ac:dyDescent="0.2">
      <c r="A625" s="7" t="str">
        <f>HYPERLINK("https://otsuka-europe-crm.veevavault.com/ui/#object/account__v/V4TZ025E83OC4WX", "MARIA ANGELES FERNANDEZ GALAN")</f>
        <v>MARIA ANGELES FERNANDEZ GALAN</v>
      </c>
      <c r="B625" s="7" t="str">
        <f>HYPERLINK("https://otsuka-europe-crm.veevavault.com/ui/#object/vcountry__v/VENZ000004SONF5", "ES")</f>
        <v>ES</v>
      </c>
      <c r="C625" s="8" t="s">
        <v>41</v>
      </c>
      <c r="D625" s="9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625" s="10" t="str">
        <f>HYPERLINK("https://otsuka-europe-crm.veevavault.com/ui/#object/sent_email__v/VBL00000002O100", "SE-001431172")</f>
        <v>SE-001431172</v>
      </c>
      <c r="F625" s="11"/>
      <c r="G625" s="12">
        <v>0</v>
      </c>
      <c r="H625" s="12">
        <v>0</v>
      </c>
      <c r="I625" s="12">
        <v>0</v>
      </c>
      <c r="J625" s="11"/>
      <c r="K625" s="12">
        <v>0</v>
      </c>
      <c r="L625" s="10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625" s="10" t="str">
        <f>HYPERLINK("mailto:jguri@crm.otsuka-europe.com", "jguri@crm.otsuka-europe.com")</f>
        <v>jguri@crm.otsuka-europe.com</v>
      </c>
      <c r="N625" s="13">
        <v>46174.629120370373</v>
      </c>
      <c r="O625" s="14" t="str">
        <f>HYPERLINK("https://otsuka-europe-crm.veevavault.com/ui/#object/email_activity__v/V8C00000003K438", "EN-002086488")</f>
        <v>EN-002086488</v>
      </c>
    </row>
    <row r="626" spans="1:15" ht="48" x14ac:dyDescent="0.2">
      <c r="A626" s="7" t="str">
        <f>HYPERLINK("https://otsuka-europe-crm.veevavault.com/ui/#object/account__v/V4TZ025E84EEBU5", "ANA CAROLINA FRANCO VILLEGAS")</f>
        <v>ANA CAROLINA FRANCO VILLEGAS</v>
      </c>
      <c r="B626" s="7" t="str">
        <f>HYPERLINK("https://otsuka-europe-crm.veevavault.com/ui/#object/vcountry__v/VENZ000004SONF5", "ES")</f>
        <v>ES</v>
      </c>
      <c r="C626" s="8" t="s">
        <v>41</v>
      </c>
      <c r="D626" s="9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626" s="10" t="str">
        <f>HYPERLINK("https://otsuka-europe-crm.veevavault.com/ui/#object/sent_email__v/VBL00000002O101", "SE-001431173")</f>
        <v>SE-001431173</v>
      </c>
      <c r="F626" s="11"/>
      <c r="G626" s="12">
        <v>0</v>
      </c>
      <c r="H626" s="12">
        <v>0</v>
      </c>
      <c r="I626" s="12">
        <v>0</v>
      </c>
      <c r="J626" s="11"/>
      <c r="K626" s="12">
        <v>0</v>
      </c>
      <c r="L626" s="10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626" s="10" t="str">
        <f>HYPERLINK("mailto:jguri@crm.otsuka-europe.com", "jguri@crm.otsuka-europe.com")</f>
        <v>jguri@crm.otsuka-europe.com</v>
      </c>
      <c r="N626" s="13">
        <v>46174.629120370373</v>
      </c>
      <c r="O626" s="14" t="str">
        <f>HYPERLINK("https://otsuka-europe-crm.veevavault.com/ui/#object/email_activity__v/V8C00000003K423", "EN-002086473")</f>
        <v>EN-002086473</v>
      </c>
    </row>
    <row r="627" spans="1:15" ht="16" x14ac:dyDescent="0.2">
      <c r="A627" s="17" t="str">
        <f>HYPERLINK("https://otsuka-europe-crm.veevavault.com/ui/#object/account__v/V4TZ025E861Q6VX", "MARIA ANGELES MUÑOZ JAREÑO")</f>
        <v>MARIA ANGELES MUÑOZ JAREÑO</v>
      </c>
      <c r="B627" s="17" t="str">
        <f>HYPERLINK("https://otsuka-europe-crm.veevavault.com/ui/#object/vcountry__v/VENZ000004SONF5", "ES")</f>
        <v>ES</v>
      </c>
      <c r="C627" s="20" t="s">
        <v>41</v>
      </c>
      <c r="D627" s="21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627" s="22" t="str">
        <f>HYPERLINK("https://otsuka-europe-crm.veevavault.com/ui/#object/sent_email__v/VBL00000002O102", "SE-001431174")</f>
        <v>SE-001431174</v>
      </c>
      <c r="F627" s="23">
        <v>46174.673101851855</v>
      </c>
      <c r="G627" s="24">
        <v>1</v>
      </c>
      <c r="H627" s="24">
        <v>1</v>
      </c>
      <c r="I627" s="24">
        <v>0</v>
      </c>
      <c r="J627" s="25"/>
      <c r="K627" s="24">
        <v>0</v>
      </c>
      <c r="L627" s="22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627" s="22" t="str">
        <f>HYPERLINK("mailto:jguri@crm.otsuka-europe.com", "jguri@crm.otsuka-europe.com")</f>
        <v>jguri@crm.otsuka-europe.com</v>
      </c>
      <c r="N627" s="23">
        <v>46174.629120370373</v>
      </c>
      <c r="O627" s="14" t="str">
        <f>HYPERLINK("https://otsuka-europe-crm.veevavault.com/ui/#object/email_activity__v/V8C00000003K403", "EN-002086453")</f>
        <v>EN-002086453</v>
      </c>
    </row>
    <row r="628" spans="1:15" ht="16" x14ac:dyDescent="0.2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4" t="str">
        <f>HYPERLINK("https://otsuka-europe-crm.veevavault.com/ui/#object/email_activity__v/V8C00000003L193", "EN-002086618")</f>
        <v>EN-002086618</v>
      </c>
    </row>
    <row r="629" spans="1:15" ht="48" x14ac:dyDescent="0.2">
      <c r="A629" s="7" t="str">
        <f>HYPERLINK("https://otsuka-europe-crm.veevavault.com/ui/#object/account__v/V4TZ025E84E72VU", "PAOLA SANDRA VILLAFUERTE GUTIERREZ")</f>
        <v>PAOLA SANDRA VILLAFUERTE GUTIERREZ</v>
      </c>
      <c r="B629" s="7" t="str">
        <f>HYPERLINK("https://otsuka-europe-crm.veevavault.com/ui/#object/vcountry__v/VENZ000004SONF5", "ES")</f>
        <v>ES</v>
      </c>
      <c r="C629" s="8" t="s">
        <v>41</v>
      </c>
      <c r="D629" s="9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629" s="10" t="str">
        <f>HYPERLINK("https://otsuka-europe-crm.veevavault.com/ui/#object/sent_email__v/VBL00000002O103", "SE-001431175")</f>
        <v>SE-001431175</v>
      </c>
      <c r="F629" s="11"/>
      <c r="G629" s="12">
        <v>0</v>
      </c>
      <c r="H629" s="12">
        <v>0</v>
      </c>
      <c r="I629" s="12">
        <v>0</v>
      </c>
      <c r="J629" s="11"/>
      <c r="K629" s="12">
        <v>0</v>
      </c>
      <c r="L629" s="10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629" s="10" t="str">
        <f>HYPERLINK("mailto:jguri@crm.otsuka-europe.com", "jguri@crm.otsuka-europe.com")</f>
        <v>jguri@crm.otsuka-europe.com</v>
      </c>
      <c r="N629" s="13">
        <v>46174.629120370373</v>
      </c>
      <c r="O629" s="14" t="str">
        <f>HYPERLINK("https://otsuka-europe-crm.veevavault.com/ui/#object/email_activity__v/V8C00000003K411", "EN-002086461")</f>
        <v>EN-002086461</v>
      </c>
    </row>
    <row r="630" spans="1:15" ht="48" x14ac:dyDescent="0.2">
      <c r="A630" s="7" t="str">
        <f>HYPERLINK("https://otsuka-europe-crm.veevavault.com/ui/#object/account__v/V4TZ025E861PASF", "FABIO AUGUSTO RUIZ GOMEZ")</f>
        <v>FABIO AUGUSTO RUIZ GOMEZ</v>
      </c>
      <c r="B630" s="7" t="str">
        <f>HYPERLINK("https://otsuka-europe-crm.veevavault.com/ui/#object/vcountry__v/VENZ000004SONF5", "ES")</f>
        <v>ES</v>
      </c>
      <c r="C630" s="8" t="s">
        <v>41</v>
      </c>
      <c r="D630" s="9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630" s="10" t="str">
        <f>HYPERLINK("https://otsuka-europe-crm.veevavault.com/ui/#object/sent_email__v/VBL00000002O104", "SE-001431176")</f>
        <v>SE-001431176</v>
      </c>
      <c r="F630" s="11"/>
      <c r="G630" s="12">
        <v>0</v>
      </c>
      <c r="H630" s="12">
        <v>0</v>
      </c>
      <c r="I630" s="12">
        <v>0</v>
      </c>
      <c r="J630" s="11"/>
      <c r="K630" s="12">
        <v>0</v>
      </c>
      <c r="L630" s="10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630" s="10" t="str">
        <f>HYPERLINK("mailto:jguri@crm.otsuka-europe.com", "jguri@crm.otsuka-europe.com")</f>
        <v>jguri@crm.otsuka-europe.com</v>
      </c>
      <c r="N630" s="13">
        <v>46174.629131944443</v>
      </c>
      <c r="O630" s="14" t="str">
        <f>HYPERLINK("https://otsuka-europe-crm.veevavault.com/ui/#object/email_activity__v/V8C00000003K447", "EN-002086497")</f>
        <v>EN-002086497</v>
      </c>
    </row>
    <row r="631" spans="1:15" ht="48" x14ac:dyDescent="0.2">
      <c r="A631" s="7" t="str">
        <f>HYPERLINK("https://otsuka-europe-crm.veevavault.com/ui/#object/account__v/V4TZ06G6O71T8BW", "JORGE SILVA RUIZ")</f>
        <v>JORGE SILVA RUIZ</v>
      </c>
      <c r="B631" s="7" t="str">
        <f>HYPERLINK("https://otsuka-europe-crm.veevavault.com/ui/#object/vcountry__v/VENZ000004SONF5", "ES")</f>
        <v>ES</v>
      </c>
      <c r="C631" s="8" t="s">
        <v>41</v>
      </c>
      <c r="D631" s="9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631" s="10" t="str">
        <f>HYPERLINK("https://otsuka-europe-crm.veevavault.com/ui/#object/sent_email__v/VBL00000002O105", "SE-001431177")</f>
        <v>SE-001431177</v>
      </c>
      <c r="F631" s="11"/>
      <c r="G631" s="12">
        <v>0</v>
      </c>
      <c r="H631" s="12">
        <v>0</v>
      </c>
      <c r="I631" s="12">
        <v>0</v>
      </c>
      <c r="J631" s="11"/>
      <c r="K631" s="12">
        <v>0</v>
      </c>
      <c r="L631" s="10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631" s="10" t="str">
        <f>HYPERLINK("mailto:jguri@crm.otsuka-europe.com", "jguri@crm.otsuka-europe.com")</f>
        <v>jguri@crm.otsuka-europe.com</v>
      </c>
      <c r="N631" s="13">
        <v>46174.629120370373</v>
      </c>
      <c r="O631" s="14" t="str">
        <f>HYPERLINK("https://otsuka-europe-crm.veevavault.com/ui/#object/email_activity__v/V8C00000003K431", "EN-002086481")</f>
        <v>EN-002086481</v>
      </c>
    </row>
    <row r="632" spans="1:15" ht="16" x14ac:dyDescent="0.2">
      <c r="A632" s="17" t="str">
        <f>HYPERLINK("https://otsuka-europe-crm.veevavault.com/ui/#object/account__v/V4TZ025E83POFNM", "CELINA MARIA BENAVENTE CUESTA")</f>
        <v>CELINA MARIA BENAVENTE CUESTA</v>
      </c>
      <c r="B632" s="17" t="str">
        <f>HYPERLINK("https://otsuka-europe-crm.veevavault.com/ui/#object/vcountry__v/VENZ000004SONF5", "ES")</f>
        <v>ES</v>
      </c>
      <c r="C632" s="20" t="s">
        <v>41</v>
      </c>
      <c r="D632" s="21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632" s="22" t="str">
        <f>HYPERLINK("https://otsuka-europe-crm.veevavault.com/ui/#object/sent_email__v/VBL00000002O106", "SE-001431178")</f>
        <v>SE-001431178</v>
      </c>
      <c r="F632" s="25"/>
      <c r="G632" s="24">
        <v>0</v>
      </c>
      <c r="H632" s="24">
        <v>0</v>
      </c>
      <c r="I632" s="24">
        <v>0</v>
      </c>
      <c r="J632" s="25"/>
      <c r="K632" s="24">
        <v>0</v>
      </c>
      <c r="L632" s="22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632" s="22" t="str">
        <f>HYPERLINK("mailto:jguri@crm.otsuka-europe.com", "jguri@crm.otsuka-europe.com")</f>
        <v>jguri@crm.otsuka-europe.com</v>
      </c>
      <c r="N632" s="23">
        <v>46174.629120370373</v>
      </c>
      <c r="O632" s="14" t="str">
        <f>HYPERLINK("https://otsuka-europe-crm.veevavault.com/ui/#object/email_activity__v/V8C00000003K435", "EN-002086485")</f>
        <v>EN-002086485</v>
      </c>
    </row>
    <row r="633" spans="1:15" ht="16" x14ac:dyDescent="0.2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4" t="str">
        <f>HYPERLINK("https://otsuka-europe-crm.veevavault.com/ui/#object/email_activity__v/V8C00000003L314", "EN-002086828")</f>
        <v>EN-002086828</v>
      </c>
    </row>
    <row r="634" spans="1:15" ht="16" x14ac:dyDescent="0.2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4" t="str">
        <f>HYPERLINK("https://otsuka-europe-crm.veevavault.com/ui/#object/email_activity__v/V8C00000003M591", "EN-002089198")</f>
        <v>EN-002089198</v>
      </c>
    </row>
    <row r="635" spans="1:15" ht="16" x14ac:dyDescent="0.2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4" t="str">
        <f>HYPERLINK("https://otsuka-europe-crm.veevavault.com/ui/#object/email_activity__v/V8C00000003X231", "EN-002097359")</f>
        <v>EN-002097359</v>
      </c>
    </row>
    <row r="636" spans="1:15" ht="16" x14ac:dyDescent="0.2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4" t="str">
        <f>HYPERLINK("https://otsuka-europe-crm.veevavault.com/ui/#object/email_activity__v/V8C00000003Z197", "EN-002098995")</f>
        <v>EN-002098995</v>
      </c>
    </row>
    <row r="637" spans="1:15" ht="48" x14ac:dyDescent="0.2">
      <c r="A637" s="7" t="str">
        <f>HYPERLINK("https://otsuka-europe-crm.veevavault.com/ui/#object/account__v/V4TZ06G6O71T8NZ", "JORGE BARTOLOME ARCILLA")</f>
        <v>JORGE BARTOLOME ARCILLA</v>
      </c>
      <c r="B637" s="7" t="str">
        <f>HYPERLINK("https://otsuka-europe-crm.veevavault.com/ui/#object/vcountry__v/VENZ000004SONF5", "ES")</f>
        <v>ES</v>
      </c>
      <c r="C637" s="8" t="s">
        <v>41</v>
      </c>
      <c r="D637" s="9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637" s="10" t="str">
        <f>HYPERLINK("https://otsuka-europe-crm.veevavault.com/ui/#object/sent_email__v/VBL00000002O107", "SE-001431179")</f>
        <v>SE-001431179</v>
      </c>
      <c r="F637" s="11"/>
      <c r="G637" s="12">
        <v>0</v>
      </c>
      <c r="H637" s="12">
        <v>0</v>
      </c>
      <c r="I637" s="12">
        <v>0</v>
      </c>
      <c r="J637" s="11"/>
      <c r="K637" s="12">
        <v>0</v>
      </c>
      <c r="L637" s="10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637" s="10" t="str">
        <f>HYPERLINK("mailto:jguri@crm.otsuka-europe.com", "jguri@crm.otsuka-europe.com")</f>
        <v>jguri@crm.otsuka-europe.com</v>
      </c>
      <c r="N637" s="13">
        <v>46174.629120370373</v>
      </c>
      <c r="O637" s="14" t="str">
        <f>HYPERLINK("https://otsuka-europe-crm.veevavault.com/ui/#object/email_activity__v/V8C00000003K417", "EN-002086467")</f>
        <v>EN-002086467</v>
      </c>
    </row>
    <row r="638" spans="1:15" ht="16" x14ac:dyDescent="0.2">
      <c r="A638" s="17" t="str">
        <f>HYPERLINK("https://otsuka-europe-crm.veevavault.com/ui/#object/account__v/V4TZ06G6O71T9E0", "ANA ISABEL BALLESTEROS GARCIA")</f>
        <v>ANA ISABEL BALLESTEROS GARCIA</v>
      </c>
      <c r="B638" s="17" t="str">
        <f>HYPERLINK("https://otsuka-europe-crm.veevavault.com/ui/#object/vcountry__v/VENZ000004SONF5", "ES")</f>
        <v>ES</v>
      </c>
      <c r="C638" s="20" t="s">
        <v>41</v>
      </c>
      <c r="D638" s="21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638" s="22" t="str">
        <f>HYPERLINK("https://otsuka-europe-crm.veevavault.com/ui/#object/sent_email__v/VBL00000002O108", "SE-001431180")</f>
        <v>SE-001431180</v>
      </c>
      <c r="F638" s="25"/>
      <c r="G638" s="24">
        <v>0</v>
      </c>
      <c r="H638" s="24">
        <v>0</v>
      </c>
      <c r="I638" s="24">
        <v>0</v>
      </c>
      <c r="J638" s="25"/>
      <c r="K638" s="24">
        <v>0</v>
      </c>
      <c r="L638" s="22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638" s="22" t="str">
        <f>HYPERLINK("mailto:jguri@crm.otsuka-europe.com", "jguri@crm.otsuka-europe.com")</f>
        <v>jguri@crm.otsuka-europe.com</v>
      </c>
      <c r="N638" s="23">
        <v>46174.629120370373</v>
      </c>
      <c r="O638" s="14" t="str">
        <f>HYPERLINK("https://otsuka-europe-crm.veevavault.com/ui/#object/email_activity__v/V8C00000003K429", "EN-002086479")</f>
        <v>EN-002086479</v>
      </c>
    </row>
    <row r="639" spans="1:15" ht="16" x14ac:dyDescent="0.2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4" t="str">
        <f>HYPERLINK("https://otsuka-europe-crm.veevavault.com/ui/#object/email_activity__v/V8C00000003L272", "EN-002086756")</f>
        <v>EN-002086756</v>
      </c>
    </row>
    <row r="640" spans="1:15" ht="48" x14ac:dyDescent="0.2">
      <c r="A640" s="7" t="str">
        <f>HYPERLINK("https://otsuka-europe-crm.veevavault.com/ui/#object/account__v/V4TZ06G6O71TCHJ", "MARIA BELEN VIDRIALES VICENTE")</f>
        <v>MARIA BELEN VIDRIALES VICENTE</v>
      </c>
      <c r="B640" s="7" t="str">
        <f>HYPERLINK("https://otsuka-europe-crm.veevavault.com/ui/#object/vcountry__v/VENZ000004SONF5", "ES")</f>
        <v>ES</v>
      </c>
      <c r="C640" s="8" t="s">
        <v>41</v>
      </c>
      <c r="D640" s="9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640" s="10" t="str">
        <f>HYPERLINK("https://otsuka-europe-crm.veevavault.com/ui/#object/sent_email__v/VBL00000002O109", "SE-001431181")</f>
        <v>SE-001431181</v>
      </c>
      <c r="F640" s="11"/>
      <c r="G640" s="12">
        <v>0</v>
      </c>
      <c r="H640" s="12">
        <v>0</v>
      </c>
      <c r="I640" s="12">
        <v>0</v>
      </c>
      <c r="J640" s="11"/>
      <c r="K640" s="12">
        <v>0</v>
      </c>
      <c r="L640" s="10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640" s="10" t="str">
        <f>HYPERLINK("mailto:jguri@crm.otsuka-europe.com", "jguri@crm.otsuka-europe.com")</f>
        <v>jguri@crm.otsuka-europe.com</v>
      </c>
      <c r="N640" s="13">
        <v>46174.629120370373</v>
      </c>
      <c r="O640" s="14" t="str">
        <f>HYPERLINK("https://otsuka-europe-crm.veevavault.com/ui/#object/email_activity__v/V8C00000003K430", "EN-002086480")</f>
        <v>EN-002086480</v>
      </c>
    </row>
    <row r="641" spans="1:15" ht="16" x14ac:dyDescent="0.2">
      <c r="A641" s="17" t="str">
        <f>HYPERLINK("https://otsuka-europe-crm.veevavault.com/ui/#object/account__v/V4TZ025E877J2W1", "IRENE SANCHEZ VADILLO")</f>
        <v>IRENE SANCHEZ VADILLO</v>
      </c>
      <c r="B641" s="17" t="str">
        <f>HYPERLINK("https://otsuka-europe-crm.veevavault.com/ui/#object/vcountry__v/VENZ000004SONF5", "ES")</f>
        <v>ES</v>
      </c>
      <c r="C641" s="20" t="s">
        <v>41</v>
      </c>
      <c r="D641" s="21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641" s="22" t="str">
        <f>HYPERLINK("https://otsuka-europe-crm.veevavault.com/ui/#object/sent_email__v/VBL00000002O110", "SE-001431182")</f>
        <v>SE-001431182</v>
      </c>
      <c r="F641" s="23">
        <v>46182.719826388886</v>
      </c>
      <c r="G641" s="24">
        <v>1</v>
      </c>
      <c r="H641" s="24">
        <v>5</v>
      </c>
      <c r="I641" s="24">
        <v>0</v>
      </c>
      <c r="J641" s="25"/>
      <c r="K641" s="24">
        <v>0</v>
      </c>
      <c r="L641" s="22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641" s="22" t="str">
        <f>HYPERLINK("mailto:jguri@crm.otsuka-europe.com", "jguri@crm.otsuka-europe.com")</f>
        <v>jguri@crm.otsuka-europe.com</v>
      </c>
      <c r="N641" s="23">
        <v>46174.62909722222</v>
      </c>
      <c r="O641" s="14" t="str">
        <f>HYPERLINK("https://otsuka-europe-crm.veevavault.com/ui/#object/email_activity__v/V8C00000003K428", "EN-002086478")</f>
        <v>EN-002086478</v>
      </c>
    </row>
    <row r="642" spans="1:15" ht="16" x14ac:dyDescent="0.2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4" t="str">
        <f>HYPERLINK("https://otsuka-europe-crm.veevavault.com/ui/#object/email_activity__v/V8C00000003K448", "EN-002086498")</f>
        <v>EN-002086498</v>
      </c>
    </row>
    <row r="643" spans="1:15" ht="16" x14ac:dyDescent="0.2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4" t="str">
        <f>HYPERLINK("https://otsuka-europe-crm.veevavault.com/ui/#object/email_activity__v/V8C00000003K470", "EN-002086525")</f>
        <v>EN-002086525</v>
      </c>
    </row>
    <row r="644" spans="1:15" ht="16" x14ac:dyDescent="0.2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4" t="str">
        <f>HYPERLINK("https://otsuka-europe-crm.veevavault.com/ui/#object/email_activity__v/V8C00000003K576", "EN-002086766")</f>
        <v>EN-002086766</v>
      </c>
    </row>
    <row r="645" spans="1:15" ht="16" x14ac:dyDescent="0.2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4" t="str">
        <f>HYPERLINK("https://otsuka-europe-crm.veevavault.com/ui/#object/email_activity__v/V8C00000003K578", "EN-002086770")</f>
        <v>EN-002086770</v>
      </c>
    </row>
    <row r="646" spans="1:15" ht="16" x14ac:dyDescent="0.2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4" t="str">
        <f>HYPERLINK("https://otsuka-europe-crm.veevavault.com/ui/#object/email_activity__v/V8C00000003S235", "EN-002093345")</f>
        <v>EN-002093345</v>
      </c>
    </row>
    <row r="647" spans="1:15" ht="16" x14ac:dyDescent="0.2">
      <c r="A647" s="17" t="str">
        <f>HYPERLINK("https://otsuka-europe-crm.veevavault.com/ui/#object/account__v/V4TZ025E88Y8G39", "MARIA VELASCO TROYANO")</f>
        <v>MARIA VELASCO TROYANO</v>
      </c>
      <c r="B647" s="17" t="str">
        <f>HYPERLINK("https://otsuka-europe-crm.veevavault.com/ui/#object/vcountry__v/VENZ000004SONF5", "ES")</f>
        <v>ES</v>
      </c>
      <c r="C647" s="20" t="s">
        <v>41</v>
      </c>
      <c r="D647" s="21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647" s="22" t="str">
        <f>HYPERLINK("https://otsuka-europe-crm.veevavault.com/ui/#object/sent_email__v/VBL00000002O111", "SE-001431183")</f>
        <v>SE-001431183</v>
      </c>
      <c r="F647" s="23">
        <v>46176.631377314814</v>
      </c>
      <c r="G647" s="24">
        <v>1</v>
      </c>
      <c r="H647" s="24">
        <v>5</v>
      </c>
      <c r="I647" s="24">
        <v>0</v>
      </c>
      <c r="J647" s="25"/>
      <c r="K647" s="24">
        <v>0</v>
      </c>
      <c r="L647" s="22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647" s="22" t="str">
        <f>HYPERLINK("mailto:jguri@crm.otsuka-europe.com", "jguri@crm.otsuka-europe.com")</f>
        <v>jguri@crm.otsuka-europe.com</v>
      </c>
      <c r="N647" s="23">
        <v>46174.62909722222</v>
      </c>
      <c r="O647" s="14" t="str">
        <f>HYPERLINK("https://otsuka-europe-crm.veevavault.com/ui/#object/email_activity__v/V8C00000003K420", "EN-002086470")</f>
        <v>EN-002086470</v>
      </c>
    </row>
    <row r="648" spans="1:15" ht="16" x14ac:dyDescent="0.2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4" t="str">
        <f>HYPERLINK("https://otsuka-europe-crm.veevavault.com/ui/#object/email_activity__v/V8C00000003K549", "EN-002086694")</f>
        <v>EN-002086694</v>
      </c>
    </row>
    <row r="649" spans="1:15" ht="16" x14ac:dyDescent="0.2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4" t="str">
        <f>HYPERLINK("https://otsuka-europe-crm.veevavault.com/ui/#object/email_activity__v/V8C00000003K550", "EN-002086705")</f>
        <v>EN-002086705</v>
      </c>
    </row>
    <row r="650" spans="1:15" ht="16" x14ac:dyDescent="0.2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4" t="str">
        <f>HYPERLINK("https://otsuka-europe-crm.veevavault.com/ui/#object/email_activity__v/V8C00000003K551", "EN-002086706")</f>
        <v>EN-002086706</v>
      </c>
    </row>
    <row r="651" spans="1:15" ht="16" x14ac:dyDescent="0.2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4" t="str">
        <f>HYPERLINK("https://otsuka-europe-crm.veevavault.com/ui/#object/email_activity__v/V8C00000003L244", "EN-002086704")</f>
        <v>EN-002086704</v>
      </c>
    </row>
    <row r="652" spans="1:15" ht="16" x14ac:dyDescent="0.2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4" t="str">
        <f>HYPERLINK("https://otsuka-europe-crm.veevavault.com/ui/#object/email_activity__v/V8C00000003M367", "EN-002088739")</f>
        <v>EN-002088739</v>
      </c>
    </row>
    <row r="653" spans="1:15" ht="16" x14ac:dyDescent="0.2">
      <c r="A653" s="17" t="str">
        <f>HYPERLINK("https://otsuka-europe-crm.veevavault.com/ui/#object/account__v/V4TZ025E87QDOCC", "MARIA JESUS RODRIGUEZ DOMINGUEZ")</f>
        <v>MARIA JESUS RODRIGUEZ DOMINGUEZ</v>
      </c>
      <c r="B653" s="17" t="str">
        <f>HYPERLINK("https://otsuka-europe-crm.veevavault.com/ui/#object/vcountry__v/VENZ000004SONF5", "ES")</f>
        <v>ES</v>
      </c>
      <c r="C653" s="20" t="s">
        <v>41</v>
      </c>
      <c r="D653" s="21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653" s="22" t="str">
        <f>HYPERLINK("https://otsuka-europe-crm.veevavault.com/ui/#object/sent_email__v/VBL00000002O112", "SE-001431184")</f>
        <v>SE-001431184</v>
      </c>
      <c r="F653" s="23">
        <v>46175.539386574077</v>
      </c>
      <c r="G653" s="24">
        <v>1</v>
      </c>
      <c r="H653" s="24">
        <v>3</v>
      </c>
      <c r="I653" s="24">
        <v>0</v>
      </c>
      <c r="J653" s="25"/>
      <c r="K653" s="24">
        <v>0</v>
      </c>
      <c r="L653" s="22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653" s="22" t="str">
        <f>HYPERLINK("mailto:jguri@crm.otsuka-europe.com", "jguri@crm.otsuka-europe.com")</f>
        <v>jguri@crm.otsuka-europe.com</v>
      </c>
      <c r="N653" s="23">
        <v>46174.62909722222</v>
      </c>
      <c r="O653" s="14" t="str">
        <f>HYPERLINK("https://otsuka-europe-crm.veevavault.com/ui/#object/email_activity__v/V8C00000003K445", "EN-002086495")</f>
        <v>EN-002086495</v>
      </c>
    </row>
    <row r="654" spans="1:15" ht="16" x14ac:dyDescent="0.2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4" t="str">
        <f>HYPERLINK("https://otsuka-europe-crm.veevavault.com/ui/#object/email_activity__v/V8C00000003K603", "EN-002086825")</f>
        <v>EN-002086825</v>
      </c>
    </row>
    <row r="655" spans="1:15" ht="16" x14ac:dyDescent="0.2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4" t="str">
        <f>HYPERLINK("https://otsuka-europe-crm.veevavault.com/ui/#object/email_activity__v/V8C00000003K605", "EN-002086834")</f>
        <v>EN-002086834</v>
      </c>
    </row>
    <row r="656" spans="1:15" ht="16" x14ac:dyDescent="0.2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4" t="str">
        <f>HYPERLINK("https://otsuka-europe-crm.veevavault.com/ui/#object/email_activity__v/V8C00000003K628", "EN-002086873")</f>
        <v>EN-002086873</v>
      </c>
    </row>
    <row r="657" spans="1:15" ht="16" x14ac:dyDescent="0.2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4" t="str">
        <f>HYPERLINK("https://otsuka-europe-crm.veevavault.com/ui/#object/email_activity__v/V8C00000003L196", "EN-002086621")</f>
        <v>EN-002086621</v>
      </c>
    </row>
    <row r="658" spans="1:15" ht="16" x14ac:dyDescent="0.2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4" t="str">
        <f>HYPERLINK("https://otsuka-europe-crm.veevavault.com/ui/#object/email_activity__v/V8C00000003L334", "EN-002086872")</f>
        <v>EN-002086872</v>
      </c>
    </row>
    <row r="659" spans="1:15" ht="16" x14ac:dyDescent="0.2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4" t="str">
        <f>HYPERLINK("https://otsuka-europe-crm.veevavault.com/ui/#object/email_activity__v/V8C00000003L769", "EN-002087512")</f>
        <v>EN-002087512</v>
      </c>
    </row>
    <row r="660" spans="1:15" ht="48" x14ac:dyDescent="0.2">
      <c r="A660" s="7" t="str">
        <f>HYPERLINK("https://otsuka-europe-crm.veevavault.com/ui/#object/account__v/V4T00000000O040", "JULIO GARCIA SUAREZ")</f>
        <v>JULIO GARCIA SUAREZ</v>
      </c>
      <c r="B660" s="7" t="str">
        <f>HYPERLINK("https://otsuka-europe-crm.veevavault.com/ui/#object/vcountry__v/VENZ000004SONF5", "ES")</f>
        <v>ES</v>
      </c>
      <c r="C660" s="8" t="s">
        <v>41</v>
      </c>
      <c r="D660" s="9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660" s="10" t="str">
        <f>HYPERLINK("https://otsuka-europe-crm.veevavault.com/ui/#object/sent_email__v/VBL00000002O113", "SE-001431185")</f>
        <v>SE-001431185</v>
      </c>
      <c r="F660" s="11"/>
      <c r="G660" s="12">
        <v>0</v>
      </c>
      <c r="H660" s="12">
        <v>0</v>
      </c>
      <c r="I660" s="12">
        <v>0</v>
      </c>
      <c r="J660" s="11"/>
      <c r="K660" s="12">
        <v>0</v>
      </c>
      <c r="L660" s="10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660" s="10" t="str">
        <f>HYPERLINK("mailto:jguri@crm.otsuka-europe.com", "jguri@crm.otsuka-europe.com")</f>
        <v>jguri@crm.otsuka-europe.com</v>
      </c>
      <c r="N660" s="13">
        <v>46174.62909722222</v>
      </c>
      <c r="O660" s="14" t="str">
        <f>HYPERLINK("https://otsuka-europe-crm.veevavault.com/ui/#object/email_activity__v/V8C00000003K426", "EN-002086476")</f>
        <v>EN-002086476</v>
      </c>
    </row>
    <row r="661" spans="1:15" ht="16" x14ac:dyDescent="0.2">
      <c r="A661" s="17" t="str">
        <f>HYPERLINK("https://otsuka-europe-crm.veevavault.com/ui/#object/account__v/V4TZ025E834QQS2", "FRANCISCO JAVIER PEÑALVER PARRAGA")</f>
        <v>FRANCISCO JAVIER PEÑALVER PARRAGA</v>
      </c>
      <c r="B661" s="17" t="str">
        <f>HYPERLINK("https://otsuka-europe-crm.veevavault.com/ui/#object/vcountry__v/VENZ000004SONF5", "ES")</f>
        <v>ES</v>
      </c>
      <c r="C661" s="20" t="s">
        <v>41</v>
      </c>
      <c r="D661" s="21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661" s="22" t="str">
        <f>HYPERLINK("https://otsuka-europe-crm.veevavault.com/ui/#object/sent_email__v/VBL00000002O114", "SE-001431186")</f>
        <v>SE-001431186</v>
      </c>
      <c r="F661" s="23">
        <v>46174.663784722223</v>
      </c>
      <c r="G661" s="24">
        <v>1</v>
      </c>
      <c r="H661" s="24">
        <v>2</v>
      </c>
      <c r="I661" s="24">
        <v>0</v>
      </c>
      <c r="J661" s="25"/>
      <c r="K661" s="24">
        <v>0</v>
      </c>
      <c r="L661" s="22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661" s="22" t="str">
        <f>HYPERLINK("mailto:jguri@crm.otsuka-europe.com", "jguri@crm.otsuka-europe.com")</f>
        <v>jguri@crm.otsuka-europe.com</v>
      </c>
      <c r="N661" s="23">
        <v>46174.62909722222</v>
      </c>
      <c r="O661" s="14" t="str">
        <f>HYPERLINK("https://otsuka-europe-crm.veevavault.com/ui/#object/email_activity__v/V8C00000003K427", "EN-002086477")</f>
        <v>EN-002086477</v>
      </c>
    </row>
    <row r="662" spans="1:15" ht="16" x14ac:dyDescent="0.2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4" t="str">
        <f>HYPERLINK("https://otsuka-europe-crm.veevavault.com/ui/#object/email_activity__v/V8C00000003K499", "EN-002086582")</f>
        <v>EN-002086582</v>
      </c>
    </row>
    <row r="663" spans="1:15" ht="16" x14ac:dyDescent="0.2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4" t="str">
        <f>HYPERLINK("https://otsuka-europe-crm.veevavault.com/ui/#object/email_activity__v/V8C00000003L173", "EN-002086583")</f>
        <v>EN-002086583</v>
      </c>
    </row>
    <row r="664" spans="1:15" ht="16" x14ac:dyDescent="0.2">
      <c r="A664" s="17" t="str">
        <f>HYPERLINK("https://otsuka-europe-crm.veevavault.com/ui/#object/account__v/V4TZ025E83PNUFI", "ROSA MARIA LOPEZ LOPEZ")</f>
        <v>ROSA MARIA LOPEZ LOPEZ</v>
      </c>
      <c r="B664" s="17" t="str">
        <f>HYPERLINK("https://otsuka-europe-crm.veevavault.com/ui/#object/vcountry__v/VENZ000004SONF5", "ES")</f>
        <v>ES</v>
      </c>
      <c r="C664" s="20" t="s">
        <v>41</v>
      </c>
      <c r="D664" s="21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664" s="22" t="str">
        <f>HYPERLINK("https://otsuka-europe-crm.veevavault.com/ui/#object/sent_email__v/VBL00000002O115", "SE-001431187")</f>
        <v>SE-001431187</v>
      </c>
      <c r="F664" s="23">
        <v>46175.623784722222</v>
      </c>
      <c r="G664" s="24">
        <v>1</v>
      </c>
      <c r="H664" s="24">
        <v>3</v>
      </c>
      <c r="I664" s="24">
        <v>0</v>
      </c>
      <c r="J664" s="25"/>
      <c r="K664" s="24">
        <v>0</v>
      </c>
      <c r="L664" s="22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664" s="22" t="str">
        <f>HYPERLINK("mailto:jguri@crm.otsuka-europe.com", "jguri@crm.otsuka-europe.com")</f>
        <v>jguri@crm.otsuka-europe.com</v>
      </c>
      <c r="N664" s="23">
        <v>46174.629120370373</v>
      </c>
      <c r="O664" s="14" t="str">
        <f>HYPERLINK("https://otsuka-europe-crm.veevavault.com/ui/#object/email_activity__v/V8C00000003K443", "EN-002086493")</f>
        <v>EN-002086493</v>
      </c>
    </row>
    <row r="665" spans="1:15" ht="16" x14ac:dyDescent="0.2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4" t="str">
        <f>HYPERLINK("https://otsuka-europe-crm.veevavault.com/ui/#object/email_activity__v/V8C00000003L626", "EN-002087253")</f>
        <v>EN-002087253</v>
      </c>
    </row>
    <row r="666" spans="1:15" ht="16" x14ac:dyDescent="0.2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4" t="str">
        <f>HYPERLINK("https://otsuka-europe-crm.veevavault.com/ui/#object/email_activity__v/V8C00000003L956", "EN-002087900")</f>
        <v>EN-002087900</v>
      </c>
    </row>
    <row r="667" spans="1:15" ht="16" x14ac:dyDescent="0.2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4" t="str">
        <f>HYPERLINK("https://otsuka-europe-crm.veevavault.com/ui/#object/email_activity__v/V8C00000003L957", "EN-002087901")</f>
        <v>EN-002087901</v>
      </c>
    </row>
    <row r="668" spans="1:15" ht="16" x14ac:dyDescent="0.2">
      <c r="A668" s="17" t="str">
        <f>HYPERLINK("https://otsuka-europe-crm.veevavault.com/ui/#object/account__v/V4TZ025E86P7SMP", "PERLA SALAMA BENDAYAN")</f>
        <v>PERLA SALAMA BENDAYAN</v>
      </c>
      <c r="B668" s="17" t="str">
        <f>HYPERLINK("https://otsuka-europe-crm.veevavault.com/ui/#object/vcountry__v/VENZ000004SONF5", "ES")</f>
        <v>ES</v>
      </c>
      <c r="C668" s="20" t="s">
        <v>41</v>
      </c>
      <c r="D668" s="21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668" s="22" t="str">
        <f>HYPERLINK("https://otsuka-europe-crm.veevavault.com/ui/#object/sent_email__v/VBL00000002O116", "SE-001431188")</f>
        <v>SE-001431188</v>
      </c>
      <c r="F668" s="25"/>
      <c r="G668" s="24">
        <v>0</v>
      </c>
      <c r="H668" s="24">
        <v>0</v>
      </c>
      <c r="I668" s="24">
        <v>0</v>
      </c>
      <c r="J668" s="25"/>
      <c r="K668" s="24">
        <v>0</v>
      </c>
      <c r="L668" s="22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668" s="22" t="str">
        <f>HYPERLINK("mailto:jguri@crm.otsuka-europe.com", "jguri@crm.otsuka-europe.com")</f>
        <v>jguri@crm.otsuka-europe.com</v>
      </c>
      <c r="N668" s="23">
        <v>46174.629120370373</v>
      </c>
      <c r="O668" s="14" t="str">
        <f>HYPERLINK("https://otsuka-europe-crm.veevavault.com/ui/#object/email_activity__v/V8C00000003K442", "EN-002086492")</f>
        <v>EN-002086492</v>
      </c>
    </row>
    <row r="669" spans="1:15" ht="16" x14ac:dyDescent="0.2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4" t="str">
        <f>HYPERLINK("https://otsuka-europe-crm.veevavault.com/ui/#object/email_activity__v/V8C00000003L222", "EN-002086654")</f>
        <v>EN-002086654</v>
      </c>
    </row>
    <row r="670" spans="1:15" ht="16" x14ac:dyDescent="0.2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4" t="str">
        <f>HYPERLINK("https://otsuka-europe-crm.veevavault.com/ui/#object/email_activity__v/V8C00000003M391", "EN-002088794")</f>
        <v>EN-002088794</v>
      </c>
    </row>
    <row r="671" spans="1:15" ht="48" x14ac:dyDescent="0.2">
      <c r="A671" s="7" t="str">
        <f>HYPERLINK("https://otsuka-europe-crm.veevavault.com/ui/#object/account__v/V4TZ025E83OT2Y1", "SARA CACERES HERNANDEZ")</f>
        <v>SARA CACERES HERNANDEZ</v>
      </c>
      <c r="B671" s="7" t="str">
        <f>HYPERLINK("https://otsuka-europe-crm.veevavault.com/ui/#object/vcountry__v/VENZ000004SONF5", "ES")</f>
        <v>ES</v>
      </c>
      <c r="C671" s="8" t="s">
        <v>41</v>
      </c>
      <c r="D671" s="9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671" s="10" t="str">
        <f>HYPERLINK("https://otsuka-europe-crm.veevavault.com/ui/#object/sent_email__v/VBL00000002O117", "SE-001431189")</f>
        <v>SE-001431189</v>
      </c>
      <c r="F671" s="11"/>
      <c r="G671" s="12">
        <v>0</v>
      </c>
      <c r="H671" s="12">
        <v>0</v>
      </c>
      <c r="I671" s="12">
        <v>0</v>
      </c>
      <c r="J671" s="11"/>
      <c r="K671" s="12">
        <v>0</v>
      </c>
      <c r="L671" s="10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671" s="10" t="str">
        <f>HYPERLINK("mailto:jguri@crm.otsuka-europe.com", "jguri@crm.otsuka-europe.com")</f>
        <v>jguri@crm.otsuka-europe.com</v>
      </c>
      <c r="N671" s="13">
        <v>46174.629120370373</v>
      </c>
      <c r="O671" s="14" t="str">
        <f>HYPERLINK("https://otsuka-europe-crm.veevavault.com/ui/#object/email_activity__v/V8C00000003K406", "EN-002086456")</f>
        <v>EN-002086456</v>
      </c>
    </row>
    <row r="672" spans="1:15" ht="16" x14ac:dyDescent="0.2">
      <c r="A672" s="17" t="str">
        <f>HYPERLINK("https://otsuka-europe-crm.veevavault.com/ui/#object/account__v/V4T000000010126", "SISSY FIORELLA MEDINA SALAZAR")</f>
        <v>SISSY FIORELLA MEDINA SALAZAR</v>
      </c>
      <c r="B672" s="17" t="str">
        <f>HYPERLINK("https://otsuka-europe-crm.veevavault.com/ui/#object/vcountry__v/VENZ000004SONF5", "ES")</f>
        <v>ES</v>
      </c>
      <c r="C672" s="20" t="s">
        <v>41</v>
      </c>
      <c r="D672" s="21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672" s="22" t="str">
        <f>HYPERLINK("https://otsuka-europe-crm.veevavault.com/ui/#object/sent_email__v/VBL00000002O118", "SE-001431190")</f>
        <v>SE-001431190</v>
      </c>
      <c r="F672" s="25"/>
      <c r="G672" s="24">
        <v>0</v>
      </c>
      <c r="H672" s="24">
        <v>0</v>
      </c>
      <c r="I672" s="24">
        <v>0</v>
      </c>
      <c r="J672" s="25"/>
      <c r="K672" s="24">
        <v>0</v>
      </c>
      <c r="L672" s="22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672" s="22" t="str">
        <f>HYPERLINK("mailto:jguri@crm.otsuka-europe.com", "jguri@crm.otsuka-europe.com")</f>
        <v>jguri@crm.otsuka-europe.com</v>
      </c>
      <c r="N672" s="23">
        <v>46174.629120370373</v>
      </c>
      <c r="O672" s="14" t="str">
        <f>HYPERLINK("https://otsuka-europe-crm.veevavault.com/ui/#object/email_activity__v/V8C00000003K408", "EN-002086458")</f>
        <v>EN-002086458</v>
      </c>
    </row>
    <row r="673" spans="1:15" ht="16" x14ac:dyDescent="0.2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4" t="str">
        <f>HYPERLINK("https://otsuka-europe-crm.veevavault.com/ui/#object/email_activity__v/V8C00000003L326", "EN-002086849")</f>
        <v>EN-002086849</v>
      </c>
    </row>
    <row r="674" spans="1:15" ht="48" x14ac:dyDescent="0.2">
      <c r="A674" s="7" t="str">
        <f>HYPERLINK("https://otsuka-europe-crm.veevavault.com/ui/#object/account__v/V4TZ025E861QDG1", "RAQUEL MARTINEZ FERNANDEZ")</f>
        <v>RAQUEL MARTINEZ FERNANDEZ</v>
      </c>
      <c r="B674" s="7" t="str">
        <f>HYPERLINK("https://otsuka-europe-crm.veevavault.com/ui/#object/vcountry__v/VENZ000004SONF5", "ES")</f>
        <v>ES</v>
      </c>
      <c r="C674" s="8" t="s">
        <v>41</v>
      </c>
      <c r="D674" s="9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674" s="10" t="str">
        <f>HYPERLINK("https://otsuka-europe-crm.veevavault.com/ui/#object/sent_email__v/VBL00000002O119", "SE-001431191")</f>
        <v>SE-001431191</v>
      </c>
      <c r="F674" s="11"/>
      <c r="G674" s="12">
        <v>0</v>
      </c>
      <c r="H674" s="12">
        <v>0</v>
      </c>
      <c r="I674" s="12">
        <v>0</v>
      </c>
      <c r="J674" s="11"/>
      <c r="K674" s="12">
        <v>0</v>
      </c>
      <c r="L674" s="10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674" s="10" t="str">
        <f>HYPERLINK("mailto:jguri@crm.otsuka-europe.com", "jguri@crm.otsuka-europe.com")</f>
        <v>jguri@crm.otsuka-europe.com</v>
      </c>
      <c r="N674" s="13">
        <v>46174.629120370373</v>
      </c>
      <c r="O674" s="14" t="str">
        <f>HYPERLINK("https://otsuka-europe-crm.veevavault.com/ui/#object/email_activity__v/V8C00000003K409", "EN-002086459")</f>
        <v>EN-002086459</v>
      </c>
    </row>
    <row r="675" spans="1:15" ht="48" x14ac:dyDescent="0.2">
      <c r="A675" s="7" t="str">
        <f>HYPERLINK("https://otsuka-europe-crm.veevavault.com/ui/#object/account__v/V4TZ025E83OC0A9", "DANYLO PALOMINO MENDOZA")</f>
        <v>DANYLO PALOMINO MENDOZA</v>
      </c>
      <c r="B675" s="7" t="str">
        <f>HYPERLINK("https://otsuka-europe-crm.veevavault.com/ui/#object/vcountry__v/VENZ000004SONF5", "ES")</f>
        <v>ES</v>
      </c>
      <c r="C675" s="8" t="s">
        <v>41</v>
      </c>
      <c r="D675" s="9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675" s="10" t="str">
        <f>HYPERLINK("https://otsuka-europe-crm.veevavault.com/ui/#object/sent_email__v/VBL00000002O120", "SE-001431192")</f>
        <v>SE-001431192</v>
      </c>
      <c r="F675" s="11"/>
      <c r="G675" s="12">
        <v>0</v>
      </c>
      <c r="H675" s="12">
        <v>0</v>
      </c>
      <c r="I675" s="12">
        <v>0</v>
      </c>
      <c r="J675" s="11"/>
      <c r="K675" s="12">
        <v>0</v>
      </c>
      <c r="L675" s="10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675" s="10" t="str">
        <f>HYPERLINK("mailto:jguri@crm.otsuka-europe.com", "jguri@crm.otsuka-europe.com")</f>
        <v>jguri@crm.otsuka-europe.com</v>
      </c>
      <c r="N675" s="13">
        <v>46174.629120370373</v>
      </c>
      <c r="O675" s="14" t="str">
        <f>HYPERLINK("https://otsuka-europe-crm.veevavault.com/ui/#object/email_activity__v/V8C00000003K434", "EN-002086484")</f>
        <v>EN-002086484</v>
      </c>
    </row>
    <row r="676" spans="1:15" ht="48" x14ac:dyDescent="0.2">
      <c r="A676" s="7" t="str">
        <f>HYPERLINK("https://otsuka-europe-crm.veevavault.com/ui/#object/account__v/V4TZ06G6O71T83I", "PATRICIA GARCIA RAMIREZ")</f>
        <v>PATRICIA GARCIA RAMIREZ</v>
      </c>
      <c r="B676" s="7" t="str">
        <f>HYPERLINK("https://otsuka-europe-crm.veevavault.com/ui/#object/vcountry__v/VENZ000004SONF5", "ES")</f>
        <v>ES</v>
      </c>
      <c r="C676" s="8" t="s">
        <v>41</v>
      </c>
      <c r="D676" s="9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676" s="10" t="str">
        <f>HYPERLINK("https://otsuka-europe-crm.veevavault.com/ui/#object/sent_email__v/VBL00000002O121", "SE-001431193")</f>
        <v>SE-001431193</v>
      </c>
      <c r="F676" s="11"/>
      <c r="G676" s="12">
        <v>0</v>
      </c>
      <c r="H676" s="12">
        <v>0</v>
      </c>
      <c r="I676" s="12">
        <v>0</v>
      </c>
      <c r="J676" s="11"/>
      <c r="K676" s="12">
        <v>0</v>
      </c>
      <c r="L676" s="10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676" s="10" t="str">
        <f>HYPERLINK("mailto:jguri@crm.otsuka-europe.com", "jguri@crm.otsuka-europe.com")</f>
        <v>jguri@crm.otsuka-europe.com</v>
      </c>
      <c r="N676" s="13">
        <v>46174.629120370373</v>
      </c>
      <c r="O676" s="14" t="str">
        <f>HYPERLINK("https://otsuka-europe-crm.veevavault.com/ui/#object/email_activity__v/V8C00000003K439", "EN-002086489")</f>
        <v>EN-002086489</v>
      </c>
    </row>
    <row r="677" spans="1:15" ht="16" x14ac:dyDescent="0.2">
      <c r="A677" s="17" t="str">
        <f>HYPERLINK("https://otsuka-europe-crm.veevavault.com/ui/#object/account__v/V4TZ06G6O71T83Y", "JACOBO ROGADO REVUELTA")</f>
        <v>JACOBO ROGADO REVUELTA</v>
      </c>
      <c r="B677" s="17" t="str">
        <f>HYPERLINK("https://otsuka-europe-crm.veevavault.com/ui/#object/vcountry__v/VENZ000004SONF5", "ES")</f>
        <v>ES</v>
      </c>
      <c r="C677" s="20" t="s">
        <v>41</v>
      </c>
      <c r="D677" s="21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677" s="22" t="str">
        <f>HYPERLINK("https://otsuka-europe-crm.veevavault.com/ui/#object/sent_email__v/VBL00000002O122", "SE-001431194")</f>
        <v>SE-001431194</v>
      </c>
      <c r="F677" s="23">
        <v>46174.634525462963</v>
      </c>
      <c r="G677" s="24">
        <v>1</v>
      </c>
      <c r="H677" s="24">
        <v>1</v>
      </c>
      <c r="I677" s="24">
        <v>0</v>
      </c>
      <c r="J677" s="25"/>
      <c r="K677" s="24">
        <v>0</v>
      </c>
      <c r="L677" s="22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677" s="22" t="str">
        <f>HYPERLINK("mailto:jguri@crm.otsuka-europe.com", "jguri@crm.otsuka-europe.com")</f>
        <v>jguri@crm.otsuka-europe.com</v>
      </c>
      <c r="N677" s="23">
        <v>46174.629120370373</v>
      </c>
      <c r="O677" s="14" t="str">
        <f>HYPERLINK("https://otsuka-europe-crm.veevavault.com/ui/#object/email_activity__v/V8C00000003K415", "EN-002086465")</f>
        <v>EN-002086465</v>
      </c>
    </row>
    <row r="678" spans="1:15" ht="16" x14ac:dyDescent="0.2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4" t="str">
        <f>HYPERLINK("https://otsuka-europe-crm.veevavault.com/ui/#object/email_activity__v/V8C00000003K472", "EN-002086527")</f>
        <v>EN-002086527</v>
      </c>
    </row>
    <row r="679" spans="1:15" ht="48" x14ac:dyDescent="0.2">
      <c r="A679" s="7" t="str">
        <f>HYPERLINK("https://otsuka-europe-crm.veevavault.com/ui/#object/account__v/V4TZ025E86P31SS", "ESPERANZA ROMERO FERNANDEZ")</f>
        <v>ESPERANZA ROMERO FERNANDEZ</v>
      </c>
      <c r="B679" s="7" t="str">
        <f>HYPERLINK("https://otsuka-europe-crm.veevavault.com/ui/#object/vcountry__v/VENZ000004SONF5", "ES")</f>
        <v>ES</v>
      </c>
      <c r="C679" s="8" t="s">
        <v>41</v>
      </c>
      <c r="D679" s="9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679" s="10" t="str">
        <f>HYPERLINK("https://otsuka-europe-crm.veevavault.com/ui/#object/sent_email__v/VBL00000002O123", "SE-001431195")</f>
        <v>SE-001431195</v>
      </c>
      <c r="F679" s="11"/>
      <c r="G679" s="12">
        <v>0</v>
      </c>
      <c r="H679" s="12">
        <v>0</v>
      </c>
      <c r="I679" s="12">
        <v>0</v>
      </c>
      <c r="J679" s="11"/>
      <c r="K679" s="12">
        <v>0</v>
      </c>
      <c r="L679" s="10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679" s="10" t="str">
        <f>HYPERLINK("mailto:jguri@crm.otsuka-europe.com", "jguri@crm.otsuka-europe.com")</f>
        <v>jguri@crm.otsuka-europe.com</v>
      </c>
      <c r="N679" s="13">
        <v>46174.629120370373</v>
      </c>
      <c r="O679" s="14" t="str">
        <f>HYPERLINK("https://otsuka-europe-crm.veevavault.com/ui/#object/email_activity__v/V8C00000003K412", "EN-002086462")</f>
        <v>EN-002086462</v>
      </c>
    </row>
    <row r="680" spans="1:15" ht="48" x14ac:dyDescent="0.2">
      <c r="A680" s="7" t="str">
        <f>HYPERLINK("https://otsuka-europe-crm.veevavault.com/ui/#object/account__v/V4TZ025E83OC2R5", "FRANCISCO FERNANDEZ MORENO")</f>
        <v>FRANCISCO FERNANDEZ MORENO</v>
      </c>
      <c r="B680" s="7" t="str">
        <f>HYPERLINK("https://otsuka-europe-crm.veevavault.com/ui/#object/vcountry__v/VENZ000004SONF5", "ES")</f>
        <v>ES</v>
      </c>
      <c r="C680" s="8" t="s">
        <v>41</v>
      </c>
      <c r="D680" s="9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680" s="10" t="str">
        <f>HYPERLINK("https://otsuka-europe-crm.veevavault.com/ui/#object/sent_email__v/VBL00000002O124", "SE-001431196")</f>
        <v>SE-001431196</v>
      </c>
      <c r="F680" s="11"/>
      <c r="G680" s="12">
        <v>0</v>
      </c>
      <c r="H680" s="12">
        <v>0</v>
      </c>
      <c r="I680" s="12">
        <v>0</v>
      </c>
      <c r="J680" s="11"/>
      <c r="K680" s="12">
        <v>0</v>
      </c>
      <c r="L680" s="10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680" s="10" t="str">
        <f>HYPERLINK("mailto:jguri@crm.otsuka-europe.com", "jguri@crm.otsuka-europe.com")</f>
        <v>jguri@crm.otsuka-europe.com</v>
      </c>
      <c r="N680" s="13">
        <v>46174.629120370373</v>
      </c>
      <c r="O680" s="14" t="str">
        <f>HYPERLINK("https://otsuka-europe-crm.veevavault.com/ui/#object/email_activity__v/V8C00000003K407", "EN-002086457")</f>
        <v>EN-002086457</v>
      </c>
    </row>
    <row r="681" spans="1:15" ht="16" x14ac:dyDescent="0.2">
      <c r="A681" s="17" t="str">
        <f>HYPERLINK("https://otsuka-europe-crm.veevavault.com/ui/#object/account__v/V4TZ025E86HY9YZ", "VIRGINIA QUIROS REDONDO")</f>
        <v>VIRGINIA QUIROS REDONDO</v>
      </c>
      <c r="B681" s="17" t="str">
        <f>HYPERLINK("https://otsuka-europe-crm.veevavault.com/ui/#object/vcountry__v/VENZ000004SONF5", "ES")</f>
        <v>ES</v>
      </c>
      <c r="C681" s="20" t="s">
        <v>41</v>
      </c>
      <c r="D681" s="21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681" s="22" t="str">
        <f>HYPERLINK("https://otsuka-europe-crm.veevavault.com/ui/#object/sent_email__v/VBL00000002O125", "SE-001431197")</f>
        <v>SE-001431197</v>
      </c>
      <c r="F681" s="23">
        <v>46175.308912037035</v>
      </c>
      <c r="G681" s="24">
        <v>1</v>
      </c>
      <c r="H681" s="24">
        <v>1</v>
      </c>
      <c r="I681" s="24">
        <v>0</v>
      </c>
      <c r="J681" s="25"/>
      <c r="K681" s="24">
        <v>0</v>
      </c>
      <c r="L681" s="22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681" s="22" t="str">
        <f>HYPERLINK("mailto:jguri@crm.otsuka-europe.com", "jguri@crm.otsuka-europe.com")</f>
        <v>jguri@crm.otsuka-europe.com</v>
      </c>
      <c r="N681" s="23">
        <v>46174.629120370373</v>
      </c>
      <c r="O681" s="14" t="str">
        <f>HYPERLINK("https://otsuka-europe-crm.veevavault.com/ui/#object/email_activity__v/V8C00000003K401", "EN-002086451")</f>
        <v>EN-002086451</v>
      </c>
    </row>
    <row r="682" spans="1:15" ht="16" x14ac:dyDescent="0.2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4" t="str">
        <f>HYPERLINK("https://otsuka-europe-crm.veevavault.com/ui/#object/email_activity__v/V8C00000003K585", "EN-002086790")</f>
        <v>EN-002086790</v>
      </c>
    </row>
    <row r="683" spans="1:15" ht="16" x14ac:dyDescent="0.2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4" t="str">
        <f>HYPERLINK("https://otsuka-europe-crm.veevavault.com/ui/#object/email_activity__v/V8C00000003K622", "EN-002086861")</f>
        <v>EN-002086861</v>
      </c>
    </row>
    <row r="684" spans="1:15" ht="48" x14ac:dyDescent="0.2">
      <c r="A684" s="7" t="str">
        <f>HYPERLINK("https://otsuka-europe-crm.veevavault.com/ui/#object/account__v/V4TZ06G6O71TANF", "PARHAM KHOSRAVI SHAHI")</f>
        <v>PARHAM KHOSRAVI SHAHI</v>
      </c>
      <c r="B684" s="7" t="str">
        <f>HYPERLINK("https://otsuka-europe-crm.veevavault.com/ui/#object/vcountry__v/VENZ000004SONF5", "ES")</f>
        <v>ES</v>
      </c>
      <c r="C684" s="8" t="s">
        <v>41</v>
      </c>
      <c r="D684" s="9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684" s="10" t="str">
        <f>HYPERLINK("https://otsuka-europe-crm.veevavault.com/ui/#object/sent_email__v/VBL00000002O126", "SE-001431198")</f>
        <v>SE-001431198</v>
      </c>
      <c r="F684" s="11"/>
      <c r="G684" s="12">
        <v>0</v>
      </c>
      <c r="H684" s="12">
        <v>0</v>
      </c>
      <c r="I684" s="12">
        <v>0</v>
      </c>
      <c r="J684" s="11"/>
      <c r="K684" s="12">
        <v>0</v>
      </c>
      <c r="L684" s="10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684" s="10" t="str">
        <f>HYPERLINK("mailto:jguri@crm.otsuka-europe.com", "jguri@crm.otsuka-europe.com")</f>
        <v>jguri@crm.otsuka-europe.com</v>
      </c>
      <c r="N684" s="13">
        <v>46174.629120370373</v>
      </c>
      <c r="O684" s="14" t="str">
        <f>HYPERLINK("https://otsuka-europe-crm.veevavault.com/ui/#object/email_activity__v/V8C00000003K419", "EN-002086469")</f>
        <v>EN-002086469</v>
      </c>
    </row>
    <row r="685" spans="1:15" ht="48" x14ac:dyDescent="0.2">
      <c r="A685" s="7" t="str">
        <f>HYPERLINK("https://otsuka-europe-crm.veevavault.com/ui/#object/account__v/V4TZ025E84E7679", "MARIA YOLANDA MARTIN GUERRERO")</f>
        <v>MARIA YOLANDA MARTIN GUERRERO</v>
      </c>
      <c r="B685" s="7" t="str">
        <f>HYPERLINK("https://otsuka-europe-crm.veevavault.com/ui/#object/vcountry__v/VENZ000004SONF5", "ES")</f>
        <v>ES</v>
      </c>
      <c r="C685" s="8" t="s">
        <v>41</v>
      </c>
      <c r="D685" s="9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685" s="10" t="str">
        <f>HYPERLINK("https://otsuka-europe-crm.veevavault.com/ui/#object/sent_email__v/VBL00000002O127", "SE-001431199")</f>
        <v>SE-001431199</v>
      </c>
      <c r="F685" s="11"/>
      <c r="G685" s="12">
        <v>0</v>
      </c>
      <c r="H685" s="12">
        <v>0</v>
      </c>
      <c r="I685" s="12">
        <v>0</v>
      </c>
      <c r="J685" s="11"/>
      <c r="K685" s="12">
        <v>0</v>
      </c>
      <c r="L685" s="10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685" s="10" t="str">
        <f>HYPERLINK("mailto:jguri@crm.otsuka-europe.com", "jguri@crm.otsuka-europe.com")</f>
        <v>jguri@crm.otsuka-europe.com</v>
      </c>
      <c r="N685" s="13">
        <v>46174.629120370373</v>
      </c>
      <c r="O685" s="14" t="str">
        <f>HYPERLINK("https://otsuka-europe-crm.veevavault.com/ui/#object/email_activity__v/V8C00000003K416", "EN-002086466")</f>
        <v>EN-002086466</v>
      </c>
    </row>
    <row r="686" spans="1:15" ht="48" x14ac:dyDescent="0.2">
      <c r="A686" s="7" t="str">
        <f>HYPERLINK("https://otsuka-europe-crm.veevavault.com/ui/#object/account__v/V4TZ025E86KXDLR", "MIRIAN SANTERO GARCIA")</f>
        <v>MIRIAN SANTERO GARCIA</v>
      </c>
      <c r="B686" s="7" t="str">
        <f>HYPERLINK("https://otsuka-europe-crm.veevavault.com/ui/#object/vcountry__v/VENZ000004SONF5", "ES")</f>
        <v>ES</v>
      </c>
      <c r="C686" s="8" t="s">
        <v>41</v>
      </c>
      <c r="D686" s="9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686" s="10" t="str">
        <f>HYPERLINK("https://otsuka-europe-crm.veevavault.com/ui/#object/sent_email__v/VBL00000002O128", "SE-001431200")</f>
        <v>SE-001431200</v>
      </c>
      <c r="F686" s="11"/>
      <c r="G686" s="12">
        <v>0</v>
      </c>
      <c r="H686" s="12">
        <v>0</v>
      </c>
      <c r="I686" s="12">
        <v>0</v>
      </c>
      <c r="J686" s="11"/>
      <c r="K686" s="12">
        <v>0</v>
      </c>
      <c r="L686" s="10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686" s="10" t="str">
        <f>HYPERLINK("mailto:jguri@crm.otsuka-europe.com", "jguri@crm.otsuka-europe.com")</f>
        <v>jguri@crm.otsuka-europe.com</v>
      </c>
      <c r="N686" s="13">
        <v>46174.629120370373</v>
      </c>
      <c r="O686" s="14" t="str">
        <f>HYPERLINK("https://otsuka-europe-crm.veevavault.com/ui/#object/email_activity__v/V8C00000003K418", "EN-002086468")</f>
        <v>EN-002086468</v>
      </c>
    </row>
    <row r="687" spans="1:15" ht="16" x14ac:dyDescent="0.2">
      <c r="A687" s="17" t="str">
        <f>HYPERLINK("https://otsuka-europe-crm.veevavault.com/ui/#object/account__v/V4TZ025E84JAOLP", "ANA MARIA GARCIA-NOBLEJAS MOYA")</f>
        <v>ANA MARIA GARCIA-NOBLEJAS MOYA</v>
      </c>
      <c r="B687" s="17" t="str">
        <f>HYPERLINK("https://otsuka-europe-crm.veevavault.com/ui/#object/vcountry__v/VENZ000004SONF5", "ES")</f>
        <v>ES</v>
      </c>
      <c r="C687" s="20" t="s">
        <v>41</v>
      </c>
      <c r="D687" s="21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687" s="22" t="str">
        <f>HYPERLINK("https://otsuka-europe-crm.veevavault.com/ui/#object/sent_email__v/VBL00000002O129", "SE-001431201")</f>
        <v>SE-001431201</v>
      </c>
      <c r="F687" s="23">
        <v>46191.961365740739</v>
      </c>
      <c r="G687" s="24">
        <v>1</v>
      </c>
      <c r="H687" s="24">
        <v>1</v>
      </c>
      <c r="I687" s="24">
        <v>0</v>
      </c>
      <c r="J687" s="25"/>
      <c r="K687" s="24">
        <v>0</v>
      </c>
      <c r="L687" s="22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687" s="22" t="str">
        <f>HYPERLINK("mailto:jguri@crm.otsuka-europe.com", "jguri@crm.otsuka-europe.com")</f>
        <v>jguri@crm.otsuka-europe.com</v>
      </c>
      <c r="N687" s="23">
        <v>46174.629120370373</v>
      </c>
      <c r="O687" s="14" t="str">
        <f>HYPERLINK("https://otsuka-europe-crm.veevavault.com/ui/#object/email_activity__v/V8C00000003K444", "EN-002086494")</f>
        <v>EN-002086494</v>
      </c>
    </row>
    <row r="688" spans="1:15" ht="16" x14ac:dyDescent="0.2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4" t="str">
        <f>HYPERLINK("https://otsuka-europe-crm.veevavault.com/ui/#object/email_activity__v/V8C00000003K545", "EN-002086690")</f>
        <v>EN-002086690</v>
      </c>
    </row>
    <row r="689" spans="1:15" ht="16" x14ac:dyDescent="0.2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4" t="str">
        <f>HYPERLINK("https://otsuka-europe-crm.veevavault.com/ui/#object/email_activity__v/V8C000000040001", "EN-002098666")</f>
        <v>EN-002098666</v>
      </c>
    </row>
    <row r="690" spans="1:15" ht="48" x14ac:dyDescent="0.2">
      <c r="A690" s="7" t="str">
        <f>HYPERLINK("https://otsuka-europe-crm.veevavault.com/ui/#object/account__v/V4TZ025E8791BFT", "MARIA MARTINEZ RODRIGUEZ")</f>
        <v>MARIA MARTINEZ RODRIGUEZ</v>
      </c>
      <c r="B690" s="7" t="str">
        <f>HYPERLINK("https://otsuka-europe-crm.veevavault.com/ui/#object/vcountry__v/VENZ000004SONF5", "ES")</f>
        <v>ES</v>
      </c>
      <c r="C690" s="8" t="s">
        <v>41</v>
      </c>
      <c r="D690" s="9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690" s="10" t="str">
        <f>HYPERLINK("https://otsuka-europe-crm.veevavault.com/ui/#object/sent_email__v/VBL00000002O130", "SE-001431202")</f>
        <v>SE-001431202</v>
      </c>
      <c r="F690" s="11"/>
      <c r="G690" s="12">
        <v>0</v>
      </c>
      <c r="H690" s="12">
        <v>0</v>
      </c>
      <c r="I690" s="12">
        <v>0</v>
      </c>
      <c r="J690" s="11"/>
      <c r="K690" s="12">
        <v>0</v>
      </c>
      <c r="L690" s="10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690" s="10" t="str">
        <f>HYPERLINK("mailto:jguri@crm.otsuka-europe.com", "jguri@crm.otsuka-europe.com")</f>
        <v>jguri@crm.otsuka-europe.com</v>
      </c>
      <c r="N690" s="13">
        <v>46174.62909722222</v>
      </c>
      <c r="O690" s="14" t="str">
        <f>HYPERLINK("https://otsuka-europe-crm.veevavault.com/ui/#object/email_activity__v/V8C00000003K433", "EN-002086483")</f>
        <v>EN-002086483</v>
      </c>
    </row>
    <row r="691" spans="1:15" ht="16" x14ac:dyDescent="0.2">
      <c r="A691" s="17" t="str">
        <f>HYPERLINK("https://otsuka-europe-crm.veevavault.com/ui/#object/account__v/V4TZ025E87PPRHK", "PEDRO JOSE PAUL VIDALLER")</f>
        <v>PEDRO JOSE PAUL VIDALLER</v>
      </c>
      <c r="B691" s="17" t="str">
        <f>HYPERLINK("https://otsuka-europe-crm.veevavault.com/ui/#object/vcountry__v/VENZ000004SONF5", "ES")</f>
        <v>ES</v>
      </c>
      <c r="C691" s="20" t="s">
        <v>41</v>
      </c>
      <c r="D691" s="21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691" s="22" t="str">
        <f>HYPERLINK("https://otsuka-europe-crm.veevavault.com/ui/#object/sent_email__v/VBL00000002N238", "SE-001431203")</f>
        <v>SE-001431203</v>
      </c>
      <c r="F691" s="23">
        <v>46174.753784722219</v>
      </c>
      <c r="G691" s="24">
        <v>1</v>
      </c>
      <c r="H691" s="24">
        <v>1</v>
      </c>
      <c r="I691" s="24">
        <v>0</v>
      </c>
      <c r="J691" s="25"/>
      <c r="K691" s="24">
        <v>0</v>
      </c>
      <c r="L691" s="22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691" s="22" t="str">
        <f>HYPERLINK("mailto:gsammali@crm.otsuka-europe.com", "gsammali@crm.otsuka-europe.com")</f>
        <v>gsammali@crm.otsuka-europe.com</v>
      </c>
      <c r="N691" s="23">
        <v>46174.665162037039</v>
      </c>
      <c r="O691" s="14" t="str">
        <f>HYPERLINK("https://otsuka-europe-crm.veevavault.com/ui/#object/email_activity__v/V8C00000003L176", "EN-002086593")</f>
        <v>EN-002086593</v>
      </c>
    </row>
    <row r="692" spans="1:15" ht="16" x14ac:dyDescent="0.2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4" t="str">
        <f>HYPERLINK("https://otsuka-europe-crm.veevavault.com/ui/#object/email_activity__v/V8C00000003L269", "EN-002086753")</f>
        <v>EN-002086753</v>
      </c>
    </row>
    <row r="693" spans="1:15" ht="16" x14ac:dyDescent="0.2">
      <c r="A693" s="17" t="str">
        <f>HYPERLINK("https://otsuka-europe-crm.veevavault.com/ui/#object/account__v/V4TZ025E83OXRGQ", "MARIA TERESA OLAVE RUBIO")</f>
        <v>MARIA TERESA OLAVE RUBIO</v>
      </c>
      <c r="B693" s="17" t="str">
        <f>HYPERLINK("https://otsuka-europe-crm.veevavault.com/ui/#object/vcountry__v/VENZ000004SONF5", "ES")</f>
        <v>ES</v>
      </c>
      <c r="C693" s="20" t="s">
        <v>41</v>
      </c>
      <c r="D693" s="21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693" s="22" t="str">
        <f>HYPERLINK("https://otsuka-europe-crm.veevavault.com/ui/#object/sent_email__v/VBL00000002N239", "SE-001431204")</f>
        <v>SE-001431204</v>
      </c>
      <c r="F693" s="25"/>
      <c r="G693" s="24">
        <v>0</v>
      </c>
      <c r="H693" s="24">
        <v>0</v>
      </c>
      <c r="I693" s="24">
        <v>0</v>
      </c>
      <c r="J693" s="25"/>
      <c r="K693" s="24">
        <v>0</v>
      </c>
      <c r="L693" s="22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693" s="22" t="str">
        <f>HYPERLINK("mailto:gsammali@crm.otsuka-europe.com", "gsammali@crm.otsuka-europe.com")</f>
        <v>gsammali@crm.otsuka-europe.com</v>
      </c>
      <c r="N693" s="23">
        <v>46174.665162037039</v>
      </c>
      <c r="O693" s="14" t="str">
        <f>HYPERLINK("https://otsuka-europe-crm.veevavault.com/ui/#object/email_activity__v/V8C00000003L175", "EN-002086592")</f>
        <v>EN-002086592</v>
      </c>
    </row>
    <row r="694" spans="1:15" ht="16" x14ac:dyDescent="0.2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4" t="str">
        <f>HYPERLINK("https://otsuka-europe-crm.veevavault.com/ui/#object/email_activity__v/V8C00000003L316", "EN-002086830")</f>
        <v>EN-002086830</v>
      </c>
    </row>
    <row r="695" spans="1:15" ht="48" x14ac:dyDescent="0.2">
      <c r="A695" s="7" t="str">
        <f>HYPERLINK("https://otsuka-europe-crm.veevavault.com/ui/#object/account__v/V4TZ06G6O71T992", "MONTSERRAT ARNAN SANGERMAN")</f>
        <v>MONTSERRAT ARNAN SANGERMAN</v>
      </c>
      <c r="B695" s="7" t="str">
        <f>HYPERLINK("https://otsuka-europe-crm.veevavault.com/ui/#object/vcountry__v/VENZ000004SONF5", "ES")</f>
        <v>ES</v>
      </c>
      <c r="C695" s="8" t="s">
        <v>41</v>
      </c>
      <c r="D695" s="9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695" s="10" t="str">
        <f>HYPERLINK("https://otsuka-europe-crm.veevavault.com/ui/#object/sent_email__v/VBL00000002N240", "SE-001431205")</f>
        <v>SE-001431205</v>
      </c>
      <c r="F695" s="11"/>
      <c r="G695" s="12">
        <v>0</v>
      </c>
      <c r="H695" s="12">
        <v>0</v>
      </c>
      <c r="I695" s="12">
        <v>0</v>
      </c>
      <c r="J695" s="11"/>
      <c r="K695" s="12">
        <v>0</v>
      </c>
      <c r="L695" s="10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695" s="10" t="str">
        <f>HYPERLINK("mailto:gsammali@crm.otsuka-europe.com", "gsammali@crm.otsuka-europe.com")</f>
        <v>gsammali@crm.otsuka-europe.com</v>
      </c>
      <c r="N695" s="13">
        <v>46174.665162037039</v>
      </c>
      <c r="O695" s="14" t="str">
        <f>HYPERLINK("https://otsuka-europe-crm.veevavault.com/ui/#object/email_activity__v/V8C00000003K507", "EN-002086600")</f>
        <v>EN-002086600</v>
      </c>
    </row>
    <row r="696" spans="1:15" ht="48" x14ac:dyDescent="0.2">
      <c r="A696" s="7" t="str">
        <f>HYPERLINK("https://otsuka-europe-crm.veevavault.com/ui/#object/account__v/V4T00000001N046", "JAVIER OCTAVIO DIAZ CARBONERO")</f>
        <v>JAVIER OCTAVIO DIAZ CARBONERO</v>
      </c>
      <c r="B696" s="7" t="str">
        <f>HYPERLINK("https://otsuka-europe-crm.veevavault.com/ui/#object/vcountry__v/VENZ000004SONF5", "ES")</f>
        <v>ES</v>
      </c>
      <c r="C696" s="8" t="s">
        <v>41</v>
      </c>
      <c r="D696" s="9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696" s="10" t="str">
        <f>HYPERLINK("https://otsuka-europe-crm.veevavault.com/ui/#object/sent_email__v/VBL00000002N241", "SE-001431206")</f>
        <v>SE-001431206</v>
      </c>
      <c r="F696" s="11"/>
      <c r="G696" s="12">
        <v>0</v>
      </c>
      <c r="H696" s="12">
        <v>0</v>
      </c>
      <c r="I696" s="12">
        <v>0</v>
      </c>
      <c r="J696" s="11"/>
      <c r="K696" s="12">
        <v>0</v>
      </c>
      <c r="L696" s="10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696" s="10" t="str">
        <f>HYPERLINK("mailto:gsammali@crm.otsuka-europe.com", "gsammali@crm.otsuka-europe.com")</f>
        <v>gsammali@crm.otsuka-europe.com</v>
      </c>
      <c r="N696" s="13">
        <v>46174.665162037039</v>
      </c>
      <c r="O696" s="14" t="str">
        <f>HYPERLINK("https://otsuka-europe-crm.veevavault.com/ui/#object/email_activity__v/V8C00000003K502", "EN-002086587")</f>
        <v>EN-002086587</v>
      </c>
    </row>
    <row r="697" spans="1:15" ht="16" x14ac:dyDescent="0.2">
      <c r="A697" s="17" t="str">
        <f>HYPERLINK("https://otsuka-europe-crm.veevavault.com/ui/#object/account__v/V4TZ025E8791SYB", "CLARA AURIA CABALLERO")</f>
        <v>CLARA AURIA CABALLERO</v>
      </c>
      <c r="B697" s="17" t="str">
        <f>HYPERLINK("https://otsuka-europe-crm.veevavault.com/ui/#object/vcountry__v/VENZ000004SONF5", "ES")</f>
        <v>ES</v>
      </c>
      <c r="C697" s="20" t="s">
        <v>41</v>
      </c>
      <c r="D697" s="21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697" s="22" t="str">
        <f>HYPERLINK("https://otsuka-europe-crm.veevavault.com/ui/#object/sent_email__v/VBL00000002N242", "SE-001431207")</f>
        <v>SE-001431207</v>
      </c>
      <c r="F697" s="25"/>
      <c r="G697" s="24">
        <v>0</v>
      </c>
      <c r="H697" s="24">
        <v>0</v>
      </c>
      <c r="I697" s="24">
        <v>0</v>
      </c>
      <c r="J697" s="25"/>
      <c r="K697" s="24">
        <v>0</v>
      </c>
      <c r="L697" s="22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697" s="22" t="str">
        <f>HYPERLINK("mailto:gsammali@crm.otsuka-europe.com", "gsammali@crm.otsuka-europe.com")</f>
        <v>gsammali@crm.otsuka-europe.com</v>
      </c>
      <c r="N697" s="23">
        <v>46174.665162037039</v>
      </c>
      <c r="O697" s="14" t="str">
        <f>HYPERLINK("https://otsuka-europe-crm.veevavault.com/ui/#object/email_activity__v/V8C00000003L182", "EN-002086599")</f>
        <v>EN-002086599</v>
      </c>
    </row>
    <row r="698" spans="1:15" ht="16" x14ac:dyDescent="0.2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4" t="str">
        <f>HYPERLINK("https://otsuka-europe-crm.veevavault.com/ui/#object/email_activity__v/V8C00000003Z463", "EN-002099609")</f>
        <v>EN-002099609</v>
      </c>
    </row>
    <row r="699" spans="1:15" ht="48" x14ac:dyDescent="0.2">
      <c r="A699" s="7" t="str">
        <f>HYPERLINK("https://otsuka-europe-crm.veevavault.com/ui/#object/account__v/V4TZ025E85OJ6CH", "MARTA SITGES ARRIAGA")</f>
        <v>MARTA SITGES ARRIAGA</v>
      </c>
      <c r="B699" s="7" t="str">
        <f>HYPERLINK("https://otsuka-europe-crm.veevavault.com/ui/#object/vcountry__v/VENZ000004SONF5", "ES")</f>
        <v>ES</v>
      </c>
      <c r="C699" s="8" t="s">
        <v>41</v>
      </c>
      <c r="D699" s="9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699" s="10" t="str">
        <f>HYPERLINK("https://otsuka-europe-crm.veevavault.com/ui/#object/sent_email__v/VBL00000002N243", "SE-001431208")</f>
        <v>SE-001431208</v>
      </c>
      <c r="F699" s="11"/>
      <c r="G699" s="12">
        <v>0</v>
      </c>
      <c r="H699" s="12">
        <v>0</v>
      </c>
      <c r="I699" s="12">
        <v>0</v>
      </c>
      <c r="J699" s="11"/>
      <c r="K699" s="12">
        <v>0</v>
      </c>
      <c r="L699" s="10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699" s="10" t="str">
        <f>HYPERLINK("mailto:gsammali@crm.otsuka-europe.com", "gsammali@crm.otsuka-europe.com")</f>
        <v>gsammali@crm.otsuka-europe.com</v>
      </c>
      <c r="N699" s="13">
        <v>46174.665162037039</v>
      </c>
      <c r="O699" s="14" t="str">
        <f>HYPERLINK("https://otsuka-europe-crm.veevavault.com/ui/#object/email_activity__v/V8C00000003K503", "EN-002086588")</f>
        <v>EN-002086588</v>
      </c>
    </row>
    <row r="700" spans="1:15" ht="16" x14ac:dyDescent="0.2">
      <c r="A700" s="17" t="str">
        <f>HYPERLINK("https://otsuka-europe-crm.veevavault.com/ui/#object/account__v/V4TZ06G6O71TCMK", "SUSANA VIVES POLO")</f>
        <v>SUSANA VIVES POLO</v>
      </c>
      <c r="B700" s="17" t="str">
        <f>HYPERLINK("https://otsuka-europe-crm.veevavault.com/ui/#object/vcountry__v/VENZ000004SONF5", "ES")</f>
        <v>ES</v>
      </c>
      <c r="C700" s="20" t="s">
        <v>41</v>
      </c>
      <c r="D700" s="21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700" s="22" t="str">
        <f>HYPERLINK("https://otsuka-europe-crm.veevavault.com/ui/#object/sent_email__v/VBL00000002N244", "SE-001431209")</f>
        <v>SE-001431209</v>
      </c>
      <c r="F700" s="23">
        <v>46174.748784722222</v>
      </c>
      <c r="G700" s="24">
        <v>1</v>
      </c>
      <c r="H700" s="24">
        <v>1</v>
      </c>
      <c r="I700" s="24">
        <v>1</v>
      </c>
      <c r="J700" s="23">
        <v>46174.749189814815</v>
      </c>
      <c r="K700" s="24">
        <v>2</v>
      </c>
      <c r="L700" s="22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700" s="22" t="str">
        <f>HYPERLINK("mailto:gsammali@crm.otsuka-europe.com", "gsammali@crm.otsuka-europe.com")</f>
        <v>gsammali@crm.otsuka-europe.com</v>
      </c>
      <c r="N700" s="23">
        <v>46174.665162037039</v>
      </c>
      <c r="O700" s="14" t="str">
        <f>HYPERLINK("https://otsuka-europe-crm.veevavault.com/ui/#object/email_activity__v/V8C00000003K505", "EN-002086590")</f>
        <v>EN-002086590</v>
      </c>
    </row>
    <row r="701" spans="1:15" ht="16" x14ac:dyDescent="0.2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4" t="str">
        <f>HYPERLINK("https://otsuka-europe-crm.veevavault.com/ui/#object/email_activity__v/V8C00000003K571", "EN-002086745")</f>
        <v>EN-002086745</v>
      </c>
    </row>
    <row r="702" spans="1:15" ht="16" x14ac:dyDescent="0.2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4" t="str">
        <f>HYPERLINK("https://otsuka-europe-crm.veevavault.com/ui/#object/email_activity__v/V8C00000003K572", "EN-002086746")</f>
        <v>EN-002086746</v>
      </c>
    </row>
    <row r="703" spans="1:15" ht="16" x14ac:dyDescent="0.2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4" t="str">
        <f>HYPERLINK("https://otsuka-europe-crm.veevavault.com/ui/#object/email_activity__v/V8C00000003K573", "EN-002086747")</f>
        <v>EN-002086747</v>
      </c>
    </row>
    <row r="704" spans="1:15" ht="48" x14ac:dyDescent="0.2">
      <c r="A704" s="7" t="str">
        <f>HYPERLINK("https://otsuka-europe-crm.veevavault.com/ui/#object/account__v/V4TZ025E8811Q4X", "MARIA TERESA ORDUNA ARNAL")</f>
        <v>MARIA TERESA ORDUNA ARNAL</v>
      </c>
      <c r="B704" s="7" t="str">
        <f>HYPERLINK("https://otsuka-europe-crm.veevavault.com/ui/#object/vcountry__v/VENZ000004SONF5", "ES")</f>
        <v>ES</v>
      </c>
      <c r="C704" s="8" t="s">
        <v>41</v>
      </c>
      <c r="D704" s="9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704" s="10" t="str">
        <f>HYPERLINK("https://otsuka-europe-crm.veevavault.com/ui/#object/sent_email__v/VBL00000002N245", "SE-001431210")</f>
        <v>SE-001431210</v>
      </c>
      <c r="F704" s="11"/>
      <c r="G704" s="12">
        <v>0</v>
      </c>
      <c r="H704" s="12">
        <v>0</v>
      </c>
      <c r="I704" s="12">
        <v>0</v>
      </c>
      <c r="J704" s="11"/>
      <c r="K704" s="12">
        <v>0</v>
      </c>
      <c r="L704" s="10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704" s="10" t="str">
        <f>HYPERLINK("mailto:gsammali@crm.otsuka-europe.com", "gsammali@crm.otsuka-europe.com")</f>
        <v>gsammali@crm.otsuka-europe.com</v>
      </c>
      <c r="N704" s="13">
        <v>46174.665162037039</v>
      </c>
      <c r="O704" s="14" t="str">
        <f>HYPERLINK("https://otsuka-europe-crm.veevavault.com/ui/#object/email_activity__v/V8C00000003L180", "EN-002086597")</f>
        <v>EN-002086597</v>
      </c>
    </row>
    <row r="705" spans="1:15" ht="48" x14ac:dyDescent="0.2">
      <c r="A705" s="7" t="str">
        <f>HYPERLINK("https://otsuka-europe-crm.veevavault.com/ui/#object/account__v/V4TZ025E89301PV", "RUBEN GOMEZ DE ANTONIO")</f>
        <v>RUBEN GOMEZ DE ANTONIO</v>
      </c>
      <c r="B705" s="7" t="str">
        <f>HYPERLINK("https://otsuka-europe-crm.veevavault.com/ui/#object/vcountry__v/VENZ000004SONF5", "ES")</f>
        <v>ES</v>
      </c>
      <c r="C705" s="8" t="s">
        <v>41</v>
      </c>
      <c r="D705" s="9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705" s="10" t="str">
        <f>HYPERLINK("https://otsuka-europe-crm.veevavault.com/ui/#object/sent_email__v/VBL00000002N246", "SE-001431211")</f>
        <v>SE-001431211</v>
      </c>
      <c r="F705" s="11"/>
      <c r="G705" s="12">
        <v>0</v>
      </c>
      <c r="H705" s="12">
        <v>0</v>
      </c>
      <c r="I705" s="12">
        <v>0</v>
      </c>
      <c r="J705" s="11"/>
      <c r="K705" s="12">
        <v>0</v>
      </c>
      <c r="L705" s="10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705" s="10" t="str">
        <f>HYPERLINK("mailto:gsammali@crm.otsuka-europe.com", "gsammali@crm.otsuka-europe.com")</f>
        <v>gsammali@crm.otsuka-europe.com</v>
      </c>
      <c r="N705" s="13">
        <v>46174.665162037039</v>
      </c>
      <c r="O705" s="14" t="str">
        <f>HYPERLINK("https://otsuka-europe-crm.veevavault.com/ui/#object/email_activity__v/V8C00000003L178", "EN-002086595")</f>
        <v>EN-002086595</v>
      </c>
    </row>
    <row r="706" spans="1:15" ht="16" x14ac:dyDescent="0.2">
      <c r="A706" s="17" t="str">
        <f>HYPERLINK("https://otsuka-europe-crm.veevavault.com/ui/#object/account__v/V4TZ025E840J3B3", "ISABEL IZQUIERDO GARCIA")</f>
        <v>ISABEL IZQUIERDO GARCIA</v>
      </c>
      <c r="B706" s="17" t="str">
        <f>HYPERLINK("https://otsuka-europe-crm.veevavault.com/ui/#object/vcountry__v/VENZ000004SONF5", "ES")</f>
        <v>ES</v>
      </c>
      <c r="C706" s="20" t="s">
        <v>41</v>
      </c>
      <c r="D706" s="21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706" s="22" t="str">
        <f>HYPERLINK("https://otsuka-europe-crm.veevavault.com/ui/#object/sent_email__v/VBL00000002N247", "SE-001431212")</f>
        <v>SE-001431212</v>
      </c>
      <c r="F706" s="25"/>
      <c r="G706" s="24">
        <v>0</v>
      </c>
      <c r="H706" s="24">
        <v>0</v>
      </c>
      <c r="I706" s="24">
        <v>0</v>
      </c>
      <c r="J706" s="25"/>
      <c r="K706" s="24">
        <v>0</v>
      </c>
      <c r="L706" s="22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706" s="22" t="str">
        <f>HYPERLINK("mailto:gsammali@crm.otsuka-europe.com", "gsammali@crm.otsuka-europe.com")</f>
        <v>gsammali@crm.otsuka-europe.com</v>
      </c>
      <c r="N706" s="23">
        <v>46174.665162037039</v>
      </c>
      <c r="O706" s="14" t="str">
        <f>HYPERLINK("https://otsuka-europe-crm.veevavault.com/ui/#object/email_activity__v/V8C00000003K526", "EN-002086661")</f>
        <v>EN-002086661</v>
      </c>
    </row>
    <row r="707" spans="1:15" ht="16" x14ac:dyDescent="0.2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4" t="str">
        <f>HYPERLINK("https://otsuka-europe-crm.veevavault.com/ui/#object/email_activity__v/V8C00000003L184", "EN-002086602")</f>
        <v>EN-002086602</v>
      </c>
    </row>
    <row r="708" spans="1:15" ht="16" x14ac:dyDescent="0.2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4" t="str">
        <f>HYPERLINK("https://otsuka-europe-crm.veevavault.com/ui/#object/email_activity__v/V8C00000003U409", "EN-002095679")</f>
        <v>EN-002095679</v>
      </c>
    </row>
    <row r="709" spans="1:15" ht="16" x14ac:dyDescent="0.2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4" t="str">
        <f>HYPERLINK("https://otsuka-europe-crm.veevavault.com/ui/#object/email_activity__v/V8C000000040455", "EN-002099492")</f>
        <v>EN-002099492</v>
      </c>
    </row>
    <row r="710" spans="1:15" ht="16" x14ac:dyDescent="0.2">
      <c r="A710" s="17" t="str">
        <f>HYPERLINK("https://otsuka-europe-crm.veevavault.com/ui/#object/account__v/V4TZ025E84XCRFJ", "GEORGINA GENER RICOS")</f>
        <v>GEORGINA GENER RICOS</v>
      </c>
      <c r="B710" s="17" t="str">
        <f>HYPERLINK("https://otsuka-europe-crm.veevavault.com/ui/#object/vcountry__v/VENZ000004SONF5", "ES")</f>
        <v>ES</v>
      </c>
      <c r="C710" s="20" t="s">
        <v>41</v>
      </c>
      <c r="D710" s="21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710" s="22" t="str">
        <f>HYPERLINK("https://otsuka-europe-crm.veevavault.com/ui/#object/sent_email__v/VBL00000002N248", "SE-001431213")</f>
        <v>SE-001431213</v>
      </c>
      <c r="F710" s="23">
        <v>46177.487638888888</v>
      </c>
      <c r="G710" s="24">
        <v>1</v>
      </c>
      <c r="H710" s="24">
        <v>1</v>
      </c>
      <c r="I710" s="24">
        <v>0</v>
      </c>
      <c r="J710" s="25"/>
      <c r="K710" s="24">
        <v>0</v>
      </c>
      <c r="L710" s="22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710" s="22" t="str">
        <f>HYPERLINK("mailto:gsammali@crm.otsuka-europe.com", "gsammali@crm.otsuka-europe.com")</f>
        <v>gsammali@crm.otsuka-europe.com</v>
      </c>
      <c r="N710" s="23">
        <v>46174.665162037039</v>
      </c>
      <c r="O710" s="14" t="str">
        <f>HYPERLINK("https://otsuka-europe-crm.veevavault.com/ui/#object/email_activity__v/V8C00000003L177", "EN-002086594")</f>
        <v>EN-002086594</v>
      </c>
    </row>
    <row r="711" spans="1:15" ht="16" x14ac:dyDescent="0.2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4" t="str">
        <f>HYPERLINK("https://otsuka-europe-crm.veevavault.com/ui/#object/email_activity__v/V8C00000003M516", "EN-002089054")</f>
        <v>EN-002089054</v>
      </c>
    </row>
    <row r="712" spans="1:15" ht="16" x14ac:dyDescent="0.2">
      <c r="A712" s="17" t="str">
        <f>HYPERLINK("https://otsuka-europe-crm.veevavault.com/ui/#object/account__v/V4TZ06G6O71TALS", "ROSA COLL JORDA")</f>
        <v>ROSA COLL JORDA</v>
      </c>
      <c r="B712" s="17" t="str">
        <f>HYPERLINK("https://otsuka-europe-crm.veevavault.com/ui/#object/vcountry__v/VENZ000004SONF5", "ES")</f>
        <v>ES</v>
      </c>
      <c r="C712" s="20" t="s">
        <v>41</v>
      </c>
      <c r="D712" s="21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712" s="22" t="str">
        <f>HYPERLINK("https://otsuka-europe-crm.veevavault.com/ui/#object/sent_email__v/VBL00000002N249", "SE-001431214")</f>
        <v>SE-001431214</v>
      </c>
      <c r="F712" s="23">
        <v>46174.708587962959</v>
      </c>
      <c r="G712" s="24">
        <v>1</v>
      </c>
      <c r="H712" s="24">
        <v>1</v>
      </c>
      <c r="I712" s="24">
        <v>0</v>
      </c>
      <c r="J712" s="25"/>
      <c r="K712" s="24">
        <v>0</v>
      </c>
      <c r="L712" s="22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712" s="22" t="str">
        <f>HYPERLINK("mailto:gsammali@crm.otsuka-europe.com", "gsammali@crm.otsuka-europe.com")</f>
        <v>gsammali@crm.otsuka-europe.com</v>
      </c>
      <c r="N712" s="23">
        <v>46174.665162037039</v>
      </c>
      <c r="O712" s="14" t="str">
        <f>HYPERLINK("https://otsuka-europe-crm.veevavault.com/ui/#object/email_activity__v/V8C00000003K540", "EN-002086684")</f>
        <v>EN-002086684</v>
      </c>
    </row>
    <row r="713" spans="1:15" ht="16" x14ac:dyDescent="0.2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4" t="str">
        <f>HYPERLINK("https://otsuka-europe-crm.veevavault.com/ui/#object/email_activity__v/V8C00000003L181", "EN-002086598")</f>
        <v>EN-002086598</v>
      </c>
    </row>
    <row r="714" spans="1:15" ht="16" x14ac:dyDescent="0.2">
      <c r="A714" s="17" t="str">
        <f>HYPERLINK("https://otsuka-europe-crm.veevavault.com/ui/#object/account__v/V4TZ025E83OW5QY", "ALBERT ALTES HERNANDEZ")</f>
        <v>ALBERT ALTES HERNANDEZ</v>
      </c>
      <c r="B714" s="17" t="str">
        <f>HYPERLINK("https://otsuka-europe-crm.veevavault.com/ui/#object/vcountry__v/VENZ000004SONF5", "ES")</f>
        <v>ES</v>
      </c>
      <c r="C714" s="20" t="s">
        <v>41</v>
      </c>
      <c r="D714" s="21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714" s="22" t="str">
        <f>HYPERLINK("https://otsuka-europe-crm.veevavault.com/ui/#object/sent_email__v/VBL00000002N250", "SE-001431215")</f>
        <v>SE-001431215</v>
      </c>
      <c r="F714" s="23">
        <v>46174.692557870374</v>
      </c>
      <c r="G714" s="24">
        <v>1</v>
      </c>
      <c r="H714" s="24">
        <v>2</v>
      </c>
      <c r="I714" s="24">
        <v>0</v>
      </c>
      <c r="J714" s="25"/>
      <c r="K714" s="24">
        <v>0</v>
      </c>
      <c r="L714" s="22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714" s="22" t="str">
        <f>HYPERLINK("mailto:gsammali@crm.otsuka-europe.com", "gsammali@crm.otsuka-europe.com")</f>
        <v>gsammali@crm.otsuka-europe.com</v>
      </c>
      <c r="N714" s="23">
        <v>46174.665162037039</v>
      </c>
      <c r="O714" s="14" t="str">
        <f>HYPERLINK("https://otsuka-europe-crm.veevavault.com/ui/#object/email_activity__v/V8C00000003K534", "EN-002086675")</f>
        <v>EN-002086675</v>
      </c>
    </row>
    <row r="715" spans="1:15" ht="16" x14ac:dyDescent="0.2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4" t="str">
        <f>HYPERLINK("https://otsuka-europe-crm.veevavault.com/ui/#object/email_activity__v/V8C00000003L185", "EN-002086603")</f>
        <v>EN-002086603</v>
      </c>
    </row>
    <row r="716" spans="1:15" ht="16" x14ac:dyDescent="0.2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4" t="str">
        <f>HYPERLINK("https://otsuka-europe-crm.veevavault.com/ui/#object/email_activity__v/V8C00000003L230", "EN-002086674")</f>
        <v>EN-002086674</v>
      </c>
    </row>
    <row r="717" spans="1:15" ht="16" x14ac:dyDescent="0.2">
      <c r="A717" s="17" t="str">
        <f>HYPERLINK("https://otsuka-europe-crm.veevavault.com/ui/#object/account__v/V4TZ025E866IMJ0", "DANIEL ESTEBAN CORREDERA")</f>
        <v>DANIEL ESTEBAN CORREDERA</v>
      </c>
      <c r="B717" s="17" t="str">
        <f>HYPERLINK("https://otsuka-europe-crm.veevavault.com/ui/#object/vcountry__v/VENZ000004SONF5", "ES")</f>
        <v>ES</v>
      </c>
      <c r="C717" s="20" t="s">
        <v>41</v>
      </c>
      <c r="D717" s="21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717" s="22" t="str">
        <f>HYPERLINK("https://otsuka-europe-crm.veevavault.com/ui/#object/sent_email__v/VBL00000002N251", "SE-001431216")</f>
        <v>SE-001431216</v>
      </c>
      <c r="F717" s="23">
        <v>46186.670289351852</v>
      </c>
      <c r="G717" s="24">
        <v>1</v>
      </c>
      <c r="H717" s="24">
        <v>4</v>
      </c>
      <c r="I717" s="24">
        <v>0</v>
      </c>
      <c r="J717" s="25"/>
      <c r="K717" s="24">
        <v>0</v>
      </c>
      <c r="L717" s="22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717" s="22" t="str">
        <f>HYPERLINK("mailto:gsammali@crm.otsuka-europe.com", "gsammali@crm.otsuka-europe.com")</f>
        <v>gsammali@crm.otsuka-europe.com</v>
      </c>
      <c r="N717" s="23">
        <v>46174.665162037039</v>
      </c>
      <c r="O717" s="14" t="str">
        <f>HYPERLINK("https://otsuka-europe-crm.veevavault.com/ui/#object/email_activity__v/V8C00000003K504", "EN-002086589")</f>
        <v>EN-002086589</v>
      </c>
    </row>
    <row r="718" spans="1:15" ht="16" x14ac:dyDescent="0.2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4" t="str">
        <f>HYPERLINK("https://otsuka-europe-crm.veevavault.com/ui/#object/email_activity__v/V8C00000003L257", "EN-002086730")</f>
        <v>EN-002086730</v>
      </c>
    </row>
    <row r="719" spans="1:15" ht="16" x14ac:dyDescent="0.2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4" t="str">
        <f>HYPERLINK("https://otsuka-europe-crm.veevavault.com/ui/#object/email_activity__v/V8C00000003L258", "EN-002086731")</f>
        <v>EN-002086731</v>
      </c>
    </row>
    <row r="720" spans="1:15" ht="16" x14ac:dyDescent="0.2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4" t="str">
        <f>HYPERLINK("https://otsuka-europe-crm.veevavault.com/ui/#object/email_activity__v/V8C00000003V437", "EN-002095645")</f>
        <v>EN-002095645</v>
      </c>
    </row>
    <row r="721" spans="1:15" ht="16" x14ac:dyDescent="0.2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4" t="str">
        <f>HYPERLINK("https://otsuka-europe-crm.veevavault.com/ui/#object/email_activity__v/V8C00000003V438", "EN-002095646")</f>
        <v>EN-002095646</v>
      </c>
    </row>
    <row r="722" spans="1:15" ht="16" x14ac:dyDescent="0.2">
      <c r="A722" s="17" t="str">
        <f>HYPERLINK("https://otsuka-europe-crm.veevavault.com/ui/#object/account__v/V4TZ025E87PPOH6", "MARIA MAR MOLES GUERRERO")</f>
        <v>MARIA MAR MOLES GUERRERO</v>
      </c>
      <c r="B722" s="17" t="str">
        <f>HYPERLINK("https://otsuka-europe-crm.veevavault.com/ui/#object/vcountry__v/VENZ000004SONF5", "ES")</f>
        <v>ES</v>
      </c>
      <c r="C722" s="20" t="s">
        <v>41</v>
      </c>
      <c r="D722" s="21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722" s="22" t="str">
        <f>HYPERLINK("https://otsuka-europe-crm.veevavault.com/ui/#object/sent_email__v/VBL00000002N252", "SE-001431217")</f>
        <v>SE-001431217</v>
      </c>
      <c r="F722" s="23">
        <v>46190.692789351851</v>
      </c>
      <c r="G722" s="24">
        <v>1</v>
      </c>
      <c r="H722" s="24">
        <v>5</v>
      </c>
      <c r="I722" s="24">
        <v>1</v>
      </c>
      <c r="J722" s="23">
        <v>46188.743437500001</v>
      </c>
      <c r="K722" s="24">
        <v>2</v>
      </c>
      <c r="L722" s="22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722" s="22" t="str">
        <f>HYPERLINK("mailto:gsammali@crm.otsuka-europe.com", "gsammali@crm.otsuka-europe.com")</f>
        <v>gsammali@crm.otsuka-europe.com</v>
      </c>
      <c r="N722" s="23">
        <v>46174.665162037039</v>
      </c>
      <c r="O722" s="14" t="str">
        <f>HYPERLINK("https://otsuka-europe-crm.veevavault.com/ui/#object/email_activity__v/V8C00000003K506", "EN-002086591")</f>
        <v>EN-002086591</v>
      </c>
    </row>
    <row r="723" spans="1:15" ht="16" x14ac:dyDescent="0.2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4" t="str">
        <f>HYPERLINK("https://otsuka-europe-crm.veevavault.com/ui/#object/email_activity__v/V8C00000003K520", "EN-002086632")</f>
        <v>EN-002086632</v>
      </c>
    </row>
    <row r="724" spans="1:15" ht="16" x14ac:dyDescent="0.2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4" t="str">
        <f>HYPERLINK("https://otsuka-europe-crm.veevavault.com/ui/#object/email_activity__v/V8C00000003K521", "EN-002086631")</f>
        <v>EN-002086631</v>
      </c>
    </row>
    <row r="725" spans="1:15" ht="16" x14ac:dyDescent="0.2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4" t="str">
        <f>HYPERLINK("https://otsuka-europe-crm.veevavault.com/ui/#object/email_activity__v/V8C00000003U801", "EN-002096524")</f>
        <v>EN-002096524</v>
      </c>
    </row>
    <row r="726" spans="1:15" ht="16" x14ac:dyDescent="0.2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4" t="str">
        <f>HYPERLINK("https://otsuka-europe-crm.veevavault.com/ui/#object/email_activity__v/V8C00000003U802", "EN-002096525")</f>
        <v>EN-002096525</v>
      </c>
    </row>
    <row r="727" spans="1:15" ht="16" x14ac:dyDescent="0.2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4" t="str">
        <f>HYPERLINK("https://otsuka-europe-crm.veevavault.com/ui/#object/email_activity__v/V8C00000003U803", "EN-002096526")</f>
        <v>EN-002096526</v>
      </c>
    </row>
    <row r="728" spans="1:15" ht="16" x14ac:dyDescent="0.2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4" t="str">
        <f>HYPERLINK("https://otsuka-europe-crm.veevavault.com/ui/#object/email_activity__v/V8C00000003V910", "EN-002096530")</f>
        <v>EN-002096530</v>
      </c>
    </row>
    <row r="729" spans="1:15" ht="16" x14ac:dyDescent="0.2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4" t="str">
        <f>HYPERLINK("https://otsuka-europe-crm.veevavault.com/ui/#object/email_activity__v/V8C00000003W735", "EN-002098453")</f>
        <v>EN-002098453</v>
      </c>
    </row>
    <row r="730" spans="1:15" ht="16" x14ac:dyDescent="0.2">
      <c r="A730" s="17" t="str">
        <f>HYPERLINK("https://otsuka-europe-crm.veevavault.com/ui/#object/account__v/V4TZ025E878VCXH", "HELENA POMARES MARIN")</f>
        <v>HELENA POMARES MARIN</v>
      </c>
      <c r="B730" s="17" t="str">
        <f>HYPERLINK("https://otsuka-europe-crm.veevavault.com/ui/#object/vcountry__v/VENZ000004SONF5", "ES")</f>
        <v>ES</v>
      </c>
      <c r="C730" s="20" t="s">
        <v>41</v>
      </c>
      <c r="D730" s="21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730" s="22" t="str">
        <f>HYPERLINK("https://otsuka-europe-crm.veevavault.com/ui/#object/sent_email__v/VBL00000002N253", "SE-001431218")</f>
        <v>SE-001431218</v>
      </c>
      <c r="F730" s="23">
        <v>46175.402881944443</v>
      </c>
      <c r="G730" s="24">
        <v>1</v>
      </c>
      <c r="H730" s="24">
        <v>3</v>
      </c>
      <c r="I730" s="24">
        <v>0</v>
      </c>
      <c r="J730" s="25"/>
      <c r="K730" s="24">
        <v>0</v>
      </c>
      <c r="L730" s="22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730" s="22" t="str">
        <f>HYPERLINK("mailto:gsammali@crm.otsuka-europe.com", "gsammali@crm.otsuka-europe.com")</f>
        <v>gsammali@crm.otsuka-europe.com</v>
      </c>
      <c r="N730" s="23">
        <v>46174.665162037039</v>
      </c>
      <c r="O730" s="14" t="str">
        <f>HYPERLINK("https://otsuka-europe-crm.veevavault.com/ui/#object/email_activity__v/V8C00000003L179", "EN-002086596")</f>
        <v>EN-002086596</v>
      </c>
    </row>
    <row r="731" spans="1:15" ht="16" x14ac:dyDescent="0.2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4" t="str">
        <f>HYPERLINK("https://otsuka-europe-crm.veevavault.com/ui/#object/email_activity__v/V8C00000003L228", "EN-002086672")</f>
        <v>EN-002086672</v>
      </c>
    </row>
    <row r="732" spans="1:15" ht="16" x14ac:dyDescent="0.2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4" t="str">
        <f>HYPERLINK("https://otsuka-europe-crm.veevavault.com/ui/#object/email_activity__v/V8C00000003L229", "EN-002086673")</f>
        <v>EN-002086673</v>
      </c>
    </row>
    <row r="733" spans="1:15" ht="16" x14ac:dyDescent="0.2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4" t="str">
        <f>HYPERLINK("https://otsuka-europe-crm.veevavault.com/ui/#object/email_activity__v/V8C00000003L370", "EN-002086919")</f>
        <v>EN-002086919</v>
      </c>
    </row>
    <row r="734" spans="1:15" ht="16" x14ac:dyDescent="0.2">
      <c r="A734" s="17" t="str">
        <f>HYPERLINK("https://otsuka-europe-crm.veevavault.com/ui/#object/account__v/V4TZ025E85RMXYH", "JORDI VILA BOU")</f>
        <v>JORDI VILA BOU</v>
      </c>
      <c r="B734" s="17" t="str">
        <f>HYPERLINK("https://otsuka-europe-crm.veevavault.com/ui/#object/vcountry__v/VENZ000004SONF5", "ES")</f>
        <v>ES</v>
      </c>
      <c r="C734" s="20" t="s">
        <v>41</v>
      </c>
      <c r="D734" s="21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734" s="22" t="str">
        <f>HYPERLINK("https://otsuka-europe-crm.veevavault.com/ui/#object/sent_email__v/VBL00000002N254", "SE-001431219")</f>
        <v>SE-001431219</v>
      </c>
      <c r="F734" s="25"/>
      <c r="G734" s="24">
        <v>0</v>
      </c>
      <c r="H734" s="24">
        <v>0</v>
      </c>
      <c r="I734" s="24">
        <v>0</v>
      </c>
      <c r="J734" s="25"/>
      <c r="K734" s="24">
        <v>0</v>
      </c>
      <c r="L734" s="22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734" s="22" t="str">
        <f>HYPERLINK("mailto:gsammali@crm.otsuka-europe.com", "gsammali@crm.otsuka-europe.com")</f>
        <v>gsammali@crm.otsuka-europe.com</v>
      </c>
      <c r="N734" s="23">
        <v>46174.665162037039</v>
      </c>
      <c r="O734" s="14" t="str">
        <f>HYPERLINK("https://otsuka-europe-crm.veevavault.com/ui/#object/email_activity__v/V8C00000003L183", "EN-002086601")</f>
        <v>EN-002086601</v>
      </c>
    </row>
    <row r="735" spans="1:15" ht="16" x14ac:dyDescent="0.2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4" t="str">
        <f>HYPERLINK("https://otsuka-europe-crm.veevavault.com/ui/#object/email_activity__v/V8C00000003L225", "EN-002086662")</f>
        <v>EN-002086662</v>
      </c>
    </row>
    <row r="736" spans="1:15" ht="16" x14ac:dyDescent="0.2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4" t="str">
        <f>HYPERLINK("https://otsuka-europe-crm.veevavault.com/ui/#object/email_activity__v/V8C00000003L278", "EN-002086763")</f>
        <v>EN-002086763</v>
      </c>
    </row>
    <row r="737" spans="1:15" ht="16" x14ac:dyDescent="0.2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4" t="str">
        <f>HYPERLINK("https://otsuka-europe-crm.veevavault.com/ui/#object/email_activity__v/V8C00000003V479", "EN-002095738")</f>
        <v>EN-002095738</v>
      </c>
    </row>
    <row r="738" spans="1:15" ht="16" x14ac:dyDescent="0.2">
      <c r="A738" s="17" t="str">
        <f>HYPERLINK("https://otsuka-europe-crm.veevavault.com/ui/#object/account__v/V4TZ025E842LQCD", "MIGUEL LUCIANO DIAZ MORFA")</f>
        <v>MIGUEL LUCIANO DIAZ MORFA</v>
      </c>
      <c r="B738" s="17" t="str">
        <f>HYPERLINK("https://otsuka-europe-crm.veevavault.com/ui/#object/vcountry__v/VENZ000004SONF5", "ES")</f>
        <v>ES</v>
      </c>
      <c r="C738" s="20" t="s">
        <v>41</v>
      </c>
      <c r="D738" s="21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738" s="22" t="str">
        <f>HYPERLINK("https://otsuka-europe-crm.veevavault.com/ui/#object/sent_email__v/VBL00000002N255", "SE-001431220")</f>
        <v>SE-001431220</v>
      </c>
      <c r="F738" s="25"/>
      <c r="G738" s="24">
        <v>0</v>
      </c>
      <c r="H738" s="24">
        <v>0</v>
      </c>
      <c r="I738" s="24">
        <v>0</v>
      </c>
      <c r="J738" s="25"/>
      <c r="K738" s="24">
        <v>0</v>
      </c>
      <c r="L738" s="22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738" s="22" t="str">
        <f>HYPERLINK("mailto:gsammali@crm.otsuka-europe.com", "gsammali@crm.otsuka-europe.com")</f>
        <v>gsammali@crm.otsuka-europe.com</v>
      </c>
      <c r="N738" s="23">
        <v>46174.668414351851</v>
      </c>
      <c r="O738" s="14" t="str">
        <f>HYPERLINK("https://otsuka-europe-crm.veevavault.com/ui/#object/email_activity__v/V8C00000003L188", "EN-002086607")</f>
        <v>EN-002086607</v>
      </c>
    </row>
    <row r="739" spans="1:15" ht="16" x14ac:dyDescent="0.2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4" t="str">
        <f>HYPERLINK("https://otsuka-europe-crm.veevavault.com/ui/#object/email_activity__v/V8C00000003M422", "EN-002088867")</f>
        <v>EN-002088867</v>
      </c>
    </row>
    <row r="740" spans="1:15" ht="16" x14ac:dyDescent="0.2">
      <c r="A740" s="17" t="str">
        <f>HYPERLINK("https://otsuka-europe-crm.veevavault.com/ui/#object/account__v/V4TZ025E871CATY", "MARIA CIVEIRA MARIN")</f>
        <v>MARIA CIVEIRA MARIN</v>
      </c>
      <c r="B740" s="17" t="str">
        <f>HYPERLINK("https://otsuka-europe-crm.veevavault.com/ui/#object/vcountry__v/VENZ000004SONF5", "ES")</f>
        <v>ES</v>
      </c>
      <c r="C740" s="20" t="s">
        <v>41</v>
      </c>
      <c r="D740" s="21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740" s="22" t="str">
        <f>HYPERLINK("https://otsuka-europe-crm.veevavault.com/ui/#object/sent_email__v/VBL00000002N256", "SE-001431221")</f>
        <v>SE-001431221</v>
      </c>
      <c r="F740" s="23">
        <v>46188.842569444445</v>
      </c>
      <c r="G740" s="24">
        <v>1</v>
      </c>
      <c r="H740" s="24">
        <v>3</v>
      </c>
      <c r="I740" s="24">
        <v>1</v>
      </c>
      <c r="J740" s="23">
        <v>46174.888842592591</v>
      </c>
      <c r="K740" s="24">
        <v>1</v>
      </c>
      <c r="L740" s="22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740" s="22" t="str">
        <f>HYPERLINK("mailto:gsammali@crm.otsuka-europe.com", "gsammali@crm.otsuka-europe.com")</f>
        <v>gsammali@crm.otsuka-europe.com</v>
      </c>
      <c r="N740" s="23">
        <v>46174.668414351851</v>
      </c>
      <c r="O740" s="14" t="str">
        <f>HYPERLINK("https://otsuka-europe-crm.veevavault.com/ui/#object/email_activity__v/V8C00000003K558", "EN-002086722")</f>
        <v>EN-002086722</v>
      </c>
    </row>
    <row r="741" spans="1:15" ht="16" x14ac:dyDescent="0.2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4" t="str">
        <f>HYPERLINK("https://otsuka-europe-crm.veevavault.com/ui/#object/email_activity__v/V8C00000003L187", "EN-002086606")</f>
        <v>EN-002086606</v>
      </c>
    </row>
    <row r="742" spans="1:15" ht="16" x14ac:dyDescent="0.2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4" t="str">
        <f>HYPERLINK("https://otsuka-europe-crm.veevavault.com/ui/#object/email_activity__v/V8C00000003L300", "EN-002086798")</f>
        <v>EN-002086798</v>
      </c>
    </row>
    <row r="743" spans="1:15" ht="16" x14ac:dyDescent="0.2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4" t="str">
        <f>HYPERLINK("https://otsuka-europe-crm.veevavault.com/ui/#object/email_activity__v/V8C00000003L301", "EN-002086799")</f>
        <v>EN-002086799</v>
      </c>
    </row>
    <row r="744" spans="1:15" ht="16" x14ac:dyDescent="0.2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4" t="str">
        <f>HYPERLINK("https://otsuka-europe-crm.veevavault.com/ui/#object/email_activity__v/V8C00000003W074", "EN-002096790")</f>
        <v>EN-002096790</v>
      </c>
    </row>
    <row r="745" spans="1:15" ht="48" x14ac:dyDescent="0.2">
      <c r="A745" s="7" t="str">
        <f>HYPERLINK("https://otsuka-europe-crm.veevavault.com/ui/#object/account__v/V4T000000013167", "MATILDE INES PERELLA ARNAL")</f>
        <v>MATILDE INES PERELLA ARNAL</v>
      </c>
      <c r="B745" s="7" t="str">
        <f>HYPERLINK("https://otsuka-europe-crm.veevavault.com/ui/#object/vcountry__v/VENZ000004SONF5", "ES")</f>
        <v>ES</v>
      </c>
      <c r="C745" s="8" t="s">
        <v>41</v>
      </c>
      <c r="D745" s="9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745" s="10" t="str">
        <f>HYPERLINK("https://otsuka-europe-crm.veevavault.com/ui/#object/sent_email__v/VBL00000002N257", "SE-001431222")</f>
        <v>SE-001431222</v>
      </c>
      <c r="F745" s="11"/>
      <c r="G745" s="12">
        <v>0</v>
      </c>
      <c r="H745" s="12">
        <v>0</v>
      </c>
      <c r="I745" s="12">
        <v>0</v>
      </c>
      <c r="J745" s="11"/>
      <c r="K745" s="12">
        <v>0</v>
      </c>
      <c r="L745" s="10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745" s="10" t="str">
        <f>HYPERLINK("mailto:gsammali@crm.otsuka-europe.com", "gsammali@crm.otsuka-europe.com")</f>
        <v>gsammali@crm.otsuka-europe.com</v>
      </c>
      <c r="N745" s="13">
        <v>46174.668414351851</v>
      </c>
      <c r="O745" s="14" t="str">
        <f>HYPERLINK("https://otsuka-europe-crm.veevavault.com/ui/#object/email_activity__v/V8C00000003K509", "EN-002086608")</f>
        <v>EN-002086608</v>
      </c>
    </row>
    <row r="746" spans="1:15" ht="16" x14ac:dyDescent="0.2">
      <c r="A746" s="17" t="str">
        <f>HYPERLINK("https://otsuka-europe-crm.veevavault.com/ui/#object/account__v/V4TZ025E83OWVZD", "ANTONIO GARCIA GUIÑON")</f>
        <v>ANTONIO GARCIA GUIÑON</v>
      </c>
      <c r="B746" s="17" t="str">
        <f>HYPERLINK("https://otsuka-europe-crm.veevavault.com/ui/#object/vcountry__v/VENZ000004SONF5", "ES")</f>
        <v>ES</v>
      </c>
      <c r="C746" s="20" t="s">
        <v>41</v>
      </c>
      <c r="D746" s="21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746" s="22" t="str">
        <f>HYPERLINK("https://otsuka-europe-crm.veevavault.com/ui/#object/sent_email__v/VBL00000002N258", "SE-001431223")</f>
        <v>SE-001431223</v>
      </c>
      <c r="F746" s="23">
        <v>46175.426782407405</v>
      </c>
      <c r="G746" s="24">
        <v>1</v>
      </c>
      <c r="H746" s="24">
        <v>2</v>
      </c>
      <c r="I746" s="24">
        <v>0</v>
      </c>
      <c r="J746" s="25"/>
      <c r="K746" s="24">
        <v>0</v>
      </c>
      <c r="L746" s="22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746" s="22" t="str">
        <f>HYPERLINK("mailto:gsammali@crm.otsuka-europe.com", "gsammali@crm.otsuka-europe.com")</f>
        <v>gsammali@crm.otsuka-europe.com</v>
      </c>
      <c r="N746" s="23">
        <v>46174.669629629629</v>
      </c>
      <c r="O746" s="14" t="str">
        <f>HYPERLINK("https://otsuka-europe-crm.veevavault.com/ui/#object/email_activity__v/V8C00000003K512", "EN-002086611")</f>
        <v>EN-002086611</v>
      </c>
    </row>
    <row r="747" spans="1:15" ht="16" x14ac:dyDescent="0.2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4" t="str">
        <f>HYPERLINK("https://otsuka-europe-crm.veevavault.com/ui/#object/email_activity__v/V8C00000003K589", "EN-002086801")</f>
        <v>EN-002086801</v>
      </c>
    </row>
    <row r="748" spans="1:15" ht="16" x14ac:dyDescent="0.2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4" t="str">
        <f>HYPERLINK("https://otsuka-europe-crm.veevavault.com/ui/#object/email_activity__v/V8C00000003K650", "EN-002086938")</f>
        <v>EN-002086938</v>
      </c>
    </row>
    <row r="749" spans="1:15" ht="16" x14ac:dyDescent="0.2">
      <c r="A749" s="17" t="str">
        <f>HYPERLINK("https://otsuka-europe-crm.veevavault.com/ui/#object/account__v/V4T000000021013", "Jennifer Osborne")</f>
        <v>Jennifer Osborne</v>
      </c>
      <c r="B749" s="17" t="str">
        <f>HYPERLINK("https://otsuka-europe-crm.veevavault.com/ui/#object/vcountry__v/VENZ000004SONFK", "GB")</f>
        <v>GB</v>
      </c>
      <c r="C749" s="20" t="s">
        <v>39</v>
      </c>
      <c r="D749" s="21" t="str">
        <f>HYPERLINK("https://otsuka-europe-crm.veevavault.com/ui/#object/approved_document__v/V5OZ06G6O6RH9XL", "UK Veeva Double Opt-In Remote Meetings Email Receipt v4")</f>
        <v>UK Veeva Double Opt-In Remote Meetings Email Receipt v4</v>
      </c>
      <c r="E749" s="22" t="str">
        <f>HYPERLINK("https://otsuka-europe-crm.veevavault.com/ui/#object/sent_email__v/VBL00000002N259", "SE-001431224")</f>
        <v>SE-001431224</v>
      </c>
      <c r="F749" s="23">
        <v>46174.6797337963</v>
      </c>
      <c r="G749" s="24">
        <v>1</v>
      </c>
      <c r="H749" s="24">
        <v>1</v>
      </c>
      <c r="I749" s="24">
        <v>1</v>
      </c>
      <c r="J749" s="23">
        <v>46174.6797337963</v>
      </c>
      <c r="K749" s="24">
        <v>1</v>
      </c>
      <c r="L749" s="22" t="str">
        <f>HYPERLINK("https://otsuka-europe-crm.veevavault.com/ui/#object/approved_document__v/V5OZ06G6O6RH9XL", "UK Veeva Double Opt-In Remote Meetings Email Receipt v4")</f>
        <v>UK Veeva Double Opt-In Remote Meetings Email Receipt v4</v>
      </c>
      <c r="M749" s="22" t="str">
        <f>HYPERLINK("mailto:KWood@crm.otsuka-europe.com", "KWood@crm.otsuka-europe.com")</f>
        <v>KWood@crm.otsuka-europe.com</v>
      </c>
      <c r="N749" s="23">
        <v>46174.677824074075</v>
      </c>
      <c r="O749" s="14" t="str">
        <f>HYPERLINK("https://otsuka-europe-crm.veevavault.com/ui/#object/email_activity__v/V8C00000003L202", "EN-002086634")</f>
        <v>EN-002086634</v>
      </c>
    </row>
    <row r="750" spans="1:15" ht="16" x14ac:dyDescent="0.2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4" t="str">
        <f>HYPERLINK("https://otsuka-europe-crm.veevavault.com/ui/#object/email_activity__v/V8C00000003L208", "EN-002086642")</f>
        <v>EN-002086642</v>
      </c>
    </row>
    <row r="751" spans="1:15" ht="16" x14ac:dyDescent="0.2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4" t="str">
        <f>HYPERLINK("https://otsuka-europe-crm.veevavault.com/ui/#object/email_activity__v/V8C00000003L209", "EN-002086640")</f>
        <v>EN-002086640</v>
      </c>
    </row>
    <row r="752" spans="1:15" ht="16" x14ac:dyDescent="0.2">
      <c r="A752" s="17" t="str">
        <f>HYPERLINK("https://otsuka-europe-crm.veevavault.com/ui/#object/account__v/V4TZ06G6O71TBGT", "SILVIA OLLER CANET")</f>
        <v>SILVIA OLLER CANET</v>
      </c>
      <c r="B752" s="17" t="str">
        <f>HYPERLINK("https://otsuka-europe-crm.veevavault.com/ui/#object/vcountry__v/VENZ000004SONF5", "ES")</f>
        <v>ES</v>
      </c>
      <c r="C752" s="20" t="s">
        <v>41</v>
      </c>
      <c r="D752" s="21" t="str">
        <f>HYPERLINK("https://otsuka-europe-crm.veevavault.com/ui/#object/approved_document__v/V5O00000001I001", "RXULTI - Programa webinar RXPERTS 11 junio")</f>
        <v>RXULTI - Programa webinar RXPERTS 11 junio</v>
      </c>
      <c r="E752" s="22" t="str">
        <f>HYPERLINK("https://otsuka-europe-crm.veevavault.com/ui/#object/sent_email__v/VBL00000002N260", "SE-001431225")</f>
        <v>SE-001431225</v>
      </c>
      <c r="F752" s="23">
        <v>46183.555879629632</v>
      </c>
      <c r="G752" s="24">
        <v>1</v>
      </c>
      <c r="H752" s="24">
        <v>1</v>
      </c>
      <c r="I752" s="24">
        <v>0</v>
      </c>
      <c r="J752" s="25"/>
      <c r="K752" s="24">
        <v>0</v>
      </c>
      <c r="L752" s="22" t="str">
        <f>HYPERLINK("https://otsuka-europe-crm.veevavault.com/ui/#object/approved_document__v/V5O00000001I001", "RXULTI - Programa webinar RXPERTS 11 junio")</f>
        <v>RXULTI - Programa webinar RXPERTS 11 junio</v>
      </c>
      <c r="M752" s="22" t="str">
        <f>HYPERLINK("mailto:iortega@crm.otsuka-europe.com", "iortega@crm.otsuka-europe.com")</f>
        <v>iortega@crm.otsuka-europe.com</v>
      </c>
      <c r="N752" s="23">
        <v>46174.688993055555</v>
      </c>
      <c r="O752" s="14" t="str">
        <f>HYPERLINK("https://otsuka-europe-crm.veevavault.com/ui/#object/email_activity__v/V8C00000003K528", "EN-002086665")</f>
        <v>EN-002086665</v>
      </c>
    </row>
    <row r="753" spans="1:15" ht="16" x14ac:dyDescent="0.2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4" t="str">
        <f>HYPERLINK("https://otsuka-europe-crm.veevavault.com/ui/#object/email_activity__v/V8C00000003T336", "EN-002094245")</f>
        <v>EN-002094245</v>
      </c>
    </row>
    <row r="754" spans="1:15" ht="32" x14ac:dyDescent="0.2">
      <c r="A754" s="7" t="str">
        <f>HYPERLINK("https://otsuka-europe-crm.veevavault.com/ui/#object/account__v/V4TZ06G6O71UQRG", "ANA PEREZ OMS")</f>
        <v>ANA PEREZ OMS</v>
      </c>
      <c r="B754" s="7" t="str">
        <f>HYPERLINK("https://otsuka-europe-crm.veevavault.com/ui/#object/vcountry__v/VENZ000004SONF5", "ES")</f>
        <v>ES</v>
      </c>
      <c r="C754" s="8" t="s">
        <v>41</v>
      </c>
      <c r="D754" s="9" t="str">
        <f>HYPERLINK("https://otsuka-europe-crm.veevavault.com/ui/#object/approved_document__v/V5O00000001I001", "RXULTI - Programa webinar RXPERTS 11 junio")</f>
        <v>RXULTI - Programa webinar RXPERTS 11 junio</v>
      </c>
      <c r="E754" s="10" t="str">
        <f>HYPERLINK("https://otsuka-europe-crm.veevavault.com/ui/#object/sent_email__v/VBL00000002N261", "SE-001431226")</f>
        <v>SE-001431226</v>
      </c>
      <c r="F754" s="11"/>
      <c r="G754" s="12">
        <v>0</v>
      </c>
      <c r="H754" s="12">
        <v>0</v>
      </c>
      <c r="I754" s="12">
        <v>0</v>
      </c>
      <c r="J754" s="11"/>
      <c r="K754" s="12">
        <v>0</v>
      </c>
      <c r="L754" s="10" t="str">
        <f>HYPERLINK("https://otsuka-europe-crm.veevavault.com/ui/#object/approved_document__v/V5O00000001I001", "RXULTI - Programa webinar RXPERTS 11 junio")</f>
        <v>RXULTI - Programa webinar RXPERTS 11 junio</v>
      </c>
      <c r="M754" s="10" t="str">
        <f>HYPERLINK("mailto:iortega@crm.otsuka-europe.com", "iortega@crm.otsuka-europe.com")</f>
        <v>iortega@crm.otsuka-europe.com</v>
      </c>
      <c r="N754" s="13">
        <v>46174.688993055555</v>
      </c>
      <c r="O754" s="14" t="str">
        <f>HYPERLINK("https://otsuka-europe-crm.veevavault.com/ui/#object/email_activity__v/V8C00000003L227", "EN-002086666")</f>
        <v>EN-002086666</v>
      </c>
    </row>
    <row r="755" spans="1:15" ht="16" x14ac:dyDescent="0.2">
      <c r="A755" s="17" t="str">
        <f>HYPERLINK("https://otsuka-europe-crm.veevavault.com/ui/#object/account__v/V4TZ06G6O71T9TJ", "ANNA MARIA DIAZ PEREZ")</f>
        <v>ANNA MARIA DIAZ PEREZ</v>
      </c>
      <c r="B755" s="17" t="str">
        <f>HYPERLINK("https://otsuka-europe-crm.veevavault.com/ui/#object/vcountry__v/VENZ000004SONF5", "ES")</f>
        <v>ES</v>
      </c>
      <c r="C755" s="20" t="s">
        <v>41</v>
      </c>
      <c r="D755" s="21" t="str">
        <f>HYPERLINK("https://otsuka-europe-crm.veevavault.com/ui/#object/approved_document__v/V5O00000001I001", "RXULTI - Programa webinar RXPERTS 11 junio")</f>
        <v>RXULTI - Programa webinar RXPERTS 11 junio</v>
      </c>
      <c r="E755" s="22" t="str">
        <f>HYPERLINK("https://otsuka-europe-crm.veevavault.com/ui/#object/sent_email__v/VBL00000002N262", "SE-001431227")</f>
        <v>SE-001431227</v>
      </c>
      <c r="F755" s="25"/>
      <c r="G755" s="24">
        <v>0</v>
      </c>
      <c r="H755" s="24">
        <v>0</v>
      </c>
      <c r="I755" s="24">
        <v>0</v>
      </c>
      <c r="J755" s="25"/>
      <c r="K755" s="24">
        <v>0</v>
      </c>
      <c r="L755" s="22" t="str">
        <f>HYPERLINK("https://otsuka-europe-crm.veevavault.com/ui/#object/approved_document__v/V5O00000001I001", "RXULTI - Programa webinar RXPERTS 11 junio")</f>
        <v>RXULTI - Programa webinar RXPERTS 11 junio</v>
      </c>
      <c r="M755" s="22" t="str">
        <f>HYPERLINK("mailto:iortega@crm.otsuka-europe.com", "iortega@crm.otsuka-europe.com")</f>
        <v>iortega@crm.otsuka-europe.com</v>
      </c>
      <c r="N755" s="23">
        <v>46174.693807870368</v>
      </c>
      <c r="O755" s="14" t="str">
        <f>HYPERLINK("https://otsuka-europe-crm.veevavault.com/ui/#object/email_activity__v/V8C00000003K535", "EN-002086676")</f>
        <v>EN-002086676</v>
      </c>
    </row>
    <row r="756" spans="1:15" ht="16" x14ac:dyDescent="0.2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4" t="str">
        <f>HYPERLINK("https://otsuka-europe-crm.veevavault.com/ui/#object/email_activity__v/V8C00000003K544", "EN-002086688")</f>
        <v>EN-002086688</v>
      </c>
    </row>
    <row r="757" spans="1:15" ht="16" x14ac:dyDescent="0.2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4" t="str">
        <f>HYPERLINK("https://otsuka-europe-crm.veevavault.com/ui/#object/email_activity__v/V8C00000003N030", "EN-002088071")</f>
        <v>EN-002088071</v>
      </c>
    </row>
    <row r="758" spans="1:15" ht="16" x14ac:dyDescent="0.2">
      <c r="A758" s="17" t="str">
        <f>HYPERLINK("https://otsuka-europe-crm.veevavault.com/ui/#object/account__v/V4TZ06G6O71TBV0", "OSCAR MAURICIO REATIGA NUÑEZ")</f>
        <v>OSCAR MAURICIO REATIGA NUÑEZ</v>
      </c>
      <c r="B758" s="17" t="str">
        <f>HYPERLINK("https://otsuka-europe-crm.veevavault.com/ui/#object/vcountry__v/VENZ000004SONF5", "ES")</f>
        <v>ES</v>
      </c>
      <c r="C758" s="20" t="s">
        <v>41</v>
      </c>
      <c r="D758" s="21" t="str">
        <f>HYPERLINK("https://otsuka-europe-crm.veevavault.com/ui/#object/approved_document__v/V5O00000001I001", "RXULTI - Programa webinar RXPERTS 11 junio")</f>
        <v>RXULTI - Programa webinar RXPERTS 11 junio</v>
      </c>
      <c r="E758" s="22" t="str">
        <f>HYPERLINK("https://otsuka-europe-crm.veevavault.com/ui/#object/sent_email__v/VBL00000002O131", "SE-001431228")</f>
        <v>SE-001431228</v>
      </c>
      <c r="F758" s="23">
        <v>46184.751030092593</v>
      </c>
      <c r="G758" s="24">
        <v>1</v>
      </c>
      <c r="H758" s="24">
        <v>5</v>
      </c>
      <c r="I758" s="24">
        <v>1</v>
      </c>
      <c r="J758" s="23">
        <v>46184.751250000001</v>
      </c>
      <c r="K758" s="24">
        <v>4</v>
      </c>
      <c r="L758" s="22" t="str">
        <f>HYPERLINK("https://otsuka-europe-crm.veevavault.com/ui/#object/approved_document__v/V5O00000001I001", "RXULTI - Programa webinar RXPERTS 11 junio")</f>
        <v>RXULTI - Programa webinar RXPERTS 11 junio</v>
      </c>
      <c r="M758" s="22" t="str">
        <f>HYPERLINK("mailto:jllombart@crm.otsuka-europe.com", "jllombart@crm.otsuka-europe.com")</f>
        <v>jllombart@crm.otsuka-europe.com</v>
      </c>
      <c r="N758" s="23">
        <v>46174.701655092591</v>
      </c>
      <c r="O758" s="14" t="str">
        <f>HYPERLINK("https://otsuka-europe-crm.veevavault.com/ui/#object/email_activity__v/V8C00000003K539", "EN-002086683")</f>
        <v>EN-002086683</v>
      </c>
    </row>
    <row r="759" spans="1:15" ht="16" x14ac:dyDescent="0.2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4" t="str">
        <f>HYPERLINK("https://otsuka-europe-crm.veevavault.com/ui/#object/email_activity__v/V8C00000003K561", "EN-002086725")</f>
        <v>EN-002086725</v>
      </c>
    </row>
    <row r="760" spans="1:15" ht="16" x14ac:dyDescent="0.2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4" t="str">
        <f>HYPERLINK("https://otsuka-europe-crm.veevavault.com/ui/#object/email_activity__v/V8C00000003K588", "EN-002086800")</f>
        <v>EN-002086800</v>
      </c>
    </row>
    <row r="761" spans="1:15" ht="16" x14ac:dyDescent="0.2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4" t="str">
        <f>HYPERLINK("https://otsuka-europe-crm.veevavault.com/ui/#object/email_activity__v/V8C00000003K606", "EN-002086839")</f>
        <v>EN-002086839</v>
      </c>
    </row>
    <row r="762" spans="1:15" ht="16" x14ac:dyDescent="0.2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4" t="str">
        <f>HYPERLINK("https://otsuka-europe-crm.veevavault.com/ui/#object/email_activity__v/V8C00000003N404", "EN-002088640")</f>
        <v>EN-002088640</v>
      </c>
    </row>
    <row r="763" spans="1:15" ht="16" x14ac:dyDescent="0.2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4" t="str">
        <f>HYPERLINK("https://otsuka-europe-crm.veevavault.com/ui/#object/email_activity__v/V8C00000003N405", "EN-002088642")</f>
        <v>EN-002088642</v>
      </c>
    </row>
    <row r="764" spans="1:15" ht="16" x14ac:dyDescent="0.2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4" t="str">
        <f>HYPERLINK("https://otsuka-europe-crm.veevavault.com/ui/#object/email_activity__v/V8C00000003N407", "EN-002088646")</f>
        <v>EN-002088646</v>
      </c>
    </row>
    <row r="765" spans="1:15" ht="16" x14ac:dyDescent="0.2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4" t="str">
        <f>HYPERLINK("https://otsuka-europe-crm.veevavault.com/ui/#object/email_activity__v/V8C00000003N546", "EN-002088880")</f>
        <v>EN-002088880</v>
      </c>
    </row>
    <row r="766" spans="1:15" ht="16" x14ac:dyDescent="0.2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4" t="str">
        <f>HYPERLINK("https://otsuka-europe-crm.veevavault.com/ui/#object/email_activity__v/V8C00000003N547", "EN-002088881")</f>
        <v>EN-002088881</v>
      </c>
    </row>
    <row r="767" spans="1:15" ht="16" x14ac:dyDescent="0.2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4" t="str">
        <f>HYPERLINK("https://otsuka-europe-crm.veevavault.com/ui/#object/email_activity__v/V8C00000003T586", "EN-002094800")</f>
        <v>EN-002094800</v>
      </c>
    </row>
    <row r="768" spans="1:15" ht="16" x14ac:dyDescent="0.2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4" t="str">
        <f>HYPERLINK("https://otsuka-europe-crm.veevavault.com/ui/#object/email_activity__v/V8C00000003T587", "EN-002094801")</f>
        <v>EN-002094801</v>
      </c>
    </row>
    <row r="769" spans="1:15" ht="16" x14ac:dyDescent="0.2">
      <c r="A769" s="17" t="str">
        <f>HYPERLINK("https://otsuka-europe-crm.veevavault.com/ui/#object/account__v/V4TZ025E83S7D6L", "Theodoros Mavrogiannidis")</f>
        <v>Theodoros Mavrogiannidis</v>
      </c>
      <c r="B769" s="17" t="str">
        <f>HYPERLINK("https://otsuka-europe-crm.veevavault.com/ui/#object/vcountry__v/VENZ000004SONFK", "GB")</f>
        <v>GB</v>
      </c>
      <c r="C769" s="20" t="s">
        <v>39</v>
      </c>
      <c r="D769" s="21" t="str">
        <f>HYPERLINK("https://otsuka-europe-crm.veevavault.com/ui/#object/approved_document__v/V5O00000001H005", "LDM DR P2P Invite 23-Jun-26 [digital]")</f>
        <v>LDM DR P2P Invite 23-Jun-26 [digital]</v>
      </c>
      <c r="E769" s="22" t="str">
        <f>HYPERLINK("https://otsuka-europe-crm.veevavault.com/ui/#object/sent_email__v/VBL00000002N263", "SE-001431229")</f>
        <v>SE-001431229</v>
      </c>
      <c r="F769" s="23">
        <v>46182.647511574076</v>
      </c>
      <c r="G769" s="24">
        <v>1</v>
      </c>
      <c r="H769" s="24">
        <v>1</v>
      </c>
      <c r="I769" s="24">
        <v>0</v>
      </c>
      <c r="J769" s="25"/>
      <c r="K769" s="24">
        <v>0</v>
      </c>
      <c r="L769" s="22" t="str">
        <f>HYPERLINK("https://otsuka-europe-crm.veevavault.com/ui/#object/approved_document__v/V5O00000001H005", "LDM DR P2P Invite 23-Jun-26 [digital]")</f>
        <v>LDM DR P2P Invite 23-Jun-26 [digital]</v>
      </c>
      <c r="M769" s="22" t="str">
        <f>HYPERLINK("mailto:draval@crm.otsuka-europe.com", "draval@crm.otsuka-europe.com")</f>
        <v>draval@crm.otsuka-europe.com</v>
      </c>
      <c r="N769" s="23">
        <v>46174.71974537037</v>
      </c>
      <c r="O769" s="14" t="str">
        <f>HYPERLINK("https://otsuka-europe-crm.veevavault.com/ui/#object/email_activity__v/V8C00000003K557", "EN-002086719")</f>
        <v>EN-002086719</v>
      </c>
    </row>
    <row r="770" spans="1:15" ht="16" x14ac:dyDescent="0.2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4" t="str">
        <f>HYPERLINK("https://otsuka-europe-crm.veevavault.com/ui/#object/email_activity__v/V8C00000003S167", "EN-002093208")</f>
        <v>EN-002093208</v>
      </c>
    </row>
    <row r="771" spans="1:15" ht="16" x14ac:dyDescent="0.2">
      <c r="A771" s="17" t="str">
        <f>HYPERLINK("https://otsuka-europe-crm.veevavault.com/ui/#object/account__v/V4TZ025E83S7D6L", "Theodoros Mavrogiannidis")</f>
        <v>Theodoros Mavrogiannidis</v>
      </c>
      <c r="B771" s="17" t="str">
        <f>HYPERLINK("https://otsuka-europe-crm.veevavault.com/ui/#object/vcountry__v/VENZ000004SONFK", "GB")</f>
        <v>GB</v>
      </c>
      <c r="C771" s="20" t="s">
        <v>39</v>
      </c>
      <c r="D771" s="21" t="str">
        <f>HYPERLINK("https://otsuka-europe-crm.veevavault.com/ui/#object/approved_document__v/V5O00000001H007", "DR P2P Invite 18-Jun-26 [digital]")</f>
        <v>DR P2P Invite 18-Jun-26 [digital]</v>
      </c>
      <c r="E771" s="22" t="str">
        <f>HYPERLINK("https://otsuka-europe-crm.veevavault.com/ui/#object/sent_email__v/VBL00000002O132", "SE-001431230")</f>
        <v>SE-001431230</v>
      </c>
      <c r="F771" s="23">
        <v>46182.647488425922</v>
      </c>
      <c r="G771" s="24">
        <v>1</v>
      </c>
      <c r="H771" s="24">
        <v>2</v>
      </c>
      <c r="I771" s="24">
        <v>0</v>
      </c>
      <c r="J771" s="25"/>
      <c r="K771" s="24">
        <v>0</v>
      </c>
      <c r="L771" s="22" t="str">
        <f>HYPERLINK("https://otsuka-europe-crm.veevavault.com/ui/#object/approved_document__v/V5O00000001H007", "DR P2P Invite 18-Jun-26 [digital]")</f>
        <v>DR P2P Invite 18-Jun-26 [digital]</v>
      </c>
      <c r="M771" s="22" t="str">
        <f>HYPERLINK("mailto:draval@crm.otsuka-europe.com", "draval@crm.otsuka-europe.com")</f>
        <v>draval@crm.otsuka-europe.com</v>
      </c>
      <c r="N771" s="23">
        <v>46174.71979166667</v>
      </c>
      <c r="O771" s="14" t="str">
        <f>HYPERLINK("https://otsuka-europe-crm.veevavault.com/ui/#object/email_activity__v/V8C00000003K562", "EN-002086726")</f>
        <v>EN-002086726</v>
      </c>
    </row>
    <row r="772" spans="1:15" ht="16" x14ac:dyDescent="0.2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4" t="str">
        <f>HYPERLINK("https://otsuka-europe-crm.veevavault.com/ui/#object/email_activity__v/V8C00000003L252", "EN-002086720")</f>
        <v>EN-002086720</v>
      </c>
    </row>
    <row r="773" spans="1:15" ht="16" x14ac:dyDescent="0.2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4" t="str">
        <f>HYPERLINK("https://otsuka-europe-crm.veevavault.com/ui/#object/email_activity__v/V8C00000003S169", "EN-002093210")</f>
        <v>EN-002093210</v>
      </c>
    </row>
    <row r="774" spans="1:15" ht="16" x14ac:dyDescent="0.2">
      <c r="A774" s="17" t="str">
        <f>HYPERLINK("https://otsuka-europe-crm.veevavault.com/ui/#object/account__v/V4T00000001Y002", "Patricia Jacob")</f>
        <v>Patricia Jacob</v>
      </c>
      <c r="B774" s="17" t="str">
        <f>HYPERLINK("https://otsuka-europe-crm.veevavault.com/ui/#object/vcountry__v/VENZ000004SONFK", "GB")</f>
        <v>GB</v>
      </c>
      <c r="C774" s="20" t="s">
        <v>39</v>
      </c>
      <c r="D774" s="21" t="str">
        <f>HYPERLINK("https://otsuka-europe-crm.veevavault.com/ui/#object/approved_document__v/V5O00000001H005", "LDM DR P2P Invite 23-Jun-26 [digital]")</f>
        <v>LDM DR P2P Invite 23-Jun-26 [digital]</v>
      </c>
      <c r="E774" s="22" t="str">
        <f>HYPERLINK("https://otsuka-europe-crm.veevavault.com/ui/#object/sent_email__v/VBL00000002O133", "SE-001431231")</f>
        <v>SE-001431231</v>
      </c>
      <c r="F774" s="23">
        <v>46174.944293981483</v>
      </c>
      <c r="G774" s="24">
        <v>1</v>
      </c>
      <c r="H774" s="24">
        <v>3</v>
      </c>
      <c r="I774" s="24">
        <v>0</v>
      </c>
      <c r="J774" s="25"/>
      <c r="K774" s="24">
        <v>0</v>
      </c>
      <c r="L774" s="22" t="str">
        <f>HYPERLINK("https://otsuka-europe-crm.veevavault.com/ui/#object/approved_document__v/V5O00000001H005", "LDM DR P2P Invite 23-Jun-26 [digital]")</f>
        <v>LDM DR P2P Invite 23-Jun-26 [digital]</v>
      </c>
      <c r="M774" s="22" t="str">
        <f>HYPERLINK("mailto:draval@crm.otsuka-europe.com", "draval@crm.otsuka-europe.com")</f>
        <v>draval@crm.otsuka-europe.com</v>
      </c>
      <c r="N774" s="23">
        <v>46174.72042824074</v>
      </c>
      <c r="O774" s="14" t="str">
        <f>HYPERLINK("https://otsuka-europe-crm.veevavault.com/ui/#object/email_activity__v/V8C00000003K559", "EN-002086723")</f>
        <v>EN-002086723</v>
      </c>
    </row>
    <row r="775" spans="1:15" ht="16" x14ac:dyDescent="0.2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4" t="str">
        <f>HYPERLINK("https://otsuka-europe-crm.veevavault.com/ui/#object/email_activity__v/V8C00000003K601", "EN-002086823")</f>
        <v>EN-002086823</v>
      </c>
    </row>
    <row r="776" spans="1:15" ht="16" x14ac:dyDescent="0.2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4" t="str">
        <f>HYPERLINK("https://otsuka-europe-crm.veevavault.com/ui/#object/email_activity__v/V8C00000003L253", "EN-002086721")</f>
        <v>EN-002086721</v>
      </c>
    </row>
    <row r="777" spans="1:15" ht="16" x14ac:dyDescent="0.2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4" t="str">
        <f>HYPERLINK("https://otsuka-europe-crm.veevavault.com/ui/#object/email_activity__v/V8C00000003L311", "EN-002086822")</f>
        <v>EN-002086822</v>
      </c>
    </row>
    <row r="778" spans="1:15" ht="16" x14ac:dyDescent="0.2">
      <c r="A778" s="17" t="str">
        <f>HYPERLINK("https://otsuka-europe-crm.veevavault.com/ui/#object/account__v/V4TZ00000633IKB", "EDOUARD HENRI GRADT")</f>
        <v>EDOUARD HENRI GRADT</v>
      </c>
      <c r="B778" s="17" t="str">
        <f>HYPERLINK("https://otsuka-europe-crm.veevavault.com/ui/#object/vcountry__v/VENZ000004SONFA", "FR")</f>
        <v>FR</v>
      </c>
      <c r="C778" s="20" t="s">
        <v>42</v>
      </c>
      <c r="D778" s="21" t="str">
        <f>HYPERLINK("https://otsuka-europe-crm.veevavault.com/ui/#object/approved_document__v/V5OZ04ASG4G02Y6", "INVITATION_VAD_2023")</f>
        <v>INVITATION_VAD_2023</v>
      </c>
      <c r="E778" s="22" t="str">
        <f>HYPERLINK("https://otsuka-europe-crm.veevavault.com/ui/#object/sent_email__v/VBL00000002N264", "SE-001431232")</f>
        <v>SE-001431232</v>
      </c>
      <c r="F778" s="23">
        <v>46175.430509259262</v>
      </c>
      <c r="G778" s="24">
        <v>1</v>
      </c>
      <c r="H778" s="24">
        <v>3</v>
      </c>
      <c r="I778" s="24">
        <v>0</v>
      </c>
      <c r="J778" s="25"/>
      <c r="K778" s="24">
        <v>0</v>
      </c>
      <c r="L778" s="22" t="str">
        <f>HYPERLINK("https://otsuka-europe-crm.veevavault.com/ui/#object/approved_document__v/V5OZ04ASG4G02Y6", "INVITATION_VAD_2023")</f>
        <v>INVITATION_VAD_2023</v>
      </c>
      <c r="M778" s="22" t="str">
        <f>HYPERLINK("mailto:cchevalliermiserole@crm.otsuka-europe.com", "cchevalliermiserole@crm.otsuka-europe.com")</f>
        <v>cchevalliermiserole@crm.otsuka-europe.com</v>
      </c>
      <c r="N778" s="23">
        <v>46174.770381944443</v>
      </c>
      <c r="O778" s="14" t="str">
        <f>HYPERLINK("https://otsuka-europe-crm.veevavault.com/ui/#object/email_activity__v/V8C00000003K624", "EN-002086863")</f>
        <v>EN-002086863</v>
      </c>
    </row>
    <row r="779" spans="1:15" ht="16" x14ac:dyDescent="0.2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4" t="str">
        <f>HYPERLINK("https://otsuka-europe-crm.veevavault.com/ui/#object/email_activity__v/V8C00000003K653", "EN-002086942")</f>
        <v>EN-002086942</v>
      </c>
    </row>
    <row r="780" spans="1:15" ht="16" x14ac:dyDescent="0.2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4" t="str">
        <f>HYPERLINK("https://otsuka-europe-crm.veevavault.com/ui/#object/email_activity__v/V8C00000003L281", "EN-002086768")</f>
        <v>EN-002086768</v>
      </c>
    </row>
    <row r="781" spans="1:15" ht="16" x14ac:dyDescent="0.2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4" t="str">
        <f>HYPERLINK("https://otsuka-europe-crm.veevavault.com/ui/#object/email_activity__v/V8C00000003L378", "EN-002086941")</f>
        <v>EN-002086941</v>
      </c>
    </row>
    <row r="782" spans="1:15" ht="48" x14ac:dyDescent="0.2">
      <c r="A782" s="7" t="str">
        <f>HYPERLINK("https://otsuka-europe-crm.veevavault.com/ui/#object/account__v/V4T00000001F016", "Nicolas Trathnigg")</f>
        <v>Nicolas Trathnigg</v>
      </c>
      <c r="B782" s="7" t="str">
        <f>HYPERLINK("https://otsuka-europe-crm.veevavault.com/ui/#object/vcountry__v/VENZ000004SONFD", "AT")</f>
        <v>AT</v>
      </c>
      <c r="C782" s="8" t="s">
        <v>40</v>
      </c>
      <c r="D782" s="9" t="str">
        <f>HYPERLINK("https://otsuka-europe-crm.veevavault.com/ui/#object/approved_document__v/V5OZ025E82N38GO", "INAQOVI VAE AT - E-REP_Kitteltaschenkarte 04.25")</f>
        <v>INAQOVI VAE AT - E-REP_Kitteltaschenkarte 04.25</v>
      </c>
      <c r="E782" s="10" t="str">
        <f>HYPERLINK("https://otsuka-europe-crm.veevavault.com/ui/#object/sent_email__v/VBL00000002O134", "SE-001431233")</f>
        <v>SE-001431233</v>
      </c>
      <c r="F782" s="11"/>
      <c r="G782" s="12">
        <v>0</v>
      </c>
      <c r="H782" s="12">
        <v>0</v>
      </c>
      <c r="I782" s="12">
        <v>0</v>
      </c>
      <c r="J782" s="11"/>
      <c r="K782" s="12">
        <v>0</v>
      </c>
      <c r="L782" s="10" t="str">
        <f>HYPERLINK("https://otsuka-europe-crm.veevavault.com/ui/#object/approved_document__v/V5OZ025E82N38GO", "INAQOVI VAE AT - E-REP_Kitteltaschenkarte 04.25")</f>
        <v>INAQOVI VAE AT - E-REP_Kitteltaschenkarte 04.25</v>
      </c>
      <c r="M782" s="10" t="str">
        <f>HYPERLINK("mailto:nlerchner@crm.otsuka-europe.com", "nlerchner@crm.otsuka-europe.com")</f>
        <v>nlerchner@crm.otsuka-europe.com</v>
      </c>
      <c r="N782" s="13">
        <v>46178.00880787037</v>
      </c>
      <c r="O782" s="14" t="str">
        <f>HYPERLINK("https://otsuka-europe-crm.veevavault.com/ui/#object/email_activity__v/V8C00000003P003", "EN-002089251")</f>
        <v>EN-002089251</v>
      </c>
    </row>
    <row r="783" spans="1:15" ht="16" x14ac:dyDescent="0.2">
      <c r="A783" s="17" t="str">
        <f>HYPERLINK("https://otsuka-europe-crm.veevavault.com/ui/#object/account__v/V4T000000021018", "AROA RODRIGUEZ RODRIGUEZ")</f>
        <v>AROA RODRIGUEZ RODRIGUEZ</v>
      </c>
      <c r="B783" s="17" t="str">
        <f>HYPERLINK("https://otsuka-europe-crm.veevavault.com/ui/#object/vcountry__v/VENZ000004SONF5", "ES")</f>
        <v>ES</v>
      </c>
      <c r="C783" s="20" t="s">
        <v>41</v>
      </c>
      <c r="D783" s="21" t="str">
        <f>HYPERLINK("https://otsuka-europe-crm.veevavault.com/ui/#object/approved_document__v/V5OZ04ASG4FWKA7", "Reuniones Online Consent - 2")</f>
        <v>Reuniones Online Consent - 2</v>
      </c>
      <c r="E783" s="22" t="str">
        <f>HYPERLINK("https://otsuka-europe-crm.veevavault.com/ui/#object/sent_email__v/VBL00000002O135", "SE-001431234")</f>
        <v>SE-001431234</v>
      </c>
      <c r="F783" s="23">
        <v>46175.364236111112</v>
      </c>
      <c r="G783" s="24">
        <v>1</v>
      </c>
      <c r="H783" s="24">
        <v>2</v>
      </c>
      <c r="I783" s="24">
        <v>1</v>
      </c>
      <c r="J783" s="23">
        <v>46175.364270833335</v>
      </c>
      <c r="K783" s="24">
        <v>2</v>
      </c>
      <c r="L783" s="22" t="str">
        <f>HYPERLINK("https://otsuka-europe-crm.veevavault.com/ui/#object/approved_document__v/V5OZ04ASG4FWKA7", "Reuniones Online Consent - 2")</f>
        <v>Reuniones Online Consent - 2</v>
      </c>
      <c r="M783" s="22" t="str">
        <f>HYPERLINK("mailto:mgravan@crm.otsuka-europe.com", "mgravan@crm.otsuka-europe.com")</f>
        <v>mgravan@crm.otsuka-europe.com</v>
      </c>
      <c r="N783" s="23">
        <v>46175.299259259256</v>
      </c>
      <c r="O783" s="14" t="str">
        <f>HYPERLINK("https://otsuka-europe-crm.veevavault.com/ui/#object/email_activity__v/V8C00000003K614", "EN-002086851")</f>
        <v>EN-002086851</v>
      </c>
    </row>
    <row r="784" spans="1:15" ht="16" x14ac:dyDescent="0.2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4" t="str">
        <f>HYPERLINK("https://otsuka-europe-crm.veevavault.com/ui/#object/email_activity__v/V8C00000003K633", "EN-002086897")</f>
        <v>EN-002086897</v>
      </c>
    </row>
    <row r="785" spans="1:15" ht="16" x14ac:dyDescent="0.2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4" t="str">
        <f>HYPERLINK("https://otsuka-europe-crm.veevavault.com/ui/#object/email_activity__v/V8C00000003L353", "EN-002086895")</f>
        <v>EN-002086895</v>
      </c>
    </row>
    <row r="786" spans="1:15" ht="16" x14ac:dyDescent="0.2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4" t="str">
        <f>HYPERLINK("https://otsuka-europe-crm.veevavault.com/ui/#object/email_activity__v/V8C00000003L359", "EN-002086903")</f>
        <v>EN-002086903</v>
      </c>
    </row>
    <row r="787" spans="1:15" ht="16" x14ac:dyDescent="0.2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4" t="str">
        <f>HYPERLINK("https://otsuka-europe-crm.veevavault.com/ui/#object/email_activity__v/V8C00000003L360", "EN-002086904")</f>
        <v>EN-002086904</v>
      </c>
    </row>
    <row r="788" spans="1:15" ht="16" x14ac:dyDescent="0.2">
      <c r="A788" s="17" t="str">
        <f>HYPERLINK("https://otsuka-europe-crm.veevavault.com/ui/#object/account__v/V4T000000021018", "AROA RODRIGUEZ RODRIGUEZ")</f>
        <v>AROA RODRIGUEZ RODRIGUEZ</v>
      </c>
      <c r="B788" s="17" t="str">
        <f>HYPERLINK("https://otsuka-europe-crm.veevavault.com/ui/#object/vcountry__v/VENZ000004SONF5", "ES")</f>
        <v>ES</v>
      </c>
      <c r="C788" s="20" t="s">
        <v>41</v>
      </c>
      <c r="D788" s="21" t="str">
        <f>HYPERLINK("https://otsuka-europe-crm.veevavault.com/ui/#object/approved_document__v/V5O00000000D100", "Spain - Consent Email 1 Aug 25")</f>
        <v>Spain - Consent Email 1 Aug 25</v>
      </c>
      <c r="E788" s="22" t="str">
        <f>HYPERLINK("https://otsuka-europe-crm.veevavault.com/ui/#object/sent_email__v/VBL00000002O136", "SE-001431235")</f>
        <v>SE-001431235</v>
      </c>
      <c r="F788" s="23">
        <v>46175.365555555552</v>
      </c>
      <c r="G788" s="24">
        <v>1</v>
      </c>
      <c r="H788" s="24">
        <v>2</v>
      </c>
      <c r="I788" s="24">
        <v>1</v>
      </c>
      <c r="J788" s="23">
        <v>46175.36509259259</v>
      </c>
      <c r="K788" s="24">
        <v>1</v>
      </c>
      <c r="L788" s="22" t="str">
        <f>HYPERLINK("https://otsuka-europe-crm.veevavault.com/ui/#object/approved_document__v/V5O00000000D100", "Spain - Consent Email 1 Aug 25")</f>
        <v>Spain - Consent Email 1 Aug 25</v>
      </c>
      <c r="M788" s="22" t="str">
        <f>HYPERLINK("mailto:mgravan@crm.otsuka-europe.com", "mgravan@crm.otsuka-europe.com")</f>
        <v>mgravan@crm.otsuka-europe.com</v>
      </c>
      <c r="N788" s="23">
        <v>46175.299259259256</v>
      </c>
      <c r="O788" s="14" t="str">
        <f>HYPERLINK("https://otsuka-europe-crm.veevavault.com/ui/#object/email_activity__v/V8C00000003K615", "EN-002086852")</f>
        <v>EN-002086852</v>
      </c>
    </row>
    <row r="789" spans="1:15" ht="16" x14ac:dyDescent="0.2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4" t="str">
        <f>HYPERLINK("https://otsuka-europe-crm.veevavault.com/ui/#object/email_activity__v/V8C00000003L361", "EN-002086906")</f>
        <v>EN-002086906</v>
      </c>
    </row>
    <row r="790" spans="1:15" ht="16" x14ac:dyDescent="0.2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4" t="str">
        <f>HYPERLINK("https://otsuka-europe-crm.veevavault.com/ui/#object/email_activity__v/V8C00000003L362", "EN-002086905")</f>
        <v>EN-002086905</v>
      </c>
    </row>
    <row r="791" spans="1:15" ht="16" x14ac:dyDescent="0.2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4" t="str">
        <f>HYPERLINK("https://otsuka-europe-crm.veevavault.com/ui/#object/email_activity__v/V8C00000003L363", "EN-002086907")</f>
        <v>EN-002086907</v>
      </c>
    </row>
    <row r="792" spans="1:15" ht="16" x14ac:dyDescent="0.2">
      <c r="A792" s="17" t="str">
        <f>HYPERLINK("https://otsuka-europe-crm.veevavault.com/ui/#object/account__v/V4T000000021018", "AROA RODRIGUEZ RODRIGUEZ")</f>
        <v>AROA RODRIGUEZ RODRIGUEZ</v>
      </c>
      <c r="B792" s="17" t="str">
        <f>HYPERLINK("https://otsuka-europe-crm.veevavault.com/ui/#object/vcountry__v/VENZ000004SONF5", "ES")</f>
        <v>ES</v>
      </c>
      <c r="C792" s="20" t="s">
        <v>41</v>
      </c>
      <c r="D792" s="21" t="str">
        <f>HYPERLINK("https://otsuka-europe-crm.veevavault.com/ui/#object/approved_document__v/V5OZ06G6O6RFL1P", "ES Veeva Privacy Notice Email")</f>
        <v>ES Veeva Privacy Notice Email</v>
      </c>
      <c r="E792" s="22" t="str">
        <f>HYPERLINK("https://otsuka-europe-crm.veevavault.com/ui/#object/sent_email__v/VBL00000002O137", "SE-001431236")</f>
        <v>SE-001431236</v>
      </c>
      <c r="F792" s="23">
        <v>46175.365636574075</v>
      </c>
      <c r="G792" s="24">
        <v>1</v>
      </c>
      <c r="H792" s="24">
        <v>2</v>
      </c>
      <c r="I792" s="24">
        <v>1</v>
      </c>
      <c r="J792" s="23">
        <v>46175.365752314814</v>
      </c>
      <c r="K792" s="24">
        <v>1</v>
      </c>
      <c r="L792" s="22" t="str">
        <f>HYPERLINK("https://otsuka-europe-crm.veevavault.com/ui/#object/approved_document__v/V5OZ06G6O6RFL1P", "ES Veeva Privacy Notice Email")</f>
        <v>ES Veeva Privacy Notice Email</v>
      </c>
      <c r="M792" s="22" t="str">
        <f>HYPERLINK("mailto:mgravan@crm.otsuka-europe.com", "mgravan@crm.otsuka-europe.com")</f>
        <v>mgravan@crm.otsuka-europe.com</v>
      </c>
      <c r="N792" s="23">
        <v>46175.299293981479</v>
      </c>
      <c r="O792" s="14" t="str">
        <f>HYPERLINK("https://otsuka-europe-crm.veevavault.com/ui/#object/email_activity__v/V8C00000003K616", "EN-002086853")</f>
        <v>EN-002086853</v>
      </c>
    </row>
    <row r="793" spans="1:15" ht="16" x14ac:dyDescent="0.2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4" t="str">
        <f>HYPERLINK("https://otsuka-europe-crm.veevavault.com/ui/#object/email_activity__v/V8C00000003L357", "EN-002086901")</f>
        <v>EN-002086901</v>
      </c>
    </row>
    <row r="794" spans="1:15" ht="16" x14ac:dyDescent="0.2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4" t="str">
        <f>HYPERLINK("https://otsuka-europe-crm.veevavault.com/ui/#object/email_activity__v/V8C00000003L364", "EN-002086908")</f>
        <v>EN-002086908</v>
      </c>
    </row>
    <row r="795" spans="1:15" ht="16" x14ac:dyDescent="0.2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4" t="str">
        <f>HYPERLINK("https://otsuka-europe-crm.veevavault.com/ui/#object/email_activity__v/V8C00000003L365", "EN-002086909")</f>
        <v>EN-002086909</v>
      </c>
    </row>
    <row r="796" spans="1:15" ht="16" x14ac:dyDescent="0.2">
      <c r="A796" s="17" t="str">
        <f>HYPERLINK("https://otsuka-europe-crm.veevavault.com/ui/#object/account__v/V4T000000021019", "MIRIAM TERRERO FERNANDEZ")</f>
        <v>MIRIAM TERRERO FERNANDEZ</v>
      </c>
      <c r="B796" s="17" t="str">
        <f>HYPERLINK("https://otsuka-europe-crm.veevavault.com/ui/#object/vcountry__v/VENZ000004SONF5", "ES")</f>
        <v>ES</v>
      </c>
      <c r="C796" s="20" t="s">
        <v>41</v>
      </c>
      <c r="D796" s="21" t="str">
        <f>HYPERLINK("https://otsuka-europe-crm.veevavault.com/ui/#object/approved_document__v/V5OZ06G6O6RFL1P", "ES Veeva Privacy Notice Email")</f>
        <v>ES Veeva Privacy Notice Email</v>
      </c>
      <c r="E796" s="22" t="str">
        <f>HYPERLINK("https://otsuka-europe-crm.veevavault.com/ui/#object/sent_email__v/VBL00000002O138", "SE-001431237")</f>
        <v>SE-001431237</v>
      </c>
      <c r="F796" s="23">
        <v>46176.579282407409</v>
      </c>
      <c r="G796" s="24">
        <v>1</v>
      </c>
      <c r="H796" s="24">
        <v>2</v>
      </c>
      <c r="I796" s="24">
        <v>1</v>
      </c>
      <c r="J796" s="23">
        <v>46176.62903935185</v>
      </c>
      <c r="K796" s="24">
        <v>1</v>
      </c>
      <c r="L796" s="22" t="str">
        <f>HYPERLINK("https://otsuka-europe-crm.veevavault.com/ui/#object/approved_document__v/V5OZ06G6O6RFL1P", "ES Veeva Privacy Notice Email")</f>
        <v>ES Veeva Privacy Notice Email</v>
      </c>
      <c r="M796" s="22" t="str">
        <f>HYPERLINK("mailto:mgravan@crm.otsuka-europe.com", "mgravan@crm.otsuka-europe.com")</f>
        <v>mgravan@crm.otsuka-europe.com</v>
      </c>
      <c r="N796" s="23">
        <v>46175.300625000003</v>
      </c>
      <c r="O796" s="14" t="str">
        <f>HYPERLINK("https://otsuka-europe-crm.veevavault.com/ui/#object/email_activity__v/V8C00000003L327", "EN-002086854")</f>
        <v>EN-002086854</v>
      </c>
    </row>
    <row r="797" spans="1:15" ht="16" x14ac:dyDescent="0.2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4" t="str">
        <f>HYPERLINK("https://otsuka-europe-crm.veevavault.com/ui/#object/email_activity__v/V8C00000003N449", "EN-002088710")</f>
        <v>EN-002088710</v>
      </c>
    </row>
    <row r="798" spans="1:15" ht="16" x14ac:dyDescent="0.2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4" t="str">
        <f>HYPERLINK("https://otsuka-europe-crm.veevavault.com/ui/#object/email_activity__v/V8C00000003N461", "EN-002088729")</f>
        <v>EN-002088729</v>
      </c>
    </row>
    <row r="799" spans="1:15" ht="16" x14ac:dyDescent="0.2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4" t="str">
        <f>HYPERLINK("https://otsuka-europe-crm.veevavault.com/ui/#object/email_activity__v/V8C00000003N465", "EN-002088736")</f>
        <v>EN-002088736</v>
      </c>
    </row>
    <row r="800" spans="1:15" ht="16" x14ac:dyDescent="0.2">
      <c r="A800" s="17" t="str">
        <f>HYPERLINK("https://otsuka-europe-crm.veevavault.com/ui/#object/account__v/V4T000000021019", "MIRIAM TERRERO FERNANDEZ")</f>
        <v>MIRIAM TERRERO FERNANDEZ</v>
      </c>
      <c r="B800" s="17" t="str">
        <f>HYPERLINK("https://otsuka-europe-crm.veevavault.com/ui/#object/vcountry__v/VENZ000004SONF5", "ES")</f>
        <v>ES</v>
      </c>
      <c r="C800" s="20" t="s">
        <v>41</v>
      </c>
      <c r="D800" s="21" t="str">
        <f>HYPERLINK("https://otsuka-europe-crm.veevavault.com/ui/#object/approved_document__v/V5OZ04ASG4FWKA7", "Reuniones Online Consent - 2")</f>
        <v>Reuniones Online Consent - 2</v>
      </c>
      <c r="E800" s="22" t="str">
        <f>HYPERLINK("https://otsuka-europe-crm.veevavault.com/ui/#object/sent_email__v/VBL00000002O139", "SE-001431238")</f>
        <v>SE-001431238</v>
      </c>
      <c r="F800" s="23">
        <v>46176.803159722222</v>
      </c>
      <c r="G800" s="24">
        <v>1</v>
      </c>
      <c r="H800" s="24">
        <v>3</v>
      </c>
      <c r="I800" s="24">
        <v>1</v>
      </c>
      <c r="J800" s="23">
        <v>46176.629664351851</v>
      </c>
      <c r="K800" s="24">
        <v>1</v>
      </c>
      <c r="L800" s="22" t="str">
        <f>HYPERLINK("https://otsuka-europe-crm.veevavault.com/ui/#object/approved_document__v/V5OZ04ASG4FWKA7", "Reuniones Online Consent - 2")</f>
        <v>Reuniones Online Consent - 2</v>
      </c>
      <c r="M800" s="22" t="str">
        <f>HYPERLINK("mailto:mgravan@crm.otsuka-europe.com", "mgravan@crm.otsuka-europe.com")</f>
        <v>mgravan@crm.otsuka-europe.com</v>
      </c>
      <c r="N800" s="23">
        <v>46175.300995370373</v>
      </c>
      <c r="O800" s="14" t="str">
        <f>HYPERLINK("https://otsuka-europe-crm.veevavault.com/ui/#object/email_activity__v/V8C00000003K617", "EN-002086855")</f>
        <v>EN-002086855</v>
      </c>
    </row>
    <row r="801" spans="1:15" ht="16" x14ac:dyDescent="0.2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4" t="str">
        <f>HYPERLINK("https://otsuka-europe-crm.veevavault.com/ui/#object/email_activity__v/V8C00000003M363", "EN-002088730")</f>
        <v>EN-002088730</v>
      </c>
    </row>
    <row r="802" spans="1:15" ht="16" x14ac:dyDescent="0.2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4" t="str">
        <f>HYPERLINK("https://otsuka-europe-crm.veevavault.com/ui/#object/email_activity__v/V8C00000003N466", "EN-002088737")</f>
        <v>EN-002088737</v>
      </c>
    </row>
    <row r="803" spans="1:15" ht="16" x14ac:dyDescent="0.2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4" t="str">
        <f>HYPERLINK("https://otsuka-europe-crm.veevavault.com/ui/#object/email_activity__v/V8C00000003N467", "EN-002088738")</f>
        <v>EN-002088738</v>
      </c>
    </row>
    <row r="804" spans="1:15" ht="16" x14ac:dyDescent="0.2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4" t="str">
        <f>HYPERLINK("https://otsuka-europe-crm.veevavault.com/ui/#object/email_activity__v/V8C00000003N515", "EN-002088816")</f>
        <v>EN-002088816</v>
      </c>
    </row>
    <row r="805" spans="1:15" ht="16" x14ac:dyDescent="0.2">
      <c r="A805" s="17" t="str">
        <f>HYPERLINK("https://otsuka-europe-crm.veevavault.com/ui/#object/account__v/V4T000000021019", "MIRIAM TERRERO FERNANDEZ")</f>
        <v>MIRIAM TERRERO FERNANDEZ</v>
      </c>
      <c r="B805" s="17" t="str">
        <f>HYPERLINK("https://otsuka-europe-crm.veevavault.com/ui/#object/vcountry__v/VENZ000004SONF5", "ES")</f>
        <v>ES</v>
      </c>
      <c r="C805" s="20" t="s">
        <v>41</v>
      </c>
      <c r="D805" s="21" t="str">
        <f>HYPERLINK("https://otsuka-europe-crm.veevavault.com/ui/#object/approved_document__v/V5O00000000D100", "Spain - Consent Email 1 Aug 25")</f>
        <v>Spain - Consent Email 1 Aug 25</v>
      </c>
      <c r="E805" s="22" t="str">
        <f>HYPERLINK("https://otsuka-europe-crm.veevavault.com/ui/#object/sent_email__v/VBL00000002O140", "SE-001431239")</f>
        <v>SE-001431239</v>
      </c>
      <c r="F805" s="23">
        <v>46177.813530092593</v>
      </c>
      <c r="G805" s="24">
        <v>1</v>
      </c>
      <c r="H805" s="24">
        <v>1</v>
      </c>
      <c r="I805" s="24">
        <v>1</v>
      </c>
      <c r="J805" s="23">
        <v>46177.813634259262</v>
      </c>
      <c r="K805" s="24">
        <v>2</v>
      </c>
      <c r="L805" s="22" t="str">
        <f>HYPERLINK("https://otsuka-europe-crm.veevavault.com/ui/#object/approved_document__v/V5O00000000D100", "Spain - Consent Email 1 Aug 25")</f>
        <v>Spain - Consent Email 1 Aug 25</v>
      </c>
      <c r="M805" s="22" t="str">
        <f>HYPERLINK("mailto:mgravan@crm.otsuka-europe.com", "mgravan@crm.otsuka-europe.com")</f>
        <v>mgravan@crm.otsuka-europe.com</v>
      </c>
      <c r="N805" s="23">
        <v>46175.300995370373</v>
      </c>
      <c r="O805" s="14" t="str">
        <f>HYPERLINK("https://otsuka-europe-crm.veevavault.com/ui/#object/email_activity__v/V8C00000003L328", "EN-002086856")</f>
        <v>EN-002086856</v>
      </c>
    </row>
    <row r="806" spans="1:15" ht="16" x14ac:dyDescent="0.2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4" t="str">
        <f>HYPERLINK("https://otsuka-europe-crm.veevavault.com/ui/#object/email_activity__v/V8C00000003M602", "EN-002089222")</f>
        <v>EN-002089222</v>
      </c>
    </row>
    <row r="807" spans="1:15" ht="16" x14ac:dyDescent="0.2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4" t="str">
        <f>HYPERLINK("https://otsuka-europe-crm.veevavault.com/ui/#object/email_activity__v/V8C00000003M603", "EN-002089224")</f>
        <v>EN-002089224</v>
      </c>
    </row>
    <row r="808" spans="1:15" ht="16" x14ac:dyDescent="0.2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4" t="str">
        <f>HYPERLINK("https://otsuka-europe-crm.veevavault.com/ui/#object/email_activity__v/V8C00000003N718", "EN-002089223")</f>
        <v>EN-002089223</v>
      </c>
    </row>
    <row r="809" spans="1:15" ht="16" x14ac:dyDescent="0.2">
      <c r="A809" s="17" t="str">
        <f>HYPERLINK("https://otsuka-europe-crm.veevavault.com/ui/#object/account__v/V4T000000020017", "BELEN VAZQUEZ FERNANDEZ")</f>
        <v>BELEN VAZQUEZ FERNANDEZ</v>
      </c>
      <c r="B809" s="17" t="str">
        <f>HYPERLINK("https://otsuka-europe-crm.veevavault.com/ui/#object/vcountry__v/VENZ000004SONF5", "ES")</f>
        <v>ES</v>
      </c>
      <c r="C809" s="20" t="s">
        <v>41</v>
      </c>
      <c r="D809" s="21" t="str">
        <f>HYPERLINK("https://otsuka-europe-crm.veevavault.com/ui/#object/approved_document__v/V5OZ06G6O6RFL1P", "ES Veeva Privacy Notice Email")</f>
        <v>ES Veeva Privacy Notice Email</v>
      </c>
      <c r="E809" s="22" t="str">
        <f>HYPERLINK("https://otsuka-europe-crm.veevavault.com/ui/#object/sent_email__v/VBL00000002O141", "SE-001431240")</f>
        <v>SE-001431240</v>
      </c>
      <c r="F809" s="23">
        <v>46182.691770833335</v>
      </c>
      <c r="G809" s="24">
        <v>1</v>
      </c>
      <c r="H809" s="24">
        <v>8</v>
      </c>
      <c r="I809" s="24">
        <v>0</v>
      </c>
      <c r="J809" s="25"/>
      <c r="K809" s="24">
        <v>0</v>
      </c>
      <c r="L809" s="22" t="str">
        <f>HYPERLINK("https://otsuka-europe-crm.veevavault.com/ui/#object/approved_document__v/V5OZ06G6O6RFL1P", "ES Veeva Privacy Notice Email")</f>
        <v>ES Veeva Privacy Notice Email</v>
      </c>
      <c r="M809" s="22" t="str">
        <f>HYPERLINK("mailto:mgravan@crm.otsuka-europe.com", "mgravan@crm.otsuka-europe.com")</f>
        <v>mgravan@crm.otsuka-europe.com</v>
      </c>
      <c r="N809" s="23">
        <v>46175.302534722221</v>
      </c>
      <c r="O809" s="14" t="str">
        <f>HYPERLINK("https://otsuka-europe-crm.veevavault.com/ui/#object/email_activity__v/V8C00000003K618", "EN-002086857")</f>
        <v>EN-002086857</v>
      </c>
    </row>
    <row r="810" spans="1:15" ht="16" x14ac:dyDescent="0.2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4" t="str">
        <f>HYPERLINK("https://otsuka-europe-crm.veevavault.com/ui/#object/email_activity__v/V8C00000003K621", "EN-002086860")</f>
        <v>EN-002086860</v>
      </c>
    </row>
    <row r="811" spans="1:15" ht="16" x14ac:dyDescent="0.2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4" t="str">
        <f>HYPERLINK("https://otsuka-europe-crm.veevavault.com/ui/#object/email_activity__v/V8C00000003K630", "EN-002086892")</f>
        <v>EN-002086892</v>
      </c>
    </row>
    <row r="812" spans="1:15" ht="16" x14ac:dyDescent="0.2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4" t="str">
        <f>HYPERLINK("https://otsuka-europe-crm.veevavault.com/ui/#object/email_activity__v/V8C00000003L337", "EN-002086876")</f>
        <v>EN-002086876</v>
      </c>
    </row>
    <row r="813" spans="1:15" ht="16" x14ac:dyDescent="0.2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4" t="str">
        <f>HYPERLINK("https://otsuka-europe-crm.veevavault.com/ui/#object/email_activity__v/V8C00000003L338", "EN-002086877")</f>
        <v>EN-002086877</v>
      </c>
    </row>
    <row r="814" spans="1:15" ht="16" x14ac:dyDescent="0.2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4" t="str">
        <f>HYPERLINK("https://otsuka-europe-crm.veevavault.com/ui/#object/email_activity__v/V8C00000003L343", "EN-002086883")</f>
        <v>EN-002086883</v>
      </c>
    </row>
    <row r="815" spans="1:15" ht="16" x14ac:dyDescent="0.2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4" t="str">
        <f>HYPERLINK("https://otsuka-europe-crm.veevavault.com/ui/#object/email_activity__v/V8C00000003L347", "EN-002086887")</f>
        <v>EN-002086887</v>
      </c>
    </row>
    <row r="816" spans="1:15" ht="16" x14ac:dyDescent="0.2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4" t="str">
        <f>HYPERLINK("https://otsuka-europe-crm.veevavault.com/ui/#object/email_activity__v/V8C00000003L351", "EN-002086891")</f>
        <v>EN-002086891</v>
      </c>
    </row>
    <row r="817" spans="1:15" ht="16" x14ac:dyDescent="0.2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4" t="str">
        <f>HYPERLINK("https://otsuka-europe-crm.veevavault.com/ui/#object/email_activity__v/V8C00000003S222", "EN-002093328")</f>
        <v>EN-002093328</v>
      </c>
    </row>
    <row r="818" spans="1:15" ht="16" x14ac:dyDescent="0.2">
      <c r="A818" s="17" t="str">
        <f>HYPERLINK("https://otsuka-europe-crm.veevavault.com/ui/#object/account__v/V4T000000020017", "BELEN VAZQUEZ FERNANDEZ")</f>
        <v>BELEN VAZQUEZ FERNANDEZ</v>
      </c>
      <c r="B818" s="17" t="str">
        <f>HYPERLINK("https://otsuka-europe-crm.veevavault.com/ui/#object/vcountry__v/VENZ000004SONF5", "ES")</f>
        <v>ES</v>
      </c>
      <c r="C818" s="20" t="s">
        <v>41</v>
      </c>
      <c r="D818" s="21" t="str">
        <f>HYPERLINK("https://otsuka-europe-crm.veevavault.com/ui/#object/approved_document__v/V5O00000000D100", "Spain - Consent Email 1 Aug 25")</f>
        <v>Spain - Consent Email 1 Aug 25</v>
      </c>
      <c r="E818" s="22" t="str">
        <f>HYPERLINK("https://otsuka-europe-crm.veevavault.com/ui/#object/sent_email__v/VBL00000002O142", "SE-001431241")</f>
        <v>SE-001431241</v>
      </c>
      <c r="F818" s="23">
        <v>46175.36346064815</v>
      </c>
      <c r="G818" s="24">
        <v>1</v>
      </c>
      <c r="H818" s="24">
        <v>6</v>
      </c>
      <c r="I818" s="24">
        <v>1</v>
      </c>
      <c r="J818" s="23">
        <v>46175.363842592589</v>
      </c>
      <c r="K818" s="24">
        <v>1</v>
      </c>
      <c r="L818" s="22" t="str">
        <f>HYPERLINK("https://otsuka-europe-crm.veevavault.com/ui/#object/approved_document__v/V5O00000000D100", "Spain - Consent Email 1 Aug 25")</f>
        <v>Spain - Consent Email 1 Aug 25</v>
      </c>
      <c r="M818" s="22" t="str">
        <f>HYPERLINK("mailto:mgravan@crm.otsuka-europe.com", "mgravan@crm.otsuka-europe.com")</f>
        <v>mgravan@crm.otsuka-europe.com</v>
      </c>
      <c r="N818" s="23">
        <v>46175.303090277775</v>
      </c>
      <c r="O818" s="14" t="str">
        <f>HYPERLINK("https://otsuka-europe-crm.veevavault.com/ui/#object/email_activity__v/V8C00000003K619", "EN-002086858")</f>
        <v>EN-002086858</v>
      </c>
    </row>
    <row r="819" spans="1:15" ht="16" x14ac:dyDescent="0.2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4" t="str">
        <f>HYPERLINK("https://otsuka-europe-crm.veevavault.com/ui/#object/email_activity__v/V8C00000003K629", "EN-002086879")</f>
        <v>EN-002086879</v>
      </c>
    </row>
    <row r="820" spans="1:15" ht="16" x14ac:dyDescent="0.2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4" t="str">
        <f>HYPERLINK("https://otsuka-europe-crm.veevavault.com/ui/#object/email_activity__v/V8C00000003K631", "EN-002086893")</f>
        <v>EN-002086893</v>
      </c>
    </row>
    <row r="821" spans="1:15" ht="16" x14ac:dyDescent="0.2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4" t="str">
        <f>HYPERLINK("https://otsuka-europe-crm.veevavault.com/ui/#object/email_activity__v/V8C00000003L341", "EN-002086881")</f>
        <v>EN-002086881</v>
      </c>
    </row>
    <row r="822" spans="1:15" ht="16" x14ac:dyDescent="0.2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4" t="str">
        <f>HYPERLINK("https://otsuka-europe-crm.veevavault.com/ui/#object/email_activity__v/V8C00000003L346", "EN-002086886")</f>
        <v>EN-002086886</v>
      </c>
    </row>
    <row r="823" spans="1:15" ht="16" x14ac:dyDescent="0.2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4" t="str">
        <f>HYPERLINK("https://otsuka-europe-crm.veevavault.com/ui/#object/email_activity__v/V8C00000003L350", "EN-002086890")</f>
        <v>EN-002086890</v>
      </c>
    </row>
    <row r="824" spans="1:15" ht="16" x14ac:dyDescent="0.2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4" t="str">
        <f>HYPERLINK("https://otsuka-europe-crm.veevavault.com/ui/#object/email_activity__v/V8C00000003L355", "EN-002086899")</f>
        <v>EN-002086899</v>
      </c>
    </row>
    <row r="825" spans="1:15" ht="16" x14ac:dyDescent="0.2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4" t="str">
        <f>HYPERLINK("https://otsuka-europe-crm.veevavault.com/ui/#object/email_activity__v/V8C00000003L358", "EN-002086902")</f>
        <v>EN-002086902</v>
      </c>
    </row>
    <row r="826" spans="1:15" ht="16" x14ac:dyDescent="0.2">
      <c r="A826" s="17" t="str">
        <f>HYPERLINK("https://otsuka-europe-crm.veevavault.com/ui/#object/account__v/V4T000000020017", "BELEN VAZQUEZ FERNANDEZ")</f>
        <v>BELEN VAZQUEZ FERNANDEZ</v>
      </c>
      <c r="B826" s="17" t="str">
        <f>HYPERLINK("https://otsuka-europe-crm.veevavault.com/ui/#object/vcountry__v/VENZ000004SONF5", "ES")</f>
        <v>ES</v>
      </c>
      <c r="C826" s="20" t="s">
        <v>41</v>
      </c>
      <c r="D826" s="21" t="str">
        <f>HYPERLINK("https://otsuka-europe-crm.veevavault.com/ui/#object/approved_document__v/V5OZ04ASG4FWKA7", "Reuniones Online Consent - 2")</f>
        <v>Reuniones Online Consent - 2</v>
      </c>
      <c r="E826" s="22" t="str">
        <f>HYPERLINK("https://otsuka-europe-crm.veevavault.com/ui/#object/sent_email__v/VBL00000002O143", "SE-001431242")</f>
        <v>SE-001431242</v>
      </c>
      <c r="F826" s="23">
        <v>46175.36347222222</v>
      </c>
      <c r="G826" s="24">
        <v>1</v>
      </c>
      <c r="H826" s="24">
        <v>9</v>
      </c>
      <c r="I826" s="24">
        <v>1</v>
      </c>
      <c r="J826" s="23">
        <v>46175.363344907404</v>
      </c>
      <c r="K826" s="24">
        <v>2</v>
      </c>
      <c r="L826" s="22" t="str">
        <f>HYPERLINK("https://otsuka-europe-crm.veevavault.com/ui/#object/approved_document__v/V5OZ04ASG4FWKA7", "Reuniones Online Consent - 2")</f>
        <v>Reuniones Online Consent - 2</v>
      </c>
      <c r="M826" s="22" t="str">
        <f>HYPERLINK("mailto:mgravan@crm.otsuka-europe.com", "mgravan@crm.otsuka-europe.com")</f>
        <v>mgravan@crm.otsuka-europe.com</v>
      </c>
      <c r="N826" s="23">
        <v>46175.303078703706</v>
      </c>
      <c r="O826" s="14" t="str">
        <f>HYPERLINK("https://otsuka-europe-crm.veevavault.com/ui/#object/email_activity__v/V8C00000003K620", "EN-002086859")</f>
        <v>EN-002086859</v>
      </c>
    </row>
    <row r="827" spans="1:15" ht="16" x14ac:dyDescent="0.2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4" t="str">
        <f>HYPERLINK("https://otsuka-europe-crm.veevavault.com/ui/#object/email_activity__v/V8C00000003K632", "EN-002086896")</f>
        <v>EN-002086896</v>
      </c>
    </row>
    <row r="828" spans="1:15" ht="16" x14ac:dyDescent="0.2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4" t="str">
        <f>HYPERLINK("https://otsuka-europe-crm.veevavault.com/ui/#object/email_activity__v/V8C00000003L339", "EN-002086878")</f>
        <v>EN-002086878</v>
      </c>
    </row>
    <row r="829" spans="1:15" ht="16" x14ac:dyDescent="0.2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4" t="str">
        <f>HYPERLINK("https://otsuka-europe-crm.veevavault.com/ui/#object/email_activity__v/V8C00000003L340", "EN-002086880")</f>
        <v>EN-002086880</v>
      </c>
    </row>
    <row r="830" spans="1:15" ht="16" x14ac:dyDescent="0.2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4" t="str">
        <f>HYPERLINK("https://otsuka-europe-crm.veevavault.com/ui/#object/email_activity__v/V8C00000003L342", "EN-002086882")</f>
        <v>EN-002086882</v>
      </c>
    </row>
    <row r="831" spans="1:15" ht="16" x14ac:dyDescent="0.2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4" t="str">
        <f>HYPERLINK("https://otsuka-europe-crm.veevavault.com/ui/#object/email_activity__v/V8C00000003L344", "EN-002086884")</f>
        <v>EN-002086884</v>
      </c>
    </row>
    <row r="832" spans="1:15" ht="16" x14ac:dyDescent="0.2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4" t="str">
        <f>HYPERLINK("https://otsuka-europe-crm.veevavault.com/ui/#object/email_activity__v/V8C00000003L345", "EN-002086885")</f>
        <v>EN-002086885</v>
      </c>
    </row>
    <row r="833" spans="1:15" ht="16" x14ac:dyDescent="0.2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4" t="str">
        <f>HYPERLINK("https://otsuka-europe-crm.veevavault.com/ui/#object/email_activity__v/V8C00000003L348", "EN-002086888")</f>
        <v>EN-002086888</v>
      </c>
    </row>
    <row r="834" spans="1:15" ht="16" x14ac:dyDescent="0.2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4" t="str">
        <f>HYPERLINK("https://otsuka-europe-crm.veevavault.com/ui/#object/email_activity__v/V8C00000003L349", "EN-002086889")</f>
        <v>EN-002086889</v>
      </c>
    </row>
    <row r="835" spans="1:15" ht="16" x14ac:dyDescent="0.2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4" t="str">
        <f>HYPERLINK("https://otsuka-europe-crm.veevavault.com/ui/#object/email_activity__v/V8C00000003L352", "EN-002086894")</f>
        <v>EN-002086894</v>
      </c>
    </row>
    <row r="836" spans="1:15" ht="16" x14ac:dyDescent="0.2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4" t="str">
        <f>HYPERLINK("https://otsuka-europe-crm.veevavault.com/ui/#object/email_activity__v/V8C00000003L354", "EN-002086898")</f>
        <v>EN-002086898</v>
      </c>
    </row>
    <row r="837" spans="1:15" ht="16" x14ac:dyDescent="0.2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4" t="str">
        <f>HYPERLINK("https://otsuka-europe-crm.veevavault.com/ui/#object/email_activity__v/V8C00000003L356", "EN-002086900")</f>
        <v>EN-002086900</v>
      </c>
    </row>
    <row r="838" spans="1:15" ht="16" x14ac:dyDescent="0.2">
      <c r="A838" s="17" t="str">
        <f>HYPERLINK("https://otsuka-europe-crm.veevavault.com/ui/#object/account__v/V4T00000001D064", "LAURA FERNANDEZ CUEZVA")</f>
        <v>LAURA FERNANDEZ CUEZVA</v>
      </c>
      <c r="B838" s="17" t="str">
        <f>HYPERLINK("https://otsuka-europe-crm.veevavault.com/ui/#object/vcountry__v/VENZ000004SONF5", "ES")</f>
        <v>ES</v>
      </c>
      <c r="C838" s="20" t="s">
        <v>41</v>
      </c>
      <c r="D838" s="21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838" s="22" t="str">
        <f>HYPERLINK("https://otsuka-europe-crm.veevavault.com/ui/#object/sent_email__v/VBL00000002O144", "SE-001431243")</f>
        <v>SE-001431243</v>
      </c>
      <c r="F838" s="23">
        <v>46175.744074074071</v>
      </c>
      <c r="G838" s="24">
        <v>1</v>
      </c>
      <c r="H838" s="24">
        <v>2</v>
      </c>
      <c r="I838" s="24">
        <v>1</v>
      </c>
      <c r="J838" s="23">
        <v>46175.744155092594</v>
      </c>
      <c r="K838" s="24">
        <v>1</v>
      </c>
      <c r="L838" s="22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838" s="22" t="str">
        <f>HYPERLINK("mailto:gsammali@crm.otsuka-europe.com", "gsammali@crm.otsuka-europe.com")</f>
        <v>gsammali@crm.otsuka-europe.com</v>
      </c>
      <c r="N838" s="23">
        <v>46175.347824074073</v>
      </c>
      <c r="O838" s="14" t="str">
        <f>HYPERLINK("https://otsuka-europe-crm.veevavault.com/ui/#object/email_activity__v/V8C00000003K627", "EN-002086869")</f>
        <v>EN-002086869</v>
      </c>
    </row>
    <row r="839" spans="1:15" ht="16" x14ac:dyDescent="0.2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4" t="str">
        <f>HYPERLINK("https://otsuka-europe-crm.veevavault.com/ui/#object/email_activity__v/V8C00000003M121", "EN-002088055")</f>
        <v>EN-002088055</v>
      </c>
    </row>
    <row r="840" spans="1:15" ht="16" x14ac:dyDescent="0.2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4" t="str">
        <f>HYPERLINK("https://otsuka-europe-crm.veevavault.com/ui/#object/email_activity__v/V8C00000003M122", "EN-002088056")</f>
        <v>EN-002088056</v>
      </c>
    </row>
    <row r="841" spans="1:15" ht="16" x14ac:dyDescent="0.2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4" t="str">
        <f>HYPERLINK("https://otsuka-europe-crm.veevavault.com/ui/#object/email_activity__v/V8C00000003M123", "EN-002088057")</f>
        <v>EN-002088057</v>
      </c>
    </row>
    <row r="842" spans="1:15" ht="16" x14ac:dyDescent="0.2">
      <c r="A842" s="17" t="str">
        <f>HYPERLINK("https://otsuka-europe-crm.veevavault.com/ui/#object/account__v/V4TZ00000634BIP", "OLIVIER MORIN")</f>
        <v>OLIVIER MORIN</v>
      </c>
      <c r="B842" s="17" t="str">
        <f>HYPERLINK("https://otsuka-europe-crm.veevavault.com/ui/#object/vcountry__v/VENZ000004SONFA", "FR")</f>
        <v>FR</v>
      </c>
      <c r="C842" s="20" t="s">
        <v>42</v>
      </c>
      <c r="D842" s="21" t="str">
        <f>HYPERLINK("https://otsuka-europe-crm.veevavault.com/ui/#object/approved_document__v/V5OZ04ASG4G02Y6", "INVITATION_VAD_2023")</f>
        <v>INVITATION_VAD_2023</v>
      </c>
      <c r="E842" s="22" t="str">
        <f>HYPERLINK("https://otsuka-europe-crm.veevavault.com/ui/#object/sent_email__v/VBL00000002O145", "SE-001431244")</f>
        <v>SE-001431244</v>
      </c>
      <c r="F842" s="23">
        <v>46175.724317129629</v>
      </c>
      <c r="G842" s="24">
        <v>1</v>
      </c>
      <c r="H842" s="24">
        <v>2</v>
      </c>
      <c r="I842" s="24">
        <v>0</v>
      </c>
      <c r="J842" s="25"/>
      <c r="K842" s="24">
        <v>0</v>
      </c>
      <c r="L842" s="22" t="str">
        <f>HYPERLINK("https://otsuka-europe-crm.veevavault.com/ui/#object/approved_document__v/V5OZ04ASG4G02Y6", "INVITATION_VAD_2023")</f>
        <v>INVITATION_VAD_2023</v>
      </c>
      <c r="M842" s="22" t="str">
        <f>HYPERLINK("mailto:gloriod@crm.otsuka-europe.com", "gloriod@crm.otsuka-europe.com")</f>
        <v>gloriod@crm.otsuka-europe.com</v>
      </c>
      <c r="N842" s="23">
        <v>46175.42224537037</v>
      </c>
      <c r="O842" s="14" t="str">
        <f>HYPERLINK("https://otsuka-europe-crm.veevavault.com/ui/#object/email_activity__v/V8C00000003K643", "EN-002086928")</f>
        <v>EN-002086928</v>
      </c>
    </row>
    <row r="843" spans="1:15" ht="16" x14ac:dyDescent="0.2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4" t="str">
        <f>HYPERLINK("https://otsuka-europe-crm.veevavault.com/ui/#object/email_activity__v/V8C00000003L931", "EN-002087846")</f>
        <v>EN-002087846</v>
      </c>
    </row>
    <row r="844" spans="1:15" ht="16" x14ac:dyDescent="0.2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4" t="str">
        <f>HYPERLINK("https://otsuka-europe-crm.veevavault.com/ui/#object/email_activity__v/V8C00000003M120", "EN-002088049")</f>
        <v>EN-002088049</v>
      </c>
    </row>
    <row r="845" spans="1:15" ht="32" x14ac:dyDescent="0.2">
      <c r="A845" s="7" t="str">
        <f>HYPERLINK("https://otsuka-europe-crm.veevavault.com/ui/#object/account__v/V4TZ04ASG702KGO", "Jennifer Clifford")</f>
        <v>Jennifer Clifford</v>
      </c>
      <c r="B845" s="7" t="str">
        <f>HYPERLINK("https://otsuka-europe-crm.veevavault.com/ui/#object/vcountry__v/VENZ000004SONFK", "GB")</f>
        <v>GB</v>
      </c>
      <c r="C845" s="8" t="s">
        <v>39</v>
      </c>
      <c r="D845" s="9" t="str">
        <f>HYPERLINK("https://otsuka-europe-crm.veevavault.com/ui/#object/approved_document__v/V5O00000000D081", "UK - Consent Email 1 Aug 25")</f>
        <v>UK - Consent Email 1 Aug 25</v>
      </c>
      <c r="E845" s="10" t="str">
        <f>HYPERLINK("https://otsuka-europe-crm.veevavault.com/ui/#object/sent_email__v/VBL00000002O146", "SE-001431245")</f>
        <v>SE-001431245</v>
      </c>
      <c r="F845" s="11"/>
      <c r="G845" s="12">
        <v>0</v>
      </c>
      <c r="H845" s="12">
        <v>0</v>
      </c>
      <c r="I845" s="12">
        <v>0</v>
      </c>
      <c r="J845" s="11"/>
      <c r="K845" s="12">
        <v>0</v>
      </c>
      <c r="L845" s="10" t="str">
        <f>HYPERLINK("https://otsuka-europe-crm.veevavault.com/ui/#object/approved_document__v/V5O00000000D081", "UK - Consent Email 1 Aug 25")</f>
        <v>UK - Consent Email 1 Aug 25</v>
      </c>
      <c r="M845" s="10" t="str">
        <f>HYPERLINK("mailto:ldimambro@crm.otsuka-europe.com", "ldimambro@crm.otsuka-europe.com")</f>
        <v>ldimambro@crm.otsuka-europe.com</v>
      </c>
      <c r="N845" s="13">
        <v>46175.423101851855</v>
      </c>
      <c r="O845" s="14" t="str">
        <f>HYPERLINK("https://otsuka-europe-crm.veevavault.com/ui/#object/email_activity__v/V8C00000003L375", "EN-002086929")</f>
        <v>EN-002086929</v>
      </c>
    </row>
    <row r="846" spans="1:15" ht="16" x14ac:dyDescent="0.2">
      <c r="A846" s="17" t="str">
        <f>HYPERLINK("https://otsuka-europe-crm.veevavault.com/ui/#object/account__v/V4T000000020034", "ROCIO SERRANO MARTIN")</f>
        <v>ROCIO SERRANO MARTIN</v>
      </c>
      <c r="B846" s="17" t="str">
        <f>HYPERLINK("https://otsuka-europe-crm.veevavault.com/ui/#object/vcountry__v/VENZ000004SONF5", "ES")</f>
        <v>ES</v>
      </c>
      <c r="C846" s="20" t="s">
        <v>41</v>
      </c>
      <c r="D846" s="21" t="str">
        <f>HYPERLINK("https://otsuka-europe-crm.veevavault.com/ui/#object/approved_document__v/V5OZ06G6O6RFL1P", "ES Veeva Privacy Notice Email")</f>
        <v>ES Veeva Privacy Notice Email</v>
      </c>
      <c r="E846" s="22" t="str">
        <f>HYPERLINK("https://otsuka-europe-crm.veevavault.com/ui/#object/sent_email__v/VBL00000002N265", "SE-001431246")</f>
        <v>SE-001431246</v>
      </c>
      <c r="F846" s="23">
        <v>46179.525185185186</v>
      </c>
      <c r="G846" s="24">
        <v>1</v>
      </c>
      <c r="H846" s="24">
        <v>2</v>
      </c>
      <c r="I846" s="24">
        <v>0</v>
      </c>
      <c r="J846" s="25"/>
      <c r="K846" s="24">
        <v>0</v>
      </c>
      <c r="L846" s="22" t="str">
        <f>HYPERLINK("https://otsuka-europe-crm.veevavault.com/ui/#object/approved_document__v/V5OZ06G6O6RFL1P", "ES Veeva Privacy Notice Email")</f>
        <v>ES Veeva Privacy Notice Email</v>
      </c>
      <c r="M846" s="22" t="str">
        <f>HYPERLINK("mailto:abarral@crm.otsuka-europe.com", "abarral@crm.otsuka-europe.com")</f>
        <v>abarral@crm.otsuka-europe.com</v>
      </c>
      <c r="N846" s="23">
        <v>46175.425000000003</v>
      </c>
      <c r="O846" s="14" t="str">
        <f>HYPERLINK("https://otsuka-europe-crm.veevavault.com/ui/#object/email_activity__v/V8C00000003K646", "EN-002086932")</f>
        <v>EN-002086932</v>
      </c>
    </row>
    <row r="847" spans="1:15" ht="16" x14ac:dyDescent="0.2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4" t="str">
        <f>HYPERLINK("https://otsuka-europe-crm.veevavault.com/ui/#object/email_activity__v/V8C00000003M093", "EN-002088016")</f>
        <v>EN-002088016</v>
      </c>
    </row>
    <row r="848" spans="1:15" ht="16" x14ac:dyDescent="0.2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4" t="str">
        <f>HYPERLINK("https://otsuka-europe-crm.veevavault.com/ui/#object/email_activity__v/V8C00000003O084", "EN-002089421")</f>
        <v>EN-002089421</v>
      </c>
    </row>
    <row r="849" spans="1:15" ht="16" x14ac:dyDescent="0.2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4" t="str">
        <f>HYPERLINK("https://otsuka-europe-crm.veevavault.com/ui/#object/email_activity__v/V8C000000041241", "EN-002100148")</f>
        <v>EN-002100148</v>
      </c>
    </row>
    <row r="850" spans="1:15" ht="32" x14ac:dyDescent="0.2">
      <c r="A850" s="7" t="str">
        <f>HYPERLINK("https://otsuka-europe-crm.veevavault.com/ui/#object/account__v/V4TZ06G6O71T80P", "ANA DELGADO UREÑA")</f>
        <v>ANA DELGADO UREÑA</v>
      </c>
      <c r="B850" s="7" t="str">
        <f>HYPERLINK("https://otsuka-europe-crm.veevavault.com/ui/#object/vcountry__v/VENZ000004SONF5", "ES")</f>
        <v>ES</v>
      </c>
      <c r="C850" s="8" t="s">
        <v>41</v>
      </c>
      <c r="D850" s="9" t="str">
        <f>HYPERLINK("https://otsuka-europe-crm.veevavault.com/ui/#object/approved_document__v/V5O00000001H022", "LUP - VAE invitación simposio SEN-SER - Nefro")</f>
        <v>LUP - VAE invitación simposio SEN-SER - Nefro</v>
      </c>
      <c r="E850" s="10" t="str">
        <f>HYPERLINK("https://otsuka-europe-crm.veevavault.com/ui/#object/sent_email__v/VBL00000002N266", "SE-001431247")</f>
        <v>SE-001431247</v>
      </c>
      <c r="F850" s="11"/>
      <c r="G850" s="12">
        <v>0</v>
      </c>
      <c r="H850" s="12">
        <v>0</v>
      </c>
      <c r="I850" s="12">
        <v>0</v>
      </c>
      <c r="J850" s="11"/>
      <c r="K850" s="12">
        <v>0</v>
      </c>
      <c r="L850" s="10" t="str">
        <f>HYPERLINK("https://otsuka-europe-crm.veevavault.com/ui/#object/approved_document__v/V5O00000001H022", "LUP - VAE invitación simposio SEN-SER - Nefro")</f>
        <v>LUP - VAE invitación simposio SEN-SER - Nefro</v>
      </c>
      <c r="M850" s="10" t="str">
        <f>HYPERLINK("mailto:vvalladares@crm.otsuka-europe.com", "vvalladares@crm.otsuka-europe.com")</f>
        <v>vvalladares@crm.otsuka-europe.com</v>
      </c>
      <c r="N850" s="13">
        <v>46175.463842592595</v>
      </c>
      <c r="O850" s="14" t="str">
        <f>HYPERLINK("https://otsuka-europe-crm.veevavault.com/ui/#object/email_activity__v/V8C00000003L395", "EN-002086983")</f>
        <v>EN-002086983</v>
      </c>
    </row>
    <row r="851" spans="1:15" ht="16" x14ac:dyDescent="0.2">
      <c r="A851" s="17" t="str">
        <f>HYPERLINK("https://otsuka-europe-crm.veevavault.com/ui/#object/account__v/V4TZ06G6O71TA75", "FAYNA GONZALEZ CABRERA")</f>
        <v>FAYNA GONZALEZ CABRERA</v>
      </c>
      <c r="B851" s="17" t="str">
        <f>HYPERLINK("https://otsuka-europe-crm.veevavault.com/ui/#object/vcountry__v/VENZ000004SONF5", "ES")</f>
        <v>ES</v>
      </c>
      <c r="C851" s="20" t="s">
        <v>41</v>
      </c>
      <c r="D851" s="21" t="str">
        <f>HYPERLINK("https://otsuka-europe-crm.veevavault.com/ui/#object/approved_document__v/V5O00000001H022", "LUP - VAE invitación simposio SEN-SER - Nefro")</f>
        <v>LUP - VAE invitación simposio SEN-SER - Nefro</v>
      </c>
      <c r="E851" s="22" t="str">
        <f>HYPERLINK("https://otsuka-europe-crm.veevavault.com/ui/#object/sent_email__v/VBL00000002N267", "SE-001431248")</f>
        <v>SE-001431248</v>
      </c>
      <c r="F851" s="25"/>
      <c r="G851" s="24">
        <v>0</v>
      </c>
      <c r="H851" s="24">
        <v>0</v>
      </c>
      <c r="I851" s="24">
        <v>0</v>
      </c>
      <c r="J851" s="25"/>
      <c r="K851" s="24">
        <v>0</v>
      </c>
      <c r="L851" s="22" t="str">
        <f>HYPERLINK("https://otsuka-europe-crm.veevavault.com/ui/#object/approved_document__v/V5O00000001H022", "LUP - VAE invitación simposio SEN-SER - Nefro")</f>
        <v>LUP - VAE invitación simposio SEN-SER - Nefro</v>
      </c>
      <c r="M851" s="22" t="str">
        <f>HYPERLINK("mailto:vvalladares@crm.otsuka-europe.com", "vvalladares@crm.otsuka-europe.com")</f>
        <v>vvalladares@crm.otsuka-europe.com</v>
      </c>
      <c r="N851" s="23">
        <v>46175.463842592595</v>
      </c>
      <c r="O851" s="14" t="str">
        <f>HYPERLINK("https://otsuka-europe-crm.veevavault.com/ui/#object/email_activity__v/V8C00000003L521", "EN-002087109")</f>
        <v>EN-002087109</v>
      </c>
    </row>
    <row r="852" spans="1:15" ht="16" x14ac:dyDescent="0.2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4" t="str">
        <f>HYPERLINK("https://otsuka-europe-crm.veevavault.com/ui/#object/email_activity__v/V8C00000003M090", "EN-002088013")</f>
        <v>EN-002088013</v>
      </c>
    </row>
    <row r="853" spans="1:15" ht="16" x14ac:dyDescent="0.2">
      <c r="A853" s="17" t="str">
        <f>HYPERLINK("https://otsuka-europe-crm.veevavault.com/ui/#object/account__v/V4TZ04ASG997NUR", "DANIELA MEDINA GARCIA")</f>
        <v>DANIELA MEDINA GARCIA</v>
      </c>
      <c r="B853" s="17" t="str">
        <f>HYPERLINK("https://otsuka-europe-crm.veevavault.com/ui/#object/vcountry__v/VENZ000004SONF5", "ES")</f>
        <v>ES</v>
      </c>
      <c r="C853" s="20" t="s">
        <v>41</v>
      </c>
      <c r="D853" s="21" t="str">
        <f>HYPERLINK("https://otsuka-europe-crm.veevavault.com/ui/#object/approved_document__v/V5O00000001H022", "LUP - VAE invitación simposio SEN-SER - Nefro")</f>
        <v>LUP - VAE invitación simposio SEN-SER - Nefro</v>
      </c>
      <c r="E853" s="22" t="str">
        <f>HYPERLINK("https://otsuka-europe-crm.veevavault.com/ui/#object/sent_email__v/VBL00000002N268", "SE-001431249")</f>
        <v>SE-001431249</v>
      </c>
      <c r="F853" s="23">
        <v>46191.636030092595</v>
      </c>
      <c r="G853" s="24">
        <v>1</v>
      </c>
      <c r="H853" s="24">
        <v>3</v>
      </c>
      <c r="I853" s="24">
        <v>0</v>
      </c>
      <c r="J853" s="25"/>
      <c r="K853" s="24">
        <v>0</v>
      </c>
      <c r="L853" s="22" t="str">
        <f>HYPERLINK("https://otsuka-europe-crm.veevavault.com/ui/#object/approved_document__v/V5O00000001H022", "LUP - VAE invitación simposio SEN-SER - Nefro")</f>
        <v>LUP - VAE invitación simposio SEN-SER - Nefro</v>
      </c>
      <c r="M853" s="22" t="str">
        <f>HYPERLINK("mailto:vvalladares@crm.otsuka-europe.com", "vvalladares@crm.otsuka-europe.com")</f>
        <v>vvalladares@crm.otsuka-europe.com</v>
      </c>
      <c r="N853" s="23">
        <v>46175.463888888888</v>
      </c>
      <c r="O853" s="14" t="str">
        <f>HYPERLINK("https://otsuka-europe-crm.veevavault.com/ui/#object/email_activity__v/V8C00000003L452", "EN-002087040")</f>
        <v>EN-002087040</v>
      </c>
    </row>
    <row r="854" spans="1:15" ht="16" x14ac:dyDescent="0.2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4" t="str">
        <f>HYPERLINK("https://otsuka-europe-crm.veevavault.com/ui/#object/email_activity__v/V8C00000003M124", "EN-002088059")</f>
        <v>EN-002088059</v>
      </c>
    </row>
    <row r="855" spans="1:15" ht="16" x14ac:dyDescent="0.2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4" t="str">
        <f>HYPERLINK("https://otsuka-europe-crm.veevavault.com/ui/#object/email_activity__v/V8C00000003N027", "EN-002088062")</f>
        <v>EN-002088062</v>
      </c>
    </row>
    <row r="856" spans="1:15" ht="16" x14ac:dyDescent="0.2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4" t="str">
        <f>HYPERLINK("https://otsuka-europe-crm.veevavault.com/ui/#object/email_activity__v/V8C00000003W811", "EN-002098634")</f>
        <v>EN-002098634</v>
      </c>
    </row>
    <row r="857" spans="1:15" ht="32" x14ac:dyDescent="0.2">
      <c r="A857" s="7" t="str">
        <f>HYPERLINK("https://otsuka-europe-crm.veevavault.com/ui/#object/account__v/V4TZ025E87AAYMH", "LLENALIA GORDILLO GARCIA")</f>
        <v>LLENALIA GORDILLO GARCIA</v>
      </c>
      <c r="B857" s="7" t="str">
        <f>HYPERLINK("https://otsuka-europe-crm.veevavault.com/ui/#object/vcountry__v/VENZ000004SONF5", "ES")</f>
        <v>ES</v>
      </c>
      <c r="C857" s="8" t="s">
        <v>41</v>
      </c>
      <c r="D857" s="9" t="str">
        <f>HYPERLINK("https://otsuka-europe-crm.veevavault.com/ui/#object/approved_document__v/V5O00000001H022", "LUP - VAE invitación simposio SEN-SER - Nefro")</f>
        <v>LUP - VAE invitación simposio SEN-SER - Nefro</v>
      </c>
      <c r="E857" s="10" t="str">
        <f>HYPERLINK("https://otsuka-europe-crm.veevavault.com/ui/#object/sent_email__v/VBL00000002N269", "SE-001431250")</f>
        <v>SE-001431250</v>
      </c>
      <c r="F857" s="11"/>
      <c r="G857" s="12">
        <v>0</v>
      </c>
      <c r="H857" s="12">
        <v>0</v>
      </c>
      <c r="I857" s="12">
        <v>0</v>
      </c>
      <c r="J857" s="11"/>
      <c r="K857" s="12">
        <v>0</v>
      </c>
      <c r="L857" s="10" t="str">
        <f>HYPERLINK("https://otsuka-europe-crm.veevavault.com/ui/#object/approved_document__v/V5O00000001H022", "LUP - VAE invitación simposio SEN-SER - Nefro")</f>
        <v>LUP - VAE invitación simposio SEN-SER - Nefro</v>
      </c>
      <c r="M857" s="10" t="str">
        <f>HYPERLINK("mailto:vvalladares@crm.otsuka-europe.com", "vvalladares@crm.otsuka-europe.com")</f>
        <v>vvalladares@crm.otsuka-europe.com</v>
      </c>
      <c r="N857" s="13">
        <v>46175.463865740741</v>
      </c>
      <c r="O857" s="14" t="str">
        <f>HYPERLINK("https://otsuka-europe-crm.veevavault.com/ui/#object/email_activity__v/V8C00000003L523", "EN-002087111")</f>
        <v>EN-002087111</v>
      </c>
    </row>
    <row r="858" spans="1:15" ht="16" x14ac:dyDescent="0.2">
      <c r="A858" s="17" t="str">
        <f>HYPERLINK("https://otsuka-europe-crm.veevavault.com/ui/#object/account__v/V4TZ06G6O71T9X3", "RAFAEL JOSE ESTEBAN DE LA ROSA")</f>
        <v>RAFAEL JOSE ESTEBAN DE LA ROSA</v>
      </c>
      <c r="B858" s="17" t="str">
        <f>HYPERLINK("https://otsuka-europe-crm.veevavault.com/ui/#object/vcountry__v/VENZ000004SONF5", "ES")</f>
        <v>ES</v>
      </c>
      <c r="C858" s="20" t="s">
        <v>41</v>
      </c>
      <c r="D858" s="21" t="str">
        <f>HYPERLINK("https://otsuka-europe-crm.veevavault.com/ui/#object/approved_document__v/V5O00000001H022", "LUP - VAE invitación simposio SEN-SER - Nefro")</f>
        <v>LUP - VAE invitación simposio SEN-SER - Nefro</v>
      </c>
      <c r="E858" s="22" t="str">
        <f>HYPERLINK("https://otsuka-europe-crm.veevavault.com/ui/#object/sent_email__v/VBL00000002N270", "SE-001431251")</f>
        <v>SE-001431251</v>
      </c>
      <c r="F858" s="23">
        <v>46175.898541666669</v>
      </c>
      <c r="G858" s="24">
        <v>1</v>
      </c>
      <c r="H858" s="24">
        <v>2</v>
      </c>
      <c r="I858" s="24">
        <v>0</v>
      </c>
      <c r="J858" s="25"/>
      <c r="K858" s="24">
        <v>0</v>
      </c>
      <c r="L858" s="22" t="str">
        <f>HYPERLINK("https://otsuka-europe-crm.veevavault.com/ui/#object/approved_document__v/V5O00000001H022", "LUP - VAE invitación simposio SEN-SER - Nefro")</f>
        <v>LUP - VAE invitación simposio SEN-SER - Nefro</v>
      </c>
      <c r="M858" s="22" t="str">
        <f>HYPERLINK("mailto:vvalladares@crm.otsuka-europe.com", "vvalladares@crm.otsuka-europe.com")</f>
        <v>vvalladares@crm.otsuka-europe.com</v>
      </c>
      <c r="N858" s="23">
        <v>46175.463888888888</v>
      </c>
      <c r="O858" s="14" t="str">
        <f>HYPERLINK("https://otsuka-europe-crm.veevavault.com/ui/#object/email_activity__v/V8C00000003L427", "EN-002087015")</f>
        <v>EN-002087015</v>
      </c>
    </row>
    <row r="859" spans="1:15" ht="16" x14ac:dyDescent="0.2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4" t="str">
        <f>HYPERLINK("https://otsuka-europe-crm.veevavault.com/ui/#object/email_activity__v/V8C00000003L513", "EN-002087101")</f>
        <v>EN-002087101</v>
      </c>
    </row>
    <row r="860" spans="1:15" ht="16" x14ac:dyDescent="0.2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4" t="str">
        <f>HYPERLINK("https://otsuka-europe-crm.veevavault.com/ui/#object/email_activity__v/V8C00000003M238", "EN-002088440")</f>
        <v>EN-002088440</v>
      </c>
    </row>
    <row r="861" spans="1:15" ht="16" x14ac:dyDescent="0.2">
      <c r="A861" s="17" t="str">
        <f>HYPERLINK("https://otsuka-europe-crm.veevavault.com/ui/#object/account__v/V4TZ06G6O71TABC", "ANA MARIA JARQUE LOPEZ")</f>
        <v>ANA MARIA JARQUE LOPEZ</v>
      </c>
      <c r="B861" s="17" t="str">
        <f>HYPERLINK("https://otsuka-europe-crm.veevavault.com/ui/#object/vcountry__v/VENZ000004SONF5", "ES")</f>
        <v>ES</v>
      </c>
      <c r="C861" s="20" t="s">
        <v>41</v>
      </c>
      <c r="D861" s="21" t="str">
        <f>HYPERLINK("https://otsuka-europe-crm.veevavault.com/ui/#object/approved_document__v/V5O00000001H022", "LUP - VAE invitación simposio SEN-SER - Nefro")</f>
        <v>LUP - VAE invitación simposio SEN-SER - Nefro</v>
      </c>
      <c r="E861" s="22" t="str">
        <f>HYPERLINK("https://otsuka-europe-crm.veevavault.com/ui/#object/sent_email__v/VBL00000002N271", "SE-001431252")</f>
        <v>SE-001431252</v>
      </c>
      <c r="F861" s="25"/>
      <c r="G861" s="24">
        <v>0</v>
      </c>
      <c r="H861" s="24">
        <v>0</v>
      </c>
      <c r="I861" s="24">
        <v>0</v>
      </c>
      <c r="J861" s="25"/>
      <c r="K861" s="24">
        <v>0</v>
      </c>
      <c r="L861" s="22" t="str">
        <f>HYPERLINK("https://otsuka-europe-crm.veevavault.com/ui/#object/approved_document__v/V5O00000001H022", "LUP - VAE invitación simposio SEN-SER - Nefro")</f>
        <v>LUP - VAE invitación simposio SEN-SER - Nefro</v>
      </c>
      <c r="M861" s="22" t="str">
        <f>HYPERLINK("mailto:vvalladares@crm.otsuka-europe.com", "vvalladares@crm.otsuka-europe.com")</f>
        <v>vvalladares@crm.otsuka-europe.com</v>
      </c>
      <c r="N861" s="23">
        <v>46175.463923611111</v>
      </c>
      <c r="O861" s="14" t="str">
        <f>HYPERLINK("https://otsuka-europe-crm.veevavault.com/ui/#object/email_activity__v/V8C00000003K980", "EN-002087767")</f>
        <v>EN-002087767</v>
      </c>
    </row>
    <row r="862" spans="1:15" ht="16" x14ac:dyDescent="0.2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4" t="str">
        <f>HYPERLINK("https://otsuka-europe-crm.veevavault.com/ui/#object/email_activity__v/V8C00000003L443", "EN-002087031")</f>
        <v>EN-002087031</v>
      </c>
    </row>
    <row r="863" spans="1:15" ht="16" x14ac:dyDescent="0.2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4" t="str">
        <f>HYPERLINK("https://otsuka-europe-crm.veevavault.com/ui/#object/email_activity__v/V8C00000003N713", "EN-002089208")</f>
        <v>EN-002089208</v>
      </c>
    </row>
    <row r="864" spans="1:15" ht="32" x14ac:dyDescent="0.2">
      <c r="A864" s="7" t="str">
        <f>HYPERLINK("https://otsuka-europe-crm.veevavault.com/ui/#object/account__v/V4TZ04ASG9B14WZ", "CARLA RODRIGUEZ ALVAREZ")</f>
        <v>CARLA RODRIGUEZ ALVAREZ</v>
      </c>
      <c r="B864" s="7" t="str">
        <f>HYPERLINK("https://otsuka-europe-crm.veevavault.com/ui/#object/vcountry__v/VENZ000004SONF5", "ES")</f>
        <v>ES</v>
      </c>
      <c r="C864" s="8" t="s">
        <v>41</v>
      </c>
      <c r="D864" s="9" t="str">
        <f>HYPERLINK("https://otsuka-europe-crm.veevavault.com/ui/#object/approved_document__v/V5O00000001H022", "LUP - VAE invitación simposio SEN-SER - Nefro")</f>
        <v>LUP - VAE invitación simposio SEN-SER - Nefro</v>
      </c>
      <c r="E864" s="10" t="str">
        <f>HYPERLINK("https://otsuka-europe-crm.veevavault.com/ui/#object/sent_email__v/VBL00000002N272", "SE-001431253")</f>
        <v>SE-001431253</v>
      </c>
      <c r="F864" s="11"/>
      <c r="G864" s="12">
        <v>0</v>
      </c>
      <c r="H864" s="12">
        <v>0</v>
      </c>
      <c r="I864" s="12">
        <v>0</v>
      </c>
      <c r="J864" s="11"/>
      <c r="K864" s="12">
        <v>0</v>
      </c>
      <c r="L864" s="10" t="str">
        <f>HYPERLINK("https://otsuka-europe-crm.veevavault.com/ui/#object/approved_document__v/V5O00000001H022", "LUP - VAE invitación simposio SEN-SER - Nefro")</f>
        <v>LUP - VAE invitación simposio SEN-SER - Nefro</v>
      </c>
      <c r="M864" s="10" t="str">
        <f>HYPERLINK("mailto:vvalladares@crm.otsuka-europe.com", "vvalladares@crm.otsuka-europe.com")</f>
        <v>vvalladares@crm.otsuka-europe.com</v>
      </c>
      <c r="N864" s="13">
        <v>46175.463865740741</v>
      </c>
      <c r="O864" s="14" t="str">
        <f>HYPERLINK("https://otsuka-europe-crm.veevavault.com/ui/#object/email_activity__v/V8C00000003L402", "EN-002086990")</f>
        <v>EN-002086990</v>
      </c>
    </row>
    <row r="865" spans="1:15" ht="16" x14ac:dyDescent="0.2">
      <c r="A865" s="17" t="str">
        <f>HYPERLINK("https://otsuka-europe-crm.veevavault.com/ui/#object/account__v/V4TZ06G6O71T9BX", "FRANCISCO JOSE BORREGO UTIEL")</f>
        <v>FRANCISCO JOSE BORREGO UTIEL</v>
      </c>
      <c r="B865" s="17" t="str">
        <f>HYPERLINK("https://otsuka-europe-crm.veevavault.com/ui/#object/vcountry__v/VENZ000004SONF5", "ES")</f>
        <v>ES</v>
      </c>
      <c r="C865" s="20" t="s">
        <v>41</v>
      </c>
      <c r="D865" s="21" t="str">
        <f>HYPERLINK("https://otsuka-europe-crm.veevavault.com/ui/#object/approved_document__v/V5O00000001H022", "LUP - VAE invitación simposio SEN-SER - Nefro")</f>
        <v>LUP - VAE invitación simposio SEN-SER - Nefro</v>
      </c>
      <c r="E865" s="22" t="str">
        <f>HYPERLINK("https://otsuka-europe-crm.veevavault.com/ui/#object/sent_email__v/VBL00000002N273", "SE-001431254")</f>
        <v>SE-001431254</v>
      </c>
      <c r="F865" s="25"/>
      <c r="G865" s="24">
        <v>0</v>
      </c>
      <c r="H865" s="24">
        <v>0</v>
      </c>
      <c r="I865" s="24">
        <v>0</v>
      </c>
      <c r="J865" s="25"/>
      <c r="K865" s="24">
        <v>0</v>
      </c>
      <c r="L865" s="22" t="str">
        <f>HYPERLINK("https://otsuka-europe-crm.veevavault.com/ui/#object/approved_document__v/V5O00000001H022", "LUP - VAE invitación simposio SEN-SER - Nefro")</f>
        <v>LUP - VAE invitación simposio SEN-SER - Nefro</v>
      </c>
      <c r="M865" s="22" t="str">
        <f>HYPERLINK("mailto:vvalladares@crm.otsuka-europe.com", "vvalladares@crm.otsuka-europe.com")</f>
        <v>vvalladares@crm.otsuka-europe.com</v>
      </c>
      <c r="N865" s="23">
        <v>46175.463888888888</v>
      </c>
      <c r="O865" s="14" t="str">
        <f>HYPERLINK("https://otsuka-europe-crm.veevavault.com/ui/#object/email_activity__v/V8C00000003L449", "EN-002087037")</f>
        <v>EN-002087037</v>
      </c>
    </row>
    <row r="866" spans="1:15" ht="16" x14ac:dyDescent="0.2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4" t="str">
        <f>HYPERLINK("https://otsuka-europe-crm.veevavault.com/ui/#object/email_activity__v/V8C00000003N261", "EN-002088336")</f>
        <v>EN-002088336</v>
      </c>
    </row>
    <row r="867" spans="1:15" ht="16" x14ac:dyDescent="0.2">
      <c r="A867" s="17" t="str">
        <f>HYPERLINK("https://otsuka-europe-crm.veevavault.com/ui/#object/account__v/V4TZ025E8577XJH", "MARIA JESUS ALFEREZ ALFEREZ")</f>
        <v>MARIA JESUS ALFEREZ ALFEREZ</v>
      </c>
      <c r="B867" s="17" t="str">
        <f>HYPERLINK("https://otsuka-europe-crm.veevavault.com/ui/#object/vcountry__v/VENZ000004SONF5", "ES")</f>
        <v>ES</v>
      </c>
      <c r="C867" s="20" t="s">
        <v>41</v>
      </c>
      <c r="D867" s="21" t="str">
        <f>HYPERLINK("https://otsuka-europe-crm.veevavault.com/ui/#object/approved_document__v/V5O00000001H022", "LUP - VAE invitación simposio SEN-SER - Nefro")</f>
        <v>LUP - VAE invitación simposio SEN-SER - Nefro</v>
      </c>
      <c r="E867" s="22" t="str">
        <f>HYPERLINK("https://otsuka-europe-crm.veevavault.com/ui/#object/sent_email__v/VBL00000002N274", "SE-001431255")</f>
        <v>SE-001431255</v>
      </c>
      <c r="F867" s="23">
        <v>46175.474050925928</v>
      </c>
      <c r="G867" s="24">
        <v>1</v>
      </c>
      <c r="H867" s="24">
        <v>1</v>
      </c>
      <c r="I867" s="24">
        <v>0</v>
      </c>
      <c r="J867" s="25"/>
      <c r="K867" s="24">
        <v>0</v>
      </c>
      <c r="L867" s="22" t="str">
        <f>HYPERLINK("https://otsuka-europe-crm.veevavault.com/ui/#object/approved_document__v/V5O00000001H022", "LUP - VAE invitación simposio SEN-SER - Nefro")</f>
        <v>LUP - VAE invitación simposio SEN-SER - Nefro</v>
      </c>
      <c r="M867" s="22" t="str">
        <f>HYPERLINK("mailto:vvalladares@crm.otsuka-europe.com", "vvalladares@crm.otsuka-europe.com")</f>
        <v>vvalladares@crm.otsuka-europe.com</v>
      </c>
      <c r="N867" s="23">
        <v>46175.463865740741</v>
      </c>
      <c r="O867" s="14" t="str">
        <f>HYPERLINK("https://otsuka-europe-crm.veevavault.com/ui/#object/email_activity__v/V8C00000003K731", "EN-002087284")</f>
        <v>EN-002087284</v>
      </c>
    </row>
    <row r="868" spans="1:15" ht="16" x14ac:dyDescent="0.2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4" t="str">
        <f>HYPERLINK("https://otsuka-europe-crm.veevavault.com/ui/#object/email_activity__v/V8C00000003L469", "EN-002087057")</f>
        <v>EN-002087057</v>
      </c>
    </row>
    <row r="869" spans="1:15" ht="16" x14ac:dyDescent="0.2">
      <c r="A869" s="17" t="str">
        <f>HYPERLINK("https://otsuka-europe-crm.veevavault.com/ui/#object/account__v/V4TZ06G6O71T89G", "TERESA VAZQUEZ SANCHEZ")</f>
        <v>TERESA VAZQUEZ SANCHEZ</v>
      </c>
      <c r="B869" s="17" t="str">
        <f>HYPERLINK("https://otsuka-europe-crm.veevavault.com/ui/#object/vcountry__v/VENZ000004SONF5", "ES")</f>
        <v>ES</v>
      </c>
      <c r="C869" s="20" t="s">
        <v>41</v>
      </c>
      <c r="D869" s="21" t="str">
        <f>HYPERLINK("https://otsuka-europe-crm.veevavault.com/ui/#object/approved_document__v/V5O00000001H022", "LUP - VAE invitación simposio SEN-SER - Nefro")</f>
        <v>LUP - VAE invitación simposio SEN-SER - Nefro</v>
      </c>
      <c r="E869" s="22" t="str">
        <f>HYPERLINK("https://otsuka-europe-crm.veevavault.com/ui/#object/sent_email__v/VBL00000002N275", "SE-001431256")</f>
        <v>SE-001431256</v>
      </c>
      <c r="F869" s="25"/>
      <c r="G869" s="24">
        <v>0</v>
      </c>
      <c r="H869" s="24">
        <v>0</v>
      </c>
      <c r="I869" s="24">
        <v>0</v>
      </c>
      <c r="J869" s="25"/>
      <c r="K869" s="24">
        <v>0</v>
      </c>
      <c r="L869" s="22" t="str">
        <f>HYPERLINK("https://otsuka-europe-crm.veevavault.com/ui/#object/approved_document__v/V5O00000001H022", "LUP - VAE invitación simposio SEN-SER - Nefro")</f>
        <v>LUP - VAE invitación simposio SEN-SER - Nefro</v>
      </c>
      <c r="M869" s="22" t="str">
        <f>HYPERLINK("mailto:vvalladares@crm.otsuka-europe.com", "vvalladares@crm.otsuka-europe.com")</f>
        <v>vvalladares@crm.otsuka-europe.com</v>
      </c>
      <c r="N869" s="23">
        <v>46175.463865740741</v>
      </c>
      <c r="O869" s="14" t="str">
        <f>HYPERLINK("https://otsuka-europe-crm.veevavault.com/ui/#object/email_activity__v/V8C00000003L455", "EN-002087043")</f>
        <v>EN-002087043</v>
      </c>
    </row>
    <row r="870" spans="1:15" ht="16" x14ac:dyDescent="0.2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4" t="str">
        <f>HYPERLINK("https://otsuka-europe-crm.veevavault.com/ui/#object/email_activity__v/V8C00000003M240", "EN-002088447")</f>
        <v>EN-002088447</v>
      </c>
    </row>
    <row r="871" spans="1:15" ht="16" x14ac:dyDescent="0.2">
      <c r="A871" s="17" t="str">
        <f>HYPERLINK("https://otsuka-europe-crm.veevavault.com/ui/#object/account__v/V4TZ06G6O71U94M", "DIOMARIS ALTAGRACIA GUZMAN REGALADO")</f>
        <v>DIOMARIS ALTAGRACIA GUZMAN REGALADO</v>
      </c>
      <c r="B871" s="17" t="str">
        <f>HYPERLINK("https://otsuka-europe-crm.veevavault.com/ui/#object/vcountry__v/VENZ000004SONF5", "ES")</f>
        <v>ES</v>
      </c>
      <c r="C871" s="20" t="s">
        <v>41</v>
      </c>
      <c r="D871" s="21" t="str">
        <f>HYPERLINK("https://otsuka-europe-crm.veevavault.com/ui/#object/approved_document__v/V5O00000001H022", "LUP - VAE invitación simposio SEN-SER - Nefro")</f>
        <v>LUP - VAE invitación simposio SEN-SER - Nefro</v>
      </c>
      <c r="E871" s="22" t="str">
        <f>HYPERLINK("https://otsuka-europe-crm.veevavault.com/ui/#object/sent_email__v/VBL00000002N276", "SE-001431257")</f>
        <v>SE-001431257</v>
      </c>
      <c r="F871" s="25"/>
      <c r="G871" s="24">
        <v>0</v>
      </c>
      <c r="H871" s="24">
        <v>0</v>
      </c>
      <c r="I871" s="24">
        <v>0</v>
      </c>
      <c r="J871" s="25"/>
      <c r="K871" s="24">
        <v>0</v>
      </c>
      <c r="L871" s="22" t="str">
        <f>HYPERLINK("https://otsuka-europe-crm.veevavault.com/ui/#object/approved_document__v/V5O00000001H022", "LUP - VAE invitación simposio SEN-SER - Nefro")</f>
        <v>LUP - VAE invitación simposio SEN-SER - Nefro</v>
      </c>
      <c r="M871" s="22" t="str">
        <f>HYPERLINK("mailto:vvalladares@crm.otsuka-europe.com", "vvalladares@crm.otsuka-europe.com")</f>
        <v>vvalladares@crm.otsuka-europe.com</v>
      </c>
      <c r="N871" s="23">
        <v>46175.463888888888</v>
      </c>
      <c r="O871" s="14" t="str">
        <f>HYPERLINK("https://otsuka-europe-crm.veevavault.com/ui/#object/email_activity__v/V8C00000003L453", "EN-002087041")</f>
        <v>EN-002087041</v>
      </c>
    </row>
    <row r="872" spans="1:15" ht="16" x14ac:dyDescent="0.2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4" t="str">
        <f>HYPERLINK("https://otsuka-europe-crm.veevavault.com/ui/#object/email_activity__v/V8C00000003L733", "EN-002087441")</f>
        <v>EN-002087441</v>
      </c>
    </row>
    <row r="873" spans="1:15" ht="16" x14ac:dyDescent="0.2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4" t="str">
        <f>HYPERLINK("https://otsuka-europe-crm.veevavault.com/ui/#object/email_activity__v/V8C00000003M421", "EN-002088864")</f>
        <v>EN-002088864</v>
      </c>
    </row>
    <row r="874" spans="1:15" ht="16" x14ac:dyDescent="0.2">
      <c r="A874" s="17" t="str">
        <f>HYPERLINK("https://otsuka-europe-crm.veevavault.com/ui/#object/account__v/V4TZ06G6O71TBO8", "MARIA DOLORES PRADOS GARRIDO")</f>
        <v>MARIA DOLORES PRADOS GARRIDO</v>
      </c>
      <c r="B874" s="17" t="str">
        <f>HYPERLINK("https://otsuka-europe-crm.veevavault.com/ui/#object/vcountry__v/VENZ000004SONF5", "ES")</f>
        <v>ES</v>
      </c>
      <c r="C874" s="20" t="s">
        <v>41</v>
      </c>
      <c r="D874" s="21" t="str">
        <f>HYPERLINK("https://otsuka-europe-crm.veevavault.com/ui/#object/approved_document__v/V5O00000001H022", "LUP - VAE invitación simposio SEN-SER - Nefro")</f>
        <v>LUP - VAE invitación simposio SEN-SER - Nefro</v>
      </c>
      <c r="E874" s="22" t="str">
        <f>HYPERLINK("https://otsuka-europe-crm.veevavault.com/ui/#object/sent_email__v/VBL00000002N277", "SE-001431258")</f>
        <v>SE-001431258</v>
      </c>
      <c r="F874" s="25"/>
      <c r="G874" s="24">
        <v>0</v>
      </c>
      <c r="H874" s="24">
        <v>0</v>
      </c>
      <c r="I874" s="24">
        <v>0</v>
      </c>
      <c r="J874" s="25"/>
      <c r="K874" s="24">
        <v>0</v>
      </c>
      <c r="L874" s="22" t="str">
        <f>HYPERLINK("https://otsuka-europe-crm.veevavault.com/ui/#object/approved_document__v/V5O00000001H022", "LUP - VAE invitación simposio SEN-SER - Nefro")</f>
        <v>LUP - VAE invitación simposio SEN-SER - Nefro</v>
      </c>
      <c r="M874" s="22" t="str">
        <f>HYPERLINK("mailto:vvalladares@crm.otsuka-europe.com", "vvalladares@crm.otsuka-europe.com")</f>
        <v>vvalladares@crm.otsuka-europe.com</v>
      </c>
      <c r="N874" s="23">
        <v>46175.463888888888</v>
      </c>
      <c r="O874" s="14" t="str">
        <f>HYPERLINK("https://otsuka-europe-crm.veevavault.com/ui/#object/email_activity__v/V8C00000003L415", "EN-002087003")</f>
        <v>EN-002087003</v>
      </c>
    </row>
    <row r="875" spans="1:15" ht="16" x14ac:dyDescent="0.2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4" t="str">
        <f>HYPERLINK("https://otsuka-europe-crm.veevavault.com/ui/#object/email_activity__v/V8C00000003N241", "EN-002088288")</f>
        <v>EN-002088288</v>
      </c>
    </row>
    <row r="876" spans="1:15" ht="16" x14ac:dyDescent="0.2">
      <c r="A876" s="17" t="str">
        <f>HYPERLINK("https://otsuka-europe-crm.veevavault.com/ui/#object/account__v/V4TZ06G6O71TAHH", "DOMINGO JERONIMO HERNANDEZ MARRERO")</f>
        <v>DOMINGO JERONIMO HERNANDEZ MARRERO</v>
      </c>
      <c r="B876" s="17" t="str">
        <f>HYPERLINK("https://otsuka-europe-crm.veevavault.com/ui/#object/vcountry__v/VENZ000004SONF5", "ES")</f>
        <v>ES</v>
      </c>
      <c r="C876" s="20" t="s">
        <v>41</v>
      </c>
      <c r="D876" s="21" t="str">
        <f>HYPERLINK("https://otsuka-europe-crm.veevavault.com/ui/#object/approved_document__v/V5O00000001H022", "LUP - VAE invitación simposio SEN-SER - Nefro")</f>
        <v>LUP - VAE invitación simposio SEN-SER - Nefro</v>
      </c>
      <c r="E876" s="22" t="str">
        <f>HYPERLINK("https://otsuka-europe-crm.veevavault.com/ui/#object/sent_email__v/VBL00000002N278", "SE-001431259")</f>
        <v>SE-001431259</v>
      </c>
      <c r="F876" s="25"/>
      <c r="G876" s="24">
        <v>0</v>
      </c>
      <c r="H876" s="24">
        <v>0</v>
      </c>
      <c r="I876" s="24">
        <v>0</v>
      </c>
      <c r="J876" s="25"/>
      <c r="K876" s="24">
        <v>0</v>
      </c>
      <c r="L876" s="22" t="str">
        <f>HYPERLINK("https://otsuka-europe-crm.veevavault.com/ui/#object/approved_document__v/V5O00000001H022", "LUP - VAE invitación simposio SEN-SER - Nefro")</f>
        <v>LUP - VAE invitación simposio SEN-SER - Nefro</v>
      </c>
      <c r="M876" s="22" t="str">
        <f>HYPERLINK("mailto:vvalladares@crm.otsuka-europe.com", "vvalladares@crm.otsuka-europe.com")</f>
        <v>vvalladares@crm.otsuka-europe.com</v>
      </c>
      <c r="N876" s="23">
        <v>46175.463888888888</v>
      </c>
      <c r="O876" s="14" t="str">
        <f>HYPERLINK("https://otsuka-europe-crm.veevavault.com/ui/#object/email_activity__v/V8C00000003L441", "EN-002087029")</f>
        <v>EN-002087029</v>
      </c>
    </row>
    <row r="877" spans="1:15" ht="16" x14ac:dyDescent="0.2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4" t="str">
        <f>HYPERLINK("https://otsuka-europe-crm.veevavault.com/ui/#object/email_activity__v/V8C00000003M242", "EN-002088449")</f>
        <v>EN-002088449</v>
      </c>
    </row>
    <row r="878" spans="1:15" ht="32" x14ac:dyDescent="0.2">
      <c r="A878" s="7" t="str">
        <f>HYPERLINK("https://otsuka-europe-crm.veevavault.com/ui/#object/account__v/V4TZ06G6O71TCC6", "ARMANDO TORRES RAMIREZ")</f>
        <v>ARMANDO TORRES RAMIREZ</v>
      </c>
      <c r="B878" s="7" t="str">
        <f>HYPERLINK("https://otsuka-europe-crm.veevavault.com/ui/#object/vcountry__v/VENZ000004SONF5", "ES")</f>
        <v>ES</v>
      </c>
      <c r="C878" s="8" t="s">
        <v>41</v>
      </c>
      <c r="D878" s="9" t="str">
        <f>HYPERLINK("https://otsuka-europe-crm.veevavault.com/ui/#object/approved_document__v/V5O00000001H022", "LUP - VAE invitación simposio SEN-SER - Nefro")</f>
        <v>LUP - VAE invitación simposio SEN-SER - Nefro</v>
      </c>
      <c r="E878" s="10" t="str">
        <f>HYPERLINK("https://otsuka-europe-crm.veevavault.com/ui/#object/sent_email__v/VBL00000002N279", "SE-001431260")</f>
        <v>SE-001431260</v>
      </c>
      <c r="F878" s="11"/>
      <c r="G878" s="12">
        <v>0</v>
      </c>
      <c r="H878" s="12">
        <v>0</v>
      </c>
      <c r="I878" s="12">
        <v>0</v>
      </c>
      <c r="J878" s="11"/>
      <c r="K878" s="12">
        <v>0</v>
      </c>
      <c r="L878" s="10" t="str">
        <f>HYPERLINK("https://otsuka-europe-crm.veevavault.com/ui/#object/approved_document__v/V5O00000001H022", "LUP - VAE invitación simposio SEN-SER - Nefro")</f>
        <v>LUP - VAE invitación simposio SEN-SER - Nefro</v>
      </c>
      <c r="M878" s="10" t="str">
        <f>HYPERLINK("mailto:vvalladares@crm.otsuka-europe.com", "vvalladares@crm.otsuka-europe.com")</f>
        <v>vvalladares@crm.otsuka-europe.com</v>
      </c>
      <c r="N878" s="13">
        <v>46175.463865740741</v>
      </c>
      <c r="O878" s="14" t="str">
        <f>HYPERLINK("https://otsuka-europe-crm.veevavault.com/ui/#object/email_activity__v/V8C00000003L502", "EN-002087090")</f>
        <v>EN-002087090</v>
      </c>
    </row>
    <row r="879" spans="1:15" ht="32" x14ac:dyDescent="0.2">
      <c r="A879" s="7" t="str">
        <f>HYPERLINK("https://otsuka-europe-crm.veevavault.com/ui/#object/account__v/V4TZ06G6O71T9SU", "MARIA DOLORES DEL PINO Y PINO")</f>
        <v>MARIA DOLORES DEL PINO Y PINO</v>
      </c>
      <c r="B879" s="7" t="str">
        <f>HYPERLINK("https://otsuka-europe-crm.veevavault.com/ui/#object/vcountry__v/VENZ000004SONF5", "ES")</f>
        <v>ES</v>
      </c>
      <c r="C879" s="8" t="s">
        <v>41</v>
      </c>
      <c r="D879" s="9" t="str">
        <f>HYPERLINK("https://otsuka-europe-crm.veevavault.com/ui/#object/approved_document__v/V5O00000001H022", "LUP - VAE invitación simposio SEN-SER - Nefro")</f>
        <v>LUP - VAE invitación simposio SEN-SER - Nefro</v>
      </c>
      <c r="E879" s="10" t="str">
        <f>HYPERLINK("https://otsuka-europe-crm.veevavault.com/ui/#object/sent_email__v/VBL00000002N280", "SE-001431261")</f>
        <v>SE-001431261</v>
      </c>
      <c r="F879" s="11"/>
      <c r="G879" s="12">
        <v>0</v>
      </c>
      <c r="H879" s="12">
        <v>0</v>
      </c>
      <c r="I879" s="12">
        <v>0</v>
      </c>
      <c r="J879" s="11"/>
      <c r="K879" s="12">
        <v>0</v>
      </c>
      <c r="L879" s="10" t="str">
        <f>HYPERLINK("https://otsuka-europe-crm.veevavault.com/ui/#object/approved_document__v/V5O00000001H022", "LUP - VAE invitación simposio SEN-SER - Nefro")</f>
        <v>LUP - VAE invitación simposio SEN-SER - Nefro</v>
      </c>
      <c r="M879" s="10" t="str">
        <f>HYPERLINK("mailto:vvalladares@crm.otsuka-europe.com", "vvalladares@crm.otsuka-europe.com")</f>
        <v>vvalladares@crm.otsuka-europe.com</v>
      </c>
      <c r="N879" s="13">
        <v>46175.463865740741</v>
      </c>
      <c r="O879" s="14" t="str">
        <f>HYPERLINK("https://otsuka-europe-crm.veevavault.com/ui/#object/email_activity__v/V8C00000003L503", "EN-002087091")</f>
        <v>EN-002087091</v>
      </c>
    </row>
    <row r="880" spans="1:15" ht="32" x14ac:dyDescent="0.2">
      <c r="A880" s="7" t="str">
        <f>HYPERLINK("https://otsuka-europe-crm.veevavault.com/ui/#object/account__v/V4TZ06G6O71T7XN", "YNGRID MARIBY MARROQUIN CONTRERAS")</f>
        <v>YNGRID MARIBY MARROQUIN CONTRERAS</v>
      </c>
      <c r="B880" s="7" t="str">
        <f>HYPERLINK("https://otsuka-europe-crm.veevavault.com/ui/#object/vcountry__v/VENZ000004SONF5", "ES")</f>
        <v>ES</v>
      </c>
      <c r="C880" s="8" t="s">
        <v>41</v>
      </c>
      <c r="D880" s="9" t="str">
        <f>HYPERLINK("https://otsuka-europe-crm.veevavault.com/ui/#object/approved_document__v/V5O00000001H022", "LUP - VAE invitación simposio SEN-SER - Nefro")</f>
        <v>LUP - VAE invitación simposio SEN-SER - Nefro</v>
      </c>
      <c r="E880" s="10" t="str">
        <f>HYPERLINK("https://otsuka-europe-crm.veevavault.com/ui/#object/sent_email__v/VBL00000002N281", "SE-001431262")</f>
        <v>SE-001431262</v>
      </c>
      <c r="F880" s="11"/>
      <c r="G880" s="12">
        <v>0</v>
      </c>
      <c r="H880" s="12">
        <v>0</v>
      </c>
      <c r="I880" s="12">
        <v>0</v>
      </c>
      <c r="J880" s="11"/>
      <c r="K880" s="12">
        <v>0</v>
      </c>
      <c r="L880" s="10" t="str">
        <f>HYPERLINK("https://otsuka-europe-crm.veevavault.com/ui/#object/approved_document__v/V5O00000001H022", "LUP - VAE invitación simposio SEN-SER - Nefro")</f>
        <v>LUP - VAE invitación simposio SEN-SER - Nefro</v>
      </c>
      <c r="M880" s="10" t="str">
        <f>HYPERLINK("mailto:vvalladares@crm.otsuka-europe.com", "vvalladares@crm.otsuka-europe.com")</f>
        <v>vvalladares@crm.otsuka-europe.com</v>
      </c>
      <c r="N880" s="13">
        <v>46175.463865740741</v>
      </c>
      <c r="O880" s="14" t="str">
        <f>HYPERLINK("https://otsuka-europe-crm.veevavault.com/ui/#object/email_activity__v/V8C00000003L468", "EN-002087056")</f>
        <v>EN-002087056</v>
      </c>
    </row>
    <row r="881" spans="1:15" ht="32" x14ac:dyDescent="0.2">
      <c r="A881" s="7" t="str">
        <f>HYPERLINK("https://otsuka-europe-crm.veevavault.com/ui/#object/account__v/V4TZ025E87AAYME", "DAVID SALCEDO HERRERO")</f>
        <v>DAVID SALCEDO HERRERO</v>
      </c>
      <c r="B881" s="7" t="str">
        <f>HYPERLINK("https://otsuka-europe-crm.veevavault.com/ui/#object/vcountry__v/VENZ000004SONF5", "ES")</f>
        <v>ES</v>
      </c>
      <c r="C881" s="8" t="s">
        <v>41</v>
      </c>
      <c r="D881" s="9" t="str">
        <f>HYPERLINK("https://otsuka-europe-crm.veevavault.com/ui/#object/approved_document__v/V5O00000001H022", "LUP - VAE invitación simposio SEN-SER - Nefro")</f>
        <v>LUP - VAE invitación simposio SEN-SER - Nefro</v>
      </c>
      <c r="E881" s="10" t="str">
        <f>HYPERLINK("https://otsuka-europe-crm.veevavault.com/ui/#object/sent_email__v/VBL00000002N282", "SE-001431263")</f>
        <v>SE-001431263</v>
      </c>
      <c r="F881" s="11"/>
      <c r="G881" s="12">
        <v>0</v>
      </c>
      <c r="H881" s="12">
        <v>0</v>
      </c>
      <c r="I881" s="12">
        <v>0</v>
      </c>
      <c r="J881" s="11"/>
      <c r="K881" s="12">
        <v>0</v>
      </c>
      <c r="L881" s="10" t="str">
        <f>HYPERLINK("https://otsuka-europe-crm.veevavault.com/ui/#object/approved_document__v/V5O00000001H022", "LUP - VAE invitación simposio SEN-SER - Nefro")</f>
        <v>LUP - VAE invitación simposio SEN-SER - Nefro</v>
      </c>
      <c r="M881" s="10" t="str">
        <f>HYPERLINK("mailto:vvalladares@crm.otsuka-europe.com", "vvalladares@crm.otsuka-europe.com")</f>
        <v>vvalladares@crm.otsuka-europe.com</v>
      </c>
      <c r="N881" s="13">
        <v>46175.463865740741</v>
      </c>
      <c r="O881" s="14" t="str">
        <f>HYPERLINK("https://otsuka-europe-crm.veevavault.com/ui/#object/email_activity__v/V8C00000003L421", "EN-002087009")</f>
        <v>EN-002087009</v>
      </c>
    </row>
    <row r="882" spans="1:15" ht="16" x14ac:dyDescent="0.2">
      <c r="A882" s="17" t="str">
        <f>HYPERLINK("https://otsuka-europe-crm.veevavault.com/ui/#object/account__v/V4TZ06G6O71TBOA", "MARIA CARMEN PRADOS SOLER")</f>
        <v>MARIA CARMEN PRADOS SOLER</v>
      </c>
      <c r="B882" s="17" t="str">
        <f>HYPERLINK("https://otsuka-europe-crm.veevavault.com/ui/#object/vcountry__v/VENZ000004SONF5", "ES")</f>
        <v>ES</v>
      </c>
      <c r="C882" s="20" t="s">
        <v>41</v>
      </c>
      <c r="D882" s="21" t="str">
        <f>HYPERLINK("https://otsuka-europe-crm.veevavault.com/ui/#object/approved_document__v/V5O00000001H022", "LUP - VAE invitación simposio SEN-SER - Nefro")</f>
        <v>LUP - VAE invitación simposio SEN-SER - Nefro</v>
      </c>
      <c r="E882" s="22" t="str">
        <f>HYPERLINK("https://otsuka-europe-crm.veevavault.com/ui/#object/sent_email__v/VBL00000002N283", "SE-001431264")</f>
        <v>SE-001431264</v>
      </c>
      <c r="F882" s="23">
        <v>46175.789236111108</v>
      </c>
      <c r="G882" s="24">
        <v>1</v>
      </c>
      <c r="H882" s="24">
        <v>4</v>
      </c>
      <c r="I882" s="24">
        <v>1</v>
      </c>
      <c r="J882" s="23">
        <v>46175.790868055556</v>
      </c>
      <c r="K882" s="24">
        <v>2</v>
      </c>
      <c r="L882" s="22" t="str">
        <f>HYPERLINK("https://otsuka-europe-crm.veevavault.com/ui/#object/approved_document__v/V5O00000001H022", "LUP - VAE invitación simposio SEN-SER - Nefro")</f>
        <v>LUP - VAE invitación simposio SEN-SER - Nefro</v>
      </c>
      <c r="M882" s="22" t="str">
        <f>HYPERLINK("mailto:vvalladares@crm.otsuka-europe.com", "vvalladares@crm.otsuka-europe.com")</f>
        <v>vvalladares@crm.otsuka-europe.com</v>
      </c>
      <c r="N882" s="23">
        <v>46175.463888888888</v>
      </c>
      <c r="O882" s="14" t="str">
        <f>HYPERLINK("https://otsuka-europe-crm.veevavault.com/ui/#object/email_activity__v/V8C00000003K839", "EN-002087531")</f>
        <v>EN-002087531</v>
      </c>
    </row>
    <row r="883" spans="1:15" ht="16" x14ac:dyDescent="0.2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4" t="str">
        <f>HYPERLINK("https://otsuka-europe-crm.veevavault.com/ui/#object/email_activity__v/V8C00000003K841", "EN-002087533")</f>
        <v>EN-002087533</v>
      </c>
    </row>
    <row r="884" spans="1:15" ht="16" x14ac:dyDescent="0.2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4" t="str">
        <f>HYPERLINK("https://otsuka-europe-crm.veevavault.com/ui/#object/email_activity__v/V8C00000003L439", "EN-002087027")</f>
        <v>EN-002087027</v>
      </c>
    </row>
    <row r="885" spans="1:15" ht="16" x14ac:dyDescent="0.2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4" t="str">
        <f>HYPERLINK("https://otsuka-europe-crm.veevavault.com/ui/#object/email_activity__v/V8C00000003L780", "EN-002087529")</f>
        <v>EN-002087529</v>
      </c>
    </row>
    <row r="886" spans="1:15" ht="16" x14ac:dyDescent="0.2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4" t="str">
        <f>HYPERLINK("https://otsuka-europe-crm.veevavault.com/ui/#object/email_activity__v/V8C00000003L781", "EN-002087530")</f>
        <v>EN-002087530</v>
      </c>
    </row>
    <row r="887" spans="1:15" ht="16" x14ac:dyDescent="0.2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4" t="str">
        <f>HYPERLINK("https://otsuka-europe-crm.veevavault.com/ui/#object/email_activity__v/V8C00000003L921", "EN-002087833")</f>
        <v>EN-002087833</v>
      </c>
    </row>
    <row r="888" spans="1:15" ht="16" x14ac:dyDescent="0.2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4" t="str">
        <f>HYPERLINK("https://otsuka-europe-crm.veevavault.com/ui/#object/email_activity__v/V8C00000003M148", "EN-002088302")</f>
        <v>EN-002088302</v>
      </c>
    </row>
    <row r="889" spans="1:15" ht="16" x14ac:dyDescent="0.2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4" t="str">
        <f>HYPERLINK("https://otsuka-europe-crm.veevavault.com/ui/#object/email_activity__v/V8C00000003M149", "EN-002088303")</f>
        <v>EN-002088303</v>
      </c>
    </row>
    <row r="890" spans="1:15" ht="16" x14ac:dyDescent="0.2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4" t="str">
        <f>HYPERLINK("https://otsuka-europe-crm.veevavault.com/ui/#object/email_activity__v/V8C00000003N250", "EN-002088316")</f>
        <v>EN-002088316</v>
      </c>
    </row>
    <row r="891" spans="1:15" ht="32" x14ac:dyDescent="0.2">
      <c r="A891" s="7" t="str">
        <f>HYPERLINK("https://otsuka-europe-crm.veevavault.com/ui/#object/account__v/V4TZ06G6O71T8Z8", "SARA ESTUPIÑAN TORRES")</f>
        <v>SARA ESTUPIÑAN TORRES</v>
      </c>
      <c r="B891" s="7" t="str">
        <f>HYPERLINK("https://otsuka-europe-crm.veevavault.com/ui/#object/vcountry__v/VENZ000004SONF5", "ES")</f>
        <v>ES</v>
      </c>
      <c r="C891" s="8" t="s">
        <v>41</v>
      </c>
      <c r="D891" s="9" t="str">
        <f>HYPERLINK("https://otsuka-europe-crm.veevavault.com/ui/#object/approved_document__v/V5O00000001H022", "LUP - VAE invitación simposio SEN-SER - Nefro")</f>
        <v>LUP - VAE invitación simposio SEN-SER - Nefro</v>
      </c>
      <c r="E891" s="10" t="str">
        <f>HYPERLINK("https://otsuka-europe-crm.veevavault.com/ui/#object/sent_email__v/VBL00000002N284", "SE-001431265")</f>
        <v>SE-001431265</v>
      </c>
      <c r="F891" s="11"/>
      <c r="G891" s="12">
        <v>0</v>
      </c>
      <c r="H891" s="12">
        <v>0</v>
      </c>
      <c r="I891" s="12">
        <v>0</v>
      </c>
      <c r="J891" s="11"/>
      <c r="K891" s="12">
        <v>0</v>
      </c>
      <c r="L891" s="10" t="str">
        <f>HYPERLINK("https://otsuka-europe-crm.veevavault.com/ui/#object/approved_document__v/V5O00000001H022", "LUP - VAE invitación simposio SEN-SER - Nefro")</f>
        <v>LUP - VAE invitación simposio SEN-SER - Nefro</v>
      </c>
      <c r="M891" s="10" t="str">
        <f>HYPERLINK("mailto:vvalladares@crm.otsuka-europe.com", "vvalladares@crm.otsuka-europe.com")</f>
        <v>vvalladares@crm.otsuka-europe.com</v>
      </c>
      <c r="N891" s="13">
        <v>46175.463842592595</v>
      </c>
      <c r="O891" s="14" t="str">
        <f>HYPERLINK("https://otsuka-europe-crm.veevavault.com/ui/#object/email_activity__v/V8C00000003L465", "EN-002087053")</f>
        <v>EN-002087053</v>
      </c>
    </row>
    <row r="892" spans="1:15" ht="32" x14ac:dyDescent="0.2">
      <c r="A892" s="7" t="str">
        <f>HYPERLINK("https://otsuka-europe-crm.veevavault.com/ui/#object/account__v/V4TZ06G6O71T8IZ", "LAURA PIQUERO CALLEJA")</f>
        <v>LAURA PIQUERO CALLEJA</v>
      </c>
      <c r="B892" s="7" t="str">
        <f>HYPERLINK("https://otsuka-europe-crm.veevavault.com/ui/#object/vcountry__v/VENZ000004SONF5", "ES")</f>
        <v>ES</v>
      </c>
      <c r="C892" s="8" t="s">
        <v>41</v>
      </c>
      <c r="D892" s="9" t="str">
        <f>HYPERLINK("https://otsuka-europe-crm.veevavault.com/ui/#object/approved_document__v/V5O00000001H022", "LUP - VAE invitación simposio SEN-SER - Nefro")</f>
        <v>LUP - VAE invitación simposio SEN-SER - Nefro</v>
      </c>
      <c r="E892" s="10" t="str">
        <f>HYPERLINK("https://otsuka-europe-crm.veevavault.com/ui/#object/sent_email__v/VBL00000002N285", "SE-001431266")</f>
        <v>SE-001431266</v>
      </c>
      <c r="F892" s="11"/>
      <c r="G892" s="12">
        <v>0</v>
      </c>
      <c r="H892" s="12">
        <v>0</v>
      </c>
      <c r="I892" s="12">
        <v>0</v>
      </c>
      <c r="J892" s="11"/>
      <c r="K892" s="12">
        <v>0</v>
      </c>
      <c r="L892" s="10" t="str">
        <f>HYPERLINK("https://otsuka-europe-crm.veevavault.com/ui/#object/approved_document__v/V5O00000001H022", "LUP - VAE invitación simposio SEN-SER - Nefro")</f>
        <v>LUP - VAE invitación simposio SEN-SER - Nefro</v>
      </c>
      <c r="M892" s="10" t="str">
        <f>HYPERLINK("mailto:vvalladares@crm.otsuka-europe.com", "vvalladares@crm.otsuka-europe.com")</f>
        <v>vvalladares@crm.otsuka-europe.com</v>
      </c>
      <c r="N892" s="13">
        <v>46175.463842592595</v>
      </c>
      <c r="O892" s="14" t="str">
        <f>HYPERLINK("https://otsuka-europe-crm.veevavault.com/ui/#object/email_activity__v/V8C00000003L481", "EN-002087069")</f>
        <v>EN-002087069</v>
      </c>
    </row>
    <row r="893" spans="1:15" ht="32" x14ac:dyDescent="0.2">
      <c r="A893" s="7" t="str">
        <f>HYPERLINK("https://otsuka-europe-crm.veevavault.com/ui/#object/account__v/V4TZ06G6O71T81P", "ARMINDA FARIÑA HERNANDEZ")</f>
        <v>ARMINDA FARIÑA HERNANDEZ</v>
      </c>
      <c r="B893" s="7" t="str">
        <f>HYPERLINK("https://otsuka-europe-crm.veevavault.com/ui/#object/vcountry__v/VENZ000004SONF5", "ES")</f>
        <v>ES</v>
      </c>
      <c r="C893" s="8" t="s">
        <v>41</v>
      </c>
      <c r="D893" s="9" t="str">
        <f>HYPERLINK("https://otsuka-europe-crm.veevavault.com/ui/#object/approved_document__v/V5O00000001H022", "LUP - VAE invitación simposio SEN-SER - Nefro")</f>
        <v>LUP - VAE invitación simposio SEN-SER - Nefro</v>
      </c>
      <c r="E893" s="10" t="str">
        <f>HYPERLINK("https://otsuka-europe-crm.veevavault.com/ui/#object/sent_email__v/VBL00000002N286", "SE-001431267")</f>
        <v>SE-001431267</v>
      </c>
      <c r="F893" s="11"/>
      <c r="G893" s="12">
        <v>0</v>
      </c>
      <c r="H893" s="12">
        <v>0</v>
      </c>
      <c r="I893" s="12">
        <v>0</v>
      </c>
      <c r="J893" s="11"/>
      <c r="K893" s="12">
        <v>0</v>
      </c>
      <c r="L893" s="10" t="str">
        <f>HYPERLINK("https://otsuka-europe-crm.veevavault.com/ui/#object/approved_document__v/V5O00000001H022", "LUP - VAE invitación simposio SEN-SER - Nefro")</f>
        <v>LUP - VAE invitación simposio SEN-SER - Nefro</v>
      </c>
      <c r="M893" s="10" t="str">
        <f>HYPERLINK("mailto:vvalladares@crm.otsuka-europe.com", "vvalladares@crm.otsuka-europe.com")</f>
        <v>vvalladares@crm.otsuka-europe.com</v>
      </c>
      <c r="N893" s="13">
        <v>46175.463819444441</v>
      </c>
      <c r="O893" s="14" t="str">
        <f>HYPERLINK("https://otsuka-europe-crm.veevavault.com/ui/#object/email_activity__v/V8C00000003L536", "EN-002087124")</f>
        <v>EN-002087124</v>
      </c>
    </row>
    <row r="894" spans="1:15" ht="16" x14ac:dyDescent="0.2">
      <c r="A894" s="17" t="str">
        <f>HYPERLINK("https://otsuka-europe-crm.veevavault.com/ui/#object/account__v/V4TZ06G6O71T7V1", "MARIA RAMIREZ GOMEZ")</f>
        <v>MARIA RAMIREZ GOMEZ</v>
      </c>
      <c r="B894" s="17" t="str">
        <f>HYPERLINK("https://otsuka-europe-crm.veevavault.com/ui/#object/vcountry__v/VENZ000004SONF5", "ES")</f>
        <v>ES</v>
      </c>
      <c r="C894" s="20" t="s">
        <v>41</v>
      </c>
      <c r="D894" s="21" t="str">
        <f>HYPERLINK("https://otsuka-europe-crm.veevavault.com/ui/#object/approved_document__v/V5O00000001H022", "LUP - VAE invitación simposio SEN-SER - Nefro")</f>
        <v>LUP - VAE invitación simposio SEN-SER - Nefro</v>
      </c>
      <c r="E894" s="22" t="str">
        <f>HYPERLINK("https://otsuka-europe-crm.veevavault.com/ui/#object/sent_email__v/VBL00000002N287", "SE-001431268")</f>
        <v>SE-001431268</v>
      </c>
      <c r="F894" s="23">
        <v>46175.464687500003</v>
      </c>
      <c r="G894" s="24">
        <v>1</v>
      </c>
      <c r="H894" s="24">
        <v>1</v>
      </c>
      <c r="I894" s="24">
        <v>0</v>
      </c>
      <c r="J894" s="25"/>
      <c r="K894" s="24">
        <v>0</v>
      </c>
      <c r="L894" s="22" t="str">
        <f>HYPERLINK("https://otsuka-europe-crm.veevavault.com/ui/#object/approved_document__v/V5O00000001H022", "LUP - VAE invitación simposio SEN-SER - Nefro")</f>
        <v>LUP - VAE invitación simposio SEN-SER - Nefro</v>
      </c>
      <c r="M894" s="22" t="str">
        <f>HYPERLINK("mailto:vvalladares@crm.otsuka-europe.com", "vvalladares@crm.otsuka-europe.com")</f>
        <v>vvalladares@crm.otsuka-europe.com</v>
      </c>
      <c r="N894" s="23">
        <v>46175.463819444441</v>
      </c>
      <c r="O894" s="14" t="str">
        <f>HYPERLINK("https://otsuka-europe-crm.veevavault.com/ui/#object/email_activity__v/V8C00000003L529", "EN-002087117")</f>
        <v>EN-002087117</v>
      </c>
    </row>
    <row r="895" spans="1:15" ht="16" x14ac:dyDescent="0.2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4" t="str">
        <f>HYPERLINK("https://otsuka-europe-crm.veevavault.com/ui/#object/email_activity__v/V8C00000003L538", "EN-002087126")</f>
        <v>EN-002087126</v>
      </c>
    </row>
    <row r="896" spans="1:15" ht="32" x14ac:dyDescent="0.2">
      <c r="A896" s="7" t="str">
        <f>HYPERLINK("https://otsuka-europe-crm.veevavault.com/ui/#object/account__v/V4TZ06G6O71T7RN", "ZAKARIAE KORAICHI RABIE-SENHAJI")</f>
        <v>ZAKARIAE KORAICHI RABIE-SENHAJI</v>
      </c>
      <c r="B896" s="7" t="str">
        <f>HYPERLINK("https://otsuka-europe-crm.veevavault.com/ui/#object/vcountry__v/VENZ000004SONF5", "ES")</f>
        <v>ES</v>
      </c>
      <c r="C896" s="8" t="s">
        <v>41</v>
      </c>
      <c r="D896" s="9" t="str">
        <f>HYPERLINK("https://otsuka-europe-crm.veevavault.com/ui/#object/approved_document__v/V5O00000001H022", "LUP - VAE invitación simposio SEN-SER - Nefro")</f>
        <v>LUP - VAE invitación simposio SEN-SER - Nefro</v>
      </c>
      <c r="E896" s="10" t="str">
        <f>HYPERLINK("https://otsuka-europe-crm.veevavault.com/ui/#object/sent_email__v/VBL00000002N288", "SE-001431269")</f>
        <v>SE-001431269</v>
      </c>
      <c r="F896" s="11"/>
      <c r="G896" s="12">
        <v>0</v>
      </c>
      <c r="H896" s="12">
        <v>0</v>
      </c>
      <c r="I896" s="12">
        <v>0</v>
      </c>
      <c r="J896" s="11"/>
      <c r="K896" s="12">
        <v>0</v>
      </c>
      <c r="L896" s="10" t="str">
        <f>HYPERLINK("https://otsuka-europe-crm.veevavault.com/ui/#object/approved_document__v/V5O00000001H022", "LUP - VAE invitación simposio SEN-SER - Nefro")</f>
        <v>LUP - VAE invitación simposio SEN-SER - Nefro</v>
      </c>
      <c r="M896" s="10" t="str">
        <f>HYPERLINK("mailto:vvalladares@crm.otsuka-europe.com", "vvalladares@crm.otsuka-europe.com")</f>
        <v>vvalladares@crm.otsuka-europe.com</v>
      </c>
      <c r="N896" s="13">
        <v>46175.463842592595</v>
      </c>
      <c r="O896" s="14" t="str">
        <f>HYPERLINK("https://otsuka-europe-crm.veevavault.com/ui/#object/email_activity__v/V8C00000003L510", "EN-002087098")</f>
        <v>EN-002087098</v>
      </c>
    </row>
    <row r="897" spans="1:15" ht="32" x14ac:dyDescent="0.2">
      <c r="A897" s="7" t="str">
        <f>HYPERLINK("https://otsuka-europe-crm.veevavault.com/ui/#object/account__v/V4TZ06G6O71T9UO", "RAFAEL FRANQUELO SOLER")</f>
        <v>RAFAEL FRANQUELO SOLER</v>
      </c>
      <c r="B897" s="7" t="str">
        <f>HYPERLINK("https://otsuka-europe-crm.veevavault.com/ui/#object/vcountry__v/VENZ000004SONF5", "ES")</f>
        <v>ES</v>
      </c>
      <c r="C897" s="8" t="s">
        <v>41</v>
      </c>
      <c r="D897" s="9" t="str">
        <f>HYPERLINK("https://otsuka-europe-crm.veevavault.com/ui/#object/approved_document__v/V5O00000001H022", "LUP - VAE invitación simposio SEN-SER - Nefro")</f>
        <v>LUP - VAE invitación simposio SEN-SER - Nefro</v>
      </c>
      <c r="E897" s="10" t="str">
        <f>HYPERLINK("https://otsuka-europe-crm.veevavault.com/ui/#object/sent_email__v/VBL00000002N289", "SE-001431270")</f>
        <v>SE-001431270</v>
      </c>
      <c r="F897" s="11"/>
      <c r="G897" s="12">
        <v>0</v>
      </c>
      <c r="H897" s="12">
        <v>0</v>
      </c>
      <c r="I897" s="12">
        <v>0</v>
      </c>
      <c r="J897" s="11"/>
      <c r="K897" s="12">
        <v>0</v>
      </c>
      <c r="L897" s="10" t="str">
        <f>HYPERLINK("https://otsuka-europe-crm.veevavault.com/ui/#object/approved_document__v/V5O00000001H022", "LUP - VAE invitación simposio SEN-SER - Nefro")</f>
        <v>LUP - VAE invitación simposio SEN-SER - Nefro</v>
      </c>
      <c r="M897" s="10" t="str">
        <f>HYPERLINK("mailto:vvalladares@crm.otsuka-europe.com", "vvalladares@crm.otsuka-europe.com")</f>
        <v>vvalladares@crm.otsuka-europe.com</v>
      </c>
      <c r="N897" s="13">
        <v>46175.463877314818</v>
      </c>
      <c r="O897" s="14" t="str">
        <f>HYPERLINK("https://otsuka-europe-crm.veevavault.com/ui/#object/email_activity__v/V8C00000003L410", "EN-002086998")</f>
        <v>EN-002086998</v>
      </c>
    </row>
    <row r="898" spans="1:15" ht="32" x14ac:dyDescent="0.2">
      <c r="A898" s="7" t="str">
        <f>HYPERLINK("https://otsuka-europe-crm.veevavault.com/ui/#object/account__v/V4TZ06G6O71TCHB", "REMEDIOS TOLEDO ROJAS")</f>
        <v>REMEDIOS TOLEDO ROJAS</v>
      </c>
      <c r="B898" s="7" t="str">
        <f>HYPERLINK("https://otsuka-europe-crm.veevavault.com/ui/#object/vcountry__v/VENZ000004SONF5", "ES")</f>
        <v>ES</v>
      </c>
      <c r="C898" s="8" t="s">
        <v>41</v>
      </c>
      <c r="D898" s="9" t="str">
        <f>HYPERLINK("https://otsuka-europe-crm.veevavault.com/ui/#object/approved_document__v/V5O00000001H022", "LUP - VAE invitación simposio SEN-SER - Nefro")</f>
        <v>LUP - VAE invitación simposio SEN-SER - Nefro</v>
      </c>
      <c r="E898" s="10" t="str">
        <f>HYPERLINK("https://otsuka-europe-crm.veevavault.com/ui/#object/sent_email__v/VBL00000002N290", "SE-001431271")</f>
        <v>SE-001431271</v>
      </c>
      <c r="F898" s="11"/>
      <c r="G898" s="12">
        <v>0</v>
      </c>
      <c r="H898" s="12">
        <v>0</v>
      </c>
      <c r="I898" s="12">
        <v>0</v>
      </c>
      <c r="J898" s="11"/>
      <c r="K898" s="12">
        <v>0</v>
      </c>
      <c r="L898" s="10" t="str">
        <f>HYPERLINK("https://otsuka-europe-crm.veevavault.com/ui/#object/approved_document__v/V5O00000001H022", "LUP - VAE invitación simposio SEN-SER - Nefro")</f>
        <v>LUP - VAE invitación simposio SEN-SER - Nefro</v>
      </c>
      <c r="M898" s="10" t="str">
        <f>HYPERLINK("mailto:vvalladares@crm.otsuka-europe.com", "vvalladares@crm.otsuka-europe.com")</f>
        <v>vvalladares@crm.otsuka-europe.com</v>
      </c>
      <c r="N898" s="13">
        <v>46175.463842592595</v>
      </c>
      <c r="O898" s="14" t="str">
        <f>HYPERLINK("https://otsuka-europe-crm.veevavault.com/ui/#object/email_activity__v/V8C00000003L492", "EN-002087080")</f>
        <v>EN-002087080</v>
      </c>
    </row>
    <row r="899" spans="1:15" ht="16" x14ac:dyDescent="0.2">
      <c r="A899" s="17" t="str">
        <f>HYPERLINK("https://otsuka-europe-crm.veevavault.com/ui/#object/account__v/V4TZ04ASG9MJ4SO", "JACKIE JOHANA QUINTANA BUBU")</f>
        <v>JACKIE JOHANA QUINTANA BUBU</v>
      </c>
      <c r="B899" s="17" t="str">
        <f>HYPERLINK("https://otsuka-europe-crm.veevavault.com/ui/#object/vcountry__v/VENZ000004SONF5", "ES")</f>
        <v>ES</v>
      </c>
      <c r="C899" s="20" t="s">
        <v>41</v>
      </c>
      <c r="D899" s="21" t="str">
        <f>HYPERLINK("https://otsuka-europe-crm.veevavault.com/ui/#object/approved_document__v/V5O00000001H022", "LUP - VAE invitación simposio SEN-SER - Nefro")</f>
        <v>LUP - VAE invitación simposio SEN-SER - Nefro</v>
      </c>
      <c r="E899" s="22" t="str">
        <f>HYPERLINK("https://otsuka-europe-crm.veevavault.com/ui/#object/sent_email__v/VBL00000002N291", "SE-001431272")</f>
        <v>SE-001431272</v>
      </c>
      <c r="F899" s="23">
        <v>46175.639247685183</v>
      </c>
      <c r="G899" s="24">
        <v>1</v>
      </c>
      <c r="H899" s="24">
        <v>2</v>
      </c>
      <c r="I899" s="24">
        <v>0</v>
      </c>
      <c r="J899" s="25"/>
      <c r="K899" s="24">
        <v>0</v>
      </c>
      <c r="L899" s="22" t="str">
        <f>HYPERLINK("https://otsuka-europe-crm.veevavault.com/ui/#object/approved_document__v/V5O00000001H022", "LUP - VAE invitación simposio SEN-SER - Nefro")</f>
        <v>LUP - VAE invitación simposio SEN-SER - Nefro</v>
      </c>
      <c r="M899" s="22" t="str">
        <f>HYPERLINK("mailto:vvalladares@crm.otsuka-europe.com", "vvalladares@crm.otsuka-europe.com")</f>
        <v>vvalladares@crm.otsuka-europe.com</v>
      </c>
      <c r="N899" s="23">
        <v>46175.463842592595</v>
      </c>
      <c r="O899" s="14" t="str">
        <f>HYPERLINK("https://otsuka-europe-crm.veevavault.com/ui/#object/email_activity__v/V8C00000003L477", "EN-002087065")</f>
        <v>EN-002087065</v>
      </c>
    </row>
    <row r="900" spans="1:15" ht="16" x14ac:dyDescent="0.2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4" t="str">
        <f>HYPERLINK("https://otsuka-europe-crm.veevavault.com/ui/#object/email_activity__v/V8C00000003L965", "EN-002087920")</f>
        <v>EN-002087920</v>
      </c>
    </row>
    <row r="901" spans="1:15" ht="16" x14ac:dyDescent="0.2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4" t="str">
        <f>HYPERLINK("https://otsuka-europe-crm.veevavault.com/ui/#object/email_activity__v/V8C00000003L966", "EN-002087921")</f>
        <v>EN-002087921</v>
      </c>
    </row>
    <row r="902" spans="1:15" ht="32" x14ac:dyDescent="0.2">
      <c r="A902" s="7" t="str">
        <f>HYPERLINK("https://otsuka-europe-crm.veevavault.com/ui/#object/account__v/V4TZ06G6O71T9L3", "PATRICIA ISABEL DELGADO MALLEN")</f>
        <v>PATRICIA ISABEL DELGADO MALLEN</v>
      </c>
      <c r="B902" s="7" t="str">
        <f t="shared" ref="B902:B907" si="24">HYPERLINK("https://otsuka-europe-crm.veevavault.com/ui/#object/vcountry__v/VENZ000004SONF5", "ES")</f>
        <v>ES</v>
      </c>
      <c r="C902" s="8" t="s">
        <v>41</v>
      </c>
      <c r="D902" s="9" t="str">
        <f t="shared" ref="D902:D907" si="25">HYPERLINK("https://otsuka-europe-crm.veevavault.com/ui/#object/approved_document__v/V5O00000001H022", "LUP - VAE invitación simposio SEN-SER - Nefro")</f>
        <v>LUP - VAE invitación simposio SEN-SER - Nefro</v>
      </c>
      <c r="E902" s="10" t="str">
        <f>HYPERLINK("https://otsuka-europe-crm.veevavault.com/ui/#object/sent_email__v/VBL00000002N292", "SE-001431273")</f>
        <v>SE-001431273</v>
      </c>
      <c r="F902" s="11"/>
      <c r="G902" s="12">
        <v>0</v>
      </c>
      <c r="H902" s="12">
        <v>0</v>
      </c>
      <c r="I902" s="12">
        <v>0</v>
      </c>
      <c r="J902" s="11"/>
      <c r="K902" s="12">
        <v>0</v>
      </c>
      <c r="L902" s="10" t="str">
        <f t="shared" ref="L902:L907" si="26">HYPERLINK("https://otsuka-europe-crm.veevavault.com/ui/#object/approved_document__v/V5O00000001H022", "LUP - VAE invitación simposio SEN-SER - Nefro")</f>
        <v>LUP - VAE invitación simposio SEN-SER - Nefro</v>
      </c>
      <c r="M902" s="10" t="str">
        <f t="shared" ref="M902:M907" si="27">HYPERLINK("mailto:vvalladares@crm.otsuka-europe.com", "vvalladares@crm.otsuka-europe.com")</f>
        <v>vvalladares@crm.otsuka-europe.com</v>
      </c>
      <c r="N902" s="13">
        <v>46175.463865740741</v>
      </c>
      <c r="O902" s="14" t="str">
        <f>HYPERLINK("https://otsuka-europe-crm.veevavault.com/ui/#object/email_activity__v/V8C00000003L433", "EN-002087021")</f>
        <v>EN-002087021</v>
      </c>
    </row>
    <row r="903" spans="1:15" ht="32" x14ac:dyDescent="0.2">
      <c r="A903" s="7" t="str">
        <f>HYPERLINK("https://otsuka-europe-crm.veevavault.com/ui/#object/account__v/V4TZ06G6O71TA69", "FRANCISCO JAVIER GONZALEZ MARTINEZ")</f>
        <v>FRANCISCO JAVIER GONZALEZ MARTINEZ</v>
      </c>
      <c r="B903" s="7" t="str">
        <f t="shared" si="24"/>
        <v>ES</v>
      </c>
      <c r="C903" s="8" t="s">
        <v>41</v>
      </c>
      <c r="D903" s="9" t="str">
        <f t="shared" si="25"/>
        <v>LUP - VAE invitación simposio SEN-SER - Nefro</v>
      </c>
      <c r="E903" s="10" t="str">
        <f>HYPERLINK("https://otsuka-europe-crm.veevavault.com/ui/#object/sent_email__v/VBL00000002N293", "SE-001431274")</f>
        <v>SE-001431274</v>
      </c>
      <c r="F903" s="11"/>
      <c r="G903" s="12">
        <v>0</v>
      </c>
      <c r="H903" s="12">
        <v>0</v>
      </c>
      <c r="I903" s="12">
        <v>0</v>
      </c>
      <c r="J903" s="11"/>
      <c r="K903" s="12">
        <v>0</v>
      </c>
      <c r="L903" s="10" t="str">
        <f t="shared" si="26"/>
        <v>LUP - VAE invitación simposio SEN-SER - Nefro</v>
      </c>
      <c r="M903" s="10" t="str">
        <f t="shared" si="27"/>
        <v>vvalladares@crm.otsuka-europe.com</v>
      </c>
      <c r="N903" s="13">
        <v>46175.463888888888</v>
      </c>
      <c r="O903" s="14" t="str">
        <f>HYPERLINK("https://otsuka-europe-crm.veevavault.com/ui/#object/email_activity__v/V8C00000003L426", "EN-002087014")</f>
        <v>EN-002087014</v>
      </c>
    </row>
    <row r="904" spans="1:15" ht="32" x14ac:dyDescent="0.2">
      <c r="A904" s="7" t="str">
        <f>HYPERLINK("https://otsuka-europe-crm.veevavault.com/ui/#object/account__v/V4TZ06G6O71T8NO", "MARIA ISABEL LOPEZ GARCIA")</f>
        <v>MARIA ISABEL LOPEZ GARCIA</v>
      </c>
      <c r="B904" s="7" t="str">
        <f t="shared" si="24"/>
        <v>ES</v>
      </c>
      <c r="C904" s="8" t="s">
        <v>41</v>
      </c>
      <c r="D904" s="9" t="str">
        <f t="shared" si="25"/>
        <v>LUP - VAE invitación simposio SEN-SER - Nefro</v>
      </c>
      <c r="E904" s="10" t="str">
        <f>HYPERLINK("https://otsuka-europe-crm.veevavault.com/ui/#object/sent_email__v/VBL00000002N294", "SE-001431275")</f>
        <v>SE-001431275</v>
      </c>
      <c r="F904" s="11"/>
      <c r="G904" s="12">
        <v>0</v>
      </c>
      <c r="H904" s="12">
        <v>0</v>
      </c>
      <c r="I904" s="12">
        <v>0</v>
      </c>
      <c r="J904" s="11"/>
      <c r="K904" s="12">
        <v>0</v>
      </c>
      <c r="L904" s="10" t="str">
        <f t="shared" si="26"/>
        <v>LUP - VAE invitación simposio SEN-SER - Nefro</v>
      </c>
      <c r="M904" s="10" t="str">
        <f t="shared" si="27"/>
        <v>vvalladares@crm.otsuka-europe.com</v>
      </c>
      <c r="N904" s="13">
        <v>46175.463865740741</v>
      </c>
      <c r="O904" s="14" t="str">
        <f>HYPERLINK("https://otsuka-europe-crm.veevavault.com/ui/#object/email_activity__v/V8C00000003L419", "EN-002087007")</f>
        <v>EN-002087007</v>
      </c>
    </row>
    <row r="905" spans="1:15" ht="32" x14ac:dyDescent="0.2">
      <c r="A905" s="7" t="str">
        <f>HYPERLINK("https://otsuka-europe-crm.veevavault.com/ui/#object/account__v/V4TZ06G6O71TAU1", "MARIA ASUNCION MACIA LAGIER")</f>
        <v>MARIA ASUNCION MACIA LAGIER</v>
      </c>
      <c r="B905" s="7" t="str">
        <f t="shared" si="24"/>
        <v>ES</v>
      </c>
      <c r="C905" s="8" t="s">
        <v>41</v>
      </c>
      <c r="D905" s="9" t="str">
        <f t="shared" si="25"/>
        <v>LUP - VAE invitación simposio SEN-SER - Nefro</v>
      </c>
      <c r="E905" s="10" t="str">
        <f>HYPERLINK("https://otsuka-europe-crm.veevavault.com/ui/#object/sent_email__v/VBL00000002N295", "SE-001431276")</f>
        <v>SE-001431276</v>
      </c>
      <c r="F905" s="11"/>
      <c r="G905" s="12">
        <v>0</v>
      </c>
      <c r="H905" s="12">
        <v>0</v>
      </c>
      <c r="I905" s="12">
        <v>0</v>
      </c>
      <c r="J905" s="11"/>
      <c r="K905" s="12">
        <v>0</v>
      </c>
      <c r="L905" s="10" t="str">
        <f t="shared" si="26"/>
        <v>LUP - VAE invitación simposio SEN-SER - Nefro</v>
      </c>
      <c r="M905" s="10" t="str">
        <f t="shared" si="27"/>
        <v>vvalladares@crm.otsuka-europe.com</v>
      </c>
      <c r="N905" s="13">
        <v>46175.463842592595</v>
      </c>
      <c r="O905" s="14" t="str">
        <f>HYPERLINK("https://otsuka-europe-crm.veevavault.com/ui/#object/email_activity__v/V8C00000003L396", "EN-002086984")</f>
        <v>EN-002086984</v>
      </c>
    </row>
    <row r="906" spans="1:15" ht="32" x14ac:dyDescent="0.2">
      <c r="A906" s="7" t="str">
        <f>HYPERLINK("https://otsuka-europe-crm.veevavault.com/ui/#object/account__v/V4TZ06G6O71T7GD", "ELENA BORREGO GARCIA")</f>
        <v>ELENA BORREGO GARCIA</v>
      </c>
      <c r="B906" s="7" t="str">
        <f t="shared" si="24"/>
        <v>ES</v>
      </c>
      <c r="C906" s="8" t="s">
        <v>41</v>
      </c>
      <c r="D906" s="9" t="str">
        <f t="shared" si="25"/>
        <v>LUP - VAE invitación simposio SEN-SER - Nefro</v>
      </c>
      <c r="E906" s="10" t="str">
        <f>HYPERLINK("https://otsuka-europe-crm.veevavault.com/ui/#object/sent_email__v/VBL00000002N296", "SE-001431277")</f>
        <v>SE-001431277</v>
      </c>
      <c r="F906" s="11"/>
      <c r="G906" s="12">
        <v>0</v>
      </c>
      <c r="H906" s="12">
        <v>0</v>
      </c>
      <c r="I906" s="12">
        <v>0</v>
      </c>
      <c r="J906" s="11"/>
      <c r="K906" s="12">
        <v>0</v>
      </c>
      <c r="L906" s="10" t="str">
        <f t="shared" si="26"/>
        <v>LUP - VAE invitación simposio SEN-SER - Nefro</v>
      </c>
      <c r="M906" s="10" t="str">
        <f t="shared" si="27"/>
        <v>vvalladares@crm.otsuka-europe.com</v>
      </c>
      <c r="N906" s="13">
        <v>46175.463854166665</v>
      </c>
      <c r="O906" s="14" t="str">
        <f>HYPERLINK("https://otsuka-europe-crm.veevavault.com/ui/#object/email_activity__v/V8C00000003L418", "EN-002087006")</f>
        <v>EN-002087006</v>
      </c>
    </row>
    <row r="907" spans="1:15" ht="16" x14ac:dyDescent="0.2">
      <c r="A907" s="17" t="str">
        <f>HYPERLINK("https://otsuka-europe-crm.veevavault.com/ui/#object/account__v/V4TZ04ASG8VCLUL", "NAYARA ZAMORA RODRIGUEZ")</f>
        <v>NAYARA ZAMORA RODRIGUEZ</v>
      </c>
      <c r="B907" s="17" t="str">
        <f t="shared" si="24"/>
        <v>ES</v>
      </c>
      <c r="C907" s="20" t="s">
        <v>41</v>
      </c>
      <c r="D907" s="21" t="str">
        <f t="shared" si="25"/>
        <v>LUP - VAE invitación simposio SEN-SER - Nefro</v>
      </c>
      <c r="E907" s="22" t="str">
        <f>HYPERLINK("https://otsuka-europe-crm.veevavault.com/ui/#object/sent_email__v/VBL00000002N297", "SE-001431278")</f>
        <v>SE-001431278</v>
      </c>
      <c r="F907" s="25"/>
      <c r="G907" s="24">
        <v>0</v>
      </c>
      <c r="H907" s="24">
        <v>0</v>
      </c>
      <c r="I907" s="24">
        <v>0</v>
      </c>
      <c r="J907" s="25"/>
      <c r="K907" s="24">
        <v>0</v>
      </c>
      <c r="L907" s="22" t="str">
        <f t="shared" si="26"/>
        <v>LUP - VAE invitación simposio SEN-SER - Nefro</v>
      </c>
      <c r="M907" s="22" t="str">
        <f t="shared" si="27"/>
        <v>vvalladares@crm.otsuka-europe.com</v>
      </c>
      <c r="N907" s="23">
        <v>46175.463842592595</v>
      </c>
      <c r="O907" s="14" t="str">
        <f>HYPERLINK("https://otsuka-europe-crm.veevavault.com/ui/#object/email_activity__v/V8C00000003K826", "EN-002087499")</f>
        <v>EN-002087499</v>
      </c>
    </row>
    <row r="908" spans="1:15" ht="16" x14ac:dyDescent="0.2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4" t="str">
        <f>HYPERLINK("https://otsuka-europe-crm.veevavault.com/ui/#object/email_activity__v/V8C00000003L398", "EN-002086986")</f>
        <v>EN-002086986</v>
      </c>
    </row>
    <row r="909" spans="1:15" ht="32" x14ac:dyDescent="0.2">
      <c r="A909" s="7" t="str">
        <f>HYPERLINK("https://otsuka-europe-crm.veevavault.com/ui/#object/account__v/V4TZ025E86ZTKRN", "MARIA LUISA GARNICA ALVAREZ")</f>
        <v>MARIA LUISA GARNICA ALVAREZ</v>
      </c>
      <c r="B909" s="7" t="str">
        <f>HYPERLINK("https://otsuka-europe-crm.veevavault.com/ui/#object/vcountry__v/VENZ000004SONF5", "ES")</f>
        <v>ES</v>
      </c>
      <c r="C909" s="8" t="s">
        <v>41</v>
      </c>
      <c r="D909" s="9" t="str">
        <f>HYPERLINK("https://otsuka-europe-crm.veevavault.com/ui/#object/approved_document__v/V5O00000001H022", "LUP - VAE invitación simposio SEN-SER - Nefro")</f>
        <v>LUP - VAE invitación simposio SEN-SER - Nefro</v>
      </c>
      <c r="E909" s="10" t="str">
        <f>HYPERLINK("https://otsuka-europe-crm.veevavault.com/ui/#object/sent_email__v/VBL00000002N298", "SE-001431279")</f>
        <v>SE-001431279</v>
      </c>
      <c r="F909" s="11"/>
      <c r="G909" s="12">
        <v>0</v>
      </c>
      <c r="H909" s="12">
        <v>0</v>
      </c>
      <c r="I909" s="12">
        <v>0</v>
      </c>
      <c r="J909" s="11"/>
      <c r="K909" s="12">
        <v>0</v>
      </c>
      <c r="L909" s="10" t="str">
        <f>HYPERLINK("https://otsuka-europe-crm.veevavault.com/ui/#object/approved_document__v/V5O00000001H022", "LUP - VAE invitación simposio SEN-SER - Nefro")</f>
        <v>LUP - VAE invitación simposio SEN-SER - Nefro</v>
      </c>
      <c r="M909" s="10" t="str">
        <f>HYPERLINK("mailto:vvalladares@crm.otsuka-europe.com", "vvalladares@crm.otsuka-europe.com")</f>
        <v>vvalladares@crm.otsuka-europe.com</v>
      </c>
      <c r="N909" s="13">
        <v>46175.463842592595</v>
      </c>
      <c r="O909" s="14" t="str">
        <f>HYPERLINK("https://otsuka-europe-crm.veevavault.com/ui/#object/email_activity__v/V8C00000003L480", "EN-002087068")</f>
        <v>EN-002087068</v>
      </c>
    </row>
    <row r="910" spans="1:15" ht="32" x14ac:dyDescent="0.2">
      <c r="A910" s="7" t="str">
        <f>HYPERLINK("https://otsuka-europe-crm.veevavault.com/ui/#object/account__v/V4TZ06G6O71T8DN", "MARIA PALOMA FLORES PALOMA")</f>
        <v>MARIA PALOMA FLORES PALOMA</v>
      </c>
      <c r="B910" s="7" t="str">
        <f>HYPERLINK("https://otsuka-europe-crm.veevavault.com/ui/#object/vcountry__v/VENZ000004SONF5", "ES")</f>
        <v>ES</v>
      </c>
      <c r="C910" s="8" t="s">
        <v>41</v>
      </c>
      <c r="D910" s="9" t="str">
        <f>HYPERLINK("https://otsuka-europe-crm.veevavault.com/ui/#object/approved_document__v/V5O00000001H022", "LUP - VAE invitación simposio SEN-SER - Nefro")</f>
        <v>LUP - VAE invitación simposio SEN-SER - Nefro</v>
      </c>
      <c r="E910" s="10" t="str">
        <f>HYPERLINK("https://otsuka-europe-crm.veevavault.com/ui/#object/sent_email__v/VBL00000002N299", "SE-001431280")</f>
        <v>SE-001431280</v>
      </c>
      <c r="F910" s="11"/>
      <c r="G910" s="12">
        <v>0</v>
      </c>
      <c r="H910" s="12">
        <v>0</v>
      </c>
      <c r="I910" s="12">
        <v>0</v>
      </c>
      <c r="J910" s="11"/>
      <c r="K910" s="12">
        <v>0</v>
      </c>
      <c r="L910" s="10" t="str">
        <f>HYPERLINK("https://otsuka-europe-crm.veevavault.com/ui/#object/approved_document__v/V5O00000001H022", "LUP - VAE invitación simposio SEN-SER - Nefro")</f>
        <v>LUP - VAE invitación simposio SEN-SER - Nefro</v>
      </c>
      <c r="M910" s="10" t="str">
        <f>HYPERLINK("mailto:vvalladares@crm.otsuka-europe.com", "vvalladares@crm.otsuka-europe.com")</f>
        <v>vvalladares@crm.otsuka-europe.com</v>
      </c>
      <c r="N910" s="13">
        <v>46175.463842592595</v>
      </c>
      <c r="O910" s="14" t="str">
        <f>HYPERLINK("https://otsuka-europe-crm.veevavault.com/ui/#object/email_activity__v/V8C00000003L493", "EN-002087081")</f>
        <v>EN-002087081</v>
      </c>
    </row>
    <row r="911" spans="1:15" ht="16" x14ac:dyDescent="0.2">
      <c r="A911" s="17" t="str">
        <f>HYPERLINK("https://otsuka-europe-crm.veevavault.com/ui/#object/account__v/V4TZ06G6O71T9N0", "MARIA ANGELES COBO CASO")</f>
        <v>MARIA ANGELES COBO CASO</v>
      </c>
      <c r="B911" s="17" t="str">
        <f>HYPERLINK("https://otsuka-europe-crm.veevavault.com/ui/#object/vcountry__v/VENZ000004SONF5", "ES")</f>
        <v>ES</v>
      </c>
      <c r="C911" s="20" t="s">
        <v>41</v>
      </c>
      <c r="D911" s="21" t="str">
        <f>HYPERLINK("https://otsuka-europe-crm.veevavault.com/ui/#object/approved_document__v/V5O00000001H022", "LUP - VAE invitación simposio SEN-SER - Nefro")</f>
        <v>LUP - VAE invitación simposio SEN-SER - Nefro</v>
      </c>
      <c r="E911" s="22" t="str">
        <f>HYPERLINK("https://otsuka-europe-crm.veevavault.com/ui/#object/sent_email__v/VBL00000002N300", "SE-001431281")</f>
        <v>SE-001431281</v>
      </c>
      <c r="F911" s="23">
        <v>46178.551493055558</v>
      </c>
      <c r="G911" s="24">
        <v>1</v>
      </c>
      <c r="H911" s="24">
        <v>1</v>
      </c>
      <c r="I911" s="24">
        <v>0</v>
      </c>
      <c r="J911" s="25"/>
      <c r="K911" s="24">
        <v>0</v>
      </c>
      <c r="L911" s="22" t="str">
        <f>HYPERLINK("https://otsuka-europe-crm.veevavault.com/ui/#object/approved_document__v/V5O00000001H022", "LUP - VAE invitación simposio SEN-SER - Nefro")</f>
        <v>LUP - VAE invitación simposio SEN-SER - Nefro</v>
      </c>
      <c r="M911" s="22" t="str">
        <f>HYPERLINK("mailto:vvalladares@crm.otsuka-europe.com", "vvalladares@crm.otsuka-europe.com")</f>
        <v>vvalladares@crm.otsuka-europe.com</v>
      </c>
      <c r="N911" s="23">
        <v>46175.463865740741</v>
      </c>
      <c r="O911" s="14" t="str">
        <f>HYPERLINK("https://otsuka-europe-crm.veevavault.com/ui/#object/email_activity__v/V8C00000003L420", "EN-002087008")</f>
        <v>EN-002087008</v>
      </c>
    </row>
    <row r="912" spans="1:15" ht="16" x14ac:dyDescent="0.2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4" t="str">
        <f>HYPERLINK("https://otsuka-europe-crm.veevavault.com/ui/#object/email_activity__v/V8C00000003P059", "EN-002089349")</f>
        <v>EN-002089349</v>
      </c>
    </row>
    <row r="913" spans="1:15" ht="16" x14ac:dyDescent="0.2">
      <c r="A913" s="17" t="str">
        <f>HYPERLINK("https://otsuka-europe-crm.veevavault.com/ui/#object/account__v/V4TZ025E85DZZ9L", "GHITA LAHRICHI")</f>
        <v>GHITA LAHRICHI</v>
      </c>
      <c r="B913" s="17" t="str">
        <f>HYPERLINK("https://otsuka-europe-crm.veevavault.com/ui/#object/vcountry__v/VENZ000004SONF5", "ES")</f>
        <v>ES</v>
      </c>
      <c r="C913" s="20" t="s">
        <v>41</v>
      </c>
      <c r="D913" s="21" t="str">
        <f>HYPERLINK("https://otsuka-europe-crm.veevavault.com/ui/#object/approved_document__v/V5O00000001H022", "LUP - VAE invitación simposio SEN-SER - Nefro")</f>
        <v>LUP - VAE invitación simposio SEN-SER - Nefro</v>
      </c>
      <c r="E913" s="22" t="str">
        <f>HYPERLINK("https://otsuka-europe-crm.veevavault.com/ui/#object/sent_email__v/VBL00000002N301", "SE-001431282")</f>
        <v>SE-001431282</v>
      </c>
      <c r="F913" s="23">
        <v>46175.971296296295</v>
      </c>
      <c r="G913" s="24">
        <v>1</v>
      </c>
      <c r="H913" s="24">
        <v>2</v>
      </c>
      <c r="I913" s="24">
        <v>1</v>
      </c>
      <c r="J913" s="23">
        <v>46175.972233796296</v>
      </c>
      <c r="K913" s="24">
        <v>3</v>
      </c>
      <c r="L913" s="22" t="str">
        <f>HYPERLINK("https://otsuka-europe-crm.veevavault.com/ui/#object/approved_document__v/V5O00000001H022", "LUP - VAE invitación simposio SEN-SER - Nefro")</f>
        <v>LUP - VAE invitación simposio SEN-SER - Nefro</v>
      </c>
      <c r="M913" s="22" t="str">
        <f>HYPERLINK("mailto:vvalladares@crm.otsuka-europe.com", "vvalladares@crm.otsuka-europe.com")</f>
        <v>vvalladares@crm.otsuka-europe.com</v>
      </c>
      <c r="N913" s="23">
        <v>46175.463865740741</v>
      </c>
      <c r="O913" s="14" t="str">
        <f>HYPERLINK("https://otsuka-europe-crm.veevavault.com/ui/#object/email_activity__v/V8C00000003K732", "EN-002087286")</f>
        <v>EN-002087286</v>
      </c>
    </row>
    <row r="914" spans="1:15" ht="16" x14ac:dyDescent="0.2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4" t="str">
        <f>HYPERLINK("https://otsuka-europe-crm.veevavault.com/ui/#object/email_activity__v/V8C00000003L476", "EN-002087064")</f>
        <v>EN-002087064</v>
      </c>
    </row>
    <row r="915" spans="1:15" ht="16" x14ac:dyDescent="0.2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4" t="str">
        <f>HYPERLINK("https://otsuka-europe-crm.veevavault.com/ui/#object/email_activity__v/V8C00000003L643", "EN-002087285")</f>
        <v>EN-002087285</v>
      </c>
    </row>
    <row r="916" spans="1:15" ht="16" x14ac:dyDescent="0.2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4" t="str">
        <f>HYPERLINK("https://otsuka-europe-crm.veevavault.com/ui/#object/email_activity__v/V8C00000003L748", "EN-002087473")</f>
        <v>EN-002087473</v>
      </c>
    </row>
    <row r="917" spans="1:15" ht="16" x14ac:dyDescent="0.2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4" t="str">
        <f>HYPERLINK("https://otsuka-europe-crm.veevavault.com/ui/#object/email_activity__v/V8C00000003M254", "EN-002088474")</f>
        <v>EN-002088474</v>
      </c>
    </row>
    <row r="918" spans="1:15" ht="16" x14ac:dyDescent="0.2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4" t="str">
        <f>HYPERLINK("https://otsuka-europe-crm.veevavault.com/ui/#object/email_activity__v/V8C00000003M255", "EN-002088475")</f>
        <v>EN-002088475</v>
      </c>
    </row>
    <row r="919" spans="1:15" ht="16" x14ac:dyDescent="0.2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4" t="str">
        <f>HYPERLINK("https://otsuka-europe-crm.veevavault.com/ui/#object/email_activity__v/V8C00000003M256", "EN-002088476")</f>
        <v>EN-002088476</v>
      </c>
    </row>
    <row r="920" spans="1:15" ht="16" x14ac:dyDescent="0.2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4" t="str">
        <f>HYPERLINK("https://otsuka-europe-crm.veevavault.com/ui/#object/email_activity__v/V8C00000003N322", "EN-002088491")</f>
        <v>EN-002088491</v>
      </c>
    </row>
    <row r="921" spans="1:15" ht="16" x14ac:dyDescent="0.2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4" t="str">
        <f>HYPERLINK("https://otsuka-europe-crm.veevavault.com/ui/#object/email_activity__v/V8C00000003N323", "EN-002088492")</f>
        <v>EN-002088492</v>
      </c>
    </row>
    <row r="922" spans="1:15" ht="16" x14ac:dyDescent="0.2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4" t="str">
        <f>HYPERLINK("https://otsuka-europe-crm.veevavault.com/ui/#object/email_activity__v/V8C00000003N324", "EN-002088493")</f>
        <v>EN-002088493</v>
      </c>
    </row>
    <row r="923" spans="1:15" ht="16" x14ac:dyDescent="0.2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4" t="str">
        <f>HYPERLINK("https://otsuka-europe-crm.veevavault.com/ui/#object/email_activity__v/V8C00000003N325", "EN-002088494")</f>
        <v>EN-002088494</v>
      </c>
    </row>
    <row r="924" spans="1:15" ht="16" x14ac:dyDescent="0.2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4" t="str">
        <f>HYPERLINK("https://otsuka-europe-crm.veevavault.com/ui/#object/email_activity__v/V8C00000003N326", "EN-002088495")</f>
        <v>EN-002088495</v>
      </c>
    </row>
    <row r="925" spans="1:15" ht="16" x14ac:dyDescent="0.2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4" t="str">
        <f>HYPERLINK("https://otsuka-europe-crm.veevavault.com/ui/#object/email_activity__v/V8C00000003N327", "EN-002088496")</f>
        <v>EN-002088496</v>
      </c>
    </row>
    <row r="926" spans="1:15" ht="32" x14ac:dyDescent="0.2">
      <c r="A926" s="7" t="str">
        <f>HYPERLINK("https://otsuka-europe-crm.veevavault.com/ui/#object/account__v/V4TZ025E83AX1MT", "JAVIER ARIAS ALCALA")</f>
        <v>JAVIER ARIAS ALCALA</v>
      </c>
      <c r="B926" s="7" t="str">
        <f>HYPERLINK("https://otsuka-europe-crm.veevavault.com/ui/#object/vcountry__v/VENZ000004SONF5", "ES")</f>
        <v>ES</v>
      </c>
      <c r="C926" s="8" t="s">
        <v>41</v>
      </c>
      <c r="D926" s="9" t="str">
        <f>HYPERLINK("https://otsuka-europe-crm.veevavault.com/ui/#object/approved_document__v/V5O00000001H022", "LUP - VAE invitación simposio SEN-SER - Nefro")</f>
        <v>LUP - VAE invitación simposio SEN-SER - Nefro</v>
      </c>
      <c r="E926" s="10" t="str">
        <f>HYPERLINK("https://otsuka-europe-crm.veevavault.com/ui/#object/sent_email__v/VBL00000002N302", "SE-001431283")</f>
        <v>SE-001431283</v>
      </c>
      <c r="F926" s="11"/>
      <c r="G926" s="12">
        <v>0</v>
      </c>
      <c r="H926" s="12">
        <v>0</v>
      </c>
      <c r="I926" s="12">
        <v>0</v>
      </c>
      <c r="J926" s="11"/>
      <c r="K926" s="12">
        <v>0</v>
      </c>
      <c r="L926" s="10" t="str">
        <f>HYPERLINK("https://otsuka-europe-crm.veevavault.com/ui/#object/approved_document__v/V5O00000001H022", "LUP - VAE invitación simposio SEN-SER - Nefro")</f>
        <v>LUP - VAE invitación simposio SEN-SER - Nefro</v>
      </c>
      <c r="M926" s="10" t="str">
        <f>HYPERLINK("mailto:vvalladares@crm.otsuka-europe.com", "vvalladares@crm.otsuka-europe.com")</f>
        <v>vvalladares@crm.otsuka-europe.com</v>
      </c>
      <c r="N926" s="13">
        <v>46175.463865740741</v>
      </c>
      <c r="O926" s="14" t="str">
        <f>HYPERLINK("https://otsuka-europe-crm.veevavault.com/ui/#object/email_activity__v/V8C00000003L467", "EN-002087055")</f>
        <v>EN-002087055</v>
      </c>
    </row>
    <row r="927" spans="1:15" ht="16" x14ac:dyDescent="0.2">
      <c r="A927" s="17" t="str">
        <f>HYPERLINK("https://otsuka-europe-crm.veevavault.com/ui/#object/account__v/V4TZ04ASGGI2JZ1", "JUAN FERNANDEZ SOLIS")</f>
        <v>JUAN FERNANDEZ SOLIS</v>
      </c>
      <c r="B927" s="17" t="str">
        <f>HYPERLINK("https://otsuka-europe-crm.veevavault.com/ui/#object/vcountry__v/VENZ000004SONF5", "ES")</f>
        <v>ES</v>
      </c>
      <c r="C927" s="20" t="s">
        <v>41</v>
      </c>
      <c r="D927" s="21" t="str">
        <f>HYPERLINK("https://otsuka-europe-crm.veevavault.com/ui/#object/approved_document__v/V5O00000001H022", "LUP - VAE invitación simposio SEN-SER - Nefro")</f>
        <v>LUP - VAE invitación simposio SEN-SER - Nefro</v>
      </c>
      <c r="E927" s="22" t="str">
        <f>HYPERLINK("https://otsuka-europe-crm.veevavault.com/ui/#object/sent_email__v/VBL00000002N303", "SE-001431284")</f>
        <v>SE-001431284</v>
      </c>
      <c r="F927" s="23">
        <v>46185.428032407406</v>
      </c>
      <c r="G927" s="24">
        <v>1</v>
      </c>
      <c r="H927" s="24">
        <v>1</v>
      </c>
      <c r="I927" s="24">
        <v>0</v>
      </c>
      <c r="J927" s="25"/>
      <c r="K927" s="24">
        <v>0</v>
      </c>
      <c r="L927" s="22" t="str">
        <f>HYPERLINK("https://otsuka-europe-crm.veevavault.com/ui/#object/approved_document__v/V5O00000001H022", "LUP - VAE invitación simposio SEN-SER - Nefro")</f>
        <v>LUP - VAE invitación simposio SEN-SER - Nefro</v>
      </c>
      <c r="M927" s="22" t="str">
        <f>HYPERLINK("mailto:vvalladares@crm.otsuka-europe.com", "vvalladares@crm.otsuka-europe.com")</f>
        <v>vvalladares@crm.otsuka-europe.com</v>
      </c>
      <c r="N927" s="23">
        <v>46175.463865740741</v>
      </c>
      <c r="O927" s="14" t="str">
        <f>HYPERLINK("https://otsuka-europe-crm.veevavault.com/ui/#object/email_activity__v/V8C00000003L497", "EN-002087085")</f>
        <v>EN-002087085</v>
      </c>
    </row>
    <row r="928" spans="1:15" ht="16" x14ac:dyDescent="0.2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4" t="str">
        <f>HYPERLINK("https://otsuka-europe-crm.veevavault.com/ui/#object/email_activity__v/V8C00000003V272", "EN-002095330")</f>
        <v>EN-002095330</v>
      </c>
    </row>
    <row r="929" spans="1:15" ht="16" x14ac:dyDescent="0.2">
      <c r="A929" s="17" t="str">
        <f>HYPERLINK("https://otsuka-europe-crm.veevavault.com/ui/#object/account__v/V4TZ06G6O71TA40", "EDUARDO GALLEGO MORA-ESPERANZA")</f>
        <v>EDUARDO GALLEGO MORA-ESPERANZA</v>
      </c>
      <c r="B929" s="17" t="str">
        <f>HYPERLINK("https://otsuka-europe-crm.veevavault.com/ui/#object/vcountry__v/VENZ000004SONF5", "ES")</f>
        <v>ES</v>
      </c>
      <c r="C929" s="20" t="s">
        <v>41</v>
      </c>
      <c r="D929" s="21" t="str">
        <f>HYPERLINK("https://otsuka-europe-crm.veevavault.com/ui/#object/approved_document__v/V5O00000001H022", "LUP - VAE invitación simposio SEN-SER - Nefro")</f>
        <v>LUP - VAE invitación simposio SEN-SER - Nefro</v>
      </c>
      <c r="E929" s="22" t="str">
        <f>HYPERLINK("https://otsuka-europe-crm.veevavault.com/ui/#object/sent_email__v/VBL00000002N304", "SE-001431285")</f>
        <v>SE-001431285</v>
      </c>
      <c r="F929" s="25"/>
      <c r="G929" s="24">
        <v>0</v>
      </c>
      <c r="H929" s="24">
        <v>0</v>
      </c>
      <c r="I929" s="24">
        <v>0</v>
      </c>
      <c r="J929" s="25"/>
      <c r="K929" s="24">
        <v>0</v>
      </c>
      <c r="L929" s="22" t="str">
        <f>HYPERLINK("https://otsuka-europe-crm.veevavault.com/ui/#object/approved_document__v/V5O00000001H022", "LUP - VAE invitación simposio SEN-SER - Nefro")</f>
        <v>LUP - VAE invitación simposio SEN-SER - Nefro</v>
      </c>
      <c r="M929" s="22" t="str">
        <f>HYPERLINK("mailto:vvalladares@crm.otsuka-europe.com", "vvalladares@crm.otsuka-europe.com")</f>
        <v>vvalladares@crm.otsuka-europe.com</v>
      </c>
      <c r="N929" s="23">
        <v>46175.463923611111</v>
      </c>
      <c r="O929" s="14" t="str">
        <f>HYPERLINK("https://otsuka-europe-crm.veevavault.com/ui/#object/email_activity__v/V8C00000003L445", "EN-002087033")</f>
        <v>EN-002087033</v>
      </c>
    </row>
    <row r="930" spans="1:15" ht="16" x14ac:dyDescent="0.2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4" t="str">
        <f>HYPERLINK("https://otsuka-europe-crm.veevavault.com/ui/#object/email_activity__v/V8C00000003N282", "EN-002088412")</f>
        <v>EN-002088412</v>
      </c>
    </row>
    <row r="931" spans="1:15" ht="16" x14ac:dyDescent="0.2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4" t="str">
        <f>HYPERLINK("https://otsuka-europe-crm.veevavault.com/ui/#object/email_activity__v/V8C00000003N519", "EN-002088822")</f>
        <v>EN-002088822</v>
      </c>
    </row>
    <row r="932" spans="1:15" ht="32" x14ac:dyDescent="0.2">
      <c r="A932" s="7" t="str">
        <f>HYPERLINK("https://otsuka-europe-crm.veevavault.com/ui/#object/account__v/V4TZ06G6O95NGA6", "ESTEFANIA TERESA YEROVI LEON")</f>
        <v>ESTEFANIA TERESA YEROVI LEON</v>
      </c>
      <c r="B932" s="7" t="str">
        <f>HYPERLINK("https://otsuka-europe-crm.veevavault.com/ui/#object/vcountry__v/VENZ000004SONF5", "ES")</f>
        <v>ES</v>
      </c>
      <c r="C932" s="8" t="s">
        <v>41</v>
      </c>
      <c r="D932" s="9" t="str">
        <f>HYPERLINK("https://otsuka-europe-crm.veevavault.com/ui/#object/approved_document__v/V5O00000001H022", "LUP - VAE invitación simposio SEN-SER - Nefro")</f>
        <v>LUP - VAE invitación simposio SEN-SER - Nefro</v>
      </c>
      <c r="E932" s="10" t="str">
        <f>HYPERLINK("https://otsuka-europe-crm.veevavault.com/ui/#object/sent_email__v/VBL00000002N305", "SE-001431286")</f>
        <v>SE-001431286</v>
      </c>
      <c r="F932" s="11"/>
      <c r="G932" s="12">
        <v>0</v>
      </c>
      <c r="H932" s="12">
        <v>0</v>
      </c>
      <c r="I932" s="12">
        <v>0</v>
      </c>
      <c r="J932" s="11"/>
      <c r="K932" s="12">
        <v>0</v>
      </c>
      <c r="L932" s="10" t="str">
        <f>HYPERLINK("https://otsuka-europe-crm.veevavault.com/ui/#object/approved_document__v/V5O00000001H022", "LUP - VAE invitación simposio SEN-SER - Nefro")</f>
        <v>LUP - VAE invitación simposio SEN-SER - Nefro</v>
      </c>
      <c r="M932" s="10" t="str">
        <f>HYPERLINK("mailto:vvalladares@crm.otsuka-europe.com", "vvalladares@crm.otsuka-europe.com")</f>
        <v>vvalladares@crm.otsuka-europe.com</v>
      </c>
      <c r="N932" s="13">
        <v>46175.463865740741</v>
      </c>
      <c r="O932" s="14" t="str">
        <f>HYPERLINK("https://otsuka-europe-crm.veevavault.com/ui/#object/email_activity__v/V8C00000003L500", "EN-002087088")</f>
        <v>EN-002087088</v>
      </c>
    </row>
    <row r="933" spans="1:15" ht="32" x14ac:dyDescent="0.2">
      <c r="A933" s="7" t="str">
        <f>HYPERLINK("https://otsuka-europe-crm.veevavault.com/ui/#object/account__v/V4TZ06G6O71T756", "PATRICIA GARCIA FRIAS")</f>
        <v>PATRICIA GARCIA FRIAS</v>
      </c>
      <c r="B933" s="7" t="str">
        <f>HYPERLINK("https://otsuka-europe-crm.veevavault.com/ui/#object/vcountry__v/VENZ000004SONF5", "ES")</f>
        <v>ES</v>
      </c>
      <c r="C933" s="8" t="s">
        <v>41</v>
      </c>
      <c r="D933" s="9" t="str">
        <f>HYPERLINK("https://otsuka-europe-crm.veevavault.com/ui/#object/approved_document__v/V5O00000001H022", "LUP - VAE invitación simposio SEN-SER - Nefro")</f>
        <v>LUP - VAE invitación simposio SEN-SER - Nefro</v>
      </c>
      <c r="E933" s="10" t="str">
        <f>HYPERLINK("https://otsuka-europe-crm.veevavault.com/ui/#object/sent_email__v/VBL00000002N306", "SE-001431287")</f>
        <v>SE-001431287</v>
      </c>
      <c r="F933" s="11"/>
      <c r="G933" s="12">
        <v>0</v>
      </c>
      <c r="H933" s="12">
        <v>0</v>
      </c>
      <c r="I933" s="12">
        <v>0</v>
      </c>
      <c r="J933" s="11"/>
      <c r="K933" s="12">
        <v>0</v>
      </c>
      <c r="L933" s="10" t="str">
        <f>HYPERLINK("https://otsuka-europe-crm.veevavault.com/ui/#object/approved_document__v/V5O00000001H022", "LUP - VAE invitación simposio SEN-SER - Nefro")</f>
        <v>LUP - VAE invitación simposio SEN-SER - Nefro</v>
      </c>
      <c r="M933" s="10" t="str">
        <f>HYPERLINK("mailto:vvalladares@crm.otsuka-europe.com", "vvalladares@crm.otsuka-europe.com")</f>
        <v>vvalladares@crm.otsuka-europe.com</v>
      </c>
      <c r="N933" s="13">
        <v>46175.463865740741</v>
      </c>
      <c r="O933" s="14" t="str">
        <f>HYPERLINK("https://otsuka-europe-crm.veevavault.com/ui/#object/email_activity__v/V8C00000003L394", "EN-002086982")</f>
        <v>EN-002086982</v>
      </c>
    </row>
    <row r="934" spans="1:15" ht="32" x14ac:dyDescent="0.2">
      <c r="A934" s="7" t="str">
        <f>HYPERLINK("https://otsuka-europe-crm.veevavault.com/ui/#object/account__v/V4TZ06G6OB479MW", "RUBEN XAVIER SCHULDT")</f>
        <v>RUBEN XAVIER SCHULDT</v>
      </c>
      <c r="B934" s="7" t="str">
        <f>HYPERLINK("https://otsuka-europe-crm.veevavault.com/ui/#object/vcountry__v/VENZ000004SONF5", "ES")</f>
        <v>ES</v>
      </c>
      <c r="C934" s="8" t="s">
        <v>41</v>
      </c>
      <c r="D934" s="9" t="str">
        <f>HYPERLINK("https://otsuka-europe-crm.veevavault.com/ui/#object/approved_document__v/V5O00000001H022", "LUP - VAE invitación simposio SEN-SER - Nefro")</f>
        <v>LUP - VAE invitación simposio SEN-SER - Nefro</v>
      </c>
      <c r="E934" s="10" t="str">
        <f>HYPERLINK("https://otsuka-europe-crm.veevavault.com/ui/#object/sent_email__v/VBL00000002N307", "SE-001431288")</f>
        <v>SE-001431288</v>
      </c>
      <c r="F934" s="11"/>
      <c r="G934" s="12">
        <v>0</v>
      </c>
      <c r="H934" s="12">
        <v>0</v>
      </c>
      <c r="I934" s="12">
        <v>0</v>
      </c>
      <c r="J934" s="11"/>
      <c r="K934" s="12">
        <v>0</v>
      </c>
      <c r="L934" s="10" t="str">
        <f>HYPERLINK("https://otsuka-europe-crm.veevavault.com/ui/#object/approved_document__v/V5O00000001H022", "LUP - VAE invitación simposio SEN-SER - Nefro")</f>
        <v>LUP - VAE invitación simposio SEN-SER - Nefro</v>
      </c>
      <c r="M934" s="10" t="str">
        <f>HYPERLINK("mailto:vvalladares@crm.otsuka-europe.com", "vvalladares@crm.otsuka-europe.com")</f>
        <v>vvalladares@crm.otsuka-europe.com</v>
      </c>
      <c r="N934" s="13">
        <v>46175.463865740741</v>
      </c>
      <c r="O934" s="14" t="str">
        <f>HYPERLINK("https://otsuka-europe-crm.veevavault.com/ui/#object/email_activity__v/V8C00000003L401", "EN-002086989")</f>
        <v>EN-002086989</v>
      </c>
    </row>
    <row r="935" spans="1:15" ht="32" x14ac:dyDescent="0.2">
      <c r="A935" s="7" t="str">
        <f>HYPERLINK("https://otsuka-europe-crm.veevavault.com/ui/#object/account__v/V4TZ04ASG99APL3", "AVINASH CHANDU NANWANI")</f>
        <v>AVINASH CHANDU NANWANI</v>
      </c>
      <c r="B935" s="7" t="str">
        <f>HYPERLINK("https://otsuka-europe-crm.veevavault.com/ui/#object/vcountry__v/VENZ000004SONF5", "ES")</f>
        <v>ES</v>
      </c>
      <c r="C935" s="8" t="s">
        <v>41</v>
      </c>
      <c r="D935" s="9" t="str">
        <f>HYPERLINK("https://otsuka-europe-crm.veevavault.com/ui/#object/approved_document__v/V5O00000001H022", "LUP - VAE invitación simposio SEN-SER - Nefro")</f>
        <v>LUP - VAE invitación simposio SEN-SER - Nefro</v>
      </c>
      <c r="E935" s="10" t="str">
        <f>HYPERLINK("https://otsuka-europe-crm.veevavault.com/ui/#object/sent_email__v/VBL00000002N308", "SE-001431289")</f>
        <v>SE-001431289</v>
      </c>
      <c r="F935" s="11"/>
      <c r="G935" s="12">
        <v>0</v>
      </c>
      <c r="H935" s="12">
        <v>0</v>
      </c>
      <c r="I935" s="12">
        <v>0</v>
      </c>
      <c r="J935" s="11"/>
      <c r="K935" s="12">
        <v>0</v>
      </c>
      <c r="L935" s="10" t="str">
        <f>HYPERLINK("https://otsuka-europe-crm.veevavault.com/ui/#object/approved_document__v/V5O00000001H022", "LUP - VAE invitación simposio SEN-SER - Nefro")</f>
        <v>LUP - VAE invitación simposio SEN-SER - Nefro</v>
      </c>
      <c r="M935" s="10" t="str">
        <f>HYPERLINK("mailto:vvalladares@crm.otsuka-europe.com", "vvalladares@crm.otsuka-europe.com")</f>
        <v>vvalladares@crm.otsuka-europe.com</v>
      </c>
      <c r="N935" s="13">
        <v>46175.463865740741</v>
      </c>
      <c r="O935" s="14" t="str">
        <f>HYPERLINK("https://otsuka-europe-crm.veevavault.com/ui/#object/email_activity__v/V8C00000003L471", "EN-002087059")</f>
        <v>EN-002087059</v>
      </c>
    </row>
    <row r="936" spans="1:15" ht="16" x14ac:dyDescent="0.2">
      <c r="A936" s="17" t="str">
        <f>HYPERLINK("https://otsuka-europe-crm.veevavault.com/ui/#object/account__v/V4T00000001S066", "EVA GOMEZ FLORES")</f>
        <v>EVA GOMEZ FLORES</v>
      </c>
      <c r="B936" s="17" t="str">
        <f>HYPERLINK("https://otsuka-europe-crm.veevavault.com/ui/#object/vcountry__v/VENZ000004SONF5", "ES")</f>
        <v>ES</v>
      </c>
      <c r="C936" s="20" t="s">
        <v>41</v>
      </c>
      <c r="D936" s="21" t="str">
        <f>HYPERLINK("https://otsuka-europe-crm.veevavault.com/ui/#object/approved_document__v/V5O00000001H022", "LUP - VAE invitación simposio SEN-SER - Nefro")</f>
        <v>LUP - VAE invitación simposio SEN-SER - Nefro</v>
      </c>
      <c r="E936" s="22" t="str">
        <f>HYPERLINK("https://otsuka-europe-crm.veevavault.com/ui/#object/sent_email__v/VBL00000002N309", "SE-001431290")</f>
        <v>SE-001431290</v>
      </c>
      <c r="F936" s="25"/>
      <c r="G936" s="24">
        <v>0</v>
      </c>
      <c r="H936" s="24">
        <v>0</v>
      </c>
      <c r="I936" s="24">
        <v>0</v>
      </c>
      <c r="J936" s="25"/>
      <c r="K936" s="24">
        <v>0</v>
      </c>
      <c r="L936" s="22" t="str">
        <f>HYPERLINK("https://otsuka-europe-crm.veevavault.com/ui/#object/approved_document__v/V5O00000001H022", "LUP - VAE invitación simposio SEN-SER - Nefro")</f>
        <v>LUP - VAE invitación simposio SEN-SER - Nefro</v>
      </c>
      <c r="M936" s="22" t="str">
        <f>HYPERLINK("mailto:vvalladares@crm.otsuka-europe.com", "vvalladares@crm.otsuka-europe.com")</f>
        <v>vvalladares@crm.otsuka-europe.com</v>
      </c>
      <c r="N936" s="23">
        <v>46175.463865740741</v>
      </c>
      <c r="O936" s="14" t="str">
        <f>HYPERLINK("https://otsuka-europe-crm.veevavault.com/ui/#object/email_activity__v/V8C00000003L475", "EN-002087063")</f>
        <v>EN-002087063</v>
      </c>
    </row>
    <row r="937" spans="1:15" ht="16" x14ac:dyDescent="0.2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4" t="str">
        <f>HYPERLINK("https://otsuka-europe-crm.veevavault.com/ui/#object/email_activity__v/V8C00000003M282", "EN-002088536")</f>
        <v>EN-002088536</v>
      </c>
    </row>
    <row r="938" spans="1:15" ht="32" x14ac:dyDescent="0.2">
      <c r="A938" s="7" t="str">
        <f>HYPERLINK("https://otsuka-europe-crm.veevavault.com/ui/#object/account__v/V4TZ04ASG6P0G7F", "GALO ALEX SALAZAR RUIZ")</f>
        <v>GALO ALEX SALAZAR RUIZ</v>
      </c>
      <c r="B938" s="7" t="str">
        <f>HYPERLINK("https://otsuka-europe-crm.veevavault.com/ui/#object/vcountry__v/VENZ000004SONF5", "ES")</f>
        <v>ES</v>
      </c>
      <c r="C938" s="8" t="s">
        <v>41</v>
      </c>
      <c r="D938" s="9" t="str">
        <f>HYPERLINK("https://otsuka-europe-crm.veevavault.com/ui/#object/approved_document__v/V5O00000001H022", "LUP - VAE invitación simposio SEN-SER - Nefro")</f>
        <v>LUP - VAE invitación simposio SEN-SER - Nefro</v>
      </c>
      <c r="E938" s="10" t="str">
        <f>HYPERLINK("https://otsuka-europe-crm.veevavault.com/ui/#object/sent_email__v/VBL00000002N310", "SE-001431291")</f>
        <v>SE-001431291</v>
      </c>
      <c r="F938" s="11"/>
      <c r="G938" s="12">
        <v>0</v>
      </c>
      <c r="H938" s="12">
        <v>0</v>
      </c>
      <c r="I938" s="12">
        <v>0</v>
      </c>
      <c r="J938" s="11"/>
      <c r="K938" s="12">
        <v>0</v>
      </c>
      <c r="L938" s="10" t="str">
        <f>HYPERLINK("https://otsuka-europe-crm.veevavault.com/ui/#object/approved_document__v/V5O00000001H022", "LUP - VAE invitación simposio SEN-SER - Nefro")</f>
        <v>LUP - VAE invitación simposio SEN-SER - Nefro</v>
      </c>
      <c r="M938" s="10" t="str">
        <f>HYPERLINK("mailto:vvalladares@crm.otsuka-europe.com", "vvalladares@crm.otsuka-europe.com")</f>
        <v>vvalladares@crm.otsuka-europe.com</v>
      </c>
      <c r="N938" s="13">
        <v>46175.463888888888</v>
      </c>
      <c r="O938" s="14" t="str">
        <f>HYPERLINK("https://otsuka-europe-crm.veevavault.com/ui/#object/email_activity__v/V8C00000003L451", "EN-002087039")</f>
        <v>EN-002087039</v>
      </c>
    </row>
    <row r="939" spans="1:15" ht="16" x14ac:dyDescent="0.2">
      <c r="A939" s="17" t="str">
        <f>HYPERLINK("https://otsuka-europe-crm.veevavault.com/ui/#object/account__v/V4T000000012038", "INES DE LA CUEVA FLORES")</f>
        <v>INES DE LA CUEVA FLORES</v>
      </c>
      <c r="B939" s="17" t="str">
        <f>HYPERLINK("https://otsuka-europe-crm.veevavault.com/ui/#object/vcountry__v/VENZ000004SONF5", "ES")</f>
        <v>ES</v>
      </c>
      <c r="C939" s="20" t="s">
        <v>41</v>
      </c>
      <c r="D939" s="21" t="str">
        <f>HYPERLINK("https://otsuka-europe-crm.veevavault.com/ui/#object/approved_document__v/V5O00000001H022", "LUP - VAE invitación simposio SEN-SER - Nefro")</f>
        <v>LUP - VAE invitación simposio SEN-SER - Nefro</v>
      </c>
      <c r="E939" s="22" t="str">
        <f>HYPERLINK("https://otsuka-europe-crm.veevavault.com/ui/#object/sent_email__v/VBL00000002N311", "SE-001431292")</f>
        <v>SE-001431292</v>
      </c>
      <c r="F939" s="23">
        <v>46175.464004629626</v>
      </c>
      <c r="G939" s="24">
        <v>1</v>
      </c>
      <c r="H939" s="24">
        <v>1</v>
      </c>
      <c r="I939" s="24">
        <v>0</v>
      </c>
      <c r="J939" s="25"/>
      <c r="K939" s="24">
        <v>0</v>
      </c>
      <c r="L939" s="22" t="str">
        <f>HYPERLINK("https://otsuka-europe-crm.veevavault.com/ui/#object/approved_document__v/V5O00000001H022", "LUP - VAE invitación simposio SEN-SER - Nefro")</f>
        <v>LUP - VAE invitación simposio SEN-SER - Nefro</v>
      </c>
      <c r="M939" s="22" t="str">
        <f>HYPERLINK("mailto:vvalladares@crm.otsuka-europe.com", "vvalladares@crm.otsuka-europe.com")</f>
        <v>vvalladares@crm.otsuka-europe.com</v>
      </c>
      <c r="N939" s="23">
        <v>46175.463865740741</v>
      </c>
      <c r="O939" s="14" t="str">
        <f>HYPERLINK("https://otsuka-europe-crm.veevavault.com/ui/#object/email_activity__v/V8C00000003L461", "EN-002087049")</f>
        <v>EN-002087049</v>
      </c>
    </row>
    <row r="940" spans="1:15" ht="16" x14ac:dyDescent="0.2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4" t="str">
        <f>HYPERLINK("https://otsuka-europe-crm.veevavault.com/ui/#object/email_activity__v/V8C00000003L522", "EN-002087110")</f>
        <v>EN-002087110</v>
      </c>
    </row>
    <row r="941" spans="1:15" ht="16" x14ac:dyDescent="0.2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4" t="str">
        <f>HYPERLINK("https://otsuka-europe-crm.veevavault.com/ui/#object/email_activity__v/V8C00000003M358", "EN-002088717")</f>
        <v>EN-002088717</v>
      </c>
    </row>
    <row r="942" spans="1:15" ht="16" x14ac:dyDescent="0.2">
      <c r="A942" s="17" t="str">
        <f>HYPERLINK("https://otsuka-europe-crm.veevavault.com/ui/#object/account__v/V4TZ06G6O71T7JA", "NESTOR AGUSTIN OLIVA DAMASO")</f>
        <v>NESTOR AGUSTIN OLIVA DAMASO</v>
      </c>
      <c r="B942" s="17" t="str">
        <f>HYPERLINK("https://otsuka-europe-crm.veevavault.com/ui/#object/vcountry__v/VENZ000004SONF5", "ES")</f>
        <v>ES</v>
      </c>
      <c r="C942" s="20" t="s">
        <v>41</v>
      </c>
      <c r="D942" s="21" t="str">
        <f>HYPERLINK("https://otsuka-europe-crm.veevavault.com/ui/#object/approved_document__v/V5O00000001H022", "LUP - VAE invitación simposio SEN-SER - Nefro")</f>
        <v>LUP - VAE invitación simposio SEN-SER - Nefro</v>
      </c>
      <c r="E942" s="22" t="str">
        <f>HYPERLINK("https://otsuka-europe-crm.veevavault.com/ui/#object/sent_email__v/VBL00000002N312", "SE-001431293")</f>
        <v>SE-001431293</v>
      </c>
      <c r="F942" s="25"/>
      <c r="G942" s="24">
        <v>0</v>
      </c>
      <c r="H942" s="24">
        <v>0</v>
      </c>
      <c r="I942" s="24">
        <v>0</v>
      </c>
      <c r="J942" s="25"/>
      <c r="K942" s="24">
        <v>0</v>
      </c>
      <c r="L942" s="22" t="str">
        <f>HYPERLINK("https://otsuka-europe-crm.veevavault.com/ui/#object/approved_document__v/V5O00000001H022", "LUP - VAE invitación simposio SEN-SER - Nefro")</f>
        <v>LUP - VAE invitación simposio SEN-SER - Nefro</v>
      </c>
      <c r="M942" s="22" t="str">
        <f>HYPERLINK("mailto:vvalladares@crm.otsuka-europe.com", "vvalladares@crm.otsuka-europe.com")</f>
        <v>vvalladares@crm.otsuka-europe.com</v>
      </c>
      <c r="N942" s="23">
        <v>46175.463865740741</v>
      </c>
      <c r="O942" s="14" t="str">
        <f>HYPERLINK("https://otsuka-europe-crm.veevavault.com/ui/#object/email_activity__v/V8C00000003L462", "EN-002087050")</f>
        <v>EN-002087050</v>
      </c>
    </row>
    <row r="943" spans="1:15" ht="16" x14ac:dyDescent="0.2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4" t="str">
        <f>HYPERLINK("https://otsuka-europe-crm.veevavault.com/ui/#object/email_activity__v/V8C00000003N535", "EN-002088849")</f>
        <v>EN-002088849</v>
      </c>
    </row>
    <row r="944" spans="1:15" ht="16" x14ac:dyDescent="0.2">
      <c r="A944" s="17" t="str">
        <f>HYPERLINK("https://otsuka-europe-crm.veevavault.com/ui/#object/account__v/V4TZ06G6O71T9SI", "EDUARDO DE BONIS REDONDO")</f>
        <v>EDUARDO DE BONIS REDONDO</v>
      </c>
      <c r="B944" s="17" t="str">
        <f>HYPERLINK("https://otsuka-europe-crm.veevavault.com/ui/#object/vcountry__v/VENZ000004SONF5", "ES")</f>
        <v>ES</v>
      </c>
      <c r="C944" s="20" t="s">
        <v>41</v>
      </c>
      <c r="D944" s="21" t="str">
        <f>HYPERLINK("https://otsuka-europe-crm.veevavault.com/ui/#object/approved_document__v/V5O00000001H022", "LUP - VAE invitación simposio SEN-SER - Nefro")</f>
        <v>LUP - VAE invitación simposio SEN-SER - Nefro</v>
      </c>
      <c r="E944" s="22" t="str">
        <f>HYPERLINK("https://otsuka-europe-crm.veevavault.com/ui/#object/sent_email__v/VBL00000002N313", "SE-001431294")</f>
        <v>SE-001431294</v>
      </c>
      <c r="F944" s="23">
        <v>46175.660787037035</v>
      </c>
      <c r="G944" s="24">
        <v>1</v>
      </c>
      <c r="H944" s="24">
        <v>2</v>
      </c>
      <c r="I944" s="24">
        <v>0</v>
      </c>
      <c r="J944" s="25"/>
      <c r="K944" s="24">
        <v>0</v>
      </c>
      <c r="L944" s="22" t="str">
        <f>HYPERLINK("https://otsuka-europe-crm.veevavault.com/ui/#object/approved_document__v/V5O00000001H022", "LUP - VAE invitación simposio SEN-SER - Nefro")</f>
        <v>LUP - VAE invitación simposio SEN-SER - Nefro</v>
      </c>
      <c r="M944" s="22" t="str">
        <f>HYPERLINK("mailto:vvalladares@crm.otsuka-europe.com", "vvalladares@crm.otsuka-europe.com")</f>
        <v>vvalladares@crm.otsuka-europe.com</v>
      </c>
      <c r="N944" s="23">
        <v>46175.463935185187</v>
      </c>
      <c r="O944" s="14" t="str">
        <f>HYPERLINK("https://otsuka-europe-crm.veevavault.com/ui/#object/email_activity__v/V8C00000003L446", "EN-002087034")</f>
        <v>EN-002087034</v>
      </c>
    </row>
    <row r="945" spans="1:15" ht="16" x14ac:dyDescent="0.2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4" t="str">
        <f>HYPERLINK("https://otsuka-europe-crm.veevavault.com/ui/#object/email_activity__v/V8C00000003L980", "EN-002087954")</f>
        <v>EN-002087954</v>
      </c>
    </row>
    <row r="946" spans="1:15" ht="16" x14ac:dyDescent="0.2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4" t="str">
        <f>HYPERLINK("https://otsuka-europe-crm.veevavault.com/ui/#object/email_activity__v/V8C00000003L981", "EN-002087955")</f>
        <v>EN-002087955</v>
      </c>
    </row>
    <row r="947" spans="1:15" ht="16" x14ac:dyDescent="0.2">
      <c r="A947" s="17" t="str">
        <f>HYPERLINK("https://otsuka-europe-crm.veevavault.com/ui/#object/account__v/V4TZ06G6O71TAJ0", "CLAUDIO JOSE HORNOS HORNOS")</f>
        <v>CLAUDIO JOSE HORNOS HORNOS</v>
      </c>
      <c r="B947" s="17" t="str">
        <f>HYPERLINK("https://otsuka-europe-crm.veevavault.com/ui/#object/vcountry__v/VENZ000004SONF5", "ES")</f>
        <v>ES</v>
      </c>
      <c r="C947" s="20" t="s">
        <v>41</v>
      </c>
      <c r="D947" s="21" t="str">
        <f>HYPERLINK("https://otsuka-europe-crm.veevavault.com/ui/#object/approved_document__v/V5O00000001H022", "LUP - VAE invitación simposio SEN-SER - Nefro")</f>
        <v>LUP - VAE invitación simposio SEN-SER - Nefro</v>
      </c>
      <c r="E947" s="22" t="str">
        <f>HYPERLINK("https://otsuka-europe-crm.veevavault.com/ui/#object/sent_email__v/VBL00000002N314", "SE-001431295")</f>
        <v>SE-001431295</v>
      </c>
      <c r="F947" s="23">
        <v>46175.464039351849</v>
      </c>
      <c r="G947" s="24">
        <v>1</v>
      </c>
      <c r="H947" s="24">
        <v>2</v>
      </c>
      <c r="I947" s="24">
        <v>0</v>
      </c>
      <c r="J947" s="25"/>
      <c r="K947" s="24">
        <v>0</v>
      </c>
      <c r="L947" s="22" t="str">
        <f>HYPERLINK("https://otsuka-europe-crm.veevavault.com/ui/#object/approved_document__v/V5O00000001H022", "LUP - VAE invitación simposio SEN-SER - Nefro")</f>
        <v>LUP - VAE invitación simposio SEN-SER - Nefro</v>
      </c>
      <c r="M947" s="22" t="str">
        <f>HYPERLINK("mailto:vvalladares@crm.otsuka-europe.com", "vvalladares@crm.otsuka-europe.com")</f>
        <v>vvalladares@crm.otsuka-europe.com</v>
      </c>
      <c r="N947" s="23">
        <v>46175.463888888888</v>
      </c>
      <c r="O947" s="14" t="str">
        <f>HYPERLINK("https://otsuka-europe-crm.veevavault.com/ui/#object/email_activity__v/V8C00000003L414", "EN-002087002")</f>
        <v>EN-002087002</v>
      </c>
    </row>
    <row r="948" spans="1:15" ht="16" x14ac:dyDescent="0.2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4" t="str">
        <f>HYPERLINK("https://otsuka-europe-crm.veevavault.com/ui/#object/email_activity__v/V8C00000003L447", "EN-002087035")</f>
        <v>EN-002087035</v>
      </c>
    </row>
    <row r="949" spans="1:15" ht="16" x14ac:dyDescent="0.2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4" t="str">
        <f>HYPERLINK("https://otsuka-europe-crm.veevavault.com/ui/#object/email_activity__v/V8C00000003L525", "EN-002087113")</f>
        <v>EN-002087113</v>
      </c>
    </row>
    <row r="950" spans="1:15" ht="16" x14ac:dyDescent="0.2">
      <c r="A950" s="17" t="str">
        <f>HYPERLINK("https://otsuka-europe-crm.veevavault.com/ui/#object/account__v/V4TZ06G6O71T7DC", "KATIA ISABEL TOLEDO PERDOMO")</f>
        <v>KATIA ISABEL TOLEDO PERDOMO</v>
      </c>
      <c r="B950" s="17" t="str">
        <f>HYPERLINK("https://otsuka-europe-crm.veevavault.com/ui/#object/vcountry__v/VENZ000004SONF5", "ES")</f>
        <v>ES</v>
      </c>
      <c r="C950" s="20" t="s">
        <v>41</v>
      </c>
      <c r="D950" s="21" t="str">
        <f>HYPERLINK("https://otsuka-europe-crm.veevavault.com/ui/#object/approved_document__v/V5O00000001H022", "LUP - VAE invitación simposio SEN-SER - Nefro")</f>
        <v>LUP - VAE invitación simposio SEN-SER - Nefro</v>
      </c>
      <c r="E950" s="22" t="str">
        <f>HYPERLINK("https://otsuka-europe-crm.veevavault.com/ui/#object/sent_email__v/VBL00000002N315", "SE-001431296")</f>
        <v>SE-001431296</v>
      </c>
      <c r="F950" s="23">
        <v>46175.496724537035</v>
      </c>
      <c r="G950" s="24">
        <v>1</v>
      </c>
      <c r="H950" s="24">
        <v>1</v>
      </c>
      <c r="I950" s="24">
        <v>0</v>
      </c>
      <c r="J950" s="25"/>
      <c r="K950" s="24">
        <v>0</v>
      </c>
      <c r="L950" s="22" t="str">
        <f>HYPERLINK("https://otsuka-europe-crm.veevavault.com/ui/#object/approved_document__v/V5O00000001H022", "LUP - VAE invitación simposio SEN-SER - Nefro")</f>
        <v>LUP - VAE invitación simposio SEN-SER - Nefro</v>
      </c>
      <c r="M950" s="22" t="str">
        <f>HYPERLINK("mailto:vvalladares@crm.otsuka-europe.com", "vvalladares@crm.otsuka-europe.com")</f>
        <v>vvalladares@crm.otsuka-europe.com</v>
      </c>
      <c r="N950" s="23">
        <v>46175.463865740741</v>
      </c>
      <c r="O950" s="14" t="str">
        <f>HYPERLINK("https://otsuka-europe-crm.veevavault.com/ui/#object/email_activity__v/V8C00000003L499", "EN-002087087")</f>
        <v>EN-002087087</v>
      </c>
    </row>
    <row r="951" spans="1:15" ht="16" x14ac:dyDescent="0.2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4" t="str">
        <f>HYPERLINK("https://otsuka-europe-crm.veevavault.com/ui/#object/email_activity__v/V8C00000003L730", "EN-002087438")</f>
        <v>EN-002087438</v>
      </c>
    </row>
    <row r="952" spans="1:15" ht="16" x14ac:dyDescent="0.2">
      <c r="A952" s="17" t="str">
        <f>HYPERLINK("https://otsuka-europe-crm.veevavault.com/ui/#object/account__v/V4TZ06G6O71T7GJ", "JOSE CARLOS PRADO DE LA SIERRA")</f>
        <v>JOSE CARLOS PRADO DE LA SIERRA</v>
      </c>
      <c r="B952" s="17" t="str">
        <f>HYPERLINK("https://otsuka-europe-crm.veevavault.com/ui/#object/vcountry__v/VENZ000004SONF5", "ES")</f>
        <v>ES</v>
      </c>
      <c r="C952" s="20" t="s">
        <v>41</v>
      </c>
      <c r="D952" s="21" t="str">
        <f>HYPERLINK("https://otsuka-europe-crm.veevavault.com/ui/#object/approved_document__v/V5O00000001H022", "LUP - VAE invitación simposio SEN-SER - Nefro")</f>
        <v>LUP - VAE invitación simposio SEN-SER - Nefro</v>
      </c>
      <c r="E952" s="22" t="str">
        <f>HYPERLINK("https://otsuka-europe-crm.veevavault.com/ui/#object/sent_email__v/VBL00000002N316", "SE-001431297")</f>
        <v>SE-001431297</v>
      </c>
      <c r="F952" s="23">
        <v>46175.474444444444</v>
      </c>
      <c r="G952" s="24">
        <v>1</v>
      </c>
      <c r="H952" s="24">
        <v>1</v>
      </c>
      <c r="I952" s="24">
        <v>0</v>
      </c>
      <c r="J952" s="25"/>
      <c r="K952" s="24">
        <v>0</v>
      </c>
      <c r="L952" s="22" t="str">
        <f>HYPERLINK("https://otsuka-europe-crm.veevavault.com/ui/#object/approved_document__v/V5O00000001H022", "LUP - VAE invitación simposio SEN-SER - Nefro")</f>
        <v>LUP - VAE invitación simposio SEN-SER - Nefro</v>
      </c>
      <c r="M952" s="22" t="str">
        <f>HYPERLINK("mailto:vvalladares@crm.otsuka-europe.com", "vvalladares@crm.otsuka-europe.com")</f>
        <v>vvalladares@crm.otsuka-europe.com</v>
      </c>
      <c r="N952" s="23">
        <v>46175.463865740741</v>
      </c>
      <c r="O952" s="14" t="str">
        <f>HYPERLINK("https://otsuka-europe-crm.veevavault.com/ui/#object/email_activity__v/V8C00000003K733", "EN-002087287")</f>
        <v>EN-002087287</v>
      </c>
    </row>
    <row r="953" spans="1:15" ht="16" x14ac:dyDescent="0.2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4" t="str">
        <f>HYPERLINK("https://otsuka-europe-crm.veevavault.com/ui/#object/email_activity__v/V8C00000003L496", "EN-002087084")</f>
        <v>EN-002087084</v>
      </c>
    </row>
    <row r="954" spans="1:15" ht="16" x14ac:dyDescent="0.2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4" t="str">
        <f>HYPERLINK("https://otsuka-europe-crm.veevavault.com/ui/#object/email_activity__v/V8C00000003N281", "EN-002088411")</f>
        <v>EN-002088411</v>
      </c>
    </row>
    <row r="955" spans="1:15" ht="32" x14ac:dyDescent="0.2">
      <c r="A955" s="7" t="str">
        <f>HYPERLINK("https://otsuka-europe-crm.veevavault.com/ui/#object/account__v/V4TZ06G6OB479M7", "RAFAEL DEL POZO ALVAREZ")</f>
        <v>RAFAEL DEL POZO ALVAREZ</v>
      </c>
      <c r="B955" s="7" t="str">
        <f>HYPERLINK("https://otsuka-europe-crm.veevavault.com/ui/#object/vcountry__v/VENZ000004SONF5", "ES")</f>
        <v>ES</v>
      </c>
      <c r="C955" s="8" t="s">
        <v>41</v>
      </c>
      <c r="D955" s="9" t="str">
        <f>HYPERLINK("https://otsuka-europe-crm.veevavault.com/ui/#object/approved_document__v/V5O00000001H022", "LUP - VAE invitación simposio SEN-SER - Nefro")</f>
        <v>LUP - VAE invitación simposio SEN-SER - Nefro</v>
      </c>
      <c r="E955" s="10" t="str">
        <f>HYPERLINK("https://otsuka-europe-crm.veevavault.com/ui/#object/sent_email__v/VBL00000002N317", "SE-001431298")</f>
        <v>SE-001431298</v>
      </c>
      <c r="F955" s="11"/>
      <c r="G955" s="12">
        <v>0</v>
      </c>
      <c r="H955" s="12">
        <v>0</v>
      </c>
      <c r="I955" s="12">
        <v>0</v>
      </c>
      <c r="J955" s="11"/>
      <c r="K955" s="12">
        <v>0</v>
      </c>
      <c r="L955" s="10" t="str">
        <f>HYPERLINK("https://otsuka-europe-crm.veevavault.com/ui/#object/approved_document__v/V5O00000001H022", "LUP - VAE invitación simposio SEN-SER - Nefro")</f>
        <v>LUP - VAE invitación simposio SEN-SER - Nefro</v>
      </c>
      <c r="M955" s="10" t="str">
        <f>HYPERLINK("mailto:vvalladares@crm.otsuka-europe.com", "vvalladares@crm.otsuka-europe.com")</f>
        <v>vvalladares@crm.otsuka-europe.com</v>
      </c>
      <c r="N955" s="13">
        <v>46175.463865740741</v>
      </c>
      <c r="O955" s="14" t="str">
        <f>HYPERLINK("https://otsuka-europe-crm.veevavault.com/ui/#object/email_activity__v/V8C00000003L501", "EN-002087089")</f>
        <v>EN-002087089</v>
      </c>
    </row>
    <row r="956" spans="1:15" ht="16" x14ac:dyDescent="0.2">
      <c r="A956" s="17" t="str">
        <f>HYPERLINK("https://otsuka-europe-crm.veevavault.com/ui/#object/account__v/V4TZ06G6O71T769", "ELVIRA ESQUIVIAS DE MOTTA")</f>
        <v>ELVIRA ESQUIVIAS DE MOTTA</v>
      </c>
      <c r="B956" s="17" t="str">
        <f>HYPERLINK("https://otsuka-europe-crm.veevavault.com/ui/#object/vcountry__v/VENZ000004SONF5", "ES")</f>
        <v>ES</v>
      </c>
      <c r="C956" s="20" t="s">
        <v>41</v>
      </c>
      <c r="D956" s="21" t="str">
        <f>HYPERLINK("https://otsuka-europe-crm.veevavault.com/ui/#object/approved_document__v/V5O00000001H022", "LUP - VAE invitación simposio SEN-SER - Nefro")</f>
        <v>LUP - VAE invitación simposio SEN-SER - Nefro</v>
      </c>
      <c r="E956" s="22" t="str">
        <f>HYPERLINK("https://otsuka-europe-crm.veevavault.com/ui/#object/sent_email__v/VBL00000002N318", "SE-001431299")</f>
        <v>SE-001431299</v>
      </c>
      <c r="F956" s="23">
        <v>46175.504942129628</v>
      </c>
      <c r="G956" s="24">
        <v>1</v>
      </c>
      <c r="H956" s="24">
        <v>1</v>
      </c>
      <c r="I956" s="24">
        <v>0</v>
      </c>
      <c r="J956" s="25"/>
      <c r="K956" s="24">
        <v>0</v>
      </c>
      <c r="L956" s="22" t="str">
        <f>HYPERLINK("https://otsuka-europe-crm.veevavault.com/ui/#object/approved_document__v/V5O00000001H022", "LUP - VAE invitación simposio SEN-SER - Nefro")</f>
        <v>LUP - VAE invitación simposio SEN-SER - Nefro</v>
      </c>
      <c r="M956" s="22" t="str">
        <f>HYPERLINK("mailto:vvalladares@crm.otsuka-europe.com", "vvalladares@crm.otsuka-europe.com")</f>
        <v>vvalladares@crm.otsuka-europe.com</v>
      </c>
      <c r="N956" s="23">
        <v>46175.463900462964</v>
      </c>
      <c r="O956" s="14" t="str">
        <f>HYPERLINK("https://otsuka-europe-crm.veevavault.com/ui/#object/email_activity__v/V8C00000003K808", "EN-002087461")</f>
        <v>EN-002087461</v>
      </c>
    </row>
    <row r="957" spans="1:15" ht="16" x14ac:dyDescent="0.2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4" t="str">
        <f>HYPERLINK("https://otsuka-europe-crm.veevavault.com/ui/#object/email_activity__v/V8C00000003L430", "EN-002087018")</f>
        <v>EN-002087018</v>
      </c>
    </row>
    <row r="958" spans="1:15" ht="16" x14ac:dyDescent="0.2">
      <c r="A958" s="17" t="str">
        <f>HYPERLINK("https://otsuka-europe-crm.veevavault.com/ui/#object/account__v/V4TZ04ASG9UDWHP", "ELENA TERAN GARCIA")</f>
        <v>ELENA TERAN GARCIA</v>
      </c>
      <c r="B958" s="17" t="str">
        <f>HYPERLINK("https://otsuka-europe-crm.veevavault.com/ui/#object/vcountry__v/VENZ000004SONF5", "ES")</f>
        <v>ES</v>
      </c>
      <c r="C958" s="20" t="s">
        <v>41</v>
      </c>
      <c r="D958" s="21" t="str">
        <f>HYPERLINK("https://otsuka-europe-crm.veevavault.com/ui/#object/approved_document__v/V5O00000001H022", "LUP - VAE invitación simposio SEN-SER - Nefro")</f>
        <v>LUP - VAE invitación simposio SEN-SER - Nefro</v>
      </c>
      <c r="E958" s="22" t="str">
        <f>HYPERLINK("https://otsuka-europe-crm.veevavault.com/ui/#object/sent_email__v/VBL00000002N319", "SE-001431300")</f>
        <v>SE-001431300</v>
      </c>
      <c r="F958" s="23">
        <v>46175.67827546296</v>
      </c>
      <c r="G958" s="24">
        <v>1</v>
      </c>
      <c r="H958" s="24">
        <v>2</v>
      </c>
      <c r="I958" s="24">
        <v>0</v>
      </c>
      <c r="J958" s="25"/>
      <c r="K958" s="24">
        <v>0</v>
      </c>
      <c r="L958" s="22" t="str">
        <f>HYPERLINK("https://otsuka-europe-crm.veevavault.com/ui/#object/approved_document__v/V5O00000001H022", "LUP - VAE invitación simposio SEN-SER - Nefro")</f>
        <v>LUP - VAE invitación simposio SEN-SER - Nefro</v>
      </c>
      <c r="M958" s="22" t="str">
        <f>HYPERLINK("mailto:vvalladares@crm.otsuka-europe.com", "vvalladares@crm.otsuka-europe.com")</f>
        <v>vvalladares@crm.otsuka-europe.com</v>
      </c>
      <c r="N958" s="23">
        <v>46175.463865740741</v>
      </c>
      <c r="O958" s="14" t="str">
        <f>HYPERLINK("https://otsuka-europe-crm.veevavault.com/ui/#object/email_activity__v/V8C00000003K776", "EN-002087407")</f>
        <v>EN-002087407</v>
      </c>
    </row>
    <row r="959" spans="1:15" ht="16" x14ac:dyDescent="0.2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4" t="str">
        <f>HYPERLINK("https://otsuka-europe-crm.veevavault.com/ui/#object/email_activity__v/V8C00000003L472", "EN-002087060")</f>
        <v>EN-002087060</v>
      </c>
    </row>
    <row r="960" spans="1:15" ht="16" x14ac:dyDescent="0.2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4" t="str">
        <f>HYPERLINK("https://otsuka-europe-crm.veevavault.com/ui/#object/email_activity__v/V8C00000003N005", "EN-002087992")</f>
        <v>EN-002087992</v>
      </c>
    </row>
    <row r="961" spans="1:15" ht="16" x14ac:dyDescent="0.2">
      <c r="A961" s="17" t="str">
        <f>HYPERLINK("https://otsuka-europe-crm.veevavault.com/ui/#object/account__v/V4TZ06G6O71T8UO", "MARIA MAR CASTILLA CASTELLANO")</f>
        <v>MARIA MAR CASTILLA CASTELLANO</v>
      </c>
      <c r="B961" s="17" t="str">
        <f>HYPERLINK("https://otsuka-europe-crm.veevavault.com/ui/#object/vcountry__v/VENZ000004SONF5", "ES")</f>
        <v>ES</v>
      </c>
      <c r="C961" s="20" t="s">
        <v>41</v>
      </c>
      <c r="D961" s="21" t="str">
        <f>HYPERLINK("https://otsuka-europe-crm.veevavault.com/ui/#object/approved_document__v/V5O00000001H022", "LUP - VAE invitación simposio SEN-SER - Nefro")</f>
        <v>LUP - VAE invitación simposio SEN-SER - Nefro</v>
      </c>
      <c r="E961" s="22" t="str">
        <f>HYPERLINK("https://otsuka-europe-crm.veevavault.com/ui/#object/sent_email__v/VBL00000002N320", "SE-001431301")</f>
        <v>SE-001431301</v>
      </c>
      <c r="F961" s="23">
        <v>46183.449502314812</v>
      </c>
      <c r="G961" s="24">
        <v>1</v>
      </c>
      <c r="H961" s="24">
        <v>9</v>
      </c>
      <c r="I961" s="24">
        <v>0</v>
      </c>
      <c r="J961" s="25"/>
      <c r="K961" s="24">
        <v>0</v>
      </c>
      <c r="L961" s="22" t="str">
        <f>HYPERLINK("https://otsuka-europe-crm.veevavault.com/ui/#object/approved_document__v/V5O00000001H022", "LUP - VAE invitación simposio SEN-SER - Nefro")</f>
        <v>LUP - VAE invitación simposio SEN-SER - Nefro</v>
      </c>
      <c r="M961" s="22" t="str">
        <f>HYPERLINK("mailto:vvalladares@crm.otsuka-europe.com", "vvalladares@crm.otsuka-europe.com")</f>
        <v>vvalladares@crm.otsuka-europe.com</v>
      </c>
      <c r="N961" s="23">
        <v>46175.463819444441</v>
      </c>
      <c r="O961" s="14" t="str">
        <f>HYPERLINK("https://otsuka-europe-crm.veevavault.com/ui/#object/email_activity__v/V8C00000003L539", "EN-002087127")</f>
        <v>EN-002087127</v>
      </c>
    </row>
    <row r="962" spans="1:15" ht="16" x14ac:dyDescent="0.2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4" t="str">
        <f>HYPERLINK("https://otsuka-europe-crm.veevavault.com/ui/#object/email_activity__v/V8C00000003M331", "EN-002088641")</f>
        <v>EN-002088641</v>
      </c>
    </row>
    <row r="963" spans="1:15" ht="16" x14ac:dyDescent="0.2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4" t="str">
        <f>HYPERLINK("https://otsuka-europe-crm.veevavault.com/ui/#object/email_activity__v/V8C00000003M332", "EN-002088644")</f>
        <v>EN-002088644</v>
      </c>
    </row>
    <row r="964" spans="1:15" ht="16" x14ac:dyDescent="0.2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4" t="str">
        <f>HYPERLINK("https://otsuka-europe-crm.veevavault.com/ui/#object/email_activity__v/V8C00000003M333", "EN-002088645")</f>
        <v>EN-002088645</v>
      </c>
    </row>
    <row r="965" spans="1:15" ht="16" x14ac:dyDescent="0.2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4" t="str">
        <f>HYPERLINK("https://otsuka-europe-crm.veevavault.com/ui/#object/email_activity__v/V8C00000003M368", "EN-002088744")</f>
        <v>EN-002088744</v>
      </c>
    </row>
    <row r="966" spans="1:15" ht="16" x14ac:dyDescent="0.2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4" t="str">
        <f>HYPERLINK("https://otsuka-europe-crm.veevavault.com/ui/#object/email_activity__v/V8C00000003M369", "EN-002088746")</f>
        <v>EN-002088746</v>
      </c>
    </row>
    <row r="967" spans="1:15" ht="16" x14ac:dyDescent="0.2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4" t="str">
        <f>HYPERLINK("https://otsuka-europe-crm.veevavault.com/ui/#object/email_activity__v/V8C00000003M370", "EN-002088747")</f>
        <v>EN-002088747</v>
      </c>
    </row>
    <row r="968" spans="1:15" ht="16" x14ac:dyDescent="0.2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4" t="str">
        <f>HYPERLINK("https://otsuka-europe-crm.veevavault.com/ui/#object/email_activity__v/V8C00000003M371", "EN-002088748")</f>
        <v>EN-002088748</v>
      </c>
    </row>
    <row r="969" spans="1:15" ht="16" x14ac:dyDescent="0.2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4" t="str">
        <f>HYPERLINK("https://otsuka-europe-crm.veevavault.com/ui/#object/email_activity__v/V8C00000003N397", "EN-002088619")</f>
        <v>EN-002088619</v>
      </c>
    </row>
    <row r="970" spans="1:15" ht="16" x14ac:dyDescent="0.2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4" t="str">
        <f>HYPERLINK("https://otsuka-europe-crm.veevavault.com/ui/#object/email_activity__v/V8C00000003N406", "EN-002088643")</f>
        <v>EN-002088643</v>
      </c>
    </row>
    <row r="971" spans="1:15" ht="16" x14ac:dyDescent="0.2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4" t="str">
        <f>HYPERLINK("https://otsuka-europe-crm.veevavault.com/ui/#object/email_activity__v/V8C00000003S620", "EN-002094153")</f>
        <v>EN-002094153</v>
      </c>
    </row>
    <row r="972" spans="1:15" ht="16" x14ac:dyDescent="0.2">
      <c r="A972" s="17" t="str">
        <f>HYPERLINK("https://otsuka-europe-crm.veevavault.com/ui/#object/account__v/V4TZ06G6O71T9AH", "BEATRIZ CONCEPCION AVILES BUENO")</f>
        <v>BEATRIZ CONCEPCION AVILES BUENO</v>
      </c>
      <c r="B972" s="17" t="str">
        <f>HYPERLINK("https://otsuka-europe-crm.veevavault.com/ui/#object/vcountry__v/VENZ000004SONF5", "ES")</f>
        <v>ES</v>
      </c>
      <c r="C972" s="20" t="s">
        <v>41</v>
      </c>
      <c r="D972" s="21" t="str">
        <f>HYPERLINK("https://otsuka-europe-crm.veevavault.com/ui/#object/approved_document__v/V5O00000001H022", "LUP - VAE invitación simposio SEN-SER - Nefro")</f>
        <v>LUP - VAE invitación simposio SEN-SER - Nefro</v>
      </c>
      <c r="E972" s="22" t="str">
        <f>HYPERLINK("https://otsuka-europe-crm.veevavault.com/ui/#object/sent_email__v/VBL00000002N321", "SE-001431302")</f>
        <v>SE-001431302</v>
      </c>
      <c r="F972" s="23">
        <v>46175.653090277781</v>
      </c>
      <c r="G972" s="24">
        <v>1</v>
      </c>
      <c r="H972" s="24">
        <v>1</v>
      </c>
      <c r="I972" s="24">
        <v>0</v>
      </c>
      <c r="J972" s="25"/>
      <c r="K972" s="24">
        <v>0</v>
      </c>
      <c r="L972" s="22" t="str">
        <f>HYPERLINK("https://otsuka-europe-crm.veevavault.com/ui/#object/approved_document__v/V5O00000001H022", "LUP - VAE invitación simposio SEN-SER - Nefro")</f>
        <v>LUP - VAE invitación simposio SEN-SER - Nefro</v>
      </c>
      <c r="M972" s="22" t="str">
        <f>HYPERLINK("mailto:vvalladares@crm.otsuka-europe.com", "vvalladares@crm.otsuka-europe.com")</f>
        <v>vvalladares@crm.otsuka-europe.com</v>
      </c>
      <c r="N972" s="23">
        <v>46175.463865740741</v>
      </c>
      <c r="O972" s="14" t="str">
        <f>HYPERLINK("https://otsuka-europe-crm.veevavault.com/ui/#object/email_activity__v/V8C00000003L432", "EN-002087020")</f>
        <v>EN-002087020</v>
      </c>
    </row>
    <row r="973" spans="1:15" ht="16" x14ac:dyDescent="0.2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4" t="str">
        <f>HYPERLINK("https://otsuka-europe-crm.veevavault.com/ui/#object/email_activity__v/V8C00000003M061", "EN-002087946")</f>
        <v>EN-002087946</v>
      </c>
    </row>
    <row r="974" spans="1:15" ht="16" x14ac:dyDescent="0.2">
      <c r="A974" s="17" t="str">
        <f>HYPERLINK("https://otsuka-europe-crm.veevavault.com/ui/#object/account__v/V4TZ06G6O71TB1T", "MARIA DOLORES MARTINEZ ESTEBAN")</f>
        <v>MARIA DOLORES MARTINEZ ESTEBAN</v>
      </c>
      <c r="B974" s="17" t="str">
        <f>HYPERLINK("https://otsuka-europe-crm.veevavault.com/ui/#object/vcountry__v/VENZ000004SONF5", "ES")</f>
        <v>ES</v>
      </c>
      <c r="C974" s="20" t="s">
        <v>41</v>
      </c>
      <c r="D974" s="21" t="str">
        <f>HYPERLINK("https://otsuka-europe-crm.veevavault.com/ui/#object/approved_document__v/V5O00000001H022", "LUP - VAE invitación simposio SEN-SER - Nefro")</f>
        <v>LUP - VAE invitación simposio SEN-SER - Nefro</v>
      </c>
      <c r="E974" s="22" t="str">
        <f>HYPERLINK("https://otsuka-europe-crm.veevavault.com/ui/#object/sent_email__v/VBL00000002N322", "SE-001431303")</f>
        <v>SE-001431303</v>
      </c>
      <c r="F974" s="23">
        <v>46175.464699074073</v>
      </c>
      <c r="G974" s="24">
        <v>1</v>
      </c>
      <c r="H974" s="24">
        <v>1</v>
      </c>
      <c r="I974" s="24">
        <v>0</v>
      </c>
      <c r="J974" s="25"/>
      <c r="K974" s="24">
        <v>0</v>
      </c>
      <c r="L974" s="22" t="str">
        <f>HYPERLINK("https://otsuka-europe-crm.veevavault.com/ui/#object/approved_document__v/V5O00000001H022", "LUP - VAE invitación simposio SEN-SER - Nefro")</f>
        <v>LUP - VAE invitación simposio SEN-SER - Nefro</v>
      </c>
      <c r="M974" s="22" t="str">
        <f>HYPERLINK("mailto:vvalladares@crm.otsuka-europe.com", "vvalladares@crm.otsuka-europe.com")</f>
        <v>vvalladares@crm.otsuka-europe.com</v>
      </c>
      <c r="N974" s="23">
        <v>46175.463842592595</v>
      </c>
      <c r="O974" s="14" t="str">
        <f>HYPERLINK("https://otsuka-europe-crm.veevavault.com/ui/#object/email_activity__v/V8C00000003L482", "EN-002087070")</f>
        <v>EN-002087070</v>
      </c>
    </row>
    <row r="975" spans="1:15" ht="16" x14ac:dyDescent="0.2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4" t="str">
        <f>HYPERLINK("https://otsuka-europe-crm.veevavault.com/ui/#object/email_activity__v/V8C00000003L528", "EN-002087116")</f>
        <v>EN-002087116</v>
      </c>
    </row>
    <row r="976" spans="1:15" ht="32" x14ac:dyDescent="0.2">
      <c r="A976" s="7" t="str">
        <f>HYPERLINK("https://otsuka-europe-crm.veevavault.com/ui/#object/account__v/V4TZ06G6O71TBA1", "ANA ISABEL MORALES GARCIA")</f>
        <v>ANA ISABEL MORALES GARCIA</v>
      </c>
      <c r="B976" s="7" t="str">
        <f>HYPERLINK("https://otsuka-europe-crm.veevavault.com/ui/#object/vcountry__v/VENZ000004SONF5", "ES")</f>
        <v>ES</v>
      </c>
      <c r="C976" s="8" t="s">
        <v>41</v>
      </c>
      <c r="D976" s="9" t="str">
        <f>HYPERLINK("https://otsuka-europe-crm.veevavault.com/ui/#object/approved_document__v/V5O00000001H022", "LUP - VAE invitación simposio SEN-SER - Nefro")</f>
        <v>LUP - VAE invitación simposio SEN-SER - Nefro</v>
      </c>
      <c r="E976" s="10" t="str">
        <f>HYPERLINK("https://otsuka-europe-crm.veevavault.com/ui/#object/sent_email__v/VBL00000002N323", "SE-001431304")</f>
        <v>SE-001431304</v>
      </c>
      <c r="F976" s="11"/>
      <c r="G976" s="12">
        <v>0</v>
      </c>
      <c r="H976" s="12">
        <v>0</v>
      </c>
      <c r="I976" s="12">
        <v>0</v>
      </c>
      <c r="J976" s="11"/>
      <c r="K976" s="12">
        <v>0</v>
      </c>
      <c r="L976" s="10" t="str">
        <f>HYPERLINK("https://otsuka-europe-crm.veevavault.com/ui/#object/approved_document__v/V5O00000001H022", "LUP - VAE invitación simposio SEN-SER - Nefro")</f>
        <v>LUP - VAE invitación simposio SEN-SER - Nefro</v>
      </c>
      <c r="M976" s="10" t="str">
        <f>HYPERLINK("mailto:vvalladares@crm.otsuka-europe.com", "vvalladares@crm.otsuka-europe.com")</f>
        <v>vvalladares@crm.otsuka-europe.com</v>
      </c>
      <c r="N976" s="13">
        <v>46175.463888888888</v>
      </c>
      <c r="O976" s="14" t="str">
        <f>HYPERLINK("https://otsuka-europe-crm.veevavault.com/ui/#object/email_activity__v/V8C00000003L448", "EN-002087036")</f>
        <v>EN-002087036</v>
      </c>
    </row>
    <row r="977" spans="1:15" ht="16" x14ac:dyDescent="0.2">
      <c r="A977" s="17" t="str">
        <f>HYPERLINK("https://otsuka-europe-crm.veevavault.com/ui/#object/account__v/V4TZ04ASG8N0HCY", "CARLOS ALBERTO MARIN DELGADO")</f>
        <v>CARLOS ALBERTO MARIN DELGADO</v>
      </c>
      <c r="B977" s="17" t="str">
        <f>HYPERLINK("https://otsuka-europe-crm.veevavault.com/ui/#object/vcountry__v/VENZ000004SONF5", "ES")</f>
        <v>ES</v>
      </c>
      <c r="C977" s="20" t="s">
        <v>41</v>
      </c>
      <c r="D977" s="21" t="str">
        <f>HYPERLINK("https://otsuka-europe-crm.veevavault.com/ui/#object/approved_document__v/V5O00000001H022", "LUP - VAE invitación simposio SEN-SER - Nefro")</f>
        <v>LUP - VAE invitación simposio SEN-SER - Nefro</v>
      </c>
      <c r="E977" s="22" t="str">
        <f>HYPERLINK("https://otsuka-europe-crm.veevavault.com/ui/#object/sent_email__v/VBL00000002N324", "SE-001431305")</f>
        <v>SE-001431305</v>
      </c>
      <c r="F977" s="23">
        <v>46202.542060185187</v>
      </c>
      <c r="G977" s="24">
        <v>1</v>
      </c>
      <c r="H977" s="24">
        <v>5</v>
      </c>
      <c r="I977" s="24">
        <v>0</v>
      </c>
      <c r="J977" s="25"/>
      <c r="K977" s="24">
        <v>0</v>
      </c>
      <c r="L977" s="22" t="str">
        <f>HYPERLINK("https://otsuka-europe-crm.veevavault.com/ui/#object/approved_document__v/V5O00000001H022", "LUP - VAE invitación simposio SEN-SER - Nefro")</f>
        <v>LUP - VAE invitación simposio SEN-SER - Nefro</v>
      </c>
      <c r="M977" s="22" t="str">
        <f>HYPERLINK("mailto:vvalladares@crm.otsuka-europe.com", "vvalladares@crm.otsuka-europe.com")</f>
        <v>vvalladares@crm.otsuka-europe.com</v>
      </c>
      <c r="N977" s="23">
        <v>46175.463842592595</v>
      </c>
      <c r="O977" s="14" t="str">
        <f>HYPERLINK("https://otsuka-europe-crm.veevavault.com/ui/#object/email_activity__v/V8C00000003K734", "EN-002087291")</f>
        <v>EN-002087291</v>
      </c>
    </row>
    <row r="978" spans="1:15" ht="16" x14ac:dyDescent="0.2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4" t="str">
        <f>HYPERLINK("https://otsuka-europe-crm.veevavault.com/ui/#object/email_activity__v/V8C00000003L456", "EN-002087044")</f>
        <v>EN-002087044</v>
      </c>
    </row>
    <row r="979" spans="1:15" ht="16" x14ac:dyDescent="0.2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4" t="str">
        <f>HYPERLINK("https://otsuka-europe-crm.veevavault.com/ui/#object/email_activity__v/V8C00000003M292", "EN-002088548")</f>
        <v>EN-002088548</v>
      </c>
    </row>
    <row r="980" spans="1:15" ht="16" x14ac:dyDescent="0.2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4" t="str">
        <f>HYPERLINK("https://otsuka-europe-crm.veevavault.com/ui/#object/email_activity__v/V8C00000003T036", "EN-002093652")</f>
        <v>EN-002093652</v>
      </c>
    </row>
    <row r="981" spans="1:15" ht="16" x14ac:dyDescent="0.2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4" t="str">
        <f>HYPERLINK("https://otsuka-europe-crm.veevavault.com/ui/#object/email_activity__v/V8C000000040231", "EN-002099122")</f>
        <v>EN-002099122</v>
      </c>
    </row>
    <row r="982" spans="1:15" ht="16" x14ac:dyDescent="0.2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4" t="str">
        <f>HYPERLINK("https://otsuka-europe-crm.veevavault.com/ui/#object/email_activity__v/V8C000000041341", "EN-002100351")</f>
        <v>EN-002100351</v>
      </c>
    </row>
    <row r="983" spans="1:15" ht="32" x14ac:dyDescent="0.2">
      <c r="A983" s="7" t="str">
        <f>HYPERLINK("https://otsuka-europe-crm.veevavault.com/ui/#object/account__v/V4TZ06G6O71TA4U", "CESAR GARCIA CANTON")</f>
        <v>CESAR GARCIA CANTON</v>
      </c>
      <c r="B983" s="7" t="str">
        <f>HYPERLINK("https://otsuka-europe-crm.veevavault.com/ui/#object/vcountry__v/VENZ000004SONF5", "ES")</f>
        <v>ES</v>
      </c>
      <c r="C983" s="8" t="s">
        <v>41</v>
      </c>
      <c r="D983" s="9" t="str">
        <f>HYPERLINK("https://otsuka-europe-crm.veevavault.com/ui/#object/approved_document__v/V5O00000001H022", "LUP - VAE invitación simposio SEN-SER - Nefro")</f>
        <v>LUP - VAE invitación simposio SEN-SER - Nefro</v>
      </c>
      <c r="E983" s="10" t="str">
        <f>HYPERLINK("https://otsuka-europe-crm.veevavault.com/ui/#object/sent_email__v/VBL00000002N325", "SE-001431306")</f>
        <v>SE-001431306</v>
      </c>
      <c r="F983" s="11"/>
      <c r="G983" s="12">
        <v>0</v>
      </c>
      <c r="H983" s="12">
        <v>0</v>
      </c>
      <c r="I983" s="12">
        <v>0</v>
      </c>
      <c r="J983" s="11"/>
      <c r="K983" s="12">
        <v>0</v>
      </c>
      <c r="L983" s="10" t="str">
        <f>HYPERLINK("https://otsuka-europe-crm.veevavault.com/ui/#object/approved_document__v/V5O00000001H022", "LUP - VAE invitación simposio SEN-SER - Nefro")</f>
        <v>LUP - VAE invitación simposio SEN-SER - Nefro</v>
      </c>
      <c r="M983" s="10" t="str">
        <f>HYPERLINK("mailto:vvalladares@crm.otsuka-europe.com", "vvalladares@crm.otsuka-europe.com")</f>
        <v>vvalladares@crm.otsuka-europe.com</v>
      </c>
      <c r="N983" s="13">
        <v>46175.463912037034</v>
      </c>
      <c r="O983" s="14" t="str">
        <f>HYPERLINK("https://otsuka-europe-crm.veevavault.com/ui/#object/email_activity__v/V8C00000003L442", "EN-002087030")</f>
        <v>EN-002087030</v>
      </c>
    </row>
    <row r="984" spans="1:15" ht="32" x14ac:dyDescent="0.2">
      <c r="A984" s="7" t="str">
        <f>HYPERLINK("https://otsuka-europe-crm.veevavault.com/ui/#object/account__v/V4TZ04ASG6TK5QC", "MARIA ROSA ESCAÑO MARIN")</f>
        <v>MARIA ROSA ESCAÑO MARIN</v>
      </c>
      <c r="B984" s="7" t="str">
        <f>HYPERLINK("https://otsuka-europe-crm.veevavault.com/ui/#object/vcountry__v/VENZ000004SONF5", "ES")</f>
        <v>ES</v>
      </c>
      <c r="C984" s="8" t="s">
        <v>41</v>
      </c>
      <c r="D984" s="9" t="str">
        <f>HYPERLINK("https://otsuka-europe-crm.veevavault.com/ui/#object/approved_document__v/V5O00000001H022", "LUP - VAE invitación simposio SEN-SER - Nefro")</f>
        <v>LUP - VAE invitación simposio SEN-SER - Nefro</v>
      </c>
      <c r="E984" s="10" t="str">
        <f>HYPERLINK("https://otsuka-europe-crm.veevavault.com/ui/#object/sent_email__v/VBL00000002N326", "SE-001431307")</f>
        <v>SE-001431307</v>
      </c>
      <c r="F984" s="11"/>
      <c r="G984" s="12">
        <v>0</v>
      </c>
      <c r="H984" s="12">
        <v>0</v>
      </c>
      <c r="I984" s="12">
        <v>0</v>
      </c>
      <c r="J984" s="11"/>
      <c r="K984" s="12">
        <v>0</v>
      </c>
      <c r="L984" s="10" t="str">
        <f>HYPERLINK("https://otsuka-europe-crm.veevavault.com/ui/#object/approved_document__v/V5O00000001H022", "LUP - VAE invitación simposio SEN-SER - Nefro")</f>
        <v>LUP - VAE invitación simposio SEN-SER - Nefro</v>
      </c>
      <c r="M984" s="10" t="str">
        <f>HYPERLINK("mailto:vvalladares@crm.otsuka-europe.com", "vvalladares@crm.otsuka-europe.com")</f>
        <v>vvalladares@crm.otsuka-europe.com</v>
      </c>
      <c r="N984" s="13">
        <v>46175.463877314818</v>
      </c>
      <c r="O984" s="14" t="str">
        <f>HYPERLINK("https://otsuka-europe-crm.veevavault.com/ui/#object/email_activity__v/V8C00000003L407", "EN-002086995")</f>
        <v>EN-002086995</v>
      </c>
    </row>
    <row r="985" spans="1:15" ht="16" x14ac:dyDescent="0.2">
      <c r="A985" s="17" t="str">
        <f>HYPERLINK("https://otsuka-europe-crm.veevavault.com/ui/#object/account__v/V4TZ04ASG6LSXXR", "EDISSON RUDAS BERMUDEZ")</f>
        <v>EDISSON RUDAS BERMUDEZ</v>
      </c>
      <c r="B985" s="17" t="str">
        <f>HYPERLINK("https://otsuka-europe-crm.veevavault.com/ui/#object/vcountry__v/VENZ000004SONF5", "ES")</f>
        <v>ES</v>
      </c>
      <c r="C985" s="20" t="s">
        <v>41</v>
      </c>
      <c r="D985" s="21" t="str">
        <f>HYPERLINK("https://otsuka-europe-crm.veevavault.com/ui/#object/approved_document__v/V5O00000001H022", "LUP - VAE invitación simposio SEN-SER - Nefro")</f>
        <v>LUP - VAE invitación simposio SEN-SER - Nefro</v>
      </c>
      <c r="E985" s="22" t="str">
        <f>HYPERLINK("https://otsuka-europe-crm.veevavault.com/ui/#object/sent_email__v/VBL00000002N327", "SE-001431308")</f>
        <v>SE-001431308</v>
      </c>
      <c r="F985" s="23">
        <v>46175.463958333334</v>
      </c>
      <c r="G985" s="24">
        <v>1</v>
      </c>
      <c r="H985" s="24">
        <v>1</v>
      </c>
      <c r="I985" s="24">
        <v>0</v>
      </c>
      <c r="J985" s="25"/>
      <c r="K985" s="24">
        <v>0</v>
      </c>
      <c r="L985" s="22" t="str">
        <f>HYPERLINK("https://otsuka-europe-crm.veevavault.com/ui/#object/approved_document__v/V5O00000001H022", "LUP - VAE invitación simposio SEN-SER - Nefro")</f>
        <v>LUP - VAE invitación simposio SEN-SER - Nefro</v>
      </c>
      <c r="M985" s="22" t="str">
        <f>HYPERLINK("mailto:vvalladares@crm.otsuka-europe.com", "vvalladares@crm.otsuka-europe.com")</f>
        <v>vvalladares@crm.otsuka-europe.com</v>
      </c>
      <c r="N985" s="23">
        <v>46175.463865740741</v>
      </c>
      <c r="O985" s="14" t="str">
        <f>HYPERLINK("https://otsuka-europe-crm.veevavault.com/ui/#object/email_activity__v/V8C00000003L422", "EN-002087010")</f>
        <v>EN-002087010</v>
      </c>
    </row>
    <row r="986" spans="1:15" ht="16" x14ac:dyDescent="0.2">
      <c r="A986" s="19"/>
      <c r="B986" s="19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4" t="str">
        <f>HYPERLINK("https://otsuka-europe-crm.veevavault.com/ui/#object/email_activity__v/V8C00000003L506", "EN-002087094")</f>
        <v>EN-002087094</v>
      </c>
    </row>
    <row r="987" spans="1:15" ht="16" x14ac:dyDescent="0.2">
      <c r="A987" s="17" t="str">
        <f>HYPERLINK("https://otsuka-europe-crm.veevavault.com/ui/#object/account__v/V4TZ06G6O71TB1O", "MARIA ADORACION MARTIN GOMEZ")</f>
        <v>MARIA ADORACION MARTIN GOMEZ</v>
      </c>
      <c r="B987" s="17" t="str">
        <f>HYPERLINK("https://otsuka-europe-crm.veevavault.com/ui/#object/vcountry__v/VENZ000004SONF5", "ES")</f>
        <v>ES</v>
      </c>
      <c r="C987" s="20" t="s">
        <v>41</v>
      </c>
      <c r="D987" s="21" t="str">
        <f>HYPERLINK("https://otsuka-europe-crm.veevavault.com/ui/#object/approved_document__v/V5O00000001H022", "LUP - VAE invitación simposio SEN-SER - Nefro")</f>
        <v>LUP - VAE invitación simposio SEN-SER - Nefro</v>
      </c>
      <c r="E987" s="22" t="str">
        <f>HYPERLINK("https://otsuka-europe-crm.veevavault.com/ui/#object/sent_email__v/VBL00000002N328", "SE-001431309")</f>
        <v>SE-001431309</v>
      </c>
      <c r="F987" s="23">
        <v>46175.463958333334</v>
      </c>
      <c r="G987" s="24">
        <v>1</v>
      </c>
      <c r="H987" s="24">
        <v>1</v>
      </c>
      <c r="I987" s="24">
        <v>0</v>
      </c>
      <c r="J987" s="25"/>
      <c r="K987" s="24">
        <v>0</v>
      </c>
      <c r="L987" s="22" t="str">
        <f>HYPERLINK("https://otsuka-europe-crm.veevavault.com/ui/#object/approved_document__v/V5O00000001H022", "LUP - VAE invitación simposio SEN-SER - Nefro")</f>
        <v>LUP - VAE invitación simposio SEN-SER - Nefro</v>
      </c>
      <c r="M987" s="22" t="str">
        <f>HYPERLINK("mailto:vvalladares@crm.otsuka-europe.com", "vvalladares@crm.otsuka-europe.com")</f>
        <v>vvalladares@crm.otsuka-europe.com</v>
      </c>
      <c r="N987" s="23">
        <v>46175.463842592595</v>
      </c>
      <c r="O987" s="14" t="str">
        <f>HYPERLINK("https://otsuka-europe-crm.veevavault.com/ui/#object/email_activity__v/V8C00000003L387", "EN-002086975")</f>
        <v>EN-002086975</v>
      </c>
    </row>
    <row r="988" spans="1:15" ht="16" x14ac:dyDescent="0.2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4" t="str">
        <f>HYPERLINK("https://otsuka-europe-crm.veevavault.com/ui/#object/email_activity__v/V8C00000003L505", "EN-002087093")</f>
        <v>EN-002087093</v>
      </c>
    </row>
    <row r="989" spans="1:15" ht="16" x14ac:dyDescent="0.2">
      <c r="A989" s="17" t="str">
        <f>HYPERLINK("https://otsuka-europe-crm.veevavault.com/ui/#object/account__v/V4TZ06G6O71TB7T", "ROSA MARIA MIQUEL RODRIGUEZ")</f>
        <v>ROSA MARIA MIQUEL RODRIGUEZ</v>
      </c>
      <c r="B989" s="17" t="str">
        <f>HYPERLINK("https://otsuka-europe-crm.veevavault.com/ui/#object/vcountry__v/VENZ000004SONF5", "ES")</f>
        <v>ES</v>
      </c>
      <c r="C989" s="20" t="s">
        <v>41</v>
      </c>
      <c r="D989" s="21" t="str">
        <f>HYPERLINK("https://otsuka-europe-crm.veevavault.com/ui/#object/approved_document__v/V5O00000001H022", "LUP - VAE invitación simposio SEN-SER - Nefro")</f>
        <v>LUP - VAE invitación simposio SEN-SER - Nefro</v>
      </c>
      <c r="E989" s="22" t="str">
        <f>HYPERLINK("https://otsuka-europe-crm.veevavault.com/ui/#object/sent_email__v/VBL00000002N329", "SE-001431310")</f>
        <v>SE-001431310</v>
      </c>
      <c r="F989" s="25"/>
      <c r="G989" s="24">
        <v>0</v>
      </c>
      <c r="H989" s="24">
        <v>0</v>
      </c>
      <c r="I989" s="24">
        <v>0</v>
      </c>
      <c r="J989" s="25"/>
      <c r="K989" s="24">
        <v>0</v>
      </c>
      <c r="L989" s="22" t="str">
        <f>HYPERLINK("https://otsuka-europe-crm.veevavault.com/ui/#object/approved_document__v/V5O00000001H022", "LUP - VAE invitación simposio SEN-SER - Nefro")</f>
        <v>LUP - VAE invitación simposio SEN-SER - Nefro</v>
      </c>
      <c r="M989" s="22" t="str">
        <f>HYPERLINK("mailto:vvalladares@crm.otsuka-europe.com", "vvalladares@crm.otsuka-europe.com")</f>
        <v>vvalladares@crm.otsuka-europe.com</v>
      </c>
      <c r="N989" s="23">
        <v>46175.463842592595</v>
      </c>
      <c r="O989" s="14" t="str">
        <f>HYPERLINK("https://otsuka-europe-crm.veevavault.com/ui/#object/email_activity__v/V8C00000003L491", "EN-002087079")</f>
        <v>EN-002087079</v>
      </c>
    </row>
    <row r="990" spans="1:15" ht="16" x14ac:dyDescent="0.2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4" t="str">
        <f>HYPERLINK("https://otsuka-europe-crm.veevavault.com/ui/#object/email_activity__v/V8C00000003M262", "EN-002088500")</f>
        <v>EN-002088500</v>
      </c>
    </row>
    <row r="991" spans="1:15" ht="16" x14ac:dyDescent="0.2">
      <c r="A991" s="19"/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4" t="str">
        <f>HYPERLINK("https://otsuka-europe-crm.veevavault.com/ui/#object/email_activity__v/V8C00000003M600", "EN-002089220")</f>
        <v>EN-002089220</v>
      </c>
    </row>
    <row r="992" spans="1:15" ht="32" x14ac:dyDescent="0.2">
      <c r="A992" s="7" t="str">
        <f>HYPERLINK("https://otsuka-europe-crm.veevavault.com/ui/#object/account__v/V4TZ06G6O71TA4Z", "MARIA JOSE GARCIA CORTES")</f>
        <v>MARIA JOSE GARCIA CORTES</v>
      </c>
      <c r="B992" s="7" t="str">
        <f>HYPERLINK("https://otsuka-europe-crm.veevavault.com/ui/#object/vcountry__v/VENZ000004SONF5", "ES")</f>
        <v>ES</v>
      </c>
      <c r="C992" s="8" t="s">
        <v>41</v>
      </c>
      <c r="D992" s="9" t="str">
        <f>HYPERLINK("https://otsuka-europe-crm.veevavault.com/ui/#object/approved_document__v/V5O00000001H022", "LUP - VAE invitación simposio SEN-SER - Nefro")</f>
        <v>LUP - VAE invitación simposio SEN-SER - Nefro</v>
      </c>
      <c r="E992" s="10" t="str">
        <f>HYPERLINK("https://otsuka-europe-crm.veevavault.com/ui/#object/sent_email__v/VBL00000002N330", "SE-001431311")</f>
        <v>SE-001431311</v>
      </c>
      <c r="F992" s="11"/>
      <c r="G992" s="12">
        <v>0</v>
      </c>
      <c r="H992" s="12">
        <v>0</v>
      </c>
      <c r="I992" s="12">
        <v>0</v>
      </c>
      <c r="J992" s="11"/>
      <c r="K992" s="12">
        <v>0</v>
      </c>
      <c r="L992" s="10" t="str">
        <f>HYPERLINK("https://otsuka-europe-crm.veevavault.com/ui/#object/approved_document__v/V5O00000001H022", "LUP - VAE invitación simposio SEN-SER - Nefro")</f>
        <v>LUP - VAE invitación simposio SEN-SER - Nefro</v>
      </c>
      <c r="M992" s="10" t="str">
        <f>HYPERLINK("mailto:vvalladares@crm.otsuka-europe.com", "vvalladares@crm.otsuka-europe.com")</f>
        <v>vvalladares@crm.otsuka-europe.com</v>
      </c>
      <c r="N992" s="13">
        <v>46175.463900462964</v>
      </c>
      <c r="O992" s="14" t="str">
        <f>HYPERLINK("https://otsuka-europe-crm.veevavault.com/ui/#object/email_activity__v/V8C00000003L428", "EN-002087016")</f>
        <v>EN-002087016</v>
      </c>
    </row>
    <row r="993" spans="1:15" ht="32" x14ac:dyDescent="0.2">
      <c r="A993" s="7" t="str">
        <f>HYPERLINK("https://otsuka-europe-crm.veevavault.com/ui/#object/account__v/V4TZ06G6OCBJ28L", "ALBA MAROTO ARAMENDI")</f>
        <v>ALBA MAROTO ARAMENDI</v>
      </c>
      <c r="B993" s="7" t="str">
        <f>HYPERLINK("https://otsuka-europe-crm.veevavault.com/ui/#object/vcountry__v/VENZ000004SONF5", "ES")</f>
        <v>ES</v>
      </c>
      <c r="C993" s="8" t="s">
        <v>41</v>
      </c>
      <c r="D993" s="9" t="str">
        <f>HYPERLINK("https://otsuka-europe-crm.veevavault.com/ui/#object/approved_document__v/V5O00000001H022", "LUP - VAE invitación simposio SEN-SER - Nefro")</f>
        <v>LUP - VAE invitación simposio SEN-SER - Nefro</v>
      </c>
      <c r="E993" s="10" t="str">
        <f>HYPERLINK("https://otsuka-europe-crm.veevavault.com/ui/#object/sent_email__v/VBL00000002N331", "SE-001431312")</f>
        <v>SE-001431312</v>
      </c>
      <c r="F993" s="11"/>
      <c r="G993" s="12">
        <v>0</v>
      </c>
      <c r="H993" s="12">
        <v>0</v>
      </c>
      <c r="I993" s="12">
        <v>0</v>
      </c>
      <c r="J993" s="11"/>
      <c r="K993" s="12">
        <v>0</v>
      </c>
      <c r="L993" s="10" t="str">
        <f>HYPERLINK("https://otsuka-europe-crm.veevavault.com/ui/#object/approved_document__v/V5O00000001H022", "LUP - VAE invitación simposio SEN-SER - Nefro")</f>
        <v>LUP - VAE invitación simposio SEN-SER - Nefro</v>
      </c>
      <c r="M993" s="10" t="str">
        <f>HYPERLINK("mailto:vvalladares@crm.otsuka-europe.com", "vvalladares@crm.otsuka-europe.com")</f>
        <v>vvalladares@crm.otsuka-europe.com</v>
      </c>
      <c r="N993" s="13">
        <v>46175.463842592595</v>
      </c>
      <c r="O993" s="14" t="str">
        <f>HYPERLINK("https://otsuka-europe-crm.veevavault.com/ui/#object/email_activity__v/V8C00000003L488", "EN-002087076")</f>
        <v>EN-002087076</v>
      </c>
    </row>
    <row r="994" spans="1:15" ht="16" x14ac:dyDescent="0.2">
      <c r="A994" s="17" t="str">
        <f>HYPERLINK("https://otsuka-europe-crm.veevavault.com/ui/#object/account__v/V4TZ06G6O71T7H5", "ELISA CABELLO MOYA")</f>
        <v>ELISA CABELLO MOYA</v>
      </c>
      <c r="B994" s="17" t="str">
        <f>HYPERLINK("https://otsuka-europe-crm.veevavault.com/ui/#object/vcountry__v/VENZ000004SONF5", "ES")</f>
        <v>ES</v>
      </c>
      <c r="C994" s="20" t="s">
        <v>41</v>
      </c>
      <c r="D994" s="21" t="str">
        <f>HYPERLINK("https://otsuka-europe-crm.veevavault.com/ui/#object/approved_document__v/V5O00000001H022", "LUP - VAE invitación simposio SEN-SER - Nefro")</f>
        <v>LUP - VAE invitación simposio SEN-SER - Nefro</v>
      </c>
      <c r="E994" s="22" t="str">
        <f>HYPERLINK("https://otsuka-europe-crm.veevavault.com/ui/#object/sent_email__v/VBL00000002N332", "SE-001431313")</f>
        <v>SE-001431313</v>
      </c>
      <c r="F994" s="23">
        <v>46175.610856481479</v>
      </c>
      <c r="G994" s="24">
        <v>1</v>
      </c>
      <c r="H994" s="24">
        <v>2</v>
      </c>
      <c r="I994" s="24">
        <v>0</v>
      </c>
      <c r="J994" s="25"/>
      <c r="K994" s="24">
        <v>0</v>
      </c>
      <c r="L994" s="22" t="str">
        <f>HYPERLINK("https://otsuka-europe-crm.veevavault.com/ui/#object/approved_document__v/V5O00000001H022", "LUP - VAE invitación simposio SEN-SER - Nefro")</f>
        <v>LUP - VAE invitación simposio SEN-SER - Nefro</v>
      </c>
      <c r="M994" s="22" t="str">
        <f>HYPERLINK("mailto:vvalladares@crm.otsuka-europe.com", "vvalladares@crm.otsuka-europe.com")</f>
        <v>vvalladares@crm.otsuka-europe.com</v>
      </c>
      <c r="N994" s="23">
        <v>46175.463842592595</v>
      </c>
      <c r="O994" s="14" t="str">
        <f>HYPERLINK("https://otsuka-europe-crm.veevavault.com/ui/#object/email_activity__v/V8C00000003L389", "EN-002086977")</f>
        <v>EN-002086977</v>
      </c>
    </row>
    <row r="995" spans="1:15" ht="16" x14ac:dyDescent="0.2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4" t="str">
        <f>HYPERLINK("https://otsuka-europe-crm.veevavault.com/ui/#object/email_activity__v/V8C00000003M021", "EN-002087874")</f>
        <v>EN-002087874</v>
      </c>
    </row>
    <row r="996" spans="1:15" ht="16" x14ac:dyDescent="0.2">
      <c r="A996" s="19"/>
      <c r="B996" s="19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4" t="str">
        <f>HYPERLINK("https://otsuka-europe-crm.veevavault.com/ui/#object/email_activity__v/V8C00000003M022", "EN-002087875")</f>
        <v>EN-002087875</v>
      </c>
    </row>
    <row r="997" spans="1:15" ht="16" x14ac:dyDescent="0.2">
      <c r="A997" s="17" t="str">
        <f>HYPERLINK("https://otsuka-europe-crm.veevavault.com/ui/#object/account__v/V4TZ06G6O71T7XX", "LARA PEREA ORTEGA")</f>
        <v>LARA PEREA ORTEGA</v>
      </c>
      <c r="B997" s="17" t="str">
        <f>HYPERLINK("https://otsuka-europe-crm.veevavault.com/ui/#object/vcountry__v/VENZ000004SONF5", "ES")</f>
        <v>ES</v>
      </c>
      <c r="C997" s="20" t="s">
        <v>41</v>
      </c>
      <c r="D997" s="21" t="str">
        <f>HYPERLINK("https://otsuka-europe-crm.veevavault.com/ui/#object/approved_document__v/V5O00000001H022", "LUP - VAE invitación simposio SEN-SER - Nefro")</f>
        <v>LUP - VAE invitación simposio SEN-SER - Nefro</v>
      </c>
      <c r="E997" s="22" t="str">
        <f>HYPERLINK("https://otsuka-europe-crm.veevavault.com/ui/#object/sent_email__v/VBL00000002N333", "SE-001431314")</f>
        <v>SE-001431314</v>
      </c>
      <c r="F997" s="23">
        <v>46176.448113425926</v>
      </c>
      <c r="G997" s="24">
        <v>1</v>
      </c>
      <c r="H997" s="24">
        <v>3</v>
      </c>
      <c r="I997" s="24">
        <v>0</v>
      </c>
      <c r="J997" s="25"/>
      <c r="K997" s="24">
        <v>0</v>
      </c>
      <c r="L997" s="22" t="str">
        <f>HYPERLINK("https://otsuka-europe-crm.veevavault.com/ui/#object/approved_document__v/V5O00000001H022", "LUP - VAE invitación simposio SEN-SER - Nefro")</f>
        <v>LUP - VAE invitación simposio SEN-SER - Nefro</v>
      </c>
      <c r="M997" s="22" t="str">
        <f>HYPERLINK("mailto:vvalladares@crm.otsuka-europe.com", "vvalladares@crm.otsuka-europe.com")</f>
        <v>vvalladares@crm.otsuka-europe.com</v>
      </c>
      <c r="N997" s="23">
        <v>46175.463842592595</v>
      </c>
      <c r="O997" s="14" t="str">
        <f>HYPERLINK("https://otsuka-europe-crm.veevavault.com/ui/#object/email_activity__v/V8C00000003K678", "EN-002087132")</f>
        <v>EN-002087132</v>
      </c>
    </row>
    <row r="998" spans="1:15" ht="16" x14ac:dyDescent="0.2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4" t="str">
        <f>HYPERLINK("https://otsuka-europe-crm.veevavault.com/ui/#object/email_activity__v/V8C00000003L458", "EN-002087046")</f>
        <v>EN-002087046</v>
      </c>
    </row>
    <row r="999" spans="1:15" ht="16" x14ac:dyDescent="0.2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4" t="str">
        <f>HYPERLINK("https://otsuka-europe-crm.veevavault.com/ui/#object/email_activity__v/V8C00000003N421", "EN-002088669")</f>
        <v>EN-002088669</v>
      </c>
    </row>
    <row r="1000" spans="1:15" ht="16" x14ac:dyDescent="0.2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  <c r="L1000" s="19"/>
      <c r="M1000" s="19"/>
      <c r="N1000" s="19"/>
      <c r="O1000" s="14" t="str">
        <f>HYPERLINK("https://otsuka-europe-crm.veevavault.com/ui/#object/email_activity__v/V8C00000003N422", "EN-002088670")</f>
        <v>EN-002088670</v>
      </c>
    </row>
    <row r="1001" spans="1:15" ht="32" x14ac:dyDescent="0.2">
      <c r="A1001" s="7" t="str">
        <f>HYPERLINK("https://otsuka-europe-crm.veevavault.com/ui/#object/account__v/V4TZ025E838Q4FL", "MARIA MARTINEZ MANRIQUE")</f>
        <v>MARIA MARTINEZ MANRIQUE</v>
      </c>
      <c r="B1001" s="7" t="str">
        <f>HYPERLINK("https://otsuka-europe-crm.veevavault.com/ui/#object/vcountry__v/VENZ000004SONF5", "ES")</f>
        <v>ES</v>
      </c>
      <c r="C1001" s="8" t="s">
        <v>41</v>
      </c>
      <c r="D1001" s="9" t="str">
        <f>HYPERLINK("https://otsuka-europe-crm.veevavault.com/ui/#object/approved_document__v/V5O00000001H022", "LUP - VAE invitación simposio SEN-SER - Nefro")</f>
        <v>LUP - VAE invitación simposio SEN-SER - Nefro</v>
      </c>
      <c r="E1001" s="10" t="str">
        <f>HYPERLINK("https://otsuka-europe-crm.veevavault.com/ui/#object/sent_email__v/VBL00000002N334", "SE-001431315")</f>
        <v>SE-001431315</v>
      </c>
      <c r="F1001" s="11"/>
      <c r="G1001" s="12">
        <v>0</v>
      </c>
      <c r="H1001" s="12">
        <v>0</v>
      </c>
      <c r="I1001" s="12">
        <v>0</v>
      </c>
      <c r="J1001" s="11"/>
      <c r="K1001" s="12">
        <v>0</v>
      </c>
      <c r="L1001" s="10" t="str">
        <f>HYPERLINK("https://otsuka-europe-crm.veevavault.com/ui/#object/approved_document__v/V5O00000001H022", "LUP - VAE invitación simposio SEN-SER - Nefro")</f>
        <v>LUP - VAE invitación simposio SEN-SER - Nefro</v>
      </c>
      <c r="M1001" s="10" t="str">
        <f>HYPERLINK("mailto:vvalladares@crm.otsuka-europe.com", "vvalladares@crm.otsuka-europe.com")</f>
        <v>vvalladares@crm.otsuka-europe.com</v>
      </c>
      <c r="N1001" s="13">
        <v>46175.463842592595</v>
      </c>
      <c r="O1001" s="14" t="str">
        <f>HYPERLINK("https://otsuka-europe-crm.veevavault.com/ui/#object/email_activity__v/V8C00000003L489", "EN-002087077")</f>
        <v>EN-002087077</v>
      </c>
    </row>
    <row r="1002" spans="1:15" ht="16" x14ac:dyDescent="0.2">
      <c r="A1002" s="17" t="str">
        <f>HYPERLINK("https://otsuka-europe-crm.veevavault.com/ui/#object/account__v/V4TZ06G6O71T89F", "MIRIAM BARRALES IGLESIAS")</f>
        <v>MIRIAM BARRALES IGLESIAS</v>
      </c>
      <c r="B1002" s="17" t="str">
        <f>HYPERLINK("https://otsuka-europe-crm.veevavault.com/ui/#object/vcountry__v/VENZ000004SONF5", "ES")</f>
        <v>ES</v>
      </c>
      <c r="C1002" s="20" t="s">
        <v>41</v>
      </c>
      <c r="D1002" s="21" t="str">
        <f>HYPERLINK("https://otsuka-europe-crm.veevavault.com/ui/#object/approved_document__v/V5O00000001H022", "LUP - VAE invitación simposio SEN-SER - Nefro")</f>
        <v>LUP - VAE invitación simposio SEN-SER - Nefro</v>
      </c>
      <c r="E1002" s="22" t="str">
        <f>HYPERLINK("https://otsuka-europe-crm.veevavault.com/ui/#object/sent_email__v/VBL00000002N335", "SE-001431316")</f>
        <v>SE-001431316</v>
      </c>
      <c r="F1002" s="25"/>
      <c r="G1002" s="24">
        <v>0</v>
      </c>
      <c r="H1002" s="24">
        <v>0</v>
      </c>
      <c r="I1002" s="24">
        <v>0</v>
      </c>
      <c r="J1002" s="25"/>
      <c r="K1002" s="24">
        <v>0</v>
      </c>
      <c r="L1002" s="22" t="str">
        <f>HYPERLINK("https://otsuka-europe-crm.veevavault.com/ui/#object/approved_document__v/V5O00000001H022", "LUP - VAE invitación simposio SEN-SER - Nefro")</f>
        <v>LUP - VAE invitación simposio SEN-SER - Nefro</v>
      </c>
      <c r="M1002" s="22" t="str">
        <f>HYPERLINK("mailto:vvalladares@crm.otsuka-europe.com", "vvalladares@crm.otsuka-europe.com")</f>
        <v>vvalladares@crm.otsuka-europe.com</v>
      </c>
      <c r="N1002" s="23">
        <v>46175.463842592595</v>
      </c>
      <c r="O1002" s="14" t="str">
        <f>HYPERLINK("https://otsuka-europe-crm.veevavault.com/ui/#object/email_activity__v/V8C00000003L457", "EN-002087045")</f>
        <v>EN-002087045</v>
      </c>
    </row>
    <row r="1003" spans="1:15" ht="16" x14ac:dyDescent="0.2">
      <c r="A1003" s="18"/>
      <c r="B1003" s="18"/>
      <c r="C1003" s="18"/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4" t="str">
        <f>HYPERLINK("https://otsuka-europe-crm.veevavault.com/ui/#object/email_activity__v/V8C00000003M434", "EN-002088887")</f>
        <v>EN-002088887</v>
      </c>
    </row>
    <row r="1004" spans="1:15" ht="16" x14ac:dyDescent="0.2">
      <c r="A1004" s="19"/>
      <c r="B1004" s="19"/>
      <c r="C1004" s="19"/>
      <c r="D1004" s="19"/>
      <c r="E1004" s="19"/>
      <c r="F1004" s="19"/>
      <c r="G1004" s="19"/>
      <c r="H1004" s="19"/>
      <c r="I1004" s="19"/>
      <c r="J1004" s="19"/>
      <c r="K1004" s="19"/>
      <c r="L1004" s="19"/>
      <c r="M1004" s="19"/>
      <c r="N1004" s="19"/>
      <c r="O1004" s="14" t="str">
        <f>HYPERLINK("https://otsuka-europe-crm.veevavault.com/ui/#object/email_activity__v/V8C00000003N551", "EN-002088892")</f>
        <v>EN-002088892</v>
      </c>
    </row>
    <row r="1005" spans="1:15" ht="16" x14ac:dyDescent="0.2">
      <c r="A1005" s="17" t="str">
        <f>HYPERLINK("https://otsuka-europe-crm.veevavault.com/ui/#object/account__v/V4TZ06G6O71TACA", "MANUEL JIMENEZ VILLODRES")</f>
        <v>MANUEL JIMENEZ VILLODRES</v>
      </c>
      <c r="B1005" s="17" t="str">
        <f>HYPERLINK("https://otsuka-europe-crm.veevavault.com/ui/#object/vcountry__v/VENZ000004SONF5", "ES")</f>
        <v>ES</v>
      </c>
      <c r="C1005" s="20" t="s">
        <v>41</v>
      </c>
      <c r="D1005" s="21" t="str">
        <f>HYPERLINK("https://otsuka-europe-crm.veevavault.com/ui/#object/approved_document__v/V5O00000001H022", "LUP - VAE invitación simposio SEN-SER - Nefro")</f>
        <v>LUP - VAE invitación simposio SEN-SER - Nefro</v>
      </c>
      <c r="E1005" s="22" t="str">
        <f>HYPERLINK("https://otsuka-europe-crm.veevavault.com/ui/#object/sent_email__v/VBL00000002N336", "SE-001431317")</f>
        <v>SE-001431317</v>
      </c>
      <c r="F1005" s="25"/>
      <c r="G1005" s="24">
        <v>0</v>
      </c>
      <c r="H1005" s="24">
        <v>0</v>
      </c>
      <c r="I1005" s="24">
        <v>0</v>
      </c>
      <c r="J1005" s="25"/>
      <c r="K1005" s="24">
        <v>0</v>
      </c>
      <c r="L1005" s="22" t="str">
        <f>HYPERLINK("https://otsuka-europe-crm.veevavault.com/ui/#object/approved_document__v/V5O00000001H022", "LUP - VAE invitación simposio SEN-SER - Nefro")</f>
        <v>LUP - VAE invitación simposio SEN-SER - Nefro</v>
      </c>
      <c r="M1005" s="22" t="str">
        <f>HYPERLINK("mailto:vvalladares@crm.otsuka-europe.com", "vvalladares@crm.otsuka-europe.com")</f>
        <v>vvalladares@crm.otsuka-europe.com</v>
      </c>
      <c r="N1005" s="23">
        <v>46175.463865740741</v>
      </c>
      <c r="O1005" s="14" t="str">
        <f>HYPERLINK("https://otsuka-europe-crm.veevavault.com/ui/#object/email_activity__v/V8C00000003L436", "EN-002087024")</f>
        <v>EN-002087024</v>
      </c>
    </row>
    <row r="1006" spans="1:15" ht="16" x14ac:dyDescent="0.2">
      <c r="A1006" s="19"/>
      <c r="B1006" s="19"/>
      <c r="C1006" s="19"/>
      <c r="D1006" s="19"/>
      <c r="E1006" s="19"/>
      <c r="F1006" s="19"/>
      <c r="G1006" s="19"/>
      <c r="H1006" s="19"/>
      <c r="I1006" s="19"/>
      <c r="J1006" s="19"/>
      <c r="K1006" s="19"/>
      <c r="L1006" s="19"/>
      <c r="M1006" s="19"/>
      <c r="N1006" s="19"/>
      <c r="O1006" s="14" t="str">
        <f>HYPERLINK("https://otsuka-europe-crm.veevavault.com/ui/#object/email_activity__v/V8C00000003M171", "EN-002088344")</f>
        <v>EN-002088344</v>
      </c>
    </row>
    <row r="1007" spans="1:15" ht="32" x14ac:dyDescent="0.2">
      <c r="A1007" s="7" t="str">
        <f>HYPERLINK("https://otsuka-europe-crm.veevavault.com/ui/#object/account__v/V4TZ06G6O71TBH5", "ELENA OLIVA DAMASO")</f>
        <v>ELENA OLIVA DAMASO</v>
      </c>
      <c r="B1007" s="7" t="str">
        <f>HYPERLINK("https://otsuka-europe-crm.veevavault.com/ui/#object/vcountry__v/VENZ000004SONF5", "ES")</f>
        <v>ES</v>
      </c>
      <c r="C1007" s="8" t="s">
        <v>41</v>
      </c>
      <c r="D1007" s="9" t="str">
        <f>HYPERLINK("https://otsuka-europe-crm.veevavault.com/ui/#object/approved_document__v/V5O00000001H022", "LUP - VAE invitación simposio SEN-SER - Nefro")</f>
        <v>LUP - VAE invitación simposio SEN-SER - Nefro</v>
      </c>
      <c r="E1007" s="10" t="str">
        <f>HYPERLINK("https://otsuka-europe-crm.veevavault.com/ui/#object/sent_email__v/VBL00000002N337", "SE-001431318")</f>
        <v>SE-001431318</v>
      </c>
      <c r="F1007" s="11"/>
      <c r="G1007" s="12">
        <v>0</v>
      </c>
      <c r="H1007" s="12">
        <v>0</v>
      </c>
      <c r="I1007" s="12">
        <v>0</v>
      </c>
      <c r="J1007" s="11"/>
      <c r="K1007" s="12">
        <v>0</v>
      </c>
      <c r="L1007" s="10" t="str">
        <f>HYPERLINK("https://otsuka-europe-crm.veevavault.com/ui/#object/approved_document__v/V5O00000001H022", "LUP - VAE invitación simposio SEN-SER - Nefro")</f>
        <v>LUP - VAE invitación simposio SEN-SER - Nefro</v>
      </c>
      <c r="M1007" s="10" t="str">
        <f>HYPERLINK("mailto:vvalladares@crm.otsuka-europe.com", "vvalladares@crm.otsuka-europe.com")</f>
        <v>vvalladares@crm.otsuka-europe.com</v>
      </c>
      <c r="N1007" s="13">
        <v>46175.463842592595</v>
      </c>
      <c r="O1007" s="14" t="str">
        <f>HYPERLINK("https://otsuka-europe-crm.veevavault.com/ui/#object/email_activity__v/V8C00000003L397", "EN-002086985")</f>
        <v>EN-002086985</v>
      </c>
    </row>
    <row r="1008" spans="1:15" ht="32" x14ac:dyDescent="0.2">
      <c r="A1008" s="7" t="str">
        <f>HYPERLINK("https://otsuka-europe-crm.veevavault.com/ui/#object/account__v/V4TZ06G6O71TCJW", "MIGUEL GIOVANNI URIOL RIVERA")</f>
        <v>MIGUEL GIOVANNI URIOL RIVERA</v>
      </c>
      <c r="B1008" s="7" t="str">
        <f>HYPERLINK("https://otsuka-europe-crm.veevavault.com/ui/#object/vcountry__v/VENZ000004SONF5", "ES")</f>
        <v>ES</v>
      </c>
      <c r="C1008" s="8" t="s">
        <v>41</v>
      </c>
      <c r="D1008" s="9" t="str">
        <f>HYPERLINK("https://otsuka-europe-crm.veevavault.com/ui/#object/approved_document__v/V5O00000001H022", "LUP - VAE invitación simposio SEN-SER - Nefro")</f>
        <v>LUP - VAE invitación simposio SEN-SER - Nefro</v>
      </c>
      <c r="E1008" s="10" t="str">
        <f>HYPERLINK("https://otsuka-europe-crm.veevavault.com/ui/#object/sent_email__v/VBL00000002N338", "SE-001431319")</f>
        <v>SE-001431319</v>
      </c>
      <c r="F1008" s="11"/>
      <c r="G1008" s="12">
        <v>0</v>
      </c>
      <c r="H1008" s="12">
        <v>0</v>
      </c>
      <c r="I1008" s="12">
        <v>0</v>
      </c>
      <c r="J1008" s="11"/>
      <c r="K1008" s="12">
        <v>0</v>
      </c>
      <c r="L1008" s="10" t="str">
        <f>HYPERLINK("https://otsuka-europe-crm.veevavault.com/ui/#object/approved_document__v/V5O00000001H022", "LUP - VAE invitación simposio SEN-SER - Nefro")</f>
        <v>LUP - VAE invitación simposio SEN-SER - Nefro</v>
      </c>
      <c r="M1008" s="10" t="str">
        <f>HYPERLINK("mailto:vvalladares@crm.otsuka-europe.com", "vvalladares@crm.otsuka-europe.com")</f>
        <v>vvalladares@crm.otsuka-europe.com</v>
      </c>
      <c r="N1008" s="13">
        <v>46175.463842592595</v>
      </c>
      <c r="O1008" s="14" t="str">
        <f>HYPERLINK("https://otsuka-europe-crm.veevavault.com/ui/#object/email_activity__v/V8C00000003L391", "EN-002086979")</f>
        <v>EN-002086979</v>
      </c>
    </row>
    <row r="1009" spans="1:15" ht="16" x14ac:dyDescent="0.2">
      <c r="A1009" s="17" t="str">
        <f>HYPERLINK("https://otsuka-europe-crm.veevavault.com/ui/#object/account__v/V4TZ04ASG9B1566", "SAMUEL ABRANTE GARCIA")</f>
        <v>SAMUEL ABRANTE GARCIA</v>
      </c>
      <c r="B1009" s="17" t="str">
        <f>HYPERLINK("https://otsuka-europe-crm.veevavault.com/ui/#object/vcountry__v/VENZ000004SONF5", "ES")</f>
        <v>ES</v>
      </c>
      <c r="C1009" s="20" t="s">
        <v>41</v>
      </c>
      <c r="D1009" s="21" t="str">
        <f>HYPERLINK("https://otsuka-europe-crm.veevavault.com/ui/#object/approved_document__v/V5O00000001H022", "LUP - VAE invitación simposio SEN-SER - Nefro")</f>
        <v>LUP - VAE invitación simposio SEN-SER - Nefro</v>
      </c>
      <c r="E1009" s="22" t="str">
        <f>HYPERLINK("https://otsuka-europe-crm.veevavault.com/ui/#object/sent_email__v/VBL00000002N339", "SE-001431320")</f>
        <v>SE-001431320</v>
      </c>
      <c r="F1009" s="23">
        <v>46175.531921296293</v>
      </c>
      <c r="G1009" s="24">
        <v>1</v>
      </c>
      <c r="H1009" s="24">
        <v>1</v>
      </c>
      <c r="I1009" s="24">
        <v>0</v>
      </c>
      <c r="J1009" s="25"/>
      <c r="K1009" s="24">
        <v>0</v>
      </c>
      <c r="L1009" s="22" t="str">
        <f>HYPERLINK("https://otsuka-europe-crm.veevavault.com/ui/#object/approved_document__v/V5O00000001H022", "LUP - VAE invitación simposio SEN-SER - Nefro")</f>
        <v>LUP - VAE invitación simposio SEN-SER - Nefro</v>
      </c>
      <c r="M1009" s="22" t="str">
        <f>HYPERLINK("mailto:vvalladares@crm.otsuka-europe.com", "vvalladares@crm.otsuka-europe.com")</f>
        <v>vvalladares@crm.otsuka-europe.com</v>
      </c>
      <c r="N1009" s="23">
        <v>46175.463842592595</v>
      </c>
      <c r="O1009" s="14" t="str">
        <f>HYPERLINK("https://otsuka-europe-crm.veevavault.com/ui/#object/email_activity__v/V8C00000003K829", "EN-002087507")</f>
        <v>EN-002087507</v>
      </c>
    </row>
    <row r="1010" spans="1:15" ht="16" x14ac:dyDescent="0.2">
      <c r="A1010" s="19"/>
      <c r="B1010" s="19"/>
      <c r="C1010" s="19"/>
      <c r="D1010" s="19"/>
      <c r="E1010" s="19"/>
      <c r="F1010" s="19"/>
      <c r="G1010" s="19"/>
      <c r="H1010" s="19"/>
      <c r="I1010" s="19"/>
      <c r="J1010" s="19"/>
      <c r="K1010" s="19"/>
      <c r="L1010" s="19"/>
      <c r="M1010" s="19"/>
      <c r="N1010" s="19"/>
      <c r="O1010" s="14" t="str">
        <f>HYPERLINK("https://otsuka-europe-crm.veevavault.com/ui/#object/email_activity__v/V8C00000003L388", "EN-002086976")</f>
        <v>EN-002086976</v>
      </c>
    </row>
    <row r="1011" spans="1:15" ht="16" x14ac:dyDescent="0.2">
      <c r="A1011" s="17" t="str">
        <f>HYPERLINK("https://otsuka-europe-crm.veevavault.com/ui/#object/account__v/V4TZ06G6O71TAZ9", "CARLOS ALBERTO MAÑERO RODRIGUEZ")</f>
        <v>CARLOS ALBERTO MAÑERO RODRIGUEZ</v>
      </c>
      <c r="B1011" s="17" t="str">
        <f>HYPERLINK("https://otsuka-europe-crm.veevavault.com/ui/#object/vcountry__v/VENZ000004SONF5", "ES")</f>
        <v>ES</v>
      </c>
      <c r="C1011" s="20" t="s">
        <v>41</v>
      </c>
      <c r="D1011" s="21" t="str">
        <f>HYPERLINK("https://otsuka-europe-crm.veevavault.com/ui/#object/approved_document__v/V5O00000001H022", "LUP - VAE invitación simposio SEN-SER - Nefro")</f>
        <v>LUP - VAE invitación simposio SEN-SER - Nefro</v>
      </c>
      <c r="E1011" s="22" t="str">
        <f>HYPERLINK("https://otsuka-europe-crm.veevavault.com/ui/#object/sent_email__v/VBL00000002N340", "SE-001431321")</f>
        <v>SE-001431321</v>
      </c>
      <c r="F1011" s="23">
        <v>46175.463993055557</v>
      </c>
      <c r="G1011" s="24">
        <v>1</v>
      </c>
      <c r="H1011" s="24">
        <v>1</v>
      </c>
      <c r="I1011" s="24">
        <v>0</v>
      </c>
      <c r="J1011" s="25"/>
      <c r="K1011" s="24">
        <v>0</v>
      </c>
      <c r="L1011" s="22" t="str">
        <f>HYPERLINK("https://otsuka-europe-crm.veevavault.com/ui/#object/approved_document__v/V5O00000001H022", "LUP - VAE invitación simposio SEN-SER - Nefro")</f>
        <v>LUP - VAE invitación simposio SEN-SER - Nefro</v>
      </c>
      <c r="M1011" s="22" t="str">
        <f>HYPERLINK("mailto:vvalladares@crm.otsuka-europe.com", "vvalladares@crm.otsuka-europe.com")</f>
        <v>vvalladares@crm.otsuka-europe.com</v>
      </c>
      <c r="N1011" s="23">
        <v>46175.463888888888</v>
      </c>
      <c r="O1011" s="14" t="str">
        <f>HYPERLINK("https://otsuka-europe-crm.veevavault.com/ui/#object/email_activity__v/V8C00000003L417", "EN-002087005")</f>
        <v>EN-002087005</v>
      </c>
    </row>
    <row r="1012" spans="1:15" ht="16" x14ac:dyDescent="0.2">
      <c r="A1012" s="18"/>
      <c r="B1012" s="18"/>
      <c r="C1012" s="18"/>
      <c r="D1012" s="18"/>
      <c r="E1012" s="18"/>
      <c r="F1012" s="18"/>
      <c r="G1012" s="18"/>
      <c r="H1012" s="18"/>
      <c r="I1012" s="18"/>
      <c r="J1012" s="18"/>
      <c r="K1012" s="18"/>
      <c r="L1012" s="18"/>
      <c r="M1012" s="18"/>
      <c r="N1012" s="18"/>
      <c r="O1012" s="14" t="str">
        <f>HYPERLINK("https://otsuka-europe-crm.veevavault.com/ui/#object/email_activity__v/V8C00000003L459", "EN-002087047")</f>
        <v>EN-002087047</v>
      </c>
    </row>
    <row r="1013" spans="1:15" ht="16" x14ac:dyDescent="0.2">
      <c r="A1013" s="19"/>
      <c r="B1013" s="19"/>
      <c r="C1013" s="19"/>
      <c r="D1013" s="19"/>
      <c r="E1013" s="19"/>
      <c r="F1013" s="19"/>
      <c r="G1013" s="19"/>
      <c r="H1013" s="19"/>
      <c r="I1013" s="19"/>
      <c r="J1013" s="19"/>
      <c r="K1013" s="19"/>
      <c r="L1013" s="19"/>
      <c r="M1013" s="19"/>
      <c r="N1013" s="19"/>
      <c r="O1013" s="14" t="str">
        <f>HYPERLINK("https://otsuka-europe-crm.veevavault.com/ui/#object/email_activity__v/V8C00000003N530", "EN-002088837")</f>
        <v>EN-002088837</v>
      </c>
    </row>
    <row r="1014" spans="1:15" ht="16" x14ac:dyDescent="0.2">
      <c r="A1014" s="17" t="str">
        <f>HYPERLINK("https://otsuka-europe-crm.veevavault.com/ui/#object/account__v/V4TZ06G6O71T757", "MONICA MARTIN VELAZQUEZ")</f>
        <v>MONICA MARTIN VELAZQUEZ</v>
      </c>
      <c r="B1014" s="17" t="str">
        <f>HYPERLINK("https://otsuka-europe-crm.veevavault.com/ui/#object/vcountry__v/VENZ000004SONF5", "ES")</f>
        <v>ES</v>
      </c>
      <c r="C1014" s="20" t="s">
        <v>41</v>
      </c>
      <c r="D1014" s="21" t="str">
        <f>HYPERLINK("https://otsuka-europe-crm.veevavault.com/ui/#object/approved_document__v/V5O00000001H022", "LUP - VAE invitación simposio SEN-SER - Nefro")</f>
        <v>LUP - VAE invitación simposio SEN-SER - Nefro</v>
      </c>
      <c r="E1014" s="22" t="str">
        <f>HYPERLINK("https://otsuka-europe-crm.veevavault.com/ui/#object/sent_email__v/VBL00000002N341", "SE-001431322")</f>
        <v>SE-001431322</v>
      </c>
      <c r="F1014" s="25"/>
      <c r="G1014" s="24">
        <v>0</v>
      </c>
      <c r="H1014" s="24">
        <v>0</v>
      </c>
      <c r="I1014" s="24">
        <v>0</v>
      </c>
      <c r="J1014" s="25"/>
      <c r="K1014" s="24">
        <v>0</v>
      </c>
      <c r="L1014" s="22" t="str">
        <f>HYPERLINK("https://otsuka-europe-crm.veevavault.com/ui/#object/approved_document__v/V5O00000001H022", "LUP - VAE invitación simposio SEN-SER - Nefro")</f>
        <v>LUP - VAE invitación simposio SEN-SER - Nefro</v>
      </c>
      <c r="M1014" s="22" t="str">
        <f>HYPERLINK("mailto:vvalladares@crm.otsuka-europe.com", "vvalladares@crm.otsuka-europe.com")</f>
        <v>vvalladares@crm.otsuka-europe.com</v>
      </c>
      <c r="N1014" s="23">
        <v>46175.463865740741</v>
      </c>
      <c r="O1014" s="14" t="str">
        <f>HYPERLINK("https://otsuka-europe-crm.veevavault.com/ui/#object/email_activity__v/V8C00000003L434", "EN-002087022")</f>
        <v>EN-002087022</v>
      </c>
    </row>
    <row r="1015" spans="1:15" ht="16" x14ac:dyDescent="0.2">
      <c r="A1015" s="19"/>
      <c r="B1015" s="19"/>
      <c r="C1015" s="19"/>
      <c r="D1015" s="19"/>
      <c r="E1015" s="19"/>
      <c r="F1015" s="19"/>
      <c r="G1015" s="19"/>
      <c r="H1015" s="19"/>
      <c r="I1015" s="19"/>
      <c r="J1015" s="19"/>
      <c r="K1015" s="19"/>
      <c r="L1015" s="19"/>
      <c r="M1015" s="19"/>
      <c r="N1015" s="19"/>
      <c r="O1015" s="14" t="str">
        <f>HYPERLINK("https://otsuka-europe-crm.veevavault.com/ui/#object/email_activity__v/V8C00000003L711", "EN-002087384")</f>
        <v>EN-002087384</v>
      </c>
    </row>
    <row r="1016" spans="1:15" ht="32" x14ac:dyDescent="0.2">
      <c r="A1016" s="7" t="str">
        <f>HYPERLINK("https://otsuka-europe-crm.veevavault.com/ui/#object/account__v/V4TZ06G6O71TAUB", "ALBERTO MARAÑES ANTOÑANZAS")</f>
        <v>ALBERTO MARAÑES ANTOÑANZAS</v>
      </c>
      <c r="B1016" s="7" t="str">
        <f>HYPERLINK("https://otsuka-europe-crm.veevavault.com/ui/#object/vcountry__v/VENZ000004SONF5", "ES")</f>
        <v>ES</v>
      </c>
      <c r="C1016" s="8" t="s">
        <v>41</v>
      </c>
      <c r="D1016" s="9" t="str">
        <f>HYPERLINK("https://otsuka-europe-crm.veevavault.com/ui/#object/approved_document__v/V5O00000001H022", "LUP - VAE invitación simposio SEN-SER - Nefro")</f>
        <v>LUP - VAE invitación simposio SEN-SER - Nefro</v>
      </c>
      <c r="E1016" s="10" t="str">
        <f>HYPERLINK("https://otsuka-europe-crm.veevavault.com/ui/#object/sent_email__v/VBL00000002N342", "SE-001431323")</f>
        <v>SE-001431323</v>
      </c>
      <c r="F1016" s="11"/>
      <c r="G1016" s="12">
        <v>0</v>
      </c>
      <c r="H1016" s="12">
        <v>0</v>
      </c>
      <c r="I1016" s="12">
        <v>0</v>
      </c>
      <c r="J1016" s="11"/>
      <c r="K1016" s="12">
        <v>0</v>
      </c>
      <c r="L1016" s="10" t="str">
        <f>HYPERLINK("https://otsuka-europe-crm.veevavault.com/ui/#object/approved_document__v/V5O00000001H022", "LUP - VAE invitación simposio SEN-SER - Nefro")</f>
        <v>LUP - VAE invitación simposio SEN-SER - Nefro</v>
      </c>
      <c r="M1016" s="10" t="str">
        <f>HYPERLINK("mailto:vvalladares@crm.otsuka-europe.com", "vvalladares@crm.otsuka-europe.com")</f>
        <v>vvalladares@crm.otsuka-europe.com</v>
      </c>
      <c r="N1016" s="13">
        <v>46175.463842592595</v>
      </c>
      <c r="O1016" s="14" t="str">
        <f>HYPERLINK("https://otsuka-europe-crm.veevavault.com/ui/#object/email_activity__v/V8C00000003L507", "EN-002087095")</f>
        <v>EN-002087095</v>
      </c>
    </row>
    <row r="1017" spans="1:15" ht="16" x14ac:dyDescent="0.2">
      <c r="A1017" s="17" t="str">
        <f>HYPERLINK("https://otsuka-europe-crm.veevavault.com/ui/#object/account__v/V4TZ06G6OCEHQSC", "GERMAN PEREZ SUAREZ")</f>
        <v>GERMAN PEREZ SUAREZ</v>
      </c>
      <c r="B1017" s="17" t="str">
        <f>HYPERLINK("https://otsuka-europe-crm.veevavault.com/ui/#object/vcountry__v/VENZ000004SONF5", "ES")</f>
        <v>ES</v>
      </c>
      <c r="C1017" s="20" t="s">
        <v>41</v>
      </c>
      <c r="D1017" s="21" t="str">
        <f>HYPERLINK("https://otsuka-europe-crm.veevavault.com/ui/#object/approved_document__v/V5O00000001H022", "LUP - VAE invitación simposio SEN-SER - Nefro")</f>
        <v>LUP - VAE invitación simposio SEN-SER - Nefro</v>
      </c>
      <c r="E1017" s="22" t="str">
        <f>HYPERLINK("https://otsuka-europe-crm.veevavault.com/ui/#object/sent_email__v/VBL00000002N343", "SE-001431324")</f>
        <v>SE-001431324</v>
      </c>
      <c r="F1017" s="25"/>
      <c r="G1017" s="24">
        <v>0</v>
      </c>
      <c r="H1017" s="24">
        <v>0</v>
      </c>
      <c r="I1017" s="24">
        <v>0</v>
      </c>
      <c r="J1017" s="25"/>
      <c r="K1017" s="24">
        <v>0</v>
      </c>
      <c r="L1017" s="22" t="str">
        <f>HYPERLINK("https://otsuka-europe-crm.veevavault.com/ui/#object/approved_document__v/V5O00000001H022", "LUP - VAE invitación simposio SEN-SER - Nefro")</f>
        <v>LUP - VAE invitación simposio SEN-SER - Nefro</v>
      </c>
      <c r="M1017" s="22" t="str">
        <f>HYPERLINK("mailto:vvalladares@crm.otsuka-europe.com", "vvalladares@crm.otsuka-europe.com")</f>
        <v>vvalladares@crm.otsuka-europe.com</v>
      </c>
      <c r="N1017" s="23">
        <v>46175.463842592595</v>
      </c>
      <c r="O1017" s="14" t="str">
        <f>HYPERLINK("https://otsuka-europe-crm.veevavault.com/ui/#object/email_activity__v/V8C00000003K800", "EN-002087448")</f>
        <v>EN-002087448</v>
      </c>
    </row>
    <row r="1018" spans="1:15" ht="16" x14ac:dyDescent="0.2">
      <c r="A1018" s="18"/>
      <c r="B1018" s="18"/>
      <c r="C1018" s="18"/>
      <c r="D1018" s="18"/>
      <c r="E1018" s="18"/>
      <c r="F1018" s="18"/>
      <c r="G1018" s="18"/>
      <c r="H1018" s="18"/>
      <c r="I1018" s="18"/>
      <c r="J1018" s="18"/>
      <c r="K1018" s="18"/>
      <c r="L1018" s="18"/>
      <c r="M1018" s="18"/>
      <c r="N1018" s="18"/>
      <c r="O1018" s="14" t="str">
        <f>HYPERLINK("https://otsuka-europe-crm.veevavault.com/ui/#object/email_activity__v/V8C00000003L520", "EN-002087108")</f>
        <v>EN-002087108</v>
      </c>
    </row>
    <row r="1019" spans="1:15" ht="16" x14ac:dyDescent="0.2">
      <c r="A1019" s="18"/>
      <c r="B1019" s="18"/>
      <c r="C1019" s="18"/>
      <c r="D1019" s="18"/>
      <c r="E1019" s="18"/>
      <c r="F1019" s="18"/>
      <c r="G1019" s="18"/>
      <c r="H1019" s="18"/>
      <c r="I1019" s="18"/>
      <c r="J1019" s="18"/>
      <c r="K1019" s="18"/>
      <c r="L1019" s="18"/>
      <c r="M1019" s="18"/>
      <c r="N1019" s="18"/>
      <c r="O1019" s="14" t="str">
        <f>HYPERLINK("https://otsuka-europe-crm.veevavault.com/ui/#object/email_activity__v/V8C00000003L526", "EN-002087114")</f>
        <v>EN-002087114</v>
      </c>
    </row>
    <row r="1020" spans="1:15" ht="16" x14ac:dyDescent="0.2">
      <c r="A1020" s="19"/>
      <c r="B1020" s="19"/>
      <c r="C1020" s="19"/>
      <c r="D1020" s="19"/>
      <c r="E1020" s="19"/>
      <c r="F1020" s="19"/>
      <c r="G1020" s="19"/>
      <c r="H1020" s="19"/>
      <c r="I1020" s="19"/>
      <c r="J1020" s="19"/>
      <c r="K1020" s="19"/>
      <c r="L1020" s="19"/>
      <c r="M1020" s="19"/>
      <c r="N1020" s="19"/>
      <c r="O1020" s="14" t="str">
        <f>HYPERLINK("https://otsuka-europe-crm.veevavault.com/ui/#object/email_activity__v/V8C00000003Z166", "EN-002098938")</f>
        <v>EN-002098938</v>
      </c>
    </row>
    <row r="1021" spans="1:15" ht="32" x14ac:dyDescent="0.2">
      <c r="A1021" s="7" t="str">
        <f>HYPERLINK("https://otsuka-europe-crm.veevavault.com/ui/#object/account__v/V4TZ06G6O71TBLN", "PATRICIA PEREZ BORGES")</f>
        <v>PATRICIA PEREZ BORGES</v>
      </c>
      <c r="B1021" s="7" t="str">
        <f>HYPERLINK("https://otsuka-europe-crm.veevavault.com/ui/#object/vcountry__v/VENZ000004SONF5", "ES")</f>
        <v>ES</v>
      </c>
      <c r="C1021" s="8" t="s">
        <v>41</v>
      </c>
      <c r="D1021" s="9" t="str">
        <f>HYPERLINK("https://otsuka-europe-crm.veevavault.com/ui/#object/approved_document__v/V5O00000001H022", "LUP - VAE invitación simposio SEN-SER - Nefro")</f>
        <v>LUP - VAE invitación simposio SEN-SER - Nefro</v>
      </c>
      <c r="E1021" s="10" t="str">
        <f>HYPERLINK("https://otsuka-europe-crm.veevavault.com/ui/#object/sent_email__v/VBL00000002N344", "SE-001431325")</f>
        <v>SE-001431325</v>
      </c>
      <c r="F1021" s="11"/>
      <c r="G1021" s="12">
        <v>0</v>
      </c>
      <c r="H1021" s="12">
        <v>0</v>
      </c>
      <c r="I1021" s="12">
        <v>0</v>
      </c>
      <c r="J1021" s="11"/>
      <c r="K1021" s="12">
        <v>0</v>
      </c>
      <c r="L1021" s="10" t="str">
        <f>HYPERLINK("https://otsuka-europe-crm.veevavault.com/ui/#object/approved_document__v/V5O00000001H022", "LUP - VAE invitación simposio SEN-SER - Nefro")</f>
        <v>LUP - VAE invitación simposio SEN-SER - Nefro</v>
      </c>
      <c r="M1021" s="10" t="str">
        <f>HYPERLINK("mailto:vvalladares@crm.otsuka-europe.com", "vvalladares@crm.otsuka-europe.com")</f>
        <v>vvalladares@crm.otsuka-europe.com</v>
      </c>
      <c r="N1021" s="13">
        <v>46175.463842592595</v>
      </c>
      <c r="O1021" s="14" t="str">
        <f>HYPERLINK("https://otsuka-europe-crm.veevavault.com/ui/#object/email_activity__v/V8C00000003L390", "EN-002086978")</f>
        <v>EN-002086978</v>
      </c>
    </row>
    <row r="1022" spans="1:15" ht="32" x14ac:dyDescent="0.2">
      <c r="A1022" s="7" t="str">
        <f>HYPERLINK("https://otsuka-europe-crm.veevavault.com/ui/#object/account__v/V4TZ025E86V82A7", "MARIA MAR RODRIGUEZ DE OÑA")</f>
        <v>MARIA MAR RODRIGUEZ DE OÑA</v>
      </c>
      <c r="B1022" s="7" t="str">
        <f>HYPERLINK("https://otsuka-europe-crm.veevavault.com/ui/#object/vcountry__v/VENZ000004SONF5", "ES")</f>
        <v>ES</v>
      </c>
      <c r="C1022" s="8" t="s">
        <v>41</v>
      </c>
      <c r="D1022" s="9" t="str">
        <f>HYPERLINK("https://otsuka-europe-crm.veevavault.com/ui/#object/approved_document__v/V5O00000001H022", "LUP - VAE invitación simposio SEN-SER - Nefro")</f>
        <v>LUP - VAE invitación simposio SEN-SER - Nefro</v>
      </c>
      <c r="E1022" s="10" t="str">
        <f>HYPERLINK("https://otsuka-europe-crm.veevavault.com/ui/#object/sent_email__v/VBL00000002N345", "SE-001431326")</f>
        <v>SE-001431326</v>
      </c>
      <c r="F1022" s="11"/>
      <c r="G1022" s="12">
        <v>0</v>
      </c>
      <c r="H1022" s="12">
        <v>0</v>
      </c>
      <c r="I1022" s="12">
        <v>0</v>
      </c>
      <c r="J1022" s="11"/>
      <c r="K1022" s="12">
        <v>0</v>
      </c>
      <c r="L1022" s="10" t="str">
        <f>HYPERLINK("https://otsuka-europe-crm.veevavault.com/ui/#object/approved_document__v/V5O00000001H022", "LUP - VAE invitación simposio SEN-SER - Nefro")</f>
        <v>LUP - VAE invitación simposio SEN-SER - Nefro</v>
      </c>
      <c r="M1022" s="10" t="str">
        <f>HYPERLINK("mailto:vvalladares@crm.otsuka-europe.com", "vvalladares@crm.otsuka-europe.com")</f>
        <v>vvalladares@crm.otsuka-europe.com</v>
      </c>
      <c r="N1022" s="13">
        <v>46175.463923611111</v>
      </c>
      <c r="O1022" s="14" t="str">
        <f>HYPERLINK("https://otsuka-europe-crm.veevavault.com/ui/#object/email_activity__v/V8C00000003L444", "EN-002087032")</f>
        <v>EN-002087032</v>
      </c>
    </row>
    <row r="1023" spans="1:15" ht="32" x14ac:dyDescent="0.2">
      <c r="A1023" s="7" t="str">
        <f>HYPERLINK("https://otsuka-europe-crm.veevavault.com/ui/#object/account__v/V4T000000010099", "JULIO LOPEZ FERNANDEZ")</f>
        <v>JULIO LOPEZ FERNANDEZ</v>
      </c>
      <c r="B1023" s="7" t="str">
        <f>HYPERLINK("https://otsuka-europe-crm.veevavault.com/ui/#object/vcountry__v/VENZ000004SONF5", "ES")</f>
        <v>ES</v>
      </c>
      <c r="C1023" s="8" t="s">
        <v>41</v>
      </c>
      <c r="D1023" s="9" t="str">
        <f>HYPERLINK("https://otsuka-europe-crm.veevavault.com/ui/#object/approved_document__v/V5O00000001H022", "LUP - VAE invitación simposio SEN-SER - Nefro")</f>
        <v>LUP - VAE invitación simposio SEN-SER - Nefro</v>
      </c>
      <c r="E1023" s="10" t="str">
        <f>HYPERLINK("https://otsuka-europe-crm.veevavault.com/ui/#object/sent_email__v/VBL00000002N346", "SE-001431327")</f>
        <v>SE-001431327</v>
      </c>
      <c r="F1023" s="11"/>
      <c r="G1023" s="12">
        <v>0</v>
      </c>
      <c r="H1023" s="12">
        <v>0</v>
      </c>
      <c r="I1023" s="12">
        <v>0</v>
      </c>
      <c r="J1023" s="11"/>
      <c r="K1023" s="12">
        <v>0</v>
      </c>
      <c r="L1023" s="10" t="str">
        <f>HYPERLINK("https://otsuka-europe-crm.veevavault.com/ui/#object/approved_document__v/V5O00000001H022", "LUP - VAE invitación simposio SEN-SER - Nefro")</f>
        <v>LUP - VAE invitación simposio SEN-SER - Nefro</v>
      </c>
      <c r="M1023" s="10" t="str">
        <f>HYPERLINK("mailto:vvalladares@crm.otsuka-europe.com", "vvalladares@crm.otsuka-europe.com")</f>
        <v>vvalladares@crm.otsuka-europe.com</v>
      </c>
      <c r="N1023" s="13">
        <v>46175.463865740741</v>
      </c>
      <c r="O1023" s="14" t="str">
        <f>HYPERLINK("https://otsuka-europe-crm.veevavault.com/ui/#object/email_activity__v/V8C00000003L466", "EN-002087054")</f>
        <v>EN-002087054</v>
      </c>
    </row>
    <row r="1024" spans="1:15" ht="32" x14ac:dyDescent="0.2">
      <c r="A1024" s="7" t="str">
        <f>HYPERLINK("https://otsuka-europe-crm.veevavault.com/ui/#object/account__v/V4TZ06G6O71T7OH", "DIEGO ALVAREZ SOSA")</f>
        <v>DIEGO ALVAREZ SOSA</v>
      </c>
      <c r="B1024" s="7" t="str">
        <f>HYPERLINK("https://otsuka-europe-crm.veevavault.com/ui/#object/vcountry__v/VENZ000004SONF5", "ES")</f>
        <v>ES</v>
      </c>
      <c r="C1024" s="8" t="s">
        <v>41</v>
      </c>
      <c r="D1024" s="9" t="str">
        <f>HYPERLINK("https://otsuka-europe-crm.veevavault.com/ui/#object/approved_document__v/V5O00000001H022", "LUP - VAE invitación simposio SEN-SER - Nefro")</f>
        <v>LUP - VAE invitación simposio SEN-SER - Nefro</v>
      </c>
      <c r="E1024" s="10" t="str">
        <f>HYPERLINK("https://otsuka-europe-crm.veevavault.com/ui/#object/sent_email__v/VBL00000002N347", "SE-001431328")</f>
        <v>SE-001431328</v>
      </c>
      <c r="F1024" s="11"/>
      <c r="G1024" s="12">
        <v>0</v>
      </c>
      <c r="H1024" s="12">
        <v>0</v>
      </c>
      <c r="I1024" s="12">
        <v>0</v>
      </c>
      <c r="J1024" s="11"/>
      <c r="K1024" s="12">
        <v>0</v>
      </c>
      <c r="L1024" s="10" t="str">
        <f>HYPERLINK("https://otsuka-europe-crm.veevavault.com/ui/#object/approved_document__v/V5O00000001H022", "LUP - VAE invitación simposio SEN-SER - Nefro")</f>
        <v>LUP - VAE invitación simposio SEN-SER - Nefro</v>
      </c>
      <c r="M1024" s="10" t="str">
        <f>HYPERLINK("mailto:vvalladares@crm.otsuka-europe.com", "vvalladares@crm.otsuka-europe.com")</f>
        <v>vvalladares@crm.otsuka-europe.com</v>
      </c>
      <c r="N1024" s="13">
        <v>46175.463900462964</v>
      </c>
      <c r="O1024" s="14" t="str">
        <f>HYPERLINK("https://otsuka-europe-crm.veevavault.com/ui/#object/email_activity__v/V8C00000003L431", "EN-002087019")</f>
        <v>EN-002087019</v>
      </c>
    </row>
    <row r="1025" spans="1:15" ht="16" x14ac:dyDescent="0.2">
      <c r="A1025" s="17" t="str">
        <f>HYPERLINK("https://otsuka-europe-crm.veevavault.com/ui/#object/account__v/V4TZ06G6O71TB7F", "ADELAIDA MARGARITA MORALES UMPIERREZ")</f>
        <v>ADELAIDA MARGARITA MORALES UMPIERREZ</v>
      </c>
      <c r="B1025" s="17" t="str">
        <f>HYPERLINK("https://otsuka-europe-crm.veevavault.com/ui/#object/vcountry__v/VENZ000004SONF5", "ES")</f>
        <v>ES</v>
      </c>
      <c r="C1025" s="20" t="s">
        <v>41</v>
      </c>
      <c r="D1025" s="21" t="str">
        <f>HYPERLINK("https://otsuka-europe-crm.veevavault.com/ui/#object/approved_document__v/V5O00000001H022", "LUP - VAE invitación simposio SEN-SER - Nefro")</f>
        <v>LUP - VAE invitación simposio SEN-SER - Nefro</v>
      </c>
      <c r="E1025" s="22" t="str">
        <f>HYPERLINK("https://otsuka-europe-crm.veevavault.com/ui/#object/sent_email__v/VBL00000002N348", "SE-001431329")</f>
        <v>SE-001431329</v>
      </c>
      <c r="F1025" s="23">
        <v>46175.464780092596</v>
      </c>
      <c r="G1025" s="24">
        <v>1</v>
      </c>
      <c r="H1025" s="24">
        <v>1</v>
      </c>
      <c r="I1025" s="24">
        <v>0</v>
      </c>
      <c r="J1025" s="25"/>
      <c r="K1025" s="24">
        <v>0</v>
      </c>
      <c r="L1025" s="22" t="str">
        <f>HYPERLINK("https://otsuka-europe-crm.veevavault.com/ui/#object/approved_document__v/V5O00000001H022", "LUP - VAE invitación simposio SEN-SER - Nefro")</f>
        <v>LUP - VAE invitación simposio SEN-SER - Nefro</v>
      </c>
      <c r="M1025" s="22" t="str">
        <f>HYPERLINK("mailto:vvalladares@crm.otsuka-europe.com", "vvalladares@crm.otsuka-europe.com")</f>
        <v>vvalladares@crm.otsuka-europe.com</v>
      </c>
      <c r="N1025" s="23">
        <v>46175.463888888888</v>
      </c>
      <c r="O1025" s="14" t="str">
        <f>HYPERLINK("https://otsuka-europe-crm.veevavault.com/ui/#object/email_activity__v/V8C00000003L425", "EN-002087013")</f>
        <v>EN-002087013</v>
      </c>
    </row>
    <row r="1026" spans="1:15" ht="16" x14ac:dyDescent="0.2">
      <c r="A1026" s="18"/>
      <c r="B1026" s="18"/>
      <c r="C1026" s="18"/>
      <c r="D1026" s="18"/>
      <c r="E1026" s="18"/>
      <c r="F1026" s="18"/>
      <c r="G1026" s="18"/>
      <c r="H1026" s="18"/>
      <c r="I1026" s="18"/>
      <c r="J1026" s="18"/>
      <c r="K1026" s="18"/>
      <c r="L1026" s="18"/>
      <c r="M1026" s="18"/>
      <c r="N1026" s="18"/>
      <c r="O1026" s="14" t="str">
        <f>HYPERLINK("https://otsuka-europe-crm.veevavault.com/ui/#object/email_activity__v/V8C00000003L532", "EN-002087120")</f>
        <v>EN-002087120</v>
      </c>
    </row>
    <row r="1027" spans="1:15" ht="16" x14ac:dyDescent="0.2">
      <c r="A1027" s="18"/>
      <c r="B1027" s="18"/>
      <c r="C1027" s="18"/>
      <c r="D1027" s="18"/>
      <c r="E1027" s="18"/>
      <c r="F1027" s="18"/>
      <c r="G1027" s="18"/>
      <c r="H1027" s="18"/>
      <c r="I1027" s="18"/>
      <c r="J1027" s="18"/>
      <c r="K1027" s="18"/>
      <c r="L1027" s="18"/>
      <c r="M1027" s="18"/>
      <c r="N1027" s="18"/>
      <c r="O1027" s="14" t="str">
        <f>HYPERLINK("https://otsuka-europe-crm.veevavault.com/ui/#object/email_activity__v/V8C00000003N273", "EN-002088391")</f>
        <v>EN-002088391</v>
      </c>
    </row>
    <row r="1028" spans="1:15" ht="16" x14ac:dyDescent="0.2">
      <c r="A1028" s="19"/>
      <c r="B1028" s="19"/>
      <c r="C1028" s="19"/>
      <c r="D1028" s="19"/>
      <c r="E1028" s="19"/>
      <c r="F1028" s="19"/>
      <c r="G1028" s="19"/>
      <c r="H1028" s="19"/>
      <c r="I1028" s="19"/>
      <c r="J1028" s="19"/>
      <c r="K1028" s="19"/>
      <c r="L1028" s="19"/>
      <c r="M1028" s="19"/>
      <c r="N1028" s="19"/>
      <c r="O1028" s="14" t="str">
        <f>HYPERLINK("https://otsuka-europe-crm.veevavault.com/ui/#object/email_activity__v/V8C00000003N523", "EN-002088827")</f>
        <v>EN-002088827</v>
      </c>
    </row>
    <row r="1029" spans="1:15" ht="16" x14ac:dyDescent="0.2">
      <c r="A1029" s="17" t="str">
        <f>HYPERLINK("https://otsuka-europe-crm.veevavault.com/ui/#object/account__v/V4TZ06G6O71TAN9", "MARIA MAR LAGO ALONSO")</f>
        <v>MARIA MAR LAGO ALONSO</v>
      </c>
      <c r="B1029" s="17" t="str">
        <f>HYPERLINK("https://otsuka-europe-crm.veevavault.com/ui/#object/vcountry__v/VENZ000004SONF5", "ES")</f>
        <v>ES</v>
      </c>
      <c r="C1029" s="20" t="s">
        <v>41</v>
      </c>
      <c r="D1029" s="21" t="str">
        <f>HYPERLINK("https://otsuka-europe-crm.veevavault.com/ui/#object/approved_document__v/V5O00000001H022", "LUP - VAE invitación simposio SEN-SER - Nefro")</f>
        <v>LUP - VAE invitación simposio SEN-SER - Nefro</v>
      </c>
      <c r="E1029" s="22" t="str">
        <f>HYPERLINK("https://otsuka-europe-crm.veevavault.com/ui/#object/sent_email__v/VBL00000002N349", "SE-001431330")</f>
        <v>SE-001431330</v>
      </c>
      <c r="F1029" s="23">
        <v>46175.564363425925</v>
      </c>
      <c r="G1029" s="24">
        <v>1</v>
      </c>
      <c r="H1029" s="24">
        <v>1</v>
      </c>
      <c r="I1029" s="24">
        <v>0</v>
      </c>
      <c r="J1029" s="25"/>
      <c r="K1029" s="24">
        <v>0</v>
      </c>
      <c r="L1029" s="22" t="str">
        <f>HYPERLINK("https://otsuka-europe-crm.veevavault.com/ui/#object/approved_document__v/V5O00000001H022", "LUP - VAE invitación simposio SEN-SER - Nefro")</f>
        <v>LUP - VAE invitación simposio SEN-SER - Nefro</v>
      </c>
      <c r="M1029" s="22" t="str">
        <f>HYPERLINK("mailto:vvalladares@crm.otsuka-europe.com", "vvalladares@crm.otsuka-europe.com")</f>
        <v>vvalladares@crm.otsuka-europe.com</v>
      </c>
      <c r="N1029" s="23">
        <v>46175.463865740741</v>
      </c>
      <c r="O1029" s="14" t="str">
        <f>HYPERLINK("https://otsuka-europe-crm.veevavault.com/ui/#object/email_activity__v/V8C00000003L393", "EN-002086981")</f>
        <v>EN-002086981</v>
      </c>
    </row>
    <row r="1030" spans="1:15" ht="16" x14ac:dyDescent="0.2">
      <c r="A1030" s="19"/>
      <c r="B1030" s="19"/>
      <c r="C1030" s="19"/>
      <c r="D1030" s="19"/>
      <c r="E1030" s="19"/>
      <c r="F1030" s="19"/>
      <c r="G1030" s="19"/>
      <c r="H1030" s="19"/>
      <c r="I1030" s="19"/>
      <c r="J1030" s="19"/>
      <c r="K1030" s="19"/>
      <c r="L1030" s="19"/>
      <c r="M1030" s="19"/>
      <c r="N1030" s="19"/>
      <c r="O1030" s="14" t="str">
        <f>HYPERLINK("https://otsuka-europe-crm.veevavault.com/ui/#object/email_activity__v/V8C00000003L851", "EN-002087707")</f>
        <v>EN-002087707</v>
      </c>
    </row>
    <row r="1031" spans="1:15" ht="16" x14ac:dyDescent="0.2">
      <c r="A1031" s="17" t="str">
        <f>HYPERLINK("https://otsuka-europe-crm.veevavault.com/ui/#object/account__v/V4TZ06G6O71T8Q8", "EVA PLAZA LARA")</f>
        <v>EVA PLAZA LARA</v>
      </c>
      <c r="B1031" s="17" t="str">
        <f>HYPERLINK("https://otsuka-europe-crm.veevavault.com/ui/#object/vcountry__v/VENZ000004SONF5", "ES")</f>
        <v>ES</v>
      </c>
      <c r="C1031" s="20" t="s">
        <v>41</v>
      </c>
      <c r="D1031" s="21" t="str">
        <f>HYPERLINK("https://otsuka-europe-crm.veevavault.com/ui/#object/approved_document__v/V5O00000001H022", "LUP - VAE invitación simposio SEN-SER - Nefro")</f>
        <v>LUP - VAE invitación simposio SEN-SER - Nefro</v>
      </c>
      <c r="E1031" s="22" t="str">
        <f>HYPERLINK("https://otsuka-europe-crm.veevavault.com/ui/#object/sent_email__v/VBL00000002N350", "SE-001431331")</f>
        <v>SE-001431331</v>
      </c>
      <c r="F1031" s="23">
        <v>46175.464884259258</v>
      </c>
      <c r="G1031" s="24">
        <v>1</v>
      </c>
      <c r="H1031" s="24">
        <v>1</v>
      </c>
      <c r="I1031" s="24">
        <v>0</v>
      </c>
      <c r="J1031" s="25"/>
      <c r="K1031" s="24">
        <v>0</v>
      </c>
      <c r="L1031" s="22" t="str">
        <f>HYPERLINK("https://otsuka-europe-crm.veevavault.com/ui/#object/approved_document__v/V5O00000001H022", "LUP - VAE invitación simposio SEN-SER - Nefro")</f>
        <v>LUP - VAE invitación simposio SEN-SER - Nefro</v>
      </c>
      <c r="M1031" s="22" t="str">
        <f>HYPERLINK("mailto:vvalladares@crm.otsuka-europe.com", "vvalladares@crm.otsuka-europe.com")</f>
        <v>vvalladares@crm.otsuka-europe.com</v>
      </c>
      <c r="N1031" s="23">
        <v>46175.463888888888</v>
      </c>
      <c r="O1031" s="14" t="str">
        <f>HYPERLINK("https://otsuka-europe-crm.veevavault.com/ui/#object/email_activity__v/V8C00000003L450", "EN-002087038")</f>
        <v>EN-002087038</v>
      </c>
    </row>
    <row r="1032" spans="1:15" ht="16" x14ac:dyDescent="0.2">
      <c r="A1032" s="19"/>
      <c r="B1032" s="19"/>
      <c r="C1032" s="19"/>
      <c r="D1032" s="19"/>
      <c r="E1032" s="19"/>
      <c r="F1032" s="19"/>
      <c r="G1032" s="19"/>
      <c r="H1032" s="19"/>
      <c r="I1032" s="19"/>
      <c r="J1032" s="19"/>
      <c r="K1032" s="19"/>
      <c r="L1032" s="19"/>
      <c r="M1032" s="19"/>
      <c r="N1032" s="19"/>
      <c r="O1032" s="14" t="str">
        <f>HYPERLINK("https://otsuka-europe-crm.veevavault.com/ui/#object/email_activity__v/V8C00000003L531", "EN-002087119")</f>
        <v>EN-002087119</v>
      </c>
    </row>
    <row r="1033" spans="1:15" ht="16" x14ac:dyDescent="0.2">
      <c r="A1033" s="17" t="str">
        <f>HYPERLINK("https://otsuka-europe-crm.veevavault.com/ui/#object/account__v/V4TZ06G6O71TA9O", "PILAR HIDALGO GUZMAN")</f>
        <v>PILAR HIDALGO GUZMAN</v>
      </c>
      <c r="B1033" s="17" t="str">
        <f>HYPERLINK("https://otsuka-europe-crm.veevavault.com/ui/#object/vcountry__v/VENZ000004SONF5", "ES")</f>
        <v>ES</v>
      </c>
      <c r="C1033" s="20" t="s">
        <v>41</v>
      </c>
      <c r="D1033" s="21" t="str">
        <f>HYPERLINK("https://otsuka-europe-crm.veevavault.com/ui/#object/approved_document__v/V5O00000001H022", "LUP - VAE invitación simposio SEN-SER - Nefro")</f>
        <v>LUP - VAE invitación simposio SEN-SER - Nefro</v>
      </c>
      <c r="E1033" s="22" t="str">
        <f>HYPERLINK("https://otsuka-europe-crm.veevavault.com/ui/#object/sent_email__v/VBL00000002N351", "SE-001431332")</f>
        <v>SE-001431332</v>
      </c>
      <c r="F1033" s="23">
        <v>46175.473622685182</v>
      </c>
      <c r="G1033" s="24">
        <v>1</v>
      </c>
      <c r="H1033" s="24">
        <v>1</v>
      </c>
      <c r="I1033" s="24">
        <v>0</v>
      </c>
      <c r="J1033" s="25"/>
      <c r="K1033" s="24">
        <v>0</v>
      </c>
      <c r="L1033" s="22" t="str">
        <f>HYPERLINK("https://otsuka-europe-crm.veevavault.com/ui/#object/approved_document__v/V5O00000001H022", "LUP - VAE invitación simposio SEN-SER - Nefro")</f>
        <v>LUP - VAE invitación simposio SEN-SER - Nefro</v>
      </c>
      <c r="M1033" s="22" t="str">
        <f>HYPERLINK("mailto:vvalladares@crm.otsuka-europe.com", "vvalladares@crm.otsuka-europe.com")</f>
        <v>vvalladares@crm.otsuka-europe.com</v>
      </c>
      <c r="N1033" s="23">
        <v>46175.463865740741</v>
      </c>
      <c r="O1033" s="14" t="str">
        <f>HYPERLINK("https://otsuka-europe-crm.veevavault.com/ui/#object/email_activity__v/V8C00000003K710", "EN-002087238")</f>
        <v>EN-002087238</v>
      </c>
    </row>
    <row r="1034" spans="1:15" ht="16" x14ac:dyDescent="0.2">
      <c r="A1034" s="19"/>
      <c r="B1034" s="19"/>
      <c r="C1034" s="19"/>
      <c r="D1034" s="19"/>
      <c r="E1034" s="19"/>
      <c r="F1034" s="19"/>
      <c r="G1034" s="19"/>
      <c r="H1034" s="19"/>
      <c r="I1034" s="19"/>
      <c r="J1034" s="19"/>
      <c r="K1034" s="19"/>
      <c r="L1034" s="19"/>
      <c r="M1034" s="19"/>
      <c r="N1034" s="19"/>
      <c r="O1034" s="14" t="str">
        <f>HYPERLINK("https://otsuka-europe-crm.veevavault.com/ui/#object/email_activity__v/V8C00000003L494", "EN-002087082")</f>
        <v>EN-002087082</v>
      </c>
    </row>
    <row r="1035" spans="1:15" ht="16" x14ac:dyDescent="0.2">
      <c r="A1035" s="17" t="str">
        <f>HYPERLINK("https://otsuka-europe-crm.veevavault.com/ui/#object/account__v/V4TZ04ASG6LPDVT", "LUIS PEDRO CERMEÑO MARAVI")</f>
        <v>LUIS PEDRO CERMEÑO MARAVI</v>
      </c>
      <c r="B1035" s="17" t="str">
        <f>HYPERLINK("https://otsuka-europe-crm.veevavault.com/ui/#object/vcountry__v/VENZ000004SONF5", "ES")</f>
        <v>ES</v>
      </c>
      <c r="C1035" s="20" t="s">
        <v>41</v>
      </c>
      <c r="D1035" s="21" t="str">
        <f>HYPERLINK("https://otsuka-europe-crm.veevavault.com/ui/#object/approved_document__v/V5O00000001H022", "LUP - VAE invitación simposio SEN-SER - Nefro")</f>
        <v>LUP - VAE invitación simposio SEN-SER - Nefro</v>
      </c>
      <c r="E1035" s="22" t="str">
        <f>HYPERLINK("https://otsuka-europe-crm.veevavault.com/ui/#object/sent_email__v/VBL00000002N352", "SE-001431333")</f>
        <v>SE-001431333</v>
      </c>
      <c r="F1035" s="23">
        <v>46175.632951388892</v>
      </c>
      <c r="G1035" s="24">
        <v>1</v>
      </c>
      <c r="H1035" s="24">
        <v>1</v>
      </c>
      <c r="I1035" s="24">
        <v>1</v>
      </c>
      <c r="J1035" s="23">
        <v>46175.633460648147</v>
      </c>
      <c r="K1035" s="24">
        <v>1</v>
      </c>
      <c r="L1035" s="22" t="str">
        <f>HYPERLINK("https://otsuka-europe-crm.veevavault.com/ui/#object/approved_document__v/V5O00000001H022", "LUP - VAE invitación simposio SEN-SER - Nefro")</f>
        <v>LUP - VAE invitación simposio SEN-SER - Nefro</v>
      </c>
      <c r="M1035" s="22" t="str">
        <f>HYPERLINK("mailto:vvalladares@crm.otsuka-europe.com", "vvalladares@crm.otsuka-europe.com")</f>
        <v>vvalladares@crm.otsuka-europe.com</v>
      </c>
      <c r="N1035" s="23">
        <v>46175.463865740741</v>
      </c>
      <c r="O1035" s="14" t="str">
        <f>HYPERLINK("https://otsuka-europe-crm.veevavault.com/ui/#object/email_activity__v/V8C00000003L474", "EN-002087062")</f>
        <v>EN-002087062</v>
      </c>
    </row>
    <row r="1036" spans="1:15" ht="16" x14ac:dyDescent="0.2">
      <c r="A1036" s="18"/>
      <c r="B1036" s="18"/>
      <c r="C1036" s="18"/>
      <c r="D1036" s="18"/>
      <c r="E1036" s="18"/>
      <c r="F1036" s="18"/>
      <c r="G1036" s="18"/>
      <c r="H1036" s="18"/>
      <c r="I1036" s="18"/>
      <c r="J1036" s="18"/>
      <c r="K1036" s="18"/>
      <c r="L1036" s="18"/>
      <c r="M1036" s="18"/>
      <c r="N1036" s="18"/>
      <c r="O1036" s="14" t="str">
        <f>HYPERLINK("https://otsuka-europe-crm.veevavault.com/ui/#object/email_activity__v/V8C00000003M041", "EN-002087913")</f>
        <v>EN-002087913</v>
      </c>
    </row>
    <row r="1037" spans="1:15" ht="16" x14ac:dyDescent="0.2">
      <c r="A1037" s="18"/>
      <c r="B1037" s="18"/>
      <c r="C1037" s="18"/>
      <c r="D1037" s="18"/>
      <c r="E1037" s="18"/>
      <c r="F1037" s="18"/>
      <c r="G1037" s="18"/>
      <c r="H1037" s="18"/>
      <c r="I1037" s="18"/>
      <c r="J1037" s="18"/>
      <c r="K1037" s="18"/>
      <c r="L1037" s="18"/>
      <c r="M1037" s="18"/>
      <c r="N1037" s="18"/>
      <c r="O1037" s="14" t="str">
        <f>HYPERLINK("https://otsuka-europe-crm.veevavault.com/ui/#object/email_activity__v/V8C00000003M042", "EN-002087914")</f>
        <v>EN-002087914</v>
      </c>
    </row>
    <row r="1038" spans="1:15" ht="16" x14ac:dyDescent="0.2">
      <c r="A1038" s="19"/>
      <c r="B1038" s="19"/>
      <c r="C1038" s="19"/>
      <c r="D1038" s="19"/>
      <c r="E1038" s="19"/>
      <c r="F1038" s="19"/>
      <c r="G1038" s="19"/>
      <c r="H1038" s="19"/>
      <c r="I1038" s="19"/>
      <c r="J1038" s="19"/>
      <c r="K1038" s="19"/>
      <c r="L1038" s="19"/>
      <c r="M1038" s="19"/>
      <c r="N1038" s="19"/>
      <c r="O1038" s="14" t="str">
        <f>HYPERLINK("https://otsuka-europe-crm.veevavault.com/ui/#object/email_activity__v/V8C00000003N002", "EN-002087989")</f>
        <v>EN-002087989</v>
      </c>
    </row>
    <row r="1039" spans="1:15" ht="32" x14ac:dyDescent="0.2">
      <c r="A1039" s="7" t="str">
        <f>HYPERLINK("https://otsuka-europe-crm.veevavault.com/ui/#object/account__v/V4TZ06G6O71WMKC", "CAROLINA POLO CRIADO")</f>
        <v>CAROLINA POLO CRIADO</v>
      </c>
      <c r="B1039" s="7" t="str">
        <f>HYPERLINK("https://otsuka-europe-crm.veevavault.com/ui/#object/vcountry__v/VENZ000004SONF5", "ES")</f>
        <v>ES</v>
      </c>
      <c r="C1039" s="8" t="s">
        <v>41</v>
      </c>
      <c r="D1039" s="9" t="str">
        <f>HYPERLINK("https://otsuka-europe-crm.veevavault.com/ui/#object/approved_document__v/V5O00000001H022", "LUP - VAE invitación simposio SEN-SER - Nefro")</f>
        <v>LUP - VAE invitación simposio SEN-SER - Nefro</v>
      </c>
      <c r="E1039" s="10" t="str">
        <f>HYPERLINK("https://otsuka-europe-crm.veevavault.com/ui/#object/sent_email__v/VBL00000002N353", "SE-001431334")</f>
        <v>SE-001431334</v>
      </c>
      <c r="F1039" s="11"/>
      <c r="G1039" s="12">
        <v>0</v>
      </c>
      <c r="H1039" s="12">
        <v>0</v>
      </c>
      <c r="I1039" s="12">
        <v>0</v>
      </c>
      <c r="J1039" s="11"/>
      <c r="K1039" s="12">
        <v>0</v>
      </c>
      <c r="L1039" s="10" t="str">
        <f>HYPERLINK("https://otsuka-europe-crm.veevavault.com/ui/#object/approved_document__v/V5O00000001H022", "LUP - VAE invitación simposio SEN-SER - Nefro")</f>
        <v>LUP - VAE invitación simposio SEN-SER - Nefro</v>
      </c>
      <c r="M1039" s="10" t="str">
        <f>HYPERLINK("mailto:vvalladares@crm.otsuka-europe.com", "vvalladares@crm.otsuka-europe.com")</f>
        <v>vvalladares@crm.otsuka-europe.com</v>
      </c>
      <c r="N1039" s="13">
        <v>46175.463865740741</v>
      </c>
      <c r="O1039" s="14" t="str">
        <f>HYPERLINK("https://otsuka-europe-crm.veevavault.com/ui/#object/email_activity__v/V8C00000003L504", "EN-002087092")</f>
        <v>EN-002087092</v>
      </c>
    </row>
    <row r="1040" spans="1:15" ht="32" x14ac:dyDescent="0.2">
      <c r="A1040" s="7" t="str">
        <f>HYPERLINK("https://otsuka-europe-crm.veevavault.com/ui/#object/account__v/V4TZ06G6O71TBF3", "MANUEL NAVARRO ZURITA")</f>
        <v>MANUEL NAVARRO ZURITA</v>
      </c>
      <c r="B1040" s="7" t="str">
        <f>HYPERLINK("https://otsuka-europe-crm.veevavault.com/ui/#object/vcountry__v/VENZ000004SONF5", "ES")</f>
        <v>ES</v>
      </c>
      <c r="C1040" s="8" t="s">
        <v>41</v>
      </c>
      <c r="D1040" s="9" t="str">
        <f>HYPERLINK("https://otsuka-europe-crm.veevavault.com/ui/#object/approved_document__v/V5O00000001H022", "LUP - VAE invitación simposio SEN-SER - Nefro")</f>
        <v>LUP - VAE invitación simposio SEN-SER - Nefro</v>
      </c>
      <c r="E1040" s="10" t="str">
        <f>HYPERLINK("https://otsuka-europe-crm.veevavault.com/ui/#object/sent_email__v/VBL00000002N354", "SE-001431335")</f>
        <v>SE-001431335</v>
      </c>
      <c r="F1040" s="11"/>
      <c r="G1040" s="12">
        <v>0</v>
      </c>
      <c r="H1040" s="12">
        <v>0</v>
      </c>
      <c r="I1040" s="12">
        <v>0</v>
      </c>
      <c r="J1040" s="11"/>
      <c r="K1040" s="12">
        <v>0</v>
      </c>
      <c r="L1040" s="10" t="str">
        <f>HYPERLINK("https://otsuka-europe-crm.veevavault.com/ui/#object/approved_document__v/V5O00000001H022", "LUP - VAE invitación simposio SEN-SER - Nefro")</f>
        <v>LUP - VAE invitación simposio SEN-SER - Nefro</v>
      </c>
      <c r="M1040" s="10" t="str">
        <f>HYPERLINK("mailto:vvalladares@crm.otsuka-europe.com", "vvalladares@crm.otsuka-europe.com")</f>
        <v>vvalladares@crm.otsuka-europe.com</v>
      </c>
      <c r="N1040" s="13">
        <v>46175.463865740741</v>
      </c>
      <c r="O1040" s="14" t="str">
        <f>HYPERLINK("https://otsuka-europe-crm.veevavault.com/ui/#object/email_activity__v/V8C00000003L473", "EN-002087061")</f>
        <v>EN-002087061</v>
      </c>
    </row>
    <row r="1041" spans="1:15" ht="16" x14ac:dyDescent="0.2">
      <c r="A1041" s="17" t="str">
        <f>HYPERLINK("https://otsuka-europe-crm.veevavault.com/ui/#object/account__v/V4TZ06G6O71TAU0", "MANUEL LUIS MACIA HERAS")</f>
        <v>MANUEL LUIS MACIA HERAS</v>
      </c>
      <c r="B1041" s="17" t="str">
        <f>HYPERLINK("https://otsuka-europe-crm.veevavault.com/ui/#object/vcountry__v/VENZ000004SONF5", "ES")</f>
        <v>ES</v>
      </c>
      <c r="C1041" s="20" t="s">
        <v>41</v>
      </c>
      <c r="D1041" s="21" t="str">
        <f>HYPERLINK("https://otsuka-europe-crm.veevavault.com/ui/#object/approved_document__v/V5O00000001H022", "LUP - VAE invitación simposio SEN-SER - Nefro")</f>
        <v>LUP - VAE invitación simposio SEN-SER - Nefro</v>
      </c>
      <c r="E1041" s="22" t="str">
        <f>HYPERLINK("https://otsuka-europe-crm.veevavault.com/ui/#object/sent_email__v/VBL00000002N355", "SE-001431336")</f>
        <v>SE-001431336</v>
      </c>
      <c r="F1041" s="25"/>
      <c r="G1041" s="24">
        <v>0</v>
      </c>
      <c r="H1041" s="24">
        <v>0</v>
      </c>
      <c r="I1041" s="24">
        <v>1</v>
      </c>
      <c r="J1041" s="23">
        <v>46176.820034722223</v>
      </c>
      <c r="K1041" s="24">
        <v>1</v>
      </c>
      <c r="L1041" s="22" t="str">
        <f>HYPERLINK("https://otsuka-europe-crm.veevavault.com/ui/#object/approved_document__v/V5O00000001H022", "LUP - VAE invitación simposio SEN-SER - Nefro")</f>
        <v>LUP - VAE invitación simposio SEN-SER - Nefro</v>
      </c>
      <c r="M1041" s="22" t="str">
        <f>HYPERLINK("mailto:vvalladares@crm.otsuka-europe.com", "vvalladares@crm.otsuka-europe.com")</f>
        <v>vvalladares@crm.otsuka-europe.com</v>
      </c>
      <c r="N1041" s="23">
        <v>46175.463900462964</v>
      </c>
      <c r="O1041" s="14" t="str">
        <f>HYPERLINK("https://otsuka-europe-crm.veevavault.com/ui/#object/email_activity__v/V8C00000003L429", "EN-002087017")</f>
        <v>EN-002087017</v>
      </c>
    </row>
    <row r="1042" spans="1:15" ht="16" x14ac:dyDescent="0.2">
      <c r="A1042" s="18"/>
      <c r="B1042" s="18"/>
      <c r="C1042" s="18"/>
      <c r="D1042" s="18"/>
      <c r="E1042" s="18"/>
      <c r="F1042" s="18"/>
      <c r="G1042" s="18"/>
      <c r="H1042" s="18"/>
      <c r="I1042" s="18"/>
      <c r="J1042" s="18"/>
      <c r="K1042" s="18"/>
      <c r="L1042" s="18"/>
      <c r="M1042" s="18"/>
      <c r="N1042" s="18"/>
      <c r="O1042" s="14" t="str">
        <f>HYPERLINK("https://otsuka-europe-crm.veevavault.com/ui/#object/email_activity__v/V8C00000003N521", "EN-002088824")</f>
        <v>EN-002088824</v>
      </c>
    </row>
    <row r="1043" spans="1:15" ht="16" x14ac:dyDescent="0.2">
      <c r="A1043" s="18"/>
      <c r="B1043" s="18"/>
      <c r="C1043" s="18"/>
      <c r="D1043" s="18"/>
      <c r="E1043" s="18"/>
      <c r="F1043" s="18"/>
      <c r="G1043" s="18"/>
      <c r="H1043" s="18"/>
      <c r="I1043" s="18"/>
      <c r="J1043" s="18"/>
      <c r="K1043" s="18"/>
      <c r="L1043" s="18"/>
      <c r="M1043" s="18"/>
      <c r="N1043" s="18"/>
      <c r="O1043" s="14" t="str">
        <f>HYPERLINK("https://otsuka-europe-crm.veevavault.com/ui/#object/email_activity__v/V8C00000003N522", "EN-002088825")</f>
        <v>EN-002088825</v>
      </c>
    </row>
    <row r="1044" spans="1:15" ht="16" x14ac:dyDescent="0.2">
      <c r="A1044" s="19"/>
      <c r="B1044" s="19"/>
      <c r="C1044" s="19"/>
      <c r="D1044" s="19"/>
      <c r="E1044" s="19"/>
      <c r="F1044" s="19"/>
      <c r="G1044" s="19"/>
      <c r="H1044" s="19"/>
      <c r="I1044" s="19"/>
      <c r="J1044" s="19"/>
      <c r="K1044" s="19"/>
      <c r="L1044" s="19"/>
      <c r="M1044" s="19"/>
      <c r="N1044" s="19"/>
      <c r="O1044" s="14" t="str">
        <f>HYPERLINK("https://otsuka-europe-crm.veevavault.com/ui/#object/email_activity__v/V8C00000003N527", "EN-002088831")</f>
        <v>EN-002088831</v>
      </c>
    </row>
    <row r="1045" spans="1:15" ht="16" x14ac:dyDescent="0.2">
      <c r="A1045" s="17" t="str">
        <f>HYPERLINK("https://otsuka-europe-crm.veevavault.com/ui/#object/account__v/V4TZ06G6O71T8J9", "SARA AFONSO RAMOS")</f>
        <v>SARA AFONSO RAMOS</v>
      </c>
      <c r="B1045" s="17" t="str">
        <f>HYPERLINK("https://otsuka-europe-crm.veevavault.com/ui/#object/vcountry__v/VENZ000004SONF5", "ES")</f>
        <v>ES</v>
      </c>
      <c r="C1045" s="20" t="s">
        <v>41</v>
      </c>
      <c r="D1045" s="21" t="str">
        <f>HYPERLINK("https://otsuka-europe-crm.veevavault.com/ui/#object/approved_document__v/V5O00000001H022", "LUP - VAE invitación simposio SEN-SER - Nefro")</f>
        <v>LUP - VAE invitación simposio SEN-SER - Nefro</v>
      </c>
      <c r="E1045" s="22" t="str">
        <f>HYPERLINK("https://otsuka-europe-crm.veevavault.com/ui/#object/sent_email__v/VBL00000002N356", "SE-001431337")</f>
        <v>SE-001431337</v>
      </c>
      <c r="F1045" s="23">
        <v>46187.479548611111</v>
      </c>
      <c r="G1045" s="24">
        <v>1</v>
      </c>
      <c r="H1045" s="24">
        <v>3</v>
      </c>
      <c r="I1045" s="24">
        <v>0</v>
      </c>
      <c r="J1045" s="25"/>
      <c r="K1045" s="24">
        <v>0</v>
      </c>
      <c r="L1045" s="22" t="str">
        <f>HYPERLINK("https://otsuka-europe-crm.veevavault.com/ui/#object/approved_document__v/V5O00000001H022", "LUP - VAE invitación simposio SEN-SER - Nefro")</f>
        <v>LUP - VAE invitación simposio SEN-SER - Nefro</v>
      </c>
      <c r="M1045" s="22" t="str">
        <f>HYPERLINK("mailto:vvalladares@crm.otsuka-europe.com", "vvalladares@crm.otsuka-europe.com")</f>
        <v>vvalladares@crm.otsuka-europe.com</v>
      </c>
      <c r="N1045" s="23">
        <v>46175.463865740741</v>
      </c>
      <c r="O1045" s="14" t="str">
        <f>HYPERLINK("https://otsuka-europe-crm.veevavault.com/ui/#object/email_activity__v/V8C00000003L517", "EN-002087105")</f>
        <v>EN-002087105</v>
      </c>
    </row>
    <row r="1046" spans="1:15" ht="16" x14ac:dyDescent="0.2">
      <c r="A1046" s="18"/>
      <c r="B1046" s="18"/>
      <c r="C1046" s="18"/>
      <c r="D1046" s="18"/>
      <c r="E1046" s="18"/>
      <c r="F1046" s="18"/>
      <c r="G1046" s="18"/>
      <c r="H1046" s="18"/>
      <c r="I1046" s="18"/>
      <c r="J1046" s="18"/>
      <c r="K1046" s="18"/>
      <c r="L1046" s="18"/>
      <c r="M1046" s="18"/>
      <c r="N1046" s="18"/>
      <c r="O1046" s="14" t="str">
        <f>HYPERLINK("https://otsuka-europe-crm.veevavault.com/ui/#object/email_activity__v/V8C00000003L542", "EN-002087130")</f>
        <v>EN-002087130</v>
      </c>
    </row>
    <row r="1047" spans="1:15" ht="16" x14ac:dyDescent="0.2">
      <c r="A1047" s="18"/>
      <c r="B1047" s="18"/>
      <c r="C1047" s="18"/>
      <c r="D1047" s="18"/>
      <c r="E1047" s="18"/>
      <c r="F1047" s="18"/>
      <c r="G1047" s="18"/>
      <c r="H1047" s="18"/>
      <c r="I1047" s="18"/>
      <c r="J1047" s="18"/>
      <c r="K1047" s="18"/>
      <c r="L1047" s="18"/>
      <c r="M1047" s="18"/>
      <c r="N1047" s="18"/>
      <c r="O1047" s="14" t="str">
        <f>HYPERLINK("https://otsuka-europe-crm.veevavault.com/ui/#object/email_activity__v/V8C00000003L958", "EN-002087902")</f>
        <v>EN-002087902</v>
      </c>
    </row>
    <row r="1048" spans="1:15" ht="16" x14ac:dyDescent="0.2">
      <c r="A1048" s="19"/>
      <c r="B1048" s="19"/>
      <c r="C1048" s="19"/>
      <c r="D1048" s="19"/>
      <c r="E1048" s="19"/>
      <c r="F1048" s="19"/>
      <c r="G1048" s="19"/>
      <c r="H1048" s="19"/>
      <c r="I1048" s="19"/>
      <c r="J1048" s="19"/>
      <c r="K1048" s="19"/>
      <c r="L1048" s="19"/>
      <c r="M1048" s="19"/>
      <c r="N1048" s="19"/>
      <c r="O1048" s="14" t="str">
        <f>HYPERLINK("https://otsuka-europe-crm.veevavault.com/ui/#object/email_activity__v/V8C00000003U415", "EN-002095689")</f>
        <v>EN-002095689</v>
      </c>
    </row>
    <row r="1049" spans="1:15" ht="32" x14ac:dyDescent="0.2">
      <c r="A1049" s="7" t="str">
        <f>HYPERLINK("https://otsuka-europe-crm.veevavault.com/ui/#object/account__v/V4TZ06G6O71T80E", "ANA DOLORES DUARTE MARTINEZ")</f>
        <v>ANA DOLORES DUARTE MARTINEZ</v>
      </c>
      <c r="B1049" s="7" t="str">
        <f>HYPERLINK("https://otsuka-europe-crm.veevavault.com/ui/#object/vcountry__v/VENZ000004SONF5", "ES")</f>
        <v>ES</v>
      </c>
      <c r="C1049" s="8" t="s">
        <v>41</v>
      </c>
      <c r="D1049" s="9" t="str">
        <f>HYPERLINK("https://otsuka-europe-crm.veevavault.com/ui/#object/approved_document__v/V5O00000001H022", "LUP - VAE invitación simposio SEN-SER - Nefro")</f>
        <v>LUP - VAE invitación simposio SEN-SER - Nefro</v>
      </c>
      <c r="E1049" s="10" t="str">
        <f>HYPERLINK("https://otsuka-europe-crm.veevavault.com/ui/#object/sent_email__v/VBL00000002N357", "SE-001431338")</f>
        <v>SE-001431338</v>
      </c>
      <c r="F1049" s="11"/>
      <c r="G1049" s="12">
        <v>0</v>
      </c>
      <c r="H1049" s="12">
        <v>0</v>
      </c>
      <c r="I1049" s="12">
        <v>0</v>
      </c>
      <c r="J1049" s="11"/>
      <c r="K1049" s="12">
        <v>0</v>
      </c>
      <c r="L1049" s="10" t="str">
        <f>HYPERLINK("https://otsuka-europe-crm.veevavault.com/ui/#object/approved_document__v/V5O00000001H022", "LUP - VAE invitación simposio SEN-SER - Nefro")</f>
        <v>LUP - VAE invitación simposio SEN-SER - Nefro</v>
      </c>
      <c r="M1049" s="10" t="str">
        <f>HYPERLINK("mailto:vvalladares@crm.otsuka-europe.com", "vvalladares@crm.otsuka-europe.com")</f>
        <v>vvalladares@crm.otsuka-europe.com</v>
      </c>
      <c r="N1049" s="13">
        <v>46175.463865740741</v>
      </c>
      <c r="O1049" s="14" t="str">
        <f>HYPERLINK("https://otsuka-europe-crm.veevavault.com/ui/#object/email_activity__v/V8C00000003L404", "EN-002086992")</f>
        <v>EN-002086992</v>
      </c>
    </row>
    <row r="1050" spans="1:15" ht="32" x14ac:dyDescent="0.2">
      <c r="A1050" s="7" t="str">
        <f>HYPERLINK("https://otsuka-europe-crm.veevavault.com/ui/#object/account__v/V4TZ06G6O71T8N9", "MARIA JOSE LOPEZ RUIZ")</f>
        <v>MARIA JOSE LOPEZ RUIZ</v>
      </c>
      <c r="B1050" s="7" t="str">
        <f>HYPERLINK("https://otsuka-europe-crm.veevavault.com/ui/#object/vcountry__v/VENZ000004SONF5", "ES")</f>
        <v>ES</v>
      </c>
      <c r="C1050" s="8" t="s">
        <v>41</v>
      </c>
      <c r="D1050" s="9" t="str">
        <f>HYPERLINK("https://otsuka-europe-crm.veevavault.com/ui/#object/approved_document__v/V5O00000001H022", "LUP - VAE invitación simposio SEN-SER - Nefro")</f>
        <v>LUP - VAE invitación simposio SEN-SER - Nefro</v>
      </c>
      <c r="E1050" s="10" t="str">
        <f>HYPERLINK("https://otsuka-europe-crm.veevavault.com/ui/#object/sent_email__v/VBL00000002N358", "SE-001431339")</f>
        <v>SE-001431339</v>
      </c>
      <c r="F1050" s="11"/>
      <c r="G1050" s="12">
        <v>0</v>
      </c>
      <c r="H1050" s="12">
        <v>0</v>
      </c>
      <c r="I1050" s="12">
        <v>0</v>
      </c>
      <c r="J1050" s="11"/>
      <c r="K1050" s="12">
        <v>0</v>
      </c>
      <c r="L1050" s="10" t="str">
        <f>HYPERLINK("https://otsuka-europe-crm.veevavault.com/ui/#object/approved_document__v/V5O00000001H022", "LUP - VAE invitación simposio SEN-SER - Nefro")</f>
        <v>LUP - VAE invitación simposio SEN-SER - Nefro</v>
      </c>
      <c r="M1050" s="10" t="str">
        <f>HYPERLINK("mailto:vvalladares@crm.otsuka-europe.com", "vvalladares@crm.otsuka-europe.com")</f>
        <v>vvalladares@crm.otsuka-europe.com</v>
      </c>
      <c r="N1050" s="13">
        <v>46175.463865740741</v>
      </c>
      <c r="O1050" s="14" t="str">
        <f>HYPERLINK("https://otsuka-europe-crm.veevavault.com/ui/#object/email_activity__v/V8C00000003L403", "EN-002086991")</f>
        <v>EN-002086991</v>
      </c>
    </row>
    <row r="1051" spans="1:15" ht="16" x14ac:dyDescent="0.2">
      <c r="A1051" s="17" t="str">
        <f>HYPERLINK("https://otsuka-europe-crm.veevavault.com/ui/#object/account__v/V4TZ06G6O71T7OS", "VIRGINIA DOMINGUEZ PIMENTEL")</f>
        <v>VIRGINIA DOMINGUEZ PIMENTEL</v>
      </c>
      <c r="B1051" s="17" t="str">
        <f>HYPERLINK("https://otsuka-europe-crm.veevavault.com/ui/#object/vcountry__v/VENZ000004SONF5", "ES")</f>
        <v>ES</v>
      </c>
      <c r="C1051" s="20" t="s">
        <v>41</v>
      </c>
      <c r="D1051" s="21" t="str">
        <f>HYPERLINK("https://otsuka-europe-crm.veevavault.com/ui/#object/approved_document__v/V5O00000001H022", "LUP - VAE invitación simposio SEN-SER - Nefro")</f>
        <v>LUP - VAE invitación simposio SEN-SER - Nefro</v>
      </c>
      <c r="E1051" s="22" t="str">
        <f>HYPERLINK("https://otsuka-europe-crm.veevavault.com/ui/#object/sent_email__v/VBL00000002N359", "SE-001431340")</f>
        <v>SE-001431340</v>
      </c>
      <c r="F1051" s="25"/>
      <c r="G1051" s="24">
        <v>0</v>
      </c>
      <c r="H1051" s="24">
        <v>0</v>
      </c>
      <c r="I1051" s="24">
        <v>1</v>
      </c>
      <c r="J1051" s="23">
        <v>46175.611134259256</v>
      </c>
      <c r="K1051" s="24">
        <v>1</v>
      </c>
      <c r="L1051" s="22" t="str">
        <f>HYPERLINK("https://otsuka-europe-crm.veevavault.com/ui/#object/approved_document__v/V5O00000001H022", "LUP - VAE invitación simposio SEN-SER - Nefro")</f>
        <v>LUP - VAE invitación simposio SEN-SER - Nefro</v>
      </c>
      <c r="M1051" s="22" t="str">
        <f>HYPERLINK("mailto:vvalladares@crm.otsuka-europe.com", "vvalladares@crm.otsuka-europe.com")</f>
        <v>vvalladares@crm.otsuka-europe.com</v>
      </c>
      <c r="N1051" s="23">
        <v>46175.463865740741</v>
      </c>
      <c r="O1051" s="14" t="str">
        <f>HYPERLINK("https://otsuka-europe-crm.veevavault.com/ui/#object/email_activity__v/V8C00000003L463", "EN-002087051")</f>
        <v>EN-002087051</v>
      </c>
    </row>
    <row r="1052" spans="1:15" ht="16" x14ac:dyDescent="0.2">
      <c r="A1052" s="18"/>
      <c r="B1052" s="18"/>
      <c r="C1052" s="18"/>
      <c r="D1052" s="18"/>
      <c r="E1052" s="18"/>
      <c r="F1052" s="18"/>
      <c r="G1052" s="18"/>
      <c r="H1052" s="18"/>
      <c r="I1052" s="18"/>
      <c r="J1052" s="18"/>
      <c r="K1052" s="18"/>
      <c r="L1052" s="18"/>
      <c r="M1052" s="18"/>
      <c r="N1052" s="18"/>
      <c r="O1052" s="14" t="str">
        <f>HYPERLINK("https://otsuka-europe-crm.veevavault.com/ui/#object/email_activity__v/V8C00000003L944", "EN-002087876")</f>
        <v>EN-002087876</v>
      </c>
    </row>
    <row r="1053" spans="1:15" ht="16" x14ac:dyDescent="0.2">
      <c r="A1053" s="18"/>
      <c r="B1053" s="18"/>
      <c r="C1053" s="18"/>
      <c r="D1053" s="18"/>
      <c r="E1053" s="18"/>
      <c r="F1053" s="18"/>
      <c r="G1053" s="18"/>
      <c r="H1053" s="18"/>
      <c r="I1053" s="18"/>
      <c r="J1053" s="18"/>
      <c r="K1053" s="18"/>
      <c r="L1053" s="18"/>
      <c r="M1053" s="18"/>
      <c r="N1053" s="18"/>
      <c r="O1053" s="14" t="str">
        <f>HYPERLINK("https://otsuka-europe-crm.veevavault.com/ui/#object/email_activity__v/V8C00000003L945", "EN-002087877")</f>
        <v>EN-002087877</v>
      </c>
    </row>
    <row r="1054" spans="1:15" ht="16" x14ac:dyDescent="0.2">
      <c r="A1054" s="18"/>
      <c r="B1054" s="18"/>
      <c r="C1054" s="18"/>
      <c r="D1054" s="18"/>
      <c r="E1054" s="18"/>
      <c r="F1054" s="18"/>
      <c r="G1054" s="18"/>
      <c r="H1054" s="18"/>
      <c r="I1054" s="18"/>
      <c r="J1054" s="18"/>
      <c r="K1054" s="18"/>
      <c r="L1054" s="18"/>
      <c r="M1054" s="18"/>
      <c r="N1054" s="18"/>
      <c r="O1054" s="14" t="str">
        <f>HYPERLINK("https://otsuka-europe-crm.veevavault.com/ui/#object/email_activity__v/V8C00000003M040", "EN-002087911")</f>
        <v>EN-002087911</v>
      </c>
    </row>
    <row r="1055" spans="1:15" ht="16" x14ac:dyDescent="0.2">
      <c r="A1055" s="18"/>
      <c r="B1055" s="18"/>
      <c r="C1055" s="18"/>
      <c r="D1055" s="18"/>
      <c r="E1055" s="18"/>
      <c r="F1055" s="18"/>
      <c r="G1055" s="18"/>
      <c r="H1055" s="18"/>
      <c r="I1055" s="18"/>
      <c r="J1055" s="18"/>
      <c r="K1055" s="18"/>
      <c r="L1055" s="18"/>
      <c r="M1055" s="18"/>
      <c r="N1055" s="18"/>
      <c r="O1055" s="14" t="str">
        <f>HYPERLINK("https://otsuka-europe-crm.veevavault.com/ui/#object/email_activity__v/V8C00000003V458", "EN-002095688")</f>
        <v>EN-002095688</v>
      </c>
    </row>
    <row r="1056" spans="1:15" ht="16" x14ac:dyDescent="0.2">
      <c r="A1056" s="19"/>
      <c r="B1056" s="19"/>
      <c r="C1056" s="19"/>
      <c r="D1056" s="19"/>
      <c r="E1056" s="19"/>
      <c r="F1056" s="19"/>
      <c r="G1056" s="19"/>
      <c r="H1056" s="19"/>
      <c r="I1056" s="19"/>
      <c r="J1056" s="19"/>
      <c r="K1056" s="19"/>
      <c r="L1056" s="19"/>
      <c r="M1056" s="19"/>
      <c r="N1056" s="19"/>
      <c r="O1056" s="14" t="str">
        <f>HYPERLINK("https://otsuka-europe-crm.veevavault.com/ui/#object/email_activity__v/V8C000000042138", "EN-002100012")</f>
        <v>EN-002100012</v>
      </c>
    </row>
    <row r="1057" spans="1:15" ht="16" x14ac:dyDescent="0.2">
      <c r="A1057" s="17" t="str">
        <f>HYPERLINK("https://otsuka-europe-crm.veevavault.com/ui/#object/account__v/V4TZ06G6O71TB0I", "BASILIO MARTIN URCUYO")</f>
        <v>BASILIO MARTIN URCUYO</v>
      </c>
      <c r="B1057" s="17" t="str">
        <f>HYPERLINK("https://otsuka-europe-crm.veevavault.com/ui/#object/vcountry__v/VENZ000004SONF5", "ES")</f>
        <v>ES</v>
      </c>
      <c r="C1057" s="20" t="s">
        <v>41</v>
      </c>
      <c r="D1057" s="21" t="str">
        <f>HYPERLINK("https://otsuka-europe-crm.veevavault.com/ui/#object/approved_document__v/V5O00000001H022", "LUP - VAE invitación simposio SEN-SER - Nefro")</f>
        <v>LUP - VAE invitación simposio SEN-SER - Nefro</v>
      </c>
      <c r="E1057" s="22" t="str">
        <f>HYPERLINK("https://otsuka-europe-crm.veevavault.com/ui/#object/sent_email__v/VBL00000002N360", "SE-001431341")</f>
        <v>SE-001431341</v>
      </c>
      <c r="F1057" s="25"/>
      <c r="G1057" s="24">
        <v>0</v>
      </c>
      <c r="H1057" s="24">
        <v>0</v>
      </c>
      <c r="I1057" s="24">
        <v>0</v>
      </c>
      <c r="J1057" s="25"/>
      <c r="K1057" s="24">
        <v>0</v>
      </c>
      <c r="L1057" s="22" t="str">
        <f>HYPERLINK("https://otsuka-europe-crm.veevavault.com/ui/#object/approved_document__v/V5O00000001H022", "LUP - VAE invitación simposio SEN-SER - Nefro")</f>
        <v>LUP - VAE invitación simposio SEN-SER - Nefro</v>
      </c>
      <c r="M1057" s="22" t="str">
        <f>HYPERLINK("mailto:vvalladares@crm.otsuka-europe.com", "vvalladares@crm.otsuka-europe.com")</f>
        <v>vvalladares@crm.otsuka-europe.com</v>
      </c>
      <c r="N1057" s="23">
        <v>46175.463842592595</v>
      </c>
      <c r="O1057" s="14" t="str">
        <f>HYPERLINK("https://otsuka-europe-crm.veevavault.com/ui/#object/email_activity__v/V8C00000003L484", "EN-002087072")</f>
        <v>EN-002087072</v>
      </c>
    </row>
    <row r="1058" spans="1:15" ht="16" x14ac:dyDescent="0.2">
      <c r="A1058" s="18"/>
      <c r="B1058" s="18"/>
      <c r="C1058" s="18"/>
      <c r="D1058" s="18"/>
      <c r="E1058" s="18"/>
      <c r="F1058" s="18"/>
      <c r="G1058" s="18"/>
      <c r="H1058" s="18"/>
      <c r="I1058" s="18"/>
      <c r="J1058" s="18"/>
      <c r="K1058" s="18"/>
      <c r="L1058" s="18"/>
      <c r="M1058" s="18"/>
      <c r="N1058" s="18"/>
      <c r="O1058" s="14" t="str">
        <f>HYPERLINK("https://otsuka-europe-crm.veevavault.com/ui/#object/email_activity__v/V8C00000003M088", "EN-002088011")</f>
        <v>EN-002088011</v>
      </c>
    </row>
    <row r="1059" spans="1:15" ht="16" x14ac:dyDescent="0.2">
      <c r="A1059" s="19"/>
      <c r="B1059" s="19"/>
      <c r="C1059" s="19"/>
      <c r="D1059" s="19"/>
      <c r="E1059" s="19"/>
      <c r="F1059" s="19"/>
      <c r="G1059" s="19"/>
      <c r="H1059" s="19"/>
      <c r="I1059" s="19"/>
      <c r="J1059" s="19"/>
      <c r="K1059" s="19"/>
      <c r="L1059" s="19"/>
      <c r="M1059" s="19"/>
      <c r="N1059" s="19"/>
      <c r="O1059" s="14" t="str">
        <f>HYPERLINK("https://otsuka-europe-crm.veevavault.com/ui/#object/email_activity__v/V8C000000040159", "EN-002098976")</f>
        <v>EN-002098976</v>
      </c>
    </row>
    <row r="1060" spans="1:15" ht="32" x14ac:dyDescent="0.2">
      <c r="A1060" s="7" t="str">
        <f>HYPERLINK("https://otsuka-europe-crm.veevavault.com/ui/#object/account__v/V4TZ06G6O71TA0F", "REMEDIOS GAROFANO LOPEZ")</f>
        <v>REMEDIOS GAROFANO LOPEZ</v>
      </c>
      <c r="B1060" s="7" t="str">
        <f>HYPERLINK("https://otsuka-europe-crm.veevavault.com/ui/#object/vcountry__v/VENZ000004SONF5", "ES")</f>
        <v>ES</v>
      </c>
      <c r="C1060" s="8" t="s">
        <v>41</v>
      </c>
      <c r="D1060" s="9" t="str">
        <f>HYPERLINK("https://otsuka-europe-crm.veevavault.com/ui/#object/approved_document__v/V5O00000001H022", "LUP - VAE invitación simposio SEN-SER - Nefro")</f>
        <v>LUP - VAE invitación simposio SEN-SER - Nefro</v>
      </c>
      <c r="E1060" s="10" t="str">
        <f>HYPERLINK("https://otsuka-europe-crm.veevavault.com/ui/#object/sent_email__v/VBL00000002N361", "SE-001431342")</f>
        <v>SE-001431342</v>
      </c>
      <c r="F1060" s="11"/>
      <c r="G1060" s="12">
        <v>0</v>
      </c>
      <c r="H1060" s="12">
        <v>0</v>
      </c>
      <c r="I1060" s="12">
        <v>0</v>
      </c>
      <c r="J1060" s="11"/>
      <c r="K1060" s="12">
        <v>0</v>
      </c>
      <c r="L1060" s="10" t="str">
        <f>HYPERLINK("https://otsuka-europe-crm.veevavault.com/ui/#object/approved_document__v/V5O00000001H022", "LUP - VAE invitación simposio SEN-SER - Nefro")</f>
        <v>LUP - VAE invitación simposio SEN-SER - Nefro</v>
      </c>
      <c r="M1060" s="10" t="str">
        <f>HYPERLINK("mailto:vvalladares@crm.otsuka-europe.com", "vvalladares@crm.otsuka-europe.com")</f>
        <v>vvalladares@crm.otsuka-europe.com</v>
      </c>
      <c r="N1060" s="13">
        <v>46175.463865740741</v>
      </c>
      <c r="O1060" s="14" t="str">
        <f>HYPERLINK("https://otsuka-europe-crm.veevavault.com/ui/#object/email_activity__v/V8C00000003L423", "EN-002087011")</f>
        <v>EN-002087011</v>
      </c>
    </row>
    <row r="1061" spans="1:15" ht="32" x14ac:dyDescent="0.2">
      <c r="A1061" s="7" t="str">
        <f>HYPERLINK("https://otsuka-europe-crm.veevavault.com/ui/#object/account__v/V4TZ04ASG9MFKXV", "MARIA CARMEN ORDOÑEZ CAÑIZARES")</f>
        <v>MARIA CARMEN ORDOÑEZ CAÑIZARES</v>
      </c>
      <c r="B1061" s="7" t="str">
        <f>HYPERLINK("https://otsuka-europe-crm.veevavault.com/ui/#object/vcountry__v/VENZ000004SONF5", "ES")</f>
        <v>ES</v>
      </c>
      <c r="C1061" s="8" t="s">
        <v>41</v>
      </c>
      <c r="D1061" s="9" t="str">
        <f>HYPERLINK("https://otsuka-europe-crm.veevavault.com/ui/#object/approved_document__v/V5O00000001H025", "LUP - VAE invitación simposio SEN-SER - Reuma")</f>
        <v>LUP - VAE invitación simposio SEN-SER - Reuma</v>
      </c>
      <c r="E1061" s="10" t="str">
        <f>HYPERLINK("https://otsuka-europe-crm.veevavault.com/ui/#object/sent_email__v/VBL00000002N362", "SE-001431343")</f>
        <v>SE-001431343</v>
      </c>
      <c r="F1061" s="11"/>
      <c r="G1061" s="12">
        <v>0</v>
      </c>
      <c r="H1061" s="12">
        <v>0</v>
      </c>
      <c r="I1061" s="12">
        <v>0</v>
      </c>
      <c r="J1061" s="11"/>
      <c r="K1061" s="12">
        <v>0</v>
      </c>
      <c r="L1061" s="10" t="str">
        <f>HYPERLINK("https://otsuka-europe-crm.veevavault.com/ui/#object/approved_document__v/V5O00000001H025", "LUP - VAE invitación simposio SEN-SER - Reuma")</f>
        <v>LUP - VAE invitación simposio SEN-SER - Reuma</v>
      </c>
      <c r="M1061" s="10" t="str">
        <f>HYPERLINK("mailto:vvalladares@crm.otsuka-europe.com", "vvalladares@crm.otsuka-europe.com")</f>
        <v>vvalladares@crm.otsuka-europe.com</v>
      </c>
      <c r="N1061" s="13">
        <v>46175.463865740741</v>
      </c>
      <c r="O1061" s="14" t="str">
        <f>HYPERLINK("https://otsuka-europe-crm.veevavault.com/ui/#object/email_activity__v/V8C00000003L515", "EN-002087103")</f>
        <v>EN-002087103</v>
      </c>
    </row>
    <row r="1062" spans="1:15" ht="32" x14ac:dyDescent="0.2">
      <c r="A1062" s="7" t="str">
        <f>HYPERLINK("https://otsuka-europe-crm.veevavault.com/ui/#object/account__v/V4TZ06G6ODNMYIU", "JOSE FEDERICO DIAZ GONZALEZ")</f>
        <v>JOSE FEDERICO DIAZ GONZALEZ</v>
      </c>
      <c r="B1062" s="7" t="str">
        <f>HYPERLINK("https://otsuka-europe-crm.veevavault.com/ui/#object/vcountry__v/VENZ000004SONF5", "ES")</f>
        <v>ES</v>
      </c>
      <c r="C1062" s="8" t="s">
        <v>41</v>
      </c>
      <c r="D1062" s="9" t="str">
        <f>HYPERLINK("https://otsuka-europe-crm.veevavault.com/ui/#object/approved_document__v/V5O00000001H025", "LUP - VAE invitación simposio SEN-SER - Reuma")</f>
        <v>LUP - VAE invitación simposio SEN-SER - Reuma</v>
      </c>
      <c r="E1062" s="10" t="str">
        <f>HYPERLINK("https://otsuka-europe-crm.veevavault.com/ui/#object/sent_email__v/VBL00000002N363", "SE-001431344")</f>
        <v>SE-001431344</v>
      </c>
      <c r="F1062" s="11"/>
      <c r="G1062" s="12">
        <v>0</v>
      </c>
      <c r="H1062" s="12">
        <v>0</v>
      </c>
      <c r="I1062" s="12">
        <v>0</v>
      </c>
      <c r="J1062" s="11"/>
      <c r="K1062" s="12">
        <v>0</v>
      </c>
      <c r="L1062" s="10" t="str">
        <f>HYPERLINK("https://otsuka-europe-crm.veevavault.com/ui/#object/approved_document__v/V5O00000001H025", "LUP - VAE invitación simposio SEN-SER - Reuma")</f>
        <v>LUP - VAE invitación simposio SEN-SER - Reuma</v>
      </c>
      <c r="M1062" s="10" t="str">
        <f>HYPERLINK("mailto:vvalladares@crm.otsuka-europe.com", "vvalladares@crm.otsuka-europe.com")</f>
        <v>vvalladares@crm.otsuka-europe.com</v>
      </c>
      <c r="N1062" s="13">
        <v>46175.463842592595</v>
      </c>
      <c r="O1062" s="14" t="str">
        <f>HYPERLINK("https://otsuka-europe-crm.veevavault.com/ui/#object/email_activity__v/V8C00000003L454", "EN-002087042")</f>
        <v>EN-002087042</v>
      </c>
    </row>
    <row r="1063" spans="1:15" ht="32" x14ac:dyDescent="0.2">
      <c r="A1063" s="7" t="str">
        <f>HYPERLINK("https://otsuka-europe-crm.veevavault.com/ui/#object/account__v/V4TZ04ASG9MFHS3", "CARMEN MARIA ROMERO BARCO")</f>
        <v>CARMEN MARIA ROMERO BARCO</v>
      </c>
      <c r="B1063" s="7" t="str">
        <f>HYPERLINK("https://otsuka-europe-crm.veevavault.com/ui/#object/vcountry__v/VENZ000004SONF5", "ES")</f>
        <v>ES</v>
      </c>
      <c r="C1063" s="8" t="s">
        <v>41</v>
      </c>
      <c r="D1063" s="9" t="str">
        <f>HYPERLINK("https://otsuka-europe-crm.veevavault.com/ui/#object/approved_document__v/V5O00000001H025", "LUP - VAE invitación simposio SEN-SER - Reuma")</f>
        <v>LUP - VAE invitación simposio SEN-SER - Reuma</v>
      </c>
      <c r="E1063" s="10" t="str">
        <f>HYPERLINK("https://otsuka-europe-crm.veevavault.com/ui/#object/sent_email__v/VBL00000002N364", "SE-001431345")</f>
        <v>SE-001431345</v>
      </c>
      <c r="F1063" s="11"/>
      <c r="G1063" s="12">
        <v>0</v>
      </c>
      <c r="H1063" s="12">
        <v>0</v>
      </c>
      <c r="I1063" s="12">
        <v>0</v>
      </c>
      <c r="J1063" s="11"/>
      <c r="K1063" s="12">
        <v>0</v>
      </c>
      <c r="L1063" s="10" t="str">
        <f>HYPERLINK("https://otsuka-europe-crm.veevavault.com/ui/#object/approved_document__v/V5O00000001H025", "LUP - VAE invitación simposio SEN-SER - Reuma")</f>
        <v>LUP - VAE invitación simposio SEN-SER - Reuma</v>
      </c>
      <c r="M1063" s="10" t="str">
        <f>HYPERLINK("mailto:vvalladares@crm.otsuka-europe.com", "vvalladares@crm.otsuka-europe.com")</f>
        <v>vvalladares@crm.otsuka-europe.com</v>
      </c>
      <c r="N1063" s="13">
        <v>46175.463865740741</v>
      </c>
      <c r="O1063" s="14" t="str">
        <f>HYPERLINK("https://otsuka-europe-crm.veevavault.com/ui/#object/email_activity__v/V8C00000003L435", "EN-002087023")</f>
        <v>EN-002087023</v>
      </c>
    </row>
    <row r="1064" spans="1:15" ht="16" x14ac:dyDescent="0.2">
      <c r="A1064" s="17" t="str">
        <f>HYPERLINK("https://otsuka-europe-crm.veevavault.com/ui/#object/account__v/V4TZ04ASGABWAEG", "FRANCISCO JAVIER GODOY NAVARRETE")</f>
        <v>FRANCISCO JAVIER GODOY NAVARRETE</v>
      </c>
      <c r="B1064" s="17" t="str">
        <f>HYPERLINK("https://otsuka-europe-crm.veevavault.com/ui/#object/vcountry__v/VENZ000004SONF5", "ES")</f>
        <v>ES</v>
      </c>
      <c r="C1064" s="20" t="s">
        <v>41</v>
      </c>
      <c r="D1064" s="21" t="str">
        <f>HYPERLINK("https://otsuka-europe-crm.veevavault.com/ui/#object/approved_document__v/V5O00000001H025", "LUP - VAE invitación simposio SEN-SER - Reuma")</f>
        <v>LUP - VAE invitación simposio SEN-SER - Reuma</v>
      </c>
      <c r="E1064" s="22" t="str">
        <f>HYPERLINK("https://otsuka-europe-crm.veevavault.com/ui/#object/sent_email__v/VBL00000002N365", "SE-001431346")</f>
        <v>SE-001431346</v>
      </c>
      <c r="F1064" s="23">
        <v>46175.464999999997</v>
      </c>
      <c r="G1064" s="24">
        <v>1</v>
      </c>
      <c r="H1064" s="24">
        <v>1</v>
      </c>
      <c r="I1064" s="24">
        <v>0</v>
      </c>
      <c r="J1064" s="25"/>
      <c r="K1064" s="24">
        <v>0</v>
      </c>
      <c r="L1064" s="22" t="str">
        <f>HYPERLINK("https://otsuka-europe-crm.veevavault.com/ui/#object/approved_document__v/V5O00000001H025", "LUP - VAE invitación simposio SEN-SER - Reuma")</f>
        <v>LUP - VAE invitación simposio SEN-SER - Reuma</v>
      </c>
      <c r="M1064" s="22" t="str">
        <f>HYPERLINK("mailto:vvalladares@crm.otsuka-europe.com", "vvalladares@crm.otsuka-europe.com")</f>
        <v>vvalladares@crm.otsuka-europe.com</v>
      </c>
      <c r="N1064" s="23">
        <v>46175.463865740741</v>
      </c>
      <c r="O1064" s="14" t="str">
        <f>HYPERLINK("https://otsuka-europe-crm.veevavault.com/ui/#object/email_activity__v/V8C00000003L486", "EN-002087074")</f>
        <v>EN-002087074</v>
      </c>
    </row>
    <row r="1065" spans="1:15" ht="16" x14ac:dyDescent="0.2">
      <c r="A1065" s="19"/>
      <c r="B1065" s="19"/>
      <c r="C1065" s="19"/>
      <c r="D1065" s="19"/>
      <c r="E1065" s="19"/>
      <c r="F1065" s="19"/>
      <c r="G1065" s="19"/>
      <c r="H1065" s="19"/>
      <c r="I1065" s="19"/>
      <c r="J1065" s="19"/>
      <c r="K1065" s="19"/>
      <c r="L1065" s="19"/>
      <c r="M1065" s="19"/>
      <c r="N1065" s="19"/>
      <c r="O1065" s="14" t="str">
        <f>HYPERLINK("https://otsuka-europe-crm.veevavault.com/ui/#object/email_activity__v/V8C00000003L533", "EN-002087121")</f>
        <v>EN-002087121</v>
      </c>
    </row>
    <row r="1066" spans="1:15" ht="32" x14ac:dyDescent="0.2">
      <c r="A1066" s="7" t="str">
        <f>HYPERLINK("https://otsuka-europe-crm.veevavault.com/ui/#object/account__v/V4TZ04ASGCYMFU5", "NOEMI PATRICIA GARRIDO PUÑAL")</f>
        <v>NOEMI PATRICIA GARRIDO PUÑAL</v>
      </c>
      <c r="B1066" s="7" t="str">
        <f>HYPERLINK("https://otsuka-europe-crm.veevavault.com/ui/#object/vcountry__v/VENZ000004SONF5", "ES")</f>
        <v>ES</v>
      </c>
      <c r="C1066" s="8" t="s">
        <v>41</v>
      </c>
      <c r="D1066" s="9" t="str">
        <f>HYPERLINK("https://otsuka-europe-crm.veevavault.com/ui/#object/approved_document__v/V5O00000001H025", "LUP - VAE invitación simposio SEN-SER - Reuma")</f>
        <v>LUP - VAE invitación simposio SEN-SER - Reuma</v>
      </c>
      <c r="E1066" s="10" t="str">
        <f>HYPERLINK("https://otsuka-europe-crm.veevavault.com/ui/#object/sent_email__v/VBL00000002N366", "SE-001431347")</f>
        <v>SE-001431347</v>
      </c>
      <c r="F1066" s="11"/>
      <c r="G1066" s="12">
        <v>0</v>
      </c>
      <c r="H1066" s="12">
        <v>0</v>
      </c>
      <c r="I1066" s="12">
        <v>0</v>
      </c>
      <c r="J1066" s="11"/>
      <c r="K1066" s="12">
        <v>0</v>
      </c>
      <c r="L1066" s="10" t="str">
        <f>HYPERLINK("https://otsuka-europe-crm.veevavault.com/ui/#object/approved_document__v/V5O00000001H025", "LUP - VAE invitación simposio SEN-SER - Reuma")</f>
        <v>LUP - VAE invitación simposio SEN-SER - Reuma</v>
      </c>
      <c r="M1066" s="10" t="str">
        <f>HYPERLINK("mailto:vvalladares@crm.otsuka-europe.com", "vvalladares@crm.otsuka-europe.com")</f>
        <v>vvalladares@crm.otsuka-europe.com</v>
      </c>
      <c r="N1066" s="13">
        <v>46175.463842592595</v>
      </c>
      <c r="O1066" s="14" t="str">
        <f>HYPERLINK("https://otsuka-europe-crm.veevavault.com/ui/#object/email_activity__v/V8C00000003L485", "EN-002087073")</f>
        <v>EN-002087073</v>
      </c>
    </row>
    <row r="1067" spans="1:15" ht="32" x14ac:dyDescent="0.2">
      <c r="A1067" s="7" t="str">
        <f>HYPERLINK("https://otsuka-europe-crm.veevavault.com/ui/#object/account__v/V4TZ04ASG9MR4YR", "LUIS SARABIA DE ARDANAZ")</f>
        <v>LUIS SARABIA DE ARDANAZ</v>
      </c>
      <c r="B1067" s="7" t="str">
        <f>HYPERLINK("https://otsuka-europe-crm.veevavault.com/ui/#object/vcountry__v/VENZ000004SONF5", "ES")</f>
        <v>ES</v>
      </c>
      <c r="C1067" s="8" t="s">
        <v>41</v>
      </c>
      <c r="D1067" s="9" t="str">
        <f>HYPERLINK("https://otsuka-europe-crm.veevavault.com/ui/#object/approved_document__v/V5O00000001H025", "LUP - VAE invitación simposio SEN-SER - Reuma")</f>
        <v>LUP - VAE invitación simposio SEN-SER - Reuma</v>
      </c>
      <c r="E1067" s="10" t="str">
        <f>HYPERLINK("https://otsuka-europe-crm.veevavault.com/ui/#object/sent_email__v/VBL00000002N367", "SE-001431348")</f>
        <v>SE-001431348</v>
      </c>
      <c r="F1067" s="11"/>
      <c r="G1067" s="12">
        <v>0</v>
      </c>
      <c r="H1067" s="12">
        <v>0</v>
      </c>
      <c r="I1067" s="12">
        <v>0</v>
      </c>
      <c r="J1067" s="11"/>
      <c r="K1067" s="12">
        <v>0</v>
      </c>
      <c r="L1067" s="10" t="str">
        <f>HYPERLINK("https://otsuka-europe-crm.veevavault.com/ui/#object/approved_document__v/V5O00000001H025", "LUP - VAE invitación simposio SEN-SER - Reuma")</f>
        <v>LUP - VAE invitación simposio SEN-SER - Reuma</v>
      </c>
      <c r="M1067" s="10" t="str">
        <f>HYPERLINK("mailto:vvalladares@crm.otsuka-europe.com", "vvalladares@crm.otsuka-europe.com")</f>
        <v>vvalladares@crm.otsuka-europe.com</v>
      </c>
      <c r="N1067" s="13">
        <v>46175.463865740741</v>
      </c>
      <c r="O1067" s="14" t="str">
        <f>HYPERLINK("https://otsuka-europe-crm.veevavault.com/ui/#object/email_activity__v/V8C00000003L498", "EN-002087086")</f>
        <v>EN-002087086</v>
      </c>
    </row>
    <row r="1068" spans="1:15" ht="16" x14ac:dyDescent="0.2">
      <c r="A1068" s="17" t="str">
        <f>HYPERLINK("https://otsuka-europe-crm.veevavault.com/ui/#object/account__v/V4TZ04ASG9MFL3E", "CARLOS RODRIGUEZ ESCALERA")</f>
        <v>CARLOS RODRIGUEZ ESCALERA</v>
      </c>
      <c r="B1068" s="17" t="str">
        <f>HYPERLINK("https://otsuka-europe-crm.veevavault.com/ui/#object/vcountry__v/VENZ000004SONF5", "ES")</f>
        <v>ES</v>
      </c>
      <c r="C1068" s="20" t="s">
        <v>41</v>
      </c>
      <c r="D1068" s="21" t="str">
        <f>HYPERLINK("https://otsuka-europe-crm.veevavault.com/ui/#object/approved_document__v/V5O00000001H025", "LUP - VAE invitación simposio SEN-SER - Reuma")</f>
        <v>LUP - VAE invitación simposio SEN-SER - Reuma</v>
      </c>
      <c r="E1068" s="22" t="str">
        <f>HYPERLINK("https://otsuka-europe-crm.veevavault.com/ui/#object/sent_email__v/VBL00000002N368", "SE-001431349")</f>
        <v>SE-001431349</v>
      </c>
      <c r="F1068" s="23">
        <v>46175.652858796297</v>
      </c>
      <c r="G1068" s="24">
        <v>1</v>
      </c>
      <c r="H1068" s="24">
        <v>3</v>
      </c>
      <c r="I1068" s="24">
        <v>0</v>
      </c>
      <c r="J1068" s="25"/>
      <c r="K1068" s="24">
        <v>0</v>
      </c>
      <c r="L1068" s="22" t="str">
        <f>HYPERLINK("https://otsuka-europe-crm.veevavault.com/ui/#object/approved_document__v/V5O00000001H025", "LUP - VAE invitación simposio SEN-SER - Reuma")</f>
        <v>LUP - VAE invitación simposio SEN-SER - Reuma</v>
      </c>
      <c r="M1068" s="22" t="str">
        <f>HYPERLINK("mailto:vvalladares@crm.otsuka-europe.com", "vvalladares@crm.otsuka-europe.com")</f>
        <v>vvalladares@crm.otsuka-europe.com</v>
      </c>
      <c r="N1068" s="23">
        <v>46175.463865740741</v>
      </c>
      <c r="O1068" s="14" t="str">
        <f>HYPERLINK("https://otsuka-europe-crm.veevavault.com/ui/#object/email_activity__v/V8C00000003L512", "EN-002087100")</f>
        <v>EN-002087100</v>
      </c>
    </row>
    <row r="1069" spans="1:15" ht="16" x14ac:dyDescent="0.2">
      <c r="A1069" s="18"/>
      <c r="B1069" s="18"/>
      <c r="C1069" s="18"/>
      <c r="D1069" s="18"/>
      <c r="E1069" s="18"/>
      <c r="F1069" s="18"/>
      <c r="G1069" s="18"/>
      <c r="H1069" s="18"/>
      <c r="I1069" s="18"/>
      <c r="J1069" s="18"/>
      <c r="K1069" s="18"/>
      <c r="L1069" s="18"/>
      <c r="M1069" s="18"/>
      <c r="N1069" s="18"/>
      <c r="O1069" s="14" t="str">
        <f>HYPERLINK("https://otsuka-europe-crm.veevavault.com/ui/#object/email_activity__v/V8C00000003L541", "EN-002087129")</f>
        <v>EN-002087129</v>
      </c>
    </row>
    <row r="1070" spans="1:15" ht="16" x14ac:dyDescent="0.2">
      <c r="A1070" s="18"/>
      <c r="B1070" s="18"/>
      <c r="C1070" s="18"/>
      <c r="D1070" s="18"/>
      <c r="E1070" s="18"/>
      <c r="F1070" s="18"/>
      <c r="G1070" s="18"/>
      <c r="H1070" s="18"/>
      <c r="I1070" s="18"/>
      <c r="J1070" s="18"/>
      <c r="K1070" s="18"/>
      <c r="L1070" s="18"/>
      <c r="M1070" s="18"/>
      <c r="N1070" s="18"/>
      <c r="O1070" s="14" t="str">
        <f>HYPERLINK("https://otsuka-europe-crm.veevavault.com/ui/#object/email_activity__v/V8C00000003L543", "EN-002087131")</f>
        <v>EN-002087131</v>
      </c>
    </row>
    <row r="1071" spans="1:15" ht="16" x14ac:dyDescent="0.2">
      <c r="A1071" s="18"/>
      <c r="B1071" s="18"/>
      <c r="C1071" s="18"/>
      <c r="D1071" s="18"/>
      <c r="E1071" s="18"/>
      <c r="F1071" s="18"/>
      <c r="G1071" s="18"/>
      <c r="H1071" s="18"/>
      <c r="I1071" s="18"/>
      <c r="J1071" s="18"/>
      <c r="K1071" s="18"/>
      <c r="L1071" s="18"/>
      <c r="M1071" s="18"/>
      <c r="N1071" s="18"/>
      <c r="O1071" s="14" t="str">
        <f>HYPERLINK("https://otsuka-europe-crm.veevavault.com/ui/#object/email_activity__v/V8C00000003L974", "EN-002087944")</f>
        <v>EN-002087944</v>
      </c>
    </row>
    <row r="1072" spans="1:15" ht="16" x14ac:dyDescent="0.2">
      <c r="A1072" s="19"/>
      <c r="B1072" s="19"/>
      <c r="C1072" s="19"/>
      <c r="D1072" s="19"/>
      <c r="E1072" s="19"/>
      <c r="F1072" s="19"/>
      <c r="G1072" s="19"/>
      <c r="H1072" s="19"/>
      <c r="I1072" s="19"/>
      <c r="J1072" s="19"/>
      <c r="K1072" s="19"/>
      <c r="L1072" s="19"/>
      <c r="M1072" s="19"/>
      <c r="N1072" s="19"/>
      <c r="O1072" s="14" t="str">
        <f>HYPERLINK("https://otsuka-europe-crm.veevavault.com/ui/#object/email_activity__v/V8C00000003M397", "EN-002088812")</f>
        <v>EN-002088812</v>
      </c>
    </row>
    <row r="1073" spans="1:15" ht="16" x14ac:dyDescent="0.2">
      <c r="A1073" s="17" t="str">
        <f>HYPERLINK("https://otsuka-europe-crm.veevavault.com/ui/#object/account__v/V4TZ04ASG9BBOZH", "MARTA HERNANDEZ DIAZ")</f>
        <v>MARTA HERNANDEZ DIAZ</v>
      </c>
      <c r="B1073" s="17" t="str">
        <f>HYPERLINK("https://otsuka-europe-crm.veevavault.com/ui/#object/vcountry__v/VENZ000004SONF5", "ES")</f>
        <v>ES</v>
      </c>
      <c r="C1073" s="20" t="s">
        <v>41</v>
      </c>
      <c r="D1073" s="21" t="str">
        <f>HYPERLINK("https://otsuka-europe-crm.veevavault.com/ui/#object/approved_document__v/V5O00000001H025", "LUP - VAE invitación simposio SEN-SER - Reuma")</f>
        <v>LUP - VAE invitación simposio SEN-SER - Reuma</v>
      </c>
      <c r="E1073" s="22" t="str">
        <f>HYPERLINK("https://otsuka-europe-crm.veevavault.com/ui/#object/sent_email__v/VBL00000002N369", "SE-001431350")</f>
        <v>SE-001431350</v>
      </c>
      <c r="F1073" s="23">
        <v>46175.503645833334</v>
      </c>
      <c r="G1073" s="24">
        <v>1</v>
      </c>
      <c r="H1073" s="24">
        <v>1</v>
      </c>
      <c r="I1073" s="24">
        <v>0</v>
      </c>
      <c r="J1073" s="25"/>
      <c r="K1073" s="24">
        <v>0</v>
      </c>
      <c r="L1073" s="22" t="str">
        <f>HYPERLINK("https://otsuka-europe-crm.veevavault.com/ui/#object/approved_document__v/V5O00000001H025", "LUP - VAE invitación simposio SEN-SER - Reuma")</f>
        <v>LUP - VAE invitación simposio SEN-SER - Reuma</v>
      </c>
      <c r="M1073" s="22" t="str">
        <f>HYPERLINK("mailto:vvalladares@crm.otsuka-europe.com", "vvalladares@crm.otsuka-europe.com")</f>
        <v>vvalladares@crm.otsuka-europe.com</v>
      </c>
      <c r="N1073" s="23">
        <v>46175.463865740741</v>
      </c>
      <c r="O1073" s="14" t="str">
        <f>HYPERLINK("https://otsuka-europe-crm.veevavault.com/ui/#object/email_activity__v/V8C00000003K806", "EN-002087459")</f>
        <v>EN-002087459</v>
      </c>
    </row>
    <row r="1074" spans="1:15" ht="16" x14ac:dyDescent="0.2">
      <c r="A1074" s="19"/>
      <c r="B1074" s="19"/>
      <c r="C1074" s="19"/>
      <c r="D1074" s="19"/>
      <c r="E1074" s="19"/>
      <c r="F1074" s="19"/>
      <c r="G1074" s="19"/>
      <c r="H1074" s="19"/>
      <c r="I1074" s="19"/>
      <c r="J1074" s="19"/>
      <c r="K1074" s="19"/>
      <c r="L1074" s="19"/>
      <c r="M1074" s="19"/>
      <c r="N1074" s="19"/>
      <c r="O1074" s="14" t="str">
        <f>HYPERLINK("https://otsuka-europe-crm.veevavault.com/ui/#object/email_activity__v/V8C00000003L400", "EN-002086988")</f>
        <v>EN-002086988</v>
      </c>
    </row>
    <row r="1075" spans="1:15" ht="32" x14ac:dyDescent="0.2">
      <c r="A1075" s="7" t="str">
        <f>HYPERLINK("https://otsuka-europe-crm.veevavault.com/ui/#object/account__v/V4TZ04ASG9MFKXW", "ROSA MARIA GARCIA PORTALES")</f>
        <v>ROSA MARIA GARCIA PORTALES</v>
      </c>
      <c r="B1075" s="7" t="str">
        <f>HYPERLINK("https://otsuka-europe-crm.veevavault.com/ui/#object/vcountry__v/VENZ000004SONF5", "ES")</f>
        <v>ES</v>
      </c>
      <c r="C1075" s="8" t="s">
        <v>41</v>
      </c>
      <c r="D1075" s="9" t="str">
        <f>HYPERLINK("https://otsuka-europe-crm.veevavault.com/ui/#object/approved_document__v/V5O00000001H025", "LUP - VAE invitación simposio SEN-SER - Reuma")</f>
        <v>LUP - VAE invitación simposio SEN-SER - Reuma</v>
      </c>
      <c r="E1075" s="10" t="str">
        <f>HYPERLINK("https://otsuka-europe-crm.veevavault.com/ui/#object/sent_email__v/VBL00000002N370", "SE-001431351")</f>
        <v>SE-001431351</v>
      </c>
      <c r="F1075" s="11"/>
      <c r="G1075" s="12">
        <v>0</v>
      </c>
      <c r="H1075" s="12">
        <v>0</v>
      </c>
      <c r="I1075" s="12">
        <v>0</v>
      </c>
      <c r="J1075" s="11"/>
      <c r="K1075" s="12">
        <v>0</v>
      </c>
      <c r="L1075" s="10" t="str">
        <f>HYPERLINK("https://otsuka-europe-crm.veevavault.com/ui/#object/approved_document__v/V5O00000001H025", "LUP - VAE invitación simposio SEN-SER - Reuma")</f>
        <v>LUP - VAE invitación simposio SEN-SER - Reuma</v>
      </c>
      <c r="M1075" s="10" t="str">
        <f>HYPERLINK("mailto:vvalladares@crm.otsuka-europe.com", "vvalladares@crm.otsuka-europe.com")</f>
        <v>vvalladares@crm.otsuka-europe.com</v>
      </c>
      <c r="N1075" s="13">
        <v>46175.463865740741</v>
      </c>
      <c r="O1075" s="14" t="str">
        <f>HYPERLINK("https://otsuka-europe-crm.veevavault.com/ui/#object/email_activity__v/V8C00000003L464", "EN-002087052")</f>
        <v>EN-002087052</v>
      </c>
    </row>
    <row r="1076" spans="1:15" ht="16" x14ac:dyDescent="0.2">
      <c r="A1076" s="17" t="str">
        <f>HYPERLINK("https://otsuka-europe-crm.veevavault.com/ui/#object/account__v/V4TZ04ASGBJKHWZ", "FRANCESCO FULVIO BIZZARRI")</f>
        <v>FRANCESCO FULVIO BIZZARRI</v>
      </c>
      <c r="B1076" s="17" t="str">
        <f>HYPERLINK("https://otsuka-europe-crm.veevavault.com/ui/#object/vcountry__v/VENZ000004SONF5", "ES")</f>
        <v>ES</v>
      </c>
      <c r="C1076" s="20" t="s">
        <v>41</v>
      </c>
      <c r="D1076" s="21" t="str">
        <f>HYPERLINK("https://otsuka-europe-crm.veevavault.com/ui/#object/approved_document__v/V5O00000001H025", "LUP - VAE invitación simposio SEN-SER - Reuma")</f>
        <v>LUP - VAE invitación simposio SEN-SER - Reuma</v>
      </c>
      <c r="E1076" s="22" t="str">
        <f>HYPERLINK("https://otsuka-europe-crm.veevavault.com/ui/#object/sent_email__v/VBL00000002N371", "SE-001431352")</f>
        <v>SE-001431352</v>
      </c>
      <c r="F1076" s="25"/>
      <c r="G1076" s="24">
        <v>0</v>
      </c>
      <c r="H1076" s="24">
        <v>0</v>
      </c>
      <c r="I1076" s="24">
        <v>0</v>
      </c>
      <c r="J1076" s="25"/>
      <c r="K1076" s="24">
        <v>0</v>
      </c>
      <c r="L1076" s="22" t="str">
        <f>HYPERLINK("https://otsuka-europe-crm.veevavault.com/ui/#object/approved_document__v/V5O00000001H025", "LUP - VAE invitación simposio SEN-SER - Reuma")</f>
        <v>LUP - VAE invitación simposio SEN-SER - Reuma</v>
      </c>
      <c r="M1076" s="22" t="str">
        <f>HYPERLINK("mailto:vvalladares@crm.otsuka-europe.com", "vvalladares@crm.otsuka-europe.com")</f>
        <v>vvalladares@crm.otsuka-europe.com</v>
      </c>
      <c r="N1076" s="23">
        <v>46175.463865740741</v>
      </c>
      <c r="O1076" s="14" t="str">
        <f>HYPERLINK("https://otsuka-europe-crm.veevavault.com/ui/#object/email_activity__v/V8C00000003L478", "EN-002087066")</f>
        <v>EN-002087066</v>
      </c>
    </row>
    <row r="1077" spans="1:15" ht="16" x14ac:dyDescent="0.2">
      <c r="A1077" s="19"/>
      <c r="B1077" s="19"/>
      <c r="C1077" s="19"/>
      <c r="D1077" s="19"/>
      <c r="E1077" s="19"/>
      <c r="F1077" s="19"/>
      <c r="G1077" s="19"/>
      <c r="H1077" s="19"/>
      <c r="I1077" s="19"/>
      <c r="J1077" s="19"/>
      <c r="K1077" s="19"/>
      <c r="L1077" s="19"/>
      <c r="M1077" s="19"/>
      <c r="N1077" s="19"/>
      <c r="O1077" s="14" t="str">
        <f>HYPERLINK("https://otsuka-europe-crm.veevavault.com/ui/#object/email_activity__v/V8C00000003P081", "EN-002089387")</f>
        <v>EN-002089387</v>
      </c>
    </row>
    <row r="1078" spans="1:15" ht="16" x14ac:dyDescent="0.2">
      <c r="A1078" s="17" t="str">
        <f>HYPERLINK("https://otsuka-europe-crm.veevavault.com/ui/#object/account__v/V4TZ04ASG8VE2MD", "MANUEL DE HARO LIGER")</f>
        <v>MANUEL DE HARO LIGER</v>
      </c>
      <c r="B1078" s="17" t="str">
        <f>HYPERLINK("https://otsuka-europe-crm.veevavault.com/ui/#object/vcountry__v/VENZ000004SONF5", "ES")</f>
        <v>ES</v>
      </c>
      <c r="C1078" s="20" t="s">
        <v>41</v>
      </c>
      <c r="D1078" s="21" t="str">
        <f>HYPERLINK("https://otsuka-europe-crm.veevavault.com/ui/#object/approved_document__v/V5O00000001H025", "LUP - VAE invitación simposio SEN-SER - Reuma")</f>
        <v>LUP - VAE invitación simposio SEN-SER - Reuma</v>
      </c>
      <c r="E1078" s="22" t="str">
        <f>HYPERLINK("https://otsuka-europe-crm.veevavault.com/ui/#object/sent_email__v/VBL00000002N372", "SE-001431353")</f>
        <v>SE-001431353</v>
      </c>
      <c r="F1078" s="23">
        <v>46175.873518518521</v>
      </c>
      <c r="G1078" s="24">
        <v>1</v>
      </c>
      <c r="H1078" s="24">
        <v>5</v>
      </c>
      <c r="I1078" s="24">
        <v>0</v>
      </c>
      <c r="J1078" s="25"/>
      <c r="K1078" s="24">
        <v>0</v>
      </c>
      <c r="L1078" s="22" t="str">
        <f>HYPERLINK("https://otsuka-europe-crm.veevavault.com/ui/#object/approved_document__v/V5O00000001H025", "LUP - VAE invitación simposio SEN-SER - Reuma")</f>
        <v>LUP - VAE invitación simposio SEN-SER - Reuma</v>
      </c>
      <c r="M1078" s="22" t="str">
        <f>HYPERLINK("mailto:vvalladares@crm.otsuka-europe.com", "vvalladares@crm.otsuka-europe.com")</f>
        <v>vvalladares@crm.otsuka-europe.com</v>
      </c>
      <c r="N1078" s="23">
        <v>46175.463865740741</v>
      </c>
      <c r="O1078" s="14" t="str">
        <f>HYPERLINK("https://otsuka-europe-crm.veevavault.com/ui/#object/email_activity__v/V8C00000003L519", "EN-002087107")</f>
        <v>EN-002087107</v>
      </c>
    </row>
    <row r="1079" spans="1:15" ht="16" x14ac:dyDescent="0.2">
      <c r="A1079" s="18"/>
      <c r="B1079" s="18"/>
      <c r="C1079" s="18"/>
      <c r="D1079" s="18"/>
      <c r="E1079" s="18"/>
      <c r="F1079" s="18"/>
      <c r="G1079" s="18"/>
      <c r="H1079" s="18"/>
      <c r="I1079" s="18"/>
      <c r="J1079" s="18"/>
      <c r="K1079" s="18"/>
      <c r="L1079" s="18"/>
      <c r="M1079" s="18"/>
      <c r="N1079" s="18"/>
      <c r="O1079" s="14" t="str">
        <f>HYPERLINK("https://otsuka-europe-crm.veevavault.com/ui/#object/email_activity__v/V8C00000003M070", "EN-002087961")</f>
        <v>EN-002087961</v>
      </c>
    </row>
    <row r="1080" spans="1:15" ht="16" x14ac:dyDescent="0.2">
      <c r="A1080" s="18"/>
      <c r="B1080" s="18"/>
      <c r="C1080" s="18"/>
      <c r="D1080" s="18"/>
      <c r="E1080" s="18"/>
      <c r="F1080" s="18"/>
      <c r="G1080" s="18"/>
      <c r="H1080" s="18"/>
      <c r="I1080" s="18"/>
      <c r="J1080" s="18"/>
      <c r="K1080" s="18"/>
      <c r="L1080" s="18"/>
      <c r="M1080" s="18"/>
      <c r="N1080" s="18"/>
      <c r="O1080" s="14" t="str">
        <f>HYPERLINK("https://otsuka-europe-crm.veevavault.com/ui/#object/email_activity__v/V8C00000003M076", "EN-002087967")</f>
        <v>EN-002087967</v>
      </c>
    </row>
    <row r="1081" spans="1:15" ht="16" x14ac:dyDescent="0.2">
      <c r="A1081" s="18"/>
      <c r="B1081" s="18"/>
      <c r="C1081" s="18"/>
      <c r="D1081" s="18"/>
      <c r="E1081" s="18"/>
      <c r="F1081" s="18"/>
      <c r="G1081" s="18"/>
      <c r="H1081" s="18"/>
      <c r="I1081" s="18"/>
      <c r="J1081" s="18"/>
      <c r="K1081" s="18"/>
      <c r="L1081" s="18"/>
      <c r="M1081" s="18"/>
      <c r="N1081" s="18"/>
      <c r="O1081" s="14" t="str">
        <f>HYPERLINK("https://otsuka-europe-crm.veevavault.com/ui/#object/email_activity__v/V8C00000003M077", "EN-002087968")</f>
        <v>EN-002087968</v>
      </c>
    </row>
    <row r="1082" spans="1:15" ht="16" x14ac:dyDescent="0.2">
      <c r="A1082" s="18"/>
      <c r="B1082" s="18"/>
      <c r="C1082" s="18"/>
      <c r="D1082" s="18"/>
      <c r="E1082" s="18"/>
      <c r="F1082" s="18"/>
      <c r="G1082" s="18"/>
      <c r="H1082" s="18"/>
      <c r="I1082" s="18"/>
      <c r="J1082" s="18"/>
      <c r="K1082" s="18"/>
      <c r="L1082" s="18"/>
      <c r="M1082" s="18"/>
      <c r="N1082" s="18"/>
      <c r="O1082" s="14" t="str">
        <f>HYPERLINK("https://otsuka-europe-crm.veevavault.com/ui/#object/email_activity__v/V8C00000003M078", "EN-002087969")</f>
        <v>EN-002087969</v>
      </c>
    </row>
    <row r="1083" spans="1:15" ht="16" x14ac:dyDescent="0.2">
      <c r="A1083" s="19"/>
      <c r="B1083" s="19"/>
      <c r="C1083" s="19"/>
      <c r="D1083" s="19"/>
      <c r="E1083" s="19"/>
      <c r="F1083" s="19"/>
      <c r="G1083" s="19"/>
      <c r="H1083" s="19"/>
      <c r="I1083" s="19"/>
      <c r="J1083" s="19"/>
      <c r="K1083" s="19"/>
      <c r="L1083" s="19"/>
      <c r="M1083" s="19"/>
      <c r="N1083" s="19"/>
      <c r="O1083" s="14" t="str">
        <f>HYPERLINK("https://otsuka-europe-crm.veevavault.com/ui/#object/email_activity__v/V8C00000003M224", "EN-002088417")</f>
        <v>EN-002088417</v>
      </c>
    </row>
    <row r="1084" spans="1:15" ht="16" x14ac:dyDescent="0.2">
      <c r="A1084" s="17" t="str">
        <f>HYPERLINK("https://otsuka-europe-crm.veevavault.com/ui/#object/account__v/V4TZ06G6OBIL31R", "IRENE ALTABAS GONZALEZ")</f>
        <v>IRENE ALTABAS GONZALEZ</v>
      </c>
      <c r="B1084" s="17" t="str">
        <f>HYPERLINK("https://otsuka-europe-crm.veevavault.com/ui/#object/vcountry__v/VENZ000004SONF5", "ES")</f>
        <v>ES</v>
      </c>
      <c r="C1084" s="20" t="s">
        <v>41</v>
      </c>
      <c r="D1084" s="21" t="str">
        <f>HYPERLINK("https://otsuka-europe-crm.veevavault.com/ui/#object/approved_document__v/V5O00000001H025", "LUP - VAE invitación simposio SEN-SER - Reuma")</f>
        <v>LUP - VAE invitación simposio SEN-SER - Reuma</v>
      </c>
      <c r="E1084" s="22" t="str">
        <f>HYPERLINK("https://otsuka-europe-crm.veevavault.com/ui/#object/sent_email__v/VBL00000002N373", "SE-001431354")</f>
        <v>SE-001431354</v>
      </c>
      <c r="F1084" s="25"/>
      <c r="G1084" s="24">
        <v>0</v>
      </c>
      <c r="H1084" s="24">
        <v>0</v>
      </c>
      <c r="I1084" s="24">
        <v>0</v>
      </c>
      <c r="J1084" s="25"/>
      <c r="K1084" s="24">
        <v>0</v>
      </c>
      <c r="L1084" s="22" t="str">
        <f>HYPERLINK("https://otsuka-europe-crm.veevavault.com/ui/#object/approved_document__v/V5O00000001H025", "LUP - VAE invitación simposio SEN-SER - Reuma")</f>
        <v>LUP - VAE invitación simposio SEN-SER - Reuma</v>
      </c>
      <c r="M1084" s="22" t="str">
        <f>HYPERLINK("mailto:vvalladares@crm.otsuka-europe.com", "vvalladares@crm.otsuka-europe.com")</f>
        <v>vvalladares@crm.otsuka-europe.com</v>
      </c>
      <c r="N1084" s="23">
        <v>46175.463865740741</v>
      </c>
      <c r="O1084" s="14" t="str">
        <f>HYPERLINK("https://otsuka-europe-crm.veevavault.com/ui/#object/email_activity__v/V8C00000003L495", "EN-002087083")</f>
        <v>EN-002087083</v>
      </c>
    </row>
    <row r="1085" spans="1:15" ht="16" x14ac:dyDescent="0.2">
      <c r="A1085" s="19"/>
      <c r="B1085" s="19"/>
      <c r="C1085" s="19"/>
      <c r="D1085" s="19"/>
      <c r="E1085" s="19"/>
      <c r="F1085" s="19"/>
      <c r="G1085" s="19"/>
      <c r="H1085" s="19"/>
      <c r="I1085" s="19"/>
      <c r="J1085" s="19"/>
      <c r="K1085" s="19"/>
      <c r="L1085" s="19"/>
      <c r="M1085" s="19"/>
      <c r="N1085" s="19"/>
      <c r="O1085" s="14" t="str">
        <f>HYPERLINK("https://otsuka-europe-crm.veevavault.com/ui/#object/email_activity__v/V8C00000003M060", "EN-002087942")</f>
        <v>EN-002087942</v>
      </c>
    </row>
    <row r="1086" spans="1:15" ht="16" x14ac:dyDescent="0.2">
      <c r="A1086" s="17" t="str">
        <f>HYPERLINK("https://otsuka-europe-crm.veevavault.com/ui/#object/account__v/V4TZ04ASGALU4FT", "ALBA MARIA CABEZAS LUCENA")</f>
        <v>ALBA MARIA CABEZAS LUCENA</v>
      </c>
      <c r="B1086" s="17" t="str">
        <f>HYPERLINK("https://otsuka-europe-crm.veevavault.com/ui/#object/vcountry__v/VENZ000004SONF5", "ES")</f>
        <v>ES</v>
      </c>
      <c r="C1086" s="20" t="s">
        <v>41</v>
      </c>
      <c r="D1086" s="21" t="str">
        <f>HYPERLINK("https://otsuka-europe-crm.veevavault.com/ui/#object/approved_document__v/V5O00000001H025", "LUP - VAE invitación simposio SEN-SER - Reuma")</f>
        <v>LUP - VAE invitación simposio SEN-SER - Reuma</v>
      </c>
      <c r="E1086" s="22" t="str">
        <f>HYPERLINK("https://otsuka-europe-crm.veevavault.com/ui/#object/sent_email__v/VBL00000002N374", "SE-001431355")</f>
        <v>SE-001431355</v>
      </c>
      <c r="F1086" s="23">
        <v>46175.614560185182</v>
      </c>
      <c r="G1086" s="24">
        <v>1</v>
      </c>
      <c r="H1086" s="24">
        <v>1</v>
      </c>
      <c r="I1086" s="24">
        <v>0</v>
      </c>
      <c r="J1086" s="25"/>
      <c r="K1086" s="24">
        <v>0</v>
      </c>
      <c r="L1086" s="22" t="str">
        <f>HYPERLINK("https://otsuka-europe-crm.veevavault.com/ui/#object/approved_document__v/V5O00000001H025", "LUP - VAE invitación simposio SEN-SER - Reuma")</f>
        <v>LUP - VAE invitación simposio SEN-SER - Reuma</v>
      </c>
      <c r="M1086" s="22" t="str">
        <f>HYPERLINK("mailto:vvalladares@crm.otsuka-europe.com", "vvalladares@crm.otsuka-europe.com")</f>
        <v>vvalladares@crm.otsuka-europe.com</v>
      </c>
      <c r="N1086" s="23">
        <v>46175.463865740741</v>
      </c>
      <c r="O1086" s="14" t="str">
        <f>HYPERLINK("https://otsuka-europe-crm.veevavault.com/ui/#object/email_activity__v/V8C00000003L509", "EN-002087097")</f>
        <v>EN-002087097</v>
      </c>
    </row>
    <row r="1087" spans="1:15" ht="16" x14ac:dyDescent="0.2">
      <c r="A1087" s="19"/>
      <c r="B1087" s="19"/>
      <c r="C1087" s="19"/>
      <c r="D1087" s="19"/>
      <c r="E1087" s="19"/>
      <c r="F1087" s="19"/>
      <c r="G1087" s="19"/>
      <c r="H1087" s="19"/>
      <c r="I1087" s="19"/>
      <c r="J1087" s="19"/>
      <c r="K1087" s="19"/>
      <c r="L1087" s="19"/>
      <c r="M1087" s="19"/>
      <c r="N1087" s="19"/>
      <c r="O1087" s="14" t="str">
        <f>HYPERLINK("https://otsuka-europe-crm.veevavault.com/ui/#object/email_activity__v/V8C00000003L946", "EN-002087883")</f>
        <v>EN-002087883</v>
      </c>
    </row>
    <row r="1088" spans="1:15" ht="32" x14ac:dyDescent="0.2">
      <c r="A1088" s="7" t="str">
        <f>HYPERLINK("https://otsuka-europe-crm.veevavault.com/ui/#object/account__v/V4TZ04ASGBJKSQ2", "NURIA BARROSO GARCIA")</f>
        <v>NURIA BARROSO GARCIA</v>
      </c>
      <c r="B1088" s="7" t="str">
        <f>HYPERLINK("https://otsuka-europe-crm.veevavault.com/ui/#object/vcountry__v/VENZ000004SONF5", "ES")</f>
        <v>ES</v>
      </c>
      <c r="C1088" s="8" t="s">
        <v>41</v>
      </c>
      <c r="D1088" s="9" t="str">
        <f>HYPERLINK("https://otsuka-europe-crm.veevavault.com/ui/#object/approved_document__v/V5O00000001H025", "LUP - VAE invitación simposio SEN-SER - Reuma")</f>
        <v>LUP - VAE invitación simposio SEN-SER - Reuma</v>
      </c>
      <c r="E1088" s="10" t="str">
        <f>HYPERLINK("https://otsuka-europe-crm.veevavault.com/ui/#object/sent_email__v/VBL00000002N375", "SE-001431356")</f>
        <v>SE-001431356</v>
      </c>
      <c r="F1088" s="11"/>
      <c r="G1088" s="12">
        <v>0</v>
      </c>
      <c r="H1088" s="12">
        <v>0</v>
      </c>
      <c r="I1088" s="12">
        <v>0</v>
      </c>
      <c r="J1088" s="11"/>
      <c r="K1088" s="12">
        <v>0</v>
      </c>
      <c r="L1088" s="10" t="str">
        <f>HYPERLINK("https://otsuka-europe-crm.veevavault.com/ui/#object/approved_document__v/V5O00000001H025", "LUP - VAE invitación simposio SEN-SER - Reuma")</f>
        <v>LUP - VAE invitación simposio SEN-SER - Reuma</v>
      </c>
      <c r="M1088" s="10" t="str">
        <f>HYPERLINK("mailto:vvalladares@crm.otsuka-europe.com", "vvalladares@crm.otsuka-europe.com")</f>
        <v>vvalladares@crm.otsuka-europe.com</v>
      </c>
      <c r="N1088" s="13">
        <v>46175.463877314818</v>
      </c>
      <c r="O1088" s="14" t="str">
        <f>HYPERLINK("https://otsuka-europe-crm.veevavault.com/ui/#object/email_activity__v/V8C00000003L411", "EN-002086999")</f>
        <v>EN-002086999</v>
      </c>
    </row>
    <row r="1089" spans="1:15" ht="32" x14ac:dyDescent="0.2">
      <c r="A1089" s="7" t="str">
        <f>HYPERLINK("https://otsuka-europe-crm.veevavault.com/ui/#object/account__v/V4TZ04ASG9AXIA8", "PAOLA COROMOTO LEON SUAREZ")</f>
        <v>PAOLA COROMOTO LEON SUAREZ</v>
      </c>
      <c r="B1089" s="7" t="str">
        <f>HYPERLINK("https://otsuka-europe-crm.veevavault.com/ui/#object/vcountry__v/VENZ000004SONF5", "ES")</f>
        <v>ES</v>
      </c>
      <c r="C1089" s="8" t="s">
        <v>41</v>
      </c>
      <c r="D1089" s="9" t="str">
        <f>HYPERLINK("https://otsuka-europe-crm.veevavault.com/ui/#object/approved_document__v/V5O00000001H025", "LUP - VAE invitación simposio SEN-SER - Reuma")</f>
        <v>LUP - VAE invitación simposio SEN-SER - Reuma</v>
      </c>
      <c r="E1089" s="10" t="str">
        <f>HYPERLINK("https://otsuka-europe-crm.veevavault.com/ui/#object/sent_email__v/VBL00000002N376", "SE-001431357")</f>
        <v>SE-001431357</v>
      </c>
      <c r="F1089" s="11"/>
      <c r="G1089" s="12">
        <v>0</v>
      </c>
      <c r="H1089" s="12">
        <v>0</v>
      </c>
      <c r="I1089" s="12">
        <v>0</v>
      </c>
      <c r="J1089" s="11"/>
      <c r="K1089" s="12">
        <v>0</v>
      </c>
      <c r="L1089" s="10" t="str">
        <f>HYPERLINK("https://otsuka-europe-crm.veevavault.com/ui/#object/approved_document__v/V5O00000001H025", "LUP - VAE invitación simposio SEN-SER - Reuma")</f>
        <v>LUP - VAE invitación simposio SEN-SER - Reuma</v>
      </c>
      <c r="M1089" s="10" t="str">
        <f>HYPERLINK("mailto:vvalladares@crm.otsuka-europe.com", "vvalladares@crm.otsuka-europe.com")</f>
        <v>vvalladares@crm.otsuka-europe.com</v>
      </c>
      <c r="N1089" s="13">
        <v>46175.463877314818</v>
      </c>
      <c r="O1089" s="14" t="str">
        <f>HYPERLINK("https://otsuka-europe-crm.veevavault.com/ui/#object/email_activity__v/V8C00000003L438", "EN-002087026")</f>
        <v>EN-002087026</v>
      </c>
    </row>
    <row r="1090" spans="1:15" ht="32" x14ac:dyDescent="0.2">
      <c r="A1090" s="7" t="str">
        <f>HYPERLINK("https://otsuka-europe-crm.veevavault.com/ui/#object/account__v/V4TZ04ASG92430O", "ELISA TRUJILLO MARTIN")</f>
        <v>ELISA TRUJILLO MARTIN</v>
      </c>
      <c r="B1090" s="7" t="str">
        <f>HYPERLINK("https://otsuka-europe-crm.veevavault.com/ui/#object/vcountry__v/VENZ000004SONF5", "ES")</f>
        <v>ES</v>
      </c>
      <c r="C1090" s="8" t="s">
        <v>41</v>
      </c>
      <c r="D1090" s="9" t="str">
        <f>HYPERLINK("https://otsuka-europe-crm.veevavault.com/ui/#object/approved_document__v/V5O00000001H025", "LUP - VAE invitación simposio SEN-SER - Reuma")</f>
        <v>LUP - VAE invitación simposio SEN-SER - Reuma</v>
      </c>
      <c r="E1090" s="10" t="str">
        <f>HYPERLINK("https://otsuka-europe-crm.veevavault.com/ui/#object/sent_email__v/VBL00000002N377", "SE-001431358")</f>
        <v>SE-001431358</v>
      </c>
      <c r="F1090" s="11"/>
      <c r="G1090" s="12">
        <v>0</v>
      </c>
      <c r="H1090" s="12">
        <v>0</v>
      </c>
      <c r="I1090" s="12">
        <v>0</v>
      </c>
      <c r="J1090" s="11"/>
      <c r="K1090" s="12">
        <v>0</v>
      </c>
      <c r="L1090" s="10" t="str">
        <f>HYPERLINK("https://otsuka-europe-crm.veevavault.com/ui/#object/approved_document__v/V5O00000001H025", "LUP - VAE invitación simposio SEN-SER - Reuma")</f>
        <v>LUP - VAE invitación simposio SEN-SER - Reuma</v>
      </c>
      <c r="M1090" s="10" t="str">
        <f>HYPERLINK("mailto:vvalladares@crm.otsuka-europe.com", "vvalladares@crm.otsuka-europe.com")</f>
        <v>vvalladares@crm.otsuka-europe.com</v>
      </c>
      <c r="N1090" s="13">
        <v>46175.463865740741</v>
      </c>
      <c r="O1090" s="14" t="str">
        <f>HYPERLINK("https://otsuka-europe-crm.veevavault.com/ui/#object/email_activity__v/V8C00000003L392", "EN-002086980")</f>
        <v>EN-002086980</v>
      </c>
    </row>
    <row r="1091" spans="1:15" ht="32" x14ac:dyDescent="0.2">
      <c r="A1091" s="7" t="str">
        <f>HYPERLINK("https://otsuka-europe-crm.veevavault.com/ui/#object/account__v/V4TZ04ASG9REL42", "SARA MANRIQUE ARIJA")</f>
        <v>SARA MANRIQUE ARIJA</v>
      </c>
      <c r="B1091" s="7" t="str">
        <f>HYPERLINK("https://otsuka-europe-crm.veevavault.com/ui/#object/vcountry__v/VENZ000004SONF5", "ES")</f>
        <v>ES</v>
      </c>
      <c r="C1091" s="8" t="s">
        <v>41</v>
      </c>
      <c r="D1091" s="9" t="str">
        <f>HYPERLINK("https://otsuka-europe-crm.veevavault.com/ui/#object/approved_document__v/V5O00000001H025", "LUP - VAE invitación simposio SEN-SER - Reuma")</f>
        <v>LUP - VAE invitación simposio SEN-SER - Reuma</v>
      </c>
      <c r="E1091" s="10" t="str">
        <f>HYPERLINK("https://otsuka-europe-crm.veevavault.com/ui/#object/sent_email__v/VBL00000002N378", "SE-001431359")</f>
        <v>SE-001431359</v>
      </c>
      <c r="F1091" s="11"/>
      <c r="G1091" s="12">
        <v>0</v>
      </c>
      <c r="H1091" s="12">
        <v>0</v>
      </c>
      <c r="I1091" s="12">
        <v>0</v>
      </c>
      <c r="J1091" s="11"/>
      <c r="K1091" s="12">
        <v>0</v>
      </c>
      <c r="L1091" s="10" t="str">
        <f>HYPERLINK("https://otsuka-europe-crm.veevavault.com/ui/#object/approved_document__v/V5O00000001H025", "LUP - VAE invitación simposio SEN-SER - Reuma")</f>
        <v>LUP - VAE invitación simposio SEN-SER - Reuma</v>
      </c>
      <c r="M1091" s="10" t="str">
        <f>HYPERLINK("mailto:vvalladares@crm.otsuka-europe.com", "vvalladares@crm.otsuka-europe.com")</f>
        <v>vvalladares@crm.otsuka-europe.com</v>
      </c>
      <c r="N1091" s="13">
        <v>46175.463877314818</v>
      </c>
      <c r="O1091" s="14" t="str">
        <f>HYPERLINK("https://otsuka-europe-crm.veevavault.com/ui/#object/email_activity__v/V8C00000003L437", "EN-002087025")</f>
        <v>EN-002087025</v>
      </c>
    </row>
    <row r="1092" spans="1:15" ht="16" x14ac:dyDescent="0.2">
      <c r="A1092" s="17" t="str">
        <f>HYPERLINK("https://otsuka-europe-crm.veevavault.com/ui/#object/account__v/V4TZ025E84KHE6H", "SALMA AL FAZAZI")</f>
        <v>SALMA AL FAZAZI</v>
      </c>
      <c r="B1092" s="17" t="str">
        <f>HYPERLINK("https://otsuka-europe-crm.veevavault.com/ui/#object/vcountry__v/VENZ000004SONF5", "ES")</f>
        <v>ES</v>
      </c>
      <c r="C1092" s="20" t="s">
        <v>41</v>
      </c>
      <c r="D1092" s="21" t="str">
        <f>HYPERLINK("https://otsuka-europe-crm.veevavault.com/ui/#object/approved_document__v/V5O00000001H025", "LUP - VAE invitación simposio SEN-SER - Reuma")</f>
        <v>LUP - VAE invitación simposio SEN-SER - Reuma</v>
      </c>
      <c r="E1092" s="22" t="str">
        <f>HYPERLINK("https://otsuka-europe-crm.veevavault.com/ui/#object/sent_email__v/VBL00000002N379", "SE-001431360")</f>
        <v>SE-001431360</v>
      </c>
      <c r="F1092" s="23">
        <v>46175.464988425927</v>
      </c>
      <c r="G1092" s="24">
        <v>1</v>
      </c>
      <c r="H1092" s="24">
        <v>1</v>
      </c>
      <c r="I1092" s="24">
        <v>0</v>
      </c>
      <c r="J1092" s="25"/>
      <c r="K1092" s="24">
        <v>0</v>
      </c>
      <c r="L1092" s="22" t="str">
        <f>HYPERLINK("https://otsuka-europe-crm.veevavault.com/ui/#object/approved_document__v/V5O00000001H025", "LUP - VAE invitación simposio SEN-SER - Reuma")</f>
        <v>LUP - VAE invitación simposio SEN-SER - Reuma</v>
      </c>
      <c r="M1092" s="22" t="str">
        <f>HYPERLINK("mailto:vvalladares@crm.otsuka-europe.com", "vvalladares@crm.otsuka-europe.com")</f>
        <v>vvalladares@crm.otsuka-europe.com</v>
      </c>
      <c r="N1092" s="23">
        <v>46175.463888888888</v>
      </c>
      <c r="O1092" s="14" t="str">
        <f>HYPERLINK("https://otsuka-europe-crm.veevavault.com/ui/#object/email_activity__v/V8C00000003L440", "EN-002087028")</f>
        <v>EN-002087028</v>
      </c>
    </row>
    <row r="1093" spans="1:15" ht="16" x14ac:dyDescent="0.2">
      <c r="A1093" s="19"/>
      <c r="B1093" s="19"/>
      <c r="C1093" s="19"/>
      <c r="D1093" s="19"/>
      <c r="E1093" s="19"/>
      <c r="F1093" s="19"/>
      <c r="G1093" s="19"/>
      <c r="H1093" s="19"/>
      <c r="I1093" s="19"/>
      <c r="J1093" s="19"/>
      <c r="K1093" s="19"/>
      <c r="L1093" s="19"/>
      <c r="M1093" s="19"/>
      <c r="N1093" s="19"/>
      <c r="O1093" s="14" t="str">
        <f>HYPERLINK("https://otsuka-europe-crm.veevavault.com/ui/#object/email_activity__v/V8C00000003L535", "EN-002087123")</f>
        <v>EN-002087123</v>
      </c>
    </row>
    <row r="1094" spans="1:15" ht="32" x14ac:dyDescent="0.2">
      <c r="A1094" s="7" t="str">
        <f>HYPERLINK("https://otsuka-europe-crm.veevavault.com/ui/#object/account__v/V4TZ04ASG9REL8S", "NATALIA MENA VAZQUEZ")</f>
        <v>NATALIA MENA VAZQUEZ</v>
      </c>
      <c r="B1094" s="7" t="str">
        <f>HYPERLINK("https://otsuka-europe-crm.veevavault.com/ui/#object/vcountry__v/VENZ000004SONF5", "ES")</f>
        <v>ES</v>
      </c>
      <c r="C1094" s="8" t="s">
        <v>41</v>
      </c>
      <c r="D1094" s="9" t="str">
        <f>HYPERLINK("https://otsuka-europe-crm.veevavault.com/ui/#object/approved_document__v/V5O00000001H025", "LUP - VAE invitación simposio SEN-SER - Reuma")</f>
        <v>LUP - VAE invitación simposio SEN-SER - Reuma</v>
      </c>
      <c r="E1094" s="10" t="str">
        <f>HYPERLINK("https://otsuka-europe-crm.veevavault.com/ui/#object/sent_email__v/VBL00000002N380", "SE-001431361")</f>
        <v>SE-001431361</v>
      </c>
      <c r="F1094" s="11"/>
      <c r="G1094" s="12">
        <v>0</v>
      </c>
      <c r="H1094" s="12">
        <v>0</v>
      </c>
      <c r="I1094" s="12">
        <v>0</v>
      </c>
      <c r="J1094" s="11"/>
      <c r="K1094" s="12">
        <v>0</v>
      </c>
      <c r="L1094" s="10" t="str">
        <f>HYPERLINK("https://otsuka-europe-crm.veevavault.com/ui/#object/approved_document__v/V5O00000001H025", "LUP - VAE invitación simposio SEN-SER - Reuma")</f>
        <v>LUP - VAE invitación simposio SEN-SER - Reuma</v>
      </c>
      <c r="M1094" s="10" t="str">
        <f>HYPERLINK("mailto:vvalladares@crm.otsuka-europe.com", "vvalladares@crm.otsuka-europe.com")</f>
        <v>vvalladares@crm.otsuka-europe.com</v>
      </c>
      <c r="N1094" s="13">
        <v>46175.463888888888</v>
      </c>
      <c r="O1094" s="14" t="str">
        <f>HYPERLINK("https://otsuka-europe-crm.veevavault.com/ui/#object/email_activity__v/V8C00000003L416", "EN-002087004")</f>
        <v>EN-002087004</v>
      </c>
    </row>
    <row r="1095" spans="1:15" ht="32" x14ac:dyDescent="0.2">
      <c r="A1095" s="7" t="str">
        <f>HYPERLINK("https://otsuka-europe-crm.veevavault.com/ui/#object/account__v/V4TZ04ASGBC4F3S", "JUAN SALVATIERRA OSSORIO")</f>
        <v>JUAN SALVATIERRA OSSORIO</v>
      </c>
      <c r="B1095" s="7" t="str">
        <f>HYPERLINK("https://otsuka-europe-crm.veevavault.com/ui/#object/vcountry__v/VENZ000004SONF5", "ES")</f>
        <v>ES</v>
      </c>
      <c r="C1095" s="8" t="s">
        <v>41</v>
      </c>
      <c r="D1095" s="9" t="str">
        <f>HYPERLINK("https://otsuka-europe-crm.veevavault.com/ui/#object/approved_document__v/V5O00000001H025", "LUP - VAE invitación simposio SEN-SER - Reuma")</f>
        <v>LUP - VAE invitación simposio SEN-SER - Reuma</v>
      </c>
      <c r="E1095" s="10" t="str">
        <f>HYPERLINK("https://otsuka-europe-crm.veevavault.com/ui/#object/sent_email__v/VBL00000002N381", "SE-001431362")</f>
        <v>SE-001431362</v>
      </c>
      <c r="F1095" s="11"/>
      <c r="G1095" s="12">
        <v>0</v>
      </c>
      <c r="H1095" s="12">
        <v>0</v>
      </c>
      <c r="I1095" s="12">
        <v>0</v>
      </c>
      <c r="J1095" s="11"/>
      <c r="K1095" s="12">
        <v>0</v>
      </c>
      <c r="L1095" s="10" t="str">
        <f>HYPERLINK("https://otsuka-europe-crm.veevavault.com/ui/#object/approved_document__v/V5O00000001H025", "LUP - VAE invitación simposio SEN-SER - Reuma")</f>
        <v>LUP - VAE invitación simposio SEN-SER - Reuma</v>
      </c>
      <c r="M1095" s="10" t="str">
        <f>HYPERLINK("mailto:vvalladares@crm.otsuka-europe.com", "vvalladares@crm.otsuka-europe.com")</f>
        <v>vvalladares@crm.otsuka-europe.com</v>
      </c>
      <c r="N1095" s="13">
        <v>46175.463877314818</v>
      </c>
      <c r="O1095" s="14" t="str">
        <f>HYPERLINK("https://otsuka-europe-crm.veevavault.com/ui/#object/email_activity__v/V8C00000003L406", "EN-002086994")</f>
        <v>EN-002086994</v>
      </c>
    </row>
    <row r="1096" spans="1:15" ht="16" x14ac:dyDescent="0.2">
      <c r="A1096" s="17" t="str">
        <f>HYPERLINK("https://otsuka-europe-crm.veevavault.com/ui/#object/account__v/V4TZ04ASGABWAM3", "LORENA PEREZ ALBALADEJO")</f>
        <v>LORENA PEREZ ALBALADEJO</v>
      </c>
      <c r="B1096" s="17" t="str">
        <f>HYPERLINK("https://otsuka-europe-crm.veevavault.com/ui/#object/vcountry__v/VENZ000004SONF5", "ES")</f>
        <v>ES</v>
      </c>
      <c r="C1096" s="20" t="s">
        <v>41</v>
      </c>
      <c r="D1096" s="21" t="str">
        <f>HYPERLINK("https://otsuka-europe-crm.veevavault.com/ui/#object/approved_document__v/V5O00000001H025", "LUP - VAE invitación simposio SEN-SER - Reuma")</f>
        <v>LUP - VAE invitación simposio SEN-SER - Reuma</v>
      </c>
      <c r="E1096" s="22" t="str">
        <f>HYPERLINK("https://otsuka-europe-crm.veevavault.com/ui/#object/sent_email__v/VBL00000002N382", "SE-001431363")</f>
        <v>SE-001431363</v>
      </c>
      <c r="F1096" s="25"/>
      <c r="G1096" s="24">
        <v>0</v>
      </c>
      <c r="H1096" s="24">
        <v>0</v>
      </c>
      <c r="I1096" s="24">
        <v>0</v>
      </c>
      <c r="J1096" s="25"/>
      <c r="K1096" s="24">
        <v>0</v>
      </c>
      <c r="L1096" s="22" t="str">
        <f>HYPERLINK("https://otsuka-europe-crm.veevavault.com/ui/#object/approved_document__v/V5O00000001H025", "LUP - VAE invitación simposio SEN-SER - Reuma")</f>
        <v>LUP - VAE invitación simposio SEN-SER - Reuma</v>
      </c>
      <c r="M1096" s="22" t="str">
        <f>HYPERLINK("mailto:vvalladares@crm.otsuka-europe.com", "vvalladares@crm.otsuka-europe.com")</f>
        <v>vvalladares@crm.otsuka-europe.com</v>
      </c>
      <c r="N1096" s="23">
        <v>46175.463865740741</v>
      </c>
      <c r="O1096" s="14" t="str">
        <f>HYPERLINK("https://otsuka-europe-crm.veevavault.com/ui/#object/email_activity__v/V8C00000003L487", "EN-002087075")</f>
        <v>EN-002087075</v>
      </c>
    </row>
    <row r="1097" spans="1:15" ht="16" x14ac:dyDescent="0.2">
      <c r="A1097" s="19"/>
      <c r="B1097" s="19"/>
      <c r="C1097" s="19"/>
      <c r="D1097" s="19"/>
      <c r="E1097" s="19"/>
      <c r="F1097" s="19"/>
      <c r="G1097" s="19"/>
      <c r="H1097" s="19"/>
      <c r="I1097" s="19"/>
      <c r="J1097" s="19"/>
      <c r="K1097" s="19"/>
      <c r="L1097" s="19"/>
      <c r="M1097" s="19"/>
      <c r="N1097" s="19"/>
      <c r="O1097" s="14" t="str">
        <f>HYPERLINK("https://otsuka-europe-crm.veevavault.com/ui/#object/email_activity__v/V8C00000003N033", "EN-002088074")</f>
        <v>EN-002088074</v>
      </c>
    </row>
    <row r="1098" spans="1:15" ht="16" x14ac:dyDescent="0.2">
      <c r="A1098" s="17" t="str">
        <f>HYPERLINK("https://otsuka-europe-crm.veevavault.com/ui/#object/account__v/V4TZ04ASG9ZQEUS", "MARITZA FLORES CORTES")</f>
        <v>MARITZA FLORES CORTES</v>
      </c>
      <c r="B1098" s="17" t="str">
        <f>HYPERLINK("https://otsuka-europe-crm.veevavault.com/ui/#object/vcountry__v/VENZ000004SONF5", "ES")</f>
        <v>ES</v>
      </c>
      <c r="C1098" s="20" t="s">
        <v>41</v>
      </c>
      <c r="D1098" s="21" t="str">
        <f>HYPERLINK("https://otsuka-europe-crm.veevavault.com/ui/#object/approved_document__v/V5O00000001H025", "LUP - VAE invitación simposio SEN-SER - Reuma")</f>
        <v>LUP - VAE invitación simposio SEN-SER - Reuma</v>
      </c>
      <c r="E1098" s="22" t="str">
        <f>HYPERLINK("https://otsuka-europe-crm.veevavault.com/ui/#object/sent_email__v/VBL00000002N383", "SE-001431364")</f>
        <v>SE-001431364</v>
      </c>
      <c r="F1098" s="23">
        <v>46187.906597222223</v>
      </c>
      <c r="G1098" s="24">
        <v>1</v>
      </c>
      <c r="H1098" s="24">
        <v>7</v>
      </c>
      <c r="I1098" s="24">
        <v>0</v>
      </c>
      <c r="J1098" s="25"/>
      <c r="K1098" s="24">
        <v>0</v>
      </c>
      <c r="L1098" s="22" t="str">
        <f>HYPERLINK("https://otsuka-europe-crm.veevavault.com/ui/#object/approved_document__v/V5O00000001H025", "LUP - VAE invitación simposio SEN-SER - Reuma")</f>
        <v>LUP - VAE invitación simposio SEN-SER - Reuma</v>
      </c>
      <c r="M1098" s="22" t="str">
        <f>HYPERLINK("mailto:vvalladares@crm.otsuka-europe.com", "vvalladares@crm.otsuka-europe.com")</f>
        <v>vvalladares@crm.otsuka-europe.com</v>
      </c>
      <c r="N1098" s="23">
        <v>46175.463877314818</v>
      </c>
      <c r="O1098" s="14" t="str">
        <f>HYPERLINK("https://otsuka-europe-crm.veevavault.com/ui/#object/email_activity__v/V8C00000003L413", "EN-002087001")</f>
        <v>EN-002087001</v>
      </c>
    </row>
    <row r="1099" spans="1:15" ht="16" x14ac:dyDescent="0.2">
      <c r="A1099" s="18"/>
      <c r="B1099" s="18"/>
      <c r="C1099" s="18"/>
      <c r="D1099" s="18"/>
      <c r="E1099" s="18"/>
      <c r="F1099" s="18"/>
      <c r="G1099" s="18"/>
      <c r="H1099" s="18"/>
      <c r="I1099" s="18"/>
      <c r="J1099" s="18"/>
      <c r="K1099" s="18"/>
      <c r="L1099" s="18"/>
      <c r="M1099" s="18"/>
      <c r="N1099" s="18"/>
      <c r="O1099" s="14" t="str">
        <f>HYPERLINK("https://otsuka-europe-crm.veevavault.com/ui/#object/email_activity__v/V8C00000003L534", "EN-002087122")</f>
        <v>EN-002087122</v>
      </c>
    </row>
    <row r="1100" spans="1:15" ht="16" x14ac:dyDescent="0.2">
      <c r="A1100" s="18"/>
      <c r="B1100" s="18"/>
      <c r="C1100" s="18"/>
      <c r="D1100" s="18"/>
      <c r="E1100" s="18"/>
      <c r="F1100" s="18"/>
      <c r="G1100" s="18"/>
      <c r="H1100" s="18"/>
      <c r="I1100" s="18"/>
      <c r="J1100" s="18"/>
      <c r="K1100" s="18"/>
      <c r="L1100" s="18"/>
      <c r="M1100" s="18"/>
      <c r="N1100" s="18"/>
      <c r="O1100" s="14" t="str">
        <f>HYPERLINK("https://otsuka-europe-crm.veevavault.com/ui/#object/email_activity__v/V8C00000003M017", "EN-002087867")</f>
        <v>EN-002087867</v>
      </c>
    </row>
    <row r="1101" spans="1:15" ht="16" x14ac:dyDescent="0.2">
      <c r="A1101" s="18"/>
      <c r="B1101" s="18"/>
      <c r="C1101" s="18"/>
      <c r="D1101" s="18"/>
      <c r="E1101" s="18"/>
      <c r="F1101" s="18"/>
      <c r="G1101" s="18"/>
      <c r="H1101" s="18"/>
      <c r="I1101" s="18"/>
      <c r="J1101" s="18"/>
      <c r="K1101" s="18"/>
      <c r="L1101" s="18"/>
      <c r="M1101" s="18"/>
      <c r="N1101" s="18"/>
      <c r="O1101" s="14" t="str">
        <f>HYPERLINK("https://otsuka-europe-crm.veevavault.com/ui/#object/email_activity__v/V8C00000003O132", "EN-002089511")</f>
        <v>EN-002089511</v>
      </c>
    </row>
    <row r="1102" spans="1:15" ht="16" x14ac:dyDescent="0.2">
      <c r="A1102" s="18"/>
      <c r="B1102" s="18"/>
      <c r="C1102" s="18"/>
      <c r="D1102" s="18"/>
      <c r="E1102" s="18"/>
      <c r="F1102" s="18"/>
      <c r="G1102" s="18"/>
      <c r="H1102" s="18"/>
      <c r="I1102" s="18"/>
      <c r="J1102" s="18"/>
      <c r="K1102" s="18"/>
      <c r="L1102" s="18"/>
      <c r="M1102" s="18"/>
      <c r="N1102" s="18"/>
      <c r="O1102" s="14" t="str">
        <f>HYPERLINK("https://otsuka-europe-crm.veevavault.com/ui/#object/email_activity__v/V8C00000003O133", "EN-002089512")</f>
        <v>EN-002089512</v>
      </c>
    </row>
    <row r="1103" spans="1:15" ht="16" x14ac:dyDescent="0.2">
      <c r="A1103" s="18"/>
      <c r="B1103" s="18"/>
      <c r="C1103" s="18"/>
      <c r="D1103" s="18"/>
      <c r="E1103" s="18"/>
      <c r="F1103" s="18"/>
      <c r="G1103" s="18"/>
      <c r="H1103" s="18"/>
      <c r="I1103" s="18"/>
      <c r="J1103" s="18"/>
      <c r="K1103" s="18"/>
      <c r="L1103" s="18"/>
      <c r="M1103" s="18"/>
      <c r="N1103" s="18"/>
      <c r="O1103" s="14" t="str">
        <f>HYPERLINK("https://otsuka-europe-crm.veevavault.com/ui/#object/email_activity__v/V8C00000003U162", "EN-002095187")</f>
        <v>EN-002095187</v>
      </c>
    </row>
    <row r="1104" spans="1:15" ht="16" x14ac:dyDescent="0.2">
      <c r="A1104" s="18"/>
      <c r="B1104" s="18"/>
      <c r="C1104" s="18"/>
      <c r="D1104" s="18"/>
      <c r="E1104" s="18"/>
      <c r="F1104" s="18"/>
      <c r="G1104" s="18"/>
      <c r="H1104" s="18"/>
      <c r="I1104" s="18"/>
      <c r="J1104" s="18"/>
      <c r="K1104" s="18"/>
      <c r="L1104" s="18"/>
      <c r="M1104" s="18"/>
      <c r="N1104" s="18"/>
      <c r="O1104" s="14" t="str">
        <f>HYPERLINK("https://otsuka-europe-crm.veevavault.com/ui/#object/email_activity__v/V8C00000003U436", "EN-002095725")</f>
        <v>EN-002095725</v>
      </c>
    </row>
    <row r="1105" spans="1:15" ht="16" x14ac:dyDescent="0.2">
      <c r="A1105" s="19"/>
      <c r="B1105" s="19"/>
      <c r="C1105" s="19"/>
      <c r="D1105" s="19"/>
      <c r="E1105" s="19"/>
      <c r="F1105" s="19"/>
      <c r="G1105" s="19"/>
      <c r="H1105" s="19"/>
      <c r="I1105" s="19"/>
      <c r="J1105" s="19"/>
      <c r="K1105" s="19"/>
      <c r="L1105" s="19"/>
      <c r="M1105" s="19"/>
      <c r="N1105" s="19"/>
      <c r="O1105" s="14" t="str">
        <f>HYPERLINK("https://otsuka-europe-crm.veevavault.com/ui/#object/email_activity__v/V8C00000003U442", "EN-002095733")</f>
        <v>EN-002095733</v>
      </c>
    </row>
    <row r="1106" spans="1:15" ht="32" x14ac:dyDescent="0.2">
      <c r="A1106" s="7" t="str">
        <f>HYPERLINK("https://otsuka-europe-crm.veevavault.com/ui/#object/account__v/V4TZ04ASG9BFDA3", "ANTONIO JENARO AZNAR ESQUIVEL")</f>
        <v>ANTONIO JENARO AZNAR ESQUIVEL</v>
      </c>
      <c r="B1106" s="7" t="str">
        <f>HYPERLINK("https://otsuka-europe-crm.veevavault.com/ui/#object/vcountry__v/VENZ000004SONF5", "ES")</f>
        <v>ES</v>
      </c>
      <c r="C1106" s="8" t="s">
        <v>41</v>
      </c>
      <c r="D1106" s="9" t="str">
        <f>HYPERLINK("https://otsuka-europe-crm.veevavault.com/ui/#object/approved_document__v/V5O00000001H025", "LUP - VAE invitación simposio SEN-SER - Reuma")</f>
        <v>LUP - VAE invitación simposio SEN-SER - Reuma</v>
      </c>
      <c r="E1106" s="10" t="str">
        <f>HYPERLINK("https://otsuka-europe-crm.veevavault.com/ui/#object/sent_email__v/VBL00000002N384", "SE-001431365")</f>
        <v>SE-001431365</v>
      </c>
      <c r="F1106" s="11"/>
      <c r="G1106" s="12">
        <v>0</v>
      </c>
      <c r="H1106" s="12">
        <v>0</v>
      </c>
      <c r="I1106" s="12">
        <v>0</v>
      </c>
      <c r="J1106" s="11"/>
      <c r="K1106" s="12">
        <v>0</v>
      </c>
      <c r="L1106" s="10" t="str">
        <f>HYPERLINK("https://otsuka-europe-crm.veevavault.com/ui/#object/approved_document__v/V5O00000001H025", "LUP - VAE invitación simposio SEN-SER - Reuma")</f>
        <v>LUP - VAE invitación simposio SEN-SER - Reuma</v>
      </c>
      <c r="M1106" s="10" t="str">
        <f>HYPERLINK("mailto:vvalladares@crm.otsuka-europe.com", "vvalladares@crm.otsuka-europe.com")</f>
        <v>vvalladares@crm.otsuka-europe.com</v>
      </c>
      <c r="N1106" s="13">
        <v>46175.463865740741</v>
      </c>
      <c r="O1106" s="14" t="str">
        <f>HYPERLINK("https://otsuka-europe-crm.veevavault.com/ui/#object/email_activity__v/V8C00000003L518", "EN-002087106")</f>
        <v>EN-002087106</v>
      </c>
    </row>
    <row r="1107" spans="1:15" ht="32" x14ac:dyDescent="0.2">
      <c r="A1107" s="7" t="str">
        <f>HYPERLINK("https://otsuka-europe-crm.veevavault.com/ui/#object/account__v/V4TZ04ASG9RELLS", "MARIA VICTORIA IRIGOYEN OYARZABAL")</f>
        <v>MARIA VICTORIA IRIGOYEN OYARZABAL</v>
      </c>
      <c r="B1107" s="7" t="str">
        <f>HYPERLINK("https://otsuka-europe-crm.veevavault.com/ui/#object/vcountry__v/VENZ000004SONF5", "ES")</f>
        <v>ES</v>
      </c>
      <c r="C1107" s="8" t="s">
        <v>41</v>
      </c>
      <c r="D1107" s="9" t="str">
        <f>HYPERLINK("https://otsuka-europe-crm.veevavault.com/ui/#object/approved_document__v/V5O00000001H025", "LUP - VAE invitación simposio SEN-SER - Reuma")</f>
        <v>LUP - VAE invitación simposio SEN-SER - Reuma</v>
      </c>
      <c r="E1107" s="10" t="str">
        <f>HYPERLINK("https://otsuka-europe-crm.veevavault.com/ui/#object/sent_email__v/VBL00000002N385", "SE-001431366")</f>
        <v>SE-001431366</v>
      </c>
      <c r="F1107" s="11"/>
      <c r="G1107" s="12">
        <v>0</v>
      </c>
      <c r="H1107" s="12">
        <v>0</v>
      </c>
      <c r="I1107" s="12">
        <v>0</v>
      </c>
      <c r="J1107" s="11"/>
      <c r="K1107" s="12">
        <v>0</v>
      </c>
      <c r="L1107" s="10" t="str">
        <f>HYPERLINK("https://otsuka-europe-crm.veevavault.com/ui/#object/approved_document__v/V5O00000001H025", "LUP - VAE invitación simposio SEN-SER - Reuma")</f>
        <v>LUP - VAE invitación simposio SEN-SER - Reuma</v>
      </c>
      <c r="M1107" s="10" t="str">
        <f>HYPERLINK("mailto:vvalladares@crm.otsuka-europe.com", "vvalladares@crm.otsuka-europe.com")</f>
        <v>vvalladares@crm.otsuka-europe.com</v>
      </c>
      <c r="N1107" s="13">
        <v>46175.463842592595</v>
      </c>
      <c r="O1107" s="14" t="str">
        <f>HYPERLINK("https://otsuka-europe-crm.veevavault.com/ui/#object/email_activity__v/V8C00000003L483", "EN-002087071")</f>
        <v>EN-002087071</v>
      </c>
    </row>
    <row r="1108" spans="1:15" ht="32" x14ac:dyDescent="0.2">
      <c r="A1108" s="7" t="str">
        <f>HYPERLINK("https://otsuka-europe-crm.veevavault.com/ui/#object/account__v/V4TZ025E86T000Y", "MIRIAM NAVIDAD FUENTES")</f>
        <v>MIRIAM NAVIDAD FUENTES</v>
      </c>
      <c r="B1108" s="7" t="str">
        <f>HYPERLINK("https://otsuka-europe-crm.veevavault.com/ui/#object/vcountry__v/VENZ000004SONF5", "ES")</f>
        <v>ES</v>
      </c>
      <c r="C1108" s="8" t="s">
        <v>41</v>
      </c>
      <c r="D1108" s="9" t="str">
        <f>HYPERLINK("https://otsuka-europe-crm.veevavault.com/ui/#object/approved_document__v/V5O00000001H025", "LUP - VAE invitación simposio SEN-SER - Reuma")</f>
        <v>LUP - VAE invitación simposio SEN-SER - Reuma</v>
      </c>
      <c r="E1108" s="10" t="str">
        <f>HYPERLINK("https://otsuka-europe-crm.veevavault.com/ui/#object/sent_email__v/VBL00000002N386", "SE-001431367")</f>
        <v>SE-001431367</v>
      </c>
      <c r="F1108" s="11"/>
      <c r="G1108" s="12">
        <v>0</v>
      </c>
      <c r="H1108" s="12">
        <v>0</v>
      </c>
      <c r="I1108" s="12">
        <v>0</v>
      </c>
      <c r="J1108" s="11"/>
      <c r="K1108" s="12">
        <v>0</v>
      </c>
      <c r="L1108" s="10" t="str">
        <f>HYPERLINK("https://otsuka-europe-crm.veevavault.com/ui/#object/approved_document__v/V5O00000001H025", "LUP - VAE invitación simposio SEN-SER - Reuma")</f>
        <v>LUP - VAE invitación simposio SEN-SER - Reuma</v>
      </c>
      <c r="M1108" s="10" t="str">
        <f>HYPERLINK("mailto:vvalladares@crm.otsuka-europe.com", "vvalladares@crm.otsuka-europe.com")</f>
        <v>vvalladares@crm.otsuka-europe.com</v>
      </c>
      <c r="N1108" s="13">
        <v>46175.463842592595</v>
      </c>
      <c r="O1108" s="14" t="str">
        <f>HYPERLINK("https://otsuka-europe-crm.veevavault.com/ui/#object/email_activity__v/V8C00000003L479", "EN-002087067")</f>
        <v>EN-002087067</v>
      </c>
    </row>
    <row r="1109" spans="1:15" ht="32" x14ac:dyDescent="0.2">
      <c r="A1109" s="7" t="str">
        <f>HYPERLINK("https://otsuka-europe-crm.veevavault.com/ui/#object/account__v/V4TZ04ASGABZRMG", "MARTA MILAGROS LLANES GOMEZ")</f>
        <v>MARTA MILAGROS LLANES GOMEZ</v>
      </c>
      <c r="B1109" s="7" t="str">
        <f>HYPERLINK("https://otsuka-europe-crm.veevavault.com/ui/#object/vcountry__v/VENZ000004SONF5", "ES")</f>
        <v>ES</v>
      </c>
      <c r="C1109" s="8" t="s">
        <v>41</v>
      </c>
      <c r="D1109" s="9" t="str">
        <f>HYPERLINK("https://otsuka-europe-crm.veevavault.com/ui/#object/approved_document__v/V5O00000001H025", "LUP - VAE invitación simposio SEN-SER - Reuma")</f>
        <v>LUP - VAE invitación simposio SEN-SER - Reuma</v>
      </c>
      <c r="E1109" s="10" t="str">
        <f>HYPERLINK("https://otsuka-europe-crm.veevavault.com/ui/#object/sent_email__v/VBL00000002N387", "SE-001431368")</f>
        <v>SE-001431368</v>
      </c>
      <c r="F1109" s="11"/>
      <c r="G1109" s="12">
        <v>0</v>
      </c>
      <c r="H1109" s="12">
        <v>0</v>
      </c>
      <c r="I1109" s="12">
        <v>0</v>
      </c>
      <c r="J1109" s="11"/>
      <c r="K1109" s="12">
        <v>0</v>
      </c>
      <c r="L1109" s="10" t="str">
        <f>HYPERLINK("https://otsuka-europe-crm.veevavault.com/ui/#object/approved_document__v/V5O00000001H025", "LUP - VAE invitación simposio SEN-SER - Reuma")</f>
        <v>LUP - VAE invitación simposio SEN-SER - Reuma</v>
      </c>
      <c r="M1109" s="10" t="str">
        <f>HYPERLINK("mailto:vvalladares@crm.otsuka-europe.com", "vvalladares@crm.otsuka-europe.com")</f>
        <v>vvalladares@crm.otsuka-europe.com</v>
      </c>
      <c r="N1109" s="13">
        <v>46175.463865740741</v>
      </c>
      <c r="O1109" s="14" t="str">
        <f>HYPERLINK("https://otsuka-europe-crm.veevavault.com/ui/#object/email_activity__v/V8C00000003L508", "EN-002087096")</f>
        <v>EN-002087096</v>
      </c>
    </row>
    <row r="1110" spans="1:15" ht="16" x14ac:dyDescent="0.2">
      <c r="A1110" s="17" t="str">
        <f>HYPERLINK("https://otsuka-europe-crm.veevavault.com/ui/#object/account__v/V4TZ04ASG8VDPCW", "FRANCISCO JESUS RUBIÑO JUAREZ")</f>
        <v>FRANCISCO JESUS RUBIÑO JUAREZ</v>
      </c>
      <c r="B1110" s="17" t="str">
        <f>HYPERLINK("https://otsuka-europe-crm.veevavault.com/ui/#object/vcountry__v/VENZ000004SONF5", "ES")</f>
        <v>ES</v>
      </c>
      <c r="C1110" s="20" t="s">
        <v>41</v>
      </c>
      <c r="D1110" s="21" t="str">
        <f>HYPERLINK("https://otsuka-europe-crm.veevavault.com/ui/#object/approved_document__v/V5O00000001H025", "LUP - VAE invitación simposio SEN-SER - Reuma")</f>
        <v>LUP - VAE invitación simposio SEN-SER - Reuma</v>
      </c>
      <c r="E1110" s="22" t="str">
        <f>HYPERLINK("https://otsuka-europe-crm.veevavault.com/ui/#object/sent_email__v/VBL00000002N388", "SE-001431369")</f>
        <v>SE-001431369</v>
      </c>
      <c r="F1110" s="23">
        <v>46175.70752314815</v>
      </c>
      <c r="G1110" s="24">
        <v>1</v>
      </c>
      <c r="H1110" s="24">
        <v>2</v>
      </c>
      <c r="I1110" s="24">
        <v>1</v>
      </c>
      <c r="J1110" s="23">
        <v>46175.707812499997</v>
      </c>
      <c r="K1110" s="24">
        <v>2</v>
      </c>
      <c r="L1110" s="22" t="str">
        <f>HYPERLINK("https://otsuka-europe-crm.veevavault.com/ui/#object/approved_document__v/V5O00000001H025", "LUP - VAE invitación simposio SEN-SER - Reuma")</f>
        <v>LUP - VAE invitación simposio SEN-SER - Reuma</v>
      </c>
      <c r="M1110" s="22" t="str">
        <f>HYPERLINK("mailto:vvalladares@crm.otsuka-europe.com", "vvalladares@crm.otsuka-europe.com")</f>
        <v>vvalladares@crm.otsuka-europe.com</v>
      </c>
      <c r="N1110" s="23">
        <v>46175.463842592595</v>
      </c>
      <c r="O1110" s="14" t="str">
        <f>HYPERLINK("https://otsuka-europe-crm.veevavault.com/ui/#object/email_activity__v/V8C00000003L490", "EN-002087078")</f>
        <v>EN-002087078</v>
      </c>
    </row>
    <row r="1111" spans="1:15" ht="16" x14ac:dyDescent="0.2">
      <c r="A1111" s="18"/>
      <c r="B1111" s="18"/>
      <c r="C1111" s="18"/>
      <c r="D1111" s="18"/>
      <c r="E1111" s="18"/>
      <c r="F1111" s="18"/>
      <c r="G1111" s="18"/>
      <c r="H1111" s="18"/>
      <c r="I1111" s="18"/>
      <c r="J1111" s="18"/>
      <c r="K1111" s="18"/>
      <c r="L1111" s="18"/>
      <c r="M1111" s="18"/>
      <c r="N1111" s="18"/>
      <c r="O1111" s="14" t="str">
        <f>HYPERLINK("https://otsuka-europe-crm.veevavault.com/ui/#object/email_activity__v/V8C00000003L524", "EN-002087112")</f>
        <v>EN-002087112</v>
      </c>
    </row>
    <row r="1112" spans="1:15" ht="16" x14ac:dyDescent="0.2">
      <c r="A1112" s="18"/>
      <c r="B1112" s="18"/>
      <c r="C1112" s="18"/>
      <c r="D1112" s="18"/>
      <c r="E1112" s="18"/>
      <c r="F1112" s="18"/>
      <c r="G1112" s="18"/>
      <c r="H1112" s="18"/>
      <c r="I1112" s="18"/>
      <c r="J1112" s="18"/>
      <c r="K1112" s="18"/>
      <c r="L1112" s="18"/>
      <c r="M1112" s="18"/>
      <c r="N1112" s="18"/>
      <c r="O1112" s="14" t="str">
        <f>HYPERLINK("https://otsuka-europe-crm.veevavault.com/ui/#object/email_activity__v/V8C00000003M100", "EN-002088024")</f>
        <v>EN-002088024</v>
      </c>
    </row>
    <row r="1113" spans="1:15" ht="16" x14ac:dyDescent="0.2">
      <c r="A1113" s="18"/>
      <c r="B1113" s="18"/>
      <c r="C1113" s="18"/>
      <c r="D1113" s="18"/>
      <c r="E1113" s="18"/>
      <c r="F1113" s="18"/>
      <c r="G1113" s="18"/>
      <c r="H1113" s="18"/>
      <c r="I1113" s="18"/>
      <c r="J1113" s="18"/>
      <c r="K1113" s="18"/>
      <c r="L1113" s="18"/>
      <c r="M1113" s="18"/>
      <c r="N1113" s="18"/>
      <c r="O1113" s="14" t="str">
        <f>HYPERLINK("https://otsuka-europe-crm.veevavault.com/ui/#object/email_activity__v/V8C00000003M101", "EN-002088026")</f>
        <v>EN-002088026</v>
      </c>
    </row>
    <row r="1114" spans="1:15" ht="16" x14ac:dyDescent="0.2">
      <c r="A1114" s="18"/>
      <c r="B1114" s="18"/>
      <c r="C1114" s="18"/>
      <c r="D1114" s="18"/>
      <c r="E1114" s="18"/>
      <c r="F1114" s="18"/>
      <c r="G1114" s="18"/>
      <c r="H1114" s="18"/>
      <c r="I1114" s="18"/>
      <c r="J1114" s="18"/>
      <c r="K1114" s="18"/>
      <c r="L1114" s="18"/>
      <c r="M1114" s="18"/>
      <c r="N1114" s="18"/>
      <c r="O1114" s="14" t="str">
        <f>HYPERLINK("https://otsuka-europe-crm.veevavault.com/ui/#object/email_activity__v/V8C00000003N016", "EN-002088025")</f>
        <v>EN-002088025</v>
      </c>
    </row>
    <row r="1115" spans="1:15" ht="16" x14ac:dyDescent="0.2">
      <c r="A1115" s="18"/>
      <c r="B1115" s="18"/>
      <c r="C1115" s="18"/>
      <c r="D1115" s="18"/>
      <c r="E1115" s="18"/>
      <c r="F1115" s="18"/>
      <c r="G1115" s="18"/>
      <c r="H1115" s="18"/>
      <c r="I1115" s="18"/>
      <c r="J1115" s="18"/>
      <c r="K1115" s="18"/>
      <c r="L1115" s="18"/>
      <c r="M1115" s="18"/>
      <c r="N1115" s="18"/>
      <c r="O1115" s="14" t="str">
        <f>HYPERLINK("https://otsuka-europe-crm.veevavault.com/ui/#object/email_activity__v/V8C00000003N018", "EN-002088030")</f>
        <v>EN-002088030</v>
      </c>
    </row>
    <row r="1116" spans="1:15" ht="16" x14ac:dyDescent="0.2">
      <c r="A1116" s="18"/>
      <c r="B1116" s="18"/>
      <c r="C1116" s="18"/>
      <c r="D1116" s="18"/>
      <c r="E1116" s="18"/>
      <c r="F1116" s="18"/>
      <c r="G1116" s="18"/>
      <c r="H1116" s="18"/>
      <c r="I1116" s="18"/>
      <c r="J1116" s="18"/>
      <c r="K1116" s="18"/>
      <c r="L1116" s="18"/>
      <c r="M1116" s="18"/>
      <c r="N1116" s="18"/>
      <c r="O1116" s="14" t="str">
        <f>HYPERLINK("https://otsuka-europe-crm.veevavault.com/ui/#object/email_activity__v/V8C00000003N020", "EN-002088032")</f>
        <v>EN-002088032</v>
      </c>
    </row>
    <row r="1117" spans="1:15" ht="16" x14ac:dyDescent="0.2">
      <c r="A1117" s="19"/>
      <c r="B1117" s="19"/>
      <c r="C1117" s="19"/>
      <c r="D1117" s="19"/>
      <c r="E1117" s="19"/>
      <c r="F1117" s="19"/>
      <c r="G1117" s="19"/>
      <c r="H1117" s="19"/>
      <c r="I1117" s="19"/>
      <c r="J1117" s="19"/>
      <c r="K1117" s="19"/>
      <c r="L1117" s="19"/>
      <c r="M1117" s="19"/>
      <c r="N1117" s="19"/>
      <c r="O1117" s="14" t="str">
        <f>HYPERLINK("https://otsuka-europe-crm.veevavault.com/ui/#object/email_activity__v/V8C00000003N317", "EN-002088484")</f>
        <v>EN-002088484</v>
      </c>
    </row>
    <row r="1118" spans="1:15" ht="32" x14ac:dyDescent="0.2">
      <c r="A1118" s="7" t="str">
        <f>HYPERLINK("https://otsuka-europe-crm.veevavault.com/ui/#object/account__v/V4TZ04ASG9BBON5", "CRISTINA MARTINEZ GONZALEZ")</f>
        <v>CRISTINA MARTINEZ GONZALEZ</v>
      </c>
      <c r="B1118" s="7" t="str">
        <f>HYPERLINK("https://otsuka-europe-crm.veevavault.com/ui/#object/vcountry__v/VENZ000004SONF5", "ES")</f>
        <v>ES</v>
      </c>
      <c r="C1118" s="8" t="s">
        <v>41</v>
      </c>
      <c r="D1118" s="9" t="str">
        <f>HYPERLINK("https://otsuka-europe-crm.veevavault.com/ui/#object/approved_document__v/V5O00000001H025", "LUP - VAE invitación simposio SEN-SER - Reuma")</f>
        <v>LUP - VAE invitación simposio SEN-SER - Reuma</v>
      </c>
      <c r="E1118" s="10" t="str">
        <f>HYPERLINK("https://otsuka-europe-crm.veevavault.com/ui/#object/sent_email__v/VBL00000002N389", "SE-001431370")</f>
        <v>SE-001431370</v>
      </c>
      <c r="F1118" s="11"/>
      <c r="G1118" s="12">
        <v>0</v>
      </c>
      <c r="H1118" s="12">
        <v>0</v>
      </c>
      <c r="I1118" s="12">
        <v>0</v>
      </c>
      <c r="J1118" s="11"/>
      <c r="K1118" s="12">
        <v>0</v>
      </c>
      <c r="L1118" s="10" t="str">
        <f>HYPERLINK("https://otsuka-europe-crm.veevavault.com/ui/#object/approved_document__v/V5O00000001H025", "LUP - VAE invitación simposio SEN-SER - Reuma")</f>
        <v>LUP - VAE invitación simposio SEN-SER - Reuma</v>
      </c>
      <c r="M1118" s="10" t="str">
        <f>HYPERLINK("mailto:vvalladares@crm.otsuka-europe.com", "vvalladares@crm.otsuka-europe.com")</f>
        <v>vvalladares@crm.otsuka-europe.com</v>
      </c>
      <c r="N1118" s="13">
        <v>46175.463865740741</v>
      </c>
      <c r="O1118" s="14" t="str">
        <f>HYPERLINK("https://otsuka-europe-crm.veevavault.com/ui/#object/email_activity__v/V8C00000003L516", "EN-002087104")</f>
        <v>EN-002087104</v>
      </c>
    </row>
    <row r="1119" spans="1:15" ht="32" x14ac:dyDescent="0.2">
      <c r="A1119" s="7" t="str">
        <f>HYPERLINK("https://otsuka-europe-crm.veevavault.com/ui/#object/account__v/V4TZ04ASG9MQYEZ", "ISABEL AÑON OÑATE")</f>
        <v>ISABEL AÑON OÑATE</v>
      </c>
      <c r="B1119" s="7" t="str">
        <f>HYPERLINK("https://otsuka-europe-crm.veevavault.com/ui/#object/vcountry__v/VENZ000004SONF5", "ES")</f>
        <v>ES</v>
      </c>
      <c r="C1119" s="8" t="s">
        <v>41</v>
      </c>
      <c r="D1119" s="9" t="str">
        <f>HYPERLINK("https://otsuka-europe-crm.veevavault.com/ui/#object/approved_document__v/V5O00000001H025", "LUP - VAE invitación simposio SEN-SER - Reuma")</f>
        <v>LUP - VAE invitación simposio SEN-SER - Reuma</v>
      </c>
      <c r="E1119" s="10" t="str">
        <f>HYPERLINK("https://otsuka-europe-crm.veevavault.com/ui/#object/sent_email__v/VBL00000002N390", "SE-001431371")</f>
        <v>SE-001431371</v>
      </c>
      <c r="F1119" s="11"/>
      <c r="G1119" s="12">
        <v>0</v>
      </c>
      <c r="H1119" s="12">
        <v>0</v>
      </c>
      <c r="I1119" s="12">
        <v>0</v>
      </c>
      <c r="J1119" s="11"/>
      <c r="K1119" s="12">
        <v>0</v>
      </c>
      <c r="L1119" s="10" t="str">
        <f>HYPERLINK("https://otsuka-europe-crm.veevavault.com/ui/#object/approved_document__v/V5O00000001H025", "LUP - VAE invitación simposio SEN-SER - Reuma")</f>
        <v>LUP - VAE invitación simposio SEN-SER - Reuma</v>
      </c>
      <c r="M1119" s="10" t="str">
        <f>HYPERLINK("mailto:vvalladares@crm.otsuka-europe.com", "vvalladares@crm.otsuka-europe.com")</f>
        <v>vvalladares@crm.otsuka-europe.com</v>
      </c>
      <c r="N1119" s="13">
        <v>46175.463865740741</v>
      </c>
      <c r="O1119" s="14" t="str">
        <f>HYPERLINK("https://otsuka-europe-crm.veevavault.com/ui/#object/email_activity__v/V8C00000003L405", "EN-002086993")</f>
        <v>EN-002086993</v>
      </c>
    </row>
    <row r="1120" spans="1:15" ht="32" x14ac:dyDescent="0.2">
      <c r="A1120" s="7" t="str">
        <f>HYPERLINK("https://otsuka-europe-crm.veevavault.com/ui/#object/account__v/V4TZ04ASG9REMVY", "ANA NIETO GONZALEZ")</f>
        <v>ANA NIETO GONZALEZ</v>
      </c>
      <c r="B1120" s="7" t="str">
        <f>HYPERLINK("https://otsuka-europe-crm.veevavault.com/ui/#object/vcountry__v/VENZ000004SONF5", "ES")</f>
        <v>ES</v>
      </c>
      <c r="C1120" s="8" t="s">
        <v>41</v>
      </c>
      <c r="D1120" s="9" t="str">
        <f>HYPERLINK("https://otsuka-europe-crm.veevavault.com/ui/#object/approved_document__v/V5O00000001H025", "LUP - VAE invitación simposio SEN-SER - Reuma")</f>
        <v>LUP - VAE invitación simposio SEN-SER - Reuma</v>
      </c>
      <c r="E1120" s="10" t="str">
        <f>HYPERLINK("https://otsuka-europe-crm.veevavault.com/ui/#object/sent_email__v/VBL00000002N391", "SE-001431372")</f>
        <v>SE-001431372</v>
      </c>
      <c r="F1120" s="11"/>
      <c r="G1120" s="12">
        <v>0</v>
      </c>
      <c r="H1120" s="12">
        <v>0</v>
      </c>
      <c r="I1120" s="12">
        <v>0</v>
      </c>
      <c r="J1120" s="11"/>
      <c r="K1120" s="12">
        <v>0</v>
      </c>
      <c r="L1120" s="10" t="str">
        <f>HYPERLINK("https://otsuka-europe-crm.veevavault.com/ui/#object/approved_document__v/V5O00000001H025", "LUP - VAE invitación simposio SEN-SER - Reuma")</f>
        <v>LUP - VAE invitación simposio SEN-SER - Reuma</v>
      </c>
      <c r="M1120" s="10" t="str">
        <f>HYPERLINK("mailto:vvalladares@crm.otsuka-europe.com", "vvalladares@crm.otsuka-europe.com")</f>
        <v>vvalladares@crm.otsuka-europe.com</v>
      </c>
      <c r="N1120" s="13">
        <v>46175.463865740741</v>
      </c>
      <c r="O1120" s="14" t="str">
        <f>HYPERLINK("https://otsuka-europe-crm.veevavault.com/ui/#object/email_activity__v/V8C00000003L399", "EN-002086987")</f>
        <v>EN-002086987</v>
      </c>
    </row>
    <row r="1121" spans="1:15" ht="16" x14ac:dyDescent="0.2">
      <c r="A1121" s="17" t="str">
        <f>HYPERLINK("https://otsuka-europe-crm.veevavault.com/ui/#object/account__v/V4TZ025E82NV6MU", "HALBERT HERNANDEZ NEGRIN")</f>
        <v>HALBERT HERNANDEZ NEGRIN</v>
      </c>
      <c r="B1121" s="17" t="str">
        <f>HYPERLINK("https://otsuka-europe-crm.veevavault.com/ui/#object/vcountry__v/VENZ000004SONF5", "ES")</f>
        <v>ES</v>
      </c>
      <c r="C1121" s="20" t="s">
        <v>41</v>
      </c>
      <c r="D1121" s="21" t="str">
        <f>HYPERLINK("https://otsuka-europe-crm.veevavault.com/ui/#object/approved_document__v/V5O00000001H025", "LUP - VAE invitación simposio SEN-SER - Reuma")</f>
        <v>LUP - VAE invitación simposio SEN-SER - Reuma</v>
      </c>
      <c r="E1121" s="22" t="str">
        <f>HYPERLINK("https://otsuka-europe-crm.veevavault.com/ui/#object/sent_email__v/VBL00000002N392", "SE-001431373")</f>
        <v>SE-001431373</v>
      </c>
      <c r="F1121" s="23">
        <v>46185.444363425922</v>
      </c>
      <c r="G1121" s="24">
        <v>1</v>
      </c>
      <c r="H1121" s="24">
        <v>10</v>
      </c>
      <c r="I1121" s="24">
        <v>0</v>
      </c>
      <c r="J1121" s="25"/>
      <c r="K1121" s="24">
        <v>0</v>
      </c>
      <c r="L1121" s="22" t="str">
        <f>HYPERLINK("https://otsuka-europe-crm.veevavault.com/ui/#object/approved_document__v/V5O00000001H025", "LUP - VAE invitación simposio SEN-SER - Reuma")</f>
        <v>LUP - VAE invitación simposio SEN-SER - Reuma</v>
      </c>
      <c r="M1121" s="22" t="str">
        <f>HYPERLINK("mailto:vvalladares@crm.otsuka-europe.com", "vvalladares@crm.otsuka-europe.com")</f>
        <v>vvalladares@crm.otsuka-europe.com</v>
      </c>
      <c r="N1121" s="23">
        <v>46175.463877314818</v>
      </c>
      <c r="O1121" s="14" t="str">
        <f>HYPERLINK("https://otsuka-europe-crm.veevavault.com/ui/#object/email_activity__v/V8C00000003K831", "EN-002087509")</f>
        <v>EN-002087509</v>
      </c>
    </row>
    <row r="1122" spans="1:15" ht="16" x14ac:dyDescent="0.2">
      <c r="A1122" s="18"/>
      <c r="B1122" s="18"/>
      <c r="C1122" s="18"/>
      <c r="D1122" s="18"/>
      <c r="E1122" s="18"/>
      <c r="F1122" s="18"/>
      <c r="G1122" s="18"/>
      <c r="H1122" s="18"/>
      <c r="I1122" s="18"/>
      <c r="J1122" s="18"/>
      <c r="K1122" s="18"/>
      <c r="L1122" s="18"/>
      <c r="M1122" s="18"/>
      <c r="N1122" s="18"/>
      <c r="O1122" s="14" t="str">
        <f>HYPERLINK("https://otsuka-europe-crm.veevavault.com/ui/#object/email_activity__v/V8C00000003L408", "EN-002086996")</f>
        <v>EN-002086996</v>
      </c>
    </row>
    <row r="1123" spans="1:15" ht="16" x14ac:dyDescent="0.2">
      <c r="A1123" s="18"/>
      <c r="B1123" s="18"/>
      <c r="C1123" s="18"/>
      <c r="D1123" s="18"/>
      <c r="E1123" s="18"/>
      <c r="F1123" s="18"/>
      <c r="G1123" s="18"/>
      <c r="H1123" s="18"/>
      <c r="I1123" s="18"/>
      <c r="J1123" s="18"/>
      <c r="K1123" s="18"/>
      <c r="L1123" s="18"/>
      <c r="M1123" s="18"/>
      <c r="N1123" s="18"/>
      <c r="O1123" s="14" t="str">
        <f>HYPERLINK("https://otsuka-europe-crm.veevavault.com/ui/#object/email_activity__v/V8C00000003L644", "EN-002087288")</f>
        <v>EN-002087288</v>
      </c>
    </row>
    <row r="1124" spans="1:15" ht="16" x14ac:dyDescent="0.2">
      <c r="A1124" s="18"/>
      <c r="B1124" s="18"/>
      <c r="C1124" s="18"/>
      <c r="D1124" s="18"/>
      <c r="E1124" s="18"/>
      <c r="F1124" s="18"/>
      <c r="G1124" s="18"/>
      <c r="H1124" s="18"/>
      <c r="I1124" s="18"/>
      <c r="J1124" s="18"/>
      <c r="K1124" s="18"/>
      <c r="L1124" s="18"/>
      <c r="M1124" s="18"/>
      <c r="N1124" s="18"/>
      <c r="O1124" s="14" t="str">
        <f>HYPERLINK("https://otsuka-europe-crm.veevavault.com/ui/#object/email_activity__v/V8C00000003L645", "EN-002087289")</f>
        <v>EN-002087289</v>
      </c>
    </row>
    <row r="1125" spans="1:15" ht="16" x14ac:dyDescent="0.2">
      <c r="A1125" s="18"/>
      <c r="B1125" s="18"/>
      <c r="C1125" s="18"/>
      <c r="D1125" s="18"/>
      <c r="E1125" s="18"/>
      <c r="F1125" s="18"/>
      <c r="G1125" s="18"/>
      <c r="H1125" s="18"/>
      <c r="I1125" s="18"/>
      <c r="J1125" s="18"/>
      <c r="K1125" s="18"/>
      <c r="L1125" s="18"/>
      <c r="M1125" s="18"/>
      <c r="N1125" s="18"/>
      <c r="O1125" s="14" t="str">
        <f>HYPERLINK("https://otsuka-europe-crm.veevavault.com/ui/#object/email_activity__v/V8C00000003L646", "EN-002087290")</f>
        <v>EN-002087290</v>
      </c>
    </row>
    <row r="1126" spans="1:15" ht="16" x14ac:dyDescent="0.2">
      <c r="A1126" s="18"/>
      <c r="B1126" s="18"/>
      <c r="C1126" s="18"/>
      <c r="D1126" s="18"/>
      <c r="E1126" s="18"/>
      <c r="F1126" s="18"/>
      <c r="G1126" s="18"/>
      <c r="H1126" s="18"/>
      <c r="I1126" s="18"/>
      <c r="J1126" s="18"/>
      <c r="K1126" s="18"/>
      <c r="L1126" s="18"/>
      <c r="M1126" s="18"/>
      <c r="N1126" s="18"/>
      <c r="O1126" s="14" t="str">
        <f>HYPERLINK("https://otsuka-europe-crm.veevavault.com/ui/#object/email_activity__v/V8C00000003L972", "EN-002087936")</f>
        <v>EN-002087936</v>
      </c>
    </row>
    <row r="1127" spans="1:15" ht="16" x14ac:dyDescent="0.2">
      <c r="A1127" s="18"/>
      <c r="B1127" s="18"/>
      <c r="C1127" s="18"/>
      <c r="D1127" s="18"/>
      <c r="E1127" s="18"/>
      <c r="F1127" s="18"/>
      <c r="G1127" s="18"/>
      <c r="H1127" s="18"/>
      <c r="I1127" s="18"/>
      <c r="J1127" s="18"/>
      <c r="K1127" s="18"/>
      <c r="L1127" s="18"/>
      <c r="M1127" s="18"/>
      <c r="N1127" s="18"/>
      <c r="O1127" s="14" t="str">
        <f>HYPERLINK("https://otsuka-europe-crm.veevavault.com/ui/#object/email_activity__v/V8C00000003M059", "EN-002087941")</f>
        <v>EN-002087941</v>
      </c>
    </row>
    <row r="1128" spans="1:15" ht="16" x14ac:dyDescent="0.2">
      <c r="A1128" s="18"/>
      <c r="B1128" s="18"/>
      <c r="C1128" s="18"/>
      <c r="D1128" s="18"/>
      <c r="E1128" s="18"/>
      <c r="F1128" s="18"/>
      <c r="G1128" s="18"/>
      <c r="H1128" s="18"/>
      <c r="I1128" s="18"/>
      <c r="J1128" s="18"/>
      <c r="K1128" s="18"/>
      <c r="L1128" s="18"/>
      <c r="M1128" s="18"/>
      <c r="N1128" s="18"/>
      <c r="O1128" s="14" t="str">
        <f>HYPERLINK("https://otsuka-europe-crm.veevavault.com/ui/#object/email_activity__v/V8C00000003Q713", "EN-002092270")</f>
        <v>EN-002092270</v>
      </c>
    </row>
    <row r="1129" spans="1:15" ht="16" x14ac:dyDescent="0.2">
      <c r="A1129" s="18"/>
      <c r="B1129" s="18"/>
      <c r="C1129" s="18"/>
      <c r="D1129" s="18"/>
      <c r="E1129" s="18"/>
      <c r="F1129" s="18"/>
      <c r="G1129" s="18"/>
      <c r="H1129" s="18"/>
      <c r="I1129" s="18"/>
      <c r="J1129" s="18"/>
      <c r="K1129" s="18"/>
      <c r="L1129" s="18"/>
      <c r="M1129" s="18"/>
      <c r="N1129" s="18"/>
      <c r="O1129" s="14" t="str">
        <f>HYPERLINK("https://otsuka-europe-crm.veevavault.com/ui/#object/email_activity__v/V8C00000003U246", "EN-002095345")</f>
        <v>EN-002095345</v>
      </c>
    </row>
    <row r="1130" spans="1:15" ht="16" x14ac:dyDescent="0.2">
      <c r="A1130" s="18"/>
      <c r="B1130" s="18"/>
      <c r="C1130" s="18"/>
      <c r="D1130" s="18"/>
      <c r="E1130" s="18"/>
      <c r="F1130" s="18"/>
      <c r="G1130" s="18"/>
      <c r="H1130" s="18"/>
      <c r="I1130" s="18"/>
      <c r="J1130" s="18"/>
      <c r="K1130" s="18"/>
      <c r="L1130" s="18"/>
      <c r="M1130" s="18"/>
      <c r="N1130" s="18"/>
      <c r="O1130" s="14" t="str">
        <f>HYPERLINK("https://otsuka-europe-crm.veevavault.com/ui/#object/email_activity__v/V8C00000003U247", "EN-002095346")</f>
        <v>EN-002095346</v>
      </c>
    </row>
    <row r="1131" spans="1:15" ht="16" x14ac:dyDescent="0.2">
      <c r="A1131" s="19"/>
      <c r="B1131" s="19"/>
      <c r="C1131" s="19"/>
      <c r="D1131" s="19"/>
      <c r="E1131" s="19"/>
      <c r="F1131" s="19"/>
      <c r="G1131" s="19"/>
      <c r="H1131" s="19"/>
      <c r="I1131" s="19"/>
      <c r="J1131" s="19"/>
      <c r="K1131" s="19"/>
      <c r="L1131" s="19"/>
      <c r="M1131" s="19"/>
      <c r="N1131" s="19"/>
      <c r="O1131" s="14" t="str">
        <f>HYPERLINK("https://otsuka-europe-crm.veevavault.com/ui/#object/email_activity__v/V8C00000003V284", "EN-002095347")</f>
        <v>EN-002095347</v>
      </c>
    </row>
    <row r="1132" spans="1:15" ht="16" x14ac:dyDescent="0.2">
      <c r="A1132" s="17" t="str">
        <f>HYPERLINK("https://otsuka-europe-crm.veevavault.com/ui/#object/account__v/V4TZ04ASG9BAL1G", "MARIA JESUS MONTESA CABRERA")</f>
        <v>MARIA JESUS MONTESA CABRERA</v>
      </c>
      <c r="B1132" s="17" t="str">
        <f>HYPERLINK("https://otsuka-europe-crm.veevavault.com/ui/#object/vcountry__v/VENZ000004SONF5", "ES")</f>
        <v>ES</v>
      </c>
      <c r="C1132" s="20" t="s">
        <v>41</v>
      </c>
      <c r="D1132" s="21" t="str">
        <f>HYPERLINK("https://otsuka-europe-crm.veevavault.com/ui/#object/approved_document__v/V5O00000001H025", "LUP - VAE invitación simposio SEN-SER - Reuma")</f>
        <v>LUP - VAE invitación simposio SEN-SER - Reuma</v>
      </c>
      <c r="E1132" s="22" t="str">
        <f>HYPERLINK("https://otsuka-europe-crm.veevavault.com/ui/#object/sent_email__v/VBL00000002N393", "SE-001431374")</f>
        <v>SE-001431374</v>
      </c>
      <c r="F1132" s="23">
        <v>46175.469398148147</v>
      </c>
      <c r="G1132" s="24">
        <v>1</v>
      </c>
      <c r="H1132" s="24">
        <v>4</v>
      </c>
      <c r="I1132" s="24">
        <v>1</v>
      </c>
      <c r="J1132" s="23">
        <v>46175.469548611109</v>
      </c>
      <c r="K1132" s="24">
        <v>1</v>
      </c>
      <c r="L1132" s="22" t="str">
        <f>HYPERLINK("https://otsuka-europe-crm.veevavault.com/ui/#object/approved_document__v/V5O00000001H025", "LUP - VAE invitación simposio SEN-SER - Reuma")</f>
        <v>LUP - VAE invitación simposio SEN-SER - Reuma</v>
      </c>
      <c r="M1132" s="22" t="str">
        <f>HYPERLINK("mailto:vvalladares@crm.otsuka-europe.com", "vvalladares@crm.otsuka-europe.com")</f>
        <v>vvalladares@crm.otsuka-europe.com</v>
      </c>
      <c r="N1132" s="23">
        <v>46175.463865740741</v>
      </c>
      <c r="O1132" s="14" t="str">
        <f>HYPERLINK("https://otsuka-europe-crm.veevavault.com/ui/#object/email_activity__v/V8C00000003K679", "EN-002087134")</f>
        <v>EN-002087134</v>
      </c>
    </row>
    <row r="1133" spans="1:15" ht="16" x14ac:dyDescent="0.2">
      <c r="A1133" s="18"/>
      <c r="B1133" s="18"/>
      <c r="C1133" s="18"/>
      <c r="D1133" s="18"/>
      <c r="E1133" s="18"/>
      <c r="F1133" s="18"/>
      <c r="G1133" s="18"/>
      <c r="H1133" s="18"/>
      <c r="I1133" s="18"/>
      <c r="J1133" s="18"/>
      <c r="K1133" s="18"/>
      <c r="L1133" s="18"/>
      <c r="M1133" s="18"/>
      <c r="N1133" s="18"/>
      <c r="O1133" s="14" t="str">
        <f>HYPERLINK("https://otsuka-europe-crm.veevavault.com/ui/#object/email_activity__v/V8C00000003L460", "EN-002087048")</f>
        <v>EN-002087048</v>
      </c>
    </row>
    <row r="1134" spans="1:15" ht="16" x14ac:dyDescent="0.2">
      <c r="A1134" s="18"/>
      <c r="B1134" s="18"/>
      <c r="C1134" s="18"/>
      <c r="D1134" s="18"/>
      <c r="E1134" s="18"/>
      <c r="F1134" s="18"/>
      <c r="G1134" s="18"/>
      <c r="H1134" s="18"/>
      <c r="I1134" s="18"/>
      <c r="J1134" s="18"/>
      <c r="K1134" s="18"/>
      <c r="L1134" s="18"/>
      <c r="M1134" s="18"/>
      <c r="N1134" s="18"/>
      <c r="O1134" s="14" t="str">
        <f>HYPERLINK("https://otsuka-europe-crm.veevavault.com/ui/#object/email_activity__v/V8C00000003L511", "EN-002087099")</f>
        <v>EN-002087099</v>
      </c>
    </row>
    <row r="1135" spans="1:15" ht="16" x14ac:dyDescent="0.2">
      <c r="A1135" s="18"/>
      <c r="B1135" s="18"/>
      <c r="C1135" s="18"/>
      <c r="D1135" s="18"/>
      <c r="E1135" s="18"/>
      <c r="F1135" s="18"/>
      <c r="G1135" s="18"/>
      <c r="H1135" s="18"/>
      <c r="I1135" s="18"/>
      <c r="J1135" s="18"/>
      <c r="K1135" s="18"/>
      <c r="L1135" s="18"/>
      <c r="M1135" s="18"/>
      <c r="N1135" s="18"/>
      <c r="O1135" s="14" t="str">
        <f>HYPERLINK("https://otsuka-europe-crm.veevavault.com/ui/#object/email_activity__v/V8C00000003L527", "EN-002087115")</f>
        <v>EN-002087115</v>
      </c>
    </row>
    <row r="1136" spans="1:15" ht="16" x14ac:dyDescent="0.2">
      <c r="A1136" s="18"/>
      <c r="B1136" s="18"/>
      <c r="C1136" s="18"/>
      <c r="D1136" s="18"/>
      <c r="E1136" s="18"/>
      <c r="F1136" s="18"/>
      <c r="G1136" s="18"/>
      <c r="H1136" s="18"/>
      <c r="I1136" s="18"/>
      <c r="J1136" s="18"/>
      <c r="K1136" s="18"/>
      <c r="L1136" s="18"/>
      <c r="M1136" s="18"/>
      <c r="N1136" s="18"/>
      <c r="O1136" s="14" t="str">
        <f>HYPERLINK("https://otsuka-europe-crm.veevavault.com/ui/#object/email_activity__v/V8C00000003L540", "EN-002087128")</f>
        <v>EN-002087128</v>
      </c>
    </row>
    <row r="1137" spans="1:15" ht="16" x14ac:dyDescent="0.2">
      <c r="A1137" s="18"/>
      <c r="B1137" s="18"/>
      <c r="C1137" s="18"/>
      <c r="D1137" s="18"/>
      <c r="E1137" s="18"/>
      <c r="F1137" s="18"/>
      <c r="G1137" s="18"/>
      <c r="H1137" s="18"/>
      <c r="I1137" s="18"/>
      <c r="J1137" s="18"/>
      <c r="K1137" s="18"/>
      <c r="L1137" s="18"/>
      <c r="M1137" s="18"/>
      <c r="N1137" s="18"/>
      <c r="O1137" s="14" t="str">
        <f>HYPERLINK("https://otsuka-europe-crm.veevavault.com/ui/#object/email_activity__v/V8C00000003L545", "EN-002087135")</f>
        <v>EN-002087135</v>
      </c>
    </row>
    <row r="1138" spans="1:15" ht="16" x14ac:dyDescent="0.2">
      <c r="A1138" s="18"/>
      <c r="B1138" s="18"/>
      <c r="C1138" s="18"/>
      <c r="D1138" s="18"/>
      <c r="E1138" s="18"/>
      <c r="F1138" s="18"/>
      <c r="G1138" s="18"/>
      <c r="H1138" s="18"/>
      <c r="I1138" s="18"/>
      <c r="J1138" s="18"/>
      <c r="K1138" s="18"/>
      <c r="L1138" s="18"/>
      <c r="M1138" s="18"/>
      <c r="N1138" s="18"/>
      <c r="O1138" s="14" t="str">
        <f>HYPERLINK("https://otsuka-europe-crm.veevavault.com/ui/#object/email_activity__v/V8C00000003L750", "EN-002087475")</f>
        <v>EN-002087475</v>
      </c>
    </row>
    <row r="1139" spans="1:15" ht="16" x14ac:dyDescent="0.2">
      <c r="A1139" s="18"/>
      <c r="B1139" s="18"/>
      <c r="C1139" s="18"/>
      <c r="D1139" s="18"/>
      <c r="E1139" s="18"/>
      <c r="F1139" s="18"/>
      <c r="G1139" s="18"/>
      <c r="H1139" s="18"/>
      <c r="I1139" s="18"/>
      <c r="J1139" s="18"/>
      <c r="K1139" s="18"/>
      <c r="L1139" s="18"/>
      <c r="M1139" s="18"/>
      <c r="N1139" s="18"/>
      <c r="O1139" s="14" t="str">
        <f>HYPERLINK("https://otsuka-europe-crm.veevavault.com/ui/#object/email_activity__v/V8C00000003M006", "EN-002087848")</f>
        <v>EN-002087848</v>
      </c>
    </row>
    <row r="1140" spans="1:15" ht="16" x14ac:dyDescent="0.2">
      <c r="A1140" s="18"/>
      <c r="B1140" s="18"/>
      <c r="C1140" s="18"/>
      <c r="D1140" s="18"/>
      <c r="E1140" s="18"/>
      <c r="F1140" s="18"/>
      <c r="G1140" s="18"/>
      <c r="H1140" s="18"/>
      <c r="I1140" s="18"/>
      <c r="J1140" s="18"/>
      <c r="K1140" s="18"/>
      <c r="L1140" s="18"/>
      <c r="M1140" s="18"/>
      <c r="N1140" s="18"/>
      <c r="O1140" s="14" t="str">
        <f>HYPERLINK("https://otsuka-europe-crm.veevavault.com/ui/#object/email_activity__v/V8C00000003M604", "EN-002089226")</f>
        <v>EN-002089226</v>
      </c>
    </row>
    <row r="1141" spans="1:15" ht="16" x14ac:dyDescent="0.2">
      <c r="A1141" s="19"/>
      <c r="B1141" s="19"/>
      <c r="C1141" s="19"/>
      <c r="D1141" s="19"/>
      <c r="E1141" s="19"/>
      <c r="F1141" s="19"/>
      <c r="G1141" s="19"/>
      <c r="H1141" s="19"/>
      <c r="I1141" s="19"/>
      <c r="J1141" s="19"/>
      <c r="K1141" s="19"/>
      <c r="L1141" s="19"/>
      <c r="M1141" s="19"/>
      <c r="N1141" s="19"/>
      <c r="O1141" s="14" t="str">
        <f>HYPERLINK("https://otsuka-europe-crm.veevavault.com/ui/#object/email_activity__v/V8C00000003O002", "EN-002089242")</f>
        <v>EN-002089242</v>
      </c>
    </row>
    <row r="1142" spans="1:15" ht="32" x14ac:dyDescent="0.2">
      <c r="A1142" s="7" t="str">
        <f>HYPERLINK("https://otsuka-europe-crm.veevavault.com/ui/#object/account__v/V4TZ04ASGDUAZA2", "CRISTINA RODRIGUEZ ALVEAR")</f>
        <v>CRISTINA RODRIGUEZ ALVEAR</v>
      </c>
      <c r="B1142" s="7" t="str">
        <f>HYPERLINK("https://otsuka-europe-crm.veevavault.com/ui/#object/vcountry__v/VENZ000004SONF5", "ES")</f>
        <v>ES</v>
      </c>
      <c r="C1142" s="8" t="s">
        <v>41</v>
      </c>
      <c r="D1142" s="9" t="str">
        <f>HYPERLINK("https://otsuka-europe-crm.veevavault.com/ui/#object/approved_document__v/V5O00000001H025", "LUP - VAE invitación simposio SEN-SER - Reuma")</f>
        <v>LUP - VAE invitación simposio SEN-SER - Reuma</v>
      </c>
      <c r="E1142" s="10" t="str">
        <f>HYPERLINK("https://otsuka-europe-crm.veevavault.com/ui/#object/sent_email__v/VBL00000002N394", "SE-001431375")</f>
        <v>SE-001431375</v>
      </c>
      <c r="F1142" s="11"/>
      <c r="G1142" s="12">
        <v>0</v>
      </c>
      <c r="H1142" s="12">
        <v>0</v>
      </c>
      <c r="I1142" s="12">
        <v>0</v>
      </c>
      <c r="J1142" s="11"/>
      <c r="K1142" s="12">
        <v>0</v>
      </c>
      <c r="L1142" s="10" t="str">
        <f>HYPERLINK("https://otsuka-europe-crm.veevavault.com/ui/#object/approved_document__v/V5O00000001H025", "LUP - VAE invitación simposio SEN-SER - Reuma")</f>
        <v>LUP - VAE invitación simposio SEN-SER - Reuma</v>
      </c>
      <c r="M1142" s="10" t="str">
        <f>HYPERLINK("mailto:vvalladares@crm.otsuka-europe.com", "vvalladares@crm.otsuka-europe.com")</f>
        <v>vvalladares@crm.otsuka-europe.com</v>
      </c>
      <c r="N1142" s="13">
        <v>46175.463888888888</v>
      </c>
      <c r="O1142" s="14" t="str">
        <f>HYPERLINK("https://otsuka-europe-crm.veevavault.com/ui/#object/email_activity__v/V8C00000003L424", "EN-002087012")</f>
        <v>EN-002087012</v>
      </c>
    </row>
    <row r="1143" spans="1:15" ht="16" x14ac:dyDescent="0.2">
      <c r="A1143" s="17" t="str">
        <f>HYPERLINK("https://otsuka-europe-crm.veevavault.com/ui/#object/account__v/V4TZ04ASG9ZSH2X", "ALBA PEREZ LINAZA")</f>
        <v>ALBA PEREZ LINAZA</v>
      </c>
      <c r="B1143" s="17" t="str">
        <f>HYPERLINK("https://otsuka-europe-crm.veevavault.com/ui/#object/vcountry__v/VENZ000004SONF5", "ES")</f>
        <v>ES</v>
      </c>
      <c r="C1143" s="20" t="s">
        <v>41</v>
      </c>
      <c r="D1143" s="21" t="str">
        <f>HYPERLINK("https://otsuka-europe-crm.veevavault.com/ui/#object/approved_document__v/V5O00000001H025", "LUP - VAE invitación simposio SEN-SER - Reuma")</f>
        <v>LUP - VAE invitación simposio SEN-SER - Reuma</v>
      </c>
      <c r="E1143" s="22" t="str">
        <f>HYPERLINK("https://otsuka-europe-crm.veevavault.com/ui/#object/sent_email__v/VBL00000002N395", "SE-001431376")</f>
        <v>SE-001431376</v>
      </c>
      <c r="F1143" s="25"/>
      <c r="G1143" s="24">
        <v>0</v>
      </c>
      <c r="H1143" s="24">
        <v>0</v>
      </c>
      <c r="I1143" s="24">
        <v>0</v>
      </c>
      <c r="J1143" s="25"/>
      <c r="K1143" s="24">
        <v>0</v>
      </c>
      <c r="L1143" s="22" t="str">
        <f>HYPERLINK("https://otsuka-europe-crm.veevavault.com/ui/#object/approved_document__v/V5O00000001H025", "LUP - VAE invitación simposio SEN-SER - Reuma")</f>
        <v>LUP - VAE invitación simposio SEN-SER - Reuma</v>
      </c>
      <c r="M1143" s="22" t="str">
        <f>HYPERLINK("mailto:vvalladares@crm.otsuka-europe.com", "vvalladares@crm.otsuka-europe.com")</f>
        <v>vvalladares@crm.otsuka-europe.com</v>
      </c>
      <c r="N1143" s="23">
        <v>46175.463865740741</v>
      </c>
      <c r="O1143" s="14" t="str">
        <f>HYPERLINK("https://otsuka-europe-crm.veevavault.com/ui/#object/email_activity__v/V8C00000003L470", "EN-002087058")</f>
        <v>EN-002087058</v>
      </c>
    </row>
    <row r="1144" spans="1:15" ht="16" x14ac:dyDescent="0.2">
      <c r="A1144" s="19"/>
      <c r="B1144" s="19"/>
      <c r="C1144" s="19"/>
      <c r="D1144" s="19"/>
      <c r="E1144" s="19"/>
      <c r="F1144" s="19"/>
      <c r="G1144" s="19"/>
      <c r="H1144" s="19"/>
      <c r="I1144" s="19"/>
      <c r="J1144" s="19"/>
      <c r="K1144" s="19"/>
      <c r="L1144" s="19"/>
      <c r="M1144" s="19"/>
      <c r="N1144" s="19"/>
      <c r="O1144" s="14" t="str">
        <f>HYPERLINK("https://otsuka-europe-crm.veevavault.com/ui/#object/email_activity__v/V8C00000003N562", "EN-002088907")</f>
        <v>EN-002088907</v>
      </c>
    </row>
    <row r="1145" spans="1:15" ht="16" x14ac:dyDescent="0.2">
      <c r="A1145" s="17" t="str">
        <f>HYPERLINK("https://otsuka-europe-crm.veevavault.com/ui/#object/account__v/V4TZ04ASG9HFBC5", "BEATRIZ GONZALEZ ALVAREZ")</f>
        <v>BEATRIZ GONZALEZ ALVAREZ</v>
      </c>
      <c r="B1145" s="17" t="str">
        <f>HYPERLINK("https://otsuka-europe-crm.veevavault.com/ui/#object/vcountry__v/VENZ000004SONF5", "ES")</f>
        <v>ES</v>
      </c>
      <c r="C1145" s="20" t="s">
        <v>41</v>
      </c>
      <c r="D1145" s="21" t="str">
        <f>HYPERLINK("https://otsuka-europe-crm.veevavault.com/ui/#object/approved_document__v/V5O00000001H025", "LUP - VAE invitación simposio SEN-SER - Reuma")</f>
        <v>LUP - VAE invitación simposio SEN-SER - Reuma</v>
      </c>
      <c r="E1145" s="22" t="str">
        <f>HYPERLINK("https://otsuka-europe-crm.veevavault.com/ui/#object/sent_email__v/VBL00000002N396", "SE-001431377")</f>
        <v>SE-001431377</v>
      </c>
      <c r="F1145" s="23">
        <v>46175.719826388886</v>
      </c>
      <c r="G1145" s="24">
        <v>1</v>
      </c>
      <c r="H1145" s="24">
        <v>1</v>
      </c>
      <c r="I1145" s="24">
        <v>0</v>
      </c>
      <c r="J1145" s="25"/>
      <c r="K1145" s="24">
        <v>0</v>
      </c>
      <c r="L1145" s="22" t="str">
        <f>HYPERLINK("https://otsuka-europe-crm.veevavault.com/ui/#object/approved_document__v/V5O00000001H025", "LUP - VAE invitación simposio SEN-SER - Reuma")</f>
        <v>LUP - VAE invitación simposio SEN-SER - Reuma</v>
      </c>
      <c r="M1145" s="22" t="str">
        <f>HYPERLINK("mailto:vvalladares@crm.otsuka-europe.com", "vvalladares@crm.otsuka-europe.com")</f>
        <v>vvalladares@crm.otsuka-europe.com</v>
      </c>
      <c r="N1145" s="23">
        <v>46175.463865740741</v>
      </c>
      <c r="O1145" s="14" t="str">
        <f>HYPERLINK("https://otsuka-europe-crm.veevavault.com/ui/#object/email_activity__v/V8C00000003L514", "EN-002087102")</f>
        <v>EN-002087102</v>
      </c>
    </row>
    <row r="1146" spans="1:15" ht="16" x14ac:dyDescent="0.2">
      <c r="A1146" s="19"/>
      <c r="B1146" s="19"/>
      <c r="C1146" s="19"/>
      <c r="D1146" s="19"/>
      <c r="E1146" s="19"/>
      <c r="F1146" s="19"/>
      <c r="G1146" s="19"/>
      <c r="H1146" s="19"/>
      <c r="I1146" s="19"/>
      <c r="J1146" s="19"/>
      <c r="K1146" s="19"/>
      <c r="L1146" s="19"/>
      <c r="M1146" s="19"/>
      <c r="N1146" s="19"/>
      <c r="O1146" s="14" t="str">
        <f>HYPERLINK("https://otsuka-europe-crm.veevavault.com/ui/#object/email_activity__v/V8C00000003M113", "EN-002088042")</f>
        <v>EN-002088042</v>
      </c>
    </row>
    <row r="1147" spans="1:15" ht="16" x14ac:dyDescent="0.2">
      <c r="A1147" s="17" t="str">
        <f>HYPERLINK("https://otsuka-europe-crm.veevavault.com/ui/#object/account__v/V4TZ06G6O9VKN7I", "ANTONIO FERNANDEZ NEBRO")</f>
        <v>ANTONIO FERNANDEZ NEBRO</v>
      </c>
      <c r="B1147" s="17" t="str">
        <f>HYPERLINK("https://otsuka-europe-crm.veevavault.com/ui/#object/vcountry__v/VENZ000004SONF5", "ES")</f>
        <v>ES</v>
      </c>
      <c r="C1147" s="20" t="s">
        <v>41</v>
      </c>
      <c r="D1147" s="21" t="str">
        <f>HYPERLINK("https://otsuka-europe-crm.veevavault.com/ui/#object/approved_document__v/V5O00000001H025", "LUP - VAE invitación simposio SEN-SER - Reuma")</f>
        <v>LUP - VAE invitación simposio SEN-SER - Reuma</v>
      </c>
      <c r="E1147" s="22" t="str">
        <f>HYPERLINK("https://otsuka-europe-crm.veevavault.com/ui/#object/sent_email__v/VBL00000002N397", "SE-001431378")</f>
        <v>SE-001431378</v>
      </c>
      <c r="F1147" s="23">
        <v>46175.623703703706</v>
      </c>
      <c r="G1147" s="24">
        <v>1</v>
      </c>
      <c r="H1147" s="24">
        <v>3</v>
      </c>
      <c r="I1147" s="24">
        <v>0</v>
      </c>
      <c r="J1147" s="25"/>
      <c r="K1147" s="24">
        <v>0</v>
      </c>
      <c r="L1147" s="22" t="str">
        <f>HYPERLINK("https://otsuka-europe-crm.veevavault.com/ui/#object/approved_document__v/V5O00000001H025", "LUP - VAE invitación simposio SEN-SER - Reuma")</f>
        <v>LUP - VAE invitación simposio SEN-SER - Reuma</v>
      </c>
      <c r="M1147" s="22" t="str">
        <f>HYPERLINK("mailto:vvalladares@crm.otsuka-europe.com", "vvalladares@crm.otsuka-europe.com")</f>
        <v>vvalladares@crm.otsuka-europe.com</v>
      </c>
      <c r="N1147" s="23">
        <v>46175.463877314818</v>
      </c>
      <c r="O1147" s="14" t="str">
        <f>HYPERLINK("https://otsuka-europe-crm.veevavault.com/ui/#object/email_activity__v/V8C00000003L412", "EN-002087000")</f>
        <v>EN-002087000</v>
      </c>
    </row>
    <row r="1148" spans="1:15" ht="16" x14ac:dyDescent="0.2">
      <c r="A1148" s="18"/>
      <c r="B1148" s="18"/>
      <c r="C1148" s="18"/>
      <c r="D1148" s="18"/>
      <c r="E1148" s="18"/>
      <c r="F1148" s="18"/>
      <c r="G1148" s="18"/>
      <c r="H1148" s="18"/>
      <c r="I1148" s="18"/>
      <c r="J1148" s="18"/>
      <c r="K1148" s="18"/>
      <c r="L1148" s="18"/>
      <c r="M1148" s="18"/>
      <c r="N1148" s="18"/>
      <c r="O1148" s="14" t="str">
        <f>HYPERLINK("https://otsuka-europe-crm.veevavault.com/ui/#object/email_activity__v/V8C00000003L950", "EN-002087894")</f>
        <v>EN-002087894</v>
      </c>
    </row>
    <row r="1149" spans="1:15" ht="16" x14ac:dyDescent="0.2">
      <c r="A1149" s="18"/>
      <c r="B1149" s="18"/>
      <c r="C1149" s="18"/>
      <c r="D1149" s="18"/>
      <c r="E1149" s="18"/>
      <c r="F1149" s="18"/>
      <c r="G1149" s="18"/>
      <c r="H1149" s="18"/>
      <c r="I1149" s="18"/>
      <c r="J1149" s="18"/>
      <c r="K1149" s="18"/>
      <c r="L1149" s="18"/>
      <c r="M1149" s="18"/>
      <c r="N1149" s="18"/>
      <c r="O1149" s="14" t="str">
        <f>HYPERLINK("https://otsuka-europe-crm.veevavault.com/ui/#object/email_activity__v/V8C00000003L955", "EN-002087899")</f>
        <v>EN-002087899</v>
      </c>
    </row>
    <row r="1150" spans="1:15" ht="16" x14ac:dyDescent="0.2">
      <c r="A1150" s="19"/>
      <c r="B1150" s="19"/>
      <c r="C1150" s="19"/>
      <c r="D1150" s="19"/>
      <c r="E1150" s="19"/>
      <c r="F1150" s="19"/>
      <c r="G1150" s="19"/>
      <c r="H1150" s="19"/>
      <c r="I1150" s="19"/>
      <c r="J1150" s="19"/>
      <c r="K1150" s="19"/>
      <c r="L1150" s="19"/>
      <c r="M1150" s="19"/>
      <c r="N1150" s="19"/>
      <c r="O1150" s="14" t="str">
        <f>HYPERLINK("https://otsuka-europe-crm.veevavault.com/ui/#object/email_activity__v/V8C00000003M034", "EN-002087893")</f>
        <v>EN-002087893</v>
      </c>
    </row>
    <row r="1151" spans="1:15" ht="16" x14ac:dyDescent="0.2">
      <c r="A1151" s="17" t="str">
        <f>HYPERLINK("https://otsuka-europe-crm.veevavault.com/ui/#object/account__v/V4TZ04ASGALU49S", "ZAHRA ECHEREI FHAFAH")</f>
        <v>ZAHRA ECHEREI FHAFAH</v>
      </c>
      <c r="B1151" s="17" t="str">
        <f>HYPERLINK("https://otsuka-europe-crm.veevavault.com/ui/#object/vcountry__v/VENZ000004SONF5", "ES")</f>
        <v>ES</v>
      </c>
      <c r="C1151" s="20" t="s">
        <v>41</v>
      </c>
      <c r="D1151" s="21" t="str">
        <f>HYPERLINK("https://otsuka-europe-crm.veevavault.com/ui/#object/approved_document__v/V5O00000001H025", "LUP - VAE invitación simposio SEN-SER - Reuma")</f>
        <v>LUP - VAE invitación simposio SEN-SER - Reuma</v>
      </c>
      <c r="E1151" s="22" t="str">
        <f>HYPERLINK("https://otsuka-europe-crm.veevavault.com/ui/#object/sent_email__v/VBL00000002N398", "SE-001431379")</f>
        <v>SE-001431379</v>
      </c>
      <c r="F1151" s="25"/>
      <c r="G1151" s="24">
        <v>0</v>
      </c>
      <c r="H1151" s="24">
        <v>0</v>
      </c>
      <c r="I1151" s="24">
        <v>0</v>
      </c>
      <c r="J1151" s="25"/>
      <c r="K1151" s="24">
        <v>0</v>
      </c>
      <c r="L1151" s="22" t="str">
        <f>HYPERLINK("https://otsuka-europe-crm.veevavault.com/ui/#object/approved_document__v/V5O00000001H025", "LUP - VAE invitación simposio SEN-SER - Reuma")</f>
        <v>LUP - VAE invitación simposio SEN-SER - Reuma</v>
      </c>
      <c r="M1151" s="22" t="str">
        <f>HYPERLINK("mailto:vvalladares@crm.otsuka-europe.com", "vvalladares@crm.otsuka-europe.com")</f>
        <v>vvalladares@crm.otsuka-europe.com</v>
      </c>
      <c r="N1151" s="23">
        <v>46175.463877314818</v>
      </c>
      <c r="O1151" s="14" t="str">
        <f>HYPERLINK("https://otsuka-europe-crm.veevavault.com/ui/#object/email_activity__v/V8C00000003L409", "EN-002086997")</f>
        <v>EN-002086997</v>
      </c>
    </row>
    <row r="1152" spans="1:15" ht="16" x14ac:dyDescent="0.2">
      <c r="A1152" s="18"/>
      <c r="B1152" s="18"/>
      <c r="C1152" s="18"/>
      <c r="D1152" s="18"/>
      <c r="E1152" s="18"/>
      <c r="F1152" s="18"/>
      <c r="G1152" s="18"/>
      <c r="H1152" s="18"/>
      <c r="I1152" s="18"/>
      <c r="J1152" s="18"/>
      <c r="K1152" s="18"/>
      <c r="L1152" s="18"/>
      <c r="M1152" s="18"/>
      <c r="N1152" s="18"/>
      <c r="O1152" s="14" t="str">
        <f>HYPERLINK("https://otsuka-europe-crm.veevavault.com/ui/#object/email_activity__v/V8C00000003N367", "EN-002088582")</f>
        <v>EN-002088582</v>
      </c>
    </row>
    <row r="1153" spans="1:15" ht="16" x14ac:dyDescent="0.2">
      <c r="A1153" s="19"/>
      <c r="B1153" s="19"/>
      <c r="C1153" s="19"/>
      <c r="D1153" s="19"/>
      <c r="E1153" s="19"/>
      <c r="F1153" s="19"/>
      <c r="G1153" s="19"/>
      <c r="H1153" s="19"/>
      <c r="I1153" s="19"/>
      <c r="J1153" s="19"/>
      <c r="K1153" s="19"/>
      <c r="L1153" s="19"/>
      <c r="M1153" s="19"/>
      <c r="N1153" s="19"/>
      <c r="O1153" s="14" t="str">
        <f>HYPERLINK("https://otsuka-europe-crm.veevavault.com/ui/#object/email_activity__v/V8C00000003S749", "EN-002094367")</f>
        <v>EN-002094367</v>
      </c>
    </row>
    <row r="1154" spans="1:15" ht="32" x14ac:dyDescent="0.2">
      <c r="A1154" s="7" t="str">
        <f>HYPERLINK("https://otsuka-europe-crm.veevavault.com/ui/#object/account__v/V4TZ06G6O71T84M", "LOURDES ROCA ARGENTE")</f>
        <v>LOURDES ROCA ARGENTE</v>
      </c>
      <c r="B1154" s="7" t="str">
        <f>HYPERLINK("https://otsuka-europe-crm.veevavault.com/ui/#object/vcountry__v/VENZ000004SONF5", "ES")</f>
        <v>ES</v>
      </c>
      <c r="C1154" s="8" t="s">
        <v>41</v>
      </c>
      <c r="D1154" s="9" t="str">
        <f>HYPERLINK("https://otsuka-europe-crm.veevavault.com/ui/#object/approved_document__v/V5O00000001H022", "LUP - VAE invitación simposio SEN-SER - Nefro")</f>
        <v>LUP - VAE invitación simposio SEN-SER - Nefro</v>
      </c>
      <c r="E1154" s="10" t="str">
        <f>HYPERLINK("https://otsuka-europe-crm.veevavault.com/ui/#object/sent_email__v/VBL00000002N399", "SE-001431380")</f>
        <v>SE-001431380</v>
      </c>
      <c r="F1154" s="11"/>
      <c r="G1154" s="12">
        <v>0</v>
      </c>
      <c r="H1154" s="12">
        <v>0</v>
      </c>
      <c r="I1154" s="12">
        <v>0</v>
      </c>
      <c r="J1154" s="11"/>
      <c r="K1154" s="12">
        <v>0</v>
      </c>
      <c r="L1154" s="10" t="str">
        <f>HYPERLINK("https://otsuka-europe-crm.veevavault.com/ui/#object/approved_document__v/V5O00000001H022", "LUP - VAE invitación simposio SEN-SER - Nefro")</f>
        <v>LUP - VAE invitación simposio SEN-SER - Nefro</v>
      </c>
      <c r="M1154" s="10" t="str">
        <f>HYPERLINK("mailto:ccalero@crm.otsuka-europe.com", "ccalero@crm.otsuka-europe.com")</f>
        <v>ccalero@crm.otsuka-europe.com</v>
      </c>
      <c r="N1154" s="13">
        <v>46175.471516203703</v>
      </c>
      <c r="O1154" s="14" t="str">
        <f>HYPERLINK("https://otsuka-europe-crm.veevavault.com/ui/#object/email_activity__v/V8C00000003K684", "EN-002087174")</f>
        <v>EN-002087174</v>
      </c>
    </row>
    <row r="1155" spans="1:15" ht="32" x14ac:dyDescent="0.2">
      <c r="A1155" s="7" t="str">
        <f>HYPERLINK("https://otsuka-europe-crm.veevavault.com/ui/#object/account__v/V4T000000007840", "EDUARDO TORREGROSA DE JUAN")</f>
        <v>EDUARDO TORREGROSA DE JUAN</v>
      </c>
      <c r="B1155" s="7" t="str">
        <f>HYPERLINK("https://otsuka-europe-crm.veevavault.com/ui/#object/vcountry__v/VENZ000004SONF5", "ES")</f>
        <v>ES</v>
      </c>
      <c r="C1155" s="8" t="s">
        <v>41</v>
      </c>
      <c r="D1155" s="9" t="str">
        <f>HYPERLINK("https://otsuka-europe-crm.veevavault.com/ui/#object/approved_document__v/V5O00000001H022", "LUP - VAE invitación simposio SEN-SER - Nefro")</f>
        <v>LUP - VAE invitación simposio SEN-SER - Nefro</v>
      </c>
      <c r="E1155" s="10" t="str">
        <f>HYPERLINK("https://otsuka-europe-crm.veevavault.com/ui/#object/sent_email__v/VBL00000002N400", "SE-001431381")</f>
        <v>SE-001431381</v>
      </c>
      <c r="F1155" s="11"/>
      <c r="G1155" s="12">
        <v>0</v>
      </c>
      <c r="H1155" s="12">
        <v>0</v>
      </c>
      <c r="I1155" s="12">
        <v>0</v>
      </c>
      <c r="J1155" s="11"/>
      <c r="K1155" s="12">
        <v>0</v>
      </c>
      <c r="L1155" s="10" t="str">
        <f>HYPERLINK("https://otsuka-europe-crm.veevavault.com/ui/#object/approved_document__v/V5O00000001H022", "LUP - VAE invitación simposio SEN-SER - Nefro")</f>
        <v>LUP - VAE invitación simposio SEN-SER - Nefro</v>
      </c>
      <c r="M1155" s="10" t="str">
        <f>HYPERLINK("mailto:ccalero@crm.otsuka-europe.com", "ccalero@crm.otsuka-europe.com")</f>
        <v>ccalero@crm.otsuka-europe.com</v>
      </c>
      <c r="N1155" s="13">
        <v>46175.471493055556</v>
      </c>
      <c r="O1155" s="14" t="str">
        <f>HYPERLINK("https://otsuka-europe-crm.veevavault.com/ui/#object/email_activity__v/V8C00000003L576", "EN-002087170")</f>
        <v>EN-002087170</v>
      </c>
    </row>
    <row r="1156" spans="1:15" ht="32" x14ac:dyDescent="0.2">
      <c r="A1156" s="7" t="str">
        <f>HYPERLINK("https://otsuka-europe-crm.veevavault.com/ui/#object/account__v/V4TZ06G6O71TAFO", "JUAN BERNARDO CABEZUELO ROMERO")</f>
        <v>JUAN BERNARDO CABEZUELO ROMERO</v>
      </c>
      <c r="B1156" s="7" t="str">
        <f>HYPERLINK("https://otsuka-europe-crm.veevavault.com/ui/#object/vcountry__v/VENZ000004SONF5", "ES")</f>
        <v>ES</v>
      </c>
      <c r="C1156" s="8" t="s">
        <v>41</v>
      </c>
      <c r="D1156" s="9" t="str">
        <f>HYPERLINK("https://otsuka-europe-crm.veevavault.com/ui/#object/approved_document__v/V5O00000001H022", "LUP - VAE invitación simposio SEN-SER - Nefro")</f>
        <v>LUP - VAE invitación simposio SEN-SER - Nefro</v>
      </c>
      <c r="E1156" s="10" t="str">
        <f>HYPERLINK("https://otsuka-europe-crm.veevavault.com/ui/#object/sent_email__v/VBL00000002N401", "SE-001431382")</f>
        <v>SE-001431382</v>
      </c>
      <c r="F1156" s="11"/>
      <c r="G1156" s="12">
        <v>0</v>
      </c>
      <c r="H1156" s="12">
        <v>0</v>
      </c>
      <c r="I1156" s="12">
        <v>0</v>
      </c>
      <c r="J1156" s="11"/>
      <c r="K1156" s="12">
        <v>0</v>
      </c>
      <c r="L1156" s="10" t="str">
        <f>HYPERLINK("https://otsuka-europe-crm.veevavault.com/ui/#object/approved_document__v/V5O00000001H022", "LUP - VAE invitación simposio SEN-SER - Nefro")</f>
        <v>LUP - VAE invitación simposio SEN-SER - Nefro</v>
      </c>
      <c r="M1156" s="10" t="str">
        <f>HYPERLINK("mailto:ccalero@crm.otsuka-europe.com", "ccalero@crm.otsuka-europe.com")</f>
        <v>ccalero@crm.otsuka-europe.com</v>
      </c>
      <c r="N1156" s="13">
        <v>46175.47148148148</v>
      </c>
      <c r="O1156" s="14" t="str">
        <f>HYPERLINK("https://otsuka-europe-crm.veevavault.com/ui/#object/email_activity__v/V8C00000003L551", "EN-002087143")</f>
        <v>EN-002087143</v>
      </c>
    </row>
    <row r="1157" spans="1:15" ht="16" x14ac:dyDescent="0.2">
      <c r="A1157" s="17" t="str">
        <f>HYPERLINK("https://otsuka-europe-crm.veevavault.com/ui/#object/account__v/V4TZ04ASGAV2OAR", "FERNANDO FRANCISCO HADAD ARRASCUE")</f>
        <v>FERNANDO FRANCISCO HADAD ARRASCUE</v>
      </c>
      <c r="B1157" s="17" t="str">
        <f>HYPERLINK("https://otsuka-europe-crm.veevavault.com/ui/#object/vcountry__v/VENZ000004SONF5", "ES")</f>
        <v>ES</v>
      </c>
      <c r="C1157" s="20" t="s">
        <v>41</v>
      </c>
      <c r="D1157" s="21" t="str">
        <f>HYPERLINK("https://otsuka-europe-crm.veevavault.com/ui/#object/approved_document__v/V5O00000001H022", "LUP - VAE invitación simposio SEN-SER - Nefro")</f>
        <v>LUP - VAE invitación simposio SEN-SER - Nefro</v>
      </c>
      <c r="E1157" s="22" t="str">
        <f>HYPERLINK("https://otsuka-europe-crm.veevavault.com/ui/#object/sent_email__v/VBL00000002N402", "SE-001431383")</f>
        <v>SE-001431383</v>
      </c>
      <c r="F1157" s="23">
        <v>46178.638009259259</v>
      </c>
      <c r="G1157" s="24">
        <v>1</v>
      </c>
      <c r="H1157" s="24">
        <v>2</v>
      </c>
      <c r="I1157" s="24">
        <v>0</v>
      </c>
      <c r="J1157" s="25"/>
      <c r="K1157" s="24">
        <v>0</v>
      </c>
      <c r="L1157" s="22" t="str">
        <f>HYPERLINK("https://otsuka-europe-crm.veevavault.com/ui/#object/approved_document__v/V5O00000001H022", "LUP - VAE invitación simposio SEN-SER - Nefro")</f>
        <v>LUP - VAE invitación simposio SEN-SER - Nefro</v>
      </c>
      <c r="M1157" s="22" t="str">
        <f>HYPERLINK("mailto:ccalero@crm.otsuka-europe.com", "ccalero@crm.otsuka-europe.com")</f>
        <v>ccalero@crm.otsuka-europe.com</v>
      </c>
      <c r="N1157" s="23">
        <v>46175.471493055556</v>
      </c>
      <c r="O1157" s="14" t="str">
        <f>HYPERLINK("https://otsuka-europe-crm.veevavault.com/ui/#object/email_activity__v/V8C00000003L589", "EN-002087196")</f>
        <v>EN-002087196</v>
      </c>
    </row>
    <row r="1158" spans="1:15" ht="16" x14ac:dyDescent="0.2">
      <c r="A1158" s="18"/>
      <c r="B1158" s="18"/>
      <c r="C1158" s="18"/>
      <c r="D1158" s="18"/>
      <c r="E1158" s="18"/>
      <c r="F1158" s="18"/>
      <c r="G1158" s="18"/>
      <c r="H1158" s="18"/>
      <c r="I1158" s="18"/>
      <c r="J1158" s="18"/>
      <c r="K1158" s="18"/>
      <c r="L1158" s="18"/>
      <c r="M1158" s="18"/>
      <c r="N1158" s="18"/>
      <c r="O1158" s="14" t="str">
        <f>HYPERLINK("https://otsuka-europe-crm.veevavault.com/ui/#object/email_activity__v/V8C00000003L916", "EN-002087824")</f>
        <v>EN-002087824</v>
      </c>
    </row>
    <row r="1159" spans="1:15" ht="16" x14ac:dyDescent="0.2">
      <c r="A1159" s="19"/>
      <c r="B1159" s="19"/>
      <c r="C1159" s="19"/>
      <c r="D1159" s="19"/>
      <c r="E1159" s="19"/>
      <c r="F1159" s="19"/>
      <c r="G1159" s="19"/>
      <c r="H1159" s="19"/>
      <c r="I1159" s="19"/>
      <c r="J1159" s="19"/>
      <c r="K1159" s="19"/>
      <c r="L1159" s="19"/>
      <c r="M1159" s="19"/>
      <c r="N1159" s="19"/>
      <c r="O1159" s="14" t="str">
        <f>HYPERLINK("https://otsuka-europe-crm.veevavault.com/ui/#object/email_activity__v/V8C00000003O066", "EN-002089384")</f>
        <v>EN-002089384</v>
      </c>
    </row>
    <row r="1160" spans="1:15" ht="16" x14ac:dyDescent="0.2">
      <c r="A1160" s="17" t="str">
        <f>HYPERLINK("https://otsuka-europe-crm.veevavault.com/ui/#object/account__v/V4TZ06G6O71TB0O", "CARIDAD MARTINEZ VILLANUEVA")</f>
        <v>CARIDAD MARTINEZ VILLANUEVA</v>
      </c>
      <c r="B1160" s="17" t="str">
        <f>HYPERLINK("https://otsuka-europe-crm.veevavault.com/ui/#object/vcountry__v/VENZ000004SONF5", "ES")</f>
        <v>ES</v>
      </c>
      <c r="C1160" s="20" t="s">
        <v>41</v>
      </c>
      <c r="D1160" s="21" t="str">
        <f>HYPERLINK("https://otsuka-europe-crm.veevavault.com/ui/#object/approved_document__v/V5O00000001H022", "LUP - VAE invitación simposio SEN-SER - Nefro")</f>
        <v>LUP - VAE invitación simposio SEN-SER - Nefro</v>
      </c>
      <c r="E1160" s="22" t="str">
        <f>HYPERLINK("https://otsuka-europe-crm.veevavault.com/ui/#object/sent_email__v/VBL00000002N403", "SE-001431384")</f>
        <v>SE-001431384</v>
      </c>
      <c r="F1160" s="23">
        <v>46175.570949074077</v>
      </c>
      <c r="G1160" s="24">
        <v>1</v>
      </c>
      <c r="H1160" s="24">
        <v>2</v>
      </c>
      <c r="I1160" s="24">
        <v>0</v>
      </c>
      <c r="J1160" s="25"/>
      <c r="K1160" s="24">
        <v>0</v>
      </c>
      <c r="L1160" s="22" t="str">
        <f>HYPERLINK("https://otsuka-europe-crm.veevavault.com/ui/#object/approved_document__v/V5O00000001H022", "LUP - VAE invitación simposio SEN-SER - Nefro")</f>
        <v>LUP - VAE invitación simposio SEN-SER - Nefro</v>
      </c>
      <c r="M1160" s="22" t="str">
        <f>HYPERLINK("mailto:ccalero@crm.otsuka-europe.com", "ccalero@crm.otsuka-europe.com")</f>
        <v>ccalero@crm.otsuka-europe.com</v>
      </c>
      <c r="N1160" s="23">
        <v>46175.471493055556</v>
      </c>
      <c r="O1160" s="14" t="str">
        <f>HYPERLINK("https://otsuka-europe-crm.veevavault.com/ui/#object/email_activity__v/V8C00000003K683", "EN-002087153")</f>
        <v>EN-002087153</v>
      </c>
    </row>
    <row r="1161" spans="1:15" ht="16" x14ac:dyDescent="0.2">
      <c r="A1161" s="18"/>
      <c r="B1161" s="18"/>
      <c r="C1161" s="18"/>
      <c r="D1161" s="18"/>
      <c r="E1161" s="18"/>
      <c r="F1161" s="18"/>
      <c r="G1161" s="18"/>
      <c r="H1161" s="18"/>
      <c r="I1161" s="18"/>
      <c r="J1161" s="18"/>
      <c r="K1161" s="18"/>
      <c r="L1161" s="18"/>
      <c r="M1161" s="18"/>
      <c r="N1161" s="18"/>
      <c r="O1161" s="14" t="str">
        <f>HYPERLINK("https://otsuka-europe-crm.veevavault.com/ui/#object/email_activity__v/V8C00000003L865", "EN-002087726")</f>
        <v>EN-002087726</v>
      </c>
    </row>
    <row r="1162" spans="1:15" ht="16" x14ac:dyDescent="0.2">
      <c r="A1162" s="19"/>
      <c r="B1162" s="19"/>
      <c r="C1162" s="19"/>
      <c r="D1162" s="19"/>
      <c r="E1162" s="19"/>
      <c r="F1162" s="19"/>
      <c r="G1162" s="19"/>
      <c r="H1162" s="19"/>
      <c r="I1162" s="19"/>
      <c r="J1162" s="19"/>
      <c r="K1162" s="19"/>
      <c r="L1162" s="19"/>
      <c r="M1162" s="19"/>
      <c r="N1162" s="19"/>
      <c r="O1162" s="14" t="str">
        <f>HYPERLINK("https://otsuka-europe-crm.veevavault.com/ui/#object/email_activity__v/V8C00000003L867", "EN-002087728")</f>
        <v>EN-002087728</v>
      </c>
    </row>
    <row r="1163" spans="1:15" ht="32" x14ac:dyDescent="0.2">
      <c r="A1163" s="7" t="str">
        <f>HYPERLINK("https://otsuka-europe-crm.veevavault.com/ui/#object/account__v/V4TZ06G6O71TAX6", "JOSEFA MARTIN RIVAS")</f>
        <v>JOSEFA MARTIN RIVAS</v>
      </c>
      <c r="B1163" s="7" t="str">
        <f>HYPERLINK("https://otsuka-europe-crm.veevavault.com/ui/#object/vcountry__v/VENZ000004SONF5", "ES")</f>
        <v>ES</v>
      </c>
      <c r="C1163" s="8" t="s">
        <v>41</v>
      </c>
      <c r="D1163" s="9" t="str">
        <f>HYPERLINK("https://otsuka-europe-crm.veevavault.com/ui/#object/approved_document__v/V5O00000001H022", "LUP - VAE invitación simposio SEN-SER - Nefro")</f>
        <v>LUP - VAE invitación simposio SEN-SER - Nefro</v>
      </c>
      <c r="E1163" s="10" t="str">
        <f>HYPERLINK("https://otsuka-europe-crm.veevavault.com/ui/#object/sent_email__v/VBL00000002N404", "SE-001431385")</f>
        <v>SE-001431385</v>
      </c>
      <c r="F1163" s="11"/>
      <c r="G1163" s="12">
        <v>0</v>
      </c>
      <c r="H1163" s="12">
        <v>0</v>
      </c>
      <c r="I1163" s="12">
        <v>0</v>
      </c>
      <c r="J1163" s="11"/>
      <c r="K1163" s="12">
        <v>0</v>
      </c>
      <c r="L1163" s="10" t="str">
        <f>HYPERLINK("https://otsuka-europe-crm.veevavault.com/ui/#object/approved_document__v/V5O00000001H022", "LUP - VAE invitación simposio SEN-SER - Nefro")</f>
        <v>LUP - VAE invitación simposio SEN-SER - Nefro</v>
      </c>
      <c r="M1163" s="10" t="str">
        <f>HYPERLINK("mailto:ccalero@crm.otsuka-europe.com", "ccalero@crm.otsuka-europe.com")</f>
        <v>ccalero@crm.otsuka-europe.com</v>
      </c>
      <c r="N1163" s="13">
        <v>46175.47148148148</v>
      </c>
      <c r="O1163" s="14" t="str">
        <f>HYPERLINK("https://otsuka-europe-crm.veevavault.com/ui/#object/email_activity__v/V8C00000003K692", "EN-002087184")</f>
        <v>EN-002087184</v>
      </c>
    </row>
    <row r="1164" spans="1:15" ht="32" x14ac:dyDescent="0.2">
      <c r="A1164" s="7" t="str">
        <f>HYPERLINK("https://otsuka-europe-crm.veevavault.com/ui/#object/account__v/V4TZ06G6O71TBQM", "FERNANDO JOSE RAMOS TORRE")</f>
        <v>FERNANDO JOSE RAMOS TORRE</v>
      </c>
      <c r="B1164" s="7" t="str">
        <f>HYPERLINK("https://otsuka-europe-crm.veevavault.com/ui/#object/vcountry__v/VENZ000004SONF5", "ES")</f>
        <v>ES</v>
      </c>
      <c r="C1164" s="8" t="s">
        <v>41</v>
      </c>
      <c r="D1164" s="9" t="str">
        <f>HYPERLINK("https://otsuka-europe-crm.veevavault.com/ui/#object/approved_document__v/V5O00000001H022", "LUP - VAE invitación simposio SEN-SER - Nefro")</f>
        <v>LUP - VAE invitación simposio SEN-SER - Nefro</v>
      </c>
      <c r="E1164" s="10" t="str">
        <f>HYPERLINK("https://otsuka-europe-crm.veevavault.com/ui/#object/sent_email__v/VBL00000002N405", "SE-001431386")</f>
        <v>SE-001431386</v>
      </c>
      <c r="F1164" s="11"/>
      <c r="G1164" s="12">
        <v>0</v>
      </c>
      <c r="H1164" s="12">
        <v>0</v>
      </c>
      <c r="I1164" s="12">
        <v>0</v>
      </c>
      <c r="J1164" s="11"/>
      <c r="K1164" s="12">
        <v>0</v>
      </c>
      <c r="L1164" s="10" t="str">
        <f>HYPERLINK("https://otsuka-europe-crm.veevavault.com/ui/#object/approved_document__v/V5O00000001H022", "LUP - VAE invitación simposio SEN-SER - Nefro")</f>
        <v>LUP - VAE invitación simposio SEN-SER - Nefro</v>
      </c>
      <c r="M1164" s="10" t="str">
        <f>HYPERLINK("mailto:ccalero@crm.otsuka-europe.com", "ccalero@crm.otsuka-europe.com")</f>
        <v>ccalero@crm.otsuka-europe.com</v>
      </c>
      <c r="N1164" s="13">
        <v>46175.47148148148</v>
      </c>
      <c r="O1164" s="14" t="str">
        <f>HYPERLINK("https://otsuka-europe-crm.veevavault.com/ui/#object/email_activity__v/V8C00000003N264", "EN-002088341")</f>
        <v>EN-002088341</v>
      </c>
    </row>
    <row r="1165" spans="1:15" ht="16" x14ac:dyDescent="0.2">
      <c r="A1165" s="17" t="str">
        <f>HYPERLINK("https://otsuka-europe-crm.veevavault.com/ui/#object/account__v/V4TZ06G6O71TB0J", "ANA MARIA MARTINEZ CANET")</f>
        <v>ANA MARIA MARTINEZ CANET</v>
      </c>
      <c r="B1165" s="17" t="str">
        <f>HYPERLINK("https://otsuka-europe-crm.veevavault.com/ui/#object/vcountry__v/VENZ000004SONF5", "ES")</f>
        <v>ES</v>
      </c>
      <c r="C1165" s="20" t="s">
        <v>41</v>
      </c>
      <c r="D1165" s="21" t="str">
        <f>HYPERLINK("https://otsuka-europe-crm.veevavault.com/ui/#object/approved_document__v/V5O00000001H022", "LUP - VAE invitación simposio SEN-SER - Nefro")</f>
        <v>LUP - VAE invitación simposio SEN-SER - Nefro</v>
      </c>
      <c r="E1165" s="22" t="str">
        <f>HYPERLINK("https://otsuka-europe-crm.veevavault.com/ui/#object/sent_email__v/VBL00000002N406", "SE-001431387")</f>
        <v>SE-001431387</v>
      </c>
      <c r="F1165" s="23">
        <v>46177.570497685185</v>
      </c>
      <c r="G1165" s="24">
        <v>1</v>
      </c>
      <c r="H1165" s="24">
        <v>1</v>
      </c>
      <c r="I1165" s="24">
        <v>0</v>
      </c>
      <c r="J1165" s="25"/>
      <c r="K1165" s="24">
        <v>0</v>
      </c>
      <c r="L1165" s="22" t="str">
        <f>HYPERLINK("https://otsuka-europe-crm.veevavault.com/ui/#object/approved_document__v/V5O00000001H022", "LUP - VAE invitación simposio SEN-SER - Nefro")</f>
        <v>LUP - VAE invitación simposio SEN-SER - Nefro</v>
      </c>
      <c r="M1165" s="22" t="str">
        <f>HYPERLINK("mailto:ccalero@crm.otsuka-europe.com", "ccalero@crm.otsuka-europe.com")</f>
        <v>ccalero@crm.otsuka-europe.com</v>
      </c>
      <c r="N1165" s="23">
        <v>46175.47148148148</v>
      </c>
      <c r="O1165" s="14" t="str">
        <f>HYPERLINK("https://otsuka-europe-crm.veevavault.com/ui/#object/email_activity__v/V8C00000003L549", "EN-002087141")</f>
        <v>EN-002087141</v>
      </c>
    </row>
    <row r="1166" spans="1:15" ht="16" x14ac:dyDescent="0.2">
      <c r="A1166" s="18"/>
      <c r="B1166" s="18"/>
      <c r="C1166" s="18"/>
      <c r="D1166" s="18"/>
      <c r="E1166" s="18"/>
      <c r="F1166" s="18"/>
      <c r="G1166" s="18"/>
      <c r="H1166" s="18"/>
      <c r="I1166" s="18"/>
      <c r="J1166" s="18"/>
      <c r="K1166" s="18"/>
      <c r="L1166" s="18"/>
      <c r="M1166" s="18"/>
      <c r="N1166" s="18"/>
      <c r="O1166" s="14" t="str">
        <f>HYPERLINK("https://otsuka-europe-crm.veevavault.com/ui/#object/email_activity__v/V8C00000003M543", "EN-002089110")</f>
        <v>EN-002089110</v>
      </c>
    </row>
    <row r="1167" spans="1:15" ht="16" x14ac:dyDescent="0.2">
      <c r="A1167" s="19"/>
      <c r="B1167" s="19"/>
      <c r="C1167" s="19"/>
      <c r="D1167" s="19"/>
      <c r="E1167" s="19"/>
      <c r="F1167" s="19"/>
      <c r="G1167" s="19"/>
      <c r="H1167" s="19"/>
      <c r="I1167" s="19"/>
      <c r="J1167" s="19"/>
      <c r="K1167" s="19"/>
      <c r="L1167" s="19"/>
      <c r="M1167" s="19"/>
      <c r="N1167" s="19"/>
      <c r="O1167" s="14" t="str">
        <f>HYPERLINK("https://otsuka-europe-crm.veevavault.com/ui/#object/email_activity__v/V8C00000003N462", "EN-002088731")</f>
        <v>EN-002088731</v>
      </c>
    </row>
    <row r="1168" spans="1:15" ht="32" x14ac:dyDescent="0.2">
      <c r="A1168" s="7" t="str">
        <f>HYPERLINK("https://otsuka-europe-crm.veevavault.com/ui/#object/account__v/V4TZ06G6O71TBAJ", "EDUARDO MUÑOZ DE BUSTILLO LLORENTE")</f>
        <v>EDUARDO MUÑOZ DE BUSTILLO LLORENTE</v>
      </c>
      <c r="B1168" s="7" t="str">
        <f>HYPERLINK("https://otsuka-europe-crm.veevavault.com/ui/#object/vcountry__v/VENZ000004SONF5", "ES")</f>
        <v>ES</v>
      </c>
      <c r="C1168" s="8" t="s">
        <v>41</v>
      </c>
      <c r="D1168" s="9" t="str">
        <f>HYPERLINK("https://otsuka-europe-crm.veevavault.com/ui/#object/approved_document__v/V5O00000001H022", "LUP - VAE invitación simposio SEN-SER - Nefro")</f>
        <v>LUP - VAE invitación simposio SEN-SER - Nefro</v>
      </c>
      <c r="E1168" s="10" t="str">
        <f>HYPERLINK("https://otsuka-europe-crm.veevavault.com/ui/#object/sent_email__v/VBL00000002N407", "SE-001431388")</f>
        <v>SE-001431388</v>
      </c>
      <c r="F1168" s="11"/>
      <c r="G1168" s="12">
        <v>0</v>
      </c>
      <c r="H1168" s="12">
        <v>0</v>
      </c>
      <c r="I1168" s="12">
        <v>0</v>
      </c>
      <c r="J1168" s="11"/>
      <c r="K1168" s="12">
        <v>0</v>
      </c>
      <c r="L1168" s="10" t="str">
        <f>HYPERLINK("https://otsuka-europe-crm.veevavault.com/ui/#object/approved_document__v/V5O00000001H022", "LUP - VAE invitación simposio SEN-SER - Nefro")</f>
        <v>LUP - VAE invitación simposio SEN-SER - Nefro</v>
      </c>
      <c r="M1168" s="10" t="str">
        <f>HYPERLINK("mailto:ccalero@crm.otsuka-europe.com", "ccalero@crm.otsuka-europe.com")</f>
        <v>ccalero@crm.otsuka-europe.com</v>
      </c>
      <c r="N1168" s="13">
        <v>46175.47148148148</v>
      </c>
      <c r="O1168" s="14" t="str">
        <f>HYPERLINK("https://otsuka-europe-crm.veevavault.com/ui/#object/email_activity__v/V8C00000003L567", "EN-002087161")</f>
        <v>EN-002087161</v>
      </c>
    </row>
    <row r="1169" spans="1:15" ht="32" x14ac:dyDescent="0.2">
      <c r="A1169" s="7" t="str">
        <f>HYPERLINK("https://otsuka-europe-crm.veevavault.com/ui/#object/account__v/V4TZ06G6O71TC39", "ASUNCION RIUS PERIS")</f>
        <v>ASUNCION RIUS PERIS</v>
      </c>
      <c r="B1169" s="7" t="str">
        <f>HYPERLINK("https://otsuka-europe-crm.veevavault.com/ui/#object/vcountry__v/VENZ000004SONF5", "ES")</f>
        <v>ES</v>
      </c>
      <c r="C1169" s="8" t="s">
        <v>41</v>
      </c>
      <c r="D1169" s="9" t="str">
        <f>HYPERLINK("https://otsuka-europe-crm.veevavault.com/ui/#object/approved_document__v/V5O00000001H022", "LUP - VAE invitación simposio SEN-SER - Nefro")</f>
        <v>LUP - VAE invitación simposio SEN-SER - Nefro</v>
      </c>
      <c r="E1169" s="10" t="str">
        <f>HYPERLINK("https://otsuka-europe-crm.veevavault.com/ui/#object/sent_email__v/VBL00000002N408", "SE-001431389")</f>
        <v>SE-001431389</v>
      </c>
      <c r="F1169" s="11"/>
      <c r="G1169" s="12">
        <v>0</v>
      </c>
      <c r="H1169" s="12">
        <v>0</v>
      </c>
      <c r="I1169" s="12">
        <v>0</v>
      </c>
      <c r="J1169" s="11"/>
      <c r="K1169" s="12">
        <v>0</v>
      </c>
      <c r="L1169" s="10" t="str">
        <f>HYPERLINK("https://otsuka-europe-crm.veevavault.com/ui/#object/approved_document__v/V5O00000001H022", "LUP - VAE invitación simposio SEN-SER - Nefro")</f>
        <v>LUP - VAE invitación simposio SEN-SER - Nefro</v>
      </c>
      <c r="M1169" s="10" t="str">
        <f>HYPERLINK("mailto:ccalero@crm.otsuka-europe.com", "ccalero@crm.otsuka-europe.com")</f>
        <v>ccalero@crm.otsuka-europe.com</v>
      </c>
      <c r="N1169" s="13">
        <v>46175.471493055556</v>
      </c>
      <c r="O1169" s="14" t="str">
        <f>HYPERLINK("https://otsuka-europe-crm.veevavault.com/ui/#object/email_activity__v/V8C00000003L588", "EN-002087192")</f>
        <v>EN-002087192</v>
      </c>
    </row>
    <row r="1170" spans="1:15" ht="16" x14ac:dyDescent="0.2">
      <c r="A1170" s="17" t="str">
        <f>HYPERLINK("https://otsuka-europe-crm.veevavault.com/ui/#object/account__v/V4TZ06G6OBS5ZHG", "CONCEPCION ALCAZAR FAJARDO")</f>
        <v>CONCEPCION ALCAZAR FAJARDO</v>
      </c>
      <c r="B1170" s="17" t="str">
        <f>HYPERLINK("https://otsuka-europe-crm.veevavault.com/ui/#object/vcountry__v/VENZ000004SONF5", "ES")</f>
        <v>ES</v>
      </c>
      <c r="C1170" s="20" t="s">
        <v>41</v>
      </c>
      <c r="D1170" s="21" t="str">
        <f>HYPERLINK("https://otsuka-europe-crm.veevavault.com/ui/#object/approved_document__v/V5O00000001H022", "LUP - VAE invitación simposio SEN-SER - Nefro")</f>
        <v>LUP - VAE invitación simposio SEN-SER - Nefro</v>
      </c>
      <c r="E1170" s="22" t="str">
        <f>HYPERLINK("https://otsuka-europe-crm.veevavault.com/ui/#object/sent_email__v/VBL00000002N409", "SE-001431390")</f>
        <v>SE-001431390</v>
      </c>
      <c r="F1170" s="23">
        <v>46175.720046296294</v>
      </c>
      <c r="G1170" s="24">
        <v>1</v>
      </c>
      <c r="H1170" s="24">
        <v>1</v>
      </c>
      <c r="I1170" s="24">
        <v>0</v>
      </c>
      <c r="J1170" s="25"/>
      <c r="K1170" s="24">
        <v>0</v>
      </c>
      <c r="L1170" s="22" t="str">
        <f>HYPERLINK("https://otsuka-europe-crm.veevavault.com/ui/#object/approved_document__v/V5O00000001H022", "LUP - VAE invitación simposio SEN-SER - Nefro")</f>
        <v>LUP - VAE invitación simposio SEN-SER - Nefro</v>
      </c>
      <c r="M1170" s="22" t="str">
        <f>HYPERLINK("mailto:ccalero@crm.otsuka-europe.com", "ccalero@crm.otsuka-europe.com")</f>
        <v>ccalero@crm.otsuka-europe.com</v>
      </c>
      <c r="N1170" s="23">
        <v>46175.471493055556</v>
      </c>
      <c r="O1170" s="14" t="str">
        <f>HYPERLINK("https://otsuka-europe-crm.veevavault.com/ui/#object/email_activity__v/V8C00000003K696", "EN-002087195")</f>
        <v>EN-002087195</v>
      </c>
    </row>
    <row r="1171" spans="1:15" ht="16" x14ac:dyDescent="0.2">
      <c r="A1171" s="18"/>
      <c r="B1171" s="18"/>
      <c r="C1171" s="18"/>
      <c r="D1171" s="18"/>
      <c r="E1171" s="18"/>
      <c r="F1171" s="18"/>
      <c r="G1171" s="18"/>
      <c r="H1171" s="18"/>
      <c r="I1171" s="18"/>
      <c r="J1171" s="18"/>
      <c r="K1171" s="18"/>
      <c r="L1171" s="18"/>
      <c r="M1171" s="18"/>
      <c r="N1171" s="18"/>
      <c r="O1171" s="14" t="str">
        <f>HYPERLINK("https://otsuka-europe-crm.veevavault.com/ui/#object/email_activity__v/V8C00000003M114", "EN-002088043")</f>
        <v>EN-002088043</v>
      </c>
    </row>
    <row r="1172" spans="1:15" ht="16" x14ac:dyDescent="0.2">
      <c r="A1172" s="18"/>
      <c r="B1172" s="18"/>
      <c r="C1172" s="18"/>
      <c r="D1172" s="18"/>
      <c r="E1172" s="18"/>
      <c r="F1172" s="18"/>
      <c r="G1172" s="18"/>
      <c r="H1172" s="18"/>
      <c r="I1172" s="18"/>
      <c r="J1172" s="18"/>
      <c r="K1172" s="18"/>
      <c r="L1172" s="18"/>
      <c r="M1172" s="18"/>
      <c r="N1172" s="18"/>
      <c r="O1172" s="14" t="str">
        <f>HYPERLINK("https://otsuka-europe-crm.veevavault.com/ui/#object/email_activity__v/V8C00000003O077", "EN-002089408")</f>
        <v>EN-002089408</v>
      </c>
    </row>
    <row r="1173" spans="1:15" ht="16" x14ac:dyDescent="0.2">
      <c r="A1173" s="19"/>
      <c r="B1173" s="19"/>
      <c r="C1173" s="19"/>
      <c r="D1173" s="19"/>
      <c r="E1173" s="19"/>
      <c r="F1173" s="19"/>
      <c r="G1173" s="19"/>
      <c r="H1173" s="19"/>
      <c r="I1173" s="19"/>
      <c r="J1173" s="19"/>
      <c r="K1173" s="19"/>
      <c r="L1173" s="19"/>
      <c r="M1173" s="19"/>
      <c r="N1173" s="19"/>
      <c r="O1173" s="14" t="str">
        <f>HYPERLINK("https://otsuka-europe-crm.veevavault.com/ui/#object/email_activity__v/V8C00000003U572", "EN-002095965")</f>
        <v>EN-002095965</v>
      </c>
    </row>
    <row r="1174" spans="1:15" ht="32" x14ac:dyDescent="0.2">
      <c r="A1174" s="7" t="str">
        <f>HYPERLINK("https://otsuka-europe-crm.veevavault.com/ui/#object/account__v/V4TZ06G6O71T98A", "ESTER BEA REYES")</f>
        <v>ESTER BEA REYES</v>
      </c>
      <c r="B1174" s="7" t="str">
        <f>HYPERLINK("https://otsuka-europe-crm.veevavault.com/ui/#object/vcountry__v/VENZ000004SONF5", "ES")</f>
        <v>ES</v>
      </c>
      <c r="C1174" s="8" t="s">
        <v>41</v>
      </c>
      <c r="D1174" s="9" t="str">
        <f>HYPERLINK("https://otsuka-europe-crm.veevavault.com/ui/#object/approved_document__v/V5O00000001H022", "LUP - VAE invitación simposio SEN-SER - Nefro")</f>
        <v>LUP - VAE invitación simposio SEN-SER - Nefro</v>
      </c>
      <c r="E1174" s="10" t="str">
        <f>HYPERLINK("https://otsuka-europe-crm.veevavault.com/ui/#object/sent_email__v/VBL00000002N410", "SE-001431391")</f>
        <v>SE-001431391</v>
      </c>
      <c r="F1174" s="11"/>
      <c r="G1174" s="12">
        <v>0</v>
      </c>
      <c r="H1174" s="12">
        <v>0</v>
      </c>
      <c r="I1174" s="12">
        <v>0</v>
      </c>
      <c r="J1174" s="11"/>
      <c r="K1174" s="12">
        <v>0</v>
      </c>
      <c r="L1174" s="10" t="str">
        <f>HYPERLINK("https://otsuka-europe-crm.veevavault.com/ui/#object/approved_document__v/V5O00000001H022", "LUP - VAE invitación simposio SEN-SER - Nefro")</f>
        <v>LUP - VAE invitación simposio SEN-SER - Nefro</v>
      </c>
      <c r="M1174" s="10" t="str">
        <f>HYPERLINK("mailto:ccalero@crm.otsuka-europe.com", "ccalero@crm.otsuka-europe.com")</f>
        <v>ccalero@crm.otsuka-europe.com</v>
      </c>
      <c r="N1174" s="13">
        <v>46175.471493055556</v>
      </c>
      <c r="O1174" s="14" t="str">
        <f>HYPERLINK("https://otsuka-europe-crm.veevavault.com/ui/#object/email_activity__v/V8C00000003L579", "EN-002087173")</f>
        <v>EN-002087173</v>
      </c>
    </row>
    <row r="1175" spans="1:15" ht="16" x14ac:dyDescent="0.2">
      <c r="A1175" s="17" t="str">
        <f>HYPERLINK("https://otsuka-europe-crm.veevavault.com/ui/#object/account__v/V4TZ06G6O71TBJF", "FRANCISCO JAVIER PEREZ CONTRERAS")</f>
        <v>FRANCISCO JAVIER PEREZ CONTRERAS</v>
      </c>
      <c r="B1175" s="17" t="str">
        <f>HYPERLINK("https://otsuka-europe-crm.veevavault.com/ui/#object/vcountry__v/VENZ000004SONF5", "ES")</f>
        <v>ES</v>
      </c>
      <c r="C1175" s="20" t="s">
        <v>41</v>
      </c>
      <c r="D1175" s="21" t="str">
        <f>HYPERLINK("https://otsuka-europe-crm.veevavault.com/ui/#object/approved_document__v/V5O00000001H022", "LUP - VAE invitación simposio SEN-SER - Nefro")</f>
        <v>LUP - VAE invitación simposio SEN-SER - Nefro</v>
      </c>
      <c r="E1175" s="22" t="str">
        <f>HYPERLINK("https://otsuka-europe-crm.veevavault.com/ui/#object/sent_email__v/VBL00000002N411", "SE-001431392")</f>
        <v>SE-001431392</v>
      </c>
      <c r="F1175" s="23">
        <v>46175.514502314814</v>
      </c>
      <c r="G1175" s="24">
        <v>1</v>
      </c>
      <c r="H1175" s="24">
        <v>1</v>
      </c>
      <c r="I1175" s="24">
        <v>0</v>
      </c>
      <c r="J1175" s="25"/>
      <c r="K1175" s="24">
        <v>0</v>
      </c>
      <c r="L1175" s="22" t="str">
        <f>HYPERLINK("https://otsuka-europe-crm.veevavault.com/ui/#object/approved_document__v/V5O00000001H022", "LUP - VAE invitación simposio SEN-SER - Nefro")</f>
        <v>LUP - VAE invitación simposio SEN-SER - Nefro</v>
      </c>
      <c r="M1175" s="22" t="str">
        <f>HYPERLINK("mailto:ccalero@crm.otsuka-europe.com", "ccalero@crm.otsuka-europe.com")</f>
        <v>ccalero@crm.otsuka-europe.com</v>
      </c>
      <c r="N1175" s="23">
        <v>46175.471516203703</v>
      </c>
      <c r="O1175" s="14" t="str">
        <f>HYPERLINK("https://otsuka-europe-crm.veevavault.com/ui/#object/email_activity__v/V8C00000003L586", "EN-002087189")</f>
        <v>EN-002087189</v>
      </c>
    </row>
    <row r="1176" spans="1:15" ht="16" x14ac:dyDescent="0.2">
      <c r="A1176" s="19"/>
      <c r="B1176" s="19"/>
      <c r="C1176" s="19"/>
      <c r="D1176" s="19"/>
      <c r="E1176" s="19"/>
      <c r="F1176" s="19"/>
      <c r="G1176" s="19"/>
      <c r="H1176" s="19"/>
      <c r="I1176" s="19"/>
      <c r="J1176" s="19"/>
      <c r="K1176" s="19"/>
      <c r="L1176" s="19"/>
      <c r="M1176" s="19"/>
      <c r="N1176" s="19"/>
      <c r="O1176" s="14" t="str">
        <f>HYPERLINK("https://otsuka-europe-crm.veevavault.com/ui/#object/email_activity__v/V8C00000003L756", "EN-002087487")</f>
        <v>EN-002087487</v>
      </c>
    </row>
    <row r="1177" spans="1:15" ht="16" x14ac:dyDescent="0.2">
      <c r="A1177" s="17" t="str">
        <f>HYPERLINK("https://otsuka-europe-crm.veevavault.com/ui/#object/account__v/V4TZ06G6O71T900", "ALBERTO JAVIER ANDREU MUÑOZ")</f>
        <v>ALBERTO JAVIER ANDREU MUÑOZ</v>
      </c>
      <c r="B1177" s="17" t="str">
        <f>HYPERLINK("https://otsuka-europe-crm.veevavault.com/ui/#object/vcountry__v/VENZ000004SONF5", "ES")</f>
        <v>ES</v>
      </c>
      <c r="C1177" s="20" t="s">
        <v>41</v>
      </c>
      <c r="D1177" s="21" t="str">
        <f>HYPERLINK("https://otsuka-europe-crm.veevavault.com/ui/#object/approved_document__v/V5O00000001H022", "LUP - VAE invitación simposio SEN-SER - Nefro")</f>
        <v>LUP - VAE invitación simposio SEN-SER - Nefro</v>
      </c>
      <c r="E1177" s="22" t="str">
        <f>HYPERLINK("https://otsuka-europe-crm.veevavault.com/ui/#object/sent_email__v/VBL00000002N412", "SE-001431393")</f>
        <v>SE-001431393</v>
      </c>
      <c r="F1177" s="25"/>
      <c r="G1177" s="24">
        <v>0</v>
      </c>
      <c r="H1177" s="24">
        <v>0</v>
      </c>
      <c r="I1177" s="24">
        <v>0</v>
      </c>
      <c r="J1177" s="25"/>
      <c r="K1177" s="24">
        <v>0</v>
      </c>
      <c r="L1177" s="22" t="str">
        <f>HYPERLINK("https://otsuka-europe-crm.veevavault.com/ui/#object/approved_document__v/V5O00000001H022", "LUP - VAE invitación simposio SEN-SER - Nefro")</f>
        <v>LUP - VAE invitación simposio SEN-SER - Nefro</v>
      </c>
      <c r="M1177" s="22" t="str">
        <f>HYPERLINK("mailto:ccalero@crm.otsuka-europe.com", "ccalero@crm.otsuka-europe.com")</f>
        <v>ccalero@crm.otsuka-europe.com</v>
      </c>
      <c r="N1177" s="23">
        <v>46175.471516203703</v>
      </c>
      <c r="O1177" s="14" t="str">
        <f>HYPERLINK("https://otsuka-europe-crm.veevavault.com/ui/#object/email_activity__v/V8C00000003K835", "EN-002087518")</f>
        <v>EN-002087518</v>
      </c>
    </row>
    <row r="1178" spans="1:15" ht="16" x14ac:dyDescent="0.2">
      <c r="A1178" s="18"/>
      <c r="B1178" s="18"/>
      <c r="C1178" s="18"/>
      <c r="D1178" s="18"/>
      <c r="E1178" s="18"/>
      <c r="F1178" s="18"/>
      <c r="G1178" s="18"/>
      <c r="H1178" s="18"/>
      <c r="I1178" s="18"/>
      <c r="J1178" s="18"/>
      <c r="K1178" s="18"/>
      <c r="L1178" s="18"/>
      <c r="M1178" s="18"/>
      <c r="N1178" s="18"/>
      <c r="O1178" s="14" t="str">
        <f>HYPERLINK("https://otsuka-europe-crm.veevavault.com/ui/#object/email_activity__v/V8C00000003L582", "EN-002087185")</f>
        <v>EN-002087185</v>
      </c>
    </row>
    <row r="1179" spans="1:15" ht="16" x14ac:dyDescent="0.2">
      <c r="A1179" s="19"/>
      <c r="B1179" s="19"/>
      <c r="C1179" s="19"/>
      <c r="D1179" s="19"/>
      <c r="E1179" s="19"/>
      <c r="F1179" s="19"/>
      <c r="G1179" s="19"/>
      <c r="H1179" s="19"/>
      <c r="I1179" s="19"/>
      <c r="J1179" s="19"/>
      <c r="K1179" s="19"/>
      <c r="L1179" s="19"/>
      <c r="M1179" s="19"/>
      <c r="N1179" s="19"/>
      <c r="O1179" s="14" t="str">
        <f>HYPERLINK("https://otsuka-europe-crm.veevavault.com/ui/#object/email_activity__v/V8C00000003M055", "EN-002087937")</f>
        <v>EN-002087937</v>
      </c>
    </row>
    <row r="1180" spans="1:15" ht="16" x14ac:dyDescent="0.2">
      <c r="A1180" s="17" t="str">
        <f>HYPERLINK("https://otsuka-europe-crm.veevavault.com/ui/#object/account__v/V4TZ04ASG7RV1K0", "CLAUDIA DIEZ LOPEZ")</f>
        <v>CLAUDIA DIEZ LOPEZ</v>
      </c>
      <c r="B1180" s="17" t="str">
        <f>HYPERLINK("https://otsuka-europe-crm.veevavault.com/ui/#object/vcountry__v/VENZ000004SONF5", "ES")</f>
        <v>ES</v>
      </c>
      <c r="C1180" s="20" t="s">
        <v>41</v>
      </c>
      <c r="D1180" s="21" t="str">
        <f>HYPERLINK("https://otsuka-europe-crm.veevavault.com/ui/#object/approved_document__v/V5O00000001H022", "LUP - VAE invitación simposio SEN-SER - Nefro")</f>
        <v>LUP - VAE invitación simposio SEN-SER - Nefro</v>
      </c>
      <c r="E1180" s="22" t="str">
        <f>HYPERLINK("https://otsuka-europe-crm.veevavault.com/ui/#object/sent_email__v/VBL00000002N413", "SE-001431394")</f>
        <v>SE-001431394</v>
      </c>
      <c r="F1180" s="23">
        <v>46176.563530092593</v>
      </c>
      <c r="G1180" s="24">
        <v>1</v>
      </c>
      <c r="H1180" s="24">
        <v>2</v>
      </c>
      <c r="I1180" s="24">
        <v>0</v>
      </c>
      <c r="J1180" s="25"/>
      <c r="K1180" s="24">
        <v>0</v>
      </c>
      <c r="L1180" s="22" t="str">
        <f>HYPERLINK("https://otsuka-europe-crm.veevavault.com/ui/#object/approved_document__v/V5O00000001H022", "LUP - VAE invitación simposio SEN-SER - Nefro")</f>
        <v>LUP - VAE invitación simposio SEN-SER - Nefro</v>
      </c>
      <c r="M1180" s="22" t="str">
        <f>HYPERLINK("mailto:ccalero@crm.otsuka-europe.com", "ccalero@crm.otsuka-europe.com")</f>
        <v>ccalero@crm.otsuka-europe.com</v>
      </c>
      <c r="N1180" s="23">
        <v>46175.471516203703</v>
      </c>
      <c r="O1180" s="14" t="str">
        <f>HYPERLINK("https://otsuka-europe-crm.veevavault.com/ui/#object/email_activity__v/V8C00000003L553", "EN-002087145")</f>
        <v>EN-002087145</v>
      </c>
    </row>
    <row r="1181" spans="1:15" ht="16" x14ac:dyDescent="0.2">
      <c r="A1181" s="18"/>
      <c r="B1181" s="18"/>
      <c r="C1181" s="18"/>
      <c r="D1181" s="18"/>
      <c r="E1181" s="18"/>
      <c r="F1181" s="18"/>
      <c r="G1181" s="18"/>
      <c r="H1181" s="18"/>
      <c r="I1181" s="18"/>
      <c r="J1181" s="18"/>
      <c r="K1181" s="18"/>
      <c r="L1181" s="18"/>
      <c r="M1181" s="18"/>
      <c r="N1181" s="18"/>
      <c r="O1181" s="14" t="str">
        <f>HYPERLINK("https://otsuka-europe-crm.veevavault.com/ui/#object/email_activity__v/V8C00000003M360", "EN-002088724")</f>
        <v>EN-002088724</v>
      </c>
    </row>
    <row r="1182" spans="1:15" ht="16" x14ac:dyDescent="0.2">
      <c r="A1182" s="19"/>
      <c r="B1182" s="19"/>
      <c r="C1182" s="19"/>
      <c r="D1182" s="19"/>
      <c r="E1182" s="19"/>
      <c r="F1182" s="19"/>
      <c r="G1182" s="19"/>
      <c r="H1182" s="19"/>
      <c r="I1182" s="19"/>
      <c r="J1182" s="19"/>
      <c r="K1182" s="19"/>
      <c r="L1182" s="19"/>
      <c r="M1182" s="19"/>
      <c r="N1182" s="19"/>
      <c r="O1182" s="14" t="str">
        <f>HYPERLINK("https://otsuka-europe-crm.veevavault.com/ui/#object/email_activity__v/V8C00000003N459", "EN-002088725")</f>
        <v>EN-002088725</v>
      </c>
    </row>
    <row r="1183" spans="1:15" ht="16" x14ac:dyDescent="0.2">
      <c r="A1183" s="17" t="str">
        <f>HYPERLINK("https://otsuka-europe-crm.veevavault.com/ui/#object/account__v/V4TZ06G6O71TCHL", "ISIDRO ANTON TORREGROSA MAICAS")</f>
        <v>ISIDRO ANTON TORREGROSA MAICAS</v>
      </c>
      <c r="B1183" s="17" t="str">
        <f>HYPERLINK("https://otsuka-europe-crm.veevavault.com/ui/#object/vcountry__v/VENZ000004SONF5", "ES")</f>
        <v>ES</v>
      </c>
      <c r="C1183" s="20" t="s">
        <v>41</v>
      </c>
      <c r="D1183" s="21" t="str">
        <f>HYPERLINK("https://otsuka-europe-crm.veevavault.com/ui/#object/approved_document__v/V5O00000001H022", "LUP - VAE invitación simposio SEN-SER - Nefro")</f>
        <v>LUP - VAE invitación simposio SEN-SER - Nefro</v>
      </c>
      <c r="E1183" s="22" t="str">
        <f>HYPERLINK("https://otsuka-europe-crm.veevavault.com/ui/#object/sent_email__v/VBL00000002N414", "SE-001431395")</f>
        <v>SE-001431395</v>
      </c>
      <c r="F1183" s="23">
        <v>46176.804675925923</v>
      </c>
      <c r="G1183" s="24">
        <v>1</v>
      </c>
      <c r="H1183" s="24">
        <v>1</v>
      </c>
      <c r="I1183" s="24">
        <v>1</v>
      </c>
      <c r="J1183" s="23">
        <v>46176.804675925923</v>
      </c>
      <c r="K1183" s="24">
        <v>1</v>
      </c>
      <c r="L1183" s="22" t="str">
        <f>HYPERLINK("https://otsuka-europe-crm.veevavault.com/ui/#object/approved_document__v/V5O00000001H022", "LUP - VAE invitación simposio SEN-SER - Nefro")</f>
        <v>LUP - VAE invitación simposio SEN-SER - Nefro</v>
      </c>
      <c r="M1183" s="22" t="str">
        <f>HYPERLINK("mailto:ccalero@crm.otsuka-europe.com", "ccalero@crm.otsuka-europe.com")</f>
        <v>ccalero@crm.otsuka-europe.com</v>
      </c>
      <c r="N1183" s="23">
        <v>46175.471516203703</v>
      </c>
      <c r="O1183" s="14" t="str">
        <f>HYPERLINK("https://otsuka-europe-crm.veevavault.com/ui/#object/email_activity__v/V8C00000003L572", "EN-002087166")</f>
        <v>EN-002087166</v>
      </c>
    </row>
    <row r="1184" spans="1:15" ht="16" x14ac:dyDescent="0.2">
      <c r="A1184" s="18"/>
      <c r="B1184" s="18"/>
      <c r="C1184" s="18"/>
      <c r="D1184" s="18"/>
      <c r="E1184" s="18"/>
      <c r="F1184" s="18"/>
      <c r="G1184" s="18"/>
      <c r="H1184" s="18"/>
      <c r="I1184" s="18"/>
      <c r="J1184" s="18"/>
      <c r="K1184" s="18"/>
      <c r="L1184" s="18"/>
      <c r="M1184" s="18"/>
      <c r="N1184" s="18"/>
      <c r="O1184" s="14" t="str">
        <f>HYPERLINK("https://otsuka-europe-crm.veevavault.com/ui/#object/email_activity__v/V8C00000003N516", "EN-002088818")</f>
        <v>EN-002088818</v>
      </c>
    </row>
    <row r="1185" spans="1:15" ht="16" x14ac:dyDescent="0.2">
      <c r="A1185" s="18"/>
      <c r="B1185" s="18"/>
      <c r="C1185" s="18"/>
      <c r="D1185" s="18"/>
      <c r="E1185" s="18"/>
      <c r="F1185" s="18"/>
      <c r="G1185" s="18"/>
      <c r="H1185" s="18"/>
      <c r="I1185" s="18"/>
      <c r="J1185" s="18"/>
      <c r="K1185" s="18"/>
      <c r="L1185" s="18"/>
      <c r="M1185" s="18"/>
      <c r="N1185" s="18"/>
      <c r="O1185" s="14" t="str">
        <f>HYPERLINK("https://otsuka-europe-crm.veevavault.com/ui/#object/email_activity__v/V8C00000003N517", "EN-002088817")</f>
        <v>EN-002088817</v>
      </c>
    </row>
    <row r="1186" spans="1:15" ht="16" x14ac:dyDescent="0.2">
      <c r="A1186" s="18"/>
      <c r="B1186" s="18"/>
      <c r="C1186" s="18"/>
      <c r="D1186" s="18"/>
      <c r="E1186" s="18"/>
      <c r="F1186" s="18"/>
      <c r="G1186" s="18"/>
      <c r="H1186" s="18"/>
      <c r="I1186" s="18"/>
      <c r="J1186" s="18"/>
      <c r="K1186" s="18"/>
      <c r="L1186" s="18"/>
      <c r="M1186" s="18"/>
      <c r="N1186" s="18"/>
      <c r="O1186" s="14" t="str">
        <f>HYPERLINK("https://otsuka-europe-crm.veevavault.com/ui/#object/email_activity__v/V8C00000003N524", "EN-002088828")</f>
        <v>EN-002088828</v>
      </c>
    </row>
    <row r="1187" spans="1:15" ht="16" x14ac:dyDescent="0.2">
      <c r="A1187" s="18"/>
      <c r="B1187" s="18"/>
      <c r="C1187" s="18"/>
      <c r="D1187" s="18"/>
      <c r="E1187" s="18"/>
      <c r="F1187" s="18"/>
      <c r="G1187" s="18"/>
      <c r="H1187" s="18"/>
      <c r="I1187" s="18"/>
      <c r="J1187" s="18"/>
      <c r="K1187" s="18"/>
      <c r="L1187" s="18"/>
      <c r="M1187" s="18"/>
      <c r="N1187" s="18"/>
      <c r="O1187" s="14" t="str">
        <f>HYPERLINK("https://otsuka-europe-crm.veevavault.com/ui/#object/email_activity__v/V8C00000003N526", "EN-002088830")</f>
        <v>EN-002088830</v>
      </c>
    </row>
    <row r="1188" spans="1:15" ht="16" x14ac:dyDescent="0.2">
      <c r="A1188" s="19"/>
      <c r="B1188" s="19"/>
      <c r="C1188" s="19"/>
      <c r="D1188" s="19"/>
      <c r="E1188" s="19"/>
      <c r="F1188" s="19"/>
      <c r="G1188" s="19"/>
      <c r="H1188" s="19"/>
      <c r="I1188" s="19"/>
      <c r="J1188" s="19"/>
      <c r="K1188" s="19"/>
      <c r="L1188" s="19"/>
      <c r="M1188" s="19"/>
      <c r="N1188" s="19"/>
      <c r="O1188" s="14" t="str">
        <f>HYPERLINK("https://otsuka-europe-crm.veevavault.com/ui/#object/email_activity__v/V8C00000003O001", "EN-002089241")</f>
        <v>EN-002089241</v>
      </c>
    </row>
    <row r="1189" spans="1:15" ht="32" x14ac:dyDescent="0.2">
      <c r="A1189" s="7" t="str">
        <f>HYPERLINK("https://otsuka-europe-crm.veevavault.com/ui/#object/account__v/V4TZ06G6O71TA51", "JULIAN GARCIA DE DIEGO")</f>
        <v>JULIAN GARCIA DE DIEGO</v>
      </c>
      <c r="B1189" s="7" t="str">
        <f>HYPERLINK("https://otsuka-europe-crm.veevavault.com/ui/#object/vcountry__v/VENZ000004SONF5", "ES")</f>
        <v>ES</v>
      </c>
      <c r="C1189" s="8" t="s">
        <v>41</v>
      </c>
      <c r="D1189" s="9" t="str">
        <f>HYPERLINK("https://otsuka-europe-crm.veevavault.com/ui/#object/approved_document__v/V5O00000001H022", "LUP - VAE invitación simposio SEN-SER - Nefro")</f>
        <v>LUP - VAE invitación simposio SEN-SER - Nefro</v>
      </c>
      <c r="E1189" s="10" t="str">
        <f>HYPERLINK("https://otsuka-europe-crm.veevavault.com/ui/#object/sent_email__v/VBL00000002N415", "SE-001431396")</f>
        <v>SE-001431396</v>
      </c>
      <c r="F1189" s="11"/>
      <c r="G1189" s="12">
        <v>0</v>
      </c>
      <c r="H1189" s="12">
        <v>0</v>
      </c>
      <c r="I1189" s="12">
        <v>0</v>
      </c>
      <c r="J1189" s="11"/>
      <c r="K1189" s="12">
        <v>0</v>
      </c>
      <c r="L1189" s="10" t="str">
        <f>HYPERLINK("https://otsuka-europe-crm.veevavault.com/ui/#object/approved_document__v/V5O00000001H022", "LUP - VAE invitación simposio SEN-SER - Nefro")</f>
        <v>LUP - VAE invitación simposio SEN-SER - Nefro</v>
      </c>
      <c r="M1189" s="10" t="str">
        <f>HYPERLINK("mailto:ccalero@crm.otsuka-europe.com", "ccalero@crm.otsuka-europe.com")</f>
        <v>ccalero@crm.otsuka-europe.com</v>
      </c>
      <c r="N1189" s="13">
        <v>46175.471493055556</v>
      </c>
      <c r="O1189" s="14" t="str">
        <f>HYPERLINK("https://otsuka-europe-crm.veevavault.com/ui/#object/email_activity__v/V8C00000003K694", "EN-002087193")</f>
        <v>EN-002087193</v>
      </c>
    </row>
    <row r="1190" spans="1:15" ht="16" x14ac:dyDescent="0.2">
      <c r="A1190" s="17" t="str">
        <f>HYPERLINK("https://otsuka-europe-crm.veevavault.com/ui/#object/account__v/V4TZ06G6O71TAEN", "JOSE LUIS GORRIZ TERUEL")</f>
        <v>JOSE LUIS GORRIZ TERUEL</v>
      </c>
      <c r="B1190" s="17" t="str">
        <f>HYPERLINK("https://otsuka-europe-crm.veevavault.com/ui/#object/vcountry__v/VENZ000004SONF5", "ES")</f>
        <v>ES</v>
      </c>
      <c r="C1190" s="20" t="s">
        <v>41</v>
      </c>
      <c r="D1190" s="21" t="str">
        <f>HYPERLINK("https://otsuka-europe-crm.veevavault.com/ui/#object/approved_document__v/V5O00000001H022", "LUP - VAE invitación simposio SEN-SER - Nefro")</f>
        <v>LUP - VAE invitación simposio SEN-SER - Nefro</v>
      </c>
      <c r="E1190" s="22" t="str">
        <f>HYPERLINK("https://otsuka-europe-crm.veevavault.com/ui/#object/sent_email__v/VBL00000002N416", "SE-001431397")</f>
        <v>SE-001431397</v>
      </c>
      <c r="F1190" s="25"/>
      <c r="G1190" s="24">
        <v>0</v>
      </c>
      <c r="H1190" s="24">
        <v>0</v>
      </c>
      <c r="I1190" s="24">
        <v>0</v>
      </c>
      <c r="J1190" s="25"/>
      <c r="K1190" s="24">
        <v>0</v>
      </c>
      <c r="L1190" s="22" t="str">
        <f>HYPERLINK("https://otsuka-europe-crm.veevavault.com/ui/#object/approved_document__v/V5O00000001H022", "LUP - VAE invitación simposio SEN-SER - Nefro")</f>
        <v>LUP - VAE invitación simposio SEN-SER - Nefro</v>
      </c>
      <c r="M1190" s="22" t="str">
        <f>HYPERLINK("mailto:ccalero@crm.otsuka-europe.com", "ccalero@crm.otsuka-europe.com")</f>
        <v>ccalero@crm.otsuka-europe.com</v>
      </c>
      <c r="N1190" s="23">
        <v>46175.471493055556</v>
      </c>
      <c r="O1190" s="14" t="str">
        <f>HYPERLINK("https://otsuka-europe-crm.veevavault.com/ui/#object/email_activity__v/V8C00000003L583", "EN-002087186")</f>
        <v>EN-002087186</v>
      </c>
    </row>
    <row r="1191" spans="1:15" ht="16" x14ac:dyDescent="0.2">
      <c r="A1191" s="19"/>
      <c r="B1191" s="19"/>
      <c r="C1191" s="19"/>
      <c r="D1191" s="19"/>
      <c r="E1191" s="19"/>
      <c r="F1191" s="19"/>
      <c r="G1191" s="19"/>
      <c r="H1191" s="19"/>
      <c r="I1191" s="19"/>
      <c r="J1191" s="19"/>
      <c r="K1191" s="19"/>
      <c r="L1191" s="19"/>
      <c r="M1191" s="19"/>
      <c r="N1191" s="19"/>
      <c r="O1191" s="14" t="str">
        <f>HYPERLINK("https://otsuka-europe-crm.veevavault.com/ui/#object/email_activity__v/V8C00000003M094", "EN-002088017")</f>
        <v>EN-002088017</v>
      </c>
    </row>
    <row r="1192" spans="1:15" ht="16" x14ac:dyDescent="0.2">
      <c r="A1192" s="17" t="str">
        <f>HYPERLINK("https://otsuka-europe-crm.veevavault.com/ui/#object/account__v/V4TZ06G6O71T9WA", "ANTONIO GALAN SERRANO")</f>
        <v>ANTONIO GALAN SERRANO</v>
      </c>
      <c r="B1192" s="17" t="str">
        <f>HYPERLINK("https://otsuka-europe-crm.veevavault.com/ui/#object/vcountry__v/VENZ000004SONF5", "ES")</f>
        <v>ES</v>
      </c>
      <c r="C1192" s="20" t="s">
        <v>41</v>
      </c>
      <c r="D1192" s="21" t="str">
        <f>HYPERLINK("https://otsuka-europe-crm.veevavault.com/ui/#object/approved_document__v/V5O00000001H022", "LUP - VAE invitación simposio SEN-SER - Nefro")</f>
        <v>LUP - VAE invitación simposio SEN-SER - Nefro</v>
      </c>
      <c r="E1192" s="22" t="str">
        <f>HYPERLINK("https://otsuka-europe-crm.veevavault.com/ui/#object/sent_email__v/VBL00000002N417", "SE-001431398")</f>
        <v>SE-001431398</v>
      </c>
      <c r="F1192" s="23">
        <v>46175.485659722224</v>
      </c>
      <c r="G1192" s="24">
        <v>1</v>
      </c>
      <c r="H1192" s="24">
        <v>2</v>
      </c>
      <c r="I1192" s="24">
        <v>0</v>
      </c>
      <c r="J1192" s="25"/>
      <c r="K1192" s="24">
        <v>0</v>
      </c>
      <c r="L1192" s="22" t="str">
        <f>HYPERLINK("https://otsuka-europe-crm.veevavault.com/ui/#object/approved_document__v/V5O00000001H022", "LUP - VAE invitación simposio SEN-SER - Nefro")</f>
        <v>LUP - VAE invitación simposio SEN-SER - Nefro</v>
      </c>
      <c r="M1192" s="22" t="str">
        <f>HYPERLINK("mailto:ccalero@crm.otsuka-europe.com", "ccalero@crm.otsuka-europe.com")</f>
        <v>ccalero@crm.otsuka-europe.com</v>
      </c>
      <c r="N1192" s="23">
        <v>46175.471516203703</v>
      </c>
      <c r="O1192" s="14" t="str">
        <f>HYPERLINK("https://otsuka-europe-crm.veevavault.com/ui/#object/email_activity__v/V8C00000003K775", "EN-002087405")</f>
        <v>EN-002087405</v>
      </c>
    </row>
    <row r="1193" spans="1:15" ht="16" x14ac:dyDescent="0.2">
      <c r="A1193" s="18"/>
      <c r="B1193" s="18"/>
      <c r="C1193" s="18"/>
      <c r="D1193" s="18"/>
      <c r="E1193" s="18"/>
      <c r="F1193" s="18"/>
      <c r="G1193" s="18"/>
      <c r="H1193" s="18"/>
      <c r="I1193" s="18"/>
      <c r="J1193" s="18"/>
      <c r="K1193" s="18"/>
      <c r="L1193" s="18"/>
      <c r="M1193" s="18"/>
      <c r="N1193" s="18"/>
      <c r="O1193" s="14" t="str">
        <f>HYPERLINK("https://otsuka-europe-crm.veevavault.com/ui/#object/email_activity__v/V8C00000003L556", "EN-002087148")</f>
        <v>EN-002087148</v>
      </c>
    </row>
    <row r="1194" spans="1:15" ht="16" x14ac:dyDescent="0.2">
      <c r="A1194" s="19"/>
      <c r="B1194" s="19"/>
      <c r="C1194" s="19"/>
      <c r="D1194" s="19"/>
      <c r="E1194" s="19"/>
      <c r="F1194" s="19"/>
      <c r="G1194" s="19"/>
      <c r="H1194" s="19"/>
      <c r="I1194" s="19"/>
      <c r="J1194" s="19"/>
      <c r="K1194" s="19"/>
      <c r="L1194" s="19"/>
      <c r="M1194" s="19"/>
      <c r="N1194" s="19"/>
      <c r="O1194" s="14" t="str">
        <f>HYPERLINK("https://otsuka-europe-crm.veevavault.com/ui/#object/email_activity__v/V8C00000003L720", "EN-002087406")</f>
        <v>EN-002087406</v>
      </c>
    </row>
    <row r="1195" spans="1:15" ht="16" x14ac:dyDescent="0.2">
      <c r="A1195" s="17" t="str">
        <f>HYPERLINK("https://otsuka-europe-crm.veevavault.com/ui/#object/account__v/V4TZ06G6O71TB00", "ANTONIO JOSE MARTINEZ RUIZ")</f>
        <v>ANTONIO JOSE MARTINEZ RUIZ</v>
      </c>
      <c r="B1195" s="17" t="str">
        <f>HYPERLINK("https://otsuka-europe-crm.veevavault.com/ui/#object/vcountry__v/VENZ000004SONF5", "ES")</f>
        <v>ES</v>
      </c>
      <c r="C1195" s="20" t="s">
        <v>41</v>
      </c>
      <c r="D1195" s="21" t="str">
        <f>HYPERLINK("https://otsuka-europe-crm.veevavault.com/ui/#object/approved_document__v/V5O00000001H022", "LUP - VAE invitación simposio SEN-SER - Nefro")</f>
        <v>LUP - VAE invitación simposio SEN-SER - Nefro</v>
      </c>
      <c r="E1195" s="22" t="str">
        <f>HYPERLINK("https://otsuka-europe-crm.veevavault.com/ui/#object/sent_email__v/VBL00000002N418", "SE-001431399")</f>
        <v>SE-001431399</v>
      </c>
      <c r="F1195" s="23">
        <v>46175.79824074074</v>
      </c>
      <c r="G1195" s="24">
        <v>1</v>
      </c>
      <c r="H1195" s="24">
        <v>3</v>
      </c>
      <c r="I1195" s="24">
        <v>0</v>
      </c>
      <c r="J1195" s="25"/>
      <c r="K1195" s="24">
        <v>0</v>
      </c>
      <c r="L1195" s="22" t="str">
        <f>HYPERLINK("https://otsuka-europe-crm.veevavault.com/ui/#object/approved_document__v/V5O00000001H022", "LUP - VAE invitación simposio SEN-SER - Nefro")</f>
        <v>LUP - VAE invitación simposio SEN-SER - Nefro</v>
      </c>
      <c r="M1195" s="22" t="str">
        <f>HYPERLINK("mailto:ccalero@crm.otsuka-europe.com", "ccalero@crm.otsuka-europe.com")</f>
        <v>ccalero@crm.otsuka-europe.com</v>
      </c>
      <c r="N1195" s="23">
        <v>46175.471493055556</v>
      </c>
      <c r="O1195" s="14" t="str">
        <f>HYPERLINK("https://otsuka-europe-crm.veevavault.com/ui/#object/email_activity__v/V8C00000003K695", "EN-002087194")</f>
        <v>EN-002087194</v>
      </c>
    </row>
    <row r="1196" spans="1:15" ht="16" x14ac:dyDescent="0.2">
      <c r="A1196" s="18"/>
      <c r="B1196" s="18"/>
      <c r="C1196" s="18"/>
      <c r="D1196" s="18"/>
      <c r="E1196" s="18"/>
      <c r="F1196" s="18"/>
      <c r="G1196" s="18"/>
      <c r="H1196" s="18"/>
      <c r="I1196" s="18"/>
      <c r="J1196" s="18"/>
      <c r="K1196" s="18"/>
      <c r="L1196" s="18"/>
      <c r="M1196" s="18"/>
      <c r="N1196" s="18"/>
      <c r="O1196" s="14" t="str">
        <f>HYPERLINK("https://otsuka-europe-crm.veevavault.com/ui/#object/email_activity__v/V8C00000003K947", "EN-002087713")</f>
        <v>EN-002087713</v>
      </c>
    </row>
    <row r="1197" spans="1:15" ht="16" x14ac:dyDescent="0.2">
      <c r="A1197" s="18"/>
      <c r="B1197" s="18"/>
      <c r="C1197" s="18"/>
      <c r="D1197" s="18"/>
      <c r="E1197" s="18"/>
      <c r="F1197" s="18"/>
      <c r="G1197" s="18"/>
      <c r="H1197" s="18"/>
      <c r="I1197" s="18"/>
      <c r="J1197" s="18"/>
      <c r="K1197" s="18"/>
      <c r="L1197" s="18"/>
      <c r="M1197" s="18"/>
      <c r="N1197" s="18"/>
      <c r="O1197" s="14" t="str">
        <f>HYPERLINK("https://otsuka-europe-crm.veevavault.com/ui/#object/email_activity__v/V8C00000003L857", "EN-002087716")</f>
        <v>EN-002087716</v>
      </c>
    </row>
    <row r="1198" spans="1:15" ht="16" x14ac:dyDescent="0.2">
      <c r="A1198" s="19"/>
      <c r="B1198" s="19"/>
      <c r="C1198" s="19"/>
      <c r="D1198" s="19"/>
      <c r="E1198" s="19"/>
      <c r="F1198" s="19"/>
      <c r="G1198" s="19"/>
      <c r="H1198" s="19"/>
      <c r="I1198" s="19"/>
      <c r="J1198" s="19"/>
      <c r="K1198" s="19"/>
      <c r="L1198" s="19"/>
      <c r="M1198" s="19"/>
      <c r="N1198" s="19"/>
      <c r="O1198" s="14" t="str">
        <f>HYPERLINK("https://otsuka-europe-crm.veevavault.com/ui/#object/email_activity__v/V8C00000003N247", "EN-002088313")</f>
        <v>EN-002088313</v>
      </c>
    </row>
    <row r="1199" spans="1:15" ht="32" x14ac:dyDescent="0.2">
      <c r="A1199" s="7" t="str">
        <f>HYPERLINK("https://otsuka-europe-crm.veevavault.com/ui/#object/account__v/V4TZ025E845EB95", "ISABEL JUAN GARCIA")</f>
        <v>ISABEL JUAN GARCIA</v>
      </c>
      <c r="B1199" s="7" t="str">
        <f>HYPERLINK("https://otsuka-europe-crm.veevavault.com/ui/#object/vcountry__v/VENZ000004SONF5", "ES")</f>
        <v>ES</v>
      </c>
      <c r="C1199" s="8" t="s">
        <v>41</v>
      </c>
      <c r="D1199" s="9" t="str">
        <f>HYPERLINK("https://otsuka-europe-crm.veevavault.com/ui/#object/approved_document__v/V5O00000001H022", "LUP - VAE invitación simposio SEN-SER - Nefro")</f>
        <v>LUP - VAE invitación simposio SEN-SER - Nefro</v>
      </c>
      <c r="E1199" s="10" t="str">
        <f>HYPERLINK("https://otsuka-europe-crm.veevavault.com/ui/#object/sent_email__v/VBL00000002N419", "SE-001431400")</f>
        <v>SE-001431400</v>
      </c>
      <c r="F1199" s="11"/>
      <c r="G1199" s="12">
        <v>0</v>
      </c>
      <c r="H1199" s="12">
        <v>0</v>
      </c>
      <c r="I1199" s="12">
        <v>0</v>
      </c>
      <c r="J1199" s="11"/>
      <c r="K1199" s="12">
        <v>0</v>
      </c>
      <c r="L1199" s="10" t="str">
        <f>HYPERLINK("https://otsuka-europe-crm.veevavault.com/ui/#object/approved_document__v/V5O00000001H022", "LUP - VAE invitación simposio SEN-SER - Nefro")</f>
        <v>LUP - VAE invitación simposio SEN-SER - Nefro</v>
      </c>
      <c r="M1199" s="10" t="str">
        <f>HYPERLINK("mailto:ccalero@crm.otsuka-europe.com", "ccalero@crm.otsuka-europe.com")</f>
        <v>ccalero@crm.otsuka-europe.com</v>
      </c>
      <c r="N1199" s="13">
        <v>46175.471516203703</v>
      </c>
      <c r="O1199" s="14" t="str">
        <f>HYPERLINK("https://otsuka-europe-crm.veevavault.com/ui/#object/email_activity__v/V8C00000003L585", "EN-002087188")</f>
        <v>EN-002087188</v>
      </c>
    </row>
    <row r="1200" spans="1:15" ht="32" x14ac:dyDescent="0.2">
      <c r="A1200" s="7" t="str">
        <f>HYPERLINK("https://otsuka-europe-crm.veevavault.com/ui/#object/account__v/V4TZ025E87MD6II", "KERLIN JESUS VICENT RODRIGUEZ")</f>
        <v>KERLIN JESUS VICENT RODRIGUEZ</v>
      </c>
      <c r="B1200" s="7" t="str">
        <f>HYPERLINK("https://otsuka-europe-crm.veevavault.com/ui/#object/vcountry__v/VENZ000004SONF5", "ES")</f>
        <v>ES</v>
      </c>
      <c r="C1200" s="8" t="s">
        <v>41</v>
      </c>
      <c r="D1200" s="9" t="str">
        <f>HYPERLINK("https://otsuka-europe-crm.veevavault.com/ui/#object/approved_document__v/V5O00000001H022", "LUP - VAE invitación simposio SEN-SER - Nefro")</f>
        <v>LUP - VAE invitación simposio SEN-SER - Nefro</v>
      </c>
      <c r="E1200" s="10" t="str">
        <f>HYPERLINK("https://otsuka-europe-crm.veevavault.com/ui/#object/sent_email__v/VBL00000002N420", "SE-001431401")</f>
        <v>SE-001431401</v>
      </c>
      <c r="F1200" s="11"/>
      <c r="G1200" s="12">
        <v>0</v>
      </c>
      <c r="H1200" s="12">
        <v>0</v>
      </c>
      <c r="I1200" s="12">
        <v>0</v>
      </c>
      <c r="J1200" s="11"/>
      <c r="K1200" s="12">
        <v>0</v>
      </c>
      <c r="L1200" s="10" t="str">
        <f>HYPERLINK("https://otsuka-europe-crm.veevavault.com/ui/#object/approved_document__v/V5O00000001H022", "LUP - VAE invitación simposio SEN-SER - Nefro")</f>
        <v>LUP - VAE invitación simposio SEN-SER - Nefro</v>
      </c>
      <c r="M1200" s="10" t="str">
        <f>HYPERLINK("mailto:ccalero@crm.otsuka-europe.com", "ccalero@crm.otsuka-europe.com")</f>
        <v>ccalero@crm.otsuka-europe.com</v>
      </c>
      <c r="N1200" s="13">
        <v>46175.471516203703</v>
      </c>
      <c r="O1200" s="14" t="str">
        <f>HYPERLINK("https://otsuka-europe-crm.veevavault.com/ui/#object/email_activity__v/V8C00000003L561", "EN-002087155")</f>
        <v>EN-002087155</v>
      </c>
    </row>
    <row r="1201" spans="1:15" ht="32" x14ac:dyDescent="0.2">
      <c r="A1201" s="7" t="str">
        <f>HYPERLINK("https://otsuka-europe-crm.veevavault.com/ui/#object/account__v/V4TZ06G6O71TANJ", "EVA MARIA COTILLA DE LA ROSA")</f>
        <v>EVA MARIA COTILLA DE LA ROSA</v>
      </c>
      <c r="B1201" s="7" t="str">
        <f>HYPERLINK("https://otsuka-europe-crm.veevavault.com/ui/#object/vcountry__v/VENZ000004SONF5", "ES")</f>
        <v>ES</v>
      </c>
      <c r="C1201" s="8" t="s">
        <v>41</v>
      </c>
      <c r="D1201" s="9" t="str">
        <f>HYPERLINK("https://otsuka-europe-crm.veevavault.com/ui/#object/approved_document__v/V5O00000001H022", "LUP - VAE invitación simposio SEN-SER - Nefro")</f>
        <v>LUP - VAE invitación simposio SEN-SER - Nefro</v>
      </c>
      <c r="E1201" s="10" t="str">
        <f>HYPERLINK("https://otsuka-europe-crm.veevavault.com/ui/#object/sent_email__v/VBL00000002N421", "SE-001431402")</f>
        <v>SE-001431402</v>
      </c>
      <c r="F1201" s="11"/>
      <c r="G1201" s="12">
        <v>0</v>
      </c>
      <c r="H1201" s="12">
        <v>0</v>
      </c>
      <c r="I1201" s="12">
        <v>0</v>
      </c>
      <c r="J1201" s="11"/>
      <c r="K1201" s="12">
        <v>0</v>
      </c>
      <c r="L1201" s="10" t="str">
        <f>HYPERLINK("https://otsuka-europe-crm.veevavault.com/ui/#object/approved_document__v/V5O00000001H022", "LUP - VAE invitación simposio SEN-SER - Nefro")</f>
        <v>LUP - VAE invitación simposio SEN-SER - Nefro</v>
      </c>
      <c r="M1201" s="10" t="str">
        <f>HYPERLINK("mailto:ccalero@crm.otsuka-europe.com", "ccalero@crm.otsuka-europe.com")</f>
        <v>ccalero@crm.otsuka-europe.com</v>
      </c>
      <c r="N1201" s="13">
        <v>46175.471516203703</v>
      </c>
      <c r="O1201" s="14" t="str">
        <f>HYPERLINK("https://otsuka-europe-crm.veevavault.com/ui/#object/email_activity__v/V8C00000003K682", "EN-002087152")</f>
        <v>EN-002087152</v>
      </c>
    </row>
    <row r="1202" spans="1:15" ht="16" x14ac:dyDescent="0.2">
      <c r="A1202" s="17" t="str">
        <f>HYPERLINK("https://otsuka-europe-crm.veevavault.com/ui/#object/account__v/V4TZ06G6O71T7S9", "ISABEL MARIA GALAN CARRILLO")</f>
        <v>ISABEL MARIA GALAN CARRILLO</v>
      </c>
      <c r="B1202" s="17" t="str">
        <f>HYPERLINK("https://otsuka-europe-crm.veevavault.com/ui/#object/vcountry__v/VENZ000004SONF5", "ES")</f>
        <v>ES</v>
      </c>
      <c r="C1202" s="20" t="s">
        <v>41</v>
      </c>
      <c r="D1202" s="21" t="str">
        <f>HYPERLINK("https://otsuka-europe-crm.veevavault.com/ui/#object/approved_document__v/V5O00000001H022", "LUP - VAE invitación simposio SEN-SER - Nefro")</f>
        <v>LUP - VAE invitación simposio SEN-SER - Nefro</v>
      </c>
      <c r="E1202" s="22" t="str">
        <f>HYPERLINK("https://otsuka-europe-crm.veevavault.com/ui/#object/sent_email__v/VBL00000002N422", "SE-001431403")</f>
        <v>SE-001431403</v>
      </c>
      <c r="F1202" s="23">
        <v>46175.564328703702</v>
      </c>
      <c r="G1202" s="24">
        <v>1</v>
      </c>
      <c r="H1202" s="24">
        <v>1</v>
      </c>
      <c r="I1202" s="24">
        <v>0</v>
      </c>
      <c r="J1202" s="25"/>
      <c r="K1202" s="24">
        <v>0</v>
      </c>
      <c r="L1202" s="22" t="str">
        <f>HYPERLINK("https://otsuka-europe-crm.veevavault.com/ui/#object/approved_document__v/V5O00000001H022", "LUP - VAE invitación simposio SEN-SER - Nefro")</f>
        <v>LUP - VAE invitación simposio SEN-SER - Nefro</v>
      </c>
      <c r="M1202" s="22" t="str">
        <f>HYPERLINK("mailto:ccalero@crm.otsuka-europe.com", "ccalero@crm.otsuka-europe.com")</f>
        <v>ccalero@crm.otsuka-europe.com</v>
      </c>
      <c r="N1202" s="23">
        <v>46175.471516203703</v>
      </c>
      <c r="O1202" s="14" t="str">
        <f>HYPERLINK("https://otsuka-europe-crm.veevavault.com/ui/#object/email_activity__v/V8C00000003L552", "EN-002087144")</f>
        <v>EN-002087144</v>
      </c>
    </row>
    <row r="1203" spans="1:15" ht="16" x14ac:dyDescent="0.2">
      <c r="A1203" s="19"/>
      <c r="B1203" s="19"/>
      <c r="C1203" s="19"/>
      <c r="D1203" s="19"/>
      <c r="E1203" s="19"/>
      <c r="F1203" s="19"/>
      <c r="G1203" s="19"/>
      <c r="H1203" s="19"/>
      <c r="I1203" s="19"/>
      <c r="J1203" s="19"/>
      <c r="K1203" s="19"/>
      <c r="L1203" s="19"/>
      <c r="M1203" s="19"/>
      <c r="N1203" s="19"/>
      <c r="O1203" s="14" t="str">
        <f>HYPERLINK("https://otsuka-europe-crm.veevavault.com/ui/#object/email_activity__v/V8C00000003L852", "EN-002087708")</f>
        <v>EN-002087708</v>
      </c>
    </row>
    <row r="1204" spans="1:15" ht="32" x14ac:dyDescent="0.2">
      <c r="A1204" s="7" t="str">
        <f>HYPERLINK("https://otsuka-europe-crm.veevavault.com/ui/#object/account__v/V4TZ025E85EFN2V", "GLORIA ROS SOTO")</f>
        <v>GLORIA ROS SOTO</v>
      </c>
      <c r="B1204" s="7" t="str">
        <f>HYPERLINK("https://otsuka-europe-crm.veevavault.com/ui/#object/vcountry__v/VENZ000004SONF5", "ES")</f>
        <v>ES</v>
      </c>
      <c r="C1204" s="8" t="s">
        <v>41</v>
      </c>
      <c r="D1204" s="9" t="str">
        <f>HYPERLINK("https://otsuka-europe-crm.veevavault.com/ui/#object/approved_document__v/V5O00000001H022", "LUP - VAE invitación simposio SEN-SER - Nefro")</f>
        <v>LUP - VAE invitación simposio SEN-SER - Nefro</v>
      </c>
      <c r="E1204" s="10" t="str">
        <f>HYPERLINK("https://otsuka-europe-crm.veevavault.com/ui/#object/sent_email__v/VBL00000002N423", "SE-001431404")</f>
        <v>SE-001431404</v>
      </c>
      <c r="F1204" s="11"/>
      <c r="G1204" s="12">
        <v>0</v>
      </c>
      <c r="H1204" s="12">
        <v>0</v>
      </c>
      <c r="I1204" s="12">
        <v>0</v>
      </c>
      <c r="J1204" s="11"/>
      <c r="K1204" s="12">
        <v>0</v>
      </c>
      <c r="L1204" s="10" t="str">
        <f>HYPERLINK("https://otsuka-europe-crm.veevavault.com/ui/#object/approved_document__v/V5O00000001H022", "LUP - VAE invitación simposio SEN-SER - Nefro")</f>
        <v>LUP - VAE invitación simposio SEN-SER - Nefro</v>
      </c>
      <c r="M1204" s="10" t="str">
        <f>HYPERLINK("mailto:ccalero@crm.otsuka-europe.com", "ccalero@crm.otsuka-europe.com")</f>
        <v>ccalero@crm.otsuka-europe.com</v>
      </c>
      <c r="N1204" s="13">
        <v>46175.471516203703</v>
      </c>
      <c r="O1204" s="14" t="str">
        <f>HYPERLINK("https://otsuka-europe-crm.veevavault.com/ui/#object/email_activity__v/V8C00000003L570", "EN-002087164")</f>
        <v>EN-002087164</v>
      </c>
    </row>
    <row r="1205" spans="1:15" ht="16" x14ac:dyDescent="0.2">
      <c r="A1205" s="17" t="str">
        <f>HYPERLINK("https://otsuka-europe-crm.veevavault.com/ui/#object/account__v/V4TZ06G6O71TABQ", "CARMEN MARIA GIL GARCIA")</f>
        <v>CARMEN MARIA GIL GARCIA</v>
      </c>
      <c r="B1205" s="17" t="str">
        <f>HYPERLINK("https://otsuka-europe-crm.veevavault.com/ui/#object/vcountry__v/VENZ000004SONF5", "ES")</f>
        <v>ES</v>
      </c>
      <c r="C1205" s="20" t="s">
        <v>41</v>
      </c>
      <c r="D1205" s="21" t="str">
        <f>HYPERLINK("https://otsuka-europe-crm.veevavault.com/ui/#object/approved_document__v/V5O00000001H022", "LUP - VAE invitación simposio SEN-SER - Nefro")</f>
        <v>LUP - VAE invitación simposio SEN-SER - Nefro</v>
      </c>
      <c r="E1205" s="22" t="str">
        <f>HYPERLINK("https://otsuka-europe-crm.veevavault.com/ui/#object/sent_email__v/VBL00000002N424", "SE-001431405")</f>
        <v>SE-001431405</v>
      </c>
      <c r="F1205" s="23">
        <v>46175.483506944445</v>
      </c>
      <c r="G1205" s="24">
        <v>1</v>
      </c>
      <c r="H1205" s="24">
        <v>1</v>
      </c>
      <c r="I1205" s="24">
        <v>0</v>
      </c>
      <c r="J1205" s="25"/>
      <c r="K1205" s="24">
        <v>0</v>
      </c>
      <c r="L1205" s="22" t="str">
        <f>HYPERLINK("https://otsuka-europe-crm.veevavault.com/ui/#object/approved_document__v/V5O00000001H022", "LUP - VAE invitación simposio SEN-SER - Nefro")</f>
        <v>LUP - VAE invitación simposio SEN-SER - Nefro</v>
      </c>
      <c r="M1205" s="22" t="str">
        <f>HYPERLINK("mailto:ccalero@crm.otsuka-europe.com", "ccalero@crm.otsuka-europe.com")</f>
        <v>ccalero@crm.otsuka-europe.com</v>
      </c>
      <c r="N1205" s="23">
        <v>46175.471516203703</v>
      </c>
      <c r="O1205" s="14" t="str">
        <f>HYPERLINK("https://otsuka-europe-crm.veevavault.com/ui/#object/email_activity__v/V8C00000003K773", "EN-002087403")</f>
        <v>EN-002087403</v>
      </c>
    </row>
    <row r="1206" spans="1:15" ht="16" x14ac:dyDescent="0.2">
      <c r="A1206" s="19"/>
      <c r="B1206" s="19"/>
      <c r="C1206" s="19"/>
      <c r="D1206" s="19"/>
      <c r="E1206" s="19"/>
      <c r="F1206" s="19"/>
      <c r="G1206" s="19"/>
      <c r="H1206" s="19"/>
      <c r="I1206" s="19"/>
      <c r="J1206" s="19"/>
      <c r="K1206" s="19"/>
      <c r="L1206" s="19"/>
      <c r="M1206" s="19"/>
      <c r="N1206" s="19"/>
      <c r="O1206" s="14" t="str">
        <f>HYPERLINK("https://otsuka-europe-crm.veevavault.com/ui/#object/email_activity__v/V8C00000003L574", "EN-002087168")</f>
        <v>EN-002087168</v>
      </c>
    </row>
    <row r="1207" spans="1:15" ht="32" x14ac:dyDescent="0.2">
      <c r="A1207" s="7" t="str">
        <f>HYPERLINK("https://otsuka-europe-crm.veevavault.com/ui/#object/account__v/V4TZ04ASG7RV7U3", "IRIS VIEJO BOYANO")</f>
        <v>IRIS VIEJO BOYANO</v>
      </c>
      <c r="B1207" s="7" t="str">
        <f>HYPERLINK("https://otsuka-europe-crm.veevavault.com/ui/#object/vcountry__v/VENZ000004SONF5", "ES")</f>
        <v>ES</v>
      </c>
      <c r="C1207" s="8" t="s">
        <v>41</v>
      </c>
      <c r="D1207" s="9" t="str">
        <f>HYPERLINK("https://otsuka-europe-crm.veevavault.com/ui/#object/approved_document__v/V5O00000001H022", "LUP - VAE invitación simposio SEN-SER - Nefro")</f>
        <v>LUP - VAE invitación simposio SEN-SER - Nefro</v>
      </c>
      <c r="E1207" s="10" t="str">
        <f>HYPERLINK("https://otsuka-europe-crm.veevavault.com/ui/#object/sent_email__v/VBL00000002N425", "SE-001431406")</f>
        <v>SE-001431406</v>
      </c>
      <c r="F1207" s="11"/>
      <c r="G1207" s="12">
        <v>0</v>
      </c>
      <c r="H1207" s="12">
        <v>0</v>
      </c>
      <c r="I1207" s="12">
        <v>0</v>
      </c>
      <c r="J1207" s="11"/>
      <c r="K1207" s="12">
        <v>0</v>
      </c>
      <c r="L1207" s="10" t="str">
        <f>HYPERLINK("https://otsuka-europe-crm.veevavault.com/ui/#object/approved_document__v/V5O00000001H022", "LUP - VAE invitación simposio SEN-SER - Nefro")</f>
        <v>LUP - VAE invitación simposio SEN-SER - Nefro</v>
      </c>
      <c r="M1207" s="10" t="str">
        <f>HYPERLINK("mailto:ccalero@crm.otsuka-europe.com", "ccalero@crm.otsuka-europe.com")</f>
        <v>ccalero@crm.otsuka-europe.com</v>
      </c>
      <c r="N1207" s="13">
        <v>46175.471516203703</v>
      </c>
      <c r="O1207" s="14" t="str">
        <f>HYPERLINK("https://otsuka-europe-crm.veevavault.com/ui/#object/email_activity__v/V8C00000003L562", "EN-002087156")</f>
        <v>EN-002087156</v>
      </c>
    </row>
    <row r="1208" spans="1:15" ht="32" x14ac:dyDescent="0.2">
      <c r="A1208" s="7" t="str">
        <f>HYPERLINK("https://otsuka-europe-crm.veevavault.com/ui/#object/account__v/V4TZ06G6O71T9C2", "EDUARDO BOSQUE MUÑOZ")</f>
        <v>EDUARDO BOSQUE MUÑOZ</v>
      </c>
      <c r="B1208" s="7" t="str">
        <f>HYPERLINK("https://otsuka-europe-crm.veevavault.com/ui/#object/vcountry__v/VENZ000004SONF5", "ES")</f>
        <v>ES</v>
      </c>
      <c r="C1208" s="8" t="s">
        <v>41</v>
      </c>
      <c r="D1208" s="9" t="str">
        <f>HYPERLINK("https://otsuka-europe-crm.veevavault.com/ui/#object/approved_document__v/V5O00000001H022", "LUP - VAE invitación simposio SEN-SER - Nefro")</f>
        <v>LUP - VAE invitación simposio SEN-SER - Nefro</v>
      </c>
      <c r="E1208" s="10" t="str">
        <f>HYPERLINK("https://otsuka-europe-crm.veevavault.com/ui/#object/sent_email__v/VBL00000002N426", "SE-001431407")</f>
        <v>SE-001431407</v>
      </c>
      <c r="F1208" s="11"/>
      <c r="G1208" s="12">
        <v>0</v>
      </c>
      <c r="H1208" s="12">
        <v>0</v>
      </c>
      <c r="I1208" s="12">
        <v>0</v>
      </c>
      <c r="J1208" s="11"/>
      <c r="K1208" s="12">
        <v>0</v>
      </c>
      <c r="L1208" s="10" t="str">
        <f>HYPERLINK("https://otsuka-europe-crm.veevavault.com/ui/#object/approved_document__v/V5O00000001H022", "LUP - VAE invitación simposio SEN-SER - Nefro")</f>
        <v>LUP - VAE invitación simposio SEN-SER - Nefro</v>
      </c>
      <c r="M1208" s="10" t="str">
        <f>HYPERLINK("mailto:ccalero@crm.otsuka-europe.com", "ccalero@crm.otsuka-europe.com")</f>
        <v>ccalero@crm.otsuka-europe.com</v>
      </c>
      <c r="N1208" s="13">
        <v>46175.471516203703</v>
      </c>
      <c r="O1208" s="14" t="str">
        <f>HYPERLINK("https://otsuka-europe-crm.veevavault.com/ui/#object/email_activity__v/V8C00000003L554", "EN-002087146")</f>
        <v>EN-002087146</v>
      </c>
    </row>
    <row r="1209" spans="1:15" ht="16" x14ac:dyDescent="0.2">
      <c r="A1209" s="17" t="str">
        <f>HYPERLINK("https://otsuka-europe-crm.veevavault.com/ui/#object/account__v/V4TZ06G6O71T7H1", "JONAY PANTOJA PEREZ")</f>
        <v>JONAY PANTOJA PEREZ</v>
      </c>
      <c r="B1209" s="17" t="str">
        <f>HYPERLINK("https://otsuka-europe-crm.veevavault.com/ui/#object/vcountry__v/VENZ000004SONF5", "ES")</f>
        <v>ES</v>
      </c>
      <c r="C1209" s="20" t="s">
        <v>41</v>
      </c>
      <c r="D1209" s="21" t="str">
        <f>HYPERLINK("https://otsuka-europe-crm.veevavault.com/ui/#object/approved_document__v/V5O00000001H022", "LUP - VAE invitación simposio SEN-SER - Nefro")</f>
        <v>LUP - VAE invitación simposio SEN-SER - Nefro</v>
      </c>
      <c r="E1209" s="22" t="str">
        <f>HYPERLINK("https://otsuka-europe-crm.veevavault.com/ui/#object/sent_email__v/VBL00000002N427", "SE-001431408")</f>
        <v>SE-001431408</v>
      </c>
      <c r="F1209" s="23">
        <v>46175.572083333333</v>
      </c>
      <c r="G1209" s="24">
        <v>1</v>
      </c>
      <c r="H1209" s="24">
        <v>1</v>
      </c>
      <c r="I1209" s="24">
        <v>0</v>
      </c>
      <c r="J1209" s="25"/>
      <c r="K1209" s="24">
        <v>0</v>
      </c>
      <c r="L1209" s="22" t="str">
        <f>HYPERLINK("https://otsuka-europe-crm.veevavault.com/ui/#object/approved_document__v/V5O00000001H022", "LUP - VAE invitación simposio SEN-SER - Nefro")</f>
        <v>LUP - VAE invitación simposio SEN-SER - Nefro</v>
      </c>
      <c r="M1209" s="22" t="str">
        <f>HYPERLINK("mailto:ccalero@crm.otsuka-europe.com", "ccalero@crm.otsuka-europe.com")</f>
        <v>ccalero@crm.otsuka-europe.com</v>
      </c>
      <c r="N1209" s="23">
        <v>46175.471516203703</v>
      </c>
      <c r="O1209" s="14" t="str">
        <f>HYPERLINK("https://otsuka-europe-crm.veevavault.com/ui/#object/email_activity__v/V8C00000003K688", "EN-002087178")</f>
        <v>EN-002087178</v>
      </c>
    </row>
    <row r="1210" spans="1:15" ht="16" x14ac:dyDescent="0.2">
      <c r="A1210" s="19"/>
      <c r="B1210" s="19"/>
      <c r="C1210" s="19"/>
      <c r="D1210" s="19"/>
      <c r="E1210" s="19"/>
      <c r="F1210" s="19"/>
      <c r="G1210" s="19"/>
      <c r="H1210" s="19"/>
      <c r="I1210" s="19"/>
      <c r="J1210" s="19"/>
      <c r="K1210" s="19"/>
      <c r="L1210" s="19"/>
      <c r="M1210" s="19"/>
      <c r="N1210" s="19"/>
      <c r="O1210" s="14" t="str">
        <f>HYPERLINK("https://otsuka-europe-crm.veevavault.com/ui/#object/email_activity__v/V8C00000003L870", "EN-002087731")</f>
        <v>EN-002087731</v>
      </c>
    </row>
    <row r="1211" spans="1:15" ht="16" x14ac:dyDescent="0.2">
      <c r="A1211" s="17" t="str">
        <f>HYPERLINK("https://otsuka-europe-crm.veevavault.com/ui/#object/account__v/V4TZ06G6O71T7GM", "DIANA TORDERA FUENTES")</f>
        <v>DIANA TORDERA FUENTES</v>
      </c>
      <c r="B1211" s="17" t="str">
        <f>HYPERLINK("https://otsuka-europe-crm.veevavault.com/ui/#object/vcountry__v/VENZ000004SONF5", "ES")</f>
        <v>ES</v>
      </c>
      <c r="C1211" s="20" t="s">
        <v>41</v>
      </c>
      <c r="D1211" s="21" t="str">
        <f>HYPERLINK("https://otsuka-europe-crm.veevavault.com/ui/#object/approved_document__v/V5O00000001H022", "LUP - VAE invitación simposio SEN-SER - Nefro")</f>
        <v>LUP - VAE invitación simposio SEN-SER - Nefro</v>
      </c>
      <c r="E1211" s="22" t="str">
        <f>HYPERLINK("https://otsuka-europe-crm.veevavault.com/ui/#object/sent_email__v/VBL00000002N428", "SE-001431409")</f>
        <v>SE-001431409</v>
      </c>
      <c r="F1211" s="23">
        <v>46175.666412037041</v>
      </c>
      <c r="G1211" s="24">
        <v>1</v>
      </c>
      <c r="H1211" s="24">
        <v>1</v>
      </c>
      <c r="I1211" s="24">
        <v>0</v>
      </c>
      <c r="J1211" s="25"/>
      <c r="K1211" s="24">
        <v>0</v>
      </c>
      <c r="L1211" s="22" t="str">
        <f>HYPERLINK("https://otsuka-europe-crm.veevavault.com/ui/#object/approved_document__v/V5O00000001H022", "LUP - VAE invitación simposio SEN-SER - Nefro")</f>
        <v>LUP - VAE invitación simposio SEN-SER - Nefro</v>
      </c>
      <c r="M1211" s="22" t="str">
        <f>HYPERLINK("mailto:ccalero@crm.otsuka-europe.com", "ccalero@crm.otsuka-europe.com")</f>
        <v>ccalero@crm.otsuka-europe.com</v>
      </c>
      <c r="N1211" s="23">
        <v>46175.471516203703</v>
      </c>
      <c r="O1211" s="14" t="str">
        <f>HYPERLINK("https://otsuka-europe-crm.veevavault.com/ui/#object/email_activity__v/V8C00000003L573", "EN-002087167")</f>
        <v>EN-002087167</v>
      </c>
    </row>
    <row r="1212" spans="1:15" ht="16" x14ac:dyDescent="0.2">
      <c r="A1212" s="19"/>
      <c r="B1212" s="19"/>
      <c r="C1212" s="19"/>
      <c r="D1212" s="19"/>
      <c r="E1212" s="19"/>
      <c r="F1212" s="19"/>
      <c r="G1212" s="19"/>
      <c r="H1212" s="19"/>
      <c r="I1212" s="19"/>
      <c r="J1212" s="19"/>
      <c r="K1212" s="19"/>
      <c r="L1212" s="19"/>
      <c r="M1212" s="19"/>
      <c r="N1212" s="19"/>
      <c r="O1212" s="14" t="str">
        <f>HYPERLINK("https://otsuka-europe-crm.veevavault.com/ui/#object/email_activity__v/V8C00000003M068", "EN-002087959")</f>
        <v>EN-002087959</v>
      </c>
    </row>
    <row r="1213" spans="1:15" ht="16" x14ac:dyDescent="0.2">
      <c r="A1213" s="17" t="str">
        <f>HYPERLINK("https://otsuka-europe-crm.veevavault.com/ui/#object/account__v/V4TZ06G6O71T778", "DAVID RODRIGUEZ SANTARELLI")</f>
        <v>DAVID RODRIGUEZ SANTARELLI</v>
      </c>
      <c r="B1213" s="17" t="str">
        <f>HYPERLINK("https://otsuka-europe-crm.veevavault.com/ui/#object/vcountry__v/VENZ000004SONF5", "ES")</f>
        <v>ES</v>
      </c>
      <c r="C1213" s="20" t="s">
        <v>41</v>
      </c>
      <c r="D1213" s="21" t="str">
        <f>HYPERLINK("https://otsuka-europe-crm.veevavault.com/ui/#object/approved_document__v/V5O00000001H022", "LUP - VAE invitación simposio SEN-SER - Nefro")</f>
        <v>LUP - VAE invitación simposio SEN-SER - Nefro</v>
      </c>
      <c r="E1213" s="22" t="str">
        <f>HYPERLINK("https://otsuka-europe-crm.veevavault.com/ui/#object/sent_email__v/VBL00000002N429", "SE-001431410")</f>
        <v>SE-001431410</v>
      </c>
      <c r="F1213" s="23">
        <v>46175.541284722225</v>
      </c>
      <c r="G1213" s="24">
        <v>1</v>
      </c>
      <c r="H1213" s="24">
        <v>1</v>
      </c>
      <c r="I1213" s="24">
        <v>0</v>
      </c>
      <c r="J1213" s="25"/>
      <c r="K1213" s="24">
        <v>0</v>
      </c>
      <c r="L1213" s="22" t="str">
        <f>HYPERLINK("https://otsuka-europe-crm.veevavault.com/ui/#object/approved_document__v/V5O00000001H022", "LUP - VAE invitación simposio SEN-SER - Nefro")</f>
        <v>LUP - VAE invitación simposio SEN-SER - Nefro</v>
      </c>
      <c r="M1213" s="22" t="str">
        <f>HYPERLINK("mailto:ccalero@crm.otsuka-europe.com", "ccalero@crm.otsuka-europe.com")</f>
        <v>ccalero@crm.otsuka-europe.com</v>
      </c>
      <c r="N1213" s="23">
        <v>46175.471516203703</v>
      </c>
      <c r="O1213" s="14" t="str">
        <f>HYPERLINK("https://otsuka-europe-crm.veevavault.com/ui/#object/email_activity__v/V8C00000003K690", "EN-002087180")</f>
        <v>EN-002087180</v>
      </c>
    </row>
    <row r="1214" spans="1:15" ht="16" x14ac:dyDescent="0.2">
      <c r="A1214" s="19"/>
      <c r="B1214" s="19"/>
      <c r="C1214" s="19"/>
      <c r="D1214" s="19"/>
      <c r="E1214" s="19"/>
      <c r="F1214" s="19"/>
      <c r="G1214" s="19"/>
      <c r="H1214" s="19"/>
      <c r="I1214" s="19"/>
      <c r="J1214" s="19"/>
      <c r="K1214" s="19"/>
      <c r="L1214" s="19"/>
      <c r="M1214" s="19"/>
      <c r="N1214" s="19"/>
      <c r="O1214" s="14" t="str">
        <f>HYPERLINK("https://otsuka-europe-crm.veevavault.com/ui/#object/email_activity__v/V8C00000003L772", "EN-002087516")</f>
        <v>EN-002087516</v>
      </c>
    </row>
    <row r="1215" spans="1:15" ht="32" x14ac:dyDescent="0.2">
      <c r="A1215" s="7" t="str">
        <f>HYPERLINK("https://otsuka-europe-crm.veevavault.com/ui/#object/account__v/V4TZ06G6O71T9KJ", "JOAQUIN DE JUAN RIBERA")</f>
        <v>JOAQUIN DE JUAN RIBERA</v>
      </c>
      <c r="B1215" s="7" t="str">
        <f>HYPERLINK("https://otsuka-europe-crm.veevavault.com/ui/#object/vcountry__v/VENZ000004SONF5", "ES")</f>
        <v>ES</v>
      </c>
      <c r="C1215" s="8" t="s">
        <v>41</v>
      </c>
      <c r="D1215" s="9" t="str">
        <f>HYPERLINK("https://otsuka-europe-crm.veevavault.com/ui/#object/approved_document__v/V5O00000001H022", "LUP - VAE invitación simposio SEN-SER - Nefro")</f>
        <v>LUP - VAE invitación simposio SEN-SER - Nefro</v>
      </c>
      <c r="E1215" s="10" t="str">
        <f>HYPERLINK("https://otsuka-europe-crm.veevavault.com/ui/#object/sent_email__v/VBL00000002N430", "SE-001431411")</f>
        <v>SE-001431411</v>
      </c>
      <c r="F1215" s="11"/>
      <c r="G1215" s="12">
        <v>0</v>
      </c>
      <c r="H1215" s="12">
        <v>0</v>
      </c>
      <c r="I1215" s="12">
        <v>0</v>
      </c>
      <c r="J1215" s="11"/>
      <c r="K1215" s="12">
        <v>0</v>
      </c>
      <c r="L1215" s="10" t="str">
        <f>HYPERLINK("https://otsuka-europe-crm.veevavault.com/ui/#object/approved_document__v/V5O00000001H022", "LUP - VAE invitación simposio SEN-SER - Nefro")</f>
        <v>LUP - VAE invitación simposio SEN-SER - Nefro</v>
      </c>
      <c r="M1215" s="10" t="str">
        <f>HYPERLINK("mailto:ccalero@crm.otsuka-europe.com", "ccalero@crm.otsuka-europe.com")</f>
        <v>ccalero@crm.otsuka-europe.com</v>
      </c>
      <c r="N1215" s="13">
        <v>46175.471516203703</v>
      </c>
      <c r="O1215" s="14" t="str">
        <f>HYPERLINK("https://otsuka-europe-crm.veevavault.com/ui/#object/email_activity__v/V8C00000003L555", "EN-002087147")</f>
        <v>EN-002087147</v>
      </c>
    </row>
    <row r="1216" spans="1:15" ht="32" x14ac:dyDescent="0.2">
      <c r="A1216" s="7" t="str">
        <f>HYPERLINK("https://otsuka-europe-crm.veevavault.com/ui/#object/account__v/V4TZ06G6O71TBDZ", "ANA MARIA OLTRA BENAVENT")</f>
        <v>ANA MARIA OLTRA BENAVENT</v>
      </c>
      <c r="B1216" s="7" t="str">
        <f>HYPERLINK("https://otsuka-europe-crm.veevavault.com/ui/#object/vcountry__v/VENZ000004SONF5", "ES")</f>
        <v>ES</v>
      </c>
      <c r="C1216" s="8" t="s">
        <v>41</v>
      </c>
      <c r="D1216" s="9" t="str">
        <f>HYPERLINK("https://otsuka-europe-crm.veevavault.com/ui/#object/approved_document__v/V5O00000001H022", "LUP - VAE invitación simposio SEN-SER - Nefro")</f>
        <v>LUP - VAE invitación simposio SEN-SER - Nefro</v>
      </c>
      <c r="E1216" s="10" t="str">
        <f>HYPERLINK("https://otsuka-europe-crm.veevavault.com/ui/#object/sent_email__v/VBL00000002N431", "SE-001431412")</f>
        <v>SE-001431412</v>
      </c>
      <c r="F1216" s="11"/>
      <c r="G1216" s="12">
        <v>0</v>
      </c>
      <c r="H1216" s="12">
        <v>0</v>
      </c>
      <c r="I1216" s="12">
        <v>0</v>
      </c>
      <c r="J1216" s="11"/>
      <c r="K1216" s="12">
        <v>0</v>
      </c>
      <c r="L1216" s="10" t="str">
        <f>HYPERLINK("https://otsuka-europe-crm.veevavault.com/ui/#object/approved_document__v/V5O00000001H022", "LUP - VAE invitación simposio SEN-SER - Nefro")</f>
        <v>LUP - VAE invitación simposio SEN-SER - Nefro</v>
      </c>
      <c r="M1216" s="10" t="str">
        <f>HYPERLINK("mailto:ccalero@crm.otsuka-europe.com", "ccalero@crm.otsuka-europe.com")</f>
        <v>ccalero@crm.otsuka-europe.com</v>
      </c>
      <c r="N1216" s="13">
        <v>46175.471516203703</v>
      </c>
      <c r="O1216" s="14" t="str">
        <f>HYPERLINK("https://otsuka-europe-crm.veevavault.com/ui/#object/email_activity__v/V8C00000003K685", "EN-002087175")</f>
        <v>EN-002087175</v>
      </c>
    </row>
    <row r="1217" spans="1:15" ht="16" x14ac:dyDescent="0.2">
      <c r="A1217" s="17" t="str">
        <f>HYPERLINK("https://otsuka-europe-crm.veevavault.com/ui/#object/account__v/V4TZ06G6O71T76V", "CRISTINA CASTRO ALONSO")</f>
        <v>CRISTINA CASTRO ALONSO</v>
      </c>
      <c r="B1217" s="17" t="str">
        <f>HYPERLINK("https://otsuka-europe-crm.veevavault.com/ui/#object/vcountry__v/VENZ000004SONF5", "ES")</f>
        <v>ES</v>
      </c>
      <c r="C1217" s="20" t="s">
        <v>41</v>
      </c>
      <c r="D1217" s="21" t="str">
        <f>HYPERLINK("https://otsuka-europe-crm.veevavault.com/ui/#object/approved_document__v/V5O00000001H022", "LUP - VAE invitación simposio SEN-SER - Nefro")</f>
        <v>LUP - VAE invitación simposio SEN-SER - Nefro</v>
      </c>
      <c r="E1217" s="22" t="str">
        <f>HYPERLINK("https://otsuka-europe-crm.veevavault.com/ui/#object/sent_email__v/VBL00000002N432", "SE-001431413")</f>
        <v>SE-001431413</v>
      </c>
      <c r="F1217" s="23">
        <v>46175.506481481483</v>
      </c>
      <c r="G1217" s="24">
        <v>1</v>
      </c>
      <c r="H1217" s="24">
        <v>1</v>
      </c>
      <c r="I1217" s="24">
        <v>0</v>
      </c>
      <c r="J1217" s="25"/>
      <c r="K1217" s="24">
        <v>0</v>
      </c>
      <c r="L1217" s="22" t="str">
        <f>HYPERLINK("https://otsuka-europe-crm.veevavault.com/ui/#object/approved_document__v/V5O00000001H022", "LUP - VAE invitación simposio SEN-SER - Nefro")</f>
        <v>LUP - VAE invitación simposio SEN-SER - Nefro</v>
      </c>
      <c r="M1217" s="22" t="str">
        <f>HYPERLINK("mailto:ccalero@crm.otsuka-europe.com", "ccalero@crm.otsuka-europe.com")</f>
        <v>ccalero@crm.otsuka-europe.com</v>
      </c>
      <c r="N1217" s="23">
        <v>46175.471516203703</v>
      </c>
      <c r="O1217" s="14" t="str">
        <f>HYPERLINK("https://otsuka-europe-crm.veevavault.com/ui/#object/email_activity__v/V8C00000003K813", "EN-002087467")</f>
        <v>EN-002087467</v>
      </c>
    </row>
    <row r="1218" spans="1:15" ht="16" x14ac:dyDescent="0.2">
      <c r="A1218" s="19"/>
      <c r="B1218" s="19"/>
      <c r="C1218" s="19"/>
      <c r="D1218" s="19"/>
      <c r="E1218" s="19"/>
      <c r="F1218" s="19"/>
      <c r="G1218" s="19"/>
      <c r="H1218" s="19"/>
      <c r="I1218" s="19"/>
      <c r="J1218" s="19"/>
      <c r="K1218" s="19"/>
      <c r="L1218" s="19"/>
      <c r="M1218" s="19"/>
      <c r="N1218" s="19"/>
      <c r="O1218" s="14" t="str">
        <f>HYPERLINK("https://otsuka-europe-crm.veevavault.com/ui/#object/email_activity__v/V8C00000003L548", "EN-002087140")</f>
        <v>EN-002087140</v>
      </c>
    </row>
    <row r="1219" spans="1:15" ht="32" x14ac:dyDescent="0.2">
      <c r="A1219" s="7" t="str">
        <f>HYPERLINK("https://otsuka-europe-crm.veevavault.com/ui/#object/account__v/V4TZ06G6O71URR6", "JUAN PABLO GAMEZ ESPAÑA")</f>
        <v>JUAN PABLO GAMEZ ESPAÑA</v>
      </c>
      <c r="B1219" s="7" t="str">
        <f>HYPERLINK("https://otsuka-europe-crm.veevavault.com/ui/#object/vcountry__v/VENZ000004SONF5", "ES")</f>
        <v>ES</v>
      </c>
      <c r="C1219" s="8" t="s">
        <v>41</v>
      </c>
      <c r="D1219" s="9" t="str">
        <f>HYPERLINK("https://otsuka-europe-crm.veevavault.com/ui/#object/approved_document__v/V5O00000001H022", "LUP - VAE invitación simposio SEN-SER - Nefro")</f>
        <v>LUP - VAE invitación simposio SEN-SER - Nefro</v>
      </c>
      <c r="E1219" s="10" t="str">
        <f>HYPERLINK("https://otsuka-europe-crm.veevavault.com/ui/#object/sent_email__v/VBL00000002N433", "SE-001431414")</f>
        <v>SE-001431414</v>
      </c>
      <c r="F1219" s="11"/>
      <c r="G1219" s="12">
        <v>0</v>
      </c>
      <c r="H1219" s="12">
        <v>0</v>
      </c>
      <c r="I1219" s="12">
        <v>0</v>
      </c>
      <c r="J1219" s="11"/>
      <c r="K1219" s="12">
        <v>0</v>
      </c>
      <c r="L1219" s="10" t="str">
        <f>HYPERLINK("https://otsuka-europe-crm.veevavault.com/ui/#object/approved_document__v/V5O00000001H022", "LUP - VAE invitación simposio SEN-SER - Nefro")</f>
        <v>LUP - VAE invitación simposio SEN-SER - Nefro</v>
      </c>
      <c r="M1219" s="10" t="str">
        <f>HYPERLINK("mailto:ccalero@crm.otsuka-europe.com", "ccalero@crm.otsuka-europe.com")</f>
        <v>ccalero@crm.otsuka-europe.com</v>
      </c>
      <c r="N1219" s="13">
        <v>46175.471516203703</v>
      </c>
      <c r="O1219" s="14" t="str">
        <f>HYPERLINK("https://otsuka-europe-crm.veevavault.com/ui/#object/email_activity__v/V8C00000003L558", "EN-002087150")</f>
        <v>EN-002087150</v>
      </c>
    </row>
    <row r="1220" spans="1:15" ht="16" x14ac:dyDescent="0.2">
      <c r="A1220" s="17" t="str">
        <f>HYPERLINK("https://otsuka-europe-crm.veevavault.com/ui/#object/account__v/V4TZ06G6O71T7PL", "JOSEPA SEBASTIA MORANT")</f>
        <v>JOSEPA SEBASTIA MORANT</v>
      </c>
      <c r="B1220" s="17" t="str">
        <f>HYPERLINK("https://otsuka-europe-crm.veevavault.com/ui/#object/vcountry__v/VENZ000004SONF5", "ES")</f>
        <v>ES</v>
      </c>
      <c r="C1220" s="20" t="s">
        <v>41</v>
      </c>
      <c r="D1220" s="21" t="str">
        <f>HYPERLINK("https://otsuka-europe-crm.veevavault.com/ui/#object/approved_document__v/V5O00000001H022", "LUP - VAE invitación simposio SEN-SER - Nefro")</f>
        <v>LUP - VAE invitación simposio SEN-SER - Nefro</v>
      </c>
      <c r="E1220" s="22" t="str">
        <f>HYPERLINK("https://otsuka-europe-crm.veevavault.com/ui/#object/sent_email__v/VBL00000002N434", "SE-001431415")</f>
        <v>SE-001431415</v>
      </c>
      <c r="F1220" s="23">
        <v>46178.408564814818</v>
      </c>
      <c r="G1220" s="24">
        <v>1</v>
      </c>
      <c r="H1220" s="24">
        <v>1</v>
      </c>
      <c r="I1220" s="24">
        <v>0</v>
      </c>
      <c r="J1220" s="25"/>
      <c r="K1220" s="24">
        <v>0</v>
      </c>
      <c r="L1220" s="22" t="str">
        <f>HYPERLINK("https://otsuka-europe-crm.veevavault.com/ui/#object/approved_document__v/V5O00000001H022", "LUP - VAE invitación simposio SEN-SER - Nefro")</f>
        <v>LUP - VAE invitación simposio SEN-SER - Nefro</v>
      </c>
      <c r="M1220" s="22" t="str">
        <f>HYPERLINK("mailto:ccalero@crm.otsuka-europe.com", "ccalero@crm.otsuka-europe.com")</f>
        <v>ccalero@crm.otsuka-europe.com</v>
      </c>
      <c r="N1220" s="23">
        <v>46175.471516203703</v>
      </c>
      <c r="O1220" s="14" t="str">
        <f>HYPERLINK("https://otsuka-europe-crm.veevavault.com/ui/#object/email_activity__v/V8C00000003K686", "EN-002087176")</f>
        <v>EN-002087176</v>
      </c>
    </row>
    <row r="1221" spans="1:15" ht="16" x14ac:dyDescent="0.2">
      <c r="A1221" s="18"/>
      <c r="B1221" s="18"/>
      <c r="C1221" s="18"/>
      <c r="D1221" s="18"/>
      <c r="E1221" s="18"/>
      <c r="F1221" s="18"/>
      <c r="G1221" s="18"/>
      <c r="H1221" s="18"/>
      <c r="I1221" s="18"/>
      <c r="J1221" s="18"/>
      <c r="K1221" s="18"/>
      <c r="L1221" s="18"/>
      <c r="M1221" s="18"/>
      <c r="N1221" s="18"/>
      <c r="O1221" s="14" t="str">
        <f>HYPERLINK("https://otsuka-europe-crm.veevavault.com/ui/#object/email_activity__v/V8C00000003L959", "EN-002087904")</f>
        <v>EN-002087904</v>
      </c>
    </row>
    <row r="1222" spans="1:15" ht="16" x14ac:dyDescent="0.2">
      <c r="A1222" s="19"/>
      <c r="B1222" s="19"/>
      <c r="C1222" s="19"/>
      <c r="D1222" s="19"/>
      <c r="E1222" s="19"/>
      <c r="F1222" s="19"/>
      <c r="G1222" s="19"/>
      <c r="H1222" s="19"/>
      <c r="I1222" s="19"/>
      <c r="J1222" s="19"/>
      <c r="K1222" s="19"/>
      <c r="L1222" s="19"/>
      <c r="M1222" s="19"/>
      <c r="N1222" s="19"/>
      <c r="O1222" s="14" t="str">
        <f>HYPERLINK("https://otsuka-europe-crm.veevavault.com/ui/#object/email_activity__v/V8C00000003O035", "EN-002089312")</f>
        <v>EN-002089312</v>
      </c>
    </row>
    <row r="1223" spans="1:15" ht="16" x14ac:dyDescent="0.2">
      <c r="A1223" s="17" t="str">
        <f>HYPERLINK("https://otsuka-europe-crm.veevavault.com/ui/#object/account__v/V4TZ06G6O71T9LC", "ELENA DE LA CRUZ DE FRUTOS")</f>
        <v>ELENA DE LA CRUZ DE FRUTOS</v>
      </c>
      <c r="B1223" s="17" t="str">
        <f>HYPERLINK("https://otsuka-europe-crm.veevavault.com/ui/#object/vcountry__v/VENZ000004SONF5", "ES")</f>
        <v>ES</v>
      </c>
      <c r="C1223" s="20" t="s">
        <v>41</v>
      </c>
      <c r="D1223" s="21" t="str">
        <f>HYPERLINK("https://otsuka-europe-crm.veevavault.com/ui/#object/approved_document__v/V5O00000001H022", "LUP - VAE invitación simposio SEN-SER - Nefro")</f>
        <v>LUP - VAE invitación simposio SEN-SER - Nefro</v>
      </c>
      <c r="E1223" s="22" t="str">
        <f>HYPERLINK("https://otsuka-europe-crm.veevavault.com/ui/#object/sent_email__v/VBL00000002N435", "SE-001431416")</f>
        <v>SE-001431416</v>
      </c>
      <c r="F1223" s="23">
        <v>46175.685266203705</v>
      </c>
      <c r="G1223" s="24">
        <v>1</v>
      </c>
      <c r="H1223" s="24">
        <v>1</v>
      </c>
      <c r="I1223" s="24">
        <v>0</v>
      </c>
      <c r="J1223" s="25"/>
      <c r="K1223" s="24">
        <v>0</v>
      </c>
      <c r="L1223" s="22" t="str">
        <f>HYPERLINK("https://otsuka-europe-crm.veevavault.com/ui/#object/approved_document__v/V5O00000001H022", "LUP - VAE invitación simposio SEN-SER - Nefro")</f>
        <v>LUP - VAE invitación simposio SEN-SER - Nefro</v>
      </c>
      <c r="M1223" s="22" t="str">
        <f>HYPERLINK("mailto:ccalero@crm.otsuka-europe.com", "ccalero@crm.otsuka-europe.com")</f>
        <v>ccalero@crm.otsuka-europe.com</v>
      </c>
      <c r="N1223" s="23">
        <v>46175.471516203703</v>
      </c>
      <c r="O1223" s="14" t="str">
        <f>HYPERLINK("https://otsuka-europe-crm.veevavault.com/ui/#object/email_activity__v/V8C00000003L550", "EN-002087142")</f>
        <v>EN-002087142</v>
      </c>
    </row>
    <row r="1224" spans="1:15" ht="16" x14ac:dyDescent="0.2">
      <c r="A1224" s="19"/>
      <c r="B1224" s="19"/>
      <c r="C1224" s="19"/>
      <c r="D1224" s="19"/>
      <c r="E1224" s="19"/>
      <c r="F1224" s="19"/>
      <c r="G1224" s="19"/>
      <c r="H1224" s="19"/>
      <c r="I1224" s="19"/>
      <c r="J1224" s="19"/>
      <c r="K1224" s="19"/>
      <c r="L1224" s="19"/>
      <c r="M1224" s="19"/>
      <c r="N1224" s="19"/>
      <c r="O1224" s="14" t="str">
        <f>HYPERLINK("https://otsuka-europe-crm.veevavault.com/ui/#object/email_activity__v/V8C00000003N008", "EN-002087998")</f>
        <v>EN-002087998</v>
      </c>
    </row>
    <row r="1225" spans="1:15" ht="16" x14ac:dyDescent="0.2">
      <c r="A1225" s="17" t="str">
        <f>HYPERLINK("https://otsuka-europe-crm.veevavault.com/ui/#object/account__v/V4TZ025E86MMMPA", "CARMEN MENOR TORREGROSA")</f>
        <v>CARMEN MENOR TORREGROSA</v>
      </c>
      <c r="B1225" s="17" t="str">
        <f>HYPERLINK("https://otsuka-europe-crm.veevavault.com/ui/#object/vcountry__v/VENZ000004SONF5", "ES")</f>
        <v>ES</v>
      </c>
      <c r="C1225" s="20" t="s">
        <v>41</v>
      </c>
      <c r="D1225" s="21" t="str">
        <f>HYPERLINK("https://otsuka-europe-crm.veevavault.com/ui/#object/approved_document__v/V5O00000001H022", "LUP - VAE invitación simposio SEN-SER - Nefro")</f>
        <v>LUP - VAE invitación simposio SEN-SER - Nefro</v>
      </c>
      <c r="E1225" s="22" t="str">
        <f>HYPERLINK("https://otsuka-europe-crm.veevavault.com/ui/#object/sent_email__v/VBL00000002N436", "SE-001431417")</f>
        <v>SE-001431417</v>
      </c>
      <c r="F1225" s="23">
        <v>46176.326122685183</v>
      </c>
      <c r="G1225" s="24">
        <v>1</v>
      </c>
      <c r="H1225" s="24">
        <v>2</v>
      </c>
      <c r="I1225" s="24">
        <v>0</v>
      </c>
      <c r="J1225" s="25"/>
      <c r="K1225" s="24">
        <v>0</v>
      </c>
      <c r="L1225" s="22" t="str">
        <f>HYPERLINK("https://otsuka-europe-crm.veevavault.com/ui/#object/approved_document__v/V5O00000001H022", "LUP - VAE invitación simposio SEN-SER - Nefro")</f>
        <v>LUP - VAE invitación simposio SEN-SER - Nefro</v>
      </c>
      <c r="M1225" s="22" t="str">
        <f>HYPERLINK("mailto:ccalero@crm.otsuka-europe.com", "ccalero@crm.otsuka-europe.com")</f>
        <v>ccalero@crm.otsuka-europe.com</v>
      </c>
      <c r="N1225" s="23">
        <v>46175.471516203703</v>
      </c>
      <c r="O1225" s="14" t="str">
        <f>HYPERLINK("https://otsuka-europe-crm.veevavault.com/ui/#object/email_activity__v/V8C00000003L559", "EN-002087151")</f>
        <v>EN-002087151</v>
      </c>
    </row>
    <row r="1226" spans="1:15" ht="16" x14ac:dyDescent="0.2">
      <c r="A1226" s="18"/>
      <c r="B1226" s="18"/>
      <c r="C1226" s="18"/>
      <c r="D1226" s="18"/>
      <c r="E1226" s="18"/>
      <c r="F1226" s="18"/>
      <c r="G1226" s="18"/>
      <c r="H1226" s="18"/>
      <c r="I1226" s="18"/>
      <c r="J1226" s="18"/>
      <c r="K1226" s="18"/>
      <c r="L1226" s="18"/>
      <c r="M1226" s="18"/>
      <c r="N1226" s="18"/>
      <c r="O1226" s="14" t="str">
        <f>HYPERLINK("https://otsuka-europe-crm.veevavault.com/ui/#object/email_activity__v/V8C00000003M305", "EN-002088580")</f>
        <v>EN-002088580</v>
      </c>
    </row>
    <row r="1227" spans="1:15" ht="16" x14ac:dyDescent="0.2">
      <c r="A1227" s="19"/>
      <c r="B1227" s="19"/>
      <c r="C1227" s="19"/>
      <c r="D1227" s="19"/>
      <c r="E1227" s="19"/>
      <c r="F1227" s="19"/>
      <c r="G1227" s="19"/>
      <c r="H1227" s="19"/>
      <c r="I1227" s="19"/>
      <c r="J1227" s="19"/>
      <c r="K1227" s="19"/>
      <c r="L1227" s="19"/>
      <c r="M1227" s="19"/>
      <c r="N1227" s="19"/>
      <c r="O1227" s="14" t="str">
        <f>HYPERLINK("https://otsuka-europe-crm.veevavault.com/ui/#object/email_activity__v/V8C00000003M306", "EN-002088581")</f>
        <v>EN-002088581</v>
      </c>
    </row>
    <row r="1228" spans="1:15" ht="32" x14ac:dyDescent="0.2">
      <c r="A1228" s="7" t="str">
        <f>HYPERLINK("https://otsuka-europe-crm.veevavault.com/ui/#object/account__v/V4TZ06G6O71TAL8", "CELIA CLIMENT CODINA")</f>
        <v>CELIA CLIMENT CODINA</v>
      </c>
      <c r="B1228" s="7" t="str">
        <f>HYPERLINK("https://otsuka-europe-crm.veevavault.com/ui/#object/vcountry__v/VENZ000004SONF5", "ES")</f>
        <v>ES</v>
      </c>
      <c r="C1228" s="8" t="s">
        <v>41</v>
      </c>
      <c r="D1228" s="9" t="str">
        <f>HYPERLINK("https://otsuka-europe-crm.veevavault.com/ui/#object/approved_document__v/V5O00000001H022", "LUP - VAE invitación simposio SEN-SER - Nefro")</f>
        <v>LUP - VAE invitación simposio SEN-SER - Nefro</v>
      </c>
      <c r="E1228" s="10" t="str">
        <f>HYPERLINK("https://otsuka-europe-crm.veevavault.com/ui/#object/sent_email__v/VBL00000002N437", "SE-001431418")</f>
        <v>SE-001431418</v>
      </c>
      <c r="F1228" s="11"/>
      <c r="G1228" s="12">
        <v>0</v>
      </c>
      <c r="H1228" s="12">
        <v>0</v>
      </c>
      <c r="I1228" s="12">
        <v>0</v>
      </c>
      <c r="J1228" s="11"/>
      <c r="K1228" s="12">
        <v>0</v>
      </c>
      <c r="L1228" s="10" t="str">
        <f>HYPERLINK("https://otsuka-europe-crm.veevavault.com/ui/#object/approved_document__v/V5O00000001H022", "LUP - VAE invitación simposio SEN-SER - Nefro")</f>
        <v>LUP - VAE invitación simposio SEN-SER - Nefro</v>
      </c>
      <c r="M1228" s="10" t="str">
        <f>HYPERLINK("mailto:ccalero@crm.otsuka-europe.com", "ccalero@crm.otsuka-europe.com")</f>
        <v>ccalero@crm.otsuka-europe.com</v>
      </c>
      <c r="N1228" s="13">
        <v>46175.471516203703</v>
      </c>
      <c r="O1228" s="14" t="str">
        <f>HYPERLINK("https://otsuka-europe-crm.veevavault.com/ui/#object/email_activity__v/V8C00000003L557", "EN-002087149")</f>
        <v>EN-002087149</v>
      </c>
    </row>
    <row r="1229" spans="1:15" ht="32" x14ac:dyDescent="0.2">
      <c r="A1229" s="7" t="str">
        <f>HYPERLINK("https://otsuka-europe-crm.veevavault.com/ui/#object/account__v/V4TZ06G6O71T8RD", "CRISTINA GILABERT BROTONS")</f>
        <v>CRISTINA GILABERT BROTONS</v>
      </c>
      <c r="B1229" s="7" t="str">
        <f>HYPERLINK("https://otsuka-europe-crm.veevavault.com/ui/#object/vcountry__v/VENZ000004SONF5", "ES")</f>
        <v>ES</v>
      </c>
      <c r="C1229" s="8" t="s">
        <v>41</v>
      </c>
      <c r="D1229" s="9" t="str">
        <f>HYPERLINK("https://otsuka-europe-crm.veevavault.com/ui/#object/approved_document__v/V5O00000001H022", "LUP - VAE invitación simposio SEN-SER - Nefro")</f>
        <v>LUP - VAE invitación simposio SEN-SER - Nefro</v>
      </c>
      <c r="E1229" s="10" t="str">
        <f>HYPERLINK("https://otsuka-europe-crm.veevavault.com/ui/#object/sent_email__v/VBL00000002N438", "SE-001431419")</f>
        <v>SE-001431419</v>
      </c>
      <c r="F1229" s="11"/>
      <c r="G1229" s="12">
        <v>0</v>
      </c>
      <c r="H1229" s="12">
        <v>0</v>
      </c>
      <c r="I1229" s="12">
        <v>0</v>
      </c>
      <c r="J1229" s="11"/>
      <c r="K1229" s="12">
        <v>0</v>
      </c>
      <c r="L1229" s="10" t="str">
        <f>HYPERLINK("https://otsuka-europe-crm.veevavault.com/ui/#object/approved_document__v/V5O00000001H022", "LUP - VAE invitación simposio SEN-SER - Nefro")</f>
        <v>LUP - VAE invitación simposio SEN-SER - Nefro</v>
      </c>
      <c r="M1229" s="10" t="str">
        <f>HYPERLINK("mailto:ccalero@crm.otsuka-europe.com", "ccalero@crm.otsuka-europe.com")</f>
        <v>ccalero@crm.otsuka-europe.com</v>
      </c>
      <c r="N1229" s="13">
        <v>46175.471516203703</v>
      </c>
      <c r="O1229" s="14" t="str">
        <f>HYPERLINK("https://otsuka-europe-crm.veevavault.com/ui/#object/email_activity__v/V8C00000003K689", "EN-002087179")</f>
        <v>EN-002087179</v>
      </c>
    </row>
    <row r="1230" spans="1:15" ht="16" x14ac:dyDescent="0.2">
      <c r="A1230" s="17" t="str">
        <f>HYPERLINK("https://otsuka-europe-crm.veevavault.com/ui/#object/account__v/V4TZ06G6O71T8B5", "CARLOTA GARCIA ARNEDO")</f>
        <v>CARLOTA GARCIA ARNEDO</v>
      </c>
      <c r="B1230" s="17" t="str">
        <f>HYPERLINK("https://otsuka-europe-crm.veevavault.com/ui/#object/vcountry__v/VENZ000004SONF5", "ES")</f>
        <v>ES</v>
      </c>
      <c r="C1230" s="20" t="s">
        <v>41</v>
      </c>
      <c r="D1230" s="21" t="str">
        <f>HYPERLINK("https://otsuka-europe-crm.veevavault.com/ui/#object/approved_document__v/V5O00000001H022", "LUP - VAE invitación simposio SEN-SER - Nefro")</f>
        <v>LUP - VAE invitación simposio SEN-SER - Nefro</v>
      </c>
      <c r="E1230" s="22" t="str">
        <f>HYPERLINK("https://otsuka-europe-crm.veevavault.com/ui/#object/sent_email__v/VBL00000002N439", "SE-001431420")</f>
        <v>SE-001431420</v>
      </c>
      <c r="F1230" s="23">
        <v>46175.471655092595</v>
      </c>
      <c r="G1230" s="24">
        <v>1</v>
      </c>
      <c r="H1230" s="24">
        <v>1</v>
      </c>
      <c r="I1230" s="24">
        <v>0</v>
      </c>
      <c r="J1230" s="25"/>
      <c r="K1230" s="24">
        <v>0</v>
      </c>
      <c r="L1230" s="22" t="str">
        <f>HYPERLINK("https://otsuka-europe-crm.veevavault.com/ui/#object/approved_document__v/V5O00000001H022", "LUP - VAE invitación simposio SEN-SER - Nefro")</f>
        <v>LUP - VAE invitación simposio SEN-SER - Nefro</v>
      </c>
      <c r="M1230" s="22" t="str">
        <f>HYPERLINK("mailto:ccalero@crm.otsuka-europe.com", "ccalero@crm.otsuka-europe.com")</f>
        <v>ccalero@crm.otsuka-europe.com</v>
      </c>
      <c r="N1230" s="23">
        <v>46175.471516203703</v>
      </c>
      <c r="O1230" s="14" t="str">
        <f>HYPERLINK("https://otsuka-europe-crm.veevavault.com/ui/#object/email_activity__v/V8C00000003K691", "EN-002087181")</f>
        <v>EN-002087181</v>
      </c>
    </row>
    <row r="1231" spans="1:15" ht="16" x14ac:dyDescent="0.2">
      <c r="A1231" s="19"/>
      <c r="B1231" s="19"/>
      <c r="C1231" s="19"/>
      <c r="D1231" s="19"/>
      <c r="E1231" s="19"/>
      <c r="F1231" s="19"/>
      <c r="G1231" s="19"/>
      <c r="H1231" s="19"/>
      <c r="I1231" s="19"/>
      <c r="J1231" s="19"/>
      <c r="K1231" s="19"/>
      <c r="L1231" s="19"/>
      <c r="M1231" s="19"/>
      <c r="N1231" s="19"/>
      <c r="O1231" s="14" t="str">
        <f>HYPERLINK("https://otsuka-europe-crm.veevavault.com/ui/#object/email_activity__v/V8C00000003K693", "EN-002087190")</f>
        <v>EN-002087190</v>
      </c>
    </row>
    <row r="1232" spans="1:15" ht="16" x14ac:dyDescent="0.2">
      <c r="A1232" s="17" t="str">
        <f>HYPERLINK("https://otsuka-europe-crm.veevavault.com/ui/#object/account__v/V4TZ06G6O71T8RE", "ESTELA MARTINEZ CANTO")</f>
        <v>ESTELA MARTINEZ CANTO</v>
      </c>
      <c r="B1232" s="17" t="str">
        <f>HYPERLINK("https://otsuka-europe-crm.veevavault.com/ui/#object/vcountry__v/VENZ000004SONF5", "ES")</f>
        <v>ES</v>
      </c>
      <c r="C1232" s="20" t="s">
        <v>41</v>
      </c>
      <c r="D1232" s="21" t="str">
        <f>HYPERLINK("https://otsuka-europe-crm.veevavault.com/ui/#object/approved_document__v/V5O00000001H022", "LUP - VAE invitación simposio SEN-SER - Nefro")</f>
        <v>LUP - VAE invitación simposio SEN-SER - Nefro</v>
      </c>
      <c r="E1232" s="22" t="str">
        <f>HYPERLINK("https://otsuka-europe-crm.veevavault.com/ui/#object/sent_email__v/VBL00000002N440", "SE-001431421")</f>
        <v>SE-001431421</v>
      </c>
      <c r="F1232" s="23">
        <v>46179.260451388887</v>
      </c>
      <c r="G1232" s="24">
        <v>1</v>
      </c>
      <c r="H1232" s="24">
        <v>1</v>
      </c>
      <c r="I1232" s="24">
        <v>0</v>
      </c>
      <c r="J1232" s="25"/>
      <c r="K1232" s="24">
        <v>0</v>
      </c>
      <c r="L1232" s="22" t="str">
        <f>HYPERLINK("https://otsuka-europe-crm.veevavault.com/ui/#object/approved_document__v/V5O00000001H022", "LUP - VAE invitación simposio SEN-SER - Nefro")</f>
        <v>LUP - VAE invitación simposio SEN-SER - Nefro</v>
      </c>
      <c r="M1232" s="22" t="str">
        <f>HYPERLINK("mailto:ccalero@crm.otsuka-europe.com", "ccalero@crm.otsuka-europe.com")</f>
        <v>ccalero@crm.otsuka-europe.com</v>
      </c>
      <c r="N1232" s="23">
        <v>46175.47148148148</v>
      </c>
      <c r="O1232" s="14" t="str">
        <f>HYPERLINK("https://otsuka-europe-crm.veevavault.com/ui/#object/email_activity__v/V8C00000003L571", "EN-002087165")</f>
        <v>EN-002087165</v>
      </c>
    </row>
    <row r="1233" spans="1:15" ht="16" x14ac:dyDescent="0.2">
      <c r="A1233" s="19"/>
      <c r="B1233" s="19"/>
      <c r="C1233" s="19"/>
      <c r="D1233" s="19"/>
      <c r="E1233" s="19"/>
      <c r="F1233" s="19"/>
      <c r="G1233" s="19"/>
      <c r="H1233" s="19"/>
      <c r="I1233" s="19"/>
      <c r="J1233" s="19"/>
      <c r="K1233" s="19"/>
      <c r="L1233" s="19"/>
      <c r="M1233" s="19"/>
      <c r="N1233" s="19"/>
      <c r="O1233" s="14" t="str">
        <f>HYPERLINK("https://otsuka-europe-crm.veevavault.com/ui/#object/email_activity__v/V8C00000003O079", "EN-002089410")</f>
        <v>EN-002089410</v>
      </c>
    </row>
    <row r="1234" spans="1:15" ht="32" x14ac:dyDescent="0.2">
      <c r="A1234" s="7" t="str">
        <f>HYPERLINK("https://otsuka-europe-crm.veevavault.com/ui/#object/account__v/V4TZ06G6O71TA45", "CARLOS MANUEL GARCIA APARICIO")</f>
        <v>CARLOS MANUEL GARCIA APARICIO</v>
      </c>
      <c r="B1234" s="7" t="str">
        <f>HYPERLINK("https://otsuka-europe-crm.veevavault.com/ui/#object/vcountry__v/VENZ000004SONF5", "ES")</f>
        <v>ES</v>
      </c>
      <c r="C1234" s="8" t="s">
        <v>41</v>
      </c>
      <c r="D1234" s="9" t="str">
        <f>HYPERLINK("https://otsuka-europe-crm.veevavault.com/ui/#object/approved_document__v/V5O00000001H022", "LUP - VAE invitación simposio SEN-SER - Nefro")</f>
        <v>LUP - VAE invitación simposio SEN-SER - Nefro</v>
      </c>
      <c r="E1234" s="10" t="str">
        <f>HYPERLINK("https://otsuka-europe-crm.veevavault.com/ui/#object/sent_email__v/VBL00000002N441", "SE-001431422")</f>
        <v>SE-001431422</v>
      </c>
      <c r="F1234" s="11"/>
      <c r="G1234" s="12">
        <v>0</v>
      </c>
      <c r="H1234" s="12">
        <v>0</v>
      </c>
      <c r="I1234" s="12">
        <v>0</v>
      </c>
      <c r="J1234" s="11"/>
      <c r="K1234" s="12">
        <v>0</v>
      </c>
      <c r="L1234" s="10" t="str">
        <f>HYPERLINK("https://otsuka-europe-crm.veevavault.com/ui/#object/approved_document__v/V5O00000001H022", "LUP - VAE invitación simposio SEN-SER - Nefro")</f>
        <v>LUP - VAE invitación simposio SEN-SER - Nefro</v>
      </c>
      <c r="M1234" s="10" t="str">
        <f>HYPERLINK("mailto:ccalero@crm.otsuka-europe.com", "ccalero@crm.otsuka-europe.com")</f>
        <v>ccalero@crm.otsuka-europe.com</v>
      </c>
      <c r="N1234" s="13">
        <v>46175.47148148148</v>
      </c>
      <c r="O1234" s="14" t="str">
        <f>HYPERLINK("https://otsuka-europe-crm.veevavault.com/ui/#object/email_activity__v/V8C00000003L547", "EN-002087139")</f>
        <v>EN-002087139</v>
      </c>
    </row>
    <row r="1235" spans="1:15" ht="16" x14ac:dyDescent="0.2">
      <c r="A1235" s="17" t="str">
        <f>HYPERLINK("https://otsuka-europe-crm.veevavault.com/ui/#object/account__v/V4TZ06G6O71TBVS", "FERNANDA RAMOS CARRASCO")</f>
        <v>FERNANDA RAMOS CARRASCO</v>
      </c>
      <c r="B1235" s="17" t="str">
        <f>HYPERLINK("https://otsuka-europe-crm.veevavault.com/ui/#object/vcountry__v/VENZ000004SONF5", "ES")</f>
        <v>ES</v>
      </c>
      <c r="C1235" s="20" t="s">
        <v>41</v>
      </c>
      <c r="D1235" s="21" t="str">
        <f>HYPERLINK("https://otsuka-europe-crm.veevavault.com/ui/#object/approved_document__v/V5O00000001H022", "LUP - VAE invitación simposio SEN-SER - Nefro")</f>
        <v>LUP - VAE invitación simposio SEN-SER - Nefro</v>
      </c>
      <c r="E1235" s="22" t="str">
        <f>HYPERLINK("https://otsuka-europe-crm.veevavault.com/ui/#object/sent_email__v/VBL00000002N442", "SE-001431423")</f>
        <v>SE-001431423</v>
      </c>
      <c r="F1235" s="23">
        <v>46175.549328703702</v>
      </c>
      <c r="G1235" s="24">
        <v>1</v>
      </c>
      <c r="H1235" s="24">
        <v>2</v>
      </c>
      <c r="I1235" s="24">
        <v>0</v>
      </c>
      <c r="J1235" s="25"/>
      <c r="K1235" s="24">
        <v>0</v>
      </c>
      <c r="L1235" s="22" t="str">
        <f>HYPERLINK("https://otsuka-europe-crm.veevavault.com/ui/#object/approved_document__v/V5O00000001H022", "LUP - VAE invitación simposio SEN-SER - Nefro")</f>
        <v>LUP - VAE invitación simposio SEN-SER - Nefro</v>
      </c>
      <c r="M1235" s="22" t="str">
        <f>HYPERLINK("mailto:ccalero@crm.otsuka-europe.com", "ccalero@crm.otsuka-europe.com")</f>
        <v>ccalero@crm.otsuka-europe.com</v>
      </c>
      <c r="N1235" s="23">
        <v>46175.47148148148</v>
      </c>
      <c r="O1235" s="14" t="str">
        <f>HYPERLINK("https://otsuka-europe-crm.veevavault.com/ui/#object/email_activity__v/V8C00000003K772", "EN-002087402")</f>
        <v>EN-002087402</v>
      </c>
    </row>
    <row r="1236" spans="1:15" ht="16" x14ac:dyDescent="0.2">
      <c r="A1236" s="18"/>
      <c r="B1236" s="18"/>
      <c r="C1236" s="18"/>
      <c r="D1236" s="18"/>
      <c r="E1236" s="18"/>
      <c r="F1236" s="18"/>
      <c r="G1236" s="18"/>
      <c r="H1236" s="18"/>
      <c r="I1236" s="18"/>
      <c r="J1236" s="18"/>
      <c r="K1236" s="18"/>
      <c r="L1236" s="18"/>
      <c r="M1236" s="18"/>
      <c r="N1236" s="18"/>
      <c r="O1236" s="14" t="str">
        <f>HYPERLINK("https://otsuka-europe-crm.veevavault.com/ui/#object/email_activity__v/V8C00000003L568", "EN-002087162")</f>
        <v>EN-002087162</v>
      </c>
    </row>
    <row r="1237" spans="1:15" ht="16" x14ac:dyDescent="0.2">
      <c r="A1237" s="19"/>
      <c r="B1237" s="19"/>
      <c r="C1237" s="19"/>
      <c r="D1237" s="19"/>
      <c r="E1237" s="19"/>
      <c r="F1237" s="19"/>
      <c r="G1237" s="19"/>
      <c r="H1237" s="19"/>
      <c r="I1237" s="19"/>
      <c r="J1237" s="19"/>
      <c r="K1237" s="19"/>
      <c r="L1237" s="19"/>
      <c r="M1237" s="19"/>
      <c r="N1237" s="19"/>
      <c r="O1237" s="14" t="str">
        <f>HYPERLINK("https://otsuka-europe-crm.veevavault.com/ui/#object/email_activity__v/V8C00000003L776", "EN-002087523")</f>
        <v>EN-002087523</v>
      </c>
    </row>
    <row r="1238" spans="1:15" ht="32" x14ac:dyDescent="0.2">
      <c r="A1238" s="7" t="str">
        <f>HYPERLINK("https://otsuka-europe-crm.veevavault.com/ui/#object/account__v/V4TZ06G6O71TC4A", "LAURA SANCHEZ RODRIGUEZ")</f>
        <v>LAURA SANCHEZ RODRIGUEZ</v>
      </c>
      <c r="B1238" s="7" t="str">
        <f>HYPERLINK("https://otsuka-europe-crm.veevavault.com/ui/#object/vcountry__v/VENZ000004SONF5", "ES")</f>
        <v>ES</v>
      </c>
      <c r="C1238" s="8" t="s">
        <v>41</v>
      </c>
      <c r="D1238" s="9" t="str">
        <f>HYPERLINK("https://otsuka-europe-crm.veevavault.com/ui/#object/approved_document__v/V5O00000001H022", "LUP - VAE invitación simposio SEN-SER - Nefro")</f>
        <v>LUP - VAE invitación simposio SEN-SER - Nefro</v>
      </c>
      <c r="E1238" s="10" t="str">
        <f>HYPERLINK("https://otsuka-europe-crm.veevavault.com/ui/#object/sent_email__v/VBL00000002N443", "SE-001431424")</f>
        <v>SE-001431424</v>
      </c>
      <c r="F1238" s="11"/>
      <c r="G1238" s="12">
        <v>0</v>
      </c>
      <c r="H1238" s="12">
        <v>0</v>
      </c>
      <c r="I1238" s="12">
        <v>0</v>
      </c>
      <c r="J1238" s="11"/>
      <c r="K1238" s="12">
        <v>0</v>
      </c>
      <c r="L1238" s="10" t="str">
        <f>HYPERLINK("https://otsuka-europe-crm.veevavault.com/ui/#object/approved_document__v/V5O00000001H022", "LUP - VAE invitación simposio SEN-SER - Nefro")</f>
        <v>LUP - VAE invitación simposio SEN-SER - Nefro</v>
      </c>
      <c r="M1238" s="10" t="str">
        <f>HYPERLINK("mailto:ccalero@crm.otsuka-europe.com", "ccalero@crm.otsuka-europe.com")</f>
        <v>ccalero@crm.otsuka-europe.com</v>
      </c>
      <c r="N1238" s="13">
        <v>46175.47148148148</v>
      </c>
      <c r="O1238" s="14" t="str">
        <f>HYPERLINK("https://otsuka-europe-crm.veevavault.com/ui/#object/email_activity__v/V8C00000003L580", "EN-002087182")</f>
        <v>EN-002087182</v>
      </c>
    </row>
    <row r="1239" spans="1:15" ht="16" x14ac:dyDescent="0.2">
      <c r="A1239" s="17" t="str">
        <f>HYPERLINK("https://otsuka-europe-crm.veevavault.com/ui/#object/account__v/V4TZ06G6O71TCM3", "ANA VILAR GIMENO")</f>
        <v>ANA VILAR GIMENO</v>
      </c>
      <c r="B1239" s="17" t="str">
        <f>HYPERLINK("https://otsuka-europe-crm.veevavault.com/ui/#object/vcountry__v/VENZ000004SONF5", "ES")</f>
        <v>ES</v>
      </c>
      <c r="C1239" s="20" t="s">
        <v>41</v>
      </c>
      <c r="D1239" s="21" t="str">
        <f>HYPERLINK("https://otsuka-europe-crm.veevavault.com/ui/#object/approved_document__v/V5O00000001H022", "LUP - VAE invitación simposio SEN-SER - Nefro")</f>
        <v>LUP - VAE invitación simposio SEN-SER - Nefro</v>
      </c>
      <c r="E1239" s="22" t="str">
        <f>HYPERLINK("https://otsuka-europe-crm.veevavault.com/ui/#object/sent_email__v/VBL00000002N444", "SE-001431425")</f>
        <v>SE-001431425</v>
      </c>
      <c r="F1239" s="25"/>
      <c r="G1239" s="24">
        <v>0</v>
      </c>
      <c r="H1239" s="24">
        <v>0</v>
      </c>
      <c r="I1239" s="24">
        <v>0</v>
      </c>
      <c r="J1239" s="25"/>
      <c r="K1239" s="24">
        <v>0</v>
      </c>
      <c r="L1239" s="22" t="str">
        <f>HYPERLINK("https://otsuka-europe-crm.veevavault.com/ui/#object/approved_document__v/V5O00000001H022", "LUP - VAE invitación simposio SEN-SER - Nefro")</f>
        <v>LUP - VAE invitación simposio SEN-SER - Nefro</v>
      </c>
      <c r="M1239" s="22" t="str">
        <f>HYPERLINK("mailto:ccalero@crm.otsuka-europe.com", "ccalero@crm.otsuka-europe.com")</f>
        <v>ccalero@crm.otsuka-europe.com</v>
      </c>
      <c r="N1239" s="23">
        <v>46175.471493055556</v>
      </c>
      <c r="O1239" s="14" t="str">
        <f>HYPERLINK("https://otsuka-europe-crm.veevavault.com/ui/#object/email_activity__v/V8C00000003L577", "EN-002087171")</f>
        <v>EN-002087171</v>
      </c>
    </row>
    <row r="1240" spans="1:15" ht="16" x14ac:dyDescent="0.2">
      <c r="A1240" s="18"/>
      <c r="B1240" s="18"/>
      <c r="C1240" s="18"/>
      <c r="D1240" s="18"/>
      <c r="E1240" s="18"/>
      <c r="F1240" s="18"/>
      <c r="G1240" s="18"/>
      <c r="H1240" s="18"/>
      <c r="I1240" s="18"/>
      <c r="J1240" s="18"/>
      <c r="K1240" s="18"/>
      <c r="L1240" s="18"/>
      <c r="M1240" s="18"/>
      <c r="N1240" s="18"/>
      <c r="O1240" s="14" t="str">
        <f>HYPERLINK("https://otsuka-europe-crm.veevavault.com/ui/#object/email_activity__v/V8C00000003N329", "EN-002088498")</f>
        <v>EN-002088498</v>
      </c>
    </row>
    <row r="1241" spans="1:15" ht="16" x14ac:dyDescent="0.2">
      <c r="A1241" s="18"/>
      <c r="B1241" s="18"/>
      <c r="C1241" s="18"/>
      <c r="D1241" s="18"/>
      <c r="E1241" s="18"/>
      <c r="F1241" s="18"/>
      <c r="G1241" s="18"/>
      <c r="H1241" s="18"/>
      <c r="I1241" s="18"/>
      <c r="J1241" s="18"/>
      <c r="K1241" s="18"/>
      <c r="L1241" s="18"/>
      <c r="M1241" s="18"/>
      <c r="N1241" s="18"/>
      <c r="O1241" s="14" t="str">
        <f>HYPERLINK("https://otsuka-europe-crm.veevavault.com/ui/#object/email_activity__v/V8C00000003W115", "EN-002096867")</f>
        <v>EN-002096867</v>
      </c>
    </row>
    <row r="1242" spans="1:15" ht="16" x14ac:dyDescent="0.2">
      <c r="A1242" s="19"/>
      <c r="B1242" s="19"/>
      <c r="C1242" s="19"/>
      <c r="D1242" s="19"/>
      <c r="E1242" s="19"/>
      <c r="F1242" s="19"/>
      <c r="G1242" s="19"/>
      <c r="H1242" s="19"/>
      <c r="I1242" s="19"/>
      <c r="J1242" s="19"/>
      <c r="K1242" s="19"/>
      <c r="L1242" s="19"/>
      <c r="M1242" s="19"/>
      <c r="N1242" s="19"/>
      <c r="O1242" s="14" t="str">
        <f>HYPERLINK("https://otsuka-europe-crm.veevavault.com/ui/#object/email_activity__v/V8C00000003Z271", "EN-002099133")</f>
        <v>EN-002099133</v>
      </c>
    </row>
    <row r="1243" spans="1:15" ht="32" x14ac:dyDescent="0.2">
      <c r="A1243" s="7" t="str">
        <f>HYPERLINK("https://otsuka-europe-crm.veevavault.com/ui/#object/account__v/V4TZ025E82SCT5H", "JUAN PABLO MORET CHIAPPE")</f>
        <v>JUAN PABLO MORET CHIAPPE</v>
      </c>
      <c r="B1243" s="7" t="str">
        <f>HYPERLINK("https://otsuka-europe-crm.veevavault.com/ui/#object/vcountry__v/VENZ000004SONF5", "ES")</f>
        <v>ES</v>
      </c>
      <c r="C1243" s="8" t="s">
        <v>41</v>
      </c>
      <c r="D1243" s="9" t="str">
        <f>HYPERLINK("https://otsuka-europe-crm.veevavault.com/ui/#object/approved_document__v/V5O00000001H022", "LUP - VAE invitación simposio SEN-SER - Nefro")</f>
        <v>LUP - VAE invitación simposio SEN-SER - Nefro</v>
      </c>
      <c r="E1243" s="10" t="str">
        <f>HYPERLINK("https://otsuka-europe-crm.veevavault.com/ui/#object/sent_email__v/VBL00000002N445", "SE-001431426")</f>
        <v>SE-001431426</v>
      </c>
      <c r="F1243" s="11"/>
      <c r="G1243" s="12">
        <v>0</v>
      </c>
      <c r="H1243" s="12">
        <v>0</v>
      </c>
      <c r="I1243" s="12">
        <v>0</v>
      </c>
      <c r="J1243" s="11"/>
      <c r="K1243" s="12">
        <v>0</v>
      </c>
      <c r="L1243" s="10" t="str">
        <f>HYPERLINK("https://otsuka-europe-crm.veevavault.com/ui/#object/approved_document__v/V5O00000001H022", "LUP - VAE invitación simposio SEN-SER - Nefro")</f>
        <v>LUP - VAE invitación simposio SEN-SER - Nefro</v>
      </c>
      <c r="M1243" s="10" t="str">
        <f>HYPERLINK("mailto:ccalero@crm.otsuka-europe.com", "ccalero@crm.otsuka-europe.com")</f>
        <v>ccalero@crm.otsuka-europe.com</v>
      </c>
      <c r="N1243" s="13">
        <v>46175.47148148148</v>
      </c>
      <c r="O1243" s="14" t="str">
        <f>HYPERLINK("https://otsuka-europe-crm.veevavault.com/ui/#object/email_activity__v/V8C00000003L546", "EN-002087138")</f>
        <v>EN-002087138</v>
      </c>
    </row>
    <row r="1244" spans="1:15" ht="16" x14ac:dyDescent="0.2">
      <c r="A1244" s="17" t="str">
        <f>HYPERLINK("https://otsuka-europe-crm.veevavault.com/ui/#object/account__v/V4TZ06G6O71T86C", "ANDRONIC VEACESLAV")</f>
        <v>ANDRONIC VEACESLAV</v>
      </c>
      <c r="B1244" s="17" t="str">
        <f>HYPERLINK("https://otsuka-europe-crm.veevavault.com/ui/#object/vcountry__v/VENZ000004SONF5", "ES")</f>
        <v>ES</v>
      </c>
      <c r="C1244" s="20" t="s">
        <v>41</v>
      </c>
      <c r="D1244" s="21" t="str">
        <f>HYPERLINK("https://otsuka-europe-crm.veevavault.com/ui/#object/approved_document__v/V5O00000001H022", "LUP - VAE invitación simposio SEN-SER - Nefro")</f>
        <v>LUP - VAE invitación simposio SEN-SER - Nefro</v>
      </c>
      <c r="E1244" s="22" t="str">
        <f>HYPERLINK("https://otsuka-europe-crm.veevavault.com/ui/#object/sent_email__v/VBL00000002N446", "SE-001431427")</f>
        <v>SE-001431427</v>
      </c>
      <c r="F1244" s="25"/>
      <c r="G1244" s="24">
        <v>0</v>
      </c>
      <c r="H1244" s="24">
        <v>0</v>
      </c>
      <c r="I1244" s="24">
        <v>0</v>
      </c>
      <c r="J1244" s="25"/>
      <c r="K1244" s="24">
        <v>0</v>
      </c>
      <c r="L1244" s="22" t="str">
        <f>HYPERLINK("https://otsuka-europe-crm.veevavault.com/ui/#object/approved_document__v/V5O00000001H022", "LUP - VAE invitación simposio SEN-SER - Nefro")</f>
        <v>LUP - VAE invitación simposio SEN-SER - Nefro</v>
      </c>
      <c r="M1244" s="22" t="str">
        <f>HYPERLINK("mailto:ccalero@crm.otsuka-europe.com", "ccalero@crm.otsuka-europe.com")</f>
        <v>ccalero@crm.otsuka-europe.com</v>
      </c>
      <c r="N1244" s="23">
        <v>46175.471493055556</v>
      </c>
      <c r="O1244" s="14" t="str">
        <f>HYPERLINK("https://otsuka-europe-crm.veevavault.com/ui/#object/email_activity__v/V8C00000003L575", "EN-002087169")</f>
        <v>EN-002087169</v>
      </c>
    </row>
    <row r="1245" spans="1:15" ht="16" x14ac:dyDescent="0.2">
      <c r="A1245" s="19"/>
      <c r="B1245" s="19"/>
      <c r="C1245" s="19"/>
      <c r="D1245" s="19"/>
      <c r="E1245" s="19"/>
      <c r="F1245" s="19"/>
      <c r="G1245" s="19"/>
      <c r="H1245" s="19"/>
      <c r="I1245" s="19"/>
      <c r="J1245" s="19"/>
      <c r="K1245" s="19"/>
      <c r="L1245" s="19"/>
      <c r="M1245" s="19"/>
      <c r="N1245" s="19"/>
      <c r="O1245" s="14" t="str">
        <f>HYPERLINK("https://otsuka-europe-crm.veevavault.com/ui/#object/email_activity__v/V8C00000003O007", "EN-002089248")</f>
        <v>EN-002089248</v>
      </c>
    </row>
    <row r="1246" spans="1:15" ht="32" x14ac:dyDescent="0.2">
      <c r="A1246" s="7" t="str">
        <f>HYPERLINK("https://otsuka-europe-crm.veevavault.com/ui/#object/account__v/V4TZ06G6O71TB2M", "INMACULADA MARTINEZ SANTAMARIA")</f>
        <v>INMACULADA MARTINEZ SANTAMARIA</v>
      </c>
      <c r="B1246" s="7" t="str">
        <f>HYPERLINK("https://otsuka-europe-crm.veevavault.com/ui/#object/vcountry__v/VENZ000004SONF5", "ES")</f>
        <v>ES</v>
      </c>
      <c r="C1246" s="8" t="s">
        <v>41</v>
      </c>
      <c r="D1246" s="9" t="str">
        <f>HYPERLINK("https://otsuka-europe-crm.veevavault.com/ui/#object/approved_document__v/V5O00000001H022", "LUP - VAE invitación simposio SEN-SER - Nefro")</f>
        <v>LUP - VAE invitación simposio SEN-SER - Nefro</v>
      </c>
      <c r="E1246" s="10" t="str">
        <f>HYPERLINK("https://otsuka-europe-crm.veevavault.com/ui/#object/sent_email__v/VBL00000002N447", "SE-001431428")</f>
        <v>SE-001431428</v>
      </c>
      <c r="F1246" s="11"/>
      <c r="G1246" s="12">
        <v>0</v>
      </c>
      <c r="H1246" s="12">
        <v>0</v>
      </c>
      <c r="I1246" s="12">
        <v>0</v>
      </c>
      <c r="J1246" s="11"/>
      <c r="K1246" s="12">
        <v>0</v>
      </c>
      <c r="L1246" s="10" t="str">
        <f>HYPERLINK("https://otsuka-europe-crm.veevavault.com/ui/#object/approved_document__v/V5O00000001H022", "LUP - VAE invitación simposio SEN-SER - Nefro")</f>
        <v>LUP - VAE invitación simposio SEN-SER - Nefro</v>
      </c>
      <c r="M1246" s="10" t="str">
        <f>HYPERLINK("mailto:ccalero@crm.otsuka-europe.com", "ccalero@crm.otsuka-europe.com")</f>
        <v>ccalero@crm.otsuka-europe.com</v>
      </c>
      <c r="N1246" s="13">
        <v>46175.471493055556</v>
      </c>
      <c r="O1246" s="14" t="str">
        <f>HYPERLINK("https://otsuka-europe-crm.veevavault.com/ui/#object/email_activity__v/V8C00000003L591", "EN-002087198")</f>
        <v>EN-002087198</v>
      </c>
    </row>
    <row r="1247" spans="1:15" ht="32" x14ac:dyDescent="0.2">
      <c r="A1247" s="7" t="str">
        <f>HYPERLINK("https://otsuka-europe-crm.veevavault.com/ui/#object/account__v/V4TZ06G6O71T910", "ANDRES ANTOLIN CARIÑENA")</f>
        <v>ANDRES ANTOLIN CARIÑENA</v>
      </c>
      <c r="B1247" s="7" t="str">
        <f>HYPERLINK("https://otsuka-europe-crm.veevavault.com/ui/#object/vcountry__v/VENZ000004SONF5", "ES")</f>
        <v>ES</v>
      </c>
      <c r="C1247" s="8" t="s">
        <v>41</v>
      </c>
      <c r="D1247" s="9" t="str">
        <f>HYPERLINK("https://otsuka-europe-crm.veevavault.com/ui/#object/approved_document__v/V5O00000001H022", "LUP - VAE invitación simposio SEN-SER - Nefro")</f>
        <v>LUP - VAE invitación simposio SEN-SER - Nefro</v>
      </c>
      <c r="E1247" s="10" t="str">
        <f>HYPERLINK("https://otsuka-europe-crm.veevavault.com/ui/#object/sent_email__v/VBL00000002N448", "SE-001431429")</f>
        <v>SE-001431429</v>
      </c>
      <c r="F1247" s="11"/>
      <c r="G1247" s="12">
        <v>0</v>
      </c>
      <c r="H1247" s="12">
        <v>0</v>
      </c>
      <c r="I1247" s="12">
        <v>0</v>
      </c>
      <c r="J1247" s="11"/>
      <c r="K1247" s="12">
        <v>0</v>
      </c>
      <c r="L1247" s="10" t="str">
        <f>HYPERLINK("https://otsuka-europe-crm.veevavault.com/ui/#object/approved_document__v/V5O00000001H022", "LUP - VAE invitación simposio SEN-SER - Nefro")</f>
        <v>LUP - VAE invitación simposio SEN-SER - Nefro</v>
      </c>
      <c r="M1247" s="10" t="str">
        <f>HYPERLINK("mailto:ccalero@crm.otsuka-europe.com", "ccalero@crm.otsuka-europe.com")</f>
        <v>ccalero@crm.otsuka-europe.com</v>
      </c>
      <c r="N1247" s="13">
        <v>46175.47148148148</v>
      </c>
      <c r="O1247" s="14" t="str">
        <f>HYPERLINK("https://otsuka-europe-crm.veevavault.com/ui/#object/email_activity__v/V8C00000003L569", "EN-002087163")</f>
        <v>EN-002087163</v>
      </c>
    </row>
    <row r="1248" spans="1:15" ht="16" x14ac:dyDescent="0.2">
      <c r="A1248" s="17" t="str">
        <f>HYPERLINK("https://otsuka-europe-crm.veevavault.com/ui/#object/account__v/V4TZ06G6O71TB2D", "ANTONIO CABEZAS MARTIN-CARO")</f>
        <v>ANTONIO CABEZAS MARTIN-CARO</v>
      </c>
      <c r="B1248" s="17" t="str">
        <f>HYPERLINK("https://otsuka-europe-crm.veevavault.com/ui/#object/vcountry__v/VENZ000004SONF5", "ES")</f>
        <v>ES</v>
      </c>
      <c r="C1248" s="20" t="s">
        <v>41</v>
      </c>
      <c r="D1248" s="21" t="str">
        <f>HYPERLINK("https://otsuka-europe-crm.veevavault.com/ui/#object/approved_document__v/V5O00000001H022", "LUP - VAE invitación simposio SEN-SER - Nefro")</f>
        <v>LUP - VAE invitación simposio SEN-SER - Nefro</v>
      </c>
      <c r="E1248" s="22" t="str">
        <f>HYPERLINK("https://otsuka-europe-crm.veevavault.com/ui/#object/sent_email__v/VBL00000002N449", "SE-001431430")</f>
        <v>SE-001431430</v>
      </c>
      <c r="F1248" s="23">
        <v>46176.299513888887</v>
      </c>
      <c r="G1248" s="24">
        <v>1</v>
      </c>
      <c r="H1248" s="24">
        <v>1</v>
      </c>
      <c r="I1248" s="24">
        <v>1</v>
      </c>
      <c r="J1248" s="23">
        <v>46176.303113425929</v>
      </c>
      <c r="K1248" s="24">
        <v>5</v>
      </c>
      <c r="L1248" s="22" t="str">
        <f>HYPERLINK("https://otsuka-europe-crm.veevavault.com/ui/#object/approved_document__v/V5O00000001H022", "LUP - VAE invitación simposio SEN-SER - Nefro")</f>
        <v>LUP - VAE invitación simposio SEN-SER - Nefro</v>
      </c>
      <c r="M1248" s="22" t="str">
        <f>HYPERLINK("mailto:ccalero@crm.otsuka-europe.com", "ccalero@crm.otsuka-europe.com")</f>
        <v>ccalero@crm.otsuka-europe.com</v>
      </c>
      <c r="N1248" s="23">
        <v>46175.47148148148</v>
      </c>
      <c r="O1248" s="14" t="str">
        <f>HYPERLINK("https://otsuka-europe-crm.veevavault.com/ui/#object/email_activity__v/V8C00000003L560", "EN-002087154")</f>
        <v>EN-002087154</v>
      </c>
    </row>
    <row r="1249" spans="1:15" ht="16" x14ac:dyDescent="0.2">
      <c r="A1249" s="18"/>
      <c r="B1249" s="18"/>
      <c r="C1249" s="18"/>
      <c r="D1249" s="18"/>
      <c r="E1249" s="18"/>
      <c r="F1249" s="18"/>
      <c r="G1249" s="18"/>
      <c r="H1249" s="18"/>
      <c r="I1249" s="18"/>
      <c r="J1249" s="18"/>
      <c r="K1249" s="18"/>
      <c r="L1249" s="18"/>
      <c r="M1249" s="18"/>
      <c r="N1249" s="18"/>
      <c r="O1249" s="14" t="str">
        <f>HYPERLINK("https://otsuka-europe-crm.veevavault.com/ui/#object/email_activity__v/V8C00000003M298", "EN-002088564")</f>
        <v>EN-002088564</v>
      </c>
    </row>
    <row r="1250" spans="1:15" ht="16" x14ac:dyDescent="0.2">
      <c r="A1250" s="18"/>
      <c r="B1250" s="18"/>
      <c r="C1250" s="18"/>
      <c r="D1250" s="18"/>
      <c r="E1250" s="18"/>
      <c r="F1250" s="18"/>
      <c r="G1250" s="18"/>
      <c r="H1250" s="18"/>
      <c r="I1250" s="18"/>
      <c r="J1250" s="18"/>
      <c r="K1250" s="18"/>
      <c r="L1250" s="18"/>
      <c r="M1250" s="18"/>
      <c r="N1250" s="18"/>
      <c r="O1250" s="14" t="str">
        <f>HYPERLINK("https://otsuka-europe-crm.veevavault.com/ui/#object/email_activity__v/V8C00000003N352", "EN-002088558")</f>
        <v>EN-002088558</v>
      </c>
    </row>
    <row r="1251" spans="1:15" ht="16" x14ac:dyDescent="0.2">
      <c r="A1251" s="18"/>
      <c r="B1251" s="18"/>
      <c r="C1251" s="18"/>
      <c r="D1251" s="18"/>
      <c r="E1251" s="18"/>
      <c r="F1251" s="18"/>
      <c r="G1251" s="18"/>
      <c r="H1251" s="18"/>
      <c r="I1251" s="18"/>
      <c r="J1251" s="18"/>
      <c r="K1251" s="18"/>
      <c r="L1251" s="18"/>
      <c r="M1251" s="18"/>
      <c r="N1251" s="18"/>
      <c r="O1251" s="14" t="str">
        <f>HYPERLINK("https://otsuka-europe-crm.veevavault.com/ui/#object/email_activity__v/V8C00000003N353", "EN-002088557")</f>
        <v>EN-002088557</v>
      </c>
    </row>
    <row r="1252" spans="1:15" ht="16" x14ac:dyDescent="0.2">
      <c r="A1252" s="18"/>
      <c r="B1252" s="18"/>
      <c r="C1252" s="18"/>
      <c r="D1252" s="18"/>
      <c r="E1252" s="18"/>
      <c r="F1252" s="18"/>
      <c r="G1252" s="18"/>
      <c r="H1252" s="18"/>
      <c r="I1252" s="18"/>
      <c r="J1252" s="18"/>
      <c r="K1252" s="18"/>
      <c r="L1252" s="18"/>
      <c r="M1252" s="18"/>
      <c r="N1252" s="18"/>
      <c r="O1252" s="14" t="str">
        <f>HYPERLINK("https://otsuka-europe-crm.veevavault.com/ui/#object/email_activity__v/V8C00000003N354", "EN-002088560")</f>
        <v>EN-002088560</v>
      </c>
    </row>
    <row r="1253" spans="1:15" ht="16" x14ac:dyDescent="0.2">
      <c r="A1253" s="18"/>
      <c r="B1253" s="18"/>
      <c r="C1253" s="18"/>
      <c r="D1253" s="18"/>
      <c r="E1253" s="18"/>
      <c r="F1253" s="18"/>
      <c r="G1253" s="18"/>
      <c r="H1253" s="18"/>
      <c r="I1253" s="18"/>
      <c r="J1253" s="18"/>
      <c r="K1253" s="18"/>
      <c r="L1253" s="18"/>
      <c r="M1253" s="18"/>
      <c r="N1253" s="18"/>
      <c r="O1253" s="14" t="str">
        <f>HYPERLINK("https://otsuka-europe-crm.veevavault.com/ui/#object/email_activity__v/V8C00000003N356", "EN-002088562")</f>
        <v>EN-002088562</v>
      </c>
    </row>
    <row r="1254" spans="1:15" ht="16" x14ac:dyDescent="0.2">
      <c r="A1254" s="18"/>
      <c r="B1254" s="18"/>
      <c r="C1254" s="18"/>
      <c r="D1254" s="18"/>
      <c r="E1254" s="18"/>
      <c r="F1254" s="18"/>
      <c r="G1254" s="18"/>
      <c r="H1254" s="18"/>
      <c r="I1254" s="18"/>
      <c r="J1254" s="18"/>
      <c r="K1254" s="18"/>
      <c r="L1254" s="18"/>
      <c r="M1254" s="18"/>
      <c r="N1254" s="18"/>
      <c r="O1254" s="14" t="str">
        <f>HYPERLINK("https://otsuka-europe-crm.veevavault.com/ui/#object/email_activity__v/V8C00000003N359", "EN-002088566")</f>
        <v>EN-002088566</v>
      </c>
    </row>
    <row r="1255" spans="1:15" ht="16" x14ac:dyDescent="0.2">
      <c r="A1255" s="18"/>
      <c r="B1255" s="18"/>
      <c r="C1255" s="18"/>
      <c r="D1255" s="18"/>
      <c r="E1255" s="18"/>
      <c r="F1255" s="18"/>
      <c r="G1255" s="18"/>
      <c r="H1255" s="18"/>
      <c r="I1255" s="18"/>
      <c r="J1255" s="18"/>
      <c r="K1255" s="18"/>
      <c r="L1255" s="18"/>
      <c r="M1255" s="18"/>
      <c r="N1255" s="18"/>
      <c r="O1255" s="14" t="str">
        <f>HYPERLINK("https://otsuka-europe-crm.veevavault.com/ui/#object/email_activity__v/V8C00000003N377", "EN-002088594")</f>
        <v>EN-002088594</v>
      </c>
    </row>
    <row r="1256" spans="1:15" ht="16" x14ac:dyDescent="0.2">
      <c r="A1256" s="18"/>
      <c r="B1256" s="18"/>
      <c r="C1256" s="18"/>
      <c r="D1256" s="18"/>
      <c r="E1256" s="18"/>
      <c r="F1256" s="18"/>
      <c r="G1256" s="18"/>
      <c r="H1256" s="18"/>
      <c r="I1256" s="18"/>
      <c r="J1256" s="18"/>
      <c r="K1256" s="18"/>
      <c r="L1256" s="18"/>
      <c r="M1256" s="18"/>
      <c r="N1256" s="18"/>
      <c r="O1256" s="14" t="str">
        <f>HYPERLINK("https://otsuka-europe-crm.veevavault.com/ui/#object/email_activity__v/V8C00000003N378", "EN-002088595")</f>
        <v>EN-002088595</v>
      </c>
    </row>
    <row r="1257" spans="1:15" ht="16" x14ac:dyDescent="0.2">
      <c r="A1257" s="18"/>
      <c r="B1257" s="18"/>
      <c r="C1257" s="18"/>
      <c r="D1257" s="18"/>
      <c r="E1257" s="18"/>
      <c r="F1257" s="18"/>
      <c r="G1257" s="18"/>
      <c r="H1257" s="18"/>
      <c r="I1257" s="18"/>
      <c r="J1257" s="18"/>
      <c r="K1257" s="18"/>
      <c r="L1257" s="18"/>
      <c r="M1257" s="18"/>
      <c r="N1257" s="18"/>
      <c r="O1257" s="14" t="str">
        <f>HYPERLINK("https://otsuka-europe-crm.veevavault.com/ui/#object/email_activity__v/V8C00000003N379", "EN-002088596")</f>
        <v>EN-002088596</v>
      </c>
    </row>
    <row r="1258" spans="1:15" ht="16" x14ac:dyDescent="0.2">
      <c r="A1258" s="18"/>
      <c r="B1258" s="18"/>
      <c r="C1258" s="18"/>
      <c r="D1258" s="18"/>
      <c r="E1258" s="18"/>
      <c r="F1258" s="18"/>
      <c r="G1258" s="18"/>
      <c r="H1258" s="18"/>
      <c r="I1258" s="18"/>
      <c r="J1258" s="18"/>
      <c r="K1258" s="18"/>
      <c r="L1258" s="18"/>
      <c r="M1258" s="18"/>
      <c r="N1258" s="18"/>
      <c r="O1258" s="14" t="str">
        <f>HYPERLINK("https://otsuka-europe-crm.veevavault.com/ui/#object/email_activity__v/V8C00000003N381", "EN-002088598")</f>
        <v>EN-002088598</v>
      </c>
    </row>
    <row r="1259" spans="1:15" ht="16" x14ac:dyDescent="0.2">
      <c r="A1259" s="18"/>
      <c r="B1259" s="18"/>
      <c r="C1259" s="18"/>
      <c r="D1259" s="18"/>
      <c r="E1259" s="18"/>
      <c r="F1259" s="18"/>
      <c r="G1259" s="18"/>
      <c r="H1259" s="18"/>
      <c r="I1259" s="18"/>
      <c r="J1259" s="18"/>
      <c r="K1259" s="18"/>
      <c r="L1259" s="18"/>
      <c r="M1259" s="18"/>
      <c r="N1259" s="18"/>
      <c r="O1259" s="14" t="str">
        <f>HYPERLINK("https://otsuka-europe-crm.veevavault.com/ui/#object/email_activity__v/V8C00000003N382", "EN-002088599")</f>
        <v>EN-002088599</v>
      </c>
    </row>
    <row r="1260" spans="1:15" ht="16" x14ac:dyDescent="0.2">
      <c r="A1260" s="19"/>
      <c r="B1260" s="19"/>
      <c r="C1260" s="19"/>
      <c r="D1260" s="19"/>
      <c r="E1260" s="19"/>
      <c r="F1260" s="19"/>
      <c r="G1260" s="19"/>
      <c r="H1260" s="19"/>
      <c r="I1260" s="19"/>
      <c r="J1260" s="19"/>
      <c r="K1260" s="19"/>
      <c r="L1260" s="19"/>
      <c r="M1260" s="19"/>
      <c r="N1260" s="19"/>
      <c r="O1260" s="14" t="str">
        <f>HYPERLINK("https://otsuka-europe-crm.veevavault.com/ui/#object/email_activity__v/V8C00000003N383", "EN-002088600")</f>
        <v>EN-002088600</v>
      </c>
    </row>
    <row r="1261" spans="1:15" ht="16" x14ac:dyDescent="0.2">
      <c r="A1261" s="17" t="str">
        <f>HYPERLINK("https://otsuka-europe-crm.veevavault.com/ui/#object/account__v/V4TZ025E87FYSFA", "JAVIER EDUARDO REQUE SANTIVAÑEZ")</f>
        <v>JAVIER EDUARDO REQUE SANTIVAÑEZ</v>
      </c>
      <c r="B1261" s="17" t="str">
        <f>HYPERLINK("https://otsuka-europe-crm.veevavault.com/ui/#object/vcountry__v/VENZ000004SONF5", "ES")</f>
        <v>ES</v>
      </c>
      <c r="C1261" s="20" t="s">
        <v>41</v>
      </c>
      <c r="D1261" s="21" t="str">
        <f>HYPERLINK("https://otsuka-europe-crm.veevavault.com/ui/#object/approved_document__v/V5O00000001H022", "LUP - VAE invitación simposio SEN-SER - Nefro")</f>
        <v>LUP - VAE invitación simposio SEN-SER - Nefro</v>
      </c>
      <c r="E1261" s="22" t="str">
        <f>HYPERLINK("https://otsuka-europe-crm.veevavault.com/ui/#object/sent_email__v/VBL00000002N450", "SE-001431431")</f>
        <v>SE-001431431</v>
      </c>
      <c r="F1261" s="23">
        <v>46175.47388888889</v>
      </c>
      <c r="G1261" s="24">
        <v>1</v>
      </c>
      <c r="H1261" s="24">
        <v>1</v>
      </c>
      <c r="I1261" s="24">
        <v>0</v>
      </c>
      <c r="J1261" s="25"/>
      <c r="K1261" s="24">
        <v>0</v>
      </c>
      <c r="L1261" s="22" t="str">
        <f>HYPERLINK("https://otsuka-europe-crm.veevavault.com/ui/#object/approved_document__v/V5O00000001H022", "LUP - VAE invitación simposio SEN-SER - Nefro")</f>
        <v>LUP - VAE invitación simposio SEN-SER - Nefro</v>
      </c>
      <c r="M1261" s="22" t="str">
        <f>HYPERLINK("mailto:ccalero@crm.otsuka-europe.com", "ccalero@crm.otsuka-europe.com")</f>
        <v>ccalero@crm.otsuka-europe.com</v>
      </c>
      <c r="N1261" s="23">
        <v>46175.471493055556</v>
      </c>
      <c r="O1261" s="14" t="str">
        <f>HYPERLINK("https://otsuka-europe-crm.veevavault.com/ui/#object/email_activity__v/V8C00000003K730", "EN-002087283")</f>
        <v>EN-002087283</v>
      </c>
    </row>
    <row r="1262" spans="1:15" ht="16" x14ac:dyDescent="0.2">
      <c r="A1262" s="19"/>
      <c r="B1262" s="19"/>
      <c r="C1262" s="19"/>
      <c r="D1262" s="19"/>
      <c r="E1262" s="19"/>
      <c r="F1262" s="19"/>
      <c r="G1262" s="19"/>
      <c r="H1262" s="19"/>
      <c r="I1262" s="19"/>
      <c r="J1262" s="19"/>
      <c r="K1262" s="19"/>
      <c r="L1262" s="19"/>
      <c r="M1262" s="19"/>
      <c r="N1262" s="19"/>
      <c r="O1262" s="14" t="str">
        <f>HYPERLINK("https://otsuka-europe-crm.veevavault.com/ui/#object/email_activity__v/V8C00000003L584", "EN-002087187")</f>
        <v>EN-002087187</v>
      </c>
    </row>
    <row r="1263" spans="1:15" ht="32" x14ac:dyDescent="0.2">
      <c r="A1263" s="7" t="str">
        <f>HYPERLINK("https://otsuka-europe-crm.veevavault.com/ui/#object/account__v/V4TZ025E86JV14I", "ANGEL PALACIOS CASTILLO")</f>
        <v>ANGEL PALACIOS CASTILLO</v>
      </c>
      <c r="B1263" s="7" t="str">
        <f>HYPERLINK("https://otsuka-europe-crm.veevavault.com/ui/#object/vcountry__v/VENZ000004SONF5", "ES")</f>
        <v>ES</v>
      </c>
      <c r="C1263" s="8" t="s">
        <v>41</v>
      </c>
      <c r="D1263" s="9" t="str">
        <f>HYPERLINK("https://otsuka-europe-crm.veevavault.com/ui/#object/approved_document__v/V5O00000001H022", "LUP - VAE invitación simposio SEN-SER - Nefro")</f>
        <v>LUP - VAE invitación simposio SEN-SER - Nefro</v>
      </c>
      <c r="E1263" s="10" t="str">
        <f>HYPERLINK("https://otsuka-europe-crm.veevavault.com/ui/#object/sent_email__v/VBL00000002N451", "SE-001431432")</f>
        <v>SE-001431432</v>
      </c>
      <c r="F1263" s="11"/>
      <c r="G1263" s="12">
        <v>0</v>
      </c>
      <c r="H1263" s="12">
        <v>0</v>
      </c>
      <c r="I1263" s="12">
        <v>0</v>
      </c>
      <c r="J1263" s="11"/>
      <c r="K1263" s="12">
        <v>0</v>
      </c>
      <c r="L1263" s="10" t="str">
        <f>HYPERLINK("https://otsuka-europe-crm.veevavault.com/ui/#object/approved_document__v/V5O00000001H022", "LUP - VAE invitación simposio SEN-SER - Nefro")</f>
        <v>LUP - VAE invitación simposio SEN-SER - Nefro</v>
      </c>
      <c r="M1263" s="10" t="str">
        <f>HYPERLINK("mailto:ccalero@crm.otsuka-europe.com", "ccalero@crm.otsuka-europe.com")</f>
        <v>ccalero@crm.otsuka-europe.com</v>
      </c>
      <c r="N1263" s="13">
        <v>46175.471493055556</v>
      </c>
      <c r="O1263" s="14" t="str">
        <f>HYPERLINK("https://otsuka-europe-crm.veevavault.com/ui/#object/email_activity__v/V8C00000003L587", "EN-002087191")</f>
        <v>EN-002087191</v>
      </c>
    </row>
    <row r="1264" spans="1:15" ht="32" x14ac:dyDescent="0.2">
      <c r="A1264" s="7" t="str">
        <f>HYPERLINK("https://otsuka-europe-crm.veevavault.com/ui/#object/account__v/V4TZ06G6O71T9RA", "JOSE ENRIQUE FERNANDEZ NAJERA")</f>
        <v>JOSE ENRIQUE FERNANDEZ NAJERA</v>
      </c>
      <c r="B1264" s="7" t="str">
        <f>HYPERLINK("https://otsuka-europe-crm.veevavault.com/ui/#object/vcountry__v/VENZ000004SONF5", "ES")</f>
        <v>ES</v>
      </c>
      <c r="C1264" s="8" t="s">
        <v>41</v>
      </c>
      <c r="D1264" s="9" t="str">
        <f>HYPERLINK("https://otsuka-europe-crm.veevavault.com/ui/#object/approved_document__v/V5O00000001H022", "LUP - VAE invitación simposio SEN-SER - Nefro")</f>
        <v>LUP - VAE invitación simposio SEN-SER - Nefro</v>
      </c>
      <c r="E1264" s="10" t="str">
        <f>HYPERLINK("https://otsuka-europe-crm.veevavault.com/ui/#object/sent_email__v/VBL00000002N452", "SE-001431433")</f>
        <v>SE-001431433</v>
      </c>
      <c r="F1264" s="11"/>
      <c r="G1264" s="12">
        <v>0</v>
      </c>
      <c r="H1264" s="12">
        <v>0</v>
      </c>
      <c r="I1264" s="12">
        <v>0</v>
      </c>
      <c r="J1264" s="11"/>
      <c r="K1264" s="12">
        <v>0</v>
      </c>
      <c r="L1264" s="10" t="str">
        <f>HYPERLINK("https://otsuka-europe-crm.veevavault.com/ui/#object/approved_document__v/V5O00000001H022", "LUP - VAE invitación simposio SEN-SER - Nefro")</f>
        <v>LUP - VAE invitación simposio SEN-SER - Nefro</v>
      </c>
      <c r="M1264" s="10" t="str">
        <f>HYPERLINK("mailto:ccalero@crm.otsuka-europe.com", "ccalero@crm.otsuka-europe.com")</f>
        <v>ccalero@crm.otsuka-europe.com</v>
      </c>
      <c r="N1264" s="13">
        <v>46175.471493055556</v>
      </c>
      <c r="O1264" s="14" t="str">
        <f>HYPERLINK("https://otsuka-europe-crm.veevavault.com/ui/#object/email_activity__v/V8C00000003L565", "EN-002087159")</f>
        <v>EN-002087159</v>
      </c>
    </row>
    <row r="1265" spans="1:15" ht="16" x14ac:dyDescent="0.2">
      <c r="A1265" s="17" t="str">
        <f>HYPERLINK("https://otsuka-europe-crm.veevavault.com/ui/#object/account__v/V4TZ06G6O71TBT8", "CARMEN RAMOS TOMAS")</f>
        <v>CARMEN RAMOS TOMAS</v>
      </c>
      <c r="B1265" s="17" t="str">
        <f>HYPERLINK("https://otsuka-europe-crm.veevavault.com/ui/#object/vcountry__v/VENZ000004SONF5", "ES")</f>
        <v>ES</v>
      </c>
      <c r="C1265" s="20" t="s">
        <v>41</v>
      </c>
      <c r="D1265" s="21" t="str">
        <f>HYPERLINK("https://otsuka-europe-crm.veevavault.com/ui/#object/approved_document__v/V5O00000001H022", "LUP - VAE invitación simposio SEN-SER - Nefro")</f>
        <v>LUP - VAE invitación simposio SEN-SER - Nefro</v>
      </c>
      <c r="E1265" s="22" t="str">
        <f>HYPERLINK("https://otsuka-europe-crm.veevavault.com/ui/#object/sent_email__v/VBL00000002N453", "SE-001431434")</f>
        <v>SE-001431434</v>
      </c>
      <c r="F1265" s="23">
        <v>46175.482430555552</v>
      </c>
      <c r="G1265" s="24">
        <v>1</v>
      </c>
      <c r="H1265" s="24">
        <v>2</v>
      </c>
      <c r="I1265" s="24">
        <v>1</v>
      </c>
      <c r="J1265" s="23">
        <v>46175.482291666667</v>
      </c>
      <c r="K1265" s="24">
        <v>2</v>
      </c>
      <c r="L1265" s="22" t="str">
        <f>HYPERLINK("https://otsuka-europe-crm.veevavault.com/ui/#object/approved_document__v/V5O00000001H022", "LUP - VAE invitación simposio SEN-SER - Nefro")</f>
        <v>LUP - VAE invitación simposio SEN-SER - Nefro</v>
      </c>
      <c r="M1265" s="22" t="str">
        <f>HYPERLINK("mailto:ccalero@crm.otsuka-europe.com", "ccalero@crm.otsuka-europe.com")</f>
        <v>ccalero@crm.otsuka-europe.com</v>
      </c>
      <c r="N1265" s="23">
        <v>46175.471493055556</v>
      </c>
      <c r="O1265" s="14" t="str">
        <f>HYPERLINK("https://otsuka-europe-crm.veevavault.com/ui/#object/email_activity__v/V8C00000003K765", "EN-002087393")</f>
        <v>EN-002087393</v>
      </c>
    </row>
    <row r="1266" spans="1:15" ht="16" x14ac:dyDescent="0.2">
      <c r="A1266" s="18"/>
      <c r="B1266" s="18"/>
      <c r="C1266" s="18"/>
      <c r="D1266" s="18"/>
      <c r="E1266" s="18"/>
      <c r="F1266" s="18"/>
      <c r="G1266" s="18"/>
      <c r="H1266" s="18"/>
      <c r="I1266" s="18"/>
      <c r="J1266" s="18"/>
      <c r="K1266" s="18"/>
      <c r="L1266" s="18"/>
      <c r="M1266" s="18"/>
      <c r="N1266" s="18"/>
      <c r="O1266" s="14" t="str">
        <f>HYPERLINK("https://otsuka-europe-crm.veevavault.com/ui/#object/email_activity__v/V8C00000003K766", "EN-002087395")</f>
        <v>EN-002087395</v>
      </c>
    </row>
    <row r="1267" spans="1:15" ht="16" x14ac:dyDescent="0.2">
      <c r="A1267" s="18"/>
      <c r="B1267" s="18"/>
      <c r="C1267" s="18"/>
      <c r="D1267" s="18"/>
      <c r="E1267" s="18"/>
      <c r="F1267" s="18"/>
      <c r="G1267" s="18"/>
      <c r="H1267" s="18"/>
      <c r="I1267" s="18"/>
      <c r="J1267" s="18"/>
      <c r="K1267" s="18"/>
      <c r="L1267" s="18"/>
      <c r="M1267" s="18"/>
      <c r="N1267" s="18"/>
      <c r="O1267" s="14" t="str">
        <f>HYPERLINK("https://otsuka-europe-crm.veevavault.com/ui/#object/email_activity__v/V8C00000003L590", "EN-002087197")</f>
        <v>EN-002087197</v>
      </c>
    </row>
    <row r="1268" spans="1:15" ht="16" x14ac:dyDescent="0.2">
      <c r="A1268" s="18"/>
      <c r="B1268" s="18"/>
      <c r="C1268" s="18"/>
      <c r="D1268" s="18"/>
      <c r="E1268" s="18"/>
      <c r="F1268" s="18"/>
      <c r="G1268" s="18"/>
      <c r="H1268" s="18"/>
      <c r="I1268" s="18"/>
      <c r="J1268" s="18"/>
      <c r="K1268" s="18"/>
      <c r="L1268" s="18"/>
      <c r="M1268" s="18"/>
      <c r="N1268" s="18"/>
      <c r="O1268" s="14" t="str">
        <f>HYPERLINK("https://otsuka-europe-crm.veevavault.com/ui/#object/email_activity__v/V8C00000003L717", "EN-002087392")</f>
        <v>EN-002087392</v>
      </c>
    </row>
    <row r="1269" spans="1:15" ht="16" x14ac:dyDescent="0.2">
      <c r="A1269" s="18"/>
      <c r="B1269" s="18"/>
      <c r="C1269" s="18"/>
      <c r="D1269" s="18"/>
      <c r="E1269" s="18"/>
      <c r="F1269" s="18"/>
      <c r="G1269" s="18"/>
      <c r="H1269" s="18"/>
      <c r="I1269" s="18"/>
      <c r="J1269" s="18"/>
      <c r="K1269" s="18"/>
      <c r="L1269" s="18"/>
      <c r="M1269" s="18"/>
      <c r="N1269" s="18"/>
      <c r="O1269" s="14" t="str">
        <f>HYPERLINK("https://otsuka-europe-crm.veevavault.com/ui/#object/email_activity__v/V8C00000003L718", "EN-002087394")</f>
        <v>EN-002087394</v>
      </c>
    </row>
    <row r="1270" spans="1:15" ht="16" x14ac:dyDescent="0.2">
      <c r="A1270" s="18"/>
      <c r="B1270" s="18"/>
      <c r="C1270" s="18"/>
      <c r="D1270" s="18"/>
      <c r="E1270" s="18"/>
      <c r="F1270" s="18"/>
      <c r="G1270" s="18"/>
      <c r="H1270" s="18"/>
      <c r="I1270" s="18"/>
      <c r="J1270" s="18"/>
      <c r="K1270" s="18"/>
      <c r="L1270" s="18"/>
      <c r="M1270" s="18"/>
      <c r="N1270" s="18"/>
      <c r="O1270" s="14" t="str">
        <f>HYPERLINK("https://otsuka-europe-crm.veevavault.com/ui/#object/email_activity__v/V8C00000003L746", "EN-002087471")</f>
        <v>EN-002087471</v>
      </c>
    </row>
    <row r="1271" spans="1:15" ht="16" x14ac:dyDescent="0.2">
      <c r="A1271" s="19"/>
      <c r="B1271" s="19"/>
      <c r="C1271" s="19"/>
      <c r="D1271" s="19"/>
      <c r="E1271" s="19"/>
      <c r="F1271" s="19"/>
      <c r="G1271" s="19"/>
      <c r="H1271" s="19"/>
      <c r="I1271" s="19"/>
      <c r="J1271" s="19"/>
      <c r="K1271" s="19"/>
      <c r="L1271" s="19"/>
      <c r="M1271" s="19"/>
      <c r="N1271" s="19"/>
      <c r="O1271" s="14" t="str">
        <f>HYPERLINK("https://otsuka-europe-crm.veevavault.com/ui/#object/email_activity__v/V8C00000003L749", "EN-002087474")</f>
        <v>EN-002087474</v>
      </c>
    </row>
    <row r="1272" spans="1:15" ht="32" x14ac:dyDescent="0.2">
      <c r="A1272" s="7" t="str">
        <f>HYPERLINK("https://otsuka-europe-crm.veevavault.com/ui/#object/account__v/V4TZ06G6O71T75B", "CARLOS SILLERO LOPEZ")</f>
        <v>CARLOS SILLERO LOPEZ</v>
      </c>
      <c r="B1272" s="7" t="str">
        <f>HYPERLINK("https://otsuka-europe-crm.veevavault.com/ui/#object/vcountry__v/VENZ000004SONF5", "ES")</f>
        <v>ES</v>
      </c>
      <c r="C1272" s="8" t="s">
        <v>41</v>
      </c>
      <c r="D1272" s="9" t="str">
        <f>HYPERLINK("https://otsuka-europe-crm.veevavault.com/ui/#object/approved_document__v/V5O00000001H022", "LUP - VAE invitación simposio SEN-SER - Nefro")</f>
        <v>LUP - VAE invitación simposio SEN-SER - Nefro</v>
      </c>
      <c r="E1272" s="10" t="str">
        <f>HYPERLINK("https://otsuka-europe-crm.veevavault.com/ui/#object/sent_email__v/VBL00000002N454", "SE-001431435")</f>
        <v>SE-001431435</v>
      </c>
      <c r="F1272" s="11"/>
      <c r="G1272" s="12">
        <v>0</v>
      </c>
      <c r="H1272" s="12">
        <v>0</v>
      </c>
      <c r="I1272" s="12">
        <v>0</v>
      </c>
      <c r="J1272" s="11"/>
      <c r="K1272" s="12">
        <v>0</v>
      </c>
      <c r="L1272" s="10" t="str">
        <f>HYPERLINK("https://otsuka-europe-crm.veevavault.com/ui/#object/approved_document__v/V5O00000001H022", "LUP - VAE invitación simposio SEN-SER - Nefro")</f>
        <v>LUP - VAE invitación simposio SEN-SER - Nefro</v>
      </c>
      <c r="M1272" s="10" t="str">
        <f>HYPERLINK("mailto:ccalero@crm.otsuka-europe.com", "ccalero@crm.otsuka-europe.com")</f>
        <v>ccalero@crm.otsuka-europe.com</v>
      </c>
      <c r="N1272" s="13">
        <v>46175.471493055556</v>
      </c>
      <c r="O1272" s="14" t="str">
        <f>HYPERLINK("https://otsuka-europe-crm.veevavault.com/ui/#object/email_activity__v/V8C00000003L578", "EN-002087172")</f>
        <v>EN-002087172</v>
      </c>
    </row>
    <row r="1273" spans="1:15" ht="16" x14ac:dyDescent="0.2">
      <c r="A1273" s="17" t="str">
        <f>HYPERLINK("https://otsuka-europe-crm.veevavault.com/ui/#object/account__v/V4T00000000W038", "GABRIEL ALBERTO JIMENEZ COLMENARES")</f>
        <v>GABRIEL ALBERTO JIMENEZ COLMENARES</v>
      </c>
      <c r="B1273" s="17" t="str">
        <f>HYPERLINK("https://otsuka-europe-crm.veevavault.com/ui/#object/vcountry__v/VENZ000004SONF5", "ES")</f>
        <v>ES</v>
      </c>
      <c r="C1273" s="20" t="s">
        <v>41</v>
      </c>
      <c r="D1273" s="21" t="str">
        <f>HYPERLINK("https://otsuka-europe-crm.veevavault.com/ui/#object/approved_document__v/V5O00000001H022", "LUP - VAE invitación simposio SEN-SER - Nefro")</f>
        <v>LUP - VAE invitación simposio SEN-SER - Nefro</v>
      </c>
      <c r="E1273" s="22" t="str">
        <f>HYPERLINK("https://otsuka-europe-crm.veevavault.com/ui/#object/sent_email__v/VBL00000002N455", "SE-001431436")</f>
        <v>SE-001431436</v>
      </c>
      <c r="F1273" s="25"/>
      <c r="G1273" s="24">
        <v>0</v>
      </c>
      <c r="H1273" s="24">
        <v>0</v>
      </c>
      <c r="I1273" s="24">
        <v>0</v>
      </c>
      <c r="J1273" s="25"/>
      <c r="K1273" s="24">
        <v>0</v>
      </c>
      <c r="L1273" s="22" t="str">
        <f>HYPERLINK("https://otsuka-europe-crm.veevavault.com/ui/#object/approved_document__v/V5O00000001H022", "LUP - VAE invitación simposio SEN-SER - Nefro")</f>
        <v>LUP - VAE invitación simposio SEN-SER - Nefro</v>
      </c>
      <c r="M1273" s="22" t="str">
        <f>HYPERLINK("mailto:ccalero@crm.otsuka-europe.com", "ccalero@crm.otsuka-europe.com")</f>
        <v>ccalero@crm.otsuka-europe.com</v>
      </c>
      <c r="N1273" s="23">
        <v>46175.471516203703</v>
      </c>
      <c r="O1273" s="14" t="str">
        <f>HYPERLINK("https://otsuka-europe-crm.veevavault.com/ui/#object/email_activity__v/V8C00000003K687", "EN-002087177")</f>
        <v>EN-002087177</v>
      </c>
    </row>
    <row r="1274" spans="1:15" ht="16" x14ac:dyDescent="0.2">
      <c r="A1274" s="19"/>
      <c r="B1274" s="19"/>
      <c r="C1274" s="19"/>
      <c r="D1274" s="19"/>
      <c r="E1274" s="19"/>
      <c r="F1274" s="19"/>
      <c r="G1274" s="19"/>
      <c r="H1274" s="19"/>
      <c r="I1274" s="19"/>
      <c r="J1274" s="19"/>
      <c r="K1274" s="19"/>
      <c r="L1274" s="19"/>
      <c r="M1274" s="19"/>
      <c r="N1274" s="19"/>
      <c r="O1274" s="14" t="str">
        <f>HYPERLINK("https://otsuka-europe-crm.veevavault.com/ui/#object/email_activity__v/V8C00000003M215", "EN-002088399")</f>
        <v>EN-002088399</v>
      </c>
    </row>
    <row r="1275" spans="1:15" ht="32" x14ac:dyDescent="0.2">
      <c r="A1275" s="7" t="str">
        <f>HYPERLINK("https://otsuka-europe-crm.veevavault.com/ui/#object/account__v/V4TZ06G6O71T8PZ", "ELISA PEREZ BERNAT")</f>
        <v>ELISA PEREZ BERNAT</v>
      </c>
      <c r="B1275" s="7" t="str">
        <f>HYPERLINK("https://otsuka-europe-crm.veevavault.com/ui/#object/vcountry__v/VENZ000004SONF5", "ES")</f>
        <v>ES</v>
      </c>
      <c r="C1275" s="8" t="s">
        <v>41</v>
      </c>
      <c r="D1275" s="9" t="str">
        <f>HYPERLINK("https://otsuka-europe-crm.veevavault.com/ui/#object/approved_document__v/V5O00000001H022", "LUP - VAE invitación simposio SEN-SER - Nefro")</f>
        <v>LUP - VAE invitación simposio SEN-SER - Nefro</v>
      </c>
      <c r="E1275" s="10" t="str">
        <f>HYPERLINK("https://otsuka-europe-crm.veevavault.com/ui/#object/sent_email__v/VBL00000002N456", "SE-001431437")</f>
        <v>SE-001431437</v>
      </c>
      <c r="F1275" s="11"/>
      <c r="G1275" s="12">
        <v>0</v>
      </c>
      <c r="H1275" s="12">
        <v>0</v>
      </c>
      <c r="I1275" s="12">
        <v>0</v>
      </c>
      <c r="J1275" s="11"/>
      <c r="K1275" s="12">
        <v>0</v>
      </c>
      <c r="L1275" s="10" t="str">
        <f>HYPERLINK("https://otsuka-europe-crm.veevavault.com/ui/#object/approved_document__v/V5O00000001H022", "LUP - VAE invitación simposio SEN-SER - Nefro")</f>
        <v>LUP - VAE invitación simposio SEN-SER - Nefro</v>
      </c>
      <c r="M1275" s="10" t="str">
        <f>HYPERLINK("mailto:ccalero@crm.otsuka-europe.com", "ccalero@crm.otsuka-europe.com")</f>
        <v>ccalero@crm.otsuka-europe.com</v>
      </c>
      <c r="N1275" s="13">
        <v>46175.471516203703</v>
      </c>
      <c r="O1275" s="14" t="str">
        <f>HYPERLINK("https://otsuka-europe-crm.veevavault.com/ui/#object/email_activity__v/V8C00000003L566", "EN-002087160")</f>
        <v>EN-002087160</v>
      </c>
    </row>
    <row r="1276" spans="1:15" ht="16" x14ac:dyDescent="0.2">
      <c r="A1276" s="17" t="str">
        <f>HYPERLINK("https://otsuka-europe-crm.veevavault.com/ui/#object/account__v/V4TZ06G6O71TBLJ", "ANA PERIS DOMINGO")</f>
        <v>ANA PERIS DOMINGO</v>
      </c>
      <c r="B1276" s="17" t="str">
        <f>HYPERLINK("https://otsuka-europe-crm.veevavault.com/ui/#object/vcountry__v/VENZ000004SONF5", "ES")</f>
        <v>ES</v>
      </c>
      <c r="C1276" s="20" t="s">
        <v>41</v>
      </c>
      <c r="D1276" s="21" t="str">
        <f>HYPERLINK("https://otsuka-europe-crm.veevavault.com/ui/#object/approved_document__v/V5O00000001H022", "LUP - VAE invitación simposio SEN-SER - Nefro")</f>
        <v>LUP - VAE invitación simposio SEN-SER - Nefro</v>
      </c>
      <c r="E1276" s="22" t="str">
        <f>HYPERLINK("https://otsuka-europe-crm.veevavault.com/ui/#object/sent_email__v/VBL00000002N457", "SE-001431438")</f>
        <v>SE-001431438</v>
      </c>
      <c r="F1276" s="25"/>
      <c r="G1276" s="24">
        <v>0</v>
      </c>
      <c r="H1276" s="24">
        <v>0</v>
      </c>
      <c r="I1276" s="24">
        <v>0</v>
      </c>
      <c r="J1276" s="25"/>
      <c r="K1276" s="24">
        <v>0</v>
      </c>
      <c r="L1276" s="22" t="str">
        <f>HYPERLINK("https://otsuka-europe-crm.veevavault.com/ui/#object/approved_document__v/V5O00000001H022", "LUP - VAE invitación simposio SEN-SER - Nefro")</f>
        <v>LUP - VAE invitación simposio SEN-SER - Nefro</v>
      </c>
      <c r="M1276" s="22" t="str">
        <f>HYPERLINK("mailto:ccalero@crm.otsuka-europe.com", "ccalero@crm.otsuka-europe.com")</f>
        <v>ccalero@crm.otsuka-europe.com</v>
      </c>
      <c r="N1276" s="23">
        <v>46175.471516203703</v>
      </c>
      <c r="O1276" s="14" t="str">
        <f>HYPERLINK("https://otsuka-europe-crm.veevavault.com/ui/#object/email_activity__v/V8C00000003L563", "EN-002087157")</f>
        <v>EN-002087157</v>
      </c>
    </row>
    <row r="1277" spans="1:15" ht="16" x14ac:dyDescent="0.2">
      <c r="A1277" s="19"/>
      <c r="B1277" s="19"/>
      <c r="C1277" s="19"/>
      <c r="D1277" s="19"/>
      <c r="E1277" s="19"/>
      <c r="F1277" s="19"/>
      <c r="G1277" s="19"/>
      <c r="H1277" s="19"/>
      <c r="I1277" s="19"/>
      <c r="J1277" s="19"/>
      <c r="K1277" s="19"/>
      <c r="L1277" s="19"/>
      <c r="M1277" s="19"/>
      <c r="N1277" s="19"/>
      <c r="O1277" s="14" t="str">
        <f>HYPERLINK("https://otsuka-europe-crm.veevavault.com/ui/#object/email_activity__v/V8C00000003U974", "EN-002096934")</f>
        <v>EN-002096934</v>
      </c>
    </row>
    <row r="1278" spans="1:15" ht="32" x14ac:dyDescent="0.2">
      <c r="A1278" s="7" t="str">
        <f>HYPERLINK("https://otsuka-europe-crm.veevavault.com/ui/#object/account__v/V4TZ06G6O71TB3G", "AMPARO MARTINEZ MAS")</f>
        <v>AMPARO MARTINEZ MAS</v>
      </c>
      <c r="B1278" s="7" t="str">
        <f>HYPERLINK("https://otsuka-europe-crm.veevavault.com/ui/#object/vcountry__v/VENZ000004SONF5", "ES")</f>
        <v>ES</v>
      </c>
      <c r="C1278" s="8" t="s">
        <v>41</v>
      </c>
      <c r="D1278" s="9" t="str">
        <f>HYPERLINK("https://otsuka-europe-crm.veevavault.com/ui/#object/approved_document__v/V5O00000001H022", "LUP - VAE invitación simposio SEN-SER - Nefro")</f>
        <v>LUP - VAE invitación simposio SEN-SER - Nefro</v>
      </c>
      <c r="E1278" s="10" t="str">
        <f>HYPERLINK("https://otsuka-europe-crm.veevavault.com/ui/#object/sent_email__v/VBL00000002N458", "SE-001431439")</f>
        <v>SE-001431439</v>
      </c>
      <c r="F1278" s="11"/>
      <c r="G1278" s="12">
        <v>0</v>
      </c>
      <c r="H1278" s="12">
        <v>0</v>
      </c>
      <c r="I1278" s="12">
        <v>0</v>
      </c>
      <c r="J1278" s="11"/>
      <c r="K1278" s="12">
        <v>0</v>
      </c>
      <c r="L1278" s="10" t="str">
        <f>HYPERLINK("https://otsuka-europe-crm.veevavault.com/ui/#object/approved_document__v/V5O00000001H022", "LUP - VAE invitación simposio SEN-SER - Nefro")</f>
        <v>LUP - VAE invitación simposio SEN-SER - Nefro</v>
      </c>
      <c r="M1278" s="10" t="str">
        <f>HYPERLINK("mailto:ccalero@crm.otsuka-europe.com", "ccalero@crm.otsuka-europe.com")</f>
        <v>ccalero@crm.otsuka-europe.com</v>
      </c>
      <c r="N1278" s="13">
        <v>46175.471516203703</v>
      </c>
      <c r="O1278" s="14" t="str">
        <f>HYPERLINK("https://otsuka-europe-crm.veevavault.com/ui/#object/email_activity__v/V8C00000003L564", "EN-002087158")</f>
        <v>EN-002087158</v>
      </c>
    </row>
    <row r="1279" spans="1:15" ht="16" x14ac:dyDescent="0.2">
      <c r="A1279" s="17" t="str">
        <f>HYPERLINK("https://otsuka-europe-crm.veevavault.com/ui/#object/account__v/V4TZ06G6O71T8ID", "YUSSEL GONZALEZ GALVAN")</f>
        <v>YUSSEL GONZALEZ GALVAN</v>
      </c>
      <c r="B1279" s="17" t="str">
        <f>HYPERLINK("https://otsuka-europe-crm.veevavault.com/ui/#object/vcountry__v/VENZ000004SONF5", "ES")</f>
        <v>ES</v>
      </c>
      <c r="C1279" s="20" t="s">
        <v>41</v>
      </c>
      <c r="D1279" s="21" t="str">
        <f>HYPERLINK("https://otsuka-europe-crm.veevavault.com/ui/#object/approved_document__v/V5O00000001H022", "LUP - VAE invitación simposio SEN-SER - Nefro")</f>
        <v>LUP - VAE invitación simposio SEN-SER - Nefro</v>
      </c>
      <c r="E1279" s="22" t="str">
        <f>HYPERLINK("https://otsuka-europe-crm.veevavault.com/ui/#object/sent_email__v/VBL00000002N459", "SE-001431440")</f>
        <v>SE-001431440</v>
      </c>
      <c r="F1279" s="25"/>
      <c r="G1279" s="24">
        <v>0</v>
      </c>
      <c r="H1279" s="24">
        <v>0</v>
      </c>
      <c r="I1279" s="24">
        <v>0</v>
      </c>
      <c r="J1279" s="25"/>
      <c r="K1279" s="24">
        <v>0</v>
      </c>
      <c r="L1279" s="22" t="str">
        <f>HYPERLINK("https://otsuka-europe-crm.veevavault.com/ui/#object/approved_document__v/V5O00000001H022", "LUP - VAE invitación simposio SEN-SER - Nefro")</f>
        <v>LUP - VAE invitación simposio SEN-SER - Nefro</v>
      </c>
      <c r="M1279" s="22" t="str">
        <f>HYPERLINK("mailto:ccalero@crm.otsuka-europe.com", "ccalero@crm.otsuka-europe.com")</f>
        <v>ccalero@crm.otsuka-europe.com</v>
      </c>
      <c r="N1279" s="23">
        <v>46175.473020833335</v>
      </c>
      <c r="O1279" s="14" t="str">
        <f>HYPERLINK("https://otsuka-europe-crm.veevavault.com/ui/#object/email_activity__v/V8C00000003K700", "EN-002087215")</f>
        <v>EN-002087215</v>
      </c>
    </row>
    <row r="1280" spans="1:15" ht="16" x14ac:dyDescent="0.2">
      <c r="A1280" s="18"/>
      <c r="B1280" s="18"/>
      <c r="C1280" s="18"/>
      <c r="D1280" s="18"/>
      <c r="E1280" s="18"/>
      <c r="F1280" s="18"/>
      <c r="G1280" s="18"/>
      <c r="H1280" s="18"/>
      <c r="I1280" s="18"/>
      <c r="J1280" s="18"/>
      <c r="K1280" s="18"/>
      <c r="L1280" s="18"/>
      <c r="M1280" s="18"/>
      <c r="N1280" s="18"/>
      <c r="O1280" s="14" t="str">
        <f>HYPERLINK("https://otsuka-europe-crm.veevavault.com/ui/#object/email_activity__v/V8C00000003N286", "EN-002088430")</f>
        <v>EN-002088430</v>
      </c>
    </row>
    <row r="1281" spans="1:15" ht="16" x14ac:dyDescent="0.2">
      <c r="A1281" s="19"/>
      <c r="B1281" s="19"/>
      <c r="C1281" s="19"/>
      <c r="D1281" s="19"/>
      <c r="E1281" s="19"/>
      <c r="F1281" s="19"/>
      <c r="G1281" s="19"/>
      <c r="H1281" s="19"/>
      <c r="I1281" s="19"/>
      <c r="J1281" s="19"/>
      <c r="K1281" s="19"/>
      <c r="L1281" s="19"/>
      <c r="M1281" s="19"/>
      <c r="N1281" s="19"/>
      <c r="O1281" s="14" t="str">
        <f>HYPERLINK("https://otsuka-europe-crm.veevavault.com/ui/#object/email_activity__v/V8C00000003T394", "EN-002094389")</f>
        <v>EN-002094389</v>
      </c>
    </row>
    <row r="1282" spans="1:15" ht="16" x14ac:dyDescent="0.2">
      <c r="A1282" s="17" t="str">
        <f>HYPERLINK("https://otsuka-europe-crm.veevavault.com/ui/#object/account__v/V4TZ06G6O71T8DY", "OSCAR ANDRES CALLE MAFLA")</f>
        <v>OSCAR ANDRES CALLE MAFLA</v>
      </c>
      <c r="B1282" s="17" t="str">
        <f>HYPERLINK("https://otsuka-europe-crm.veevavault.com/ui/#object/vcountry__v/VENZ000004SONF5", "ES")</f>
        <v>ES</v>
      </c>
      <c r="C1282" s="20" t="s">
        <v>41</v>
      </c>
      <c r="D1282" s="21" t="str">
        <f>HYPERLINK("https://otsuka-europe-crm.veevavault.com/ui/#object/approved_document__v/V5O00000001H022", "LUP - VAE invitación simposio SEN-SER - Nefro")</f>
        <v>LUP - VAE invitación simposio SEN-SER - Nefro</v>
      </c>
      <c r="E1282" s="22" t="str">
        <f>HYPERLINK("https://otsuka-europe-crm.veevavault.com/ui/#object/sent_email__v/VBL00000002N460", "SE-001431441")</f>
        <v>SE-001431441</v>
      </c>
      <c r="F1282" s="23">
        <v>46175.702407407407</v>
      </c>
      <c r="G1282" s="24">
        <v>1</v>
      </c>
      <c r="H1282" s="24">
        <v>3</v>
      </c>
      <c r="I1282" s="24">
        <v>0</v>
      </c>
      <c r="J1282" s="25"/>
      <c r="K1282" s="24">
        <v>0</v>
      </c>
      <c r="L1282" s="22" t="str">
        <f>HYPERLINK("https://otsuka-europe-crm.veevavault.com/ui/#object/approved_document__v/V5O00000001H022", "LUP - VAE invitación simposio SEN-SER - Nefro")</f>
        <v>LUP - VAE invitación simposio SEN-SER - Nefro</v>
      </c>
      <c r="M1282" s="22" t="str">
        <f>HYPERLINK("mailto:ccalero@crm.otsuka-europe.com", "ccalero@crm.otsuka-europe.com")</f>
        <v>ccalero@crm.otsuka-europe.com</v>
      </c>
      <c r="N1282" s="23">
        <v>46175.473020833335</v>
      </c>
      <c r="O1282" s="14" t="str">
        <f>HYPERLINK("https://otsuka-europe-crm.veevavault.com/ui/#object/email_activity__v/V8C00000003K762", "EN-002087383")</f>
        <v>EN-002087383</v>
      </c>
    </row>
    <row r="1283" spans="1:15" ht="16" x14ac:dyDescent="0.2">
      <c r="A1283" s="18"/>
      <c r="B1283" s="18"/>
      <c r="C1283" s="18"/>
      <c r="D1283" s="18"/>
      <c r="E1283" s="18"/>
      <c r="F1283" s="18"/>
      <c r="G1283" s="18"/>
      <c r="H1283" s="18"/>
      <c r="I1283" s="18"/>
      <c r="J1283" s="18"/>
      <c r="K1283" s="18"/>
      <c r="L1283" s="18"/>
      <c r="M1283" s="18"/>
      <c r="N1283" s="18"/>
      <c r="O1283" s="14" t="str">
        <f>HYPERLINK("https://otsuka-europe-crm.veevavault.com/ui/#object/email_activity__v/V8C00000003L596", "EN-002087203")</f>
        <v>EN-002087203</v>
      </c>
    </row>
    <row r="1284" spans="1:15" ht="16" x14ac:dyDescent="0.2">
      <c r="A1284" s="18"/>
      <c r="B1284" s="18"/>
      <c r="C1284" s="18"/>
      <c r="D1284" s="18"/>
      <c r="E1284" s="18"/>
      <c r="F1284" s="18"/>
      <c r="G1284" s="18"/>
      <c r="H1284" s="18"/>
      <c r="I1284" s="18"/>
      <c r="J1284" s="18"/>
      <c r="K1284" s="18"/>
      <c r="L1284" s="18"/>
      <c r="M1284" s="18"/>
      <c r="N1284" s="18"/>
      <c r="O1284" s="14" t="str">
        <f>HYPERLINK("https://otsuka-europe-crm.veevavault.com/ui/#object/email_activity__v/V8C00000003L610", "EN-002087223")</f>
        <v>EN-002087223</v>
      </c>
    </row>
    <row r="1285" spans="1:15" ht="16" x14ac:dyDescent="0.2">
      <c r="A1285" s="19"/>
      <c r="B1285" s="19"/>
      <c r="C1285" s="19"/>
      <c r="D1285" s="19"/>
      <c r="E1285" s="19"/>
      <c r="F1285" s="19"/>
      <c r="G1285" s="19"/>
      <c r="H1285" s="19"/>
      <c r="I1285" s="19"/>
      <c r="J1285" s="19"/>
      <c r="K1285" s="19"/>
      <c r="L1285" s="19"/>
      <c r="M1285" s="19"/>
      <c r="N1285" s="19"/>
      <c r="O1285" s="14" t="str">
        <f>HYPERLINK("https://otsuka-europe-crm.veevavault.com/ui/#object/email_activity__v/V8C00000003M096", "EN-002088019")</f>
        <v>EN-002088019</v>
      </c>
    </row>
    <row r="1286" spans="1:15" ht="16" x14ac:dyDescent="0.2">
      <c r="A1286" s="17" t="str">
        <f>HYPERLINK("https://otsuka-europe-crm.veevavault.com/ui/#object/account__v/V4TZ06G6O71TB8Y", "PABLO MOLINA VILA")</f>
        <v>PABLO MOLINA VILA</v>
      </c>
      <c r="B1286" s="17" t="str">
        <f>HYPERLINK("https://otsuka-europe-crm.veevavault.com/ui/#object/vcountry__v/VENZ000004SONF5", "ES")</f>
        <v>ES</v>
      </c>
      <c r="C1286" s="20" t="s">
        <v>41</v>
      </c>
      <c r="D1286" s="21" t="str">
        <f>HYPERLINK("https://otsuka-europe-crm.veevavault.com/ui/#object/approved_document__v/V5O00000001H022", "LUP - VAE invitación simposio SEN-SER - Nefro")</f>
        <v>LUP - VAE invitación simposio SEN-SER - Nefro</v>
      </c>
      <c r="E1286" s="22" t="str">
        <f>HYPERLINK("https://otsuka-europe-crm.veevavault.com/ui/#object/sent_email__v/VBL00000002N461", "SE-001431442")</f>
        <v>SE-001431442</v>
      </c>
      <c r="F1286" s="23">
        <v>46181.742951388886</v>
      </c>
      <c r="G1286" s="24">
        <v>1</v>
      </c>
      <c r="H1286" s="24">
        <v>7</v>
      </c>
      <c r="I1286" s="24">
        <v>0</v>
      </c>
      <c r="J1286" s="25"/>
      <c r="K1286" s="24">
        <v>0</v>
      </c>
      <c r="L1286" s="22" t="str">
        <f>HYPERLINK("https://otsuka-europe-crm.veevavault.com/ui/#object/approved_document__v/V5O00000001H022", "LUP - VAE invitación simposio SEN-SER - Nefro")</f>
        <v>LUP - VAE invitación simposio SEN-SER - Nefro</v>
      </c>
      <c r="M1286" s="22" t="str">
        <f>HYPERLINK("mailto:ccalero@crm.otsuka-europe.com", "ccalero@crm.otsuka-europe.com")</f>
        <v>ccalero@crm.otsuka-europe.com</v>
      </c>
      <c r="N1286" s="23">
        <v>46175.473020833335</v>
      </c>
      <c r="O1286" s="14" t="str">
        <f>HYPERLINK("https://otsuka-europe-crm.veevavault.com/ui/#object/email_activity__v/V8C00000003K792", "EN-002087430")</f>
        <v>EN-002087430</v>
      </c>
    </row>
    <row r="1287" spans="1:15" ht="16" x14ac:dyDescent="0.2">
      <c r="A1287" s="18"/>
      <c r="B1287" s="18"/>
      <c r="C1287" s="18"/>
      <c r="D1287" s="18"/>
      <c r="E1287" s="18"/>
      <c r="F1287" s="18"/>
      <c r="G1287" s="18"/>
      <c r="H1287" s="18"/>
      <c r="I1287" s="18"/>
      <c r="J1287" s="18"/>
      <c r="K1287" s="18"/>
      <c r="L1287" s="18"/>
      <c r="M1287" s="18"/>
      <c r="N1287" s="18"/>
      <c r="O1287" s="14" t="str">
        <f>HYPERLINK("https://otsuka-europe-crm.veevavault.com/ui/#object/email_activity__v/V8C00000003L608", "EN-002087220")</f>
        <v>EN-002087220</v>
      </c>
    </row>
    <row r="1288" spans="1:15" ht="16" x14ac:dyDescent="0.2">
      <c r="A1288" s="18"/>
      <c r="B1288" s="18"/>
      <c r="C1288" s="18"/>
      <c r="D1288" s="18"/>
      <c r="E1288" s="18"/>
      <c r="F1288" s="18"/>
      <c r="G1288" s="18"/>
      <c r="H1288" s="18"/>
      <c r="I1288" s="18"/>
      <c r="J1288" s="18"/>
      <c r="K1288" s="18"/>
      <c r="L1288" s="18"/>
      <c r="M1288" s="18"/>
      <c r="N1288" s="18"/>
      <c r="O1288" s="14" t="str">
        <f>HYPERLINK("https://otsuka-europe-crm.veevavault.com/ui/#object/email_activity__v/V8C00000003M382", "EN-002088779")</f>
        <v>EN-002088779</v>
      </c>
    </row>
    <row r="1289" spans="1:15" ht="16" x14ac:dyDescent="0.2">
      <c r="A1289" s="18"/>
      <c r="B1289" s="18"/>
      <c r="C1289" s="18"/>
      <c r="D1289" s="18"/>
      <c r="E1289" s="18"/>
      <c r="F1289" s="18"/>
      <c r="G1289" s="18"/>
      <c r="H1289" s="18"/>
      <c r="I1289" s="18"/>
      <c r="J1289" s="18"/>
      <c r="K1289" s="18"/>
      <c r="L1289" s="18"/>
      <c r="M1289" s="18"/>
      <c r="N1289" s="18"/>
      <c r="O1289" s="14" t="str">
        <f>HYPERLINK("https://otsuka-europe-crm.veevavault.com/ui/#object/email_activity__v/V8C00000003N425", "EN-002088676")</f>
        <v>EN-002088676</v>
      </c>
    </row>
    <row r="1290" spans="1:15" ht="16" x14ac:dyDescent="0.2">
      <c r="A1290" s="18"/>
      <c r="B1290" s="18"/>
      <c r="C1290" s="18"/>
      <c r="D1290" s="18"/>
      <c r="E1290" s="18"/>
      <c r="F1290" s="18"/>
      <c r="G1290" s="18"/>
      <c r="H1290" s="18"/>
      <c r="I1290" s="18"/>
      <c r="J1290" s="18"/>
      <c r="K1290" s="18"/>
      <c r="L1290" s="18"/>
      <c r="M1290" s="18"/>
      <c r="N1290" s="18"/>
      <c r="O1290" s="14" t="str">
        <f>HYPERLINK("https://otsuka-europe-crm.veevavault.com/ui/#object/email_activity__v/V8C00000003Q654", "EN-002092138")</f>
        <v>EN-002092138</v>
      </c>
    </row>
    <row r="1291" spans="1:15" ht="16" x14ac:dyDescent="0.2">
      <c r="A1291" s="18"/>
      <c r="B1291" s="18"/>
      <c r="C1291" s="18"/>
      <c r="D1291" s="18"/>
      <c r="E1291" s="18"/>
      <c r="F1291" s="18"/>
      <c r="G1291" s="18"/>
      <c r="H1291" s="18"/>
      <c r="I1291" s="18"/>
      <c r="J1291" s="18"/>
      <c r="K1291" s="18"/>
      <c r="L1291" s="18"/>
      <c r="M1291" s="18"/>
      <c r="N1291" s="18"/>
      <c r="O1291" s="14" t="str">
        <f>HYPERLINK("https://otsuka-europe-crm.veevavault.com/ui/#object/email_activity__v/V8C00000003Q655", "EN-002092139")</f>
        <v>EN-002092139</v>
      </c>
    </row>
    <row r="1292" spans="1:15" ht="16" x14ac:dyDescent="0.2">
      <c r="A1292" s="18"/>
      <c r="B1292" s="18"/>
      <c r="C1292" s="18"/>
      <c r="D1292" s="18"/>
      <c r="E1292" s="18"/>
      <c r="F1292" s="18"/>
      <c r="G1292" s="18"/>
      <c r="H1292" s="18"/>
      <c r="I1292" s="18"/>
      <c r="J1292" s="18"/>
      <c r="K1292" s="18"/>
      <c r="L1292" s="18"/>
      <c r="M1292" s="18"/>
      <c r="N1292" s="18"/>
      <c r="O1292" s="14" t="str">
        <f>HYPERLINK("https://otsuka-europe-crm.veevavault.com/ui/#object/email_activity__v/V8C00000003Q661", "EN-002092151")</f>
        <v>EN-002092151</v>
      </c>
    </row>
    <row r="1293" spans="1:15" ht="16" x14ac:dyDescent="0.2">
      <c r="A1293" s="19"/>
      <c r="B1293" s="19"/>
      <c r="C1293" s="19"/>
      <c r="D1293" s="19"/>
      <c r="E1293" s="19"/>
      <c r="F1293" s="19"/>
      <c r="G1293" s="19"/>
      <c r="H1293" s="19"/>
      <c r="I1293" s="19"/>
      <c r="J1293" s="19"/>
      <c r="K1293" s="19"/>
      <c r="L1293" s="19"/>
      <c r="M1293" s="19"/>
      <c r="N1293" s="19"/>
      <c r="O1293" s="14" t="str">
        <f>HYPERLINK("https://otsuka-europe-crm.veevavault.com/ui/#object/email_activity__v/V8C00000003R240", "EN-002092130")</f>
        <v>EN-002092130</v>
      </c>
    </row>
    <row r="1294" spans="1:15" ht="32" x14ac:dyDescent="0.2">
      <c r="A1294" s="7" t="str">
        <f>HYPERLINK("https://otsuka-europe-crm.veevavault.com/ui/#object/account__v/V4TZ06G6O71T7H2", "NAYARA PANIZO GONZALEZ")</f>
        <v>NAYARA PANIZO GONZALEZ</v>
      </c>
      <c r="B1294" s="7" t="str">
        <f>HYPERLINK("https://otsuka-europe-crm.veevavault.com/ui/#object/vcountry__v/VENZ000004SONF5", "ES")</f>
        <v>ES</v>
      </c>
      <c r="C1294" s="8" t="s">
        <v>41</v>
      </c>
      <c r="D1294" s="9" t="str">
        <f>HYPERLINK("https://otsuka-europe-crm.veevavault.com/ui/#object/approved_document__v/V5O00000001H022", "LUP - VAE invitación simposio SEN-SER - Nefro")</f>
        <v>LUP - VAE invitación simposio SEN-SER - Nefro</v>
      </c>
      <c r="E1294" s="10" t="str">
        <f>HYPERLINK("https://otsuka-europe-crm.veevavault.com/ui/#object/sent_email__v/VBL00000002N462", "SE-001431443")</f>
        <v>SE-001431443</v>
      </c>
      <c r="F1294" s="11"/>
      <c r="G1294" s="12">
        <v>0</v>
      </c>
      <c r="H1294" s="12">
        <v>0</v>
      </c>
      <c r="I1294" s="12">
        <v>0</v>
      </c>
      <c r="J1294" s="11"/>
      <c r="K1294" s="12">
        <v>0</v>
      </c>
      <c r="L1294" s="10" t="str">
        <f>HYPERLINK("https://otsuka-europe-crm.veevavault.com/ui/#object/approved_document__v/V5O00000001H022", "LUP - VAE invitación simposio SEN-SER - Nefro")</f>
        <v>LUP - VAE invitación simposio SEN-SER - Nefro</v>
      </c>
      <c r="M1294" s="10" t="str">
        <f>HYPERLINK("mailto:ccalero@crm.otsuka-europe.com", "ccalero@crm.otsuka-europe.com")</f>
        <v>ccalero@crm.otsuka-europe.com</v>
      </c>
      <c r="N1294" s="13">
        <v>46175.473009259258</v>
      </c>
      <c r="O1294" s="14" t="str">
        <f>HYPERLINK("https://otsuka-europe-crm.veevavault.com/ui/#object/email_activity__v/V8C00000003L603", "EN-002087212")</f>
        <v>EN-002087212</v>
      </c>
    </row>
    <row r="1295" spans="1:15" ht="16" x14ac:dyDescent="0.2">
      <c r="A1295" s="17" t="str">
        <f>HYPERLINK("https://otsuka-europe-crm.veevavault.com/ui/#object/account__v/V4TZ04ASG9234G1", "MIGUEL ANGEL SOLIS SALGUERO")</f>
        <v>MIGUEL ANGEL SOLIS SALGUERO</v>
      </c>
      <c r="B1295" s="17" t="str">
        <f>HYPERLINK("https://otsuka-europe-crm.veevavault.com/ui/#object/vcountry__v/VENZ000004SONF5", "ES")</f>
        <v>ES</v>
      </c>
      <c r="C1295" s="20" t="s">
        <v>41</v>
      </c>
      <c r="D1295" s="21" t="str">
        <f>HYPERLINK("https://otsuka-europe-crm.veevavault.com/ui/#object/approved_document__v/V5O00000001H022", "LUP - VAE invitación simposio SEN-SER - Nefro")</f>
        <v>LUP - VAE invitación simposio SEN-SER - Nefro</v>
      </c>
      <c r="E1295" s="22" t="str">
        <f>HYPERLINK("https://otsuka-europe-crm.veevavault.com/ui/#object/sent_email__v/VBL00000002N463", "SE-001431444")</f>
        <v>SE-001431444</v>
      </c>
      <c r="F1295" s="25"/>
      <c r="G1295" s="24">
        <v>0</v>
      </c>
      <c r="H1295" s="24">
        <v>0</v>
      </c>
      <c r="I1295" s="24">
        <v>0</v>
      </c>
      <c r="J1295" s="25"/>
      <c r="K1295" s="24">
        <v>0</v>
      </c>
      <c r="L1295" s="22" t="str">
        <f>HYPERLINK("https://otsuka-europe-crm.veevavault.com/ui/#object/approved_document__v/V5O00000001H022", "LUP - VAE invitación simposio SEN-SER - Nefro")</f>
        <v>LUP - VAE invitación simposio SEN-SER - Nefro</v>
      </c>
      <c r="M1295" s="22" t="str">
        <f>HYPERLINK("mailto:ccalero@crm.otsuka-europe.com", "ccalero@crm.otsuka-europe.com")</f>
        <v>ccalero@crm.otsuka-europe.com</v>
      </c>
      <c r="N1295" s="23">
        <v>46175.473055555558</v>
      </c>
      <c r="O1295" s="14" t="str">
        <f>HYPERLINK("https://otsuka-europe-crm.veevavault.com/ui/#object/email_activity__v/V8C00000003K979", "EN-002087766")</f>
        <v>EN-002087766</v>
      </c>
    </row>
    <row r="1296" spans="1:15" ht="16" x14ac:dyDescent="0.2">
      <c r="A1296" s="19"/>
      <c r="B1296" s="19"/>
      <c r="C1296" s="19"/>
      <c r="D1296" s="19"/>
      <c r="E1296" s="19"/>
      <c r="F1296" s="19"/>
      <c r="G1296" s="19"/>
      <c r="H1296" s="19"/>
      <c r="I1296" s="19"/>
      <c r="J1296" s="19"/>
      <c r="K1296" s="19"/>
      <c r="L1296" s="19"/>
      <c r="M1296" s="19"/>
      <c r="N1296" s="19"/>
      <c r="O1296" s="14" t="str">
        <f>HYPERLINK("https://otsuka-europe-crm.veevavault.com/ui/#object/email_activity__v/V8C00000003L598", "EN-002087205")</f>
        <v>EN-002087205</v>
      </c>
    </row>
    <row r="1297" spans="1:15" ht="32" x14ac:dyDescent="0.2">
      <c r="A1297" s="7" t="str">
        <f>HYPERLINK("https://otsuka-europe-crm.veevavault.com/ui/#object/account__v/V4TZ06G6O71T9LJ", "VANESA DE LA FUENTE FERNANDEZ")</f>
        <v>VANESA DE LA FUENTE FERNANDEZ</v>
      </c>
      <c r="B1297" s="7" t="str">
        <f>HYPERLINK("https://otsuka-europe-crm.veevavault.com/ui/#object/vcountry__v/VENZ000004SONF5", "ES")</f>
        <v>ES</v>
      </c>
      <c r="C1297" s="8" t="s">
        <v>41</v>
      </c>
      <c r="D1297" s="9" t="str">
        <f>HYPERLINK("https://otsuka-europe-crm.veevavault.com/ui/#object/approved_document__v/V5O00000001H022", "LUP - VAE invitación simposio SEN-SER - Nefro")</f>
        <v>LUP - VAE invitación simposio SEN-SER - Nefro</v>
      </c>
      <c r="E1297" s="10" t="str">
        <f>HYPERLINK("https://otsuka-europe-crm.veevavault.com/ui/#object/sent_email__v/VBL00000002N464", "SE-001431445")</f>
        <v>SE-001431445</v>
      </c>
      <c r="F1297" s="11"/>
      <c r="G1297" s="12">
        <v>0</v>
      </c>
      <c r="H1297" s="12">
        <v>0</v>
      </c>
      <c r="I1297" s="12">
        <v>0</v>
      </c>
      <c r="J1297" s="11"/>
      <c r="K1297" s="12">
        <v>0</v>
      </c>
      <c r="L1297" s="10" t="str">
        <f>HYPERLINK("https://otsuka-europe-crm.veevavault.com/ui/#object/approved_document__v/V5O00000001H022", "LUP - VAE invitación simposio SEN-SER - Nefro")</f>
        <v>LUP - VAE invitación simposio SEN-SER - Nefro</v>
      </c>
      <c r="M1297" s="10" t="str">
        <f>HYPERLINK("mailto:ccalero@crm.otsuka-europe.com", "ccalero@crm.otsuka-europe.com")</f>
        <v>ccalero@crm.otsuka-europe.com</v>
      </c>
      <c r="N1297" s="13">
        <v>46175.473020833335</v>
      </c>
      <c r="O1297" s="14" t="str">
        <f>HYPERLINK("https://otsuka-europe-crm.veevavault.com/ui/#object/email_activity__v/V8C00000003K702", "EN-002087221")</f>
        <v>EN-002087221</v>
      </c>
    </row>
    <row r="1298" spans="1:15" ht="32" x14ac:dyDescent="0.2">
      <c r="A1298" s="7" t="str">
        <f>HYPERLINK("https://otsuka-europe-crm.veevavault.com/ui/#object/account__v/V4TZ06G6O71TATG", "RAMON LOPEZ-MENCHERO MARTINEZ")</f>
        <v>RAMON LOPEZ-MENCHERO MARTINEZ</v>
      </c>
      <c r="B1298" s="7" t="str">
        <f>HYPERLINK("https://otsuka-europe-crm.veevavault.com/ui/#object/vcountry__v/VENZ000004SONF5", "ES")</f>
        <v>ES</v>
      </c>
      <c r="C1298" s="8" t="s">
        <v>41</v>
      </c>
      <c r="D1298" s="9" t="str">
        <f>HYPERLINK("https://otsuka-europe-crm.veevavault.com/ui/#object/approved_document__v/V5O00000001H022", "LUP - VAE invitación simposio SEN-SER - Nefro")</f>
        <v>LUP - VAE invitación simposio SEN-SER - Nefro</v>
      </c>
      <c r="E1298" s="10" t="str">
        <f>HYPERLINK("https://otsuka-europe-crm.veevavault.com/ui/#object/sent_email__v/VBL00000002N465", "SE-001431446")</f>
        <v>SE-001431446</v>
      </c>
      <c r="F1298" s="11"/>
      <c r="G1298" s="12">
        <v>0</v>
      </c>
      <c r="H1298" s="12">
        <v>0</v>
      </c>
      <c r="I1298" s="12">
        <v>0</v>
      </c>
      <c r="J1298" s="11"/>
      <c r="K1298" s="12">
        <v>0</v>
      </c>
      <c r="L1298" s="10" t="str">
        <f>HYPERLINK("https://otsuka-europe-crm.veevavault.com/ui/#object/approved_document__v/V5O00000001H022", "LUP - VAE invitación simposio SEN-SER - Nefro")</f>
        <v>LUP - VAE invitación simposio SEN-SER - Nefro</v>
      </c>
      <c r="M1298" s="10" t="str">
        <f>HYPERLINK("mailto:ccalero@crm.otsuka-europe.com", "ccalero@crm.otsuka-europe.com")</f>
        <v>ccalero@crm.otsuka-europe.com</v>
      </c>
      <c r="N1298" s="13">
        <v>46175.473009259258</v>
      </c>
      <c r="O1298" s="14" t="str">
        <f>HYPERLINK("https://otsuka-europe-crm.veevavault.com/ui/#object/email_activity__v/V8C00000003L600", "EN-002087209")</f>
        <v>EN-002087209</v>
      </c>
    </row>
    <row r="1299" spans="1:15" ht="32" x14ac:dyDescent="0.2">
      <c r="A1299" s="7" t="str">
        <f>HYPERLINK("https://otsuka-europe-crm.veevavault.com/ui/#object/account__v/V4TZ06G6O71TBFR", "RAUL JESUS NOGUERA TORREGROSA")</f>
        <v>RAUL JESUS NOGUERA TORREGROSA</v>
      </c>
      <c r="B1299" s="7" t="str">
        <f>HYPERLINK("https://otsuka-europe-crm.veevavault.com/ui/#object/vcountry__v/VENZ000004SONF5", "ES")</f>
        <v>ES</v>
      </c>
      <c r="C1299" s="8" t="s">
        <v>41</v>
      </c>
      <c r="D1299" s="9" t="str">
        <f>HYPERLINK("https://otsuka-europe-crm.veevavault.com/ui/#object/approved_document__v/V5O00000001H022", "LUP - VAE invitación simposio SEN-SER - Nefro")</f>
        <v>LUP - VAE invitación simposio SEN-SER - Nefro</v>
      </c>
      <c r="E1299" s="10" t="str">
        <f>HYPERLINK("https://otsuka-europe-crm.veevavault.com/ui/#object/sent_email__v/VBL00000002N466", "SE-001431447")</f>
        <v>SE-001431447</v>
      </c>
      <c r="F1299" s="11"/>
      <c r="G1299" s="12">
        <v>0</v>
      </c>
      <c r="H1299" s="12">
        <v>0</v>
      </c>
      <c r="I1299" s="12">
        <v>0</v>
      </c>
      <c r="J1299" s="11"/>
      <c r="K1299" s="12">
        <v>0</v>
      </c>
      <c r="L1299" s="10" t="str">
        <f>HYPERLINK("https://otsuka-europe-crm.veevavault.com/ui/#object/approved_document__v/V5O00000001H022", "LUP - VAE invitación simposio SEN-SER - Nefro")</f>
        <v>LUP - VAE invitación simposio SEN-SER - Nefro</v>
      </c>
      <c r="M1299" s="10" t="str">
        <f>HYPERLINK("mailto:ccalero@crm.otsuka-europe.com", "ccalero@crm.otsuka-europe.com")</f>
        <v>ccalero@crm.otsuka-europe.com</v>
      </c>
      <c r="N1299" s="13">
        <v>46175.473020833335</v>
      </c>
      <c r="O1299" s="14" t="str">
        <f>HYPERLINK("https://otsuka-europe-crm.veevavault.com/ui/#object/email_activity__v/V8C00000003L605", "EN-002087217")</f>
        <v>EN-002087217</v>
      </c>
    </row>
    <row r="1300" spans="1:15" ht="16" x14ac:dyDescent="0.2">
      <c r="A1300" s="17" t="str">
        <f>HYPERLINK("https://otsuka-europe-crm.veevavault.com/ui/#object/account__v/V4TZ06G6O71T74G", "PATRICIA TOMAS SIMO")</f>
        <v>PATRICIA TOMAS SIMO</v>
      </c>
      <c r="B1300" s="17" t="str">
        <f>HYPERLINK("https://otsuka-europe-crm.veevavault.com/ui/#object/vcountry__v/VENZ000004SONF5", "ES")</f>
        <v>ES</v>
      </c>
      <c r="C1300" s="20" t="s">
        <v>41</v>
      </c>
      <c r="D1300" s="21" t="str">
        <f>HYPERLINK("https://otsuka-europe-crm.veevavault.com/ui/#object/approved_document__v/V5O00000001H022", "LUP - VAE invitación simposio SEN-SER - Nefro")</f>
        <v>LUP - VAE invitación simposio SEN-SER - Nefro</v>
      </c>
      <c r="E1300" s="22" t="str">
        <f>HYPERLINK("https://otsuka-europe-crm.veevavault.com/ui/#object/sent_email__v/VBL00000002N467", "SE-001431448")</f>
        <v>SE-001431448</v>
      </c>
      <c r="F1300" s="25"/>
      <c r="G1300" s="24">
        <v>0</v>
      </c>
      <c r="H1300" s="24">
        <v>0</v>
      </c>
      <c r="I1300" s="24">
        <v>1</v>
      </c>
      <c r="J1300" s="23">
        <v>46175.607118055559</v>
      </c>
      <c r="K1300" s="24">
        <v>1</v>
      </c>
      <c r="L1300" s="22" t="str">
        <f>HYPERLINK("https://otsuka-europe-crm.veevavault.com/ui/#object/approved_document__v/V5O00000001H022", "LUP - VAE invitación simposio SEN-SER - Nefro")</f>
        <v>LUP - VAE invitación simposio SEN-SER - Nefro</v>
      </c>
      <c r="M1300" s="22" t="str">
        <f>HYPERLINK("mailto:ccalero@crm.otsuka-europe.com", "ccalero@crm.otsuka-europe.com")</f>
        <v>ccalero@crm.otsuka-europe.com</v>
      </c>
      <c r="N1300" s="23">
        <v>46175.473020833335</v>
      </c>
      <c r="O1300" s="14" t="str">
        <f>HYPERLINK("https://otsuka-europe-crm.veevavault.com/ui/#object/email_activity__v/V8C00000003L606", "EN-002087218")</f>
        <v>EN-002087218</v>
      </c>
    </row>
    <row r="1301" spans="1:15" ht="16" x14ac:dyDescent="0.2">
      <c r="A1301" s="18"/>
      <c r="B1301" s="18"/>
      <c r="C1301" s="18"/>
      <c r="D1301" s="18"/>
      <c r="E1301" s="18"/>
      <c r="F1301" s="18"/>
      <c r="G1301" s="18"/>
      <c r="H1301" s="18"/>
      <c r="I1301" s="18"/>
      <c r="J1301" s="18"/>
      <c r="K1301" s="18"/>
      <c r="L1301" s="18"/>
      <c r="M1301" s="18"/>
      <c r="N1301" s="18"/>
      <c r="O1301" s="14" t="str">
        <f>HYPERLINK("https://otsuka-europe-crm.veevavault.com/ui/#object/email_activity__v/V8C00000003L940", "EN-002087866")</f>
        <v>EN-002087866</v>
      </c>
    </row>
    <row r="1302" spans="1:15" ht="16" x14ac:dyDescent="0.2">
      <c r="A1302" s="18"/>
      <c r="B1302" s="18"/>
      <c r="C1302" s="18"/>
      <c r="D1302" s="18"/>
      <c r="E1302" s="18"/>
      <c r="F1302" s="18"/>
      <c r="G1302" s="18"/>
      <c r="H1302" s="18"/>
      <c r="I1302" s="18"/>
      <c r="J1302" s="18"/>
      <c r="K1302" s="18"/>
      <c r="L1302" s="18"/>
      <c r="M1302" s="18"/>
      <c r="N1302" s="18"/>
      <c r="O1302" s="14" t="str">
        <f>HYPERLINK("https://otsuka-europe-crm.veevavault.com/ui/#object/email_activity__v/V8C00000003L941", "EN-002087869")</f>
        <v>EN-002087869</v>
      </c>
    </row>
    <row r="1303" spans="1:15" ht="16" x14ac:dyDescent="0.2">
      <c r="A1303" s="19"/>
      <c r="B1303" s="19"/>
      <c r="C1303" s="19"/>
      <c r="D1303" s="19"/>
      <c r="E1303" s="19"/>
      <c r="F1303" s="19"/>
      <c r="G1303" s="19"/>
      <c r="H1303" s="19"/>
      <c r="I1303" s="19"/>
      <c r="J1303" s="19"/>
      <c r="K1303" s="19"/>
      <c r="L1303" s="19"/>
      <c r="M1303" s="19"/>
      <c r="N1303" s="19"/>
      <c r="O1303" s="14" t="str">
        <f>HYPERLINK("https://otsuka-europe-crm.veevavault.com/ui/#object/email_activity__v/V8C00000003M037", "EN-002087908")</f>
        <v>EN-002087908</v>
      </c>
    </row>
    <row r="1304" spans="1:15" ht="32" x14ac:dyDescent="0.2">
      <c r="A1304" s="7" t="str">
        <f>HYPERLINK("https://otsuka-europe-crm.veevavault.com/ui/#object/account__v/V4TZ025E86CJCU9", "PAULA ALEJANDRA DE LA FUENTE")</f>
        <v>PAULA ALEJANDRA DE LA FUENTE</v>
      </c>
      <c r="B1304" s="7" t="str">
        <f>HYPERLINK("https://otsuka-europe-crm.veevavault.com/ui/#object/vcountry__v/VENZ000004SONF5", "ES")</f>
        <v>ES</v>
      </c>
      <c r="C1304" s="8" t="s">
        <v>41</v>
      </c>
      <c r="D1304" s="9" t="str">
        <f>HYPERLINK("https://otsuka-europe-crm.veevavault.com/ui/#object/approved_document__v/V5O00000001H022", "LUP - VAE invitación simposio SEN-SER - Nefro")</f>
        <v>LUP - VAE invitación simposio SEN-SER - Nefro</v>
      </c>
      <c r="E1304" s="10" t="str">
        <f>HYPERLINK("https://otsuka-europe-crm.veevavault.com/ui/#object/sent_email__v/VBL00000002N468", "SE-001431449")</f>
        <v>SE-001431449</v>
      </c>
      <c r="F1304" s="11"/>
      <c r="G1304" s="12">
        <v>0</v>
      </c>
      <c r="H1304" s="12">
        <v>0</v>
      </c>
      <c r="I1304" s="12">
        <v>0</v>
      </c>
      <c r="J1304" s="11"/>
      <c r="K1304" s="12">
        <v>0</v>
      </c>
      <c r="L1304" s="10" t="str">
        <f>HYPERLINK("https://otsuka-europe-crm.veevavault.com/ui/#object/approved_document__v/V5O00000001H022", "LUP - VAE invitación simposio SEN-SER - Nefro")</f>
        <v>LUP - VAE invitación simposio SEN-SER - Nefro</v>
      </c>
      <c r="M1304" s="10" t="str">
        <f>HYPERLINK("mailto:ccalero@crm.otsuka-europe.com", "ccalero@crm.otsuka-europe.com")</f>
        <v>ccalero@crm.otsuka-europe.com</v>
      </c>
      <c r="N1304" s="13">
        <v>46175.473020833335</v>
      </c>
      <c r="O1304" s="14" t="str">
        <f>HYPERLINK("https://otsuka-europe-crm.veevavault.com/ui/#object/email_activity__v/V8C00000003L604", "EN-002087213")</f>
        <v>EN-002087213</v>
      </c>
    </row>
    <row r="1305" spans="1:15" ht="16" x14ac:dyDescent="0.2">
      <c r="A1305" s="17" t="str">
        <f>HYPERLINK("https://otsuka-europe-crm.veevavault.com/ui/#object/account__v/V4TZ06G6O71T9E1", "NOELIA BALIBREA LARA")</f>
        <v>NOELIA BALIBREA LARA</v>
      </c>
      <c r="B1305" s="17" t="str">
        <f>HYPERLINK("https://otsuka-europe-crm.veevavault.com/ui/#object/vcountry__v/VENZ000004SONF5", "ES")</f>
        <v>ES</v>
      </c>
      <c r="C1305" s="20" t="s">
        <v>41</v>
      </c>
      <c r="D1305" s="21" t="str">
        <f>HYPERLINK("https://otsuka-europe-crm.veevavault.com/ui/#object/approved_document__v/V5O00000001H022", "LUP - VAE invitación simposio SEN-SER - Nefro")</f>
        <v>LUP - VAE invitación simposio SEN-SER - Nefro</v>
      </c>
      <c r="E1305" s="22" t="str">
        <f>HYPERLINK("https://otsuka-europe-crm.veevavault.com/ui/#object/sent_email__v/VBL00000002N469", "SE-001431450")</f>
        <v>SE-001431450</v>
      </c>
      <c r="F1305" s="25"/>
      <c r="G1305" s="24">
        <v>0</v>
      </c>
      <c r="H1305" s="24">
        <v>0</v>
      </c>
      <c r="I1305" s="24">
        <v>0</v>
      </c>
      <c r="J1305" s="25"/>
      <c r="K1305" s="24">
        <v>0</v>
      </c>
      <c r="L1305" s="22" t="str">
        <f>HYPERLINK("https://otsuka-europe-crm.veevavault.com/ui/#object/approved_document__v/V5O00000001H022", "LUP - VAE invitación simposio SEN-SER - Nefro")</f>
        <v>LUP - VAE invitación simposio SEN-SER - Nefro</v>
      </c>
      <c r="M1305" s="22" t="str">
        <f>HYPERLINK("mailto:ccalero@crm.otsuka-europe.com", "ccalero@crm.otsuka-europe.com")</f>
        <v>ccalero@crm.otsuka-europe.com</v>
      </c>
      <c r="N1305" s="23">
        <v>46175.473020833335</v>
      </c>
      <c r="O1305" s="14" t="str">
        <f>HYPERLINK("https://otsuka-europe-crm.veevavault.com/ui/#object/email_activity__v/V8C00000003K701", "EN-002087216")</f>
        <v>EN-002087216</v>
      </c>
    </row>
    <row r="1306" spans="1:15" ht="16" x14ac:dyDescent="0.2">
      <c r="A1306" s="19"/>
      <c r="B1306" s="19"/>
      <c r="C1306" s="19"/>
      <c r="D1306" s="19"/>
      <c r="E1306" s="19"/>
      <c r="F1306" s="19"/>
      <c r="G1306" s="19"/>
      <c r="H1306" s="19"/>
      <c r="I1306" s="19"/>
      <c r="J1306" s="19"/>
      <c r="K1306" s="19"/>
      <c r="L1306" s="19"/>
      <c r="M1306" s="19"/>
      <c r="N1306" s="19"/>
      <c r="O1306" s="14" t="str">
        <f>HYPERLINK("https://otsuka-europe-crm.veevavault.com/ui/#object/email_activity__v/V8C00000003K774", "EN-002087404")</f>
        <v>EN-002087404</v>
      </c>
    </row>
    <row r="1307" spans="1:15" ht="16" x14ac:dyDescent="0.2">
      <c r="A1307" s="17" t="str">
        <f>HYPERLINK("https://otsuka-europe-crm.veevavault.com/ui/#object/account__v/V4TZ04ASGB4N0K9", "VICTOR JOAQUIN ESCUDERO SAIZ")</f>
        <v>VICTOR JOAQUIN ESCUDERO SAIZ</v>
      </c>
      <c r="B1307" s="17" t="str">
        <f>HYPERLINK("https://otsuka-europe-crm.veevavault.com/ui/#object/vcountry__v/VENZ000004SONF5", "ES")</f>
        <v>ES</v>
      </c>
      <c r="C1307" s="20" t="s">
        <v>41</v>
      </c>
      <c r="D1307" s="21" t="str">
        <f>HYPERLINK("https://otsuka-europe-crm.veevavault.com/ui/#object/approved_document__v/V5O00000001H022", "LUP - VAE invitación simposio SEN-SER - Nefro")</f>
        <v>LUP - VAE invitación simposio SEN-SER - Nefro</v>
      </c>
      <c r="E1307" s="22" t="str">
        <f>HYPERLINK("https://otsuka-europe-crm.veevavault.com/ui/#object/sent_email__v/VBL00000002N470", "SE-001431451")</f>
        <v>SE-001431451</v>
      </c>
      <c r="F1307" s="23">
        <v>46175.496782407405</v>
      </c>
      <c r="G1307" s="24">
        <v>1</v>
      </c>
      <c r="H1307" s="24">
        <v>1</v>
      </c>
      <c r="I1307" s="24">
        <v>0</v>
      </c>
      <c r="J1307" s="25"/>
      <c r="K1307" s="24">
        <v>0</v>
      </c>
      <c r="L1307" s="22" t="str">
        <f>HYPERLINK("https://otsuka-europe-crm.veevavault.com/ui/#object/approved_document__v/V5O00000001H022", "LUP - VAE invitación simposio SEN-SER - Nefro")</f>
        <v>LUP - VAE invitación simposio SEN-SER - Nefro</v>
      </c>
      <c r="M1307" s="22" t="str">
        <f>HYPERLINK("mailto:ccalero@crm.otsuka-europe.com", "ccalero@crm.otsuka-europe.com")</f>
        <v>ccalero@crm.otsuka-europe.com</v>
      </c>
      <c r="N1307" s="23">
        <v>46175.473020833335</v>
      </c>
      <c r="O1307" s="14" t="str">
        <f>HYPERLINK("https://otsuka-europe-crm.veevavault.com/ui/#object/email_activity__v/V8C00000003K699", "EN-002087214")</f>
        <v>EN-002087214</v>
      </c>
    </row>
    <row r="1308" spans="1:15" ht="16" x14ac:dyDescent="0.2">
      <c r="A1308" s="18"/>
      <c r="B1308" s="18"/>
      <c r="C1308" s="18"/>
      <c r="D1308" s="18"/>
      <c r="E1308" s="18"/>
      <c r="F1308" s="18"/>
      <c r="G1308" s="18"/>
      <c r="H1308" s="18"/>
      <c r="I1308" s="18"/>
      <c r="J1308" s="18"/>
      <c r="K1308" s="18"/>
      <c r="L1308" s="18"/>
      <c r="M1308" s="18"/>
      <c r="N1308" s="18"/>
      <c r="O1308" s="14" t="str">
        <f>HYPERLINK("https://otsuka-europe-crm.veevavault.com/ui/#object/email_activity__v/V8C00000003L731", "EN-002087439")</f>
        <v>EN-002087439</v>
      </c>
    </row>
    <row r="1309" spans="1:15" ht="16" x14ac:dyDescent="0.2">
      <c r="A1309" s="19"/>
      <c r="B1309" s="19"/>
      <c r="C1309" s="19"/>
      <c r="D1309" s="19"/>
      <c r="E1309" s="19"/>
      <c r="F1309" s="19"/>
      <c r="G1309" s="19"/>
      <c r="H1309" s="19"/>
      <c r="I1309" s="19"/>
      <c r="J1309" s="19"/>
      <c r="K1309" s="19"/>
      <c r="L1309" s="19"/>
      <c r="M1309" s="19"/>
      <c r="N1309" s="19"/>
      <c r="O1309" s="14" t="str">
        <f>HYPERLINK("https://otsuka-europe-crm.veevavault.com/ui/#object/email_activity__v/V8C00000003N259", "EN-002088326")</f>
        <v>EN-002088326</v>
      </c>
    </row>
    <row r="1310" spans="1:15" ht="16" x14ac:dyDescent="0.2">
      <c r="A1310" s="17" t="str">
        <f>HYPERLINK("https://otsuka-europe-crm.veevavault.com/ui/#object/account__v/V4TZ025E86G65MX", "NURIA BUENDIA SANCHEZ")</f>
        <v>NURIA BUENDIA SANCHEZ</v>
      </c>
      <c r="B1310" s="17" t="str">
        <f>HYPERLINK("https://otsuka-europe-crm.veevavault.com/ui/#object/vcountry__v/VENZ000004SONF5", "ES")</f>
        <v>ES</v>
      </c>
      <c r="C1310" s="20" t="s">
        <v>41</v>
      </c>
      <c r="D1310" s="21" t="str">
        <f>HYPERLINK("https://otsuka-europe-crm.veevavault.com/ui/#object/approved_document__v/V5O00000001H022", "LUP - VAE invitación simposio SEN-SER - Nefro")</f>
        <v>LUP - VAE invitación simposio SEN-SER - Nefro</v>
      </c>
      <c r="E1310" s="22" t="str">
        <f>HYPERLINK("https://otsuka-europe-crm.veevavault.com/ui/#object/sent_email__v/VBL00000002N471", "SE-001431452")</f>
        <v>SE-001431452</v>
      </c>
      <c r="F1310" s="25"/>
      <c r="G1310" s="24">
        <v>0</v>
      </c>
      <c r="H1310" s="24">
        <v>0</v>
      </c>
      <c r="I1310" s="24">
        <v>1</v>
      </c>
      <c r="J1310" s="23">
        <v>46175.79105324074</v>
      </c>
      <c r="K1310" s="24">
        <v>2</v>
      </c>
      <c r="L1310" s="22" t="str">
        <f>HYPERLINK("https://otsuka-europe-crm.veevavault.com/ui/#object/approved_document__v/V5O00000001H022", "LUP - VAE invitación simposio SEN-SER - Nefro")</f>
        <v>LUP - VAE invitación simposio SEN-SER - Nefro</v>
      </c>
      <c r="M1310" s="22" t="str">
        <f>HYPERLINK("mailto:ccalero@crm.otsuka-europe.com", "ccalero@crm.otsuka-europe.com")</f>
        <v>ccalero@crm.otsuka-europe.com</v>
      </c>
      <c r="N1310" s="23">
        <v>46175.473043981481</v>
      </c>
      <c r="O1310" s="14" t="str">
        <f>HYPERLINK("https://otsuka-europe-crm.veevavault.com/ui/#object/email_activity__v/V8C00000003K728", "EN-002087280")</f>
        <v>EN-002087280</v>
      </c>
    </row>
    <row r="1311" spans="1:15" ht="16" x14ac:dyDescent="0.2">
      <c r="A1311" s="18"/>
      <c r="B1311" s="18"/>
      <c r="C1311" s="18"/>
      <c r="D1311" s="18"/>
      <c r="E1311" s="18"/>
      <c r="F1311" s="18"/>
      <c r="G1311" s="18"/>
      <c r="H1311" s="18"/>
      <c r="I1311" s="18"/>
      <c r="J1311" s="18"/>
      <c r="K1311" s="18"/>
      <c r="L1311" s="18"/>
      <c r="M1311" s="18"/>
      <c r="N1311" s="18"/>
      <c r="O1311" s="14" t="str">
        <f>HYPERLINK("https://otsuka-europe-crm.veevavault.com/ui/#object/email_activity__v/V8C00000003K836", "EN-002087521")</f>
        <v>EN-002087521</v>
      </c>
    </row>
    <row r="1312" spans="1:15" ht="16" x14ac:dyDescent="0.2">
      <c r="A1312" s="18"/>
      <c r="B1312" s="18"/>
      <c r="C1312" s="18"/>
      <c r="D1312" s="18"/>
      <c r="E1312" s="18"/>
      <c r="F1312" s="18"/>
      <c r="G1312" s="18"/>
      <c r="H1312" s="18"/>
      <c r="I1312" s="18"/>
      <c r="J1312" s="18"/>
      <c r="K1312" s="18"/>
      <c r="L1312" s="18"/>
      <c r="M1312" s="18"/>
      <c r="N1312" s="18"/>
      <c r="O1312" s="14" t="str">
        <f>HYPERLINK("https://otsuka-europe-crm.veevavault.com/ui/#object/email_activity__v/V8C00000003L599", "EN-002087206")</f>
        <v>EN-002087206</v>
      </c>
    </row>
    <row r="1313" spans="1:15" ht="16" x14ac:dyDescent="0.2">
      <c r="A1313" s="18"/>
      <c r="B1313" s="18"/>
      <c r="C1313" s="18"/>
      <c r="D1313" s="18"/>
      <c r="E1313" s="18"/>
      <c r="F1313" s="18"/>
      <c r="G1313" s="18"/>
      <c r="H1313" s="18"/>
      <c r="I1313" s="18"/>
      <c r="J1313" s="18"/>
      <c r="K1313" s="18"/>
      <c r="L1313" s="18"/>
      <c r="M1313" s="18"/>
      <c r="N1313" s="18"/>
      <c r="O1313" s="14" t="str">
        <f>HYPERLINK("https://otsuka-europe-crm.veevavault.com/ui/#object/email_activity__v/V8C00000003L609", "EN-002087222")</f>
        <v>EN-002087222</v>
      </c>
    </row>
    <row r="1314" spans="1:15" ht="16" x14ac:dyDescent="0.2">
      <c r="A1314" s="18"/>
      <c r="B1314" s="18"/>
      <c r="C1314" s="18"/>
      <c r="D1314" s="18"/>
      <c r="E1314" s="18"/>
      <c r="F1314" s="18"/>
      <c r="G1314" s="18"/>
      <c r="H1314" s="18"/>
      <c r="I1314" s="18"/>
      <c r="J1314" s="18"/>
      <c r="K1314" s="18"/>
      <c r="L1314" s="18"/>
      <c r="M1314" s="18"/>
      <c r="N1314" s="18"/>
      <c r="O1314" s="14" t="str">
        <f>HYPERLINK("https://otsuka-europe-crm.veevavault.com/ui/#object/email_activity__v/V8C00000003L751", "EN-002087476")</f>
        <v>EN-002087476</v>
      </c>
    </row>
    <row r="1315" spans="1:15" ht="16" x14ac:dyDescent="0.2">
      <c r="A1315" s="18"/>
      <c r="B1315" s="18"/>
      <c r="C1315" s="18"/>
      <c r="D1315" s="18"/>
      <c r="E1315" s="18"/>
      <c r="F1315" s="18"/>
      <c r="G1315" s="18"/>
      <c r="H1315" s="18"/>
      <c r="I1315" s="18"/>
      <c r="J1315" s="18"/>
      <c r="K1315" s="18"/>
      <c r="L1315" s="18"/>
      <c r="M1315" s="18"/>
      <c r="N1315" s="18"/>
      <c r="O1315" s="14" t="str">
        <f>HYPERLINK("https://otsuka-europe-crm.veevavault.com/ui/#object/email_activity__v/V8C00000003M028", "EN-002087886")</f>
        <v>EN-002087886</v>
      </c>
    </row>
    <row r="1316" spans="1:15" ht="16" x14ac:dyDescent="0.2">
      <c r="A1316" s="18"/>
      <c r="B1316" s="18"/>
      <c r="C1316" s="18"/>
      <c r="D1316" s="18"/>
      <c r="E1316" s="18"/>
      <c r="F1316" s="18"/>
      <c r="G1316" s="18"/>
      <c r="H1316" s="18"/>
      <c r="I1316" s="18"/>
      <c r="J1316" s="18"/>
      <c r="K1316" s="18"/>
      <c r="L1316" s="18"/>
      <c r="M1316" s="18"/>
      <c r="N1316" s="18"/>
      <c r="O1316" s="14" t="str">
        <f>HYPERLINK("https://otsuka-europe-crm.veevavault.com/ui/#object/email_activity__v/V8C00000003M150", "EN-002088304")</f>
        <v>EN-002088304</v>
      </c>
    </row>
    <row r="1317" spans="1:15" ht="16" x14ac:dyDescent="0.2">
      <c r="A1317" s="18"/>
      <c r="B1317" s="18"/>
      <c r="C1317" s="18"/>
      <c r="D1317" s="18"/>
      <c r="E1317" s="18"/>
      <c r="F1317" s="18"/>
      <c r="G1317" s="18"/>
      <c r="H1317" s="18"/>
      <c r="I1317" s="18"/>
      <c r="J1317" s="18"/>
      <c r="K1317" s="18"/>
      <c r="L1317" s="18"/>
      <c r="M1317" s="18"/>
      <c r="N1317" s="18"/>
      <c r="O1317" s="14" t="str">
        <f>HYPERLINK("https://otsuka-europe-crm.veevavault.com/ui/#object/email_activity__v/V8C00000003M196", "EN-002088377")</f>
        <v>EN-002088377</v>
      </c>
    </row>
    <row r="1318" spans="1:15" ht="16" x14ac:dyDescent="0.2">
      <c r="A1318" s="18"/>
      <c r="B1318" s="18"/>
      <c r="C1318" s="18"/>
      <c r="D1318" s="18"/>
      <c r="E1318" s="18"/>
      <c r="F1318" s="18"/>
      <c r="G1318" s="18"/>
      <c r="H1318" s="18"/>
      <c r="I1318" s="18"/>
      <c r="J1318" s="18"/>
      <c r="K1318" s="18"/>
      <c r="L1318" s="18"/>
      <c r="M1318" s="18"/>
      <c r="N1318" s="18"/>
      <c r="O1318" s="14" t="str">
        <f>HYPERLINK("https://otsuka-europe-crm.veevavault.com/ui/#object/email_activity__v/V8C00000003N248", "EN-002088314")</f>
        <v>EN-002088314</v>
      </c>
    </row>
    <row r="1319" spans="1:15" ht="16" x14ac:dyDescent="0.2">
      <c r="A1319" s="18"/>
      <c r="B1319" s="18"/>
      <c r="C1319" s="18"/>
      <c r="D1319" s="18"/>
      <c r="E1319" s="18"/>
      <c r="F1319" s="18"/>
      <c r="G1319" s="18"/>
      <c r="H1319" s="18"/>
      <c r="I1319" s="18"/>
      <c r="J1319" s="18"/>
      <c r="K1319" s="18"/>
      <c r="L1319" s="18"/>
      <c r="M1319" s="18"/>
      <c r="N1319" s="18"/>
      <c r="O1319" s="14" t="str">
        <f>HYPERLINK("https://otsuka-europe-crm.veevavault.com/ui/#object/email_activity__v/V8C00000003N249", "EN-002088315")</f>
        <v>EN-002088315</v>
      </c>
    </row>
    <row r="1320" spans="1:15" ht="16" x14ac:dyDescent="0.2">
      <c r="A1320" s="18"/>
      <c r="B1320" s="18"/>
      <c r="C1320" s="18"/>
      <c r="D1320" s="18"/>
      <c r="E1320" s="18"/>
      <c r="F1320" s="18"/>
      <c r="G1320" s="18"/>
      <c r="H1320" s="18"/>
      <c r="I1320" s="18"/>
      <c r="J1320" s="18"/>
      <c r="K1320" s="18"/>
      <c r="L1320" s="18"/>
      <c r="M1320" s="18"/>
      <c r="N1320" s="18"/>
      <c r="O1320" s="14" t="str">
        <f>HYPERLINK("https://otsuka-europe-crm.veevavault.com/ui/#object/email_activity__v/V8C00000003N252", "EN-002088318")</f>
        <v>EN-002088318</v>
      </c>
    </row>
    <row r="1321" spans="1:15" ht="16" x14ac:dyDescent="0.2">
      <c r="A1321" s="18"/>
      <c r="B1321" s="18"/>
      <c r="C1321" s="18"/>
      <c r="D1321" s="18"/>
      <c r="E1321" s="18"/>
      <c r="F1321" s="18"/>
      <c r="G1321" s="18"/>
      <c r="H1321" s="18"/>
      <c r="I1321" s="18"/>
      <c r="J1321" s="18"/>
      <c r="K1321" s="18"/>
      <c r="L1321" s="18"/>
      <c r="M1321" s="18"/>
      <c r="N1321" s="18"/>
      <c r="O1321" s="14" t="str">
        <f>HYPERLINK("https://otsuka-europe-crm.veevavault.com/ui/#object/email_activity__v/V8C00000003N253", "EN-002088319")</f>
        <v>EN-002088319</v>
      </c>
    </row>
    <row r="1322" spans="1:15" ht="16" x14ac:dyDescent="0.2">
      <c r="A1322" s="18"/>
      <c r="B1322" s="18"/>
      <c r="C1322" s="18"/>
      <c r="D1322" s="18"/>
      <c r="E1322" s="18"/>
      <c r="F1322" s="18"/>
      <c r="G1322" s="18"/>
      <c r="H1322" s="18"/>
      <c r="I1322" s="18"/>
      <c r="J1322" s="18"/>
      <c r="K1322" s="18"/>
      <c r="L1322" s="18"/>
      <c r="M1322" s="18"/>
      <c r="N1322" s="18"/>
      <c r="O1322" s="14" t="str">
        <f>HYPERLINK("https://otsuka-europe-crm.veevavault.com/ui/#object/email_activity__v/V8C00000003N255", "EN-002088321")</f>
        <v>EN-002088321</v>
      </c>
    </row>
    <row r="1323" spans="1:15" ht="16" x14ac:dyDescent="0.2">
      <c r="A1323" s="18"/>
      <c r="B1323" s="18"/>
      <c r="C1323" s="18"/>
      <c r="D1323" s="18"/>
      <c r="E1323" s="18"/>
      <c r="F1323" s="18"/>
      <c r="G1323" s="18"/>
      <c r="H1323" s="18"/>
      <c r="I1323" s="18"/>
      <c r="J1323" s="18"/>
      <c r="K1323" s="18"/>
      <c r="L1323" s="18"/>
      <c r="M1323" s="18"/>
      <c r="N1323" s="18"/>
      <c r="O1323" s="14" t="str">
        <f>HYPERLINK("https://otsuka-europe-crm.veevavault.com/ui/#object/email_activity__v/V8C00000003N256", "EN-002088322")</f>
        <v>EN-002088322</v>
      </c>
    </row>
    <row r="1324" spans="1:15" ht="16" x14ac:dyDescent="0.2">
      <c r="A1324" s="18"/>
      <c r="B1324" s="18"/>
      <c r="C1324" s="18"/>
      <c r="D1324" s="18"/>
      <c r="E1324" s="18"/>
      <c r="F1324" s="18"/>
      <c r="G1324" s="18"/>
      <c r="H1324" s="18"/>
      <c r="I1324" s="18"/>
      <c r="J1324" s="18"/>
      <c r="K1324" s="18"/>
      <c r="L1324" s="18"/>
      <c r="M1324" s="18"/>
      <c r="N1324" s="18"/>
      <c r="O1324" s="14" t="str">
        <f>HYPERLINK("https://otsuka-europe-crm.veevavault.com/ui/#object/email_activity__v/V8C00000003N257", "EN-002088323")</f>
        <v>EN-002088323</v>
      </c>
    </row>
    <row r="1325" spans="1:15" ht="16" x14ac:dyDescent="0.2">
      <c r="A1325" s="19"/>
      <c r="B1325" s="19"/>
      <c r="C1325" s="19"/>
      <c r="D1325" s="19"/>
      <c r="E1325" s="19"/>
      <c r="F1325" s="19"/>
      <c r="G1325" s="19"/>
      <c r="H1325" s="19"/>
      <c r="I1325" s="19"/>
      <c r="J1325" s="19"/>
      <c r="K1325" s="19"/>
      <c r="L1325" s="19"/>
      <c r="M1325" s="19"/>
      <c r="N1325" s="19"/>
      <c r="O1325" s="14" t="str">
        <f>HYPERLINK("https://otsuka-europe-crm.veevavault.com/ui/#object/email_activity__v/V8C00000003N258", "EN-002088324")</f>
        <v>EN-002088324</v>
      </c>
    </row>
    <row r="1326" spans="1:15" ht="16" x14ac:dyDescent="0.2">
      <c r="A1326" s="17" t="str">
        <f>HYPERLINK("https://otsuka-europe-crm.veevavault.com/ui/#object/account__v/V4TZ06G6O71TB31", "VICTOR MARTINEZ JIMENEZ")</f>
        <v>VICTOR MARTINEZ JIMENEZ</v>
      </c>
      <c r="B1326" s="17" t="str">
        <f>HYPERLINK("https://otsuka-europe-crm.veevavault.com/ui/#object/vcountry__v/VENZ000004SONF5", "ES")</f>
        <v>ES</v>
      </c>
      <c r="C1326" s="20" t="s">
        <v>41</v>
      </c>
      <c r="D1326" s="21" t="str">
        <f>HYPERLINK("https://otsuka-europe-crm.veevavault.com/ui/#object/approved_document__v/V5O00000001H022", "LUP - VAE invitación simposio SEN-SER - Nefro")</f>
        <v>LUP - VAE invitación simposio SEN-SER - Nefro</v>
      </c>
      <c r="E1326" s="22" t="str">
        <f>HYPERLINK("https://otsuka-europe-crm.veevavault.com/ui/#object/sent_email__v/VBL00000002N472", "SE-001431453")</f>
        <v>SE-001431453</v>
      </c>
      <c r="F1326" s="23">
        <v>46175.541041666664</v>
      </c>
      <c r="G1326" s="24">
        <v>1</v>
      </c>
      <c r="H1326" s="24">
        <v>3</v>
      </c>
      <c r="I1326" s="24">
        <v>0</v>
      </c>
      <c r="J1326" s="25"/>
      <c r="K1326" s="24">
        <v>0</v>
      </c>
      <c r="L1326" s="22" t="str">
        <f>HYPERLINK("https://otsuka-europe-crm.veevavault.com/ui/#object/approved_document__v/V5O00000001H022", "LUP - VAE invitación simposio SEN-SER - Nefro")</f>
        <v>LUP - VAE invitación simposio SEN-SER - Nefro</v>
      </c>
      <c r="M1326" s="22" t="str">
        <f>HYPERLINK("mailto:ccalero@crm.otsuka-europe.com", "ccalero@crm.otsuka-europe.com")</f>
        <v>ccalero@crm.otsuka-europe.com</v>
      </c>
      <c r="N1326" s="23">
        <v>46175.473020833335</v>
      </c>
      <c r="O1326" s="14" t="str">
        <f>HYPERLINK("https://otsuka-europe-crm.veevavault.com/ui/#object/email_activity__v/V8C00000003L607", "EN-002087219")</f>
        <v>EN-002087219</v>
      </c>
    </row>
    <row r="1327" spans="1:15" ht="16" x14ac:dyDescent="0.2">
      <c r="A1327" s="18"/>
      <c r="B1327" s="18"/>
      <c r="C1327" s="18"/>
      <c r="D1327" s="18"/>
      <c r="E1327" s="18"/>
      <c r="F1327" s="18"/>
      <c r="G1327" s="18"/>
      <c r="H1327" s="18"/>
      <c r="I1327" s="18"/>
      <c r="J1327" s="18"/>
      <c r="K1327" s="18"/>
      <c r="L1327" s="18"/>
      <c r="M1327" s="18"/>
      <c r="N1327" s="18"/>
      <c r="O1327" s="14" t="str">
        <f>HYPERLINK("https://otsuka-europe-crm.veevavault.com/ui/#object/email_activity__v/V8C00000003L759", "EN-002087494")</f>
        <v>EN-002087494</v>
      </c>
    </row>
    <row r="1328" spans="1:15" ht="16" x14ac:dyDescent="0.2">
      <c r="A1328" s="18"/>
      <c r="B1328" s="18"/>
      <c r="C1328" s="18"/>
      <c r="D1328" s="18"/>
      <c r="E1328" s="18"/>
      <c r="F1328" s="18"/>
      <c r="G1328" s="18"/>
      <c r="H1328" s="18"/>
      <c r="I1328" s="18"/>
      <c r="J1328" s="18"/>
      <c r="K1328" s="18"/>
      <c r="L1328" s="18"/>
      <c r="M1328" s="18"/>
      <c r="N1328" s="18"/>
      <c r="O1328" s="14" t="str">
        <f>HYPERLINK("https://otsuka-europe-crm.veevavault.com/ui/#object/email_activity__v/V8C00000003L761", "EN-002087496")</f>
        <v>EN-002087496</v>
      </c>
    </row>
    <row r="1329" spans="1:15" ht="16" x14ac:dyDescent="0.2">
      <c r="A1329" s="18"/>
      <c r="B1329" s="18"/>
      <c r="C1329" s="18"/>
      <c r="D1329" s="18"/>
      <c r="E1329" s="18"/>
      <c r="F1329" s="18"/>
      <c r="G1329" s="18"/>
      <c r="H1329" s="18"/>
      <c r="I1329" s="18"/>
      <c r="J1329" s="18"/>
      <c r="K1329" s="18"/>
      <c r="L1329" s="18"/>
      <c r="M1329" s="18"/>
      <c r="N1329" s="18"/>
      <c r="O1329" s="14" t="str">
        <f>HYPERLINK("https://otsuka-europe-crm.veevavault.com/ui/#object/email_activity__v/V8C00000003L770", "EN-002087514")</f>
        <v>EN-002087514</v>
      </c>
    </row>
    <row r="1330" spans="1:15" ht="16" x14ac:dyDescent="0.2">
      <c r="A1330" s="19"/>
      <c r="B1330" s="19"/>
      <c r="C1330" s="19"/>
      <c r="D1330" s="19"/>
      <c r="E1330" s="19"/>
      <c r="F1330" s="19"/>
      <c r="G1330" s="19"/>
      <c r="H1330" s="19"/>
      <c r="I1330" s="19"/>
      <c r="J1330" s="19"/>
      <c r="K1330" s="19"/>
      <c r="L1330" s="19"/>
      <c r="M1330" s="19"/>
      <c r="N1330" s="19"/>
      <c r="O1330" s="14" t="str">
        <f>HYPERLINK("https://otsuka-europe-crm.veevavault.com/ui/#object/email_activity__v/V8C00000003O045", "EN-002089331")</f>
        <v>EN-002089331</v>
      </c>
    </row>
    <row r="1331" spans="1:15" ht="16" x14ac:dyDescent="0.2">
      <c r="A1331" s="17" t="str">
        <f>HYPERLINK("https://otsuka-europe-crm.veevavault.com/ui/#object/account__v/V4TZ06G6O71TC0E", "SUSANA ROCA MEROÑO")</f>
        <v>SUSANA ROCA MEROÑO</v>
      </c>
      <c r="B1331" s="17" t="str">
        <f>HYPERLINK("https://otsuka-europe-crm.veevavault.com/ui/#object/vcountry__v/VENZ000004SONF5", "ES")</f>
        <v>ES</v>
      </c>
      <c r="C1331" s="20" t="s">
        <v>41</v>
      </c>
      <c r="D1331" s="21" t="str">
        <f>HYPERLINK("https://otsuka-europe-crm.veevavault.com/ui/#object/approved_document__v/V5O00000001H022", "LUP - VAE invitación simposio SEN-SER - Nefro")</f>
        <v>LUP - VAE invitación simposio SEN-SER - Nefro</v>
      </c>
      <c r="E1331" s="22" t="str">
        <f>HYPERLINK("https://otsuka-europe-crm.veevavault.com/ui/#object/sent_email__v/VBL00000002N473", "SE-001431454")</f>
        <v>SE-001431454</v>
      </c>
      <c r="F1331" s="25"/>
      <c r="G1331" s="24">
        <v>0</v>
      </c>
      <c r="H1331" s="24">
        <v>0</v>
      </c>
      <c r="I1331" s="24">
        <v>0</v>
      </c>
      <c r="J1331" s="25"/>
      <c r="K1331" s="24">
        <v>0</v>
      </c>
      <c r="L1331" s="22" t="str">
        <f>HYPERLINK("https://otsuka-europe-crm.veevavault.com/ui/#object/approved_document__v/V5O00000001H022", "LUP - VAE invitación simposio SEN-SER - Nefro")</f>
        <v>LUP - VAE invitación simposio SEN-SER - Nefro</v>
      </c>
      <c r="M1331" s="22" t="str">
        <f>HYPERLINK("mailto:ccalero@crm.otsuka-europe.com", "ccalero@crm.otsuka-europe.com")</f>
        <v>ccalero@crm.otsuka-europe.com</v>
      </c>
      <c r="N1331" s="23">
        <v>46175.473009259258</v>
      </c>
      <c r="O1331" s="14" t="str">
        <f>HYPERLINK("https://otsuka-europe-crm.veevavault.com/ui/#object/email_activity__v/V8C00000003L601", "EN-002087210")</f>
        <v>EN-002087210</v>
      </c>
    </row>
    <row r="1332" spans="1:15" ht="16" x14ac:dyDescent="0.2">
      <c r="A1332" s="19"/>
      <c r="B1332" s="19"/>
      <c r="C1332" s="19"/>
      <c r="D1332" s="19"/>
      <c r="E1332" s="19"/>
      <c r="F1332" s="19"/>
      <c r="G1332" s="19"/>
      <c r="H1332" s="19"/>
      <c r="I1332" s="19"/>
      <c r="J1332" s="19"/>
      <c r="K1332" s="19"/>
      <c r="L1332" s="19"/>
      <c r="M1332" s="19"/>
      <c r="N1332" s="19"/>
      <c r="O1332" s="14" t="str">
        <f>HYPERLINK("https://otsuka-europe-crm.veevavault.com/ui/#object/email_activity__v/V8C00000003Z118", "EN-002098876")</f>
        <v>EN-002098876</v>
      </c>
    </row>
    <row r="1333" spans="1:15" ht="16" x14ac:dyDescent="0.2">
      <c r="A1333" s="17" t="str">
        <f>HYPERLINK("https://otsuka-europe-crm.veevavault.com/ui/#object/account__v/V4TZ06G6O71T7AX", "ROSALIA RUIZ FERRUS")</f>
        <v>ROSALIA RUIZ FERRUS</v>
      </c>
      <c r="B1333" s="17" t="str">
        <f>HYPERLINK("https://otsuka-europe-crm.veevavault.com/ui/#object/vcountry__v/VENZ000004SONF5", "ES")</f>
        <v>ES</v>
      </c>
      <c r="C1333" s="20" t="s">
        <v>41</v>
      </c>
      <c r="D1333" s="21" t="str">
        <f>HYPERLINK("https://otsuka-europe-crm.veevavault.com/ui/#object/approved_document__v/V5O00000001H022", "LUP - VAE invitación simposio SEN-SER - Nefro")</f>
        <v>LUP - VAE invitación simposio SEN-SER - Nefro</v>
      </c>
      <c r="E1333" s="22" t="str">
        <f>HYPERLINK("https://otsuka-europe-crm.veevavault.com/ui/#object/sent_email__v/VBL00000002N474", "SE-001431455")</f>
        <v>SE-001431455</v>
      </c>
      <c r="F1333" s="23">
        <v>46178.363923611112</v>
      </c>
      <c r="G1333" s="24">
        <v>1</v>
      </c>
      <c r="H1333" s="24">
        <v>6</v>
      </c>
      <c r="I1333" s="24">
        <v>1</v>
      </c>
      <c r="J1333" s="23">
        <v>46175.841608796298</v>
      </c>
      <c r="K1333" s="24">
        <v>1</v>
      </c>
      <c r="L1333" s="22" t="str">
        <f>HYPERLINK("https://otsuka-europe-crm.veevavault.com/ui/#object/approved_document__v/V5O00000001H022", "LUP - VAE invitación simposio SEN-SER - Nefro")</f>
        <v>LUP - VAE invitación simposio SEN-SER - Nefro</v>
      </c>
      <c r="M1333" s="22" t="str">
        <f>HYPERLINK("mailto:ccalero@crm.otsuka-europe.com", "ccalero@crm.otsuka-europe.com")</f>
        <v>ccalero@crm.otsuka-europe.com</v>
      </c>
      <c r="N1333" s="23">
        <v>46175.473043981481</v>
      </c>
      <c r="O1333" s="14" t="str">
        <f>HYPERLINK("https://otsuka-europe-crm.veevavault.com/ui/#object/email_activity__v/V8C00000003L597", "EN-002087204")</f>
        <v>EN-002087204</v>
      </c>
    </row>
    <row r="1334" spans="1:15" ht="16" x14ac:dyDescent="0.2">
      <c r="A1334" s="18"/>
      <c r="B1334" s="18"/>
      <c r="C1334" s="18"/>
      <c r="D1334" s="18"/>
      <c r="E1334" s="18"/>
      <c r="F1334" s="18"/>
      <c r="G1334" s="18"/>
      <c r="H1334" s="18"/>
      <c r="I1334" s="18"/>
      <c r="J1334" s="18"/>
      <c r="K1334" s="18"/>
      <c r="L1334" s="18"/>
      <c r="M1334" s="18"/>
      <c r="N1334" s="18"/>
      <c r="O1334" s="14" t="str">
        <f>HYPERLINK("https://otsuka-europe-crm.veevavault.com/ui/#object/email_activity__v/V8C00000003M211", "EN-002088393")</f>
        <v>EN-002088393</v>
      </c>
    </row>
    <row r="1335" spans="1:15" ht="16" x14ac:dyDescent="0.2">
      <c r="A1335" s="18"/>
      <c r="B1335" s="18"/>
      <c r="C1335" s="18"/>
      <c r="D1335" s="18"/>
      <c r="E1335" s="18"/>
      <c r="F1335" s="18"/>
      <c r="G1335" s="18"/>
      <c r="H1335" s="18"/>
      <c r="I1335" s="18"/>
      <c r="J1335" s="18"/>
      <c r="K1335" s="18"/>
      <c r="L1335" s="18"/>
      <c r="M1335" s="18"/>
      <c r="N1335" s="18"/>
      <c r="O1335" s="14" t="str">
        <f>HYPERLINK("https://otsuka-europe-crm.veevavault.com/ui/#object/email_activity__v/V8C00000003M212", "EN-002088394")</f>
        <v>EN-002088394</v>
      </c>
    </row>
    <row r="1336" spans="1:15" ht="16" x14ac:dyDescent="0.2">
      <c r="A1336" s="18"/>
      <c r="B1336" s="18"/>
      <c r="C1336" s="18"/>
      <c r="D1336" s="18"/>
      <c r="E1336" s="18"/>
      <c r="F1336" s="18"/>
      <c r="G1336" s="18"/>
      <c r="H1336" s="18"/>
      <c r="I1336" s="18"/>
      <c r="J1336" s="18"/>
      <c r="K1336" s="18"/>
      <c r="L1336" s="18"/>
      <c r="M1336" s="18"/>
      <c r="N1336" s="18"/>
      <c r="O1336" s="14" t="str">
        <f>HYPERLINK("https://otsuka-europe-crm.veevavault.com/ui/#object/email_activity__v/V8C00000003M213", "EN-002088395")</f>
        <v>EN-002088395</v>
      </c>
    </row>
    <row r="1337" spans="1:15" ht="16" x14ac:dyDescent="0.2">
      <c r="A1337" s="18"/>
      <c r="B1337" s="18"/>
      <c r="C1337" s="18"/>
      <c r="D1337" s="18"/>
      <c r="E1337" s="18"/>
      <c r="F1337" s="18"/>
      <c r="G1337" s="18"/>
      <c r="H1337" s="18"/>
      <c r="I1337" s="18"/>
      <c r="J1337" s="18"/>
      <c r="K1337" s="18"/>
      <c r="L1337" s="18"/>
      <c r="M1337" s="18"/>
      <c r="N1337" s="18"/>
      <c r="O1337" s="14" t="str">
        <f>HYPERLINK("https://otsuka-europe-crm.veevavault.com/ui/#object/email_activity__v/V8C00000003M229", "EN-002088423")</f>
        <v>EN-002088423</v>
      </c>
    </row>
    <row r="1338" spans="1:15" ht="16" x14ac:dyDescent="0.2">
      <c r="A1338" s="18"/>
      <c r="B1338" s="18"/>
      <c r="C1338" s="18"/>
      <c r="D1338" s="18"/>
      <c r="E1338" s="18"/>
      <c r="F1338" s="18"/>
      <c r="G1338" s="18"/>
      <c r="H1338" s="18"/>
      <c r="I1338" s="18"/>
      <c r="J1338" s="18"/>
      <c r="K1338" s="18"/>
      <c r="L1338" s="18"/>
      <c r="M1338" s="18"/>
      <c r="N1338" s="18"/>
      <c r="O1338" s="14" t="str">
        <f>HYPERLINK("https://otsuka-europe-crm.veevavault.com/ui/#object/email_activity__v/V8C00000003N621", "EN-002089032")</f>
        <v>EN-002089032</v>
      </c>
    </row>
    <row r="1339" spans="1:15" ht="16" x14ac:dyDescent="0.2">
      <c r="A1339" s="18"/>
      <c r="B1339" s="18"/>
      <c r="C1339" s="18"/>
      <c r="D1339" s="18"/>
      <c r="E1339" s="18"/>
      <c r="F1339" s="18"/>
      <c r="G1339" s="18"/>
      <c r="H1339" s="18"/>
      <c r="I1339" s="18"/>
      <c r="J1339" s="18"/>
      <c r="K1339" s="18"/>
      <c r="L1339" s="18"/>
      <c r="M1339" s="18"/>
      <c r="N1339" s="18"/>
      <c r="O1339" s="14" t="str">
        <f>HYPERLINK("https://otsuka-europe-crm.veevavault.com/ui/#object/email_activity__v/V8C00000003N622", "EN-002089033")</f>
        <v>EN-002089033</v>
      </c>
    </row>
    <row r="1340" spans="1:15" ht="16" x14ac:dyDescent="0.2">
      <c r="A1340" s="18"/>
      <c r="B1340" s="18"/>
      <c r="C1340" s="18"/>
      <c r="D1340" s="18"/>
      <c r="E1340" s="18"/>
      <c r="F1340" s="18"/>
      <c r="G1340" s="18"/>
      <c r="H1340" s="18"/>
      <c r="I1340" s="18"/>
      <c r="J1340" s="18"/>
      <c r="K1340" s="18"/>
      <c r="L1340" s="18"/>
      <c r="M1340" s="18"/>
      <c r="N1340" s="18"/>
      <c r="O1340" s="14" t="str">
        <f>HYPERLINK("https://otsuka-europe-crm.veevavault.com/ui/#object/email_activity__v/V8C00000003O025", "EN-002089286")</f>
        <v>EN-002089286</v>
      </c>
    </row>
    <row r="1341" spans="1:15" ht="16" x14ac:dyDescent="0.2">
      <c r="A1341" s="19"/>
      <c r="B1341" s="19"/>
      <c r="C1341" s="19"/>
      <c r="D1341" s="19"/>
      <c r="E1341" s="19"/>
      <c r="F1341" s="19"/>
      <c r="G1341" s="19"/>
      <c r="H1341" s="19"/>
      <c r="I1341" s="19"/>
      <c r="J1341" s="19"/>
      <c r="K1341" s="19"/>
      <c r="L1341" s="19"/>
      <c r="M1341" s="19"/>
      <c r="N1341" s="19"/>
      <c r="O1341" s="14" t="str">
        <f>HYPERLINK("https://otsuka-europe-crm.veevavault.com/ui/#object/email_activity__v/V8C00000003O026", "EN-002089287")</f>
        <v>EN-002089287</v>
      </c>
    </row>
    <row r="1342" spans="1:15" ht="16" x14ac:dyDescent="0.2">
      <c r="A1342" s="17" t="str">
        <f>HYPERLINK("https://otsuka-europe-crm.veevavault.com/ui/#object/account__v/V4TZ06G6O71TBCH", "SALOME MURAY CASES")</f>
        <v>SALOME MURAY CASES</v>
      </c>
      <c r="B1342" s="17" t="str">
        <f>HYPERLINK("https://otsuka-europe-crm.veevavault.com/ui/#object/vcountry__v/VENZ000004SONF5", "ES")</f>
        <v>ES</v>
      </c>
      <c r="C1342" s="20" t="s">
        <v>41</v>
      </c>
      <c r="D1342" s="21" t="str">
        <f>HYPERLINK("https://otsuka-europe-crm.veevavault.com/ui/#object/approved_document__v/V5O00000001H022", "LUP - VAE invitación simposio SEN-SER - Nefro")</f>
        <v>LUP - VAE invitación simposio SEN-SER - Nefro</v>
      </c>
      <c r="E1342" s="22" t="str">
        <f>HYPERLINK("https://otsuka-europe-crm.veevavault.com/ui/#object/sent_email__v/VBL00000002N475", "SE-001431456")</f>
        <v>SE-001431456</v>
      </c>
      <c r="F1342" s="25"/>
      <c r="G1342" s="24">
        <v>0</v>
      </c>
      <c r="H1342" s="24">
        <v>0</v>
      </c>
      <c r="I1342" s="24">
        <v>0</v>
      </c>
      <c r="J1342" s="25"/>
      <c r="K1342" s="24">
        <v>0</v>
      </c>
      <c r="L1342" s="22" t="str">
        <f>HYPERLINK("https://otsuka-europe-crm.veevavault.com/ui/#object/approved_document__v/V5O00000001H022", "LUP - VAE invitación simposio SEN-SER - Nefro")</f>
        <v>LUP - VAE invitación simposio SEN-SER - Nefro</v>
      </c>
      <c r="M1342" s="22" t="str">
        <f>HYPERLINK("mailto:ccalero@crm.otsuka-europe.com", "ccalero@crm.otsuka-europe.com")</f>
        <v>ccalero@crm.otsuka-europe.com</v>
      </c>
      <c r="N1342" s="23">
        <v>46175.473020833335</v>
      </c>
      <c r="O1342" s="14" t="str">
        <f>HYPERLINK("https://otsuka-europe-crm.veevavault.com/ui/#object/email_activity__v/V8C00000003L602", "EN-002087211")</f>
        <v>EN-002087211</v>
      </c>
    </row>
    <row r="1343" spans="1:15" ht="16" x14ac:dyDescent="0.2">
      <c r="A1343" s="19"/>
      <c r="B1343" s="19"/>
      <c r="C1343" s="19"/>
      <c r="D1343" s="19"/>
      <c r="E1343" s="19"/>
      <c r="F1343" s="19"/>
      <c r="G1343" s="19"/>
      <c r="H1343" s="19"/>
      <c r="I1343" s="19"/>
      <c r="J1343" s="19"/>
      <c r="K1343" s="19"/>
      <c r="L1343" s="19"/>
      <c r="M1343" s="19"/>
      <c r="N1343" s="19"/>
      <c r="O1343" s="14" t="str">
        <f>HYPERLINK("https://otsuka-europe-crm.veevavault.com/ui/#object/email_activity__v/V8C00000003X206", "EN-002097307")</f>
        <v>EN-002097307</v>
      </c>
    </row>
    <row r="1344" spans="1:15" ht="16" x14ac:dyDescent="0.2">
      <c r="A1344" s="17" t="str">
        <f>HYPERLINK("https://otsuka-europe-crm.veevavault.com/ui/#object/account__v/V4TZ06G6O71TAZU", "TAMARA GELEM MALEK MARIN")</f>
        <v>TAMARA GELEM MALEK MARIN</v>
      </c>
      <c r="B1344" s="17" t="str">
        <f>HYPERLINK("https://otsuka-europe-crm.veevavault.com/ui/#object/vcountry__v/VENZ000004SONF5", "ES")</f>
        <v>ES</v>
      </c>
      <c r="C1344" s="20" t="s">
        <v>41</v>
      </c>
      <c r="D1344" s="21" t="str">
        <f>HYPERLINK("https://otsuka-europe-crm.veevavault.com/ui/#object/approved_document__v/V5O00000001H022", "LUP - VAE invitación simposio SEN-SER - Nefro")</f>
        <v>LUP - VAE invitación simposio SEN-SER - Nefro</v>
      </c>
      <c r="E1344" s="22" t="str">
        <f>HYPERLINK("https://otsuka-europe-crm.veevavault.com/ui/#object/sent_email__v/VBL00000002N476", "SE-001431457")</f>
        <v>SE-001431457</v>
      </c>
      <c r="F1344" s="23">
        <v>46181.788275462961</v>
      </c>
      <c r="G1344" s="24">
        <v>1</v>
      </c>
      <c r="H1344" s="24">
        <v>5</v>
      </c>
      <c r="I1344" s="24">
        <v>0</v>
      </c>
      <c r="J1344" s="25"/>
      <c r="K1344" s="24">
        <v>0</v>
      </c>
      <c r="L1344" s="22" t="str">
        <f>HYPERLINK("https://otsuka-europe-crm.veevavault.com/ui/#object/approved_document__v/V5O00000001H022", "LUP - VAE invitación simposio SEN-SER - Nefro")</f>
        <v>LUP - VAE invitación simposio SEN-SER - Nefro</v>
      </c>
      <c r="M1344" s="22" t="str">
        <f>HYPERLINK("mailto:ccalero@crm.otsuka-europe.com", "ccalero@crm.otsuka-europe.com")</f>
        <v>ccalero@crm.otsuka-europe.com</v>
      </c>
      <c r="N1344" s="23">
        <v>46175.473009259258</v>
      </c>
      <c r="O1344" s="14" t="str">
        <f>HYPERLINK("https://otsuka-europe-crm.veevavault.com/ui/#object/email_activity__v/V8C00000003K697", "EN-002087207")</f>
        <v>EN-002087207</v>
      </c>
    </row>
    <row r="1345" spans="1:15" ht="16" x14ac:dyDescent="0.2">
      <c r="A1345" s="18"/>
      <c r="B1345" s="18"/>
      <c r="C1345" s="18"/>
      <c r="D1345" s="18"/>
      <c r="E1345" s="18"/>
      <c r="F1345" s="18"/>
      <c r="G1345" s="18"/>
      <c r="H1345" s="18"/>
      <c r="I1345" s="18"/>
      <c r="J1345" s="18"/>
      <c r="K1345" s="18"/>
      <c r="L1345" s="18"/>
      <c r="M1345" s="18"/>
      <c r="N1345" s="18"/>
      <c r="O1345" s="14" t="str">
        <f>HYPERLINK("https://otsuka-europe-crm.veevavault.com/ui/#object/email_activity__v/V8C00000003M172", "EN-002088345")</f>
        <v>EN-002088345</v>
      </c>
    </row>
    <row r="1346" spans="1:15" ht="16" x14ac:dyDescent="0.2">
      <c r="A1346" s="18"/>
      <c r="B1346" s="18"/>
      <c r="C1346" s="18"/>
      <c r="D1346" s="18"/>
      <c r="E1346" s="18"/>
      <c r="F1346" s="18"/>
      <c r="G1346" s="18"/>
      <c r="H1346" s="18"/>
      <c r="I1346" s="18"/>
      <c r="J1346" s="18"/>
      <c r="K1346" s="18"/>
      <c r="L1346" s="18"/>
      <c r="M1346" s="18"/>
      <c r="N1346" s="18"/>
      <c r="O1346" s="14" t="str">
        <f>HYPERLINK("https://otsuka-europe-crm.veevavault.com/ui/#object/email_activity__v/V8C00000003M378", "EN-002088774")</f>
        <v>EN-002088774</v>
      </c>
    </row>
    <row r="1347" spans="1:15" ht="16" x14ac:dyDescent="0.2">
      <c r="A1347" s="18"/>
      <c r="B1347" s="18"/>
      <c r="C1347" s="18"/>
      <c r="D1347" s="18"/>
      <c r="E1347" s="18"/>
      <c r="F1347" s="18"/>
      <c r="G1347" s="18"/>
      <c r="H1347" s="18"/>
      <c r="I1347" s="18"/>
      <c r="J1347" s="18"/>
      <c r="K1347" s="18"/>
      <c r="L1347" s="18"/>
      <c r="M1347" s="18"/>
      <c r="N1347" s="18"/>
      <c r="O1347" s="14" t="str">
        <f>HYPERLINK("https://otsuka-europe-crm.veevavault.com/ui/#object/email_activity__v/V8C00000003N491", "EN-002088772")</f>
        <v>EN-002088772</v>
      </c>
    </row>
    <row r="1348" spans="1:15" ht="16" x14ac:dyDescent="0.2">
      <c r="A1348" s="18"/>
      <c r="B1348" s="18"/>
      <c r="C1348" s="18"/>
      <c r="D1348" s="18"/>
      <c r="E1348" s="18"/>
      <c r="F1348" s="18"/>
      <c r="G1348" s="18"/>
      <c r="H1348" s="18"/>
      <c r="I1348" s="18"/>
      <c r="J1348" s="18"/>
      <c r="K1348" s="18"/>
      <c r="L1348" s="18"/>
      <c r="M1348" s="18"/>
      <c r="N1348" s="18"/>
      <c r="O1348" s="14" t="str">
        <f>HYPERLINK("https://otsuka-europe-crm.veevavault.com/ui/#object/email_activity__v/V8C00000003N492", "EN-002088773")</f>
        <v>EN-002088773</v>
      </c>
    </row>
    <row r="1349" spans="1:15" ht="16" x14ac:dyDescent="0.2">
      <c r="A1349" s="19"/>
      <c r="B1349" s="19"/>
      <c r="C1349" s="19"/>
      <c r="D1349" s="19"/>
      <c r="E1349" s="19"/>
      <c r="F1349" s="19"/>
      <c r="G1349" s="19"/>
      <c r="H1349" s="19"/>
      <c r="I1349" s="19"/>
      <c r="J1349" s="19"/>
      <c r="K1349" s="19"/>
      <c r="L1349" s="19"/>
      <c r="M1349" s="19"/>
      <c r="N1349" s="19"/>
      <c r="O1349" s="14" t="str">
        <f>HYPERLINK("https://otsuka-europe-crm.veevavault.com/ui/#object/email_activity__v/V8C00000003R282", "EN-002092205")</f>
        <v>EN-002092205</v>
      </c>
    </row>
    <row r="1350" spans="1:15" ht="16" x14ac:dyDescent="0.2">
      <c r="A1350" s="17" t="str">
        <f>HYPERLINK("https://otsuka-europe-crm.veevavault.com/ui/#object/account__v/V4TZ06G6O71TBTG", "MARIA TERESA PIN GODOS")</f>
        <v>MARIA TERESA PIN GODOS</v>
      </c>
      <c r="B1350" s="17" t="str">
        <f>HYPERLINK("https://otsuka-europe-crm.veevavault.com/ui/#object/vcountry__v/VENZ000004SONF5", "ES")</f>
        <v>ES</v>
      </c>
      <c r="C1350" s="20" t="s">
        <v>41</v>
      </c>
      <c r="D1350" s="21" t="str">
        <f>HYPERLINK("https://otsuka-europe-crm.veevavault.com/ui/#object/approved_document__v/V5O00000001H022", "LUP - VAE invitación simposio SEN-SER - Nefro")</f>
        <v>LUP - VAE invitación simposio SEN-SER - Nefro</v>
      </c>
      <c r="E1350" s="22" t="str">
        <f>HYPERLINK("https://otsuka-europe-crm.veevavault.com/ui/#object/sent_email__v/VBL00000002N477", "SE-001431458")</f>
        <v>SE-001431458</v>
      </c>
      <c r="F1350" s="23">
        <v>46175.502349537041</v>
      </c>
      <c r="G1350" s="24">
        <v>1</v>
      </c>
      <c r="H1350" s="24">
        <v>2</v>
      </c>
      <c r="I1350" s="24">
        <v>0</v>
      </c>
      <c r="J1350" s="25"/>
      <c r="K1350" s="24">
        <v>0</v>
      </c>
      <c r="L1350" s="22" t="str">
        <f>HYPERLINK("https://otsuka-europe-crm.veevavault.com/ui/#object/approved_document__v/V5O00000001H022", "LUP - VAE invitación simposio SEN-SER - Nefro")</f>
        <v>LUP - VAE invitación simposio SEN-SER - Nefro</v>
      </c>
      <c r="M1350" s="22" t="str">
        <f>HYPERLINK("mailto:ccalero@crm.otsuka-europe.com", "ccalero@crm.otsuka-europe.com")</f>
        <v>ccalero@crm.otsuka-europe.com</v>
      </c>
      <c r="N1350" s="23">
        <v>46175.473020833335</v>
      </c>
      <c r="O1350" s="14" t="str">
        <f>HYPERLINK("https://otsuka-europe-crm.veevavault.com/ui/#object/email_activity__v/V8C00000003K698", "EN-002087208")</f>
        <v>EN-002087208</v>
      </c>
    </row>
    <row r="1351" spans="1:15" ht="16" x14ac:dyDescent="0.2">
      <c r="A1351" s="18"/>
      <c r="B1351" s="18"/>
      <c r="C1351" s="18"/>
      <c r="D1351" s="18"/>
      <c r="E1351" s="18"/>
      <c r="F1351" s="18"/>
      <c r="G1351" s="18"/>
      <c r="H1351" s="18"/>
      <c r="I1351" s="18"/>
      <c r="J1351" s="18"/>
      <c r="K1351" s="18"/>
      <c r="L1351" s="18"/>
      <c r="M1351" s="18"/>
      <c r="N1351" s="18"/>
      <c r="O1351" s="14" t="str">
        <f>HYPERLINK("https://otsuka-europe-crm.veevavault.com/ui/#object/email_activity__v/V8C00000003L738", "EN-002087449")</f>
        <v>EN-002087449</v>
      </c>
    </row>
    <row r="1352" spans="1:15" ht="16" x14ac:dyDescent="0.2">
      <c r="A1352" s="19"/>
      <c r="B1352" s="19"/>
      <c r="C1352" s="19"/>
      <c r="D1352" s="19"/>
      <c r="E1352" s="19"/>
      <c r="F1352" s="19"/>
      <c r="G1352" s="19"/>
      <c r="H1352" s="19"/>
      <c r="I1352" s="19"/>
      <c r="J1352" s="19"/>
      <c r="K1352" s="19"/>
      <c r="L1352" s="19"/>
      <c r="M1352" s="19"/>
      <c r="N1352" s="19"/>
      <c r="O1352" s="14" t="str">
        <f>HYPERLINK("https://otsuka-europe-crm.veevavault.com/ui/#object/email_activity__v/V8C00000003L742", "EN-002087455")</f>
        <v>EN-002087455</v>
      </c>
    </row>
    <row r="1353" spans="1:15" ht="16" x14ac:dyDescent="0.2">
      <c r="A1353" s="17" t="str">
        <f>HYPERLINK("https://otsuka-europe-crm.veevavault.com/ui/#object/account__v/V4TZ04ASGAZO36M", "MARIA PAZ MARTINEZ VIDAL")</f>
        <v>MARIA PAZ MARTINEZ VIDAL</v>
      </c>
      <c r="B1353" s="17" t="str">
        <f>HYPERLINK("https://otsuka-europe-crm.veevavault.com/ui/#object/vcountry__v/VENZ000004SONF5", "ES")</f>
        <v>ES</v>
      </c>
      <c r="C1353" s="20" t="s">
        <v>41</v>
      </c>
      <c r="D1353" s="21" t="str">
        <f>HYPERLINK("https://otsuka-europe-crm.veevavault.com/ui/#object/approved_document__v/V5O00000001H025", "LUP - VAE invitación simposio SEN-SER - Reuma")</f>
        <v>LUP - VAE invitación simposio SEN-SER - Reuma</v>
      </c>
      <c r="E1353" s="22" t="str">
        <f>HYPERLINK("https://otsuka-europe-crm.veevavault.com/ui/#object/sent_email__v/VBL00000002N478", "SE-001431459")</f>
        <v>SE-001431459</v>
      </c>
      <c r="F1353" s="25"/>
      <c r="G1353" s="24">
        <v>0</v>
      </c>
      <c r="H1353" s="24">
        <v>0</v>
      </c>
      <c r="I1353" s="24">
        <v>1</v>
      </c>
      <c r="J1353" s="23">
        <v>46176.375173611108</v>
      </c>
      <c r="K1353" s="24">
        <v>1</v>
      </c>
      <c r="L1353" s="22" t="str">
        <f>HYPERLINK("https://otsuka-europe-crm.veevavault.com/ui/#object/approved_document__v/V5O00000001H025", "LUP - VAE invitación simposio SEN-SER - Reuma")</f>
        <v>LUP - VAE invitación simposio SEN-SER - Reuma</v>
      </c>
      <c r="M1353" s="22" t="str">
        <f>HYPERLINK("mailto:ccalero@crm.otsuka-europe.com", "ccalero@crm.otsuka-europe.com")</f>
        <v>ccalero@crm.otsuka-europe.com</v>
      </c>
      <c r="N1353" s="23">
        <v>46175.473576388889</v>
      </c>
      <c r="O1353" s="14" t="str">
        <f>HYPERLINK("https://otsuka-europe-crm.veevavault.com/ui/#object/email_activity__v/V8C00000003L619", "EN-002087246")</f>
        <v>EN-002087246</v>
      </c>
    </row>
    <row r="1354" spans="1:15" ht="16" x14ac:dyDescent="0.2">
      <c r="A1354" s="18"/>
      <c r="B1354" s="18"/>
      <c r="C1354" s="18"/>
      <c r="D1354" s="18"/>
      <c r="E1354" s="18"/>
      <c r="F1354" s="18"/>
      <c r="G1354" s="18"/>
      <c r="H1354" s="18"/>
      <c r="I1354" s="18"/>
      <c r="J1354" s="18"/>
      <c r="K1354" s="18"/>
      <c r="L1354" s="18"/>
      <c r="M1354" s="18"/>
      <c r="N1354" s="18"/>
      <c r="O1354" s="14" t="str">
        <f>HYPERLINK("https://otsuka-europe-crm.veevavault.com/ui/#object/email_activity__v/V8C00000003M247", "EN-002088455")</f>
        <v>EN-002088455</v>
      </c>
    </row>
    <row r="1355" spans="1:15" ht="16" x14ac:dyDescent="0.2">
      <c r="A1355" s="18"/>
      <c r="B1355" s="18"/>
      <c r="C1355" s="18"/>
      <c r="D1355" s="18"/>
      <c r="E1355" s="18"/>
      <c r="F1355" s="18"/>
      <c r="G1355" s="18"/>
      <c r="H1355" s="18"/>
      <c r="I1355" s="18"/>
      <c r="J1355" s="18"/>
      <c r="K1355" s="18"/>
      <c r="L1355" s="18"/>
      <c r="M1355" s="18"/>
      <c r="N1355" s="18"/>
      <c r="O1355" s="14" t="str">
        <f>HYPERLINK("https://otsuka-europe-crm.veevavault.com/ui/#object/email_activity__v/V8C00000003M322", "EN-002088627")</f>
        <v>EN-002088627</v>
      </c>
    </row>
    <row r="1356" spans="1:15" ht="16" x14ac:dyDescent="0.2">
      <c r="A1356" s="18"/>
      <c r="B1356" s="18"/>
      <c r="C1356" s="18"/>
      <c r="D1356" s="18"/>
      <c r="E1356" s="18"/>
      <c r="F1356" s="18"/>
      <c r="G1356" s="18"/>
      <c r="H1356" s="18"/>
      <c r="I1356" s="18"/>
      <c r="J1356" s="18"/>
      <c r="K1356" s="18"/>
      <c r="L1356" s="18"/>
      <c r="M1356" s="18"/>
      <c r="N1356" s="18"/>
      <c r="O1356" s="14" t="str">
        <f>HYPERLINK("https://otsuka-europe-crm.veevavault.com/ui/#object/email_activity__v/V8C00000003N398", "EN-002088620")</f>
        <v>EN-002088620</v>
      </c>
    </row>
    <row r="1357" spans="1:15" ht="16" x14ac:dyDescent="0.2">
      <c r="A1357" s="18"/>
      <c r="B1357" s="18"/>
      <c r="C1357" s="18"/>
      <c r="D1357" s="18"/>
      <c r="E1357" s="18"/>
      <c r="F1357" s="18"/>
      <c r="G1357" s="18"/>
      <c r="H1357" s="18"/>
      <c r="I1357" s="18"/>
      <c r="J1357" s="18"/>
      <c r="K1357" s="18"/>
      <c r="L1357" s="18"/>
      <c r="M1357" s="18"/>
      <c r="N1357" s="18"/>
      <c r="O1357" s="14" t="str">
        <f>HYPERLINK("https://otsuka-europe-crm.veevavault.com/ui/#object/email_activity__v/V8C00000003R226", "EN-002092108")</f>
        <v>EN-002092108</v>
      </c>
    </row>
    <row r="1358" spans="1:15" ht="16" x14ac:dyDescent="0.2">
      <c r="A1358" s="19"/>
      <c r="B1358" s="19"/>
      <c r="C1358" s="19"/>
      <c r="D1358" s="19"/>
      <c r="E1358" s="19"/>
      <c r="F1358" s="19"/>
      <c r="G1358" s="19"/>
      <c r="H1358" s="19"/>
      <c r="I1358" s="19"/>
      <c r="J1358" s="19"/>
      <c r="K1358" s="19"/>
      <c r="L1358" s="19"/>
      <c r="M1358" s="19"/>
      <c r="N1358" s="19"/>
      <c r="O1358" s="14" t="str">
        <f>HYPERLINK("https://otsuka-europe-crm.veevavault.com/ui/#object/email_activity__v/V8C00000003X136", "EN-002097152")</f>
        <v>EN-002097152</v>
      </c>
    </row>
    <row r="1359" spans="1:15" ht="16" x14ac:dyDescent="0.2">
      <c r="A1359" s="17" t="str">
        <f>HYPERLINK("https://otsuka-europe-crm.veevavault.com/ui/#object/account__v/V4TZ025E86YPOYT", "LORENA VEGARA VICEA")</f>
        <v>LORENA VEGARA VICEA</v>
      </c>
      <c r="B1359" s="17" t="str">
        <f>HYPERLINK("https://otsuka-europe-crm.veevavault.com/ui/#object/vcountry__v/VENZ000004SONF5", "ES")</f>
        <v>ES</v>
      </c>
      <c r="C1359" s="20" t="s">
        <v>41</v>
      </c>
      <c r="D1359" s="21" t="str">
        <f>HYPERLINK("https://otsuka-europe-crm.veevavault.com/ui/#object/approved_document__v/V5O00000001H025", "LUP - VAE invitación simposio SEN-SER - Reuma")</f>
        <v>LUP - VAE invitación simposio SEN-SER - Reuma</v>
      </c>
      <c r="E1359" s="22" t="str">
        <f>HYPERLINK("https://otsuka-europe-crm.veevavault.com/ui/#object/sent_email__v/VBL00000002N479", "SE-001431460")</f>
        <v>SE-001431460</v>
      </c>
      <c r="F1359" s="23">
        <v>46176.620868055557</v>
      </c>
      <c r="G1359" s="24">
        <v>1</v>
      </c>
      <c r="H1359" s="24">
        <v>2</v>
      </c>
      <c r="I1359" s="24">
        <v>0</v>
      </c>
      <c r="J1359" s="25"/>
      <c r="K1359" s="24">
        <v>0</v>
      </c>
      <c r="L1359" s="22" t="str">
        <f>HYPERLINK("https://otsuka-europe-crm.veevavault.com/ui/#object/approved_document__v/V5O00000001H025", "LUP - VAE invitación simposio SEN-SER - Reuma")</f>
        <v>LUP - VAE invitación simposio SEN-SER - Reuma</v>
      </c>
      <c r="M1359" s="22" t="str">
        <f>HYPERLINK("mailto:ccalero@crm.otsuka-europe.com", "ccalero@crm.otsuka-europe.com")</f>
        <v>ccalero@crm.otsuka-europe.com</v>
      </c>
      <c r="N1359" s="23">
        <v>46175.473576388889</v>
      </c>
      <c r="O1359" s="14" t="str">
        <f>HYPERLINK("https://otsuka-europe-crm.veevavault.com/ui/#object/email_activity__v/V8C00000003L633", "EN-002087270")</f>
        <v>EN-002087270</v>
      </c>
    </row>
    <row r="1360" spans="1:15" ht="16" x14ac:dyDescent="0.2">
      <c r="A1360" s="18"/>
      <c r="B1360" s="18"/>
      <c r="C1360" s="18"/>
      <c r="D1360" s="18"/>
      <c r="E1360" s="18"/>
      <c r="F1360" s="18"/>
      <c r="G1360" s="18"/>
      <c r="H1360" s="18"/>
      <c r="I1360" s="18"/>
      <c r="J1360" s="18"/>
      <c r="K1360" s="18"/>
      <c r="L1360" s="18"/>
      <c r="M1360" s="18"/>
      <c r="N1360" s="18"/>
      <c r="O1360" s="14" t="str">
        <f>HYPERLINK("https://otsuka-europe-crm.veevavault.com/ui/#object/email_activity__v/V8C00000003M146", "EN-002088297")</f>
        <v>EN-002088297</v>
      </c>
    </row>
    <row r="1361" spans="1:15" ht="16" x14ac:dyDescent="0.2">
      <c r="A1361" s="19"/>
      <c r="B1361" s="19"/>
      <c r="C1361" s="19"/>
      <c r="D1361" s="19"/>
      <c r="E1361" s="19"/>
      <c r="F1361" s="19"/>
      <c r="G1361" s="19"/>
      <c r="H1361" s="19"/>
      <c r="I1361" s="19"/>
      <c r="J1361" s="19"/>
      <c r="K1361" s="19"/>
      <c r="L1361" s="19"/>
      <c r="M1361" s="19"/>
      <c r="N1361" s="19"/>
      <c r="O1361" s="14" t="str">
        <f>HYPERLINK("https://otsuka-europe-crm.veevavault.com/ui/#object/email_activity__v/V8C00000003M366", "EN-002088734")</f>
        <v>EN-002088734</v>
      </c>
    </row>
    <row r="1362" spans="1:15" ht="16" x14ac:dyDescent="0.2">
      <c r="A1362" s="17" t="str">
        <f>HYPERLINK("https://otsuka-europe-crm.veevavault.com/ui/#object/account__v/V4TZ04ASGDUAYSV", "JOAQUIM JORDI ESTEVE VIVES")</f>
        <v>JOAQUIM JORDI ESTEVE VIVES</v>
      </c>
      <c r="B1362" s="17" t="str">
        <f>HYPERLINK("https://otsuka-europe-crm.veevavault.com/ui/#object/vcountry__v/VENZ000004SONF5", "ES")</f>
        <v>ES</v>
      </c>
      <c r="C1362" s="20" t="s">
        <v>41</v>
      </c>
      <c r="D1362" s="21" t="str">
        <f>HYPERLINK("https://otsuka-europe-crm.veevavault.com/ui/#object/approved_document__v/V5O00000001H025", "LUP - VAE invitación simposio SEN-SER - Reuma")</f>
        <v>LUP - VAE invitación simposio SEN-SER - Reuma</v>
      </c>
      <c r="E1362" s="22" t="str">
        <f>HYPERLINK("https://otsuka-europe-crm.veevavault.com/ui/#object/sent_email__v/VBL00000002N480", "SE-001431461")</f>
        <v>SE-001431461</v>
      </c>
      <c r="F1362" s="23">
        <v>46191.606296296297</v>
      </c>
      <c r="G1362" s="24">
        <v>1</v>
      </c>
      <c r="H1362" s="24">
        <v>13</v>
      </c>
      <c r="I1362" s="24">
        <v>0</v>
      </c>
      <c r="J1362" s="25"/>
      <c r="K1362" s="24">
        <v>0</v>
      </c>
      <c r="L1362" s="22" t="str">
        <f>HYPERLINK("https://otsuka-europe-crm.veevavault.com/ui/#object/approved_document__v/V5O00000001H025", "LUP - VAE invitación simposio SEN-SER - Reuma")</f>
        <v>LUP - VAE invitación simposio SEN-SER - Reuma</v>
      </c>
      <c r="M1362" s="22" t="str">
        <f>HYPERLINK("mailto:ccalero@crm.otsuka-europe.com", "ccalero@crm.otsuka-europe.com")</f>
        <v>ccalero@crm.otsuka-europe.com</v>
      </c>
      <c r="N1362" s="23">
        <v>46175.473564814813</v>
      </c>
      <c r="O1362" s="14" t="str">
        <f>HYPERLINK("https://otsuka-europe-crm.veevavault.com/ui/#object/email_activity__v/V8C00000003K721", "EN-002087258")</f>
        <v>EN-002087258</v>
      </c>
    </row>
    <row r="1363" spans="1:15" ht="16" x14ac:dyDescent="0.2">
      <c r="A1363" s="18"/>
      <c r="B1363" s="18"/>
      <c r="C1363" s="18"/>
      <c r="D1363" s="18"/>
      <c r="E1363" s="18"/>
      <c r="F1363" s="18"/>
      <c r="G1363" s="18"/>
      <c r="H1363" s="18"/>
      <c r="I1363" s="18"/>
      <c r="J1363" s="18"/>
      <c r="K1363" s="18"/>
      <c r="L1363" s="18"/>
      <c r="M1363" s="18"/>
      <c r="N1363" s="18"/>
      <c r="O1363" s="14" t="str">
        <f>HYPERLINK("https://otsuka-europe-crm.veevavault.com/ui/#object/email_activity__v/V8C00000003R704", "EN-002093050")</f>
        <v>EN-002093050</v>
      </c>
    </row>
    <row r="1364" spans="1:15" ht="16" x14ac:dyDescent="0.2">
      <c r="A1364" s="18"/>
      <c r="B1364" s="18"/>
      <c r="C1364" s="18"/>
      <c r="D1364" s="18"/>
      <c r="E1364" s="18"/>
      <c r="F1364" s="18"/>
      <c r="G1364" s="18"/>
      <c r="H1364" s="18"/>
      <c r="I1364" s="18"/>
      <c r="J1364" s="18"/>
      <c r="K1364" s="18"/>
      <c r="L1364" s="18"/>
      <c r="M1364" s="18"/>
      <c r="N1364" s="18"/>
      <c r="O1364" s="14" t="str">
        <f>HYPERLINK("https://otsuka-europe-crm.veevavault.com/ui/#object/email_activity__v/V8C00000003R707", "EN-002093056")</f>
        <v>EN-002093056</v>
      </c>
    </row>
    <row r="1365" spans="1:15" ht="16" x14ac:dyDescent="0.2">
      <c r="A1365" s="18"/>
      <c r="B1365" s="18"/>
      <c r="C1365" s="18"/>
      <c r="D1365" s="18"/>
      <c r="E1365" s="18"/>
      <c r="F1365" s="18"/>
      <c r="G1365" s="18"/>
      <c r="H1365" s="18"/>
      <c r="I1365" s="18"/>
      <c r="J1365" s="18"/>
      <c r="K1365" s="18"/>
      <c r="L1365" s="18"/>
      <c r="M1365" s="18"/>
      <c r="N1365" s="18"/>
      <c r="O1365" s="14" t="str">
        <f>HYPERLINK("https://otsuka-europe-crm.veevavault.com/ui/#object/email_activity__v/V8C00000003R723", "EN-002093072")</f>
        <v>EN-002093072</v>
      </c>
    </row>
    <row r="1366" spans="1:15" ht="16" x14ac:dyDescent="0.2">
      <c r="A1366" s="18"/>
      <c r="B1366" s="18"/>
      <c r="C1366" s="18"/>
      <c r="D1366" s="18"/>
      <c r="E1366" s="18"/>
      <c r="F1366" s="18"/>
      <c r="G1366" s="18"/>
      <c r="H1366" s="18"/>
      <c r="I1366" s="18"/>
      <c r="J1366" s="18"/>
      <c r="K1366" s="18"/>
      <c r="L1366" s="18"/>
      <c r="M1366" s="18"/>
      <c r="N1366" s="18"/>
      <c r="O1366" s="14" t="str">
        <f>HYPERLINK("https://otsuka-europe-crm.veevavault.com/ui/#object/email_activity__v/V8C00000003R727", "EN-002093076")</f>
        <v>EN-002093076</v>
      </c>
    </row>
    <row r="1367" spans="1:15" ht="16" x14ac:dyDescent="0.2">
      <c r="A1367" s="18"/>
      <c r="B1367" s="18"/>
      <c r="C1367" s="18"/>
      <c r="D1367" s="18"/>
      <c r="E1367" s="18"/>
      <c r="F1367" s="18"/>
      <c r="G1367" s="18"/>
      <c r="H1367" s="18"/>
      <c r="I1367" s="18"/>
      <c r="J1367" s="18"/>
      <c r="K1367" s="18"/>
      <c r="L1367" s="18"/>
      <c r="M1367" s="18"/>
      <c r="N1367" s="18"/>
      <c r="O1367" s="14" t="str">
        <f>HYPERLINK("https://otsuka-europe-crm.veevavault.com/ui/#object/email_activity__v/V8C00000003R791", "EN-002093162")</f>
        <v>EN-002093162</v>
      </c>
    </row>
    <row r="1368" spans="1:15" ht="16" x14ac:dyDescent="0.2">
      <c r="A1368" s="18"/>
      <c r="B1368" s="18"/>
      <c r="C1368" s="18"/>
      <c r="D1368" s="18"/>
      <c r="E1368" s="18"/>
      <c r="F1368" s="18"/>
      <c r="G1368" s="18"/>
      <c r="H1368" s="18"/>
      <c r="I1368" s="18"/>
      <c r="J1368" s="18"/>
      <c r="K1368" s="18"/>
      <c r="L1368" s="18"/>
      <c r="M1368" s="18"/>
      <c r="N1368" s="18"/>
      <c r="O1368" s="14" t="str">
        <f>HYPERLINK("https://otsuka-europe-crm.veevavault.com/ui/#object/email_activity__v/V8C00000003R794", "EN-002093177")</f>
        <v>EN-002093177</v>
      </c>
    </row>
    <row r="1369" spans="1:15" ht="16" x14ac:dyDescent="0.2">
      <c r="A1369" s="18"/>
      <c r="B1369" s="18"/>
      <c r="C1369" s="18"/>
      <c r="D1369" s="18"/>
      <c r="E1369" s="18"/>
      <c r="F1369" s="18"/>
      <c r="G1369" s="18"/>
      <c r="H1369" s="18"/>
      <c r="I1369" s="18"/>
      <c r="J1369" s="18"/>
      <c r="K1369" s="18"/>
      <c r="L1369" s="18"/>
      <c r="M1369" s="18"/>
      <c r="N1369" s="18"/>
      <c r="O1369" s="14" t="str">
        <f>HYPERLINK("https://otsuka-europe-crm.veevavault.com/ui/#object/email_activity__v/V8C00000003S130", "EN-002093155")</f>
        <v>EN-002093155</v>
      </c>
    </row>
    <row r="1370" spans="1:15" ht="16" x14ac:dyDescent="0.2">
      <c r="A1370" s="18"/>
      <c r="B1370" s="18"/>
      <c r="C1370" s="18"/>
      <c r="D1370" s="18"/>
      <c r="E1370" s="18"/>
      <c r="F1370" s="18"/>
      <c r="G1370" s="18"/>
      <c r="H1370" s="18"/>
      <c r="I1370" s="18"/>
      <c r="J1370" s="18"/>
      <c r="K1370" s="18"/>
      <c r="L1370" s="18"/>
      <c r="M1370" s="18"/>
      <c r="N1370" s="18"/>
      <c r="O1370" s="14" t="str">
        <f>HYPERLINK("https://otsuka-europe-crm.veevavault.com/ui/#object/email_activity__v/V8C00000003S131", "EN-002093156")</f>
        <v>EN-002093156</v>
      </c>
    </row>
    <row r="1371" spans="1:15" ht="16" x14ac:dyDescent="0.2">
      <c r="A1371" s="18"/>
      <c r="B1371" s="18"/>
      <c r="C1371" s="18"/>
      <c r="D1371" s="18"/>
      <c r="E1371" s="18"/>
      <c r="F1371" s="18"/>
      <c r="G1371" s="18"/>
      <c r="H1371" s="18"/>
      <c r="I1371" s="18"/>
      <c r="J1371" s="18"/>
      <c r="K1371" s="18"/>
      <c r="L1371" s="18"/>
      <c r="M1371" s="18"/>
      <c r="N1371" s="18"/>
      <c r="O1371" s="14" t="str">
        <f>HYPERLINK("https://otsuka-europe-crm.veevavault.com/ui/#object/email_activity__v/V8C00000003S136", "EN-002093164")</f>
        <v>EN-002093164</v>
      </c>
    </row>
    <row r="1372" spans="1:15" ht="16" x14ac:dyDescent="0.2">
      <c r="A1372" s="18"/>
      <c r="B1372" s="18"/>
      <c r="C1372" s="18"/>
      <c r="D1372" s="18"/>
      <c r="E1372" s="18"/>
      <c r="F1372" s="18"/>
      <c r="G1372" s="18"/>
      <c r="H1372" s="18"/>
      <c r="I1372" s="18"/>
      <c r="J1372" s="18"/>
      <c r="K1372" s="18"/>
      <c r="L1372" s="18"/>
      <c r="M1372" s="18"/>
      <c r="N1372" s="18"/>
      <c r="O1372" s="14" t="str">
        <f>HYPERLINK("https://otsuka-europe-crm.veevavault.com/ui/#object/email_activity__v/V8C00000003S141", "EN-002093171")</f>
        <v>EN-002093171</v>
      </c>
    </row>
    <row r="1373" spans="1:15" ht="16" x14ac:dyDescent="0.2">
      <c r="A1373" s="18"/>
      <c r="B1373" s="18"/>
      <c r="C1373" s="18"/>
      <c r="D1373" s="18"/>
      <c r="E1373" s="18"/>
      <c r="F1373" s="18"/>
      <c r="G1373" s="18"/>
      <c r="H1373" s="18"/>
      <c r="I1373" s="18"/>
      <c r="J1373" s="18"/>
      <c r="K1373" s="18"/>
      <c r="L1373" s="18"/>
      <c r="M1373" s="18"/>
      <c r="N1373" s="18"/>
      <c r="O1373" s="14" t="str">
        <f>HYPERLINK("https://otsuka-europe-crm.veevavault.com/ui/#object/email_activity__v/V8C00000003T551", "EN-002094723")</f>
        <v>EN-002094723</v>
      </c>
    </row>
    <row r="1374" spans="1:15" ht="16" x14ac:dyDescent="0.2">
      <c r="A1374" s="18"/>
      <c r="B1374" s="18"/>
      <c r="C1374" s="18"/>
      <c r="D1374" s="18"/>
      <c r="E1374" s="18"/>
      <c r="F1374" s="18"/>
      <c r="G1374" s="18"/>
      <c r="H1374" s="18"/>
      <c r="I1374" s="18"/>
      <c r="J1374" s="18"/>
      <c r="K1374" s="18"/>
      <c r="L1374" s="18"/>
      <c r="M1374" s="18"/>
      <c r="N1374" s="18"/>
      <c r="O1374" s="14" t="str">
        <f>HYPERLINK("https://otsuka-europe-crm.veevavault.com/ui/#object/email_activity__v/V8C00000003T552", "EN-002094724")</f>
        <v>EN-002094724</v>
      </c>
    </row>
    <row r="1375" spans="1:15" ht="16" x14ac:dyDescent="0.2">
      <c r="A1375" s="19"/>
      <c r="B1375" s="19"/>
      <c r="C1375" s="19"/>
      <c r="D1375" s="19"/>
      <c r="E1375" s="19"/>
      <c r="F1375" s="19"/>
      <c r="G1375" s="19"/>
      <c r="H1375" s="19"/>
      <c r="I1375" s="19"/>
      <c r="J1375" s="19"/>
      <c r="K1375" s="19"/>
      <c r="L1375" s="19"/>
      <c r="M1375" s="19"/>
      <c r="N1375" s="19"/>
      <c r="O1375" s="14" t="str">
        <f>HYPERLINK("https://otsuka-europe-crm.veevavault.com/ui/#object/email_activity__v/V8C00000003Y011", "EN-002098620")</f>
        <v>EN-002098620</v>
      </c>
    </row>
    <row r="1376" spans="1:15" ht="16" x14ac:dyDescent="0.2">
      <c r="A1376" s="17" t="str">
        <f>HYPERLINK("https://otsuka-europe-crm.veevavault.com/ui/#object/account__v/V4TZ04ASGAP1BIH", "JUAN CARLOS CORTES QUIROZ")</f>
        <v>JUAN CARLOS CORTES QUIROZ</v>
      </c>
      <c r="B1376" s="17" t="str">
        <f>HYPERLINK("https://otsuka-europe-crm.veevavault.com/ui/#object/vcountry__v/VENZ000004SONF5", "ES")</f>
        <v>ES</v>
      </c>
      <c r="C1376" s="20" t="s">
        <v>41</v>
      </c>
      <c r="D1376" s="21" t="str">
        <f>HYPERLINK("https://otsuka-europe-crm.veevavault.com/ui/#object/approved_document__v/V5O00000001H025", "LUP - VAE invitación simposio SEN-SER - Reuma")</f>
        <v>LUP - VAE invitación simposio SEN-SER - Reuma</v>
      </c>
      <c r="E1376" s="22" t="str">
        <f>HYPERLINK("https://otsuka-europe-crm.veevavault.com/ui/#object/sent_email__v/VBL00000002N481", "SE-001431462")</f>
        <v>SE-001431462</v>
      </c>
      <c r="F1376" s="23">
        <v>46175.536712962959</v>
      </c>
      <c r="G1376" s="24">
        <v>1</v>
      </c>
      <c r="H1376" s="24">
        <v>1</v>
      </c>
      <c r="I1376" s="24">
        <v>0</v>
      </c>
      <c r="J1376" s="25"/>
      <c r="K1376" s="24">
        <v>0</v>
      </c>
      <c r="L1376" s="22" t="str">
        <f>HYPERLINK("https://otsuka-europe-crm.veevavault.com/ui/#object/approved_document__v/V5O00000001H025", "LUP - VAE invitación simposio SEN-SER - Reuma")</f>
        <v>LUP - VAE invitación simposio SEN-SER - Reuma</v>
      </c>
      <c r="M1376" s="22" t="str">
        <f>HYPERLINK("mailto:ccalero@crm.otsuka-europe.com", "ccalero@crm.otsuka-europe.com")</f>
        <v>ccalero@crm.otsuka-europe.com</v>
      </c>
      <c r="N1376" s="23">
        <v>46175.473564814813</v>
      </c>
      <c r="O1376" s="14" t="str">
        <f>HYPERLINK("https://otsuka-europe-crm.veevavault.com/ui/#object/email_activity__v/V8C00000003K720", "EN-002087257")</f>
        <v>EN-002087257</v>
      </c>
    </row>
    <row r="1377" spans="1:15" ht="16" x14ac:dyDescent="0.2">
      <c r="A1377" s="19"/>
      <c r="B1377" s="19"/>
      <c r="C1377" s="19"/>
      <c r="D1377" s="19"/>
      <c r="E1377" s="19"/>
      <c r="F1377" s="19"/>
      <c r="G1377" s="19"/>
      <c r="H1377" s="19"/>
      <c r="I1377" s="19"/>
      <c r="J1377" s="19"/>
      <c r="K1377" s="19"/>
      <c r="L1377" s="19"/>
      <c r="M1377" s="19"/>
      <c r="N1377" s="19"/>
      <c r="O1377" s="14" t="str">
        <f>HYPERLINK("https://otsuka-europe-crm.veevavault.com/ui/#object/email_activity__v/V8C00000003K832", "EN-002087510")</f>
        <v>EN-002087510</v>
      </c>
    </row>
    <row r="1378" spans="1:15" ht="16" x14ac:dyDescent="0.2">
      <c r="A1378" s="17" t="str">
        <f>HYPERLINK("https://otsuka-europe-crm.veevavault.com/ui/#object/account__v/V4TZ06G6OBILX4S", "MANUEL JOSE MORENO RAMOS")</f>
        <v>MANUEL JOSE MORENO RAMOS</v>
      </c>
      <c r="B1378" s="17" t="str">
        <f>HYPERLINK("https://otsuka-europe-crm.veevavault.com/ui/#object/vcountry__v/VENZ000004SONF5", "ES")</f>
        <v>ES</v>
      </c>
      <c r="C1378" s="20" t="s">
        <v>41</v>
      </c>
      <c r="D1378" s="21" t="str">
        <f>HYPERLINK("https://otsuka-europe-crm.veevavault.com/ui/#object/approved_document__v/V5O00000001H025", "LUP - VAE invitación simposio SEN-SER - Reuma")</f>
        <v>LUP - VAE invitación simposio SEN-SER - Reuma</v>
      </c>
      <c r="E1378" s="22" t="str">
        <f>HYPERLINK("https://otsuka-europe-crm.veevavault.com/ui/#object/sent_email__v/VBL00000002N482", "SE-001431463")</f>
        <v>SE-001431463</v>
      </c>
      <c r="F1378" s="23">
        <v>46176.171180555553</v>
      </c>
      <c r="G1378" s="24">
        <v>1</v>
      </c>
      <c r="H1378" s="24">
        <v>5</v>
      </c>
      <c r="I1378" s="24">
        <v>0</v>
      </c>
      <c r="J1378" s="25"/>
      <c r="K1378" s="24">
        <v>0</v>
      </c>
      <c r="L1378" s="22" t="str">
        <f>HYPERLINK("https://otsuka-europe-crm.veevavault.com/ui/#object/approved_document__v/V5O00000001H025", "LUP - VAE invitación simposio SEN-SER - Reuma")</f>
        <v>LUP - VAE invitación simposio SEN-SER - Reuma</v>
      </c>
      <c r="M1378" s="22" t="str">
        <f>HYPERLINK("mailto:ccalero@crm.otsuka-europe.com", "ccalero@crm.otsuka-europe.com")</f>
        <v>ccalero@crm.otsuka-europe.com</v>
      </c>
      <c r="N1378" s="23">
        <v>46175.473587962966</v>
      </c>
      <c r="O1378" s="14" t="str">
        <f>HYPERLINK("https://otsuka-europe-crm.veevavault.com/ui/#object/email_activity__v/V8C00000003K763", "EN-002087385")</f>
        <v>EN-002087385</v>
      </c>
    </row>
    <row r="1379" spans="1:15" ht="16" x14ac:dyDescent="0.2">
      <c r="A1379" s="18"/>
      <c r="B1379" s="18"/>
      <c r="C1379" s="18"/>
      <c r="D1379" s="18"/>
      <c r="E1379" s="18"/>
      <c r="F1379" s="18"/>
      <c r="G1379" s="18"/>
      <c r="H1379" s="18"/>
      <c r="I1379" s="18"/>
      <c r="J1379" s="18"/>
      <c r="K1379" s="18"/>
      <c r="L1379" s="18"/>
      <c r="M1379" s="18"/>
      <c r="N1379" s="18"/>
      <c r="O1379" s="14" t="str">
        <f>HYPERLINK("https://otsuka-europe-crm.veevavault.com/ui/#object/email_activity__v/V8C00000003L616", "EN-002087236")</f>
        <v>EN-002087236</v>
      </c>
    </row>
    <row r="1380" spans="1:15" ht="16" x14ac:dyDescent="0.2">
      <c r="A1380" s="18"/>
      <c r="B1380" s="18"/>
      <c r="C1380" s="18"/>
      <c r="D1380" s="18"/>
      <c r="E1380" s="18"/>
      <c r="F1380" s="18"/>
      <c r="G1380" s="18"/>
      <c r="H1380" s="18"/>
      <c r="I1380" s="18"/>
      <c r="J1380" s="18"/>
      <c r="K1380" s="18"/>
      <c r="L1380" s="18"/>
      <c r="M1380" s="18"/>
      <c r="N1380" s="18"/>
      <c r="O1380" s="14" t="str">
        <f>HYPERLINK("https://otsuka-europe-crm.veevavault.com/ui/#object/email_activity__v/V8C00000003L714", "EN-002087389")</f>
        <v>EN-002087389</v>
      </c>
    </row>
    <row r="1381" spans="1:15" ht="16" x14ac:dyDescent="0.2">
      <c r="A1381" s="18"/>
      <c r="B1381" s="18"/>
      <c r="C1381" s="18"/>
      <c r="D1381" s="18"/>
      <c r="E1381" s="18"/>
      <c r="F1381" s="18"/>
      <c r="G1381" s="18"/>
      <c r="H1381" s="18"/>
      <c r="I1381" s="18"/>
      <c r="J1381" s="18"/>
      <c r="K1381" s="18"/>
      <c r="L1381" s="18"/>
      <c r="M1381" s="18"/>
      <c r="N1381" s="18"/>
      <c r="O1381" s="14" t="str">
        <f>HYPERLINK("https://otsuka-europe-crm.veevavault.com/ui/#object/email_activity__v/V8C00000003M251", "EN-002088463")</f>
        <v>EN-002088463</v>
      </c>
    </row>
    <row r="1382" spans="1:15" ht="16" x14ac:dyDescent="0.2">
      <c r="A1382" s="18"/>
      <c r="B1382" s="18"/>
      <c r="C1382" s="18"/>
      <c r="D1382" s="18"/>
      <c r="E1382" s="18"/>
      <c r="F1382" s="18"/>
      <c r="G1382" s="18"/>
      <c r="H1382" s="18"/>
      <c r="I1382" s="18"/>
      <c r="J1382" s="18"/>
      <c r="K1382" s="18"/>
      <c r="L1382" s="18"/>
      <c r="M1382" s="18"/>
      <c r="N1382" s="18"/>
      <c r="O1382" s="14" t="str">
        <f>HYPERLINK("https://otsuka-europe-crm.veevavault.com/ui/#object/email_activity__v/V8C00000003N290", "EN-002088436")</f>
        <v>EN-002088436</v>
      </c>
    </row>
    <row r="1383" spans="1:15" ht="16" x14ac:dyDescent="0.2">
      <c r="A1383" s="18"/>
      <c r="B1383" s="18"/>
      <c r="C1383" s="18"/>
      <c r="D1383" s="18"/>
      <c r="E1383" s="18"/>
      <c r="F1383" s="18"/>
      <c r="G1383" s="18"/>
      <c r="H1383" s="18"/>
      <c r="I1383" s="18"/>
      <c r="J1383" s="18"/>
      <c r="K1383" s="18"/>
      <c r="L1383" s="18"/>
      <c r="M1383" s="18"/>
      <c r="N1383" s="18"/>
      <c r="O1383" s="14" t="str">
        <f>HYPERLINK("https://otsuka-europe-crm.veevavault.com/ui/#object/email_activity__v/V8C00000003N293", "EN-002088439")</f>
        <v>EN-002088439</v>
      </c>
    </row>
    <row r="1384" spans="1:15" ht="16" x14ac:dyDescent="0.2">
      <c r="A1384" s="19"/>
      <c r="B1384" s="19"/>
      <c r="C1384" s="19"/>
      <c r="D1384" s="19"/>
      <c r="E1384" s="19"/>
      <c r="F1384" s="19"/>
      <c r="G1384" s="19"/>
      <c r="H1384" s="19"/>
      <c r="I1384" s="19"/>
      <c r="J1384" s="19"/>
      <c r="K1384" s="19"/>
      <c r="L1384" s="19"/>
      <c r="M1384" s="19"/>
      <c r="N1384" s="19"/>
      <c r="O1384" s="14" t="str">
        <f>HYPERLINK("https://otsuka-europe-crm.veevavault.com/ui/#object/email_activity__v/V8C00000003N334", "EN-002088511")</f>
        <v>EN-002088511</v>
      </c>
    </row>
    <row r="1385" spans="1:15" ht="16" x14ac:dyDescent="0.2">
      <c r="A1385" s="17" t="str">
        <f>HYPERLINK("https://otsuka-europe-crm.veevavault.com/ui/#object/account__v/V4TZ025E845R6RC", "MARIA TERESA PEDRAZ PENALVA")</f>
        <v>MARIA TERESA PEDRAZ PENALVA</v>
      </c>
      <c r="B1385" s="17" t="str">
        <f>HYPERLINK("https://otsuka-europe-crm.veevavault.com/ui/#object/vcountry__v/VENZ000004SONF5", "ES")</f>
        <v>ES</v>
      </c>
      <c r="C1385" s="20" t="s">
        <v>41</v>
      </c>
      <c r="D1385" s="21" t="str">
        <f>HYPERLINK("https://otsuka-europe-crm.veevavault.com/ui/#object/approved_document__v/V5O00000001H025", "LUP - VAE invitación simposio SEN-SER - Reuma")</f>
        <v>LUP - VAE invitación simposio SEN-SER - Reuma</v>
      </c>
      <c r="E1385" s="22" t="str">
        <f>HYPERLINK("https://otsuka-europe-crm.veevavault.com/ui/#object/sent_email__v/VBL00000002N483", "SE-001431464")</f>
        <v>SE-001431464</v>
      </c>
      <c r="F1385" s="23">
        <v>46176.345925925925</v>
      </c>
      <c r="G1385" s="24">
        <v>1</v>
      </c>
      <c r="H1385" s="24">
        <v>3</v>
      </c>
      <c r="I1385" s="24">
        <v>1</v>
      </c>
      <c r="J1385" s="23">
        <v>46176.305821759262</v>
      </c>
      <c r="K1385" s="24">
        <v>1</v>
      </c>
      <c r="L1385" s="22" t="str">
        <f>HYPERLINK("https://otsuka-europe-crm.veevavault.com/ui/#object/approved_document__v/V5O00000001H025", "LUP - VAE invitación simposio SEN-SER - Reuma")</f>
        <v>LUP - VAE invitación simposio SEN-SER - Reuma</v>
      </c>
      <c r="M1385" s="22" t="str">
        <f>HYPERLINK("mailto:ccalero@crm.otsuka-europe.com", "ccalero@crm.otsuka-europe.com")</f>
        <v>ccalero@crm.otsuka-europe.com</v>
      </c>
      <c r="N1385" s="23">
        <v>46175.473564814813</v>
      </c>
      <c r="O1385" s="14" t="str">
        <f>HYPERLINK("https://otsuka-europe-crm.veevavault.com/ui/#object/email_activity__v/V8C00000003K723", "EN-002087260")</f>
        <v>EN-002087260</v>
      </c>
    </row>
    <row r="1386" spans="1:15" ht="16" x14ac:dyDescent="0.2">
      <c r="A1386" s="18"/>
      <c r="B1386" s="18"/>
      <c r="C1386" s="18"/>
      <c r="D1386" s="18"/>
      <c r="E1386" s="18"/>
      <c r="F1386" s="18"/>
      <c r="G1386" s="18"/>
      <c r="H1386" s="18"/>
      <c r="I1386" s="18"/>
      <c r="J1386" s="18"/>
      <c r="K1386" s="18"/>
      <c r="L1386" s="18"/>
      <c r="M1386" s="18"/>
      <c r="N1386" s="18"/>
      <c r="O1386" s="14" t="str">
        <f>HYPERLINK("https://otsuka-europe-crm.veevavault.com/ui/#object/email_activity__v/V8C00000003N360", "EN-002088568")</f>
        <v>EN-002088568</v>
      </c>
    </row>
    <row r="1387" spans="1:15" ht="16" x14ac:dyDescent="0.2">
      <c r="A1387" s="18"/>
      <c r="B1387" s="18"/>
      <c r="C1387" s="18"/>
      <c r="D1387" s="18"/>
      <c r="E1387" s="18"/>
      <c r="F1387" s="18"/>
      <c r="G1387" s="18"/>
      <c r="H1387" s="18"/>
      <c r="I1387" s="18"/>
      <c r="J1387" s="18"/>
      <c r="K1387" s="18"/>
      <c r="L1387" s="18"/>
      <c r="M1387" s="18"/>
      <c r="N1387" s="18"/>
      <c r="O1387" s="14" t="str">
        <f>HYPERLINK("https://otsuka-europe-crm.veevavault.com/ui/#object/email_activity__v/V8C00000003N361", "EN-002088567")</f>
        <v>EN-002088567</v>
      </c>
    </row>
    <row r="1388" spans="1:15" ht="16" x14ac:dyDescent="0.2">
      <c r="A1388" s="18"/>
      <c r="B1388" s="18"/>
      <c r="C1388" s="18"/>
      <c r="D1388" s="18"/>
      <c r="E1388" s="18"/>
      <c r="F1388" s="18"/>
      <c r="G1388" s="18"/>
      <c r="H1388" s="18"/>
      <c r="I1388" s="18"/>
      <c r="J1388" s="18"/>
      <c r="K1388" s="18"/>
      <c r="L1388" s="18"/>
      <c r="M1388" s="18"/>
      <c r="N1388" s="18"/>
      <c r="O1388" s="14" t="str">
        <f>HYPERLINK("https://otsuka-europe-crm.veevavault.com/ui/#object/email_activity__v/V8C00000003N384", "EN-002088601")</f>
        <v>EN-002088601</v>
      </c>
    </row>
    <row r="1389" spans="1:15" ht="16" x14ac:dyDescent="0.2">
      <c r="A1389" s="18"/>
      <c r="B1389" s="18"/>
      <c r="C1389" s="18"/>
      <c r="D1389" s="18"/>
      <c r="E1389" s="18"/>
      <c r="F1389" s="18"/>
      <c r="G1389" s="18"/>
      <c r="H1389" s="18"/>
      <c r="I1389" s="18"/>
      <c r="J1389" s="18"/>
      <c r="K1389" s="18"/>
      <c r="L1389" s="18"/>
      <c r="M1389" s="18"/>
      <c r="N1389" s="18"/>
      <c r="O1389" s="14" t="str">
        <f>HYPERLINK("https://otsuka-europe-crm.veevavault.com/ui/#object/email_activity__v/V8C00000003N385", "EN-002088604")</f>
        <v>EN-002088604</v>
      </c>
    </row>
    <row r="1390" spans="1:15" ht="16" x14ac:dyDescent="0.2">
      <c r="A1390" s="19"/>
      <c r="B1390" s="19"/>
      <c r="C1390" s="19"/>
      <c r="D1390" s="19"/>
      <c r="E1390" s="19"/>
      <c r="F1390" s="19"/>
      <c r="G1390" s="19"/>
      <c r="H1390" s="19"/>
      <c r="I1390" s="19"/>
      <c r="J1390" s="19"/>
      <c r="K1390" s="19"/>
      <c r="L1390" s="19"/>
      <c r="M1390" s="19"/>
      <c r="N1390" s="19"/>
      <c r="O1390" s="14" t="str">
        <f>HYPERLINK("https://otsuka-europe-crm.veevavault.com/ui/#object/email_activity__v/V8C00000003N386", "EN-002088605")</f>
        <v>EN-002088605</v>
      </c>
    </row>
    <row r="1391" spans="1:15" ht="16" x14ac:dyDescent="0.2">
      <c r="A1391" s="17" t="str">
        <f>HYPERLINK("https://otsuka-europe-crm.veevavault.com/ui/#object/account__v/V4T000000018060", "MARTA ORTIZ BLASCO")</f>
        <v>MARTA ORTIZ BLASCO</v>
      </c>
      <c r="B1391" s="17" t="str">
        <f>HYPERLINK("https://otsuka-europe-crm.veevavault.com/ui/#object/vcountry__v/VENZ000004SONF5", "ES")</f>
        <v>ES</v>
      </c>
      <c r="C1391" s="20" t="s">
        <v>41</v>
      </c>
      <c r="D1391" s="21" t="str">
        <f>HYPERLINK("https://otsuka-europe-crm.veevavault.com/ui/#object/approved_document__v/V5O00000001H025", "LUP - VAE invitación simposio SEN-SER - Reuma")</f>
        <v>LUP - VAE invitación simposio SEN-SER - Reuma</v>
      </c>
      <c r="E1391" s="22" t="str">
        <f>HYPERLINK("https://otsuka-europe-crm.veevavault.com/ui/#object/sent_email__v/VBL00000002N484", "SE-001431465")</f>
        <v>SE-001431465</v>
      </c>
      <c r="F1391" s="23">
        <v>46175.572256944448</v>
      </c>
      <c r="G1391" s="24">
        <v>1</v>
      </c>
      <c r="H1391" s="24">
        <v>2</v>
      </c>
      <c r="I1391" s="24">
        <v>0</v>
      </c>
      <c r="J1391" s="25"/>
      <c r="K1391" s="24">
        <v>0</v>
      </c>
      <c r="L1391" s="22" t="str">
        <f>HYPERLINK("https://otsuka-europe-crm.veevavault.com/ui/#object/approved_document__v/V5O00000001H025", "LUP - VAE invitación simposio SEN-SER - Reuma")</f>
        <v>LUP - VAE invitación simposio SEN-SER - Reuma</v>
      </c>
      <c r="M1391" s="22" t="str">
        <f>HYPERLINK("mailto:ccalero@crm.otsuka-europe.com", "ccalero@crm.otsuka-europe.com")</f>
        <v>ccalero@crm.otsuka-europe.com</v>
      </c>
      <c r="N1391" s="23">
        <v>46175.473553240743</v>
      </c>
      <c r="O1391" s="14" t="str">
        <f>HYPERLINK("https://otsuka-europe-crm.veevavault.com/ui/#object/email_activity__v/V8C00000003K717", "EN-002087254")</f>
        <v>EN-002087254</v>
      </c>
    </row>
    <row r="1392" spans="1:15" ht="16" x14ac:dyDescent="0.2">
      <c r="A1392" s="18"/>
      <c r="B1392" s="18"/>
      <c r="C1392" s="18"/>
      <c r="D1392" s="18"/>
      <c r="E1392" s="18"/>
      <c r="F1392" s="18"/>
      <c r="G1392" s="18"/>
      <c r="H1392" s="18"/>
      <c r="I1392" s="18"/>
      <c r="J1392" s="18"/>
      <c r="K1392" s="18"/>
      <c r="L1392" s="18"/>
      <c r="M1392" s="18"/>
      <c r="N1392" s="18"/>
      <c r="O1392" s="14" t="str">
        <f>HYPERLINK("https://otsuka-europe-crm.veevavault.com/ui/#object/email_activity__v/V8C00000003K951", "EN-002087732")</f>
        <v>EN-002087732</v>
      </c>
    </row>
    <row r="1393" spans="1:15" ht="16" x14ac:dyDescent="0.2">
      <c r="A1393" s="18"/>
      <c r="B1393" s="18"/>
      <c r="C1393" s="18"/>
      <c r="D1393" s="18"/>
      <c r="E1393" s="18"/>
      <c r="F1393" s="18"/>
      <c r="G1393" s="18"/>
      <c r="H1393" s="18"/>
      <c r="I1393" s="18"/>
      <c r="J1393" s="18"/>
      <c r="K1393" s="18"/>
      <c r="L1393" s="18"/>
      <c r="M1393" s="18"/>
      <c r="N1393" s="18"/>
      <c r="O1393" s="14" t="str">
        <f>HYPERLINK("https://otsuka-europe-crm.veevavault.com/ui/#object/email_activity__v/V8C00000003L641", "EN-002087278")</f>
        <v>EN-002087278</v>
      </c>
    </row>
    <row r="1394" spans="1:15" ht="16" x14ac:dyDescent="0.2">
      <c r="A1394" s="19"/>
      <c r="B1394" s="19"/>
      <c r="C1394" s="19"/>
      <c r="D1394" s="19"/>
      <c r="E1394" s="19"/>
      <c r="F1394" s="19"/>
      <c r="G1394" s="19"/>
      <c r="H1394" s="19"/>
      <c r="I1394" s="19"/>
      <c r="J1394" s="19"/>
      <c r="K1394" s="19"/>
      <c r="L1394" s="19"/>
      <c r="M1394" s="19"/>
      <c r="N1394" s="19"/>
      <c r="O1394" s="14" t="str">
        <f>HYPERLINK("https://otsuka-europe-crm.veevavault.com/ui/#object/email_activity__v/V8C00000003M259", "EN-002088487")</f>
        <v>EN-002088487</v>
      </c>
    </row>
    <row r="1395" spans="1:15" ht="32" x14ac:dyDescent="0.2">
      <c r="A1395" s="7" t="str">
        <f>HYPERLINK("https://otsuka-europe-crm.veevavault.com/ui/#object/account__v/V4TZ025E8982QVK", "ELISABET PEREA MARTINEZ")</f>
        <v>ELISABET PEREA MARTINEZ</v>
      </c>
      <c r="B1395" s="7" t="str">
        <f>HYPERLINK("https://otsuka-europe-crm.veevavault.com/ui/#object/vcountry__v/VENZ000004SONF5", "ES")</f>
        <v>ES</v>
      </c>
      <c r="C1395" s="8" t="s">
        <v>41</v>
      </c>
      <c r="D1395" s="9" t="str">
        <f>HYPERLINK("https://otsuka-europe-crm.veevavault.com/ui/#object/approved_document__v/V5O00000001H025", "LUP - VAE invitación simposio SEN-SER - Reuma")</f>
        <v>LUP - VAE invitación simposio SEN-SER - Reuma</v>
      </c>
      <c r="E1395" s="10" t="str">
        <f>HYPERLINK("https://otsuka-europe-crm.veevavault.com/ui/#object/sent_email__v/VBL00000002N485", "SE-001431466")</f>
        <v>SE-001431466</v>
      </c>
      <c r="F1395" s="11"/>
      <c r="G1395" s="12">
        <v>0</v>
      </c>
      <c r="H1395" s="12">
        <v>0</v>
      </c>
      <c r="I1395" s="12">
        <v>0</v>
      </c>
      <c r="J1395" s="11"/>
      <c r="K1395" s="12">
        <v>0</v>
      </c>
      <c r="L1395" s="10" t="str">
        <f>HYPERLINK("https://otsuka-europe-crm.veevavault.com/ui/#object/approved_document__v/V5O00000001H025", "LUP - VAE invitación simposio SEN-SER - Reuma")</f>
        <v>LUP - VAE invitación simposio SEN-SER - Reuma</v>
      </c>
      <c r="M1395" s="10" t="str">
        <f>HYPERLINK("mailto:ccalero@crm.otsuka-europe.com", "ccalero@crm.otsuka-europe.com")</f>
        <v>ccalero@crm.otsuka-europe.com</v>
      </c>
      <c r="N1395" s="13">
        <v>46175.473553240743</v>
      </c>
      <c r="O1395" s="14" t="str">
        <f>HYPERLINK("https://otsuka-europe-crm.veevavault.com/ui/#object/email_activity__v/V8C00000003L623", "EN-002087250")</f>
        <v>EN-002087250</v>
      </c>
    </row>
    <row r="1396" spans="1:15" ht="16" x14ac:dyDescent="0.2">
      <c r="A1396" s="17" t="str">
        <f>HYPERLINK("https://otsuka-europe-crm.veevavault.com/ui/#object/account__v/V4TZ04ASGC2GS2E", "FRANCISCA SIVERA MASCARO")</f>
        <v>FRANCISCA SIVERA MASCARO</v>
      </c>
      <c r="B1396" s="17" t="str">
        <f>HYPERLINK("https://otsuka-europe-crm.veevavault.com/ui/#object/vcountry__v/VENZ000004SONF5", "ES")</f>
        <v>ES</v>
      </c>
      <c r="C1396" s="20" t="s">
        <v>41</v>
      </c>
      <c r="D1396" s="21" t="str">
        <f>HYPERLINK("https://otsuka-europe-crm.veevavault.com/ui/#object/approved_document__v/V5O00000001H025", "LUP - VAE invitación simposio SEN-SER - Reuma")</f>
        <v>LUP - VAE invitación simposio SEN-SER - Reuma</v>
      </c>
      <c r="E1396" s="22" t="str">
        <f>HYPERLINK("https://otsuka-europe-crm.veevavault.com/ui/#object/sent_email__v/VBL00000002N486", "SE-001431467")</f>
        <v>SE-001431467</v>
      </c>
      <c r="F1396" s="23">
        <v>46175.504942129628</v>
      </c>
      <c r="G1396" s="24">
        <v>1</v>
      </c>
      <c r="H1396" s="24">
        <v>1</v>
      </c>
      <c r="I1396" s="24">
        <v>0</v>
      </c>
      <c r="J1396" s="25"/>
      <c r="K1396" s="24">
        <v>0</v>
      </c>
      <c r="L1396" s="22" t="str">
        <f>HYPERLINK("https://otsuka-europe-crm.veevavault.com/ui/#object/approved_document__v/V5O00000001H025", "LUP - VAE invitación simposio SEN-SER - Reuma")</f>
        <v>LUP - VAE invitación simposio SEN-SER - Reuma</v>
      </c>
      <c r="M1396" s="22" t="str">
        <f>HYPERLINK("mailto:ccalero@crm.otsuka-europe.com", "ccalero@crm.otsuka-europe.com")</f>
        <v>ccalero@crm.otsuka-europe.com</v>
      </c>
      <c r="N1396" s="23">
        <v>46175.473553240743</v>
      </c>
      <c r="O1396" s="14" t="str">
        <f>HYPERLINK("https://otsuka-europe-crm.veevavault.com/ui/#object/email_activity__v/V8C00000003K703", "EN-002087224")</f>
        <v>EN-002087224</v>
      </c>
    </row>
    <row r="1397" spans="1:15" ht="16" x14ac:dyDescent="0.2">
      <c r="A1397" s="19"/>
      <c r="B1397" s="19"/>
      <c r="C1397" s="19"/>
      <c r="D1397" s="19"/>
      <c r="E1397" s="19"/>
      <c r="F1397" s="19"/>
      <c r="G1397" s="19"/>
      <c r="H1397" s="19"/>
      <c r="I1397" s="19"/>
      <c r="J1397" s="19"/>
      <c r="K1397" s="19"/>
      <c r="L1397" s="19"/>
      <c r="M1397" s="19"/>
      <c r="N1397" s="19"/>
      <c r="O1397" s="14" t="str">
        <f>HYPERLINK("https://otsuka-europe-crm.veevavault.com/ui/#object/email_activity__v/V8C00000003K809", "EN-002087462")</f>
        <v>EN-002087462</v>
      </c>
    </row>
    <row r="1398" spans="1:15" ht="32" x14ac:dyDescent="0.2">
      <c r="A1398" s="7" t="str">
        <f>HYPERLINK("https://otsuka-europe-crm.veevavault.com/ui/#object/account__v/V4TZ025E87PZSD6", "JESUS RUBIO UBEDA")</f>
        <v>JESUS RUBIO UBEDA</v>
      </c>
      <c r="B1398" s="7" t="str">
        <f>HYPERLINK("https://otsuka-europe-crm.veevavault.com/ui/#object/vcountry__v/VENZ000004SONF5", "ES")</f>
        <v>ES</v>
      </c>
      <c r="C1398" s="8" t="s">
        <v>41</v>
      </c>
      <c r="D1398" s="9" t="str">
        <f>HYPERLINK("https://otsuka-europe-crm.veevavault.com/ui/#object/approved_document__v/V5O00000001H025", "LUP - VAE invitación simposio SEN-SER - Reuma")</f>
        <v>LUP - VAE invitación simposio SEN-SER - Reuma</v>
      </c>
      <c r="E1398" s="10" t="str">
        <f>HYPERLINK("https://otsuka-europe-crm.veevavault.com/ui/#object/sent_email__v/VBL00000002N487", "SE-001431468")</f>
        <v>SE-001431468</v>
      </c>
      <c r="F1398" s="11"/>
      <c r="G1398" s="12">
        <v>0</v>
      </c>
      <c r="H1398" s="12">
        <v>0</v>
      </c>
      <c r="I1398" s="12">
        <v>0</v>
      </c>
      <c r="J1398" s="11"/>
      <c r="K1398" s="12">
        <v>0</v>
      </c>
      <c r="L1398" s="10" t="str">
        <f>HYPERLINK("https://otsuka-europe-crm.veevavault.com/ui/#object/approved_document__v/V5O00000001H025", "LUP - VAE invitación simposio SEN-SER - Reuma")</f>
        <v>LUP - VAE invitación simposio SEN-SER - Reuma</v>
      </c>
      <c r="M1398" s="10" t="str">
        <f>HYPERLINK("mailto:ccalero@crm.otsuka-europe.com", "ccalero@crm.otsuka-europe.com")</f>
        <v>ccalero@crm.otsuka-europe.com</v>
      </c>
      <c r="N1398" s="13">
        <v>46175.473553240743</v>
      </c>
      <c r="O1398" s="14" t="str">
        <f>HYPERLINK("https://otsuka-europe-crm.veevavault.com/ui/#object/email_activity__v/V8C00000003L620", "EN-002087247")</f>
        <v>EN-002087247</v>
      </c>
    </row>
    <row r="1399" spans="1:15" ht="32" x14ac:dyDescent="0.2">
      <c r="A1399" s="7" t="str">
        <f>HYPERLINK("https://otsuka-europe-crm.veevavault.com/ui/#object/account__v/V4TZ04ASGCI8T9S", "NURIA LOZANO RIVAS")</f>
        <v>NURIA LOZANO RIVAS</v>
      </c>
      <c r="B1399" s="7" t="str">
        <f>HYPERLINK("https://otsuka-europe-crm.veevavault.com/ui/#object/vcountry__v/VENZ000004SONF5", "ES")</f>
        <v>ES</v>
      </c>
      <c r="C1399" s="8" t="s">
        <v>41</v>
      </c>
      <c r="D1399" s="9" t="str">
        <f>HYPERLINK("https://otsuka-europe-crm.veevavault.com/ui/#object/approved_document__v/V5O00000001H025", "LUP - VAE invitación simposio SEN-SER - Reuma")</f>
        <v>LUP - VAE invitación simposio SEN-SER - Reuma</v>
      </c>
      <c r="E1399" s="10" t="str">
        <f>HYPERLINK("https://otsuka-europe-crm.veevavault.com/ui/#object/sent_email__v/VBL00000002N488", "SE-001431469")</f>
        <v>SE-001431469</v>
      </c>
      <c r="F1399" s="11"/>
      <c r="G1399" s="12">
        <v>0</v>
      </c>
      <c r="H1399" s="12">
        <v>0</v>
      </c>
      <c r="I1399" s="12">
        <v>0</v>
      </c>
      <c r="J1399" s="11"/>
      <c r="K1399" s="12">
        <v>0</v>
      </c>
      <c r="L1399" s="10" t="str">
        <f>HYPERLINK("https://otsuka-europe-crm.veevavault.com/ui/#object/approved_document__v/V5O00000001H025", "LUP - VAE invitación simposio SEN-SER - Reuma")</f>
        <v>LUP - VAE invitación simposio SEN-SER - Reuma</v>
      </c>
      <c r="M1399" s="10" t="str">
        <f>HYPERLINK("mailto:ccalero@crm.otsuka-europe.com", "ccalero@crm.otsuka-europe.com")</f>
        <v>ccalero@crm.otsuka-europe.com</v>
      </c>
      <c r="N1399" s="13">
        <v>46175.473564814813</v>
      </c>
      <c r="O1399" s="14" t="str">
        <f>HYPERLINK("https://otsuka-europe-crm.veevavault.com/ui/#object/email_activity__v/V8C00000003K722", "EN-002087259")</f>
        <v>EN-002087259</v>
      </c>
    </row>
    <row r="1400" spans="1:15" ht="32" x14ac:dyDescent="0.2">
      <c r="A1400" s="7" t="str">
        <f>HYPERLINK("https://otsuka-europe-crm.veevavault.com/ui/#object/account__v/V4TZ025E86YQNOP", "PABLO RIESGO SANCHIS")</f>
        <v>PABLO RIESGO SANCHIS</v>
      </c>
      <c r="B1400" s="7" t="str">
        <f>HYPERLINK("https://otsuka-europe-crm.veevavault.com/ui/#object/vcountry__v/VENZ000004SONF5", "ES")</f>
        <v>ES</v>
      </c>
      <c r="C1400" s="8" t="s">
        <v>41</v>
      </c>
      <c r="D1400" s="9" t="str">
        <f>HYPERLINK("https://otsuka-europe-crm.veevavault.com/ui/#object/approved_document__v/V5O00000001H025", "LUP - VAE invitación simposio SEN-SER - Reuma")</f>
        <v>LUP - VAE invitación simposio SEN-SER - Reuma</v>
      </c>
      <c r="E1400" s="10" t="str">
        <f>HYPERLINK("https://otsuka-europe-crm.veevavault.com/ui/#object/sent_email__v/VBL00000002N489", "SE-001431470")</f>
        <v>SE-001431470</v>
      </c>
      <c r="F1400" s="11"/>
      <c r="G1400" s="12">
        <v>0</v>
      </c>
      <c r="H1400" s="12">
        <v>0</v>
      </c>
      <c r="I1400" s="12">
        <v>0</v>
      </c>
      <c r="J1400" s="11"/>
      <c r="K1400" s="12">
        <v>0</v>
      </c>
      <c r="L1400" s="10" t="str">
        <f>HYPERLINK("https://otsuka-europe-crm.veevavault.com/ui/#object/approved_document__v/V5O00000001H025", "LUP - VAE invitación simposio SEN-SER - Reuma")</f>
        <v>LUP - VAE invitación simposio SEN-SER - Reuma</v>
      </c>
      <c r="M1400" s="10" t="str">
        <f>HYPERLINK("mailto:ccalero@crm.otsuka-europe.com", "ccalero@crm.otsuka-europe.com")</f>
        <v>ccalero@crm.otsuka-europe.com</v>
      </c>
      <c r="N1400" s="13">
        <v>46175.473564814813</v>
      </c>
      <c r="O1400" s="14" t="str">
        <f>HYPERLINK("https://otsuka-europe-crm.veevavault.com/ui/#object/email_activity__v/V8C00000003L611", "EN-002087225")</f>
        <v>EN-002087225</v>
      </c>
    </row>
    <row r="1401" spans="1:15" ht="16" x14ac:dyDescent="0.2">
      <c r="A1401" s="17" t="str">
        <f>HYPERLINK("https://otsuka-europe-crm.veevavault.com/ui/#object/account__v/V4TZ04ASGGI3YJM", "ENCARNACION SAIZ CUENCA")</f>
        <v>ENCARNACION SAIZ CUENCA</v>
      </c>
      <c r="B1401" s="17" t="str">
        <f>HYPERLINK("https://otsuka-europe-crm.veevavault.com/ui/#object/vcountry__v/VENZ000004SONF5", "ES")</f>
        <v>ES</v>
      </c>
      <c r="C1401" s="20" t="s">
        <v>41</v>
      </c>
      <c r="D1401" s="21" t="str">
        <f>HYPERLINK("https://otsuka-europe-crm.veevavault.com/ui/#object/approved_document__v/V5O00000001H025", "LUP - VAE invitación simposio SEN-SER - Reuma")</f>
        <v>LUP - VAE invitación simposio SEN-SER - Reuma</v>
      </c>
      <c r="E1401" s="22" t="str">
        <f>HYPERLINK("https://otsuka-europe-crm.veevavault.com/ui/#object/sent_email__v/VBL00000002N490", "SE-001431471")</f>
        <v>SE-001431471</v>
      </c>
      <c r="F1401" s="23">
        <v>46183.316643518519</v>
      </c>
      <c r="G1401" s="24">
        <v>1</v>
      </c>
      <c r="H1401" s="24">
        <v>2</v>
      </c>
      <c r="I1401" s="24">
        <v>0</v>
      </c>
      <c r="J1401" s="25"/>
      <c r="K1401" s="24">
        <v>0</v>
      </c>
      <c r="L1401" s="22" t="str">
        <f>HYPERLINK("https://otsuka-europe-crm.veevavault.com/ui/#object/approved_document__v/V5O00000001H025", "LUP - VAE invitación simposio SEN-SER - Reuma")</f>
        <v>LUP - VAE invitación simposio SEN-SER - Reuma</v>
      </c>
      <c r="M1401" s="22" t="str">
        <f>HYPERLINK("mailto:ccalero@crm.otsuka-europe.com", "ccalero@crm.otsuka-europe.com")</f>
        <v>ccalero@crm.otsuka-europe.com</v>
      </c>
      <c r="N1401" s="23">
        <v>46175.473587962966</v>
      </c>
      <c r="O1401" s="14" t="str">
        <f>HYPERLINK("https://otsuka-europe-crm.veevavault.com/ui/#object/email_activity__v/V8C00000003K709", "EN-002087233")</f>
        <v>EN-002087233</v>
      </c>
    </row>
    <row r="1402" spans="1:15" ht="16" x14ac:dyDescent="0.2">
      <c r="A1402" s="18"/>
      <c r="B1402" s="18"/>
      <c r="C1402" s="18"/>
      <c r="D1402" s="18"/>
      <c r="E1402" s="18"/>
      <c r="F1402" s="18"/>
      <c r="G1402" s="18"/>
      <c r="H1402" s="18"/>
      <c r="I1402" s="18"/>
      <c r="J1402" s="18"/>
      <c r="K1402" s="18"/>
      <c r="L1402" s="18"/>
      <c r="M1402" s="18"/>
      <c r="N1402" s="18"/>
      <c r="O1402" s="14" t="str">
        <f>HYPERLINK("https://otsuka-europe-crm.veevavault.com/ui/#object/email_activity__v/V8C00000003O078", "EN-002089409")</f>
        <v>EN-002089409</v>
      </c>
    </row>
    <row r="1403" spans="1:15" ht="16" x14ac:dyDescent="0.2">
      <c r="A1403" s="19"/>
      <c r="B1403" s="19"/>
      <c r="C1403" s="19"/>
      <c r="D1403" s="19"/>
      <c r="E1403" s="19"/>
      <c r="F1403" s="19"/>
      <c r="G1403" s="19"/>
      <c r="H1403" s="19"/>
      <c r="I1403" s="19"/>
      <c r="J1403" s="19"/>
      <c r="K1403" s="19"/>
      <c r="L1403" s="19"/>
      <c r="M1403" s="19"/>
      <c r="N1403" s="19"/>
      <c r="O1403" s="14" t="str">
        <f>HYPERLINK("https://otsuka-europe-crm.veevavault.com/ui/#object/email_activity__v/V8C00000003T147", "EN-002093863")</f>
        <v>EN-002093863</v>
      </c>
    </row>
    <row r="1404" spans="1:15" ht="16" x14ac:dyDescent="0.2">
      <c r="A1404" s="17" t="str">
        <f>HYPERLINK("https://otsuka-europe-crm.veevavault.com/ui/#object/account__v/V4TZ025E8878Y67", "MARIA MERCEDES PIQUERAS GARCIA")</f>
        <v>MARIA MERCEDES PIQUERAS GARCIA</v>
      </c>
      <c r="B1404" s="17" t="str">
        <f>HYPERLINK("https://otsuka-europe-crm.veevavault.com/ui/#object/vcountry__v/VENZ000004SONF5", "ES")</f>
        <v>ES</v>
      </c>
      <c r="C1404" s="20" t="s">
        <v>41</v>
      </c>
      <c r="D1404" s="21" t="str">
        <f>HYPERLINK("https://otsuka-europe-crm.veevavault.com/ui/#object/approved_document__v/V5O00000001H025", "LUP - VAE invitación simposio SEN-SER - Reuma")</f>
        <v>LUP - VAE invitación simposio SEN-SER - Reuma</v>
      </c>
      <c r="E1404" s="22" t="str">
        <f>HYPERLINK("https://otsuka-europe-crm.veevavault.com/ui/#object/sent_email__v/VBL00000002N491", "SE-001431472")</f>
        <v>SE-001431472</v>
      </c>
      <c r="F1404" s="25"/>
      <c r="G1404" s="24">
        <v>0</v>
      </c>
      <c r="H1404" s="24">
        <v>0</v>
      </c>
      <c r="I1404" s="24">
        <v>0</v>
      </c>
      <c r="J1404" s="25"/>
      <c r="K1404" s="24">
        <v>0</v>
      </c>
      <c r="L1404" s="22" t="str">
        <f>HYPERLINK("https://otsuka-europe-crm.veevavault.com/ui/#object/approved_document__v/V5O00000001H025", "LUP - VAE invitación simposio SEN-SER - Reuma")</f>
        <v>LUP - VAE invitación simposio SEN-SER - Reuma</v>
      </c>
      <c r="M1404" s="22" t="str">
        <f>HYPERLINK("mailto:ccalero@crm.otsuka-europe.com", "ccalero@crm.otsuka-europe.com")</f>
        <v>ccalero@crm.otsuka-europe.com</v>
      </c>
      <c r="N1404" s="23">
        <v>46175.473564814813</v>
      </c>
      <c r="O1404" s="14" t="str">
        <f>HYPERLINK("https://otsuka-europe-crm.veevavault.com/ui/#object/email_activity__v/V8C00000003K716", "EN-002087244")</f>
        <v>EN-002087244</v>
      </c>
    </row>
    <row r="1405" spans="1:15" ht="16" x14ac:dyDescent="0.2">
      <c r="A1405" s="19"/>
      <c r="B1405" s="19"/>
      <c r="C1405" s="19"/>
      <c r="D1405" s="19"/>
      <c r="E1405" s="19"/>
      <c r="F1405" s="19"/>
      <c r="G1405" s="19"/>
      <c r="H1405" s="19"/>
      <c r="I1405" s="19"/>
      <c r="J1405" s="19"/>
      <c r="K1405" s="19"/>
      <c r="L1405" s="19"/>
      <c r="M1405" s="19"/>
      <c r="N1405" s="19"/>
      <c r="O1405" s="14" t="str">
        <f>HYPERLINK("https://otsuka-europe-crm.veevavault.com/ui/#object/email_activity__v/V8C00000003N366", "EN-002088579")</f>
        <v>EN-002088579</v>
      </c>
    </row>
    <row r="1406" spans="1:15" ht="16" x14ac:dyDescent="0.2">
      <c r="A1406" s="17" t="str">
        <f>HYPERLINK("https://otsuka-europe-crm.veevavault.com/ui/#object/account__v/V4TZ025E86HJ1AA", "MARIA JOSE DIAZ NAVARRO")</f>
        <v>MARIA JOSE DIAZ NAVARRO</v>
      </c>
      <c r="B1406" s="17" t="str">
        <f>HYPERLINK("https://otsuka-europe-crm.veevavault.com/ui/#object/vcountry__v/VENZ000004SONF5", "ES")</f>
        <v>ES</v>
      </c>
      <c r="C1406" s="20" t="s">
        <v>41</v>
      </c>
      <c r="D1406" s="21" t="str">
        <f>HYPERLINK("https://otsuka-europe-crm.veevavault.com/ui/#object/approved_document__v/V5O00000001H025", "LUP - VAE invitación simposio SEN-SER - Reuma")</f>
        <v>LUP - VAE invitación simposio SEN-SER - Reuma</v>
      </c>
      <c r="E1406" s="22" t="str">
        <f>HYPERLINK("https://otsuka-europe-crm.veevavault.com/ui/#object/sent_email__v/VBL00000002N492", "SE-001431473")</f>
        <v>SE-001431473</v>
      </c>
      <c r="F1406" s="23">
        <v>46176.317627314813</v>
      </c>
      <c r="G1406" s="24">
        <v>1</v>
      </c>
      <c r="H1406" s="24">
        <v>1</v>
      </c>
      <c r="I1406" s="24">
        <v>0</v>
      </c>
      <c r="J1406" s="25"/>
      <c r="K1406" s="24">
        <v>0</v>
      </c>
      <c r="L1406" s="22" t="str">
        <f>HYPERLINK("https://otsuka-europe-crm.veevavault.com/ui/#object/approved_document__v/V5O00000001H025", "LUP - VAE invitación simposio SEN-SER - Reuma")</f>
        <v>LUP - VAE invitación simposio SEN-SER - Reuma</v>
      </c>
      <c r="M1406" s="22" t="str">
        <f>HYPERLINK("mailto:ccalero@crm.otsuka-europe.com", "ccalero@crm.otsuka-europe.com")</f>
        <v>ccalero@crm.otsuka-europe.com</v>
      </c>
      <c r="N1406" s="23">
        <v>46175.473564814813</v>
      </c>
      <c r="O1406" s="14" t="str">
        <f>HYPERLINK("https://otsuka-europe-crm.veevavault.com/ui/#object/email_activity__v/V8C00000003K725", "EN-002087262")</f>
        <v>EN-002087262</v>
      </c>
    </row>
    <row r="1407" spans="1:15" ht="16" x14ac:dyDescent="0.2">
      <c r="A1407" s="19"/>
      <c r="B1407" s="19"/>
      <c r="C1407" s="19"/>
      <c r="D1407" s="19"/>
      <c r="E1407" s="19"/>
      <c r="F1407" s="19"/>
      <c r="G1407" s="19"/>
      <c r="H1407" s="19"/>
      <c r="I1407" s="19"/>
      <c r="J1407" s="19"/>
      <c r="K1407" s="19"/>
      <c r="L1407" s="19"/>
      <c r="M1407" s="19"/>
      <c r="N1407" s="19"/>
      <c r="O1407" s="14" t="str">
        <f>HYPERLINK("https://otsuka-europe-crm.veevavault.com/ui/#object/email_activity__v/V8C00000003M304", "EN-002088577")</f>
        <v>EN-002088577</v>
      </c>
    </row>
    <row r="1408" spans="1:15" ht="16" x14ac:dyDescent="0.2">
      <c r="A1408" s="17" t="str">
        <f>HYPERLINK("https://otsuka-europe-crm.veevavault.com/ui/#object/account__v/V4T000000004026", "MARIA SANCHEZ WONENBURGER")</f>
        <v>MARIA SANCHEZ WONENBURGER</v>
      </c>
      <c r="B1408" s="17" t="str">
        <f>HYPERLINK("https://otsuka-europe-crm.veevavault.com/ui/#object/vcountry__v/VENZ000004SONF5", "ES")</f>
        <v>ES</v>
      </c>
      <c r="C1408" s="20" t="s">
        <v>41</v>
      </c>
      <c r="D1408" s="21" t="str">
        <f>HYPERLINK("https://otsuka-europe-crm.veevavault.com/ui/#object/approved_document__v/V5O00000001H025", "LUP - VAE invitación simposio SEN-SER - Reuma")</f>
        <v>LUP - VAE invitación simposio SEN-SER - Reuma</v>
      </c>
      <c r="E1408" s="22" t="str">
        <f>HYPERLINK("https://otsuka-europe-crm.veevavault.com/ui/#object/sent_email__v/VBL00000002N493", "SE-001431474")</f>
        <v>SE-001431474</v>
      </c>
      <c r="F1408" s="25"/>
      <c r="G1408" s="24">
        <v>0</v>
      </c>
      <c r="H1408" s="24">
        <v>0</v>
      </c>
      <c r="I1408" s="24">
        <v>0</v>
      </c>
      <c r="J1408" s="25"/>
      <c r="K1408" s="24">
        <v>0</v>
      </c>
      <c r="L1408" s="22" t="str">
        <f>HYPERLINK("https://otsuka-europe-crm.veevavault.com/ui/#object/approved_document__v/V5O00000001H025", "LUP - VAE invitación simposio SEN-SER - Reuma")</f>
        <v>LUP - VAE invitación simposio SEN-SER - Reuma</v>
      </c>
      <c r="M1408" s="22" t="str">
        <f>HYPERLINK("mailto:ccalero@crm.otsuka-europe.com", "ccalero@crm.otsuka-europe.com")</f>
        <v>ccalero@crm.otsuka-europe.com</v>
      </c>
      <c r="N1408" s="23">
        <v>46175.473564814813</v>
      </c>
      <c r="O1408" s="14" t="str">
        <f>HYPERLINK("https://otsuka-europe-crm.veevavault.com/ui/#object/email_activity__v/V8C00000003L639", "EN-002087276")</f>
        <v>EN-002087276</v>
      </c>
    </row>
    <row r="1409" spans="1:15" ht="16" x14ac:dyDescent="0.2">
      <c r="A1409" s="19"/>
      <c r="B1409" s="19"/>
      <c r="C1409" s="19"/>
      <c r="D1409" s="19"/>
      <c r="E1409" s="19"/>
      <c r="F1409" s="19"/>
      <c r="G1409" s="19"/>
      <c r="H1409" s="19"/>
      <c r="I1409" s="19"/>
      <c r="J1409" s="19"/>
      <c r="K1409" s="19"/>
      <c r="L1409" s="19"/>
      <c r="M1409" s="19"/>
      <c r="N1409" s="19"/>
      <c r="O1409" s="14" t="str">
        <f>HYPERLINK("https://otsuka-europe-crm.veevavault.com/ui/#object/email_activity__v/V8C00000003R250", "EN-002092144")</f>
        <v>EN-002092144</v>
      </c>
    </row>
    <row r="1410" spans="1:15" ht="16" x14ac:dyDescent="0.2">
      <c r="A1410" s="17" t="str">
        <f>HYPERLINK("https://otsuka-europe-crm.veevavault.com/ui/#object/account__v/V4TZ06G6O71T93H", "JUAN JOSE ALEGRE SANCHO")</f>
        <v>JUAN JOSE ALEGRE SANCHO</v>
      </c>
      <c r="B1410" s="17" t="str">
        <f>HYPERLINK("https://otsuka-europe-crm.veevavault.com/ui/#object/vcountry__v/VENZ000004SONF5", "ES")</f>
        <v>ES</v>
      </c>
      <c r="C1410" s="20" t="s">
        <v>41</v>
      </c>
      <c r="D1410" s="21" t="str">
        <f>HYPERLINK("https://otsuka-europe-crm.veevavault.com/ui/#object/approved_document__v/V5O00000001H025", "LUP - VAE invitación simposio SEN-SER - Reuma")</f>
        <v>LUP - VAE invitación simposio SEN-SER - Reuma</v>
      </c>
      <c r="E1410" s="22" t="str">
        <f>HYPERLINK("https://otsuka-europe-crm.veevavault.com/ui/#object/sent_email__v/VBL00000002N494", "SE-001431475")</f>
        <v>SE-001431475</v>
      </c>
      <c r="F1410" s="23">
        <v>46175.647465277776</v>
      </c>
      <c r="G1410" s="24">
        <v>1</v>
      </c>
      <c r="H1410" s="24">
        <v>2</v>
      </c>
      <c r="I1410" s="24">
        <v>0</v>
      </c>
      <c r="J1410" s="25"/>
      <c r="K1410" s="24">
        <v>0</v>
      </c>
      <c r="L1410" s="22" t="str">
        <f>HYPERLINK("https://otsuka-europe-crm.veevavault.com/ui/#object/approved_document__v/V5O00000001H025", "LUP - VAE invitación simposio SEN-SER - Reuma")</f>
        <v>LUP - VAE invitación simposio SEN-SER - Reuma</v>
      </c>
      <c r="M1410" s="22" t="str">
        <f>HYPERLINK("mailto:ccalero@crm.otsuka-europe.com", "ccalero@crm.otsuka-europe.com")</f>
        <v>ccalero@crm.otsuka-europe.com</v>
      </c>
      <c r="N1410" s="23">
        <v>46175.473564814813</v>
      </c>
      <c r="O1410" s="14" t="str">
        <f>HYPERLINK("https://otsuka-europe-crm.veevavault.com/ui/#object/email_activity__v/V8C00000003K714", "EN-002087242")</f>
        <v>EN-002087242</v>
      </c>
    </row>
    <row r="1411" spans="1:15" ht="16" x14ac:dyDescent="0.2">
      <c r="A1411" s="18"/>
      <c r="B1411" s="18"/>
      <c r="C1411" s="18"/>
      <c r="D1411" s="18"/>
      <c r="E1411" s="18"/>
      <c r="F1411" s="18"/>
      <c r="G1411" s="18"/>
      <c r="H1411" s="18"/>
      <c r="I1411" s="18"/>
      <c r="J1411" s="18"/>
      <c r="K1411" s="18"/>
      <c r="L1411" s="18"/>
      <c r="M1411" s="18"/>
      <c r="N1411" s="18"/>
      <c r="O1411" s="14" t="str">
        <f>HYPERLINK("https://otsuka-europe-crm.veevavault.com/ui/#object/email_activity__v/V8C00000003M057", "EN-002087939")</f>
        <v>EN-002087939</v>
      </c>
    </row>
    <row r="1412" spans="1:15" ht="16" x14ac:dyDescent="0.2">
      <c r="A1412" s="19"/>
      <c r="B1412" s="19"/>
      <c r="C1412" s="19"/>
      <c r="D1412" s="19"/>
      <c r="E1412" s="19"/>
      <c r="F1412" s="19"/>
      <c r="G1412" s="19"/>
      <c r="H1412" s="19"/>
      <c r="I1412" s="19"/>
      <c r="J1412" s="19"/>
      <c r="K1412" s="19"/>
      <c r="L1412" s="19"/>
      <c r="M1412" s="19"/>
      <c r="N1412" s="19"/>
      <c r="O1412" s="14" t="str">
        <f>HYPERLINK("https://otsuka-europe-crm.veevavault.com/ui/#object/email_activity__v/V8C00000003M058", "EN-002087940")</f>
        <v>EN-002087940</v>
      </c>
    </row>
    <row r="1413" spans="1:15" ht="16" x14ac:dyDescent="0.2">
      <c r="A1413" s="17" t="str">
        <f>HYPERLINK("https://otsuka-europe-crm.veevavault.com/ui/#object/account__v/V4TZ025E83BOFZB", "JORGE JUAN FRAGIO GIL")</f>
        <v>JORGE JUAN FRAGIO GIL</v>
      </c>
      <c r="B1413" s="17" t="str">
        <f>HYPERLINK("https://otsuka-europe-crm.veevavault.com/ui/#object/vcountry__v/VENZ000004SONF5", "ES")</f>
        <v>ES</v>
      </c>
      <c r="C1413" s="20" t="s">
        <v>41</v>
      </c>
      <c r="D1413" s="21" t="str">
        <f>HYPERLINK("https://otsuka-europe-crm.veevavault.com/ui/#object/approved_document__v/V5O00000001H025", "LUP - VAE invitación simposio SEN-SER - Reuma")</f>
        <v>LUP - VAE invitación simposio SEN-SER - Reuma</v>
      </c>
      <c r="E1413" s="22" t="str">
        <f>HYPERLINK("https://otsuka-europe-crm.veevavault.com/ui/#object/sent_email__v/VBL00000002N495", "SE-001431476")</f>
        <v>SE-001431476</v>
      </c>
      <c r="F1413" s="25"/>
      <c r="G1413" s="24">
        <v>0</v>
      </c>
      <c r="H1413" s="24">
        <v>0</v>
      </c>
      <c r="I1413" s="24">
        <v>0</v>
      </c>
      <c r="J1413" s="25"/>
      <c r="K1413" s="24">
        <v>0</v>
      </c>
      <c r="L1413" s="22" t="str">
        <f>HYPERLINK("https://otsuka-europe-crm.veevavault.com/ui/#object/approved_document__v/V5O00000001H025", "LUP - VAE invitación simposio SEN-SER - Reuma")</f>
        <v>LUP - VAE invitación simposio SEN-SER - Reuma</v>
      </c>
      <c r="M1413" s="22" t="str">
        <f>HYPERLINK("mailto:ccalero@crm.otsuka-europe.com", "ccalero@crm.otsuka-europe.com")</f>
        <v>ccalero@crm.otsuka-europe.com</v>
      </c>
      <c r="N1413" s="23">
        <v>46175.473564814813</v>
      </c>
      <c r="O1413" s="14" t="str">
        <f>HYPERLINK("https://otsuka-europe-crm.veevavault.com/ui/#object/email_activity__v/V8C00000003K718", "EN-002087255")</f>
        <v>EN-002087255</v>
      </c>
    </row>
    <row r="1414" spans="1:15" ht="16" x14ac:dyDescent="0.2">
      <c r="A1414" s="19"/>
      <c r="B1414" s="19"/>
      <c r="C1414" s="19"/>
      <c r="D1414" s="19"/>
      <c r="E1414" s="19"/>
      <c r="F1414" s="19"/>
      <c r="G1414" s="19"/>
      <c r="H1414" s="19"/>
      <c r="I1414" s="19"/>
      <c r="J1414" s="19"/>
      <c r="K1414" s="19"/>
      <c r="L1414" s="19"/>
      <c r="M1414" s="19"/>
      <c r="N1414" s="19"/>
      <c r="O1414" s="14" t="str">
        <f>HYPERLINK("https://otsuka-europe-crm.veevavault.com/ui/#object/email_activity__v/V8C00000003M547", "EN-002089120")</f>
        <v>EN-002089120</v>
      </c>
    </row>
    <row r="1415" spans="1:15" ht="16" x14ac:dyDescent="0.2">
      <c r="A1415" s="17" t="str">
        <f>HYPERLINK("https://otsuka-europe-crm.veevavault.com/ui/#object/account__v/V4TZ025E894NNS6", "CARLOS VALERA RIBERA")</f>
        <v>CARLOS VALERA RIBERA</v>
      </c>
      <c r="B1415" s="17" t="str">
        <f>HYPERLINK("https://otsuka-europe-crm.veevavault.com/ui/#object/vcountry__v/VENZ000004SONF5", "ES")</f>
        <v>ES</v>
      </c>
      <c r="C1415" s="20" t="s">
        <v>41</v>
      </c>
      <c r="D1415" s="21" t="str">
        <f>HYPERLINK("https://otsuka-europe-crm.veevavault.com/ui/#object/approved_document__v/V5O00000001H025", "LUP - VAE invitación simposio SEN-SER - Reuma")</f>
        <v>LUP - VAE invitación simposio SEN-SER - Reuma</v>
      </c>
      <c r="E1415" s="22" t="str">
        <f>HYPERLINK("https://otsuka-europe-crm.veevavault.com/ui/#object/sent_email__v/VBL00000002N496", "SE-001431477")</f>
        <v>SE-001431477</v>
      </c>
      <c r="F1415" s="23">
        <v>46175.57712962963</v>
      </c>
      <c r="G1415" s="24">
        <v>1</v>
      </c>
      <c r="H1415" s="24">
        <v>1</v>
      </c>
      <c r="I1415" s="24">
        <v>0</v>
      </c>
      <c r="J1415" s="25"/>
      <c r="K1415" s="24">
        <v>0</v>
      </c>
      <c r="L1415" s="22" t="str">
        <f>HYPERLINK("https://otsuka-europe-crm.veevavault.com/ui/#object/approved_document__v/V5O00000001H025", "LUP - VAE invitación simposio SEN-SER - Reuma")</f>
        <v>LUP - VAE invitación simposio SEN-SER - Reuma</v>
      </c>
      <c r="M1415" s="22" t="str">
        <f>HYPERLINK("mailto:ccalero@crm.otsuka-europe.com", "ccalero@crm.otsuka-europe.com")</f>
        <v>ccalero@crm.otsuka-europe.com</v>
      </c>
      <c r="N1415" s="23">
        <v>46175.473576388889</v>
      </c>
      <c r="O1415" s="14" t="str">
        <f>HYPERLINK("https://otsuka-europe-crm.veevavault.com/ui/#object/email_activity__v/V8C00000003K705", "EN-002087229")</f>
        <v>EN-002087229</v>
      </c>
    </row>
    <row r="1416" spans="1:15" ht="16" x14ac:dyDescent="0.2">
      <c r="A1416" s="19"/>
      <c r="B1416" s="19"/>
      <c r="C1416" s="19"/>
      <c r="D1416" s="19"/>
      <c r="E1416" s="19"/>
      <c r="F1416" s="19"/>
      <c r="G1416" s="19"/>
      <c r="H1416" s="19"/>
      <c r="I1416" s="19"/>
      <c r="J1416" s="19"/>
      <c r="K1416" s="19"/>
      <c r="L1416" s="19"/>
      <c r="M1416" s="19"/>
      <c r="N1416" s="19"/>
      <c r="O1416" s="14" t="str">
        <f>HYPERLINK("https://otsuka-europe-crm.veevavault.com/ui/#object/email_activity__v/V8C00000003K978", "EN-002087765")</f>
        <v>EN-002087765</v>
      </c>
    </row>
    <row r="1417" spans="1:15" ht="16" x14ac:dyDescent="0.2">
      <c r="A1417" s="17" t="str">
        <f>HYPERLINK("https://otsuka-europe-crm.veevavault.com/ui/#object/account__v/V4TZ04ASGB981FS", "IRENE CALABUIG SAIS")</f>
        <v>IRENE CALABUIG SAIS</v>
      </c>
      <c r="B1417" s="17" t="str">
        <f>HYPERLINK("https://otsuka-europe-crm.veevavault.com/ui/#object/vcountry__v/VENZ000004SONF5", "ES")</f>
        <v>ES</v>
      </c>
      <c r="C1417" s="20" t="s">
        <v>41</v>
      </c>
      <c r="D1417" s="21" t="str">
        <f>HYPERLINK("https://otsuka-europe-crm.veevavault.com/ui/#object/approved_document__v/V5O00000001H025", "LUP - VAE invitación simposio SEN-SER - Reuma")</f>
        <v>LUP - VAE invitación simposio SEN-SER - Reuma</v>
      </c>
      <c r="E1417" s="22" t="str">
        <f>HYPERLINK("https://otsuka-europe-crm.veevavault.com/ui/#object/sent_email__v/VBL00000002N497", "SE-001431478")</f>
        <v>SE-001431478</v>
      </c>
      <c r="F1417" s="23">
        <v>46175.690682870372</v>
      </c>
      <c r="G1417" s="24">
        <v>1</v>
      </c>
      <c r="H1417" s="24">
        <v>1</v>
      </c>
      <c r="I1417" s="24">
        <v>0</v>
      </c>
      <c r="J1417" s="25"/>
      <c r="K1417" s="24">
        <v>0</v>
      </c>
      <c r="L1417" s="22" t="str">
        <f>HYPERLINK("https://otsuka-europe-crm.veevavault.com/ui/#object/approved_document__v/V5O00000001H025", "LUP - VAE invitación simposio SEN-SER - Reuma")</f>
        <v>LUP - VAE invitación simposio SEN-SER - Reuma</v>
      </c>
      <c r="M1417" s="22" t="str">
        <f>HYPERLINK("mailto:ccalero@crm.otsuka-europe.com", "ccalero@crm.otsuka-europe.com")</f>
        <v>ccalero@crm.otsuka-europe.com</v>
      </c>
      <c r="N1417" s="23">
        <v>46175.473576388889</v>
      </c>
      <c r="O1417" s="14" t="str">
        <f>HYPERLINK("https://otsuka-europe-crm.veevavault.com/ui/#object/email_activity__v/V8C00000003K707", "EN-002087231")</f>
        <v>EN-002087231</v>
      </c>
    </row>
    <row r="1418" spans="1:15" ht="16" x14ac:dyDescent="0.2">
      <c r="A1418" s="19"/>
      <c r="B1418" s="19"/>
      <c r="C1418" s="19"/>
      <c r="D1418" s="19"/>
      <c r="E1418" s="19"/>
      <c r="F1418" s="19"/>
      <c r="G1418" s="19"/>
      <c r="H1418" s="19"/>
      <c r="I1418" s="19"/>
      <c r="J1418" s="19"/>
      <c r="K1418" s="19"/>
      <c r="L1418" s="19"/>
      <c r="M1418" s="19"/>
      <c r="N1418" s="19"/>
      <c r="O1418" s="14" t="str">
        <f>HYPERLINK("https://otsuka-europe-crm.veevavault.com/ui/#object/email_activity__v/V8C00000003N012", "EN-002088003")</f>
        <v>EN-002088003</v>
      </c>
    </row>
    <row r="1419" spans="1:15" ht="16" x14ac:dyDescent="0.2">
      <c r="A1419" s="17" t="str">
        <f>HYPERLINK("https://otsuka-europe-crm.veevavault.com/ui/#object/account__v/V4TZ025E87NDG84", "MERITXELL FERNANDEZ MATILLA")</f>
        <v>MERITXELL FERNANDEZ MATILLA</v>
      </c>
      <c r="B1419" s="17" t="str">
        <f>HYPERLINK("https://otsuka-europe-crm.veevavault.com/ui/#object/vcountry__v/VENZ000004SONF5", "ES")</f>
        <v>ES</v>
      </c>
      <c r="C1419" s="20" t="s">
        <v>41</v>
      </c>
      <c r="D1419" s="21" t="str">
        <f>HYPERLINK("https://otsuka-europe-crm.veevavault.com/ui/#object/approved_document__v/V5O00000001H025", "LUP - VAE invitación simposio SEN-SER - Reuma")</f>
        <v>LUP - VAE invitación simposio SEN-SER - Reuma</v>
      </c>
      <c r="E1419" s="22" t="str">
        <f>HYPERLINK("https://otsuka-europe-crm.veevavault.com/ui/#object/sent_email__v/VBL00000002N498", "SE-001431479")</f>
        <v>SE-001431479</v>
      </c>
      <c r="F1419" s="23">
        <v>46175.7</v>
      </c>
      <c r="G1419" s="24">
        <v>1</v>
      </c>
      <c r="H1419" s="24">
        <v>1</v>
      </c>
      <c r="I1419" s="24">
        <v>1</v>
      </c>
      <c r="J1419" s="23">
        <v>46175.7</v>
      </c>
      <c r="K1419" s="24">
        <v>1</v>
      </c>
      <c r="L1419" s="22" t="str">
        <f>HYPERLINK("https://otsuka-europe-crm.veevavault.com/ui/#object/approved_document__v/V5O00000001H025", "LUP - VAE invitación simposio SEN-SER - Reuma")</f>
        <v>LUP - VAE invitación simposio SEN-SER - Reuma</v>
      </c>
      <c r="M1419" s="22" t="str">
        <f>HYPERLINK("mailto:ccalero@crm.otsuka-europe.com", "ccalero@crm.otsuka-europe.com")</f>
        <v>ccalero@crm.otsuka-europe.com</v>
      </c>
      <c r="N1419" s="23">
        <v>46175.473564814813</v>
      </c>
      <c r="O1419" s="14" t="str">
        <f>HYPERLINK("https://otsuka-europe-crm.veevavault.com/ui/#object/email_activity__v/V8C00000003L637", "EN-002087274")</f>
        <v>EN-002087274</v>
      </c>
    </row>
    <row r="1420" spans="1:15" ht="16" x14ac:dyDescent="0.2">
      <c r="A1420" s="18"/>
      <c r="B1420" s="18"/>
      <c r="C1420" s="18"/>
      <c r="D1420" s="18"/>
      <c r="E1420" s="18"/>
      <c r="F1420" s="18"/>
      <c r="G1420" s="18"/>
      <c r="H1420" s="18"/>
      <c r="I1420" s="18"/>
      <c r="J1420" s="18"/>
      <c r="K1420" s="18"/>
      <c r="L1420" s="18"/>
      <c r="M1420" s="18"/>
      <c r="N1420" s="18"/>
      <c r="O1420" s="14" t="str">
        <f>HYPERLINK("https://otsuka-europe-crm.veevavault.com/ui/#object/email_activity__v/V8C00000003M091", "EN-002088015")</f>
        <v>EN-002088015</v>
      </c>
    </row>
    <row r="1421" spans="1:15" ht="16" x14ac:dyDescent="0.2">
      <c r="A1421" s="18"/>
      <c r="B1421" s="18"/>
      <c r="C1421" s="18"/>
      <c r="D1421" s="18"/>
      <c r="E1421" s="18"/>
      <c r="F1421" s="18"/>
      <c r="G1421" s="18"/>
      <c r="H1421" s="18"/>
      <c r="I1421" s="18"/>
      <c r="J1421" s="18"/>
      <c r="K1421" s="18"/>
      <c r="L1421" s="18"/>
      <c r="M1421" s="18"/>
      <c r="N1421" s="18"/>
      <c r="O1421" s="14" t="str">
        <f>HYPERLINK("https://otsuka-europe-crm.veevavault.com/ui/#object/email_activity__v/V8C00000003M092", "EN-002088014")</f>
        <v>EN-002088014</v>
      </c>
    </row>
    <row r="1422" spans="1:15" ht="16" x14ac:dyDescent="0.2">
      <c r="A1422" s="19"/>
      <c r="B1422" s="19"/>
      <c r="C1422" s="19"/>
      <c r="D1422" s="19"/>
      <c r="E1422" s="19"/>
      <c r="F1422" s="19"/>
      <c r="G1422" s="19"/>
      <c r="H1422" s="19"/>
      <c r="I1422" s="19"/>
      <c r="J1422" s="19"/>
      <c r="K1422" s="19"/>
      <c r="L1422" s="19"/>
      <c r="M1422" s="19"/>
      <c r="N1422" s="19"/>
      <c r="O1422" s="14" t="str">
        <f>HYPERLINK("https://otsuka-europe-crm.veevavault.com/ui/#object/email_activity__v/V8C00000003N019", "EN-002088031")</f>
        <v>EN-002088031</v>
      </c>
    </row>
    <row r="1423" spans="1:15" ht="32" x14ac:dyDescent="0.2">
      <c r="A1423" s="7" t="str">
        <f>HYPERLINK("https://otsuka-europe-crm.veevavault.com/ui/#object/account__v/V4TZ025E86JW25T", "JUAN JOSE LERMA GARRIDO")</f>
        <v>JUAN JOSE LERMA GARRIDO</v>
      </c>
      <c r="B1423" s="7" t="str">
        <f>HYPERLINK("https://otsuka-europe-crm.veevavault.com/ui/#object/vcountry__v/VENZ000004SONF5", "ES")</f>
        <v>ES</v>
      </c>
      <c r="C1423" s="8" t="s">
        <v>41</v>
      </c>
      <c r="D1423" s="9" t="str">
        <f>HYPERLINK("https://otsuka-europe-crm.veevavault.com/ui/#object/approved_document__v/V5O00000001H025", "LUP - VAE invitación simposio SEN-SER - Reuma")</f>
        <v>LUP - VAE invitación simposio SEN-SER - Reuma</v>
      </c>
      <c r="E1423" s="10" t="str">
        <f>HYPERLINK("https://otsuka-europe-crm.veevavault.com/ui/#object/sent_email__v/VBL00000002N499", "SE-001431480")</f>
        <v>SE-001431480</v>
      </c>
      <c r="F1423" s="11"/>
      <c r="G1423" s="12">
        <v>0</v>
      </c>
      <c r="H1423" s="12">
        <v>0</v>
      </c>
      <c r="I1423" s="12">
        <v>0</v>
      </c>
      <c r="J1423" s="11"/>
      <c r="K1423" s="12">
        <v>0</v>
      </c>
      <c r="L1423" s="10" t="str">
        <f>HYPERLINK("https://otsuka-europe-crm.veevavault.com/ui/#object/approved_document__v/V5O00000001H025", "LUP - VAE invitación simposio SEN-SER - Reuma")</f>
        <v>LUP - VAE invitación simposio SEN-SER - Reuma</v>
      </c>
      <c r="M1423" s="10" t="str">
        <f>HYPERLINK("mailto:ccalero@crm.otsuka-europe.com", "ccalero@crm.otsuka-europe.com")</f>
        <v>ccalero@crm.otsuka-europe.com</v>
      </c>
      <c r="N1423" s="13">
        <v>46175.473564814813</v>
      </c>
      <c r="O1423" s="14" t="str">
        <f>HYPERLINK("https://otsuka-europe-crm.veevavault.com/ui/#object/email_activity__v/V8C00000003L640", "EN-002087277")</f>
        <v>EN-002087277</v>
      </c>
    </row>
    <row r="1424" spans="1:15" ht="16" x14ac:dyDescent="0.2">
      <c r="A1424" s="17" t="str">
        <f>HYPERLINK("https://otsuka-europe-crm.veevavault.com/ui/#object/account__v/V4TZ04ASG9U6CW4", "GREGORIO SANTOS SOLER")</f>
        <v>GREGORIO SANTOS SOLER</v>
      </c>
      <c r="B1424" s="17" t="str">
        <f>HYPERLINK("https://otsuka-europe-crm.veevavault.com/ui/#object/vcountry__v/VENZ000004SONF5", "ES")</f>
        <v>ES</v>
      </c>
      <c r="C1424" s="20" t="s">
        <v>41</v>
      </c>
      <c r="D1424" s="21" t="str">
        <f>HYPERLINK("https://otsuka-europe-crm.veevavault.com/ui/#object/approved_document__v/V5O00000001H025", "LUP - VAE invitación simposio SEN-SER - Reuma")</f>
        <v>LUP - VAE invitación simposio SEN-SER - Reuma</v>
      </c>
      <c r="E1424" s="22" t="str">
        <f>HYPERLINK("https://otsuka-europe-crm.veevavault.com/ui/#object/sent_email__v/VBL00000002N500", "SE-001431481")</f>
        <v>SE-001431481</v>
      </c>
      <c r="F1424" s="25"/>
      <c r="G1424" s="24">
        <v>0</v>
      </c>
      <c r="H1424" s="24">
        <v>0</v>
      </c>
      <c r="I1424" s="24">
        <v>0</v>
      </c>
      <c r="J1424" s="25"/>
      <c r="K1424" s="24">
        <v>0</v>
      </c>
      <c r="L1424" s="22" t="str">
        <f>HYPERLINK("https://otsuka-europe-crm.veevavault.com/ui/#object/approved_document__v/V5O00000001H025", "LUP - VAE invitación simposio SEN-SER - Reuma")</f>
        <v>LUP - VAE invitación simposio SEN-SER - Reuma</v>
      </c>
      <c r="M1424" s="22" t="str">
        <f>HYPERLINK("mailto:ccalero@crm.otsuka-europe.com", "ccalero@crm.otsuka-europe.com")</f>
        <v>ccalero@crm.otsuka-europe.com</v>
      </c>
      <c r="N1424" s="23">
        <v>46175.473576388889</v>
      </c>
      <c r="O1424" s="14" t="str">
        <f>HYPERLINK("https://otsuka-europe-crm.veevavault.com/ui/#object/email_activity__v/V8C00000003L628", "EN-002087264")</f>
        <v>EN-002087264</v>
      </c>
    </row>
    <row r="1425" spans="1:15" ht="16" x14ac:dyDescent="0.2">
      <c r="A1425" s="19"/>
      <c r="B1425" s="19"/>
      <c r="C1425" s="19"/>
      <c r="D1425" s="19"/>
      <c r="E1425" s="19"/>
      <c r="F1425" s="19"/>
      <c r="G1425" s="19"/>
      <c r="H1425" s="19"/>
      <c r="I1425" s="19"/>
      <c r="J1425" s="19"/>
      <c r="K1425" s="19"/>
      <c r="L1425" s="19"/>
      <c r="M1425" s="19"/>
      <c r="N1425" s="19"/>
      <c r="O1425" s="14" t="str">
        <f>HYPERLINK("https://otsuka-europe-crm.veevavault.com/ui/#object/email_activity__v/V8C00000003Z264", "EN-002099118")</f>
        <v>EN-002099118</v>
      </c>
    </row>
    <row r="1426" spans="1:15" ht="32" x14ac:dyDescent="0.2">
      <c r="A1426" s="7" t="str">
        <f>HYPERLINK("https://otsuka-europe-crm.veevavault.com/ui/#object/account__v/V4TZ04ASG9U6CW5", "JOSE MIGUEL SENABRE GALLEGO")</f>
        <v>JOSE MIGUEL SENABRE GALLEGO</v>
      </c>
      <c r="B1426" s="7" t="str">
        <f>HYPERLINK("https://otsuka-europe-crm.veevavault.com/ui/#object/vcountry__v/VENZ000004SONF5", "ES")</f>
        <v>ES</v>
      </c>
      <c r="C1426" s="8" t="s">
        <v>41</v>
      </c>
      <c r="D1426" s="9" t="str">
        <f>HYPERLINK("https://otsuka-europe-crm.veevavault.com/ui/#object/approved_document__v/V5O00000001H025", "LUP - VAE invitación simposio SEN-SER - Reuma")</f>
        <v>LUP - VAE invitación simposio SEN-SER - Reuma</v>
      </c>
      <c r="E1426" s="10" t="str">
        <f>HYPERLINK("https://otsuka-europe-crm.veevavault.com/ui/#object/sent_email__v/VBL00000002N501", "SE-001431482")</f>
        <v>SE-001431482</v>
      </c>
      <c r="F1426" s="11"/>
      <c r="G1426" s="12">
        <v>0</v>
      </c>
      <c r="H1426" s="12">
        <v>0</v>
      </c>
      <c r="I1426" s="12">
        <v>0</v>
      </c>
      <c r="J1426" s="11"/>
      <c r="K1426" s="12">
        <v>0</v>
      </c>
      <c r="L1426" s="10" t="str">
        <f>HYPERLINK("https://otsuka-europe-crm.veevavault.com/ui/#object/approved_document__v/V5O00000001H025", "LUP - VAE invitación simposio SEN-SER - Reuma")</f>
        <v>LUP - VAE invitación simposio SEN-SER - Reuma</v>
      </c>
      <c r="M1426" s="10" t="str">
        <f>HYPERLINK("mailto:ccalero@crm.otsuka-europe.com", "ccalero@crm.otsuka-europe.com")</f>
        <v>ccalero@crm.otsuka-europe.com</v>
      </c>
      <c r="N1426" s="13">
        <v>46175.473576388889</v>
      </c>
      <c r="O1426" s="14" t="str">
        <f>HYPERLINK("https://otsuka-europe-crm.veevavault.com/ui/#object/email_activity__v/V8C00000003L618", "EN-002087245")</f>
        <v>EN-002087245</v>
      </c>
    </row>
    <row r="1427" spans="1:15" ht="32" x14ac:dyDescent="0.2">
      <c r="A1427" s="7" t="str">
        <f>HYPERLINK("https://otsuka-europe-crm.veevavault.com/ui/#object/account__v/V4TZ04ASGB983FK", "MARIANO NICOLAS ANDRES COLLADO")</f>
        <v>MARIANO NICOLAS ANDRES COLLADO</v>
      </c>
      <c r="B1427" s="7" t="str">
        <f>HYPERLINK("https://otsuka-europe-crm.veevavault.com/ui/#object/vcountry__v/VENZ000004SONF5", "ES")</f>
        <v>ES</v>
      </c>
      <c r="C1427" s="8" t="s">
        <v>41</v>
      </c>
      <c r="D1427" s="9" t="str">
        <f>HYPERLINK("https://otsuka-europe-crm.veevavault.com/ui/#object/approved_document__v/V5O00000001H025", "LUP - VAE invitación simposio SEN-SER - Reuma")</f>
        <v>LUP - VAE invitación simposio SEN-SER - Reuma</v>
      </c>
      <c r="E1427" s="10" t="str">
        <f>HYPERLINK("https://otsuka-europe-crm.veevavault.com/ui/#object/sent_email__v/VBL00000002N502", "SE-001431483")</f>
        <v>SE-001431483</v>
      </c>
      <c r="F1427" s="11"/>
      <c r="G1427" s="12">
        <v>0</v>
      </c>
      <c r="H1427" s="12">
        <v>0</v>
      </c>
      <c r="I1427" s="12">
        <v>0</v>
      </c>
      <c r="J1427" s="11"/>
      <c r="K1427" s="12">
        <v>0</v>
      </c>
      <c r="L1427" s="10" t="str">
        <f>HYPERLINK("https://otsuka-europe-crm.veevavault.com/ui/#object/approved_document__v/V5O00000001H025", "LUP - VAE invitación simposio SEN-SER - Reuma")</f>
        <v>LUP - VAE invitación simposio SEN-SER - Reuma</v>
      </c>
      <c r="M1427" s="10" t="str">
        <f>HYPERLINK("mailto:ccalero@crm.otsuka-europe.com", "ccalero@crm.otsuka-europe.com")</f>
        <v>ccalero@crm.otsuka-europe.com</v>
      </c>
      <c r="N1427" s="13">
        <v>46175.473576388889</v>
      </c>
      <c r="O1427" s="14" t="str">
        <f>HYPERLINK("https://otsuka-europe-crm.veevavault.com/ui/#object/email_activity__v/V8C00000003L634", "EN-002087271")</f>
        <v>EN-002087271</v>
      </c>
    </row>
    <row r="1428" spans="1:15" ht="16" x14ac:dyDescent="0.2">
      <c r="A1428" s="17" t="str">
        <f>HYPERLINK("https://otsuka-europe-crm.veevavault.com/ui/#object/account__v/V4TZ025E87UJCY2", "CELIA NAVARRO MARIN")</f>
        <v>CELIA NAVARRO MARIN</v>
      </c>
      <c r="B1428" s="17" t="str">
        <f>HYPERLINK("https://otsuka-europe-crm.veevavault.com/ui/#object/vcountry__v/VENZ000004SONF5", "ES")</f>
        <v>ES</v>
      </c>
      <c r="C1428" s="20" t="s">
        <v>41</v>
      </c>
      <c r="D1428" s="21" t="str">
        <f>HYPERLINK("https://otsuka-europe-crm.veevavault.com/ui/#object/approved_document__v/V5O00000001H025", "LUP - VAE invitación simposio SEN-SER - Reuma")</f>
        <v>LUP - VAE invitación simposio SEN-SER - Reuma</v>
      </c>
      <c r="E1428" s="22" t="str">
        <f>HYPERLINK("https://otsuka-europe-crm.veevavault.com/ui/#object/sent_email__v/VBL00000002N503", "SE-001431484")</f>
        <v>SE-001431484</v>
      </c>
      <c r="F1428" s="25"/>
      <c r="G1428" s="24">
        <v>0</v>
      </c>
      <c r="H1428" s="24">
        <v>0</v>
      </c>
      <c r="I1428" s="24">
        <v>0</v>
      </c>
      <c r="J1428" s="25"/>
      <c r="K1428" s="24">
        <v>0</v>
      </c>
      <c r="L1428" s="22" t="str">
        <f>HYPERLINK("https://otsuka-europe-crm.veevavault.com/ui/#object/approved_document__v/V5O00000001H025", "LUP - VAE invitación simposio SEN-SER - Reuma")</f>
        <v>LUP - VAE invitación simposio SEN-SER - Reuma</v>
      </c>
      <c r="M1428" s="22" t="str">
        <f>HYPERLINK("mailto:ccalero@crm.otsuka-europe.com", "ccalero@crm.otsuka-europe.com")</f>
        <v>ccalero@crm.otsuka-europe.com</v>
      </c>
      <c r="N1428" s="23">
        <v>46175.473564814813</v>
      </c>
      <c r="O1428" s="14" t="str">
        <f>HYPERLINK("https://otsuka-europe-crm.veevavault.com/ui/#object/email_activity__v/V8C00000003K713", "EN-002087241")</f>
        <v>EN-002087241</v>
      </c>
    </row>
    <row r="1429" spans="1:15" ht="16" x14ac:dyDescent="0.2">
      <c r="A1429" s="19"/>
      <c r="B1429" s="19"/>
      <c r="C1429" s="19"/>
      <c r="D1429" s="19"/>
      <c r="E1429" s="19"/>
      <c r="F1429" s="19"/>
      <c r="G1429" s="19"/>
      <c r="H1429" s="19"/>
      <c r="I1429" s="19"/>
      <c r="J1429" s="19"/>
      <c r="K1429" s="19"/>
      <c r="L1429" s="19"/>
      <c r="M1429" s="19"/>
      <c r="N1429" s="19"/>
      <c r="O1429" s="14" t="str">
        <f>HYPERLINK("https://otsuka-europe-crm.veevavault.com/ui/#object/email_activity__v/V8C00000003M020", "EN-002087873")</f>
        <v>EN-002087873</v>
      </c>
    </row>
    <row r="1430" spans="1:15" ht="32" x14ac:dyDescent="0.2">
      <c r="A1430" s="7" t="str">
        <f>HYPERLINK("https://otsuka-europe-crm.veevavault.com/ui/#object/account__v/V4TZ04ASGAZO3EB", "GASPAR PANADERO TENDERO")</f>
        <v>GASPAR PANADERO TENDERO</v>
      </c>
      <c r="B1430" s="7" t="str">
        <f>HYPERLINK("https://otsuka-europe-crm.veevavault.com/ui/#object/vcountry__v/VENZ000004SONF5", "ES")</f>
        <v>ES</v>
      </c>
      <c r="C1430" s="8" t="s">
        <v>41</v>
      </c>
      <c r="D1430" s="9" t="str">
        <f>HYPERLINK("https://otsuka-europe-crm.veevavault.com/ui/#object/approved_document__v/V5O00000001H025", "LUP - VAE invitación simposio SEN-SER - Reuma")</f>
        <v>LUP - VAE invitación simposio SEN-SER - Reuma</v>
      </c>
      <c r="E1430" s="10" t="str">
        <f>HYPERLINK("https://otsuka-europe-crm.veevavault.com/ui/#object/sent_email__v/VBL00000002N504", "SE-001431485")</f>
        <v>SE-001431485</v>
      </c>
      <c r="F1430" s="11"/>
      <c r="G1430" s="12">
        <v>0</v>
      </c>
      <c r="H1430" s="12">
        <v>0</v>
      </c>
      <c r="I1430" s="12">
        <v>0</v>
      </c>
      <c r="J1430" s="11"/>
      <c r="K1430" s="12">
        <v>0</v>
      </c>
      <c r="L1430" s="10" t="str">
        <f>HYPERLINK("https://otsuka-europe-crm.veevavault.com/ui/#object/approved_document__v/V5O00000001H025", "LUP - VAE invitación simposio SEN-SER - Reuma")</f>
        <v>LUP - VAE invitación simposio SEN-SER - Reuma</v>
      </c>
      <c r="M1430" s="10" t="str">
        <f>HYPERLINK("mailto:ccalero@crm.otsuka-europe.com", "ccalero@crm.otsuka-europe.com")</f>
        <v>ccalero@crm.otsuka-europe.com</v>
      </c>
      <c r="N1430" s="13">
        <v>46175.473564814813</v>
      </c>
      <c r="O1430" s="14" t="str">
        <f>HYPERLINK("https://otsuka-europe-crm.veevavault.com/ui/#object/email_activity__v/V8C00000003L631", "EN-002087267")</f>
        <v>EN-002087267</v>
      </c>
    </row>
    <row r="1431" spans="1:15" ht="16" x14ac:dyDescent="0.2">
      <c r="A1431" s="17" t="str">
        <f>HYPERLINK("https://otsuka-europe-crm.veevavault.com/ui/#object/account__v/V4TZ025E87ND36R", "LAURA ESPERANZA RANIERI CHACOPINO")</f>
        <v>LAURA ESPERANZA RANIERI CHACOPINO</v>
      </c>
      <c r="B1431" s="17" t="str">
        <f>HYPERLINK("https://otsuka-europe-crm.veevavault.com/ui/#object/vcountry__v/VENZ000004SONF5", "ES")</f>
        <v>ES</v>
      </c>
      <c r="C1431" s="20" t="s">
        <v>41</v>
      </c>
      <c r="D1431" s="21" t="str">
        <f>HYPERLINK("https://otsuka-europe-crm.veevavault.com/ui/#object/approved_document__v/V5O00000001H025", "LUP - VAE invitación simposio SEN-SER - Reuma")</f>
        <v>LUP - VAE invitación simposio SEN-SER - Reuma</v>
      </c>
      <c r="E1431" s="22" t="str">
        <f>HYPERLINK("https://otsuka-europe-crm.veevavault.com/ui/#object/sent_email__v/VBL00000002N505", "SE-001431486")</f>
        <v>SE-001431486</v>
      </c>
      <c r="F1431" s="23">
        <v>46175.473668981482</v>
      </c>
      <c r="G1431" s="24">
        <v>1</v>
      </c>
      <c r="H1431" s="24">
        <v>1</v>
      </c>
      <c r="I1431" s="24">
        <v>0</v>
      </c>
      <c r="J1431" s="25"/>
      <c r="K1431" s="24">
        <v>0</v>
      </c>
      <c r="L1431" s="22" t="str">
        <f>HYPERLINK("https://otsuka-europe-crm.veevavault.com/ui/#object/approved_document__v/V5O00000001H025", "LUP - VAE invitación simposio SEN-SER - Reuma")</f>
        <v>LUP - VAE invitación simposio SEN-SER - Reuma</v>
      </c>
      <c r="M1431" s="22" t="str">
        <f>HYPERLINK("mailto:ccalero@crm.otsuka-europe.com", "ccalero@crm.otsuka-europe.com")</f>
        <v>ccalero@crm.otsuka-europe.com</v>
      </c>
      <c r="N1431" s="23">
        <v>46175.473576388889</v>
      </c>
      <c r="O1431" s="14" t="str">
        <f>HYPERLINK("https://otsuka-europe-crm.veevavault.com/ui/#object/email_activity__v/V8C00000003L627", "EN-002087263")</f>
        <v>EN-002087263</v>
      </c>
    </row>
    <row r="1432" spans="1:15" ht="16" x14ac:dyDescent="0.2">
      <c r="A1432" s="19"/>
      <c r="B1432" s="19"/>
      <c r="C1432" s="19"/>
      <c r="D1432" s="19"/>
      <c r="E1432" s="19"/>
      <c r="F1432" s="19"/>
      <c r="G1432" s="19"/>
      <c r="H1432" s="19"/>
      <c r="I1432" s="19"/>
      <c r="J1432" s="19"/>
      <c r="K1432" s="19"/>
      <c r="L1432" s="19"/>
      <c r="M1432" s="19"/>
      <c r="N1432" s="19"/>
      <c r="O1432" s="14" t="str">
        <f>HYPERLINK("https://otsuka-europe-crm.veevavault.com/ui/#object/email_activity__v/V8C00000003L632", "EN-002087268")</f>
        <v>EN-002087268</v>
      </c>
    </row>
    <row r="1433" spans="1:15" ht="16" x14ac:dyDescent="0.2">
      <c r="A1433" s="17" t="str">
        <f>HYPERLINK("https://otsuka-europe-crm.veevavault.com/ui/#object/account__v/V4TZ04ASGAVB5RF", "ANGEL GARCIA MANZANARES")</f>
        <v>ANGEL GARCIA MANZANARES</v>
      </c>
      <c r="B1433" s="17" t="str">
        <f>HYPERLINK("https://otsuka-europe-crm.veevavault.com/ui/#object/vcountry__v/VENZ000004SONF5", "ES")</f>
        <v>ES</v>
      </c>
      <c r="C1433" s="20" t="s">
        <v>41</v>
      </c>
      <c r="D1433" s="21" t="str">
        <f>HYPERLINK("https://otsuka-europe-crm.veevavault.com/ui/#object/approved_document__v/V5O00000001H025", "LUP - VAE invitación simposio SEN-SER - Reuma")</f>
        <v>LUP - VAE invitación simposio SEN-SER - Reuma</v>
      </c>
      <c r="E1433" s="22" t="str">
        <f>HYPERLINK("https://otsuka-europe-crm.veevavault.com/ui/#object/sent_email__v/VBL00000002N506", "SE-001431487")</f>
        <v>SE-001431487</v>
      </c>
      <c r="F1433" s="23">
        <v>46175.601319444446</v>
      </c>
      <c r="G1433" s="24">
        <v>1</v>
      </c>
      <c r="H1433" s="24">
        <v>4</v>
      </c>
      <c r="I1433" s="24">
        <v>0</v>
      </c>
      <c r="J1433" s="25"/>
      <c r="K1433" s="24">
        <v>0</v>
      </c>
      <c r="L1433" s="22" t="str">
        <f>HYPERLINK("https://otsuka-europe-crm.veevavault.com/ui/#object/approved_document__v/V5O00000001H025", "LUP - VAE invitación simposio SEN-SER - Reuma")</f>
        <v>LUP - VAE invitación simposio SEN-SER - Reuma</v>
      </c>
      <c r="M1433" s="22" t="str">
        <f>HYPERLINK("mailto:ccalero@crm.otsuka-europe.com", "ccalero@crm.otsuka-europe.com")</f>
        <v>ccalero@crm.otsuka-europe.com</v>
      </c>
      <c r="N1433" s="23">
        <v>46175.473576388889</v>
      </c>
      <c r="O1433" s="14" t="str">
        <f>HYPERLINK("https://otsuka-europe-crm.veevavault.com/ui/#object/email_activity__v/V8C00000003K815", "EN-002087478")</f>
        <v>EN-002087478</v>
      </c>
    </row>
    <row r="1434" spans="1:15" ht="16" x14ac:dyDescent="0.2">
      <c r="A1434" s="18"/>
      <c r="B1434" s="18"/>
      <c r="C1434" s="18"/>
      <c r="D1434" s="18"/>
      <c r="E1434" s="18"/>
      <c r="F1434" s="18"/>
      <c r="G1434" s="18"/>
      <c r="H1434" s="18"/>
      <c r="I1434" s="18"/>
      <c r="J1434" s="18"/>
      <c r="K1434" s="18"/>
      <c r="L1434" s="18"/>
      <c r="M1434" s="18"/>
      <c r="N1434" s="18"/>
      <c r="O1434" s="14" t="str">
        <f>HYPERLINK("https://otsuka-europe-crm.veevavault.com/ui/#object/email_activity__v/V8C00000003L613", "EN-002087227")</f>
        <v>EN-002087227</v>
      </c>
    </row>
    <row r="1435" spans="1:15" ht="16" x14ac:dyDescent="0.2">
      <c r="A1435" s="18"/>
      <c r="B1435" s="18"/>
      <c r="C1435" s="18"/>
      <c r="D1435" s="18"/>
      <c r="E1435" s="18"/>
      <c r="F1435" s="18"/>
      <c r="G1435" s="18"/>
      <c r="H1435" s="18"/>
      <c r="I1435" s="18"/>
      <c r="J1435" s="18"/>
      <c r="K1435" s="18"/>
      <c r="L1435" s="18"/>
      <c r="M1435" s="18"/>
      <c r="N1435" s="18"/>
      <c r="O1435" s="14" t="str">
        <f>HYPERLINK("https://otsuka-europe-crm.veevavault.com/ui/#object/email_activity__v/V8C00000003M010", "EN-002087852")</f>
        <v>EN-002087852</v>
      </c>
    </row>
    <row r="1436" spans="1:15" ht="16" x14ac:dyDescent="0.2">
      <c r="A1436" s="18"/>
      <c r="B1436" s="18"/>
      <c r="C1436" s="18"/>
      <c r="D1436" s="18"/>
      <c r="E1436" s="18"/>
      <c r="F1436" s="18"/>
      <c r="G1436" s="18"/>
      <c r="H1436" s="18"/>
      <c r="I1436" s="18"/>
      <c r="J1436" s="18"/>
      <c r="K1436" s="18"/>
      <c r="L1436" s="18"/>
      <c r="M1436" s="18"/>
      <c r="N1436" s="18"/>
      <c r="O1436" s="14" t="str">
        <f>HYPERLINK("https://otsuka-europe-crm.veevavault.com/ui/#object/email_activity__v/V8C00000003M012", "EN-002087854")</f>
        <v>EN-002087854</v>
      </c>
    </row>
    <row r="1437" spans="1:15" ht="16" x14ac:dyDescent="0.2">
      <c r="A1437" s="19"/>
      <c r="B1437" s="19"/>
      <c r="C1437" s="19"/>
      <c r="D1437" s="19"/>
      <c r="E1437" s="19"/>
      <c r="F1437" s="19"/>
      <c r="G1437" s="19"/>
      <c r="H1437" s="19"/>
      <c r="I1437" s="19"/>
      <c r="J1437" s="19"/>
      <c r="K1437" s="19"/>
      <c r="L1437" s="19"/>
      <c r="M1437" s="19"/>
      <c r="N1437" s="19"/>
      <c r="O1437" s="14" t="str">
        <f>HYPERLINK("https://otsuka-europe-crm.veevavault.com/ui/#object/email_activity__v/V8C00000003M013", "EN-002087855")</f>
        <v>EN-002087855</v>
      </c>
    </row>
    <row r="1438" spans="1:15" ht="16" x14ac:dyDescent="0.2">
      <c r="A1438" s="17" t="str">
        <f>HYPERLINK("https://otsuka-europe-crm.veevavault.com/ui/#object/account__v/V4T000000018040", "JOSE MARIA DOMENECH SERRANO")</f>
        <v>JOSE MARIA DOMENECH SERRANO</v>
      </c>
      <c r="B1438" s="17" t="str">
        <f>HYPERLINK("https://otsuka-europe-crm.veevavault.com/ui/#object/vcountry__v/VENZ000004SONF5", "ES")</f>
        <v>ES</v>
      </c>
      <c r="C1438" s="20" t="s">
        <v>41</v>
      </c>
      <c r="D1438" s="21" t="str">
        <f>HYPERLINK("https://otsuka-europe-crm.veevavault.com/ui/#object/approved_document__v/V5O00000001H025", "LUP - VAE invitación simposio SEN-SER - Reuma")</f>
        <v>LUP - VAE invitación simposio SEN-SER - Reuma</v>
      </c>
      <c r="E1438" s="22" t="str">
        <f>HYPERLINK("https://otsuka-europe-crm.veevavault.com/ui/#object/sent_email__v/VBL00000002N507", "SE-001431488")</f>
        <v>SE-001431488</v>
      </c>
      <c r="F1438" s="25"/>
      <c r="G1438" s="24">
        <v>0</v>
      </c>
      <c r="H1438" s="24">
        <v>0</v>
      </c>
      <c r="I1438" s="24">
        <v>0</v>
      </c>
      <c r="J1438" s="25"/>
      <c r="K1438" s="24">
        <v>0</v>
      </c>
      <c r="L1438" s="22" t="str">
        <f>HYPERLINK("https://otsuka-europe-crm.veevavault.com/ui/#object/approved_document__v/V5O00000001H025", "LUP - VAE invitación simposio SEN-SER - Reuma")</f>
        <v>LUP - VAE invitación simposio SEN-SER - Reuma</v>
      </c>
      <c r="M1438" s="22" t="str">
        <f>HYPERLINK("mailto:ccalero@crm.otsuka-europe.com", "ccalero@crm.otsuka-europe.com")</f>
        <v>ccalero@crm.otsuka-europe.com</v>
      </c>
      <c r="N1438" s="23">
        <v>46175.473576388889</v>
      </c>
      <c r="O1438" s="14" t="str">
        <f>HYPERLINK("https://otsuka-europe-crm.veevavault.com/ui/#object/email_activity__v/V8C00000003L629", "EN-002087265")</f>
        <v>EN-002087265</v>
      </c>
    </row>
    <row r="1439" spans="1:15" ht="16" x14ac:dyDescent="0.2">
      <c r="A1439" s="19"/>
      <c r="B1439" s="19"/>
      <c r="C1439" s="19"/>
      <c r="D1439" s="19"/>
      <c r="E1439" s="19"/>
      <c r="F1439" s="19"/>
      <c r="G1439" s="19"/>
      <c r="H1439" s="19"/>
      <c r="I1439" s="19"/>
      <c r="J1439" s="19"/>
      <c r="K1439" s="19"/>
      <c r="L1439" s="19"/>
      <c r="M1439" s="19"/>
      <c r="N1439" s="19"/>
      <c r="O1439" s="14" t="str">
        <f>HYPERLINK("https://otsuka-europe-crm.veevavault.com/ui/#object/email_activity__v/V8C00000003O011", "EN-002089254")</f>
        <v>EN-002089254</v>
      </c>
    </row>
    <row r="1440" spans="1:15" ht="16" x14ac:dyDescent="0.2">
      <c r="A1440" s="17" t="str">
        <f>HYPERLINK("https://otsuka-europe-crm.veevavault.com/ui/#object/account__v/V4T00000001O048", "MARIA FRANCISCA PINA PEREZ")</f>
        <v>MARIA FRANCISCA PINA PEREZ</v>
      </c>
      <c r="B1440" s="17" t="str">
        <f>HYPERLINK("https://otsuka-europe-crm.veevavault.com/ui/#object/vcountry__v/VENZ000004SONF5", "ES")</f>
        <v>ES</v>
      </c>
      <c r="C1440" s="20" t="s">
        <v>41</v>
      </c>
      <c r="D1440" s="21" t="str">
        <f>HYPERLINK("https://otsuka-europe-crm.veevavault.com/ui/#object/approved_document__v/V5O00000001H025", "LUP - VAE invitación simposio SEN-SER - Reuma")</f>
        <v>LUP - VAE invitación simposio SEN-SER - Reuma</v>
      </c>
      <c r="E1440" s="22" t="str">
        <f>HYPERLINK("https://otsuka-europe-crm.veevavault.com/ui/#object/sent_email__v/VBL00000002N508", "SE-001431489")</f>
        <v>SE-001431489</v>
      </c>
      <c r="F1440" s="23">
        <v>46176.648726851854</v>
      </c>
      <c r="G1440" s="24">
        <v>1</v>
      </c>
      <c r="H1440" s="24">
        <v>6</v>
      </c>
      <c r="I1440" s="24">
        <v>0</v>
      </c>
      <c r="J1440" s="25"/>
      <c r="K1440" s="24">
        <v>0</v>
      </c>
      <c r="L1440" s="22" t="str">
        <f>HYPERLINK("https://otsuka-europe-crm.veevavault.com/ui/#object/approved_document__v/V5O00000001H025", "LUP - VAE invitación simposio SEN-SER - Reuma")</f>
        <v>LUP - VAE invitación simposio SEN-SER - Reuma</v>
      </c>
      <c r="M1440" s="22" t="str">
        <f>HYPERLINK("mailto:ccalero@crm.otsuka-europe.com", "ccalero@crm.otsuka-europe.com")</f>
        <v>ccalero@crm.otsuka-europe.com</v>
      </c>
      <c r="N1440" s="23">
        <v>46175.473576388889</v>
      </c>
      <c r="O1440" s="14" t="str">
        <f>HYPERLINK("https://otsuka-europe-crm.veevavault.com/ui/#object/email_activity__v/V8C00000003K711", "EN-002087239")</f>
        <v>EN-002087239</v>
      </c>
    </row>
    <row r="1441" spans="1:15" ht="16" x14ac:dyDescent="0.2">
      <c r="A1441" s="18"/>
      <c r="B1441" s="18"/>
      <c r="C1441" s="18"/>
      <c r="D1441" s="18"/>
      <c r="E1441" s="18"/>
      <c r="F1441" s="18"/>
      <c r="G1441" s="18"/>
      <c r="H1441" s="18"/>
      <c r="I1441" s="18"/>
      <c r="J1441" s="18"/>
      <c r="K1441" s="18"/>
      <c r="L1441" s="18"/>
      <c r="M1441" s="18"/>
      <c r="N1441" s="18"/>
      <c r="O1441" s="14" t="str">
        <f>HYPERLINK("https://otsuka-europe-crm.veevavault.com/ui/#object/email_activity__v/V8C00000003M373", "EN-002088752")</f>
        <v>EN-002088752</v>
      </c>
    </row>
    <row r="1442" spans="1:15" ht="16" x14ac:dyDescent="0.2">
      <c r="A1442" s="18"/>
      <c r="B1442" s="18"/>
      <c r="C1442" s="18"/>
      <c r="D1442" s="18"/>
      <c r="E1442" s="18"/>
      <c r="F1442" s="18"/>
      <c r="G1442" s="18"/>
      <c r="H1442" s="18"/>
      <c r="I1442" s="18"/>
      <c r="J1442" s="18"/>
      <c r="K1442" s="18"/>
      <c r="L1442" s="18"/>
      <c r="M1442" s="18"/>
      <c r="N1442" s="18"/>
      <c r="O1442" s="14" t="str">
        <f>HYPERLINK("https://otsuka-europe-crm.veevavault.com/ui/#object/email_activity__v/V8C00000003N475", "EN-002088753")</f>
        <v>EN-002088753</v>
      </c>
    </row>
    <row r="1443" spans="1:15" ht="16" x14ac:dyDescent="0.2">
      <c r="A1443" s="18"/>
      <c r="B1443" s="18"/>
      <c r="C1443" s="18"/>
      <c r="D1443" s="18"/>
      <c r="E1443" s="18"/>
      <c r="F1443" s="18"/>
      <c r="G1443" s="18"/>
      <c r="H1443" s="18"/>
      <c r="I1443" s="18"/>
      <c r="J1443" s="18"/>
      <c r="K1443" s="18"/>
      <c r="L1443" s="18"/>
      <c r="M1443" s="18"/>
      <c r="N1443" s="18"/>
      <c r="O1443" s="14" t="str">
        <f>HYPERLINK("https://otsuka-europe-crm.veevavault.com/ui/#object/email_activity__v/V8C00000003N476", "EN-002088754")</f>
        <v>EN-002088754</v>
      </c>
    </row>
    <row r="1444" spans="1:15" ht="16" x14ac:dyDescent="0.2">
      <c r="A1444" s="18"/>
      <c r="B1444" s="18"/>
      <c r="C1444" s="18"/>
      <c r="D1444" s="18"/>
      <c r="E1444" s="18"/>
      <c r="F1444" s="18"/>
      <c r="G1444" s="18"/>
      <c r="H1444" s="18"/>
      <c r="I1444" s="18"/>
      <c r="J1444" s="18"/>
      <c r="K1444" s="18"/>
      <c r="L1444" s="18"/>
      <c r="M1444" s="18"/>
      <c r="N1444" s="18"/>
      <c r="O1444" s="14" t="str">
        <f>HYPERLINK("https://otsuka-europe-crm.veevavault.com/ui/#object/email_activity__v/V8C00000003N477", "EN-002088755")</f>
        <v>EN-002088755</v>
      </c>
    </row>
    <row r="1445" spans="1:15" ht="16" x14ac:dyDescent="0.2">
      <c r="A1445" s="18"/>
      <c r="B1445" s="18"/>
      <c r="C1445" s="18"/>
      <c r="D1445" s="18"/>
      <c r="E1445" s="18"/>
      <c r="F1445" s="18"/>
      <c r="G1445" s="18"/>
      <c r="H1445" s="18"/>
      <c r="I1445" s="18"/>
      <c r="J1445" s="18"/>
      <c r="K1445" s="18"/>
      <c r="L1445" s="18"/>
      <c r="M1445" s="18"/>
      <c r="N1445" s="18"/>
      <c r="O1445" s="14" t="str">
        <f>HYPERLINK("https://otsuka-europe-crm.veevavault.com/ui/#object/email_activity__v/V8C00000003N478", "EN-002088756")</f>
        <v>EN-002088756</v>
      </c>
    </row>
    <row r="1446" spans="1:15" ht="16" x14ac:dyDescent="0.2">
      <c r="A1446" s="19"/>
      <c r="B1446" s="19"/>
      <c r="C1446" s="19"/>
      <c r="D1446" s="19"/>
      <c r="E1446" s="19"/>
      <c r="F1446" s="19"/>
      <c r="G1446" s="19"/>
      <c r="H1446" s="19"/>
      <c r="I1446" s="19"/>
      <c r="J1446" s="19"/>
      <c r="K1446" s="19"/>
      <c r="L1446" s="19"/>
      <c r="M1446" s="19"/>
      <c r="N1446" s="19"/>
      <c r="O1446" s="14" t="str">
        <f>HYPERLINK("https://otsuka-europe-crm.veevavault.com/ui/#object/email_activity__v/V8C00000003N481", "EN-002088759")</f>
        <v>EN-002088759</v>
      </c>
    </row>
    <row r="1447" spans="1:15" ht="16" x14ac:dyDescent="0.2">
      <c r="A1447" s="17" t="str">
        <f>HYPERLINK("https://otsuka-europe-crm.veevavault.com/ui/#object/account__v/V4TZ04ASGAV05BC", "CARLOS MARRAS FERNANDEZ-CID")</f>
        <v>CARLOS MARRAS FERNANDEZ-CID</v>
      </c>
      <c r="B1447" s="17" t="str">
        <f>HYPERLINK("https://otsuka-europe-crm.veevavault.com/ui/#object/vcountry__v/VENZ000004SONF5", "ES")</f>
        <v>ES</v>
      </c>
      <c r="C1447" s="20" t="s">
        <v>41</v>
      </c>
      <c r="D1447" s="21" t="str">
        <f>HYPERLINK("https://otsuka-europe-crm.veevavault.com/ui/#object/approved_document__v/V5O00000001H025", "LUP - VAE invitación simposio SEN-SER - Reuma")</f>
        <v>LUP - VAE invitación simposio SEN-SER - Reuma</v>
      </c>
      <c r="E1447" s="22" t="str">
        <f>HYPERLINK("https://otsuka-europe-crm.veevavault.com/ui/#object/sent_email__v/VBL00000002N509", "SE-001431490")</f>
        <v>SE-001431490</v>
      </c>
      <c r="F1447" s="23">
        <v>46185.846076388887</v>
      </c>
      <c r="G1447" s="24">
        <v>1</v>
      </c>
      <c r="H1447" s="24">
        <v>2</v>
      </c>
      <c r="I1447" s="24">
        <v>0</v>
      </c>
      <c r="J1447" s="25"/>
      <c r="K1447" s="24">
        <v>0</v>
      </c>
      <c r="L1447" s="22" t="str">
        <f>HYPERLINK("https://otsuka-europe-crm.veevavault.com/ui/#object/approved_document__v/V5O00000001H025", "LUP - VAE invitación simposio SEN-SER - Reuma")</f>
        <v>LUP - VAE invitación simposio SEN-SER - Reuma</v>
      </c>
      <c r="M1447" s="22" t="str">
        <f>HYPERLINK("mailto:ccalero@crm.otsuka-europe.com", "ccalero@crm.otsuka-europe.com")</f>
        <v>ccalero@crm.otsuka-europe.com</v>
      </c>
      <c r="N1447" s="23">
        <v>46175.473576388889</v>
      </c>
      <c r="O1447" s="14" t="str">
        <f>HYPERLINK("https://otsuka-europe-crm.veevavault.com/ui/#object/email_activity__v/V8C00000003L630", "EN-002087266")</f>
        <v>EN-002087266</v>
      </c>
    </row>
    <row r="1448" spans="1:15" ht="16" x14ac:dyDescent="0.2">
      <c r="A1448" s="18"/>
      <c r="B1448" s="18"/>
      <c r="C1448" s="18"/>
      <c r="D1448" s="18"/>
      <c r="E1448" s="18"/>
      <c r="F1448" s="18"/>
      <c r="G1448" s="18"/>
      <c r="H1448" s="18"/>
      <c r="I1448" s="18"/>
      <c r="J1448" s="18"/>
      <c r="K1448" s="18"/>
      <c r="L1448" s="18"/>
      <c r="M1448" s="18"/>
      <c r="N1448" s="18"/>
      <c r="O1448" s="14" t="str">
        <f>HYPERLINK("https://otsuka-europe-crm.veevavault.com/ui/#object/email_activity__v/V8C00000003U362", "EN-002095580")</f>
        <v>EN-002095580</v>
      </c>
    </row>
    <row r="1449" spans="1:15" ht="16" x14ac:dyDescent="0.2">
      <c r="A1449" s="19"/>
      <c r="B1449" s="19"/>
      <c r="C1449" s="19"/>
      <c r="D1449" s="19"/>
      <c r="E1449" s="19"/>
      <c r="F1449" s="19"/>
      <c r="G1449" s="19"/>
      <c r="H1449" s="19"/>
      <c r="I1449" s="19"/>
      <c r="J1449" s="19"/>
      <c r="K1449" s="19"/>
      <c r="L1449" s="19"/>
      <c r="M1449" s="19"/>
      <c r="N1449" s="19"/>
      <c r="O1449" s="14" t="str">
        <f>HYPERLINK("https://otsuka-europe-crm.veevavault.com/ui/#object/email_activity__v/V8C00000003U363", "EN-002095581")</f>
        <v>EN-002095581</v>
      </c>
    </row>
    <row r="1450" spans="1:15" ht="16" x14ac:dyDescent="0.2">
      <c r="A1450" s="17" t="str">
        <f>HYPERLINK("https://otsuka-europe-crm.veevavault.com/ui/#object/account__v/V4TZ025E86FH3PQ", "MIREIA LUCIA SANMARTIN MARTINEZ")</f>
        <v>MIREIA LUCIA SANMARTIN MARTINEZ</v>
      </c>
      <c r="B1450" s="17" t="str">
        <f>HYPERLINK("https://otsuka-europe-crm.veevavault.com/ui/#object/vcountry__v/VENZ000004SONF5", "ES")</f>
        <v>ES</v>
      </c>
      <c r="C1450" s="20" t="s">
        <v>41</v>
      </c>
      <c r="D1450" s="21" t="str">
        <f>HYPERLINK("https://otsuka-europe-crm.veevavault.com/ui/#object/approved_document__v/V5O00000001H025", "LUP - VAE invitación simposio SEN-SER - Reuma")</f>
        <v>LUP - VAE invitación simposio SEN-SER - Reuma</v>
      </c>
      <c r="E1450" s="22" t="str">
        <f>HYPERLINK("https://otsuka-europe-crm.veevavault.com/ui/#object/sent_email__v/VBL00000002N510", "SE-001431491")</f>
        <v>SE-001431491</v>
      </c>
      <c r="F1450" s="23">
        <v>46175.54146990741</v>
      </c>
      <c r="G1450" s="24">
        <v>1</v>
      </c>
      <c r="H1450" s="24">
        <v>3</v>
      </c>
      <c r="I1450" s="24">
        <v>0</v>
      </c>
      <c r="J1450" s="25"/>
      <c r="K1450" s="24">
        <v>0</v>
      </c>
      <c r="L1450" s="22" t="str">
        <f>HYPERLINK("https://otsuka-europe-crm.veevavault.com/ui/#object/approved_document__v/V5O00000001H025", "LUP - VAE invitación simposio SEN-SER - Reuma")</f>
        <v>LUP - VAE invitación simposio SEN-SER - Reuma</v>
      </c>
      <c r="M1450" s="22" t="str">
        <f>HYPERLINK("mailto:ccalero@crm.otsuka-europe.com", "ccalero@crm.otsuka-europe.com")</f>
        <v>ccalero@crm.otsuka-europe.com</v>
      </c>
      <c r="N1450" s="23">
        <v>46175.473587962966</v>
      </c>
      <c r="O1450" s="14" t="str">
        <f>HYPERLINK("https://otsuka-europe-crm.veevavault.com/ui/#object/email_activity__v/V8C00000003K727", "EN-002087279")</f>
        <v>EN-002087279</v>
      </c>
    </row>
    <row r="1451" spans="1:15" ht="16" x14ac:dyDescent="0.2">
      <c r="A1451" s="18"/>
      <c r="B1451" s="18"/>
      <c r="C1451" s="18"/>
      <c r="D1451" s="18"/>
      <c r="E1451" s="18"/>
      <c r="F1451" s="18"/>
      <c r="G1451" s="18"/>
      <c r="H1451" s="18"/>
      <c r="I1451" s="18"/>
      <c r="J1451" s="18"/>
      <c r="K1451" s="18"/>
      <c r="L1451" s="18"/>
      <c r="M1451" s="18"/>
      <c r="N1451" s="18"/>
      <c r="O1451" s="14" t="str">
        <f>HYPERLINK("https://otsuka-europe-crm.veevavault.com/ui/#object/email_activity__v/V8C00000003K834", "EN-002087517")</f>
        <v>EN-002087517</v>
      </c>
    </row>
    <row r="1452" spans="1:15" ht="16" x14ac:dyDescent="0.2">
      <c r="A1452" s="18"/>
      <c r="B1452" s="18"/>
      <c r="C1452" s="18"/>
      <c r="D1452" s="18"/>
      <c r="E1452" s="18"/>
      <c r="F1452" s="18"/>
      <c r="G1452" s="18"/>
      <c r="H1452" s="18"/>
      <c r="I1452" s="18"/>
      <c r="J1452" s="18"/>
      <c r="K1452" s="18"/>
      <c r="L1452" s="18"/>
      <c r="M1452" s="18"/>
      <c r="N1452" s="18"/>
      <c r="O1452" s="14" t="str">
        <f>HYPERLINK("https://otsuka-europe-crm.veevavault.com/ui/#object/email_activity__v/V8C00000003L617", "EN-002087237")</f>
        <v>EN-002087237</v>
      </c>
    </row>
    <row r="1453" spans="1:15" ht="16" x14ac:dyDescent="0.2">
      <c r="A1453" s="19"/>
      <c r="B1453" s="19"/>
      <c r="C1453" s="19"/>
      <c r="D1453" s="19"/>
      <c r="E1453" s="19"/>
      <c r="F1453" s="19"/>
      <c r="G1453" s="19"/>
      <c r="H1453" s="19"/>
      <c r="I1453" s="19"/>
      <c r="J1453" s="19"/>
      <c r="K1453" s="19"/>
      <c r="L1453" s="19"/>
      <c r="M1453" s="19"/>
      <c r="N1453" s="19"/>
      <c r="O1453" s="14" t="str">
        <f>HYPERLINK("https://otsuka-europe-crm.veevavault.com/ui/#object/email_activity__v/V8C00000003L771", "EN-002087515")</f>
        <v>EN-002087515</v>
      </c>
    </row>
    <row r="1454" spans="1:15" ht="32" x14ac:dyDescent="0.2">
      <c r="A1454" s="7" t="str">
        <f>HYPERLINK("https://otsuka-europe-crm.veevavault.com/ui/#object/account__v/V4TZ025E8613V12", "PABLO FRANCISCO MUÑOZ MARTINEZ")</f>
        <v>PABLO FRANCISCO MUÑOZ MARTINEZ</v>
      </c>
      <c r="B1454" s="7" t="str">
        <f>HYPERLINK("https://otsuka-europe-crm.veevavault.com/ui/#object/vcountry__v/VENZ000004SONF5", "ES")</f>
        <v>ES</v>
      </c>
      <c r="C1454" s="8" t="s">
        <v>41</v>
      </c>
      <c r="D1454" s="9" t="str">
        <f>HYPERLINK("https://otsuka-europe-crm.veevavault.com/ui/#object/approved_document__v/V5O00000001H025", "LUP - VAE invitación simposio SEN-SER - Reuma")</f>
        <v>LUP - VAE invitación simposio SEN-SER - Reuma</v>
      </c>
      <c r="E1454" s="10" t="str">
        <f>HYPERLINK("https://otsuka-europe-crm.veevavault.com/ui/#object/sent_email__v/VBL00000002N511", "SE-001431492")</f>
        <v>SE-001431492</v>
      </c>
      <c r="F1454" s="11"/>
      <c r="G1454" s="12">
        <v>0</v>
      </c>
      <c r="H1454" s="12">
        <v>0</v>
      </c>
      <c r="I1454" s="12">
        <v>0</v>
      </c>
      <c r="J1454" s="11"/>
      <c r="K1454" s="12">
        <v>0</v>
      </c>
      <c r="L1454" s="10" t="str">
        <f>HYPERLINK("https://otsuka-europe-crm.veevavault.com/ui/#object/approved_document__v/V5O00000001H025", "LUP - VAE invitación simposio SEN-SER - Reuma")</f>
        <v>LUP - VAE invitación simposio SEN-SER - Reuma</v>
      </c>
      <c r="M1454" s="10" t="str">
        <f>HYPERLINK("mailto:ccalero@crm.otsuka-europe.com", "ccalero@crm.otsuka-europe.com")</f>
        <v>ccalero@crm.otsuka-europe.com</v>
      </c>
      <c r="N1454" s="13">
        <v>46175.473576388889</v>
      </c>
      <c r="O1454" s="14" t="str">
        <f>HYPERLINK("https://otsuka-europe-crm.veevavault.com/ui/#object/email_activity__v/V8C00000003K712", "EN-002087240")</f>
        <v>EN-002087240</v>
      </c>
    </row>
    <row r="1455" spans="1:15" ht="32" x14ac:dyDescent="0.2">
      <c r="A1455" s="7" t="str">
        <f>HYPERLINK("https://otsuka-europe-crm.veevavault.com/ui/#object/account__v/V4TZ025E86IZTLB", "PABLO MARTINEZ CALABUIG")</f>
        <v>PABLO MARTINEZ CALABUIG</v>
      </c>
      <c r="B1455" s="7" t="str">
        <f>HYPERLINK("https://otsuka-europe-crm.veevavault.com/ui/#object/vcountry__v/VENZ000004SONF5", "ES")</f>
        <v>ES</v>
      </c>
      <c r="C1455" s="8" t="s">
        <v>41</v>
      </c>
      <c r="D1455" s="9" t="str">
        <f>HYPERLINK("https://otsuka-europe-crm.veevavault.com/ui/#object/approved_document__v/V5O00000001H025", "LUP - VAE invitación simposio SEN-SER - Reuma")</f>
        <v>LUP - VAE invitación simposio SEN-SER - Reuma</v>
      </c>
      <c r="E1455" s="10" t="str">
        <f>HYPERLINK("https://otsuka-europe-crm.veevavault.com/ui/#object/sent_email__v/VBL00000002N512", "SE-001431493")</f>
        <v>SE-001431493</v>
      </c>
      <c r="F1455" s="11"/>
      <c r="G1455" s="12">
        <v>0</v>
      </c>
      <c r="H1455" s="12">
        <v>0</v>
      </c>
      <c r="I1455" s="12">
        <v>0</v>
      </c>
      <c r="J1455" s="11"/>
      <c r="K1455" s="12">
        <v>0</v>
      </c>
      <c r="L1455" s="10" t="str">
        <f>HYPERLINK("https://otsuka-europe-crm.veevavault.com/ui/#object/approved_document__v/V5O00000001H025", "LUP - VAE invitación simposio SEN-SER - Reuma")</f>
        <v>LUP - VAE invitación simposio SEN-SER - Reuma</v>
      </c>
      <c r="M1455" s="10" t="str">
        <f>HYPERLINK("mailto:ccalero@crm.otsuka-europe.com", "ccalero@crm.otsuka-europe.com")</f>
        <v>ccalero@crm.otsuka-europe.com</v>
      </c>
      <c r="N1455" s="13">
        <v>46175.473576388889</v>
      </c>
      <c r="O1455" s="14" t="str">
        <f>HYPERLINK("https://otsuka-europe-crm.veevavault.com/ui/#object/email_activity__v/V8C00000003K729", "EN-002087281")</f>
        <v>EN-002087281</v>
      </c>
    </row>
    <row r="1456" spans="1:15" ht="16" x14ac:dyDescent="0.2">
      <c r="A1456" s="17" t="str">
        <f>HYPERLINK("https://otsuka-europe-crm.veevavault.com/ui/#object/account__v/V4TZ04ASG9UBMX8", "JOSE ANDRES ROMAN IVORRA")</f>
        <v>JOSE ANDRES ROMAN IVORRA</v>
      </c>
      <c r="B1456" s="17" t="str">
        <f>HYPERLINK("https://otsuka-europe-crm.veevavault.com/ui/#object/vcountry__v/VENZ000004SONF5", "ES")</f>
        <v>ES</v>
      </c>
      <c r="C1456" s="20" t="s">
        <v>41</v>
      </c>
      <c r="D1456" s="21" t="str">
        <f>HYPERLINK("https://otsuka-europe-crm.veevavault.com/ui/#object/approved_document__v/V5O00000001H025", "LUP - VAE invitación simposio SEN-SER - Reuma")</f>
        <v>LUP - VAE invitación simposio SEN-SER - Reuma</v>
      </c>
      <c r="E1456" s="22" t="str">
        <f>HYPERLINK("https://otsuka-europe-crm.veevavault.com/ui/#object/sent_email__v/VBL00000002N513", "SE-001431494")</f>
        <v>SE-001431494</v>
      </c>
      <c r="F1456" s="23">
        <v>46182.689143518517</v>
      </c>
      <c r="G1456" s="24">
        <v>1</v>
      </c>
      <c r="H1456" s="24">
        <v>9</v>
      </c>
      <c r="I1456" s="24">
        <v>0</v>
      </c>
      <c r="J1456" s="25"/>
      <c r="K1456" s="24">
        <v>0</v>
      </c>
      <c r="L1456" s="22" t="str">
        <f>HYPERLINK("https://otsuka-europe-crm.veevavault.com/ui/#object/approved_document__v/V5O00000001H025", "LUP - VAE invitación simposio SEN-SER - Reuma")</f>
        <v>LUP - VAE invitación simposio SEN-SER - Reuma</v>
      </c>
      <c r="M1456" s="22" t="str">
        <f>HYPERLINK("mailto:ccalero@crm.otsuka-europe.com", "ccalero@crm.otsuka-europe.com")</f>
        <v>ccalero@crm.otsuka-europe.com</v>
      </c>
      <c r="N1456" s="23">
        <v>46175.473576388889</v>
      </c>
      <c r="O1456" s="14" t="str">
        <f>HYPERLINK("https://otsuka-europe-crm.veevavault.com/ui/#object/email_activity__v/V8C00000003K726", "EN-002087269")</f>
        <v>EN-002087269</v>
      </c>
    </row>
    <row r="1457" spans="1:15" ht="16" x14ac:dyDescent="0.2">
      <c r="A1457" s="18"/>
      <c r="B1457" s="18"/>
      <c r="C1457" s="18"/>
      <c r="D1457" s="18"/>
      <c r="E1457" s="18"/>
      <c r="F1457" s="18"/>
      <c r="G1457" s="18"/>
      <c r="H1457" s="18"/>
      <c r="I1457" s="18"/>
      <c r="J1457" s="18"/>
      <c r="K1457" s="18"/>
      <c r="L1457" s="18"/>
      <c r="M1457" s="18"/>
      <c r="N1457" s="18"/>
      <c r="O1457" s="14" t="str">
        <f>HYPERLINK("https://otsuka-europe-crm.veevavault.com/ui/#object/email_activity__v/V8C00000003Q567", "EN-002091947")</f>
        <v>EN-002091947</v>
      </c>
    </row>
    <row r="1458" spans="1:15" ht="16" x14ac:dyDescent="0.2">
      <c r="A1458" s="18"/>
      <c r="B1458" s="18"/>
      <c r="C1458" s="18"/>
      <c r="D1458" s="18"/>
      <c r="E1458" s="18"/>
      <c r="F1458" s="18"/>
      <c r="G1458" s="18"/>
      <c r="H1458" s="18"/>
      <c r="I1458" s="18"/>
      <c r="J1458" s="18"/>
      <c r="K1458" s="18"/>
      <c r="L1458" s="18"/>
      <c r="M1458" s="18"/>
      <c r="N1458" s="18"/>
      <c r="O1458" s="14" t="str">
        <f>HYPERLINK("https://otsuka-europe-crm.veevavault.com/ui/#object/email_activity__v/V8C00000003Q769", "EN-002092359")</f>
        <v>EN-002092359</v>
      </c>
    </row>
    <row r="1459" spans="1:15" ht="16" x14ac:dyDescent="0.2">
      <c r="A1459" s="18"/>
      <c r="B1459" s="18"/>
      <c r="C1459" s="18"/>
      <c r="D1459" s="18"/>
      <c r="E1459" s="18"/>
      <c r="F1459" s="18"/>
      <c r="G1459" s="18"/>
      <c r="H1459" s="18"/>
      <c r="I1459" s="18"/>
      <c r="J1459" s="18"/>
      <c r="K1459" s="18"/>
      <c r="L1459" s="18"/>
      <c r="M1459" s="18"/>
      <c r="N1459" s="18"/>
      <c r="O1459" s="14" t="str">
        <f>HYPERLINK("https://otsuka-europe-crm.veevavault.com/ui/#object/email_activity__v/V8C00000003Q770", "EN-002092360")</f>
        <v>EN-002092360</v>
      </c>
    </row>
    <row r="1460" spans="1:15" ht="16" x14ac:dyDescent="0.2">
      <c r="A1460" s="18"/>
      <c r="B1460" s="18"/>
      <c r="C1460" s="18"/>
      <c r="D1460" s="18"/>
      <c r="E1460" s="18"/>
      <c r="F1460" s="18"/>
      <c r="G1460" s="18"/>
      <c r="H1460" s="18"/>
      <c r="I1460" s="18"/>
      <c r="J1460" s="18"/>
      <c r="K1460" s="18"/>
      <c r="L1460" s="18"/>
      <c r="M1460" s="18"/>
      <c r="N1460" s="18"/>
      <c r="O1460" s="14" t="str">
        <f>HYPERLINK("https://otsuka-europe-crm.veevavault.com/ui/#object/email_activity__v/V8C00000003R146", "EN-002091952")</f>
        <v>EN-002091952</v>
      </c>
    </row>
    <row r="1461" spans="1:15" ht="16" x14ac:dyDescent="0.2">
      <c r="A1461" s="18"/>
      <c r="B1461" s="18"/>
      <c r="C1461" s="18"/>
      <c r="D1461" s="18"/>
      <c r="E1461" s="18"/>
      <c r="F1461" s="18"/>
      <c r="G1461" s="18"/>
      <c r="H1461" s="18"/>
      <c r="I1461" s="18"/>
      <c r="J1461" s="18"/>
      <c r="K1461" s="18"/>
      <c r="L1461" s="18"/>
      <c r="M1461" s="18"/>
      <c r="N1461" s="18"/>
      <c r="O1461" s="14" t="str">
        <f>HYPERLINK("https://otsuka-europe-crm.veevavault.com/ui/#object/email_activity__v/V8C00000003R147", "EN-002091953")</f>
        <v>EN-002091953</v>
      </c>
    </row>
    <row r="1462" spans="1:15" ht="16" x14ac:dyDescent="0.2">
      <c r="A1462" s="18"/>
      <c r="B1462" s="18"/>
      <c r="C1462" s="18"/>
      <c r="D1462" s="18"/>
      <c r="E1462" s="18"/>
      <c r="F1462" s="18"/>
      <c r="G1462" s="18"/>
      <c r="H1462" s="18"/>
      <c r="I1462" s="18"/>
      <c r="J1462" s="18"/>
      <c r="K1462" s="18"/>
      <c r="L1462" s="18"/>
      <c r="M1462" s="18"/>
      <c r="N1462" s="18"/>
      <c r="O1462" s="14" t="str">
        <f>HYPERLINK("https://otsuka-europe-crm.veevavault.com/ui/#object/email_activity__v/V8C00000003R867", "EN-002093322")</f>
        <v>EN-002093322</v>
      </c>
    </row>
    <row r="1463" spans="1:15" ht="16" x14ac:dyDescent="0.2">
      <c r="A1463" s="18"/>
      <c r="B1463" s="18"/>
      <c r="C1463" s="18"/>
      <c r="D1463" s="18"/>
      <c r="E1463" s="18"/>
      <c r="F1463" s="18"/>
      <c r="G1463" s="18"/>
      <c r="H1463" s="18"/>
      <c r="I1463" s="18"/>
      <c r="J1463" s="18"/>
      <c r="K1463" s="18"/>
      <c r="L1463" s="18"/>
      <c r="M1463" s="18"/>
      <c r="N1463" s="18"/>
      <c r="O1463" s="14" t="str">
        <f>HYPERLINK("https://otsuka-europe-crm.veevavault.com/ui/#object/email_activity__v/V8C00000003S015", "EN-002092860")</f>
        <v>EN-002092860</v>
      </c>
    </row>
    <row r="1464" spans="1:15" ht="16" x14ac:dyDescent="0.2">
      <c r="A1464" s="18"/>
      <c r="B1464" s="18"/>
      <c r="C1464" s="18"/>
      <c r="D1464" s="18"/>
      <c r="E1464" s="18"/>
      <c r="F1464" s="18"/>
      <c r="G1464" s="18"/>
      <c r="H1464" s="18"/>
      <c r="I1464" s="18"/>
      <c r="J1464" s="18"/>
      <c r="K1464" s="18"/>
      <c r="L1464" s="18"/>
      <c r="M1464" s="18"/>
      <c r="N1464" s="18"/>
      <c r="O1464" s="14" t="str">
        <f>HYPERLINK("https://otsuka-europe-crm.veevavault.com/ui/#object/email_activity__v/V8C00000003S016", "EN-002092861")</f>
        <v>EN-002092861</v>
      </c>
    </row>
    <row r="1465" spans="1:15" ht="16" x14ac:dyDescent="0.2">
      <c r="A1465" s="19"/>
      <c r="B1465" s="19"/>
      <c r="C1465" s="19"/>
      <c r="D1465" s="19"/>
      <c r="E1465" s="19"/>
      <c r="F1465" s="19"/>
      <c r="G1465" s="19"/>
      <c r="H1465" s="19"/>
      <c r="I1465" s="19"/>
      <c r="J1465" s="19"/>
      <c r="K1465" s="19"/>
      <c r="L1465" s="19"/>
      <c r="M1465" s="19"/>
      <c r="N1465" s="19"/>
      <c r="O1465" s="14" t="str">
        <f>HYPERLINK("https://otsuka-europe-crm.veevavault.com/ui/#object/email_activity__v/V8C00000003S219", "EN-002093321")</f>
        <v>EN-002093321</v>
      </c>
    </row>
    <row r="1466" spans="1:15" ht="16" x14ac:dyDescent="0.2">
      <c r="A1466" s="17" t="str">
        <f>HYPERLINK("https://otsuka-europe-crm.veevavault.com/ui/#object/account__v/V4TZ04ASGALU4FS", "MARIA RAMIREZ DE LA TORRE")</f>
        <v>MARIA RAMIREZ DE LA TORRE</v>
      </c>
      <c r="B1466" s="17" t="str">
        <f>HYPERLINK("https://otsuka-europe-crm.veevavault.com/ui/#object/vcountry__v/VENZ000004SONF5", "ES")</f>
        <v>ES</v>
      </c>
      <c r="C1466" s="20" t="s">
        <v>41</v>
      </c>
      <c r="D1466" s="21" t="str">
        <f>HYPERLINK("https://otsuka-europe-crm.veevavault.com/ui/#object/approved_document__v/V5O00000001H025", "LUP - VAE invitación simposio SEN-SER - Reuma")</f>
        <v>LUP - VAE invitación simposio SEN-SER - Reuma</v>
      </c>
      <c r="E1466" s="22" t="str">
        <f>HYPERLINK("https://otsuka-europe-crm.veevavault.com/ui/#object/sent_email__v/VBL00000002N514", "SE-001431495")</f>
        <v>SE-001431495</v>
      </c>
      <c r="F1466" s="23">
        <v>46175.494062500002</v>
      </c>
      <c r="G1466" s="24">
        <v>1</v>
      </c>
      <c r="H1466" s="24">
        <v>1</v>
      </c>
      <c r="I1466" s="24">
        <v>0</v>
      </c>
      <c r="J1466" s="25"/>
      <c r="K1466" s="24">
        <v>0</v>
      </c>
      <c r="L1466" s="22" t="str">
        <f>HYPERLINK("https://otsuka-europe-crm.veevavault.com/ui/#object/approved_document__v/V5O00000001H025", "LUP - VAE invitación simposio SEN-SER - Reuma")</f>
        <v>LUP - VAE invitación simposio SEN-SER - Reuma</v>
      </c>
      <c r="M1466" s="22" t="str">
        <f>HYPERLINK("mailto:ccalero@crm.otsuka-europe.com", "ccalero@crm.otsuka-europe.com")</f>
        <v>ccalero@crm.otsuka-europe.com</v>
      </c>
      <c r="N1466" s="23">
        <v>46175.473576388889</v>
      </c>
      <c r="O1466" s="14" t="str">
        <f>HYPERLINK("https://otsuka-europe-crm.veevavault.com/ui/#object/email_activity__v/V8C00000003K724", "EN-002087261")</f>
        <v>EN-002087261</v>
      </c>
    </row>
    <row r="1467" spans="1:15" ht="16" x14ac:dyDescent="0.2">
      <c r="A1467" s="19"/>
      <c r="B1467" s="19"/>
      <c r="C1467" s="19"/>
      <c r="D1467" s="19"/>
      <c r="E1467" s="19"/>
      <c r="F1467" s="19"/>
      <c r="G1467" s="19"/>
      <c r="H1467" s="19"/>
      <c r="I1467" s="19"/>
      <c r="J1467" s="19"/>
      <c r="K1467" s="19"/>
      <c r="L1467" s="19"/>
      <c r="M1467" s="19"/>
      <c r="N1467" s="19"/>
      <c r="O1467" s="14" t="str">
        <f>HYPERLINK("https://otsuka-europe-crm.veevavault.com/ui/#object/email_activity__v/V8C00000003K794", "EN-002087432")</f>
        <v>EN-002087432</v>
      </c>
    </row>
    <row r="1468" spans="1:15" ht="16" x14ac:dyDescent="0.2">
      <c r="A1468" s="17" t="str">
        <f>HYPERLINK("https://otsuka-europe-crm.veevavault.com/ui/#object/account__v/V4TZ04ASGB981CK", "MARIA PILAR BERNABEU GONZALVEZ")</f>
        <v>MARIA PILAR BERNABEU GONZALVEZ</v>
      </c>
      <c r="B1468" s="17" t="str">
        <f>HYPERLINK("https://otsuka-europe-crm.veevavault.com/ui/#object/vcountry__v/VENZ000004SONF5", "ES")</f>
        <v>ES</v>
      </c>
      <c r="C1468" s="20" t="s">
        <v>41</v>
      </c>
      <c r="D1468" s="21" t="str">
        <f>HYPERLINK("https://otsuka-europe-crm.veevavault.com/ui/#object/approved_document__v/V5O00000001H025", "LUP - VAE invitación simposio SEN-SER - Reuma")</f>
        <v>LUP - VAE invitación simposio SEN-SER - Reuma</v>
      </c>
      <c r="E1468" s="22" t="str">
        <f>HYPERLINK("https://otsuka-europe-crm.veevavault.com/ui/#object/sent_email__v/VBL00000002N515", "SE-001431496")</f>
        <v>SE-001431496</v>
      </c>
      <c r="F1468" s="23">
        <v>46175.692141203705</v>
      </c>
      <c r="G1468" s="24">
        <v>1</v>
      </c>
      <c r="H1468" s="24">
        <v>1</v>
      </c>
      <c r="I1468" s="24">
        <v>0</v>
      </c>
      <c r="J1468" s="25"/>
      <c r="K1468" s="24">
        <v>0</v>
      </c>
      <c r="L1468" s="22" t="str">
        <f>HYPERLINK("https://otsuka-europe-crm.veevavault.com/ui/#object/approved_document__v/V5O00000001H025", "LUP - VAE invitación simposio SEN-SER - Reuma")</f>
        <v>LUP - VAE invitación simposio SEN-SER - Reuma</v>
      </c>
      <c r="M1468" s="22" t="str">
        <f>HYPERLINK("mailto:ccalero@crm.otsuka-europe.com", "ccalero@crm.otsuka-europe.com")</f>
        <v>ccalero@crm.otsuka-europe.com</v>
      </c>
      <c r="N1468" s="23">
        <v>46175.473576388889</v>
      </c>
      <c r="O1468" s="14" t="str">
        <f>HYPERLINK("https://otsuka-europe-crm.veevavault.com/ui/#object/email_activity__v/V8C00000003L638", "EN-002087275")</f>
        <v>EN-002087275</v>
      </c>
    </row>
    <row r="1469" spans="1:15" ht="16" x14ac:dyDescent="0.2">
      <c r="A1469" s="19"/>
      <c r="B1469" s="19"/>
      <c r="C1469" s="19"/>
      <c r="D1469" s="19"/>
      <c r="E1469" s="19"/>
      <c r="F1469" s="19"/>
      <c r="G1469" s="19"/>
      <c r="H1469" s="19"/>
      <c r="I1469" s="19"/>
      <c r="J1469" s="19"/>
      <c r="K1469" s="19"/>
      <c r="L1469" s="19"/>
      <c r="M1469" s="19"/>
      <c r="N1469" s="19"/>
      <c r="O1469" s="14" t="str">
        <f>HYPERLINK("https://otsuka-europe-crm.veevavault.com/ui/#object/email_activity__v/V8C00000003M083", "EN-002088004")</f>
        <v>EN-002088004</v>
      </c>
    </row>
    <row r="1470" spans="1:15" ht="16" x14ac:dyDescent="0.2">
      <c r="A1470" s="17" t="str">
        <f>HYPERLINK("https://otsuka-europe-crm.veevavault.com/ui/#object/account__v/V4TZ04ASGAZO2Y6", "MAURICIO MINGUEZ VEGA")</f>
        <v>MAURICIO MINGUEZ VEGA</v>
      </c>
      <c r="B1470" s="17" t="str">
        <f>HYPERLINK("https://otsuka-europe-crm.veevavault.com/ui/#object/vcountry__v/VENZ000004SONF5", "ES")</f>
        <v>ES</v>
      </c>
      <c r="C1470" s="20" t="s">
        <v>41</v>
      </c>
      <c r="D1470" s="21" t="str">
        <f>HYPERLINK("https://otsuka-europe-crm.veevavault.com/ui/#object/approved_document__v/V5O00000001H025", "LUP - VAE invitación simposio SEN-SER - Reuma")</f>
        <v>LUP - VAE invitación simposio SEN-SER - Reuma</v>
      </c>
      <c r="E1470" s="22" t="str">
        <f>HYPERLINK("https://otsuka-europe-crm.veevavault.com/ui/#object/sent_email__v/VBL00000002N516", "SE-001431497")</f>
        <v>SE-001431497</v>
      </c>
      <c r="F1470" s="23">
        <v>46176.277824074074</v>
      </c>
      <c r="G1470" s="24">
        <v>1</v>
      </c>
      <c r="H1470" s="24">
        <v>2</v>
      </c>
      <c r="I1470" s="24">
        <v>0</v>
      </c>
      <c r="J1470" s="25"/>
      <c r="K1470" s="24">
        <v>0</v>
      </c>
      <c r="L1470" s="22" t="str">
        <f>HYPERLINK("https://otsuka-europe-crm.veevavault.com/ui/#object/approved_document__v/V5O00000001H025", "LUP - VAE invitación simposio SEN-SER - Reuma")</f>
        <v>LUP - VAE invitación simposio SEN-SER - Reuma</v>
      </c>
      <c r="M1470" s="22" t="str">
        <f>HYPERLINK("mailto:ccalero@crm.otsuka-europe.com", "ccalero@crm.otsuka-europe.com")</f>
        <v>ccalero@crm.otsuka-europe.com</v>
      </c>
      <c r="N1470" s="23">
        <v>46175.473576388889</v>
      </c>
      <c r="O1470" s="14" t="str">
        <f>HYPERLINK("https://otsuka-europe-crm.veevavault.com/ui/#object/email_activity__v/V8C00000003K976", "EN-002087763")</f>
        <v>EN-002087763</v>
      </c>
    </row>
    <row r="1471" spans="1:15" ht="16" x14ac:dyDescent="0.2">
      <c r="A1471" s="18"/>
      <c r="B1471" s="18"/>
      <c r="C1471" s="18"/>
      <c r="D1471" s="18"/>
      <c r="E1471" s="18"/>
      <c r="F1471" s="18"/>
      <c r="G1471" s="18"/>
      <c r="H1471" s="18"/>
      <c r="I1471" s="18"/>
      <c r="J1471" s="18"/>
      <c r="K1471" s="18"/>
      <c r="L1471" s="18"/>
      <c r="M1471" s="18"/>
      <c r="N1471" s="18"/>
      <c r="O1471" s="14" t="str">
        <f>HYPERLINK("https://otsuka-europe-crm.veevavault.com/ui/#object/email_activity__v/V8C00000003L636", "EN-002087273")</f>
        <v>EN-002087273</v>
      </c>
    </row>
    <row r="1472" spans="1:15" ht="16" x14ac:dyDescent="0.2">
      <c r="A1472" s="19"/>
      <c r="B1472" s="19"/>
      <c r="C1472" s="19"/>
      <c r="D1472" s="19"/>
      <c r="E1472" s="19"/>
      <c r="F1472" s="19"/>
      <c r="G1472" s="19"/>
      <c r="H1472" s="19"/>
      <c r="I1472" s="19"/>
      <c r="J1472" s="19"/>
      <c r="K1472" s="19"/>
      <c r="L1472" s="19"/>
      <c r="M1472" s="19"/>
      <c r="N1472" s="19"/>
      <c r="O1472" s="14" t="str">
        <f>HYPERLINK("https://otsuka-europe-crm.veevavault.com/ui/#object/email_activity__v/V8C00000003M289", "EN-002088545")</f>
        <v>EN-002088545</v>
      </c>
    </row>
    <row r="1473" spans="1:15" ht="16" x14ac:dyDescent="0.2">
      <c r="A1473" s="17" t="str">
        <f>HYPERLINK("https://otsuka-europe-crm.veevavault.com/ui/#object/account__v/V4TZ025E876PF2D", "ADRIANA MABEL PRINA LOPEZ")</f>
        <v>ADRIANA MABEL PRINA LOPEZ</v>
      </c>
      <c r="B1473" s="17" t="str">
        <f>HYPERLINK("https://otsuka-europe-crm.veevavault.com/ui/#object/vcountry__v/VENZ000004SONF5", "ES")</f>
        <v>ES</v>
      </c>
      <c r="C1473" s="20" t="s">
        <v>41</v>
      </c>
      <c r="D1473" s="21" t="str">
        <f>HYPERLINK("https://otsuka-europe-crm.veevavault.com/ui/#object/approved_document__v/V5O00000001H025", "LUP - VAE invitación simposio SEN-SER - Reuma")</f>
        <v>LUP - VAE invitación simposio SEN-SER - Reuma</v>
      </c>
      <c r="E1473" s="22" t="str">
        <f>HYPERLINK("https://otsuka-europe-crm.veevavault.com/ui/#object/sent_email__v/VBL00000002N517", "SE-001431498")</f>
        <v>SE-001431498</v>
      </c>
      <c r="F1473" s="23">
        <v>46176.043912037036</v>
      </c>
      <c r="G1473" s="24">
        <v>1</v>
      </c>
      <c r="H1473" s="24">
        <v>1</v>
      </c>
      <c r="I1473" s="24">
        <v>1</v>
      </c>
      <c r="J1473" s="23">
        <v>46179.685266203705</v>
      </c>
      <c r="K1473" s="24">
        <v>1</v>
      </c>
      <c r="L1473" s="22" t="str">
        <f>HYPERLINK("https://otsuka-europe-crm.veevavault.com/ui/#object/approved_document__v/V5O00000001H025", "LUP - VAE invitación simposio SEN-SER - Reuma")</f>
        <v>LUP - VAE invitación simposio SEN-SER - Reuma</v>
      </c>
      <c r="M1473" s="22" t="str">
        <f>HYPERLINK("mailto:ccalero@crm.otsuka-europe.com", "ccalero@crm.otsuka-europe.com")</f>
        <v>ccalero@crm.otsuka-europe.com</v>
      </c>
      <c r="N1473" s="23">
        <v>46175.473576388889</v>
      </c>
      <c r="O1473" s="14" t="str">
        <f>HYPERLINK("https://otsuka-europe-crm.veevavault.com/ui/#object/email_activity__v/V8C00000003L625", "EN-002087252")</f>
        <v>EN-002087252</v>
      </c>
    </row>
    <row r="1474" spans="1:15" ht="16" x14ac:dyDescent="0.2">
      <c r="A1474" s="18"/>
      <c r="B1474" s="18"/>
      <c r="C1474" s="18"/>
      <c r="D1474" s="18"/>
      <c r="E1474" s="18"/>
      <c r="F1474" s="18"/>
      <c r="G1474" s="18"/>
      <c r="H1474" s="18"/>
      <c r="I1474" s="18"/>
      <c r="J1474" s="18"/>
      <c r="K1474" s="18"/>
      <c r="L1474" s="18"/>
      <c r="M1474" s="18"/>
      <c r="N1474" s="18"/>
      <c r="O1474" s="14" t="str">
        <f>HYPERLINK("https://otsuka-europe-crm.veevavault.com/ui/#object/email_activity__v/V8C00000003M264", "EN-002088505")</f>
        <v>EN-002088505</v>
      </c>
    </row>
    <row r="1475" spans="1:15" ht="16" x14ac:dyDescent="0.2">
      <c r="A1475" s="18"/>
      <c r="B1475" s="18"/>
      <c r="C1475" s="18"/>
      <c r="D1475" s="18"/>
      <c r="E1475" s="18"/>
      <c r="F1475" s="18"/>
      <c r="G1475" s="18"/>
      <c r="H1475" s="18"/>
      <c r="I1475" s="18"/>
      <c r="J1475" s="18"/>
      <c r="K1475" s="18"/>
      <c r="L1475" s="18"/>
      <c r="M1475" s="18"/>
      <c r="N1475" s="18"/>
      <c r="O1475" s="14" t="str">
        <f>HYPERLINK("https://otsuka-europe-crm.veevavault.com/ui/#object/email_activity__v/V8C00000003O093", "EN-002089432")</f>
        <v>EN-002089432</v>
      </c>
    </row>
    <row r="1476" spans="1:15" ht="16" x14ac:dyDescent="0.2">
      <c r="A1476" s="18"/>
      <c r="B1476" s="18"/>
      <c r="C1476" s="18"/>
      <c r="D1476" s="18"/>
      <c r="E1476" s="18"/>
      <c r="F1476" s="18"/>
      <c r="G1476" s="18"/>
      <c r="H1476" s="18"/>
      <c r="I1476" s="18"/>
      <c r="J1476" s="18"/>
      <c r="K1476" s="18"/>
      <c r="L1476" s="18"/>
      <c r="M1476" s="18"/>
      <c r="N1476" s="18"/>
      <c r="O1476" s="14" t="str">
        <f>HYPERLINK("https://otsuka-europe-crm.veevavault.com/ui/#object/email_activity__v/V8C00000003O094", "EN-002089433")</f>
        <v>EN-002089433</v>
      </c>
    </row>
    <row r="1477" spans="1:15" ht="16" x14ac:dyDescent="0.2">
      <c r="A1477" s="18"/>
      <c r="B1477" s="18"/>
      <c r="C1477" s="18"/>
      <c r="D1477" s="18"/>
      <c r="E1477" s="18"/>
      <c r="F1477" s="18"/>
      <c r="G1477" s="18"/>
      <c r="H1477" s="18"/>
      <c r="I1477" s="18"/>
      <c r="J1477" s="18"/>
      <c r="K1477" s="18"/>
      <c r="L1477" s="18"/>
      <c r="M1477" s="18"/>
      <c r="N1477" s="18"/>
      <c r="O1477" s="14" t="str">
        <f>HYPERLINK("https://otsuka-europe-crm.veevavault.com/ui/#object/email_activity__v/V8C00000003P100", "EN-002089434")</f>
        <v>EN-002089434</v>
      </c>
    </row>
    <row r="1478" spans="1:15" ht="16" x14ac:dyDescent="0.2">
      <c r="A1478" s="19"/>
      <c r="B1478" s="19"/>
      <c r="C1478" s="19"/>
      <c r="D1478" s="19"/>
      <c r="E1478" s="19"/>
      <c r="F1478" s="19"/>
      <c r="G1478" s="19"/>
      <c r="H1478" s="19"/>
      <c r="I1478" s="19"/>
      <c r="J1478" s="19"/>
      <c r="K1478" s="19"/>
      <c r="L1478" s="19"/>
      <c r="M1478" s="19"/>
      <c r="N1478" s="19"/>
      <c r="O1478" s="14" t="str">
        <f>HYPERLINK("https://otsuka-europe-crm.veevavault.com/ui/#object/email_activity__v/V8C00000003P101", "EN-002089435")</f>
        <v>EN-002089435</v>
      </c>
    </row>
    <row r="1479" spans="1:15" ht="16" x14ac:dyDescent="0.2">
      <c r="A1479" s="17" t="str">
        <f>HYPERLINK("https://otsuka-europe-crm.veevavault.com/ui/#object/account__v/V4TZ04ASGC2GRVI", "JUAN MIGUEL LOPEZ GOMEZ")</f>
        <v>JUAN MIGUEL LOPEZ GOMEZ</v>
      </c>
      <c r="B1479" s="17" t="str">
        <f>HYPERLINK("https://otsuka-europe-crm.veevavault.com/ui/#object/vcountry__v/VENZ000004SONF5", "ES")</f>
        <v>ES</v>
      </c>
      <c r="C1479" s="20" t="s">
        <v>41</v>
      </c>
      <c r="D1479" s="21" t="str">
        <f>HYPERLINK("https://otsuka-europe-crm.veevavault.com/ui/#object/approved_document__v/V5O00000001H025", "LUP - VAE invitación simposio SEN-SER - Reuma")</f>
        <v>LUP - VAE invitación simposio SEN-SER - Reuma</v>
      </c>
      <c r="E1479" s="22" t="str">
        <f>HYPERLINK("https://otsuka-europe-crm.veevavault.com/ui/#object/sent_email__v/VBL00000002N518", "SE-001431499")</f>
        <v>SE-001431499</v>
      </c>
      <c r="F1479" s="25"/>
      <c r="G1479" s="24">
        <v>0</v>
      </c>
      <c r="H1479" s="24">
        <v>0</v>
      </c>
      <c r="I1479" s="24">
        <v>0</v>
      </c>
      <c r="J1479" s="25"/>
      <c r="K1479" s="24">
        <v>0</v>
      </c>
      <c r="L1479" s="22" t="str">
        <f>HYPERLINK("https://otsuka-europe-crm.veevavault.com/ui/#object/approved_document__v/V5O00000001H025", "LUP - VAE invitación simposio SEN-SER - Reuma")</f>
        <v>LUP - VAE invitación simposio SEN-SER - Reuma</v>
      </c>
      <c r="M1479" s="22" t="str">
        <f>HYPERLINK("mailto:ccalero@crm.otsuka-europe.com", "ccalero@crm.otsuka-europe.com")</f>
        <v>ccalero@crm.otsuka-europe.com</v>
      </c>
      <c r="N1479" s="23">
        <v>46175.473576388889</v>
      </c>
      <c r="O1479" s="14" t="str">
        <f>HYPERLINK("https://otsuka-europe-crm.veevavault.com/ui/#object/email_activity__v/V8C00000003L635", "EN-002087272")</f>
        <v>EN-002087272</v>
      </c>
    </row>
    <row r="1480" spans="1:15" ht="16" x14ac:dyDescent="0.2">
      <c r="A1480" s="19"/>
      <c r="B1480" s="19"/>
      <c r="C1480" s="19"/>
      <c r="D1480" s="19"/>
      <c r="E1480" s="19"/>
      <c r="F1480" s="19"/>
      <c r="G1480" s="19"/>
      <c r="H1480" s="19"/>
      <c r="I1480" s="19"/>
      <c r="J1480" s="19"/>
      <c r="K1480" s="19"/>
      <c r="L1480" s="19"/>
      <c r="M1480" s="19"/>
      <c r="N1480" s="19"/>
      <c r="O1480" s="14" t="str">
        <f>HYPERLINK("https://otsuka-europe-crm.veevavault.com/ui/#object/email_activity__v/V8C00000003M291", "EN-002088547")</f>
        <v>EN-002088547</v>
      </c>
    </row>
    <row r="1481" spans="1:15" ht="16" x14ac:dyDescent="0.2">
      <c r="A1481" s="17" t="str">
        <f>HYPERLINK("https://otsuka-europe-crm.veevavault.com/ui/#object/account__v/V4TZ025E83BO569", "MARTA DE LA RUBIA NAVARRO")</f>
        <v>MARTA DE LA RUBIA NAVARRO</v>
      </c>
      <c r="B1481" s="17" t="str">
        <f>HYPERLINK("https://otsuka-europe-crm.veevavault.com/ui/#object/vcountry__v/VENZ000004SONF5", "ES")</f>
        <v>ES</v>
      </c>
      <c r="C1481" s="20" t="s">
        <v>41</v>
      </c>
      <c r="D1481" s="21" t="str">
        <f>HYPERLINK("https://otsuka-europe-crm.veevavault.com/ui/#object/approved_document__v/V5O00000001H025", "LUP - VAE invitación simposio SEN-SER - Reuma")</f>
        <v>LUP - VAE invitación simposio SEN-SER - Reuma</v>
      </c>
      <c r="E1481" s="22" t="str">
        <f>HYPERLINK("https://otsuka-europe-crm.veevavault.com/ui/#object/sent_email__v/VBL00000002N519", "SE-001431500")</f>
        <v>SE-001431500</v>
      </c>
      <c r="F1481" s="23">
        <v>46175.52721064815</v>
      </c>
      <c r="G1481" s="24">
        <v>1</v>
      </c>
      <c r="H1481" s="24">
        <v>1</v>
      </c>
      <c r="I1481" s="24">
        <v>0</v>
      </c>
      <c r="J1481" s="25"/>
      <c r="K1481" s="24">
        <v>0</v>
      </c>
      <c r="L1481" s="22" t="str">
        <f>HYPERLINK("https://otsuka-europe-crm.veevavault.com/ui/#object/approved_document__v/V5O00000001H025", "LUP - VAE invitación simposio SEN-SER - Reuma")</f>
        <v>LUP - VAE invitación simposio SEN-SER - Reuma</v>
      </c>
      <c r="M1481" s="22" t="str">
        <f>HYPERLINK("mailto:ccalero@crm.otsuka-europe.com", "ccalero@crm.otsuka-europe.com")</f>
        <v>ccalero@crm.otsuka-europe.com</v>
      </c>
      <c r="N1481" s="23">
        <v>46175.473576388889</v>
      </c>
      <c r="O1481" s="14" t="str">
        <f>HYPERLINK("https://otsuka-europe-crm.veevavault.com/ui/#object/email_activity__v/V8C00000003K715", "EN-002087243")</f>
        <v>EN-002087243</v>
      </c>
    </row>
    <row r="1482" spans="1:15" ht="16" x14ac:dyDescent="0.2">
      <c r="A1482" s="19"/>
      <c r="B1482" s="19"/>
      <c r="C1482" s="19"/>
      <c r="D1482" s="19"/>
      <c r="E1482" s="19"/>
      <c r="F1482" s="19"/>
      <c r="G1482" s="19"/>
      <c r="H1482" s="19"/>
      <c r="I1482" s="19"/>
      <c r="J1482" s="19"/>
      <c r="K1482" s="19"/>
      <c r="L1482" s="19"/>
      <c r="M1482" s="19"/>
      <c r="N1482" s="19"/>
      <c r="O1482" s="14" t="str">
        <f>HYPERLINK("https://otsuka-europe-crm.veevavault.com/ui/#object/email_activity__v/V8C00000003K827", "EN-002087505")</f>
        <v>EN-002087505</v>
      </c>
    </row>
    <row r="1483" spans="1:15" ht="32" x14ac:dyDescent="0.2">
      <c r="A1483" s="7" t="str">
        <f>HYPERLINK("https://otsuka-europe-crm.veevavault.com/ui/#object/account__v/V4TZ025E83FPITG", "LILIYA YANKOVA KOMSALOVA")</f>
        <v>LILIYA YANKOVA KOMSALOVA</v>
      </c>
      <c r="B1483" s="7" t="str">
        <f>HYPERLINK("https://otsuka-europe-crm.veevavault.com/ui/#object/vcountry__v/VENZ000004SONF5", "ES")</f>
        <v>ES</v>
      </c>
      <c r="C1483" s="8" t="s">
        <v>41</v>
      </c>
      <c r="D1483" s="9" t="str">
        <f>HYPERLINK("https://otsuka-europe-crm.veevavault.com/ui/#object/approved_document__v/V5O00000001H025", "LUP - VAE invitación simposio SEN-SER - Reuma")</f>
        <v>LUP - VAE invitación simposio SEN-SER - Reuma</v>
      </c>
      <c r="E1483" s="10" t="str">
        <f>HYPERLINK("https://otsuka-europe-crm.veevavault.com/ui/#object/sent_email__v/VBL00000002N520", "SE-001431501")</f>
        <v>SE-001431501</v>
      </c>
      <c r="F1483" s="11"/>
      <c r="G1483" s="12">
        <v>0</v>
      </c>
      <c r="H1483" s="12">
        <v>0</v>
      </c>
      <c r="I1483" s="12">
        <v>0</v>
      </c>
      <c r="J1483" s="11"/>
      <c r="K1483" s="12">
        <v>0</v>
      </c>
      <c r="L1483" s="10" t="str">
        <f>HYPERLINK("https://otsuka-europe-crm.veevavault.com/ui/#object/approved_document__v/V5O00000001H025", "LUP - VAE invitación simposio SEN-SER - Reuma")</f>
        <v>LUP - VAE invitación simposio SEN-SER - Reuma</v>
      </c>
      <c r="M1483" s="10" t="str">
        <f>HYPERLINK("mailto:ccalero@crm.otsuka-europe.com", "ccalero@crm.otsuka-europe.com")</f>
        <v>ccalero@crm.otsuka-europe.com</v>
      </c>
      <c r="N1483" s="13">
        <v>46175.473553240743</v>
      </c>
      <c r="O1483" s="14" t="str">
        <f>HYPERLINK("https://otsuka-europe-crm.veevavault.com/ui/#object/email_activity__v/V8C00000003K719", "EN-002087256")</f>
        <v>EN-002087256</v>
      </c>
    </row>
    <row r="1484" spans="1:15" ht="16" x14ac:dyDescent="0.2">
      <c r="A1484" s="17" t="str">
        <f>HYPERLINK("https://otsuka-europe-crm.veevavault.com/ui/#object/account__v/V4TZ04ASG9U69I6", "JOSE CARLOS ROSAS GOMEZ DE SALAZAR")</f>
        <v>JOSE CARLOS ROSAS GOMEZ DE SALAZAR</v>
      </c>
      <c r="B1484" s="17" t="str">
        <f>HYPERLINK("https://otsuka-europe-crm.veevavault.com/ui/#object/vcountry__v/VENZ000004SONF5", "ES")</f>
        <v>ES</v>
      </c>
      <c r="C1484" s="20" t="s">
        <v>41</v>
      </c>
      <c r="D1484" s="21" t="str">
        <f>HYPERLINK("https://otsuka-europe-crm.veevavault.com/ui/#object/approved_document__v/V5O00000001H025", "LUP - VAE invitación simposio SEN-SER - Reuma")</f>
        <v>LUP - VAE invitación simposio SEN-SER - Reuma</v>
      </c>
      <c r="E1484" s="22" t="str">
        <f>HYPERLINK("https://otsuka-europe-crm.veevavault.com/ui/#object/sent_email__v/VBL00000002N521", "SE-001431502")</f>
        <v>SE-001431502</v>
      </c>
      <c r="F1484" s="23">
        <v>46179.73228009259</v>
      </c>
      <c r="G1484" s="24">
        <v>1</v>
      </c>
      <c r="H1484" s="24">
        <v>2</v>
      </c>
      <c r="I1484" s="24">
        <v>1</v>
      </c>
      <c r="J1484" s="23">
        <v>46179.733634259261</v>
      </c>
      <c r="K1484" s="24">
        <v>2</v>
      </c>
      <c r="L1484" s="22" t="str">
        <f>HYPERLINK("https://otsuka-europe-crm.veevavault.com/ui/#object/approved_document__v/V5O00000001H025", "LUP - VAE invitación simposio SEN-SER - Reuma")</f>
        <v>LUP - VAE invitación simposio SEN-SER - Reuma</v>
      </c>
      <c r="M1484" s="22" t="str">
        <f>HYPERLINK("mailto:ccalero@crm.otsuka-europe.com", "ccalero@crm.otsuka-europe.com")</f>
        <v>ccalero@crm.otsuka-europe.com</v>
      </c>
      <c r="N1484" s="23">
        <v>46175.473576388889</v>
      </c>
      <c r="O1484" s="14" t="str">
        <f>HYPERLINK("https://otsuka-europe-crm.veevavault.com/ui/#object/email_activity__v/V8C00000003K706", "EN-002087230")</f>
        <v>EN-002087230</v>
      </c>
    </row>
    <row r="1485" spans="1:15" ht="16" x14ac:dyDescent="0.2">
      <c r="A1485" s="18"/>
      <c r="B1485" s="18"/>
      <c r="C1485" s="18"/>
      <c r="D1485" s="18"/>
      <c r="E1485" s="18"/>
      <c r="F1485" s="18"/>
      <c r="G1485" s="18"/>
      <c r="H1485" s="18"/>
      <c r="I1485" s="18"/>
      <c r="J1485" s="18"/>
      <c r="K1485" s="18"/>
      <c r="L1485" s="18"/>
      <c r="M1485" s="18"/>
      <c r="N1485" s="18"/>
      <c r="O1485" s="14" t="str">
        <f>HYPERLINK("https://otsuka-europe-crm.veevavault.com/ui/#object/email_activity__v/V8C00000003L721", "EN-002087409")</f>
        <v>EN-002087409</v>
      </c>
    </row>
    <row r="1486" spans="1:15" ht="16" x14ac:dyDescent="0.2">
      <c r="A1486" s="18"/>
      <c r="B1486" s="18"/>
      <c r="C1486" s="18"/>
      <c r="D1486" s="18"/>
      <c r="E1486" s="18"/>
      <c r="F1486" s="18"/>
      <c r="G1486" s="18"/>
      <c r="H1486" s="18"/>
      <c r="I1486" s="18"/>
      <c r="J1486" s="18"/>
      <c r="K1486" s="18"/>
      <c r="L1486" s="18"/>
      <c r="M1486" s="18"/>
      <c r="N1486" s="18"/>
      <c r="O1486" s="14" t="str">
        <f>HYPERLINK("https://otsuka-europe-crm.veevavault.com/ui/#object/email_activity__v/V8C00000003O095", "EN-002089436")</f>
        <v>EN-002089436</v>
      </c>
    </row>
    <row r="1487" spans="1:15" ht="16" x14ac:dyDescent="0.2">
      <c r="A1487" s="18"/>
      <c r="B1487" s="18"/>
      <c r="C1487" s="18"/>
      <c r="D1487" s="18"/>
      <c r="E1487" s="18"/>
      <c r="F1487" s="18"/>
      <c r="G1487" s="18"/>
      <c r="H1487" s="18"/>
      <c r="I1487" s="18"/>
      <c r="J1487" s="18"/>
      <c r="K1487" s="18"/>
      <c r="L1487" s="18"/>
      <c r="M1487" s="18"/>
      <c r="N1487" s="18"/>
      <c r="O1487" s="14" t="str">
        <f>HYPERLINK("https://otsuka-europe-crm.veevavault.com/ui/#object/email_activity__v/V8C00000003O096", "EN-002089437")</f>
        <v>EN-002089437</v>
      </c>
    </row>
    <row r="1488" spans="1:15" ht="16" x14ac:dyDescent="0.2">
      <c r="A1488" s="18"/>
      <c r="B1488" s="18"/>
      <c r="C1488" s="18"/>
      <c r="D1488" s="18"/>
      <c r="E1488" s="18"/>
      <c r="F1488" s="18"/>
      <c r="G1488" s="18"/>
      <c r="H1488" s="18"/>
      <c r="I1488" s="18"/>
      <c r="J1488" s="18"/>
      <c r="K1488" s="18"/>
      <c r="L1488" s="18"/>
      <c r="M1488" s="18"/>
      <c r="N1488" s="18"/>
      <c r="O1488" s="14" t="str">
        <f>HYPERLINK("https://otsuka-europe-crm.veevavault.com/ui/#object/email_activity__v/V8C00000003P102", "EN-002089438")</f>
        <v>EN-002089438</v>
      </c>
    </row>
    <row r="1489" spans="1:15" ht="16" x14ac:dyDescent="0.2">
      <c r="A1489" s="18"/>
      <c r="B1489" s="18"/>
      <c r="C1489" s="18"/>
      <c r="D1489" s="18"/>
      <c r="E1489" s="18"/>
      <c r="F1489" s="18"/>
      <c r="G1489" s="18"/>
      <c r="H1489" s="18"/>
      <c r="I1489" s="18"/>
      <c r="J1489" s="18"/>
      <c r="K1489" s="18"/>
      <c r="L1489" s="18"/>
      <c r="M1489" s="18"/>
      <c r="N1489" s="18"/>
      <c r="O1489" s="14" t="str">
        <f>HYPERLINK("https://otsuka-europe-crm.veevavault.com/ui/#object/email_activity__v/V8C00000003P103", "EN-002089441")</f>
        <v>EN-002089441</v>
      </c>
    </row>
    <row r="1490" spans="1:15" ht="16" x14ac:dyDescent="0.2">
      <c r="A1490" s="18"/>
      <c r="B1490" s="18"/>
      <c r="C1490" s="18"/>
      <c r="D1490" s="18"/>
      <c r="E1490" s="18"/>
      <c r="F1490" s="18"/>
      <c r="G1490" s="18"/>
      <c r="H1490" s="18"/>
      <c r="I1490" s="18"/>
      <c r="J1490" s="18"/>
      <c r="K1490" s="18"/>
      <c r="L1490" s="18"/>
      <c r="M1490" s="18"/>
      <c r="N1490" s="18"/>
      <c r="O1490" s="14" t="str">
        <f>HYPERLINK("https://otsuka-europe-crm.veevavault.com/ui/#object/email_activity__v/V8C00000003P104", "EN-002089442")</f>
        <v>EN-002089442</v>
      </c>
    </row>
    <row r="1491" spans="1:15" ht="16" x14ac:dyDescent="0.2">
      <c r="A1491" s="18"/>
      <c r="B1491" s="18"/>
      <c r="C1491" s="18"/>
      <c r="D1491" s="18"/>
      <c r="E1491" s="18"/>
      <c r="F1491" s="18"/>
      <c r="G1491" s="18"/>
      <c r="H1491" s="18"/>
      <c r="I1491" s="18"/>
      <c r="J1491" s="18"/>
      <c r="K1491" s="18"/>
      <c r="L1491" s="18"/>
      <c r="M1491" s="18"/>
      <c r="N1491" s="18"/>
      <c r="O1491" s="14" t="str">
        <f>HYPERLINK("https://otsuka-europe-crm.veevavault.com/ui/#object/email_activity__v/V8C00000003P105", "EN-002089443")</f>
        <v>EN-002089443</v>
      </c>
    </row>
    <row r="1492" spans="1:15" ht="16" x14ac:dyDescent="0.2">
      <c r="A1492" s="18"/>
      <c r="B1492" s="18"/>
      <c r="C1492" s="18"/>
      <c r="D1492" s="18"/>
      <c r="E1492" s="18"/>
      <c r="F1492" s="18"/>
      <c r="G1492" s="18"/>
      <c r="H1492" s="18"/>
      <c r="I1492" s="18"/>
      <c r="J1492" s="18"/>
      <c r="K1492" s="18"/>
      <c r="L1492" s="18"/>
      <c r="M1492" s="18"/>
      <c r="N1492" s="18"/>
      <c r="O1492" s="14" t="str">
        <f>HYPERLINK("https://otsuka-europe-crm.veevavault.com/ui/#object/email_activity__v/V8C00000003P106", "EN-002089444")</f>
        <v>EN-002089444</v>
      </c>
    </row>
    <row r="1493" spans="1:15" ht="16" x14ac:dyDescent="0.2">
      <c r="A1493" s="18"/>
      <c r="B1493" s="18"/>
      <c r="C1493" s="18"/>
      <c r="D1493" s="18"/>
      <c r="E1493" s="18"/>
      <c r="F1493" s="18"/>
      <c r="G1493" s="18"/>
      <c r="H1493" s="18"/>
      <c r="I1493" s="18"/>
      <c r="J1493" s="18"/>
      <c r="K1493" s="18"/>
      <c r="L1493" s="18"/>
      <c r="M1493" s="18"/>
      <c r="N1493" s="18"/>
      <c r="O1493" s="14" t="str">
        <f>HYPERLINK("https://otsuka-europe-crm.veevavault.com/ui/#object/email_activity__v/V8C00000003P107", "EN-002089445")</f>
        <v>EN-002089445</v>
      </c>
    </row>
    <row r="1494" spans="1:15" ht="16" x14ac:dyDescent="0.2">
      <c r="A1494" s="19"/>
      <c r="B1494" s="19"/>
      <c r="C1494" s="19"/>
      <c r="D1494" s="19"/>
      <c r="E1494" s="19"/>
      <c r="F1494" s="19"/>
      <c r="G1494" s="19"/>
      <c r="H1494" s="19"/>
      <c r="I1494" s="19"/>
      <c r="J1494" s="19"/>
      <c r="K1494" s="19"/>
      <c r="L1494" s="19"/>
      <c r="M1494" s="19"/>
      <c r="N1494" s="19"/>
      <c r="O1494" s="14" t="str">
        <f>HYPERLINK("https://otsuka-europe-crm.veevavault.com/ui/#object/email_activity__v/V8C00000003P108", "EN-002089446")</f>
        <v>EN-002089446</v>
      </c>
    </row>
    <row r="1495" spans="1:15" ht="16" x14ac:dyDescent="0.2">
      <c r="A1495" s="17" t="str">
        <f>HYPERLINK("https://otsuka-europe-crm.veevavault.com/ui/#object/account__v/V4TZ06G6O9VLUFY", "CARMEN PALOMA VELA CASASEMPERE")</f>
        <v>CARMEN PALOMA VELA CASASEMPERE</v>
      </c>
      <c r="B1495" s="17" t="str">
        <f>HYPERLINK("https://otsuka-europe-crm.veevavault.com/ui/#object/vcountry__v/VENZ000004SONF5", "ES")</f>
        <v>ES</v>
      </c>
      <c r="C1495" s="20" t="s">
        <v>41</v>
      </c>
      <c r="D1495" s="21" t="str">
        <f>HYPERLINK("https://otsuka-europe-crm.veevavault.com/ui/#object/approved_document__v/V5O00000001H025", "LUP - VAE invitación simposio SEN-SER - Reuma")</f>
        <v>LUP - VAE invitación simposio SEN-SER - Reuma</v>
      </c>
      <c r="E1495" s="22" t="str">
        <f>HYPERLINK("https://otsuka-europe-crm.veevavault.com/ui/#object/sent_email__v/VBL00000002N522", "SE-001431503")</f>
        <v>SE-001431503</v>
      </c>
      <c r="F1495" s="23">
        <v>46175.703645833331</v>
      </c>
      <c r="G1495" s="24">
        <v>1</v>
      </c>
      <c r="H1495" s="24">
        <v>1</v>
      </c>
      <c r="I1495" s="24">
        <v>0</v>
      </c>
      <c r="J1495" s="25"/>
      <c r="K1495" s="24">
        <v>0</v>
      </c>
      <c r="L1495" s="22" t="str">
        <f>HYPERLINK("https://otsuka-europe-crm.veevavault.com/ui/#object/approved_document__v/V5O00000001H025", "LUP - VAE invitación simposio SEN-SER - Reuma")</f>
        <v>LUP - VAE invitación simposio SEN-SER - Reuma</v>
      </c>
      <c r="M1495" s="22" t="str">
        <f>HYPERLINK("mailto:ccalero@crm.otsuka-europe.com", "ccalero@crm.otsuka-europe.com")</f>
        <v>ccalero@crm.otsuka-europe.com</v>
      </c>
      <c r="N1495" s="23">
        <v>46175.473564814813</v>
      </c>
      <c r="O1495" s="14" t="str">
        <f>HYPERLINK("https://otsuka-europe-crm.veevavault.com/ui/#object/email_activity__v/V8C00000003L621", "EN-002087248")</f>
        <v>EN-002087248</v>
      </c>
    </row>
    <row r="1496" spans="1:15" ht="16" x14ac:dyDescent="0.2">
      <c r="A1496" s="19"/>
      <c r="B1496" s="19"/>
      <c r="C1496" s="19"/>
      <c r="D1496" s="19"/>
      <c r="E1496" s="19"/>
      <c r="F1496" s="19"/>
      <c r="G1496" s="19"/>
      <c r="H1496" s="19"/>
      <c r="I1496" s="19"/>
      <c r="J1496" s="19"/>
      <c r="K1496" s="19"/>
      <c r="L1496" s="19"/>
      <c r="M1496" s="19"/>
      <c r="N1496" s="19"/>
      <c r="O1496" s="14" t="str">
        <f>HYPERLINK("https://otsuka-europe-crm.veevavault.com/ui/#object/email_activity__v/V8C00000003M099", "EN-002088022")</f>
        <v>EN-002088022</v>
      </c>
    </row>
    <row r="1497" spans="1:15" ht="16" x14ac:dyDescent="0.2">
      <c r="A1497" s="17" t="str">
        <f>HYPERLINK("https://otsuka-europe-crm.veevavault.com/ui/#object/account__v/V4TZ025E82JUDTR", "MARIA ROCIO GONZALEZ MOLINA")</f>
        <v>MARIA ROCIO GONZALEZ MOLINA</v>
      </c>
      <c r="B1497" s="17" t="str">
        <f>HYPERLINK("https://otsuka-europe-crm.veevavault.com/ui/#object/vcountry__v/VENZ000004SONF5", "ES")</f>
        <v>ES</v>
      </c>
      <c r="C1497" s="20" t="s">
        <v>41</v>
      </c>
      <c r="D1497" s="21" t="str">
        <f>HYPERLINK("https://otsuka-europe-crm.veevavault.com/ui/#object/approved_document__v/V5O00000001H025", "LUP - VAE invitación simposio SEN-SER - Reuma")</f>
        <v>LUP - VAE invitación simposio SEN-SER - Reuma</v>
      </c>
      <c r="E1497" s="22" t="str">
        <f>HYPERLINK("https://otsuka-europe-crm.veevavault.com/ui/#object/sent_email__v/VBL00000002N523", "SE-001431504")</f>
        <v>SE-001431504</v>
      </c>
      <c r="F1497" s="23">
        <v>46175.47388888889</v>
      </c>
      <c r="G1497" s="24">
        <v>1</v>
      </c>
      <c r="H1497" s="24">
        <v>1</v>
      </c>
      <c r="I1497" s="24">
        <v>0</v>
      </c>
      <c r="J1497" s="25"/>
      <c r="K1497" s="24">
        <v>0</v>
      </c>
      <c r="L1497" s="22" t="str">
        <f>HYPERLINK("https://otsuka-europe-crm.veevavault.com/ui/#object/approved_document__v/V5O00000001H025", "LUP - VAE invitación simposio SEN-SER - Reuma")</f>
        <v>LUP - VAE invitación simposio SEN-SER - Reuma</v>
      </c>
      <c r="M1497" s="22" t="str">
        <f>HYPERLINK("mailto:ccalero@crm.otsuka-europe.com", "ccalero@crm.otsuka-europe.com")</f>
        <v>ccalero@crm.otsuka-europe.com</v>
      </c>
      <c r="N1497" s="23">
        <v>46175.473587962966</v>
      </c>
      <c r="O1497" s="14" t="str">
        <f>HYPERLINK("https://otsuka-europe-crm.veevavault.com/ui/#object/email_activity__v/V8C00000003L615", "EN-002087235")</f>
        <v>EN-002087235</v>
      </c>
    </row>
    <row r="1498" spans="1:15" ht="16" x14ac:dyDescent="0.2">
      <c r="A1498" s="18"/>
      <c r="B1498" s="18"/>
      <c r="C1498" s="18"/>
      <c r="D1498" s="18"/>
      <c r="E1498" s="18"/>
      <c r="F1498" s="18"/>
      <c r="G1498" s="18"/>
      <c r="H1498" s="18"/>
      <c r="I1498" s="18"/>
      <c r="J1498" s="18"/>
      <c r="K1498" s="18"/>
      <c r="L1498" s="18"/>
      <c r="M1498" s="18"/>
      <c r="N1498" s="18"/>
      <c r="O1498" s="14" t="str">
        <f>HYPERLINK("https://otsuka-europe-crm.veevavault.com/ui/#object/email_activity__v/V8C00000003L642", "EN-002087282")</f>
        <v>EN-002087282</v>
      </c>
    </row>
    <row r="1499" spans="1:15" ht="16" x14ac:dyDescent="0.2">
      <c r="A1499" s="18"/>
      <c r="B1499" s="18"/>
      <c r="C1499" s="18"/>
      <c r="D1499" s="18"/>
      <c r="E1499" s="18"/>
      <c r="F1499" s="18"/>
      <c r="G1499" s="18"/>
      <c r="H1499" s="18"/>
      <c r="I1499" s="18"/>
      <c r="J1499" s="18"/>
      <c r="K1499" s="18"/>
      <c r="L1499" s="18"/>
      <c r="M1499" s="18"/>
      <c r="N1499" s="18"/>
      <c r="O1499" s="14" t="str">
        <f>HYPERLINK("https://otsuka-europe-crm.veevavault.com/ui/#object/email_activity__v/V8C00000003O108", "EN-002089462")</f>
        <v>EN-002089462</v>
      </c>
    </row>
    <row r="1500" spans="1:15" ht="16" x14ac:dyDescent="0.2">
      <c r="A1500" s="19"/>
      <c r="B1500" s="19"/>
      <c r="C1500" s="19"/>
      <c r="D1500" s="19"/>
      <c r="E1500" s="19"/>
      <c r="F1500" s="19"/>
      <c r="G1500" s="19"/>
      <c r="H1500" s="19"/>
      <c r="I1500" s="19"/>
      <c r="J1500" s="19"/>
      <c r="K1500" s="19"/>
      <c r="L1500" s="19"/>
      <c r="M1500" s="19"/>
      <c r="N1500" s="19"/>
      <c r="O1500" s="14" t="str">
        <f>HYPERLINK("https://otsuka-europe-crm.veevavault.com/ui/#object/email_activity__v/V8C000000040158", "EN-002098974")</f>
        <v>EN-002098974</v>
      </c>
    </row>
    <row r="1501" spans="1:15" ht="16" x14ac:dyDescent="0.2">
      <c r="A1501" s="17" t="str">
        <f>HYPERLINK("https://otsuka-europe-crm.veevavault.com/ui/#object/account__v/V4TZ025E85URXPG", "JOSE ANTONIO GONZALEZ FERRANDEZ")</f>
        <v>JOSE ANTONIO GONZALEZ FERRANDEZ</v>
      </c>
      <c r="B1501" s="17" t="str">
        <f>HYPERLINK("https://otsuka-europe-crm.veevavault.com/ui/#object/vcountry__v/VENZ000004SONF5", "ES")</f>
        <v>ES</v>
      </c>
      <c r="C1501" s="20" t="s">
        <v>41</v>
      </c>
      <c r="D1501" s="21" t="str">
        <f>HYPERLINK("https://otsuka-europe-crm.veevavault.com/ui/#object/approved_document__v/V5O00000001H025", "LUP - VAE invitación simposio SEN-SER - Reuma")</f>
        <v>LUP - VAE invitación simposio SEN-SER - Reuma</v>
      </c>
      <c r="E1501" s="22" t="str">
        <f>HYPERLINK("https://otsuka-europe-crm.veevavault.com/ui/#object/sent_email__v/VBL00000002N524", "SE-001431505")</f>
        <v>SE-001431505</v>
      </c>
      <c r="F1501" s="23">
        <v>46175.506631944445</v>
      </c>
      <c r="G1501" s="24">
        <v>1</v>
      </c>
      <c r="H1501" s="24">
        <v>1</v>
      </c>
      <c r="I1501" s="24">
        <v>0</v>
      </c>
      <c r="J1501" s="25"/>
      <c r="K1501" s="24">
        <v>0</v>
      </c>
      <c r="L1501" s="22" t="str">
        <f>HYPERLINK("https://otsuka-europe-crm.veevavault.com/ui/#object/approved_document__v/V5O00000001H025", "LUP - VAE invitación simposio SEN-SER - Reuma")</f>
        <v>LUP - VAE invitación simposio SEN-SER - Reuma</v>
      </c>
      <c r="M1501" s="22" t="str">
        <f>HYPERLINK("mailto:ccalero@crm.otsuka-europe.com", "ccalero@crm.otsuka-europe.com")</f>
        <v>ccalero@crm.otsuka-europe.com</v>
      </c>
      <c r="N1501" s="23">
        <v>46175.473564814813</v>
      </c>
      <c r="O1501" s="14" t="str">
        <f>HYPERLINK("https://otsuka-europe-crm.veevavault.com/ui/#object/email_activity__v/V8C00000003K814", "EN-002087470")</f>
        <v>EN-002087470</v>
      </c>
    </row>
    <row r="1502" spans="1:15" ht="16" x14ac:dyDescent="0.2">
      <c r="A1502" s="19"/>
      <c r="B1502" s="19"/>
      <c r="C1502" s="19"/>
      <c r="D1502" s="19"/>
      <c r="E1502" s="19"/>
      <c r="F1502" s="19"/>
      <c r="G1502" s="19"/>
      <c r="H1502" s="19"/>
      <c r="I1502" s="19"/>
      <c r="J1502" s="19"/>
      <c r="K1502" s="19"/>
      <c r="L1502" s="19"/>
      <c r="M1502" s="19"/>
      <c r="N1502" s="19"/>
      <c r="O1502" s="14" t="str">
        <f>HYPERLINK("https://otsuka-europe-crm.veevavault.com/ui/#object/email_activity__v/V8C00000003L622", "EN-002087249")</f>
        <v>EN-002087249</v>
      </c>
    </row>
    <row r="1503" spans="1:15" ht="16" x14ac:dyDescent="0.2">
      <c r="A1503" s="17" t="str">
        <f>HYPERLINK("https://otsuka-europe-crm.veevavault.com/ui/#object/account__v/V4T000000010074", "IAGO ALCANTARA ALVAREZ")</f>
        <v>IAGO ALCANTARA ALVAREZ</v>
      </c>
      <c r="B1503" s="17" t="str">
        <f>HYPERLINK("https://otsuka-europe-crm.veevavault.com/ui/#object/vcountry__v/VENZ000004SONF5", "ES")</f>
        <v>ES</v>
      </c>
      <c r="C1503" s="20" t="s">
        <v>41</v>
      </c>
      <c r="D1503" s="21" t="str">
        <f>HYPERLINK("https://otsuka-europe-crm.veevavault.com/ui/#object/approved_document__v/V5O00000001H025", "LUP - VAE invitación simposio SEN-SER - Reuma")</f>
        <v>LUP - VAE invitación simposio SEN-SER - Reuma</v>
      </c>
      <c r="E1503" s="22" t="str">
        <f>HYPERLINK("https://otsuka-europe-crm.veevavault.com/ui/#object/sent_email__v/VBL00000002N525", "SE-001431506")</f>
        <v>SE-001431506</v>
      </c>
      <c r="F1503" s="23">
        <v>46175.804212962961</v>
      </c>
      <c r="G1503" s="24">
        <v>1</v>
      </c>
      <c r="H1503" s="24">
        <v>1</v>
      </c>
      <c r="I1503" s="24">
        <v>1</v>
      </c>
      <c r="J1503" s="23">
        <v>46182.63784722222</v>
      </c>
      <c r="K1503" s="24">
        <v>3</v>
      </c>
      <c r="L1503" s="22" t="str">
        <f>HYPERLINK("https://otsuka-europe-crm.veevavault.com/ui/#object/approved_document__v/V5O00000001H025", "LUP - VAE invitación simposio SEN-SER - Reuma")</f>
        <v>LUP - VAE invitación simposio SEN-SER - Reuma</v>
      </c>
      <c r="M1503" s="22" t="str">
        <f>HYPERLINK("mailto:ccalero@crm.otsuka-europe.com", "ccalero@crm.otsuka-europe.com")</f>
        <v>ccalero@crm.otsuka-europe.com</v>
      </c>
      <c r="N1503" s="23">
        <v>46175.473564814813</v>
      </c>
      <c r="O1503" s="14" t="str">
        <f>HYPERLINK("https://otsuka-europe-crm.veevavault.com/ui/#object/email_activity__v/V8C00000003L624", "EN-002087251")</f>
        <v>EN-002087251</v>
      </c>
    </row>
    <row r="1504" spans="1:15" ht="16" x14ac:dyDescent="0.2">
      <c r="A1504" s="18"/>
      <c r="B1504" s="18"/>
      <c r="C1504" s="18"/>
      <c r="D1504" s="18"/>
      <c r="E1504" s="18"/>
      <c r="F1504" s="18"/>
      <c r="G1504" s="18"/>
      <c r="H1504" s="18"/>
      <c r="I1504" s="18"/>
      <c r="J1504" s="18"/>
      <c r="K1504" s="18"/>
      <c r="L1504" s="18"/>
      <c r="M1504" s="18"/>
      <c r="N1504" s="18"/>
      <c r="O1504" s="14" t="str">
        <f>HYPERLINK("https://otsuka-europe-crm.veevavault.com/ui/#object/email_activity__v/V8C00000003M163", "EN-002088332")</f>
        <v>EN-002088332</v>
      </c>
    </row>
    <row r="1505" spans="1:15" ht="16" x14ac:dyDescent="0.2">
      <c r="A1505" s="18"/>
      <c r="B1505" s="18"/>
      <c r="C1505" s="18"/>
      <c r="D1505" s="18"/>
      <c r="E1505" s="18"/>
      <c r="F1505" s="18"/>
      <c r="G1505" s="18"/>
      <c r="H1505" s="18"/>
      <c r="I1505" s="18"/>
      <c r="J1505" s="18"/>
      <c r="K1505" s="18"/>
      <c r="L1505" s="18"/>
      <c r="M1505" s="18"/>
      <c r="N1505" s="18"/>
      <c r="O1505" s="14" t="str">
        <f>HYPERLINK("https://otsuka-europe-crm.veevavault.com/ui/#object/email_activity__v/V8C00000003M164", "EN-002088330")</f>
        <v>EN-002088330</v>
      </c>
    </row>
    <row r="1506" spans="1:15" ht="16" x14ac:dyDescent="0.2">
      <c r="A1506" s="18"/>
      <c r="B1506" s="18"/>
      <c r="C1506" s="18"/>
      <c r="D1506" s="18"/>
      <c r="E1506" s="18"/>
      <c r="F1506" s="18"/>
      <c r="G1506" s="18"/>
      <c r="H1506" s="18"/>
      <c r="I1506" s="18"/>
      <c r="J1506" s="18"/>
      <c r="K1506" s="18"/>
      <c r="L1506" s="18"/>
      <c r="M1506" s="18"/>
      <c r="N1506" s="18"/>
      <c r="O1506" s="14" t="str">
        <f>HYPERLINK("https://otsuka-europe-crm.veevavault.com/ui/#object/email_activity__v/V8C00000003M165", "EN-002088334")</f>
        <v>EN-002088334</v>
      </c>
    </row>
    <row r="1507" spans="1:15" ht="16" x14ac:dyDescent="0.2">
      <c r="A1507" s="18"/>
      <c r="B1507" s="18"/>
      <c r="C1507" s="18"/>
      <c r="D1507" s="18"/>
      <c r="E1507" s="18"/>
      <c r="F1507" s="18"/>
      <c r="G1507" s="18"/>
      <c r="H1507" s="18"/>
      <c r="I1507" s="18"/>
      <c r="J1507" s="18"/>
      <c r="K1507" s="18"/>
      <c r="L1507" s="18"/>
      <c r="M1507" s="18"/>
      <c r="N1507" s="18"/>
      <c r="O1507" s="14" t="str">
        <f>HYPERLINK("https://otsuka-europe-crm.veevavault.com/ui/#object/email_activity__v/V8C00000003M197", "EN-002088378")</f>
        <v>EN-002088378</v>
      </c>
    </row>
    <row r="1508" spans="1:15" ht="16" x14ac:dyDescent="0.2">
      <c r="A1508" s="18"/>
      <c r="B1508" s="18"/>
      <c r="C1508" s="18"/>
      <c r="D1508" s="18"/>
      <c r="E1508" s="18"/>
      <c r="F1508" s="18"/>
      <c r="G1508" s="18"/>
      <c r="H1508" s="18"/>
      <c r="I1508" s="18"/>
      <c r="J1508" s="18"/>
      <c r="K1508" s="18"/>
      <c r="L1508" s="18"/>
      <c r="M1508" s="18"/>
      <c r="N1508" s="18"/>
      <c r="O1508" s="14" t="str">
        <f>HYPERLINK("https://otsuka-europe-crm.veevavault.com/ui/#object/email_activity__v/V8C00000003M200", "EN-002088381")</f>
        <v>EN-002088381</v>
      </c>
    </row>
    <row r="1509" spans="1:15" ht="16" x14ac:dyDescent="0.2">
      <c r="A1509" s="18"/>
      <c r="B1509" s="18"/>
      <c r="C1509" s="18"/>
      <c r="D1509" s="18"/>
      <c r="E1509" s="18"/>
      <c r="F1509" s="18"/>
      <c r="G1509" s="18"/>
      <c r="H1509" s="18"/>
      <c r="I1509" s="18"/>
      <c r="J1509" s="18"/>
      <c r="K1509" s="18"/>
      <c r="L1509" s="18"/>
      <c r="M1509" s="18"/>
      <c r="N1509" s="18"/>
      <c r="O1509" s="14" t="str">
        <f>HYPERLINK("https://otsuka-europe-crm.veevavault.com/ui/#object/email_activity__v/V8C00000003S147", "EN-002093180")</f>
        <v>EN-002093180</v>
      </c>
    </row>
    <row r="1510" spans="1:15" ht="16" x14ac:dyDescent="0.2">
      <c r="A1510" s="19"/>
      <c r="B1510" s="19"/>
      <c r="C1510" s="19"/>
      <c r="D1510" s="19"/>
      <c r="E1510" s="19"/>
      <c r="F1510" s="19"/>
      <c r="G1510" s="19"/>
      <c r="H1510" s="19"/>
      <c r="I1510" s="19"/>
      <c r="J1510" s="19"/>
      <c r="K1510" s="19"/>
      <c r="L1510" s="19"/>
      <c r="M1510" s="19"/>
      <c r="N1510" s="19"/>
      <c r="O1510" s="14" t="str">
        <f>HYPERLINK("https://otsuka-europe-crm.veevavault.com/ui/#object/email_activity__v/V8C00000003S195", "EN-002093283")</f>
        <v>EN-002093283</v>
      </c>
    </row>
    <row r="1511" spans="1:15" ht="32" x14ac:dyDescent="0.2">
      <c r="A1511" s="7" t="str">
        <f>HYPERLINK("https://otsuka-europe-crm.veevavault.com/ui/#object/account__v/V4TZ04ASGAZO2YG", "CRISTINA FERNANDEZ CARBALLIDO")</f>
        <v>CRISTINA FERNANDEZ CARBALLIDO</v>
      </c>
      <c r="B1511" s="7" t="str">
        <f>HYPERLINK("https://otsuka-europe-crm.veevavault.com/ui/#object/vcountry__v/VENZ000004SONF5", "ES")</f>
        <v>ES</v>
      </c>
      <c r="C1511" s="8" t="s">
        <v>41</v>
      </c>
      <c r="D1511" s="9" t="str">
        <f>HYPERLINK("https://otsuka-europe-crm.veevavault.com/ui/#object/approved_document__v/V5O00000001H025", "LUP - VAE invitación simposio SEN-SER - Reuma")</f>
        <v>LUP - VAE invitación simposio SEN-SER - Reuma</v>
      </c>
      <c r="E1511" s="10" t="str">
        <f>HYPERLINK("https://otsuka-europe-crm.veevavault.com/ui/#object/sent_email__v/VBL00000002N526", "SE-001431507")</f>
        <v>SE-001431507</v>
      </c>
      <c r="F1511" s="11"/>
      <c r="G1511" s="12">
        <v>0</v>
      </c>
      <c r="H1511" s="12">
        <v>0</v>
      </c>
      <c r="I1511" s="12">
        <v>0</v>
      </c>
      <c r="J1511" s="11"/>
      <c r="K1511" s="12">
        <v>0</v>
      </c>
      <c r="L1511" s="10" t="str">
        <f>HYPERLINK("https://otsuka-europe-crm.veevavault.com/ui/#object/approved_document__v/V5O00000001H025", "LUP - VAE invitación simposio SEN-SER - Reuma")</f>
        <v>LUP - VAE invitación simposio SEN-SER - Reuma</v>
      </c>
      <c r="M1511" s="10" t="str">
        <f>HYPERLINK("mailto:ccalero@crm.otsuka-europe.com", "ccalero@crm.otsuka-europe.com")</f>
        <v>ccalero@crm.otsuka-europe.com</v>
      </c>
      <c r="N1511" s="13">
        <v>46175.473564814813</v>
      </c>
      <c r="O1511" s="14" t="str">
        <f>HYPERLINK("https://otsuka-europe-crm.veevavault.com/ui/#object/email_activity__v/V8C00000003L612", "EN-002087226")</f>
        <v>EN-002087226</v>
      </c>
    </row>
    <row r="1512" spans="1:15" ht="16" x14ac:dyDescent="0.2">
      <c r="A1512" s="17" t="str">
        <f>HYPERLINK("https://otsuka-europe-crm.veevavault.com/ui/#object/account__v/V4TZ025E894ODS6", "PAULA SEBASTIA PUIG")</f>
        <v>PAULA SEBASTIA PUIG</v>
      </c>
      <c r="B1512" s="17" t="str">
        <f>HYPERLINK("https://otsuka-europe-crm.veevavault.com/ui/#object/vcountry__v/VENZ000004SONF5", "ES")</f>
        <v>ES</v>
      </c>
      <c r="C1512" s="20" t="s">
        <v>41</v>
      </c>
      <c r="D1512" s="21" t="str">
        <f>HYPERLINK("https://otsuka-europe-crm.veevavault.com/ui/#object/approved_document__v/V5O00000001H025", "LUP - VAE invitación simposio SEN-SER - Reuma")</f>
        <v>LUP - VAE invitación simposio SEN-SER - Reuma</v>
      </c>
      <c r="E1512" s="22" t="str">
        <f>HYPERLINK("https://otsuka-europe-crm.veevavault.com/ui/#object/sent_email__v/VBL00000002N527", "SE-001431508")</f>
        <v>SE-001431508</v>
      </c>
      <c r="F1512" s="23">
        <v>46176.649884259263</v>
      </c>
      <c r="G1512" s="24">
        <v>1</v>
      </c>
      <c r="H1512" s="24">
        <v>1</v>
      </c>
      <c r="I1512" s="24">
        <v>0</v>
      </c>
      <c r="J1512" s="25"/>
      <c r="K1512" s="24">
        <v>0</v>
      </c>
      <c r="L1512" s="22" t="str">
        <f>HYPERLINK("https://otsuka-europe-crm.veevavault.com/ui/#object/approved_document__v/V5O00000001H025", "LUP - VAE invitación simposio SEN-SER - Reuma")</f>
        <v>LUP - VAE invitación simposio SEN-SER - Reuma</v>
      </c>
      <c r="M1512" s="22" t="str">
        <f>HYPERLINK("mailto:ccalero@crm.otsuka-europe.com", "ccalero@crm.otsuka-europe.com")</f>
        <v>ccalero@crm.otsuka-europe.com</v>
      </c>
      <c r="N1512" s="23">
        <v>46175.473587962966</v>
      </c>
      <c r="O1512" s="14" t="str">
        <f>HYPERLINK("https://otsuka-europe-crm.veevavault.com/ui/#object/email_activity__v/V8C00000003L614", "EN-002087234")</f>
        <v>EN-002087234</v>
      </c>
    </row>
    <row r="1513" spans="1:15" ht="16" x14ac:dyDescent="0.2">
      <c r="A1513" s="18"/>
      <c r="B1513" s="18"/>
      <c r="C1513" s="18"/>
      <c r="D1513" s="18"/>
      <c r="E1513" s="18"/>
      <c r="F1513" s="18"/>
      <c r="G1513" s="18"/>
      <c r="H1513" s="18"/>
      <c r="I1513" s="18"/>
      <c r="J1513" s="18"/>
      <c r="K1513" s="18"/>
      <c r="L1513" s="18"/>
      <c r="M1513" s="18"/>
      <c r="N1513" s="18"/>
      <c r="O1513" s="14" t="str">
        <f>HYPERLINK("https://otsuka-europe-crm.veevavault.com/ui/#object/email_activity__v/V8C00000003N482", "EN-002088760")</f>
        <v>EN-002088760</v>
      </c>
    </row>
    <row r="1514" spans="1:15" ht="16" x14ac:dyDescent="0.2">
      <c r="A1514" s="19"/>
      <c r="B1514" s="19"/>
      <c r="C1514" s="19"/>
      <c r="D1514" s="19"/>
      <c r="E1514" s="19"/>
      <c r="F1514" s="19"/>
      <c r="G1514" s="19"/>
      <c r="H1514" s="19"/>
      <c r="I1514" s="19"/>
      <c r="J1514" s="19"/>
      <c r="K1514" s="19"/>
      <c r="L1514" s="19"/>
      <c r="M1514" s="19"/>
      <c r="N1514" s="19"/>
      <c r="O1514" s="14" t="str">
        <f>HYPERLINK("https://otsuka-europe-crm.veevavault.com/ui/#object/email_activity__v/V8C00000003U404", "EN-002095665")</f>
        <v>EN-002095665</v>
      </c>
    </row>
    <row r="1515" spans="1:15" ht="32" x14ac:dyDescent="0.2">
      <c r="A1515" s="7" t="str">
        <f>HYPERLINK("https://otsuka-europe-crm.veevavault.com/ui/#object/account__v/V4TZ04ASG9U6DJD", "ROCIO GALLEGO CAMPUZANO")</f>
        <v>ROCIO GALLEGO CAMPUZANO</v>
      </c>
      <c r="B1515" s="7" t="str">
        <f>HYPERLINK("https://otsuka-europe-crm.veevavault.com/ui/#object/vcountry__v/VENZ000004SONF5", "ES")</f>
        <v>ES</v>
      </c>
      <c r="C1515" s="8" t="s">
        <v>41</v>
      </c>
      <c r="D1515" s="9" t="str">
        <f>HYPERLINK("https://otsuka-europe-crm.veevavault.com/ui/#object/approved_document__v/V5O00000001H025", "LUP - VAE invitación simposio SEN-SER - Reuma")</f>
        <v>LUP - VAE invitación simposio SEN-SER - Reuma</v>
      </c>
      <c r="E1515" s="10" t="str">
        <f>HYPERLINK("https://otsuka-europe-crm.veevavault.com/ui/#object/sent_email__v/VBL00000002N528", "SE-001431509")</f>
        <v>SE-001431509</v>
      </c>
      <c r="F1515" s="11"/>
      <c r="G1515" s="12">
        <v>0</v>
      </c>
      <c r="H1515" s="12">
        <v>0</v>
      </c>
      <c r="I1515" s="12">
        <v>0</v>
      </c>
      <c r="J1515" s="11"/>
      <c r="K1515" s="12">
        <v>0</v>
      </c>
      <c r="L1515" s="10" t="str">
        <f>HYPERLINK("https://otsuka-europe-crm.veevavault.com/ui/#object/approved_document__v/V5O00000001H025", "LUP - VAE invitación simposio SEN-SER - Reuma")</f>
        <v>LUP - VAE invitación simposio SEN-SER - Reuma</v>
      </c>
      <c r="M1515" s="10" t="str">
        <f>HYPERLINK("mailto:ccalero@crm.otsuka-europe.com", "ccalero@crm.otsuka-europe.com")</f>
        <v>ccalero@crm.otsuka-europe.com</v>
      </c>
      <c r="N1515" s="13">
        <v>46175.473576388889</v>
      </c>
      <c r="O1515" s="14" t="str">
        <f>HYPERLINK("https://otsuka-europe-crm.veevavault.com/ui/#object/email_activity__v/V8C00000003K704", "EN-002087228")</f>
        <v>EN-002087228</v>
      </c>
    </row>
    <row r="1516" spans="1:15" ht="32" x14ac:dyDescent="0.2">
      <c r="A1516" s="7" t="str">
        <f>HYPERLINK("https://otsuka-europe-crm.veevavault.com/ui/#object/account__v/V4TZ04ASG9U6DFB", "JOSE ANTONIO BERNAL VIDAL")</f>
        <v>JOSE ANTONIO BERNAL VIDAL</v>
      </c>
      <c r="B1516" s="7" t="str">
        <f>HYPERLINK("https://otsuka-europe-crm.veevavault.com/ui/#object/vcountry__v/VENZ000004SONF5", "ES")</f>
        <v>ES</v>
      </c>
      <c r="C1516" s="8" t="s">
        <v>41</v>
      </c>
      <c r="D1516" s="9" t="str">
        <f>HYPERLINK("https://otsuka-europe-crm.veevavault.com/ui/#object/approved_document__v/V5O00000001H025", "LUP - VAE invitación simposio SEN-SER - Reuma")</f>
        <v>LUP - VAE invitación simposio SEN-SER - Reuma</v>
      </c>
      <c r="E1516" s="10" t="str">
        <f>HYPERLINK("https://otsuka-europe-crm.veevavault.com/ui/#object/sent_email__v/VBL00000002N529", "SE-001431510")</f>
        <v>SE-001431510</v>
      </c>
      <c r="F1516" s="11"/>
      <c r="G1516" s="12">
        <v>0</v>
      </c>
      <c r="H1516" s="12">
        <v>0</v>
      </c>
      <c r="I1516" s="12">
        <v>0</v>
      </c>
      <c r="J1516" s="11"/>
      <c r="K1516" s="12">
        <v>0</v>
      </c>
      <c r="L1516" s="10" t="str">
        <f>HYPERLINK("https://otsuka-europe-crm.veevavault.com/ui/#object/approved_document__v/V5O00000001H025", "LUP - VAE invitación simposio SEN-SER - Reuma")</f>
        <v>LUP - VAE invitación simposio SEN-SER - Reuma</v>
      </c>
      <c r="M1516" s="10" t="str">
        <f>HYPERLINK("mailto:ccalero@crm.otsuka-europe.com", "ccalero@crm.otsuka-europe.com")</f>
        <v>ccalero@crm.otsuka-europe.com</v>
      </c>
      <c r="N1516" s="13">
        <v>46175.473587962966</v>
      </c>
      <c r="O1516" s="14" t="str">
        <f>HYPERLINK("https://otsuka-europe-crm.veevavault.com/ui/#object/email_activity__v/V8C00000003K708", "EN-002087232")</f>
        <v>EN-002087232</v>
      </c>
    </row>
    <row r="1517" spans="1:15" ht="16" x14ac:dyDescent="0.2">
      <c r="A1517" s="17" t="str">
        <f>HYPERLINK("https://otsuka-europe-crm.veevavault.com/ui/#object/account__v/V4TZ025E83JBE1U", "MARIA MAR TORMO DIAZ")</f>
        <v>MARIA MAR TORMO DIAZ</v>
      </c>
      <c r="B1517" s="17" t="str">
        <f>HYPERLINK("https://otsuka-europe-crm.veevavault.com/ui/#object/vcountry__v/VENZ000004SONF5", "ES")</f>
        <v>ES</v>
      </c>
      <c r="C1517" s="20" t="s">
        <v>41</v>
      </c>
      <c r="D1517" s="21" t="str">
        <f>HYPERLINK("https://otsuka-europe-crm.veevavault.com/ui/#object/approved_document__v/V5O00000001E009", "INA - VAE quinto episodio Nosquedamosencasa - El impacto emocional en pacientes con LMA")</f>
        <v>INA - VAE quinto episodio Nosquedamosencasa - El impacto emocional en pacientes con LMA</v>
      </c>
      <c r="E1517" s="22" t="str">
        <f>HYPERLINK("https://otsuka-europe-crm.veevavault.com/ui/#object/sent_email__v/VBL00000002N530", "SE-001431511")</f>
        <v>SE-001431511</v>
      </c>
      <c r="F1517" s="25"/>
      <c r="G1517" s="24">
        <v>0</v>
      </c>
      <c r="H1517" s="24">
        <v>0</v>
      </c>
      <c r="I1517" s="24">
        <v>0</v>
      </c>
      <c r="J1517" s="25"/>
      <c r="K1517" s="24">
        <v>0</v>
      </c>
      <c r="L1517" s="22" t="str">
        <f>HYPERLINK("https://otsuka-europe-crm.veevavault.com/ui/#object/approved_document__v/V5O00000001E009", "INA - VAE quinto episodio Nosquedamosencasa - El impacto emocional en pacientes con LMA")</f>
        <v>INA - VAE quinto episodio Nosquedamosencasa - El impacto emocional en pacientes con LMA</v>
      </c>
      <c r="M1517" s="22" t="str">
        <f>HYPERLINK("mailto:ccalero@crm.otsuka-europe.com", "ccalero@crm.otsuka-europe.com")</f>
        <v>ccalero@crm.otsuka-europe.com</v>
      </c>
      <c r="N1517" s="23">
        <v>46175.475474537037</v>
      </c>
      <c r="O1517" s="14" t="str">
        <f>HYPERLINK("https://otsuka-europe-crm.veevavault.com/ui/#object/email_activity__v/V8C00000003K744", "EN-002087328")</f>
        <v>EN-002087328</v>
      </c>
    </row>
    <row r="1518" spans="1:15" ht="16" x14ac:dyDescent="0.2">
      <c r="A1518" s="19"/>
      <c r="B1518" s="19"/>
      <c r="C1518" s="19"/>
      <c r="D1518" s="19"/>
      <c r="E1518" s="19"/>
      <c r="F1518" s="19"/>
      <c r="G1518" s="19"/>
      <c r="H1518" s="19"/>
      <c r="I1518" s="19"/>
      <c r="J1518" s="19"/>
      <c r="K1518" s="19"/>
      <c r="L1518" s="19"/>
      <c r="M1518" s="19"/>
      <c r="N1518" s="19"/>
      <c r="O1518" s="14" t="str">
        <f>HYPERLINK("https://otsuka-europe-crm.veevavault.com/ui/#object/email_activity__v/V8C00000003M244", "EN-002088451")</f>
        <v>EN-002088451</v>
      </c>
    </row>
    <row r="1519" spans="1:15" ht="16" x14ac:dyDescent="0.2">
      <c r="A1519" s="17" t="str">
        <f>HYPERLINK("https://otsuka-europe-crm.veevavault.com/ui/#object/account__v/V4TZ06G6O71TABP", "CRISTINA GIL CORTES")</f>
        <v>CRISTINA GIL CORTES</v>
      </c>
      <c r="B1519" s="17" t="str">
        <f>HYPERLINK("https://otsuka-europe-crm.veevavault.com/ui/#object/vcountry__v/VENZ000004SONF5", "ES")</f>
        <v>ES</v>
      </c>
      <c r="C1519" s="20" t="s">
        <v>41</v>
      </c>
      <c r="D1519" s="21" t="str">
        <f>HYPERLINK("https://otsuka-europe-crm.veevavault.com/ui/#object/approved_document__v/V5O00000001E009", "INA - VAE quinto episodio Nosquedamosencasa - El impacto emocional en pacientes con LMA")</f>
        <v>INA - VAE quinto episodio Nosquedamosencasa - El impacto emocional en pacientes con LMA</v>
      </c>
      <c r="E1519" s="22" t="str">
        <f>HYPERLINK("https://otsuka-europe-crm.veevavault.com/ui/#object/sent_email__v/VBL00000002N531", "SE-001431512")</f>
        <v>SE-001431512</v>
      </c>
      <c r="F1519" s="23">
        <v>46175.696643518517</v>
      </c>
      <c r="G1519" s="24">
        <v>1</v>
      </c>
      <c r="H1519" s="24">
        <v>1</v>
      </c>
      <c r="I1519" s="24">
        <v>0</v>
      </c>
      <c r="J1519" s="25"/>
      <c r="K1519" s="24">
        <v>0</v>
      </c>
      <c r="L1519" s="22" t="str">
        <f>HYPERLINK("https://otsuka-europe-crm.veevavault.com/ui/#object/approved_document__v/V5O00000001E009", "INA - VAE quinto episodio Nosquedamosencasa - El impacto emocional en pacientes con LMA")</f>
        <v>INA - VAE quinto episodio Nosquedamosencasa - El impacto emocional en pacientes con LMA</v>
      </c>
      <c r="M1519" s="22" t="str">
        <f>HYPERLINK("mailto:ccalero@crm.otsuka-europe.com", "ccalero@crm.otsuka-europe.com")</f>
        <v>ccalero@crm.otsuka-europe.com</v>
      </c>
      <c r="N1519" s="23">
        <v>46175.475474537037</v>
      </c>
      <c r="O1519" s="14" t="str">
        <f>HYPERLINK("https://otsuka-europe-crm.veevavault.com/ui/#object/email_activity__v/V8C00000003L694", "EN-002087361")</f>
        <v>EN-002087361</v>
      </c>
    </row>
    <row r="1520" spans="1:15" ht="16" x14ac:dyDescent="0.2">
      <c r="A1520" s="19"/>
      <c r="B1520" s="19"/>
      <c r="C1520" s="19"/>
      <c r="D1520" s="19"/>
      <c r="E1520" s="19"/>
      <c r="F1520" s="19"/>
      <c r="G1520" s="19"/>
      <c r="H1520" s="19"/>
      <c r="I1520" s="19"/>
      <c r="J1520" s="19"/>
      <c r="K1520" s="19"/>
      <c r="L1520" s="19"/>
      <c r="M1520" s="19"/>
      <c r="N1520" s="19"/>
      <c r="O1520" s="14" t="str">
        <f>HYPERLINK("https://otsuka-europe-crm.veevavault.com/ui/#object/email_activity__v/V8C00000003N013", "EN-002088007")</f>
        <v>EN-002088007</v>
      </c>
    </row>
    <row r="1521" spans="1:15" ht="64" x14ac:dyDescent="0.2">
      <c r="A1521" s="7" t="str">
        <f>HYPERLINK("https://otsuka-europe-crm.veevavault.com/ui/#object/account__v/V4TZ025E88N4AUL", "ISABEL RODENAS QUIÑONERO")</f>
        <v>ISABEL RODENAS QUIÑONERO</v>
      </c>
      <c r="B1521" s="7" t="str">
        <f t="shared" ref="B1521:B1528" si="28">HYPERLINK("https://otsuka-europe-crm.veevavault.com/ui/#object/vcountry__v/VENZ000004SONF5", "ES")</f>
        <v>ES</v>
      </c>
      <c r="C1521" s="8" t="s">
        <v>41</v>
      </c>
      <c r="D1521" s="9" t="str">
        <f t="shared" ref="D1521:D1528" si="29">HYPERLINK("https://otsuka-europe-crm.veevavault.com/ui/#object/approved_document__v/V5O00000001E009", "INA - VAE quinto episodio Nosquedamosencasa - El impacto emocional en pacientes con LMA")</f>
        <v>INA - VAE quinto episodio Nosquedamosencasa - El impacto emocional en pacientes con LMA</v>
      </c>
      <c r="E1521" s="10" t="str">
        <f>HYPERLINK("https://otsuka-europe-crm.veevavault.com/ui/#object/sent_email__v/VBL00000002N532", "SE-001431513")</f>
        <v>SE-001431513</v>
      </c>
      <c r="F1521" s="11"/>
      <c r="G1521" s="12">
        <v>0</v>
      </c>
      <c r="H1521" s="12">
        <v>0</v>
      </c>
      <c r="I1521" s="12">
        <v>0</v>
      </c>
      <c r="J1521" s="11"/>
      <c r="K1521" s="12">
        <v>0</v>
      </c>
      <c r="L1521" s="10" t="str">
        <f t="shared" ref="L1521:L1528" si="30">HYPERLINK("https://otsuka-europe-crm.veevavault.com/ui/#object/approved_document__v/V5O00000001E009", "INA - VAE quinto episodio Nosquedamosencasa - El impacto emocional en pacientes con LMA")</f>
        <v>INA - VAE quinto episodio Nosquedamosencasa - El impacto emocional en pacientes con LMA</v>
      </c>
      <c r="M1521" s="10" t="str">
        <f t="shared" ref="M1521:M1528" si="31">HYPERLINK("mailto:ccalero@crm.otsuka-europe.com", "ccalero@crm.otsuka-europe.com")</f>
        <v>ccalero@crm.otsuka-europe.com</v>
      </c>
      <c r="N1521" s="13">
        <v>46175.475474537037</v>
      </c>
      <c r="O1521" s="14" t="str">
        <f>HYPERLINK("https://otsuka-europe-crm.veevavault.com/ui/#object/email_activity__v/V8C00000003K739", "EN-002087301")</f>
        <v>EN-002087301</v>
      </c>
    </row>
    <row r="1522" spans="1:15" ht="64" x14ac:dyDescent="0.2">
      <c r="A1522" s="7" t="str">
        <f>HYPERLINK("https://otsuka-europe-crm.veevavault.com/ui/#object/account__v/V4TZ025E84KG2CA", "MARIA LUISA LOZANO ALMELA")</f>
        <v>MARIA LUISA LOZANO ALMELA</v>
      </c>
      <c r="B1522" s="7" t="str">
        <f t="shared" si="28"/>
        <v>ES</v>
      </c>
      <c r="C1522" s="8" t="s">
        <v>41</v>
      </c>
      <c r="D1522" s="9" t="str">
        <f t="shared" si="29"/>
        <v>INA - VAE quinto episodio Nosquedamosencasa - El impacto emocional en pacientes con LMA</v>
      </c>
      <c r="E1522" s="10" t="str">
        <f>HYPERLINK("https://otsuka-europe-crm.veevavault.com/ui/#object/sent_email__v/VBL00000002N533", "SE-001431514")</f>
        <v>SE-001431514</v>
      </c>
      <c r="F1522" s="11"/>
      <c r="G1522" s="12">
        <v>0</v>
      </c>
      <c r="H1522" s="12">
        <v>0</v>
      </c>
      <c r="I1522" s="12">
        <v>0</v>
      </c>
      <c r="J1522" s="11"/>
      <c r="K1522" s="12">
        <v>0</v>
      </c>
      <c r="L1522" s="10" t="str">
        <f t="shared" si="30"/>
        <v>INA - VAE quinto episodio Nosquedamosencasa - El impacto emocional en pacientes con LMA</v>
      </c>
      <c r="M1522" s="10" t="str">
        <f t="shared" si="31"/>
        <v>ccalero@crm.otsuka-europe.com</v>
      </c>
      <c r="N1522" s="13">
        <v>46175.475474537037</v>
      </c>
      <c r="O1522" s="14" t="str">
        <f>HYPERLINK("https://otsuka-europe-crm.veevavault.com/ui/#object/email_activity__v/V8C00000003K740", "EN-002087302")</f>
        <v>EN-002087302</v>
      </c>
    </row>
    <row r="1523" spans="1:15" ht="64" x14ac:dyDescent="0.2">
      <c r="A1523" s="7" t="str">
        <f>HYPERLINK("https://otsuka-europe-crm.veevavault.com/ui/#object/account__v/V4TZ025E83TLNOD", "MARIA LUZ AMIGO LOZANO")</f>
        <v>MARIA LUZ AMIGO LOZANO</v>
      </c>
      <c r="B1523" s="7" t="str">
        <f t="shared" si="28"/>
        <v>ES</v>
      </c>
      <c r="C1523" s="8" t="s">
        <v>41</v>
      </c>
      <c r="D1523" s="9" t="str">
        <f t="shared" si="29"/>
        <v>INA - VAE quinto episodio Nosquedamosencasa - El impacto emocional en pacientes con LMA</v>
      </c>
      <c r="E1523" s="10" t="str">
        <f>HYPERLINK("https://otsuka-europe-crm.veevavault.com/ui/#object/sent_email__v/VBL00000002N534", "SE-001431515")</f>
        <v>SE-001431515</v>
      </c>
      <c r="F1523" s="11"/>
      <c r="G1523" s="12">
        <v>0</v>
      </c>
      <c r="H1523" s="12">
        <v>0</v>
      </c>
      <c r="I1523" s="12">
        <v>0</v>
      </c>
      <c r="J1523" s="11"/>
      <c r="K1523" s="12">
        <v>0</v>
      </c>
      <c r="L1523" s="10" t="str">
        <f t="shared" si="30"/>
        <v>INA - VAE quinto episodio Nosquedamosencasa - El impacto emocional en pacientes con LMA</v>
      </c>
      <c r="M1523" s="10" t="str">
        <f t="shared" si="31"/>
        <v>ccalero@crm.otsuka-europe.com</v>
      </c>
      <c r="N1523" s="13">
        <v>46175.475474537037</v>
      </c>
      <c r="O1523" s="14" t="str">
        <f>HYPERLINK("https://otsuka-europe-crm.veevavault.com/ui/#object/email_activity__v/V8C00000003L693", "EN-002087360")</f>
        <v>EN-002087360</v>
      </c>
    </row>
    <row r="1524" spans="1:15" ht="64" x14ac:dyDescent="0.2">
      <c r="A1524" s="7" t="str">
        <f>HYPERLINK("https://otsuka-europe-crm.veevavault.com/ui/#object/account__v/V4TZ025E846WCMI", "MIGUEL ANGEL SANZ CABALLER")</f>
        <v>MIGUEL ANGEL SANZ CABALLER</v>
      </c>
      <c r="B1524" s="7" t="str">
        <f t="shared" si="28"/>
        <v>ES</v>
      </c>
      <c r="C1524" s="8" t="s">
        <v>41</v>
      </c>
      <c r="D1524" s="9" t="str">
        <f t="shared" si="29"/>
        <v>INA - VAE quinto episodio Nosquedamosencasa - El impacto emocional en pacientes con LMA</v>
      </c>
      <c r="E1524" s="10" t="str">
        <f>HYPERLINK("https://otsuka-europe-crm.veevavault.com/ui/#object/sent_email__v/VBL00000002N535", "SE-001431516")</f>
        <v>SE-001431516</v>
      </c>
      <c r="F1524" s="11"/>
      <c r="G1524" s="12">
        <v>0</v>
      </c>
      <c r="H1524" s="12">
        <v>0</v>
      </c>
      <c r="I1524" s="12">
        <v>0</v>
      </c>
      <c r="J1524" s="11"/>
      <c r="K1524" s="12">
        <v>0</v>
      </c>
      <c r="L1524" s="10" t="str">
        <f t="shared" si="30"/>
        <v>INA - VAE quinto episodio Nosquedamosencasa - El impacto emocional en pacientes con LMA</v>
      </c>
      <c r="M1524" s="10" t="str">
        <f t="shared" si="31"/>
        <v>ccalero@crm.otsuka-europe.com</v>
      </c>
      <c r="N1524" s="13">
        <v>46175.475474537037</v>
      </c>
      <c r="O1524" s="14" t="str">
        <f>HYPERLINK("https://otsuka-europe-crm.veevavault.com/ui/#object/email_activity__v/V8C00000003L660", "EN-002087314")</f>
        <v>EN-002087314</v>
      </c>
    </row>
    <row r="1525" spans="1:15" ht="64" x14ac:dyDescent="0.2">
      <c r="A1525" s="7" t="str">
        <f>HYPERLINK("https://otsuka-europe-crm.veevavault.com/ui/#object/account__v/V4TZ025E86IJCUE", "MARINA MORILLAS FRANCO")</f>
        <v>MARINA MORILLAS FRANCO</v>
      </c>
      <c r="B1525" s="7" t="str">
        <f t="shared" si="28"/>
        <v>ES</v>
      </c>
      <c r="C1525" s="8" t="s">
        <v>41</v>
      </c>
      <c r="D1525" s="9" t="str">
        <f t="shared" si="29"/>
        <v>INA - VAE quinto episodio Nosquedamosencasa - El impacto emocional en pacientes con LMA</v>
      </c>
      <c r="E1525" s="10" t="str">
        <f>HYPERLINK("https://otsuka-europe-crm.veevavault.com/ui/#object/sent_email__v/VBL00000002N536", "SE-001431517")</f>
        <v>SE-001431517</v>
      </c>
      <c r="F1525" s="11"/>
      <c r="G1525" s="12">
        <v>0</v>
      </c>
      <c r="H1525" s="12">
        <v>0</v>
      </c>
      <c r="I1525" s="12">
        <v>0</v>
      </c>
      <c r="J1525" s="11"/>
      <c r="K1525" s="12">
        <v>0</v>
      </c>
      <c r="L1525" s="10" t="str">
        <f t="shared" si="30"/>
        <v>INA - VAE quinto episodio Nosquedamosencasa - El impacto emocional en pacientes con LMA</v>
      </c>
      <c r="M1525" s="10" t="str">
        <f t="shared" si="31"/>
        <v>ccalero@crm.otsuka-europe.com</v>
      </c>
      <c r="N1525" s="13">
        <v>46175.475474537037</v>
      </c>
      <c r="O1525" s="14" t="str">
        <f>HYPERLINK("https://otsuka-europe-crm.veevavault.com/ui/#object/email_activity__v/V8C00000003K749", "EN-002087348")</f>
        <v>EN-002087348</v>
      </c>
    </row>
    <row r="1526" spans="1:15" ht="64" x14ac:dyDescent="0.2">
      <c r="A1526" s="7" t="str">
        <f>HYPERLINK("https://otsuka-europe-crm.veevavault.com/ui/#object/account__v/V4TZ06G6O71TBDG", "PAU MONTESINOS FERNANDEZ")</f>
        <v>PAU MONTESINOS FERNANDEZ</v>
      </c>
      <c r="B1526" s="7" t="str">
        <f t="shared" si="28"/>
        <v>ES</v>
      </c>
      <c r="C1526" s="8" t="s">
        <v>41</v>
      </c>
      <c r="D1526" s="9" t="str">
        <f t="shared" si="29"/>
        <v>INA - VAE quinto episodio Nosquedamosencasa - El impacto emocional en pacientes con LMA</v>
      </c>
      <c r="E1526" s="10" t="str">
        <f>HYPERLINK("https://otsuka-europe-crm.veevavault.com/ui/#object/sent_email__v/VBL00000002N537", "SE-001431518")</f>
        <v>SE-001431518</v>
      </c>
      <c r="F1526" s="11"/>
      <c r="G1526" s="12">
        <v>0</v>
      </c>
      <c r="H1526" s="12">
        <v>0</v>
      </c>
      <c r="I1526" s="12">
        <v>0</v>
      </c>
      <c r="J1526" s="11"/>
      <c r="K1526" s="12">
        <v>0</v>
      </c>
      <c r="L1526" s="10" t="str">
        <f t="shared" si="30"/>
        <v>INA - VAE quinto episodio Nosquedamosencasa - El impacto emocional en pacientes con LMA</v>
      </c>
      <c r="M1526" s="10" t="str">
        <f t="shared" si="31"/>
        <v>ccalero@crm.otsuka-europe.com</v>
      </c>
      <c r="N1526" s="13">
        <v>46175.475474537037</v>
      </c>
      <c r="O1526" s="14" t="str">
        <f>HYPERLINK("https://otsuka-europe-crm.veevavault.com/ui/#object/email_activity__v/V8C00000003L664", "EN-002087318")</f>
        <v>EN-002087318</v>
      </c>
    </row>
    <row r="1527" spans="1:15" ht="64" x14ac:dyDescent="0.2">
      <c r="A1527" s="7" t="str">
        <f>HYPERLINK("https://otsuka-europe-crm.veevavault.com/ui/#object/account__v/V4T000000018062", "ITXIAR MOLINA POMARES")</f>
        <v>ITXIAR MOLINA POMARES</v>
      </c>
      <c r="B1527" s="7" t="str">
        <f t="shared" si="28"/>
        <v>ES</v>
      </c>
      <c r="C1527" s="8" t="s">
        <v>41</v>
      </c>
      <c r="D1527" s="9" t="str">
        <f t="shared" si="29"/>
        <v>INA - VAE quinto episodio Nosquedamosencasa - El impacto emocional en pacientes con LMA</v>
      </c>
      <c r="E1527" s="10" t="str">
        <f>HYPERLINK("https://otsuka-europe-crm.veevavault.com/ui/#object/sent_email__v/VBL00000002N538", "SE-001431519")</f>
        <v>SE-001431519</v>
      </c>
      <c r="F1527" s="11"/>
      <c r="G1527" s="12">
        <v>0</v>
      </c>
      <c r="H1527" s="12">
        <v>0</v>
      </c>
      <c r="I1527" s="12">
        <v>0</v>
      </c>
      <c r="J1527" s="11"/>
      <c r="K1527" s="12">
        <v>0</v>
      </c>
      <c r="L1527" s="10" t="str">
        <f t="shared" si="30"/>
        <v>INA - VAE quinto episodio Nosquedamosencasa - El impacto emocional en pacientes con LMA</v>
      </c>
      <c r="M1527" s="10" t="str">
        <f t="shared" si="31"/>
        <v>ccalero@crm.otsuka-europe.com</v>
      </c>
      <c r="N1527" s="13">
        <v>46175.475474537037</v>
      </c>
      <c r="O1527" s="14" t="str">
        <f>HYPERLINK("https://otsuka-europe-crm.veevavault.com/ui/#object/email_activity__v/V8C00000003L670", "EN-002087324")</f>
        <v>EN-002087324</v>
      </c>
    </row>
    <row r="1528" spans="1:15" ht="16" x14ac:dyDescent="0.2">
      <c r="A1528" s="17" t="str">
        <f>HYPERLINK("https://otsuka-europe-crm.veevavault.com/ui/#object/account__v/V4TZ06G6O71TC6U", "MARIA JOSE SAYAS LLORIS")</f>
        <v>MARIA JOSE SAYAS LLORIS</v>
      </c>
      <c r="B1528" s="17" t="str">
        <f t="shared" si="28"/>
        <v>ES</v>
      </c>
      <c r="C1528" s="20" t="s">
        <v>41</v>
      </c>
      <c r="D1528" s="21" t="str">
        <f t="shared" si="29"/>
        <v>INA - VAE quinto episodio Nosquedamosencasa - El impacto emocional en pacientes con LMA</v>
      </c>
      <c r="E1528" s="22" t="str">
        <f>HYPERLINK("https://otsuka-europe-crm.veevavault.com/ui/#object/sent_email__v/VBL00000002N539", "SE-001431520")</f>
        <v>SE-001431520</v>
      </c>
      <c r="F1528" s="23">
        <v>46181.3356712963</v>
      </c>
      <c r="G1528" s="24">
        <v>1</v>
      </c>
      <c r="H1528" s="24">
        <v>5</v>
      </c>
      <c r="I1528" s="24">
        <v>1</v>
      </c>
      <c r="J1528" s="23">
        <v>46180.666678240741</v>
      </c>
      <c r="K1528" s="24">
        <v>1</v>
      </c>
      <c r="L1528" s="22" t="str">
        <f t="shared" si="30"/>
        <v>INA - VAE quinto episodio Nosquedamosencasa - El impacto emocional en pacientes con LMA</v>
      </c>
      <c r="M1528" s="22" t="str">
        <f t="shared" si="31"/>
        <v>ccalero@crm.otsuka-europe.com</v>
      </c>
      <c r="N1528" s="23">
        <v>46175.475474537037</v>
      </c>
      <c r="O1528" s="14" t="str">
        <f>HYPERLINK("https://otsuka-europe-crm.veevavault.com/ui/#object/email_activity__v/V8C00000003L669", "EN-002087323")</f>
        <v>EN-002087323</v>
      </c>
    </row>
    <row r="1529" spans="1:15" ht="16" x14ac:dyDescent="0.2">
      <c r="A1529" s="18"/>
      <c r="B1529" s="18"/>
      <c r="C1529" s="18"/>
      <c r="D1529" s="18"/>
      <c r="E1529" s="18"/>
      <c r="F1529" s="18"/>
      <c r="G1529" s="18"/>
      <c r="H1529" s="18"/>
      <c r="I1529" s="18"/>
      <c r="J1529" s="18"/>
      <c r="K1529" s="18"/>
      <c r="L1529" s="18"/>
      <c r="M1529" s="18"/>
      <c r="N1529" s="18"/>
      <c r="O1529" s="14" t="str">
        <f>HYPERLINK("https://otsuka-europe-crm.veevavault.com/ui/#object/email_activity__v/V8C00000003O111", "EN-002089469")</f>
        <v>EN-002089469</v>
      </c>
    </row>
    <row r="1530" spans="1:15" ht="16" x14ac:dyDescent="0.2">
      <c r="A1530" s="18"/>
      <c r="B1530" s="18"/>
      <c r="C1530" s="18"/>
      <c r="D1530" s="18"/>
      <c r="E1530" s="18"/>
      <c r="F1530" s="18"/>
      <c r="G1530" s="18"/>
      <c r="H1530" s="18"/>
      <c r="I1530" s="18"/>
      <c r="J1530" s="18"/>
      <c r="K1530" s="18"/>
      <c r="L1530" s="18"/>
      <c r="M1530" s="18"/>
      <c r="N1530" s="18"/>
      <c r="O1530" s="14" t="str">
        <f>HYPERLINK("https://otsuka-europe-crm.veevavault.com/ui/#object/email_activity__v/V8C00000003O112", "EN-002089470")</f>
        <v>EN-002089470</v>
      </c>
    </row>
    <row r="1531" spans="1:15" ht="16" x14ac:dyDescent="0.2">
      <c r="A1531" s="18"/>
      <c r="B1531" s="18"/>
      <c r="C1531" s="18"/>
      <c r="D1531" s="18"/>
      <c r="E1531" s="18"/>
      <c r="F1531" s="18"/>
      <c r="G1531" s="18"/>
      <c r="H1531" s="18"/>
      <c r="I1531" s="18"/>
      <c r="J1531" s="18"/>
      <c r="K1531" s="18"/>
      <c r="L1531" s="18"/>
      <c r="M1531" s="18"/>
      <c r="N1531" s="18"/>
      <c r="O1531" s="14" t="str">
        <f>HYPERLINK("https://otsuka-europe-crm.veevavault.com/ui/#object/email_activity__v/V8C00000003O113", "EN-002089471")</f>
        <v>EN-002089471</v>
      </c>
    </row>
    <row r="1532" spans="1:15" ht="16" x14ac:dyDescent="0.2">
      <c r="A1532" s="18"/>
      <c r="B1532" s="18"/>
      <c r="C1532" s="18"/>
      <c r="D1532" s="18"/>
      <c r="E1532" s="18"/>
      <c r="F1532" s="18"/>
      <c r="G1532" s="18"/>
      <c r="H1532" s="18"/>
      <c r="I1532" s="18"/>
      <c r="J1532" s="18"/>
      <c r="K1532" s="18"/>
      <c r="L1532" s="18"/>
      <c r="M1532" s="18"/>
      <c r="N1532" s="18"/>
      <c r="O1532" s="14" t="str">
        <f>HYPERLINK("https://otsuka-europe-crm.veevavault.com/ui/#object/email_activity__v/V8C00000003O136", "EN-002089518")</f>
        <v>EN-002089518</v>
      </c>
    </row>
    <row r="1533" spans="1:15" ht="16" x14ac:dyDescent="0.2">
      <c r="A1533" s="18"/>
      <c r="B1533" s="18"/>
      <c r="C1533" s="18"/>
      <c r="D1533" s="18"/>
      <c r="E1533" s="18"/>
      <c r="F1533" s="18"/>
      <c r="G1533" s="18"/>
      <c r="H1533" s="18"/>
      <c r="I1533" s="18"/>
      <c r="J1533" s="18"/>
      <c r="K1533" s="18"/>
      <c r="L1533" s="18"/>
      <c r="M1533" s="18"/>
      <c r="N1533" s="18"/>
      <c r="O1533" s="14" t="str">
        <f>HYPERLINK("https://otsuka-europe-crm.veevavault.com/ui/#object/email_activity__v/V8C00000003O137", "EN-002089519")</f>
        <v>EN-002089519</v>
      </c>
    </row>
    <row r="1534" spans="1:15" ht="16" x14ac:dyDescent="0.2">
      <c r="A1534" s="19"/>
      <c r="B1534" s="19"/>
      <c r="C1534" s="19"/>
      <c r="D1534" s="19"/>
      <c r="E1534" s="19"/>
      <c r="F1534" s="19"/>
      <c r="G1534" s="19"/>
      <c r="H1534" s="19"/>
      <c r="I1534" s="19"/>
      <c r="J1534" s="19"/>
      <c r="K1534" s="19"/>
      <c r="L1534" s="19"/>
      <c r="M1534" s="19"/>
      <c r="N1534" s="19"/>
      <c r="O1534" s="14" t="str">
        <f>HYPERLINK("https://otsuka-europe-crm.veevavault.com/ui/#object/email_activity__v/V8C00000003P119", "EN-002089472")</f>
        <v>EN-002089472</v>
      </c>
    </row>
    <row r="1535" spans="1:15" ht="64" x14ac:dyDescent="0.2">
      <c r="A1535" s="7" t="str">
        <f>HYPERLINK("https://otsuka-europe-crm.veevavault.com/ui/#object/account__v/V4TZ025E88MQO9F", "IRENE NAVARRO VICENTE")</f>
        <v>IRENE NAVARRO VICENTE</v>
      </c>
      <c r="B1535" s="7" t="str">
        <f>HYPERLINK("https://otsuka-europe-crm.veevavault.com/ui/#object/vcountry__v/VENZ000004SONF5", "ES")</f>
        <v>ES</v>
      </c>
      <c r="C1535" s="8" t="s">
        <v>41</v>
      </c>
      <c r="D1535" s="9" t="str">
        <f>HYPERLINK("https://otsuka-europe-crm.veevavault.com/ui/#object/approved_document__v/V5O00000001E009", "INA - VAE quinto episodio Nosquedamosencasa - El impacto emocional en pacientes con LMA")</f>
        <v>INA - VAE quinto episodio Nosquedamosencasa - El impacto emocional en pacientes con LMA</v>
      </c>
      <c r="E1535" s="10" t="str">
        <f>HYPERLINK("https://otsuka-europe-crm.veevavault.com/ui/#object/sent_email__v/VBL00000002N540", "SE-001431521")</f>
        <v>SE-001431521</v>
      </c>
      <c r="F1535" s="11"/>
      <c r="G1535" s="12">
        <v>0</v>
      </c>
      <c r="H1535" s="12">
        <v>0</v>
      </c>
      <c r="I1535" s="12">
        <v>0</v>
      </c>
      <c r="J1535" s="11"/>
      <c r="K1535" s="12">
        <v>0</v>
      </c>
      <c r="L1535" s="10" t="str">
        <f>HYPERLINK("https://otsuka-europe-crm.veevavault.com/ui/#object/approved_document__v/V5O00000001E009", "INA - VAE quinto episodio Nosquedamosencasa - El impacto emocional en pacientes con LMA")</f>
        <v>INA - VAE quinto episodio Nosquedamosencasa - El impacto emocional en pacientes con LMA</v>
      </c>
      <c r="M1535" s="10" t="str">
        <f>HYPERLINK("mailto:ccalero@crm.otsuka-europe.com", "ccalero@crm.otsuka-europe.com")</f>
        <v>ccalero@crm.otsuka-europe.com</v>
      </c>
      <c r="N1535" s="13">
        <v>46175.475462962961</v>
      </c>
      <c r="O1535" s="14" t="str">
        <f>HYPERLINK("https://otsuka-europe-crm.veevavault.com/ui/#object/email_activity__v/V8C00000003L686", "EN-002087345")</f>
        <v>EN-002087345</v>
      </c>
    </row>
    <row r="1536" spans="1:15" ht="16" x14ac:dyDescent="0.2">
      <c r="A1536" s="17" t="str">
        <f>HYPERLINK("https://otsuka-europe-crm.veevavault.com/ui/#object/account__v/V4TZ025E894AGMH", "MARIA ASUNCION CAMARA RODENAS")</f>
        <v>MARIA ASUNCION CAMARA RODENAS</v>
      </c>
      <c r="B1536" s="17" t="str">
        <f>HYPERLINK("https://otsuka-europe-crm.veevavault.com/ui/#object/vcountry__v/VENZ000004SONF5", "ES")</f>
        <v>ES</v>
      </c>
      <c r="C1536" s="20" t="s">
        <v>41</v>
      </c>
      <c r="D1536" s="21" t="str">
        <f>HYPERLINK("https://otsuka-europe-crm.veevavault.com/ui/#object/approved_document__v/V5O00000001E009", "INA - VAE quinto episodio Nosquedamosencasa - El impacto emocional en pacientes con LMA")</f>
        <v>INA - VAE quinto episodio Nosquedamosencasa - El impacto emocional en pacientes con LMA</v>
      </c>
      <c r="E1536" s="22" t="str">
        <f>HYPERLINK("https://otsuka-europe-crm.veevavault.com/ui/#object/sent_email__v/VBL00000002N541", "SE-001431522")</f>
        <v>SE-001431522</v>
      </c>
      <c r="F1536" s="25"/>
      <c r="G1536" s="24">
        <v>0</v>
      </c>
      <c r="H1536" s="24">
        <v>0</v>
      </c>
      <c r="I1536" s="24">
        <v>0</v>
      </c>
      <c r="J1536" s="25"/>
      <c r="K1536" s="24">
        <v>0</v>
      </c>
      <c r="L1536" s="22" t="str">
        <f>HYPERLINK("https://otsuka-europe-crm.veevavault.com/ui/#object/approved_document__v/V5O00000001E009", "INA - VAE quinto episodio Nosquedamosencasa - El impacto emocional en pacientes con LMA")</f>
        <v>INA - VAE quinto episodio Nosquedamosencasa - El impacto emocional en pacientes con LMA</v>
      </c>
      <c r="M1536" s="22" t="str">
        <f>HYPERLINK("mailto:ccalero@crm.otsuka-europe.com", "ccalero@crm.otsuka-europe.com")</f>
        <v>ccalero@crm.otsuka-europe.com</v>
      </c>
      <c r="N1536" s="23">
        <v>46175.475462962961</v>
      </c>
      <c r="O1536" s="14" t="str">
        <f>HYPERLINK("https://otsuka-europe-crm.veevavault.com/ui/#object/email_activity__v/V8C00000003L683", "EN-002087342")</f>
        <v>EN-002087342</v>
      </c>
    </row>
    <row r="1537" spans="1:15" ht="16" x14ac:dyDescent="0.2">
      <c r="A1537" s="19"/>
      <c r="B1537" s="19"/>
      <c r="C1537" s="19"/>
      <c r="D1537" s="19"/>
      <c r="E1537" s="19"/>
      <c r="F1537" s="19"/>
      <c r="G1537" s="19"/>
      <c r="H1537" s="19"/>
      <c r="I1537" s="19"/>
      <c r="J1537" s="19"/>
      <c r="K1537" s="19"/>
      <c r="L1537" s="19"/>
      <c r="M1537" s="19"/>
      <c r="N1537" s="19"/>
      <c r="O1537" s="14" t="str">
        <f>HYPERLINK("https://otsuka-europe-crm.veevavault.com/ui/#object/email_activity__v/V8C00000003L779", "EN-002087528")</f>
        <v>EN-002087528</v>
      </c>
    </row>
    <row r="1538" spans="1:15" ht="64" x14ac:dyDescent="0.2">
      <c r="A1538" s="7" t="str">
        <f>HYPERLINK("https://otsuka-europe-crm.veevavault.com/ui/#object/account__v/V4TZ025E89ARNAU", "CLAUDIA GOMEZ HERNANDEZ")</f>
        <v>CLAUDIA GOMEZ HERNANDEZ</v>
      </c>
      <c r="B1538" s="7" t="str">
        <f>HYPERLINK("https://otsuka-europe-crm.veevavault.com/ui/#object/vcountry__v/VENZ000004SONF5", "ES")</f>
        <v>ES</v>
      </c>
      <c r="C1538" s="8" t="s">
        <v>41</v>
      </c>
      <c r="D1538" s="9" t="str">
        <f>HYPERLINK("https://otsuka-europe-crm.veevavault.com/ui/#object/approved_document__v/V5O00000001E009", "INA - VAE quinto episodio Nosquedamosencasa - El impacto emocional en pacientes con LMA")</f>
        <v>INA - VAE quinto episodio Nosquedamosencasa - El impacto emocional en pacientes con LMA</v>
      </c>
      <c r="E1538" s="10" t="str">
        <f>HYPERLINK("https://otsuka-europe-crm.veevavault.com/ui/#object/sent_email__v/VBL00000002N542", "SE-001431523")</f>
        <v>SE-001431523</v>
      </c>
      <c r="F1538" s="11"/>
      <c r="G1538" s="12">
        <v>0</v>
      </c>
      <c r="H1538" s="12">
        <v>0</v>
      </c>
      <c r="I1538" s="12">
        <v>0</v>
      </c>
      <c r="J1538" s="11"/>
      <c r="K1538" s="12">
        <v>0</v>
      </c>
      <c r="L1538" s="10" t="str">
        <f>HYPERLINK("https://otsuka-europe-crm.veevavault.com/ui/#object/approved_document__v/V5O00000001E009", "INA - VAE quinto episodio Nosquedamosencasa - El impacto emocional en pacientes con LMA")</f>
        <v>INA - VAE quinto episodio Nosquedamosencasa - El impacto emocional en pacientes con LMA</v>
      </c>
      <c r="M1538" s="10" t="str">
        <f>HYPERLINK("mailto:ccalero@crm.otsuka-europe.com", "ccalero@crm.otsuka-europe.com")</f>
        <v>ccalero@crm.otsuka-europe.com</v>
      </c>
      <c r="N1538" s="13">
        <v>46175.475462962961</v>
      </c>
      <c r="O1538" s="14" t="str">
        <f>HYPERLINK("https://otsuka-europe-crm.veevavault.com/ui/#object/email_activity__v/V8C00000003L676", "EN-002087335")</f>
        <v>EN-002087335</v>
      </c>
    </row>
    <row r="1539" spans="1:15" ht="64" x14ac:dyDescent="0.2">
      <c r="A1539" s="7" t="str">
        <f>HYPERLINK("https://otsuka-europe-crm.veevavault.com/ui/#object/account__v/V4T000000018307", "CATALINA CAVA ALMOHALLA")</f>
        <v>CATALINA CAVA ALMOHALLA</v>
      </c>
      <c r="B1539" s="7" t="str">
        <f>HYPERLINK("https://otsuka-europe-crm.veevavault.com/ui/#object/vcountry__v/VENZ000004SONF5", "ES")</f>
        <v>ES</v>
      </c>
      <c r="C1539" s="8" t="s">
        <v>41</v>
      </c>
      <c r="D1539" s="9" t="str">
        <f>HYPERLINK("https://otsuka-europe-crm.veevavault.com/ui/#object/approved_document__v/V5O00000001E009", "INA - VAE quinto episodio Nosquedamosencasa - El impacto emocional en pacientes con LMA")</f>
        <v>INA - VAE quinto episodio Nosquedamosencasa - El impacto emocional en pacientes con LMA</v>
      </c>
      <c r="E1539" s="10" t="str">
        <f>HYPERLINK("https://otsuka-europe-crm.veevavault.com/ui/#object/sent_email__v/VBL00000002N543", "SE-001431524")</f>
        <v>SE-001431524</v>
      </c>
      <c r="F1539" s="11"/>
      <c r="G1539" s="12">
        <v>0</v>
      </c>
      <c r="H1539" s="12">
        <v>0</v>
      </c>
      <c r="I1539" s="12">
        <v>0</v>
      </c>
      <c r="J1539" s="11"/>
      <c r="K1539" s="12">
        <v>0</v>
      </c>
      <c r="L1539" s="10" t="str">
        <f>HYPERLINK("https://otsuka-europe-crm.veevavault.com/ui/#object/approved_document__v/V5O00000001E009", "INA - VAE quinto episodio Nosquedamosencasa - El impacto emocional en pacientes con LMA")</f>
        <v>INA - VAE quinto episodio Nosquedamosencasa - El impacto emocional en pacientes con LMA</v>
      </c>
      <c r="M1539" s="10" t="str">
        <f>HYPERLINK("mailto:ccalero@crm.otsuka-europe.com", "ccalero@crm.otsuka-europe.com")</f>
        <v>ccalero@crm.otsuka-europe.com</v>
      </c>
      <c r="N1539" s="13">
        <v>46175.475474537037</v>
      </c>
      <c r="O1539" s="14" t="str">
        <f>HYPERLINK("https://otsuka-europe-crm.veevavault.com/ui/#object/email_activity__v/V8C00000003L651", "EN-002087296")</f>
        <v>EN-002087296</v>
      </c>
    </row>
    <row r="1540" spans="1:15" ht="64" x14ac:dyDescent="0.2">
      <c r="A1540" s="7" t="str">
        <f>HYPERLINK("https://otsuka-europe-crm.veevavault.com/ui/#object/account__v/V4TZ06G6O71WUW9", "JAVIER BERNABEU GUTIERREZ")</f>
        <v>JAVIER BERNABEU GUTIERREZ</v>
      </c>
      <c r="B1540" s="7" t="str">
        <f>HYPERLINK("https://otsuka-europe-crm.veevavault.com/ui/#object/vcountry__v/VENZ000004SONF5", "ES")</f>
        <v>ES</v>
      </c>
      <c r="C1540" s="8" t="s">
        <v>41</v>
      </c>
      <c r="D1540" s="9" t="str">
        <f>HYPERLINK("https://otsuka-europe-crm.veevavault.com/ui/#object/approved_document__v/V5O00000001E009", "INA - VAE quinto episodio Nosquedamosencasa - El impacto emocional en pacientes con LMA")</f>
        <v>INA - VAE quinto episodio Nosquedamosencasa - El impacto emocional en pacientes con LMA</v>
      </c>
      <c r="E1540" s="10" t="str">
        <f>HYPERLINK("https://otsuka-europe-crm.veevavault.com/ui/#object/sent_email__v/VBL00000002N544", "SE-001431525")</f>
        <v>SE-001431525</v>
      </c>
      <c r="F1540" s="11"/>
      <c r="G1540" s="12">
        <v>0</v>
      </c>
      <c r="H1540" s="12">
        <v>0</v>
      </c>
      <c r="I1540" s="12">
        <v>0</v>
      </c>
      <c r="J1540" s="11"/>
      <c r="K1540" s="12">
        <v>0</v>
      </c>
      <c r="L1540" s="10" t="str">
        <f>HYPERLINK("https://otsuka-europe-crm.veevavault.com/ui/#object/approved_document__v/V5O00000001E009", "INA - VAE quinto episodio Nosquedamosencasa - El impacto emocional en pacientes con LMA")</f>
        <v>INA - VAE quinto episodio Nosquedamosencasa - El impacto emocional en pacientes con LMA</v>
      </c>
      <c r="M1540" s="10" t="str">
        <f>HYPERLINK("mailto:ccalero@crm.otsuka-europe.com", "ccalero@crm.otsuka-europe.com")</f>
        <v>ccalero@crm.otsuka-europe.com</v>
      </c>
      <c r="N1540" s="13">
        <v>46175.475474537037</v>
      </c>
      <c r="O1540" s="14" t="str">
        <f>HYPERLINK("https://otsuka-europe-crm.veevavault.com/ui/#object/email_activity__v/V8C00000003K745", "EN-002087329")</f>
        <v>EN-002087329</v>
      </c>
    </row>
    <row r="1541" spans="1:15" ht="16" x14ac:dyDescent="0.2">
      <c r="A1541" s="17" t="str">
        <f>HYPERLINK("https://otsuka-europe-crm.veevavault.com/ui/#object/account__v/V4TZ025E83TBQYR", "MARIA LUISA CALABUIG MUÑOZ")</f>
        <v>MARIA LUISA CALABUIG MUÑOZ</v>
      </c>
      <c r="B1541" s="17" t="str">
        <f>HYPERLINK("https://otsuka-europe-crm.veevavault.com/ui/#object/vcountry__v/VENZ000004SONF5", "ES")</f>
        <v>ES</v>
      </c>
      <c r="C1541" s="20" t="s">
        <v>41</v>
      </c>
      <c r="D1541" s="21" t="str">
        <f>HYPERLINK("https://otsuka-europe-crm.veevavault.com/ui/#object/approved_document__v/V5O00000001E009", "INA - VAE quinto episodio Nosquedamosencasa - El impacto emocional en pacientes con LMA")</f>
        <v>INA - VAE quinto episodio Nosquedamosencasa - El impacto emocional en pacientes con LMA</v>
      </c>
      <c r="E1541" s="22" t="str">
        <f>HYPERLINK("https://otsuka-europe-crm.veevavault.com/ui/#object/sent_email__v/VBL00000002N545", "SE-001431526")</f>
        <v>SE-001431526</v>
      </c>
      <c r="F1541" s="23">
        <v>46185.280868055554</v>
      </c>
      <c r="G1541" s="24">
        <v>1</v>
      </c>
      <c r="H1541" s="24">
        <v>2</v>
      </c>
      <c r="I1541" s="24">
        <v>0</v>
      </c>
      <c r="J1541" s="25"/>
      <c r="K1541" s="24">
        <v>0</v>
      </c>
      <c r="L1541" s="22" t="str">
        <f>HYPERLINK("https://otsuka-europe-crm.veevavault.com/ui/#object/approved_document__v/V5O00000001E009", "INA - VAE quinto episodio Nosquedamosencasa - El impacto emocional en pacientes con LMA")</f>
        <v>INA - VAE quinto episodio Nosquedamosencasa - El impacto emocional en pacientes con LMA</v>
      </c>
      <c r="M1541" s="22" t="str">
        <f>HYPERLINK("mailto:ccalero@crm.otsuka-europe.com", "ccalero@crm.otsuka-europe.com")</f>
        <v>ccalero@crm.otsuka-europe.com</v>
      </c>
      <c r="N1541" s="23">
        <v>46175.475474537037</v>
      </c>
      <c r="O1541" s="14" t="str">
        <f>HYPERLINK("https://otsuka-europe-crm.veevavault.com/ui/#object/email_activity__v/V8C00000003K750", "EN-002087349")</f>
        <v>EN-002087349</v>
      </c>
    </row>
    <row r="1542" spans="1:15" ht="16" x14ac:dyDescent="0.2">
      <c r="A1542" s="18"/>
      <c r="B1542" s="18"/>
      <c r="C1542" s="18"/>
      <c r="D1542" s="18"/>
      <c r="E1542" s="18"/>
      <c r="F1542" s="18"/>
      <c r="G1542" s="18"/>
      <c r="H1542" s="18"/>
      <c r="I1542" s="18"/>
      <c r="J1542" s="18"/>
      <c r="K1542" s="18"/>
      <c r="L1542" s="18"/>
      <c r="M1542" s="18"/>
      <c r="N1542" s="18"/>
      <c r="O1542" s="14" t="str">
        <f>HYPERLINK("https://otsuka-europe-crm.veevavault.com/ui/#object/email_activity__v/V8C00000003S423", "EN-002093754")</f>
        <v>EN-002093754</v>
      </c>
    </row>
    <row r="1543" spans="1:15" ht="16" x14ac:dyDescent="0.2">
      <c r="A1543" s="19"/>
      <c r="B1543" s="19"/>
      <c r="C1543" s="19"/>
      <c r="D1543" s="19"/>
      <c r="E1543" s="19"/>
      <c r="F1543" s="19"/>
      <c r="G1543" s="19"/>
      <c r="H1543" s="19"/>
      <c r="I1543" s="19"/>
      <c r="J1543" s="19"/>
      <c r="K1543" s="19"/>
      <c r="L1543" s="19"/>
      <c r="M1543" s="19"/>
      <c r="N1543" s="19"/>
      <c r="O1543" s="14" t="str">
        <f>HYPERLINK("https://otsuka-europe-crm.veevavault.com/ui/#object/email_activity__v/V8C00000003U048", "EN-002094906")</f>
        <v>EN-002094906</v>
      </c>
    </row>
    <row r="1544" spans="1:15" ht="16" x14ac:dyDescent="0.2">
      <c r="A1544" s="17" t="str">
        <f>HYPERLINK("https://otsuka-europe-crm.veevavault.com/ui/#object/account__v/V4TZ025E87BYSFI", "AMELIA MARTINEZ MARIN")</f>
        <v>AMELIA MARTINEZ MARIN</v>
      </c>
      <c r="B1544" s="17" t="str">
        <f>HYPERLINK("https://otsuka-europe-crm.veevavault.com/ui/#object/vcountry__v/VENZ000004SONF5", "ES")</f>
        <v>ES</v>
      </c>
      <c r="C1544" s="20" t="s">
        <v>41</v>
      </c>
      <c r="D1544" s="21" t="str">
        <f>HYPERLINK("https://otsuka-europe-crm.veevavault.com/ui/#object/approved_document__v/V5O00000001E009", "INA - VAE quinto episodio Nosquedamosencasa - El impacto emocional en pacientes con LMA")</f>
        <v>INA - VAE quinto episodio Nosquedamosencasa - El impacto emocional en pacientes con LMA</v>
      </c>
      <c r="E1544" s="22" t="str">
        <f>HYPERLINK("https://otsuka-europe-crm.veevavault.com/ui/#object/sent_email__v/VBL00000002N546", "SE-001431527")</f>
        <v>SE-001431527</v>
      </c>
      <c r="F1544" s="23">
        <v>46175.481319444443</v>
      </c>
      <c r="G1544" s="24">
        <v>1</v>
      </c>
      <c r="H1544" s="24">
        <v>1</v>
      </c>
      <c r="I1544" s="24">
        <v>0</v>
      </c>
      <c r="J1544" s="25"/>
      <c r="K1544" s="24">
        <v>0</v>
      </c>
      <c r="L1544" s="22" t="str">
        <f>HYPERLINK("https://otsuka-europe-crm.veevavault.com/ui/#object/approved_document__v/V5O00000001E009", "INA - VAE quinto episodio Nosquedamosencasa - El impacto emocional en pacientes con LMA")</f>
        <v>INA - VAE quinto episodio Nosquedamosencasa - El impacto emocional en pacientes con LMA</v>
      </c>
      <c r="M1544" s="22" t="str">
        <f>HYPERLINK("mailto:ccalero@crm.otsuka-europe.com", "ccalero@crm.otsuka-europe.com")</f>
        <v>ccalero@crm.otsuka-europe.com</v>
      </c>
      <c r="N1544" s="23">
        <v>46175.475474537037</v>
      </c>
      <c r="O1544" s="14" t="str">
        <f>HYPERLINK("https://otsuka-europe-crm.veevavault.com/ui/#object/email_activity__v/V8C00000003K736", "EN-002087298")</f>
        <v>EN-002087298</v>
      </c>
    </row>
    <row r="1545" spans="1:15" ht="16" x14ac:dyDescent="0.2">
      <c r="A1545" s="19"/>
      <c r="B1545" s="19"/>
      <c r="C1545" s="19"/>
      <c r="D1545" s="19"/>
      <c r="E1545" s="19"/>
      <c r="F1545" s="19"/>
      <c r="G1545" s="19"/>
      <c r="H1545" s="19"/>
      <c r="I1545" s="19"/>
      <c r="J1545" s="19"/>
      <c r="K1545" s="19"/>
      <c r="L1545" s="19"/>
      <c r="M1545" s="19"/>
      <c r="N1545" s="19"/>
      <c r="O1545" s="14" t="str">
        <f>HYPERLINK("https://otsuka-europe-crm.veevavault.com/ui/#object/email_activity__v/V8C00000003L713", "EN-002087387")</f>
        <v>EN-002087387</v>
      </c>
    </row>
    <row r="1546" spans="1:15" ht="16" x14ac:dyDescent="0.2">
      <c r="A1546" s="17" t="str">
        <f>HYPERLINK("https://otsuka-europe-crm.veevavault.com/ui/#object/account__v/V4TZ025E852NOYP", "SILVINA JUDITH RIOS RODRIGUEZ")</f>
        <v>SILVINA JUDITH RIOS RODRIGUEZ</v>
      </c>
      <c r="B1546" s="17" t="str">
        <f>HYPERLINK("https://otsuka-europe-crm.veevavault.com/ui/#object/vcountry__v/VENZ000004SONF5", "ES")</f>
        <v>ES</v>
      </c>
      <c r="C1546" s="20" t="s">
        <v>41</v>
      </c>
      <c r="D1546" s="21" t="str">
        <f>HYPERLINK("https://otsuka-europe-crm.veevavault.com/ui/#object/approved_document__v/V5O00000001E009", "INA - VAE quinto episodio Nosquedamosencasa - El impacto emocional en pacientes con LMA")</f>
        <v>INA - VAE quinto episodio Nosquedamosencasa - El impacto emocional en pacientes con LMA</v>
      </c>
      <c r="E1546" s="22" t="str">
        <f>HYPERLINK("https://otsuka-europe-crm.veevavault.com/ui/#object/sent_email__v/VBL00000002N547", "SE-001431528")</f>
        <v>SE-001431528</v>
      </c>
      <c r="F1546" s="25"/>
      <c r="G1546" s="24">
        <v>0</v>
      </c>
      <c r="H1546" s="24">
        <v>0</v>
      </c>
      <c r="I1546" s="24">
        <v>0</v>
      </c>
      <c r="J1546" s="25"/>
      <c r="K1546" s="24">
        <v>0</v>
      </c>
      <c r="L1546" s="22" t="str">
        <f>HYPERLINK("https://otsuka-europe-crm.veevavault.com/ui/#object/approved_document__v/V5O00000001E009", "INA - VAE quinto episodio Nosquedamosencasa - El impacto emocional en pacientes con LMA")</f>
        <v>INA - VAE quinto episodio Nosquedamosencasa - El impacto emocional en pacientes con LMA</v>
      </c>
      <c r="M1546" s="22" t="str">
        <f>HYPERLINK("mailto:ccalero@crm.otsuka-europe.com", "ccalero@crm.otsuka-europe.com")</f>
        <v>ccalero@crm.otsuka-europe.com</v>
      </c>
      <c r="N1546" s="23">
        <v>46175.475474537037</v>
      </c>
      <c r="O1546" s="14" t="str">
        <f>HYPERLINK("https://otsuka-europe-crm.veevavault.com/ui/#object/email_activity__v/V8C00000003K738", "EN-002087300")</f>
        <v>EN-002087300</v>
      </c>
    </row>
    <row r="1547" spans="1:15" ht="16" x14ac:dyDescent="0.2">
      <c r="A1547" s="19"/>
      <c r="B1547" s="19"/>
      <c r="C1547" s="19"/>
      <c r="D1547" s="19"/>
      <c r="E1547" s="19"/>
      <c r="F1547" s="19"/>
      <c r="G1547" s="19"/>
      <c r="H1547" s="19"/>
      <c r="I1547" s="19"/>
      <c r="J1547" s="19"/>
      <c r="K1547" s="19"/>
      <c r="L1547" s="19"/>
      <c r="M1547" s="19"/>
      <c r="N1547" s="19"/>
      <c r="O1547" s="14" t="str">
        <f>HYPERLINK("https://otsuka-europe-crm.veevavault.com/ui/#object/email_activity__v/V8C00000003N310", "EN-002088472")</f>
        <v>EN-002088472</v>
      </c>
    </row>
    <row r="1548" spans="1:15" ht="64" x14ac:dyDescent="0.2">
      <c r="A1548" s="7" t="str">
        <f>HYPERLINK("https://otsuka-europe-crm.veevavault.com/ui/#object/account__v/V4TZ025E83POAV6", "ALBERTO ROMERO CASANOVA")</f>
        <v>ALBERTO ROMERO CASANOVA</v>
      </c>
      <c r="B1548" s="7" t="str">
        <f>HYPERLINK("https://otsuka-europe-crm.veevavault.com/ui/#object/vcountry__v/VENZ000004SONF5", "ES")</f>
        <v>ES</v>
      </c>
      <c r="C1548" s="8" t="s">
        <v>41</v>
      </c>
      <c r="D1548" s="9" t="str">
        <f>HYPERLINK("https://otsuka-europe-crm.veevavault.com/ui/#object/approved_document__v/V5O00000001E009", "INA - VAE quinto episodio Nosquedamosencasa - El impacto emocional en pacientes con LMA")</f>
        <v>INA - VAE quinto episodio Nosquedamosencasa - El impacto emocional en pacientes con LMA</v>
      </c>
      <c r="E1548" s="10" t="str">
        <f>HYPERLINK("https://otsuka-europe-crm.veevavault.com/ui/#object/sent_email__v/VBL00000002N548", "SE-001431529")</f>
        <v>SE-001431529</v>
      </c>
      <c r="F1548" s="11"/>
      <c r="G1548" s="12">
        <v>0</v>
      </c>
      <c r="H1548" s="12">
        <v>0</v>
      </c>
      <c r="I1548" s="12">
        <v>0</v>
      </c>
      <c r="J1548" s="11"/>
      <c r="K1548" s="12">
        <v>0</v>
      </c>
      <c r="L1548" s="10" t="str">
        <f>HYPERLINK("https://otsuka-europe-crm.veevavault.com/ui/#object/approved_document__v/V5O00000001E009", "INA - VAE quinto episodio Nosquedamosencasa - El impacto emocional en pacientes con LMA")</f>
        <v>INA - VAE quinto episodio Nosquedamosencasa - El impacto emocional en pacientes con LMA</v>
      </c>
      <c r="M1548" s="10" t="str">
        <f>HYPERLINK("mailto:ccalero@crm.otsuka-europe.com", "ccalero@crm.otsuka-europe.com")</f>
        <v>ccalero@crm.otsuka-europe.com</v>
      </c>
      <c r="N1548" s="13">
        <v>46175.475474537037</v>
      </c>
      <c r="O1548" s="14" t="str">
        <f>HYPERLINK("https://otsuka-europe-crm.veevavault.com/ui/#object/email_activity__v/V8C00000003K741", "EN-002087303")</f>
        <v>EN-002087303</v>
      </c>
    </row>
    <row r="1549" spans="1:15" ht="64" x14ac:dyDescent="0.2">
      <c r="A1549" s="7" t="str">
        <f>HYPERLINK("https://otsuka-europe-crm.veevavault.com/ui/#object/account__v/V4TZ025E85GGYNW", "ANA GUADALUPE ABAD GOSALBEZ")</f>
        <v>ANA GUADALUPE ABAD GOSALBEZ</v>
      </c>
      <c r="B1549" s="7" t="str">
        <f>HYPERLINK("https://otsuka-europe-crm.veevavault.com/ui/#object/vcountry__v/VENZ000004SONF5", "ES")</f>
        <v>ES</v>
      </c>
      <c r="C1549" s="8" t="s">
        <v>41</v>
      </c>
      <c r="D1549" s="9" t="str">
        <f>HYPERLINK("https://otsuka-europe-crm.veevavault.com/ui/#object/approved_document__v/V5O00000001E009", "INA - VAE quinto episodio Nosquedamosencasa - El impacto emocional en pacientes con LMA")</f>
        <v>INA - VAE quinto episodio Nosquedamosencasa - El impacto emocional en pacientes con LMA</v>
      </c>
      <c r="E1549" s="10" t="str">
        <f>HYPERLINK("https://otsuka-europe-crm.veevavault.com/ui/#object/sent_email__v/VBL00000002N549", "SE-001431530")</f>
        <v>SE-001431530</v>
      </c>
      <c r="F1549" s="11"/>
      <c r="G1549" s="12">
        <v>0</v>
      </c>
      <c r="H1549" s="12">
        <v>0</v>
      </c>
      <c r="I1549" s="12">
        <v>0</v>
      </c>
      <c r="J1549" s="11"/>
      <c r="K1549" s="12">
        <v>0</v>
      </c>
      <c r="L1549" s="10" t="str">
        <f>HYPERLINK("https://otsuka-europe-crm.veevavault.com/ui/#object/approved_document__v/V5O00000001E009", "INA - VAE quinto episodio Nosquedamosencasa - El impacto emocional en pacientes con LMA")</f>
        <v>INA - VAE quinto episodio Nosquedamosencasa - El impacto emocional en pacientes con LMA</v>
      </c>
      <c r="M1549" s="10" t="str">
        <f>HYPERLINK("mailto:ccalero@crm.otsuka-europe.com", "ccalero@crm.otsuka-europe.com")</f>
        <v>ccalero@crm.otsuka-europe.com</v>
      </c>
      <c r="N1549" s="13">
        <v>46175.475474537037</v>
      </c>
      <c r="O1549" s="14" t="str">
        <f>HYPERLINK("https://otsuka-europe-crm.veevavault.com/ui/#object/email_activity__v/V8C00000003K742", "EN-002087304")</f>
        <v>EN-002087304</v>
      </c>
    </row>
    <row r="1550" spans="1:15" ht="64" x14ac:dyDescent="0.2">
      <c r="A1550" s="7" t="str">
        <f>HYPERLINK("https://otsuka-europe-crm.veevavault.com/ui/#object/account__v/V4T00000001Q119", "PAULA RODRIGUEZ GALVEZ")</f>
        <v>PAULA RODRIGUEZ GALVEZ</v>
      </c>
      <c r="B1550" s="7" t="str">
        <f>HYPERLINK("https://otsuka-europe-crm.veevavault.com/ui/#object/vcountry__v/VENZ000004SONF5", "ES")</f>
        <v>ES</v>
      </c>
      <c r="C1550" s="8" t="s">
        <v>41</v>
      </c>
      <c r="D1550" s="9" t="str">
        <f>HYPERLINK("https://otsuka-europe-crm.veevavault.com/ui/#object/approved_document__v/V5O00000001E009", "INA - VAE quinto episodio Nosquedamosencasa - El impacto emocional en pacientes con LMA")</f>
        <v>INA - VAE quinto episodio Nosquedamosencasa - El impacto emocional en pacientes con LMA</v>
      </c>
      <c r="E1550" s="10" t="str">
        <f>HYPERLINK("https://otsuka-europe-crm.veevavault.com/ui/#object/sent_email__v/VBL00000002N550", "SE-001431531")</f>
        <v>SE-001431531</v>
      </c>
      <c r="F1550" s="11"/>
      <c r="G1550" s="12">
        <v>0</v>
      </c>
      <c r="H1550" s="12">
        <v>0</v>
      </c>
      <c r="I1550" s="12">
        <v>0</v>
      </c>
      <c r="J1550" s="11"/>
      <c r="K1550" s="12">
        <v>0</v>
      </c>
      <c r="L1550" s="10" t="str">
        <f>HYPERLINK("https://otsuka-europe-crm.veevavault.com/ui/#object/approved_document__v/V5O00000001E009", "INA - VAE quinto episodio Nosquedamosencasa - El impacto emocional en pacientes con LMA")</f>
        <v>INA - VAE quinto episodio Nosquedamosencasa - El impacto emocional en pacientes con LMA</v>
      </c>
      <c r="M1550" s="10" t="str">
        <f>HYPERLINK("mailto:ccalero@crm.otsuka-europe.com", "ccalero@crm.otsuka-europe.com")</f>
        <v>ccalero@crm.otsuka-europe.com</v>
      </c>
      <c r="N1550" s="13">
        <v>46175.475474537037</v>
      </c>
      <c r="O1550" s="14" t="str">
        <f>HYPERLINK("https://otsuka-europe-crm.veevavault.com/ui/#object/email_activity__v/V8C00000003L649", "EN-002087294")</f>
        <v>EN-002087294</v>
      </c>
    </row>
    <row r="1551" spans="1:15" ht="16" x14ac:dyDescent="0.2">
      <c r="A1551" s="17" t="str">
        <f>HYPERLINK("https://otsuka-europe-crm.veevavault.com/ui/#object/account__v/V4T000000013049", "IRENE PAYA ARNAU")</f>
        <v>IRENE PAYA ARNAU</v>
      </c>
      <c r="B1551" s="17" t="str">
        <f>HYPERLINK("https://otsuka-europe-crm.veevavault.com/ui/#object/vcountry__v/VENZ000004SONF5", "ES")</f>
        <v>ES</v>
      </c>
      <c r="C1551" s="20" t="s">
        <v>41</v>
      </c>
      <c r="D1551" s="21" t="str">
        <f>HYPERLINK("https://otsuka-europe-crm.veevavault.com/ui/#object/approved_document__v/V5O00000001E009", "INA - VAE quinto episodio Nosquedamosencasa - El impacto emocional en pacientes con LMA")</f>
        <v>INA - VAE quinto episodio Nosquedamosencasa - El impacto emocional en pacientes con LMA</v>
      </c>
      <c r="E1551" s="22" t="str">
        <f>HYPERLINK("https://otsuka-europe-crm.veevavault.com/ui/#object/sent_email__v/VBL00000002N551", "SE-001431532")</f>
        <v>SE-001431532</v>
      </c>
      <c r="F1551" s="23">
        <v>46175.643634259257</v>
      </c>
      <c r="G1551" s="24">
        <v>1</v>
      </c>
      <c r="H1551" s="24">
        <v>1</v>
      </c>
      <c r="I1551" s="24">
        <v>0</v>
      </c>
      <c r="J1551" s="25"/>
      <c r="K1551" s="24">
        <v>0</v>
      </c>
      <c r="L1551" s="22" t="str">
        <f>HYPERLINK("https://otsuka-europe-crm.veevavault.com/ui/#object/approved_document__v/V5O00000001E009", "INA - VAE quinto episodio Nosquedamosencasa - El impacto emocional en pacientes con LMA")</f>
        <v>INA - VAE quinto episodio Nosquedamosencasa - El impacto emocional en pacientes con LMA</v>
      </c>
      <c r="M1551" s="22" t="str">
        <f>HYPERLINK("mailto:ccalero@crm.otsuka-europe.com", "ccalero@crm.otsuka-europe.com")</f>
        <v>ccalero@crm.otsuka-europe.com</v>
      </c>
      <c r="N1551" s="23">
        <v>46175.475474537037</v>
      </c>
      <c r="O1551" s="14" t="str">
        <f>HYPERLINK("https://otsuka-europe-crm.veevavault.com/ui/#object/email_activity__v/V8C00000003L650", "EN-002087295")</f>
        <v>EN-002087295</v>
      </c>
    </row>
    <row r="1552" spans="1:15" ht="16" x14ac:dyDescent="0.2">
      <c r="A1552" s="18"/>
      <c r="B1552" s="18"/>
      <c r="C1552" s="18"/>
      <c r="D1552" s="18"/>
      <c r="E1552" s="18"/>
      <c r="F1552" s="18"/>
      <c r="G1552" s="18"/>
      <c r="H1552" s="18"/>
      <c r="I1552" s="18"/>
      <c r="J1552" s="18"/>
      <c r="K1552" s="18"/>
      <c r="L1552" s="18"/>
      <c r="M1552" s="18"/>
      <c r="N1552" s="18"/>
      <c r="O1552" s="14" t="str">
        <f>HYPERLINK("https://otsuka-europe-crm.veevavault.com/ui/#object/email_activity__v/V8C00000003M054", "EN-002087933")</f>
        <v>EN-002087933</v>
      </c>
    </row>
    <row r="1553" spans="1:15" ht="16" x14ac:dyDescent="0.2">
      <c r="A1553" s="19"/>
      <c r="B1553" s="19"/>
      <c r="C1553" s="19"/>
      <c r="D1553" s="19"/>
      <c r="E1553" s="19"/>
      <c r="F1553" s="19"/>
      <c r="G1553" s="19"/>
      <c r="H1553" s="19"/>
      <c r="I1553" s="19"/>
      <c r="J1553" s="19"/>
      <c r="K1553" s="19"/>
      <c r="L1553" s="19"/>
      <c r="M1553" s="19"/>
      <c r="N1553" s="19"/>
      <c r="O1553" s="14" t="str">
        <f>HYPERLINK("https://otsuka-europe-crm.veevavault.com/ui/#object/email_activity__v/V8C00000003U412", "EN-002095683")</f>
        <v>EN-002095683</v>
      </c>
    </row>
    <row r="1554" spans="1:15" ht="64" x14ac:dyDescent="0.2">
      <c r="A1554" s="7" t="str">
        <f>HYPERLINK("https://otsuka-europe-crm.veevavault.com/ui/#object/account__v/V4T000000010058", "BLANCA BOLUDA PASCUAL")</f>
        <v>BLANCA BOLUDA PASCUAL</v>
      </c>
      <c r="B1554" s="7" t="str">
        <f>HYPERLINK("https://otsuka-europe-crm.veevavault.com/ui/#object/vcountry__v/VENZ000004SONF5", "ES")</f>
        <v>ES</v>
      </c>
      <c r="C1554" s="8" t="s">
        <v>41</v>
      </c>
      <c r="D1554" s="9" t="str">
        <f>HYPERLINK("https://otsuka-europe-crm.veevavault.com/ui/#object/approved_document__v/V5O00000001E009", "INA - VAE quinto episodio Nosquedamosencasa - El impacto emocional en pacientes con LMA")</f>
        <v>INA - VAE quinto episodio Nosquedamosencasa - El impacto emocional en pacientes con LMA</v>
      </c>
      <c r="E1554" s="10" t="str">
        <f>HYPERLINK("https://otsuka-europe-crm.veevavault.com/ui/#object/sent_email__v/VBL00000002N552", "SE-001431533")</f>
        <v>SE-001431533</v>
      </c>
      <c r="F1554" s="11"/>
      <c r="G1554" s="12">
        <v>0</v>
      </c>
      <c r="H1554" s="12">
        <v>0</v>
      </c>
      <c r="I1554" s="12">
        <v>0</v>
      </c>
      <c r="J1554" s="11"/>
      <c r="K1554" s="12">
        <v>0</v>
      </c>
      <c r="L1554" s="10" t="str">
        <f>HYPERLINK("https://otsuka-europe-crm.veevavault.com/ui/#object/approved_document__v/V5O00000001E009", "INA - VAE quinto episodio Nosquedamosencasa - El impacto emocional en pacientes con LMA")</f>
        <v>INA - VAE quinto episodio Nosquedamosencasa - El impacto emocional en pacientes con LMA</v>
      </c>
      <c r="M1554" s="10" t="str">
        <f>HYPERLINK("mailto:ccalero@crm.otsuka-europe.com", "ccalero@crm.otsuka-europe.com")</f>
        <v>ccalero@crm.otsuka-europe.com</v>
      </c>
      <c r="N1554" s="13">
        <v>46175.475474537037</v>
      </c>
      <c r="O1554" s="14" t="str">
        <f>HYPERLINK("https://otsuka-europe-crm.veevavault.com/ui/#object/email_activity__v/V8C00000003L667", "EN-002087321")</f>
        <v>EN-002087321</v>
      </c>
    </row>
    <row r="1555" spans="1:15" ht="64" x14ac:dyDescent="0.2">
      <c r="A1555" s="7" t="str">
        <f>HYPERLINK("https://otsuka-europe-crm.veevavault.com/ui/#object/account__v/V4TZ025E84663VD", "REBECA RODRIGUEZ VEIGA")</f>
        <v>REBECA RODRIGUEZ VEIGA</v>
      </c>
      <c r="B1555" s="7" t="str">
        <f>HYPERLINK("https://otsuka-europe-crm.veevavault.com/ui/#object/vcountry__v/VENZ000004SONF5", "ES")</f>
        <v>ES</v>
      </c>
      <c r="C1555" s="8" t="s">
        <v>41</v>
      </c>
      <c r="D1555" s="9" t="str">
        <f>HYPERLINK("https://otsuka-europe-crm.veevavault.com/ui/#object/approved_document__v/V5O00000001E009", "INA - VAE quinto episodio Nosquedamosencasa - El impacto emocional en pacientes con LMA")</f>
        <v>INA - VAE quinto episodio Nosquedamosencasa - El impacto emocional en pacientes con LMA</v>
      </c>
      <c r="E1555" s="10" t="str">
        <f>HYPERLINK("https://otsuka-europe-crm.veevavault.com/ui/#object/sent_email__v/VBL00000002N553", "SE-001431534")</f>
        <v>SE-001431534</v>
      </c>
      <c r="F1555" s="11"/>
      <c r="G1555" s="12">
        <v>0</v>
      </c>
      <c r="H1555" s="12">
        <v>0</v>
      </c>
      <c r="I1555" s="12">
        <v>0</v>
      </c>
      <c r="J1555" s="11"/>
      <c r="K1555" s="12">
        <v>0</v>
      </c>
      <c r="L1555" s="10" t="str">
        <f>HYPERLINK("https://otsuka-europe-crm.veevavault.com/ui/#object/approved_document__v/V5O00000001E009", "INA - VAE quinto episodio Nosquedamosencasa - El impacto emocional en pacientes con LMA")</f>
        <v>INA - VAE quinto episodio Nosquedamosencasa - El impacto emocional en pacientes con LMA</v>
      </c>
      <c r="M1555" s="10" t="str">
        <f>HYPERLINK("mailto:ccalero@crm.otsuka-europe.com", "ccalero@crm.otsuka-europe.com")</f>
        <v>ccalero@crm.otsuka-europe.com</v>
      </c>
      <c r="N1555" s="13">
        <v>46175.475474537037</v>
      </c>
      <c r="O1555" s="14" t="str">
        <f>HYPERLINK("https://otsuka-europe-crm.veevavault.com/ui/#object/email_activity__v/V8C00000003L691", "EN-002087358")</f>
        <v>EN-002087358</v>
      </c>
    </row>
    <row r="1556" spans="1:15" ht="64" x14ac:dyDescent="0.2">
      <c r="A1556" s="7" t="str">
        <f>HYPERLINK("https://otsuka-europe-crm.veevavault.com/ui/#object/account__v/V4TZ06G6OA5WQFG", "TEST OPSA HCP TEST OPSA HCP")</f>
        <v>TEST OPSA HCP TEST OPSA HCP</v>
      </c>
      <c r="B1556" s="7" t="str">
        <f>HYPERLINK("https://otsuka-europe-crm.veevavault.com/ui/#object/vcountry__v/VENZ000004SONF5", "ES")</f>
        <v>ES</v>
      </c>
      <c r="C1556" s="8" t="s">
        <v>41</v>
      </c>
      <c r="D1556" s="9" t="str">
        <f>HYPERLINK("https://otsuka-europe-crm.veevavault.com/ui/#object/approved_document__v/V5O00000001E009", "INA - VAE quinto episodio Nosquedamosencasa - El impacto emocional en pacientes con LMA")</f>
        <v>INA - VAE quinto episodio Nosquedamosencasa - El impacto emocional en pacientes con LMA</v>
      </c>
      <c r="E1556" s="10" t="str">
        <f>HYPERLINK("https://otsuka-europe-crm.veevavault.com/ui/#object/sent_email__v/VBL00000002N554", "SE-001431535")</f>
        <v>SE-001431535</v>
      </c>
      <c r="F1556" s="11"/>
      <c r="G1556" s="12">
        <v>0</v>
      </c>
      <c r="H1556" s="12">
        <v>0</v>
      </c>
      <c r="I1556" s="12">
        <v>0</v>
      </c>
      <c r="J1556" s="11"/>
      <c r="K1556" s="12">
        <v>0</v>
      </c>
      <c r="L1556" s="10" t="str">
        <f>HYPERLINK("https://otsuka-europe-crm.veevavault.com/ui/#object/approved_document__v/V5O00000001E009", "INA - VAE quinto episodio Nosquedamosencasa - El impacto emocional en pacientes con LMA")</f>
        <v>INA - VAE quinto episodio Nosquedamosencasa - El impacto emocional en pacientes con LMA</v>
      </c>
      <c r="M1556" s="10" t="str">
        <f>HYPERLINK("mailto:ccalero@crm.otsuka-europe.com", "ccalero@crm.otsuka-europe.com")</f>
        <v>ccalero@crm.otsuka-europe.com</v>
      </c>
      <c r="N1556" s="13">
        <v>46175.475474537037</v>
      </c>
      <c r="O1556" s="14" t="str">
        <f>HYPERLINK("https://otsuka-europe-crm.veevavault.com/ui/#object/email_activity__v/V8C00000003K735", "EN-002087297")</f>
        <v>EN-002087297</v>
      </c>
    </row>
    <row r="1557" spans="1:15" ht="16" x14ac:dyDescent="0.2">
      <c r="A1557" s="17" t="str">
        <f>HYPERLINK("https://otsuka-europe-crm.veevavault.com/ui/#object/account__v/V4TZ025E83PN97R", "PEDRO LUIS ROSIQUE CORTINA")</f>
        <v>PEDRO LUIS ROSIQUE CORTINA</v>
      </c>
      <c r="B1557" s="17" t="str">
        <f>HYPERLINK("https://otsuka-europe-crm.veevavault.com/ui/#object/vcountry__v/VENZ000004SONF5", "ES")</f>
        <v>ES</v>
      </c>
      <c r="C1557" s="20" t="s">
        <v>41</v>
      </c>
      <c r="D1557" s="21" t="str">
        <f>HYPERLINK("https://otsuka-europe-crm.veevavault.com/ui/#object/approved_document__v/V5O00000001E009", "INA - VAE quinto episodio Nosquedamosencasa - El impacto emocional en pacientes con LMA")</f>
        <v>INA - VAE quinto episodio Nosquedamosencasa - El impacto emocional en pacientes con LMA</v>
      </c>
      <c r="E1557" s="22" t="str">
        <f>HYPERLINK("https://otsuka-europe-crm.veevavault.com/ui/#object/sent_email__v/VBL00000002N555", "SE-001431536")</f>
        <v>SE-001431536</v>
      </c>
      <c r="F1557" s="23">
        <v>46175.514363425929</v>
      </c>
      <c r="G1557" s="24">
        <v>1</v>
      </c>
      <c r="H1557" s="24">
        <v>2</v>
      </c>
      <c r="I1557" s="24">
        <v>0</v>
      </c>
      <c r="J1557" s="25"/>
      <c r="K1557" s="24">
        <v>0</v>
      </c>
      <c r="L1557" s="22" t="str">
        <f>HYPERLINK("https://otsuka-europe-crm.veevavault.com/ui/#object/approved_document__v/V5O00000001E009", "INA - VAE quinto episodio Nosquedamosencasa - El impacto emocional en pacientes con LMA")</f>
        <v>INA - VAE quinto episodio Nosquedamosencasa - El impacto emocional en pacientes con LMA</v>
      </c>
      <c r="M1557" s="22" t="str">
        <f>HYPERLINK("mailto:ccalero@crm.otsuka-europe.com", "ccalero@crm.otsuka-europe.com")</f>
        <v>ccalero@crm.otsuka-europe.com</v>
      </c>
      <c r="N1557" s="23">
        <v>46175.475474537037</v>
      </c>
      <c r="O1557" s="14" t="str">
        <f>HYPERLINK("https://otsuka-europe-crm.veevavault.com/ui/#object/email_activity__v/V8C00000003K746", "EN-002087330")</f>
        <v>EN-002087330</v>
      </c>
    </row>
    <row r="1558" spans="1:15" ht="16" x14ac:dyDescent="0.2">
      <c r="A1558" s="18"/>
      <c r="B1558" s="18"/>
      <c r="C1558" s="18"/>
      <c r="D1558" s="18"/>
      <c r="E1558" s="18"/>
      <c r="F1558" s="18"/>
      <c r="G1558" s="18"/>
      <c r="H1558" s="18"/>
      <c r="I1558" s="18"/>
      <c r="J1558" s="18"/>
      <c r="K1558" s="18"/>
      <c r="L1558" s="18"/>
      <c r="M1558" s="18"/>
      <c r="N1558" s="18"/>
      <c r="O1558" s="14" t="str">
        <f>HYPERLINK("https://otsuka-europe-crm.veevavault.com/ui/#object/email_activity__v/V8C00000003K821", "EN-002087488")</f>
        <v>EN-002087488</v>
      </c>
    </row>
    <row r="1559" spans="1:15" ht="16" x14ac:dyDescent="0.2">
      <c r="A1559" s="19"/>
      <c r="B1559" s="19"/>
      <c r="C1559" s="19"/>
      <c r="D1559" s="19"/>
      <c r="E1559" s="19"/>
      <c r="F1559" s="19"/>
      <c r="G1559" s="19"/>
      <c r="H1559" s="19"/>
      <c r="I1559" s="19"/>
      <c r="J1559" s="19"/>
      <c r="K1559" s="19"/>
      <c r="L1559" s="19"/>
      <c r="M1559" s="19"/>
      <c r="N1559" s="19"/>
      <c r="O1559" s="14" t="str">
        <f>HYPERLINK("https://otsuka-europe-crm.veevavault.com/ui/#object/email_activity__v/V8C00000003L755", "EN-002087486")</f>
        <v>EN-002087486</v>
      </c>
    </row>
    <row r="1560" spans="1:15" ht="16" x14ac:dyDescent="0.2">
      <c r="A1560" s="17" t="str">
        <f>HYPERLINK("https://otsuka-europe-crm.veevavault.com/ui/#object/account__v/V4TZ025E87V8OAG", "JOAQUIN GOMEZ ESPUCH")</f>
        <v>JOAQUIN GOMEZ ESPUCH</v>
      </c>
      <c r="B1560" s="17" t="str">
        <f>HYPERLINK("https://otsuka-europe-crm.veevavault.com/ui/#object/vcountry__v/VENZ000004SONF5", "ES")</f>
        <v>ES</v>
      </c>
      <c r="C1560" s="20" t="s">
        <v>41</v>
      </c>
      <c r="D1560" s="21" t="str">
        <f>HYPERLINK("https://otsuka-europe-crm.veevavault.com/ui/#object/approved_document__v/V5O00000001E009", "INA - VAE quinto episodio Nosquedamosencasa - El impacto emocional en pacientes con LMA")</f>
        <v>INA - VAE quinto episodio Nosquedamosencasa - El impacto emocional en pacientes con LMA</v>
      </c>
      <c r="E1560" s="22" t="str">
        <f>HYPERLINK("https://otsuka-europe-crm.veevavault.com/ui/#object/sent_email__v/VBL00000002N556", "SE-001431537")</f>
        <v>SE-001431537</v>
      </c>
      <c r="F1560" s="25"/>
      <c r="G1560" s="24">
        <v>0</v>
      </c>
      <c r="H1560" s="24">
        <v>0</v>
      </c>
      <c r="I1560" s="24">
        <v>0</v>
      </c>
      <c r="J1560" s="25"/>
      <c r="K1560" s="24">
        <v>0</v>
      </c>
      <c r="L1560" s="22" t="str">
        <f>HYPERLINK("https://otsuka-europe-crm.veevavault.com/ui/#object/approved_document__v/V5O00000001E009", "INA - VAE quinto episodio Nosquedamosencasa - El impacto emocional en pacientes con LMA")</f>
        <v>INA - VAE quinto episodio Nosquedamosencasa - El impacto emocional en pacientes con LMA</v>
      </c>
      <c r="M1560" s="22" t="str">
        <f>HYPERLINK("mailto:ccalero@crm.otsuka-europe.com", "ccalero@crm.otsuka-europe.com")</f>
        <v>ccalero@crm.otsuka-europe.com</v>
      </c>
      <c r="N1560" s="23">
        <v>46175.475474537037</v>
      </c>
      <c r="O1560" s="14" t="str">
        <f>HYPERLINK("https://otsuka-europe-crm.veevavault.com/ui/#object/email_activity__v/V8C00000003L663", "EN-002087317")</f>
        <v>EN-002087317</v>
      </c>
    </row>
    <row r="1561" spans="1:15" ht="16" x14ac:dyDescent="0.2">
      <c r="A1561" s="19"/>
      <c r="B1561" s="19"/>
      <c r="C1561" s="19"/>
      <c r="D1561" s="19"/>
      <c r="E1561" s="19"/>
      <c r="F1561" s="19"/>
      <c r="G1561" s="19"/>
      <c r="H1561" s="19"/>
      <c r="I1561" s="19"/>
      <c r="J1561" s="19"/>
      <c r="K1561" s="19"/>
      <c r="L1561" s="19"/>
      <c r="M1561" s="19"/>
      <c r="N1561" s="19"/>
      <c r="O1561" s="14" t="str">
        <f>HYPERLINK("https://otsuka-europe-crm.veevavault.com/ui/#object/email_activity__v/V8C00000003N031", "EN-002088072")</f>
        <v>EN-002088072</v>
      </c>
    </row>
    <row r="1562" spans="1:15" ht="64" x14ac:dyDescent="0.2">
      <c r="A1562" s="7" t="str">
        <f>HYPERLINK("https://otsuka-europe-crm.veevavault.com/ui/#object/account__v/V4TZ025E85URPDE", "EUGENIA LOPEZ PEREZ")</f>
        <v>EUGENIA LOPEZ PEREZ</v>
      </c>
      <c r="B1562" s="7" t="str">
        <f>HYPERLINK("https://otsuka-europe-crm.veevavault.com/ui/#object/vcountry__v/VENZ000004SONF5", "ES")</f>
        <v>ES</v>
      </c>
      <c r="C1562" s="8" t="s">
        <v>41</v>
      </c>
      <c r="D1562" s="9" t="str">
        <f>HYPERLINK("https://otsuka-europe-crm.veevavault.com/ui/#object/approved_document__v/V5O00000001E009", "INA - VAE quinto episodio Nosquedamosencasa - El impacto emocional en pacientes con LMA")</f>
        <v>INA - VAE quinto episodio Nosquedamosencasa - El impacto emocional en pacientes con LMA</v>
      </c>
      <c r="E1562" s="10" t="str">
        <f>HYPERLINK("https://otsuka-europe-crm.veevavault.com/ui/#object/sent_email__v/VBL00000002N557", "SE-001431538")</f>
        <v>SE-001431538</v>
      </c>
      <c r="F1562" s="11"/>
      <c r="G1562" s="12">
        <v>0</v>
      </c>
      <c r="H1562" s="12">
        <v>0</v>
      </c>
      <c r="I1562" s="12">
        <v>0</v>
      </c>
      <c r="J1562" s="11"/>
      <c r="K1562" s="12">
        <v>0</v>
      </c>
      <c r="L1562" s="10" t="str">
        <f>HYPERLINK("https://otsuka-europe-crm.veevavault.com/ui/#object/approved_document__v/V5O00000001E009", "INA - VAE quinto episodio Nosquedamosencasa - El impacto emocional en pacientes con LMA")</f>
        <v>INA - VAE quinto episodio Nosquedamosencasa - El impacto emocional en pacientes con LMA</v>
      </c>
      <c r="M1562" s="10" t="str">
        <f>HYPERLINK("mailto:ccalero@crm.otsuka-europe.com", "ccalero@crm.otsuka-europe.com")</f>
        <v>ccalero@crm.otsuka-europe.com</v>
      </c>
      <c r="N1562" s="13">
        <v>46175.475474537037</v>
      </c>
      <c r="O1562" s="14" t="str">
        <f>HYPERLINK("https://otsuka-europe-crm.veevavault.com/ui/#object/email_activity__v/V8C00000003L668", "EN-002087322")</f>
        <v>EN-002087322</v>
      </c>
    </row>
    <row r="1563" spans="1:15" ht="16" x14ac:dyDescent="0.2">
      <c r="A1563" s="17" t="str">
        <f>HYPERLINK("https://otsuka-europe-crm.veevavault.com/ui/#object/account__v/V4TZ025E877HYDW", "MIRIAM PANERO RUIZ")</f>
        <v>MIRIAM PANERO RUIZ</v>
      </c>
      <c r="B1563" s="17" t="str">
        <f>HYPERLINK("https://otsuka-europe-crm.veevavault.com/ui/#object/vcountry__v/VENZ000004SONF5", "ES")</f>
        <v>ES</v>
      </c>
      <c r="C1563" s="20" t="s">
        <v>41</v>
      </c>
      <c r="D1563" s="21" t="str">
        <f>HYPERLINK("https://otsuka-europe-crm.veevavault.com/ui/#object/approved_document__v/V5O00000001E009", "INA - VAE quinto episodio Nosquedamosencasa - El impacto emocional en pacientes con LMA")</f>
        <v>INA - VAE quinto episodio Nosquedamosencasa - El impacto emocional en pacientes con LMA</v>
      </c>
      <c r="E1563" s="22" t="str">
        <f>HYPERLINK("https://otsuka-europe-crm.veevavault.com/ui/#object/sent_email__v/VBL00000002N558", "SE-001431539")</f>
        <v>SE-001431539</v>
      </c>
      <c r="F1563" s="23">
        <v>46175.697372685187</v>
      </c>
      <c r="G1563" s="24">
        <v>1</v>
      </c>
      <c r="H1563" s="24">
        <v>1</v>
      </c>
      <c r="I1563" s="24">
        <v>0</v>
      </c>
      <c r="J1563" s="25"/>
      <c r="K1563" s="24">
        <v>0</v>
      </c>
      <c r="L1563" s="22" t="str">
        <f>HYPERLINK("https://otsuka-europe-crm.veevavault.com/ui/#object/approved_document__v/V5O00000001E009", "INA - VAE quinto episodio Nosquedamosencasa - El impacto emocional en pacientes con LMA")</f>
        <v>INA - VAE quinto episodio Nosquedamosencasa - El impacto emocional en pacientes con LMA</v>
      </c>
      <c r="M1563" s="22" t="str">
        <f>HYPERLINK("mailto:ccalero@crm.otsuka-europe.com", "ccalero@crm.otsuka-europe.com")</f>
        <v>ccalero@crm.otsuka-europe.com</v>
      </c>
      <c r="N1563" s="23">
        <v>46175.475474537037</v>
      </c>
      <c r="O1563" s="14" t="str">
        <f>HYPERLINK("https://otsuka-europe-crm.veevavault.com/ui/#object/email_activity__v/V8C00000003L701", "EN-002087368")</f>
        <v>EN-002087368</v>
      </c>
    </row>
    <row r="1564" spans="1:15" ht="16" x14ac:dyDescent="0.2">
      <c r="A1564" s="19"/>
      <c r="B1564" s="19"/>
      <c r="C1564" s="19"/>
      <c r="D1564" s="19"/>
      <c r="E1564" s="19"/>
      <c r="F1564" s="19"/>
      <c r="G1564" s="19"/>
      <c r="H1564" s="19"/>
      <c r="I1564" s="19"/>
      <c r="J1564" s="19"/>
      <c r="K1564" s="19"/>
      <c r="L1564" s="19"/>
      <c r="M1564" s="19"/>
      <c r="N1564" s="19"/>
      <c r="O1564" s="14" t="str">
        <f>HYPERLINK("https://otsuka-europe-crm.veevavault.com/ui/#object/email_activity__v/V8C00000003M086", "EN-002088009")</f>
        <v>EN-002088009</v>
      </c>
    </row>
    <row r="1565" spans="1:15" ht="64" x14ac:dyDescent="0.2">
      <c r="A1565" s="7" t="str">
        <f>HYPERLINK("https://otsuka-europe-crm.veevavault.com/ui/#object/account__v/V4TZ025E87X3QHI", "SONIA MARTI AMADO")</f>
        <v>SONIA MARTI AMADO</v>
      </c>
      <c r="B1565" s="7" t="str">
        <f>HYPERLINK("https://otsuka-europe-crm.veevavault.com/ui/#object/vcountry__v/VENZ000004SONF5", "ES")</f>
        <v>ES</v>
      </c>
      <c r="C1565" s="8" t="s">
        <v>41</v>
      </c>
      <c r="D1565" s="9" t="str">
        <f>HYPERLINK("https://otsuka-europe-crm.veevavault.com/ui/#object/approved_document__v/V5O00000001E009", "INA - VAE quinto episodio Nosquedamosencasa - El impacto emocional en pacientes con LMA")</f>
        <v>INA - VAE quinto episodio Nosquedamosencasa - El impacto emocional en pacientes con LMA</v>
      </c>
      <c r="E1565" s="10" t="str">
        <f>HYPERLINK("https://otsuka-europe-crm.veevavault.com/ui/#object/sent_email__v/VBL00000002N559", "SE-001431540")</f>
        <v>SE-001431540</v>
      </c>
      <c r="F1565" s="11"/>
      <c r="G1565" s="12">
        <v>0</v>
      </c>
      <c r="H1565" s="12">
        <v>0</v>
      </c>
      <c r="I1565" s="12">
        <v>0</v>
      </c>
      <c r="J1565" s="11"/>
      <c r="K1565" s="12">
        <v>0</v>
      </c>
      <c r="L1565" s="10" t="str">
        <f>HYPERLINK("https://otsuka-europe-crm.veevavault.com/ui/#object/approved_document__v/V5O00000001E009", "INA - VAE quinto episodio Nosquedamosencasa - El impacto emocional en pacientes con LMA")</f>
        <v>INA - VAE quinto episodio Nosquedamosencasa - El impacto emocional en pacientes con LMA</v>
      </c>
      <c r="M1565" s="10" t="str">
        <f>HYPERLINK("mailto:ccalero@crm.otsuka-europe.com", "ccalero@crm.otsuka-europe.com")</f>
        <v>ccalero@crm.otsuka-europe.com</v>
      </c>
      <c r="N1565" s="13">
        <v>46175.475474537037</v>
      </c>
      <c r="O1565" s="14" t="str">
        <f>HYPERLINK("https://otsuka-europe-crm.veevavault.com/ui/#object/email_activity__v/V8C00000003L684", "EN-002087343")</f>
        <v>EN-002087343</v>
      </c>
    </row>
    <row r="1566" spans="1:15" ht="64" x14ac:dyDescent="0.2">
      <c r="A1566" s="7" t="str">
        <f>HYPERLINK("https://otsuka-europe-crm.veevavault.com/ui/#object/account__v/V4TZ025E85VCSJZ", "LYDIA GOMEZ CABALLERO")</f>
        <v>LYDIA GOMEZ CABALLERO</v>
      </c>
      <c r="B1566" s="7" t="str">
        <f>HYPERLINK("https://otsuka-europe-crm.veevavault.com/ui/#object/vcountry__v/VENZ000004SONF5", "ES")</f>
        <v>ES</v>
      </c>
      <c r="C1566" s="8" t="s">
        <v>41</v>
      </c>
      <c r="D1566" s="9" t="str">
        <f>HYPERLINK("https://otsuka-europe-crm.veevavault.com/ui/#object/approved_document__v/V5O00000001E009", "INA - VAE quinto episodio Nosquedamosencasa - El impacto emocional en pacientes con LMA")</f>
        <v>INA - VAE quinto episodio Nosquedamosencasa - El impacto emocional en pacientes con LMA</v>
      </c>
      <c r="E1566" s="10" t="str">
        <f>HYPERLINK("https://otsuka-europe-crm.veevavault.com/ui/#object/sent_email__v/VBL00000002N560", "SE-001431541")</f>
        <v>SE-001431541</v>
      </c>
      <c r="F1566" s="11"/>
      <c r="G1566" s="12">
        <v>0</v>
      </c>
      <c r="H1566" s="12">
        <v>0</v>
      </c>
      <c r="I1566" s="12">
        <v>0</v>
      </c>
      <c r="J1566" s="11"/>
      <c r="K1566" s="12">
        <v>0</v>
      </c>
      <c r="L1566" s="10" t="str">
        <f>HYPERLINK("https://otsuka-europe-crm.veevavault.com/ui/#object/approved_document__v/V5O00000001E009", "INA - VAE quinto episodio Nosquedamosencasa - El impacto emocional en pacientes con LMA")</f>
        <v>INA - VAE quinto episodio Nosquedamosencasa - El impacto emocional en pacientes con LMA</v>
      </c>
      <c r="M1566" s="10" t="str">
        <f>HYPERLINK("mailto:ccalero@crm.otsuka-europe.com", "ccalero@crm.otsuka-europe.com")</f>
        <v>ccalero@crm.otsuka-europe.com</v>
      </c>
      <c r="N1566" s="13">
        <v>46175.475474537037</v>
      </c>
      <c r="O1566" s="14" t="str">
        <f>HYPERLINK("https://otsuka-europe-crm.veevavault.com/ui/#object/email_activity__v/V8C00000003L662", "EN-002087316")</f>
        <v>EN-002087316</v>
      </c>
    </row>
    <row r="1567" spans="1:15" ht="16" x14ac:dyDescent="0.2">
      <c r="A1567" s="17" t="str">
        <f>HYPERLINK("https://otsuka-europe-crm.veevavault.com/ui/#object/account__v/V4TZ025E83VQ62U", "CARMEN BOTELLA PRIETO")</f>
        <v>CARMEN BOTELLA PRIETO</v>
      </c>
      <c r="B1567" s="17" t="str">
        <f>HYPERLINK("https://otsuka-europe-crm.veevavault.com/ui/#object/vcountry__v/VENZ000004SONF5", "ES")</f>
        <v>ES</v>
      </c>
      <c r="C1567" s="20" t="s">
        <v>41</v>
      </c>
      <c r="D1567" s="21" t="str">
        <f>HYPERLINK("https://otsuka-europe-crm.veevavault.com/ui/#object/approved_document__v/V5O00000001E009", "INA - VAE quinto episodio Nosquedamosencasa - El impacto emocional en pacientes con LMA")</f>
        <v>INA - VAE quinto episodio Nosquedamosencasa - El impacto emocional en pacientes con LMA</v>
      </c>
      <c r="E1567" s="22" t="str">
        <f>HYPERLINK("https://otsuka-europe-crm.veevavault.com/ui/#object/sent_email__v/VBL00000002N561", "SE-001431542")</f>
        <v>SE-001431542</v>
      </c>
      <c r="F1567" s="23">
        <v>46175.730729166666</v>
      </c>
      <c r="G1567" s="24">
        <v>1</v>
      </c>
      <c r="H1567" s="24">
        <v>5</v>
      </c>
      <c r="I1567" s="24">
        <v>0</v>
      </c>
      <c r="J1567" s="25"/>
      <c r="K1567" s="24">
        <v>0</v>
      </c>
      <c r="L1567" s="22" t="str">
        <f>HYPERLINK("https://otsuka-europe-crm.veevavault.com/ui/#object/approved_document__v/V5O00000001E009", "INA - VAE quinto episodio Nosquedamosencasa - El impacto emocional en pacientes con LMA")</f>
        <v>INA - VAE quinto episodio Nosquedamosencasa - El impacto emocional en pacientes con LMA</v>
      </c>
      <c r="M1567" s="22" t="str">
        <f>HYPERLINK("mailto:ccalero@crm.otsuka-europe.com", "ccalero@crm.otsuka-europe.com")</f>
        <v>ccalero@crm.otsuka-europe.com</v>
      </c>
      <c r="N1567" s="23">
        <v>46175.475462962961</v>
      </c>
      <c r="O1567" s="14" t="str">
        <f>HYPERLINK("https://otsuka-europe-crm.veevavault.com/ui/#object/email_activity__v/V8C00000003K810", "EN-002087463")</f>
        <v>EN-002087463</v>
      </c>
    </row>
    <row r="1568" spans="1:15" ht="16" x14ac:dyDescent="0.2">
      <c r="A1568" s="18"/>
      <c r="B1568" s="18"/>
      <c r="C1568" s="18"/>
      <c r="D1568" s="18"/>
      <c r="E1568" s="18"/>
      <c r="F1568" s="18"/>
      <c r="G1568" s="18"/>
      <c r="H1568" s="18"/>
      <c r="I1568" s="18"/>
      <c r="J1568" s="18"/>
      <c r="K1568" s="18"/>
      <c r="L1568" s="18"/>
      <c r="M1568" s="18"/>
      <c r="N1568" s="18"/>
      <c r="O1568" s="14" t="str">
        <f>HYPERLINK("https://otsuka-europe-crm.veevavault.com/ui/#object/email_activity__v/V8C00000003L675", "EN-002087334")</f>
        <v>EN-002087334</v>
      </c>
    </row>
    <row r="1569" spans="1:15" ht="16" x14ac:dyDescent="0.2">
      <c r="A1569" s="18"/>
      <c r="B1569" s="18"/>
      <c r="C1569" s="18"/>
      <c r="D1569" s="18"/>
      <c r="E1569" s="18"/>
      <c r="F1569" s="18"/>
      <c r="G1569" s="18"/>
      <c r="H1569" s="18"/>
      <c r="I1569" s="18"/>
      <c r="J1569" s="18"/>
      <c r="K1569" s="18"/>
      <c r="L1569" s="18"/>
      <c r="M1569" s="18"/>
      <c r="N1569" s="18"/>
      <c r="O1569" s="14" t="str">
        <f>HYPERLINK("https://otsuka-europe-crm.veevavault.com/ui/#object/email_activity__v/V8C00000003M107", "EN-002088036")</f>
        <v>EN-002088036</v>
      </c>
    </row>
    <row r="1570" spans="1:15" ht="16" x14ac:dyDescent="0.2">
      <c r="A1570" s="18"/>
      <c r="B1570" s="18"/>
      <c r="C1570" s="18"/>
      <c r="D1570" s="18"/>
      <c r="E1570" s="18"/>
      <c r="F1570" s="18"/>
      <c r="G1570" s="18"/>
      <c r="H1570" s="18"/>
      <c r="I1570" s="18"/>
      <c r="J1570" s="18"/>
      <c r="K1570" s="18"/>
      <c r="L1570" s="18"/>
      <c r="M1570" s="18"/>
      <c r="N1570" s="18"/>
      <c r="O1570" s="14" t="str">
        <f>HYPERLINK("https://otsuka-europe-crm.veevavault.com/ui/#object/email_activity__v/V8C00000003M109", "EN-002088038")</f>
        <v>EN-002088038</v>
      </c>
    </row>
    <row r="1571" spans="1:15" ht="16" x14ac:dyDescent="0.2">
      <c r="A1571" s="18"/>
      <c r="B1571" s="18"/>
      <c r="C1571" s="18"/>
      <c r="D1571" s="18"/>
      <c r="E1571" s="18"/>
      <c r="F1571" s="18"/>
      <c r="G1571" s="18"/>
      <c r="H1571" s="18"/>
      <c r="I1571" s="18"/>
      <c r="J1571" s="18"/>
      <c r="K1571" s="18"/>
      <c r="L1571" s="18"/>
      <c r="M1571" s="18"/>
      <c r="N1571" s="18"/>
      <c r="O1571" s="14" t="str">
        <f>HYPERLINK("https://otsuka-europe-crm.veevavault.com/ui/#object/email_activity__v/V8C00000003M110", "EN-002088039")</f>
        <v>EN-002088039</v>
      </c>
    </row>
    <row r="1572" spans="1:15" ht="16" x14ac:dyDescent="0.2">
      <c r="A1572" s="19"/>
      <c r="B1572" s="19"/>
      <c r="C1572" s="19"/>
      <c r="D1572" s="19"/>
      <c r="E1572" s="19"/>
      <c r="F1572" s="19"/>
      <c r="G1572" s="19"/>
      <c r="H1572" s="19"/>
      <c r="I1572" s="19"/>
      <c r="J1572" s="19"/>
      <c r="K1572" s="19"/>
      <c r="L1572" s="19"/>
      <c r="M1572" s="19"/>
      <c r="N1572" s="19"/>
      <c r="O1572" s="14" t="str">
        <f>HYPERLINK("https://otsuka-europe-crm.veevavault.com/ui/#object/email_activity__v/V8C00000003N021", "EN-002088050")</f>
        <v>EN-002088050</v>
      </c>
    </row>
    <row r="1573" spans="1:15" ht="64" x14ac:dyDescent="0.2">
      <c r="A1573" s="7" t="str">
        <f>HYPERLINK("https://otsuka-europe-crm.veevavault.com/ui/#object/account__v/V4TZ025E88X1BJO", "SERGIO EDUARDO MARTINEZ CAÑABATE")</f>
        <v>SERGIO EDUARDO MARTINEZ CAÑABATE</v>
      </c>
      <c r="B1573" s="7" t="str">
        <f t="shared" ref="B1573:B1580" si="32">HYPERLINK("https://otsuka-europe-crm.veevavault.com/ui/#object/vcountry__v/VENZ000004SONF5", "ES")</f>
        <v>ES</v>
      </c>
      <c r="C1573" s="8" t="s">
        <v>41</v>
      </c>
      <c r="D1573" s="9" t="str">
        <f t="shared" ref="D1573:D1580" si="33">HYPERLINK("https://otsuka-europe-crm.veevavault.com/ui/#object/approved_document__v/V5O00000001E009", "INA - VAE quinto episodio Nosquedamosencasa - El impacto emocional en pacientes con LMA")</f>
        <v>INA - VAE quinto episodio Nosquedamosencasa - El impacto emocional en pacientes con LMA</v>
      </c>
      <c r="E1573" s="10" t="str">
        <f>HYPERLINK("https://otsuka-europe-crm.veevavault.com/ui/#object/sent_email__v/VBL00000002N562", "SE-001431543")</f>
        <v>SE-001431543</v>
      </c>
      <c r="F1573" s="11"/>
      <c r="G1573" s="12">
        <v>0</v>
      </c>
      <c r="H1573" s="12">
        <v>0</v>
      </c>
      <c r="I1573" s="12">
        <v>0</v>
      </c>
      <c r="J1573" s="11"/>
      <c r="K1573" s="12">
        <v>0</v>
      </c>
      <c r="L1573" s="10" t="str">
        <f t="shared" ref="L1573:L1580" si="34">HYPERLINK("https://otsuka-europe-crm.veevavault.com/ui/#object/approved_document__v/V5O00000001E009", "INA - VAE quinto episodio Nosquedamosencasa - El impacto emocional en pacientes con LMA")</f>
        <v>INA - VAE quinto episodio Nosquedamosencasa - El impacto emocional en pacientes con LMA</v>
      </c>
      <c r="M1573" s="10" t="str">
        <f t="shared" ref="M1573:M1580" si="35">HYPERLINK("mailto:ccalero@crm.otsuka-europe.com", "ccalero@crm.otsuka-europe.com")</f>
        <v>ccalero@crm.otsuka-europe.com</v>
      </c>
      <c r="N1573" s="13">
        <v>46175.475462962961</v>
      </c>
      <c r="O1573" s="14" t="str">
        <f>HYPERLINK("https://otsuka-europe-crm.veevavault.com/ui/#object/email_activity__v/V8C00000003L647", "EN-002087292")</f>
        <v>EN-002087292</v>
      </c>
    </row>
    <row r="1574" spans="1:15" ht="64" x14ac:dyDescent="0.2">
      <c r="A1574" s="7" t="str">
        <f>HYPERLINK("https://otsuka-europe-crm.veevavault.com/ui/#object/account__v/V4TZ025E88B5DYK", "ANDREA POVEDA GARCIA")</f>
        <v>ANDREA POVEDA GARCIA</v>
      </c>
      <c r="B1574" s="7" t="str">
        <f t="shared" si="32"/>
        <v>ES</v>
      </c>
      <c r="C1574" s="8" t="s">
        <v>41</v>
      </c>
      <c r="D1574" s="9" t="str">
        <f t="shared" si="33"/>
        <v>INA - VAE quinto episodio Nosquedamosencasa - El impacto emocional en pacientes con LMA</v>
      </c>
      <c r="E1574" s="10" t="str">
        <f>HYPERLINK("https://otsuka-europe-crm.veevavault.com/ui/#object/sent_email__v/VBL00000002N563", "SE-001431544")</f>
        <v>SE-001431544</v>
      </c>
      <c r="F1574" s="11"/>
      <c r="G1574" s="12">
        <v>0</v>
      </c>
      <c r="H1574" s="12">
        <v>0</v>
      </c>
      <c r="I1574" s="12">
        <v>0</v>
      </c>
      <c r="J1574" s="11"/>
      <c r="K1574" s="12">
        <v>0</v>
      </c>
      <c r="L1574" s="10" t="str">
        <f t="shared" si="34"/>
        <v>INA - VAE quinto episodio Nosquedamosencasa - El impacto emocional en pacientes con LMA</v>
      </c>
      <c r="M1574" s="10" t="str">
        <f t="shared" si="35"/>
        <v>ccalero@crm.otsuka-europe.com</v>
      </c>
      <c r="N1574" s="13">
        <v>46175.475474537037</v>
      </c>
      <c r="O1574" s="14" t="str">
        <f>HYPERLINK("https://otsuka-europe-crm.veevavault.com/ui/#object/email_activity__v/V8C00000003L702", "EN-002087369")</f>
        <v>EN-002087369</v>
      </c>
    </row>
    <row r="1575" spans="1:15" ht="64" x14ac:dyDescent="0.2">
      <c r="A1575" s="7" t="str">
        <f>HYPERLINK("https://otsuka-europe-crm.veevavault.com/ui/#object/account__v/V4TZ025E83NUVJL", "ANTONIO MARTINEZ FRANCES")</f>
        <v>ANTONIO MARTINEZ FRANCES</v>
      </c>
      <c r="B1575" s="7" t="str">
        <f t="shared" si="32"/>
        <v>ES</v>
      </c>
      <c r="C1575" s="8" t="s">
        <v>41</v>
      </c>
      <c r="D1575" s="9" t="str">
        <f t="shared" si="33"/>
        <v>INA - VAE quinto episodio Nosquedamosencasa - El impacto emocional en pacientes con LMA</v>
      </c>
      <c r="E1575" s="10" t="str">
        <f>HYPERLINK("https://otsuka-europe-crm.veevavault.com/ui/#object/sent_email__v/VBL00000002N564", "SE-001431545")</f>
        <v>SE-001431545</v>
      </c>
      <c r="F1575" s="11"/>
      <c r="G1575" s="12">
        <v>0</v>
      </c>
      <c r="H1575" s="12">
        <v>0</v>
      </c>
      <c r="I1575" s="12">
        <v>0</v>
      </c>
      <c r="J1575" s="11"/>
      <c r="K1575" s="12">
        <v>0</v>
      </c>
      <c r="L1575" s="10" t="str">
        <f t="shared" si="34"/>
        <v>INA - VAE quinto episodio Nosquedamosencasa - El impacto emocional en pacientes con LMA</v>
      </c>
      <c r="M1575" s="10" t="str">
        <f t="shared" si="35"/>
        <v>ccalero@crm.otsuka-europe.com</v>
      </c>
      <c r="N1575" s="13">
        <v>46175.475462962961</v>
      </c>
      <c r="O1575" s="14" t="str">
        <f>HYPERLINK("https://otsuka-europe-crm.veevavault.com/ui/#object/email_activity__v/V8C00000003L674", "EN-002087333")</f>
        <v>EN-002087333</v>
      </c>
    </row>
    <row r="1576" spans="1:15" ht="64" x14ac:dyDescent="0.2">
      <c r="A1576" s="7" t="str">
        <f>HYPERLINK("https://otsuka-europe-crm.veevavault.com/ui/#object/account__v/V4TZ025E899XA3A", "MARIA TERESA GIMENO BROSEL")</f>
        <v>MARIA TERESA GIMENO BROSEL</v>
      </c>
      <c r="B1576" s="7" t="str">
        <f t="shared" si="32"/>
        <v>ES</v>
      </c>
      <c r="C1576" s="8" t="s">
        <v>41</v>
      </c>
      <c r="D1576" s="9" t="str">
        <f t="shared" si="33"/>
        <v>INA - VAE quinto episodio Nosquedamosencasa - El impacto emocional en pacientes con LMA</v>
      </c>
      <c r="E1576" s="10" t="str">
        <f>HYPERLINK("https://otsuka-europe-crm.veevavault.com/ui/#object/sent_email__v/VBL00000002N565", "SE-001431546")</f>
        <v>SE-001431546</v>
      </c>
      <c r="F1576" s="11"/>
      <c r="G1576" s="12">
        <v>0</v>
      </c>
      <c r="H1576" s="12">
        <v>0</v>
      </c>
      <c r="I1576" s="12">
        <v>0</v>
      </c>
      <c r="J1576" s="11"/>
      <c r="K1576" s="12">
        <v>0</v>
      </c>
      <c r="L1576" s="10" t="str">
        <f t="shared" si="34"/>
        <v>INA - VAE quinto episodio Nosquedamosencasa - El impacto emocional en pacientes con LMA</v>
      </c>
      <c r="M1576" s="10" t="str">
        <f t="shared" si="35"/>
        <v>ccalero@crm.otsuka-europe.com</v>
      </c>
      <c r="N1576" s="13">
        <v>46175.475474537037</v>
      </c>
      <c r="O1576" s="14" t="str">
        <f>HYPERLINK("https://otsuka-europe-crm.veevavault.com/ui/#object/email_activity__v/V8C00000003K751", "EN-002087350")</f>
        <v>EN-002087350</v>
      </c>
    </row>
    <row r="1577" spans="1:15" ht="64" x14ac:dyDescent="0.2">
      <c r="A1577" s="7" t="str">
        <f>HYPERLINK("https://otsuka-europe-crm.veevavault.com/ui/#object/account__v/V4TZ025E85EW7OL", "ANGEL FERNANDEZ LOPEZ")</f>
        <v>ANGEL FERNANDEZ LOPEZ</v>
      </c>
      <c r="B1577" s="7" t="str">
        <f t="shared" si="32"/>
        <v>ES</v>
      </c>
      <c r="C1577" s="8" t="s">
        <v>41</v>
      </c>
      <c r="D1577" s="9" t="str">
        <f t="shared" si="33"/>
        <v>INA - VAE quinto episodio Nosquedamosencasa - El impacto emocional en pacientes con LMA</v>
      </c>
      <c r="E1577" s="10" t="str">
        <f>HYPERLINK("https://otsuka-europe-crm.veevavault.com/ui/#object/sent_email__v/VBL00000002N566", "SE-001431547")</f>
        <v>SE-001431547</v>
      </c>
      <c r="F1577" s="11"/>
      <c r="G1577" s="12">
        <v>0</v>
      </c>
      <c r="H1577" s="12">
        <v>0</v>
      </c>
      <c r="I1577" s="12">
        <v>0</v>
      </c>
      <c r="J1577" s="11"/>
      <c r="K1577" s="12">
        <v>0</v>
      </c>
      <c r="L1577" s="10" t="str">
        <f t="shared" si="34"/>
        <v>INA - VAE quinto episodio Nosquedamosencasa - El impacto emocional en pacientes con LMA</v>
      </c>
      <c r="M1577" s="10" t="str">
        <f t="shared" si="35"/>
        <v>ccalero@crm.otsuka-europe.com</v>
      </c>
      <c r="N1577" s="13">
        <v>46175.475474537037</v>
      </c>
      <c r="O1577" s="14" t="str">
        <f>HYPERLINK("https://otsuka-europe-crm.veevavault.com/ui/#object/email_activity__v/V8C00000003L665", "EN-002087319")</f>
        <v>EN-002087319</v>
      </c>
    </row>
    <row r="1578" spans="1:15" ht="64" x14ac:dyDescent="0.2">
      <c r="A1578" s="7" t="str">
        <f>HYPERLINK("https://otsuka-europe-crm.veevavault.com/ui/#object/account__v/V4TZ025E830AE3D", "RAIMUNDO GARCIA BOYERO")</f>
        <v>RAIMUNDO GARCIA BOYERO</v>
      </c>
      <c r="B1578" s="7" t="str">
        <f t="shared" si="32"/>
        <v>ES</v>
      </c>
      <c r="C1578" s="8" t="s">
        <v>41</v>
      </c>
      <c r="D1578" s="9" t="str">
        <f t="shared" si="33"/>
        <v>INA - VAE quinto episodio Nosquedamosencasa - El impacto emocional en pacientes con LMA</v>
      </c>
      <c r="E1578" s="10" t="str">
        <f>HYPERLINK("https://otsuka-europe-crm.veevavault.com/ui/#object/sent_email__v/VBL00000002N567", "SE-001431548")</f>
        <v>SE-001431548</v>
      </c>
      <c r="F1578" s="11"/>
      <c r="G1578" s="12">
        <v>0</v>
      </c>
      <c r="H1578" s="12">
        <v>0</v>
      </c>
      <c r="I1578" s="12">
        <v>0</v>
      </c>
      <c r="J1578" s="11"/>
      <c r="K1578" s="12">
        <v>0</v>
      </c>
      <c r="L1578" s="10" t="str">
        <f t="shared" si="34"/>
        <v>INA - VAE quinto episodio Nosquedamosencasa - El impacto emocional en pacientes con LMA</v>
      </c>
      <c r="M1578" s="10" t="str">
        <f t="shared" si="35"/>
        <v>ccalero@crm.otsuka-europe.com</v>
      </c>
      <c r="N1578" s="13">
        <v>46175.475474537037</v>
      </c>
      <c r="O1578" s="14" t="str">
        <f>HYPERLINK("https://otsuka-europe-crm.veevavault.com/ui/#object/email_activity__v/V8C00000003L654", "EN-002087308")</f>
        <v>EN-002087308</v>
      </c>
    </row>
    <row r="1579" spans="1:15" ht="64" x14ac:dyDescent="0.2">
      <c r="A1579" s="7" t="str">
        <f>HYPERLINK("https://otsuka-europe-crm.veevavault.com/ui/#object/account__v/V4TZ025E87BZ55R", "CRISTINA ANTON MALDONADO")</f>
        <v>CRISTINA ANTON MALDONADO</v>
      </c>
      <c r="B1579" s="7" t="str">
        <f t="shared" si="32"/>
        <v>ES</v>
      </c>
      <c r="C1579" s="8" t="s">
        <v>41</v>
      </c>
      <c r="D1579" s="9" t="str">
        <f t="shared" si="33"/>
        <v>INA - VAE quinto episodio Nosquedamosencasa - El impacto emocional en pacientes con LMA</v>
      </c>
      <c r="E1579" s="10" t="str">
        <f>HYPERLINK("https://otsuka-europe-crm.veevavault.com/ui/#object/sent_email__v/VBL00000002N568", "SE-001431549")</f>
        <v>SE-001431549</v>
      </c>
      <c r="F1579" s="11"/>
      <c r="G1579" s="12">
        <v>0</v>
      </c>
      <c r="H1579" s="12">
        <v>0</v>
      </c>
      <c r="I1579" s="12">
        <v>0</v>
      </c>
      <c r="J1579" s="11"/>
      <c r="K1579" s="12">
        <v>0</v>
      </c>
      <c r="L1579" s="10" t="str">
        <f t="shared" si="34"/>
        <v>INA - VAE quinto episodio Nosquedamosencasa - El impacto emocional en pacientes con LMA</v>
      </c>
      <c r="M1579" s="10" t="str">
        <f t="shared" si="35"/>
        <v>ccalero@crm.otsuka-europe.com</v>
      </c>
      <c r="N1579" s="13">
        <v>46175.475474537037</v>
      </c>
      <c r="O1579" s="14" t="str">
        <f>HYPERLINK("https://otsuka-europe-crm.veevavault.com/ui/#object/email_activity__v/V8C00000003K737", "EN-002087299")</f>
        <v>EN-002087299</v>
      </c>
    </row>
    <row r="1580" spans="1:15" ht="16" x14ac:dyDescent="0.2">
      <c r="A1580" s="17" t="str">
        <f>HYPERLINK("https://otsuka-europe-crm.veevavault.com/ui/#object/account__v/V4TZ025E898558I", "MARIA FERNANDEZ LOPEZ")</f>
        <v>MARIA FERNANDEZ LOPEZ</v>
      </c>
      <c r="B1580" s="17" t="str">
        <f t="shared" si="32"/>
        <v>ES</v>
      </c>
      <c r="C1580" s="20" t="s">
        <v>41</v>
      </c>
      <c r="D1580" s="21" t="str">
        <f t="shared" si="33"/>
        <v>INA - VAE quinto episodio Nosquedamosencasa - El impacto emocional en pacientes con LMA</v>
      </c>
      <c r="E1580" s="22" t="str">
        <f>HYPERLINK("https://otsuka-europe-crm.veevavault.com/ui/#object/sent_email__v/VBL00000002N569", "SE-001431550")</f>
        <v>SE-001431550</v>
      </c>
      <c r="F1580" s="23">
        <v>46175.475590277776</v>
      </c>
      <c r="G1580" s="24">
        <v>1</v>
      </c>
      <c r="H1580" s="24">
        <v>1</v>
      </c>
      <c r="I1580" s="24">
        <v>0</v>
      </c>
      <c r="J1580" s="25"/>
      <c r="K1580" s="24">
        <v>0</v>
      </c>
      <c r="L1580" s="22" t="str">
        <f t="shared" si="34"/>
        <v>INA - VAE quinto episodio Nosquedamosencasa - El impacto emocional en pacientes con LMA</v>
      </c>
      <c r="M1580" s="22" t="str">
        <f t="shared" si="35"/>
        <v>ccalero@crm.otsuka-europe.com</v>
      </c>
      <c r="N1580" s="23">
        <v>46175.475474537037</v>
      </c>
      <c r="O1580" s="14" t="str">
        <f>HYPERLINK("https://otsuka-europe-crm.veevavault.com/ui/#object/email_activity__v/V8C00000003L648", "EN-002087293")</f>
        <v>EN-002087293</v>
      </c>
    </row>
    <row r="1581" spans="1:15" ht="16" x14ac:dyDescent="0.2">
      <c r="A1581" s="19"/>
      <c r="B1581" s="19"/>
      <c r="C1581" s="19"/>
      <c r="D1581" s="19"/>
      <c r="E1581" s="19"/>
      <c r="F1581" s="19"/>
      <c r="G1581" s="19"/>
      <c r="H1581" s="19"/>
      <c r="I1581" s="19"/>
      <c r="J1581" s="19"/>
      <c r="K1581" s="19"/>
      <c r="L1581" s="19"/>
      <c r="M1581" s="19"/>
      <c r="N1581" s="19"/>
      <c r="O1581" s="14" t="str">
        <f>HYPERLINK("https://otsuka-europe-crm.veevavault.com/ui/#object/email_activity__v/V8C00000003L705", "EN-002087372")</f>
        <v>EN-002087372</v>
      </c>
    </row>
    <row r="1582" spans="1:15" ht="16" x14ac:dyDescent="0.2">
      <c r="A1582" s="17" t="str">
        <f>HYPERLINK("https://otsuka-europe-crm.veevavault.com/ui/#object/account__v/V4TZ025E86IZK96", "INMACULADA PAJARES RECIO")</f>
        <v>INMACULADA PAJARES RECIO</v>
      </c>
      <c r="B1582" s="17" t="str">
        <f>HYPERLINK("https://otsuka-europe-crm.veevavault.com/ui/#object/vcountry__v/VENZ000004SONF5", "ES")</f>
        <v>ES</v>
      </c>
      <c r="C1582" s="20" t="s">
        <v>41</v>
      </c>
      <c r="D1582" s="21" t="str">
        <f>HYPERLINK("https://otsuka-europe-crm.veevavault.com/ui/#object/approved_document__v/V5O00000001E009", "INA - VAE quinto episodio Nosquedamosencasa - El impacto emocional en pacientes con LMA")</f>
        <v>INA - VAE quinto episodio Nosquedamosencasa - El impacto emocional en pacientes con LMA</v>
      </c>
      <c r="E1582" s="22" t="str">
        <f>HYPERLINK("https://otsuka-europe-crm.veevavault.com/ui/#object/sent_email__v/VBL00000002N570", "SE-001431551")</f>
        <v>SE-001431551</v>
      </c>
      <c r="F1582" s="25"/>
      <c r="G1582" s="24">
        <v>0</v>
      </c>
      <c r="H1582" s="24">
        <v>0</v>
      </c>
      <c r="I1582" s="24">
        <v>0</v>
      </c>
      <c r="J1582" s="25"/>
      <c r="K1582" s="24">
        <v>0</v>
      </c>
      <c r="L1582" s="22" t="str">
        <f>HYPERLINK("https://otsuka-europe-crm.veevavault.com/ui/#object/approved_document__v/V5O00000001E009", "INA - VAE quinto episodio Nosquedamosencasa - El impacto emocional en pacientes con LMA")</f>
        <v>INA - VAE quinto episodio Nosquedamosencasa - El impacto emocional en pacientes con LMA</v>
      </c>
      <c r="M1582" s="22" t="str">
        <f>HYPERLINK("mailto:ccalero@crm.otsuka-europe.com", "ccalero@crm.otsuka-europe.com")</f>
        <v>ccalero@crm.otsuka-europe.com</v>
      </c>
      <c r="N1582" s="23">
        <v>46175.475474537037</v>
      </c>
      <c r="O1582" s="14" t="str">
        <f>HYPERLINK("https://otsuka-europe-crm.veevavault.com/ui/#object/email_activity__v/V8C00000003L685", "EN-002087344")</f>
        <v>EN-002087344</v>
      </c>
    </row>
    <row r="1583" spans="1:15" ht="16" x14ac:dyDescent="0.2">
      <c r="A1583" s="18"/>
      <c r="B1583" s="18"/>
      <c r="C1583" s="18"/>
      <c r="D1583" s="18"/>
      <c r="E1583" s="18"/>
      <c r="F1583" s="18"/>
      <c r="G1583" s="18"/>
      <c r="H1583" s="18"/>
      <c r="I1583" s="18"/>
      <c r="J1583" s="18"/>
      <c r="K1583" s="18"/>
      <c r="L1583" s="18"/>
      <c r="M1583" s="18"/>
      <c r="N1583" s="18"/>
      <c r="O1583" s="14" t="str">
        <f>HYPERLINK("https://otsuka-europe-crm.veevavault.com/ui/#object/email_activity__v/V8C00000003U013", "EN-002094847")</f>
        <v>EN-002094847</v>
      </c>
    </row>
    <row r="1584" spans="1:15" ht="16" x14ac:dyDescent="0.2">
      <c r="A1584" s="19"/>
      <c r="B1584" s="19"/>
      <c r="C1584" s="19"/>
      <c r="D1584" s="19"/>
      <c r="E1584" s="19"/>
      <c r="F1584" s="19"/>
      <c r="G1584" s="19"/>
      <c r="H1584" s="19"/>
      <c r="I1584" s="19"/>
      <c r="J1584" s="19"/>
      <c r="K1584" s="19"/>
      <c r="L1584" s="19"/>
      <c r="M1584" s="19"/>
      <c r="N1584" s="19"/>
      <c r="O1584" s="14" t="str">
        <f>HYPERLINK("https://otsuka-europe-crm.veevavault.com/ui/#object/email_activity__v/V8C00000003Z499", "EN-002099685")</f>
        <v>EN-002099685</v>
      </c>
    </row>
    <row r="1585" spans="1:15" ht="16" x14ac:dyDescent="0.2">
      <c r="A1585" s="17" t="str">
        <f>HYPERLINK("https://otsuka-europe-crm.veevavault.com/ui/#object/account__v/V4TZ025E83JBE1U", "MARIA MAR TORMO DIAZ")</f>
        <v>MARIA MAR TORMO DIAZ</v>
      </c>
      <c r="B1585" s="17" t="str">
        <f>HYPERLINK("https://otsuka-europe-crm.veevavault.com/ui/#object/vcountry__v/VENZ000004SONF5", "ES")</f>
        <v>ES</v>
      </c>
      <c r="C1585" s="20" t="s">
        <v>41</v>
      </c>
      <c r="D1585" s="21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1585" s="22" t="str">
        <f>HYPERLINK("https://otsuka-europe-crm.veevavault.com/ui/#object/sent_email__v/VBL00000002N571", "SE-001431552")</f>
        <v>SE-001431552</v>
      </c>
      <c r="F1585" s="23">
        <v>46176.806620370371</v>
      </c>
      <c r="G1585" s="24">
        <v>1</v>
      </c>
      <c r="H1585" s="24">
        <v>1</v>
      </c>
      <c r="I1585" s="24">
        <v>0</v>
      </c>
      <c r="J1585" s="25"/>
      <c r="K1585" s="24">
        <v>0</v>
      </c>
      <c r="L1585" s="22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1585" s="22" t="str">
        <f>HYPERLINK("mailto:ccalero@crm.otsuka-europe.com", "ccalero@crm.otsuka-europe.com")</f>
        <v>ccalero@crm.otsuka-europe.com</v>
      </c>
      <c r="N1585" s="23">
        <v>46175.475497685184</v>
      </c>
      <c r="O1585" s="14" t="str">
        <f>HYPERLINK("https://otsuka-europe-crm.veevavault.com/ui/#object/email_activity__v/V8C00000003K987", "EN-002087774")</f>
        <v>EN-002087774</v>
      </c>
    </row>
    <row r="1586" spans="1:15" ht="16" x14ac:dyDescent="0.2">
      <c r="A1586" s="18"/>
      <c r="B1586" s="18"/>
      <c r="C1586" s="18"/>
      <c r="D1586" s="18"/>
      <c r="E1586" s="18"/>
      <c r="F1586" s="18"/>
      <c r="G1586" s="18"/>
      <c r="H1586" s="18"/>
      <c r="I1586" s="18"/>
      <c r="J1586" s="18"/>
      <c r="K1586" s="18"/>
      <c r="L1586" s="18"/>
      <c r="M1586" s="18"/>
      <c r="N1586" s="18"/>
      <c r="O1586" s="14" t="str">
        <f>HYPERLINK("https://otsuka-europe-crm.veevavault.com/ui/#object/email_activity__v/V8C00000003L698", "EN-002087365")</f>
        <v>EN-002087365</v>
      </c>
    </row>
    <row r="1587" spans="1:15" ht="16" x14ac:dyDescent="0.2">
      <c r="A1587" s="18"/>
      <c r="B1587" s="18"/>
      <c r="C1587" s="18"/>
      <c r="D1587" s="18"/>
      <c r="E1587" s="18"/>
      <c r="F1587" s="18"/>
      <c r="G1587" s="18"/>
      <c r="H1587" s="18"/>
      <c r="I1587" s="18"/>
      <c r="J1587" s="18"/>
      <c r="K1587" s="18"/>
      <c r="L1587" s="18"/>
      <c r="M1587" s="18"/>
      <c r="N1587" s="18"/>
      <c r="O1587" s="14" t="str">
        <f>HYPERLINK("https://otsuka-europe-crm.veevavault.com/ui/#object/email_activity__v/V8C00000003M398", "EN-002088819")</f>
        <v>EN-002088819</v>
      </c>
    </row>
    <row r="1588" spans="1:15" ht="16" x14ac:dyDescent="0.2">
      <c r="A1588" s="19"/>
      <c r="B1588" s="19"/>
      <c r="C1588" s="19"/>
      <c r="D1588" s="19"/>
      <c r="E1588" s="19"/>
      <c r="F1588" s="19"/>
      <c r="G1588" s="19"/>
      <c r="H1588" s="19"/>
      <c r="I1588" s="19"/>
      <c r="J1588" s="19"/>
      <c r="K1588" s="19"/>
      <c r="L1588" s="19"/>
      <c r="M1588" s="19"/>
      <c r="N1588" s="19"/>
      <c r="O1588" s="14" t="str">
        <f>HYPERLINK("https://otsuka-europe-crm.veevavault.com/ui/#object/email_activity__v/V8C00000003P137", "EN-002089507")</f>
        <v>EN-002089507</v>
      </c>
    </row>
    <row r="1589" spans="1:15" ht="16" x14ac:dyDescent="0.2">
      <c r="A1589" s="17" t="str">
        <f>HYPERLINK("https://otsuka-europe-crm.veevavault.com/ui/#object/account__v/V4TZ06G6O71TABP", "CRISTINA GIL CORTES")</f>
        <v>CRISTINA GIL CORTES</v>
      </c>
      <c r="B1589" s="17" t="str">
        <f>HYPERLINK("https://otsuka-europe-crm.veevavault.com/ui/#object/vcountry__v/VENZ000004SONF5", "ES")</f>
        <v>ES</v>
      </c>
      <c r="C1589" s="20" t="s">
        <v>41</v>
      </c>
      <c r="D1589" s="21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1589" s="22" t="str">
        <f>HYPERLINK("https://otsuka-europe-crm.veevavault.com/ui/#object/sent_email__v/VBL00000002N572", "SE-001431553")</f>
        <v>SE-001431553</v>
      </c>
      <c r="F1589" s="23">
        <v>46175.696458333332</v>
      </c>
      <c r="G1589" s="24">
        <v>1</v>
      </c>
      <c r="H1589" s="24">
        <v>1</v>
      </c>
      <c r="I1589" s="24">
        <v>0</v>
      </c>
      <c r="J1589" s="25"/>
      <c r="K1589" s="24">
        <v>0</v>
      </c>
      <c r="L1589" s="22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1589" s="22" t="str">
        <f>HYPERLINK("mailto:ccalero@crm.otsuka-europe.com", "ccalero@crm.otsuka-europe.com")</f>
        <v>ccalero@crm.otsuka-europe.com</v>
      </c>
      <c r="N1589" s="23">
        <v>46175.475497685184</v>
      </c>
      <c r="O1589" s="14" t="str">
        <f>HYPERLINK("https://otsuka-europe-crm.veevavault.com/ui/#object/email_activity__v/V8C00000003L688", "EN-002087347")</f>
        <v>EN-002087347</v>
      </c>
    </row>
    <row r="1590" spans="1:15" ht="16" x14ac:dyDescent="0.2">
      <c r="A1590" s="19"/>
      <c r="B1590" s="19"/>
      <c r="C1590" s="19"/>
      <c r="D1590" s="19"/>
      <c r="E1590" s="19"/>
      <c r="F1590" s="19"/>
      <c r="G1590" s="19"/>
      <c r="H1590" s="19"/>
      <c r="I1590" s="19"/>
      <c r="J1590" s="19"/>
      <c r="K1590" s="19"/>
      <c r="L1590" s="19"/>
      <c r="M1590" s="19"/>
      <c r="N1590" s="19"/>
      <c r="O1590" s="14" t="str">
        <f>HYPERLINK("https://otsuka-europe-crm.veevavault.com/ui/#object/email_activity__v/V8C00000003M085", "EN-002088006")</f>
        <v>EN-002088006</v>
      </c>
    </row>
    <row r="1591" spans="1:15" ht="48" x14ac:dyDescent="0.2">
      <c r="A1591" s="7" t="str">
        <f>HYPERLINK("https://otsuka-europe-crm.veevavault.com/ui/#object/account__v/V4TZ025E88N4AUL", "ISABEL RODENAS QUIÑONERO")</f>
        <v>ISABEL RODENAS QUIÑONERO</v>
      </c>
      <c r="B1591" s="7" t="str">
        <f>HYPERLINK("https://otsuka-europe-crm.veevavault.com/ui/#object/vcountry__v/VENZ000004SONF5", "ES")</f>
        <v>ES</v>
      </c>
      <c r="C1591" s="8" t="s">
        <v>41</v>
      </c>
      <c r="D1591" s="9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1591" s="10" t="str">
        <f>HYPERLINK("https://otsuka-europe-crm.veevavault.com/ui/#object/sent_email__v/VBL00000002N573", "SE-001431554")</f>
        <v>SE-001431554</v>
      </c>
      <c r="F1591" s="11"/>
      <c r="G1591" s="12">
        <v>0</v>
      </c>
      <c r="H1591" s="12">
        <v>0</v>
      </c>
      <c r="I1591" s="12">
        <v>0</v>
      </c>
      <c r="J1591" s="11"/>
      <c r="K1591" s="12">
        <v>0</v>
      </c>
      <c r="L1591" s="10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1591" s="10" t="str">
        <f>HYPERLINK("mailto:ccalero@crm.otsuka-europe.com", "ccalero@crm.otsuka-europe.com")</f>
        <v>ccalero@crm.otsuka-europe.com</v>
      </c>
      <c r="N1591" s="13">
        <v>46175.475497685184</v>
      </c>
      <c r="O1591" s="14" t="str">
        <f>HYPERLINK("https://otsuka-europe-crm.veevavault.com/ui/#object/email_activity__v/V8C00000003L679", "EN-002087338")</f>
        <v>EN-002087338</v>
      </c>
    </row>
    <row r="1592" spans="1:15" ht="48" x14ac:dyDescent="0.2">
      <c r="A1592" s="7" t="str">
        <f>HYPERLINK("https://otsuka-europe-crm.veevavault.com/ui/#object/account__v/V4TZ025E84KG2CA", "MARIA LUISA LOZANO ALMELA")</f>
        <v>MARIA LUISA LOZANO ALMELA</v>
      </c>
      <c r="B1592" s="7" t="str">
        <f>HYPERLINK("https://otsuka-europe-crm.veevavault.com/ui/#object/vcountry__v/VENZ000004SONF5", "ES")</f>
        <v>ES</v>
      </c>
      <c r="C1592" s="8" t="s">
        <v>41</v>
      </c>
      <c r="D1592" s="9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1592" s="10" t="str">
        <f>HYPERLINK("https://otsuka-europe-crm.veevavault.com/ui/#object/sent_email__v/VBL00000002N574", "SE-001431555")</f>
        <v>SE-001431555</v>
      </c>
      <c r="F1592" s="11"/>
      <c r="G1592" s="12">
        <v>0</v>
      </c>
      <c r="H1592" s="12">
        <v>0</v>
      </c>
      <c r="I1592" s="12">
        <v>0</v>
      </c>
      <c r="J1592" s="11"/>
      <c r="K1592" s="12">
        <v>0</v>
      </c>
      <c r="L1592" s="10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1592" s="10" t="str">
        <f>HYPERLINK("mailto:ccalero@crm.otsuka-europe.com", "ccalero@crm.otsuka-europe.com")</f>
        <v>ccalero@crm.otsuka-europe.com</v>
      </c>
      <c r="N1592" s="13">
        <v>46175.475497685184</v>
      </c>
      <c r="O1592" s="14" t="str">
        <f>HYPERLINK("https://otsuka-europe-crm.veevavault.com/ui/#object/email_activity__v/V8C00000003L697", "EN-002087364")</f>
        <v>EN-002087364</v>
      </c>
    </row>
    <row r="1593" spans="1:15" ht="48" x14ac:dyDescent="0.2">
      <c r="A1593" s="7" t="str">
        <f>HYPERLINK("https://otsuka-europe-crm.veevavault.com/ui/#object/account__v/V4TZ025E83TLNOD", "MARIA LUZ AMIGO LOZANO")</f>
        <v>MARIA LUZ AMIGO LOZANO</v>
      </c>
      <c r="B1593" s="7" t="str">
        <f>HYPERLINK("https://otsuka-europe-crm.veevavault.com/ui/#object/vcountry__v/VENZ000004SONF5", "ES")</f>
        <v>ES</v>
      </c>
      <c r="C1593" s="8" t="s">
        <v>41</v>
      </c>
      <c r="D1593" s="9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1593" s="10" t="str">
        <f>HYPERLINK("https://otsuka-europe-crm.veevavault.com/ui/#object/sent_email__v/VBL00000002N575", "SE-001431556")</f>
        <v>SE-001431556</v>
      </c>
      <c r="F1593" s="11"/>
      <c r="G1593" s="12">
        <v>0</v>
      </c>
      <c r="H1593" s="12">
        <v>0</v>
      </c>
      <c r="I1593" s="12">
        <v>0</v>
      </c>
      <c r="J1593" s="11"/>
      <c r="K1593" s="12">
        <v>0</v>
      </c>
      <c r="L1593" s="10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1593" s="10" t="str">
        <f>HYPERLINK("mailto:ccalero@crm.otsuka-europe.com", "ccalero@crm.otsuka-europe.com")</f>
        <v>ccalero@crm.otsuka-europe.com</v>
      </c>
      <c r="N1593" s="13">
        <v>46175.475497685184</v>
      </c>
      <c r="O1593" s="14" t="str">
        <f>HYPERLINK("https://otsuka-europe-crm.veevavault.com/ui/#object/email_activity__v/V8C00000003L655", "EN-002087309")</f>
        <v>EN-002087309</v>
      </c>
    </row>
    <row r="1594" spans="1:15" ht="16" x14ac:dyDescent="0.2">
      <c r="A1594" s="17" t="str">
        <f>HYPERLINK("https://otsuka-europe-crm.veevavault.com/ui/#object/account__v/V4TZ025E846WCMI", "MIGUEL ANGEL SANZ CABALLER")</f>
        <v>MIGUEL ANGEL SANZ CABALLER</v>
      </c>
      <c r="B1594" s="17" t="str">
        <f>HYPERLINK("https://otsuka-europe-crm.veevavault.com/ui/#object/vcountry__v/VENZ000004SONF5", "ES")</f>
        <v>ES</v>
      </c>
      <c r="C1594" s="20" t="s">
        <v>41</v>
      </c>
      <c r="D1594" s="21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1594" s="22" t="str">
        <f>HYPERLINK("https://otsuka-europe-crm.veevavault.com/ui/#object/sent_email__v/VBL00000002N576", "SE-001431557")</f>
        <v>SE-001431557</v>
      </c>
      <c r="F1594" s="23">
        <v>46176.978043981479</v>
      </c>
      <c r="G1594" s="24">
        <v>1</v>
      </c>
      <c r="H1594" s="24">
        <v>2</v>
      </c>
      <c r="I1594" s="24">
        <v>0</v>
      </c>
      <c r="J1594" s="25"/>
      <c r="K1594" s="24">
        <v>0</v>
      </c>
      <c r="L1594" s="22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1594" s="22" t="str">
        <f>HYPERLINK("mailto:ccalero@crm.otsuka-europe.com", "ccalero@crm.otsuka-europe.com")</f>
        <v>ccalero@crm.otsuka-europe.com</v>
      </c>
      <c r="N1594" s="23">
        <v>46175.475497685184</v>
      </c>
      <c r="O1594" s="14" t="str">
        <f>HYPERLINK("https://otsuka-europe-crm.veevavault.com/ui/#object/email_activity__v/V8C00000003K755", "EN-002087354")</f>
        <v>EN-002087354</v>
      </c>
    </row>
    <row r="1595" spans="1:15" ht="16" x14ac:dyDescent="0.2">
      <c r="A1595" s="18"/>
      <c r="B1595" s="18"/>
      <c r="C1595" s="18"/>
      <c r="D1595" s="18"/>
      <c r="E1595" s="18"/>
      <c r="F1595" s="18"/>
      <c r="G1595" s="18"/>
      <c r="H1595" s="18"/>
      <c r="I1595" s="18"/>
      <c r="J1595" s="18"/>
      <c r="K1595" s="18"/>
      <c r="L1595" s="18"/>
      <c r="M1595" s="18"/>
      <c r="N1595" s="18"/>
      <c r="O1595" s="14" t="str">
        <f>HYPERLINK("https://otsuka-europe-crm.veevavault.com/ui/#object/email_activity__v/V8C00000003M417", "EN-002088859")</f>
        <v>EN-002088859</v>
      </c>
    </row>
    <row r="1596" spans="1:15" ht="16" x14ac:dyDescent="0.2">
      <c r="A1596" s="19"/>
      <c r="B1596" s="19"/>
      <c r="C1596" s="19"/>
      <c r="D1596" s="19"/>
      <c r="E1596" s="19"/>
      <c r="F1596" s="19"/>
      <c r="G1596" s="19"/>
      <c r="H1596" s="19"/>
      <c r="I1596" s="19"/>
      <c r="J1596" s="19"/>
      <c r="K1596" s="19"/>
      <c r="L1596" s="19"/>
      <c r="M1596" s="19"/>
      <c r="N1596" s="19"/>
      <c r="O1596" s="14" t="str">
        <f>HYPERLINK("https://otsuka-europe-crm.veevavault.com/ui/#object/email_activity__v/V8C00000003N538", "EN-002088858")</f>
        <v>EN-002088858</v>
      </c>
    </row>
    <row r="1597" spans="1:15" ht="48" x14ac:dyDescent="0.2">
      <c r="A1597" s="7" t="str">
        <f>HYPERLINK("https://otsuka-europe-crm.veevavault.com/ui/#object/account__v/V4TZ025E86IJCUE", "MARINA MORILLAS FRANCO")</f>
        <v>MARINA MORILLAS FRANCO</v>
      </c>
      <c r="B1597" s="7" t="str">
        <f>HYPERLINK("https://otsuka-europe-crm.veevavault.com/ui/#object/vcountry__v/VENZ000004SONF5", "ES")</f>
        <v>ES</v>
      </c>
      <c r="C1597" s="8" t="s">
        <v>41</v>
      </c>
      <c r="D1597" s="9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1597" s="10" t="str">
        <f>HYPERLINK("https://otsuka-europe-crm.veevavault.com/ui/#object/sent_email__v/VBL00000002N577", "SE-001431558")</f>
        <v>SE-001431558</v>
      </c>
      <c r="F1597" s="11"/>
      <c r="G1597" s="12">
        <v>0</v>
      </c>
      <c r="H1597" s="12">
        <v>0</v>
      </c>
      <c r="I1597" s="12">
        <v>0</v>
      </c>
      <c r="J1597" s="11"/>
      <c r="K1597" s="12">
        <v>0</v>
      </c>
      <c r="L1597" s="10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1597" s="10" t="str">
        <f>HYPERLINK("mailto:ccalero@crm.otsuka-europe.com", "ccalero@crm.otsuka-europe.com")</f>
        <v>ccalero@crm.otsuka-europe.com</v>
      </c>
      <c r="N1597" s="13">
        <v>46175.475497685184</v>
      </c>
      <c r="O1597" s="14" t="str">
        <f>HYPERLINK("https://otsuka-europe-crm.veevavault.com/ui/#object/email_activity__v/V8C00000003L661", "EN-002087315")</f>
        <v>EN-002087315</v>
      </c>
    </row>
    <row r="1598" spans="1:15" ht="48" x14ac:dyDescent="0.2">
      <c r="A1598" s="7" t="str">
        <f>HYPERLINK("https://otsuka-europe-crm.veevavault.com/ui/#object/account__v/V4TZ06G6O71TBDG", "PAU MONTESINOS FERNANDEZ")</f>
        <v>PAU MONTESINOS FERNANDEZ</v>
      </c>
      <c r="B1598" s="7" t="str">
        <f>HYPERLINK("https://otsuka-europe-crm.veevavault.com/ui/#object/vcountry__v/VENZ000004SONF5", "ES")</f>
        <v>ES</v>
      </c>
      <c r="C1598" s="8" t="s">
        <v>41</v>
      </c>
      <c r="D1598" s="9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1598" s="10" t="str">
        <f>HYPERLINK("https://otsuka-europe-crm.veevavault.com/ui/#object/sent_email__v/VBL00000002N578", "SE-001431559")</f>
        <v>SE-001431559</v>
      </c>
      <c r="F1598" s="11"/>
      <c r="G1598" s="12">
        <v>0</v>
      </c>
      <c r="H1598" s="12">
        <v>0</v>
      </c>
      <c r="I1598" s="12">
        <v>0</v>
      </c>
      <c r="J1598" s="11"/>
      <c r="K1598" s="12">
        <v>0</v>
      </c>
      <c r="L1598" s="10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1598" s="10" t="str">
        <f>HYPERLINK("mailto:ccalero@crm.otsuka-europe.com", "ccalero@crm.otsuka-europe.com")</f>
        <v>ccalero@crm.otsuka-europe.com</v>
      </c>
      <c r="N1598" s="13">
        <v>46175.475497685184</v>
      </c>
      <c r="O1598" s="14" t="str">
        <f>HYPERLINK("https://otsuka-europe-crm.veevavault.com/ui/#object/email_activity__v/V8C00000003K757", "EN-002087373")</f>
        <v>EN-002087373</v>
      </c>
    </row>
    <row r="1599" spans="1:15" ht="16" x14ac:dyDescent="0.2">
      <c r="A1599" s="17" t="str">
        <f>HYPERLINK("https://otsuka-europe-crm.veevavault.com/ui/#object/account__v/V4T000000018062", "ITXIAR MOLINA POMARES")</f>
        <v>ITXIAR MOLINA POMARES</v>
      </c>
      <c r="B1599" s="17" t="str">
        <f>HYPERLINK("https://otsuka-europe-crm.veevavault.com/ui/#object/vcountry__v/VENZ000004SONF5", "ES")</f>
        <v>ES</v>
      </c>
      <c r="C1599" s="20" t="s">
        <v>41</v>
      </c>
      <c r="D1599" s="21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1599" s="22" t="str">
        <f>HYPERLINK("https://otsuka-europe-crm.veevavault.com/ui/#object/sent_email__v/VBL00000002N579", "SE-001431560")</f>
        <v>SE-001431560</v>
      </c>
      <c r="F1599" s="23">
        <v>46175.499803240738</v>
      </c>
      <c r="G1599" s="24">
        <v>1</v>
      </c>
      <c r="H1599" s="24">
        <v>1</v>
      </c>
      <c r="I1599" s="24">
        <v>1</v>
      </c>
      <c r="J1599" s="23">
        <v>46175.499803240738</v>
      </c>
      <c r="K1599" s="24">
        <v>1</v>
      </c>
      <c r="L1599" s="22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1599" s="22" t="str">
        <f>HYPERLINK("mailto:ccalero@crm.otsuka-europe.com", "ccalero@crm.otsuka-europe.com")</f>
        <v>ccalero@crm.otsuka-europe.com</v>
      </c>
      <c r="N1599" s="23">
        <v>46175.475555555553</v>
      </c>
      <c r="O1599" s="14" t="str">
        <f>HYPERLINK("https://otsuka-europe-crm.veevavault.com/ui/#object/email_activity__v/V8C00000003K801", "EN-002087451")</f>
        <v>EN-002087451</v>
      </c>
    </row>
    <row r="1600" spans="1:15" ht="16" x14ac:dyDescent="0.2">
      <c r="A1600" s="18"/>
      <c r="B1600" s="18"/>
      <c r="C1600" s="18"/>
      <c r="D1600" s="18"/>
      <c r="E1600" s="18"/>
      <c r="F1600" s="18"/>
      <c r="G1600" s="18"/>
      <c r="H1600" s="18"/>
      <c r="I1600" s="18"/>
      <c r="J1600" s="18"/>
      <c r="K1600" s="18"/>
      <c r="L1600" s="18"/>
      <c r="M1600" s="18"/>
      <c r="N1600" s="18"/>
      <c r="O1600" s="14" t="str">
        <f>HYPERLINK("https://otsuka-europe-crm.veevavault.com/ui/#object/email_activity__v/V8C00000003K802", "EN-002087450")</f>
        <v>EN-002087450</v>
      </c>
    </row>
    <row r="1601" spans="1:15" ht="16" x14ac:dyDescent="0.2">
      <c r="A1601" s="19"/>
      <c r="B1601" s="19"/>
      <c r="C1601" s="19"/>
      <c r="D1601" s="19"/>
      <c r="E1601" s="19"/>
      <c r="F1601" s="19"/>
      <c r="G1601" s="19"/>
      <c r="H1601" s="19"/>
      <c r="I1601" s="19"/>
      <c r="J1601" s="19"/>
      <c r="K1601" s="19"/>
      <c r="L1601" s="19"/>
      <c r="M1601" s="19"/>
      <c r="N1601" s="19"/>
      <c r="O1601" s="14" t="str">
        <f>HYPERLINK("https://otsuka-europe-crm.veevavault.com/ui/#object/email_activity__v/V8C00000003L704", "EN-002087371")</f>
        <v>EN-002087371</v>
      </c>
    </row>
    <row r="1602" spans="1:15" ht="16" x14ac:dyDescent="0.2">
      <c r="A1602" s="17" t="str">
        <f>HYPERLINK("https://otsuka-europe-crm.veevavault.com/ui/#object/account__v/V4TZ06G6O71TC6U", "MARIA JOSE SAYAS LLORIS")</f>
        <v>MARIA JOSE SAYAS LLORIS</v>
      </c>
      <c r="B1602" s="17" t="str">
        <f>HYPERLINK("https://otsuka-europe-crm.veevavault.com/ui/#object/vcountry__v/VENZ000004SONF5", "ES")</f>
        <v>ES</v>
      </c>
      <c r="C1602" s="20" t="s">
        <v>41</v>
      </c>
      <c r="D1602" s="21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1602" s="22" t="str">
        <f>HYPERLINK("https://otsuka-europe-crm.veevavault.com/ui/#object/sent_email__v/VBL00000002N580", "SE-001431561")</f>
        <v>SE-001431561</v>
      </c>
      <c r="F1602" s="23">
        <v>46180.672337962962</v>
      </c>
      <c r="G1602" s="24">
        <v>1</v>
      </c>
      <c r="H1602" s="24">
        <v>2</v>
      </c>
      <c r="I1602" s="24">
        <v>1</v>
      </c>
      <c r="J1602" s="23">
        <v>46180.672731481478</v>
      </c>
      <c r="K1602" s="24">
        <v>2</v>
      </c>
      <c r="L1602" s="22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1602" s="22" t="str">
        <f>HYPERLINK("mailto:ccalero@crm.otsuka-europe.com", "ccalero@crm.otsuka-europe.com")</f>
        <v>ccalero@crm.otsuka-europe.com</v>
      </c>
      <c r="N1602" s="23">
        <v>46175.475497685184</v>
      </c>
      <c r="O1602" s="14" t="str">
        <f>HYPERLINK("https://otsuka-europe-crm.veevavault.com/ui/#object/email_activity__v/V8C00000003K752", "EN-002087351")</f>
        <v>EN-002087351</v>
      </c>
    </row>
    <row r="1603" spans="1:15" ht="16" x14ac:dyDescent="0.2">
      <c r="A1603" s="18"/>
      <c r="B1603" s="18"/>
      <c r="C1603" s="18"/>
      <c r="D1603" s="18"/>
      <c r="E1603" s="18"/>
      <c r="F1603" s="18"/>
      <c r="G1603" s="18"/>
      <c r="H1603" s="18"/>
      <c r="I1603" s="18"/>
      <c r="J1603" s="18"/>
      <c r="K1603" s="18"/>
      <c r="L1603" s="18"/>
      <c r="M1603" s="18"/>
      <c r="N1603" s="18"/>
      <c r="O1603" s="14" t="str">
        <f>HYPERLINK("https://otsuka-europe-crm.veevavault.com/ui/#object/email_activity__v/V8C00000003O114", "EN-002089475")</f>
        <v>EN-002089475</v>
      </c>
    </row>
    <row r="1604" spans="1:15" ht="16" x14ac:dyDescent="0.2">
      <c r="A1604" s="18"/>
      <c r="B1604" s="18"/>
      <c r="C1604" s="18"/>
      <c r="D1604" s="18"/>
      <c r="E1604" s="18"/>
      <c r="F1604" s="18"/>
      <c r="G1604" s="18"/>
      <c r="H1604" s="18"/>
      <c r="I1604" s="18"/>
      <c r="J1604" s="18"/>
      <c r="K1604" s="18"/>
      <c r="L1604" s="18"/>
      <c r="M1604" s="18"/>
      <c r="N1604" s="18"/>
      <c r="O1604" s="14" t="str">
        <f>HYPERLINK("https://otsuka-europe-crm.veevavault.com/ui/#object/email_activity__v/V8C00000003P118", "EN-002089468")</f>
        <v>EN-002089468</v>
      </c>
    </row>
    <row r="1605" spans="1:15" ht="16" x14ac:dyDescent="0.2">
      <c r="A1605" s="18"/>
      <c r="B1605" s="18"/>
      <c r="C1605" s="18"/>
      <c r="D1605" s="18"/>
      <c r="E1605" s="18"/>
      <c r="F1605" s="18"/>
      <c r="G1605" s="18"/>
      <c r="H1605" s="18"/>
      <c r="I1605" s="18"/>
      <c r="J1605" s="18"/>
      <c r="K1605" s="18"/>
      <c r="L1605" s="18"/>
      <c r="M1605" s="18"/>
      <c r="N1605" s="18"/>
      <c r="O1605" s="14" t="str">
        <f>HYPERLINK("https://otsuka-europe-crm.veevavault.com/ui/#object/email_activity__v/V8C00000003P120", "EN-002089473")</f>
        <v>EN-002089473</v>
      </c>
    </row>
    <row r="1606" spans="1:15" ht="16" x14ac:dyDescent="0.2">
      <c r="A1606" s="19"/>
      <c r="B1606" s="19"/>
      <c r="C1606" s="19"/>
      <c r="D1606" s="19"/>
      <c r="E1606" s="19"/>
      <c r="F1606" s="19"/>
      <c r="G1606" s="19"/>
      <c r="H1606" s="19"/>
      <c r="I1606" s="19"/>
      <c r="J1606" s="19"/>
      <c r="K1606" s="19"/>
      <c r="L1606" s="19"/>
      <c r="M1606" s="19"/>
      <c r="N1606" s="19"/>
      <c r="O1606" s="14" t="str">
        <f>HYPERLINK("https://otsuka-europe-crm.veevavault.com/ui/#object/email_activity__v/V8C00000003P121", "EN-002089474")</f>
        <v>EN-002089474</v>
      </c>
    </row>
    <row r="1607" spans="1:15" ht="48" x14ac:dyDescent="0.2">
      <c r="A1607" s="7" t="str">
        <f>HYPERLINK("https://otsuka-europe-crm.veevavault.com/ui/#object/account__v/V4TZ025E88MQO9F", "IRENE NAVARRO VICENTE")</f>
        <v>IRENE NAVARRO VICENTE</v>
      </c>
      <c r="B1607" s="7" t="str">
        <f>HYPERLINK("https://otsuka-europe-crm.veevavault.com/ui/#object/vcountry__v/VENZ000004SONF5", "ES")</f>
        <v>ES</v>
      </c>
      <c r="C1607" s="8" t="s">
        <v>41</v>
      </c>
      <c r="D1607" s="9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1607" s="10" t="str">
        <f>HYPERLINK("https://otsuka-europe-crm.veevavault.com/ui/#object/sent_email__v/VBL00000002N581", "SE-001431562")</f>
        <v>SE-001431562</v>
      </c>
      <c r="F1607" s="11"/>
      <c r="G1607" s="12">
        <v>0</v>
      </c>
      <c r="H1607" s="12">
        <v>0</v>
      </c>
      <c r="I1607" s="12">
        <v>0</v>
      </c>
      <c r="J1607" s="11"/>
      <c r="K1607" s="12">
        <v>0</v>
      </c>
      <c r="L1607" s="10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1607" s="10" t="str">
        <f>HYPERLINK("mailto:ccalero@crm.otsuka-europe.com", "ccalero@crm.otsuka-europe.com")</f>
        <v>ccalero@crm.otsuka-europe.com</v>
      </c>
      <c r="N1607" s="13">
        <v>46175.475497685184</v>
      </c>
      <c r="O1607" s="14" t="str">
        <f>HYPERLINK("https://otsuka-europe-crm.veevavault.com/ui/#object/email_activity__v/V8C00000003L656", "EN-002087310")</f>
        <v>EN-002087310</v>
      </c>
    </row>
    <row r="1608" spans="1:15" ht="16" x14ac:dyDescent="0.2">
      <c r="A1608" s="17" t="str">
        <f>HYPERLINK("https://otsuka-europe-crm.veevavault.com/ui/#object/account__v/V4TZ025E894AGMH", "MARIA ASUNCION CAMARA RODENAS")</f>
        <v>MARIA ASUNCION CAMARA RODENAS</v>
      </c>
      <c r="B1608" s="17" t="str">
        <f>HYPERLINK("https://otsuka-europe-crm.veevavault.com/ui/#object/vcountry__v/VENZ000004SONF5", "ES")</f>
        <v>ES</v>
      </c>
      <c r="C1608" s="20" t="s">
        <v>41</v>
      </c>
      <c r="D1608" s="21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1608" s="22" t="str">
        <f>HYPERLINK("https://otsuka-europe-crm.veevavault.com/ui/#object/sent_email__v/VBL00000002N582", "SE-001431563")</f>
        <v>SE-001431563</v>
      </c>
      <c r="F1608" s="25"/>
      <c r="G1608" s="24">
        <v>0</v>
      </c>
      <c r="H1608" s="24">
        <v>0</v>
      </c>
      <c r="I1608" s="24">
        <v>0</v>
      </c>
      <c r="J1608" s="25"/>
      <c r="K1608" s="24">
        <v>0</v>
      </c>
      <c r="L1608" s="22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1608" s="22" t="str">
        <f>HYPERLINK("mailto:ccalero@crm.otsuka-europe.com", "ccalero@crm.otsuka-europe.com")</f>
        <v>ccalero@crm.otsuka-europe.com</v>
      </c>
      <c r="N1608" s="23">
        <v>46175.475497685184</v>
      </c>
      <c r="O1608" s="14" t="str">
        <f>HYPERLINK("https://otsuka-europe-crm.veevavault.com/ui/#object/email_activity__v/V8C00000003K838", "EN-002087527")</f>
        <v>EN-002087527</v>
      </c>
    </row>
    <row r="1609" spans="1:15" ht="16" x14ac:dyDescent="0.2">
      <c r="A1609" s="19"/>
      <c r="B1609" s="19"/>
      <c r="C1609" s="19"/>
      <c r="D1609" s="19"/>
      <c r="E1609" s="19"/>
      <c r="F1609" s="19"/>
      <c r="G1609" s="19"/>
      <c r="H1609" s="19"/>
      <c r="I1609" s="19"/>
      <c r="J1609" s="19"/>
      <c r="K1609" s="19"/>
      <c r="L1609" s="19"/>
      <c r="M1609" s="19"/>
      <c r="N1609" s="19"/>
      <c r="O1609" s="14" t="str">
        <f>HYPERLINK("https://otsuka-europe-crm.veevavault.com/ui/#object/email_activity__v/V8C00000003L690", "EN-002087357")</f>
        <v>EN-002087357</v>
      </c>
    </row>
    <row r="1610" spans="1:15" ht="48" x14ac:dyDescent="0.2">
      <c r="A1610" s="7" t="str">
        <f>HYPERLINK("https://otsuka-europe-crm.veevavault.com/ui/#object/account__v/V4TZ025E89ARNAU", "CLAUDIA GOMEZ HERNANDEZ")</f>
        <v>CLAUDIA GOMEZ HERNANDEZ</v>
      </c>
      <c r="B1610" s="7" t="str">
        <f>HYPERLINK("https://otsuka-europe-crm.veevavault.com/ui/#object/vcountry__v/VENZ000004SONF5", "ES")</f>
        <v>ES</v>
      </c>
      <c r="C1610" s="8" t="s">
        <v>41</v>
      </c>
      <c r="D1610" s="9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1610" s="10" t="str">
        <f>HYPERLINK("https://otsuka-europe-crm.veevavault.com/ui/#object/sent_email__v/VBL00000002N583", "SE-001431564")</f>
        <v>SE-001431564</v>
      </c>
      <c r="F1610" s="11"/>
      <c r="G1610" s="12">
        <v>0</v>
      </c>
      <c r="H1610" s="12">
        <v>0</v>
      </c>
      <c r="I1610" s="12">
        <v>0</v>
      </c>
      <c r="J1610" s="11"/>
      <c r="K1610" s="12">
        <v>0</v>
      </c>
      <c r="L1610" s="10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1610" s="10" t="str">
        <f>HYPERLINK("mailto:ccalero@crm.otsuka-europe.com", "ccalero@crm.otsuka-europe.com")</f>
        <v>ccalero@crm.otsuka-europe.com</v>
      </c>
      <c r="N1610" s="13">
        <v>46175.475497685184</v>
      </c>
      <c r="O1610" s="14" t="str">
        <f>HYPERLINK("https://otsuka-europe-crm.veevavault.com/ui/#object/email_activity__v/V8C00000003L653", "EN-002087307")</f>
        <v>EN-002087307</v>
      </c>
    </row>
    <row r="1611" spans="1:15" ht="48" x14ac:dyDescent="0.2">
      <c r="A1611" s="7" t="str">
        <f>HYPERLINK("https://otsuka-europe-crm.veevavault.com/ui/#object/account__v/V4T000000018307", "CATALINA CAVA ALMOHALLA")</f>
        <v>CATALINA CAVA ALMOHALLA</v>
      </c>
      <c r="B1611" s="7" t="str">
        <f>HYPERLINK("https://otsuka-europe-crm.veevavault.com/ui/#object/vcountry__v/VENZ000004SONF5", "ES")</f>
        <v>ES</v>
      </c>
      <c r="C1611" s="8" t="s">
        <v>41</v>
      </c>
      <c r="D1611" s="9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1611" s="10" t="str">
        <f>HYPERLINK("https://otsuka-europe-crm.veevavault.com/ui/#object/sent_email__v/VBL00000002N584", "SE-001431565")</f>
        <v>SE-001431565</v>
      </c>
      <c r="F1611" s="11"/>
      <c r="G1611" s="12">
        <v>0</v>
      </c>
      <c r="H1611" s="12">
        <v>0</v>
      </c>
      <c r="I1611" s="12">
        <v>0</v>
      </c>
      <c r="J1611" s="11"/>
      <c r="K1611" s="12">
        <v>0</v>
      </c>
      <c r="L1611" s="10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1611" s="10" t="str">
        <f>HYPERLINK("mailto:ccalero@crm.otsuka-europe.com", "ccalero@crm.otsuka-europe.com")</f>
        <v>ccalero@crm.otsuka-europe.com</v>
      </c>
      <c r="N1611" s="13">
        <v>46175.475497685184</v>
      </c>
      <c r="O1611" s="14" t="str">
        <f>HYPERLINK("https://otsuka-europe-crm.veevavault.com/ui/#object/email_activity__v/V8C00000003L680", "EN-002087339")</f>
        <v>EN-002087339</v>
      </c>
    </row>
    <row r="1612" spans="1:15" ht="48" x14ac:dyDescent="0.2">
      <c r="A1612" s="7" t="str">
        <f>HYPERLINK("https://otsuka-europe-crm.veevavault.com/ui/#object/account__v/V4TZ06G6O71WUW9", "JAVIER BERNABEU GUTIERREZ")</f>
        <v>JAVIER BERNABEU GUTIERREZ</v>
      </c>
      <c r="B1612" s="7" t="str">
        <f>HYPERLINK("https://otsuka-europe-crm.veevavault.com/ui/#object/vcountry__v/VENZ000004SONF5", "ES")</f>
        <v>ES</v>
      </c>
      <c r="C1612" s="8" t="s">
        <v>41</v>
      </c>
      <c r="D1612" s="9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1612" s="10" t="str">
        <f>HYPERLINK("https://otsuka-europe-crm.veevavault.com/ui/#object/sent_email__v/VBL00000002N585", "SE-001431566")</f>
        <v>SE-001431566</v>
      </c>
      <c r="F1612" s="11"/>
      <c r="G1612" s="12">
        <v>0</v>
      </c>
      <c r="H1612" s="12">
        <v>0</v>
      </c>
      <c r="I1612" s="12">
        <v>0</v>
      </c>
      <c r="J1612" s="11"/>
      <c r="K1612" s="12">
        <v>0</v>
      </c>
      <c r="L1612" s="10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1612" s="10" t="str">
        <f>HYPERLINK("mailto:ccalero@crm.otsuka-europe.com", "ccalero@crm.otsuka-europe.com")</f>
        <v>ccalero@crm.otsuka-europe.com</v>
      </c>
      <c r="N1612" s="13">
        <v>46175.475497685184</v>
      </c>
      <c r="O1612" s="14" t="str">
        <f>HYPERLINK("https://otsuka-europe-crm.veevavault.com/ui/#object/email_activity__v/V8C00000003L699", "EN-002087366")</f>
        <v>EN-002087366</v>
      </c>
    </row>
    <row r="1613" spans="1:15" ht="16" x14ac:dyDescent="0.2">
      <c r="A1613" s="17" t="str">
        <f>HYPERLINK("https://otsuka-europe-crm.veevavault.com/ui/#object/account__v/V4TZ025E83TBQYR", "MARIA LUISA CALABUIG MUÑOZ")</f>
        <v>MARIA LUISA CALABUIG MUÑOZ</v>
      </c>
      <c r="B1613" s="17" t="str">
        <f>HYPERLINK("https://otsuka-europe-crm.veevavault.com/ui/#object/vcountry__v/VENZ000004SONF5", "ES")</f>
        <v>ES</v>
      </c>
      <c r="C1613" s="20" t="s">
        <v>41</v>
      </c>
      <c r="D1613" s="21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1613" s="22" t="str">
        <f>HYPERLINK("https://otsuka-europe-crm.veevavault.com/ui/#object/sent_email__v/VBL00000002N586", "SE-001431567")</f>
        <v>SE-001431567</v>
      </c>
      <c r="F1613" s="23">
        <v>46182.917430555557</v>
      </c>
      <c r="G1613" s="24">
        <v>1</v>
      </c>
      <c r="H1613" s="24">
        <v>1</v>
      </c>
      <c r="I1613" s="24">
        <v>0</v>
      </c>
      <c r="J1613" s="25"/>
      <c r="K1613" s="24">
        <v>0</v>
      </c>
      <c r="L1613" s="22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1613" s="22" t="str">
        <f>HYPERLINK("mailto:ccalero@crm.otsuka-europe.com", "ccalero@crm.otsuka-europe.com")</f>
        <v>ccalero@crm.otsuka-europe.com</v>
      </c>
      <c r="N1613" s="23">
        <v>46175.475497685184</v>
      </c>
      <c r="O1613" s="14" t="str">
        <f>HYPERLINK("https://otsuka-europe-crm.veevavault.com/ui/#object/email_activity__v/V8C00000003K743", "EN-002087305")</f>
        <v>EN-002087305</v>
      </c>
    </row>
    <row r="1614" spans="1:15" ht="16" x14ac:dyDescent="0.2">
      <c r="A1614" s="19"/>
      <c r="B1614" s="19"/>
      <c r="C1614" s="19"/>
      <c r="D1614" s="19"/>
      <c r="E1614" s="19"/>
      <c r="F1614" s="19"/>
      <c r="G1614" s="19"/>
      <c r="H1614" s="19"/>
      <c r="I1614" s="19"/>
      <c r="J1614" s="19"/>
      <c r="K1614" s="19"/>
      <c r="L1614" s="19"/>
      <c r="M1614" s="19"/>
      <c r="N1614" s="19"/>
      <c r="O1614" s="14" t="str">
        <f>HYPERLINK("https://otsuka-europe-crm.veevavault.com/ui/#object/email_activity__v/V8C00000003T097", "EN-002093755")</f>
        <v>EN-002093755</v>
      </c>
    </row>
    <row r="1615" spans="1:15" ht="16" x14ac:dyDescent="0.2">
      <c r="A1615" s="17" t="str">
        <f>HYPERLINK("https://otsuka-europe-crm.veevavault.com/ui/#object/account__v/V4TZ025E87BYSFI", "AMELIA MARTINEZ MARIN")</f>
        <v>AMELIA MARTINEZ MARIN</v>
      </c>
      <c r="B1615" s="17" t="str">
        <f>HYPERLINK("https://otsuka-europe-crm.veevavault.com/ui/#object/vcountry__v/VENZ000004SONF5", "ES")</f>
        <v>ES</v>
      </c>
      <c r="C1615" s="20" t="s">
        <v>41</v>
      </c>
      <c r="D1615" s="21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1615" s="22" t="str">
        <f>HYPERLINK("https://otsuka-europe-crm.veevavault.com/ui/#object/sent_email__v/VBL00000002N587", "SE-001431568")</f>
        <v>SE-001431568</v>
      </c>
      <c r="F1615" s="23">
        <v>46175.486018518517</v>
      </c>
      <c r="G1615" s="24">
        <v>1</v>
      </c>
      <c r="H1615" s="24">
        <v>1</v>
      </c>
      <c r="I1615" s="24">
        <v>0</v>
      </c>
      <c r="J1615" s="25"/>
      <c r="K1615" s="24">
        <v>0</v>
      </c>
      <c r="L1615" s="22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1615" s="22" t="str">
        <f>HYPERLINK("mailto:ccalero@crm.otsuka-europe.com", "ccalero@crm.otsuka-europe.com")</f>
        <v>ccalero@crm.otsuka-europe.com</v>
      </c>
      <c r="N1615" s="23">
        <v>46175.475497685184</v>
      </c>
      <c r="O1615" s="14" t="str">
        <f>HYPERLINK("https://otsuka-europe-crm.veevavault.com/ui/#object/email_activity__v/V8C00000003L681", "EN-002087340")</f>
        <v>EN-002087340</v>
      </c>
    </row>
    <row r="1616" spans="1:15" ht="16" x14ac:dyDescent="0.2">
      <c r="A1616" s="19"/>
      <c r="B1616" s="19"/>
      <c r="C1616" s="19"/>
      <c r="D1616" s="19"/>
      <c r="E1616" s="19"/>
      <c r="F1616" s="19"/>
      <c r="G1616" s="19"/>
      <c r="H1616" s="19"/>
      <c r="I1616" s="19"/>
      <c r="J1616" s="19"/>
      <c r="K1616" s="19"/>
      <c r="L1616" s="19"/>
      <c r="M1616" s="19"/>
      <c r="N1616" s="19"/>
      <c r="O1616" s="14" t="str">
        <f>HYPERLINK("https://otsuka-europe-crm.veevavault.com/ui/#object/email_activity__v/V8C00000003L722", "EN-002087410")</f>
        <v>EN-002087410</v>
      </c>
    </row>
    <row r="1617" spans="1:15" ht="16" x14ac:dyDescent="0.2">
      <c r="A1617" s="17" t="str">
        <f>HYPERLINK("https://otsuka-europe-crm.veevavault.com/ui/#object/account__v/V4TZ025E852NOYP", "SILVINA JUDITH RIOS RODRIGUEZ")</f>
        <v>SILVINA JUDITH RIOS RODRIGUEZ</v>
      </c>
      <c r="B1617" s="17" t="str">
        <f>HYPERLINK("https://otsuka-europe-crm.veevavault.com/ui/#object/vcountry__v/VENZ000004SONF5", "ES")</f>
        <v>ES</v>
      </c>
      <c r="C1617" s="20" t="s">
        <v>41</v>
      </c>
      <c r="D1617" s="21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1617" s="22" t="str">
        <f>HYPERLINK("https://otsuka-europe-crm.veevavault.com/ui/#object/sent_email__v/VBL00000002N588", "SE-001431569")</f>
        <v>SE-001431569</v>
      </c>
      <c r="F1617" s="25"/>
      <c r="G1617" s="24">
        <v>0</v>
      </c>
      <c r="H1617" s="24">
        <v>0</v>
      </c>
      <c r="I1617" s="24">
        <v>0</v>
      </c>
      <c r="J1617" s="25"/>
      <c r="K1617" s="24">
        <v>0</v>
      </c>
      <c r="L1617" s="22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1617" s="22" t="str">
        <f>HYPERLINK("mailto:ccalero@crm.otsuka-europe.com", "ccalero@crm.otsuka-europe.com")</f>
        <v>ccalero@crm.otsuka-europe.com</v>
      </c>
      <c r="N1617" s="23">
        <v>46175.475497685184</v>
      </c>
      <c r="O1617" s="14" t="str">
        <f>HYPERLINK("https://otsuka-europe-crm.veevavault.com/ui/#object/email_activity__v/V8C00000003L673", "EN-002087327")</f>
        <v>EN-002087327</v>
      </c>
    </row>
    <row r="1618" spans="1:15" ht="16" x14ac:dyDescent="0.2">
      <c r="A1618" s="19"/>
      <c r="B1618" s="19"/>
      <c r="C1618" s="19"/>
      <c r="D1618" s="19"/>
      <c r="E1618" s="19"/>
      <c r="F1618" s="19"/>
      <c r="G1618" s="19"/>
      <c r="H1618" s="19"/>
      <c r="I1618" s="19"/>
      <c r="J1618" s="19"/>
      <c r="K1618" s="19"/>
      <c r="L1618" s="19"/>
      <c r="M1618" s="19"/>
      <c r="N1618" s="19"/>
      <c r="O1618" s="14" t="str">
        <f>HYPERLINK("https://otsuka-europe-crm.veevavault.com/ui/#object/email_activity__v/V8C00000003L934", "EN-002087859")</f>
        <v>EN-002087859</v>
      </c>
    </row>
    <row r="1619" spans="1:15" ht="48" x14ac:dyDescent="0.2">
      <c r="A1619" s="7" t="str">
        <f>HYPERLINK("https://otsuka-europe-crm.veevavault.com/ui/#object/account__v/V4TZ025E83POAV6", "ALBERTO ROMERO CASANOVA")</f>
        <v>ALBERTO ROMERO CASANOVA</v>
      </c>
      <c r="B1619" s="7" t="str">
        <f>HYPERLINK("https://otsuka-europe-crm.veevavault.com/ui/#object/vcountry__v/VENZ000004SONF5", "ES")</f>
        <v>ES</v>
      </c>
      <c r="C1619" s="8" t="s">
        <v>41</v>
      </c>
      <c r="D1619" s="9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1619" s="10" t="str">
        <f>HYPERLINK("https://otsuka-europe-crm.veevavault.com/ui/#object/sent_email__v/VBL00000002N589", "SE-001431570")</f>
        <v>SE-001431570</v>
      </c>
      <c r="F1619" s="11"/>
      <c r="G1619" s="12">
        <v>0</v>
      </c>
      <c r="H1619" s="12">
        <v>0</v>
      </c>
      <c r="I1619" s="12">
        <v>0</v>
      </c>
      <c r="J1619" s="11"/>
      <c r="K1619" s="12">
        <v>0</v>
      </c>
      <c r="L1619" s="10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1619" s="10" t="str">
        <f>HYPERLINK("mailto:ccalero@crm.otsuka-europe.com", "ccalero@crm.otsuka-europe.com")</f>
        <v>ccalero@crm.otsuka-europe.com</v>
      </c>
      <c r="N1619" s="13">
        <v>46175.475497685184</v>
      </c>
      <c r="O1619" s="14" t="str">
        <f>HYPERLINK("https://otsuka-europe-crm.veevavault.com/ui/#object/email_activity__v/V8C00000003L692", "EN-002087359")</f>
        <v>EN-002087359</v>
      </c>
    </row>
    <row r="1620" spans="1:15" ht="48" x14ac:dyDescent="0.2">
      <c r="A1620" s="7" t="str">
        <f>HYPERLINK("https://otsuka-europe-crm.veevavault.com/ui/#object/account__v/V4TZ025E85GGYNW", "ANA GUADALUPE ABAD GOSALBEZ")</f>
        <v>ANA GUADALUPE ABAD GOSALBEZ</v>
      </c>
      <c r="B1620" s="7" t="str">
        <f>HYPERLINK("https://otsuka-europe-crm.veevavault.com/ui/#object/vcountry__v/VENZ000004SONF5", "ES")</f>
        <v>ES</v>
      </c>
      <c r="C1620" s="8" t="s">
        <v>41</v>
      </c>
      <c r="D1620" s="9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1620" s="10" t="str">
        <f>HYPERLINK("https://otsuka-europe-crm.veevavault.com/ui/#object/sent_email__v/VBL00000002N590", "SE-001431571")</f>
        <v>SE-001431571</v>
      </c>
      <c r="F1620" s="11"/>
      <c r="G1620" s="12">
        <v>0</v>
      </c>
      <c r="H1620" s="12">
        <v>0</v>
      </c>
      <c r="I1620" s="12">
        <v>0</v>
      </c>
      <c r="J1620" s="11"/>
      <c r="K1620" s="12">
        <v>0</v>
      </c>
      <c r="L1620" s="10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1620" s="10" t="str">
        <f>HYPERLINK("mailto:ccalero@crm.otsuka-europe.com", "ccalero@crm.otsuka-europe.com")</f>
        <v>ccalero@crm.otsuka-europe.com</v>
      </c>
      <c r="N1620" s="13">
        <v>46175.475497685184</v>
      </c>
      <c r="O1620" s="14" t="str">
        <f>HYPERLINK("https://otsuka-europe-crm.veevavault.com/ui/#object/email_activity__v/V8C00000003K754", "EN-002087353")</f>
        <v>EN-002087353</v>
      </c>
    </row>
    <row r="1621" spans="1:15" ht="48" x14ac:dyDescent="0.2">
      <c r="A1621" s="7" t="str">
        <f>HYPERLINK("https://otsuka-europe-crm.veevavault.com/ui/#object/account__v/V4T00000001Q119", "PAULA RODRIGUEZ GALVEZ")</f>
        <v>PAULA RODRIGUEZ GALVEZ</v>
      </c>
      <c r="B1621" s="7" t="str">
        <f>HYPERLINK("https://otsuka-europe-crm.veevavault.com/ui/#object/vcountry__v/VENZ000004SONF5", "ES")</f>
        <v>ES</v>
      </c>
      <c r="C1621" s="8" t="s">
        <v>41</v>
      </c>
      <c r="D1621" s="9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1621" s="10" t="str">
        <f>HYPERLINK("https://otsuka-europe-crm.veevavault.com/ui/#object/sent_email__v/VBL00000002N591", "SE-001431572")</f>
        <v>SE-001431572</v>
      </c>
      <c r="F1621" s="11"/>
      <c r="G1621" s="12">
        <v>0</v>
      </c>
      <c r="H1621" s="12">
        <v>0</v>
      </c>
      <c r="I1621" s="12">
        <v>0</v>
      </c>
      <c r="J1621" s="11"/>
      <c r="K1621" s="12">
        <v>0</v>
      </c>
      <c r="L1621" s="10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1621" s="10" t="str">
        <f>HYPERLINK("mailto:ccalero@crm.otsuka-europe.com", "ccalero@crm.otsuka-europe.com")</f>
        <v>ccalero@crm.otsuka-europe.com</v>
      </c>
      <c r="N1621" s="13">
        <v>46175.475497685184</v>
      </c>
      <c r="O1621" s="14" t="str">
        <f>HYPERLINK("https://otsuka-europe-crm.veevavault.com/ui/#object/email_activity__v/V8C00000003K758", "EN-002087374")</f>
        <v>EN-002087374</v>
      </c>
    </row>
    <row r="1622" spans="1:15" ht="16" x14ac:dyDescent="0.2">
      <c r="A1622" s="17" t="str">
        <f>HYPERLINK("https://otsuka-europe-crm.veevavault.com/ui/#object/account__v/V4T000000013049", "IRENE PAYA ARNAU")</f>
        <v>IRENE PAYA ARNAU</v>
      </c>
      <c r="B1622" s="17" t="str">
        <f>HYPERLINK("https://otsuka-europe-crm.veevavault.com/ui/#object/vcountry__v/VENZ000004SONF5", "ES")</f>
        <v>ES</v>
      </c>
      <c r="C1622" s="20" t="s">
        <v>41</v>
      </c>
      <c r="D1622" s="21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1622" s="22" t="str">
        <f>HYPERLINK("https://otsuka-europe-crm.veevavault.com/ui/#object/sent_email__v/VBL00000002N592", "SE-001431573")</f>
        <v>SE-001431573</v>
      </c>
      <c r="F1622" s="25"/>
      <c r="G1622" s="24">
        <v>0</v>
      </c>
      <c r="H1622" s="24">
        <v>0</v>
      </c>
      <c r="I1622" s="24">
        <v>0</v>
      </c>
      <c r="J1622" s="25"/>
      <c r="K1622" s="24">
        <v>0</v>
      </c>
      <c r="L1622" s="22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1622" s="22" t="str">
        <f>HYPERLINK("mailto:ccalero@crm.otsuka-europe.com", "ccalero@crm.otsuka-europe.com")</f>
        <v>ccalero@crm.otsuka-europe.com</v>
      </c>
      <c r="N1622" s="23">
        <v>46175.475497685184</v>
      </c>
      <c r="O1622" s="14" t="str">
        <f>HYPERLINK("https://otsuka-europe-crm.veevavault.com/ui/#object/email_activity__v/V8C00000003K748", "EN-002087332")</f>
        <v>EN-002087332</v>
      </c>
    </row>
    <row r="1623" spans="1:15" ht="16" x14ac:dyDescent="0.2">
      <c r="A1623" s="19"/>
      <c r="B1623" s="19"/>
      <c r="C1623" s="19"/>
      <c r="D1623" s="19"/>
      <c r="E1623" s="19"/>
      <c r="F1623" s="19"/>
      <c r="G1623" s="19"/>
      <c r="H1623" s="19"/>
      <c r="I1623" s="19"/>
      <c r="J1623" s="19"/>
      <c r="K1623" s="19"/>
      <c r="L1623" s="19"/>
      <c r="M1623" s="19"/>
      <c r="N1623" s="19"/>
      <c r="O1623" s="14" t="str">
        <f>HYPERLINK("https://otsuka-europe-crm.veevavault.com/ui/#object/email_activity__v/V8C00000003U413", "EN-002095684")</f>
        <v>EN-002095684</v>
      </c>
    </row>
    <row r="1624" spans="1:15" ht="48" x14ac:dyDescent="0.2">
      <c r="A1624" s="7" t="str">
        <f>HYPERLINK("https://otsuka-europe-crm.veevavault.com/ui/#object/account__v/V4T000000010058", "BLANCA BOLUDA PASCUAL")</f>
        <v>BLANCA BOLUDA PASCUAL</v>
      </c>
      <c r="B1624" s="7" t="str">
        <f>HYPERLINK("https://otsuka-europe-crm.veevavault.com/ui/#object/vcountry__v/VENZ000004SONF5", "ES")</f>
        <v>ES</v>
      </c>
      <c r="C1624" s="8" t="s">
        <v>41</v>
      </c>
      <c r="D1624" s="9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1624" s="10" t="str">
        <f>HYPERLINK("https://otsuka-europe-crm.veevavault.com/ui/#object/sent_email__v/VBL00000002N593", "SE-001431574")</f>
        <v>SE-001431574</v>
      </c>
      <c r="F1624" s="11"/>
      <c r="G1624" s="12">
        <v>0</v>
      </c>
      <c r="H1624" s="12">
        <v>0</v>
      </c>
      <c r="I1624" s="12">
        <v>0</v>
      </c>
      <c r="J1624" s="11"/>
      <c r="K1624" s="12">
        <v>0</v>
      </c>
      <c r="L1624" s="10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1624" s="10" t="str">
        <f>HYPERLINK("mailto:ccalero@crm.otsuka-europe.com", "ccalero@crm.otsuka-europe.com")</f>
        <v>ccalero@crm.otsuka-europe.com</v>
      </c>
      <c r="N1624" s="13">
        <v>46175.475497685184</v>
      </c>
      <c r="O1624" s="14" t="str">
        <f>HYPERLINK("https://otsuka-europe-crm.veevavault.com/ui/#object/email_activity__v/V8C00000003L700", "EN-002087367")</f>
        <v>EN-002087367</v>
      </c>
    </row>
    <row r="1625" spans="1:15" ht="48" x14ac:dyDescent="0.2">
      <c r="A1625" s="7" t="str">
        <f>HYPERLINK("https://otsuka-europe-crm.veevavault.com/ui/#object/account__v/V4TZ025E84663VD", "REBECA RODRIGUEZ VEIGA")</f>
        <v>REBECA RODRIGUEZ VEIGA</v>
      </c>
      <c r="B1625" s="7" t="str">
        <f>HYPERLINK("https://otsuka-europe-crm.veevavault.com/ui/#object/vcountry__v/VENZ000004SONF5", "ES")</f>
        <v>ES</v>
      </c>
      <c r="C1625" s="8" t="s">
        <v>41</v>
      </c>
      <c r="D1625" s="9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1625" s="10" t="str">
        <f>HYPERLINK("https://otsuka-europe-crm.veevavault.com/ui/#object/sent_email__v/VBL00000002N594", "SE-001431575")</f>
        <v>SE-001431575</v>
      </c>
      <c r="F1625" s="11"/>
      <c r="G1625" s="12">
        <v>0</v>
      </c>
      <c r="H1625" s="12">
        <v>0</v>
      </c>
      <c r="I1625" s="12">
        <v>0</v>
      </c>
      <c r="J1625" s="11"/>
      <c r="K1625" s="12">
        <v>0</v>
      </c>
      <c r="L1625" s="10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1625" s="10" t="str">
        <f>HYPERLINK("mailto:ccalero@crm.otsuka-europe.com", "ccalero@crm.otsuka-europe.com")</f>
        <v>ccalero@crm.otsuka-europe.com</v>
      </c>
      <c r="N1625" s="13">
        <v>46175.475497685184</v>
      </c>
      <c r="O1625" s="14" t="str">
        <f>HYPERLINK("https://otsuka-europe-crm.veevavault.com/ui/#object/email_activity__v/V8C00000003K753", "EN-002087352")</f>
        <v>EN-002087352</v>
      </c>
    </row>
    <row r="1626" spans="1:15" ht="48" x14ac:dyDescent="0.2">
      <c r="A1626" s="7" t="str">
        <f>HYPERLINK("https://otsuka-europe-crm.veevavault.com/ui/#object/account__v/V4TZ06G6OA5WQFG", "TEST OPSA HCP TEST OPSA HCP")</f>
        <v>TEST OPSA HCP TEST OPSA HCP</v>
      </c>
      <c r="B1626" s="7" t="str">
        <f>HYPERLINK("https://otsuka-europe-crm.veevavault.com/ui/#object/vcountry__v/VENZ000004SONF5", "ES")</f>
        <v>ES</v>
      </c>
      <c r="C1626" s="8" t="s">
        <v>41</v>
      </c>
      <c r="D1626" s="9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1626" s="10" t="str">
        <f>HYPERLINK("https://otsuka-europe-crm.veevavault.com/ui/#object/sent_email__v/VBL00000002N595", "SE-001431576")</f>
        <v>SE-001431576</v>
      </c>
      <c r="F1626" s="11"/>
      <c r="G1626" s="12">
        <v>0</v>
      </c>
      <c r="H1626" s="12">
        <v>0</v>
      </c>
      <c r="I1626" s="12">
        <v>0</v>
      </c>
      <c r="J1626" s="11"/>
      <c r="K1626" s="12">
        <v>0</v>
      </c>
      <c r="L1626" s="10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1626" s="10" t="str">
        <f>HYPERLINK("mailto:ccalero@crm.otsuka-europe.com", "ccalero@crm.otsuka-europe.com")</f>
        <v>ccalero@crm.otsuka-europe.com</v>
      </c>
      <c r="N1626" s="13">
        <v>46175.475497685184</v>
      </c>
      <c r="O1626" s="14" t="str">
        <f>HYPERLINK("https://otsuka-europe-crm.veevavault.com/ui/#object/email_activity__v/V8C00000003L666", "EN-002087320")</f>
        <v>EN-002087320</v>
      </c>
    </row>
    <row r="1627" spans="1:15" ht="16" x14ac:dyDescent="0.2">
      <c r="A1627" s="17" t="str">
        <f>HYPERLINK("https://otsuka-europe-crm.veevavault.com/ui/#object/account__v/V4TZ025E83PN97R", "PEDRO LUIS ROSIQUE CORTINA")</f>
        <v>PEDRO LUIS ROSIQUE CORTINA</v>
      </c>
      <c r="B1627" s="17" t="str">
        <f>HYPERLINK("https://otsuka-europe-crm.veevavault.com/ui/#object/vcountry__v/VENZ000004SONF5", "ES")</f>
        <v>ES</v>
      </c>
      <c r="C1627" s="20" t="s">
        <v>41</v>
      </c>
      <c r="D1627" s="21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1627" s="22" t="str">
        <f>HYPERLINK("https://otsuka-europe-crm.veevavault.com/ui/#object/sent_email__v/VBL00000002N596", "SE-001431577")</f>
        <v>SE-001431577</v>
      </c>
      <c r="F1627" s="23">
        <v>46175.513645833336</v>
      </c>
      <c r="G1627" s="24">
        <v>1</v>
      </c>
      <c r="H1627" s="24">
        <v>2</v>
      </c>
      <c r="I1627" s="24">
        <v>0</v>
      </c>
      <c r="J1627" s="25"/>
      <c r="K1627" s="24">
        <v>0</v>
      </c>
      <c r="L1627" s="22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1627" s="22" t="str">
        <f>HYPERLINK("mailto:ccalero@crm.otsuka-europe.com", "ccalero@crm.otsuka-europe.com")</f>
        <v>ccalero@crm.otsuka-europe.com</v>
      </c>
      <c r="N1627" s="23">
        <v>46175.475497685184</v>
      </c>
      <c r="O1627" s="14" t="str">
        <f>HYPERLINK("https://otsuka-europe-crm.veevavault.com/ui/#object/email_activity__v/V8C00000003K820", "EN-002087485")</f>
        <v>EN-002087485</v>
      </c>
    </row>
    <row r="1628" spans="1:15" ht="16" x14ac:dyDescent="0.2">
      <c r="A1628" s="18"/>
      <c r="B1628" s="18"/>
      <c r="C1628" s="18"/>
      <c r="D1628" s="18"/>
      <c r="E1628" s="18"/>
      <c r="F1628" s="18"/>
      <c r="G1628" s="18"/>
      <c r="H1628" s="18"/>
      <c r="I1628" s="18"/>
      <c r="J1628" s="18"/>
      <c r="K1628" s="18"/>
      <c r="L1628" s="18"/>
      <c r="M1628" s="18"/>
      <c r="N1628" s="18"/>
      <c r="O1628" s="14" t="str">
        <f>HYPERLINK("https://otsuka-europe-crm.veevavault.com/ui/#object/email_activity__v/V8C00000003L678", "EN-002087337")</f>
        <v>EN-002087337</v>
      </c>
    </row>
    <row r="1629" spans="1:15" ht="16" x14ac:dyDescent="0.2">
      <c r="A1629" s="19"/>
      <c r="B1629" s="19"/>
      <c r="C1629" s="19"/>
      <c r="D1629" s="19"/>
      <c r="E1629" s="19"/>
      <c r="F1629" s="19"/>
      <c r="G1629" s="19"/>
      <c r="H1629" s="19"/>
      <c r="I1629" s="19"/>
      <c r="J1629" s="19"/>
      <c r="K1629" s="19"/>
      <c r="L1629" s="19"/>
      <c r="M1629" s="19"/>
      <c r="N1629" s="19"/>
      <c r="O1629" s="14" t="str">
        <f>HYPERLINK("https://otsuka-europe-crm.veevavault.com/ui/#object/email_activity__v/V8C00000003L754", "EN-002087484")</f>
        <v>EN-002087484</v>
      </c>
    </row>
    <row r="1630" spans="1:15" ht="16" x14ac:dyDescent="0.2">
      <c r="A1630" s="17" t="str">
        <f>HYPERLINK("https://otsuka-europe-crm.veevavault.com/ui/#object/account__v/V4TZ025E87V8OAG", "JOAQUIN GOMEZ ESPUCH")</f>
        <v>JOAQUIN GOMEZ ESPUCH</v>
      </c>
      <c r="B1630" s="17" t="str">
        <f>HYPERLINK("https://otsuka-europe-crm.veevavault.com/ui/#object/vcountry__v/VENZ000004SONF5", "ES")</f>
        <v>ES</v>
      </c>
      <c r="C1630" s="20" t="s">
        <v>41</v>
      </c>
      <c r="D1630" s="21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1630" s="22" t="str">
        <f>HYPERLINK("https://otsuka-europe-crm.veevavault.com/ui/#object/sent_email__v/VBL00000002N597", "SE-001431578")</f>
        <v>SE-001431578</v>
      </c>
      <c r="F1630" s="25"/>
      <c r="G1630" s="24">
        <v>0</v>
      </c>
      <c r="H1630" s="24">
        <v>0</v>
      </c>
      <c r="I1630" s="24">
        <v>0</v>
      </c>
      <c r="J1630" s="25"/>
      <c r="K1630" s="24">
        <v>0</v>
      </c>
      <c r="L1630" s="22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1630" s="22" t="str">
        <f>HYPERLINK("mailto:ccalero@crm.otsuka-europe.com", "ccalero@crm.otsuka-europe.com")</f>
        <v>ccalero@crm.otsuka-europe.com</v>
      </c>
      <c r="N1630" s="23">
        <v>46175.475497685184</v>
      </c>
      <c r="O1630" s="14" t="str">
        <f>HYPERLINK("https://otsuka-europe-crm.veevavault.com/ui/#object/email_activity__v/V8C00000003L689", "EN-002087356")</f>
        <v>EN-002087356</v>
      </c>
    </row>
    <row r="1631" spans="1:15" ht="16" x14ac:dyDescent="0.2">
      <c r="A1631" s="19"/>
      <c r="B1631" s="19"/>
      <c r="C1631" s="19"/>
      <c r="D1631" s="19"/>
      <c r="E1631" s="19"/>
      <c r="F1631" s="19"/>
      <c r="G1631" s="19"/>
      <c r="H1631" s="19"/>
      <c r="I1631" s="19"/>
      <c r="J1631" s="19"/>
      <c r="K1631" s="19"/>
      <c r="L1631" s="19"/>
      <c r="M1631" s="19"/>
      <c r="N1631" s="19"/>
      <c r="O1631" s="14" t="str">
        <f>HYPERLINK("https://otsuka-europe-crm.veevavault.com/ui/#object/email_activity__v/V8C00000003N032", "EN-002088073")</f>
        <v>EN-002088073</v>
      </c>
    </row>
    <row r="1632" spans="1:15" ht="48" x14ac:dyDescent="0.2">
      <c r="A1632" s="7" t="str">
        <f>HYPERLINK("https://otsuka-europe-crm.veevavault.com/ui/#object/account__v/V4TZ025E85URPDE", "EUGENIA LOPEZ PEREZ")</f>
        <v>EUGENIA LOPEZ PEREZ</v>
      </c>
      <c r="B1632" s="7" t="str">
        <f>HYPERLINK("https://otsuka-europe-crm.veevavault.com/ui/#object/vcountry__v/VENZ000004SONF5", "ES")</f>
        <v>ES</v>
      </c>
      <c r="C1632" s="8" t="s">
        <v>41</v>
      </c>
      <c r="D1632" s="9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1632" s="10" t="str">
        <f>HYPERLINK("https://otsuka-europe-crm.veevavault.com/ui/#object/sent_email__v/VBL00000002N598", "SE-001431579")</f>
        <v>SE-001431579</v>
      </c>
      <c r="F1632" s="11"/>
      <c r="G1632" s="12">
        <v>0</v>
      </c>
      <c r="H1632" s="12">
        <v>0</v>
      </c>
      <c r="I1632" s="12">
        <v>0</v>
      </c>
      <c r="J1632" s="11"/>
      <c r="K1632" s="12">
        <v>0</v>
      </c>
      <c r="L1632" s="10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1632" s="10" t="str">
        <f>HYPERLINK("mailto:ccalero@crm.otsuka-europe.com", "ccalero@crm.otsuka-europe.com")</f>
        <v>ccalero@crm.otsuka-europe.com</v>
      </c>
      <c r="N1632" s="13">
        <v>46175.475497685184</v>
      </c>
      <c r="O1632" s="14" t="str">
        <f>HYPERLINK("https://otsuka-europe-crm.veevavault.com/ui/#object/email_activity__v/V8C00000003L658", "EN-002087312")</f>
        <v>EN-002087312</v>
      </c>
    </row>
    <row r="1633" spans="1:15" ht="16" x14ac:dyDescent="0.2">
      <c r="A1633" s="17" t="str">
        <f>HYPERLINK("https://otsuka-europe-crm.veevavault.com/ui/#object/account__v/V4TZ025E877HYDW", "MIRIAM PANERO RUIZ")</f>
        <v>MIRIAM PANERO RUIZ</v>
      </c>
      <c r="B1633" s="17" t="str">
        <f>HYPERLINK("https://otsuka-europe-crm.veevavault.com/ui/#object/vcountry__v/VENZ000004SONF5", "ES")</f>
        <v>ES</v>
      </c>
      <c r="C1633" s="20" t="s">
        <v>41</v>
      </c>
      <c r="D1633" s="21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1633" s="22" t="str">
        <f>HYPERLINK("https://otsuka-europe-crm.veevavault.com/ui/#object/sent_email__v/VBL00000002N599", "SE-001431580")</f>
        <v>SE-001431580</v>
      </c>
      <c r="F1633" s="23">
        <v>46175.697175925925</v>
      </c>
      <c r="G1633" s="24">
        <v>1</v>
      </c>
      <c r="H1633" s="24">
        <v>1</v>
      </c>
      <c r="I1633" s="24">
        <v>0</v>
      </c>
      <c r="J1633" s="25"/>
      <c r="K1633" s="24">
        <v>0</v>
      </c>
      <c r="L1633" s="22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1633" s="22" t="str">
        <f>HYPERLINK("mailto:ccalero@crm.otsuka-europe.com", "ccalero@crm.otsuka-europe.com")</f>
        <v>ccalero@crm.otsuka-europe.com</v>
      </c>
      <c r="N1633" s="23">
        <v>46175.475497685184</v>
      </c>
      <c r="O1633" s="14" t="str">
        <f>HYPERLINK("https://otsuka-europe-crm.veevavault.com/ui/#object/email_activity__v/V8C00000003K759", "EN-002087375")</f>
        <v>EN-002087375</v>
      </c>
    </row>
    <row r="1634" spans="1:15" ht="16" x14ac:dyDescent="0.2">
      <c r="A1634" s="19"/>
      <c r="B1634" s="19"/>
      <c r="C1634" s="19"/>
      <c r="D1634" s="19"/>
      <c r="E1634" s="19"/>
      <c r="F1634" s="19"/>
      <c r="G1634" s="19"/>
      <c r="H1634" s="19"/>
      <c r="I1634" s="19"/>
      <c r="J1634" s="19"/>
      <c r="K1634" s="19"/>
      <c r="L1634" s="19"/>
      <c r="M1634" s="19"/>
      <c r="N1634" s="19"/>
      <c r="O1634" s="14" t="str">
        <f>HYPERLINK("https://otsuka-europe-crm.veevavault.com/ui/#object/email_activity__v/V8C00000003N014", "EN-002088008")</f>
        <v>EN-002088008</v>
      </c>
    </row>
    <row r="1635" spans="1:15" ht="16" x14ac:dyDescent="0.2">
      <c r="A1635" s="17" t="str">
        <f>HYPERLINK("https://otsuka-europe-crm.veevavault.com/ui/#object/account__v/V4TZ025E87X3QHI", "SONIA MARTI AMADO")</f>
        <v>SONIA MARTI AMADO</v>
      </c>
      <c r="B1635" s="17" t="str">
        <f>HYPERLINK("https://otsuka-europe-crm.veevavault.com/ui/#object/vcountry__v/VENZ000004SONF5", "ES")</f>
        <v>ES</v>
      </c>
      <c r="C1635" s="20" t="s">
        <v>41</v>
      </c>
      <c r="D1635" s="21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1635" s="22" t="str">
        <f>HYPERLINK("https://otsuka-europe-crm.veevavault.com/ui/#object/sent_email__v/VBL00000002N600", "SE-001431581")</f>
        <v>SE-001431581</v>
      </c>
      <c r="F1635" s="23">
        <v>46175.750335648147</v>
      </c>
      <c r="G1635" s="24">
        <v>1</v>
      </c>
      <c r="H1635" s="24">
        <v>1</v>
      </c>
      <c r="I1635" s="24">
        <v>0</v>
      </c>
      <c r="J1635" s="25"/>
      <c r="K1635" s="24">
        <v>0</v>
      </c>
      <c r="L1635" s="22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1635" s="22" t="str">
        <f>HYPERLINK("mailto:ccalero@crm.otsuka-europe.com", "ccalero@crm.otsuka-europe.com")</f>
        <v>ccalero@crm.otsuka-europe.com</v>
      </c>
      <c r="N1635" s="23">
        <v>46175.475497685184</v>
      </c>
      <c r="O1635" s="14" t="str">
        <f>HYPERLINK("https://otsuka-europe-crm.veevavault.com/ui/#object/email_activity__v/V8C00000003L672", "EN-002087326")</f>
        <v>EN-002087326</v>
      </c>
    </row>
    <row r="1636" spans="1:15" ht="16" x14ac:dyDescent="0.2">
      <c r="A1636" s="19"/>
      <c r="B1636" s="19"/>
      <c r="C1636" s="19"/>
      <c r="D1636" s="19"/>
      <c r="E1636" s="19"/>
      <c r="F1636" s="19"/>
      <c r="G1636" s="19"/>
      <c r="H1636" s="19"/>
      <c r="I1636" s="19"/>
      <c r="J1636" s="19"/>
      <c r="K1636" s="19"/>
      <c r="L1636" s="19"/>
      <c r="M1636" s="19"/>
      <c r="N1636" s="19"/>
      <c r="O1636" s="14" t="str">
        <f>HYPERLINK("https://otsuka-europe-crm.veevavault.com/ui/#object/email_activity__v/V8C00000003M127", "EN-002088063")</f>
        <v>EN-002088063</v>
      </c>
    </row>
    <row r="1637" spans="1:15" ht="48" x14ac:dyDescent="0.2">
      <c r="A1637" s="7" t="str">
        <f>HYPERLINK("https://otsuka-europe-crm.veevavault.com/ui/#object/account__v/V4TZ025E85VCSJZ", "LYDIA GOMEZ CABALLERO")</f>
        <v>LYDIA GOMEZ CABALLERO</v>
      </c>
      <c r="B1637" s="7" t="str">
        <f>HYPERLINK("https://otsuka-europe-crm.veevavault.com/ui/#object/vcountry__v/VENZ000004SONF5", "ES")</f>
        <v>ES</v>
      </c>
      <c r="C1637" s="8" t="s">
        <v>41</v>
      </c>
      <c r="D1637" s="9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1637" s="10" t="str">
        <f>HYPERLINK("https://otsuka-europe-crm.veevavault.com/ui/#object/sent_email__v/VBL00000002N601", "SE-001431582")</f>
        <v>SE-001431582</v>
      </c>
      <c r="F1637" s="11"/>
      <c r="G1637" s="12">
        <v>0</v>
      </c>
      <c r="H1637" s="12">
        <v>0</v>
      </c>
      <c r="I1637" s="12">
        <v>0</v>
      </c>
      <c r="J1637" s="11"/>
      <c r="K1637" s="12">
        <v>0</v>
      </c>
      <c r="L1637" s="10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1637" s="10" t="str">
        <f>HYPERLINK("mailto:ccalero@crm.otsuka-europe.com", "ccalero@crm.otsuka-europe.com")</f>
        <v>ccalero@crm.otsuka-europe.com</v>
      </c>
      <c r="N1637" s="13">
        <v>46175.475497685184</v>
      </c>
      <c r="O1637" s="14" t="str">
        <f>HYPERLINK("https://otsuka-europe-crm.veevavault.com/ui/#object/email_activity__v/V8C00000003K747", "EN-002087331")</f>
        <v>EN-002087331</v>
      </c>
    </row>
    <row r="1638" spans="1:15" ht="16" x14ac:dyDescent="0.2">
      <c r="A1638" s="17" t="str">
        <f>HYPERLINK("https://otsuka-europe-crm.veevavault.com/ui/#object/account__v/V4TZ025E83VQ62U", "CARMEN BOTELLA PRIETO")</f>
        <v>CARMEN BOTELLA PRIETO</v>
      </c>
      <c r="B1638" s="17" t="str">
        <f>HYPERLINK("https://otsuka-europe-crm.veevavault.com/ui/#object/vcountry__v/VENZ000004SONF5", "ES")</f>
        <v>ES</v>
      </c>
      <c r="C1638" s="20" t="s">
        <v>41</v>
      </c>
      <c r="D1638" s="21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1638" s="22" t="str">
        <f>HYPERLINK("https://otsuka-europe-crm.veevavault.com/ui/#object/sent_email__v/VBL00000002N602", "SE-001431583")</f>
        <v>SE-001431583</v>
      </c>
      <c r="F1638" s="23">
        <v>46175.719282407408</v>
      </c>
      <c r="G1638" s="24">
        <v>1</v>
      </c>
      <c r="H1638" s="24">
        <v>4</v>
      </c>
      <c r="I1638" s="24">
        <v>0</v>
      </c>
      <c r="J1638" s="25"/>
      <c r="K1638" s="24">
        <v>0</v>
      </c>
      <c r="L1638" s="22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1638" s="22" t="str">
        <f>HYPERLINK("mailto:ccalero@crm.otsuka-europe.com", "ccalero@crm.otsuka-europe.com")</f>
        <v>ccalero@crm.otsuka-europe.com</v>
      </c>
      <c r="N1638" s="23">
        <v>46175.475497685184</v>
      </c>
      <c r="O1638" s="14" t="str">
        <f>HYPERLINK("https://otsuka-europe-crm.veevavault.com/ui/#object/email_activity__v/V8C00000003L677", "EN-002087336")</f>
        <v>EN-002087336</v>
      </c>
    </row>
    <row r="1639" spans="1:15" ht="16" x14ac:dyDescent="0.2">
      <c r="A1639" s="18"/>
      <c r="B1639" s="18"/>
      <c r="C1639" s="18"/>
      <c r="D1639" s="18"/>
      <c r="E1639" s="18"/>
      <c r="F1639" s="18"/>
      <c r="G1639" s="18"/>
      <c r="H1639" s="18"/>
      <c r="I1639" s="18"/>
      <c r="J1639" s="18"/>
      <c r="K1639" s="18"/>
      <c r="L1639" s="18"/>
      <c r="M1639" s="18"/>
      <c r="N1639" s="18"/>
      <c r="O1639" s="14" t="str">
        <f>HYPERLINK("https://otsuka-europe-crm.veevavault.com/ui/#object/email_activity__v/V8C00000003M105", "EN-002088034")</f>
        <v>EN-002088034</v>
      </c>
    </row>
    <row r="1640" spans="1:15" ht="16" x14ac:dyDescent="0.2">
      <c r="A1640" s="18"/>
      <c r="B1640" s="18"/>
      <c r="C1640" s="18"/>
      <c r="D1640" s="18"/>
      <c r="E1640" s="18"/>
      <c r="F1640" s="18"/>
      <c r="G1640" s="18"/>
      <c r="H1640" s="18"/>
      <c r="I1640" s="18"/>
      <c r="J1640" s="18"/>
      <c r="K1640" s="18"/>
      <c r="L1640" s="18"/>
      <c r="M1640" s="18"/>
      <c r="N1640" s="18"/>
      <c r="O1640" s="14" t="str">
        <f>HYPERLINK("https://otsuka-europe-crm.veevavault.com/ui/#object/email_activity__v/V8C00000003M106", "EN-002088035")</f>
        <v>EN-002088035</v>
      </c>
    </row>
    <row r="1641" spans="1:15" ht="16" x14ac:dyDescent="0.2">
      <c r="A1641" s="18"/>
      <c r="B1641" s="18"/>
      <c r="C1641" s="18"/>
      <c r="D1641" s="18"/>
      <c r="E1641" s="18"/>
      <c r="F1641" s="18"/>
      <c r="G1641" s="18"/>
      <c r="H1641" s="18"/>
      <c r="I1641" s="18"/>
      <c r="J1641" s="18"/>
      <c r="K1641" s="18"/>
      <c r="L1641" s="18"/>
      <c r="M1641" s="18"/>
      <c r="N1641" s="18"/>
      <c r="O1641" s="14" t="str">
        <f>HYPERLINK("https://otsuka-europe-crm.veevavault.com/ui/#object/email_activity__v/V8C00000003M108", "EN-002088037")</f>
        <v>EN-002088037</v>
      </c>
    </row>
    <row r="1642" spans="1:15" ht="16" x14ac:dyDescent="0.2">
      <c r="A1642" s="19"/>
      <c r="B1642" s="19"/>
      <c r="C1642" s="19"/>
      <c r="D1642" s="19"/>
      <c r="E1642" s="19"/>
      <c r="F1642" s="19"/>
      <c r="G1642" s="19"/>
      <c r="H1642" s="19"/>
      <c r="I1642" s="19"/>
      <c r="J1642" s="19"/>
      <c r="K1642" s="19"/>
      <c r="L1642" s="19"/>
      <c r="M1642" s="19"/>
      <c r="N1642" s="19"/>
      <c r="O1642" s="14" t="str">
        <f>HYPERLINK("https://otsuka-europe-crm.veevavault.com/ui/#object/email_activity__v/V8C00000003M111", "EN-002088040")</f>
        <v>EN-002088040</v>
      </c>
    </row>
    <row r="1643" spans="1:15" ht="48" x14ac:dyDescent="0.2">
      <c r="A1643" s="7" t="str">
        <f>HYPERLINK("https://otsuka-europe-crm.veevavault.com/ui/#object/account__v/V4TZ025E88X1BJO", "SERGIO EDUARDO MARTINEZ CAÑABATE")</f>
        <v>SERGIO EDUARDO MARTINEZ CAÑABATE</v>
      </c>
      <c r="B1643" s="7" t="str">
        <f>HYPERLINK("https://otsuka-europe-crm.veevavault.com/ui/#object/vcountry__v/VENZ000004SONF5", "ES")</f>
        <v>ES</v>
      </c>
      <c r="C1643" s="8" t="s">
        <v>41</v>
      </c>
      <c r="D1643" s="9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1643" s="10" t="str">
        <f>HYPERLINK("https://otsuka-europe-crm.veevavault.com/ui/#object/sent_email__v/VBL00000002N603", "SE-001431584")</f>
        <v>SE-001431584</v>
      </c>
      <c r="F1643" s="11"/>
      <c r="G1643" s="12">
        <v>0</v>
      </c>
      <c r="H1643" s="12">
        <v>0</v>
      </c>
      <c r="I1643" s="12">
        <v>0</v>
      </c>
      <c r="J1643" s="11"/>
      <c r="K1643" s="12">
        <v>0</v>
      </c>
      <c r="L1643" s="10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1643" s="10" t="str">
        <f>HYPERLINK("mailto:ccalero@crm.otsuka-europe.com", "ccalero@crm.otsuka-europe.com")</f>
        <v>ccalero@crm.otsuka-europe.com</v>
      </c>
      <c r="N1643" s="13">
        <v>46175.475497685184</v>
      </c>
      <c r="O1643" s="14" t="str">
        <f>HYPERLINK("https://otsuka-europe-crm.veevavault.com/ui/#object/email_activity__v/V8C00000003L682", "EN-002087341")</f>
        <v>EN-002087341</v>
      </c>
    </row>
    <row r="1644" spans="1:15" ht="16" x14ac:dyDescent="0.2">
      <c r="A1644" s="17" t="str">
        <f>HYPERLINK("https://otsuka-europe-crm.veevavault.com/ui/#object/account__v/V4TZ025E88B5DYK", "ANDREA POVEDA GARCIA")</f>
        <v>ANDREA POVEDA GARCIA</v>
      </c>
      <c r="B1644" s="17" t="str">
        <f>HYPERLINK("https://otsuka-europe-crm.veevavault.com/ui/#object/vcountry__v/VENZ000004SONF5", "ES")</f>
        <v>ES</v>
      </c>
      <c r="C1644" s="20" t="s">
        <v>41</v>
      </c>
      <c r="D1644" s="21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1644" s="22" t="str">
        <f>HYPERLINK("https://otsuka-europe-crm.veevavault.com/ui/#object/sent_email__v/VBL00000002N604", "SE-001431585")</f>
        <v>SE-001431585</v>
      </c>
      <c r="F1644" s="23">
        <v>46175.480613425927</v>
      </c>
      <c r="G1644" s="24">
        <v>1</v>
      </c>
      <c r="H1644" s="24">
        <v>2</v>
      </c>
      <c r="I1644" s="24">
        <v>0</v>
      </c>
      <c r="J1644" s="25"/>
      <c r="K1644" s="24">
        <v>0</v>
      </c>
      <c r="L1644" s="22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1644" s="22" t="str">
        <f>HYPERLINK("mailto:ccalero@crm.otsuka-europe.com", "ccalero@crm.otsuka-europe.com")</f>
        <v>ccalero@crm.otsuka-europe.com</v>
      </c>
      <c r="N1644" s="23">
        <v>46175.475497685184</v>
      </c>
      <c r="O1644" s="14" t="str">
        <f>HYPERLINK("https://otsuka-europe-crm.veevavault.com/ui/#object/email_activity__v/V8C00000003L652", "EN-002087306")</f>
        <v>EN-002087306</v>
      </c>
    </row>
    <row r="1645" spans="1:15" ht="16" x14ac:dyDescent="0.2">
      <c r="A1645" s="18"/>
      <c r="B1645" s="18"/>
      <c r="C1645" s="18"/>
      <c r="D1645" s="18"/>
      <c r="E1645" s="18"/>
      <c r="F1645" s="18"/>
      <c r="G1645" s="18"/>
      <c r="H1645" s="18"/>
      <c r="I1645" s="18"/>
      <c r="J1645" s="18"/>
      <c r="K1645" s="18"/>
      <c r="L1645" s="18"/>
      <c r="M1645" s="18"/>
      <c r="N1645" s="18"/>
      <c r="O1645" s="14" t="str">
        <f>HYPERLINK("https://otsuka-europe-crm.veevavault.com/ui/#object/email_activity__v/V8C00000003L707", "EN-002087377")</f>
        <v>EN-002087377</v>
      </c>
    </row>
    <row r="1646" spans="1:15" ht="16" x14ac:dyDescent="0.2">
      <c r="A1646" s="19"/>
      <c r="B1646" s="19"/>
      <c r="C1646" s="19"/>
      <c r="D1646" s="19"/>
      <c r="E1646" s="19"/>
      <c r="F1646" s="19"/>
      <c r="G1646" s="19"/>
      <c r="H1646" s="19"/>
      <c r="I1646" s="19"/>
      <c r="J1646" s="19"/>
      <c r="K1646" s="19"/>
      <c r="L1646" s="19"/>
      <c r="M1646" s="19"/>
      <c r="N1646" s="19"/>
      <c r="O1646" s="14" t="str">
        <f>HYPERLINK("https://otsuka-europe-crm.veevavault.com/ui/#object/email_activity__v/V8C00000003L712", "EN-002087386")</f>
        <v>EN-002087386</v>
      </c>
    </row>
    <row r="1647" spans="1:15" ht="16" x14ac:dyDescent="0.2">
      <c r="A1647" s="17" t="str">
        <f>HYPERLINK("https://otsuka-europe-crm.veevavault.com/ui/#object/account__v/V4TZ025E83NUVJL", "ANTONIO MARTINEZ FRANCES")</f>
        <v>ANTONIO MARTINEZ FRANCES</v>
      </c>
      <c r="B1647" s="17" t="str">
        <f>HYPERLINK("https://otsuka-europe-crm.veevavault.com/ui/#object/vcountry__v/VENZ000004SONF5", "ES")</f>
        <v>ES</v>
      </c>
      <c r="C1647" s="20" t="s">
        <v>41</v>
      </c>
      <c r="D1647" s="21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1647" s="22" t="str">
        <f>HYPERLINK("https://otsuka-europe-crm.veevavault.com/ui/#object/sent_email__v/VBL00000002N605", "SE-001431586")</f>
        <v>SE-001431586</v>
      </c>
      <c r="F1647" s="23">
        <v>46176.322557870371</v>
      </c>
      <c r="G1647" s="24">
        <v>1</v>
      </c>
      <c r="H1647" s="24">
        <v>11</v>
      </c>
      <c r="I1647" s="24">
        <v>0</v>
      </c>
      <c r="J1647" s="25"/>
      <c r="K1647" s="24">
        <v>0</v>
      </c>
      <c r="L1647" s="22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1647" s="22" t="str">
        <f>HYPERLINK("mailto:ccalero@crm.otsuka-europe.com", "ccalero@crm.otsuka-europe.com")</f>
        <v>ccalero@crm.otsuka-europe.com</v>
      </c>
      <c r="N1647" s="23">
        <v>46175.475497685184</v>
      </c>
      <c r="O1647" s="14" t="str">
        <f>HYPERLINK("https://otsuka-europe-crm.veevavault.com/ui/#object/email_activity__v/V8C00000003L657", "EN-002087311")</f>
        <v>EN-002087311</v>
      </c>
    </row>
    <row r="1648" spans="1:15" ht="16" x14ac:dyDescent="0.2">
      <c r="A1648" s="18"/>
      <c r="B1648" s="18"/>
      <c r="C1648" s="18"/>
      <c r="D1648" s="18"/>
      <c r="E1648" s="18"/>
      <c r="F1648" s="18"/>
      <c r="G1648" s="18"/>
      <c r="H1648" s="18"/>
      <c r="I1648" s="18"/>
      <c r="J1648" s="18"/>
      <c r="K1648" s="18"/>
      <c r="L1648" s="18"/>
      <c r="M1648" s="18"/>
      <c r="N1648" s="18"/>
      <c r="O1648" s="14" t="str">
        <f>HYPERLINK("https://otsuka-europe-crm.veevavault.com/ui/#object/email_activity__v/V8C00000003M284", "EN-002088538")</f>
        <v>EN-002088538</v>
      </c>
    </row>
    <row r="1649" spans="1:15" ht="16" x14ac:dyDescent="0.2">
      <c r="A1649" s="18"/>
      <c r="B1649" s="18"/>
      <c r="C1649" s="18"/>
      <c r="D1649" s="18"/>
      <c r="E1649" s="18"/>
      <c r="F1649" s="18"/>
      <c r="G1649" s="18"/>
      <c r="H1649" s="18"/>
      <c r="I1649" s="18"/>
      <c r="J1649" s="18"/>
      <c r="K1649" s="18"/>
      <c r="L1649" s="18"/>
      <c r="M1649" s="18"/>
      <c r="N1649" s="18"/>
      <c r="O1649" s="14" t="str">
        <f>HYPERLINK("https://otsuka-europe-crm.veevavault.com/ui/#object/email_activity__v/V8C00000003M285", "EN-002088539")</f>
        <v>EN-002088539</v>
      </c>
    </row>
    <row r="1650" spans="1:15" ht="16" x14ac:dyDescent="0.2">
      <c r="A1650" s="18"/>
      <c r="B1650" s="18"/>
      <c r="C1650" s="18"/>
      <c r="D1650" s="18"/>
      <c r="E1650" s="18"/>
      <c r="F1650" s="18"/>
      <c r="G1650" s="18"/>
      <c r="H1650" s="18"/>
      <c r="I1650" s="18"/>
      <c r="J1650" s="18"/>
      <c r="K1650" s="18"/>
      <c r="L1650" s="18"/>
      <c r="M1650" s="18"/>
      <c r="N1650" s="18"/>
      <c r="O1650" s="14" t="str">
        <f>HYPERLINK("https://otsuka-europe-crm.veevavault.com/ui/#object/email_activity__v/V8C00000003M300", "EN-002088572")</f>
        <v>EN-002088572</v>
      </c>
    </row>
    <row r="1651" spans="1:15" ht="16" x14ac:dyDescent="0.2">
      <c r="A1651" s="18"/>
      <c r="B1651" s="18"/>
      <c r="C1651" s="18"/>
      <c r="D1651" s="18"/>
      <c r="E1651" s="18"/>
      <c r="F1651" s="18"/>
      <c r="G1651" s="18"/>
      <c r="H1651" s="18"/>
      <c r="I1651" s="18"/>
      <c r="J1651" s="18"/>
      <c r="K1651" s="18"/>
      <c r="L1651" s="18"/>
      <c r="M1651" s="18"/>
      <c r="N1651" s="18"/>
      <c r="O1651" s="14" t="str">
        <f>HYPERLINK("https://otsuka-europe-crm.veevavault.com/ui/#object/email_activity__v/V8C00000003M301", "EN-002088573")</f>
        <v>EN-002088573</v>
      </c>
    </row>
    <row r="1652" spans="1:15" ht="16" x14ac:dyDescent="0.2">
      <c r="A1652" s="18"/>
      <c r="B1652" s="18"/>
      <c r="C1652" s="18"/>
      <c r="D1652" s="18"/>
      <c r="E1652" s="18"/>
      <c r="F1652" s="18"/>
      <c r="G1652" s="18"/>
      <c r="H1652" s="18"/>
      <c r="I1652" s="18"/>
      <c r="J1652" s="18"/>
      <c r="K1652" s="18"/>
      <c r="L1652" s="18"/>
      <c r="M1652" s="18"/>
      <c r="N1652" s="18"/>
      <c r="O1652" s="14" t="str">
        <f>HYPERLINK("https://otsuka-europe-crm.veevavault.com/ui/#object/email_activity__v/V8C00000003N015", "EN-002088023")</f>
        <v>EN-002088023</v>
      </c>
    </row>
    <row r="1653" spans="1:15" ht="16" x14ac:dyDescent="0.2">
      <c r="A1653" s="18"/>
      <c r="B1653" s="18"/>
      <c r="C1653" s="18"/>
      <c r="D1653" s="18"/>
      <c r="E1653" s="18"/>
      <c r="F1653" s="18"/>
      <c r="G1653" s="18"/>
      <c r="H1653" s="18"/>
      <c r="I1653" s="18"/>
      <c r="J1653" s="18"/>
      <c r="K1653" s="18"/>
      <c r="L1653" s="18"/>
      <c r="M1653" s="18"/>
      <c r="N1653" s="18"/>
      <c r="O1653" s="14" t="str">
        <f>HYPERLINK("https://otsuka-europe-crm.veevavault.com/ui/#object/email_activity__v/V8C00000003N267", "EN-002088365")</f>
        <v>EN-002088365</v>
      </c>
    </row>
    <row r="1654" spans="1:15" ht="16" x14ac:dyDescent="0.2">
      <c r="A1654" s="18"/>
      <c r="B1654" s="18"/>
      <c r="C1654" s="18"/>
      <c r="D1654" s="18"/>
      <c r="E1654" s="18"/>
      <c r="F1654" s="18"/>
      <c r="G1654" s="18"/>
      <c r="H1654" s="18"/>
      <c r="I1654" s="18"/>
      <c r="J1654" s="18"/>
      <c r="K1654" s="18"/>
      <c r="L1654" s="18"/>
      <c r="M1654" s="18"/>
      <c r="N1654" s="18"/>
      <c r="O1654" s="14" t="str">
        <f>HYPERLINK("https://otsuka-europe-crm.veevavault.com/ui/#object/email_activity__v/V8C00000003N268", "EN-002088366")</f>
        <v>EN-002088366</v>
      </c>
    </row>
    <row r="1655" spans="1:15" ht="16" x14ac:dyDescent="0.2">
      <c r="A1655" s="18"/>
      <c r="B1655" s="18"/>
      <c r="C1655" s="18"/>
      <c r="D1655" s="18"/>
      <c r="E1655" s="18"/>
      <c r="F1655" s="18"/>
      <c r="G1655" s="18"/>
      <c r="H1655" s="18"/>
      <c r="I1655" s="18"/>
      <c r="J1655" s="18"/>
      <c r="K1655" s="18"/>
      <c r="L1655" s="18"/>
      <c r="M1655" s="18"/>
      <c r="N1655" s="18"/>
      <c r="O1655" s="14" t="str">
        <f>HYPERLINK("https://otsuka-europe-crm.veevavault.com/ui/#object/email_activity__v/V8C00000003N269", "EN-002088367")</f>
        <v>EN-002088367</v>
      </c>
    </row>
    <row r="1656" spans="1:15" ht="16" x14ac:dyDescent="0.2">
      <c r="A1656" s="18"/>
      <c r="B1656" s="18"/>
      <c r="C1656" s="18"/>
      <c r="D1656" s="18"/>
      <c r="E1656" s="18"/>
      <c r="F1656" s="18"/>
      <c r="G1656" s="18"/>
      <c r="H1656" s="18"/>
      <c r="I1656" s="18"/>
      <c r="J1656" s="18"/>
      <c r="K1656" s="18"/>
      <c r="L1656" s="18"/>
      <c r="M1656" s="18"/>
      <c r="N1656" s="18"/>
      <c r="O1656" s="14" t="str">
        <f>HYPERLINK("https://otsuka-europe-crm.veevavault.com/ui/#object/email_activity__v/V8C00000003N270", "EN-002088368")</f>
        <v>EN-002088368</v>
      </c>
    </row>
    <row r="1657" spans="1:15" ht="16" x14ac:dyDescent="0.2">
      <c r="A1657" s="18"/>
      <c r="B1657" s="18"/>
      <c r="C1657" s="18"/>
      <c r="D1657" s="18"/>
      <c r="E1657" s="18"/>
      <c r="F1657" s="18"/>
      <c r="G1657" s="18"/>
      <c r="H1657" s="18"/>
      <c r="I1657" s="18"/>
      <c r="J1657" s="18"/>
      <c r="K1657" s="18"/>
      <c r="L1657" s="18"/>
      <c r="M1657" s="18"/>
      <c r="N1657" s="18"/>
      <c r="O1657" s="14" t="str">
        <f>HYPERLINK("https://otsuka-europe-crm.veevavault.com/ui/#object/email_activity__v/V8C00000003N271", "EN-002088369")</f>
        <v>EN-002088369</v>
      </c>
    </row>
    <row r="1658" spans="1:15" ht="16" x14ac:dyDescent="0.2">
      <c r="A1658" s="19"/>
      <c r="B1658" s="19"/>
      <c r="C1658" s="19"/>
      <c r="D1658" s="19"/>
      <c r="E1658" s="19"/>
      <c r="F1658" s="19"/>
      <c r="G1658" s="19"/>
      <c r="H1658" s="19"/>
      <c r="I1658" s="19"/>
      <c r="J1658" s="19"/>
      <c r="K1658" s="19"/>
      <c r="L1658" s="19"/>
      <c r="M1658" s="19"/>
      <c r="N1658" s="19"/>
      <c r="O1658" s="14" t="str">
        <f>HYPERLINK("https://otsuka-europe-crm.veevavault.com/ui/#object/email_activity__v/V8C00000003N365", "EN-002088578")</f>
        <v>EN-002088578</v>
      </c>
    </row>
    <row r="1659" spans="1:15" ht="48" x14ac:dyDescent="0.2">
      <c r="A1659" s="7" t="str">
        <f>HYPERLINK("https://otsuka-europe-crm.veevavault.com/ui/#object/account__v/V4TZ025E899XA3A", "MARIA TERESA GIMENO BROSEL")</f>
        <v>MARIA TERESA GIMENO BROSEL</v>
      </c>
      <c r="B1659" s="7" t="str">
        <f>HYPERLINK("https://otsuka-europe-crm.veevavault.com/ui/#object/vcountry__v/VENZ000004SONF5", "ES")</f>
        <v>ES</v>
      </c>
      <c r="C1659" s="8" t="s">
        <v>41</v>
      </c>
      <c r="D1659" s="9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1659" s="10" t="str">
        <f>HYPERLINK("https://otsuka-europe-crm.veevavault.com/ui/#object/sent_email__v/VBL00000002N606", "SE-001431587")</f>
        <v>SE-001431587</v>
      </c>
      <c r="F1659" s="11"/>
      <c r="G1659" s="12">
        <v>0</v>
      </c>
      <c r="H1659" s="12">
        <v>0</v>
      </c>
      <c r="I1659" s="12">
        <v>0</v>
      </c>
      <c r="J1659" s="11"/>
      <c r="K1659" s="12">
        <v>0</v>
      </c>
      <c r="L1659" s="10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1659" s="10" t="str">
        <f>HYPERLINK("mailto:ccalero@crm.otsuka-europe.com", "ccalero@crm.otsuka-europe.com")</f>
        <v>ccalero@crm.otsuka-europe.com</v>
      </c>
      <c r="N1659" s="13">
        <v>46175.475497685184</v>
      </c>
      <c r="O1659" s="14" t="str">
        <f>HYPERLINK("https://otsuka-europe-crm.veevavault.com/ui/#object/email_activity__v/V8C00000003L687", "EN-002087346")</f>
        <v>EN-002087346</v>
      </c>
    </row>
    <row r="1660" spans="1:15" ht="48" x14ac:dyDescent="0.2">
      <c r="A1660" s="7" t="str">
        <f>HYPERLINK("https://otsuka-europe-crm.veevavault.com/ui/#object/account__v/V4TZ025E85EW7OL", "ANGEL FERNANDEZ LOPEZ")</f>
        <v>ANGEL FERNANDEZ LOPEZ</v>
      </c>
      <c r="B1660" s="7" t="str">
        <f>HYPERLINK("https://otsuka-europe-crm.veevavault.com/ui/#object/vcountry__v/VENZ000004SONF5", "ES")</f>
        <v>ES</v>
      </c>
      <c r="C1660" s="8" t="s">
        <v>41</v>
      </c>
      <c r="D1660" s="9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1660" s="10" t="str">
        <f>HYPERLINK("https://otsuka-europe-crm.veevavault.com/ui/#object/sent_email__v/VBL00000002N607", "SE-001431588")</f>
        <v>SE-001431588</v>
      </c>
      <c r="F1660" s="11"/>
      <c r="G1660" s="12">
        <v>0</v>
      </c>
      <c r="H1660" s="12">
        <v>0</v>
      </c>
      <c r="I1660" s="12">
        <v>0</v>
      </c>
      <c r="J1660" s="11"/>
      <c r="K1660" s="12">
        <v>0</v>
      </c>
      <c r="L1660" s="10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1660" s="10" t="str">
        <f>HYPERLINK("mailto:ccalero@crm.otsuka-europe.com", "ccalero@crm.otsuka-europe.com")</f>
        <v>ccalero@crm.otsuka-europe.com</v>
      </c>
      <c r="N1660" s="13">
        <v>46175.475497685184</v>
      </c>
      <c r="O1660" s="14" t="str">
        <f>HYPERLINK("https://otsuka-europe-crm.veevavault.com/ui/#object/email_activity__v/V8C00000003L659", "EN-002087313")</f>
        <v>EN-002087313</v>
      </c>
    </row>
    <row r="1661" spans="1:15" ht="48" x14ac:dyDescent="0.2">
      <c r="A1661" s="7" t="str">
        <f>HYPERLINK("https://otsuka-europe-crm.veevavault.com/ui/#object/account__v/V4TZ025E830AE3D", "RAIMUNDO GARCIA BOYERO")</f>
        <v>RAIMUNDO GARCIA BOYERO</v>
      </c>
      <c r="B1661" s="7" t="str">
        <f>HYPERLINK("https://otsuka-europe-crm.veevavault.com/ui/#object/vcountry__v/VENZ000004SONF5", "ES")</f>
        <v>ES</v>
      </c>
      <c r="C1661" s="8" t="s">
        <v>41</v>
      </c>
      <c r="D1661" s="9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1661" s="10" t="str">
        <f>HYPERLINK("https://otsuka-europe-crm.veevavault.com/ui/#object/sent_email__v/VBL00000002N608", "SE-001431589")</f>
        <v>SE-001431589</v>
      </c>
      <c r="F1661" s="11"/>
      <c r="G1661" s="12">
        <v>0</v>
      </c>
      <c r="H1661" s="12">
        <v>0</v>
      </c>
      <c r="I1661" s="12">
        <v>0</v>
      </c>
      <c r="J1661" s="11"/>
      <c r="K1661" s="12">
        <v>0</v>
      </c>
      <c r="L1661" s="10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1661" s="10" t="str">
        <f>HYPERLINK("mailto:ccalero@crm.otsuka-europe.com", "ccalero@crm.otsuka-europe.com")</f>
        <v>ccalero@crm.otsuka-europe.com</v>
      </c>
      <c r="N1661" s="13">
        <v>46175.475497685184</v>
      </c>
      <c r="O1661" s="14" t="str">
        <f>HYPERLINK("https://otsuka-europe-crm.veevavault.com/ui/#object/email_activity__v/V8C00000003L671", "EN-002087325")</f>
        <v>EN-002087325</v>
      </c>
    </row>
    <row r="1662" spans="1:15" ht="48" x14ac:dyDescent="0.2">
      <c r="A1662" s="7" t="str">
        <f>HYPERLINK("https://otsuka-europe-crm.veevavault.com/ui/#object/account__v/V4TZ025E87BZ55R", "CRISTINA ANTON MALDONADO")</f>
        <v>CRISTINA ANTON MALDONADO</v>
      </c>
      <c r="B1662" s="7" t="str">
        <f>HYPERLINK("https://otsuka-europe-crm.veevavault.com/ui/#object/vcountry__v/VENZ000004SONF5", "ES")</f>
        <v>ES</v>
      </c>
      <c r="C1662" s="8" t="s">
        <v>41</v>
      </c>
      <c r="D1662" s="9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1662" s="10" t="str">
        <f>HYPERLINK("https://otsuka-europe-crm.veevavault.com/ui/#object/sent_email__v/VBL00000002N609", "SE-001431590")</f>
        <v>SE-001431590</v>
      </c>
      <c r="F1662" s="11"/>
      <c r="G1662" s="12">
        <v>0</v>
      </c>
      <c r="H1662" s="12">
        <v>0</v>
      </c>
      <c r="I1662" s="12">
        <v>0</v>
      </c>
      <c r="J1662" s="11"/>
      <c r="K1662" s="12">
        <v>0</v>
      </c>
      <c r="L1662" s="10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1662" s="10" t="str">
        <f>HYPERLINK("mailto:ccalero@crm.otsuka-europe.com", "ccalero@crm.otsuka-europe.com")</f>
        <v>ccalero@crm.otsuka-europe.com</v>
      </c>
      <c r="N1662" s="13">
        <v>46175.475497685184</v>
      </c>
      <c r="O1662" s="14" t="str">
        <f>HYPERLINK("https://otsuka-europe-crm.veevavault.com/ui/#object/email_activity__v/V8C00000003L708", "EN-002087378")</f>
        <v>EN-002087378</v>
      </c>
    </row>
    <row r="1663" spans="1:15" ht="16" x14ac:dyDescent="0.2">
      <c r="A1663" s="17" t="str">
        <f>HYPERLINK("https://otsuka-europe-crm.veevavault.com/ui/#object/account__v/V4TZ025E898558I", "MARIA FERNANDEZ LOPEZ")</f>
        <v>MARIA FERNANDEZ LOPEZ</v>
      </c>
      <c r="B1663" s="17" t="str">
        <f>HYPERLINK("https://otsuka-europe-crm.veevavault.com/ui/#object/vcountry__v/VENZ000004SONF5", "ES")</f>
        <v>ES</v>
      </c>
      <c r="C1663" s="20" t="s">
        <v>41</v>
      </c>
      <c r="D1663" s="21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1663" s="22" t="str">
        <f>HYPERLINK("https://otsuka-europe-crm.veevavault.com/ui/#object/sent_email__v/VBL00000002N610", "SE-001431591")</f>
        <v>SE-001431591</v>
      </c>
      <c r="F1663" s="23">
        <v>46175.47556712963</v>
      </c>
      <c r="G1663" s="24">
        <v>1</v>
      </c>
      <c r="H1663" s="24">
        <v>1</v>
      </c>
      <c r="I1663" s="24">
        <v>0</v>
      </c>
      <c r="J1663" s="25"/>
      <c r="K1663" s="24">
        <v>0</v>
      </c>
      <c r="L1663" s="22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1663" s="22" t="str">
        <f>HYPERLINK("mailto:ccalero@crm.otsuka-europe.com", "ccalero@crm.otsuka-europe.com")</f>
        <v>ccalero@crm.otsuka-europe.com</v>
      </c>
      <c r="N1663" s="23">
        <v>46175.475497685184</v>
      </c>
      <c r="O1663" s="14" t="str">
        <f>HYPERLINK("https://otsuka-europe-crm.veevavault.com/ui/#object/email_activity__v/V8C00000003K756", "EN-002087355")</f>
        <v>EN-002087355</v>
      </c>
    </row>
    <row r="1664" spans="1:15" ht="16" x14ac:dyDescent="0.2">
      <c r="A1664" s="19"/>
      <c r="B1664" s="19"/>
      <c r="C1664" s="19"/>
      <c r="D1664" s="19"/>
      <c r="E1664" s="19"/>
      <c r="F1664" s="19"/>
      <c r="G1664" s="19"/>
      <c r="H1664" s="19"/>
      <c r="I1664" s="19"/>
      <c r="J1664" s="19"/>
      <c r="K1664" s="19"/>
      <c r="L1664" s="19"/>
      <c r="M1664" s="19"/>
      <c r="N1664" s="19"/>
      <c r="O1664" s="14" t="str">
        <f>HYPERLINK("https://otsuka-europe-crm.veevavault.com/ui/#object/email_activity__v/V8C00000003L696", "EN-002087363")</f>
        <v>EN-002087363</v>
      </c>
    </row>
    <row r="1665" spans="1:15" ht="16" x14ac:dyDescent="0.2">
      <c r="A1665" s="17" t="str">
        <f>HYPERLINK("https://otsuka-europe-crm.veevavault.com/ui/#object/account__v/V4TZ025E86IZK96", "INMACULADA PAJARES RECIO")</f>
        <v>INMACULADA PAJARES RECIO</v>
      </c>
      <c r="B1665" s="17" t="str">
        <f>HYPERLINK("https://otsuka-europe-crm.veevavault.com/ui/#object/vcountry__v/VENZ000004SONF5", "ES")</f>
        <v>ES</v>
      </c>
      <c r="C1665" s="20" t="s">
        <v>41</v>
      </c>
      <c r="D1665" s="21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1665" s="22" t="str">
        <f>HYPERLINK("https://otsuka-europe-crm.veevavault.com/ui/#object/sent_email__v/VBL00000002N611", "SE-001431592")</f>
        <v>SE-001431592</v>
      </c>
      <c r="F1665" s="25"/>
      <c r="G1665" s="24">
        <v>0</v>
      </c>
      <c r="H1665" s="24">
        <v>0</v>
      </c>
      <c r="I1665" s="24">
        <v>0</v>
      </c>
      <c r="J1665" s="25"/>
      <c r="K1665" s="24">
        <v>0</v>
      </c>
      <c r="L1665" s="22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1665" s="22" t="str">
        <f>HYPERLINK("mailto:ccalero@crm.otsuka-europe.com", "ccalero@crm.otsuka-europe.com")</f>
        <v>ccalero@crm.otsuka-europe.com</v>
      </c>
      <c r="N1665" s="23">
        <v>46175.475717592592</v>
      </c>
      <c r="O1665" s="14" t="str">
        <f>HYPERLINK("https://otsuka-europe-crm.veevavault.com/ui/#object/email_activity__v/V8C00000003L703", "EN-002087370")</f>
        <v>EN-002087370</v>
      </c>
    </row>
    <row r="1666" spans="1:15" ht="16" x14ac:dyDescent="0.2">
      <c r="A1666" s="18"/>
      <c r="B1666" s="18"/>
      <c r="C1666" s="18"/>
      <c r="D1666" s="18"/>
      <c r="E1666" s="18"/>
      <c r="F1666" s="18"/>
      <c r="G1666" s="18"/>
      <c r="H1666" s="18"/>
      <c r="I1666" s="18"/>
      <c r="J1666" s="18"/>
      <c r="K1666" s="18"/>
      <c r="L1666" s="18"/>
      <c r="M1666" s="18"/>
      <c r="N1666" s="18"/>
      <c r="O1666" s="14" t="str">
        <f>HYPERLINK("https://otsuka-europe-crm.veevavault.com/ui/#object/email_activity__v/V8C00000003U014", "EN-002094848")</f>
        <v>EN-002094848</v>
      </c>
    </row>
    <row r="1667" spans="1:15" ht="16" x14ac:dyDescent="0.2">
      <c r="A1667" s="19"/>
      <c r="B1667" s="19"/>
      <c r="C1667" s="19"/>
      <c r="D1667" s="19"/>
      <c r="E1667" s="19"/>
      <c r="F1667" s="19"/>
      <c r="G1667" s="19"/>
      <c r="H1667" s="19"/>
      <c r="I1667" s="19"/>
      <c r="J1667" s="19"/>
      <c r="K1667" s="19"/>
      <c r="L1667" s="19"/>
      <c r="M1667" s="19"/>
      <c r="N1667" s="19"/>
      <c r="O1667" s="14" t="str">
        <f>HYPERLINK("https://otsuka-europe-crm.veevavault.com/ui/#object/email_activity__v/V8C00000003Z500", "EN-002099686")</f>
        <v>EN-002099686</v>
      </c>
    </row>
    <row r="1668" spans="1:15" ht="32" x14ac:dyDescent="0.2">
      <c r="A1668" s="7" t="str">
        <f>HYPERLINK("https://otsuka-europe-crm.veevavault.com/ui/#object/account__v/V4TZ06G6O71T7QU", "LAURA ALVAREZ GARCIA")</f>
        <v>LAURA ALVAREZ GARCIA</v>
      </c>
      <c r="B1668" s="7" t="str">
        <f>HYPERLINK("https://otsuka-europe-crm.veevavault.com/ui/#object/vcountry__v/VENZ000004SONF5", "ES")</f>
        <v>ES</v>
      </c>
      <c r="C1668" s="8" t="s">
        <v>41</v>
      </c>
      <c r="D1668" s="9" t="str">
        <f>HYPERLINK("https://otsuka-europe-crm.veevavault.com/ui/#object/approved_document__v/V5O00000000D100", "Spain - Consent Email 1 Aug 25")</f>
        <v>Spain - Consent Email 1 Aug 25</v>
      </c>
      <c r="E1668" s="10" t="str">
        <f>HYPERLINK("https://otsuka-europe-crm.veevavault.com/ui/#object/sent_email__v/VBL00000002O147", "SE-001431593")</f>
        <v>SE-001431593</v>
      </c>
      <c r="F1668" s="11"/>
      <c r="G1668" s="12">
        <v>0</v>
      </c>
      <c r="H1668" s="12">
        <v>0</v>
      </c>
      <c r="I1668" s="12">
        <v>0</v>
      </c>
      <c r="J1668" s="11"/>
      <c r="K1668" s="12">
        <v>0</v>
      </c>
      <c r="L1668" s="10" t="str">
        <f>HYPERLINK("https://otsuka-europe-crm.veevavault.com/ui/#object/approved_document__v/V5O00000000D100", "Spain - Consent Email 1 Aug 25")</f>
        <v>Spain - Consent Email 1 Aug 25</v>
      </c>
      <c r="M1668" s="10" t="str">
        <f>HYPERLINK("mailto:jguri@crm.otsuka-europe.com", "jguri@crm.otsuka-europe.com")</f>
        <v>jguri@crm.otsuka-europe.com</v>
      </c>
      <c r="N1668" s="13">
        <v>46175.485949074071</v>
      </c>
      <c r="O1668" s="14" t="str">
        <f>HYPERLINK("https://otsuka-europe-crm.veevavault.com/ui/#object/email_activity__v/V8C00000003K777", "EN-002087408")</f>
        <v>EN-002087408</v>
      </c>
    </row>
    <row r="1669" spans="1:15" ht="16" x14ac:dyDescent="0.2">
      <c r="A1669" s="17" t="str">
        <f>HYPERLINK("https://otsuka-europe-crm.veevavault.com/ui/#object/account__v/V4TZ06G6O71T7FB", "KARINA AMPUERO ANACHURI")</f>
        <v>KARINA AMPUERO ANACHURI</v>
      </c>
      <c r="B1669" s="17" t="str">
        <f>HYPERLINK("https://otsuka-europe-crm.veevavault.com/ui/#object/vcountry__v/VENZ000004SONF5", "ES")</f>
        <v>ES</v>
      </c>
      <c r="C1669" s="20" t="s">
        <v>41</v>
      </c>
      <c r="D1669" s="21" t="str">
        <f>HYPERLINK("https://otsuka-europe-crm.veevavault.com/ui/#object/approved_document__v/V5O00000000D100", "Spain - Consent Email 1 Aug 25")</f>
        <v>Spain - Consent Email 1 Aug 25</v>
      </c>
      <c r="E1669" s="22" t="str">
        <f>HYPERLINK("https://otsuka-europe-crm.veevavault.com/ui/#object/sent_email__v/VBL00000002O148", "SE-001431594")</f>
        <v>SE-001431594</v>
      </c>
      <c r="F1669" s="23">
        <v>46175.492581018516</v>
      </c>
      <c r="G1669" s="24">
        <v>1</v>
      </c>
      <c r="H1669" s="24">
        <v>1</v>
      </c>
      <c r="I1669" s="24">
        <v>0</v>
      </c>
      <c r="J1669" s="25"/>
      <c r="K1669" s="24">
        <v>0</v>
      </c>
      <c r="L1669" s="22" t="str">
        <f>HYPERLINK("https://otsuka-europe-crm.veevavault.com/ui/#object/approved_document__v/V5O00000000D100", "Spain - Consent Email 1 Aug 25")</f>
        <v>Spain - Consent Email 1 Aug 25</v>
      </c>
      <c r="M1669" s="22" t="str">
        <f>HYPERLINK("mailto:jguri@crm.otsuka-europe.com", "jguri@crm.otsuka-europe.com")</f>
        <v>jguri@crm.otsuka-europe.com</v>
      </c>
      <c r="N1669" s="23">
        <v>46175.486250000002</v>
      </c>
      <c r="O1669" s="14" t="str">
        <f>HYPERLINK("https://otsuka-europe-crm.veevavault.com/ui/#object/email_activity__v/V8C00000003K789", "EN-002087427")</f>
        <v>EN-002087427</v>
      </c>
    </row>
    <row r="1670" spans="1:15" ht="16" x14ac:dyDescent="0.2">
      <c r="A1670" s="19"/>
      <c r="B1670" s="19"/>
      <c r="C1670" s="19"/>
      <c r="D1670" s="19"/>
      <c r="E1670" s="19"/>
      <c r="F1670" s="19"/>
      <c r="G1670" s="19"/>
      <c r="H1670" s="19"/>
      <c r="I1670" s="19"/>
      <c r="J1670" s="19"/>
      <c r="K1670" s="19"/>
      <c r="L1670" s="19"/>
      <c r="M1670" s="19"/>
      <c r="N1670" s="19"/>
      <c r="O1670" s="14" t="str">
        <f>HYPERLINK("https://otsuka-europe-crm.veevavault.com/ui/#object/email_activity__v/V8C00000003L723", "EN-002087411")</f>
        <v>EN-002087411</v>
      </c>
    </row>
    <row r="1671" spans="1:15" ht="32" x14ac:dyDescent="0.2">
      <c r="A1671" s="7" t="str">
        <f>HYPERLINK("https://otsuka-europe-crm.veevavault.com/ui/#object/account__v/V4TZ06G6OCEI30W", "LUIS ARMANDO CORREA MARCANO")</f>
        <v>LUIS ARMANDO CORREA MARCANO</v>
      </c>
      <c r="B1671" s="7" t="str">
        <f>HYPERLINK("https://otsuka-europe-crm.veevavault.com/ui/#object/vcountry__v/VENZ000004SONF5", "ES")</f>
        <v>ES</v>
      </c>
      <c r="C1671" s="8" t="s">
        <v>41</v>
      </c>
      <c r="D1671" s="9" t="str">
        <f>HYPERLINK("https://otsuka-europe-crm.veevavault.com/ui/#object/approved_document__v/V5O00000000D100", "Spain - Consent Email 1 Aug 25")</f>
        <v>Spain - Consent Email 1 Aug 25</v>
      </c>
      <c r="E1671" s="10" t="str">
        <f>HYPERLINK("https://otsuka-europe-crm.veevavault.com/ui/#object/sent_email__v/VBL00000002O149", "SE-001431595")</f>
        <v>SE-001431595</v>
      </c>
      <c r="F1671" s="11"/>
      <c r="G1671" s="12">
        <v>0</v>
      </c>
      <c r="H1671" s="12">
        <v>0</v>
      </c>
      <c r="I1671" s="12">
        <v>0</v>
      </c>
      <c r="J1671" s="11"/>
      <c r="K1671" s="12">
        <v>0</v>
      </c>
      <c r="L1671" s="10" t="str">
        <f>HYPERLINK("https://otsuka-europe-crm.veevavault.com/ui/#object/approved_document__v/V5O00000000D100", "Spain - Consent Email 1 Aug 25")</f>
        <v>Spain - Consent Email 1 Aug 25</v>
      </c>
      <c r="M1671" s="10" t="str">
        <f>HYPERLINK("mailto:jguri@crm.otsuka-europe.com", "jguri@crm.otsuka-europe.com")</f>
        <v>jguri@crm.otsuka-europe.com</v>
      </c>
      <c r="N1671" s="13">
        <v>46175.486608796295</v>
      </c>
      <c r="O1671" s="14" t="str">
        <f>HYPERLINK("https://otsuka-europe-crm.veevavault.com/ui/#object/email_activity__v/V8C00000003K778", "EN-002087412")</f>
        <v>EN-002087412</v>
      </c>
    </row>
    <row r="1672" spans="1:15" ht="32" x14ac:dyDescent="0.2">
      <c r="A1672" s="7" t="str">
        <f>HYPERLINK("https://otsuka-europe-crm.veevavault.com/ui/#object/account__v/V4TZ06G6O71TBO5", "MARIA GLORIA DEL PESO GILSANZ")</f>
        <v>MARIA GLORIA DEL PESO GILSANZ</v>
      </c>
      <c r="B1672" s="7" t="str">
        <f>HYPERLINK("https://otsuka-europe-crm.veevavault.com/ui/#object/vcountry__v/VENZ000004SONF5", "ES")</f>
        <v>ES</v>
      </c>
      <c r="C1672" s="8" t="s">
        <v>41</v>
      </c>
      <c r="D1672" s="9" t="str">
        <f>HYPERLINK("https://otsuka-europe-crm.veevavault.com/ui/#object/approved_document__v/V5O00000000D100", "Spain - Consent Email 1 Aug 25")</f>
        <v>Spain - Consent Email 1 Aug 25</v>
      </c>
      <c r="E1672" s="10" t="str">
        <f>HYPERLINK("https://otsuka-europe-crm.veevavault.com/ui/#object/sent_email__v/VBL00000002O150", "SE-001431596")</f>
        <v>SE-001431596</v>
      </c>
      <c r="F1672" s="11"/>
      <c r="G1672" s="12">
        <v>0</v>
      </c>
      <c r="H1672" s="12">
        <v>0</v>
      </c>
      <c r="I1672" s="12">
        <v>0</v>
      </c>
      <c r="J1672" s="11"/>
      <c r="K1672" s="12">
        <v>0</v>
      </c>
      <c r="L1672" s="10" t="str">
        <f>HYPERLINK("https://otsuka-europe-crm.veevavault.com/ui/#object/approved_document__v/V5O00000000D100", "Spain - Consent Email 1 Aug 25")</f>
        <v>Spain - Consent Email 1 Aug 25</v>
      </c>
      <c r="M1672" s="10" t="str">
        <f>HYPERLINK("mailto:jguri@crm.otsuka-europe.com", "jguri@crm.otsuka-europe.com")</f>
        <v>jguri@crm.otsuka-europe.com</v>
      </c>
      <c r="N1672" s="13">
        <v>46175.486956018518</v>
      </c>
      <c r="O1672" s="14" t="str">
        <f>HYPERLINK("https://otsuka-europe-crm.veevavault.com/ui/#object/email_activity__v/V8C00000003K779", "EN-002087413")</f>
        <v>EN-002087413</v>
      </c>
    </row>
    <row r="1673" spans="1:15" ht="16" x14ac:dyDescent="0.2">
      <c r="A1673" s="17" t="str">
        <f>HYPERLINK("https://otsuka-europe-crm.veevavault.com/ui/#object/account__v/V4TZ06G6O71T9OI", "JULIA VICTORIA DIEGO MARTIN")</f>
        <v>JULIA VICTORIA DIEGO MARTIN</v>
      </c>
      <c r="B1673" s="17" t="str">
        <f>HYPERLINK("https://otsuka-europe-crm.veevavault.com/ui/#object/vcountry__v/VENZ000004SONF5", "ES")</f>
        <v>ES</v>
      </c>
      <c r="C1673" s="20" t="s">
        <v>41</v>
      </c>
      <c r="D1673" s="21" t="str">
        <f>HYPERLINK("https://otsuka-europe-crm.veevavault.com/ui/#object/approved_document__v/V5O00000000D100", "Spain - Consent Email 1 Aug 25")</f>
        <v>Spain - Consent Email 1 Aug 25</v>
      </c>
      <c r="E1673" s="22" t="str">
        <f>HYPERLINK("https://otsuka-europe-crm.veevavault.com/ui/#object/sent_email__v/VBL00000002O151", "SE-001431597")</f>
        <v>SE-001431597</v>
      </c>
      <c r="F1673" s="23">
        <v>46182.721168981479</v>
      </c>
      <c r="G1673" s="24">
        <v>1</v>
      </c>
      <c r="H1673" s="24">
        <v>1</v>
      </c>
      <c r="I1673" s="24">
        <v>0</v>
      </c>
      <c r="J1673" s="25"/>
      <c r="K1673" s="24">
        <v>0</v>
      </c>
      <c r="L1673" s="22" t="str">
        <f>HYPERLINK("https://otsuka-europe-crm.veevavault.com/ui/#object/approved_document__v/V5O00000000D100", "Spain - Consent Email 1 Aug 25")</f>
        <v>Spain - Consent Email 1 Aug 25</v>
      </c>
      <c r="M1673" s="22" t="str">
        <f>HYPERLINK("mailto:jguri@crm.otsuka-europe.com", "jguri@crm.otsuka-europe.com")</f>
        <v>jguri@crm.otsuka-europe.com</v>
      </c>
      <c r="N1673" s="23">
        <v>46175.487291666665</v>
      </c>
      <c r="O1673" s="14" t="str">
        <f>HYPERLINK("https://otsuka-europe-crm.veevavault.com/ui/#object/email_activity__v/V8C00000003L724", "EN-002087414")</f>
        <v>EN-002087414</v>
      </c>
    </row>
    <row r="1674" spans="1:15" ht="16" x14ac:dyDescent="0.2">
      <c r="A1674" s="19"/>
      <c r="B1674" s="19"/>
      <c r="C1674" s="19"/>
      <c r="D1674" s="19"/>
      <c r="E1674" s="19"/>
      <c r="F1674" s="19"/>
      <c r="G1674" s="19"/>
      <c r="H1674" s="19"/>
      <c r="I1674" s="19"/>
      <c r="J1674" s="19"/>
      <c r="K1674" s="19"/>
      <c r="L1674" s="19"/>
      <c r="M1674" s="19"/>
      <c r="N1674" s="19"/>
      <c r="O1674" s="14" t="str">
        <f>HYPERLINK("https://otsuka-europe-crm.veevavault.com/ui/#object/email_activity__v/V8C00000003R875", "EN-002093346")</f>
        <v>EN-002093346</v>
      </c>
    </row>
    <row r="1675" spans="1:15" ht="32" x14ac:dyDescent="0.2">
      <c r="A1675" s="7" t="str">
        <f>HYPERLINK("https://otsuka-europe-crm.veevavault.com/ui/#object/account__v/V4TZ06G6O71URS0", "PABLO ALEJANDRO DIEZ ARIAS")</f>
        <v>PABLO ALEJANDRO DIEZ ARIAS</v>
      </c>
      <c r="B1675" s="7" t="str">
        <f t="shared" ref="B1675:B1683" si="36">HYPERLINK("https://otsuka-europe-crm.veevavault.com/ui/#object/vcountry__v/VENZ000004SONF5", "ES")</f>
        <v>ES</v>
      </c>
      <c r="C1675" s="8" t="s">
        <v>41</v>
      </c>
      <c r="D1675" s="9" t="str">
        <f t="shared" ref="D1675:D1683" si="37">HYPERLINK("https://otsuka-europe-crm.veevavault.com/ui/#object/approved_document__v/V5O00000000D100", "Spain - Consent Email 1 Aug 25")</f>
        <v>Spain - Consent Email 1 Aug 25</v>
      </c>
      <c r="E1675" s="10" t="str">
        <f>HYPERLINK("https://otsuka-europe-crm.veevavault.com/ui/#object/sent_email__v/VBL00000002O152", "SE-001431598")</f>
        <v>SE-001431598</v>
      </c>
      <c r="F1675" s="11"/>
      <c r="G1675" s="12">
        <v>0</v>
      </c>
      <c r="H1675" s="12">
        <v>0</v>
      </c>
      <c r="I1675" s="12">
        <v>0</v>
      </c>
      <c r="J1675" s="11"/>
      <c r="K1675" s="12">
        <v>0</v>
      </c>
      <c r="L1675" s="10" t="str">
        <f t="shared" ref="L1675:L1683" si="38">HYPERLINK("https://otsuka-europe-crm.veevavault.com/ui/#object/approved_document__v/V5O00000000D100", "Spain - Consent Email 1 Aug 25")</f>
        <v>Spain - Consent Email 1 Aug 25</v>
      </c>
      <c r="M1675" s="10" t="str">
        <f t="shared" ref="M1675:M1683" si="39">HYPERLINK("mailto:jguri@crm.otsuka-europe.com", "jguri@crm.otsuka-europe.com")</f>
        <v>jguri@crm.otsuka-europe.com</v>
      </c>
      <c r="N1675" s="13">
        <v>46175.487476851849</v>
      </c>
      <c r="O1675" s="14" t="str">
        <f>HYPERLINK("https://otsuka-europe-crm.veevavault.com/ui/#object/email_activity__v/V8C00000003K780", "EN-002087415")</f>
        <v>EN-002087415</v>
      </c>
    </row>
    <row r="1676" spans="1:15" ht="32" x14ac:dyDescent="0.2">
      <c r="A1676" s="7" t="str">
        <f>HYPERLINK("https://otsuka-europe-crm.veevavault.com/ui/#object/account__v/V4TZ06G6O71TK7H", "EDUARDO GALLEGO VALCARCE")</f>
        <v>EDUARDO GALLEGO VALCARCE</v>
      </c>
      <c r="B1676" s="7" t="str">
        <f t="shared" si="36"/>
        <v>ES</v>
      </c>
      <c r="C1676" s="8" t="s">
        <v>41</v>
      </c>
      <c r="D1676" s="9" t="str">
        <f t="shared" si="37"/>
        <v>Spain - Consent Email 1 Aug 25</v>
      </c>
      <c r="E1676" s="10" t="str">
        <f>HYPERLINK("https://otsuka-europe-crm.veevavault.com/ui/#object/sent_email__v/VBL00000002O153", "SE-001431599")</f>
        <v>SE-001431599</v>
      </c>
      <c r="F1676" s="11"/>
      <c r="G1676" s="12">
        <v>0</v>
      </c>
      <c r="H1676" s="12">
        <v>0</v>
      </c>
      <c r="I1676" s="12">
        <v>0</v>
      </c>
      <c r="J1676" s="11"/>
      <c r="K1676" s="12">
        <v>0</v>
      </c>
      <c r="L1676" s="10" t="str">
        <f t="shared" si="38"/>
        <v>Spain - Consent Email 1 Aug 25</v>
      </c>
      <c r="M1676" s="10" t="str">
        <f t="shared" si="39"/>
        <v>jguri@crm.otsuka-europe.com</v>
      </c>
      <c r="N1676" s="13">
        <v>46175.489374999997</v>
      </c>
      <c r="O1676" s="14" t="str">
        <f>HYPERLINK("https://otsuka-europe-crm.veevavault.com/ui/#object/email_activity__v/V8C00000003L725", "EN-002087416")</f>
        <v>EN-002087416</v>
      </c>
    </row>
    <row r="1677" spans="1:15" ht="32" x14ac:dyDescent="0.2">
      <c r="A1677" s="7" t="str">
        <f>HYPERLINK("https://otsuka-europe-crm.veevavault.com/ui/#object/account__v/V4TZ06G6O71T758", "TAMARA LETICIA GARCIA GARRIDO")</f>
        <v>TAMARA LETICIA GARCIA GARRIDO</v>
      </c>
      <c r="B1677" s="7" t="str">
        <f t="shared" si="36"/>
        <v>ES</v>
      </c>
      <c r="C1677" s="8" t="s">
        <v>41</v>
      </c>
      <c r="D1677" s="9" t="str">
        <f t="shared" si="37"/>
        <v>Spain - Consent Email 1 Aug 25</v>
      </c>
      <c r="E1677" s="10" t="str">
        <f>HYPERLINK("https://otsuka-europe-crm.veevavault.com/ui/#object/sent_email__v/VBL00000002O154", "SE-001431600")</f>
        <v>SE-001431600</v>
      </c>
      <c r="F1677" s="11"/>
      <c r="G1677" s="12">
        <v>0</v>
      </c>
      <c r="H1677" s="12">
        <v>0</v>
      </c>
      <c r="I1677" s="12">
        <v>0</v>
      </c>
      <c r="J1677" s="11"/>
      <c r="K1677" s="12">
        <v>0</v>
      </c>
      <c r="L1677" s="10" t="str">
        <f t="shared" si="38"/>
        <v>Spain - Consent Email 1 Aug 25</v>
      </c>
      <c r="M1677" s="10" t="str">
        <f t="shared" si="39"/>
        <v>jguri@crm.otsuka-europe.com</v>
      </c>
      <c r="N1677" s="13">
        <v>46175.489537037036</v>
      </c>
      <c r="O1677" s="14" t="str">
        <f>HYPERLINK("https://otsuka-europe-crm.veevavault.com/ui/#object/email_activity__v/V8C00000003K781", "EN-002087417")</f>
        <v>EN-002087417</v>
      </c>
    </row>
    <row r="1678" spans="1:15" ht="32" x14ac:dyDescent="0.2">
      <c r="A1678" s="7" t="str">
        <f>HYPERLINK("https://otsuka-europe-crm.veevavault.com/ui/#object/account__v/V4TZ025E85GTCQA", "MARIA VANESA GARCIA-BERNALT FUNES")</f>
        <v>MARIA VANESA GARCIA-BERNALT FUNES</v>
      </c>
      <c r="B1678" s="7" t="str">
        <f t="shared" si="36"/>
        <v>ES</v>
      </c>
      <c r="C1678" s="8" t="s">
        <v>41</v>
      </c>
      <c r="D1678" s="9" t="str">
        <f t="shared" si="37"/>
        <v>Spain - Consent Email 1 Aug 25</v>
      </c>
      <c r="E1678" s="10" t="str">
        <f>HYPERLINK("https://otsuka-europe-crm.veevavault.com/ui/#object/sent_email__v/VBL00000002O155", "SE-001431601")</f>
        <v>SE-001431601</v>
      </c>
      <c r="F1678" s="11"/>
      <c r="G1678" s="12">
        <v>0</v>
      </c>
      <c r="H1678" s="12">
        <v>0</v>
      </c>
      <c r="I1678" s="12">
        <v>0</v>
      </c>
      <c r="J1678" s="11"/>
      <c r="K1678" s="12">
        <v>0</v>
      </c>
      <c r="L1678" s="10" t="str">
        <f t="shared" si="38"/>
        <v>Spain - Consent Email 1 Aug 25</v>
      </c>
      <c r="M1678" s="10" t="str">
        <f t="shared" si="39"/>
        <v>jguri@crm.otsuka-europe.com</v>
      </c>
      <c r="N1678" s="13">
        <v>46175.489918981482</v>
      </c>
      <c r="O1678" s="14" t="str">
        <f>HYPERLINK("https://otsuka-europe-crm.veevavault.com/ui/#object/email_activity__v/V8C00000003K782", "EN-002087418")</f>
        <v>EN-002087418</v>
      </c>
    </row>
    <row r="1679" spans="1:15" ht="32" x14ac:dyDescent="0.2">
      <c r="A1679" s="7" t="str">
        <f>HYPERLINK("https://otsuka-europe-crm.veevavault.com/ui/#object/account__v/V4TZ06G6O71TA78", "MARIA ELENA GONZALEZ GARCIA")</f>
        <v>MARIA ELENA GONZALEZ GARCIA</v>
      </c>
      <c r="B1679" s="7" t="str">
        <f t="shared" si="36"/>
        <v>ES</v>
      </c>
      <c r="C1679" s="8" t="s">
        <v>41</v>
      </c>
      <c r="D1679" s="9" t="str">
        <f t="shared" si="37"/>
        <v>Spain - Consent Email 1 Aug 25</v>
      </c>
      <c r="E1679" s="10" t="str">
        <f>HYPERLINK("https://otsuka-europe-crm.veevavault.com/ui/#object/sent_email__v/VBL00000002N612", "SE-001431602")</f>
        <v>SE-001431602</v>
      </c>
      <c r="F1679" s="11"/>
      <c r="G1679" s="12">
        <v>0</v>
      </c>
      <c r="H1679" s="12">
        <v>0</v>
      </c>
      <c r="I1679" s="12">
        <v>0</v>
      </c>
      <c r="J1679" s="11"/>
      <c r="K1679" s="12">
        <v>0</v>
      </c>
      <c r="L1679" s="10" t="str">
        <f t="shared" si="38"/>
        <v>Spain - Consent Email 1 Aug 25</v>
      </c>
      <c r="M1679" s="10" t="str">
        <f t="shared" si="39"/>
        <v>jguri@crm.otsuka-europe.com</v>
      </c>
      <c r="N1679" s="13">
        <v>46175.490266203706</v>
      </c>
      <c r="O1679" s="14" t="str">
        <f>HYPERLINK("https://otsuka-europe-crm.veevavault.com/ui/#object/email_activity__v/V8C00000003K783", "EN-002087419")</f>
        <v>EN-002087419</v>
      </c>
    </row>
    <row r="1680" spans="1:15" ht="32" x14ac:dyDescent="0.2">
      <c r="A1680" s="7" t="str">
        <f>HYPERLINK("https://otsuka-europe-crm.veevavault.com/ui/#object/account__v/V4TZ06G6O71T8VX", "MANUEL HERAS BENITO")</f>
        <v>MANUEL HERAS BENITO</v>
      </c>
      <c r="B1680" s="7" t="str">
        <f t="shared" si="36"/>
        <v>ES</v>
      </c>
      <c r="C1680" s="8" t="s">
        <v>41</v>
      </c>
      <c r="D1680" s="9" t="str">
        <f t="shared" si="37"/>
        <v>Spain - Consent Email 1 Aug 25</v>
      </c>
      <c r="E1680" s="10" t="str">
        <f>HYPERLINK("https://otsuka-europe-crm.veevavault.com/ui/#object/sent_email__v/VBL00000002N613", "SE-001431603")</f>
        <v>SE-001431603</v>
      </c>
      <c r="F1680" s="11"/>
      <c r="G1680" s="12">
        <v>0</v>
      </c>
      <c r="H1680" s="12">
        <v>0</v>
      </c>
      <c r="I1680" s="12">
        <v>0</v>
      </c>
      <c r="J1680" s="11"/>
      <c r="K1680" s="12">
        <v>0</v>
      </c>
      <c r="L1680" s="10" t="str">
        <f t="shared" si="38"/>
        <v>Spain - Consent Email 1 Aug 25</v>
      </c>
      <c r="M1680" s="10" t="str">
        <f t="shared" si="39"/>
        <v>jguri@crm.otsuka-europe.com</v>
      </c>
      <c r="N1680" s="13">
        <v>46175.490613425929</v>
      </c>
      <c r="O1680" s="14" t="str">
        <f>HYPERLINK("https://otsuka-europe-crm.veevavault.com/ui/#object/email_activity__v/V8C00000003K784", "EN-002087420")</f>
        <v>EN-002087420</v>
      </c>
    </row>
    <row r="1681" spans="1:15" ht="32" x14ac:dyDescent="0.2">
      <c r="A1681" s="7" t="str">
        <f>HYPERLINK("https://otsuka-europe-crm.veevavault.com/ui/#object/account__v/V4TZ06G6O71TAPU", "JOSE LUIS LERMA MARQUEZ")</f>
        <v>JOSE LUIS LERMA MARQUEZ</v>
      </c>
      <c r="B1681" s="7" t="str">
        <f t="shared" si="36"/>
        <v>ES</v>
      </c>
      <c r="C1681" s="8" t="s">
        <v>41</v>
      </c>
      <c r="D1681" s="9" t="str">
        <f t="shared" si="37"/>
        <v>Spain - Consent Email 1 Aug 25</v>
      </c>
      <c r="E1681" s="10" t="str">
        <f>HYPERLINK("https://otsuka-europe-crm.veevavault.com/ui/#object/sent_email__v/VBL00000002N614", "SE-001431604")</f>
        <v>SE-001431604</v>
      </c>
      <c r="F1681" s="11"/>
      <c r="G1681" s="12">
        <v>0</v>
      </c>
      <c r="H1681" s="12">
        <v>0</v>
      </c>
      <c r="I1681" s="12">
        <v>0</v>
      </c>
      <c r="J1681" s="11"/>
      <c r="K1681" s="12">
        <v>0</v>
      </c>
      <c r="L1681" s="10" t="str">
        <f t="shared" si="38"/>
        <v>Spain - Consent Email 1 Aug 25</v>
      </c>
      <c r="M1681" s="10" t="str">
        <f t="shared" si="39"/>
        <v>jguri@crm.otsuka-europe.com</v>
      </c>
      <c r="N1681" s="13">
        <v>46175.490937499999</v>
      </c>
      <c r="O1681" s="14" t="str">
        <f>HYPERLINK("https://otsuka-europe-crm.veevavault.com/ui/#object/email_activity__v/V8C00000003L726", "EN-002087421")</f>
        <v>EN-002087421</v>
      </c>
    </row>
    <row r="1682" spans="1:15" ht="32" x14ac:dyDescent="0.2">
      <c r="A1682" s="7" t="str">
        <f>HYPERLINK("https://otsuka-europe-crm.veevavault.com/ui/#object/account__v/V4TZ06G6O71TAX9", "JOSE ANTONIO MENACHO MIGUEL")</f>
        <v>JOSE ANTONIO MENACHO MIGUEL</v>
      </c>
      <c r="B1682" s="7" t="str">
        <f t="shared" si="36"/>
        <v>ES</v>
      </c>
      <c r="C1682" s="8" t="s">
        <v>41</v>
      </c>
      <c r="D1682" s="9" t="str">
        <f t="shared" si="37"/>
        <v>Spain - Consent Email 1 Aug 25</v>
      </c>
      <c r="E1682" s="10" t="str">
        <f>HYPERLINK("https://otsuka-europe-crm.veevavault.com/ui/#object/sent_email__v/VBL00000002O156", "SE-001431605")</f>
        <v>SE-001431605</v>
      </c>
      <c r="F1682" s="11"/>
      <c r="G1682" s="12">
        <v>0</v>
      </c>
      <c r="H1682" s="12">
        <v>0</v>
      </c>
      <c r="I1682" s="12">
        <v>0</v>
      </c>
      <c r="J1682" s="11"/>
      <c r="K1682" s="12">
        <v>0</v>
      </c>
      <c r="L1682" s="10" t="str">
        <f t="shared" si="38"/>
        <v>Spain - Consent Email 1 Aug 25</v>
      </c>
      <c r="M1682" s="10" t="str">
        <f t="shared" si="39"/>
        <v>jguri@crm.otsuka-europe.com</v>
      </c>
      <c r="N1682" s="13">
        <v>46175.49113425926</v>
      </c>
      <c r="O1682" s="14" t="str">
        <f>HYPERLINK("https://otsuka-europe-crm.veevavault.com/ui/#object/email_activity__v/V8C00000003K785", "EN-002087422")</f>
        <v>EN-002087422</v>
      </c>
    </row>
    <row r="1683" spans="1:15" ht="16" x14ac:dyDescent="0.2">
      <c r="A1683" s="17" t="str">
        <f>HYPERLINK("https://otsuka-europe-crm.veevavault.com/ui/#object/account__v/V4TZ025E891G3D3", "MIGUEL ANGEL NAVAS JIMENEZ")</f>
        <v>MIGUEL ANGEL NAVAS JIMENEZ</v>
      </c>
      <c r="B1683" s="17" t="str">
        <f t="shared" si="36"/>
        <v>ES</v>
      </c>
      <c r="C1683" s="20" t="s">
        <v>41</v>
      </c>
      <c r="D1683" s="21" t="str">
        <f t="shared" si="37"/>
        <v>Spain - Consent Email 1 Aug 25</v>
      </c>
      <c r="E1683" s="22" t="str">
        <f>HYPERLINK("https://otsuka-europe-crm.veevavault.com/ui/#object/sent_email__v/VBL00000002N615", "SE-001431606")</f>
        <v>SE-001431606</v>
      </c>
      <c r="F1683" s="23">
        <v>46175.755972222221</v>
      </c>
      <c r="G1683" s="24">
        <v>1</v>
      </c>
      <c r="H1683" s="24">
        <v>1</v>
      </c>
      <c r="I1683" s="24">
        <v>1</v>
      </c>
      <c r="J1683" s="23">
        <v>46175.756099537037</v>
      </c>
      <c r="K1683" s="24">
        <v>2</v>
      </c>
      <c r="L1683" s="22" t="str">
        <f t="shared" si="38"/>
        <v>Spain - Consent Email 1 Aug 25</v>
      </c>
      <c r="M1683" s="22" t="str">
        <f t="shared" si="39"/>
        <v>jguri@crm.otsuka-europe.com</v>
      </c>
      <c r="N1683" s="23">
        <v>46175.49145833333</v>
      </c>
      <c r="O1683" s="14" t="str">
        <f>HYPERLINK("https://otsuka-europe-crm.veevavault.com/ui/#object/email_activity__v/V8C00000003K786", "EN-002087423")</f>
        <v>EN-002087423</v>
      </c>
    </row>
    <row r="1684" spans="1:15" ht="16" x14ac:dyDescent="0.2">
      <c r="A1684" s="18"/>
      <c r="B1684" s="18"/>
      <c r="C1684" s="18"/>
      <c r="D1684" s="18"/>
      <c r="E1684" s="18"/>
      <c r="F1684" s="18"/>
      <c r="G1684" s="18"/>
      <c r="H1684" s="18"/>
      <c r="I1684" s="18"/>
      <c r="J1684" s="18"/>
      <c r="K1684" s="18"/>
      <c r="L1684" s="18"/>
      <c r="M1684" s="18"/>
      <c r="N1684" s="18"/>
      <c r="O1684" s="14" t="str">
        <f>HYPERLINK("https://otsuka-europe-crm.veevavault.com/ui/#object/email_activity__v/V8C00000003M130", "EN-002088069")</f>
        <v>EN-002088069</v>
      </c>
    </row>
    <row r="1685" spans="1:15" ht="16" x14ac:dyDescent="0.2">
      <c r="A1685" s="18"/>
      <c r="B1685" s="18"/>
      <c r="C1685" s="18"/>
      <c r="D1685" s="18"/>
      <c r="E1685" s="18"/>
      <c r="F1685" s="18"/>
      <c r="G1685" s="18"/>
      <c r="H1685" s="18"/>
      <c r="I1685" s="18"/>
      <c r="J1685" s="18"/>
      <c r="K1685" s="18"/>
      <c r="L1685" s="18"/>
      <c r="M1685" s="18"/>
      <c r="N1685" s="18"/>
      <c r="O1685" s="14" t="str">
        <f>HYPERLINK("https://otsuka-europe-crm.veevavault.com/ui/#object/email_activity__v/V8C00000003M131", "EN-002088068")</f>
        <v>EN-002088068</v>
      </c>
    </row>
    <row r="1686" spans="1:15" ht="16" x14ac:dyDescent="0.2">
      <c r="A1686" s="19"/>
      <c r="B1686" s="19"/>
      <c r="C1686" s="19"/>
      <c r="D1686" s="19"/>
      <c r="E1686" s="19"/>
      <c r="F1686" s="19"/>
      <c r="G1686" s="19"/>
      <c r="H1686" s="19"/>
      <c r="I1686" s="19"/>
      <c r="J1686" s="19"/>
      <c r="K1686" s="19"/>
      <c r="L1686" s="19"/>
      <c r="M1686" s="19"/>
      <c r="N1686" s="19"/>
      <c r="O1686" s="14" t="str">
        <f>HYPERLINK("https://otsuka-europe-crm.veevavault.com/ui/#object/email_activity__v/V8C00000003M132", "EN-002088070")</f>
        <v>EN-002088070</v>
      </c>
    </row>
    <row r="1687" spans="1:15" ht="32" x14ac:dyDescent="0.2">
      <c r="A1687" s="7" t="str">
        <f>HYPERLINK("https://otsuka-europe-crm.veevavault.com/ui/#object/account__v/V4TZ06G6O71TBGS", "TERESA OLEA TEJERO")</f>
        <v>TERESA OLEA TEJERO</v>
      </c>
      <c r="B1687" s="7" t="str">
        <f>HYPERLINK("https://otsuka-europe-crm.veevavault.com/ui/#object/vcountry__v/VENZ000004SONF5", "ES")</f>
        <v>ES</v>
      </c>
      <c r="C1687" s="8" t="s">
        <v>41</v>
      </c>
      <c r="D1687" s="9" t="str">
        <f>HYPERLINK("https://otsuka-europe-crm.veevavault.com/ui/#object/approved_document__v/V5O00000000D100", "Spain - Consent Email 1 Aug 25")</f>
        <v>Spain - Consent Email 1 Aug 25</v>
      </c>
      <c r="E1687" s="10" t="str">
        <f>HYPERLINK("https://otsuka-europe-crm.veevavault.com/ui/#object/sent_email__v/VBL00000002O157", "SE-001431607")</f>
        <v>SE-001431607</v>
      </c>
      <c r="F1687" s="11"/>
      <c r="G1687" s="12">
        <v>0</v>
      </c>
      <c r="H1687" s="12">
        <v>0</v>
      </c>
      <c r="I1687" s="12">
        <v>0</v>
      </c>
      <c r="J1687" s="11"/>
      <c r="K1687" s="12">
        <v>0</v>
      </c>
      <c r="L1687" s="10" t="str">
        <f>HYPERLINK("https://otsuka-europe-crm.veevavault.com/ui/#object/approved_document__v/V5O00000000D100", "Spain - Consent Email 1 Aug 25")</f>
        <v>Spain - Consent Email 1 Aug 25</v>
      </c>
      <c r="M1687" s="10" t="str">
        <f>HYPERLINK("mailto:jguri@crm.otsuka-europe.com", "jguri@crm.otsuka-europe.com")</f>
        <v>jguri@crm.otsuka-europe.com</v>
      </c>
      <c r="N1687" s="13">
        <v>46175.492002314815</v>
      </c>
      <c r="O1687" s="14" t="str">
        <f>HYPERLINK("https://otsuka-europe-crm.veevavault.com/ui/#object/email_activity__v/V8C00000003L727", "EN-002087424")</f>
        <v>EN-002087424</v>
      </c>
    </row>
    <row r="1688" spans="1:15" ht="32" x14ac:dyDescent="0.2">
      <c r="A1688" s="7" t="str">
        <f>HYPERLINK("https://otsuka-europe-crm.veevavault.com/ui/#object/account__v/V4TZ06G6O71TBJ9", "MARTA OSSORIO GONZALEZ")</f>
        <v>MARTA OSSORIO GONZALEZ</v>
      </c>
      <c r="B1688" s="7" t="str">
        <f>HYPERLINK("https://otsuka-europe-crm.veevavault.com/ui/#object/vcountry__v/VENZ000004SONF5", "ES")</f>
        <v>ES</v>
      </c>
      <c r="C1688" s="8" t="s">
        <v>41</v>
      </c>
      <c r="D1688" s="9" t="str">
        <f>HYPERLINK("https://otsuka-europe-crm.veevavault.com/ui/#object/approved_document__v/V5O00000000D100", "Spain - Consent Email 1 Aug 25")</f>
        <v>Spain - Consent Email 1 Aug 25</v>
      </c>
      <c r="E1688" s="10" t="str">
        <f>HYPERLINK("https://otsuka-europe-crm.veevavault.com/ui/#object/sent_email__v/VBL00000002N616", "SE-001431608")</f>
        <v>SE-001431608</v>
      </c>
      <c r="F1688" s="11"/>
      <c r="G1688" s="12">
        <v>0</v>
      </c>
      <c r="H1688" s="12">
        <v>0</v>
      </c>
      <c r="I1688" s="12">
        <v>0</v>
      </c>
      <c r="J1688" s="11"/>
      <c r="K1688" s="12">
        <v>0</v>
      </c>
      <c r="L1688" s="10" t="str">
        <f>HYPERLINK("https://otsuka-europe-crm.veevavault.com/ui/#object/approved_document__v/V5O00000000D100", "Spain - Consent Email 1 Aug 25")</f>
        <v>Spain - Consent Email 1 Aug 25</v>
      </c>
      <c r="M1688" s="10" t="str">
        <f>HYPERLINK("mailto:jguri@crm.otsuka-europe.com", "jguri@crm.otsuka-europe.com")</f>
        <v>jguri@crm.otsuka-europe.com</v>
      </c>
      <c r="N1688" s="13">
        <v>46175.492129629631</v>
      </c>
      <c r="O1688" s="14" t="str">
        <f>HYPERLINK("https://otsuka-europe-crm.veevavault.com/ui/#object/email_activity__v/V8C00000003K787", "EN-002087425")</f>
        <v>EN-002087425</v>
      </c>
    </row>
    <row r="1689" spans="1:15" ht="32" x14ac:dyDescent="0.2">
      <c r="A1689" s="7" t="str">
        <f>HYPERLINK("https://otsuka-europe-crm.veevavault.com/ui/#object/account__v/V4TZ04ASG9UC2NM", "LAURA PEGUERO URBANEJA")</f>
        <v>LAURA PEGUERO URBANEJA</v>
      </c>
      <c r="B1689" s="7" t="str">
        <f>HYPERLINK("https://otsuka-europe-crm.veevavault.com/ui/#object/vcountry__v/VENZ000004SONF5", "ES")</f>
        <v>ES</v>
      </c>
      <c r="C1689" s="8" t="s">
        <v>41</v>
      </c>
      <c r="D1689" s="9" t="str">
        <f>HYPERLINK("https://otsuka-europe-crm.veevavault.com/ui/#object/approved_document__v/V5O00000000D100", "Spain - Consent Email 1 Aug 25")</f>
        <v>Spain - Consent Email 1 Aug 25</v>
      </c>
      <c r="E1689" s="10" t="str">
        <f>HYPERLINK("https://otsuka-europe-crm.veevavault.com/ui/#object/sent_email__v/VBL00000002O158", "SE-001431609")</f>
        <v>SE-001431609</v>
      </c>
      <c r="F1689" s="11"/>
      <c r="G1689" s="12">
        <v>0</v>
      </c>
      <c r="H1689" s="12">
        <v>0</v>
      </c>
      <c r="I1689" s="12">
        <v>0</v>
      </c>
      <c r="J1689" s="11"/>
      <c r="K1689" s="12">
        <v>0</v>
      </c>
      <c r="L1689" s="10" t="str">
        <f>HYPERLINK("https://otsuka-europe-crm.veevavault.com/ui/#object/approved_document__v/V5O00000000D100", "Spain - Consent Email 1 Aug 25")</f>
        <v>Spain - Consent Email 1 Aug 25</v>
      </c>
      <c r="M1689" s="10" t="str">
        <f>HYPERLINK("mailto:jguri@crm.otsuka-europe.com", "jguri@crm.otsuka-europe.com")</f>
        <v>jguri@crm.otsuka-europe.com</v>
      </c>
      <c r="N1689" s="13">
        <v>46175.492523148147</v>
      </c>
      <c r="O1689" s="14" t="str">
        <f>HYPERLINK("https://otsuka-europe-crm.veevavault.com/ui/#object/email_activity__v/V8C00000003K788", "EN-002087426")</f>
        <v>EN-002087426</v>
      </c>
    </row>
    <row r="1690" spans="1:15" ht="16" x14ac:dyDescent="0.2">
      <c r="A1690" s="17" t="str">
        <f>HYPERLINK("https://otsuka-europe-crm.veevavault.com/ui/#object/account__v/V4TZ06G6O71T7CO", "KATIA MATILDE PEREZ DEL VALLE")</f>
        <v>KATIA MATILDE PEREZ DEL VALLE</v>
      </c>
      <c r="B1690" s="17" t="str">
        <f>HYPERLINK("https://otsuka-europe-crm.veevavault.com/ui/#object/vcountry__v/VENZ000004SONF5", "ES")</f>
        <v>ES</v>
      </c>
      <c r="C1690" s="20" t="s">
        <v>41</v>
      </c>
      <c r="D1690" s="21" t="str">
        <f>HYPERLINK("https://otsuka-europe-crm.veevavault.com/ui/#object/approved_document__v/V5O00000000D100", "Spain - Consent Email 1 Aug 25")</f>
        <v>Spain - Consent Email 1 Aug 25</v>
      </c>
      <c r="E1690" s="22" t="str">
        <f>HYPERLINK("https://otsuka-europe-crm.veevavault.com/ui/#object/sent_email__v/VBL00000002O159", "SE-001431610")</f>
        <v>SE-001431610</v>
      </c>
      <c r="F1690" s="25"/>
      <c r="G1690" s="24">
        <v>0</v>
      </c>
      <c r="H1690" s="24">
        <v>0</v>
      </c>
      <c r="I1690" s="24">
        <v>0</v>
      </c>
      <c r="J1690" s="25"/>
      <c r="K1690" s="24">
        <v>0</v>
      </c>
      <c r="L1690" s="22" t="str">
        <f>HYPERLINK("https://otsuka-europe-crm.veevavault.com/ui/#object/approved_document__v/V5O00000000D100", "Spain - Consent Email 1 Aug 25")</f>
        <v>Spain - Consent Email 1 Aug 25</v>
      </c>
      <c r="M1690" s="22" t="str">
        <f>HYPERLINK("mailto:jguri@crm.otsuka-europe.com", "jguri@crm.otsuka-europe.com")</f>
        <v>jguri@crm.otsuka-europe.com</v>
      </c>
      <c r="N1690" s="23">
        <v>46175.492858796293</v>
      </c>
      <c r="O1690" s="14" t="str">
        <f>HYPERLINK("https://otsuka-europe-crm.veevavault.com/ui/#object/email_activity__v/V8C00000003K790", "EN-002087428")</f>
        <v>EN-002087428</v>
      </c>
    </row>
    <row r="1691" spans="1:15" ht="16" x14ac:dyDescent="0.2">
      <c r="A1691" s="19"/>
      <c r="B1691" s="19"/>
      <c r="C1691" s="19"/>
      <c r="D1691" s="19"/>
      <c r="E1691" s="19"/>
      <c r="F1691" s="19"/>
      <c r="G1691" s="19"/>
      <c r="H1691" s="19"/>
      <c r="I1691" s="19"/>
      <c r="J1691" s="19"/>
      <c r="K1691" s="19"/>
      <c r="L1691" s="19"/>
      <c r="M1691" s="19"/>
      <c r="N1691" s="19"/>
      <c r="O1691" s="14" t="str">
        <f>HYPERLINK("https://otsuka-europe-crm.veevavault.com/ui/#object/email_activity__v/V8C00000003N332", "EN-002088503")</f>
        <v>EN-002088503</v>
      </c>
    </row>
    <row r="1692" spans="1:15" ht="32" x14ac:dyDescent="0.2">
      <c r="A1692" s="7" t="str">
        <f>HYPERLINK("https://otsuka-europe-crm.veevavault.com/ui/#object/account__v/V4TZ025E85USAQT", "KARLA ANTONELA PINOARGOTE CAÑAR")</f>
        <v>KARLA ANTONELA PINOARGOTE CAÑAR</v>
      </c>
      <c r="B1692" s="7" t="str">
        <f>HYPERLINK("https://otsuka-europe-crm.veevavault.com/ui/#object/vcountry__v/VENZ000004SONF5", "ES")</f>
        <v>ES</v>
      </c>
      <c r="C1692" s="8" t="s">
        <v>41</v>
      </c>
      <c r="D1692" s="9" t="str">
        <f>HYPERLINK("https://otsuka-europe-crm.veevavault.com/ui/#object/approved_document__v/V5O00000000D100", "Spain - Consent Email 1 Aug 25")</f>
        <v>Spain - Consent Email 1 Aug 25</v>
      </c>
      <c r="E1692" s="10" t="str">
        <f>HYPERLINK("https://otsuka-europe-crm.veevavault.com/ui/#object/sent_email__v/VBL00000002N617", "SE-001431611")</f>
        <v>SE-001431611</v>
      </c>
      <c r="F1692" s="11"/>
      <c r="G1692" s="12">
        <v>0</v>
      </c>
      <c r="H1692" s="12">
        <v>0</v>
      </c>
      <c r="I1692" s="12">
        <v>0</v>
      </c>
      <c r="J1692" s="11"/>
      <c r="K1692" s="12">
        <v>0</v>
      </c>
      <c r="L1692" s="10" t="str">
        <f>HYPERLINK("https://otsuka-europe-crm.veevavault.com/ui/#object/approved_document__v/V5O00000000D100", "Spain - Consent Email 1 Aug 25")</f>
        <v>Spain - Consent Email 1 Aug 25</v>
      </c>
      <c r="M1692" s="10" t="str">
        <f>HYPERLINK("mailto:jguri@crm.otsuka-europe.com", "jguri@crm.otsuka-europe.com")</f>
        <v>jguri@crm.otsuka-europe.com</v>
      </c>
      <c r="N1692" s="13">
        <v>46175.493402777778</v>
      </c>
      <c r="O1692" s="14" t="str">
        <f>HYPERLINK("https://otsuka-europe-crm.veevavault.com/ui/#object/email_activity__v/V8C00000003K791", "EN-002087429")</f>
        <v>EN-002087429</v>
      </c>
    </row>
    <row r="1693" spans="1:15" ht="16" x14ac:dyDescent="0.2">
      <c r="A1693" s="17" t="str">
        <f>HYPERLINK("https://otsuka-europe-crm.veevavault.com/ui/#object/account__v/V4TZ06G6OB47Q1G", "KAREN RIVERO GARCIA")</f>
        <v>KAREN RIVERO GARCIA</v>
      </c>
      <c r="B1693" s="17" t="str">
        <f>HYPERLINK("https://otsuka-europe-crm.veevavault.com/ui/#object/vcountry__v/VENZ000004SONF5", "ES")</f>
        <v>ES</v>
      </c>
      <c r="C1693" s="20" t="s">
        <v>41</v>
      </c>
      <c r="D1693" s="21" t="str">
        <f>HYPERLINK("https://otsuka-europe-crm.veevavault.com/ui/#object/approved_document__v/V5O00000000D100", "Spain - Consent Email 1 Aug 25")</f>
        <v>Spain - Consent Email 1 Aug 25</v>
      </c>
      <c r="E1693" s="22" t="str">
        <f>HYPERLINK("https://otsuka-europe-crm.veevavault.com/ui/#object/sent_email__v/VBL00000002N618", "SE-001431612")</f>
        <v>SE-001431612</v>
      </c>
      <c r="F1693" s="25"/>
      <c r="G1693" s="24">
        <v>0</v>
      </c>
      <c r="H1693" s="24">
        <v>0</v>
      </c>
      <c r="I1693" s="24">
        <v>1</v>
      </c>
      <c r="J1693" s="23">
        <v>46177.551539351851</v>
      </c>
      <c r="K1693" s="24">
        <v>1</v>
      </c>
      <c r="L1693" s="22" t="str">
        <f>HYPERLINK("https://otsuka-europe-crm.veevavault.com/ui/#object/approved_document__v/V5O00000000D100", "Spain - Consent Email 1 Aug 25")</f>
        <v>Spain - Consent Email 1 Aug 25</v>
      </c>
      <c r="M1693" s="22" t="str">
        <f>HYPERLINK("mailto:jguri@crm.otsuka-europe.com", "jguri@crm.otsuka-europe.com")</f>
        <v>jguri@crm.otsuka-europe.com</v>
      </c>
      <c r="N1693" s="23">
        <v>46175.494074074071</v>
      </c>
      <c r="O1693" s="14" t="str">
        <f>HYPERLINK("https://otsuka-europe-crm.veevavault.com/ui/#object/email_activity__v/V8C00000003K793", "EN-002087431")</f>
        <v>EN-002087431</v>
      </c>
    </row>
    <row r="1694" spans="1:15" ht="16" x14ac:dyDescent="0.2">
      <c r="A1694" s="18"/>
      <c r="B1694" s="18"/>
      <c r="C1694" s="18"/>
      <c r="D1694" s="18"/>
      <c r="E1694" s="18"/>
      <c r="F1694" s="18"/>
      <c r="G1694" s="18"/>
      <c r="H1694" s="18"/>
      <c r="I1694" s="18"/>
      <c r="J1694" s="18"/>
      <c r="K1694" s="18"/>
      <c r="L1694" s="18"/>
      <c r="M1694" s="18"/>
      <c r="N1694" s="18"/>
      <c r="O1694" s="14" t="str">
        <f>HYPERLINK("https://otsuka-europe-crm.veevavault.com/ui/#object/email_activity__v/V8C00000003N328", "EN-002088497")</f>
        <v>EN-002088497</v>
      </c>
    </row>
    <row r="1695" spans="1:15" ht="16" x14ac:dyDescent="0.2">
      <c r="A1695" s="19"/>
      <c r="B1695" s="19"/>
      <c r="C1695" s="19"/>
      <c r="D1695" s="19"/>
      <c r="E1695" s="19"/>
      <c r="F1695" s="19"/>
      <c r="G1695" s="19"/>
      <c r="H1695" s="19"/>
      <c r="I1695" s="19"/>
      <c r="J1695" s="19"/>
      <c r="K1695" s="19"/>
      <c r="L1695" s="19"/>
      <c r="M1695" s="19"/>
      <c r="N1695" s="19"/>
      <c r="O1695" s="14" t="str">
        <f>HYPERLINK("https://otsuka-europe-crm.veevavault.com/ui/#object/email_activity__v/V8C00000003N655", "EN-002089097")</f>
        <v>EN-002089097</v>
      </c>
    </row>
    <row r="1696" spans="1:15" ht="32" x14ac:dyDescent="0.2">
      <c r="A1696" s="7" t="str">
        <f>HYPERLINK("https://otsuka-europe-crm.veevavault.com/ui/#object/account__v/V4TZ06G6O71T7KI", "VALERIA LUCILA SAINZ PRESTEL")</f>
        <v>VALERIA LUCILA SAINZ PRESTEL</v>
      </c>
      <c r="B1696" s="7" t="str">
        <f>HYPERLINK("https://otsuka-europe-crm.veevavault.com/ui/#object/vcountry__v/VENZ000004SONF5", "ES")</f>
        <v>ES</v>
      </c>
      <c r="C1696" s="8" t="s">
        <v>41</v>
      </c>
      <c r="D1696" s="9" t="str">
        <f>HYPERLINK("https://otsuka-europe-crm.veevavault.com/ui/#object/approved_document__v/V5O00000000D100", "Spain - Consent Email 1 Aug 25")</f>
        <v>Spain - Consent Email 1 Aug 25</v>
      </c>
      <c r="E1696" s="10" t="str">
        <f>HYPERLINK("https://otsuka-europe-crm.veevavault.com/ui/#object/sent_email__v/VBL00000002N619", "SE-001431613")</f>
        <v>SE-001431613</v>
      </c>
      <c r="F1696" s="11"/>
      <c r="G1696" s="12">
        <v>0</v>
      </c>
      <c r="H1696" s="12">
        <v>0</v>
      </c>
      <c r="I1696" s="12">
        <v>0</v>
      </c>
      <c r="J1696" s="11"/>
      <c r="K1696" s="12">
        <v>0</v>
      </c>
      <c r="L1696" s="10" t="str">
        <f>HYPERLINK("https://otsuka-europe-crm.veevavault.com/ui/#object/approved_document__v/V5O00000000D100", "Spain - Consent Email 1 Aug 25")</f>
        <v>Spain - Consent Email 1 Aug 25</v>
      </c>
      <c r="M1696" s="10" t="str">
        <f>HYPERLINK("mailto:jguri@crm.otsuka-europe.com", "jguri@crm.otsuka-europe.com")</f>
        <v>jguri@crm.otsuka-europe.com</v>
      </c>
      <c r="N1696" s="13">
        <v>46175.494432870371</v>
      </c>
      <c r="O1696" s="14" t="str">
        <f>HYPERLINK("https://otsuka-europe-crm.veevavault.com/ui/#object/email_activity__v/V8C00000003K795", "EN-002087433")</f>
        <v>EN-002087433</v>
      </c>
    </row>
    <row r="1697" spans="1:15" ht="16" x14ac:dyDescent="0.2">
      <c r="A1697" s="17" t="str">
        <f>HYPERLINK("https://otsuka-europe-crm.veevavault.com/ui/#object/account__v/V4TZ025E85URF41", "NESTOR LEONARDO SAMPEDRO CHICA")</f>
        <v>NESTOR LEONARDO SAMPEDRO CHICA</v>
      </c>
      <c r="B1697" s="17" t="str">
        <f>HYPERLINK("https://otsuka-europe-crm.veevavault.com/ui/#object/vcountry__v/VENZ000004SONF5", "ES")</f>
        <v>ES</v>
      </c>
      <c r="C1697" s="20" t="s">
        <v>41</v>
      </c>
      <c r="D1697" s="21" t="str">
        <f>HYPERLINK("https://otsuka-europe-crm.veevavault.com/ui/#object/approved_document__v/V5O00000000D100", "Spain - Consent Email 1 Aug 25")</f>
        <v>Spain - Consent Email 1 Aug 25</v>
      </c>
      <c r="E1697" s="22" t="str">
        <f>HYPERLINK("https://otsuka-europe-crm.veevavault.com/ui/#object/sent_email__v/VBL00000002O160", "SE-001431614")</f>
        <v>SE-001431614</v>
      </c>
      <c r="F1697" s="23">
        <v>46175.984247685185</v>
      </c>
      <c r="G1697" s="24">
        <v>1</v>
      </c>
      <c r="H1697" s="24">
        <v>2</v>
      </c>
      <c r="I1697" s="24">
        <v>0</v>
      </c>
      <c r="J1697" s="25"/>
      <c r="K1697" s="24">
        <v>0</v>
      </c>
      <c r="L1697" s="22" t="str">
        <f>HYPERLINK("https://otsuka-europe-crm.veevavault.com/ui/#object/approved_document__v/V5O00000000D100", "Spain - Consent Email 1 Aug 25")</f>
        <v>Spain - Consent Email 1 Aug 25</v>
      </c>
      <c r="M1697" s="22" t="str">
        <f>HYPERLINK("mailto:jguri@crm.otsuka-europe.com", "jguri@crm.otsuka-europe.com")</f>
        <v>jguri@crm.otsuka-europe.com</v>
      </c>
      <c r="N1697" s="23">
        <v>46175.494560185187</v>
      </c>
      <c r="O1697" s="14" t="str">
        <f>HYPERLINK("https://otsuka-europe-crm.veevavault.com/ui/#object/email_activity__v/V8C00000003K796", "EN-002087434")</f>
        <v>EN-002087434</v>
      </c>
    </row>
    <row r="1698" spans="1:15" ht="16" x14ac:dyDescent="0.2">
      <c r="A1698" s="18"/>
      <c r="B1698" s="18"/>
      <c r="C1698" s="18"/>
      <c r="D1698" s="18"/>
      <c r="E1698" s="18"/>
      <c r="F1698" s="18"/>
      <c r="G1698" s="18"/>
      <c r="H1698" s="18"/>
      <c r="I1698" s="18"/>
      <c r="J1698" s="18"/>
      <c r="K1698" s="18"/>
      <c r="L1698" s="18"/>
      <c r="M1698" s="18"/>
      <c r="N1698" s="18"/>
      <c r="O1698" s="14" t="str">
        <f>HYPERLINK("https://otsuka-europe-crm.veevavault.com/ui/#object/email_activity__v/V8C00000003N315", "EN-002088482")</f>
        <v>EN-002088482</v>
      </c>
    </row>
    <row r="1699" spans="1:15" ht="16" x14ac:dyDescent="0.2">
      <c r="A1699" s="19"/>
      <c r="B1699" s="19"/>
      <c r="C1699" s="19"/>
      <c r="D1699" s="19"/>
      <c r="E1699" s="19"/>
      <c r="F1699" s="19"/>
      <c r="G1699" s="19"/>
      <c r="H1699" s="19"/>
      <c r="I1699" s="19"/>
      <c r="J1699" s="19"/>
      <c r="K1699" s="19"/>
      <c r="L1699" s="19"/>
      <c r="M1699" s="19"/>
      <c r="N1699" s="19"/>
      <c r="O1699" s="14" t="str">
        <f>HYPERLINK("https://otsuka-europe-crm.veevavault.com/ui/#object/email_activity__v/V8C00000003N316", "EN-002088483")</f>
        <v>EN-002088483</v>
      </c>
    </row>
    <row r="1700" spans="1:15" ht="16" x14ac:dyDescent="0.2">
      <c r="A1700" s="17" t="str">
        <f>HYPERLINK("https://otsuka-europe-crm.veevavault.com/ui/#object/account__v/V4TZ06G6O9VLU4J", "SILVIA SANCHEZ MONTERO")</f>
        <v>SILVIA SANCHEZ MONTERO</v>
      </c>
      <c r="B1700" s="17" t="str">
        <f>HYPERLINK("https://otsuka-europe-crm.veevavault.com/ui/#object/vcountry__v/VENZ000004SONF5", "ES")</f>
        <v>ES</v>
      </c>
      <c r="C1700" s="20" t="s">
        <v>41</v>
      </c>
      <c r="D1700" s="21" t="str">
        <f>HYPERLINK("https://otsuka-europe-crm.veevavault.com/ui/#object/approved_document__v/V5O00000000D100", "Spain - Consent Email 1 Aug 25")</f>
        <v>Spain - Consent Email 1 Aug 25</v>
      </c>
      <c r="E1700" s="22" t="str">
        <f>HYPERLINK("https://otsuka-europe-crm.veevavault.com/ui/#object/sent_email__v/VBL00000002N620", "SE-001431615")</f>
        <v>SE-001431615</v>
      </c>
      <c r="F1700" s="23">
        <v>46178.689687500002</v>
      </c>
      <c r="G1700" s="24">
        <v>1</v>
      </c>
      <c r="H1700" s="24">
        <v>1</v>
      </c>
      <c r="I1700" s="24">
        <v>1</v>
      </c>
      <c r="J1700" s="23">
        <v>46178.690034722225</v>
      </c>
      <c r="K1700" s="24">
        <v>2</v>
      </c>
      <c r="L1700" s="22" t="str">
        <f>HYPERLINK("https://otsuka-europe-crm.veevavault.com/ui/#object/approved_document__v/V5O00000000D100", "Spain - Consent Email 1 Aug 25")</f>
        <v>Spain - Consent Email 1 Aug 25</v>
      </c>
      <c r="M1700" s="22" t="str">
        <f>HYPERLINK("mailto:jguri@crm.otsuka-europe.com", "jguri@crm.otsuka-europe.com")</f>
        <v>jguri@crm.otsuka-europe.com</v>
      </c>
      <c r="N1700" s="23">
        <v>46175.494791666664</v>
      </c>
      <c r="O1700" s="14" t="str">
        <f>HYPERLINK("https://otsuka-europe-crm.veevavault.com/ui/#object/email_activity__v/V8C00000003K797", "EN-002087435")</f>
        <v>EN-002087435</v>
      </c>
    </row>
    <row r="1701" spans="1:15" ht="16" x14ac:dyDescent="0.2">
      <c r="A1701" s="18"/>
      <c r="B1701" s="18"/>
      <c r="C1701" s="18"/>
      <c r="D1701" s="18"/>
      <c r="E1701" s="18"/>
      <c r="F1701" s="18"/>
      <c r="G1701" s="18"/>
      <c r="H1701" s="18"/>
      <c r="I1701" s="18"/>
      <c r="J1701" s="18"/>
      <c r="K1701" s="18"/>
      <c r="L1701" s="18"/>
      <c r="M1701" s="18"/>
      <c r="N1701" s="18"/>
      <c r="O1701" s="14" t="str">
        <f>HYPERLINK("https://otsuka-europe-crm.veevavault.com/ui/#object/email_activity__v/V8C00000003O069", "EN-002089394")</f>
        <v>EN-002089394</v>
      </c>
    </row>
    <row r="1702" spans="1:15" ht="16" x14ac:dyDescent="0.2">
      <c r="A1702" s="18"/>
      <c r="B1702" s="18"/>
      <c r="C1702" s="18"/>
      <c r="D1702" s="18"/>
      <c r="E1702" s="18"/>
      <c r="F1702" s="18"/>
      <c r="G1702" s="18"/>
      <c r="H1702" s="18"/>
      <c r="I1702" s="18"/>
      <c r="J1702" s="18"/>
      <c r="K1702" s="18"/>
      <c r="L1702" s="18"/>
      <c r="M1702" s="18"/>
      <c r="N1702" s="18"/>
      <c r="O1702" s="14" t="str">
        <f>HYPERLINK("https://otsuka-europe-crm.veevavault.com/ui/#object/email_activity__v/V8C00000003O070", "EN-002089393")</f>
        <v>EN-002089393</v>
      </c>
    </row>
    <row r="1703" spans="1:15" ht="16" x14ac:dyDescent="0.2">
      <c r="A1703" s="19"/>
      <c r="B1703" s="19"/>
      <c r="C1703" s="19"/>
      <c r="D1703" s="19"/>
      <c r="E1703" s="19"/>
      <c r="F1703" s="19"/>
      <c r="G1703" s="19"/>
      <c r="H1703" s="19"/>
      <c r="I1703" s="19"/>
      <c r="J1703" s="19"/>
      <c r="K1703" s="19"/>
      <c r="L1703" s="19"/>
      <c r="M1703" s="19"/>
      <c r="N1703" s="19"/>
      <c r="O1703" s="14" t="str">
        <f>HYPERLINK("https://otsuka-europe-crm.veevavault.com/ui/#object/email_activity__v/V8C00000003P085", "EN-002089395")</f>
        <v>EN-002089395</v>
      </c>
    </row>
    <row r="1704" spans="1:15" ht="16" x14ac:dyDescent="0.2">
      <c r="A1704" s="17" t="str">
        <f>HYPERLINK("https://otsuka-europe-crm.veevavault.com/ui/#object/account__v/V4TZ04ASG88AS3Z", "ELENA VILLANUEVA SANCHEZ")</f>
        <v>ELENA VILLANUEVA SANCHEZ</v>
      </c>
      <c r="B1704" s="17" t="str">
        <f>HYPERLINK("https://otsuka-europe-crm.veevavault.com/ui/#object/vcountry__v/VENZ000004SONF5", "ES")</f>
        <v>ES</v>
      </c>
      <c r="C1704" s="20" t="s">
        <v>41</v>
      </c>
      <c r="D1704" s="21" t="str">
        <f>HYPERLINK("https://otsuka-europe-crm.veevavault.com/ui/#object/approved_document__v/V5O00000000D100", "Spain - Consent Email 1 Aug 25")</f>
        <v>Spain - Consent Email 1 Aug 25</v>
      </c>
      <c r="E1704" s="22" t="str">
        <f>HYPERLINK("https://otsuka-europe-crm.veevavault.com/ui/#object/sent_email__v/VBL00000002N621", "SE-001431616")</f>
        <v>SE-001431616</v>
      </c>
      <c r="F1704" s="23">
        <v>46175.564675925925</v>
      </c>
      <c r="G1704" s="24">
        <v>1</v>
      </c>
      <c r="H1704" s="24">
        <v>1</v>
      </c>
      <c r="I1704" s="24">
        <v>0</v>
      </c>
      <c r="J1704" s="25"/>
      <c r="K1704" s="24">
        <v>0</v>
      </c>
      <c r="L1704" s="22" t="str">
        <f>HYPERLINK("https://otsuka-europe-crm.veevavault.com/ui/#object/approved_document__v/V5O00000000D100", "Spain - Consent Email 1 Aug 25")</f>
        <v>Spain - Consent Email 1 Aug 25</v>
      </c>
      <c r="M1704" s="22" t="str">
        <f>HYPERLINK("mailto:jguri@crm.otsuka-europe.com", "jguri@crm.otsuka-europe.com")</f>
        <v>jguri@crm.otsuka-europe.com</v>
      </c>
      <c r="N1704" s="23">
        <v>46175.496331018519</v>
      </c>
      <c r="O1704" s="14" t="str">
        <f>HYPERLINK("https://otsuka-europe-crm.veevavault.com/ui/#object/email_activity__v/V8C00000003K946", "EN-002087709")</f>
        <v>EN-002087709</v>
      </c>
    </row>
    <row r="1705" spans="1:15" ht="16" x14ac:dyDescent="0.2">
      <c r="A1705" s="19"/>
      <c r="B1705" s="19"/>
      <c r="C1705" s="19"/>
      <c r="D1705" s="19"/>
      <c r="E1705" s="19"/>
      <c r="F1705" s="19"/>
      <c r="G1705" s="19"/>
      <c r="H1705" s="19"/>
      <c r="I1705" s="19"/>
      <c r="J1705" s="19"/>
      <c r="K1705" s="19"/>
      <c r="L1705" s="19"/>
      <c r="M1705" s="19"/>
      <c r="N1705" s="19"/>
      <c r="O1705" s="14" t="str">
        <f>HYPERLINK("https://otsuka-europe-crm.veevavault.com/ui/#object/email_activity__v/V8C00000003L728", "EN-002087436")</f>
        <v>EN-002087436</v>
      </c>
    </row>
    <row r="1706" spans="1:15" ht="32" x14ac:dyDescent="0.2">
      <c r="A1706" s="7" t="str">
        <f>HYPERLINK("https://otsuka-europe-crm.veevavault.com/ui/#object/account__v/V4TZ06G6O71T8D5", "ANTONIO DE SANTOS WILHELMI")</f>
        <v>ANTONIO DE SANTOS WILHELMI</v>
      </c>
      <c r="B1706" s="7" t="str">
        <f>HYPERLINK("https://otsuka-europe-crm.veevavault.com/ui/#object/vcountry__v/VENZ000004SONF5", "ES")</f>
        <v>ES</v>
      </c>
      <c r="C1706" s="8" t="s">
        <v>41</v>
      </c>
      <c r="D1706" s="9" t="str">
        <f>HYPERLINK("https://otsuka-europe-crm.veevavault.com/ui/#object/approved_document__v/V5O00000000D100", "Spain - Consent Email 1 Aug 25")</f>
        <v>Spain - Consent Email 1 Aug 25</v>
      </c>
      <c r="E1706" s="10" t="str">
        <f>HYPERLINK("https://otsuka-europe-crm.veevavault.com/ui/#object/sent_email__v/VBL00000002O161", "SE-001431617")</f>
        <v>SE-001431617</v>
      </c>
      <c r="F1706" s="11"/>
      <c r="G1706" s="12">
        <v>0</v>
      </c>
      <c r="H1706" s="12">
        <v>0</v>
      </c>
      <c r="I1706" s="12">
        <v>0</v>
      </c>
      <c r="J1706" s="11"/>
      <c r="K1706" s="12">
        <v>0</v>
      </c>
      <c r="L1706" s="10" t="str">
        <f>HYPERLINK("https://otsuka-europe-crm.veevavault.com/ui/#object/approved_document__v/V5O00000000D100", "Spain - Consent Email 1 Aug 25")</f>
        <v>Spain - Consent Email 1 Aug 25</v>
      </c>
      <c r="M1706" s="10" t="str">
        <f>HYPERLINK("mailto:jguri@crm.otsuka-europe.com", "jguri@crm.otsuka-europe.com")</f>
        <v>jguri@crm.otsuka-europe.com</v>
      </c>
      <c r="N1706" s="13">
        <v>46175.497395833336</v>
      </c>
      <c r="O1706" s="14" t="str">
        <f>HYPERLINK("https://otsuka-europe-crm.veevavault.com/ui/#object/email_activity__v/V8C00000003L732", "EN-002087440")</f>
        <v>EN-002087440</v>
      </c>
    </row>
    <row r="1707" spans="1:15" ht="32" x14ac:dyDescent="0.2">
      <c r="A1707" s="7" t="str">
        <f>HYPERLINK("https://otsuka-europe-crm.veevavault.com/ui/#object/account__v/V4TZ06G6O71URRQ", "ANDRES FERNANDEZ RAMOS")</f>
        <v>ANDRES FERNANDEZ RAMOS</v>
      </c>
      <c r="B1707" s="7" t="str">
        <f>HYPERLINK("https://otsuka-europe-crm.veevavault.com/ui/#object/vcountry__v/VENZ000004SONF5", "ES")</f>
        <v>ES</v>
      </c>
      <c r="C1707" s="8" t="s">
        <v>41</v>
      </c>
      <c r="D1707" s="9" t="str">
        <f>HYPERLINK("https://otsuka-europe-crm.veevavault.com/ui/#object/approved_document__v/V5O00000000D100", "Spain - Consent Email 1 Aug 25")</f>
        <v>Spain - Consent Email 1 Aug 25</v>
      </c>
      <c r="E1707" s="10" t="str">
        <f>HYPERLINK("https://otsuka-europe-crm.veevavault.com/ui/#object/sent_email__v/VBL00000002N622", "SE-001431618")</f>
        <v>SE-001431618</v>
      </c>
      <c r="F1707" s="11"/>
      <c r="G1707" s="12">
        <v>0</v>
      </c>
      <c r="H1707" s="12">
        <v>0</v>
      </c>
      <c r="I1707" s="12">
        <v>0</v>
      </c>
      <c r="J1707" s="11"/>
      <c r="K1707" s="12">
        <v>0</v>
      </c>
      <c r="L1707" s="10" t="str">
        <f>HYPERLINK("https://otsuka-europe-crm.veevavault.com/ui/#object/approved_document__v/V5O00000000D100", "Spain - Consent Email 1 Aug 25")</f>
        <v>Spain - Consent Email 1 Aug 25</v>
      </c>
      <c r="M1707" s="10" t="str">
        <f>HYPERLINK("mailto:jguri@crm.otsuka-europe.com", "jguri@crm.otsuka-europe.com")</f>
        <v>jguri@crm.otsuka-europe.com</v>
      </c>
      <c r="N1707" s="13">
        <v>46175.497731481482</v>
      </c>
      <c r="O1707" s="14" t="str">
        <f>HYPERLINK("https://otsuka-europe-crm.veevavault.com/ui/#object/email_activity__v/V8C00000003K798", "EN-002087442")</f>
        <v>EN-002087442</v>
      </c>
    </row>
    <row r="1708" spans="1:15" ht="32" x14ac:dyDescent="0.2">
      <c r="A1708" s="7" t="str">
        <f>HYPERLINK("https://otsuka-europe-crm.veevavault.com/ui/#object/account__v/V4TZ06G6O71TB8Z", "ALVARO MOLINA ORDAS")</f>
        <v>ALVARO MOLINA ORDAS</v>
      </c>
      <c r="B1708" s="7" t="str">
        <f>HYPERLINK("https://otsuka-europe-crm.veevavault.com/ui/#object/vcountry__v/VENZ000004SONF5", "ES")</f>
        <v>ES</v>
      </c>
      <c r="C1708" s="8" t="s">
        <v>41</v>
      </c>
      <c r="D1708" s="9" t="str">
        <f>HYPERLINK("https://otsuka-europe-crm.veevavault.com/ui/#object/approved_document__v/V5O00000000D100", "Spain - Consent Email 1 Aug 25")</f>
        <v>Spain - Consent Email 1 Aug 25</v>
      </c>
      <c r="E1708" s="10" t="str">
        <f>HYPERLINK("https://otsuka-europe-crm.veevavault.com/ui/#object/sent_email__v/VBL00000002N623", "SE-001431619")</f>
        <v>SE-001431619</v>
      </c>
      <c r="F1708" s="11"/>
      <c r="G1708" s="12">
        <v>0</v>
      </c>
      <c r="H1708" s="12">
        <v>0</v>
      </c>
      <c r="I1708" s="12">
        <v>0</v>
      </c>
      <c r="J1708" s="11"/>
      <c r="K1708" s="12">
        <v>0</v>
      </c>
      <c r="L1708" s="10" t="str">
        <f>HYPERLINK("https://otsuka-europe-crm.veevavault.com/ui/#object/approved_document__v/V5O00000000D100", "Spain - Consent Email 1 Aug 25")</f>
        <v>Spain - Consent Email 1 Aug 25</v>
      </c>
      <c r="M1708" s="10" t="str">
        <f>HYPERLINK("mailto:jguri@crm.otsuka-europe.com", "jguri@crm.otsuka-europe.com")</f>
        <v>jguri@crm.otsuka-europe.com</v>
      </c>
      <c r="N1708" s="13">
        <v>46175.497893518521</v>
      </c>
      <c r="O1708" s="14" t="str">
        <f>HYPERLINK("https://otsuka-europe-crm.veevavault.com/ui/#object/email_activity__v/V8C00000003L734", "EN-002087443")</f>
        <v>EN-002087443</v>
      </c>
    </row>
    <row r="1709" spans="1:15" ht="32" x14ac:dyDescent="0.2">
      <c r="A1709" s="7" t="str">
        <f>HYPERLINK("https://otsuka-europe-crm.veevavault.com/ui/#object/account__v/V4TZ06G6O71T8KB", "BEATRIZ SANCHEZ ALAMO")</f>
        <v>BEATRIZ SANCHEZ ALAMO</v>
      </c>
      <c r="B1709" s="7" t="str">
        <f>HYPERLINK("https://otsuka-europe-crm.veevavault.com/ui/#object/vcountry__v/VENZ000004SONF5", "ES")</f>
        <v>ES</v>
      </c>
      <c r="C1709" s="8" t="s">
        <v>41</v>
      </c>
      <c r="D1709" s="9" t="str">
        <f>HYPERLINK("https://otsuka-europe-crm.veevavault.com/ui/#object/approved_document__v/V5O00000000D100", "Spain - Consent Email 1 Aug 25")</f>
        <v>Spain - Consent Email 1 Aug 25</v>
      </c>
      <c r="E1709" s="10" t="str">
        <f>HYPERLINK("https://otsuka-europe-crm.veevavault.com/ui/#object/sent_email__v/VBL00000002N624", "SE-001431620")</f>
        <v>SE-001431620</v>
      </c>
      <c r="F1709" s="11"/>
      <c r="G1709" s="12">
        <v>0</v>
      </c>
      <c r="H1709" s="12">
        <v>0</v>
      </c>
      <c r="I1709" s="12">
        <v>0</v>
      </c>
      <c r="J1709" s="11"/>
      <c r="K1709" s="12">
        <v>0</v>
      </c>
      <c r="L1709" s="10" t="str">
        <f>HYPERLINK("https://otsuka-europe-crm.veevavault.com/ui/#object/approved_document__v/V5O00000000D100", "Spain - Consent Email 1 Aug 25")</f>
        <v>Spain - Consent Email 1 Aug 25</v>
      </c>
      <c r="M1709" s="10" t="str">
        <f>HYPERLINK("mailto:jguri@crm.otsuka-europe.com", "jguri@crm.otsuka-europe.com")</f>
        <v>jguri@crm.otsuka-europe.com</v>
      </c>
      <c r="N1709" s="13">
        <v>46175.498252314814</v>
      </c>
      <c r="O1709" s="14" t="str">
        <f>HYPERLINK("https://otsuka-europe-crm.veevavault.com/ui/#object/email_activity__v/V8C00000003L736", "EN-002087445")</f>
        <v>EN-002087445</v>
      </c>
    </row>
    <row r="1710" spans="1:15" ht="16" x14ac:dyDescent="0.2">
      <c r="A1710" s="17" t="str">
        <f>HYPERLINK("https://otsuka-europe-crm.veevavault.com/ui/#object/account__v/V4TZ06G6OCEPKIW", "ANA SANCHEZ HORRILLO")</f>
        <v>ANA SANCHEZ HORRILLO</v>
      </c>
      <c r="B1710" s="17" t="str">
        <f>HYPERLINK("https://otsuka-europe-crm.veevavault.com/ui/#object/vcountry__v/VENZ000004SONF5", "ES")</f>
        <v>ES</v>
      </c>
      <c r="C1710" s="20" t="s">
        <v>41</v>
      </c>
      <c r="D1710" s="21" t="str">
        <f>HYPERLINK("https://otsuka-europe-crm.veevavault.com/ui/#object/approved_document__v/V5O00000000D100", "Spain - Consent Email 1 Aug 25")</f>
        <v>Spain - Consent Email 1 Aug 25</v>
      </c>
      <c r="E1710" s="22" t="str">
        <f>HYPERLINK("https://otsuka-europe-crm.veevavault.com/ui/#object/sent_email__v/VBL00000002O162", "SE-001431621")</f>
        <v>SE-001431621</v>
      </c>
      <c r="F1710" s="23">
        <v>46175.62773148148</v>
      </c>
      <c r="G1710" s="24">
        <v>1</v>
      </c>
      <c r="H1710" s="24">
        <v>2</v>
      </c>
      <c r="I1710" s="24">
        <v>0</v>
      </c>
      <c r="J1710" s="25"/>
      <c r="K1710" s="24">
        <v>0</v>
      </c>
      <c r="L1710" s="22" t="str">
        <f>HYPERLINK("https://otsuka-europe-crm.veevavault.com/ui/#object/approved_document__v/V5O00000000D100", "Spain - Consent Email 1 Aug 25")</f>
        <v>Spain - Consent Email 1 Aug 25</v>
      </c>
      <c r="M1710" s="22" t="str">
        <f>HYPERLINK("mailto:jguri@crm.otsuka-europe.com", "jguri@crm.otsuka-europe.com")</f>
        <v>jguri@crm.otsuka-europe.com</v>
      </c>
      <c r="N1710" s="23">
        <v>46175.498368055552</v>
      </c>
      <c r="O1710" s="14" t="str">
        <f>HYPERLINK("https://otsuka-europe-crm.veevavault.com/ui/#object/email_activity__v/V8C00000003K824", "EN-002087493")</f>
        <v>EN-002087493</v>
      </c>
    </row>
    <row r="1711" spans="1:15" ht="16" x14ac:dyDescent="0.2">
      <c r="A1711" s="18"/>
      <c r="B1711" s="18"/>
      <c r="C1711" s="18"/>
      <c r="D1711" s="18"/>
      <c r="E1711" s="18"/>
      <c r="F1711" s="18"/>
      <c r="G1711" s="18"/>
      <c r="H1711" s="18"/>
      <c r="I1711" s="18"/>
      <c r="J1711" s="18"/>
      <c r="K1711" s="18"/>
      <c r="L1711" s="18"/>
      <c r="M1711" s="18"/>
      <c r="N1711" s="18"/>
      <c r="O1711" s="14" t="str">
        <f>HYPERLINK("https://otsuka-europe-crm.veevavault.com/ui/#object/email_activity__v/V8C00000003L737", "EN-002087446")</f>
        <v>EN-002087446</v>
      </c>
    </row>
    <row r="1712" spans="1:15" ht="16" x14ac:dyDescent="0.2">
      <c r="A1712" s="19"/>
      <c r="B1712" s="19"/>
      <c r="C1712" s="19"/>
      <c r="D1712" s="19"/>
      <c r="E1712" s="19"/>
      <c r="F1712" s="19"/>
      <c r="G1712" s="19"/>
      <c r="H1712" s="19"/>
      <c r="I1712" s="19"/>
      <c r="J1712" s="19"/>
      <c r="K1712" s="19"/>
      <c r="L1712" s="19"/>
      <c r="M1712" s="19"/>
      <c r="N1712" s="19"/>
      <c r="O1712" s="14" t="str">
        <f>HYPERLINK("https://otsuka-europe-crm.veevavault.com/ui/#object/email_activity__v/V8C00000003L960", "EN-002087905")</f>
        <v>EN-002087905</v>
      </c>
    </row>
    <row r="1713" spans="1:15" ht="16" x14ac:dyDescent="0.2">
      <c r="A1713" s="17" t="str">
        <f>HYPERLINK("https://otsuka-europe-crm.veevavault.com/ui/#object/account__v/V4TZ06G6O71T7S2", "AMIR SHABAKA FERNANDEZ")</f>
        <v>AMIR SHABAKA FERNANDEZ</v>
      </c>
      <c r="B1713" s="17" t="str">
        <f>HYPERLINK("https://otsuka-europe-crm.veevavault.com/ui/#object/vcountry__v/VENZ000004SONF5", "ES")</f>
        <v>ES</v>
      </c>
      <c r="C1713" s="20" t="s">
        <v>41</v>
      </c>
      <c r="D1713" s="21" t="str">
        <f>HYPERLINK("https://otsuka-europe-crm.veevavault.com/ui/#object/approved_document__v/V5O00000000D100", "Spain - Consent Email 1 Aug 25")</f>
        <v>Spain - Consent Email 1 Aug 25</v>
      </c>
      <c r="E1713" s="22" t="str">
        <f>HYPERLINK("https://otsuka-europe-crm.veevavault.com/ui/#object/sent_email__v/VBL00000002O163", "SE-001431622")</f>
        <v>SE-001431622</v>
      </c>
      <c r="F1713" s="23">
        <v>46175.976643518516</v>
      </c>
      <c r="G1713" s="24">
        <v>1</v>
      </c>
      <c r="H1713" s="24">
        <v>1</v>
      </c>
      <c r="I1713" s="24">
        <v>1</v>
      </c>
      <c r="J1713" s="23">
        <v>46175.976643518516</v>
      </c>
      <c r="K1713" s="24">
        <v>1</v>
      </c>
      <c r="L1713" s="22" t="str">
        <f>HYPERLINK("https://otsuka-europe-crm.veevavault.com/ui/#object/approved_document__v/V5O00000000D100", "Spain - Consent Email 1 Aug 25")</f>
        <v>Spain - Consent Email 1 Aug 25</v>
      </c>
      <c r="M1713" s="22" t="str">
        <f>HYPERLINK("mailto:jguri@crm.otsuka-europe.com", "jguri@crm.otsuka-europe.com")</f>
        <v>jguri@crm.otsuka-europe.com</v>
      </c>
      <c r="N1713" s="23">
        <v>46175.498622685183</v>
      </c>
      <c r="O1713" s="14" t="str">
        <f>HYPERLINK("https://otsuka-europe-crm.veevavault.com/ui/#object/email_activity__v/V8C00000003K799", "EN-002087447")</f>
        <v>EN-002087447</v>
      </c>
    </row>
    <row r="1714" spans="1:15" ht="16" x14ac:dyDescent="0.2">
      <c r="A1714" s="18"/>
      <c r="B1714" s="18"/>
      <c r="C1714" s="18"/>
      <c r="D1714" s="18"/>
      <c r="E1714" s="18"/>
      <c r="F1714" s="18"/>
      <c r="G1714" s="18"/>
      <c r="H1714" s="18"/>
      <c r="I1714" s="18"/>
      <c r="J1714" s="18"/>
      <c r="K1714" s="18"/>
      <c r="L1714" s="18"/>
      <c r="M1714" s="18"/>
      <c r="N1714" s="18"/>
      <c r="O1714" s="14" t="str">
        <f>HYPERLINK("https://otsuka-europe-crm.veevavault.com/ui/#object/email_activity__v/V8C00000003N312", "EN-002088479")</f>
        <v>EN-002088479</v>
      </c>
    </row>
    <row r="1715" spans="1:15" ht="16" x14ac:dyDescent="0.2">
      <c r="A1715" s="19"/>
      <c r="B1715" s="19"/>
      <c r="C1715" s="19"/>
      <c r="D1715" s="19"/>
      <c r="E1715" s="19"/>
      <c r="F1715" s="19"/>
      <c r="G1715" s="19"/>
      <c r="H1715" s="19"/>
      <c r="I1715" s="19"/>
      <c r="J1715" s="19"/>
      <c r="K1715" s="19"/>
      <c r="L1715" s="19"/>
      <c r="M1715" s="19"/>
      <c r="N1715" s="19"/>
      <c r="O1715" s="14" t="str">
        <f>HYPERLINK("https://otsuka-europe-crm.veevavault.com/ui/#object/email_activity__v/V8C00000003N313", "EN-002088478")</f>
        <v>EN-002088478</v>
      </c>
    </row>
    <row r="1716" spans="1:15" ht="16" x14ac:dyDescent="0.2">
      <c r="A1716" s="17" t="str">
        <f>HYPERLINK("https://otsuka-europe-crm.veevavault.com/ui/#object/account__v/V4TZ06G6O90MCZP", "Celestine Buluma")</f>
        <v>Celestine Buluma</v>
      </c>
      <c r="B1716" s="17" t="str">
        <f>HYPERLINK("https://otsuka-europe-crm.veevavault.com/ui/#object/vcountry__v/VENZ000004SONFK", "GB")</f>
        <v>GB</v>
      </c>
      <c r="C1716" s="20" t="s">
        <v>39</v>
      </c>
      <c r="D1716" s="21" t="str">
        <f>HYPERLINK("https://otsuka-europe-crm.veevavault.com/ui/#object/approved_document__v/V5O00000001H005", "LDM DR P2P Invite 23-Jun-26 [digital]")</f>
        <v>LDM DR P2P Invite 23-Jun-26 [digital]</v>
      </c>
      <c r="E1716" s="22" t="str">
        <f>HYPERLINK("https://otsuka-europe-crm.veevavault.com/ui/#object/sent_email__v/VBL00000002N625", "SE-001431623")</f>
        <v>SE-001431623</v>
      </c>
      <c r="F1716" s="23">
        <v>46182.606249999997</v>
      </c>
      <c r="G1716" s="24">
        <v>1</v>
      </c>
      <c r="H1716" s="24">
        <v>28</v>
      </c>
      <c r="I1716" s="24">
        <v>0</v>
      </c>
      <c r="J1716" s="25"/>
      <c r="K1716" s="24">
        <v>0</v>
      </c>
      <c r="L1716" s="22" t="str">
        <f>HYPERLINK("https://otsuka-europe-crm.veevavault.com/ui/#object/approved_document__v/V5O00000001H005", "LDM DR P2P Invite 23-Jun-26 [digital]")</f>
        <v>LDM DR P2P Invite 23-Jun-26 [digital]</v>
      </c>
      <c r="M1716" s="22" t="str">
        <f>HYPERLINK("mailto:draval@crm.otsuka-europe.com", "draval@crm.otsuka-europe.com")</f>
        <v>draval@crm.otsuka-europe.com</v>
      </c>
      <c r="N1716" s="23">
        <v>46175.501064814816</v>
      </c>
      <c r="O1716" s="14" t="str">
        <f>HYPERLINK("https://otsuka-europe-crm.veevavault.com/ui/#object/email_activity__v/V8C00000003K819", "EN-002087483")</f>
        <v>EN-002087483</v>
      </c>
    </row>
    <row r="1717" spans="1:15" ht="16" x14ac:dyDescent="0.2">
      <c r="A1717" s="18"/>
      <c r="B1717" s="18"/>
      <c r="C1717" s="18"/>
      <c r="D1717" s="18"/>
      <c r="E1717" s="18"/>
      <c r="F1717" s="18"/>
      <c r="G1717" s="18"/>
      <c r="H1717" s="18"/>
      <c r="I1717" s="18"/>
      <c r="J1717" s="18"/>
      <c r="K1717" s="18"/>
      <c r="L1717" s="18"/>
      <c r="M1717" s="18"/>
      <c r="N1717" s="18"/>
      <c r="O1717" s="14" t="str">
        <f>HYPERLINK("https://otsuka-europe-crm.veevavault.com/ui/#object/email_activity__v/V8C00000003K828", "EN-002087506")</f>
        <v>EN-002087506</v>
      </c>
    </row>
    <row r="1718" spans="1:15" ht="16" x14ac:dyDescent="0.2">
      <c r="A1718" s="18"/>
      <c r="B1718" s="18"/>
      <c r="C1718" s="18"/>
      <c r="D1718" s="18"/>
      <c r="E1718" s="18"/>
      <c r="F1718" s="18"/>
      <c r="G1718" s="18"/>
      <c r="H1718" s="18"/>
      <c r="I1718" s="18"/>
      <c r="J1718" s="18"/>
      <c r="K1718" s="18"/>
      <c r="L1718" s="18"/>
      <c r="M1718" s="18"/>
      <c r="N1718" s="18"/>
      <c r="O1718" s="14" t="str">
        <f>HYPERLINK("https://otsuka-europe-crm.veevavault.com/ui/#object/email_activity__v/V8C00000003K840", "EN-002087532")</f>
        <v>EN-002087532</v>
      </c>
    </row>
    <row r="1719" spans="1:15" ht="16" x14ac:dyDescent="0.2">
      <c r="A1719" s="18"/>
      <c r="B1719" s="18"/>
      <c r="C1719" s="18"/>
      <c r="D1719" s="18"/>
      <c r="E1719" s="18"/>
      <c r="F1719" s="18"/>
      <c r="G1719" s="18"/>
      <c r="H1719" s="18"/>
      <c r="I1719" s="18"/>
      <c r="J1719" s="18"/>
      <c r="K1719" s="18"/>
      <c r="L1719" s="18"/>
      <c r="M1719" s="18"/>
      <c r="N1719" s="18"/>
      <c r="O1719" s="14" t="str">
        <f>HYPERLINK("https://otsuka-europe-crm.veevavault.com/ui/#object/email_activity__v/V8C00000003K988", "EN-002087775")</f>
        <v>EN-002087775</v>
      </c>
    </row>
    <row r="1720" spans="1:15" ht="16" x14ac:dyDescent="0.2">
      <c r="A1720" s="18"/>
      <c r="B1720" s="18"/>
      <c r="C1720" s="18"/>
      <c r="D1720" s="18"/>
      <c r="E1720" s="18"/>
      <c r="F1720" s="18"/>
      <c r="G1720" s="18"/>
      <c r="H1720" s="18"/>
      <c r="I1720" s="18"/>
      <c r="J1720" s="18"/>
      <c r="K1720" s="18"/>
      <c r="L1720" s="18"/>
      <c r="M1720" s="18"/>
      <c r="N1720" s="18"/>
      <c r="O1720" s="14" t="str">
        <f>HYPERLINK("https://otsuka-europe-crm.veevavault.com/ui/#object/email_activity__v/V8C00000003L739", "EN-002087452")</f>
        <v>EN-002087452</v>
      </c>
    </row>
    <row r="1721" spans="1:15" ht="16" x14ac:dyDescent="0.2">
      <c r="A1721" s="18"/>
      <c r="B1721" s="18"/>
      <c r="C1721" s="18"/>
      <c r="D1721" s="18"/>
      <c r="E1721" s="18"/>
      <c r="F1721" s="18"/>
      <c r="G1721" s="18"/>
      <c r="H1721" s="18"/>
      <c r="I1721" s="18"/>
      <c r="J1721" s="18"/>
      <c r="K1721" s="18"/>
      <c r="L1721" s="18"/>
      <c r="M1721" s="18"/>
      <c r="N1721" s="18"/>
      <c r="O1721" s="14" t="str">
        <f>HYPERLINK("https://otsuka-europe-crm.veevavault.com/ui/#object/email_activity__v/V8C00000003L740", "EN-002087453")</f>
        <v>EN-002087453</v>
      </c>
    </row>
    <row r="1722" spans="1:15" ht="16" x14ac:dyDescent="0.2">
      <c r="A1722" s="18"/>
      <c r="B1722" s="18"/>
      <c r="C1722" s="18"/>
      <c r="D1722" s="18"/>
      <c r="E1722" s="18"/>
      <c r="F1722" s="18"/>
      <c r="G1722" s="18"/>
      <c r="H1722" s="18"/>
      <c r="I1722" s="18"/>
      <c r="J1722" s="18"/>
      <c r="K1722" s="18"/>
      <c r="L1722" s="18"/>
      <c r="M1722" s="18"/>
      <c r="N1722" s="18"/>
      <c r="O1722" s="14" t="str">
        <f>HYPERLINK("https://otsuka-europe-crm.veevavault.com/ui/#object/email_activity__v/V8C00000003L741", "EN-002087454")</f>
        <v>EN-002087454</v>
      </c>
    </row>
    <row r="1723" spans="1:15" ht="16" x14ac:dyDescent="0.2">
      <c r="A1723" s="18"/>
      <c r="B1723" s="18"/>
      <c r="C1723" s="18"/>
      <c r="D1723" s="18"/>
      <c r="E1723" s="18"/>
      <c r="F1723" s="18"/>
      <c r="G1723" s="18"/>
      <c r="H1723" s="18"/>
      <c r="I1723" s="18"/>
      <c r="J1723" s="18"/>
      <c r="K1723" s="18"/>
      <c r="L1723" s="18"/>
      <c r="M1723" s="18"/>
      <c r="N1723" s="18"/>
      <c r="O1723" s="14" t="str">
        <f>HYPERLINK("https://otsuka-europe-crm.veevavault.com/ui/#object/email_activity__v/V8C00000003L757", "EN-002087489")</f>
        <v>EN-002087489</v>
      </c>
    </row>
    <row r="1724" spans="1:15" ht="16" x14ac:dyDescent="0.2">
      <c r="A1724" s="18"/>
      <c r="B1724" s="18"/>
      <c r="C1724" s="18"/>
      <c r="D1724" s="18"/>
      <c r="E1724" s="18"/>
      <c r="F1724" s="18"/>
      <c r="G1724" s="18"/>
      <c r="H1724" s="18"/>
      <c r="I1724" s="18"/>
      <c r="J1724" s="18"/>
      <c r="K1724" s="18"/>
      <c r="L1724" s="18"/>
      <c r="M1724" s="18"/>
      <c r="N1724" s="18"/>
      <c r="O1724" s="14" t="str">
        <f>HYPERLINK("https://otsuka-europe-crm.veevavault.com/ui/#object/email_activity__v/V8C00000003L758", "EN-002087492")</f>
        <v>EN-002087492</v>
      </c>
    </row>
    <row r="1725" spans="1:15" ht="16" x14ac:dyDescent="0.2">
      <c r="A1725" s="18"/>
      <c r="B1725" s="18"/>
      <c r="C1725" s="18"/>
      <c r="D1725" s="18"/>
      <c r="E1725" s="18"/>
      <c r="F1725" s="18"/>
      <c r="G1725" s="18"/>
      <c r="H1725" s="18"/>
      <c r="I1725" s="18"/>
      <c r="J1725" s="18"/>
      <c r="K1725" s="18"/>
      <c r="L1725" s="18"/>
      <c r="M1725" s="18"/>
      <c r="N1725" s="18"/>
      <c r="O1725" s="14" t="str">
        <f>HYPERLINK("https://otsuka-europe-crm.veevavault.com/ui/#object/email_activity__v/V8C00000003L767", "EN-002087504")</f>
        <v>EN-002087504</v>
      </c>
    </row>
    <row r="1726" spans="1:15" ht="16" x14ac:dyDescent="0.2">
      <c r="A1726" s="18"/>
      <c r="B1726" s="18"/>
      <c r="C1726" s="18"/>
      <c r="D1726" s="18"/>
      <c r="E1726" s="18"/>
      <c r="F1726" s="18"/>
      <c r="G1726" s="18"/>
      <c r="H1726" s="18"/>
      <c r="I1726" s="18"/>
      <c r="J1726" s="18"/>
      <c r="K1726" s="18"/>
      <c r="L1726" s="18"/>
      <c r="M1726" s="18"/>
      <c r="N1726" s="18"/>
      <c r="O1726" s="14" t="str">
        <f>HYPERLINK("https://otsuka-europe-crm.veevavault.com/ui/#object/email_activity__v/V8C00000003L768", "EN-002087511")</f>
        <v>EN-002087511</v>
      </c>
    </row>
    <row r="1727" spans="1:15" ht="16" x14ac:dyDescent="0.2">
      <c r="A1727" s="18"/>
      <c r="B1727" s="18"/>
      <c r="C1727" s="18"/>
      <c r="D1727" s="18"/>
      <c r="E1727" s="18"/>
      <c r="F1727" s="18"/>
      <c r="G1727" s="18"/>
      <c r="H1727" s="18"/>
      <c r="I1727" s="18"/>
      <c r="J1727" s="18"/>
      <c r="K1727" s="18"/>
      <c r="L1727" s="18"/>
      <c r="M1727" s="18"/>
      <c r="N1727" s="18"/>
      <c r="O1727" s="14" t="str">
        <f>HYPERLINK("https://otsuka-europe-crm.veevavault.com/ui/#object/email_activity__v/V8C00000003L773", "EN-002087519")</f>
        <v>EN-002087519</v>
      </c>
    </row>
    <row r="1728" spans="1:15" ht="16" x14ac:dyDescent="0.2">
      <c r="A1728" s="18"/>
      <c r="B1728" s="18"/>
      <c r="C1728" s="18"/>
      <c r="D1728" s="18"/>
      <c r="E1728" s="18"/>
      <c r="F1728" s="18"/>
      <c r="G1728" s="18"/>
      <c r="H1728" s="18"/>
      <c r="I1728" s="18"/>
      <c r="J1728" s="18"/>
      <c r="K1728" s="18"/>
      <c r="L1728" s="18"/>
      <c r="M1728" s="18"/>
      <c r="N1728" s="18"/>
      <c r="O1728" s="14" t="str">
        <f>HYPERLINK("https://otsuka-europe-crm.veevavault.com/ui/#object/email_activity__v/V8C00000003L777", "EN-002087524")</f>
        <v>EN-002087524</v>
      </c>
    </row>
    <row r="1729" spans="1:15" ht="16" x14ac:dyDescent="0.2">
      <c r="A1729" s="18"/>
      <c r="B1729" s="18"/>
      <c r="C1729" s="18"/>
      <c r="D1729" s="18"/>
      <c r="E1729" s="18"/>
      <c r="F1729" s="18"/>
      <c r="G1729" s="18"/>
      <c r="H1729" s="18"/>
      <c r="I1729" s="18"/>
      <c r="J1729" s="18"/>
      <c r="K1729" s="18"/>
      <c r="L1729" s="18"/>
      <c r="M1729" s="18"/>
      <c r="N1729" s="18"/>
      <c r="O1729" s="14" t="str">
        <f>HYPERLINK("https://otsuka-europe-crm.veevavault.com/ui/#object/email_activity__v/V8C00000003L778", "EN-002087525")</f>
        <v>EN-002087525</v>
      </c>
    </row>
    <row r="1730" spans="1:15" ht="16" x14ac:dyDescent="0.2">
      <c r="A1730" s="18"/>
      <c r="B1730" s="18"/>
      <c r="C1730" s="18"/>
      <c r="D1730" s="18"/>
      <c r="E1730" s="18"/>
      <c r="F1730" s="18"/>
      <c r="G1730" s="18"/>
      <c r="H1730" s="18"/>
      <c r="I1730" s="18"/>
      <c r="J1730" s="18"/>
      <c r="K1730" s="18"/>
      <c r="L1730" s="18"/>
      <c r="M1730" s="18"/>
      <c r="N1730" s="18"/>
      <c r="O1730" s="14" t="str">
        <f>HYPERLINK("https://otsuka-europe-crm.veevavault.com/ui/#object/email_activity__v/V8C00000003L929", "EN-002087844")</f>
        <v>EN-002087844</v>
      </c>
    </row>
    <row r="1731" spans="1:15" ht="16" x14ac:dyDescent="0.2">
      <c r="A1731" s="18"/>
      <c r="B1731" s="18"/>
      <c r="C1731" s="18"/>
      <c r="D1731" s="18"/>
      <c r="E1731" s="18"/>
      <c r="F1731" s="18"/>
      <c r="G1731" s="18"/>
      <c r="H1731" s="18"/>
      <c r="I1731" s="18"/>
      <c r="J1731" s="18"/>
      <c r="K1731" s="18"/>
      <c r="L1731" s="18"/>
      <c r="M1731" s="18"/>
      <c r="N1731" s="18"/>
      <c r="O1731" s="14" t="str">
        <f>HYPERLINK("https://otsuka-europe-crm.veevavault.com/ui/#object/email_activity__v/V8C00000003L930", "EN-002087845")</f>
        <v>EN-002087845</v>
      </c>
    </row>
    <row r="1732" spans="1:15" ht="16" x14ac:dyDescent="0.2">
      <c r="A1732" s="18"/>
      <c r="B1732" s="18"/>
      <c r="C1732" s="18"/>
      <c r="D1732" s="18"/>
      <c r="E1732" s="18"/>
      <c r="F1732" s="18"/>
      <c r="G1732" s="18"/>
      <c r="H1732" s="18"/>
      <c r="I1732" s="18"/>
      <c r="J1732" s="18"/>
      <c r="K1732" s="18"/>
      <c r="L1732" s="18"/>
      <c r="M1732" s="18"/>
      <c r="N1732" s="18"/>
      <c r="O1732" s="14" t="str">
        <f>HYPERLINK("https://otsuka-europe-crm.veevavault.com/ui/#object/email_activity__v/V8C00000003M024", "EN-002087879")</f>
        <v>EN-002087879</v>
      </c>
    </row>
    <row r="1733" spans="1:15" ht="16" x14ac:dyDescent="0.2">
      <c r="A1733" s="18"/>
      <c r="B1733" s="18"/>
      <c r="C1733" s="18"/>
      <c r="D1733" s="18"/>
      <c r="E1733" s="18"/>
      <c r="F1733" s="18"/>
      <c r="G1733" s="18"/>
      <c r="H1733" s="18"/>
      <c r="I1733" s="18"/>
      <c r="J1733" s="18"/>
      <c r="K1733" s="18"/>
      <c r="L1733" s="18"/>
      <c r="M1733" s="18"/>
      <c r="N1733" s="18"/>
      <c r="O1733" s="14" t="str">
        <f>HYPERLINK("https://otsuka-europe-crm.veevavault.com/ui/#object/email_activity__v/V8C00000003M025", "EN-002087880")</f>
        <v>EN-002087880</v>
      </c>
    </row>
    <row r="1734" spans="1:15" ht="16" x14ac:dyDescent="0.2">
      <c r="A1734" s="18"/>
      <c r="B1734" s="18"/>
      <c r="C1734" s="18"/>
      <c r="D1734" s="18"/>
      <c r="E1734" s="18"/>
      <c r="F1734" s="18"/>
      <c r="G1734" s="18"/>
      <c r="H1734" s="18"/>
      <c r="I1734" s="18"/>
      <c r="J1734" s="18"/>
      <c r="K1734" s="18"/>
      <c r="L1734" s="18"/>
      <c r="M1734" s="18"/>
      <c r="N1734" s="18"/>
      <c r="O1734" s="14" t="str">
        <f>HYPERLINK("https://otsuka-europe-crm.veevavault.com/ui/#object/email_activity__v/V8C00000003M069", "EN-002087960")</f>
        <v>EN-002087960</v>
      </c>
    </row>
    <row r="1735" spans="1:15" ht="16" x14ac:dyDescent="0.2">
      <c r="A1735" s="18"/>
      <c r="B1735" s="18"/>
      <c r="C1735" s="18"/>
      <c r="D1735" s="18"/>
      <c r="E1735" s="18"/>
      <c r="F1735" s="18"/>
      <c r="G1735" s="18"/>
      <c r="H1735" s="18"/>
      <c r="I1735" s="18"/>
      <c r="J1735" s="18"/>
      <c r="K1735" s="18"/>
      <c r="L1735" s="18"/>
      <c r="M1735" s="18"/>
      <c r="N1735" s="18"/>
      <c r="O1735" s="14" t="str">
        <f>HYPERLINK("https://otsuka-europe-crm.veevavault.com/ui/#object/email_activity__v/V8C00000003M376", "EN-002088762")</f>
        <v>EN-002088762</v>
      </c>
    </row>
    <row r="1736" spans="1:15" ht="16" x14ac:dyDescent="0.2">
      <c r="A1736" s="18"/>
      <c r="B1736" s="18"/>
      <c r="C1736" s="18"/>
      <c r="D1736" s="18"/>
      <c r="E1736" s="18"/>
      <c r="F1736" s="18"/>
      <c r="G1736" s="18"/>
      <c r="H1736" s="18"/>
      <c r="I1736" s="18"/>
      <c r="J1736" s="18"/>
      <c r="K1736" s="18"/>
      <c r="L1736" s="18"/>
      <c r="M1736" s="18"/>
      <c r="N1736" s="18"/>
      <c r="O1736" s="14" t="str">
        <f>HYPERLINK("https://otsuka-europe-crm.veevavault.com/ui/#object/email_activity__v/V8C00000003M523", "EN-002089071")</f>
        <v>EN-002089071</v>
      </c>
    </row>
    <row r="1737" spans="1:15" ht="16" x14ac:dyDescent="0.2">
      <c r="A1737" s="18"/>
      <c r="B1737" s="18"/>
      <c r="C1737" s="18"/>
      <c r="D1737" s="18"/>
      <c r="E1737" s="18"/>
      <c r="F1737" s="18"/>
      <c r="G1737" s="18"/>
      <c r="H1737" s="18"/>
      <c r="I1737" s="18"/>
      <c r="J1737" s="18"/>
      <c r="K1737" s="18"/>
      <c r="L1737" s="18"/>
      <c r="M1737" s="18"/>
      <c r="N1737" s="18"/>
      <c r="O1737" s="14" t="str">
        <f>HYPERLINK("https://otsuka-europe-crm.veevavault.com/ui/#object/email_activity__v/V8C00000003M527", "EN-002089076")</f>
        <v>EN-002089076</v>
      </c>
    </row>
    <row r="1738" spans="1:15" ht="16" x14ac:dyDescent="0.2">
      <c r="A1738" s="18"/>
      <c r="B1738" s="18"/>
      <c r="C1738" s="18"/>
      <c r="D1738" s="18"/>
      <c r="E1738" s="18"/>
      <c r="F1738" s="18"/>
      <c r="G1738" s="18"/>
      <c r="H1738" s="18"/>
      <c r="I1738" s="18"/>
      <c r="J1738" s="18"/>
      <c r="K1738" s="18"/>
      <c r="L1738" s="18"/>
      <c r="M1738" s="18"/>
      <c r="N1738" s="18"/>
      <c r="O1738" s="14" t="str">
        <f>HYPERLINK("https://otsuka-europe-crm.veevavault.com/ui/#object/email_activity__v/V8C00000003M528", "EN-002089077")</f>
        <v>EN-002089077</v>
      </c>
    </row>
    <row r="1739" spans="1:15" ht="16" x14ac:dyDescent="0.2">
      <c r="A1739" s="18"/>
      <c r="B1739" s="18"/>
      <c r="C1739" s="18"/>
      <c r="D1739" s="18"/>
      <c r="E1739" s="18"/>
      <c r="F1739" s="18"/>
      <c r="G1739" s="18"/>
      <c r="H1739" s="18"/>
      <c r="I1739" s="18"/>
      <c r="J1739" s="18"/>
      <c r="K1739" s="18"/>
      <c r="L1739" s="18"/>
      <c r="M1739" s="18"/>
      <c r="N1739" s="18"/>
      <c r="O1739" s="14" t="str">
        <f>HYPERLINK("https://otsuka-europe-crm.veevavault.com/ui/#object/email_activity__v/V8C00000003M530", "EN-002089080")</f>
        <v>EN-002089080</v>
      </c>
    </row>
    <row r="1740" spans="1:15" ht="16" x14ac:dyDescent="0.2">
      <c r="A1740" s="18"/>
      <c r="B1740" s="18"/>
      <c r="C1740" s="18"/>
      <c r="D1740" s="18"/>
      <c r="E1740" s="18"/>
      <c r="F1740" s="18"/>
      <c r="G1740" s="18"/>
      <c r="H1740" s="18"/>
      <c r="I1740" s="18"/>
      <c r="J1740" s="18"/>
      <c r="K1740" s="18"/>
      <c r="L1740" s="18"/>
      <c r="M1740" s="18"/>
      <c r="N1740" s="18"/>
      <c r="O1740" s="14" t="str">
        <f>HYPERLINK("https://otsuka-europe-crm.veevavault.com/ui/#object/email_activity__v/V8C00000003M531", "EN-002089081")</f>
        <v>EN-002089081</v>
      </c>
    </row>
    <row r="1741" spans="1:15" ht="16" x14ac:dyDescent="0.2">
      <c r="A1741" s="18"/>
      <c r="B1741" s="18"/>
      <c r="C1741" s="18"/>
      <c r="D1741" s="18"/>
      <c r="E1741" s="18"/>
      <c r="F1741" s="18"/>
      <c r="G1741" s="18"/>
      <c r="H1741" s="18"/>
      <c r="I1741" s="18"/>
      <c r="J1741" s="18"/>
      <c r="K1741" s="18"/>
      <c r="L1741" s="18"/>
      <c r="M1741" s="18"/>
      <c r="N1741" s="18"/>
      <c r="O1741" s="14" t="str">
        <f>HYPERLINK("https://otsuka-europe-crm.veevavault.com/ui/#object/email_activity__v/V8C00000003N633", "EN-002089049")</f>
        <v>EN-002089049</v>
      </c>
    </row>
    <row r="1742" spans="1:15" ht="16" x14ac:dyDescent="0.2">
      <c r="A1742" s="18"/>
      <c r="B1742" s="18"/>
      <c r="C1742" s="18"/>
      <c r="D1742" s="18"/>
      <c r="E1742" s="18"/>
      <c r="F1742" s="18"/>
      <c r="G1742" s="18"/>
      <c r="H1742" s="18"/>
      <c r="I1742" s="18"/>
      <c r="J1742" s="18"/>
      <c r="K1742" s="18"/>
      <c r="L1742" s="18"/>
      <c r="M1742" s="18"/>
      <c r="N1742" s="18"/>
      <c r="O1742" s="14" t="str">
        <f>HYPERLINK("https://otsuka-europe-crm.veevavault.com/ui/#object/email_activity__v/V8C00000003P033", "EN-002089305")</f>
        <v>EN-002089305</v>
      </c>
    </row>
    <row r="1743" spans="1:15" ht="16" x14ac:dyDescent="0.2">
      <c r="A1743" s="18"/>
      <c r="B1743" s="18"/>
      <c r="C1743" s="18"/>
      <c r="D1743" s="18"/>
      <c r="E1743" s="18"/>
      <c r="F1743" s="18"/>
      <c r="G1743" s="18"/>
      <c r="H1743" s="18"/>
      <c r="I1743" s="18"/>
      <c r="J1743" s="18"/>
      <c r="K1743" s="18"/>
      <c r="L1743" s="18"/>
      <c r="M1743" s="18"/>
      <c r="N1743" s="18"/>
      <c r="O1743" s="14" t="str">
        <f>HYPERLINK("https://otsuka-europe-crm.veevavault.com/ui/#object/email_activity__v/V8C00000003R699", "EN-002093024")</f>
        <v>EN-002093024</v>
      </c>
    </row>
    <row r="1744" spans="1:15" ht="16" x14ac:dyDescent="0.2">
      <c r="A1744" s="19"/>
      <c r="B1744" s="19"/>
      <c r="C1744" s="19"/>
      <c r="D1744" s="19"/>
      <c r="E1744" s="19"/>
      <c r="F1744" s="19"/>
      <c r="G1744" s="19"/>
      <c r="H1744" s="19"/>
      <c r="I1744" s="19"/>
      <c r="J1744" s="19"/>
      <c r="K1744" s="19"/>
      <c r="L1744" s="19"/>
      <c r="M1744" s="19"/>
      <c r="N1744" s="19"/>
      <c r="O1744" s="14" t="str">
        <f>HYPERLINK("https://otsuka-europe-crm.veevavault.com/ui/#object/email_activity__v/V8C00000003S082", "EN-002093009")</f>
        <v>EN-002093009</v>
      </c>
    </row>
    <row r="1745" spans="1:15" ht="32" x14ac:dyDescent="0.2">
      <c r="A1745" s="7" t="str">
        <f>HYPERLINK("https://otsuka-europe-crm.veevavault.com/ui/#object/account__v/V4TZ0000062PIOX", "Chinyere Ukpo")</f>
        <v>Chinyere Ukpo</v>
      </c>
      <c r="B1745" s="7" t="str">
        <f>HYPERLINK("https://otsuka-europe-crm.veevavault.com/ui/#object/vcountry__v/VENZ000004SONFK", "GB")</f>
        <v>GB</v>
      </c>
      <c r="C1745" s="8" t="s">
        <v>39</v>
      </c>
      <c r="D1745" s="9" t="str">
        <f>HYPERLINK("https://otsuka-europe-crm.veevavault.com/ui/#object/approved_document__v/V5O00000001H005", "LDM DR P2P Invite 23-Jun-26 [digital]")</f>
        <v>LDM DR P2P Invite 23-Jun-26 [digital]</v>
      </c>
      <c r="E1745" s="10" t="str">
        <f>HYPERLINK("https://otsuka-europe-crm.veevavault.com/ui/#object/sent_email__v/VBL00000002N626", "SE-001431624")</f>
        <v>SE-001431624</v>
      </c>
      <c r="F1745" s="11"/>
      <c r="G1745" s="12">
        <v>0</v>
      </c>
      <c r="H1745" s="12">
        <v>0</v>
      </c>
      <c r="I1745" s="12">
        <v>0</v>
      </c>
      <c r="J1745" s="11"/>
      <c r="K1745" s="12">
        <v>0</v>
      </c>
      <c r="L1745" s="10" t="str">
        <f>HYPERLINK("https://otsuka-europe-crm.veevavault.com/ui/#object/approved_document__v/V5O00000001H005", "LDM DR P2P Invite 23-Jun-26 [digital]")</f>
        <v>LDM DR P2P Invite 23-Jun-26 [digital]</v>
      </c>
      <c r="M1745" s="10" t="str">
        <f>HYPERLINK("mailto:draval@crm.otsuka-europe.com", "draval@crm.otsuka-europe.com")</f>
        <v>draval@crm.otsuka-europe.com</v>
      </c>
      <c r="N1745" s="13">
        <v>46175.502418981479</v>
      </c>
      <c r="O1745" s="14" t="str">
        <f>HYPERLINK("https://otsuka-europe-crm.veevavault.com/ui/#object/email_activity__v/V8C00000003K803", "EN-002087456")</f>
        <v>EN-002087456</v>
      </c>
    </row>
    <row r="1746" spans="1:15" ht="16" x14ac:dyDescent="0.2">
      <c r="A1746" s="17" t="str">
        <f>HYPERLINK("https://otsuka-europe-crm.veevavault.com/ui/#object/account__v/V4TZ025E83ARWDD", "ADRIAN ALEGRE AMOR")</f>
        <v>ADRIAN ALEGRE AMOR</v>
      </c>
      <c r="B1746" s="17" t="str">
        <f>HYPERLINK("https://otsuka-europe-crm.veevavault.com/ui/#object/vcountry__v/VENZ000004SONF5", "ES")</f>
        <v>ES</v>
      </c>
      <c r="C1746" s="20" t="s">
        <v>41</v>
      </c>
      <c r="D1746" s="21" t="str">
        <f>HYPERLINK("https://otsuka-europe-crm.veevavault.com/ui/#object/approved_document__v/V5O00000000D100", "Spain - Consent Email 1 Aug 25")</f>
        <v>Spain - Consent Email 1 Aug 25</v>
      </c>
      <c r="E1746" s="22" t="str">
        <f>HYPERLINK("https://otsuka-europe-crm.veevavault.com/ui/#object/sent_email__v/VBL00000002N627", "SE-001431625")</f>
        <v>SE-001431625</v>
      </c>
      <c r="F1746" s="25"/>
      <c r="G1746" s="24">
        <v>0</v>
      </c>
      <c r="H1746" s="24">
        <v>0</v>
      </c>
      <c r="I1746" s="24">
        <v>0</v>
      </c>
      <c r="J1746" s="25"/>
      <c r="K1746" s="24">
        <v>0</v>
      </c>
      <c r="L1746" s="22" t="str">
        <f>HYPERLINK("https://otsuka-europe-crm.veevavault.com/ui/#object/approved_document__v/V5O00000000D100", "Spain - Consent Email 1 Aug 25")</f>
        <v>Spain - Consent Email 1 Aug 25</v>
      </c>
      <c r="M1746" s="22" t="str">
        <f>HYPERLINK("mailto:jguri@crm.otsuka-europe.com", "jguri@crm.otsuka-europe.com")</f>
        <v>jguri@crm.otsuka-europe.com</v>
      </c>
      <c r="N1746" s="23">
        <v>46175.508530092593</v>
      </c>
      <c r="O1746" s="14" t="str">
        <f>HYPERLINK("https://otsuka-europe-crm.veevavault.com/ui/#object/email_activity__v/V8C00000003K833", "EN-002087513")</f>
        <v>EN-002087513</v>
      </c>
    </row>
    <row r="1747" spans="1:15" ht="16" x14ac:dyDescent="0.2">
      <c r="A1747" s="18"/>
      <c r="B1747" s="18"/>
      <c r="C1747" s="18"/>
      <c r="D1747" s="18"/>
      <c r="E1747" s="18"/>
      <c r="F1747" s="18"/>
      <c r="G1747" s="18"/>
      <c r="H1747" s="18"/>
      <c r="I1747" s="18"/>
      <c r="J1747" s="18"/>
      <c r="K1747" s="18"/>
      <c r="L1747" s="18"/>
      <c r="M1747" s="18"/>
      <c r="N1747" s="18"/>
      <c r="O1747" s="14" t="str">
        <f>HYPERLINK("https://otsuka-europe-crm.veevavault.com/ui/#object/email_activity__v/V8C00000003L753", "EN-002087480")</f>
        <v>EN-002087480</v>
      </c>
    </row>
    <row r="1748" spans="1:15" ht="16" x14ac:dyDescent="0.2">
      <c r="A1748" s="18"/>
      <c r="B1748" s="18"/>
      <c r="C1748" s="18"/>
      <c r="D1748" s="18"/>
      <c r="E1748" s="18"/>
      <c r="F1748" s="18"/>
      <c r="G1748" s="18"/>
      <c r="H1748" s="18"/>
      <c r="I1748" s="18"/>
      <c r="J1748" s="18"/>
      <c r="K1748" s="18"/>
      <c r="L1748" s="18"/>
      <c r="M1748" s="18"/>
      <c r="N1748" s="18"/>
      <c r="O1748" s="14" t="str">
        <f>HYPERLINK("https://otsuka-europe-crm.veevavault.com/ui/#object/email_activity__v/V8C00000003M297", "EN-002088559")</f>
        <v>EN-002088559</v>
      </c>
    </row>
    <row r="1749" spans="1:15" ht="16" x14ac:dyDescent="0.2">
      <c r="A1749" s="19"/>
      <c r="B1749" s="19"/>
      <c r="C1749" s="19"/>
      <c r="D1749" s="19"/>
      <c r="E1749" s="19"/>
      <c r="F1749" s="19"/>
      <c r="G1749" s="19"/>
      <c r="H1749" s="19"/>
      <c r="I1749" s="19"/>
      <c r="J1749" s="19"/>
      <c r="K1749" s="19"/>
      <c r="L1749" s="19"/>
      <c r="M1749" s="19"/>
      <c r="N1749" s="19"/>
      <c r="O1749" s="14" t="str">
        <f>HYPERLINK("https://otsuka-europe-crm.veevavault.com/ui/#object/email_activity__v/V8C00000003N346", "EN-002088540")</f>
        <v>EN-002088540</v>
      </c>
    </row>
    <row r="1750" spans="1:15" ht="16" x14ac:dyDescent="0.2">
      <c r="A1750" s="17" t="str">
        <f>HYPERLINK("https://otsuka-europe-crm.veevavault.com/ui/#object/account__v/V4T000000020038", "SANDRA VICARIO GARCIA")</f>
        <v>SANDRA VICARIO GARCIA</v>
      </c>
      <c r="B1750" s="17" t="str">
        <f>HYPERLINK("https://otsuka-europe-crm.veevavault.com/ui/#object/vcountry__v/VENZ000004SONF5", "ES")</f>
        <v>ES</v>
      </c>
      <c r="C1750" s="20" t="s">
        <v>41</v>
      </c>
      <c r="D1750" s="21" t="str">
        <f>HYPERLINK("https://otsuka-europe-crm.veevavault.com/ui/#object/approved_document__v/V5OZ06G6O6RFL1P", "ES Veeva Privacy Notice Email")</f>
        <v>ES Veeva Privacy Notice Email</v>
      </c>
      <c r="E1750" s="22" t="str">
        <f>HYPERLINK("https://otsuka-europe-crm.veevavault.com/ui/#object/sent_email__v/VBL00000002O164", "SE-001431626")</f>
        <v>SE-001431626</v>
      </c>
      <c r="F1750" s="23">
        <v>46176.715914351851</v>
      </c>
      <c r="G1750" s="24">
        <v>1</v>
      </c>
      <c r="H1750" s="24">
        <v>3</v>
      </c>
      <c r="I1750" s="24">
        <v>0</v>
      </c>
      <c r="J1750" s="25"/>
      <c r="K1750" s="24">
        <v>0</v>
      </c>
      <c r="L1750" s="22" t="str">
        <f>HYPERLINK("https://otsuka-europe-crm.veevavault.com/ui/#object/approved_document__v/V5OZ06G6O6RFL1P", "ES Veeva Privacy Notice Email")</f>
        <v>ES Veeva Privacy Notice Email</v>
      </c>
      <c r="M1750" s="22" t="str">
        <f>HYPERLINK("mailto:barroyo@crm.otsuka-europe.com", "barroyo@crm.otsuka-europe.com")</f>
        <v>barroyo@crm.otsuka-europe.com</v>
      </c>
      <c r="N1750" s="23">
        <v>46175.5231712963</v>
      </c>
      <c r="O1750" s="14" t="str">
        <f>HYPERLINK("https://otsuka-europe-crm.veevavault.com/ui/#object/email_activity__v/V8C00000003L763", "EN-002087500")</f>
        <v>EN-002087500</v>
      </c>
    </row>
    <row r="1751" spans="1:15" ht="16" x14ac:dyDescent="0.2">
      <c r="A1751" s="18"/>
      <c r="B1751" s="18"/>
      <c r="C1751" s="18"/>
      <c r="D1751" s="18"/>
      <c r="E1751" s="18"/>
      <c r="F1751" s="18"/>
      <c r="G1751" s="18"/>
      <c r="H1751" s="18"/>
      <c r="I1751" s="18"/>
      <c r="J1751" s="18"/>
      <c r="K1751" s="18"/>
      <c r="L1751" s="18"/>
      <c r="M1751" s="18"/>
      <c r="N1751" s="18"/>
      <c r="O1751" s="14" t="str">
        <f>HYPERLINK("https://otsuka-europe-crm.veevavault.com/ui/#object/email_activity__v/V8C00000003M009", "EN-002087851")</f>
        <v>EN-002087851</v>
      </c>
    </row>
    <row r="1752" spans="1:15" ht="16" x14ac:dyDescent="0.2">
      <c r="A1752" s="18"/>
      <c r="B1752" s="18"/>
      <c r="C1752" s="18"/>
      <c r="D1752" s="18"/>
      <c r="E1752" s="18"/>
      <c r="F1752" s="18"/>
      <c r="G1752" s="18"/>
      <c r="H1752" s="18"/>
      <c r="I1752" s="18"/>
      <c r="J1752" s="18"/>
      <c r="K1752" s="18"/>
      <c r="L1752" s="18"/>
      <c r="M1752" s="18"/>
      <c r="N1752" s="18"/>
      <c r="O1752" s="14" t="str">
        <f>HYPERLINK("https://otsuka-europe-crm.veevavault.com/ui/#object/email_activity__v/V8C00000003M388", "EN-002088787")</f>
        <v>EN-002088787</v>
      </c>
    </row>
    <row r="1753" spans="1:15" ht="16" x14ac:dyDescent="0.2">
      <c r="A1753" s="19"/>
      <c r="B1753" s="19"/>
      <c r="C1753" s="19"/>
      <c r="D1753" s="19"/>
      <c r="E1753" s="19"/>
      <c r="F1753" s="19"/>
      <c r="G1753" s="19"/>
      <c r="H1753" s="19"/>
      <c r="I1753" s="19"/>
      <c r="J1753" s="19"/>
      <c r="K1753" s="19"/>
      <c r="L1753" s="19"/>
      <c r="M1753" s="19"/>
      <c r="N1753" s="19"/>
      <c r="O1753" s="14" t="str">
        <f>HYPERLINK("https://otsuka-europe-crm.veevavault.com/ui/#object/email_activity__v/V8C00000003N495", "EN-002088782")</f>
        <v>EN-002088782</v>
      </c>
    </row>
    <row r="1754" spans="1:15" ht="16" x14ac:dyDescent="0.2">
      <c r="A1754" s="17" t="str">
        <f>HYPERLINK("https://otsuka-europe-crm.veevavault.com/ui/#object/account__v/V4T000000020038", "SANDRA VICARIO GARCIA")</f>
        <v>SANDRA VICARIO GARCIA</v>
      </c>
      <c r="B1754" s="17" t="str">
        <f>HYPERLINK("https://otsuka-europe-crm.veevavault.com/ui/#object/vcountry__v/VENZ000004SONF5", "ES")</f>
        <v>ES</v>
      </c>
      <c r="C1754" s="20" t="s">
        <v>41</v>
      </c>
      <c r="D1754" s="21" t="str">
        <f>HYPERLINK("https://otsuka-europe-crm.veevavault.com/ui/#object/approved_document__v/V5O00000000D100", "Spain - Consent Email 1 Aug 25")</f>
        <v>Spain - Consent Email 1 Aug 25</v>
      </c>
      <c r="E1754" s="22" t="str">
        <f>HYPERLINK("https://otsuka-europe-crm.veevavault.com/ui/#object/sent_email__v/VBL00000002O165", "SE-001431627")</f>
        <v>SE-001431627</v>
      </c>
      <c r="F1754" s="23">
        <v>46176.716134259259</v>
      </c>
      <c r="G1754" s="24">
        <v>1</v>
      </c>
      <c r="H1754" s="24">
        <v>2</v>
      </c>
      <c r="I1754" s="24">
        <v>0</v>
      </c>
      <c r="J1754" s="25"/>
      <c r="K1754" s="24">
        <v>0</v>
      </c>
      <c r="L1754" s="22" t="str">
        <f>HYPERLINK("https://otsuka-europe-crm.veevavault.com/ui/#object/approved_document__v/V5O00000000D100", "Spain - Consent Email 1 Aug 25")</f>
        <v>Spain - Consent Email 1 Aug 25</v>
      </c>
      <c r="M1754" s="22" t="str">
        <f>HYPERLINK("mailto:barroyo@crm.otsuka-europe.com", "barroyo@crm.otsuka-europe.com")</f>
        <v>barroyo@crm.otsuka-europe.com</v>
      </c>
      <c r="N1754" s="23">
        <v>46175.524016203701</v>
      </c>
      <c r="O1754" s="14" t="str">
        <f>HYPERLINK("https://otsuka-europe-crm.veevavault.com/ui/#object/email_activity__v/V8C00000003L764", "EN-002087501")</f>
        <v>EN-002087501</v>
      </c>
    </row>
    <row r="1755" spans="1:15" ht="16" x14ac:dyDescent="0.2">
      <c r="A1755" s="18"/>
      <c r="B1755" s="18"/>
      <c r="C1755" s="18"/>
      <c r="D1755" s="18"/>
      <c r="E1755" s="18"/>
      <c r="F1755" s="18"/>
      <c r="G1755" s="18"/>
      <c r="H1755" s="18"/>
      <c r="I1755" s="18"/>
      <c r="J1755" s="18"/>
      <c r="K1755" s="18"/>
      <c r="L1755" s="18"/>
      <c r="M1755" s="18"/>
      <c r="N1755" s="18"/>
      <c r="O1755" s="14" t="str">
        <f>HYPERLINK("https://otsuka-europe-crm.veevavault.com/ui/#object/email_activity__v/V8C00000003N451", "EN-002088713")</f>
        <v>EN-002088713</v>
      </c>
    </row>
    <row r="1756" spans="1:15" ht="16" x14ac:dyDescent="0.2">
      <c r="A1756" s="19"/>
      <c r="B1756" s="19"/>
      <c r="C1756" s="19"/>
      <c r="D1756" s="19"/>
      <c r="E1756" s="19"/>
      <c r="F1756" s="19"/>
      <c r="G1756" s="19"/>
      <c r="H1756" s="19"/>
      <c r="I1756" s="19"/>
      <c r="J1756" s="19"/>
      <c r="K1756" s="19"/>
      <c r="L1756" s="19"/>
      <c r="M1756" s="19"/>
      <c r="N1756" s="19"/>
      <c r="O1756" s="14" t="str">
        <f>HYPERLINK("https://otsuka-europe-crm.veevavault.com/ui/#object/email_activity__v/V8C00000003N496", "EN-002088788")</f>
        <v>EN-002088788</v>
      </c>
    </row>
    <row r="1757" spans="1:15" ht="16" x14ac:dyDescent="0.2">
      <c r="A1757" s="17" t="str">
        <f>HYPERLINK("https://otsuka-europe-crm.veevavault.com/ui/#object/account__v/V4T000000020038", "SANDRA VICARIO GARCIA")</f>
        <v>SANDRA VICARIO GARCIA</v>
      </c>
      <c r="B1757" s="17" t="str">
        <f>HYPERLINK("https://otsuka-europe-crm.veevavault.com/ui/#object/vcountry__v/VENZ000004SONF5", "ES")</f>
        <v>ES</v>
      </c>
      <c r="C1757" s="20" t="s">
        <v>41</v>
      </c>
      <c r="D1757" s="21" t="str">
        <f>HYPERLINK("https://otsuka-europe-crm.veevavault.com/ui/#object/approved_document__v/V5OZ04ASG4FWKA7", "Reuniones Online Consent - 2")</f>
        <v>Reuniones Online Consent - 2</v>
      </c>
      <c r="E1757" s="22" t="str">
        <f>HYPERLINK("https://otsuka-europe-crm.veevavault.com/ui/#object/sent_email__v/VBL00000002O166", "SE-001431628")</f>
        <v>SE-001431628</v>
      </c>
      <c r="F1757" s="23">
        <v>46176.716134259259</v>
      </c>
      <c r="G1757" s="24">
        <v>1</v>
      </c>
      <c r="H1757" s="24">
        <v>2</v>
      </c>
      <c r="I1757" s="24">
        <v>0</v>
      </c>
      <c r="J1757" s="25"/>
      <c r="K1757" s="24">
        <v>0</v>
      </c>
      <c r="L1757" s="22" t="str">
        <f>HYPERLINK("https://otsuka-europe-crm.veevavault.com/ui/#object/approved_document__v/V5OZ04ASG4FWKA7", "Reuniones Online Consent - 2")</f>
        <v>Reuniones Online Consent - 2</v>
      </c>
      <c r="M1757" s="22" t="str">
        <f>HYPERLINK("mailto:barroyo@crm.otsuka-europe.com", "barroyo@crm.otsuka-europe.com")</f>
        <v>barroyo@crm.otsuka-europe.com</v>
      </c>
      <c r="N1757" s="23">
        <v>46175.524027777778</v>
      </c>
      <c r="O1757" s="14" t="str">
        <f>HYPERLINK("https://otsuka-europe-crm.veevavault.com/ui/#object/email_activity__v/V8C00000003L765", "EN-002087502")</f>
        <v>EN-002087502</v>
      </c>
    </row>
    <row r="1758" spans="1:15" ht="16" x14ac:dyDescent="0.2">
      <c r="A1758" s="18"/>
      <c r="B1758" s="18"/>
      <c r="C1758" s="18"/>
      <c r="D1758" s="18"/>
      <c r="E1758" s="18"/>
      <c r="F1758" s="18"/>
      <c r="G1758" s="18"/>
      <c r="H1758" s="18"/>
      <c r="I1758" s="18"/>
      <c r="J1758" s="18"/>
      <c r="K1758" s="18"/>
      <c r="L1758" s="18"/>
      <c r="M1758" s="18"/>
      <c r="N1758" s="18"/>
      <c r="O1758" s="14" t="str">
        <f>HYPERLINK("https://otsuka-europe-crm.veevavault.com/ui/#object/email_activity__v/V8C00000003M387", "EN-002088786")</f>
        <v>EN-002088786</v>
      </c>
    </row>
    <row r="1759" spans="1:15" ht="16" x14ac:dyDescent="0.2">
      <c r="A1759" s="19"/>
      <c r="B1759" s="19"/>
      <c r="C1759" s="19"/>
      <c r="D1759" s="19"/>
      <c r="E1759" s="19"/>
      <c r="F1759" s="19"/>
      <c r="G1759" s="19"/>
      <c r="H1759" s="19"/>
      <c r="I1759" s="19"/>
      <c r="J1759" s="19"/>
      <c r="K1759" s="19"/>
      <c r="L1759" s="19"/>
      <c r="M1759" s="19"/>
      <c r="N1759" s="19"/>
      <c r="O1759" s="14" t="str">
        <f>HYPERLINK("https://otsuka-europe-crm.veevavault.com/ui/#object/email_activity__v/V8C00000003N497", "EN-002088790")</f>
        <v>EN-002088790</v>
      </c>
    </row>
    <row r="1760" spans="1:15" ht="16" x14ac:dyDescent="0.2">
      <c r="A1760" s="17" t="str">
        <f>HYPERLINK("https://otsuka-europe-crm.veevavault.com/ui/#object/account__v/V4T000000020038", "SANDRA VICARIO GARCIA")</f>
        <v>SANDRA VICARIO GARCIA</v>
      </c>
      <c r="B1760" s="17" t="str">
        <f>HYPERLINK("https://otsuka-europe-crm.veevavault.com/ui/#object/vcountry__v/VENZ000004SONF5", "ES")</f>
        <v>ES</v>
      </c>
      <c r="C1760" s="20" t="s">
        <v>41</v>
      </c>
      <c r="D1760" s="21" t="str">
        <f>HYPERLINK("https://otsuka-europe-crm.veevavault.com/ui/#object/approved_document__v/V5OZ04ASG4FWKA9", "Documento Autorizaciขn Centro Empleador")</f>
        <v>Documento Autorizaciขn Centro Empleador</v>
      </c>
      <c r="E1760" s="22" t="str">
        <f>HYPERLINK("https://otsuka-europe-crm.veevavault.com/ui/#object/sent_email__v/VBL00000002O167", "SE-001431629")</f>
        <v>SE-001431629</v>
      </c>
      <c r="F1760" s="23">
        <v>46176.716134259259</v>
      </c>
      <c r="G1760" s="24">
        <v>1</v>
      </c>
      <c r="H1760" s="24">
        <v>3</v>
      </c>
      <c r="I1760" s="24">
        <v>0</v>
      </c>
      <c r="J1760" s="25"/>
      <c r="K1760" s="24">
        <v>0</v>
      </c>
      <c r="L1760" s="22" t="str">
        <f>HYPERLINK("https://otsuka-europe-crm.veevavault.com/ui/#object/approved_document__v/V5OZ04ASG4FWKA9", "Documento Autorizaciขn Centro Empleador")</f>
        <v>Documento Autorizaciขn Centro Empleador</v>
      </c>
      <c r="M1760" s="22" t="str">
        <f>HYPERLINK("mailto:barroyo@crm.otsuka-europe.com", "barroyo@crm.otsuka-europe.com")</f>
        <v>barroyo@crm.otsuka-europe.com</v>
      </c>
      <c r="N1760" s="23">
        <v>46175.524050925924</v>
      </c>
      <c r="O1760" s="14" t="str">
        <f>HYPERLINK("https://otsuka-europe-crm.veevavault.com/ui/#object/email_activity__v/V8C00000003L766", "EN-002087503")</f>
        <v>EN-002087503</v>
      </c>
    </row>
    <row r="1761" spans="1:15" ht="16" x14ac:dyDescent="0.2">
      <c r="A1761" s="18"/>
      <c r="B1761" s="18"/>
      <c r="C1761" s="18"/>
      <c r="D1761" s="18"/>
      <c r="E1761" s="18"/>
      <c r="F1761" s="18"/>
      <c r="G1761" s="18"/>
      <c r="H1761" s="18"/>
      <c r="I1761" s="18"/>
      <c r="J1761" s="18"/>
      <c r="K1761" s="18"/>
      <c r="L1761" s="18"/>
      <c r="M1761" s="18"/>
      <c r="N1761" s="18"/>
      <c r="O1761" s="14" t="str">
        <f>HYPERLINK("https://otsuka-europe-crm.veevavault.com/ui/#object/email_activity__v/V8C00000003M383", "EN-002088781")</f>
        <v>EN-002088781</v>
      </c>
    </row>
    <row r="1762" spans="1:15" ht="16" x14ac:dyDescent="0.2">
      <c r="A1762" s="18"/>
      <c r="B1762" s="18"/>
      <c r="C1762" s="18"/>
      <c r="D1762" s="18"/>
      <c r="E1762" s="18"/>
      <c r="F1762" s="18"/>
      <c r="G1762" s="18"/>
      <c r="H1762" s="18"/>
      <c r="I1762" s="18"/>
      <c r="J1762" s="18"/>
      <c r="K1762" s="18"/>
      <c r="L1762" s="18"/>
      <c r="M1762" s="18"/>
      <c r="N1762" s="18"/>
      <c r="O1762" s="14" t="str">
        <f>HYPERLINK("https://otsuka-europe-crm.veevavault.com/ui/#object/email_activity__v/V8C00000003M384", "EN-002088783")</f>
        <v>EN-002088783</v>
      </c>
    </row>
    <row r="1763" spans="1:15" ht="16" x14ac:dyDescent="0.2">
      <c r="A1763" s="19"/>
      <c r="B1763" s="19"/>
      <c r="C1763" s="19"/>
      <c r="D1763" s="19"/>
      <c r="E1763" s="19"/>
      <c r="F1763" s="19"/>
      <c r="G1763" s="19"/>
      <c r="H1763" s="19"/>
      <c r="I1763" s="19"/>
      <c r="J1763" s="19"/>
      <c r="K1763" s="19"/>
      <c r="L1763" s="19"/>
      <c r="M1763" s="19"/>
      <c r="N1763" s="19"/>
      <c r="O1763" s="14" t="str">
        <f>HYPERLINK("https://otsuka-europe-crm.veevavault.com/ui/#object/email_activity__v/V8C00000003M389", "EN-002088789")</f>
        <v>EN-002088789</v>
      </c>
    </row>
    <row r="1764" spans="1:15" ht="16" x14ac:dyDescent="0.2">
      <c r="A1764" s="17" t="str">
        <f>HYPERLINK("https://otsuka-europe-crm.veevavault.com/ui/#object/account__v/V4T000000021024", "SARA CARACENA LOPEZ")</f>
        <v>SARA CARACENA LOPEZ</v>
      </c>
      <c r="B1764" s="17" t="str">
        <f>HYPERLINK("https://otsuka-europe-crm.veevavault.com/ui/#object/vcountry__v/VENZ000004SONF5", "ES")</f>
        <v>ES</v>
      </c>
      <c r="C1764" s="20" t="s">
        <v>41</v>
      </c>
      <c r="D1764" s="21" t="str">
        <f>HYPERLINK("https://otsuka-europe-crm.veevavault.com/ui/#object/approved_document__v/V5OZ06G6O6RFL1P", "ES Veeva Privacy Notice Email")</f>
        <v>ES Veeva Privacy Notice Email</v>
      </c>
      <c r="E1764" s="22" t="str">
        <f>HYPERLINK("https://otsuka-europe-crm.veevavault.com/ui/#object/sent_email__v/VBL00000002N628", "SE-001431630")</f>
        <v>SE-001431630</v>
      </c>
      <c r="F1764" s="23">
        <v>46175.722199074073</v>
      </c>
      <c r="G1764" s="24">
        <v>1</v>
      </c>
      <c r="H1764" s="24">
        <v>2</v>
      </c>
      <c r="I1764" s="24">
        <v>0</v>
      </c>
      <c r="J1764" s="25"/>
      <c r="K1764" s="24">
        <v>0</v>
      </c>
      <c r="L1764" s="22" t="str">
        <f>HYPERLINK("https://otsuka-europe-crm.veevavault.com/ui/#object/approved_document__v/V5OZ06G6O6RFL1P", "ES Veeva Privacy Notice Email")</f>
        <v>ES Veeva Privacy Notice Email</v>
      </c>
      <c r="M1764" s="22" t="str">
        <f>HYPERLINK("mailto:abarral@crm.otsuka-europe.com", "abarral@crm.otsuka-europe.com")</f>
        <v>abarral@crm.otsuka-europe.com</v>
      </c>
      <c r="N1764" s="23">
        <v>46175.54855324074</v>
      </c>
      <c r="O1764" s="14" t="str">
        <f>HYPERLINK("https://otsuka-europe-crm.veevavault.com/ui/#object/email_activity__v/V8C00000003L774", "EN-002087520")</f>
        <v>EN-002087520</v>
      </c>
    </row>
    <row r="1765" spans="1:15" ht="16" x14ac:dyDescent="0.2">
      <c r="A1765" s="18"/>
      <c r="B1765" s="18"/>
      <c r="C1765" s="18"/>
      <c r="D1765" s="18"/>
      <c r="E1765" s="18"/>
      <c r="F1765" s="18"/>
      <c r="G1765" s="18"/>
      <c r="H1765" s="18"/>
      <c r="I1765" s="18"/>
      <c r="J1765" s="18"/>
      <c r="K1765" s="18"/>
      <c r="L1765" s="18"/>
      <c r="M1765" s="18"/>
      <c r="N1765" s="18"/>
      <c r="O1765" s="14" t="str">
        <f>HYPERLINK("https://otsuka-europe-crm.veevavault.com/ui/#object/email_activity__v/V8C00000003L775", "EN-002087522")</f>
        <v>EN-002087522</v>
      </c>
    </row>
    <row r="1766" spans="1:15" ht="16" x14ac:dyDescent="0.2">
      <c r="A1766" s="19"/>
      <c r="B1766" s="19"/>
      <c r="C1766" s="19"/>
      <c r="D1766" s="19"/>
      <c r="E1766" s="19"/>
      <c r="F1766" s="19"/>
      <c r="G1766" s="19"/>
      <c r="H1766" s="19"/>
      <c r="I1766" s="19"/>
      <c r="J1766" s="19"/>
      <c r="K1766" s="19"/>
      <c r="L1766" s="19"/>
      <c r="M1766" s="19"/>
      <c r="N1766" s="19"/>
      <c r="O1766" s="14" t="str">
        <f>HYPERLINK("https://otsuka-europe-crm.veevavault.com/ui/#object/email_activity__v/V8C00000003M116", "EN-002088045")</f>
        <v>EN-002088045</v>
      </c>
    </row>
    <row r="1767" spans="1:15" ht="16" x14ac:dyDescent="0.2">
      <c r="A1767" s="17" t="str">
        <f>HYPERLINK("https://otsuka-europe-crm.veevavault.com/ui/#object/account__v/V4TZ06G6O71T8N9", "MARIA JOSE LOPEZ RUIZ")</f>
        <v>MARIA JOSE LOPEZ RUIZ</v>
      </c>
      <c r="B1767" s="17" t="str">
        <f>HYPERLINK("https://otsuka-europe-crm.veevavault.com/ui/#object/vcountry__v/VENZ000004SONF5", "ES")</f>
        <v>ES</v>
      </c>
      <c r="C1767" s="20" t="s">
        <v>41</v>
      </c>
      <c r="D1767" s="21" t="str">
        <f>HYPERLINK("https://otsuka-europe-crm.veevavault.com/ui/#object/approved_document__v/V5O00000001A037", "LUP - VAE Póster Adelphi - Nefro")</f>
        <v>LUP - VAE Póster Adelphi - Nefro</v>
      </c>
      <c r="E1767" s="22" t="str">
        <f>HYPERLINK("https://otsuka-europe-crm.veevavault.com/ui/#object/sent_email__v/VBL00000002O168", "SE-001431631")</f>
        <v>SE-001431631</v>
      </c>
      <c r="F1767" s="23">
        <v>46175.83489583333</v>
      </c>
      <c r="G1767" s="24">
        <v>1</v>
      </c>
      <c r="H1767" s="24">
        <v>1</v>
      </c>
      <c r="I1767" s="24">
        <v>1</v>
      </c>
      <c r="J1767" s="23">
        <v>46175.83489583333</v>
      </c>
      <c r="K1767" s="24">
        <v>1</v>
      </c>
      <c r="L1767" s="22" t="str">
        <f>HYPERLINK("https://otsuka-europe-crm.veevavault.com/ui/#object/approved_document__v/V5O00000001A037", "LUP - VAE Póster Adelphi - Nefro")</f>
        <v>LUP - VAE Póster Adelphi - Nefro</v>
      </c>
      <c r="M1767" s="22" t="str">
        <f>HYPERLINK("mailto:vvalladares@crm.otsuka-europe.com", "vvalladares@crm.otsuka-europe.com")</f>
        <v>vvalladares@crm.otsuka-europe.com</v>
      </c>
      <c r="N1767" s="23">
        <v>46175.562893518516</v>
      </c>
      <c r="O1767" s="14" t="str">
        <f>HYPERLINK("https://otsuka-europe-crm.veevavault.com/ui/#object/email_activity__v/V8C00000003K927", "EN-002087680")</f>
        <v>EN-002087680</v>
      </c>
    </row>
    <row r="1768" spans="1:15" ht="16" x14ac:dyDescent="0.2">
      <c r="A1768" s="18"/>
      <c r="B1768" s="18"/>
      <c r="C1768" s="18"/>
      <c r="D1768" s="18"/>
      <c r="E1768" s="18"/>
      <c r="F1768" s="18"/>
      <c r="G1768" s="18"/>
      <c r="H1768" s="18"/>
      <c r="I1768" s="18"/>
      <c r="J1768" s="18"/>
      <c r="K1768" s="18"/>
      <c r="L1768" s="18"/>
      <c r="M1768" s="18"/>
      <c r="N1768" s="18"/>
      <c r="O1768" s="14" t="str">
        <f>HYPERLINK("https://otsuka-europe-crm.veevavault.com/ui/#object/email_activity__v/V8C00000003M191", "EN-002088374")</f>
        <v>EN-002088374</v>
      </c>
    </row>
    <row r="1769" spans="1:15" ht="16" x14ac:dyDescent="0.2">
      <c r="A1769" s="18"/>
      <c r="B1769" s="18"/>
      <c r="C1769" s="18"/>
      <c r="D1769" s="18"/>
      <c r="E1769" s="18"/>
      <c r="F1769" s="18"/>
      <c r="G1769" s="18"/>
      <c r="H1769" s="18"/>
      <c r="I1769" s="18"/>
      <c r="J1769" s="18"/>
      <c r="K1769" s="18"/>
      <c r="L1769" s="18"/>
      <c r="M1769" s="18"/>
      <c r="N1769" s="18"/>
      <c r="O1769" s="14" t="str">
        <f>HYPERLINK("https://otsuka-europe-crm.veevavault.com/ui/#object/email_activity__v/V8C00000003M192", "EN-002088372")</f>
        <v>EN-002088372</v>
      </c>
    </row>
    <row r="1770" spans="1:15" ht="16" x14ac:dyDescent="0.2">
      <c r="A1770" s="19"/>
      <c r="B1770" s="19"/>
      <c r="C1770" s="19"/>
      <c r="D1770" s="19"/>
      <c r="E1770" s="19"/>
      <c r="F1770" s="19"/>
      <c r="G1770" s="19"/>
      <c r="H1770" s="19"/>
      <c r="I1770" s="19"/>
      <c r="J1770" s="19"/>
      <c r="K1770" s="19"/>
      <c r="L1770" s="19"/>
      <c r="M1770" s="19"/>
      <c r="N1770" s="19"/>
      <c r="O1770" s="14" t="str">
        <f>HYPERLINK("https://otsuka-europe-crm.veevavault.com/ui/#object/email_activity__v/V8C00000003M201", "EN-002088382")</f>
        <v>EN-002088382</v>
      </c>
    </row>
    <row r="1771" spans="1:15" ht="16" x14ac:dyDescent="0.2">
      <c r="A1771" s="17" t="str">
        <f>HYPERLINK("https://otsuka-europe-crm.veevavault.com/ui/#object/account__v/V4TZ06G6O71T9AH", "BEATRIZ CONCEPCION AVILES BUENO")</f>
        <v>BEATRIZ CONCEPCION AVILES BUENO</v>
      </c>
      <c r="B1771" s="17" t="str">
        <f>HYPERLINK("https://otsuka-europe-crm.veevavault.com/ui/#object/vcountry__v/VENZ000004SONF5", "ES")</f>
        <v>ES</v>
      </c>
      <c r="C1771" s="20" t="s">
        <v>41</v>
      </c>
      <c r="D1771" s="21" t="str">
        <f>HYPERLINK("https://otsuka-europe-crm.veevavault.com/ui/#object/approved_document__v/V5O00000001A037", "LUP - VAE Póster Adelphi - Nefro")</f>
        <v>LUP - VAE Póster Adelphi - Nefro</v>
      </c>
      <c r="E1771" s="22" t="str">
        <f>HYPERLINK("https://otsuka-europe-crm.veevavault.com/ui/#object/sent_email__v/VBL00000002O169", "SE-001431632")</f>
        <v>SE-001431632</v>
      </c>
      <c r="F1771" s="23">
        <v>46175.652974537035</v>
      </c>
      <c r="G1771" s="24">
        <v>1</v>
      </c>
      <c r="H1771" s="24">
        <v>1</v>
      </c>
      <c r="I1771" s="24">
        <v>0</v>
      </c>
      <c r="J1771" s="25"/>
      <c r="K1771" s="24">
        <v>0</v>
      </c>
      <c r="L1771" s="22" t="str">
        <f>HYPERLINK("https://otsuka-europe-crm.veevavault.com/ui/#object/approved_document__v/V5O00000001A037", "LUP - VAE Póster Adelphi - Nefro")</f>
        <v>LUP - VAE Póster Adelphi - Nefro</v>
      </c>
      <c r="M1771" s="22" t="str">
        <f>HYPERLINK("mailto:vvalladares@crm.otsuka-europe.com", "vvalladares@crm.otsuka-europe.com")</f>
        <v>vvalladares@crm.otsuka-europe.com</v>
      </c>
      <c r="N1771" s="23">
        <v>46175.562893518516</v>
      </c>
      <c r="O1771" s="14" t="str">
        <f>HYPERLINK("https://otsuka-europe-crm.veevavault.com/ui/#object/email_activity__v/V8C00000003L848", "EN-002087700")</f>
        <v>EN-002087700</v>
      </c>
    </row>
    <row r="1772" spans="1:15" ht="16" x14ac:dyDescent="0.2">
      <c r="A1772" s="19"/>
      <c r="B1772" s="19"/>
      <c r="C1772" s="19"/>
      <c r="D1772" s="19"/>
      <c r="E1772" s="19"/>
      <c r="F1772" s="19"/>
      <c r="G1772" s="19"/>
      <c r="H1772" s="19"/>
      <c r="I1772" s="19"/>
      <c r="J1772" s="19"/>
      <c r="K1772" s="19"/>
      <c r="L1772" s="19"/>
      <c r="M1772" s="19"/>
      <c r="N1772" s="19"/>
      <c r="O1772" s="14" t="str">
        <f>HYPERLINK("https://otsuka-europe-crm.veevavault.com/ui/#object/email_activity__v/V8C00000003L975", "EN-002087945")</f>
        <v>EN-002087945</v>
      </c>
    </row>
    <row r="1773" spans="1:15" ht="16" x14ac:dyDescent="0.2">
      <c r="A1773" s="17" t="str">
        <f>HYPERLINK("https://otsuka-europe-crm.veevavault.com/ui/#object/account__v/V4TZ06G6O71TACA", "MANUEL JIMENEZ VILLODRES")</f>
        <v>MANUEL JIMENEZ VILLODRES</v>
      </c>
      <c r="B1773" s="17" t="str">
        <f>HYPERLINK("https://otsuka-europe-crm.veevavault.com/ui/#object/vcountry__v/VENZ000004SONF5", "ES")</f>
        <v>ES</v>
      </c>
      <c r="C1773" s="20" t="s">
        <v>41</v>
      </c>
      <c r="D1773" s="21" t="str">
        <f>HYPERLINK("https://otsuka-europe-crm.veevavault.com/ui/#object/approved_document__v/V5O00000001A037", "LUP - VAE Póster Adelphi - Nefro")</f>
        <v>LUP - VAE Póster Adelphi - Nefro</v>
      </c>
      <c r="E1773" s="22" t="str">
        <f>HYPERLINK("https://otsuka-europe-crm.veevavault.com/ui/#object/sent_email__v/VBL00000002O170", "SE-001431633")</f>
        <v>SE-001431633</v>
      </c>
      <c r="F1773" s="25"/>
      <c r="G1773" s="24">
        <v>0</v>
      </c>
      <c r="H1773" s="24">
        <v>0</v>
      </c>
      <c r="I1773" s="24">
        <v>0</v>
      </c>
      <c r="J1773" s="25"/>
      <c r="K1773" s="24">
        <v>0</v>
      </c>
      <c r="L1773" s="22" t="str">
        <f>HYPERLINK("https://otsuka-europe-crm.veevavault.com/ui/#object/approved_document__v/V5O00000001A037", "LUP - VAE Póster Adelphi - Nefro")</f>
        <v>LUP - VAE Póster Adelphi - Nefro</v>
      </c>
      <c r="M1773" s="22" t="str">
        <f>HYPERLINK("mailto:vvalladares@crm.otsuka-europe.com", "vvalladares@crm.otsuka-europe.com")</f>
        <v>vvalladares@crm.otsuka-europe.com</v>
      </c>
      <c r="N1773" s="23">
        <v>46175.562893518516</v>
      </c>
      <c r="O1773" s="14" t="str">
        <f>HYPERLINK("https://otsuka-europe-crm.veevavault.com/ui/#object/email_activity__v/V8C00000003K885", "EN-002087604")</f>
        <v>EN-002087604</v>
      </c>
    </row>
    <row r="1774" spans="1:15" ht="16" x14ac:dyDescent="0.2">
      <c r="A1774" s="19"/>
      <c r="B1774" s="19"/>
      <c r="C1774" s="19"/>
      <c r="D1774" s="19"/>
      <c r="E1774" s="19"/>
      <c r="F1774" s="19"/>
      <c r="G1774" s="19"/>
      <c r="H1774" s="19"/>
      <c r="I1774" s="19"/>
      <c r="J1774" s="19"/>
      <c r="K1774" s="19"/>
      <c r="L1774" s="19"/>
      <c r="M1774" s="19"/>
      <c r="N1774" s="19"/>
      <c r="O1774" s="14" t="str">
        <f>HYPERLINK("https://otsuka-europe-crm.veevavault.com/ui/#object/email_activity__v/V8C00000003L868", "EN-002087729")</f>
        <v>EN-002087729</v>
      </c>
    </row>
    <row r="1775" spans="1:15" ht="16" x14ac:dyDescent="0.2">
      <c r="A1775" s="17" t="str">
        <f>HYPERLINK("https://otsuka-europe-crm.veevavault.com/ui/#object/account__v/V4TZ06G6O71TAZ9", "CARLOS ALBERTO MAÑERO RODRIGUEZ")</f>
        <v>CARLOS ALBERTO MAÑERO RODRIGUEZ</v>
      </c>
      <c r="B1775" s="17" t="str">
        <f>HYPERLINK("https://otsuka-europe-crm.veevavault.com/ui/#object/vcountry__v/VENZ000004SONF5", "ES")</f>
        <v>ES</v>
      </c>
      <c r="C1775" s="20" t="s">
        <v>41</v>
      </c>
      <c r="D1775" s="21" t="str">
        <f>HYPERLINK("https://otsuka-europe-crm.veevavault.com/ui/#object/approved_document__v/V5O00000001A037", "LUP - VAE Póster Adelphi - Nefro")</f>
        <v>LUP - VAE Póster Adelphi - Nefro</v>
      </c>
      <c r="E1775" s="22" t="str">
        <f>HYPERLINK("https://otsuka-europe-crm.veevavault.com/ui/#object/sent_email__v/VBL00000002O171", "SE-001431634")</f>
        <v>SE-001431634</v>
      </c>
      <c r="F1775" s="25"/>
      <c r="G1775" s="24">
        <v>0</v>
      </c>
      <c r="H1775" s="24">
        <v>0</v>
      </c>
      <c r="I1775" s="24">
        <v>0</v>
      </c>
      <c r="J1775" s="25"/>
      <c r="K1775" s="24">
        <v>0</v>
      </c>
      <c r="L1775" s="22" t="str">
        <f>HYPERLINK("https://otsuka-europe-crm.veevavault.com/ui/#object/approved_document__v/V5O00000001A037", "LUP - VAE Póster Adelphi - Nefro")</f>
        <v>LUP - VAE Póster Adelphi - Nefro</v>
      </c>
      <c r="M1775" s="22" t="str">
        <f>HYPERLINK("mailto:vvalladares@crm.otsuka-europe.com", "vvalladares@crm.otsuka-europe.com")</f>
        <v>vvalladares@crm.otsuka-europe.com</v>
      </c>
      <c r="N1775" s="23">
        <v>46175.562893518516</v>
      </c>
      <c r="O1775" s="14" t="str">
        <f>HYPERLINK("https://otsuka-europe-crm.veevavault.com/ui/#object/email_activity__v/V8C00000003K917", "EN-002087646")</f>
        <v>EN-002087646</v>
      </c>
    </row>
    <row r="1776" spans="1:15" ht="16" x14ac:dyDescent="0.2">
      <c r="A1776" s="19"/>
      <c r="B1776" s="19"/>
      <c r="C1776" s="19"/>
      <c r="D1776" s="19"/>
      <c r="E1776" s="19"/>
      <c r="F1776" s="19"/>
      <c r="G1776" s="19"/>
      <c r="H1776" s="19"/>
      <c r="I1776" s="19"/>
      <c r="J1776" s="19"/>
      <c r="K1776" s="19"/>
      <c r="L1776" s="19"/>
      <c r="M1776" s="19"/>
      <c r="N1776" s="19"/>
      <c r="O1776" s="14" t="str">
        <f>HYPERLINK("https://otsuka-europe-crm.veevavault.com/ui/#object/email_activity__v/V8C00000003N532", "EN-002088839")</f>
        <v>EN-002088839</v>
      </c>
    </row>
    <row r="1777" spans="1:15" ht="16" x14ac:dyDescent="0.2">
      <c r="A1777" s="17" t="str">
        <f>HYPERLINK("https://otsuka-europe-crm.veevavault.com/ui/#object/account__v/V4TZ06G6O71TBOA", "MARIA CARMEN PRADOS SOLER")</f>
        <v>MARIA CARMEN PRADOS SOLER</v>
      </c>
      <c r="B1777" s="17" t="str">
        <f>HYPERLINK("https://otsuka-europe-crm.veevavault.com/ui/#object/vcountry__v/VENZ000004SONF5", "ES")</f>
        <v>ES</v>
      </c>
      <c r="C1777" s="20" t="s">
        <v>41</v>
      </c>
      <c r="D1777" s="21" t="str">
        <f>HYPERLINK("https://otsuka-europe-crm.veevavault.com/ui/#object/approved_document__v/V5O00000001A037", "LUP - VAE Póster Adelphi - Nefro")</f>
        <v>LUP - VAE Póster Adelphi - Nefro</v>
      </c>
      <c r="E1777" s="22" t="str">
        <f>HYPERLINK("https://otsuka-europe-crm.veevavault.com/ui/#object/sent_email__v/VBL00000002O172", "SE-001431635")</f>
        <v>SE-001431635</v>
      </c>
      <c r="F1777" s="23">
        <v>46175.788541666669</v>
      </c>
      <c r="G1777" s="24">
        <v>1</v>
      </c>
      <c r="H1777" s="24">
        <v>2</v>
      </c>
      <c r="I1777" s="24">
        <v>1</v>
      </c>
      <c r="J1777" s="23">
        <v>46175.788645833331</v>
      </c>
      <c r="K1777" s="24">
        <v>1</v>
      </c>
      <c r="L1777" s="22" t="str">
        <f>HYPERLINK("https://otsuka-europe-crm.veevavault.com/ui/#object/approved_document__v/V5O00000001A037", "LUP - VAE Póster Adelphi - Nefro")</f>
        <v>LUP - VAE Póster Adelphi - Nefro</v>
      </c>
      <c r="M1777" s="22" t="str">
        <f>HYPERLINK("mailto:vvalladares@crm.otsuka-europe.com", "vvalladares@crm.otsuka-europe.com")</f>
        <v>vvalladares@crm.otsuka-europe.com</v>
      </c>
      <c r="N1777" s="23">
        <v>46175.562893518516</v>
      </c>
      <c r="O1777" s="14" t="str">
        <f>HYPERLINK("https://otsuka-europe-crm.veevavault.com/ui/#object/email_activity__v/V8C00000003L823", "EN-002087658")</f>
        <v>EN-002087658</v>
      </c>
    </row>
    <row r="1778" spans="1:15" ht="16" x14ac:dyDescent="0.2">
      <c r="A1778" s="18"/>
      <c r="B1778" s="18"/>
      <c r="C1778" s="18"/>
      <c r="D1778" s="18"/>
      <c r="E1778" s="18"/>
      <c r="F1778" s="18"/>
      <c r="G1778" s="18"/>
      <c r="H1778" s="18"/>
      <c r="I1778" s="18"/>
      <c r="J1778" s="18"/>
      <c r="K1778" s="18"/>
      <c r="L1778" s="18"/>
      <c r="M1778" s="18"/>
      <c r="N1778" s="18"/>
      <c r="O1778" s="14" t="str">
        <f>HYPERLINK("https://otsuka-europe-crm.veevavault.com/ui/#object/email_activity__v/V8C00000003N233", "EN-002088277")</f>
        <v>EN-002088277</v>
      </c>
    </row>
    <row r="1779" spans="1:15" ht="16" x14ac:dyDescent="0.2">
      <c r="A1779" s="18"/>
      <c r="B1779" s="18"/>
      <c r="C1779" s="18"/>
      <c r="D1779" s="18"/>
      <c r="E1779" s="18"/>
      <c r="F1779" s="18"/>
      <c r="G1779" s="18"/>
      <c r="H1779" s="18"/>
      <c r="I1779" s="18"/>
      <c r="J1779" s="18"/>
      <c r="K1779" s="18"/>
      <c r="L1779" s="18"/>
      <c r="M1779" s="18"/>
      <c r="N1779" s="18"/>
      <c r="O1779" s="14" t="str">
        <f>HYPERLINK("https://otsuka-europe-crm.veevavault.com/ui/#object/email_activity__v/V8C00000003N243", "EN-002088299")</f>
        <v>EN-002088299</v>
      </c>
    </row>
    <row r="1780" spans="1:15" ht="16" x14ac:dyDescent="0.2">
      <c r="A1780" s="18"/>
      <c r="B1780" s="18"/>
      <c r="C1780" s="18"/>
      <c r="D1780" s="18"/>
      <c r="E1780" s="18"/>
      <c r="F1780" s="18"/>
      <c r="G1780" s="18"/>
      <c r="H1780" s="18"/>
      <c r="I1780" s="18"/>
      <c r="J1780" s="18"/>
      <c r="K1780" s="18"/>
      <c r="L1780" s="18"/>
      <c r="M1780" s="18"/>
      <c r="N1780" s="18"/>
      <c r="O1780" s="14" t="str">
        <f>HYPERLINK("https://otsuka-europe-crm.veevavault.com/ui/#object/email_activity__v/V8C00000003N244", "EN-002088300")</f>
        <v>EN-002088300</v>
      </c>
    </row>
    <row r="1781" spans="1:15" ht="16" x14ac:dyDescent="0.2">
      <c r="A1781" s="19"/>
      <c r="B1781" s="19"/>
      <c r="C1781" s="19"/>
      <c r="D1781" s="19"/>
      <c r="E1781" s="19"/>
      <c r="F1781" s="19"/>
      <c r="G1781" s="19"/>
      <c r="H1781" s="19"/>
      <c r="I1781" s="19"/>
      <c r="J1781" s="19"/>
      <c r="K1781" s="19"/>
      <c r="L1781" s="19"/>
      <c r="M1781" s="19"/>
      <c r="N1781" s="19"/>
      <c r="O1781" s="14" t="str">
        <f>HYPERLINK("https://otsuka-europe-crm.veevavault.com/ui/#object/email_activity__v/V8C00000003N254", "EN-002088320")</f>
        <v>EN-002088320</v>
      </c>
    </row>
    <row r="1782" spans="1:15" ht="16" x14ac:dyDescent="0.2">
      <c r="A1782" s="17" t="str">
        <f>HYPERLINK("https://otsuka-europe-crm.veevavault.com/ui/#object/account__v/V4TZ06G6O71TAU0", "MANUEL LUIS MACIA HERAS")</f>
        <v>MANUEL LUIS MACIA HERAS</v>
      </c>
      <c r="B1782" s="17" t="str">
        <f>HYPERLINK("https://otsuka-europe-crm.veevavault.com/ui/#object/vcountry__v/VENZ000004SONF5", "ES")</f>
        <v>ES</v>
      </c>
      <c r="C1782" s="20" t="s">
        <v>41</v>
      </c>
      <c r="D1782" s="21" t="str">
        <f>HYPERLINK("https://otsuka-europe-crm.veevavault.com/ui/#object/approved_document__v/V5O00000001A037", "LUP - VAE Póster Adelphi - Nefro")</f>
        <v>LUP - VAE Póster Adelphi - Nefro</v>
      </c>
      <c r="E1782" s="22" t="str">
        <f>HYPERLINK("https://otsuka-europe-crm.veevavault.com/ui/#object/sent_email__v/VBL00000002O173", "SE-001431636")</f>
        <v>SE-001431636</v>
      </c>
      <c r="F1782" s="25"/>
      <c r="G1782" s="24">
        <v>0</v>
      </c>
      <c r="H1782" s="24">
        <v>0</v>
      </c>
      <c r="I1782" s="24">
        <v>1</v>
      </c>
      <c r="J1782" s="23">
        <v>46175.657627314817</v>
      </c>
      <c r="K1782" s="24">
        <v>1</v>
      </c>
      <c r="L1782" s="22" t="str">
        <f>HYPERLINK("https://otsuka-europe-crm.veevavault.com/ui/#object/approved_document__v/V5O00000001A037", "LUP - VAE Póster Adelphi - Nefro")</f>
        <v>LUP - VAE Póster Adelphi - Nefro</v>
      </c>
      <c r="M1782" s="22" t="str">
        <f>HYPERLINK("mailto:vvalladares@crm.otsuka-europe.com", "vvalladares@crm.otsuka-europe.com")</f>
        <v>vvalladares@crm.otsuka-europe.com</v>
      </c>
      <c r="N1782" s="23">
        <v>46175.562893518516</v>
      </c>
      <c r="O1782" s="14" t="str">
        <f>HYPERLINK("https://otsuka-europe-crm.veevavault.com/ui/#object/email_activity__v/V8C00000003L838", "EN-002087674")</f>
        <v>EN-002087674</v>
      </c>
    </row>
    <row r="1783" spans="1:15" ht="16" x14ac:dyDescent="0.2">
      <c r="A1783" s="18"/>
      <c r="B1783" s="18"/>
      <c r="C1783" s="18"/>
      <c r="D1783" s="18"/>
      <c r="E1783" s="18"/>
      <c r="F1783" s="18"/>
      <c r="G1783" s="18"/>
      <c r="H1783" s="18"/>
      <c r="I1783" s="18"/>
      <c r="J1783" s="18"/>
      <c r="K1783" s="18"/>
      <c r="L1783" s="18"/>
      <c r="M1783" s="18"/>
      <c r="N1783" s="18"/>
      <c r="O1783" s="14" t="str">
        <f>HYPERLINK("https://otsuka-europe-crm.veevavault.com/ui/#object/email_activity__v/V8C00000003L976", "EN-002087950")</f>
        <v>EN-002087950</v>
      </c>
    </row>
    <row r="1784" spans="1:15" ht="16" x14ac:dyDescent="0.2">
      <c r="A1784" s="18"/>
      <c r="B1784" s="18"/>
      <c r="C1784" s="18"/>
      <c r="D1784" s="18"/>
      <c r="E1784" s="18"/>
      <c r="F1784" s="18"/>
      <c r="G1784" s="18"/>
      <c r="H1784" s="18"/>
      <c r="I1784" s="18"/>
      <c r="J1784" s="18"/>
      <c r="K1784" s="18"/>
      <c r="L1784" s="18"/>
      <c r="M1784" s="18"/>
      <c r="N1784" s="18"/>
      <c r="O1784" s="14" t="str">
        <f>HYPERLINK("https://otsuka-europe-crm.veevavault.com/ui/#object/email_activity__v/V8C00000003L977", "EN-002087951")</f>
        <v>EN-002087951</v>
      </c>
    </row>
    <row r="1785" spans="1:15" ht="16" x14ac:dyDescent="0.2">
      <c r="A1785" s="19"/>
      <c r="B1785" s="19"/>
      <c r="C1785" s="19"/>
      <c r="D1785" s="19"/>
      <c r="E1785" s="19"/>
      <c r="F1785" s="19"/>
      <c r="G1785" s="19"/>
      <c r="H1785" s="19"/>
      <c r="I1785" s="19"/>
      <c r="J1785" s="19"/>
      <c r="K1785" s="19"/>
      <c r="L1785" s="19"/>
      <c r="M1785" s="19"/>
      <c r="N1785" s="19"/>
      <c r="O1785" s="14" t="str">
        <f>HYPERLINK("https://otsuka-europe-crm.veevavault.com/ui/#object/email_activity__v/V8C00000003L991", "EN-002087979")</f>
        <v>EN-002087979</v>
      </c>
    </row>
    <row r="1786" spans="1:15" ht="16" x14ac:dyDescent="0.2">
      <c r="A1786" s="17" t="str">
        <f>HYPERLINK("https://otsuka-europe-crm.veevavault.com/ui/#object/account__v/V4TZ06G6O71T9SI", "EDUARDO DE BONIS REDONDO")</f>
        <v>EDUARDO DE BONIS REDONDO</v>
      </c>
      <c r="B1786" s="17" t="str">
        <f>HYPERLINK("https://otsuka-europe-crm.veevavault.com/ui/#object/vcountry__v/VENZ000004SONF5", "ES")</f>
        <v>ES</v>
      </c>
      <c r="C1786" s="20" t="s">
        <v>41</v>
      </c>
      <c r="D1786" s="21" t="str">
        <f>HYPERLINK("https://otsuka-europe-crm.veevavault.com/ui/#object/approved_document__v/V5O00000001A037", "LUP - VAE Póster Adelphi - Nefro")</f>
        <v>LUP - VAE Póster Adelphi - Nefro</v>
      </c>
      <c r="E1786" s="22" t="str">
        <f>HYPERLINK("https://otsuka-europe-crm.veevavault.com/ui/#object/sent_email__v/VBL00000002O174", "SE-001431637")</f>
        <v>SE-001431637</v>
      </c>
      <c r="F1786" s="23">
        <v>46175.660636574074</v>
      </c>
      <c r="G1786" s="24">
        <v>1</v>
      </c>
      <c r="H1786" s="24">
        <v>2</v>
      </c>
      <c r="I1786" s="24">
        <v>0</v>
      </c>
      <c r="J1786" s="25"/>
      <c r="K1786" s="24">
        <v>0</v>
      </c>
      <c r="L1786" s="22" t="str">
        <f>HYPERLINK("https://otsuka-europe-crm.veevavault.com/ui/#object/approved_document__v/V5O00000001A037", "LUP - VAE Póster Adelphi - Nefro")</f>
        <v>LUP - VAE Póster Adelphi - Nefro</v>
      </c>
      <c r="M1786" s="22" t="str">
        <f>HYPERLINK("mailto:vvalladares@crm.otsuka-europe.com", "vvalladares@crm.otsuka-europe.com")</f>
        <v>vvalladares@crm.otsuka-europe.com</v>
      </c>
      <c r="N1786" s="23">
        <v>46175.562893518516</v>
      </c>
      <c r="O1786" s="14" t="str">
        <f>HYPERLINK("https://otsuka-europe-crm.veevavault.com/ui/#object/email_activity__v/V8C00000003L822", "EN-002087657")</f>
        <v>EN-002087657</v>
      </c>
    </row>
    <row r="1787" spans="1:15" ht="16" x14ac:dyDescent="0.2">
      <c r="A1787" s="18"/>
      <c r="B1787" s="18"/>
      <c r="C1787" s="18"/>
      <c r="D1787" s="18"/>
      <c r="E1787" s="18"/>
      <c r="F1787" s="18"/>
      <c r="G1787" s="18"/>
      <c r="H1787" s="18"/>
      <c r="I1787" s="18"/>
      <c r="J1787" s="18"/>
      <c r="K1787" s="18"/>
      <c r="L1787" s="18"/>
      <c r="M1787" s="18"/>
      <c r="N1787" s="18"/>
      <c r="O1787" s="14" t="str">
        <f>HYPERLINK("https://otsuka-europe-crm.veevavault.com/ui/#object/email_activity__v/V8C00000003L978", "EN-002087952")</f>
        <v>EN-002087952</v>
      </c>
    </row>
    <row r="1788" spans="1:15" ht="16" x14ac:dyDescent="0.2">
      <c r="A1788" s="19"/>
      <c r="B1788" s="19"/>
      <c r="C1788" s="19"/>
      <c r="D1788" s="19"/>
      <c r="E1788" s="19"/>
      <c r="F1788" s="19"/>
      <c r="G1788" s="19"/>
      <c r="H1788" s="19"/>
      <c r="I1788" s="19"/>
      <c r="J1788" s="19"/>
      <c r="K1788" s="19"/>
      <c r="L1788" s="19"/>
      <c r="M1788" s="19"/>
      <c r="N1788" s="19"/>
      <c r="O1788" s="14" t="str">
        <f>HYPERLINK("https://otsuka-europe-crm.veevavault.com/ui/#object/email_activity__v/V8C00000003L979", "EN-002087953")</f>
        <v>EN-002087953</v>
      </c>
    </row>
    <row r="1789" spans="1:15" ht="16" x14ac:dyDescent="0.2">
      <c r="A1789" s="17" t="str">
        <f>HYPERLINK("https://otsuka-europe-crm.veevavault.com/ui/#object/account__v/V4TZ06G6O71T7OH", "DIEGO ALVAREZ SOSA")</f>
        <v>DIEGO ALVAREZ SOSA</v>
      </c>
      <c r="B1789" s="17" t="str">
        <f>HYPERLINK("https://otsuka-europe-crm.veevavault.com/ui/#object/vcountry__v/VENZ000004SONF5", "ES")</f>
        <v>ES</v>
      </c>
      <c r="C1789" s="20" t="s">
        <v>41</v>
      </c>
      <c r="D1789" s="21" t="str">
        <f>HYPERLINK("https://otsuka-europe-crm.veevavault.com/ui/#object/approved_document__v/V5O00000001A037", "LUP - VAE Póster Adelphi - Nefro")</f>
        <v>LUP - VAE Póster Adelphi - Nefro</v>
      </c>
      <c r="E1789" s="22" t="str">
        <f>HYPERLINK("https://otsuka-europe-crm.veevavault.com/ui/#object/sent_email__v/VBL00000002O175", "SE-001431638")</f>
        <v>SE-001431638</v>
      </c>
      <c r="F1789" s="25"/>
      <c r="G1789" s="24">
        <v>0</v>
      </c>
      <c r="H1789" s="24">
        <v>0</v>
      </c>
      <c r="I1789" s="24">
        <v>0</v>
      </c>
      <c r="J1789" s="25"/>
      <c r="K1789" s="24">
        <v>0</v>
      </c>
      <c r="L1789" s="22" t="str">
        <f>HYPERLINK("https://otsuka-europe-crm.veevavault.com/ui/#object/approved_document__v/V5O00000001A037", "LUP - VAE Póster Adelphi - Nefro")</f>
        <v>LUP - VAE Póster Adelphi - Nefro</v>
      </c>
      <c r="M1789" s="22" t="str">
        <f>HYPERLINK("mailto:vvalladares@crm.otsuka-europe.com", "vvalladares@crm.otsuka-europe.com")</f>
        <v>vvalladares@crm.otsuka-europe.com</v>
      </c>
      <c r="N1789" s="23">
        <v>46175.562893518516</v>
      </c>
      <c r="O1789" s="14" t="str">
        <f>HYPERLINK("https://otsuka-europe-crm.veevavault.com/ui/#object/email_activity__v/V8C00000003L800", "EN-002087567")</f>
        <v>EN-002087567</v>
      </c>
    </row>
    <row r="1790" spans="1:15" ht="16" x14ac:dyDescent="0.2">
      <c r="A1790" s="19"/>
      <c r="B1790" s="19"/>
      <c r="C1790" s="19"/>
      <c r="D1790" s="19"/>
      <c r="E1790" s="19"/>
      <c r="F1790" s="19"/>
      <c r="G1790" s="19"/>
      <c r="H1790" s="19"/>
      <c r="I1790" s="19"/>
      <c r="J1790" s="19"/>
      <c r="K1790" s="19"/>
      <c r="L1790" s="19"/>
      <c r="M1790" s="19"/>
      <c r="N1790" s="19"/>
      <c r="O1790" s="14" t="str">
        <f>HYPERLINK("https://otsuka-europe-crm.veevavault.com/ui/#object/email_activity__v/V8C00000003L948", "EN-002087885")</f>
        <v>EN-002087885</v>
      </c>
    </row>
    <row r="1791" spans="1:15" ht="16" x14ac:dyDescent="0.2">
      <c r="A1791" s="17" t="str">
        <f>HYPERLINK("https://otsuka-europe-crm.veevavault.com/ui/#object/account__v/V4TZ06G6O71TA0F", "REMEDIOS GAROFANO LOPEZ")</f>
        <v>REMEDIOS GAROFANO LOPEZ</v>
      </c>
      <c r="B1791" s="17" t="str">
        <f>HYPERLINK("https://otsuka-europe-crm.veevavault.com/ui/#object/vcountry__v/VENZ000004SONF5", "ES")</f>
        <v>ES</v>
      </c>
      <c r="C1791" s="20" t="s">
        <v>41</v>
      </c>
      <c r="D1791" s="21" t="str">
        <f>HYPERLINK("https://otsuka-europe-crm.veevavault.com/ui/#object/approved_document__v/V5O00000001A037", "LUP - VAE Póster Adelphi - Nefro")</f>
        <v>LUP - VAE Póster Adelphi - Nefro</v>
      </c>
      <c r="E1791" s="22" t="str">
        <f>HYPERLINK("https://otsuka-europe-crm.veevavault.com/ui/#object/sent_email__v/VBL00000002O176", "SE-001431639")</f>
        <v>SE-001431639</v>
      </c>
      <c r="F1791" s="25"/>
      <c r="G1791" s="24">
        <v>0</v>
      </c>
      <c r="H1791" s="24">
        <v>0</v>
      </c>
      <c r="I1791" s="24">
        <v>0</v>
      </c>
      <c r="J1791" s="25"/>
      <c r="K1791" s="24">
        <v>0</v>
      </c>
      <c r="L1791" s="22" t="str">
        <f>HYPERLINK("https://otsuka-europe-crm.veevavault.com/ui/#object/approved_document__v/V5O00000001A037", "LUP - VAE Póster Adelphi - Nefro")</f>
        <v>LUP - VAE Póster Adelphi - Nefro</v>
      </c>
      <c r="M1791" s="22" t="str">
        <f>HYPERLINK("mailto:vvalladares@crm.otsuka-europe.com", "vvalladares@crm.otsuka-europe.com")</f>
        <v>vvalladares@crm.otsuka-europe.com</v>
      </c>
      <c r="N1791" s="23">
        <v>46175.562893518516</v>
      </c>
      <c r="O1791" s="14" t="str">
        <f>HYPERLINK("https://otsuka-europe-crm.veevavault.com/ui/#object/email_activity__v/V8C00000003K932", "EN-002087685")</f>
        <v>EN-002087685</v>
      </c>
    </row>
    <row r="1792" spans="1:15" ht="16" x14ac:dyDescent="0.2">
      <c r="A1792" s="19"/>
      <c r="B1792" s="19"/>
      <c r="C1792" s="19"/>
      <c r="D1792" s="19"/>
      <c r="E1792" s="19"/>
      <c r="F1792" s="19"/>
      <c r="G1792" s="19"/>
      <c r="H1792" s="19"/>
      <c r="I1792" s="19"/>
      <c r="J1792" s="19"/>
      <c r="K1792" s="19"/>
      <c r="L1792" s="19"/>
      <c r="M1792" s="19"/>
      <c r="N1792" s="19"/>
      <c r="O1792" s="14" t="str">
        <f>HYPERLINK("https://otsuka-europe-crm.veevavault.com/ui/#object/email_activity__v/V8C00000003N289", "EN-002088435")</f>
        <v>EN-002088435</v>
      </c>
    </row>
    <row r="1793" spans="1:15" ht="16" x14ac:dyDescent="0.2">
      <c r="A1793" s="17" t="str">
        <f>HYPERLINK("https://otsuka-europe-crm.veevavault.com/ui/#object/account__v/V4TZ06G6O71T9N0", "MARIA ANGELES COBO CASO")</f>
        <v>MARIA ANGELES COBO CASO</v>
      </c>
      <c r="B1793" s="17" t="str">
        <f>HYPERLINK("https://otsuka-europe-crm.veevavault.com/ui/#object/vcountry__v/VENZ000004SONF5", "ES")</f>
        <v>ES</v>
      </c>
      <c r="C1793" s="20" t="s">
        <v>41</v>
      </c>
      <c r="D1793" s="21" t="str">
        <f>HYPERLINK("https://otsuka-europe-crm.veevavault.com/ui/#object/approved_document__v/V5O00000001A037", "LUP - VAE Póster Adelphi - Nefro")</f>
        <v>LUP - VAE Póster Adelphi - Nefro</v>
      </c>
      <c r="E1793" s="22" t="str">
        <f>HYPERLINK("https://otsuka-europe-crm.veevavault.com/ui/#object/sent_email__v/VBL00000002O177", "SE-001431640")</f>
        <v>SE-001431640</v>
      </c>
      <c r="F1793" s="23">
        <v>46178.551249999997</v>
      </c>
      <c r="G1793" s="24">
        <v>1</v>
      </c>
      <c r="H1793" s="24">
        <v>1</v>
      </c>
      <c r="I1793" s="24">
        <v>0</v>
      </c>
      <c r="J1793" s="25"/>
      <c r="K1793" s="24">
        <v>0</v>
      </c>
      <c r="L1793" s="22" t="str">
        <f>HYPERLINK("https://otsuka-europe-crm.veevavault.com/ui/#object/approved_document__v/V5O00000001A037", "LUP - VAE Póster Adelphi - Nefro")</f>
        <v>LUP - VAE Póster Adelphi - Nefro</v>
      </c>
      <c r="M1793" s="22" t="str">
        <f>HYPERLINK("mailto:vvalladares@crm.otsuka-europe.com", "vvalladares@crm.otsuka-europe.com")</f>
        <v>vvalladares@crm.otsuka-europe.com</v>
      </c>
      <c r="N1793" s="23">
        <v>46175.562905092593</v>
      </c>
      <c r="O1793" s="14" t="str">
        <f>HYPERLINK("https://otsuka-europe-crm.veevavault.com/ui/#object/email_activity__v/V8C00000003K901", "EN-002087629")</f>
        <v>EN-002087629</v>
      </c>
    </row>
    <row r="1794" spans="1:15" ht="16" x14ac:dyDescent="0.2">
      <c r="A1794" s="19"/>
      <c r="B1794" s="19"/>
      <c r="C1794" s="19"/>
      <c r="D1794" s="19"/>
      <c r="E1794" s="19"/>
      <c r="F1794" s="19"/>
      <c r="G1794" s="19"/>
      <c r="H1794" s="19"/>
      <c r="I1794" s="19"/>
      <c r="J1794" s="19"/>
      <c r="K1794" s="19"/>
      <c r="L1794" s="19"/>
      <c r="M1794" s="19"/>
      <c r="N1794" s="19"/>
      <c r="O1794" s="14" t="str">
        <f>HYPERLINK("https://otsuka-europe-crm.veevavault.com/ui/#object/email_activity__v/V8C00000003P055", "EN-002089345")</f>
        <v>EN-002089345</v>
      </c>
    </row>
    <row r="1795" spans="1:15" ht="16" x14ac:dyDescent="0.2">
      <c r="A1795" s="17" t="str">
        <f>HYPERLINK("https://otsuka-europe-crm.veevavault.com/ui/#object/account__v/V4TZ06G6O71TAN9", "MARIA MAR LAGO ALONSO")</f>
        <v>MARIA MAR LAGO ALONSO</v>
      </c>
      <c r="B1795" s="17" t="str">
        <f>HYPERLINK("https://otsuka-europe-crm.veevavault.com/ui/#object/vcountry__v/VENZ000004SONF5", "ES")</f>
        <v>ES</v>
      </c>
      <c r="C1795" s="20" t="s">
        <v>41</v>
      </c>
      <c r="D1795" s="21" t="str">
        <f>HYPERLINK("https://otsuka-europe-crm.veevavault.com/ui/#object/approved_document__v/V5O00000001A037", "LUP - VAE Póster Adelphi - Nefro")</f>
        <v>LUP - VAE Póster Adelphi - Nefro</v>
      </c>
      <c r="E1795" s="22" t="str">
        <f>HYPERLINK("https://otsuka-europe-crm.veevavault.com/ui/#object/sent_email__v/VBL00000002O178", "SE-001431641")</f>
        <v>SE-001431641</v>
      </c>
      <c r="F1795" s="23">
        <v>46175.563657407409</v>
      </c>
      <c r="G1795" s="24">
        <v>1</v>
      </c>
      <c r="H1795" s="24">
        <v>1</v>
      </c>
      <c r="I1795" s="24">
        <v>0</v>
      </c>
      <c r="J1795" s="25"/>
      <c r="K1795" s="24">
        <v>0</v>
      </c>
      <c r="L1795" s="22" t="str">
        <f>HYPERLINK("https://otsuka-europe-crm.veevavault.com/ui/#object/approved_document__v/V5O00000001A037", "LUP - VAE Póster Adelphi - Nefro")</f>
        <v>LUP - VAE Póster Adelphi - Nefro</v>
      </c>
      <c r="M1795" s="22" t="str">
        <f>HYPERLINK("mailto:vvalladares@crm.otsuka-europe.com", "vvalladares@crm.otsuka-europe.com")</f>
        <v>vvalladares@crm.otsuka-europe.com</v>
      </c>
      <c r="N1795" s="23">
        <v>46175.562893518516</v>
      </c>
      <c r="O1795" s="14" t="str">
        <f>HYPERLINK("https://otsuka-europe-crm.veevavault.com/ui/#object/email_activity__v/V8C00000003L799", "EN-002087566")</f>
        <v>EN-002087566</v>
      </c>
    </row>
    <row r="1796" spans="1:15" ht="16" x14ac:dyDescent="0.2">
      <c r="A1796" s="19"/>
      <c r="B1796" s="19"/>
      <c r="C1796" s="19"/>
      <c r="D1796" s="19"/>
      <c r="E1796" s="19"/>
      <c r="F1796" s="19"/>
      <c r="G1796" s="19"/>
      <c r="H1796" s="19"/>
      <c r="I1796" s="19"/>
      <c r="J1796" s="19"/>
      <c r="K1796" s="19"/>
      <c r="L1796" s="19"/>
      <c r="M1796" s="19"/>
      <c r="N1796" s="19"/>
      <c r="O1796" s="14" t="str">
        <f>HYPERLINK("https://otsuka-europe-crm.veevavault.com/ui/#object/email_activity__v/V8C00000003L850", "EN-002087706")</f>
        <v>EN-002087706</v>
      </c>
    </row>
    <row r="1797" spans="1:15" ht="32" x14ac:dyDescent="0.2">
      <c r="A1797" s="7" t="str">
        <f>HYPERLINK("https://otsuka-europe-crm.veevavault.com/ui/#object/account__v/V4TZ06G6O71T8Z8", "SARA ESTUPIÑAN TORRES")</f>
        <v>SARA ESTUPIÑAN TORRES</v>
      </c>
      <c r="B1797" s="7" t="str">
        <f>HYPERLINK("https://otsuka-europe-crm.veevavault.com/ui/#object/vcountry__v/VENZ000004SONF5", "ES")</f>
        <v>ES</v>
      </c>
      <c r="C1797" s="8" t="s">
        <v>41</v>
      </c>
      <c r="D1797" s="9" t="str">
        <f>HYPERLINK("https://otsuka-europe-crm.veevavault.com/ui/#object/approved_document__v/V5O00000001A037", "LUP - VAE Póster Adelphi - Nefro")</f>
        <v>LUP - VAE Póster Adelphi - Nefro</v>
      </c>
      <c r="E1797" s="10" t="str">
        <f>HYPERLINK("https://otsuka-europe-crm.veevavault.com/ui/#object/sent_email__v/VBL00000002O179", "SE-001431642")</f>
        <v>SE-001431642</v>
      </c>
      <c r="F1797" s="11"/>
      <c r="G1797" s="12">
        <v>0</v>
      </c>
      <c r="H1797" s="12">
        <v>0</v>
      </c>
      <c r="I1797" s="12">
        <v>0</v>
      </c>
      <c r="J1797" s="11"/>
      <c r="K1797" s="12">
        <v>0</v>
      </c>
      <c r="L1797" s="10" t="str">
        <f>HYPERLINK("https://otsuka-europe-crm.veevavault.com/ui/#object/approved_document__v/V5O00000001A037", "LUP - VAE Póster Adelphi - Nefro")</f>
        <v>LUP - VAE Póster Adelphi - Nefro</v>
      </c>
      <c r="M1797" s="10" t="str">
        <f>HYPERLINK("mailto:vvalladares@crm.otsuka-europe.com", "vvalladares@crm.otsuka-europe.com")</f>
        <v>vvalladares@crm.otsuka-europe.com</v>
      </c>
      <c r="N1797" s="13">
        <v>46175.562893518516</v>
      </c>
      <c r="O1797" s="14" t="str">
        <f>HYPERLINK("https://otsuka-europe-crm.veevavault.com/ui/#object/email_activity__v/V8C00000003K860", "EN-002087579")</f>
        <v>EN-002087579</v>
      </c>
    </row>
    <row r="1798" spans="1:15" ht="16" x14ac:dyDescent="0.2">
      <c r="A1798" s="17" t="str">
        <f>HYPERLINK("https://otsuka-europe-crm.veevavault.com/ui/#object/account__v/V4TZ04ASG9UDWHP", "ELENA TERAN GARCIA")</f>
        <v>ELENA TERAN GARCIA</v>
      </c>
      <c r="B1798" s="17" t="str">
        <f>HYPERLINK("https://otsuka-europe-crm.veevavault.com/ui/#object/vcountry__v/VENZ000004SONF5", "ES")</f>
        <v>ES</v>
      </c>
      <c r="C1798" s="20" t="s">
        <v>41</v>
      </c>
      <c r="D1798" s="21" t="str">
        <f>HYPERLINK("https://otsuka-europe-crm.veevavault.com/ui/#object/approved_document__v/V5O00000001A037", "LUP - VAE Póster Adelphi - Nefro")</f>
        <v>LUP - VAE Póster Adelphi - Nefro</v>
      </c>
      <c r="E1798" s="22" t="str">
        <f>HYPERLINK("https://otsuka-europe-crm.veevavault.com/ui/#object/sent_email__v/VBL00000002O180", "SE-001431643")</f>
        <v>SE-001431643</v>
      </c>
      <c r="F1798" s="23">
        <v>46175.565868055557</v>
      </c>
      <c r="G1798" s="24">
        <v>1</v>
      </c>
      <c r="H1798" s="24">
        <v>1</v>
      </c>
      <c r="I1798" s="24">
        <v>0</v>
      </c>
      <c r="J1798" s="25"/>
      <c r="K1798" s="24">
        <v>0</v>
      </c>
      <c r="L1798" s="22" t="str">
        <f>HYPERLINK("https://otsuka-europe-crm.veevavault.com/ui/#object/approved_document__v/V5O00000001A037", "LUP - VAE Póster Adelphi - Nefro")</f>
        <v>LUP - VAE Póster Adelphi - Nefro</v>
      </c>
      <c r="M1798" s="22" t="str">
        <f>HYPERLINK("mailto:vvalladares@crm.otsuka-europe.com", "vvalladares@crm.otsuka-europe.com")</f>
        <v>vvalladares@crm.otsuka-europe.com</v>
      </c>
      <c r="N1798" s="23">
        <v>46175.562893518516</v>
      </c>
      <c r="O1798" s="14" t="str">
        <f>HYPERLINK("https://otsuka-europe-crm.veevavault.com/ui/#object/email_activity__v/V8C00000003K926", "EN-002087679")</f>
        <v>EN-002087679</v>
      </c>
    </row>
    <row r="1799" spans="1:15" ht="16" x14ac:dyDescent="0.2">
      <c r="A1799" s="19"/>
      <c r="B1799" s="19"/>
      <c r="C1799" s="19"/>
      <c r="D1799" s="19"/>
      <c r="E1799" s="19"/>
      <c r="F1799" s="19"/>
      <c r="G1799" s="19"/>
      <c r="H1799" s="19"/>
      <c r="I1799" s="19"/>
      <c r="J1799" s="19"/>
      <c r="K1799" s="19"/>
      <c r="L1799" s="19"/>
      <c r="M1799" s="19"/>
      <c r="N1799" s="19"/>
      <c r="O1799" s="14" t="str">
        <f>HYPERLINK("https://otsuka-europe-crm.veevavault.com/ui/#object/email_activity__v/V8C00000003L854", "EN-002087711")</f>
        <v>EN-002087711</v>
      </c>
    </row>
    <row r="1800" spans="1:15" ht="16" x14ac:dyDescent="0.2">
      <c r="A1800" s="17" t="str">
        <f>HYPERLINK("https://otsuka-europe-crm.veevavault.com/ui/#object/account__v/V4TZ06G6O71T9SU", "MARIA DOLORES DEL PINO Y PINO")</f>
        <v>MARIA DOLORES DEL PINO Y PINO</v>
      </c>
      <c r="B1800" s="17" t="str">
        <f>HYPERLINK("https://otsuka-europe-crm.veevavault.com/ui/#object/vcountry__v/VENZ000004SONF5", "ES")</f>
        <v>ES</v>
      </c>
      <c r="C1800" s="20" t="s">
        <v>41</v>
      </c>
      <c r="D1800" s="21" t="str">
        <f>HYPERLINK("https://otsuka-europe-crm.veevavault.com/ui/#object/approved_document__v/V5O00000001A037", "LUP - VAE Póster Adelphi - Nefro")</f>
        <v>LUP - VAE Póster Adelphi - Nefro</v>
      </c>
      <c r="E1800" s="22" t="str">
        <f>HYPERLINK("https://otsuka-europe-crm.veevavault.com/ui/#object/sent_email__v/VBL00000002O181", "SE-001431644")</f>
        <v>SE-001431644</v>
      </c>
      <c r="F1800" s="23">
        <v>46176.310266203705</v>
      </c>
      <c r="G1800" s="24">
        <v>1</v>
      </c>
      <c r="H1800" s="24">
        <v>9</v>
      </c>
      <c r="I1800" s="24">
        <v>0</v>
      </c>
      <c r="J1800" s="25"/>
      <c r="K1800" s="24">
        <v>0</v>
      </c>
      <c r="L1800" s="22" t="str">
        <f>HYPERLINK("https://otsuka-europe-crm.veevavault.com/ui/#object/approved_document__v/V5O00000001A037", "LUP - VAE Póster Adelphi - Nefro")</f>
        <v>LUP - VAE Póster Adelphi - Nefro</v>
      </c>
      <c r="M1800" s="22" t="str">
        <f>HYPERLINK("mailto:vvalladares@crm.otsuka-europe.com", "vvalladares@crm.otsuka-europe.com")</f>
        <v>vvalladares@crm.otsuka-europe.com</v>
      </c>
      <c r="N1800" s="23">
        <v>46175.562893518516</v>
      </c>
      <c r="O1800" s="14" t="str">
        <f>HYPERLINK("https://otsuka-europe-crm.veevavault.com/ui/#object/email_activity__v/V8C00000003K990", "EN-002087777")</f>
        <v>EN-002087777</v>
      </c>
    </row>
    <row r="1801" spans="1:15" ht="16" x14ac:dyDescent="0.2">
      <c r="A1801" s="18"/>
      <c r="B1801" s="18"/>
      <c r="C1801" s="18"/>
      <c r="D1801" s="18"/>
      <c r="E1801" s="18"/>
      <c r="F1801" s="18"/>
      <c r="G1801" s="18"/>
      <c r="H1801" s="18"/>
      <c r="I1801" s="18"/>
      <c r="J1801" s="18"/>
      <c r="K1801" s="18"/>
      <c r="L1801" s="18"/>
      <c r="M1801" s="18"/>
      <c r="N1801" s="18"/>
      <c r="O1801" s="14" t="str">
        <f>HYPERLINK("https://otsuka-europe-crm.veevavault.com/ui/#object/email_activity__v/V8C00000003L793", "EN-002087560")</f>
        <v>EN-002087560</v>
      </c>
    </row>
    <row r="1802" spans="1:15" ht="16" x14ac:dyDescent="0.2">
      <c r="A1802" s="18"/>
      <c r="B1802" s="18"/>
      <c r="C1802" s="18"/>
      <c r="D1802" s="18"/>
      <c r="E1802" s="18"/>
      <c r="F1802" s="18"/>
      <c r="G1802" s="18"/>
      <c r="H1802" s="18"/>
      <c r="I1802" s="18"/>
      <c r="J1802" s="18"/>
      <c r="K1802" s="18"/>
      <c r="L1802" s="18"/>
      <c r="M1802" s="18"/>
      <c r="N1802" s="18"/>
      <c r="O1802" s="14" t="str">
        <f>HYPERLINK("https://otsuka-europe-crm.veevavault.com/ui/#object/email_activity__v/V8C00000003L856", "EN-002087714")</f>
        <v>EN-002087714</v>
      </c>
    </row>
    <row r="1803" spans="1:15" ht="16" x14ac:dyDescent="0.2">
      <c r="A1803" s="18"/>
      <c r="B1803" s="18"/>
      <c r="C1803" s="18"/>
      <c r="D1803" s="18"/>
      <c r="E1803" s="18"/>
      <c r="F1803" s="18"/>
      <c r="G1803" s="18"/>
      <c r="H1803" s="18"/>
      <c r="I1803" s="18"/>
      <c r="J1803" s="18"/>
      <c r="K1803" s="18"/>
      <c r="L1803" s="18"/>
      <c r="M1803" s="18"/>
      <c r="N1803" s="18"/>
      <c r="O1803" s="14" t="str">
        <f>HYPERLINK("https://otsuka-europe-crm.veevavault.com/ui/#object/email_activity__v/V8C00000003L862", "EN-002087722")</f>
        <v>EN-002087722</v>
      </c>
    </row>
    <row r="1804" spans="1:15" ht="16" x14ac:dyDescent="0.2">
      <c r="A1804" s="18"/>
      <c r="B1804" s="18"/>
      <c r="C1804" s="18"/>
      <c r="D1804" s="18"/>
      <c r="E1804" s="18"/>
      <c r="F1804" s="18"/>
      <c r="G1804" s="18"/>
      <c r="H1804" s="18"/>
      <c r="I1804" s="18"/>
      <c r="J1804" s="18"/>
      <c r="K1804" s="18"/>
      <c r="L1804" s="18"/>
      <c r="M1804" s="18"/>
      <c r="N1804" s="18"/>
      <c r="O1804" s="14" t="str">
        <f>HYPERLINK("https://otsuka-europe-crm.veevavault.com/ui/#object/email_activity__v/V8C00000003L952", "EN-002087896")</f>
        <v>EN-002087896</v>
      </c>
    </row>
    <row r="1805" spans="1:15" ht="16" x14ac:dyDescent="0.2">
      <c r="A1805" s="18"/>
      <c r="B1805" s="18"/>
      <c r="C1805" s="18"/>
      <c r="D1805" s="18"/>
      <c r="E1805" s="18"/>
      <c r="F1805" s="18"/>
      <c r="G1805" s="18"/>
      <c r="H1805" s="18"/>
      <c r="I1805" s="18"/>
      <c r="J1805" s="18"/>
      <c r="K1805" s="18"/>
      <c r="L1805" s="18"/>
      <c r="M1805" s="18"/>
      <c r="N1805" s="18"/>
      <c r="O1805" s="14" t="str">
        <f>HYPERLINK("https://otsuka-europe-crm.veevavault.com/ui/#object/email_activity__v/V8C00000003L969", "EN-002087932")</f>
        <v>EN-002087932</v>
      </c>
    </row>
    <row r="1806" spans="1:15" ht="16" x14ac:dyDescent="0.2">
      <c r="A1806" s="18"/>
      <c r="B1806" s="18"/>
      <c r="C1806" s="18"/>
      <c r="D1806" s="18"/>
      <c r="E1806" s="18"/>
      <c r="F1806" s="18"/>
      <c r="G1806" s="18"/>
      <c r="H1806" s="18"/>
      <c r="I1806" s="18"/>
      <c r="J1806" s="18"/>
      <c r="K1806" s="18"/>
      <c r="L1806" s="18"/>
      <c r="M1806" s="18"/>
      <c r="N1806" s="18"/>
      <c r="O1806" s="14" t="str">
        <f>HYPERLINK("https://otsuka-europe-crm.veevavault.com/ui/#object/email_activity__v/V8C00000003M026", "EN-002087881")</f>
        <v>EN-002087881</v>
      </c>
    </row>
    <row r="1807" spans="1:15" ht="16" x14ac:dyDescent="0.2">
      <c r="A1807" s="18"/>
      <c r="B1807" s="18"/>
      <c r="C1807" s="18"/>
      <c r="D1807" s="18"/>
      <c r="E1807" s="18"/>
      <c r="F1807" s="18"/>
      <c r="G1807" s="18"/>
      <c r="H1807" s="18"/>
      <c r="I1807" s="18"/>
      <c r="J1807" s="18"/>
      <c r="K1807" s="18"/>
      <c r="L1807" s="18"/>
      <c r="M1807" s="18"/>
      <c r="N1807" s="18"/>
      <c r="O1807" s="14" t="str">
        <f>HYPERLINK("https://otsuka-europe-crm.veevavault.com/ui/#object/email_activity__v/V8C00000003M082", "EN-002088002")</f>
        <v>EN-002088002</v>
      </c>
    </row>
    <row r="1808" spans="1:15" ht="16" x14ac:dyDescent="0.2">
      <c r="A1808" s="18"/>
      <c r="B1808" s="18"/>
      <c r="C1808" s="18"/>
      <c r="D1808" s="18"/>
      <c r="E1808" s="18"/>
      <c r="F1808" s="18"/>
      <c r="G1808" s="18"/>
      <c r="H1808" s="18"/>
      <c r="I1808" s="18"/>
      <c r="J1808" s="18"/>
      <c r="K1808" s="18"/>
      <c r="L1808" s="18"/>
      <c r="M1808" s="18"/>
      <c r="N1808" s="18"/>
      <c r="O1808" s="14" t="str">
        <f>HYPERLINK("https://otsuka-europe-crm.veevavault.com/ui/#object/email_activity__v/V8C00000003M302", "EN-002088574")</f>
        <v>EN-002088574</v>
      </c>
    </row>
    <row r="1809" spans="1:15" ht="16" x14ac:dyDescent="0.2">
      <c r="A1809" s="18"/>
      <c r="B1809" s="18"/>
      <c r="C1809" s="18"/>
      <c r="D1809" s="18"/>
      <c r="E1809" s="18"/>
      <c r="F1809" s="18"/>
      <c r="G1809" s="18"/>
      <c r="H1809" s="18"/>
      <c r="I1809" s="18"/>
      <c r="J1809" s="18"/>
      <c r="K1809" s="18"/>
      <c r="L1809" s="18"/>
      <c r="M1809" s="18"/>
      <c r="N1809" s="18"/>
      <c r="O1809" s="14" t="str">
        <f>HYPERLINK("https://otsuka-europe-crm.veevavault.com/ui/#object/email_activity__v/V8C00000003M590", "EN-002089197")</f>
        <v>EN-002089197</v>
      </c>
    </row>
    <row r="1810" spans="1:15" ht="16" x14ac:dyDescent="0.2">
      <c r="A1810" s="19"/>
      <c r="B1810" s="19"/>
      <c r="C1810" s="19"/>
      <c r="D1810" s="19"/>
      <c r="E1810" s="19"/>
      <c r="F1810" s="19"/>
      <c r="G1810" s="19"/>
      <c r="H1810" s="19"/>
      <c r="I1810" s="19"/>
      <c r="J1810" s="19"/>
      <c r="K1810" s="19"/>
      <c r="L1810" s="19"/>
      <c r="M1810" s="19"/>
      <c r="N1810" s="19"/>
      <c r="O1810" s="14" t="str">
        <f>HYPERLINK("https://otsuka-europe-crm.veevavault.com/ui/#object/email_activity__v/V8C00000003N011", "EN-002088001")</f>
        <v>EN-002088001</v>
      </c>
    </row>
    <row r="1811" spans="1:15" ht="16" x14ac:dyDescent="0.2">
      <c r="A1811" s="17" t="str">
        <f>HYPERLINK("https://otsuka-europe-crm.veevavault.com/ui/#object/account__v/V4TZ025E85DZZ9L", "GHITA LAHRICHI")</f>
        <v>GHITA LAHRICHI</v>
      </c>
      <c r="B1811" s="17" t="str">
        <f>HYPERLINK("https://otsuka-europe-crm.veevavault.com/ui/#object/vcountry__v/VENZ000004SONF5", "ES")</f>
        <v>ES</v>
      </c>
      <c r="C1811" s="20" t="s">
        <v>41</v>
      </c>
      <c r="D1811" s="21" t="str">
        <f>HYPERLINK("https://otsuka-europe-crm.veevavault.com/ui/#object/approved_document__v/V5O00000001A037", "LUP - VAE Póster Adelphi - Nefro")</f>
        <v>LUP - VAE Póster Adelphi - Nefro</v>
      </c>
      <c r="E1811" s="22" t="str">
        <f>HYPERLINK("https://otsuka-europe-crm.veevavault.com/ui/#object/sent_email__v/VBL00000002O182", "SE-001431645")</f>
        <v>SE-001431645</v>
      </c>
      <c r="F1811" s="23">
        <v>46175.971180555556</v>
      </c>
      <c r="G1811" s="24">
        <v>1</v>
      </c>
      <c r="H1811" s="24">
        <v>2</v>
      </c>
      <c r="I1811" s="24">
        <v>0</v>
      </c>
      <c r="J1811" s="25"/>
      <c r="K1811" s="24">
        <v>0</v>
      </c>
      <c r="L1811" s="22" t="str">
        <f>HYPERLINK("https://otsuka-europe-crm.veevavault.com/ui/#object/approved_document__v/V5O00000001A037", "LUP - VAE Póster Adelphi - Nefro")</f>
        <v>LUP - VAE Póster Adelphi - Nefro</v>
      </c>
      <c r="M1811" s="22" t="str">
        <f>HYPERLINK("mailto:vvalladares@crm.otsuka-europe.com", "vvalladares@crm.otsuka-europe.com")</f>
        <v>vvalladares@crm.otsuka-europe.com</v>
      </c>
      <c r="N1811" s="23">
        <v>46175.562893518516</v>
      </c>
      <c r="O1811" s="14" t="str">
        <f>HYPERLINK("https://otsuka-europe-crm.veevavault.com/ui/#object/email_activity__v/V8C00000003K935", "EN-002087688")</f>
        <v>EN-002087688</v>
      </c>
    </row>
    <row r="1812" spans="1:15" ht="16" x14ac:dyDescent="0.2">
      <c r="A1812" s="18"/>
      <c r="B1812" s="18"/>
      <c r="C1812" s="18"/>
      <c r="D1812" s="18"/>
      <c r="E1812" s="18"/>
      <c r="F1812" s="18"/>
      <c r="G1812" s="18"/>
      <c r="H1812" s="18"/>
      <c r="I1812" s="18"/>
      <c r="J1812" s="18"/>
      <c r="K1812" s="18"/>
      <c r="L1812" s="18"/>
      <c r="M1812" s="18"/>
      <c r="N1812" s="18"/>
      <c r="O1812" s="14" t="str">
        <f>HYPERLINK("https://otsuka-europe-crm.veevavault.com/ui/#object/email_activity__v/V8C00000003L831", "EN-002087667")</f>
        <v>EN-002087667</v>
      </c>
    </row>
    <row r="1813" spans="1:15" ht="16" x14ac:dyDescent="0.2">
      <c r="A1813" s="19"/>
      <c r="B1813" s="19"/>
      <c r="C1813" s="19"/>
      <c r="D1813" s="19"/>
      <c r="E1813" s="19"/>
      <c r="F1813" s="19"/>
      <c r="G1813" s="19"/>
      <c r="H1813" s="19"/>
      <c r="I1813" s="19"/>
      <c r="J1813" s="19"/>
      <c r="K1813" s="19"/>
      <c r="L1813" s="19"/>
      <c r="M1813" s="19"/>
      <c r="N1813" s="19"/>
      <c r="O1813" s="14" t="str">
        <f>HYPERLINK("https://otsuka-europe-crm.veevavault.com/ui/#object/email_activity__v/V8C00000003N311", "EN-002088473")</f>
        <v>EN-002088473</v>
      </c>
    </row>
    <row r="1814" spans="1:15" ht="16" x14ac:dyDescent="0.2">
      <c r="A1814" s="17" t="str">
        <f>HYPERLINK("https://otsuka-europe-crm.veevavault.com/ui/#object/account__v/V4TZ06G6O71T8DN", "MARIA PALOMA FLORES PALOMA")</f>
        <v>MARIA PALOMA FLORES PALOMA</v>
      </c>
      <c r="B1814" s="17" t="str">
        <f>HYPERLINK("https://otsuka-europe-crm.veevavault.com/ui/#object/vcountry__v/VENZ000004SONF5", "ES")</f>
        <v>ES</v>
      </c>
      <c r="C1814" s="20" t="s">
        <v>41</v>
      </c>
      <c r="D1814" s="21" t="str">
        <f>HYPERLINK("https://otsuka-europe-crm.veevavault.com/ui/#object/approved_document__v/V5O00000001A037", "LUP - VAE Póster Adelphi - Nefro")</f>
        <v>LUP - VAE Póster Adelphi - Nefro</v>
      </c>
      <c r="E1814" s="22" t="str">
        <f>HYPERLINK("https://otsuka-europe-crm.veevavault.com/ui/#object/sent_email__v/VBL00000002O183", "SE-001431646")</f>
        <v>SE-001431646</v>
      </c>
      <c r="F1814" s="23">
        <v>46178.983831018515</v>
      </c>
      <c r="G1814" s="24">
        <v>1</v>
      </c>
      <c r="H1814" s="24">
        <v>2</v>
      </c>
      <c r="I1814" s="24">
        <v>0</v>
      </c>
      <c r="J1814" s="25"/>
      <c r="K1814" s="24">
        <v>0</v>
      </c>
      <c r="L1814" s="22" t="str">
        <f>HYPERLINK("https://otsuka-europe-crm.veevavault.com/ui/#object/approved_document__v/V5O00000001A037", "LUP - VAE Póster Adelphi - Nefro")</f>
        <v>LUP - VAE Póster Adelphi - Nefro</v>
      </c>
      <c r="M1814" s="22" t="str">
        <f>HYPERLINK("mailto:vvalladares@crm.otsuka-europe.com", "vvalladares@crm.otsuka-europe.com")</f>
        <v>vvalladares@crm.otsuka-europe.com</v>
      </c>
      <c r="N1814" s="23">
        <v>46175.562893518516</v>
      </c>
      <c r="O1814" s="14" t="str">
        <f>HYPERLINK("https://otsuka-europe-crm.veevavault.com/ui/#object/email_activity__v/V8C00000003K884", "EN-002087603")</f>
        <v>EN-002087603</v>
      </c>
    </row>
    <row r="1815" spans="1:15" ht="16" x14ac:dyDescent="0.2">
      <c r="A1815" s="18"/>
      <c r="B1815" s="18"/>
      <c r="C1815" s="18"/>
      <c r="D1815" s="18"/>
      <c r="E1815" s="18"/>
      <c r="F1815" s="18"/>
      <c r="G1815" s="18"/>
      <c r="H1815" s="18"/>
      <c r="I1815" s="18"/>
      <c r="J1815" s="18"/>
      <c r="K1815" s="18"/>
      <c r="L1815" s="18"/>
      <c r="M1815" s="18"/>
      <c r="N1815" s="18"/>
      <c r="O1815" s="14" t="str">
        <f>HYPERLINK("https://otsuka-europe-crm.veevavault.com/ui/#object/email_activity__v/V8C00000003L863", "EN-002087724")</f>
        <v>EN-002087724</v>
      </c>
    </row>
    <row r="1816" spans="1:15" ht="16" x14ac:dyDescent="0.2">
      <c r="A1816" s="19"/>
      <c r="B1816" s="19"/>
      <c r="C1816" s="19"/>
      <c r="D1816" s="19"/>
      <c r="E1816" s="19"/>
      <c r="F1816" s="19"/>
      <c r="G1816" s="19"/>
      <c r="H1816" s="19"/>
      <c r="I1816" s="19"/>
      <c r="J1816" s="19"/>
      <c r="K1816" s="19"/>
      <c r="L1816" s="19"/>
      <c r="M1816" s="19"/>
      <c r="N1816" s="19"/>
      <c r="O1816" s="14" t="str">
        <f>HYPERLINK("https://otsuka-europe-crm.veevavault.com/ui/#object/email_activity__v/V8C00000003P089", "EN-002089405")</f>
        <v>EN-002089405</v>
      </c>
    </row>
    <row r="1817" spans="1:15" ht="32" x14ac:dyDescent="0.2">
      <c r="A1817" s="7" t="str">
        <f>HYPERLINK("https://otsuka-europe-crm.veevavault.com/ui/#object/account__v/V4TZ06G6O71T80P", "ANA DELGADO UREÑA")</f>
        <v>ANA DELGADO UREÑA</v>
      </c>
      <c r="B1817" s="7" t="str">
        <f>HYPERLINK("https://otsuka-europe-crm.veevavault.com/ui/#object/vcountry__v/VENZ000004SONF5", "ES")</f>
        <v>ES</v>
      </c>
      <c r="C1817" s="8" t="s">
        <v>41</v>
      </c>
      <c r="D1817" s="9" t="str">
        <f>HYPERLINK("https://otsuka-europe-crm.veevavault.com/ui/#object/approved_document__v/V5O00000001A037", "LUP - VAE Póster Adelphi - Nefro")</f>
        <v>LUP - VAE Póster Adelphi - Nefro</v>
      </c>
      <c r="E1817" s="10" t="str">
        <f>HYPERLINK("https://otsuka-europe-crm.veevavault.com/ui/#object/sent_email__v/VBL00000002O184", "SE-001431647")</f>
        <v>SE-001431647</v>
      </c>
      <c r="F1817" s="11"/>
      <c r="G1817" s="12">
        <v>0</v>
      </c>
      <c r="H1817" s="12">
        <v>0</v>
      </c>
      <c r="I1817" s="12">
        <v>0</v>
      </c>
      <c r="J1817" s="11"/>
      <c r="K1817" s="12">
        <v>0</v>
      </c>
      <c r="L1817" s="10" t="str">
        <f>HYPERLINK("https://otsuka-europe-crm.veevavault.com/ui/#object/approved_document__v/V5O00000001A037", "LUP - VAE Póster Adelphi - Nefro")</f>
        <v>LUP - VAE Póster Adelphi - Nefro</v>
      </c>
      <c r="M1817" s="10" t="str">
        <f>HYPERLINK("mailto:vvalladares@crm.otsuka-europe.com", "vvalladares@crm.otsuka-europe.com")</f>
        <v>vvalladares@crm.otsuka-europe.com</v>
      </c>
      <c r="N1817" s="13">
        <v>46175.562928240739</v>
      </c>
      <c r="O1817" s="14" t="str">
        <f>HYPERLINK("https://otsuka-europe-crm.veevavault.com/ui/#object/email_activity__v/V8C00000003K895", "EN-002087618")</f>
        <v>EN-002087618</v>
      </c>
    </row>
    <row r="1818" spans="1:15" ht="16" x14ac:dyDescent="0.2">
      <c r="A1818" s="17" t="str">
        <f>HYPERLINK("https://otsuka-europe-crm.veevavault.com/ui/#object/account__v/V4T00000001S066", "EVA GOMEZ FLORES")</f>
        <v>EVA GOMEZ FLORES</v>
      </c>
      <c r="B1818" s="17" t="str">
        <f>HYPERLINK("https://otsuka-europe-crm.veevavault.com/ui/#object/vcountry__v/VENZ000004SONF5", "ES")</f>
        <v>ES</v>
      </c>
      <c r="C1818" s="20" t="s">
        <v>41</v>
      </c>
      <c r="D1818" s="21" t="str">
        <f>HYPERLINK("https://otsuka-europe-crm.veevavault.com/ui/#object/approved_document__v/V5O00000001A037", "LUP - VAE Póster Adelphi - Nefro")</f>
        <v>LUP - VAE Póster Adelphi - Nefro</v>
      </c>
      <c r="E1818" s="22" t="str">
        <f>HYPERLINK("https://otsuka-europe-crm.veevavault.com/ui/#object/sent_email__v/VBL00000002O185", "SE-001431648")</f>
        <v>SE-001431648</v>
      </c>
      <c r="F1818" s="25"/>
      <c r="G1818" s="24">
        <v>0</v>
      </c>
      <c r="H1818" s="24">
        <v>0</v>
      </c>
      <c r="I1818" s="24">
        <v>1</v>
      </c>
      <c r="J1818" s="23">
        <v>46175.644178240742</v>
      </c>
      <c r="K1818" s="24">
        <v>1</v>
      </c>
      <c r="L1818" s="22" t="str">
        <f>HYPERLINK("https://otsuka-europe-crm.veevavault.com/ui/#object/approved_document__v/V5O00000001A037", "LUP - VAE Póster Adelphi - Nefro")</f>
        <v>LUP - VAE Póster Adelphi - Nefro</v>
      </c>
      <c r="M1818" s="22" t="str">
        <f>HYPERLINK("mailto:vvalladares@crm.otsuka-europe.com", "vvalladares@crm.otsuka-europe.com")</f>
        <v>vvalladares@crm.otsuka-europe.com</v>
      </c>
      <c r="N1818" s="23">
        <v>46175.562893518516</v>
      </c>
      <c r="O1818" s="14" t="str">
        <f>HYPERLINK("https://otsuka-europe-crm.veevavault.com/ui/#object/email_activity__v/V8C00000003L789", "EN-002087556")</f>
        <v>EN-002087556</v>
      </c>
    </row>
    <row r="1819" spans="1:15" ht="16" x14ac:dyDescent="0.2">
      <c r="A1819" s="18"/>
      <c r="B1819" s="18"/>
      <c r="C1819" s="18"/>
      <c r="D1819" s="18"/>
      <c r="E1819" s="18"/>
      <c r="F1819" s="18"/>
      <c r="G1819" s="18"/>
      <c r="H1819" s="18"/>
      <c r="I1819" s="18"/>
      <c r="J1819" s="18"/>
      <c r="K1819" s="18"/>
      <c r="L1819" s="18"/>
      <c r="M1819" s="18"/>
      <c r="N1819" s="18"/>
      <c r="O1819" s="14" t="str">
        <f>HYPERLINK("https://otsuka-europe-crm.veevavault.com/ui/#object/email_activity__v/V8C00000003L970", "EN-002087934")</f>
        <v>EN-002087934</v>
      </c>
    </row>
    <row r="1820" spans="1:15" ht="16" x14ac:dyDescent="0.2">
      <c r="A1820" s="18"/>
      <c r="B1820" s="18"/>
      <c r="C1820" s="18"/>
      <c r="D1820" s="18"/>
      <c r="E1820" s="18"/>
      <c r="F1820" s="18"/>
      <c r="G1820" s="18"/>
      <c r="H1820" s="18"/>
      <c r="I1820" s="18"/>
      <c r="J1820" s="18"/>
      <c r="K1820" s="18"/>
      <c r="L1820" s="18"/>
      <c r="M1820" s="18"/>
      <c r="N1820" s="18"/>
      <c r="O1820" s="14" t="str">
        <f>HYPERLINK("https://otsuka-europe-crm.veevavault.com/ui/#object/email_activity__v/V8C00000003L971", "EN-002087935")</f>
        <v>EN-002087935</v>
      </c>
    </row>
    <row r="1821" spans="1:15" ht="16" x14ac:dyDescent="0.2">
      <c r="A1821" s="19"/>
      <c r="B1821" s="19"/>
      <c r="C1821" s="19"/>
      <c r="D1821" s="19"/>
      <c r="E1821" s="19"/>
      <c r="F1821" s="19"/>
      <c r="G1821" s="19"/>
      <c r="H1821" s="19"/>
      <c r="I1821" s="19"/>
      <c r="J1821" s="19"/>
      <c r="K1821" s="19"/>
      <c r="L1821" s="19"/>
      <c r="M1821" s="19"/>
      <c r="N1821" s="19"/>
      <c r="O1821" s="14" t="str">
        <f>HYPERLINK("https://otsuka-europe-crm.veevavault.com/ui/#object/email_activity__v/V8C00000003L987", "EN-002087975")</f>
        <v>EN-002087975</v>
      </c>
    </row>
    <row r="1822" spans="1:15" ht="16" x14ac:dyDescent="0.2">
      <c r="A1822" s="17" t="str">
        <f>HYPERLINK("https://otsuka-europe-crm.veevavault.com/ui/#object/account__v/V4TZ04ASG6LSXXR", "EDISSON RUDAS BERMUDEZ")</f>
        <v>EDISSON RUDAS BERMUDEZ</v>
      </c>
      <c r="B1822" s="17" t="str">
        <f>HYPERLINK("https://otsuka-europe-crm.veevavault.com/ui/#object/vcountry__v/VENZ000004SONF5", "ES")</f>
        <v>ES</v>
      </c>
      <c r="C1822" s="20" t="s">
        <v>41</v>
      </c>
      <c r="D1822" s="21" t="str">
        <f>HYPERLINK("https://otsuka-europe-crm.veevavault.com/ui/#object/approved_document__v/V5O00000001A037", "LUP - VAE Póster Adelphi - Nefro")</f>
        <v>LUP - VAE Póster Adelphi - Nefro</v>
      </c>
      <c r="E1822" s="22" t="str">
        <f>HYPERLINK("https://otsuka-europe-crm.veevavault.com/ui/#object/sent_email__v/VBL00000002O186", "SE-001431649")</f>
        <v>SE-001431649</v>
      </c>
      <c r="F1822" s="23">
        <v>46175.563009259262</v>
      </c>
      <c r="G1822" s="24">
        <v>1</v>
      </c>
      <c r="H1822" s="24">
        <v>1</v>
      </c>
      <c r="I1822" s="24">
        <v>0</v>
      </c>
      <c r="J1822" s="25"/>
      <c r="K1822" s="24">
        <v>0</v>
      </c>
      <c r="L1822" s="22" t="str">
        <f>HYPERLINK("https://otsuka-europe-crm.veevavault.com/ui/#object/approved_document__v/V5O00000001A037", "LUP - VAE Póster Adelphi - Nefro")</f>
        <v>LUP - VAE Póster Adelphi - Nefro</v>
      </c>
      <c r="M1822" s="22" t="str">
        <f>HYPERLINK("mailto:vvalladares@crm.otsuka-europe.com", "vvalladares@crm.otsuka-europe.com")</f>
        <v>vvalladares@crm.otsuka-europe.com</v>
      </c>
      <c r="N1822" s="23">
        <v>46175.562893518516</v>
      </c>
      <c r="O1822" s="14" t="str">
        <f>HYPERLINK("https://otsuka-europe-crm.veevavault.com/ui/#object/email_activity__v/V8C00000003K864", "EN-002087583")</f>
        <v>EN-002087583</v>
      </c>
    </row>
    <row r="1823" spans="1:15" ht="16" x14ac:dyDescent="0.2">
      <c r="A1823" s="19"/>
      <c r="B1823" s="19"/>
      <c r="C1823" s="19"/>
      <c r="D1823" s="19"/>
      <c r="E1823" s="19"/>
      <c r="F1823" s="19"/>
      <c r="G1823" s="19"/>
      <c r="H1823" s="19"/>
      <c r="I1823" s="19"/>
      <c r="J1823" s="19"/>
      <c r="K1823" s="19"/>
      <c r="L1823" s="19"/>
      <c r="M1823" s="19"/>
      <c r="N1823" s="19"/>
      <c r="O1823" s="14" t="str">
        <f>HYPERLINK("https://otsuka-europe-crm.veevavault.com/ui/#object/email_activity__v/V8C00000003K936", "EN-002087689")</f>
        <v>EN-002087689</v>
      </c>
    </row>
    <row r="1824" spans="1:15" ht="16" x14ac:dyDescent="0.2">
      <c r="A1824" s="17" t="str">
        <f>HYPERLINK("https://otsuka-europe-crm.veevavault.com/ui/#object/account__v/V4TZ06G6O71T89G", "TERESA VAZQUEZ SANCHEZ")</f>
        <v>TERESA VAZQUEZ SANCHEZ</v>
      </c>
      <c r="B1824" s="17" t="str">
        <f>HYPERLINK("https://otsuka-europe-crm.veevavault.com/ui/#object/vcountry__v/VENZ000004SONF5", "ES")</f>
        <v>ES</v>
      </c>
      <c r="C1824" s="20" t="s">
        <v>41</v>
      </c>
      <c r="D1824" s="21" t="str">
        <f>HYPERLINK("https://otsuka-europe-crm.veevavault.com/ui/#object/approved_document__v/V5O00000001A037", "LUP - VAE Póster Adelphi - Nefro")</f>
        <v>LUP - VAE Póster Adelphi - Nefro</v>
      </c>
      <c r="E1824" s="22" t="str">
        <f>HYPERLINK("https://otsuka-europe-crm.veevavault.com/ui/#object/sent_email__v/VBL00000002O187", "SE-001431650")</f>
        <v>SE-001431650</v>
      </c>
      <c r="F1824" s="25"/>
      <c r="G1824" s="24">
        <v>0</v>
      </c>
      <c r="H1824" s="24">
        <v>0</v>
      </c>
      <c r="I1824" s="24">
        <v>0</v>
      </c>
      <c r="J1824" s="25"/>
      <c r="K1824" s="24">
        <v>0</v>
      </c>
      <c r="L1824" s="22" t="str">
        <f>HYPERLINK("https://otsuka-europe-crm.veevavault.com/ui/#object/approved_document__v/V5O00000001A037", "LUP - VAE Póster Adelphi - Nefro")</f>
        <v>LUP - VAE Póster Adelphi - Nefro</v>
      </c>
      <c r="M1824" s="22" t="str">
        <f>HYPERLINK("mailto:vvalladares@crm.otsuka-europe.com", "vvalladares@crm.otsuka-europe.com")</f>
        <v>vvalladares@crm.otsuka-europe.com</v>
      </c>
      <c r="N1824" s="23">
        <v>46175.562893518516</v>
      </c>
      <c r="O1824" s="14" t="str">
        <f>HYPERLINK("https://otsuka-europe-crm.veevavault.com/ui/#object/email_activity__v/V8C00000003L824", "EN-002087659")</f>
        <v>EN-002087659</v>
      </c>
    </row>
    <row r="1825" spans="1:15" ht="16" x14ac:dyDescent="0.2">
      <c r="A1825" s="19"/>
      <c r="B1825" s="19"/>
      <c r="C1825" s="19"/>
      <c r="D1825" s="19"/>
      <c r="E1825" s="19"/>
      <c r="F1825" s="19"/>
      <c r="G1825" s="19"/>
      <c r="H1825" s="19"/>
      <c r="I1825" s="19"/>
      <c r="J1825" s="19"/>
      <c r="K1825" s="19"/>
      <c r="L1825" s="19"/>
      <c r="M1825" s="19"/>
      <c r="N1825" s="19"/>
      <c r="O1825" s="14" t="str">
        <f>HYPERLINK("https://otsuka-europe-crm.veevavault.com/ui/#object/email_activity__v/V8C00000003M241", "EN-002088448")</f>
        <v>EN-002088448</v>
      </c>
    </row>
    <row r="1826" spans="1:15" ht="16" x14ac:dyDescent="0.2">
      <c r="A1826" s="17" t="str">
        <f>HYPERLINK("https://otsuka-europe-crm.veevavault.com/ui/#object/account__v/V4TZ04ASG6LPDVT", "LUIS PEDRO CERMEÑO MARAVI")</f>
        <v>LUIS PEDRO CERMEÑO MARAVI</v>
      </c>
      <c r="B1826" s="17" t="str">
        <f>HYPERLINK("https://otsuka-europe-crm.veevavault.com/ui/#object/vcountry__v/VENZ000004SONF5", "ES")</f>
        <v>ES</v>
      </c>
      <c r="C1826" s="20" t="s">
        <v>41</v>
      </c>
      <c r="D1826" s="21" t="str">
        <f>HYPERLINK("https://otsuka-europe-crm.veevavault.com/ui/#object/approved_document__v/V5O00000001A037", "LUP - VAE Póster Adelphi - Nefro")</f>
        <v>LUP - VAE Póster Adelphi - Nefro</v>
      </c>
      <c r="E1826" s="22" t="str">
        <f>HYPERLINK("https://otsuka-europe-crm.veevavault.com/ui/#object/sent_email__v/VBL00000002O188", "SE-001431651")</f>
        <v>SE-001431651</v>
      </c>
      <c r="F1826" s="23">
        <v>46175.634074074071</v>
      </c>
      <c r="G1826" s="24">
        <v>1</v>
      </c>
      <c r="H1826" s="24">
        <v>1</v>
      </c>
      <c r="I1826" s="24">
        <v>0</v>
      </c>
      <c r="J1826" s="25"/>
      <c r="K1826" s="24">
        <v>0</v>
      </c>
      <c r="L1826" s="22" t="str">
        <f>HYPERLINK("https://otsuka-europe-crm.veevavault.com/ui/#object/approved_document__v/V5O00000001A037", "LUP - VAE Póster Adelphi - Nefro")</f>
        <v>LUP - VAE Póster Adelphi - Nefro</v>
      </c>
      <c r="M1826" s="22" t="str">
        <f>HYPERLINK("mailto:vvalladares@crm.otsuka-europe.com", "vvalladares@crm.otsuka-europe.com")</f>
        <v>vvalladares@crm.otsuka-europe.com</v>
      </c>
      <c r="N1826" s="23">
        <v>46175.562893518516</v>
      </c>
      <c r="O1826" s="14" t="str">
        <f>HYPERLINK("https://otsuka-europe-crm.veevavault.com/ui/#object/email_activity__v/V8C00000003L784", "EN-002087551")</f>
        <v>EN-002087551</v>
      </c>
    </row>
    <row r="1827" spans="1:15" ht="16" x14ac:dyDescent="0.2">
      <c r="A1827" s="19"/>
      <c r="B1827" s="19"/>
      <c r="C1827" s="19"/>
      <c r="D1827" s="19"/>
      <c r="E1827" s="19"/>
      <c r="F1827" s="19"/>
      <c r="G1827" s="19"/>
      <c r="H1827" s="19"/>
      <c r="I1827" s="19"/>
      <c r="J1827" s="19"/>
      <c r="K1827" s="19"/>
      <c r="L1827" s="19"/>
      <c r="M1827" s="19"/>
      <c r="N1827" s="19"/>
      <c r="O1827" s="14" t="str">
        <f>HYPERLINK("https://otsuka-europe-crm.veevavault.com/ui/#object/email_activity__v/V8C00000003M045", "EN-002087917")</f>
        <v>EN-002087917</v>
      </c>
    </row>
    <row r="1828" spans="1:15" ht="16" x14ac:dyDescent="0.2">
      <c r="A1828" s="17" t="str">
        <f>HYPERLINK("https://otsuka-europe-crm.veevavault.com/ui/#object/account__v/V4TZ06G6O71TAHH", "DOMINGO JERONIMO HERNANDEZ MARRERO")</f>
        <v>DOMINGO JERONIMO HERNANDEZ MARRERO</v>
      </c>
      <c r="B1828" s="17" t="str">
        <f>HYPERLINK("https://otsuka-europe-crm.veevavault.com/ui/#object/vcountry__v/VENZ000004SONF5", "ES")</f>
        <v>ES</v>
      </c>
      <c r="C1828" s="20" t="s">
        <v>41</v>
      </c>
      <c r="D1828" s="21" t="str">
        <f>HYPERLINK("https://otsuka-europe-crm.veevavault.com/ui/#object/approved_document__v/V5O00000001A037", "LUP - VAE Póster Adelphi - Nefro")</f>
        <v>LUP - VAE Póster Adelphi - Nefro</v>
      </c>
      <c r="E1828" s="22" t="str">
        <f>HYPERLINK("https://otsuka-europe-crm.veevavault.com/ui/#object/sent_email__v/VBL00000002O189", "SE-001431652")</f>
        <v>SE-001431652</v>
      </c>
      <c r="F1828" s="25"/>
      <c r="G1828" s="24">
        <v>0</v>
      </c>
      <c r="H1828" s="24">
        <v>0</v>
      </c>
      <c r="I1828" s="24">
        <v>1</v>
      </c>
      <c r="J1828" s="23">
        <v>46183.387129629627</v>
      </c>
      <c r="K1828" s="24">
        <v>4</v>
      </c>
      <c r="L1828" s="22" t="str">
        <f>HYPERLINK("https://otsuka-europe-crm.veevavault.com/ui/#object/approved_document__v/V5O00000001A037", "LUP - VAE Póster Adelphi - Nefro")</f>
        <v>LUP - VAE Póster Adelphi - Nefro</v>
      </c>
      <c r="M1828" s="22" t="str">
        <f>HYPERLINK("mailto:vvalladares@crm.otsuka-europe.com", "vvalladares@crm.otsuka-europe.com")</f>
        <v>vvalladares@crm.otsuka-europe.com</v>
      </c>
      <c r="N1828" s="23">
        <v>46175.562893518516</v>
      </c>
      <c r="O1828" s="14" t="str">
        <f>HYPERLINK("https://otsuka-europe-crm.veevavault.com/ui/#object/email_activity__v/V8C00000003K863", "EN-002087582")</f>
        <v>EN-002087582</v>
      </c>
    </row>
    <row r="1829" spans="1:15" ht="16" x14ac:dyDescent="0.2">
      <c r="A1829" s="18"/>
      <c r="B1829" s="18"/>
      <c r="C1829" s="18"/>
      <c r="D1829" s="18"/>
      <c r="E1829" s="18"/>
      <c r="F1829" s="18"/>
      <c r="G1829" s="18"/>
      <c r="H1829" s="18"/>
      <c r="I1829" s="18"/>
      <c r="J1829" s="18"/>
      <c r="K1829" s="18"/>
      <c r="L1829" s="18"/>
      <c r="M1829" s="18"/>
      <c r="N1829" s="18"/>
      <c r="O1829" s="14" t="str">
        <f>HYPERLINK("https://otsuka-europe-crm.veevavault.com/ui/#object/email_activity__v/V8C00000003M243", "EN-002088450")</f>
        <v>EN-002088450</v>
      </c>
    </row>
    <row r="1830" spans="1:15" ht="16" x14ac:dyDescent="0.2">
      <c r="A1830" s="18"/>
      <c r="B1830" s="18"/>
      <c r="C1830" s="18"/>
      <c r="D1830" s="18"/>
      <c r="E1830" s="18"/>
      <c r="F1830" s="18"/>
      <c r="G1830" s="18"/>
      <c r="H1830" s="18"/>
      <c r="I1830" s="18"/>
      <c r="J1830" s="18"/>
      <c r="K1830" s="18"/>
      <c r="L1830" s="18"/>
      <c r="M1830" s="18"/>
      <c r="N1830" s="18"/>
      <c r="O1830" s="14" t="str">
        <f>HYPERLINK("https://otsuka-europe-crm.veevavault.com/ui/#object/email_activity__v/V8C00000003S145", "EN-002093175")</f>
        <v>EN-002093175</v>
      </c>
    </row>
    <row r="1831" spans="1:15" ht="16" x14ac:dyDescent="0.2">
      <c r="A1831" s="18"/>
      <c r="B1831" s="18"/>
      <c r="C1831" s="18"/>
      <c r="D1831" s="18"/>
      <c r="E1831" s="18"/>
      <c r="F1831" s="18"/>
      <c r="G1831" s="18"/>
      <c r="H1831" s="18"/>
      <c r="I1831" s="18"/>
      <c r="J1831" s="18"/>
      <c r="K1831" s="18"/>
      <c r="L1831" s="18"/>
      <c r="M1831" s="18"/>
      <c r="N1831" s="18"/>
      <c r="O1831" s="14" t="str">
        <f>HYPERLINK("https://otsuka-europe-crm.veevavault.com/ui/#object/email_activity__v/V8C00000003S193", "EN-002093281")</f>
        <v>EN-002093281</v>
      </c>
    </row>
    <row r="1832" spans="1:15" ht="16" x14ac:dyDescent="0.2">
      <c r="A1832" s="18"/>
      <c r="B1832" s="18"/>
      <c r="C1832" s="18"/>
      <c r="D1832" s="18"/>
      <c r="E1832" s="18"/>
      <c r="F1832" s="18"/>
      <c r="G1832" s="18"/>
      <c r="H1832" s="18"/>
      <c r="I1832" s="18"/>
      <c r="J1832" s="18"/>
      <c r="K1832" s="18"/>
      <c r="L1832" s="18"/>
      <c r="M1832" s="18"/>
      <c r="N1832" s="18"/>
      <c r="O1832" s="14" t="str">
        <f>HYPERLINK("https://otsuka-europe-crm.veevavault.com/ui/#object/email_activity__v/V8C00000003T191", "EN-002093951")</f>
        <v>EN-002093951</v>
      </c>
    </row>
    <row r="1833" spans="1:15" ht="16" x14ac:dyDescent="0.2">
      <c r="A1833" s="18"/>
      <c r="B1833" s="18"/>
      <c r="C1833" s="18"/>
      <c r="D1833" s="18"/>
      <c r="E1833" s="18"/>
      <c r="F1833" s="18"/>
      <c r="G1833" s="18"/>
      <c r="H1833" s="18"/>
      <c r="I1833" s="18"/>
      <c r="J1833" s="18"/>
      <c r="K1833" s="18"/>
      <c r="L1833" s="18"/>
      <c r="M1833" s="18"/>
      <c r="N1833" s="18"/>
      <c r="O1833" s="14" t="str">
        <f>HYPERLINK("https://otsuka-europe-crm.veevavault.com/ui/#object/email_activity__v/V8C00000003T192", "EN-002093952")</f>
        <v>EN-002093952</v>
      </c>
    </row>
    <row r="1834" spans="1:15" ht="16" x14ac:dyDescent="0.2">
      <c r="A1834" s="18"/>
      <c r="B1834" s="18"/>
      <c r="C1834" s="18"/>
      <c r="D1834" s="18"/>
      <c r="E1834" s="18"/>
      <c r="F1834" s="18"/>
      <c r="G1834" s="18"/>
      <c r="H1834" s="18"/>
      <c r="I1834" s="18"/>
      <c r="J1834" s="18"/>
      <c r="K1834" s="18"/>
      <c r="L1834" s="18"/>
      <c r="M1834" s="18"/>
      <c r="N1834" s="18"/>
      <c r="O1834" s="14" t="str">
        <f>HYPERLINK("https://otsuka-europe-crm.veevavault.com/ui/#object/email_activity__v/V8C00000003T193", "EN-002093953")</f>
        <v>EN-002093953</v>
      </c>
    </row>
    <row r="1835" spans="1:15" ht="16" x14ac:dyDescent="0.2">
      <c r="A1835" s="18"/>
      <c r="B1835" s="18"/>
      <c r="C1835" s="18"/>
      <c r="D1835" s="18"/>
      <c r="E1835" s="18"/>
      <c r="F1835" s="18"/>
      <c r="G1835" s="18"/>
      <c r="H1835" s="18"/>
      <c r="I1835" s="18"/>
      <c r="J1835" s="18"/>
      <c r="K1835" s="18"/>
      <c r="L1835" s="18"/>
      <c r="M1835" s="18"/>
      <c r="N1835" s="18"/>
      <c r="O1835" s="14" t="str">
        <f>HYPERLINK("https://otsuka-europe-crm.veevavault.com/ui/#object/email_activity__v/V8C00000003T196", "EN-002093958")</f>
        <v>EN-002093958</v>
      </c>
    </row>
    <row r="1836" spans="1:15" ht="16" x14ac:dyDescent="0.2">
      <c r="A1836" s="19"/>
      <c r="B1836" s="19"/>
      <c r="C1836" s="19"/>
      <c r="D1836" s="19"/>
      <c r="E1836" s="19"/>
      <c r="F1836" s="19"/>
      <c r="G1836" s="19"/>
      <c r="H1836" s="19"/>
      <c r="I1836" s="19"/>
      <c r="J1836" s="19"/>
      <c r="K1836" s="19"/>
      <c r="L1836" s="19"/>
      <c r="M1836" s="19"/>
      <c r="N1836" s="19"/>
      <c r="O1836" s="14" t="str">
        <f>HYPERLINK("https://otsuka-europe-crm.veevavault.com/ui/#object/email_activity__v/V8C00000003T197", "EN-002093959")</f>
        <v>EN-002093959</v>
      </c>
    </row>
    <row r="1837" spans="1:15" ht="16" x14ac:dyDescent="0.2">
      <c r="A1837" s="17" t="str">
        <f>HYPERLINK("https://otsuka-europe-crm.veevavault.com/ui/#object/account__v/V4TZ06G6O71TB7T", "ROSA MARIA MIQUEL RODRIGUEZ")</f>
        <v>ROSA MARIA MIQUEL RODRIGUEZ</v>
      </c>
      <c r="B1837" s="17" t="str">
        <f>HYPERLINK("https://otsuka-europe-crm.veevavault.com/ui/#object/vcountry__v/VENZ000004SONF5", "ES")</f>
        <v>ES</v>
      </c>
      <c r="C1837" s="20" t="s">
        <v>41</v>
      </c>
      <c r="D1837" s="21" t="str">
        <f>HYPERLINK("https://otsuka-europe-crm.veevavault.com/ui/#object/approved_document__v/V5O00000001A037", "LUP - VAE Póster Adelphi - Nefro")</f>
        <v>LUP - VAE Póster Adelphi - Nefro</v>
      </c>
      <c r="E1837" s="22" t="str">
        <f>HYPERLINK("https://otsuka-europe-crm.veevavault.com/ui/#object/sent_email__v/VBL00000002O190", "SE-001431653")</f>
        <v>SE-001431653</v>
      </c>
      <c r="F1837" s="23">
        <v>46175.779050925928</v>
      </c>
      <c r="G1837" s="24">
        <v>1</v>
      </c>
      <c r="H1837" s="24">
        <v>2</v>
      </c>
      <c r="I1837" s="24">
        <v>0</v>
      </c>
      <c r="J1837" s="25"/>
      <c r="K1837" s="24">
        <v>0</v>
      </c>
      <c r="L1837" s="22" t="str">
        <f>HYPERLINK("https://otsuka-europe-crm.veevavault.com/ui/#object/approved_document__v/V5O00000001A037", "LUP - VAE Póster Adelphi - Nefro")</f>
        <v>LUP - VAE Póster Adelphi - Nefro</v>
      </c>
      <c r="M1837" s="22" t="str">
        <f>HYPERLINK("mailto:vvalladares@crm.otsuka-europe.com", "vvalladares@crm.otsuka-europe.com")</f>
        <v>vvalladares@crm.otsuka-europe.com</v>
      </c>
      <c r="N1837" s="23">
        <v>46175.562893518516</v>
      </c>
      <c r="O1837" s="14" t="str">
        <f>HYPERLINK("https://otsuka-europe-crm.veevavault.com/ui/#object/email_activity__v/V8C00000003K862", "EN-002087581")</f>
        <v>EN-002087581</v>
      </c>
    </row>
    <row r="1838" spans="1:15" ht="16" x14ac:dyDescent="0.2">
      <c r="A1838" s="18"/>
      <c r="B1838" s="18"/>
      <c r="C1838" s="18"/>
      <c r="D1838" s="18"/>
      <c r="E1838" s="18"/>
      <c r="F1838" s="18"/>
      <c r="G1838" s="18"/>
      <c r="H1838" s="18"/>
      <c r="I1838" s="18"/>
      <c r="J1838" s="18"/>
      <c r="K1838" s="18"/>
      <c r="L1838" s="18"/>
      <c r="M1838" s="18"/>
      <c r="N1838" s="18"/>
      <c r="O1838" s="14" t="str">
        <f>HYPERLINK("https://otsuka-europe-crm.veevavault.com/ui/#object/email_activity__v/V8C00000003K924", "EN-002087653")</f>
        <v>EN-002087653</v>
      </c>
    </row>
    <row r="1839" spans="1:15" ht="16" x14ac:dyDescent="0.2">
      <c r="A1839" s="18"/>
      <c r="B1839" s="18"/>
      <c r="C1839" s="18"/>
      <c r="D1839" s="18"/>
      <c r="E1839" s="18"/>
      <c r="F1839" s="18"/>
      <c r="G1839" s="18"/>
      <c r="H1839" s="18"/>
      <c r="I1839" s="18"/>
      <c r="J1839" s="18"/>
      <c r="K1839" s="18"/>
      <c r="L1839" s="18"/>
      <c r="M1839" s="18"/>
      <c r="N1839" s="18"/>
      <c r="O1839" s="14" t="str">
        <f>HYPERLINK("https://otsuka-europe-crm.veevavault.com/ui/#object/email_activity__v/V8C00000003M261", "EN-002088499")</f>
        <v>EN-002088499</v>
      </c>
    </row>
    <row r="1840" spans="1:15" ht="16" x14ac:dyDescent="0.2">
      <c r="A1840" s="18"/>
      <c r="B1840" s="18"/>
      <c r="C1840" s="18"/>
      <c r="D1840" s="18"/>
      <c r="E1840" s="18"/>
      <c r="F1840" s="18"/>
      <c r="G1840" s="18"/>
      <c r="H1840" s="18"/>
      <c r="I1840" s="18"/>
      <c r="J1840" s="18"/>
      <c r="K1840" s="18"/>
      <c r="L1840" s="18"/>
      <c r="M1840" s="18"/>
      <c r="N1840" s="18"/>
      <c r="O1840" s="14" t="str">
        <f>HYPERLINK("https://otsuka-europe-crm.veevavault.com/ui/#object/email_activity__v/V8C00000003M601", "EN-002089221")</f>
        <v>EN-002089221</v>
      </c>
    </row>
    <row r="1841" spans="1:15" ht="16" x14ac:dyDescent="0.2">
      <c r="A1841" s="19"/>
      <c r="B1841" s="19"/>
      <c r="C1841" s="19"/>
      <c r="D1841" s="19"/>
      <c r="E1841" s="19"/>
      <c r="F1841" s="19"/>
      <c r="G1841" s="19"/>
      <c r="H1841" s="19"/>
      <c r="I1841" s="19"/>
      <c r="J1841" s="19"/>
      <c r="K1841" s="19"/>
      <c r="L1841" s="19"/>
      <c r="M1841" s="19"/>
      <c r="N1841" s="19"/>
      <c r="O1841" s="14" t="str">
        <f>HYPERLINK("https://otsuka-europe-crm.veevavault.com/ui/#object/email_activity__v/V8C00000003N036", "EN-002088080")</f>
        <v>EN-002088080</v>
      </c>
    </row>
    <row r="1842" spans="1:15" ht="32" x14ac:dyDescent="0.2">
      <c r="A1842" s="7" t="str">
        <f>HYPERLINK("https://otsuka-europe-crm.veevavault.com/ui/#object/account__v/V4TZ025E8577XJH", "MARIA JESUS ALFEREZ ALFEREZ")</f>
        <v>MARIA JESUS ALFEREZ ALFEREZ</v>
      </c>
      <c r="B1842" s="7" t="str">
        <f>HYPERLINK("https://otsuka-europe-crm.veevavault.com/ui/#object/vcountry__v/VENZ000004SONF5", "ES")</f>
        <v>ES</v>
      </c>
      <c r="C1842" s="8" t="s">
        <v>41</v>
      </c>
      <c r="D1842" s="9" t="str">
        <f>HYPERLINK("https://otsuka-europe-crm.veevavault.com/ui/#object/approved_document__v/V5O00000001A037", "LUP - VAE Póster Adelphi - Nefro")</f>
        <v>LUP - VAE Póster Adelphi - Nefro</v>
      </c>
      <c r="E1842" s="10" t="str">
        <f>HYPERLINK("https://otsuka-europe-crm.veevavault.com/ui/#object/sent_email__v/VBL00000002O191", "SE-001431654")</f>
        <v>SE-001431654</v>
      </c>
      <c r="F1842" s="11"/>
      <c r="G1842" s="12">
        <v>0</v>
      </c>
      <c r="H1842" s="12">
        <v>0</v>
      </c>
      <c r="I1842" s="12">
        <v>0</v>
      </c>
      <c r="J1842" s="11"/>
      <c r="K1842" s="12">
        <v>0</v>
      </c>
      <c r="L1842" s="10" t="str">
        <f>HYPERLINK("https://otsuka-europe-crm.veevavault.com/ui/#object/approved_document__v/V5O00000001A037", "LUP - VAE Póster Adelphi - Nefro")</f>
        <v>LUP - VAE Póster Adelphi - Nefro</v>
      </c>
      <c r="M1842" s="10" t="str">
        <f>HYPERLINK("mailto:vvalladares@crm.otsuka-europe.com", "vvalladares@crm.otsuka-europe.com")</f>
        <v>vvalladares@crm.otsuka-europe.com</v>
      </c>
      <c r="N1842" s="13">
        <v>46175.562893518516</v>
      </c>
      <c r="O1842" s="14" t="str">
        <f>HYPERLINK("https://otsuka-europe-crm.veevavault.com/ui/#object/email_activity__v/V8C00000003L786", "EN-002087553")</f>
        <v>EN-002087553</v>
      </c>
    </row>
    <row r="1843" spans="1:15" ht="16" x14ac:dyDescent="0.2">
      <c r="A1843" s="17" t="str">
        <f>HYPERLINK("https://otsuka-europe-crm.veevavault.com/ui/#object/account__v/V4TZ06G6O71T8Q8", "EVA PLAZA LARA")</f>
        <v>EVA PLAZA LARA</v>
      </c>
      <c r="B1843" s="17" t="str">
        <f>HYPERLINK("https://otsuka-europe-crm.veevavault.com/ui/#object/vcountry__v/VENZ000004SONF5", "ES")</f>
        <v>ES</v>
      </c>
      <c r="C1843" s="20" t="s">
        <v>41</v>
      </c>
      <c r="D1843" s="21" t="str">
        <f>HYPERLINK("https://otsuka-europe-crm.veevavault.com/ui/#object/approved_document__v/V5O00000001A037", "LUP - VAE Póster Adelphi - Nefro")</f>
        <v>LUP - VAE Póster Adelphi - Nefro</v>
      </c>
      <c r="E1843" s="22" t="str">
        <f>HYPERLINK("https://otsuka-europe-crm.veevavault.com/ui/#object/sent_email__v/VBL00000002O192", "SE-001431655")</f>
        <v>SE-001431655</v>
      </c>
      <c r="F1843" s="23">
        <v>46175.570914351854</v>
      </c>
      <c r="G1843" s="24">
        <v>1</v>
      </c>
      <c r="H1843" s="24">
        <v>1</v>
      </c>
      <c r="I1843" s="24">
        <v>0</v>
      </c>
      <c r="J1843" s="25"/>
      <c r="K1843" s="24">
        <v>0</v>
      </c>
      <c r="L1843" s="22" t="str">
        <f>HYPERLINK("https://otsuka-europe-crm.veevavault.com/ui/#object/approved_document__v/V5O00000001A037", "LUP - VAE Póster Adelphi - Nefro")</f>
        <v>LUP - VAE Póster Adelphi - Nefro</v>
      </c>
      <c r="M1843" s="22" t="str">
        <f>HYPERLINK("mailto:vvalladares@crm.otsuka-europe.com", "vvalladares@crm.otsuka-europe.com")</f>
        <v>vvalladares@crm.otsuka-europe.com</v>
      </c>
      <c r="N1843" s="23">
        <v>46175.562893518516</v>
      </c>
      <c r="O1843" s="14" t="str">
        <f>HYPERLINK("https://otsuka-europe-crm.veevavault.com/ui/#object/email_activity__v/V8C00000003L810", "EN-002087609")</f>
        <v>EN-002087609</v>
      </c>
    </row>
    <row r="1844" spans="1:15" ht="16" x14ac:dyDescent="0.2">
      <c r="A1844" s="19"/>
      <c r="B1844" s="19"/>
      <c r="C1844" s="19"/>
      <c r="D1844" s="19"/>
      <c r="E1844" s="19"/>
      <c r="F1844" s="19"/>
      <c r="G1844" s="19"/>
      <c r="H1844" s="19"/>
      <c r="I1844" s="19"/>
      <c r="J1844" s="19"/>
      <c r="K1844" s="19"/>
      <c r="L1844" s="19"/>
      <c r="M1844" s="19"/>
      <c r="N1844" s="19"/>
      <c r="O1844" s="14" t="str">
        <f>HYPERLINK("https://otsuka-europe-crm.veevavault.com/ui/#object/email_activity__v/V8C00000003L866", "EN-002087727")</f>
        <v>EN-002087727</v>
      </c>
    </row>
    <row r="1845" spans="1:15" ht="16" x14ac:dyDescent="0.2">
      <c r="A1845" s="17" t="str">
        <f>HYPERLINK("https://otsuka-europe-crm.veevavault.com/ui/#object/account__v/V4TZ06G6O71T769", "ELVIRA ESQUIVIAS DE MOTTA")</f>
        <v>ELVIRA ESQUIVIAS DE MOTTA</v>
      </c>
      <c r="B1845" s="17" t="str">
        <f>HYPERLINK("https://otsuka-europe-crm.veevavault.com/ui/#object/vcountry__v/VENZ000004SONF5", "ES")</f>
        <v>ES</v>
      </c>
      <c r="C1845" s="20" t="s">
        <v>41</v>
      </c>
      <c r="D1845" s="21" t="str">
        <f>HYPERLINK("https://otsuka-europe-crm.veevavault.com/ui/#object/approved_document__v/V5O00000001A037", "LUP - VAE Póster Adelphi - Nefro")</f>
        <v>LUP - VAE Póster Adelphi - Nefro</v>
      </c>
      <c r="E1845" s="22" t="str">
        <f>HYPERLINK("https://otsuka-europe-crm.veevavault.com/ui/#object/sent_email__v/VBL00000002O193", "SE-001431656")</f>
        <v>SE-001431656</v>
      </c>
      <c r="F1845" s="23">
        <v>46175.773611111108</v>
      </c>
      <c r="G1845" s="24">
        <v>1</v>
      </c>
      <c r="H1845" s="24">
        <v>1</v>
      </c>
      <c r="I1845" s="24">
        <v>0</v>
      </c>
      <c r="J1845" s="25"/>
      <c r="K1845" s="24">
        <v>0</v>
      </c>
      <c r="L1845" s="22" t="str">
        <f>HYPERLINK("https://otsuka-europe-crm.veevavault.com/ui/#object/approved_document__v/V5O00000001A037", "LUP - VAE Póster Adelphi - Nefro")</f>
        <v>LUP - VAE Póster Adelphi - Nefro</v>
      </c>
      <c r="M1845" s="22" t="str">
        <f>HYPERLINK("mailto:vvalladares@crm.otsuka-europe.com", "vvalladares@crm.otsuka-europe.com")</f>
        <v>vvalladares@crm.otsuka-europe.com</v>
      </c>
      <c r="N1845" s="23">
        <v>46175.562893518516</v>
      </c>
      <c r="O1845" s="14" t="str">
        <f>HYPERLINK("https://otsuka-europe-crm.veevavault.com/ui/#object/email_activity__v/V8C00000003K939", "EN-002087692")</f>
        <v>EN-002087692</v>
      </c>
    </row>
    <row r="1846" spans="1:15" ht="16" x14ac:dyDescent="0.2">
      <c r="A1846" s="19"/>
      <c r="B1846" s="19"/>
      <c r="C1846" s="19"/>
      <c r="D1846" s="19"/>
      <c r="E1846" s="19"/>
      <c r="F1846" s="19"/>
      <c r="G1846" s="19"/>
      <c r="H1846" s="19"/>
      <c r="I1846" s="19"/>
      <c r="J1846" s="19"/>
      <c r="K1846" s="19"/>
      <c r="L1846" s="19"/>
      <c r="M1846" s="19"/>
      <c r="N1846" s="19"/>
      <c r="O1846" s="14" t="str">
        <f>HYPERLINK("https://otsuka-europe-crm.veevavault.com/ui/#object/email_activity__v/V8C00000003M134", "EN-002088076")</f>
        <v>EN-002088076</v>
      </c>
    </row>
    <row r="1847" spans="1:15" ht="32" x14ac:dyDescent="0.2">
      <c r="A1847" s="7" t="str">
        <f>HYPERLINK("https://otsuka-europe-crm.veevavault.com/ui/#object/account__v/V4TZ06G6O71T9UO", "RAFAEL FRANQUELO SOLER")</f>
        <v>RAFAEL FRANQUELO SOLER</v>
      </c>
      <c r="B1847" s="7" t="str">
        <f>HYPERLINK("https://otsuka-europe-crm.veevavault.com/ui/#object/vcountry__v/VENZ000004SONF5", "ES")</f>
        <v>ES</v>
      </c>
      <c r="C1847" s="8" t="s">
        <v>41</v>
      </c>
      <c r="D1847" s="9" t="str">
        <f>HYPERLINK("https://otsuka-europe-crm.veevavault.com/ui/#object/approved_document__v/V5O00000001A037", "LUP - VAE Póster Adelphi - Nefro")</f>
        <v>LUP - VAE Póster Adelphi - Nefro</v>
      </c>
      <c r="E1847" s="10" t="str">
        <f>HYPERLINK("https://otsuka-europe-crm.veevavault.com/ui/#object/sent_email__v/VBL00000002O194", "SE-001431657")</f>
        <v>SE-001431657</v>
      </c>
      <c r="F1847" s="11"/>
      <c r="G1847" s="12">
        <v>0</v>
      </c>
      <c r="H1847" s="12">
        <v>0</v>
      </c>
      <c r="I1847" s="12">
        <v>0</v>
      </c>
      <c r="J1847" s="11"/>
      <c r="K1847" s="12">
        <v>0</v>
      </c>
      <c r="L1847" s="10" t="str">
        <f>HYPERLINK("https://otsuka-europe-crm.veevavault.com/ui/#object/approved_document__v/V5O00000001A037", "LUP - VAE Póster Adelphi - Nefro")</f>
        <v>LUP - VAE Póster Adelphi - Nefro</v>
      </c>
      <c r="M1847" s="10" t="str">
        <f>HYPERLINK("mailto:vvalladares@crm.otsuka-europe.com", "vvalladares@crm.otsuka-europe.com")</f>
        <v>vvalladares@crm.otsuka-europe.com</v>
      </c>
      <c r="N1847" s="13">
        <v>46175.562939814816</v>
      </c>
      <c r="O1847" s="14" t="str">
        <f>HYPERLINK("https://otsuka-europe-crm.veevavault.com/ui/#object/email_activity__v/V8C00000003K903", "EN-002087631")</f>
        <v>EN-002087631</v>
      </c>
    </row>
    <row r="1848" spans="1:15" ht="32" x14ac:dyDescent="0.2">
      <c r="A1848" s="7" t="str">
        <f>HYPERLINK("https://otsuka-europe-crm.veevavault.com/ui/#object/account__v/V4TZ025E86ZTKRN", "MARIA LUISA GARNICA ALVAREZ")</f>
        <v>MARIA LUISA GARNICA ALVAREZ</v>
      </c>
      <c r="B1848" s="7" t="str">
        <f>HYPERLINK("https://otsuka-europe-crm.veevavault.com/ui/#object/vcountry__v/VENZ000004SONF5", "ES")</f>
        <v>ES</v>
      </c>
      <c r="C1848" s="8" t="s">
        <v>41</v>
      </c>
      <c r="D1848" s="9" t="str">
        <f>HYPERLINK("https://otsuka-europe-crm.veevavault.com/ui/#object/approved_document__v/V5O00000001A037", "LUP - VAE Póster Adelphi - Nefro")</f>
        <v>LUP - VAE Póster Adelphi - Nefro</v>
      </c>
      <c r="E1848" s="10" t="str">
        <f>HYPERLINK("https://otsuka-europe-crm.veevavault.com/ui/#object/sent_email__v/VBL00000002O195", "SE-001431658")</f>
        <v>SE-001431658</v>
      </c>
      <c r="F1848" s="11"/>
      <c r="G1848" s="12">
        <v>0</v>
      </c>
      <c r="H1848" s="12">
        <v>0</v>
      </c>
      <c r="I1848" s="12">
        <v>0</v>
      </c>
      <c r="J1848" s="11"/>
      <c r="K1848" s="12">
        <v>0</v>
      </c>
      <c r="L1848" s="10" t="str">
        <f>HYPERLINK("https://otsuka-europe-crm.veevavault.com/ui/#object/approved_document__v/V5O00000001A037", "LUP - VAE Póster Adelphi - Nefro")</f>
        <v>LUP - VAE Póster Adelphi - Nefro</v>
      </c>
      <c r="M1848" s="10" t="str">
        <f>HYPERLINK("mailto:vvalladares@crm.otsuka-europe.com", "vvalladares@crm.otsuka-europe.com")</f>
        <v>vvalladares@crm.otsuka-europe.com</v>
      </c>
      <c r="N1848" s="13">
        <v>46175.562893518516</v>
      </c>
      <c r="O1848" s="14" t="str">
        <f>HYPERLINK("https://otsuka-europe-crm.veevavault.com/ui/#object/email_activity__v/V8C00000003L812", "EN-002087611")</f>
        <v>EN-002087611</v>
      </c>
    </row>
    <row r="1849" spans="1:15" ht="32" x14ac:dyDescent="0.2">
      <c r="A1849" s="7" t="str">
        <f>HYPERLINK("https://otsuka-europe-crm.veevavault.com/ui/#object/account__v/V4TZ06G6O71T81P", "ARMINDA FARIÑA HERNANDEZ")</f>
        <v>ARMINDA FARIÑA HERNANDEZ</v>
      </c>
      <c r="B1849" s="7" t="str">
        <f>HYPERLINK("https://otsuka-europe-crm.veevavault.com/ui/#object/vcountry__v/VENZ000004SONF5", "ES")</f>
        <v>ES</v>
      </c>
      <c r="C1849" s="8" t="s">
        <v>41</v>
      </c>
      <c r="D1849" s="9" t="str">
        <f>HYPERLINK("https://otsuka-europe-crm.veevavault.com/ui/#object/approved_document__v/V5O00000001A037", "LUP - VAE Póster Adelphi - Nefro")</f>
        <v>LUP - VAE Póster Adelphi - Nefro</v>
      </c>
      <c r="E1849" s="10" t="str">
        <f>HYPERLINK("https://otsuka-europe-crm.veevavault.com/ui/#object/sent_email__v/VBL00000002O196", "SE-001431659")</f>
        <v>SE-001431659</v>
      </c>
      <c r="F1849" s="11"/>
      <c r="G1849" s="12">
        <v>0</v>
      </c>
      <c r="H1849" s="12">
        <v>0</v>
      </c>
      <c r="I1849" s="12">
        <v>0</v>
      </c>
      <c r="J1849" s="11"/>
      <c r="K1849" s="12">
        <v>0</v>
      </c>
      <c r="L1849" s="10" t="str">
        <f>HYPERLINK("https://otsuka-europe-crm.veevavault.com/ui/#object/approved_document__v/V5O00000001A037", "LUP - VAE Póster Adelphi - Nefro")</f>
        <v>LUP - VAE Póster Adelphi - Nefro</v>
      </c>
      <c r="M1849" s="10" t="str">
        <f>HYPERLINK("mailto:vvalladares@crm.otsuka-europe.com", "vvalladares@crm.otsuka-europe.com")</f>
        <v>vvalladares@crm.otsuka-europe.com</v>
      </c>
      <c r="N1849" s="13">
        <v>46175.562893518516</v>
      </c>
      <c r="O1849" s="14" t="str">
        <f>HYPERLINK("https://otsuka-europe-crm.veevavault.com/ui/#object/email_activity__v/V8C00000003K931", "EN-002087684")</f>
        <v>EN-002087684</v>
      </c>
    </row>
    <row r="1850" spans="1:15" ht="32" x14ac:dyDescent="0.2">
      <c r="A1850" s="7" t="str">
        <f>HYPERLINK("https://otsuka-europe-crm.veevavault.com/ui/#object/account__v/V4TZ06G6O71TBA1", "ANA ISABEL MORALES GARCIA")</f>
        <v>ANA ISABEL MORALES GARCIA</v>
      </c>
      <c r="B1850" s="7" t="str">
        <f>HYPERLINK("https://otsuka-europe-crm.veevavault.com/ui/#object/vcountry__v/VENZ000004SONF5", "ES")</f>
        <v>ES</v>
      </c>
      <c r="C1850" s="8" t="s">
        <v>41</v>
      </c>
      <c r="D1850" s="9" t="str">
        <f>HYPERLINK("https://otsuka-europe-crm.veevavault.com/ui/#object/approved_document__v/V5O00000001A037", "LUP - VAE Póster Adelphi - Nefro")</f>
        <v>LUP - VAE Póster Adelphi - Nefro</v>
      </c>
      <c r="E1850" s="10" t="str">
        <f>HYPERLINK("https://otsuka-europe-crm.veevavault.com/ui/#object/sent_email__v/VBL00000002O197", "SE-001431660")</f>
        <v>SE-001431660</v>
      </c>
      <c r="F1850" s="11"/>
      <c r="G1850" s="12">
        <v>0</v>
      </c>
      <c r="H1850" s="12">
        <v>0</v>
      </c>
      <c r="I1850" s="12">
        <v>0</v>
      </c>
      <c r="J1850" s="11"/>
      <c r="K1850" s="12">
        <v>0</v>
      </c>
      <c r="L1850" s="10" t="str">
        <f>HYPERLINK("https://otsuka-europe-crm.veevavault.com/ui/#object/approved_document__v/V5O00000001A037", "LUP - VAE Póster Adelphi - Nefro")</f>
        <v>LUP - VAE Póster Adelphi - Nefro</v>
      </c>
      <c r="M1850" s="10" t="str">
        <f>HYPERLINK("mailto:vvalladares@crm.otsuka-europe.com", "vvalladares@crm.otsuka-europe.com")</f>
        <v>vvalladares@crm.otsuka-europe.com</v>
      </c>
      <c r="N1850" s="13">
        <v>46175.562928240739</v>
      </c>
      <c r="O1850" s="14" t="str">
        <f>HYPERLINK("https://otsuka-europe-crm.veevavault.com/ui/#object/email_activity__v/V8C00000003K896", "EN-002087619")</f>
        <v>EN-002087619</v>
      </c>
    </row>
    <row r="1851" spans="1:15" ht="16" x14ac:dyDescent="0.2">
      <c r="A1851" s="17" t="str">
        <f>HYPERLINK("https://otsuka-europe-crm.veevavault.com/ui/#object/account__v/V4TZ06G6O71T9X3", "RAFAEL JOSE ESTEBAN DE LA ROSA")</f>
        <v>RAFAEL JOSE ESTEBAN DE LA ROSA</v>
      </c>
      <c r="B1851" s="17" t="str">
        <f>HYPERLINK("https://otsuka-europe-crm.veevavault.com/ui/#object/vcountry__v/VENZ000004SONF5", "ES")</f>
        <v>ES</v>
      </c>
      <c r="C1851" s="20" t="s">
        <v>41</v>
      </c>
      <c r="D1851" s="21" t="str">
        <f>HYPERLINK("https://otsuka-europe-crm.veevavault.com/ui/#object/approved_document__v/V5O00000001A037", "LUP - VAE Póster Adelphi - Nefro")</f>
        <v>LUP - VAE Póster Adelphi - Nefro</v>
      </c>
      <c r="E1851" s="22" t="str">
        <f>HYPERLINK("https://otsuka-europe-crm.veevavault.com/ui/#object/sent_email__v/VBL00000002O198", "SE-001431661")</f>
        <v>SE-001431661</v>
      </c>
      <c r="F1851" s="23">
        <v>46175.562986111108</v>
      </c>
      <c r="G1851" s="24">
        <v>1</v>
      </c>
      <c r="H1851" s="24">
        <v>1</v>
      </c>
      <c r="I1851" s="24">
        <v>0</v>
      </c>
      <c r="J1851" s="25"/>
      <c r="K1851" s="24">
        <v>0</v>
      </c>
      <c r="L1851" s="22" t="str">
        <f>HYPERLINK("https://otsuka-europe-crm.veevavault.com/ui/#object/approved_document__v/V5O00000001A037", "LUP - VAE Póster Adelphi - Nefro")</f>
        <v>LUP - VAE Póster Adelphi - Nefro</v>
      </c>
      <c r="M1851" s="22" t="str">
        <f>HYPERLINK("mailto:vvalladares@crm.otsuka-europe.com", "vvalladares@crm.otsuka-europe.com")</f>
        <v>vvalladares@crm.otsuka-europe.com</v>
      </c>
      <c r="N1851" s="23">
        <v>46175.562893518516</v>
      </c>
      <c r="O1851" s="14" t="str">
        <f>HYPERLINK("https://otsuka-europe-crm.veevavault.com/ui/#object/email_activity__v/V8C00000003K888", "EN-002087607")</f>
        <v>EN-002087607</v>
      </c>
    </row>
    <row r="1852" spans="1:15" ht="16" x14ac:dyDescent="0.2">
      <c r="A1852" s="19"/>
      <c r="B1852" s="19"/>
      <c r="C1852" s="19"/>
      <c r="D1852" s="19"/>
      <c r="E1852" s="19"/>
      <c r="F1852" s="19"/>
      <c r="G1852" s="19"/>
      <c r="H1852" s="19"/>
      <c r="I1852" s="19"/>
      <c r="J1852" s="19"/>
      <c r="K1852" s="19"/>
      <c r="L1852" s="19"/>
      <c r="M1852" s="19"/>
      <c r="N1852" s="19"/>
      <c r="O1852" s="14" t="str">
        <f>HYPERLINK("https://otsuka-europe-crm.veevavault.com/ui/#object/email_activity__v/V8C00000003L827", "EN-002087662")</f>
        <v>EN-002087662</v>
      </c>
    </row>
    <row r="1853" spans="1:15" ht="32" x14ac:dyDescent="0.2">
      <c r="A1853" s="7" t="str">
        <f>HYPERLINK("https://otsuka-europe-crm.veevavault.com/ui/#object/account__v/V4TZ06G6OB479M7", "RAFAEL DEL POZO ALVAREZ")</f>
        <v>RAFAEL DEL POZO ALVAREZ</v>
      </c>
      <c r="B1853" s="7" t="str">
        <f>HYPERLINK("https://otsuka-europe-crm.veevavault.com/ui/#object/vcountry__v/VENZ000004SONF5", "ES")</f>
        <v>ES</v>
      </c>
      <c r="C1853" s="8" t="s">
        <v>41</v>
      </c>
      <c r="D1853" s="9" t="str">
        <f>HYPERLINK("https://otsuka-europe-crm.veevavault.com/ui/#object/approved_document__v/V5O00000001A037", "LUP - VAE Póster Adelphi - Nefro")</f>
        <v>LUP - VAE Póster Adelphi - Nefro</v>
      </c>
      <c r="E1853" s="10" t="str">
        <f>HYPERLINK("https://otsuka-europe-crm.veevavault.com/ui/#object/sent_email__v/VBL00000002O199", "SE-001431662")</f>
        <v>SE-001431662</v>
      </c>
      <c r="F1853" s="11"/>
      <c r="G1853" s="12">
        <v>0</v>
      </c>
      <c r="H1853" s="12">
        <v>0</v>
      </c>
      <c r="I1853" s="12">
        <v>0</v>
      </c>
      <c r="J1853" s="11"/>
      <c r="K1853" s="12">
        <v>0</v>
      </c>
      <c r="L1853" s="10" t="str">
        <f>HYPERLINK("https://otsuka-europe-crm.veevavault.com/ui/#object/approved_document__v/V5O00000001A037", "LUP - VAE Póster Adelphi - Nefro")</f>
        <v>LUP - VAE Póster Adelphi - Nefro</v>
      </c>
      <c r="M1853" s="10" t="str">
        <f>HYPERLINK("mailto:vvalladares@crm.otsuka-europe.com", "vvalladares@crm.otsuka-europe.com")</f>
        <v>vvalladares@crm.otsuka-europe.com</v>
      </c>
      <c r="N1853" s="13">
        <v>46175.562893518516</v>
      </c>
      <c r="O1853" s="14" t="str">
        <f>HYPERLINK("https://otsuka-europe-crm.veevavault.com/ui/#object/email_activity__v/V8C00000003K920", "EN-002087649")</f>
        <v>EN-002087649</v>
      </c>
    </row>
    <row r="1854" spans="1:15" ht="32" x14ac:dyDescent="0.2">
      <c r="A1854" s="7" t="str">
        <f>HYPERLINK("https://otsuka-europe-crm.veevavault.com/ui/#object/account__v/V4TZ04ASG6P0G7F", "GALO ALEX SALAZAR RUIZ")</f>
        <v>GALO ALEX SALAZAR RUIZ</v>
      </c>
      <c r="B1854" s="7" t="str">
        <f>HYPERLINK("https://otsuka-europe-crm.veevavault.com/ui/#object/vcountry__v/VENZ000004SONF5", "ES")</f>
        <v>ES</v>
      </c>
      <c r="C1854" s="8" t="s">
        <v>41</v>
      </c>
      <c r="D1854" s="9" t="str">
        <f>HYPERLINK("https://otsuka-europe-crm.veevavault.com/ui/#object/approved_document__v/V5O00000001A037", "LUP - VAE Póster Adelphi - Nefro")</f>
        <v>LUP - VAE Póster Adelphi - Nefro</v>
      </c>
      <c r="E1854" s="10" t="str">
        <f>HYPERLINK("https://otsuka-europe-crm.veevavault.com/ui/#object/sent_email__v/VBL00000002O200", "SE-001431663")</f>
        <v>SE-001431663</v>
      </c>
      <c r="F1854" s="11"/>
      <c r="G1854" s="12">
        <v>0</v>
      </c>
      <c r="H1854" s="12">
        <v>0</v>
      </c>
      <c r="I1854" s="12">
        <v>0</v>
      </c>
      <c r="J1854" s="11"/>
      <c r="K1854" s="12">
        <v>0</v>
      </c>
      <c r="L1854" s="10" t="str">
        <f>HYPERLINK("https://otsuka-europe-crm.veevavault.com/ui/#object/approved_document__v/V5O00000001A037", "LUP - VAE Póster Adelphi - Nefro")</f>
        <v>LUP - VAE Póster Adelphi - Nefro</v>
      </c>
      <c r="M1854" s="10" t="str">
        <f>HYPERLINK("mailto:vvalladares@crm.otsuka-europe.com", "vvalladares@crm.otsuka-europe.com")</f>
        <v>vvalladares@crm.otsuka-europe.com</v>
      </c>
      <c r="N1854" s="13">
        <v>46175.562893518516</v>
      </c>
      <c r="O1854" s="14" t="str">
        <f>HYPERLINK("https://otsuka-europe-crm.veevavault.com/ui/#object/email_activity__v/V8C00000003L787", "EN-002087554")</f>
        <v>EN-002087554</v>
      </c>
    </row>
    <row r="1855" spans="1:15" ht="16" x14ac:dyDescent="0.2">
      <c r="A1855" s="17" t="str">
        <f>HYPERLINK("https://otsuka-europe-crm.veevavault.com/ui/#object/account__v/V4TZ06G6O71T7H5", "ELISA CABELLO MOYA")</f>
        <v>ELISA CABELLO MOYA</v>
      </c>
      <c r="B1855" s="17" t="str">
        <f>HYPERLINK("https://otsuka-europe-crm.veevavault.com/ui/#object/vcountry__v/VENZ000004SONF5", "ES")</f>
        <v>ES</v>
      </c>
      <c r="C1855" s="20" t="s">
        <v>41</v>
      </c>
      <c r="D1855" s="21" t="str">
        <f>HYPERLINK("https://otsuka-europe-crm.veevavault.com/ui/#object/approved_document__v/V5O00000001A037", "LUP - VAE Póster Adelphi - Nefro")</f>
        <v>LUP - VAE Póster Adelphi - Nefro</v>
      </c>
      <c r="E1855" s="22" t="str">
        <f>HYPERLINK("https://otsuka-europe-crm.veevavault.com/ui/#object/sent_email__v/VBL00000002O201", "SE-001431664")</f>
        <v>SE-001431664</v>
      </c>
      <c r="F1855" s="23">
        <v>46175.573148148149</v>
      </c>
      <c r="G1855" s="24">
        <v>1</v>
      </c>
      <c r="H1855" s="24">
        <v>1</v>
      </c>
      <c r="I1855" s="24">
        <v>1</v>
      </c>
      <c r="J1855" s="23">
        <v>46175.573321759257</v>
      </c>
      <c r="K1855" s="24">
        <v>1</v>
      </c>
      <c r="L1855" s="22" t="str">
        <f>HYPERLINK("https://otsuka-europe-crm.veevavault.com/ui/#object/approved_document__v/V5O00000001A037", "LUP - VAE Póster Adelphi - Nefro")</f>
        <v>LUP - VAE Póster Adelphi - Nefro</v>
      </c>
      <c r="M1855" s="22" t="str">
        <f>HYPERLINK("mailto:vvalladares@crm.otsuka-europe.com", "vvalladares@crm.otsuka-europe.com")</f>
        <v>vvalladares@crm.otsuka-europe.com</v>
      </c>
      <c r="N1855" s="23">
        <v>46175.562893518516</v>
      </c>
      <c r="O1855" s="14" t="str">
        <f>HYPERLINK("https://otsuka-europe-crm.veevavault.com/ui/#object/email_activity__v/V8C00000003K918", "EN-002087647")</f>
        <v>EN-002087647</v>
      </c>
    </row>
    <row r="1856" spans="1:15" ht="16" x14ac:dyDescent="0.2">
      <c r="A1856" s="18"/>
      <c r="B1856" s="18"/>
      <c r="C1856" s="18"/>
      <c r="D1856" s="18"/>
      <c r="E1856" s="18"/>
      <c r="F1856" s="18"/>
      <c r="G1856" s="18"/>
      <c r="H1856" s="18"/>
      <c r="I1856" s="18"/>
      <c r="J1856" s="18"/>
      <c r="K1856" s="18"/>
      <c r="L1856" s="18"/>
      <c r="M1856" s="18"/>
      <c r="N1856" s="18"/>
      <c r="O1856" s="14" t="str">
        <f>HYPERLINK("https://otsuka-europe-crm.veevavault.com/ui/#object/email_activity__v/V8C00000003L871", "EN-002087733")</f>
        <v>EN-002087733</v>
      </c>
    </row>
    <row r="1857" spans="1:15" ht="16" x14ac:dyDescent="0.2">
      <c r="A1857" s="18"/>
      <c r="B1857" s="18"/>
      <c r="C1857" s="18"/>
      <c r="D1857" s="18"/>
      <c r="E1857" s="18"/>
      <c r="F1857" s="18"/>
      <c r="G1857" s="18"/>
      <c r="H1857" s="18"/>
      <c r="I1857" s="18"/>
      <c r="J1857" s="18"/>
      <c r="K1857" s="18"/>
      <c r="L1857" s="18"/>
      <c r="M1857" s="18"/>
      <c r="N1857" s="18"/>
      <c r="O1857" s="14" t="str">
        <f>HYPERLINK("https://otsuka-europe-crm.veevavault.com/ui/#object/email_activity__v/V8C00000003L872", "EN-002087734")</f>
        <v>EN-002087734</v>
      </c>
    </row>
    <row r="1858" spans="1:15" ht="16" x14ac:dyDescent="0.2">
      <c r="A1858" s="19"/>
      <c r="B1858" s="19"/>
      <c r="C1858" s="19"/>
      <c r="D1858" s="19"/>
      <c r="E1858" s="19"/>
      <c r="F1858" s="19"/>
      <c r="G1858" s="19"/>
      <c r="H1858" s="19"/>
      <c r="I1858" s="19"/>
      <c r="J1858" s="19"/>
      <c r="K1858" s="19"/>
      <c r="L1858" s="19"/>
      <c r="M1858" s="19"/>
      <c r="N1858" s="19"/>
      <c r="O1858" s="14" t="str">
        <f>HYPERLINK("https://otsuka-europe-crm.veevavault.com/ui/#object/email_activity__v/V8C00000003L923", "EN-002087835")</f>
        <v>EN-002087835</v>
      </c>
    </row>
    <row r="1859" spans="1:15" ht="32" x14ac:dyDescent="0.2">
      <c r="A1859" s="7" t="str">
        <f>HYPERLINK("https://otsuka-europe-crm.veevavault.com/ui/#object/account__v/V4TZ06G6OB479MW", "RUBEN XAVIER SCHULDT")</f>
        <v>RUBEN XAVIER SCHULDT</v>
      </c>
      <c r="B1859" s="7" t="str">
        <f>HYPERLINK("https://otsuka-europe-crm.veevavault.com/ui/#object/vcountry__v/VENZ000004SONF5", "ES")</f>
        <v>ES</v>
      </c>
      <c r="C1859" s="8" t="s">
        <v>41</v>
      </c>
      <c r="D1859" s="9" t="str">
        <f>HYPERLINK("https://otsuka-europe-crm.veevavault.com/ui/#object/approved_document__v/V5O00000001A037", "LUP - VAE Póster Adelphi - Nefro")</f>
        <v>LUP - VAE Póster Adelphi - Nefro</v>
      </c>
      <c r="E1859" s="10" t="str">
        <f>HYPERLINK("https://otsuka-europe-crm.veevavault.com/ui/#object/sent_email__v/VBL00000002O202", "SE-001431665")</f>
        <v>SE-001431665</v>
      </c>
      <c r="F1859" s="11"/>
      <c r="G1859" s="12">
        <v>0</v>
      </c>
      <c r="H1859" s="12">
        <v>0</v>
      </c>
      <c r="I1859" s="12">
        <v>0</v>
      </c>
      <c r="J1859" s="11"/>
      <c r="K1859" s="12">
        <v>0</v>
      </c>
      <c r="L1859" s="10" t="str">
        <f>HYPERLINK("https://otsuka-europe-crm.veevavault.com/ui/#object/approved_document__v/V5O00000001A037", "LUP - VAE Póster Adelphi - Nefro")</f>
        <v>LUP - VAE Póster Adelphi - Nefro</v>
      </c>
      <c r="M1859" s="10" t="str">
        <f>HYPERLINK("mailto:vvalladares@crm.otsuka-europe.com", "vvalladares@crm.otsuka-europe.com")</f>
        <v>vvalladares@crm.otsuka-europe.com</v>
      </c>
      <c r="N1859" s="13">
        <v>46175.562916666669</v>
      </c>
      <c r="O1859" s="14" t="str">
        <f>HYPERLINK("https://otsuka-europe-crm.veevavault.com/ui/#object/email_activity__v/V8C00000003K893", "EN-002087616")</f>
        <v>EN-002087616</v>
      </c>
    </row>
    <row r="1860" spans="1:15" ht="16" x14ac:dyDescent="0.2">
      <c r="A1860" s="17" t="str">
        <f>HYPERLINK("https://otsuka-europe-crm.veevavault.com/ui/#object/account__v/V4TZ06G6O71TB1T", "MARIA DOLORES MARTINEZ ESTEBAN")</f>
        <v>MARIA DOLORES MARTINEZ ESTEBAN</v>
      </c>
      <c r="B1860" s="17" t="str">
        <f>HYPERLINK("https://otsuka-europe-crm.veevavault.com/ui/#object/vcountry__v/VENZ000004SONF5", "ES")</f>
        <v>ES</v>
      </c>
      <c r="C1860" s="20" t="s">
        <v>41</v>
      </c>
      <c r="D1860" s="21" t="str">
        <f>HYPERLINK("https://otsuka-europe-crm.veevavault.com/ui/#object/approved_document__v/V5O00000001A037", "LUP - VAE Póster Adelphi - Nefro")</f>
        <v>LUP - VAE Póster Adelphi - Nefro</v>
      </c>
      <c r="E1860" s="22" t="str">
        <f>HYPERLINK("https://otsuka-europe-crm.veevavault.com/ui/#object/sent_email__v/VBL00000002O203", "SE-001431666")</f>
        <v>SE-001431666</v>
      </c>
      <c r="F1860" s="23">
        <v>46175.563206018516</v>
      </c>
      <c r="G1860" s="24">
        <v>1</v>
      </c>
      <c r="H1860" s="24">
        <v>2</v>
      </c>
      <c r="I1860" s="24">
        <v>0</v>
      </c>
      <c r="J1860" s="25"/>
      <c r="K1860" s="24">
        <v>0</v>
      </c>
      <c r="L1860" s="22" t="str">
        <f>HYPERLINK("https://otsuka-europe-crm.veevavault.com/ui/#object/approved_document__v/V5O00000001A037", "LUP - VAE Póster Adelphi - Nefro")</f>
        <v>LUP - VAE Póster Adelphi - Nefro</v>
      </c>
      <c r="M1860" s="22" t="str">
        <f>HYPERLINK("mailto:vvalladares@crm.otsuka-europe.com", "vvalladares@crm.otsuka-europe.com")</f>
        <v>vvalladares@crm.otsuka-europe.com</v>
      </c>
      <c r="N1860" s="23">
        <v>46175.562893518516</v>
      </c>
      <c r="O1860" s="14" t="str">
        <f>HYPERLINK("https://otsuka-europe-crm.veevavault.com/ui/#object/email_activity__v/V8C00000003K866", "EN-002087585")</f>
        <v>EN-002087585</v>
      </c>
    </row>
    <row r="1861" spans="1:15" ht="16" x14ac:dyDescent="0.2">
      <c r="A1861" s="18"/>
      <c r="B1861" s="18"/>
      <c r="C1861" s="18"/>
      <c r="D1861" s="18"/>
      <c r="E1861" s="18"/>
      <c r="F1861" s="18"/>
      <c r="G1861" s="18"/>
      <c r="H1861" s="18"/>
      <c r="I1861" s="18"/>
      <c r="J1861" s="18"/>
      <c r="K1861" s="18"/>
      <c r="L1861" s="18"/>
      <c r="M1861" s="18"/>
      <c r="N1861" s="18"/>
      <c r="O1861" s="14" t="str">
        <f>HYPERLINK("https://otsuka-europe-crm.veevavault.com/ui/#object/email_activity__v/V8C00000003K943", "EN-002087702")</f>
        <v>EN-002087702</v>
      </c>
    </row>
    <row r="1862" spans="1:15" ht="16" x14ac:dyDescent="0.2">
      <c r="A1862" s="19"/>
      <c r="B1862" s="19"/>
      <c r="C1862" s="19"/>
      <c r="D1862" s="19"/>
      <c r="E1862" s="19"/>
      <c r="F1862" s="19"/>
      <c r="G1862" s="19"/>
      <c r="H1862" s="19"/>
      <c r="I1862" s="19"/>
      <c r="J1862" s="19"/>
      <c r="K1862" s="19"/>
      <c r="L1862" s="19"/>
      <c r="M1862" s="19"/>
      <c r="N1862" s="19"/>
      <c r="O1862" s="14" t="str">
        <f>HYPERLINK("https://otsuka-europe-crm.veevavault.com/ui/#object/email_activity__v/V8C00000003L842", "EN-002087678")</f>
        <v>EN-002087678</v>
      </c>
    </row>
    <row r="1863" spans="1:15" ht="16" x14ac:dyDescent="0.2">
      <c r="A1863" s="17" t="str">
        <f>HYPERLINK("https://otsuka-europe-crm.veevavault.com/ui/#object/account__v/V4TZ06G6O71TBLN", "PATRICIA PEREZ BORGES")</f>
        <v>PATRICIA PEREZ BORGES</v>
      </c>
      <c r="B1863" s="17" t="str">
        <f>HYPERLINK("https://otsuka-europe-crm.veevavault.com/ui/#object/vcountry__v/VENZ000004SONF5", "ES")</f>
        <v>ES</v>
      </c>
      <c r="C1863" s="20" t="s">
        <v>41</v>
      </c>
      <c r="D1863" s="21" t="str">
        <f>HYPERLINK("https://otsuka-europe-crm.veevavault.com/ui/#object/approved_document__v/V5O00000001A037", "LUP - VAE Póster Adelphi - Nefro")</f>
        <v>LUP - VAE Póster Adelphi - Nefro</v>
      </c>
      <c r="E1863" s="22" t="str">
        <f>HYPERLINK("https://otsuka-europe-crm.veevavault.com/ui/#object/sent_email__v/VBL00000002O204", "SE-001431667")</f>
        <v>SE-001431667</v>
      </c>
      <c r="F1863" s="23">
        <v>46175.588252314818</v>
      </c>
      <c r="G1863" s="24">
        <v>1</v>
      </c>
      <c r="H1863" s="24">
        <v>1</v>
      </c>
      <c r="I1863" s="24">
        <v>0</v>
      </c>
      <c r="J1863" s="25"/>
      <c r="K1863" s="24">
        <v>0</v>
      </c>
      <c r="L1863" s="22" t="str">
        <f>HYPERLINK("https://otsuka-europe-crm.veevavault.com/ui/#object/approved_document__v/V5O00000001A037", "LUP - VAE Póster Adelphi - Nefro")</f>
        <v>LUP - VAE Póster Adelphi - Nefro</v>
      </c>
      <c r="M1863" s="22" t="str">
        <f>HYPERLINK("mailto:vvalladares@crm.otsuka-europe.com", "vvalladares@crm.otsuka-europe.com")</f>
        <v>vvalladares@crm.otsuka-europe.com</v>
      </c>
      <c r="N1863" s="23">
        <v>46175.562905092593</v>
      </c>
      <c r="O1863" s="14" t="str">
        <f>HYPERLINK("https://otsuka-europe-crm.veevavault.com/ui/#object/email_activity__v/V8C00000003K899", "EN-002087627")</f>
        <v>EN-002087627</v>
      </c>
    </row>
    <row r="1864" spans="1:15" ht="16" x14ac:dyDescent="0.2">
      <c r="A1864" s="19"/>
      <c r="B1864" s="19"/>
      <c r="C1864" s="19"/>
      <c r="D1864" s="19"/>
      <c r="E1864" s="19"/>
      <c r="F1864" s="19"/>
      <c r="G1864" s="19"/>
      <c r="H1864" s="19"/>
      <c r="I1864" s="19"/>
      <c r="J1864" s="19"/>
      <c r="K1864" s="19"/>
      <c r="L1864" s="19"/>
      <c r="M1864" s="19"/>
      <c r="N1864" s="19"/>
      <c r="O1864" s="14" t="str">
        <f>HYPERLINK("https://otsuka-europe-crm.veevavault.com/ui/#object/email_activity__v/V8C00000003L918", "EN-002087829")</f>
        <v>EN-002087829</v>
      </c>
    </row>
    <row r="1865" spans="1:15" ht="32" x14ac:dyDescent="0.2">
      <c r="A1865" s="7" t="str">
        <f>HYPERLINK("https://otsuka-europe-crm.veevavault.com/ui/#object/account__v/V4TZ06G6O71TA4Z", "MARIA JOSE GARCIA CORTES")</f>
        <v>MARIA JOSE GARCIA CORTES</v>
      </c>
      <c r="B1865" s="7" t="str">
        <f>HYPERLINK("https://otsuka-europe-crm.veevavault.com/ui/#object/vcountry__v/VENZ000004SONF5", "ES")</f>
        <v>ES</v>
      </c>
      <c r="C1865" s="8" t="s">
        <v>41</v>
      </c>
      <c r="D1865" s="9" t="str">
        <f>HYPERLINK("https://otsuka-europe-crm.veevavault.com/ui/#object/approved_document__v/V5O00000001A037", "LUP - VAE Póster Adelphi - Nefro")</f>
        <v>LUP - VAE Póster Adelphi - Nefro</v>
      </c>
      <c r="E1865" s="10" t="str">
        <f>HYPERLINK("https://otsuka-europe-crm.veevavault.com/ui/#object/sent_email__v/VBL00000002O205", "SE-001431668")</f>
        <v>SE-001431668</v>
      </c>
      <c r="F1865" s="11"/>
      <c r="G1865" s="12">
        <v>0</v>
      </c>
      <c r="H1865" s="12">
        <v>0</v>
      </c>
      <c r="I1865" s="12">
        <v>0</v>
      </c>
      <c r="J1865" s="11"/>
      <c r="K1865" s="12">
        <v>0</v>
      </c>
      <c r="L1865" s="10" t="str">
        <f>HYPERLINK("https://otsuka-europe-crm.veevavault.com/ui/#object/approved_document__v/V5O00000001A037", "LUP - VAE Póster Adelphi - Nefro")</f>
        <v>LUP - VAE Póster Adelphi - Nefro</v>
      </c>
      <c r="M1865" s="10" t="str">
        <f>HYPERLINK("mailto:vvalladares@crm.otsuka-europe.com", "vvalladares@crm.otsuka-europe.com")</f>
        <v>vvalladares@crm.otsuka-europe.com</v>
      </c>
      <c r="N1865" s="13">
        <v>46175.562893518516</v>
      </c>
      <c r="O1865" s="14" t="str">
        <f>HYPERLINK("https://otsuka-europe-crm.veevavault.com/ui/#object/email_activity__v/V8C00000003K861", "EN-002087580")</f>
        <v>EN-002087580</v>
      </c>
    </row>
    <row r="1866" spans="1:15" ht="32" x14ac:dyDescent="0.2">
      <c r="A1866" s="7" t="str">
        <f>HYPERLINK("https://otsuka-europe-crm.veevavault.com/ui/#object/account__v/V4TZ06G6O71TAUB", "ALBERTO MARAÑES ANTOÑANZAS")</f>
        <v>ALBERTO MARAÑES ANTOÑANZAS</v>
      </c>
      <c r="B1866" s="7" t="str">
        <f>HYPERLINK("https://otsuka-europe-crm.veevavault.com/ui/#object/vcountry__v/VENZ000004SONF5", "ES")</f>
        <v>ES</v>
      </c>
      <c r="C1866" s="8" t="s">
        <v>41</v>
      </c>
      <c r="D1866" s="9" t="str">
        <f>HYPERLINK("https://otsuka-europe-crm.veevavault.com/ui/#object/approved_document__v/V5O00000001A037", "LUP - VAE Póster Adelphi - Nefro")</f>
        <v>LUP - VAE Póster Adelphi - Nefro</v>
      </c>
      <c r="E1866" s="10" t="str">
        <f>HYPERLINK("https://otsuka-europe-crm.veevavault.com/ui/#object/sent_email__v/VBL00000002O206", "SE-001431669")</f>
        <v>SE-001431669</v>
      </c>
      <c r="F1866" s="11"/>
      <c r="G1866" s="12">
        <v>0</v>
      </c>
      <c r="H1866" s="12">
        <v>0</v>
      </c>
      <c r="I1866" s="12">
        <v>0</v>
      </c>
      <c r="J1866" s="11"/>
      <c r="K1866" s="12">
        <v>0</v>
      </c>
      <c r="L1866" s="10" t="str">
        <f>HYPERLINK("https://otsuka-europe-crm.veevavault.com/ui/#object/approved_document__v/V5O00000001A037", "LUP - VAE Póster Adelphi - Nefro")</f>
        <v>LUP - VAE Póster Adelphi - Nefro</v>
      </c>
      <c r="M1866" s="10" t="str">
        <f>HYPERLINK("mailto:vvalladares@crm.otsuka-europe.com", "vvalladares@crm.otsuka-europe.com")</f>
        <v>vvalladares@crm.otsuka-europe.com</v>
      </c>
      <c r="N1866" s="13">
        <v>46175.562928240739</v>
      </c>
      <c r="O1866" s="14" t="str">
        <f>HYPERLINK("https://otsuka-europe-crm.veevavault.com/ui/#object/email_activity__v/V8C00000003K912", "EN-002087640")</f>
        <v>EN-002087640</v>
      </c>
    </row>
    <row r="1867" spans="1:15" ht="32" x14ac:dyDescent="0.2">
      <c r="A1867" s="7" t="str">
        <f>HYPERLINK("https://otsuka-europe-crm.veevavault.com/ui/#object/account__v/V4TZ06G6O71T8NO", "MARIA ISABEL LOPEZ GARCIA")</f>
        <v>MARIA ISABEL LOPEZ GARCIA</v>
      </c>
      <c r="B1867" s="7" t="str">
        <f>HYPERLINK("https://otsuka-europe-crm.veevavault.com/ui/#object/vcountry__v/VENZ000004SONF5", "ES")</f>
        <v>ES</v>
      </c>
      <c r="C1867" s="8" t="s">
        <v>41</v>
      </c>
      <c r="D1867" s="9" t="str">
        <f>HYPERLINK("https://otsuka-europe-crm.veevavault.com/ui/#object/approved_document__v/V5O00000001A037", "LUP - VAE Póster Adelphi - Nefro")</f>
        <v>LUP - VAE Póster Adelphi - Nefro</v>
      </c>
      <c r="E1867" s="10" t="str">
        <f>HYPERLINK("https://otsuka-europe-crm.veevavault.com/ui/#object/sent_email__v/VBL00000002O207", "SE-001431670")</f>
        <v>SE-001431670</v>
      </c>
      <c r="F1867" s="11"/>
      <c r="G1867" s="12">
        <v>0</v>
      </c>
      <c r="H1867" s="12">
        <v>0</v>
      </c>
      <c r="I1867" s="12">
        <v>0</v>
      </c>
      <c r="J1867" s="11"/>
      <c r="K1867" s="12">
        <v>0</v>
      </c>
      <c r="L1867" s="10" t="str">
        <f>HYPERLINK("https://otsuka-europe-crm.veevavault.com/ui/#object/approved_document__v/V5O00000001A037", "LUP - VAE Póster Adelphi - Nefro")</f>
        <v>LUP - VAE Póster Adelphi - Nefro</v>
      </c>
      <c r="M1867" s="10" t="str">
        <f>HYPERLINK("mailto:vvalladares@crm.otsuka-europe.com", "vvalladares@crm.otsuka-europe.com")</f>
        <v>vvalladares@crm.otsuka-europe.com</v>
      </c>
      <c r="N1867" s="13">
        <v>46175.562893518516</v>
      </c>
      <c r="O1867" s="14" t="str">
        <f>HYPERLINK("https://otsuka-europe-crm.veevavault.com/ui/#object/email_activity__v/V8C00000003L797", "EN-002087564")</f>
        <v>EN-002087564</v>
      </c>
    </row>
    <row r="1868" spans="1:15" ht="32" x14ac:dyDescent="0.2">
      <c r="A1868" s="7" t="str">
        <f>HYPERLINK("https://otsuka-europe-crm.veevavault.com/ui/#object/account__v/V4TZ06G6O71T9L3", "PATRICIA ISABEL DELGADO MALLEN")</f>
        <v>PATRICIA ISABEL DELGADO MALLEN</v>
      </c>
      <c r="B1868" s="7" t="str">
        <f>HYPERLINK("https://otsuka-europe-crm.veevavault.com/ui/#object/vcountry__v/VENZ000004SONF5", "ES")</f>
        <v>ES</v>
      </c>
      <c r="C1868" s="8" t="s">
        <v>41</v>
      </c>
      <c r="D1868" s="9" t="str">
        <f>HYPERLINK("https://otsuka-europe-crm.veevavault.com/ui/#object/approved_document__v/V5O00000001A037", "LUP - VAE Póster Adelphi - Nefro")</f>
        <v>LUP - VAE Póster Adelphi - Nefro</v>
      </c>
      <c r="E1868" s="10" t="str">
        <f>HYPERLINK("https://otsuka-europe-crm.veevavault.com/ui/#object/sent_email__v/VBL00000002O208", "SE-001431671")</f>
        <v>SE-001431671</v>
      </c>
      <c r="F1868" s="11"/>
      <c r="G1868" s="12">
        <v>0</v>
      </c>
      <c r="H1868" s="12">
        <v>0</v>
      </c>
      <c r="I1868" s="12">
        <v>0</v>
      </c>
      <c r="J1868" s="11"/>
      <c r="K1868" s="12">
        <v>0</v>
      </c>
      <c r="L1868" s="10" t="str">
        <f>HYPERLINK("https://otsuka-europe-crm.veevavault.com/ui/#object/approved_document__v/V5O00000001A037", "LUP - VAE Póster Adelphi - Nefro")</f>
        <v>LUP - VAE Póster Adelphi - Nefro</v>
      </c>
      <c r="M1868" s="10" t="str">
        <f>HYPERLINK("mailto:vvalladares@crm.otsuka-europe.com", "vvalladares@crm.otsuka-europe.com")</f>
        <v>vvalladares@crm.otsuka-europe.com</v>
      </c>
      <c r="N1868" s="13">
        <v>46175.562893518516</v>
      </c>
      <c r="O1868" s="14" t="str">
        <f>HYPERLINK("https://otsuka-europe-crm.veevavault.com/ui/#object/email_activity__v/V8C00000003K867", "EN-002087586")</f>
        <v>EN-002087586</v>
      </c>
    </row>
    <row r="1869" spans="1:15" ht="16" x14ac:dyDescent="0.2">
      <c r="A1869" s="17" t="str">
        <f>HYPERLINK("https://otsuka-europe-crm.veevavault.com/ui/#object/account__v/V4TZ04ASG8VCLUL", "NAYARA ZAMORA RODRIGUEZ")</f>
        <v>NAYARA ZAMORA RODRIGUEZ</v>
      </c>
      <c r="B1869" s="17" t="str">
        <f>HYPERLINK("https://otsuka-europe-crm.veevavault.com/ui/#object/vcountry__v/VENZ000004SONF5", "ES")</f>
        <v>ES</v>
      </c>
      <c r="C1869" s="20" t="s">
        <v>41</v>
      </c>
      <c r="D1869" s="21" t="str">
        <f>HYPERLINK("https://otsuka-europe-crm.veevavault.com/ui/#object/approved_document__v/V5O00000001A037", "LUP - VAE Póster Adelphi - Nefro")</f>
        <v>LUP - VAE Póster Adelphi - Nefro</v>
      </c>
      <c r="E1869" s="22" t="str">
        <f>HYPERLINK("https://otsuka-europe-crm.veevavault.com/ui/#object/sent_email__v/VBL00000002O209", "SE-001431672")</f>
        <v>SE-001431672</v>
      </c>
      <c r="F1869" s="25"/>
      <c r="G1869" s="24">
        <v>0</v>
      </c>
      <c r="H1869" s="24">
        <v>0</v>
      </c>
      <c r="I1869" s="24">
        <v>0</v>
      </c>
      <c r="J1869" s="25"/>
      <c r="K1869" s="24">
        <v>0</v>
      </c>
      <c r="L1869" s="22" t="str">
        <f>HYPERLINK("https://otsuka-europe-crm.veevavault.com/ui/#object/approved_document__v/V5O00000001A037", "LUP - VAE Póster Adelphi - Nefro")</f>
        <v>LUP - VAE Póster Adelphi - Nefro</v>
      </c>
      <c r="M1869" s="22" t="str">
        <f>HYPERLINK("mailto:vvalladares@crm.otsuka-europe.com", "vvalladares@crm.otsuka-europe.com")</f>
        <v>vvalladares@crm.otsuka-europe.com</v>
      </c>
      <c r="N1869" s="23">
        <v>46175.562928240739</v>
      </c>
      <c r="O1869" s="14" t="str">
        <f>HYPERLINK("https://otsuka-europe-crm.veevavault.com/ui/#object/email_activity__v/V8C00000003K902", "EN-002087630")</f>
        <v>EN-002087630</v>
      </c>
    </row>
    <row r="1870" spans="1:15" ht="16" x14ac:dyDescent="0.2">
      <c r="A1870" s="19"/>
      <c r="B1870" s="19"/>
      <c r="C1870" s="19"/>
      <c r="D1870" s="19"/>
      <c r="E1870" s="19"/>
      <c r="F1870" s="19"/>
      <c r="G1870" s="19"/>
      <c r="H1870" s="19"/>
      <c r="I1870" s="19"/>
      <c r="J1870" s="19"/>
      <c r="K1870" s="19"/>
      <c r="L1870" s="19"/>
      <c r="M1870" s="19"/>
      <c r="N1870" s="19"/>
      <c r="O1870" s="14" t="str">
        <f>HYPERLINK("https://otsuka-europe-crm.veevavault.com/ui/#object/email_activity__v/V8C00000003L869", "EN-002087730")</f>
        <v>EN-002087730</v>
      </c>
    </row>
    <row r="1871" spans="1:15" ht="32" x14ac:dyDescent="0.2">
      <c r="A1871" s="7" t="str">
        <f>HYPERLINK("https://otsuka-europe-crm.veevavault.com/ui/#object/account__v/V4TZ06G6O71TCC6", "ARMANDO TORRES RAMIREZ")</f>
        <v>ARMANDO TORRES RAMIREZ</v>
      </c>
      <c r="B1871" s="7" t="str">
        <f>HYPERLINK("https://otsuka-europe-crm.veevavault.com/ui/#object/vcountry__v/VENZ000004SONF5", "ES")</f>
        <v>ES</v>
      </c>
      <c r="C1871" s="8" t="s">
        <v>41</v>
      </c>
      <c r="D1871" s="9" t="str">
        <f>HYPERLINK("https://otsuka-europe-crm.veevavault.com/ui/#object/approved_document__v/V5O00000001A037", "LUP - VAE Póster Adelphi - Nefro")</f>
        <v>LUP - VAE Póster Adelphi - Nefro</v>
      </c>
      <c r="E1871" s="10" t="str">
        <f>HYPERLINK("https://otsuka-europe-crm.veevavault.com/ui/#object/sent_email__v/VBL00000002O210", "SE-001431673")</f>
        <v>SE-001431673</v>
      </c>
      <c r="F1871" s="11"/>
      <c r="G1871" s="12">
        <v>0</v>
      </c>
      <c r="H1871" s="12">
        <v>0</v>
      </c>
      <c r="I1871" s="12">
        <v>0</v>
      </c>
      <c r="J1871" s="11"/>
      <c r="K1871" s="12">
        <v>0</v>
      </c>
      <c r="L1871" s="10" t="str">
        <f>HYPERLINK("https://otsuka-europe-crm.veevavault.com/ui/#object/approved_document__v/V5O00000001A037", "LUP - VAE Póster Adelphi - Nefro")</f>
        <v>LUP - VAE Póster Adelphi - Nefro</v>
      </c>
      <c r="M1871" s="10" t="str">
        <f>HYPERLINK("mailto:vvalladares@crm.otsuka-europe.com", "vvalladares@crm.otsuka-europe.com")</f>
        <v>vvalladares@crm.otsuka-europe.com</v>
      </c>
      <c r="N1871" s="13">
        <v>46175.562893518516</v>
      </c>
      <c r="O1871" s="14" t="str">
        <f>HYPERLINK("https://otsuka-europe-crm.veevavault.com/ui/#object/email_activity__v/V8C00000003K882", "EN-002087601")</f>
        <v>EN-002087601</v>
      </c>
    </row>
    <row r="1872" spans="1:15" ht="16" x14ac:dyDescent="0.2">
      <c r="A1872" s="17" t="str">
        <f>HYPERLINK("https://otsuka-europe-crm.veevavault.com/ui/#object/account__v/V4TZ04ASGGI2JZ1", "JUAN FERNANDEZ SOLIS")</f>
        <v>JUAN FERNANDEZ SOLIS</v>
      </c>
      <c r="B1872" s="17" t="str">
        <f>HYPERLINK("https://otsuka-europe-crm.veevavault.com/ui/#object/vcountry__v/VENZ000004SONF5", "ES")</f>
        <v>ES</v>
      </c>
      <c r="C1872" s="20" t="s">
        <v>41</v>
      </c>
      <c r="D1872" s="21" t="str">
        <f>HYPERLINK("https://otsuka-europe-crm.veevavault.com/ui/#object/approved_document__v/V5O00000001A037", "LUP - VAE Póster Adelphi - Nefro")</f>
        <v>LUP - VAE Póster Adelphi - Nefro</v>
      </c>
      <c r="E1872" s="22" t="str">
        <f>HYPERLINK("https://otsuka-europe-crm.veevavault.com/ui/#object/sent_email__v/VBL00000002O211", "SE-001431674")</f>
        <v>SE-001431674</v>
      </c>
      <c r="F1872" s="23">
        <v>46185.428020833337</v>
      </c>
      <c r="G1872" s="24">
        <v>1</v>
      </c>
      <c r="H1872" s="24">
        <v>1</v>
      </c>
      <c r="I1872" s="24">
        <v>0</v>
      </c>
      <c r="J1872" s="25"/>
      <c r="K1872" s="24">
        <v>0</v>
      </c>
      <c r="L1872" s="22" t="str">
        <f>HYPERLINK("https://otsuka-europe-crm.veevavault.com/ui/#object/approved_document__v/V5O00000001A037", "LUP - VAE Póster Adelphi - Nefro")</f>
        <v>LUP - VAE Póster Adelphi - Nefro</v>
      </c>
      <c r="M1872" s="22" t="str">
        <f>HYPERLINK("mailto:vvalladares@crm.otsuka-europe.com", "vvalladares@crm.otsuka-europe.com")</f>
        <v>vvalladares@crm.otsuka-europe.com</v>
      </c>
      <c r="N1872" s="23">
        <v>46175.562893518516</v>
      </c>
      <c r="O1872" s="14" t="str">
        <f>HYPERLINK("https://otsuka-europe-crm.veevavault.com/ui/#object/email_activity__v/V8C00000003L794", "EN-002087561")</f>
        <v>EN-002087561</v>
      </c>
    </row>
    <row r="1873" spans="1:15" ht="16" x14ac:dyDescent="0.2">
      <c r="A1873" s="19"/>
      <c r="B1873" s="19"/>
      <c r="C1873" s="19"/>
      <c r="D1873" s="19"/>
      <c r="E1873" s="19"/>
      <c r="F1873" s="19"/>
      <c r="G1873" s="19"/>
      <c r="H1873" s="19"/>
      <c r="I1873" s="19"/>
      <c r="J1873" s="19"/>
      <c r="K1873" s="19"/>
      <c r="L1873" s="19"/>
      <c r="M1873" s="19"/>
      <c r="N1873" s="19"/>
      <c r="O1873" s="14" t="str">
        <f>HYPERLINK("https://otsuka-europe-crm.veevavault.com/ui/#object/email_activity__v/V8C00000003V271", "EN-002095329")</f>
        <v>EN-002095329</v>
      </c>
    </row>
    <row r="1874" spans="1:15" ht="16" x14ac:dyDescent="0.2">
      <c r="A1874" s="17" t="str">
        <f>HYPERLINK("https://otsuka-europe-crm.veevavault.com/ui/#object/account__v/V4TZ025E838Q4FL", "MARIA MARTINEZ MANRIQUE")</f>
        <v>MARIA MARTINEZ MANRIQUE</v>
      </c>
      <c r="B1874" s="17" t="str">
        <f>HYPERLINK("https://otsuka-europe-crm.veevavault.com/ui/#object/vcountry__v/VENZ000004SONF5", "ES")</f>
        <v>ES</v>
      </c>
      <c r="C1874" s="20" t="s">
        <v>41</v>
      </c>
      <c r="D1874" s="21" t="str">
        <f>HYPERLINK("https://otsuka-europe-crm.veevavault.com/ui/#object/approved_document__v/V5O00000001A037", "LUP - VAE Póster Adelphi - Nefro")</f>
        <v>LUP - VAE Póster Adelphi - Nefro</v>
      </c>
      <c r="E1874" s="22" t="str">
        <f>HYPERLINK("https://otsuka-europe-crm.veevavault.com/ui/#object/sent_email__v/VBL00000002O212", "SE-001431675")</f>
        <v>SE-001431675</v>
      </c>
      <c r="F1874" s="23">
        <v>46175.679212962961</v>
      </c>
      <c r="G1874" s="24">
        <v>1</v>
      </c>
      <c r="H1874" s="24">
        <v>1</v>
      </c>
      <c r="I1874" s="24">
        <v>0</v>
      </c>
      <c r="J1874" s="25"/>
      <c r="K1874" s="24">
        <v>0</v>
      </c>
      <c r="L1874" s="22" t="str">
        <f>HYPERLINK("https://otsuka-europe-crm.veevavault.com/ui/#object/approved_document__v/V5O00000001A037", "LUP - VAE Póster Adelphi - Nefro")</f>
        <v>LUP - VAE Póster Adelphi - Nefro</v>
      </c>
      <c r="M1874" s="22" t="str">
        <f>HYPERLINK("mailto:vvalladares@crm.otsuka-europe.com", "vvalladares@crm.otsuka-europe.com")</f>
        <v>vvalladares@crm.otsuka-europe.com</v>
      </c>
      <c r="N1874" s="23">
        <v>46175.562893518516</v>
      </c>
      <c r="O1874" s="14" t="str">
        <f>HYPERLINK("https://otsuka-europe-crm.veevavault.com/ui/#object/email_activity__v/V8C00000003L826", "EN-002087661")</f>
        <v>EN-002087661</v>
      </c>
    </row>
    <row r="1875" spans="1:15" ht="16" x14ac:dyDescent="0.2">
      <c r="A1875" s="19"/>
      <c r="B1875" s="19"/>
      <c r="C1875" s="19"/>
      <c r="D1875" s="19"/>
      <c r="E1875" s="19"/>
      <c r="F1875" s="19"/>
      <c r="G1875" s="19"/>
      <c r="H1875" s="19"/>
      <c r="I1875" s="19"/>
      <c r="J1875" s="19"/>
      <c r="K1875" s="19"/>
      <c r="L1875" s="19"/>
      <c r="M1875" s="19"/>
      <c r="N1875" s="19"/>
      <c r="O1875" s="14" t="str">
        <f>HYPERLINK("https://otsuka-europe-crm.veevavault.com/ui/#object/email_activity__v/V8C00000003N006", "EN-002087993")</f>
        <v>EN-002087993</v>
      </c>
    </row>
    <row r="1876" spans="1:15" ht="16" x14ac:dyDescent="0.2">
      <c r="A1876" s="17" t="str">
        <f>HYPERLINK("https://otsuka-europe-crm.veevavault.com/ui/#object/account__v/V4TZ025E87AAYME", "DAVID SALCEDO HERRERO")</f>
        <v>DAVID SALCEDO HERRERO</v>
      </c>
      <c r="B1876" s="17" t="str">
        <f>HYPERLINK("https://otsuka-europe-crm.veevavault.com/ui/#object/vcountry__v/VENZ000004SONF5", "ES")</f>
        <v>ES</v>
      </c>
      <c r="C1876" s="20" t="s">
        <v>41</v>
      </c>
      <c r="D1876" s="21" t="str">
        <f>HYPERLINK("https://otsuka-europe-crm.veevavault.com/ui/#object/approved_document__v/V5O00000001A037", "LUP - VAE Póster Adelphi - Nefro")</f>
        <v>LUP - VAE Póster Adelphi - Nefro</v>
      </c>
      <c r="E1876" s="22" t="str">
        <f>HYPERLINK("https://otsuka-europe-crm.veevavault.com/ui/#object/sent_email__v/VBL00000002O213", "SE-001431676")</f>
        <v>SE-001431676</v>
      </c>
      <c r="F1876" s="23">
        <v>46175.566759259258</v>
      </c>
      <c r="G1876" s="24">
        <v>1</v>
      </c>
      <c r="H1876" s="24">
        <v>1</v>
      </c>
      <c r="I1876" s="24">
        <v>0</v>
      </c>
      <c r="J1876" s="25"/>
      <c r="K1876" s="24">
        <v>0</v>
      </c>
      <c r="L1876" s="22" t="str">
        <f>HYPERLINK("https://otsuka-europe-crm.veevavault.com/ui/#object/approved_document__v/V5O00000001A037", "LUP - VAE Póster Adelphi - Nefro")</f>
        <v>LUP - VAE Póster Adelphi - Nefro</v>
      </c>
      <c r="M1876" s="22" t="str">
        <f>HYPERLINK("mailto:vvalladares@crm.otsuka-europe.com", "vvalladares@crm.otsuka-europe.com")</f>
        <v>vvalladares@crm.otsuka-europe.com</v>
      </c>
      <c r="N1876" s="23">
        <v>46175.562893518516</v>
      </c>
      <c r="O1876" s="14" t="str">
        <f>HYPERLINK("https://otsuka-europe-crm.veevavault.com/ui/#object/email_activity__v/V8C00000003K948", "EN-002087715")</f>
        <v>EN-002087715</v>
      </c>
    </row>
    <row r="1877" spans="1:15" ht="16" x14ac:dyDescent="0.2">
      <c r="A1877" s="19"/>
      <c r="B1877" s="19"/>
      <c r="C1877" s="19"/>
      <c r="D1877" s="19"/>
      <c r="E1877" s="19"/>
      <c r="F1877" s="19"/>
      <c r="G1877" s="19"/>
      <c r="H1877" s="19"/>
      <c r="I1877" s="19"/>
      <c r="J1877" s="19"/>
      <c r="K1877" s="19"/>
      <c r="L1877" s="19"/>
      <c r="M1877" s="19"/>
      <c r="N1877" s="19"/>
      <c r="O1877" s="14" t="str">
        <f>HYPERLINK("https://otsuka-europe-crm.veevavault.com/ui/#object/email_activity__v/V8C00000003L825", "EN-002087660")</f>
        <v>EN-002087660</v>
      </c>
    </row>
    <row r="1878" spans="1:15" ht="32" x14ac:dyDescent="0.2">
      <c r="A1878" s="7" t="str">
        <f>HYPERLINK("https://otsuka-europe-crm.veevavault.com/ui/#object/account__v/V4TZ06G6O71TA69", "FRANCISCO JAVIER GONZALEZ MARTINEZ")</f>
        <v>FRANCISCO JAVIER GONZALEZ MARTINEZ</v>
      </c>
      <c r="B1878" s="7" t="str">
        <f>HYPERLINK("https://otsuka-europe-crm.veevavault.com/ui/#object/vcountry__v/VENZ000004SONF5", "ES")</f>
        <v>ES</v>
      </c>
      <c r="C1878" s="8" t="s">
        <v>41</v>
      </c>
      <c r="D1878" s="9" t="str">
        <f>HYPERLINK("https://otsuka-europe-crm.veevavault.com/ui/#object/approved_document__v/V5O00000001A037", "LUP - VAE Póster Adelphi - Nefro")</f>
        <v>LUP - VAE Póster Adelphi - Nefro</v>
      </c>
      <c r="E1878" s="10" t="str">
        <f>HYPERLINK("https://otsuka-europe-crm.veevavault.com/ui/#object/sent_email__v/VBL00000002O214", "SE-001431677")</f>
        <v>SE-001431677</v>
      </c>
      <c r="F1878" s="11"/>
      <c r="G1878" s="12">
        <v>0</v>
      </c>
      <c r="H1878" s="12">
        <v>0</v>
      </c>
      <c r="I1878" s="12">
        <v>0</v>
      </c>
      <c r="J1878" s="11"/>
      <c r="K1878" s="12">
        <v>0</v>
      </c>
      <c r="L1878" s="10" t="str">
        <f>HYPERLINK("https://otsuka-europe-crm.veevavault.com/ui/#object/approved_document__v/V5O00000001A037", "LUP - VAE Póster Adelphi - Nefro")</f>
        <v>LUP - VAE Póster Adelphi - Nefro</v>
      </c>
      <c r="M1878" s="10" t="str">
        <f>HYPERLINK("mailto:vvalladares@crm.otsuka-europe.com", "vvalladares@crm.otsuka-europe.com")</f>
        <v>vvalladares@crm.otsuka-europe.com</v>
      </c>
      <c r="N1878" s="13">
        <v>46175.562893518516</v>
      </c>
      <c r="O1878" s="14" t="str">
        <f>HYPERLINK("https://otsuka-europe-crm.veevavault.com/ui/#object/email_activity__v/V8C00000003K933", "EN-002087686")</f>
        <v>EN-002087686</v>
      </c>
    </row>
    <row r="1879" spans="1:15" ht="16" x14ac:dyDescent="0.2">
      <c r="A1879" s="17" t="str">
        <f>HYPERLINK("https://otsuka-europe-crm.veevavault.com/ui/#object/account__v/V4TZ06G6O71T8J9", "SARA AFONSO RAMOS")</f>
        <v>SARA AFONSO RAMOS</v>
      </c>
      <c r="B1879" s="17" t="str">
        <f>HYPERLINK("https://otsuka-europe-crm.veevavault.com/ui/#object/vcountry__v/VENZ000004SONF5", "ES")</f>
        <v>ES</v>
      </c>
      <c r="C1879" s="20" t="s">
        <v>41</v>
      </c>
      <c r="D1879" s="21" t="str">
        <f>HYPERLINK("https://otsuka-europe-crm.veevavault.com/ui/#object/approved_document__v/V5O00000001A037", "LUP - VAE Póster Adelphi - Nefro")</f>
        <v>LUP - VAE Póster Adelphi - Nefro</v>
      </c>
      <c r="E1879" s="22" t="str">
        <f>HYPERLINK("https://otsuka-europe-crm.veevavault.com/ui/#object/sent_email__v/VBL00000002O215", "SE-001431678")</f>
        <v>SE-001431678</v>
      </c>
      <c r="F1879" s="23">
        <v>46175.588877314818</v>
      </c>
      <c r="G1879" s="24">
        <v>1</v>
      </c>
      <c r="H1879" s="24">
        <v>2</v>
      </c>
      <c r="I1879" s="24">
        <v>0</v>
      </c>
      <c r="J1879" s="25"/>
      <c r="K1879" s="24">
        <v>0</v>
      </c>
      <c r="L1879" s="22" t="str">
        <f>HYPERLINK("https://otsuka-europe-crm.veevavault.com/ui/#object/approved_document__v/V5O00000001A037", "LUP - VAE Póster Adelphi - Nefro")</f>
        <v>LUP - VAE Póster Adelphi - Nefro</v>
      </c>
      <c r="M1879" s="22" t="str">
        <f>HYPERLINK("mailto:vvalladares@crm.otsuka-europe.com", "vvalladares@crm.otsuka-europe.com")</f>
        <v>vvalladares@crm.otsuka-europe.com</v>
      </c>
      <c r="N1879" s="23">
        <v>46175.562893518516</v>
      </c>
      <c r="O1879" s="14" t="str">
        <f>HYPERLINK("https://otsuka-europe-crm.veevavault.com/ui/#object/email_activity__v/V8C00000003L834", "EN-002087670")</f>
        <v>EN-002087670</v>
      </c>
    </row>
    <row r="1880" spans="1:15" ht="16" x14ac:dyDescent="0.2">
      <c r="A1880" s="18"/>
      <c r="B1880" s="18"/>
      <c r="C1880" s="18"/>
      <c r="D1880" s="18"/>
      <c r="E1880" s="18"/>
      <c r="F1880" s="18"/>
      <c r="G1880" s="18"/>
      <c r="H1880" s="18"/>
      <c r="I1880" s="18"/>
      <c r="J1880" s="18"/>
      <c r="K1880" s="18"/>
      <c r="L1880" s="18"/>
      <c r="M1880" s="18"/>
      <c r="N1880" s="18"/>
      <c r="O1880" s="14" t="str">
        <f>HYPERLINK("https://otsuka-europe-crm.veevavault.com/ui/#object/email_activity__v/V8C00000003L849", "EN-002087703")</f>
        <v>EN-002087703</v>
      </c>
    </row>
    <row r="1881" spans="1:15" ht="16" x14ac:dyDescent="0.2">
      <c r="A1881" s="19"/>
      <c r="B1881" s="19"/>
      <c r="C1881" s="19"/>
      <c r="D1881" s="19"/>
      <c r="E1881" s="19"/>
      <c r="F1881" s="19"/>
      <c r="G1881" s="19"/>
      <c r="H1881" s="19"/>
      <c r="I1881" s="19"/>
      <c r="J1881" s="19"/>
      <c r="K1881" s="19"/>
      <c r="L1881" s="19"/>
      <c r="M1881" s="19"/>
      <c r="N1881" s="19"/>
      <c r="O1881" s="14" t="str">
        <f>HYPERLINK("https://otsuka-europe-crm.veevavault.com/ui/#object/email_activity__v/V8C00000003M002", "EN-002087830")</f>
        <v>EN-002087830</v>
      </c>
    </row>
    <row r="1882" spans="1:15" ht="16" x14ac:dyDescent="0.2">
      <c r="A1882" s="17" t="str">
        <f>HYPERLINK("https://otsuka-europe-crm.veevavault.com/ui/#object/account__v/V4TZ06G6O71T757", "MONICA MARTIN VELAZQUEZ")</f>
        <v>MONICA MARTIN VELAZQUEZ</v>
      </c>
      <c r="B1882" s="17" t="str">
        <f>HYPERLINK("https://otsuka-europe-crm.veevavault.com/ui/#object/vcountry__v/VENZ000004SONF5", "ES")</f>
        <v>ES</v>
      </c>
      <c r="C1882" s="20" t="s">
        <v>41</v>
      </c>
      <c r="D1882" s="21" t="str">
        <f>HYPERLINK("https://otsuka-europe-crm.veevavault.com/ui/#object/approved_document__v/V5O00000001A037", "LUP - VAE Póster Adelphi - Nefro")</f>
        <v>LUP - VAE Póster Adelphi - Nefro</v>
      </c>
      <c r="E1882" s="22" t="str">
        <f>HYPERLINK("https://otsuka-europe-crm.veevavault.com/ui/#object/sent_email__v/VBL00000002O216", "SE-001431679")</f>
        <v>SE-001431679</v>
      </c>
      <c r="F1882" s="25"/>
      <c r="G1882" s="24">
        <v>0</v>
      </c>
      <c r="H1882" s="24">
        <v>0</v>
      </c>
      <c r="I1882" s="24">
        <v>0</v>
      </c>
      <c r="J1882" s="25"/>
      <c r="K1882" s="24">
        <v>0</v>
      </c>
      <c r="L1882" s="22" t="str">
        <f>HYPERLINK("https://otsuka-europe-crm.veevavault.com/ui/#object/approved_document__v/V5O00000001A037", "LUP - VAE Póster Adelphi - Nefro")</f>
        <v>LUP - VAE Póster Adelphi - Nefro</v>
      </c>
      <c r="M1882" s="22" t="str">
        <f>HYPERLINK("mailto:vvalladares@crm.otsuka-europe.com", "vvalladares@crm.otsuka-europe.com")</f>
        <v>vvalladares@crm.otsuka-europe.com</v>
      </c>
      <c r="N1882" s="23">
        <v>46175.562905092593</v>
      </c>
      <c r="O1882" s="14" t="str">
        <f>HYPERLINK("https://otsuka-europe-crm.veevavault.com/ui/#object/email_activity__v/V8C00000003L816", "EN-002087623")</f>
        <v>EN-002087623</v>
      </c>
    </row>
    <row r="1883" spans="1:15" ht="16" x14ac:dyDescent="0.2">
      <c r="A1883" s="19"/>
      <c r="B1883" s="19"/>
      <c r="C1883" s="19"/>
      <c r="D1883" s="19"/>
      <c r="E1883" s="19"/>
      <c r="F1883" s="19"/>
      <c r="G1883" s="19"/>
      <c r="H1883" s="19"/>
      <c r="I1883" s="19"/>
      <c r="J1883" s="19"/>
      <c r="K1883" s="19"/>
      <c r="L1883" s="19"/>
      <c r="M1883" s="19"/>
      <c r="N1883" s="19"/>
      <c r="O1883" s="14" t="str">
        <f>HYPERLINK("https://otsuka-europe-crm.veevavault.com/ui/#object/email_activity__v/V8C00000003L949", "EN-002087888")</f>
        <v>EN-002087888</v>
      </c>
    </row>
    <row r="1884" spans="1:15" ht="32" x14ac:dyDescent="0.2">
      <c r="A1884" s="7" t="str">
        <f>HYPERLINK("https://otsuka-europe-crm.veevavault.com/ui/#object/account__v/V4TZ06G6O71TBF3", "MANUEL NAVARRO ZURITA")</f>
        <v>MANUEL NAVARRO ZURITA</v>
      </c>
      <c r="B1884" s="7" t="str">
        <f>HYPERLINK("https://otsuka-europe-crm.veevavault.com/ui/#object/vcountry__v/VENZ000004SONF5", "ES")</f>
        <v>ES</v>
      </c>
      <c r="C1884" s="8" t="s">
        <v>41</v>
      </c>
      <c r="D1884" s="9" t="str">
        <f>HYPERLINK("https://otsuka-europe-crm.veevavault.com/ui/#object/approved_document__v/V5O00000001A037", "LUP - VAE Póster Adelphi - Nefro")</f>
        <v>LUP - VAE Póster Adelphi - Nefro</v>
      </c>
      <c r="E1884" s="10" t="str">
        <f>HYPERLINK("https://otsuka-europe-crm.veevavault.com/ui/#object/sent_email__v/VBL00000002O217", "SE-001431680")</f>
        <v>SE-001431680</v>
      </c>
      <c r="F1884" s="11"/>
      <c r="G1884" s="12">
        <v>0</v>
      </c>
      <c r="H1884" s="12">
        <v>0</v>
      </c>
      <c r="I1884" s="12">
        <v>0</v>
      </c>
      <c r="J1884" s="11"/>
      <c r="K1884" s="12">
        <v>0</v>
      </c>
      <c r="L1884" s="10" t="str">
        <f>HYPERLINK("https://otsuka-europe-crm.veevavault.com/ui/#object/approved_document__v/V5O00000001A037", "LUP - VAE Póster Adelphi - Nefro")</f>
        <v>LUP - VAE Póster Adelphi - Nefro</v>
      </c>
      <c r="M1884" s="10" t="str">
        <f>HYPERLINK("mailto:vvalladares@crm.otsuka-europe.com", "vvalladares@crm.otsuka-europe.com")</f>
        <v>vvalladares@crm.otsuka-europe.com</v>
      </c>
      <c r="N1884" s="13">
        <v>46175.562893518516</v>
      </c>
      <c r="O1884" s="14" t="str">
        <f>HYPERLINK("https://otsuka-europe-crm.veevavault.com/ui/#object/email_activity__v/V8C00000003L809", "EN-002087608")</f>
        <v>EN-002087608</v>
      </c>
    </row>
    <row r="1885" spans="1:15" ht="16" x14ac:dyDescent="0.2">
      <c r="A1885" s="17" t="str">
        <f>HYPERLINK("https://otsuka-europe-crm.veevavault.com/ui/#object/account__v/V4TZ04ASG6TK5QC", "MARIA ROSA ESCAÑO MARIN")</f>
        <v>MARIA ROSA ESCAÑO MARIN</v>
      </c>
      <c r="B1885" s="17" t="str">
        <f>HYPERLINK("https://otsuka-europe-crm.veevavault.com/ui/#object/vcountry__v/VENZ000004SONF5", "ES")</f>
        <v>ES</v>
      </c>
      <c r="C1885" s="20" t="s">
        <v>41</v>
      </c>
      <c r="D1885" s="21" t="str">
        <f>HYPERLINK("https://otsuka-europe-crm.veevavault.com/ui/#object/approved_document__v/V5O00000001A037", "LUP - VAE Póster Adelphi - Nefro")</f>
        <v>LUP - VAE Póster Adelphi - Nefro</v>
      </c>
      <c r="E1885" s="22" t="str">
        <f>HYPERLINK("https://otsuka-europe-crm.veevavault.com/ui/#object/sent_email__v/VBL00000002O218", "SE-001431681")</f>
        <v>SE-001431681</v>
      </c>
      <c r="F1885" s="23">
        <v>46175.623576388891</v>
      </c>
      <c r="G1885" s="24">
        <v>1</v>
      </c>
      <c r="H1885" s="24">
        <v>1</v>
      </c>
      <c r="I1885" s="24">
        <v>0</v>
      </c>
      <c r="J1885" s="25"/>
      <c r="K1885" s="24">
        <v>0</v>
      </c>
      <c r="L1885" s="22" t="str">
        <f>HYPERLINK("https://otsuka-europe-crm.veevavault.com/ui/#object/approved_document__v/V5O00000001A037", "LUP - VAE Póster Adelphi - Nefro")</f>
        <v>LUP - VAE Póster Adelphi - Nefro</v>
      </c>
      <c r="M1885" s="22" t="str">
        <f>HYPERLINK("mailto:vvalladares@crm.otsuka-europe.com", "vvalladares@crm.otsuka-europe.com")</f>
        <v>vvalladares@crm.otsuka-europe.com</v>
      </c>
      <c r="N1885" s="23">
        <v>46175.562905092593</v>
      </c>
      <c r="O1885" s="14" t="str">
        <f>HYPERLINK("https://otsuka-europe-crm.veevavault.com/ui/#object/email_activity__v/V8C00000003K900", "EN-002087628")</f>
        <v>EN-002087628</v>
      </c>
    </row>
    <row r="1886" spans="1:15" ht="16" x14ac:dyDescent="0.2">
      <c r="A1886" s="19"/>
      <c r="B1886" s="19"/>
      <c r="C1886" s="19"/>
      <c r="D1886" s="19"/>
      <c r="E1886" s="19"/>
      <c r="F1886" s="19"/>
      <c r="G1886" s="19"/>
      <c r="H1886" s="19"/>
      <c r="I1886" s="19"/>
      <c r="J1886" s="19"/>
      <c r="K1886" s="19"/>
      <c r="L1886" s="19"/>
      <c r="M1886" s="19"/>
      <c r="N1886" s="19"/>
      <c r="O1886" s="14" t="str">
        <f>HYPERLINK("https://otsuka-europe-crm.veevavault.com/ui/#object/email_activity__v/V8C00000003L954", "EN-002087898")</f>
        <v>EN-002087898</v>
      </c>
    </row>
    <row r="1887" spans="1:15" ht="32" x14ac:dyDescent="0.2">
      <c r="A1887" s="7" t="str">
        <f>HYPERLINK("https://otsuka-europe-crm.veevavault.com/ui/#object/account__v/V4TZ06G6O71T7XN", "YNGRID MARIBY MARROQUIN CONTRERAS")</f>
        <v>YNGRID MARIBY MARROQUIN CONTRERAS</v>
      </c>
      <c r="B1887" s="7" t="str">
        <f>HYPERLINK("https://otsuka-europe-crm.veevavault.com/ui/#object/vcountry__v/VENZ000004SONF5", "ES")</f>
        <v>ES</v>
      </c>
      <c r="C1887" s="8" t="s">
        <v>41</v>
      </c>
      <c r="D1887" s="9" t="str">
        <f>HYPERLINK("https://otsuka-europe-crm.veevavault.com/ui/#object/approved_document__v/V5O00000001A037", "LUP - VAE Póster Adelphi - Nefro")</f>
        <v>LUP - VAE Póster Adelphi - Nefro</v>
      </c>
      <c r="E1887" s="10" t="str">
        <f>HYPERLINK("https://otsuka-europe-crm.veevavault.com/ui/#object/sent_email__v/VBL00000002O219", "SE-001431682")</f>
        <v>SE-001431682</v>
      </c>
      <c r="F1887" s="11"/>
      <c r="G1887" s="12">
        <v>0</v>
      </c>
      <c r="H1887" s="12">
        <v>0</v>
      </c>
      <c r="I1887" s="12">
        <v>0</v>
      </c>
      <c r="J1887" s="11"/>
      <c r="K1887" s="12">
        <v>0</v>
      </c>
      <c r="L1887" s="10" t="str">
        <f>HYPERLINK("https://otsuka-europe-crm.veevavault.com/ui/#object/approved_document__v/V5O00000001A037", "LUP - VAE Póster Adelphi - Nefro")</f>
        <v>LUP - VAE Póster Adelphi - Nefro</v>
      </c>
      <c r="M1887" s="10" t="str">
        <f>HYPERLINK("mailto:vvalladares@crm.otsuka-europe.com", "vvalladares@crm.otsuka-europe.com")</f>
        <v>vvalladares@crm.otsuka-europe.com</v>
      </c>
      <c r="N1887" s="13">
        <v>46175.562893518516</v>
      </c>
      <c r="O1887" s="14" t="str">
        <f>HYPERLINK("https://otsuka-europe-crm.veevavault.com/ui/#object/email_activity__v/V8C00000003K930", "EN-002087683")</f>
        <v>EN-002087683</v>
      </c>
    </row>
    <row r="1888" spans="1:15" ht="16" x14ac:dyDescent="0.2">
      <c r="A1888" s="17" t="str">
        <f>HYPERLINK("https://otsuka-europe-crm.veevavault.com/ui/#object/account__v/V4TZ06G6O71TA75", "FAYNA GONZALEZ CABRERA")</f>
        <v>FAYNA GONZALEZ CABRERA</v>
      </c>
      <c r="B1888" s="17" t="str">
        <f>HYPERLINK("https://otsuka-europe-crm.veevavault.com/ui/#object/vcountry__v/VENZ000004SONF5", "ES")</f>
        <v>ES</v>
      </c>
      <c r="C1888" s="20" t="s">
        <v>41</v>
      </c>
      <c r="D1888" s="21" t="str">
        <f>HYPERLINK("https://otsuka-europe-crm.veevavault.com/ui/#object/approved_document__v/V5O00000001A037", "LUP - VAE Póster Adelphi - Nefro")</f>
        <v>LUP - VAE Póster Adelphi - Nefro</v>
      </c>
      <c r="E1888" s="22" t="str">
        <f>HYPERLINK("https://otsuka-europe-crm.veevavault.com/ui/#object/sent_email__v/VBL00000002O220", "SE-001431683")</f>
        <v>SE-001431683</v>
      </c>
      <c r="F1888" s="25"/>
      <c r="G1888" s="24">
        <v>0</v>
      </c>
      <c r="H1888" s="24">
        <v>0</v>
      </c>
      <c r="I1888" s="24">
        <v>1</v>
      </c>
      <c r="J1888" s="23">
        <v>46176.8828125</v>
      </c>
      <c r="K1888" s="24">
        <v>1</v>
      </c>
      <c r="L1888" s="22" t="str">
        <f>HYPERLINK("https://otsuka-europe-crm.veevavault.com/ui/#object/approved_document__v/V5O00000001A037", "LUP - VAE Póster Adelphi - Nefro")</f>
        <v>LUP - VAE Póster Adelphi - Nefro</v>
      </c>
      <c r="M1888" s="22" t="str">
        <f>HYPERLINK("mailto:vvalladares@crm.otsuka-europe.com", "vvalladares@crm.otsuka-europe.com")</f>
        <v>vvalladares@crm.otsuka-europe.com</v>
      </c>
      <c r="N1888" s="23">
        <v>46175.562893518516</v>
      </c>
      <c r="O1888" s="14" t="str">
        <f>HYPERLINK("https://otsuka-europe-crm.veevavault.com/ui/#object/email_activity__v/V8C00000003L839", "EN-002087675")</f>
        <v>EN-002087675</v>
      </c>
    </row>
    <row r="1889" spans="1:15" ht="16" x14ac:dyDescent="0.2">
      <c r="A1889" s="18"/>
      <c r="B1889" s="18"/>
      <c r="C1889" s="18"/>
      <c r="D1889" s="18"/>
      <c r="E1889" s="18"/>
      <c r="F1889" s="18"/>
      <c r="G1889" s="18"/>
      <c r="H1889" s="18"/>
      <c r="I1889" s="18"/>
      <c r="J1889" s="18"/>
      <c r="K1889" s="18"/>
      <c r="L1889" s="18"/>
      <c r="M1889" s="18"/>
      <c r="N1889" s="18"/>
      <c r="O1889" s="14" t="str">
        <f>HYPERLINK("https://otsuka-europe-crm.veevavault.com/ui/#object/email_activity__v/V8C00000003M265", "EN-002088506")</f>
        <v>EN-002088506</v>
      </c>
    </row>
    <row r="1890" spans="1:15" ht="16" x14ac:dyDescent="0.2">
      <c r="A1890" s="18"/>
      <c r="B1890" s="18"/>
      <c r="C1890" s="18"/>
      <c r="D1890" s="18"/>
      <c r="E1890" s="18"/>
      <c r="F1890" s="18"/>
      <c r="G1890" s="18"/>
      <c r="H1890" s="18"/>
      <c r="I1890" s="18"/>
      <c r="J1890" s="18"/>
      <c r="K1890" s="18"/>
      <c r="L1890" s="18"/>
      <c r="M1890" s="18"/>
      <c r="N1890" s="18"/>
      <c r="O1890" s="14" t="str">
        <f>HYPERLINK("https://otsuka-europe-crm.veevavault.com/ui/#object/email_activity__v/V8C00000003M407", "EN-002088843")</f>
        <v>EN-002088843</v>
      </c>
    </row>
    <row r="1891" spans="1:15" ht="16" x14ac:dyDescent="0.2">
      <c r="A1891" s="19"/>
      <c r="B1891" s="19"/>
      <c r="C1891" s="19"/>
      <c r="D1891" s="19"/>
      <c r="E1891" s="19"/>
      <c r="F1891" s="19"/>
      <c r="G1891" s="19"/>
      <c r="H1891" s="19"/>
      <c r="I1891" s="19"/>
      <c r="J1891" s="19"/>
      <c r="K1891" s="19"/>
      <c r="L1891" s="19"/>
      <c r="M1891" s="19"/>
      <c r="N1891" s="19"/>
      <c r="O1891" s="14" t="str">
        <f>HYPERLINK("https://otsuka-europe-crm.veevavault.com/ui/#object/email_activity__v/V8C00000003M413", "EN-002088854")</f>
        <v>EN-002088854</v>
      </c>
    </row>
    <row r="1892" spans="1:15" ht="16" x14ac:dyDescent="0.2">
      <c r="A1892" s="17" t="str">
        <f>HYPERLINK("https://otsuka-europe-crm.veevavault.com/ui/#object/account__v/V4TZ04ASG997NUR", "DANIELA MEDINA GARCIA")</f>
        <v>DANIELA MEDINA GARCIA</v>
      </c>
      <c r="B1892" s="17" t="str">
        <f>HYPERLINK("https://otsuka-europe-crm.veevavault.com/ui/#object/vcountry__v/VENZ000004SONF5", "ES")</f>
        <v>ES</v>
      </c>
      <c r="C1892" s="20" t="s">
        <v>41</v>
      </c>
      <c r="D1892" s="21" t="str">
        <f>HYPERLINK("https://otsuka-europe-crm.veevavault.com/ui/#object/approved_document__v/V5O00000001A037", "LUP - VAE Póster Adelphi - Nefro")</f>
        <v>LUP - VAE Póster Adelphi - Nefro</v>
      </c>
      <c r="E1892" s="22" t="str">
        <f>HYPERLINK("https://otsuka-europe-crm.veevavault.com/ui/#object/sent_email__v/VBL00000002O221", "SE-001431684")</f>
        <v>SE-001431684</v>
      </c>
      <c r="F1892" s="23">
        <v>46176.751180555555</v>
      </c>
      <c r="G1892" s="24">
        <v>1</v>
      </c>
      <c r="H1892" s="24">
        <v>6</v>
      </c>
      <c r="I1892" s="24">
        <v>0</v>
      </c>
      <c r="J1892" s="25"/>
      <c r="K1892" s="24">
        <v>0</v>
      </c>
      <c r="L1892" s="22" t="str">
        <f>HYPERLINK("https://otsuka-europe-crm.veevavault.com/ui/#object/approved_document__v/V5O00000001A037", "LUP - VAE Póster Adelphi - Nefro")</f>
        <v>LUP - VAE Póster Adelphi - Nefro</v>
      </c>
      <c r="M1892" s="22" t="str">
        <f>HYPERLINK("mailto:vvalladares@crm.otsuka-europe.com", "vvalladares@crm.otsuka-europe.com")</f>
        <v>vvalladares@crm.otsuka-europe.com</v>
      </c>
      <c r="N1892" s="23">
        <v>46175.562893518516</v>
      </c>
      <c r="O1892" s="14" t="str">
        <f>HYPERLINK("https://otsuka-europe-crm.veevavault.com/ui/#object/email_activity__v/V8C00000003K883", "EN-002087602")</f>
        <v>EN-002087602</v>
      </c>
    </row>
    <row r="1893" spans="1:15" ht="16" x14ac:dyDescent="0.2">
      <c r="A1893" s="18"/>
      <c r="B1893" s="18"/>
      <c r="C1893" s="18"/>
      <c r="D1893" s="18"/>
      <c r="E1893" s="18"/>
      <c r="F1893" s="18"/>
      <c r="G1893" s="18"/>
      <c r="H1893" s="18"/>
      <c r="I1893" s="18"/>
      <c r="J1893" s="18"/>
      <c r="K1893" s="18"/>
      <c r="L1893" s="18"/>
      <c r="M1893" s="18"/>
      <c r="N1893" s="18"/>
      <c r="O1893" s="14" t="str">
        <f>HYPERLINK("https://otsuka-europe-crm.veevavault.com/ui/#object/email_activity__v/V8C00000003M125", "EN-002088060")</f>
        <v>EN-002088060</v>
      </c>
    </row>
    <row r="1894" spans="1:15" ht="16" x14ac:dyDescent="0.2">
      <c r="A1894" s="18"/>
      <c r="B1894" s="18"/>
      <c r="C1894" s="18"/>
      <c r="D1894" s="18"/>
      <c r="E1894" s="18"/>
      <c r="F1894" s="18"/>
      <c r="G1894" s="18"/>
      <c r="H1894" s="18"/>
      <c r="I1894" s="18"/>
      <c r="J1894" s="18"/>
      <c r="K1894" s="18"/>
      <c r="L1894" s="18"/>
      <c r="M1894" s="18"/>
      <c r="N1894" s="18"/>
      <c r="O1894" s="14" t="str">
        <f>HYPERLINK("https://otsuka-europe-crm.veevavault.com/ui/#object/email_activity__v/V8C00000003M126", "EN-002088061")</f>
        <v>EN-002088061</v>
      </c>
    </row>
    <row r="1895" spans="1:15" ht="16" x14ac:dyDescent="0.2">
      <c r="A1895" s="18"/>
      <c r="B1895" s="18"/>
      <c r="C1895" s="18"/>
      <c r="D1895" s="18"/>
      <c r="E1895" s="18"/>
      <c r="F1895" s="18"/>
      <c r="G1895" s="18"/>
      <c r="H1895" s="18"/>
      <c r="I1895" s="18"/>
      <c r="J1895" s="18"/>
      <c r="K1895" s="18"/>
      <c r="L1895" s="18"/>
      <c r="M1895" s="18"/>
      <c r="N1895" s="18"/>
      <c r="O1895" s="14" t="str">
        <f>HYPERLINK("https://otsuka-europe-crm.veevavault.com/ui/#object/email_activity__v/V8C00000003M348", "EN-002088689")</f>
        <v>EN-002088689</v>
      </c>
    </row>
    <row r="1896" spans="1:15" ht="16" x14ac:dyDescent="0.2">
      <c r="A1896" s="18"/>
      <c r="B1896" s="18"/>
      <c r="C1896" s="18"/>
      <c r="D1896" s="18"/>
      <c r="E1896" s="18"/>
      <c r="F1896" s="18"/>
      <c r="G1896" s="18"/>
      <c r="H1896" s="18"/>
      <c r="I1896" s="18"/>
      <c r="J1896" s="18"/>
      <c r="K1896" s="18"/>
      <c r="L1896" s="18"/>
      <c r="M1896" s="18"/>
      <c r="N1896" s="18"/>
      <c r="O1896" s="14" t="str">
        <f>HYPERLINK("https://otsuka-europe-crm.veevavault.com/ui/#object/email_activity__v/V8C00000003M393", "EN-002088799")</f>
        <v>EN-002088799</v>
      </c>
    </row>
    <row r="1897" spans="1:15" ht="16" x14ac:dyDescent="0.2">
      <c r="A1897" s="18"/>
      <c r="B1897" s="18"/>
      <c r="C1897" s="18"/>
      <c r="D1897" s="18"/>
      <c r="E1897" s="18"/>
      <c r="F1897" s="18"/>
      <c r="G1897" s="18"/>
      <c r="H1897" s="18"/>
      <c r="I1897" s="18"/>
      <c r="J1897" s="18"/>
      <c r="K1897" s="18"/>
      <c r="L1897" s="18"/>
      <c r="M1897" s="18"/>
      <c r="N1897" s="18"/>
      <c r="O1897" s="14" t="str">
        <f>HYPERLINK("https://otsuka-europe-crm.veevavault.com/ui/#object/email_activity__v/V8C00000003N292", "EN-002088438")</f>
        <v>EN-002088438</v>
      </c>
    </row>
    <row r="1898" spans="1:15" ht="16" x14ac:dyDescent="0.2">
      <c r="A1898" s="19"/>
      <c r="B1898" s="19"/>
      <c r="C1898" s="19"/>
      <c r="D1898" s="19"/>
      <c r="E1898" s="19"/>
      <c r="F1898" s="19"/>
      <c r="G1898" s="19"/>
      <c r="H1898" s="19"/>
      <c r="I1898" s="19"/>
      <c r="J1898" s="19"/>
      <c r="K1898" s="19"/>
      <c r="L1898" s="19"/>
      <c r="M1898" s="19"/>
      <c r="N1898" s="19"/>
      <c r="O1898" s="14" t="str">
        <f>HYPERLINK("https://otsuka-europe-crm.veevavault.com/ui/#object/email_activity__v/V8C00000003N502", "EN-002088798")</f>
        <v>EN-002088798</v>
      </c>
    </row>
    <row r="1899" spans="1:15" ht="16" x14ac:dyDescent="0.2">
      <c r="A1899" s="17" t="str">
        <f>HYPERLINK("https://otsuka-europe-crm.veevavault.com/ui/#object/account__v/V4TZ06G6O71TB0I", "BASILIO MARTIN URCUYO")</f>
        <v>BASILIO MARTIN URCUYO</v>
      </c>
      <c r="B1899" s="17" t="str">
        <f>HYPERLINK("https://otsuka-europe-crm.veevavault.com/ui/#object/vcountry__v/VENZ000004SONF5", "ES")</f>
        <v>ES</v>
      </c>
      <c r="C1899" s="20" t="s">
        <v>41</v>
      </c>
      <c r="D1899" s="21" t="str">
        <f>HYPERLINK("https://otsuka-europe-crm.veevavault.com/ui/#object/approved_document__v/V5O00000001A037", "LUP - VAE Póster Adelphi - Nefro")</f>
        <v>LUP - VAE Póster Adelphi - Nefro</v>
      </c>
      <c r="E1899" s="22" t="str">
        <f>HYPERLINK("https://otsuka-europe-crm.veevavault.com/ui/#object/sent_email__v/VBL00000002O222", "SE-001431685")</f>
        <v>SE-001431685</v>
      </c>
      <c r="F1899" s="25"/>
      <c r="G1899" s="24">
        <v>0</v>
      </c>
      <c r="H1899" s="24">
        <v>0</v>
      </c>
      <c r="I1899" s="24">
        <v>0</v>
      </c>
      <c r="J1899" s="25"/>
      <c r="K1899" s="24">
        <v>0</v>
      </c>
      <c r="L1899" s="22" t="str">
        <f>HYPERLINK("https://otsuka-europe-crm.veevavault.com/ui/#object/approved_document__v/V5O00000001A037", "LUP - VAE Póster Adelphi - Nefro")</f>
        <v>LUP - VAE Póster Adelphi - Nefro</v>
      </c>
      <c r="M1899" s="22" t="str">
        <f>HYPERLINK("mailto:vvalladares@crm.otsuka-europe.com", "vvalladares@crm.otsuka-europe.com")</f>
        <v>vvalladares@crm.otsuka-europe.com</v>
      </c>
      <c r="N1899" s="23">
        <v>46175.562893518516</v>
      </c>
      <c r="O1899" s="14" t="str">
        <f>HYPERLINK("https://otsuka-europe-crm.veevavault.com/ui/#object/email_activity__v/V8C00000003K923", "EN-002087652")</f>
        <v>EN-002087652</v>
      </c>
    </row>
    <row r="1900" spans="1:15" ht="16" x14ac:dyDescent="0.2">
      <c r="A1900" s="19"/>
      <c r="B1900" s="19"/>
      <c r="C1900" s="19"/>
      <c r="D1900" s="19"/>
      <c r="E1900" s="19"/>
      <c r="F1900" s="19"/>
      <c r="G1900" s="19"/>
      <c r="H1900" s="19"/>
      <c r="I1900" s="19"/>
      <c r="J1900" s="19"/>
      <c r="K1900" s="19"/>
      <c r="L1900" s="19"/>
      <c r="M1900" s="19"/>
      <c r="N1900" s="19"/>
      <c r="O1900" s="14" t="str">
        <f>HYPERLINK("https://otsuka-europe-crm.veevavault.com/ui/#object/email_activity__v/V8C00000003M087", "EN-002088010")</f>
        <v>EN-002088010</v>
      </c>
    </row>
    <row r="1901" spans="1:15" ht="32" x14ac:dyDescent="0.2">
      <c r="A1901" s="7" t="str">
        <f>HYPERLINK("https://otsuka-europe-crm.veevavault.com/ui/#object/account__v/V4TZ06G6O71TCJW", "MIGUEL GIOVANNI URIOL RIVERA")</f>
        <v>MIGUEL GIOVANNI URIOL RIVERA</v>
      </c>
      <c r="B1901" s="7" t="str">
        <f>HYPERLINK("https://otsuka-europe-crm.veevavault.com/ui/#object/vcountry__v/VENZ000004SONF5", "ES")</f>
        <v>ES</v>
      </c>
      <c r="C1901" s="8" t="s">
        <v>41</v>
      </c>
      <c r="D1901" s="9" t="str">
        <f>HYPERLINK("https://otsuka-europe-crm.veevavault.com/ui/#object/approved_document__v/V5O00000001A037", "LUP - VAE Póster Adelphi - Nefro")</f>
        <v>LUP - VAE Póster Adelphi - Nefro</v>
      </c>
      <c r="E1901" s="10" t="str">
        <f>HYPERLINK("https://otsuka-europe-crm.veevavault.com/ui/#object/sent_email__v/VBL00000002O223", "SE-001431686")</f>
        <v>SE-001431686</v>
      </c>
      <c r="F1901" s="11"/>
      <c r="G1901" s="12">
        <v>0</v>
      </c>
      <c r="H1901" s="12">
        <v>0</v>
      </c>
      <c r="I1901" s="12">
        <v>0</v>
      </c>
      <c r="J1901" s="11"/>
      <c r="K1901" s="12">
        <v>0</v>
      </c>
      <c r="L1901" s="10" t="str">
        <f>HYPERLINK("https://otsuka-europe-crm.veevavault.com/ui/#object/approved_document__v/V5O00000001A037", "LUP - VAE Póster Adelphi - Nefro")</f>
        <v>LUP - VAE Póster Adelphi - Nefro</v>
      </c>
      <c r="M1901" s="10" t="str">
        <f>HYPERLINK("mailto:vvalladares@crm.otsuka-europe.com", "vvalladares@crm.otsuka-europe.com")</f>
        <v>vvalladares@crm.otsuka-europe.com</v>
      </c>
      <c r="N1901" s="13">
        <v>46175.562893518516</v>
      </c>
      <c r="O1901" s="14" t="str">
        <f>HYPERLINK("https://otsuka-europe-crm.veevavault.com/ui/#object/email_activity__v/V8C00000003K874", "EN-002087593")</f>
        <v>EN-002087593</v>
      </c>
    </row>
    <row r="1902" spans="1:15" ht="32" x14ac:dyDescent="0.2">
      <c r="A1902" s="7" t="str">
        <f>HYPERLINK("https://otsuka-europe-crm.veevavault.com/ui/#object/account__v/V4TZ06G6O71T8IZ", "LAURA PIQUERO CALLEJA")</f>
        <v>LAURA PIQUERO CALLEJA</v>
      </c>
      <c r="B1902" s="7" t="str">
        <f>HYPERLINK("https://otsuka-europe-crm.veevavault.com/ui/#object/vcountry__v/VENZ000004SONF5", "ES")</f>
        <v>ES</v>
      </c>
      <c r="C1902" s="8" t="s">
        <v>41</v>
      </c>
      <c r="D1902" s="9" t="str">
        <f>HYPERLINK("https://otsuka-europe-crm.veevavault.com/ui/#object/approved_document__v/V5O00000001A037", "LUP - VAE Póster Adelphi - Nefro")</f>
        <v>LUP - VAE Póster Adelphi - Nefro</v>
      </c>
      <c r="E1902" s="10" t="str">
        <f>HYPERLINK("https://otsuka-europe-crm.veevavault.com/ui/#object/sent_email__v/VBL00000002O224", "SE-001431687")</f>
        <v>SE-001431687</v>
      </c>
      <c r="F1902" s="11"/>
      <c r="G1902" s="12">
        <v>0</v>
      </c>
      <c r="H1902" s="12">
        <v>0</v>
      </c>
      <c r="I1902" s="12">
        <v>0</v>
      </c>
      <c r="J1902" s="11"/>
      <c r="K1902" s="12">
        <v>0</v>
      </c>
      <c r="L1902" s="10" t="str">
        <f>HYPERLINK("https://otsuka-europe-crm.veevavault.com/ui/#object/approved_document__v/V5O00000001A037", "LUP - VAE Póster Adelphi - Nefro")</f>
        <v>LUP - VAE Póster Adelphi - Nefro</v>
      </c>
      <c r="M1902" s="10" t="str">
        <f>HYPERLINK("mailto:vvalladares@crm.otsuka-europe.com", "vvalladares@crm.otsuka-europe.com")</f>
        <v>vvalladares@crm.otsuka-europe.com</v>
      </c>
      <c r="N1902" s="13">
        <v>46175.562893518516</v>
      </c>
      <c r="O1902" s="14" t="str">
        <f>HYPERLINK("https://otsuka-europe-crm.veevavault.com/ui/#object/email_activity__v/V8C00000003L828", "EN-002087663")</f>
        <v>EN-002087663</v>
      </c>
    </row>
    <row r="1903" spans="1:15" ht="32" x14ac:dyDescent="0.2">
      <c r="A1903" s="7" t="str">
        <f>HYPERLINK("https://otsuka-europe-crm.veevavault.com/ui/#object/account__v/V4TZ06G6O71WMKC", "CAROLINA POLO CRIADO")</f>
        <v>CAROLINA POLO CRIADO</v>
      </c>
      <c r="B1903" s="7" t="str">
        <f>HYPERLINK("https://otsuka-europe-crm.veevavault.com/ui/#object/vcountry__v/VENZ000004SONF5", "ES")</f>
        <v>ES</v>
      </c>
      <c r="C1903" s="8" t="s">
        <v>41</v>
      </c>
      <c r="D1903" s="9" t="str">
        <f>HYPERLINK("https://otsuka-europe-crm.veevavault.com/ui/#object/approved_document__v/V5O00000001A037", "LUP - VAE Póster Adelphi - Nefro")</f>
        <v>LUP - VAE Póster Adelphi - Nefro</v>
      </c>
      <c r="E1903" s="10" t="str">
        <f>HYPERLINK("https://otsuka-europe-crm.veevavault.com/ui/#object/sent_email__v/VBL00000002O225", "SE-001431688")</f>
        <v>SE-001431688</v>
      </c>
      <c r="F1903" s="11"/>
      <c r="G1903" s="12">
        <v>0</v>
      </c>
      <c r="H1903" s="12">
        <v>0</v>
      </c>
      <c r="I1903" s="12">
        <v>0</v>
      </c>
      <c r="J1903" s="11"/>
      <c r="K1903" s="12">
        <v>0</v>
      </c>
      <c r="L1903" s="10" t="str">
        <f>HYPERLINK("https://otsuka-europe-crm.veevavault.com/ui/#object/approved_document__v/V5O00000001A037", "LUP - VAE Póster Adelphi - Nefro")</f>
        <v>LUP - VAE Póster Adelphi - Nefro</v>
      </c>
      <c r="M1903" s="10" t="str">
        <f>HYPERLINK("mailto:vvalladares@crm.otsuka-europe.com", "vvalladares@crm.otsuka-europe.com")</f>
        <v>vvalladares@crm.otsuka-europe.com</v>
      </c>
      <c r="N1903" s="13">
        <v>46175.562893518516</v>
      </c>
      <c r="O1903" s="14" t="str">
        <f>HYPERLINK("https://otsuka-europe-crm.veevavault.com/ui/#object/email_activity__v/V8C00000003L796", "EN-002087563")</f>
        <v>EN-002087563</v>
      </c>
    </row>
    <row r="1904" spans="1:15" ht="16" x14ac:dyDescent="0.2">
      <c r="A1904" s="17" t="str">
        <f>HYPERLINK("https://otsuka-europe-crm.veevavault.com/ui/#object/account__v/V4TZ06G6O71TA9O", "PILAR HIDALGO GUZMAN")</f>
        <v>PILAR HIDALGO GUZMAN</v>
      </c>
      <c r="B1904" s="17" t="str">
        <f>HYPERLINK("https://otsuka-europe-crm.veevavault.com/ui/#object/vcountry__v/VENZ000004SONF5", "ES")</f>
        <v>ES</v>
      </c>
      <c r="C1904" s="20" t="s">
        <v>41</v>
      </c>
      <c r="D1904" s="21" t="str">
        <f>HYPERLINK("https://otsuka-europe-crm.veevavault.com/ui/#object/approved_document__v/V5O00000001A037", "LUP - VAE Póster Adelphi - Nefro")</f>
        <v>LUP - VAE Póster Adelphi - Nefro</v>
      </c>
      <c r="E1904" s="22" t="str">
        <f>HYPERLINK("https://otsuka-europe-crm.veevavault.com/ui/#object/sent_email__v/VBL00000002O226", "SE-001431689")</f>
        <v>SE-001431689</v>
      </c>
      <c r="F1904" s="23">
        <v>46175.640949074077</v>
      </c>
      <c r="G1904" s="24">
        <v>1</v>
      </c>
      <c r="H1904" s="24">
        <v>1</v>
      </c>
      <c r="I1904" s="24">
        <v>0</v>
      </c>
      <c r="J1904" s="25"/>
      <c r="K1904" s="24">
        <v>0</v>
      </c>
      <c r="L1904" s="22" t="str">
        <f>HYPERLINK("https://otsuka-europe-crm.veevavault.com/ui/#object/approved_document__v/V5O00000001A037", "LUP - VAE Póster Adelphi - Nefro")</f>
        <v>LUP - VAE Póster Adelphi - Nefro</v>
      </c>
      <c r="M1904" s="22" t="str">
        <f>HYPERLINK("mailto:vvalladares@crm.otsuka-europe.com", "vvalladares@crm.otsuka-europe.com")</f>
        <v>vvalladares@crm.otsuka-europe.com</v>
      </c>
      <c r="N1904" s="23">
        <v>46175.562893518516</v>
      </c>
      <c r="O1904" s="14" t="str">
        <f>HYPERLINK("https://otsuka-europe-crm.veevavault.com/ui/#object/email_activity__v/V8C00000003K921", "EN-002087650")</f>
        <v>EN-002087650</v>
      </c>
    </row>
    <row r="1905" spans="1:15" ht="16" x14ac:dyDescent="0.2">
      <c r="A1905" s="18"/>
      <c r="B1905" s="18"/>
      <c r="C1905" s="18"/>
      <c r="D1905" s="18"/>
      <c r="E1905" s="18"/>
      <c r="F1905" s="18"/>
      <c r="G1905" s="18"/>
      <c r="H1905" s="18"/>
      <c r="I1905" s="18"/>
      <c r="J1905" s="18"/>
      <c r="K1905" s="18"/>
      <c r="L1905" s="18"/>
      <c r="M1905" s="18"/>
      <c r="N1905" s="18"/>
      <c r="O1905" s="14" t="str">
        <f>HYPERLINK("https://otsuka-europe-crm.veevavault.com/ui/#object/email_activity__v/V8C00000003M046", "EN-002087922")</f>
        <v>EN-002087922</v>
      </c>
    </row>
    <row r="1906" spans="1:15" ht="16" x14ac:dyDescent="0.2">
      <c r="A1906" s="18"/>
      <c r="B1906" s="18"/>
      <c r="C1906" s="18"/>
      <c r="D1906" s="18"/>
      <c r="E1906" s="18"/>
      <c r="F1906" s="18"/>
      <c r="G1906" s="18"/>
      <c r="H1906" s="18"/>
      <c r="I1906" s="18"/>
      <c r="J1906" s="18"/>
      <c r="K1906" s="18"/>
      <c r="L1906" s="18"/>
      <c r="M1906" s="18"/>
      <c r="N1906" s="18"/>
      <c r="O1906" s="14" t="str">
        <f>HYPERLINK("https://otsuka-europe-crm.veevavault.com/ui/#object/email_activity__v/V8C00000003M267", "EN-002088509")</f>
        <v>EN-002088509</v>
      </c>
    </row>
    <row r="1907" spans="1:15" ht="16" x14ac:dyDescent="0.2">
      <c r="A1907" s="19"/>
      <c r="B1907" s="19"/>
      <c r="C1907" s="19"/>
      <c r="D1907" s="19"/>
      <c r="E1907" s="19"/>
      <c r="F1907" s="19"/>
      <c r="G1907" s="19"/>
      <c r="H1907" s="19"/>
      <c r="I1907" s="19"/>
      <c r="J1907" s="19"/>
      <c r="K1907" s="19"/>
      <c r="L1907" s="19"/>
      <c r="M1907" s="19"/>
      <c r="N1907" s="19"/>
      <c r="O1907" s="14" t="str">
        <f>HYPERLINK("https://otsuka-europe-crm.veevavault.com/ui/#object/email_activity__v/V8C00000003W741", "EN-002098476")</f>
        <v>EN-002098476</v>
      </c>
    </row>
    <row r="1908" spans="1:15" ht="32" x14ac:dyDescent="0.2">
      <c r="A1908" s="7" t="str">
        <f>HYPERLINK("https://otsuka-europe-crm.veevavault.com/ui/#object/account__v/V4TZ06G6O71TBO8", "MARIA DOLORES PRADOS GARRIDO")</f>
        <v>MARIA DOLORES PRADOS GARRIDO</v>
      </c>
      <c r="B1908" s="7" t="str">
        <f>HYPERLINK("https://otsuka-europe-crm.veevavault.com/ui/#object/vcountry__v/VENZ000004SONF5", "ES")</f>
        <v>ES</v>
      </c>
      <c r="C1908" s="8" t="s">
        <v>41</v>
      </c>
      <c r="D1908" s="9" t="str">
        <f>HYPERLINK("https://otsuka-europe-crm.veevavault.com/ui/#object/approved_document__v/V5O00000001A037", "LUP - VAE Póster Adelphi - Nefro")</f>
        <v>LUP - VAE Póster Adelphi - Nefro</v>
      </c>
      <c r="E1908" s="10" t="str">
        <f>HYPERLINK("https://otsuka-europe-crm.veevavault.com/ui/#object/sent_email__v/VBL00000002O227", "SE-001431690")</f>
        <v>SE-001431690</v>
      </c>
      <c r="F1908" s="11"/>
      <c r="G1908" s="12">
        <v>0</v>
      </c>
      <c r="H1908" s="12">
        <v>0</v>
      </c>
      <c r="I1908" s="12">
        <v>0</v>
      </c>
      <c r="J1908" s="11"/>
      <c r="K1908" s="12">
        <v>0</v>
      </c>
      <c r="L1908" s="10" t="str">
        <f>HYPERLINK("https://otsuka-europe-crm.veevavault.com/ui/#object/approved_document__v/V5O00000001A037", "LUP - VAE Póster Adelphi - Nefro")</f>
        <v>LUP - VAE Póster Adelphi - Nefro</v>
      </c>
      <c r="M1908" s="10" t="str">
        <f>HYPERLINK("mailto:vvalladares@crm.otsuka-europe.com", "vvalladares@crm.otsuka-europe.com")</f>
        <v>vvalladares@crm.otsuka-europe.com</v>
      </c>
      <c r="N1908" s="13">
        <v>46175.562893518516</v>
      </c>
      <c r="O1908" s="14" t="str">
        <f>HYPERLINK("https://otsuka-europe-crm.veevavault.com/ui/#object/email_activity__v/V8C00000003L802", "EN-002087569")</f>
        <v>EN-002087569</v>
      </c>
    </row>
    <row r="1909" spans="1:15" ht="16" x14ac:dyDescent="0.2">
      <c r="A1909" s="17" t="str">
        <f>HYPERLINK("https://otsuka-europe-crm.veevavault.com/ui/#object/account__v/V4TZ06G6O71T7JA", "NESTOR AGUSTIN OLIVA DAMASO")</f>
        <v>NESTOR AGUSTIN OLIVA DAMASO</v>
      </c>
      <c r="B1909" s="17" t="str">
        <f>HYPERLINK("https://otsuka-europe-crm.veevavault.com/ui/#object/vcountry__v/VENZ000004SONF5", "ES")</f>
        <v>ES</v>
      </c>
      <c r="C1909" s="20" t="s">
        <v>41</v>
      </c>
      <c r="D1909" s="21" t="str">
        <f>HYPERLINK("https://otsuka-europe-crm.veevavault.com/ui/#object/approved_document__v/V5O00000001A037", "LUP - VAE Póster Adelphi - Nefro")</f>
        <v>LUP - VAE Póster Adelphi - Nefro</v>
      </c>
      <c r="E1909" s="22" t="str">
        <f>HYPERLINK("https://otsuka-europe-crm.veevavault.com/ui/#object/sent_email__v/VBL00000002O228", "SE-001431691")</f>
        <v>SE-001431691</v>
      </c>
      <c r="F1909" s="25"/>
      <c r="G1909" s="24">
        <v>0</v>
      </c>
      <c r="H1909" s="24">
        <v>0</v>
      </c>
      <c r="I1909" s="24">
        <v>0</v>
      </c>
      <c r="J1909" s="25"/>
      <c r="K1909" s="24">
        <v>0</v>
      </c>
      <c r="L1909" s="22" t="str">
        <f>HYPERLINK("https://otsuka-europe-crm.veevavault.com/ui/#object/approved_document__v/V5O00000001A037", "LUP - VAE Póster Adelphi - Nefro")</f>
        <v>LUP - VAE Póster Adelphi - Nefro</v>
      </c>
      <c r="M1909" s="22" t="str">
        <f>HYPERLINK("mailto:vvalladares@crm.otsuka-europe.com", "vvalladares@crm.otsuka-europe.com")</f>
        <v>vvalladares@crm.otsuka-europe.com</v>
      </c>
      <c r="N1909" s="23">
        <v>46175.562893518516</v>
      </c>
      <c r="O1909" s="14" t="str">
        <f>HYPERLINK("https://otsuka-europe-crm.veevavault.com/ui/#object/email_activity__v/V8C00000003K922", "EN-002087651")</f>
        <v>EN-002087651</v>
      </c>
    </row>
    <row r="1910" spans="1:15" ht="16" x14ac:dyDescent="0.2">
      <c r="A1910" s="19"/>
      <c r="B1910" s="19"/>
      <c r="C1910" s="19"/>
      <c r="D1910" s="19"/>
      <c r="E1910" s="19"/>
      <c r="F1910" s="19"/>
      <c r="G1910" s="19"/>
      <c r="H1910" s="19"/>
      <c r="I1910" s="19"/>
      <c r="J1910" s="19"/>
      <c r="K1910" s="19"/>
      <c r="L1910" s="19"/>
      <c r="M1910" s="19"/>
      <c r="N1910" s="19"/>
      <c r="O1910" s="14" t="str">
        <f>HYPERLINK("https://otsuka-europe-crm.veevavault.com/ui/#object/email_activity__v/V8C00000003M405", "EN-002088841")</f>
        <v>EN-002088841</v>
      </c>
    </row>
    <row r="1911" spans="1:15" ht="32" x14ac:dyDescent="0.2">
      <c r="A1911" s="7" t="str">
        <f>HYPERLINK("https://otsuka-europe-crm.veevavault.com/ui/#object/account__v/V4TZ04ASG9B14WZ", "CARLA RODRIGUEZ ALVAREZ")</f>
        <v>CARLA RODRIGUEZ ALVAREZ</v>
      </c>
      <c r="B1911" s="7" t="str">
        <f>HYPERLINK("https://otsuka-europe-crm.veevavault.com/ui/#object/vcountry__v/VENZ000004SONF5", "ES")</f>
        <v>ES</v>
      </c>
      <c r="C1911" s="8" t="s">
        <v>41</v>
      </c>
      <c r="D1911" s="9" t="str">
        <f>HYPERLINK("https://otsuka-europe-crm.veevavault.com/ui/#object/approved_document__v/V5O00000001A037", "LUP - VAE Póster Adelphi - Nefro")</f>
        <v>LUP - VAE Póster Adelphi - Nefro</v>
      </c>
      <c r="E1911" s="10" t="str">
        <f>HYPERLINK("https://otsuka-europe-crm.veevavault.com/ui/#object/sent_email__v/VBL00000002O229", "SE-001431692")</f>
        <v>SE-001431692</v>
      </c>
      <c r="F1911" s="11"/>
      <c r="G1911" s="12">
        <v>0</v>
      </c>
      <c r="H1911" s="12">
        <v>0</v>
      </c>
      <c r="I1911" s="12">
        <v>0</v>
      </c>
      <c r="J1911" s="11"/>
      <c r="K1911" s="12">
        <v>0</v>
      </c>
      <c r="L1911" s="10" t="str">
        <f>HYPERLINK("https://otsuka-europe-crm.veevavault.com/ui/#object/approved_document__v/V5O00000001A037", "LUP - VAE Póster Adelphi - Nefro")</f>
        <v>LUP - VAE Póster Adelphi - Nefro</v>
      </c>
      <c r="M1911" s="10" t="str">
        <f>HYPERLINK("mailto:vvalladares@crm.otsuka-europe.com", "vvalladares@crm.otsuka-europe.com")</f>
        <v>vvalladares@crm.otsuka-europe.com</v>
      </c>
      <c r="N1911" s="13">
        <v>46175.562893518516</v>
      </c>
      <c r="O1911" s="14" t="str">
        <f>HYPERLINK("https://otsuka-europe-crm.veevavault.com/ui/#object/email_activity__v/V8C00000003L843", "EN-002087694")</f>
        <v>EN-002087694</v>
      </c>
    </row>
    <row r="1912" spans="1:15" ht="16" x14ac:dyDescent="0.2">
      <c r="A1912" s="17" t="str">
        <f>HYPERLINK("https://otsuka-europe-crm.veevavault.com/ui/#object/account__v/V4TZ06G6O71TCHB", "REMEDIOS TOLEDO ROJAS")</f>
        <v>REMEDIOS TOLEDO ROJAS</v>
      </c>
      <c r="B1912" s="17" t="str">
        <f>HYPERLINK("https://otsuka-europe-crm.veevavault.com/ui/#object/vcountry__v/VENZ000004SONF5", "ES")</f>
        <v>ES</v>
      </c>
      <c r="C1912" s="20" t="s">
        <v>41</v>
      </c>
      <c r="D1912" s="21" t="str">
        <f>HYPERLINK("https://otsuka-europe-crm.veevavault.com/ui/#object/approved_document__v/V5O00000001A037", "LUP - VAE Póster Adelphi - Nefro")</f>
        <v>LUP - VAE Póster Adelphi - Nefro</v>
      </c>
      <c r="E1912" s="22" t="str">
        <f>HYPERLINK("https://otsuka-europe-crm.veevavault.com/ui/#object/sent_email__v/VBL00000002O230", "SE-001431693")</f>
        <v>SE-001431693</v>
      </c>
      <c r="F1912" s="23">
        <v>46184.882939814815</v>
      </c>
      <c r="G1912" s="24">
        <v>1</v>
      </c>
      <c r="H1912" s="24">
        <v>4</v>
      </c>
      <c r="I1912" s="24">
        <v>0</v>
      </c>
      <c r="J1912" s="25"/>
      <c r="K1912" s="24">
        <v>0</v>
      </c>
      <c r="L1912" s="22" t="str">
        <f>HYPERLINK("https://otsuka-europe-crm.veevavault.com/ui/#object/approved_document__v/V5O00000001A037", "LUP - VAE Póster Adelphi - Nefro")</f>
        <v>LUP - VAE Póster Adelphi - Nefro</v>
      </c>
      <c r="M1912" s="22" t="str">
        <f>HYPERLINK("mailto:vvalladares@crm.otsuka-europe.com", "vvalladares@crm.otsuka-europe.com")</f>
        <v>vvalladares@crm.otsuka-europe.com</v>
      </c>
      <c r="N1912" s="23">
        <v>46175.562893518516</v>
      </c>
      <c r="O1912" s="14" t="str">
        <f>HYPERLINK("https://otsuka-europe-crm.veevavault.com/ui/#object/email_activity__v/V8C00000003L808", "EN-002087575")</f>
        <v>EN-002087575</v>
      </c>
    </row>
    <row r="1913" spans="1:15" ht="16" x14ac:dyDescent="0.2">
      <c r="A1913" s="18"/>
      <c r="B1913" s="18"/>
      <c r="C1913" s="18"/>
      <c r="D1913" s="18"/>
      <c r="E1913" s="18"/>
      <c r="F1913" s="18"/>
      <c r="G1913" s="18"/>
      <c r="H1913" s="18"/>
      <c r="I1913" s="18"/>
      <c r="J1913" s="18"/>
      <c r="K1913" s="18"/>
      <c r="L1913" s="18"/>
      <c r="M1913" s="18"/>
      <c r="N1913" s="18"/>
      <c r="O1913" s="14" t="str">
        <f>HYPERLINK("https://otsuka-europe-crm.veevavault.com/ui/#object/email_activity__v/V8C00000003M312", "EN-002088606")</f>
        <v>EN-002088606</v>
      </c>
    </row>
    <row r="1914" spans="1:15" ht="16" x14ac:dyDescent="0.2">
      <c r="A1914" s="18"/>
      <c r="B1914" s="18"/>
      <c r="C1914" s="18"/>
      <c r="D1914" s="18"/>
      <c r="E1914" s="18"/>
      <c r="F1914" s="18"/>
      <c r="G1914" s="18"/>
      <c r="H1914" s="18"/>
      <c r="I1914" s="18"/>
      <c r="J1914" s="18"/>
      <c r="K1914" s="18"/>
      <c r="L1914" s="18"/>
      <c r="M1914" s="18"/>
      <c r="N1914" s="18"/>
      <c r="O1914" s="14" t="str">
        <f>HYPERLINK("https://otsuka-europe-crm.veevavault.com/ui/#object/email_activity__v/V8C00000003N389", "EN-002088607")</f>
        <v>EN-002088607</v>
      </c>
    </row>
    <row r="1915" spans="1:15" ht="16" x14ac:dyDescent="0.2">
      <c r="A1915" s="18"/>
      <c r="B1915" s="18"/>
      <c r="C1915" s="18"/>
      <c r="D1915" s="18"/>
      <c r="E1915" s="18"/>
      <c r="F1915" s="18"/>
      <c r="G1915" s="18"/>
      <c r="H1915" s="18"/>
      <c r="I1915" s="18"/>
      <c r="J1915" s="18"/>
      <c r="K1915" s="18"/>
      <c r="L1915" s="18"/>
      <c r="M1915" s="18"/>
      <c r="N1915" s="18"/>
      <c r="O1915" s="14" t="str">
        <f>HYPERLINK("https://otsuka-europe-crm.veevavault.com/ui/#object/email_activity__v/V8C00000003V011", "EN-002094840")</f>
        <v>EN-002094840</v>
      </c>
    </row>
    <row r="1916" spans="1:15" ht="16" x14ac:dyDescent="0.2">
      <c r="A1916" s="19"/>
      <c r="B1916" s="19"/>
      <c r="C1916" s="19"/>
      <c r="D1916" s="19"/>
      <c r="E1916" s="19"/>
      <c r="F1916" s="19"/>
      <c r="G1916" s="19"/>
      <c r="H1916" s="19"/>
      <c r="I1916" s="19"/>
      <c r="J1916" s="19"/>
      <c r="K1916" s="19"/>
      <c r="L1916" s="19"/>
      <c r="M1916" s="19"/>
      <c r="N1916" s="19"/>
      <c r="O1916" s="14" t="str">
        <f>HYPERLINK("https://otsuka-europe-crm.veevavault.com/ui/#object/email_activity__v/V8C00000003V012", "EN-002094841")</f>
        <v>EN-002094841</v>
      </c>
    </row>
    <row r="1917" spans="1:15" ht="16" x14ac:dyDescent="0.2">
      <c r="A1917" s="17" t="str">
        <f>HYPERLINK("https://otsuka-europe-crm.veevavault.com/ui/#object/account__v/V4TZ06G6O71T8UO", "MARIA MAR CASTILLA CASTELLANO")</f>
        <v>MARIA MAR CASTILLA CASTELLANO</v>
      </c>
      <c r="B1917" s="17" t="str">
        <f>HYPERLINK("https://otsuka-europe-crm.veevavault.com/ui/#object/vcountry__v/VENZ000004SONF5", "ES")</f>
        <v>ES</v>
      </c>
      <c r="C1917" s="20" t="s">
        <v>41</v>
      </c>
      <c r="D1917" s="21" t="str">
        <f>HYPERLINK("https://otsuka-europe-crm.veevavault.com/ui/#object/approved_document__v/V5O00000001A037", "LUP - VAE Póster Adelphi - Nefro")</f>
        <v>LUP - VAE Póster Adelphi - Nefro</v>
      </c>
      <c r="E1917" s="22" t="str">
        <f>HYPERLINK("https://otsuka-europe-crm.veevavault.com/ui/#object/sent_email__v/VBL00000002O231", "SE-001431694")</f>
        <v>SE-001431694</v>
      </c>
      <c r="F1917" s="25"/>
      <c r="G1917" s="24">
        <v>0</v>
      </c>
      <c r="H1917" s="24">
        <v>0</v>
      </c>
      <c r="I1917" s="24">
        <v>1</v>
      </c>
      <c r="J1917" s="23">
        <v>46176.351018518515</v>
      </c>
      <c r="K1917" s="24">
        <v>1</v>
      </c>
      <c r="L1917" s="22" t="str">
        <f>HYPERLINK("https://otsuka-europe-crm.veevavault.com/ui/#object/approved_document__v/V5O00000001A037", "LUP - VAE Póster Adelphi - Nefro")</f>
        <v>LUP - VAE Póster Adelphi - Nefro</v>
      </c>
      <c r="M1917" s="22" t="str">
        <f>HYPERLINK("mailto:vvalladares@crm.otsuka-europe.com", "vvalladares@crm.otsuka-europe.com")</f>
        <v>vvalladares@crm.otsuka-europe.com</v>
      </c>
      <c r="N1917" s="23">
        <v>46175.562893518516</v>
      </c>
      <c r="O1917" s="14" t="str">
        <f>HYPERLINK("https://otsuka-europe-crm.veevavault.com/ui/#object/email_activity__v/V8C00000003L836", "EN-002087672")</f>
        <v>EN-002087672</v>
      </c>
    </row>
    <row r="1918" spans="1:15" ht="16" x14ac:dyDescent="0.2">
      <c r="A1918" s="18"/>
      <c r="B1918" s="18"/>
      <c r="C1918" s="18"/>
      <c r="D1918" s="18"/>
      <c r="E1918" s="18"/>
      <c r="F1918" s="18"/>
      <c r="G1918" s="18"/>
      <c r="H1918" s="18"/>
      <c r="I1918" s="18"/>
      <c r="J1918" s="18"/>
      <c r="K1918" s="18"/>
      <c r="L1918" s="18"/>
      <c r="M1918" s="18"/>
      <c r="N1918" s="18"/>
      <c r="O1918" s="14" t="str">
        <f>HYPERLINK("https://otsuka-europe-crm.veevavault.com/ui/#object/email_activity__v/V8C00000003M313", "EN-002088608")</f>
        <v>EN-002088608</v>
      </c>
    </row>
    <row r="1919" spans="1:15" ht="16" x14ac:dyDescent="0.2">
      <c r="A1919" s="18"/>
      <c r="B1919" s="18"/>
      <c r="C1919" s="18"/>
      <c r="D1919" s="18"/>
      <c r="E1919" s="18"/>
      <c r="F1919" s="18"/>
      <c r="G1919" s="18"/>
      <c r="H1919" s="18"/>
      <c r="I1919" s="18"/>
      <c r="J1919" s="18"/>
      <c r="K1919" s="18"/>
      <c r="L1919" s="18"/>
      <c r="M1919" s="18"/>
      <c r="N1919" s="18"/>
      <c r="O1919" s="14" t="str">
        <f>HYPERLINK("https://otsuka-europe-crm.veevavault.com/ui/#object/email_activity__v/V8C00000003M323", "EN-002088628")</f>
        <v>EN-002088628</v>
      </c>
    </row>
    <row r="1920" spans="1:15" ht="16" x14ac:dyDescent="0.2">
      <c r="A1920" s="18"/>
      <c r="B1920" s="18"/>
      <c r="C1920" s="18"/>
      <c r="D1920" s="18"/>
      <c r="E1920" s="18"/>
      <c r="F1920" s="18"/>
      <c r="G1920" s="18"/>
      <c r="H1920" s="18"/>
      <c r="I1920" s="18"/>
      <c r="J1920" s="18"/>
      <c r="K1920" s="18"/>
      <c r="L1920" s="18"/>
      <c r="M1920" s="18"/>
      <c r="N1920" s="18"/>
      <c r="O1920" s="14" t="str">
        <f>HYPERLINK("https://otsuka-europe-crm.veevavault.com/ui/#object/email_activity__v/V8C00000003N390", "EN-002088609")</f>
        <v>EN-002088609</v>
      </c>
    </row>
    <row r="1921" spans="1:15" ht="16" x14ac:dyDescent="0.2">
      <c r="A1921" s="19"/>
      <c r="B1921" s="19"/>
      <c r="C1921" s="19"/>
      <c r="D1921" s="19"/>
      <c r="E1921" s="19"/>
      <c r="F1921" s="19"/>
      <c r="G1921" s="19"/>
      <c r="H1921" s="19"/>
      <c r="I1921" s="19"/>
      <c r="J1921" s="19"/>
      <c r="K1921" s="19"/>
      <c r="L1921" s="19"/>
      <c r="M1921" s="19"/>
      <c r="N1921" s="19"/>
      <c r="O1921" s="14" t="str">
        <f>HYPERLINK("https://otsuka-europe-crm.veevavault.com/ui/#object/email_activity__v/V8C000000040399", "EN-002099375")</f>
        <v>EN-002099375</v>
      </c>
    </row>
    <row r="1922" spans="1:15" ht="16" x14ac:dyDescent="0.2">
      <c r="A1922" s="17" t="str">
        <f>HYPERLINK("https://otsuka-europe-crm.veevavault.com/ui/#object/account__v/V4TZ025E83AX1MT", "JAVIER ARIAS ALCALA")</f>
        <v>JAVIER ARIAS ALCALA</v>
      </c>
      <c r="B1922" s="17" t="str">
        <f>HYPERLINK("https://otsuka-europe-crm.veevavault.com/ui/#object/vcountry__v/VENZ000004SONF5", "ES")</f>
        <v>ES</v>
      </c>
      <c r="C1922" s="20" t="s">
        <v>41</v>
      </c>
      <c r="D1922" s="21" t="str">
        <f>HYPERLINK("https://otsuka-europe-crm.veevavault.com/ui/#object/approved_document__v/V5O00000001A037", "LUP - VAE Póster Adelphi - Nefro")</f>
        <v>LUP - VAE Póster Adelphi - Nefro</v>
      </c>
      <c r="E1922" s="22" t="str">
        <f>HYPERLINK("https://otsuka-europe-crm.veevavault.com/ui/#object/sent_email__v/VBL00000002O232", "SE-001431695")</f>
        <v>SE-001431695</v>
      </c>
      <c r="F1922" s="23">
        <v>46175.753831018519</v>
      </c>
      <c r="G1922" s="24">
        <v>1</v>
      </c>
      <c r="H1922" s="24">
        <v>2</v>
      </c>
      <c r="I1922" s="24">
        <v>0</v>
      </c>
      <c r="J1922" s="25"/>
      <c r="K1922" s="24">
        <v>0</v>
      </c>
      <c r="L1922" s="22" t="str">
        <f>HYPERLINK("https://otsuka-europe-crm.veevavault.com/ui/#object/approved_document__v/V5O00000001A037", "LUP - VAE Póster Adelphi - Nefro")</f>
        <v>LUP - VAE Póster Adelphi - Nefro</v>
      </c>
      <c r="M1922" s="22" t="str">
        <f>HYPERLINK("mailto:vvalladares@crm.otsuka-europe.com", "vvalladares@crm.otsuka-europe.com")</f>
        <v>vvalladares@crm.otsuka-europe.com</v>
      </c>
      <c r="N1922" s="23">
        <v>46175.562905092593</v>
      </c>
      <c r="O1922" s="14" t="str">
        <f>HYPERLINK("https://otsuka-europe-crm.veevavault.com/ui/#object/email_activity__v/V8C00000003L814", "EN-002087621")</f>
        <v>EN-002087621</v>
      </c>
    </row>
    <row r="1923" spans="1:15" ht="16" x14ac:dyDescent="0.2">
      <c r="A1923" s="18"/>
      <c r="B1923" s="18"/>
      <c r="C1923" s="18"/>
      <c r="D1923" s="18"/>
      <c r="E1923" s="18"/>
      <c r="F1923" s="18"/>
      <c r="G1923" s="18"/>
      <c r="H1923" s="18"/>
      <c r="I1923" s="18"/>
      <c r="J1923" s="18"/>
      <c r="K1923" s="18"/>
      <c r="L1923" s="18"/>
      <c r="M1923" s="18"/>
      <c r="N1923" s="18"/>
      <c r="O1923" s="14" t="str">
        <f>HYPERLINK("https://otsuka-europe-crm.veevavault.com/ui/#object/email_activity__v/V8C00000003N025", "EN-002088054")</f>
        <v>EN-002088054</v>
      </c>
    </row>
    <row r="1924" spans="1:15" ht="16" x14ac:dyDescent="0.2">
      <c r="A1924" s="19"/>
      <c r="B1924" s="19"/>
      <c r="C1924" s="19"/>
      <c r="D1924" s="19"/>
      <c r="E1924" s="19"/>
      <c r="F1924" s="19"/>
      <c r="G1924" s="19"/>
      <c r="H1924" s="19"/>
      <c r="I1924" s="19"/>
      <c r="J1924" s="19"/>
      <c r="K1924" s="19"/>
      <c r="L1924" s="19"/>
      <c r="M1924" s="19"/>
      <c r="N1924" s="19"/>
      <c r="O1924" s="14" t="str">
        <f>HYPERLINK("https://otsuka-europe-crm.veevavault.com/ui/#object/email_activity__v/V8C00000003N029", "EN-002088065")</f>
        <v>EN-002088065</v>
      </c>
    </row>
    <row r="1925" spans="1:15" ht="16" x14ac:dyDescent="0.2">
      <c r="A1925" s="17" t="str">
        <f>HYPERLINK("https://otsuka-europe-crm.veevavault.com/ui/#object/account__v/V4TZ06G6O71TB7F", "ADELAIDA MARGARITA MORALES UMPIERREZ")</f>
        <v>ADELAIDA MARGARITA MORALES UMPIERREZ</v>
      </c>
      <c r="B1925" s="17" t="str">
        <f>HYPERLINK("https://otsuka-europe-crm.veevavault.com/ui/#object/vcountry__v/VENZ000004SONF5", "ES")</f>
        <v>ES</v>
      </c>
      <c r="C1925" s="20" t="s">
        <v>41</v>
      </c>
      <c r="D1925" s="21" t="str">
        <f>HYPERLINK("https://otsuka-europe-crm.veevavault.com/ui/#object/approved_document__v/V5O00000001A037", "LUP - VAE Póster Adelphi - Nefro")</f>
        <v>LUP - VAE Póster Adelphi - Nefro</v>
      </c>
      <c r="E1925" s="22" t="str">
        <f>HYPERLINK("https://otsuka-europe-crm.veevavault.com/ui/#object/sent_email__v/VBL00000002O233", "SE-001431696")</f>
        <v>SE-001431696</v>
      </c>
      <c r="F1925" s="25"/>
      <c r="G1925" s="24">
        <v>0</v>
      </c>
      <c r="H1925" s="24">
        <v>0</v>
      </c>
      <c r="I1925" s="24">
        <v>0</v>
      </c>
      <c r="J1925" s="25"/>
      <c r="K1925" s="24">
        <v>0</v>
      </c>
      <c r="L1925" s="22" t="str">
        <f>HYPERLINK("https://otsuka-europe-crm.veevavault.com/ui/#object/approved_document__v/V5O00000001A037", "LUP - VAE Póster Adelphi - Nefro")</f>
        <v>LUP - VAE Póster Adelphi - Nefro</v>
      </c>
      <c r="M1925" s="22" t="str">
        <f>HYPERLINK("mailto:vvalladares@crm.otsuka-europe.com", "vvalladares@crm.otsuka-europe.com")</f>
        <v>vvalladares@crm.otsuka-europe.com</v>
      </c>
      <c r="N1925" s="23">
        <v>46175.562893518516</v>
      </c>
      <c r="O1925" s="14" t="str">
        <f>HYPERLINK("https://otsuka-europe-crm.veevavault.com/ui/#object/email_activity__v/V8C00000003K919", "EN-002087648")</f>
        <v>EN-002087648</v>
      </c>
    </row>
    <row r="1926" spans="1:15" ht="16" x14ac:dyDescent="0.2">
      <c r="A1926" s="18"/>
      <c r="B1926" s="18"/>
      <c r="C1926" s="18"/>
      <c r="D1926" s="18"/>
      <c r="E1926" s="18"/>
      <c r="F1926" s="18"/>
      <c r="G1926" s="18"/>
      <c r="H1926" s="18"/>
      <c r="I1926" s="18"/>
      <c r="J1926" s="18"/>
      <c r="K1926" s="18"/>
      <c r="L1926" s="18"/>
      <c r="M1926" s="18"/>
      <c r="N1926" s="18"/>
      <c r="O1926" s="14" t="str">
        <f>HYPERLINK("https://otsuka-europe-crm.veevavault.com/ui/#object/email_activity__v/V8C00000003M400", "EN-002088826")</f>
        <v>EN-002088826</v>
      </c>
    </row>
    <row r="1927" spans="1:15" ht="16" x14ac:dyDescent="0.2">
      <c r="A1927" s="19"/>
      <c r="B1927" s="19"/>
      <c r="C1927" s="19"/>
      <c r="D1927" s="19"/>
      <c r="E1927" s="19"/>
      <c r="F1927" s="19"/>
      <c r="G1927" s="19"/>
      <c r="H1927" s="19"/>
      <c r="I1927" s="19"/>
      <c r="J1927" s="19"/>
      <c r="K1927" s="19"/>
      <c r="L1927" s="19"/>
      <c r="M1927" s="19"/>
      <c r="N1927" s="19"/>
      <c r="O1927" s="14" t="str">
        <f>HYPERLINK("https://otsuka-europe-crm.veevavault.com/ui/#object/email_activity__v/V8C00000003N301", "EN-002088457")</f>
        <v>EN-002088457</v>
      </c>
    </row>
    <row r="1928" spans="1:15" ht="32" x14ac:dyDescent="0.2">
      <c r="A1928" s="7" t="str">
        <f>HYPERLINK("https://otsuka-europe-crm.veevavault.com/ui/#object/account__v/V4TZ06G6OCBJ28L", "ALBA MAROTO ARAMENDI")</f>
        <v>ALBA MAROTO ARAMENDI</v>
      </c>
      <c r="B1928" s="7" t="str">
        <f>HYPERLINK("https://otsuka-europe-crm.veevavault.com/ui/#object/vcountry__v/VENZ000004SONF5", "ES")</f>
        <v>ES</v>
      </c>
      <c r="C1928" s="8" t="s">
        <v>41</v>
      </c>
      <c r="D1928" s="9" t="str">
        <f>HYPERLINK("https://otsuka-europe-crm.veevavault.com/ui/#object/approved_document__v/V5O00000001A037", "LUP - VAE Póster Adelphi - Nefro")</f>
        <v>LUP - VAE Póster Adelphi - Nefro</v>
      </c>
      <c r="E1928" s="10" t="str">
        <f>HYPERLINK("https://otsuka-europe-crm.veevavault.com/ui/#object/sent_email__v/VBL00000002O234", "SE-001431697")</f>
        <v>SE-001431697</v>
      </c>
      <c r="F1928" s="11"/>
      <c r="G1928" s="12">
        <v>0</v>
      </c>
      <c r="H1928" s="12">
        <v>0</v>
      </c>
      <c r="I1928" s="12">
        <v>0</v>
      </c>
      <c r="J1928" s="11"/>
      <c r="K1928" s="12">
        <v>0</v>
      </c>
      <c r="L1928" s="10" t="str">
        <f>HYPERLINK("https://otsuka-europe-crm.veevavault.com/ui/#object/approved_document__v/V5O00000001A037", "LUP - VAE Póster Adelphi - Nefro")</f>
        <v>LUP - VAE Póster Adelphi - Nefro</v>
      </c>
      <c r="M1928" s="10" t="str">
        <f>HYPERLINK("mailto:vvalladares@crm.otsuka-europe.com", "vvalladares@crm.otsuka-europe.com")</f>
        <v>vvalladares@crm.otsuka-europe.com</v>
      </c>
      <c r="N1928" s="13">
        <v>46175.562893518516</v>
      </c>
      <c r="O1928" s="14" t="str">
        <f>HYPERLINK("https://otsuka-europe-crm.veevavault.com/ui/#object/email_activity__v/V8C00000003L837", "EN-002087673")</f>
        <v>EN-002087673</v>
      </c>
    </row>
    <row r="1929" spans="1:15" ht="32" x14ac:dyDescent="0.2">
      <c r="A1929" s="7" t="str">
        <f>HYPERLINK("https://otsuka-europe-crm.veevavault.com/ui/#object/account__v/V4TZ06G6O71T7DC", "KATIA ISABEL TOLEDO PERDOMO")</f>
        <v>KATIA ISABEL TOLEDO PERDOMO</v>
      </c>
      <c r="B1929" s="7" t="str">
        <f>HYPERLINK("https://otsuka-europe-crm.veevavault.com/ui/#object/vcountry__v/VENZ000004SONF5", "ES")</f>
        <v>ES</v>
      </c>
      <c r="C1929" s="8" t="s">
        <v>41</v>
      </c>
      <c r="D1929" s="9" t="str">
        <f>HYPERLINK("https://otsuka-europe-crm.veevavault.com/ui/#object/approved_document__v/V5O00000001A037", "LUP - VAE Póster Adelphi - Nefro")</f>
        <v>LUP - VAE Póster Adelphi - Nefro</v>
      </c>
      <c r="E1929" s="10" t="str">
        <f>HYPERLINK("https://otsuka-europe-crm.veevavault.com/ui/#object/sent_email__v/VBL00000002O235", "SE-001431698")</f>
        <v>SE-001431698</v>
      </c>
      <c r="F1929" s="11"/>
      <c r="G1929" s="12">
        <v>0</v>
      </c>
      <c r="H1929" s="12">
        <v>0</v>
      </c>
      <c r="I1929" s="12">
        <v>0</v>
      </c>
      <c r="J1929" s="11"/>
      <c r="K1929" s="12">
        <v>0</v>
      </c>
      <c r="L1929" s="10" t="str">
        <f>HYPERLINK("https://otsuka-europe-crm.veevavault.com/ui/#object/approved_document__v/V5O00000001A037", "LUP - VAE Póster Adelphi - Nefro")</f>
        <v>LUP - VAE Póster Adelphi - Nefro</v>
      </c>
      <c r="M1929" s="10" t="str">
        <f>HYPERLINK("mailto:vvalladares@crm.otsuka-europe.com", "vvalladares@crm.otsuka-europe.com")</f>
        <v>vvalladares@crm.otsuka-europe.com</v>
      </c>
      <c r="N1929" s="13">
        <v>46175.562893518516</v>
      </c>
      <c r="O1929" s="14" t="str">
        <f>HYPERLINK("https://otsuka-europe-crm.veevavault.com/ui/#object/email_activity__v/V8C00000003L785", "EN-002087552")</f>
        <v>EN-002087552</v>
      </c>
    </row>
    <row r="1930" spans="1:15" ht="32" x14ac:dyDescent="0.2">
      <c r="A1930" s="7" t="str">
        <f>HYPERLINK("https://otsuka-europe-crm.veevavault.com/ui/#object/account__v/V4TZ025E86V82A7", "MARIA MAR RODRIGUEZ DE OÑA")</f>
        <v>MARIA MAR RODRIGUEZ DE OÑA</v>
      </c>
      <c r="B1930" s="7" t="str">
        <f>HYPERLINK("https://otsuka-europe-crm.veevavault.com/ui/#object/vcountry__v/VENZ000004SONF5", "ES")</f>
        <v>ES</v>
      </c>
      <c r="C1930" s="8" t="s">
        <v>41</v>
      </c>
      <c r="D1930" s="9" t="str">
        <f>HYPERLINK("https://otsuka-europe-crm.veevavault.com/ui/#object/approved_document__v/V5O00000001A037", "LUP - VAE Póster Adelphi - Nefro")</f>
        <v>LUP - VAE Póster Adelphi - Nefro</v>
      </c>
      <c r="E1930" s="10" t="str">
        <f>HYPERLINK("https://otsuka-europe-crm.veevavault.com/ui/#object/sent_email__v/VBL00000002O236", "SE-001431699")</f>
        <v>SE-001431699</v>
      </c>
      <c r="F1930" s="11"/>
      <c r="G1930" s="12">
        <v>0</v>
      </c>
      <c r="H1930" s="12">
        <v>0</v>
      </c>
      <c r="I1930" s="12">
        <v>0</v>
      </c>
      <c r="J1930" s="11"/>
      <c r="K1930" s="12">
        <v>0</v>
      </c>
      <c r="L1930" s="10" t="str">
        <f>HYPERLINK("https://otsuka-europe-crm.veevavault.com/ui/#object/approved_document__v/V5O00000001A037", "LUP - VAE Póster Adelphi - Nefro")</f>
        <v>LUP - VAE Póster Adelphi - Nefro</v>
      </c>
      <c r="M1930" s="10" t="str">
        <f>HYPERLINK("mailto:vvalladares@crm.otsuka-europe.com", "vvalladares@crm.otsuka-europe.com")</f>
        <v>vvalladares@crm.otsuka-europe.com</v>
      </c>
      <c r="N1930" s="13">
        <v>46175.562893518516</v>
      </c>
      <c r="O1930" s="14" t="str">
        <f>HYPERLINK("https://otsuka-europe-crm.veevavault.com/ui/#object/email_activity__v/V8C00000003L798", "EN-002087565")</f>
        <v>EN-002087565</v>
      </c>
    </row>
    <row r="1931" spans="1:15" ht="32" x14ac:dyDescent="0.2">
      <c r="A1931" s="7" t="str">
        <f>HYPERLINK("https://otsuka-europe-crm.veevavault.com/ui/#object/account__v/V4T000000010099", "JULIO LOPEZ FERNANDEZ")</f>
        <v>JULIO LOPEZ FERNANDEZ</v>
      </c>
      <c r="B1931" s="7" t="str">
        <f>HYPERLINK("https://otsuka-europe-crm.veevavault.com/ui/#object/vcountry__v/VENZ000004SONF5", "ES")</f>
        <v>ES</v>
      </c>
      <c r="C1931" s="8" t="s">
        <v>41</v>
      </c>
      <c r="D1931" s="9" t="str">
        <f>HYPERLINK("https://otsuka-europe-crm.veevavault.com/ui/#object/approved_document__v/V5O00000001A037", "LUP - VAE Póster Adelphi - Nefro")</f>
        <v>LUP - VAE Póster Adelphi - Nefro</v>
      </c>
      <c r="E1931" s="10" t="str">
        <f>HYPERLINK("https://otsuka-europe-crm.veevavault.com/ui/#object/sent_email__v/VBL00000002O237", "SE-001431700")</f>
        <v>SE-001431700</v>
      </c>
      <c r="F1931" s="11"/>
      <c r="G1931" s="12">
        <v>0</v>
      </c>
      <c r="H1931" s="12">
        <v>0</v>
      </c>
      <c r="I1931" s="12">
        <v>0</v>
      </c>
      <c r="J1931" s="11"/>
      <c r="K1931" s="12">
        <v>0</v>
      </c>
      <c r="L1931" s="10" t="str">
        <f>HYPERLINK("https://otsuka-europe-crm.veevavault.com/ui/#object/approved_document__v/V5O00000001A037", "LUP - VAE Póster Adelphi - Nefro")</f>
        <v>LUP - VAE Póster Adelphi - Nefro</v>
      </c>
      <c r="M1931" s="10" t="str">
        <f>HYPERLINK("mailto:vvalladares@crm.otsuka-europe.com", "vvalladares@crm.otsuka-europe.com")</f>
        <v>vvalladares@crm.otsuka-europe.com</v>
      </c>
      <c r="N1931" s="13">
        <v>46175.562893518516</v>
      </c>
      <c r="O1931" s="14" t="str">
        <f>HYPERLINK("https://otsuka-europe-crm.veevavault.com/ui/#object/email_activity__v/V8C00000003L833", "EN-002087669")</f>
        <v>EN-002087669</v>
      </c>
    </row>
    <row r="1932" spans="1:15" ht="16" x14ac:dyDescent="0.2">
      <c r="A1932" s="17" t="str">
        <f>HYPERLINK("https://otsuka-europe-crm.veevavault.com/ui/#object/account__v/V4TZ06G6O71T7OS", "VIRGINIA DOMINGUEZ PIMENTEL")</f>
        <v>VIRGINIA DOMINGUEZ PIMENTEL</v>
      </c>
      <c r="B1932" s="17" t="str">
        <f>HYPERLINK("https://otsuka-europe-crm.veevavault.com/ui/#object/vcountry__v/VENZ000004SONF5", "ES")</f>
        <v>ES</v>
      </c>
      <c r="C1932" s="20" t="s">
        <v>41</v>
      </c>
      <c r="D1932" s="21" t="str">
        <f>HYPERLINK("https://otsuka-europe-crm.veevavault.com/ui/#object/approved_document__v/V5O00000001A037", "LUP - VAE Póster Adelphi - Nefro")</f>
        <v>LUP - VAE Póster Adelphi - Nefro</v>
      </c>
      <c r="E1932" s="22" t="str">
        <f>HYPERLINK("https://otsuka-europe-crm.veevavault.com/ui/#object/sent_email__v/VBL00000002O238", "SE-001431701")</f>
        <v>SE-001431701</v>
      </c>
      <c r="F1932" s="25"/>
      <c r="G1932" s="24">
        <v>0</v>
      </c>
      <c r="H1932" s="24">
        <v>0</v>
      </c>
      <c r="I1932" s="24">
        <v>0</v>
      </c>
      <c r="J1932" s="25"/>
      <c r="K1932" s="24">
        <v>0</v>
      </c>
      <c r="L1932" s="22" t="str">
        <f>HYPERLINK("https://otsuka-europe-crm.veevavault.com/ui/#object/approved_document__v/V5O00000001A037", "LUP - VAE Póster Adelphi - Nefro")</f>
        <v>LUP - VAE Póster Adelphi - Nefro</v>
      </c>
      <c r="M1932" s="22" t="str">
        <f>HYPERLINK("mailto:vvalladares@crm.otsuka-europe.com", "vvalladares@crm.otsuka-europe.com")</f>
        <v>vvalladares@crm.otsuka-europe.com</v>
      </c>
      <c r="N1932" s="23">
        <v>46175.562893518516</v>
      </c>
      <c r="O1932" s="14" t="str">
        <f>HYPERLINK("https://otsuka-europe-crm.veevavault.com/ui/#object/email_activity__v/V8C00000003L821", "EN-002087656")</f>
        <v>EN-002087656</v>
      </c>
    </row>
    <row r="1933" spans="1:15" ht="16" x14ac:dyDescent="0.2">
      <c r="A1933" s="18"/>
      <c r="B1933" s="18"/>
      <c r="C1933" s="18"/>
      <c r="D1933" s="18"/>
      <c r="E1933" s="18"/>
      <c r="F1933" s="18"/>
      <c r="G1933" s="18"/>
      <c r="H1933" s="18"/>
      <c r="I1933" s="18"/>
      <c r="J1933" s="18"/>
      <c r="K1933" s="18"/>
      <c r="L1933" s="18"/>
      <c r="M1933" s="18"/>
      <c r="N1933" s="18"/>
      <c r="O1933" s="14" t="str">
        <f>HYPERLINK("https://otsuka-europe-crm.veevavault.com/ui/#object/email_activity__v/V8C00000003M023", "EN-002087878")</f>
        <v>EN-002087878</v>
      </c>
    </row>
    <row r="1934" spans="1:15" ht="16" x14ac:dyDescent="0.2">
      <c r="A1934" s="19"/>
      <c r="B1934" s="19"/>
      <c r="C1934" s="19"/>
      <c r="D1934" s="19"/>
      <c r="E1934" s="19"/>
      <c r="F1934" s="19"/>
      <c r="G1934" s="19"/>
      <c r="H1934" s="19"/>
      <c r="I1934" s="19"/>
      <c r="J1934" s="19"/>
      <c r="K1934" s="19"/>
      <c r="L1934" s="19"/>
      <c r="M1934" s="19"/>
      <c r="N1934" s="19"/>
      <c r="O1934" s="14" t="str">
        <f>HYPERLINK("https://otsuka-europe-crm.veevavault.com/ui/#object/email_activity__v/V8C00000003V457", "EN-002095687")</f>
        <v>EN-002095687</v>
      </c>
    </row>
    <row r="1935" spans="1:15" ht="32" x14ac:dyDescent="0.2">
      <c r="A1935" s="7" t="str">
        <f>HYPERLINK("https://otsuka-europe-crm.veevavault.com/ui/#object/account__v/V4TZ06G6O71TA4U", "CESAR GARCIA CANTON")</f>
        <v>CESAR GARCIA CANTON</v>
      </c>
      <c r="B1935" s="7" t="str">
        <f>HYPERLINK("https://otsuka-europe-crm.veevavault.com/ui/#object/vcountry__v/VENZ000004SONF5", "ES")</f>
        <v>ES</v>
      </c>
      <c r="C1935" s="8" t="s">
        <v>41</v>
      </c>
      <c r="D1935" s="9" t="str">
        <f>HYPERLINK("https://otsuka-europe-crm.veevavault.com/ui/#object/approved_document__v/V5O00000001A037", "LUP - VAE Póster Adelphi - Nefro")</f>
        <v>LUP - VAE Póster Adelphi - Nefro</v>
      </c>
      <c r="E1935" s="10" t="str">
        <f>HYPERLINK("https://otsuka-europe-crm.veevavault.com/ui/#object/sent_email__v/VBL00000002O239", "SE-001431702")</f>
        <v>SE-001431702</v>
      </c>
      <c r="F1935" s="11"/>
      <c r="G1935" s="12">
        <v>0</v>
      </c>
      <c r="H1935" s="12">
        <v>0</v>
      </c>
      <c r="I1935" s="12">
        <v>0</v>
      </c>
      <c r="J1935" s="11"/>
      <c r="K1935" s="12">
        <v>0</v>
      </c>
      <c r="L1935" s="10" t="str">
        <f>HYPERLINK("https://otsuka-europe-crm.veevavault.com/ui/#object/approved_document__v/V5O00000001A037", "LUP - VAE Póster Adelphi - Nefro")</f>
        <v>LUP - VAE Póster Adelphi - Nefro</v>
      </c>
      <c r="M1935" s="10" t="str">
        <f>HYPERLINK("mailto:vvalladares@crm.otsuka-europe.com", "vvalladares@crm.otsuka-europe.com")</f>
        <v>vvalladares@crm.otsuka-europe.com</v>
      </c>
      <c r="N1935" s="13">
        <v>46175.562893518516</v>
      </c>
      <c r="O1935" s="14" t="str">
        <f>HYPERLINK("https://otsuka-europe-crm.veevavault.com/ui/#object/email_activity__v/V8C00000003K940", "EN-002087693")</f>
        <v>EN-002087693</v>
      </c>
    </row>
    <row r="1936" spans="1:15" ht="32" x14ac:dyDescent="0.2">
      <c r="A1936" s="7" t="str">
        <f>HYPERLINK("https://otsuka-europe-crm.veevavault.com/ui/#object/account__v/V4TZ06G6O71T80E", "ANA DOLORES DUARTE MARTINEZ")</f>
        <v>ANA DOLORES DUARTE MARTINEZ</v>
      </c>
      <c r="B1936" s="7" t="str">
        <f>HYPERLINK("https://otsuka-europe-crm.veevavault.com/ui/#object/vcountry__v/VENZ000004SONF5", "ES")</f>
        <v>ES</v>
      </c>
      <c r="C1936" s="8" t="s">
        <v>41</v>
      </c>
      <c r="D1936" s="9" t="str">
        <f>HYPERLINK("https://otsuka-europe-crm.veevavault.com/ui/#object/approved_document__v/V5O00000001A037", "LUP - VAE Póster Adelphi - Nefro")</f>
        <v>LUP - VAE Póster Adelphi - Nefro</v>
      </c>
      <c r="E1936" s="10" t="str">
        <f>HYPERLINK("https://otsuka-europe-crm.veevavault.com/ui/#object/sent_email__v/VBL00000002O240", "SE-001431703")</f>
        <v>SE-001431703</v>
      </c>
      <c r="F1936" s="11"/>
      <c r="G1936" s="12">
        <v>0</v>
      </c>
      <c r="H1936" s="12">
        <v>0</v>
      </c>
      <c r="I1936" s="12">
        <v>0</v>
      </c>
      <c r="J1936" s="11"/>
      <c r="K1936" s="12">
        <v>0</v>
      </c>
      <c r="L1936" s="10" t="str">
        <f>HYPERLINK("https://otsuka-europe-crm.veevavault.com/ui/#object/approved_document__v/V5O00000001A037", "LUP - VAE Póster Adelphi - Nefro")</f>
        <v>LUP - VAE Póster Adelphi - Nefro</v>
      </c>
      <c r="M1936" s="10" t="str">
        <f>HYPERLINK("mailto:vvalladares@crm.otsuka-europe.com", "vvalladares@crm.otsuka-europe.com")</f>
        <v>vvalladares@crm.otsuka-europe.com</v>
      </c>
      <c r="N1936" s="13">
        <v>46175.562893518516</v>
      </c>
      <c r="O1936" s="14" t="str">
        <f>HYPERLINK("https://otsuka-europe-crm.veevavault.com/ui/#object/email_activity__v/V8C00000003K875", "EN-002087594")</f>
        <v>EN-002087594</v>
      </c>
    </row>
    <row r="1937" spans="1:15" ht="16" x14ac:dyDescent="0.2">
      <c r="A1937" s="17" t="str">
        <f>HYPERLINK("https://otsuka-europe-crm.veevavault.com/ui/#object/account__v/V4TZ04ASG9B1566", "SAMUEL ABRANTE GARCIA")</f>
        <v>SAMUEL ABRANTE GARCIA</v>
      </c>
      <c r="B1937" s="17" t="str">
        <f>HYPERLINK("https://otsuka-europe-crm.veevavault.com/ui/#object/vcountry__v/VENZ000004SONF5", "ES")</f>
        <v>ES</v>
      </c>
      <c r="C1937" s="20" t="s">
        <v>41</v>
      </c>
      <c r="D1937" s="21" t="str">
        <f>HYPERLINK("https://otsuka-europe-crm.veevavault.com/ui/#object/approved_document__v/V5O00000001A037", "LUP - VAE Póster Adelphi - Nefro")</f>
        <v>LUP - VAE Póster Adelphi - Nefro</v>
      </c>
      <c r="E1937" s="22" t="str">
        <f>HYPERLINK("https://otsuka-europe-crm.veevavault.com/ui/#object/sent_email__v/VBL00000002O241", "SE-001431704")</f>
        <v>SE-001431704</v>
      </c>
      <c r="F1937" s="23">
        <v>46175.605902777781</v>
      </c>
      <c r="G1937" s="24">
        <v>1</v>
      </c>
      <c r="H1937" s="24">
        <v>1</v>
      </c>
      <c r="I1937" s="24">
        <v>0</v>
      </c>
      <c r="J1937" s="25"/>
      <c r="K1937" s="24">
        <v>0</v>
      </c>
      <c r="L1937" s="22" t="str">
        <f>HYPERLINK("https://otsuka-europe-crm.veevavault.com/ui/#object/approved_document__v/V5O00000001A037", "LUP - VAE Póster Adelphi - Nefro")</f>
        <v>LUP - VAE Póster Adelphi - Nefro</v>
      </c>
      <c r="M1937" s="22" t="str">
        <f>HYPERLINK("mailto:vvalladares@crm.otsuka-europe.com", "vvalladares@crm.otsuka-europe.com")</f>
        <v>vvalladares@crm.otsuka-europe.com</v>
      </c>
      <c r="N1937" s="23">
        <v>46175.562893518516</v>
      </c>
      <c r="O1937" s="14" t="str">
        <f>HYPERLINK("https://otsuka-europe-crm.veevavault.com/ui/#object/email_activity__v/V8C00000003L788", "EN-002087555")</f>
        <v>EN-002087555</v>
      </c>
    </row>
    <row r="1938" spans="1:15" ht="16" x14ac:dyDescent="0.2">
      <c r="A1938" s="19"/>
      <c r="B1938" s="19"/>
      <c r="C1938" s="19"/>
      <c r="D1938" s="19"/>
      <c r="E1938" s="19"/>
      <c r="F1938" s="19"/>
      <c r="G1938" s="19"/>
      <c r="H1938" s="19"/>
      <c r="I1938" s="19"/>
      <c r="J1938" s="19"/>
      <c r="K1938" s="19"/>
      <c r="L1938" s="19"/>
      <c r="M1938" s="19"/>
      <c r="N1938" s="19"/>
      <c r="O1938" s="14" t="str">
        <f>HYPERLINK("https://otsuka-europe-crm.veevavault.com/ui/#object/email_activity__v/V8C00000003L938", "EN-002087863")</f>
        <v>EN-002087863</v>
      </c>
    </row>
    <row r="1939" spans="1:15" ht="16" x14ac:dyDescent="0.2">
      <c r="A1939" s="17" t="str">
        <f>HYPERLINK("https://otsuka-europe-crm.veevavault.com/ui/#object/account__v/V4TZ06G6O71T7GJ", "JOSE CARLOS PRADO DE LA SIERRA")</f>
        <v>JOSE CARLOS PRADO DE LA SIERRA</v>
      </c>
      <c r="B1939" s="17" t="str">
        <f>HYPERLINK("https://otsuka-europe-crm.veevavault.com/ui/#object/vcountry__v/VENZ000004SONF5", "ES")</f>
        <v>ES</v>
      </c>
      <c r="C1939" s="20" t="s">
        <v>41</v>
      </c>
      <c r="D1939" s="21" t="str">
        <f>HYPERLINK("https://otsuka-europe-crm.veevavault.com/ui/#object/approved_document__v/V5O00000001A037", "LUP - VAE Póster Adelphi - Nefro")</f>
        <v>LUP - VAE Póster Adelphi - Nefro</v>
      </c>
      <c r="E1939" s="22" t="str">
        <f>HYPERLINK("https://otsuka-europe-crm.veevavault.com/ui/#object/sent_email__v/VBL00000002O242", "SE-001431705")</f>
        <v>SE-001431705</v>
      </c>
      <c r="F1939" s="23">
        <v>46175.590324074074</v>
      </c>
      <c r="G1939" s="24">
        <v>1</v>
      </c>
      <c r="H1939" s="24">
        <v>1</v>
      </c>
      <c r="I1939" s="24">
        <v>0</v>
      </c>
      <c r="J1939" s="25"/>
      <c r="K1939" s="24">
        <v>0</v>
      </c>
      <c r="L1939" s="22" t="str">
        <f>HYPERLINK("https://otsuka-europe-crm.veevavault.com/ui/#object/approved_document__v/V5O00000001A037", "LUP - VAE Póster Adelphi - Nefro")</f>
        <v>LUP - VAE Póster Adelphi - Nefro</v>
      </c>
      <c r="M1939" s="22" t="str">
        <f>HYPERLINK("mailto:vvalladares@crm.otsuka-europe.com", "vvalladares@crm.otsuka-europe.com")</f>
        <v>vvalladares@crm.otsuka-europe.com</v>
      </c>
      <c r="N1939" s="23">
        <v>46175.562893518516</v>
      </c>
      <c r="O1939" s="14" t="str">
        <f>HYPERLINK("https://otsuka-europe-crm.veevavault.com/ui/#object/email_activity__v/V8C00000003L832", "EN-002087668")</f>
        <v>EN-002087668</v>
      </c>
    </row>
    <row r="1940" spans="1:15" ht="16" x14ac:dyDescent="0.2">
      <c r="A1940" s="18"/>
      <c r="B1940" s="18"/>
      <c r="C1940" s="18"/>
      <c r="D1940" s="18"/>
      <c r="E1940" s="18"/>
      <c r="F1940" s="18"/>
      <c r="G1940" s="18"/>
      <c r="H1940" s="18"/>
      <c r="I1940" s="18"/>
      <c r="J1940" s="18"/>
      <c r="K1940" s="18"/>
      <c r="L1940" s="18"/>
      <c r="M1940" s="18"/>
      <c r="N1940" s="18"/>
      <c r="O1940" s="14" t="str">
        <f>HYPERLINK("https://otsuka-europe-crm.veevavault.com/ui/#object/email_activity__v/V8C00000003L925", "EN-002087837")</f>
        <v>EN-002087837</v>
      </c>
    </row>
    <row r="1941" spans="1:15" ht="16" x14ac:dyDescent="0.2">
      <c r="A1941" s="19"/>
      <c r="B1941" s="19"/>
      <c r="C1941" s="19"/>
      <c r="D1941" s="19"/>
      <c r="E1941" s="19"/>
      <c r="F1941" s="19"/>
      <c r="G1941" s="19"/>
      <c r="H1941" s="19"/>
      <c r="I1941" s="19"/>
      <c r="J1941" s="19"/>
      <c r="K1941" s="19"/>
      <c r="L1941" s="19"/>
      <c r="M1941" s="19"/>
      <c r="N1941" s="19"/>
      <c r="O1941" s="14" t="str">
        <f>HYPERLINK("https://otsuka-europe-crm.veevavault.com/ui/#object/email_activity__v/V8C00000003N283", "EN-002088413")</f>
        <v>EN-002088413</v>
      </c>
    </row>
    <row r="1942" spans="1:15" ht="16" x14ac:dyDescent="0.2">
      <c r="A1942" s="17" t="str">
        <f>HYPERLINK("https://otsuka-europe-crm.veevavault.com/ui/#object/account__v/V4TZ06G6O71TAJ0", "CLAUDIO JOSE HORNOS HORNOS")</f>
        <v>CLAUDIO JOSE HORNOS HORNOS</v>
      </c>
      <c r="B1942" s="17" t="str">
        <f>HYPERLINK("https://otsuka-europe-crm.veevavault.com/ui/#object/vcountry__v/VENZ000004SONF5", "ES")</f>
        <v>ES</v>
      </c>
      <c r="C1942" s="20" t="s">
        <v>41</v>
      </c>
      <c r="D1942" s="21" t="str">
        <f>HYPERLINK("https://otsuka-europe-crm.veevavault.com/ui/#object/approved_document__v/V5O00000001A037", "LUP - VAE Póster Adelphi - Nefro")</f>
        <v>LUP - VAE Póster Adelphi - Nefro</v>
      </c>
      <c r="E1942" s="22" t="str">
        <f>HYPERLINK("https://otsuka-europe-crm.veevavault.com/ui/#object/sent_email__v/VBL00000002O243", "SE-001431706")</f>
        <v>SE-001431706</v>
      </c>
      <c r="F1942" s="23">
        <v>46175.852303240739</v>
      </c>
      <c r="G1942" s="24">
        <v>1</v>
      </c>
      <c r="H1942" s="24">
        <v>3</v>
      </c>
      <c r="I1942" s="24">
        <v>1</v>
      </c>
      <c r="J1942" s="23">
        <v>46175.852754629632</v>
      </c>
      <c r="K1942" s="24">
        <v>2</v>
      </c>
      <c r="L1942" s="22" t="str">
        <f>HYPERLINK("https://otsuka-europe-crm.veevavault.com/ui/#object/approved_document__v/V5O00000001A037", "LUP - VAE Póster Adelphi - Nefro")</f>
        <v>LUP - VAE Póster Adelphi - Nefro</v>
      </c>
      <c r="M1942" s="22" t="str">
        <f>HYPERLINK("mailto:vvalladares@crm.otsuka-europe.com", "vvalladares@crm.otsuka-europe.com")</f>
        <v>vvalladares@crm.otsuka-europe.com</v>
      </c>
      <c r="N1942" s="23">
        <v>46175.562893518516</v>
      </c>
      <c r="O1942" s="14" t="str">
        <f>HYPERLINK("https://otsuka-europe-crm.veevavault.com/ui/#object/email_activity__v/V8C00000003K886", "EN-002087605")</f>
        <v>EN-002087605</v>
      </c>
    </row>
    <row r="1943" spans="1:15" ht="16" x14ac:dyDescent="0.2">
      <c r="A1943" s="18"/>
      <c r="B1943" s="18"/>
      <c r="C1943" s="18"/>
      <c r="D1943" s="18"/>
      <c r="E1943" s="18"/>
      <c r="F1943" s="18"/>
      <c r="G1943" s="18"/>
      <c r="H1943" s="18"/>
      <c r="I1943" s="18"/>
      <c r="J1943" s="18"/>
      <c r="K1943" s="18"/>
      <c r="L1943" s="18"/>
      <c r="M1943" s="18"/>
      <c r="N1943" s="18"/>
      <c r="O1943" s="14" t="str">
        <f>HYPERLINK("https://otsuka-europe-crm.veevavault.com/ui/#object/email_activity__v/V8C00000003L795", "EN-002087562")</f>
        <v>EN-002087562</v>
      </c>
    </row>
    <row r="1944" spans="1:15" ht="16" x14ac:dyDescent="0.2">
      <c r="A1944" s="18"/>
      <c r="B1944" s="18"/>
      <c r="C1944" s="18"/>
      <c r="D1944" s="18"/>
      <c r="E1944" s="18"/>
      <c r="F1944" s="18"/>
      <c r="G1944" s="18"/>
      <c r="H1944" s="18"/>
      <c r="I1944" s="18"/>
      <c r="J1944" s="18"/>
      <c r="K1944" s="18"/>
      <c r="L1944" s="18"/>
      <c r="M1944" s="18"/>
      <c r="N1944" s="18"/>
      <c r="O1944" s="14" t="str">
        <f>HYPERLINK("https://otsuka-europe-crm.veevavault.com/ui/#object/email_activity__v/V8C00000003L818", "EN-002087645")</f>
        <v>EN-002087645</v>
      </c>
    </row>
    <row r="1945" spans="1:15" ht="16" x14ac:dyDescent="0.2">
      <c r="A1945" s="18"/>
      <c r="B1945" s="18"/>
      <c r="C1945" s="18"/>
      <c r="D1945" s="18"/>
      <c r="E1945" s="18"/>
      <c r="F1945" s="18"/>
      <c r="G1945" s="18"/>
      <c r="H1945" s="18"/>
      <c r="I1945" s="18"/>
      <c r="J1945" s="18"/>
      <c r="K1945" s="18"/>
      <c r="L1945" s="18"/>
      <c r="M1945" s="18"/>
      <c r="N1945" s="18"/>
      <c r="O1945" s="14" t="str">
        <f>HYPERLINK("https://otsuka-europe-crm.veevavault.com/ui/#object/email_activity__v/V8C00000003M216", "EN-002088401")</f>
        <v>EN-002088401</v>
      </c>
    </row>
    <row r="1946" spans="1:15" ht="16" x14ac:dyDescent="0.2">
      <c r="A1946" s="18"/>
      <c r="B1946" s="18"/>
      <c r="C1946" s="18"/>
      <c r="D1946" s="18"/>
      <c r="E1946" s="18"/>
      <c r="F1946" s="18"/>
      <c r="G1946" s="18"/>
      <c r="H1946" s="18"/>
      <c r="I1946" s="18"/>
      <c r="J1946" s="18"/>
      <c r="K1946" s="18"/>
      <c r="L1946" s="18"/>
      <c r="M1946" s="18"/>
      <c r="N1946" s="18"/>
      <c r="O1946" s="14" t="str">
        <f>HYPERLINK("https://otsuka-europe-crm.veevavault.com/ui/#object/email_activity__v/V8C00000003M217", "EN-002088402")</f>
        <v>EN-002088402</v>
      </c>
    </row>
    <row r="1947" spans="1:15" ht="16" x14ac:dyDescent="0.2">
      <c r="A1947" s="18"/>
      <c r="B1947" s="18"/>
      <c r="C1947" s="18"/>
      <c r="D1947" s="18"/>
      <c r="E1947" s="18"/>
      <c r="F1947" s="18"/>
      <c r="G1947" s="18"/>
      <c r="H1947" s="18"/>
      <c r="I1947" s="18"/>
      <c r="J1947" s="18"/>
      <c r="K1947" s="18"/>
      <c r="L1947" s="18"/>
      <c r="M1947" s="18"/>
      <c r="N1947" s="18"/>
      <c r="O1947" s="14" t="str">
        <f>HYPERLINK("https://otsuka-europe-crm.veevavault.com/ui/#object/email_activity__v/V8C00000003M230", "EN-002088424")</f>
        <v>EN-002088424</v>
      </c>
    </row>
    <row r="1948" spans="1:15" ht="16" x14ac:dyDescent="0.2">
      <c r="A1948" s="18"/>
      <c r="B1948" s="18"/>
      <c r="C1948" s="18"/>
      <c r="D1948" s="18"/>
      <c r="E1948" s="18"/>
      <c r="F1948" s="18"/>
      <c r="G1948" s="18"/>
      <c r="H1948" s="18"/>
      <c r="I1948" s="18"/>
      <c r="J1948" s="18"/>
      <c r="K1948" s="18"/>
      <c r="L1948" s="18"/>
      <c r="M1948" s="18"/>
      <c r="N1948" s="18"/>
      <c r="O1948" s="14" t="str">
        <f>HYPERLINK("https://otsuka-europe-crm.veevavault.com/ui/#object/email_activity__v/V8C00000003M231", "EN-002088425")</f>
        <v>EN-002088425</v>
      </c>
    </row>
    <row r="1949" spans="1:15" ht="16" x14ac:dyDescent="0.2">
      <c r="A1949" s="19"/>
      <c r="B1949" s="19"/>
      <c r="C1949" s="19"/>
      <c r="D1949" s="19"/>
      <c r="E1949" s="19"/>
      <c r="F1949" s="19"/>
      <c r="G1949" s="19"/>
      <c r="H1949" s="19"/>
      <c r="I1949" s="19"/>
      <c r="J1949" s="19"/>
      <c r="K1949" s="19"/>
      <c r="L1949" s="19"/>
      <c r="M1949" s="19"/>
      <c r="N1949" s="19"/>
      <c r="O1949" s="14" t="str">
        <f>HYPERLINK("https://otsuka-europe-crm.veevavault.com/ui/#object/email_activity__v/V8C00000003N276", "EN-002088400")</f>
        <v>EN-002088400</v>
      </c>
    </row>
    <row r="1950" spans="1:15" ht="32" x14ac:dyDescent="0.2">
      <c r="A1950" s="7" t="str">
        <f>HYPERLINK("https://otsuka-europe-crm.veevavault.com/ui/#object/account__v/V4TZ06G6O71T756", "PATRICIA GARCIA FRIAS")</f>
        <v>PATRICIA GARCIA FRIAS</v>
      </c>
      <c r="B1950" s="7" t="str">
        <f>HYPERLINK("https://otsuka-europe-crm.veevavault.com/ui/#object/vcountry__v/VENZ000004SONF5", "ES")</f>
        <v>ES</v>
      </c>
      <c r="C1950" s="8" t="s">
        <v>41</v>
      </c>
      <c r="D1950" s="9" t="str">
        <f>HYPERLINK("https://otsuka-europe-crm.veevavault.com/ui/#object/approved_document__v/V5O00000001A037", "LUP - VAE Póster Adelphi - Nefro")</f>
        <v>LUP - VAE Póster Adelphi - Nefro</v>
      </c>
      <c r="E1950" s="10" t="str">
        <f>HYPERLINK("https://otsuka-europe-crm.veevavault.com/ui/#object/sent_email__v/VBL00000002O244", "SE-001431707")</f>
        <v>SE-001431707</v>
      </c>
      <c r="F1950" s="11"/>
      <c r="G1950" s="12">
        <v>0</v>
      </c>
      <c r="H1950" s="12">
        <v>0</v>
      </c>
      <c r="I1950" s="12">
        <v>0</v>
      </c>
      <c r="J1950" s="11"/>
      <c r="K1950" s="12">
        <v>0</v>
      </c>
      <c r="L1950" s="10" t="str">
        <f>HYPERLINK("https://otsuka-europe-crm.veevavault.com/ui/#object/approved_document__v/V5O00000001A037", "LUP - VAE Póster Adelphi - Nefro")</f>
        <v>LUP - VAE Póster Adelphi - Nefro</v>
      </c>
      <c r="M1950" s="10" t="str">
        <f>HYPERLINK("mailto:vvalladares@crm.otsuka-europe.com", "vvalladares@crm.otsuka-europe.com")</f>
        <v>vvalladares@crm.otsuka-europe.com</v>
      </c>
      <c r="N1950" s="13">
        <v>46175.562905092593</v>
      </c>
      <c r="O1950" s="14" t="str">
        <f>HYPERLINK("https://otsuka-europe-crm.veevavault.com/ui/#object/email_activity__v/V8C00000003L815", "EN-002087622")</f>
        <v>EN-002087622</v>
      </c>
    </row>
    <row r="1951" spans="1:15" ht="16" x14ac:dyDescent="0.2">
      <c r="A1951" s="17" t="str">
        <f>HYPERLINK("https://otsuka-europe-crm.veevavault.com/ui/#object/account__v/V4TZ06G6O71T9BX", "FRANCISCO JOSE BORREGO UTIEL")</f>
        <v>FRANCISCO JOSE BORREGO UTIEL</v>
      </c>
      <c r="B1951" s="17" t="str">
        <f>HYPERLINK("https://otsuka-europe-crm.veevavault.com/ui/#object/vcountry__v/VENZ000004SONF5", "ES")</f>
        <v>ES</v>
      </c>
      <c r="C1951" s="20" t="s">
        <v>41</v>
      </c>
      <c r="D1951" s="21" t="str">
        <f>HYPERLINK("https://otsuka-europe-crm.veevavault.com/ui/#object/approved_document__v/V5O00000001A037", "LUP - VAE Póster Adelphi - Nefro")</f>
        <v>LUP - VAE Póster Adelphi - Nefro</v>
      </c>
      <c r="E1951" s="22" t="str">
        <f>HYPERLINK("https://otsuka-europe-crm.veevavault.com/ui/#object/sent_email__v/VBL00000002O245", "SE-001431708")</f>
        <v>SE-001431708</v>
      </c>
      <c r="F1951" s="23">
        <v>46191.553854166668</v>
      </c>
      <c r="G1951" s="24">
        <v>1</v>
      </c>
      <c r="H1951" s="24">
        <v>1</v>
      </c>
      <c r="I1951" s="24">
        <v>1</v>
      </c>
      <c r="J1951" s="23">
        <v>46191.554178240738</v>
      </c>
      <c r="K1951" s="24">
        <v>2</v>
      </c>
      <c r="L1951" s="22" t="str">
        <f>HYPERLINK("https://otsuka-europe-crm.veevavault.com/ui/#object/approved_document__v/V5O00000001A037", "LUP - VAE Póster Adelphi - Nefro")</f>
        <v>LUP - VAE Póster Adelphi - Nefro</v>
      </c>
      <c r="M1951" s="22" t="str">
        <f>HYPERLINK("mailto:vvalladares@crm.otsuka-europe.com", "vvalladares@crm.otsuka-europe.com")</f>
        <v>vvalladares@crm.otsuka-europe.com</v>
      </c>
      <c r="N1951" s="23">
        <v>46175.562893518516</v>
      </c>
      <c r="O1951" s="14" t="str">
        <f>HYPERLINK("https://otsuka-europe-crm.veevavault.com/ui/#object/email_activity__v/V8C00000003L783", "EN-002087550")</f>
        <v>EN-002087550</v>
      </c>
    </row>
    <row r="1952" spans="1:15" ht="16" x14ac:dyDescent="0.2">
      <c r="A1952" s="18"/>
      <c r="B1952" s="18"/>
      <c r="C1952" s="18"/>
      <c r="D1952" s="18"/>
      <c r="E1952" s="18"/>
      <c r="F1952" s="18"/>
      <c r="G1952" s="18"/>
      <c r="H1952" s="18"/>
      <c r="I1952" s="18"/>
      <c r="J1952" s="18"/>
      <c r="K1952" s="18"/>
      <c r="L1952" s="18"/>
      <c r="M1952" s="18"/>
      <c r="N1952" s="18"/>
      <c r="O1952" s="14" t="str">
        <f>HYPERLINK("https://otsuka-europe-crm.veevavault.com/ui/#object/email_activity__v/V8C00000003M166", "EN-002088335")</f>
        <v>EN-002088335</v>
      </c>
    </row>
    <row r="1953" spans="1:15" ht="16" x14ac:dyDescent="0.2">
      <c r="A1953" s="18"/>
      <c r="B1953" s="18"/>
      <c r="C1953" s="18"/>
      <c r="D1953" s="18"/>
      <c r="E1953" s="18"/>
      <c r="F1953" s="18"/>
      <c r="G1953" s="18"/>
      <c r="H1953" s="18"/>
      <c r="I1953" s="18"/>
      <c r="J1953" s="18"/>
      <c r="K1953" s="18"/>
      <c r="L1953" s="18"/>
      <c r="M1953" s="18"/>
      <c r="N1953" s="18"/>
      <c r="O1953" s="14" t="str">
        <f>HYPERLINK("https://otsuka-europe-crm.veevavault.com/ui/#object/email_activity__v/V8C00000003Y001", "EN-002098603")</f>
        <v>EN-002098603</v>
      </c>
    </row>
    <row r="1954" spans="1:15" ht="16" x14ac:dyDescent="0.2">
      <c r="A1954" s="18"/>
      <c r="B1954" s="18"/>
      <c r="C1954" s="18"/>
      <c r="D1954" s="18"/>
      <c r="E1954" s="18"/>
      <c r="F1954" s="18"/>
      <c r="G1954" s="18"/>
      <c r="H1954" s="18"/>
      <c r="I1954" s="18"/>
      <c r="J1954" s="18"/>
      <c r="K1954" s="18"/>
      <c r="L1954" s="18"/>
      <c r="M1954" s="18"/>
      <c r="N1954" s="18"/>
      <c r="O1954" s="14" t="str">
        <f>HYPERLINK("https://otsuka-europe-crm.veevavault.com/ui/#object/email_activity__v/V8C00000003Y002", "EN-002098604")</f>
        <v>EN-002098604</v>
      </c>
    </row>
    <row r="1955" spans="1:15" ht="16" x14ac:dyDescent="0.2">
      <c r="A1955" s="18"/>
      <c r="B1955" s="18"/>
      <c r="C1955" s="18"/>
      <c r="D1955" s="18"/>
      <c r="E1955" s="18"/>
      <c r="F1955" s="18"/>
      <c r="G1955" s="18"/>
      <c r="H1955" s="18"/>
      <c r="I1955" s="18"/>
      <c r="J1955" s="18"/>
      <c r="K1955" s="18"/>
      <c r="L1955" s="18"/>
      <c r="M1955" s="18"/>
      <c r="N1955" s="18"/>
      <c r="O1955" s="14" t="str">
        <f>HYPERLINK("https://otsuka-europe-crm.veevavault.com/ui/#object/email_activity__v/V8C00000003Y003", "EN-002098605")</f>
        <v>EN-002098605</v>
      </c>
    </row>
    <row r="1956" spans="1:15" ht="16" x14ac:dyDescent="0.2">
      <c r="A1956" s="18"/>
      <c r="B1956" s="18"/>
      <c r="C1956" s="18"/>
      <c r="D1956" s="18"/>
      <c r="E1956" s="18"/>
      <c r="F1956" s="18"/>
      <c r="G1956" s="18"/>
      <c r="H1956" s="18"/>
      <c r="I1956" s="18"/>
      <c r="J1956" s="18"/>
      <c r="K1956" s="18"/>
      <c r="L1956" s="18"/>
      <c r="M1956" s="18"/>
      <c r="N1956" s="18"/>
      <c r="O1956" s="14" t="str">
        <f>HYPERLINK("https://otsuka-europe-crm.veevavault.com/ui/#object/email_activity__v/V8C00000003Y007", "EN-002098612")</f>
        <v>EN-002098612</v>
      </c>
    </row>
    <row r="1957" spans="1:15" ht="16" x14ac:dyDescent="0.2">
      <c r="A1957" s="19"/>
      <c r="B1957" s="19"/>
      <c r="C1957" s="19"/>
      <c r="D1957" s="19"/>
      <c r="E1957" s="19"/>
      <c r="F1957" s="19"/>
      <c r="G1957" s="19"/>
      <c r="H1957" s="19"/>
      <c r="I1957" s="19"/>
      <c r="J1957" s="19"/>
      <c r="K1957" s="19"/>
      <c r="L1957" s="19"/>
      <c r="M1957" s="19"/>
      <c r="N1957" s="19"/>
      <c r="O1957" s="14" t="str">
        <f>HYPERLINK("https://otsuka-europe-crm.veevavault.com/ui/#object/email_activity__v/V8C00000003Y008", "EN-002098613")</f>
        <v>EN-002098613</v>
      </c>
    </row>
    <row r="1958" spans="1:15" ht="16" x14ac:dyDescent="0.2">
      <c r="A1958" s="17" t="str">
        <f>HYPERLINK("https://otsuka-europe-crm.veevavault.com/ui/#object/account__v/V4TZ06G6O71T89F", "MIRIAM BARRALES IGLESIAS")</f>
        <v>MIRIAM BARRALES IGLESIAS</v>
      </c>
      <c r="B1958" s="17" t="str">
        <f>HYPERLINK("https://otsuka-europe-crm.veevavault.com/ui/#object/vcountry__v/VENZ000004SONF5", "ES")</f>
        <v>ES</v>
      </c>
      <c r="C1958" s="20" t="s">
        <v>41</v>
      </c>
      <c r="D1958" s="21" t="str">
        <f>HYPERLINK("https://otsuka-europe-crm.veevavault.com/ui/#object/approved_document__v/V5O00000001A037", "LUP - VAE Póster Adelphi - Nefro")</f>
        <v>LUP - VAE Póster Adelphi - Nefro</v>
      </c>
      <c r="E1958" s="22" t="str">
        <f>HYPERLINK("https://otsuka-europe-crm.veevavault.com/ui/#object/sent_email__v/VBL00000002O246", "SE-001431709")</f>
        <v>SE-001431709</v>
      </c>
      <c r="F1958" s="25"/>
      <c r="G1958" s="24">
        <v>0</v>
      </c>
      <c r="H1958" s="24">
        <v>0</v>
      </c>
      <c r="I1958" s="24">
        <v>0</v>
      </c>
      <c r="J1958" s="25"/>
      <c r="K1958" s="24">
        <v>0</v>
      </c>
      <c r="L1958" s="22" t="str">
        <f>HYPERLINK("https://otsuka-europe-crm.veevavault.com/ui/#object/approved_document__v/V5O00000001A037", "LUP - VAE Póster Adelphi - Nefro")</f>
        <v>LUP - VAE Póster Adelphi - Nefro</v>
      </c>
      <c r="M1958" s="22" t="str">
        <f>HYPERLINK("mailto:vvalladares@crm.otsuka-europe.com", "vvalladares@crm.otsuka-europe.com")</f>
        <v>vvalladares@crm.otsuka-europe.com</v>
      </c>
      <c r="N1958" s="23">
        <v>46175.562893518516</v>
      </c>
      <c r="O1958" s="14" t="str">
        <f>HYPERLINK("https://otsuka-europe-crm.veevavault.com/ui/#object/email_activity__v/V8C00000003L790", "EN-002087557")</f>
        <v>EN-002087557</v>
      </c>
    </row>
    <row r="1959" spans="1:15" ht="16" x14ac:dyDescent="0.2">
      <c r="A1959" s="18"/>
      <c r="B1959" s="18"/>
      <c r="C1959" s="18"/>
      <c r="D1959" s="18"/>
      <c r="E1959" s="18"/>
      <c r="F1959" s="18"/>
      <c r="G1959" s="18"/>
      <c r="H1959" s="18"/>
      <c r="I1959" s="18"/>
      <c r="J1959" s="18"/>
      <c r="K1959" s="18"/>
      <c r="L1959" s="18"/>
      <c r="M1959" s="18"/>
      <c r="N1959" s="18"/>
      <c r="O1959" s="14" t="str">
        <f>HYPERLINK("https://otsuka-europe-crm.veevavault.com/ui/#object/email_activity__v/V8C00000003M435", "EN-002088888")</f>
        <v>EN-002088888</v>
      </c>
    </row>
    <row r="1960" spans="1:15" ht="16" x14ac:dyDescent="0.2">
      <c r="A1960" s="19"/>
      <c r="B1960" s="19"/>
      <c r="C1960" s="19"/>
      <c r="D1960" s="19"/>
      <c r="E1960" s="19"/>
      <c r="F1960" s="19"/>
      <c r="G1960" s="19"/>
      <c r="H1960" s="19"/>
      <c r="I1960" s="19"/>
      <c r="J1960" s="19"/>
      <c r="K1960" s="19"/>
      <c r="L1960" s="19"/>
      <c r="M1960" s="19"/>
      <c r="N1960" s="19"/>
      <c r="O1960" s="14" t="str">
        <f>HYPERLINK("https://otsuka-europe-crm.veevavault.com/ui/#object/email_activity__v/V8C00000003N550", "EN-002088891")</f>
        <v>EN-002088891</v>
      </c>
    </row>
    <row r="1961" spans="1:15" ht="32" x14ac:dyDescent="0.2">
      <c r="A1961" s="7" t="str">
        <f>HYPERLINK("https://otsuka-europe-crm.veevavault.com/ui/#object/account__v/V4TZ04ASG8N0HCY", "CARLOS ALBERTO MARIN DELGADO")</f>
        <v>CARLOS ALBERTO MARIN DELGADO</v>
      </c>
      <c r="B1961" s="7" t="str">
        <f>HYPERLINK("https://otsuka-europe-crm.veevavault.com/ui/#object/vcountry__v/VENZ000004SONF5", "ES")</f>
        <v>ES</v>
      </c>
      <c r="C1961" s="8" t="s">
        <v>41</v>
      </c>
      <c r="D1961" s="9" t="str">
        <f>HYPERLINK("https://otsuka-europe-crm.veevavault.com/ui/#object/approved_document__v/V5O00000001A037", "LUP - VAE Póster Adelphi - Nefro")</f>
        <v>LUP - VAE Póster Adelphi - Nefro</v>
      </c>
      <c r="E1961" s="10" t="str">
        <f>HYPERLINK("https://otsuka-europe-crm.veevavault.com/ui/#object/sent_email__v/VBL00000002O247", "SE-001431710")</f>
        <v>SE-001431710</v>
      </c>
      <c r="F1961" s="11"/>
      <c r="G1961" s="12">
        <v>0</v>
      </c>
      <c r="H1961" s="12">
        <v>0</v>
      </c>
      <c r="I1961" s="12">
        <v>0</v>
      </c>
      <c r="J1961" s="11"/>
      <c r="K1961" s="12">
        <v>0</v>
      </c>
      <c r="L1961" s="10" t="str">
        <f>HYPERLINK("https://otsuka-europe-crm.veevavault.com/ui/#object/approved_document__v/V5O00000001A037", "LUP - VAE Póster Adelphi - Nefro")</f>
        <v>LUP - VAE Póster Adelphi - Nefro</v>
      </c>
      <c r="M1961" s="10" t="str">
        <f>HYPERLINK("mailto:vvalladares@crm.otsuka-europe.com", "vvalladares@crm.otsuka-europe.com")</f>
        <v>vvalladares@crm.otsuka-europe.com</v>
      </c>
      <c r="N1961" s="13">
        <v>46175.562893518516</v>
      </c>
      <c r="O1961" s="14" t="str">
        <f>HYPERLINK("https://otsuka-europe-crm.veevavault.com/ui/#object/email_activity__v/V8C00000003K929", "EN-002087682")</f>
        <v>EN-002087682</v>
      </c>
    </row>
    <row r="1962" spans="1:15" ht="32" x14ac:dyDescent="0.2">
      <c r="A1962" s="7" t="str">
        <f>HYPERLINK("https://otsuka-europe-crm.veevavault.com/ui/#object/account__v/V4TZ06G6O71T7GD", "ELENA BORREGO GARCIA")</f>
        <v>ELENA BORREGO GARCIA</v>
      </c>
      <c r="B1962" s="7" t="str">
        <f>HYPERLINK("https://otsuka-europe-crm.veevavault.com/ui/#object/vcountry__v/VENZ000004SONF5", "ES")</f>
        <v>ES</v>
      </c>
      <c r="C1962" s="8" t="s">
        <v>41</v>
      </c>
      <c r="D1962" s="9" t="str">
        <f>HYPERLINK("https://otsuka-europe-crm.veevavault.com/ui/#object/approved_document__v/V5O00000001A037", "LUP - VAE Póster Adelphi - Nefro")</f>
        <v>LUP - VAE Póster Adelphi - Nefro</v>
      </c>
      <c r="E1962" s="10" t="str">
        <f>HYPERLINK("https://otsuka-europe-crm.veevavault.com/ui/#object/sent_email__v/VBL00000002O248", "SE-001431711")</f>
        <v>SE-001431711</v>
      </c>
      <c r="F1962" s="11"/>
      <c r="G1962" s="12">
        <v>0</v>
      </c>
      <c r="H1962" s="12">
        <v>0</v>
      </c>
      <c r="I1962" s="12">
        <v>0</v>
      </c>
      <c r="J1962" s="11"/>
      <c r="K1962" s="12">
        <v>0</v>
      </c>
      <c r="L1962" s="10" t="str">
        <f>HYPERLINK("https://otsuka-europe-crm.veevavault.com/ui/#object/approved_document__v/V5O00000001A037", "LUP - VAE Póster Adelphi - Nefro")</f>
        <v>LUP - VAE Póster Adelphi - Nefro</v>
      </c>
      <c r="M1962" s="10" t="str">
        <f>HYPERLINK("mailto:vvalladares@crm.otsuka-europe.com", "vvalladares@crm.otsuka-europe.com")</f>
        <v>vvalladares@crm.otsuka-europe.com</v>
      </c>
      <c r="N1962" s="13">
        <v>46175.562893518516</v>
      </c>
      <c r="O1962" s="14" t="str">
        <f>HYPERLINK("https://otsuka-europe-crm.veevavault.com/ui/#object/email_activity__v/V8C00000003K881", "EN-002087600")</f>
        <v>EN-002087600</v>
      </c>
    </row>
    <row r="1963" spans="1:15" ht="16" x14ac:dyDescent="0.2">
      <c r="A1963" s="17" t="str">
        <f>HYPERLINK("https://otsuka-europe-crm.veevavault.com/ui/#object/account__v/V4TZ04ASG9GVZW2", "CRISTINA RAMOS DE ASCANIO")</f>
        <v>CRISTINA RAMOS DE ASCANIO</v>
      </c>
      <c r="B1963" s="17" t="str">
        <f>HYPERLINK("https://otsuka-europe-crm.veevavault.com/ui/#object/vcountry__v/VENZ000004SONF5", "ES")</f>
        <v>ES</v>
      </c>
      <c r="C1963" s="20" t="s">
        <v>41</v>
      </c>
      <c r="D1963" s="21" t="str">
        <f>HYPERLINK("https://otsuka-europe-crm.veevavault.com/ui/#object/approved_document__v/V5O00000001A037", "LUP - VAE Póster Adelphi - Nefro")</f>
        <v>LUP - VAE Póster Adelphi - Nefro</v>
      </c>
      <c r="E1963" s="22" t="str">
        <f>HYPERLINK("https://otsuka-europe-crm.veevavault.com/ui/#object/sent_email__v/VBL00000002O249", "SE-001431712")</f>
        <v>SE-001431712</v>
      </c>
      <c r="F1963" s="23">
        <v>46186.348749999997</v>
      </c>
      <c r="G1963" s="24">
        <v>1</v>
      </c>
      <c r="H1963" s="24">
        <v>1</v>
      </c>
      <c r="I1963" s="24">
        <v>0</v>
      </c>
      <c r="J1963" s="25"/>
      <c r="K1963" s="24">
        <v>0</v>
      </c>
      <c r="L1963" s="22" t="str">
        <f>HYPERLINK("https://otsuka-europe-crm.veevavault.com/ui/#object/approved_document__v/V5O00000001A037", "LUP - VAE Póster Adelphi - Nefro")</f>
        <v>LUP - VAE Póster Adelphi - Nefro</v>
      </c>
      <c r="M1963" s="22" t="str">
        <f>HYPERLINK("mailto:vvalladares@crm.otsuka-europe.com", "vvalladares@crm.otsuka-europe.com")</f>
        <v>vvalladares@crm.otsuka-europe.com</v>
      </c>
      <c r="N1963" s="23">
        <v>46175.562893518516</v>
      </c>
      <c r="O1963" s="14" t="str">
        <f>HYPERLINK("https://otsuka-europe-crm.veevavault.com/ui/#object/email_activity__v/V8C00000003L829", "EN-002087664")</f>
        <v>EN-002087664</v>
      </c>
    </row>
    <row r="1964" spans="1:15" ht="16" x14ac:dyDescent="0.2">
      <c r="A1964" s="19"/>
      <c r="B1964" s="19"/>
      <c r="C1964" s="19"/>
      <c r="D1964" s="19"/>
      <c r="E1964" s="19"/>
      <c r="F1964" s="19"/>
      <c r="G1964" s="19"/>
      <c r="H1964" s="19"/>
      <c r="I1964" s="19"/>
      <c r="J1964" s="19"/>
      <c r="K1964" s="19"/>
      <c r="L1964" s="19"/>
      <c r="M1964" s="19"/>
      <c r="N1964" s="19"/>
      <c r="O1964" s="14" t="str">
        <f>HYPERLINK("https://otsuka-europe-crm.veevavault.com/ui/#object/email_activity__v/V8C00000003V422", "EN-002095611")</f>
        <v>EN-002095611</v>
      </c>
    </row>
    <row r="1965" spans="1:15" ht="32" x14ac:dyDescent="0.2">
      <c r="A1965" s="7" t="str">
        <f>HYPERLINK("https://otsuka-europe-crm.veevavault.com/ui/#object/account__v/V4TZ06G6O71T7XX", "LARA PEREA ORTEGA")</f>
        <v>LARA PEREA ORTEGA</v>
      </c>
      <c r="B1965" s="7" t="str">
        <f>HYPERLINK("https://otsuka-europe-crm.veevavault.com/ui/#object/vcountry__v/VENZ000004SONF5", "ES")</f>
        <v>ES</v>
      </c>
      <c r="C1965" s="8" t="s">
        <v>41</v>
      </c>
      <c r="D1965" s="9" t="str">
        <f>HYPERLINK("https://otsuka-europe-crm.veevavault.com/ui/#object/approved_document__v/V5O00000001A037", "LUP - VAE Póster Adelphi - Nefro")</f>
        <v>LUP - VAE Póster Adelphi - Nefro</v>
      </c>
      <c r="E1965" s="10" t="str">
        <f>HYPERLINK("https://otsuka-europe-crm.veevavault.com/ui/#object/sent_email__v/VBL00000002O250", "SE-001431713")</f>
        <v>SE-001431713</v>
      </c>
      <c r="F1965" s="11"/>
      <c r="G1965" s="12">
        <v>0</v>
      </c>
      <c r="H1965" s="12">
        <v>0</v>
      </c>
      <c r="I1965" s="12">
        <v>0</v>
      </c>
      <c r="J1965" s="11"/>
      <c r="K1965" s="12">
        <v>0</v>
      </c>
      <c r="L1965" s="10" t="str">
        <f>HYPERLINK("https://otsuka-europe-crm.veevavault.com/ui/#object/approved_document__v/V5O00000001A037", "LUP - VAE Póster Adelphi - Nefro")</f>
        <v>LUP - VAE Póster Adelphi - Nefro</v>
      </c>
      <c r="M1965" s="10" t="str">
        <f>HYPERLINK("mailto:vvalladares@crm.otsuka-europe.com", "vvalladares@crm.otsuka-europe.com")</f>
        <v>vvalladares@crm.otsuka-europe.com</v>
      </c>
      <c r="N1965" s="13">
        <v>46175.562893518516</v>
      </c>
      <c r="O1965" s="14" t="str">
        <f>HYPERLINK("https://otsuka-europe-crm.veevavault.com/ui/#object/email_activity__v/V8C00000003L835", "EN-002087671")</f>
        <v>EN-002087671</v>
      </c>
    </row>
    <row r="1966" spans="1:15" ht="16" x14ac:dyDescent="0.2">
      <c r="A1966" s="17" t="str">
        <f>HYPERLINK("https://otsuka-europe-crm.veevavault.com/ui/#object/account__v/V4TZ06G6O71TABC", "ANA MARIA JARQUE LOPEZ")</f>
        <v>ANA MARIA JARQUE LOPEZ</v>
      </c>
      <c r="B1966" s="17" t="str">
        <f>HYPERLINK("https://otsuka-europe-crm.veevavault.com/ui/#object/vcountry__v/VENZ000004SONF5", "ES")</f>
        <v>ES</v>
      </c>
      <c r="C1966" s="20" t="s">
        <v>41</v>
      </c>
      <c r="D1966" s="21" t="str">
        <f>HYPERLINK("https://otsuka-europe-crm.veevavault.com/ui/#object/approved_document__v/V5O00000001A037", "LUP - VAE Póster Adelphi - Nefro")</f>
        <v>LUP - VAE Póster Adelphi - Nefro</v>
      </c>
      <c r="E1966" s="22" t="str">
        <f>HYPERLINK("https://otsuka-europe-crm.veevavault.com/ui/#object/sent_email__v/VBL00000002O251", "SE-001431714")</f>
        <v>SE-001431714</v>
      </c>
      <c r="F1966" s="25"/>
      <c r="G1966" s="24">
        <v>0</v>
      </c>
      <c r="H1966" s="24">
        <v>0</v>
      </c>
      <c r="I1966" s="24">
        <v>0</v>
      </c>
      <c r="J1966" s="25"/>
      <c r="K1966" s="24">
        <v>0</v>
      </c>
      <c r="L1966" s="22" t="str">
        <f>HYPERLINK("https://otsuka-europe-crm.veevavault.com/ui/#object/approved_document__v/V5O00000001A037", "LUP - VAE Póster Adelphi - Nefro")</f>
        <v>LUP - VAE Póster Adelphi - Nefro</v>
      </c>
      <c r="M1966" s="22" t="str">
        <f>HYPERLINK("mailto:vvalladares@crm.otsuka-europe.com", "vvalladares@crm.otsuka-europe.com")</f>
        <v>vvalladares@crm.otsuka-europe.com</v>
      </c>
      <c r="N1966" s="23">
        <v>46175.562893518516</v>
      </c>
      <c r="O1966" s="14" t="str">
        <f>HYPERLINK("https://otsuka-europe-crm.veevavault.com/ui/#object/email_activity__v/V8C00000003K981", "EN-002087768")</f>
        <v>EN-002087768</v>
      </c>
    </row>
    <row r="1967" spans="1:15" ht="16" x14ac:dyDescent="0.2">
      <c r="A1967" s="18"/>
      <c r="B1967" s="18"/>
      <c r="C1967" s="18"/>
      <c r="D1967" s="18"/>
      <c r="E1967" s="18"/>
      <c r="F1967" s="18"/>
      <c r="G1967" s="18"/>
      <c r="H1967" s="18"/>
      <c r="I1967" s="18"/>
      <c r="J1967" s="18"/>
      <c r="K1967" s="18"/>
      <c r="L1967" s="18"/>
      <c r="M1967" s="18"/>
      <c r="N1967" s="18"/>
      <c r="O1967" s="14" t="str">
        <f>HYPERLINK("https://otsuka-europe-crm.veevavault.com/ui/#object/email_activity__v/V8C00000003L801", "EN-002087568")</f>
        <v>EN-002087568</v>
      </c>
    </row>
    <row r="1968" spans="1:15" ht="16" x14ac:dyDescent="0.2">
      <c r="A1968" s="19"/>
      <c r="B1968" s="19"/>
      <c r="C1968" s="19"/>
      <c r="D1968" s="19"/>
      <c r="E1968" s="19"/>
      <c r="F1968" s="19"/>
      <c r="G1968" s="19"/>
      <c r="H1968" s="19"/>
      <c r="I1968" s="19"/>
      <c r="J1968" s="19"/>
      <c r="K1968" s="19"/>
      <c r="L1968" s="19"/>
      <c r="M1968" s="19"/>
      <c r="N1968" s="19"/>
      <c r="O1968" s="14" t="str">
        <f>HYPERLINK("https://otsuka-europe-crm.veevavault.com/ui/#object/email_activity__v/V8C00000003N712", "EN-002089207")</f>
        <v>EN-002089207</v>
      </c>
    </row>
    <row r="1969" spans="1:15" ht="16" x14ac:dyDescent="0.2">
      <c r="A1969" s="17" t="str">
        <f>HYPERLINK("https://otsuka-europe-crm.veevavault.com/ui/#object/account__v/V4TZ04ASG99APL3", "AVINASH CHANDU NANWANI")</f>
        <v>AVINASH CHANDU NANWANI</v>
      </c>
      <c r="B1969" s="17" t="str">
        <f>HYPERLINK("https://otsuka-europe-crm.veevavault.com/ui/#object/vcountry__v/VENZ000004SONF5", "ES")</f>
        <v>ES</v>
      </c>
      <c r="C1969" s="20" t="s">
        <v>41</v>
      </c>
      <c r="D1969" s="21" t="str">
        <f>HYPERLINK("https://otsuka-europe-crm.veevavault.com/ui/#object/approved_document__v/V5O00000001A037", "LUP - VAE Póster Adelphi - Nefro")</f>
        <v>LUP - VAE Póster Adelphi - Nefro</v>
      </c>
      <c r="E1969" s="22" t="str">
        <f>HYPERLINK("https://otsuka-europe-crm.veevavault.com/ui/#object/sent_email__v/VBL00000002O252", "SE-001431715")</f>
        <v>SE-001431715</v>
      </c>
      <c r="F1969" s="23">
        <v>46175.567245370374</v>
      </c>
      <c r="G1969" s="24">
        <v>1</v>
      </c>
      <c r="H1969" s="24">
        <v>1</v>
      </c>
      <c r="I1969" s="24">
        <v>0</v>
      </c>
      <c r="J1969" s="25"/>
      <c r="K1969" s="24">
        <v>0</v>
      </c>
      <c r="L1969" s="22" t="str">
        <f>HYPERLINK("https://otsuka-europe-crm.veevavault.com/ui/#object/approved_document__v/V5O00000001A037", "LUP - VAE Póster Adelphi - Nefro")</f>
        <v>LUP - VAE Póster Adelphi - Nefro</v>
      </c>
      <c r="M1969" s="22" t="str">
        <f>HYPERLINK("mailto:vvalladares@crm.otsuka-europe.com", "vvalladares@crm.otsuka-europe.com")</f>
        <v>vvalladares@crm.otsuka-europe.com</v>
      </c>
      <c r="N1969" s="23">
        <v>46175.562893518516</v>
      </c>
      <c r="O1969" s="14" t="str">
        <f>HYPERLINK("https://otsuka-europe-crm.veevavault.com/ui/#object/email_activity__v/V8C00000003K928", "EN-002087681")</f>
        <v>EN-002087681</v>
      </c>
    </row>
    <row r="1970" spans="1:15" ht="16" x14ac:dyDescent="0.2">
      <c r="A1970" s="19"/>
      <c r="B1970" s="19"/>
      <c r="C1970" s="19"/>
      <c r="D1970" s="19"/>
      <c r="E1970" s="19"/>
      <c r="F1970" s="19"/>
      <c r="G1970" s="19"/>
      <c r="H1970" s="19"/>
      <c r="I1970" s="19"/>
      <c r="J1970" s="19"/>
      <c r="K1970" s="19"/>
      <c r="L1970" s="19"/>
      <c r="M1970" s="19"/>
      <c r="N1970" s="19"/>
      <c r="O1970" s="14" t="str">
        <f>HYPERLINK("https://otsuka-europe-crm.veevavault.com/ui/#object/email_activity__v/V8C00000003L859", "EN-002087718")</f>
        <v>EN-002087718</v>
      </c>
    </row>
    <row r="1971" spans="1:15" ht="16" x14ac:dyDescent="0.2">
      <c r="A1971" s="17" t="str">
        <f>HYPERLINK("https://otsuka-europe-crm.veevavault.com/ui/#object/account__v/V4TZ06G6O71TA40", "EDUARDO GALLEGO MORA-ESPERANZA")</f>
        <v>EDUARDO GALLEGO MORA-ESPERANZA</v>
      </c>
      <c r="B1971" s="17" t="str">
        <f>HYPERLINK("https://otsuka-europe-crm.veevavault.com/ui/#object/vcountry__v/VENZ000004SONF5", "ES")</f>
        <v>ES</v>
      </c>
      <c r="C1971" s="20" t="s">
        <v>41</v>
      </c>
      <c r="D1971" s="21" t="str">
        <f>HYPERLINK("https://otsuka-europe-crm.veevavault.com/ui/#object/approved_document__v/V5O00000001A037", "LUP - VAE Póster Adelphi - Nefro")</f>
        <v>LUP - VAE Póster Adelphi - Nefro</v>
      </c>
      <c r="E1971" s="22" t="str">
        <f>HYPERLINK("https://otsuka-europe-crm.veevavault.com/ui/#object/sent_email__v/VBL00000002O253", "SE-001431716")</f>
        <v>SE-001431716</v>
      </c>
      <c r="F1971" s="25"/>
      <c r="G1971" s="24">
        <v>0</v>
      </c>
      <c r="H1971" s="24">
        <v>0</v>
      </c>
      <c r="I1971" s="24">
        <v>0</v>
      </c>
      <c r="J1971" s="25"/>
      <c r="K1971" s="24">
        <v>0</v>
      </c>
      <c r="L1971" s="22" t="str">
        <f>HYPERLINK("https://otsuka-europe-crm.veevavault.com/ui/#object/approved_document__v/V5O00000001A037", "LUP - VAE Póster Adelphi - Nefro")</f>
        <v>LUP - VAE Póster Adelphi - Nefro</v>
      </c>
      <c r="M1971" s="22" t="str">
        <f>HYPERLINK("mailto:vvalladares@crm.otsuka-europe.com", "vvalladares@crm.otsuka-europe.com")</f>
        <v>vvalladares@crm.otsuka-europe.com</v>
      </c>
      <c r="N1971" s="23">
        <v>46175.562893518516</v>
      </c>
      <c r="O1971" s="14" t="str">
        <f>HYPERLINK("https://otsuka-europe-crm.veevavault.com/ui/#object/email_activity__v/V8C00000003L841", "EN-002087677")</f>
        <v>EN-002087677</v>
      </c>
    </row>
    <row r="1972" spans="1:15" ht="16" x14ac:dyDescent="0.2">
      <c r="A1972" s="18"/>
      <c r="B1972" s="18"/>
      <c r="C1972" s="18"/>
      <c r="D1972" s="18"/>
      <c r="E1972" s="18"/>
      <c r="F1972" s="18"/>
      <c r="G1972" s="18"/>
      <c r="H1972" s="18"/>
      <c r="I1972" s="18"/>
      <c r="J1972" s="18"/>
      <c r="K1972" s="18"/>
      <c r="L1972" s="18"/>
      <c r="M1972" s="18"/>
      <c r="N1972" s="18"/>
      <c r="O1972" s="14" t="str">
        <f>HYPERLINK("https://otsuka-europe-crm.veevavault.com/ui/#object/email_activity__v/V8C00000003N280", "EN-002088410")</f>
        <v>EN-002088410</v>
      </c>
    </row>
    <row r="1973" spans="1:15" ht="16" x14ac:dyDescent="0.2">
      <c r="A1973" s="19"/>
      <c r="B1973" s="19"/>
      <c r="C1973" s="19"/>
      <c r="D1973" s="19"/>
      <c r="E1973" s="19"/>
      <c r="F1973" s="19"/>
      <c r="G1973" s="19"/>
      <c r="H1973" s="19"/>
      <c r="I1973" s="19"/>
      <c r="J1973" s="19"/>
      <c r="K1973" s="19"/>
      <c r="L1973" s="19"/>
      <c r="M1973" s="19"/>
      <c r="N1973" s="19"/>
      <c r="O1973" s="14" t="str">
        <f>HYPERLINK("https://otsuka-europe-crm.veevavault.com/ui/#object/email_activity__v/V8C00000003N520", "EN-002088823")</f>
        <v>EN-002088823</v>
      </c>
    </row>
    <row r="1974" spans="1:15" ht="16" x14ac:dyDescent="0.2">
      <c r="A1974" s="17" t="str">
        <f>HYPERLINK("https://otsuka-europe-crm.veevavault.com/ui/#object/account__v/V4TZ06G6O71U94M", "DIOMARIS ALTAGRACIA GUZMAN REGALADO")</f>
        <v>DIOMARIS ALTAGRACIA GUZMAN REGALADO</v>
      </c>
      <c r="B1974" s="17" t="str">
        <f>HYPERLINK("https://otsuka-europe-crm.veevavault.com/ui/#object/vcountry__v/VENZ000004SONF5", "ES")</f>
        <v>ES</v>
      </c>
      <c r="C1974" s="20" t="s">
        <v>41</v>
      </c>
      <c r="D1974" s="21" t="str">
        <f>HYPERLINK("https://otsuka-europe-crm.veevavault.com/ui/#object/approved_document__v/V5O00000001A037", "LUP - VAE Póster Adelphi - Nefro")</f>
        <v>LUP - VAE Póster Adelphi - Nefro</v>
      </c>
      <c r="E1974" s="22" t="str">
        <f>HYPERLINK("https://otsuka-europe-crm.veevavault.com/ui/#object/sent_email__v/VBL00000002O254", "SE-001431717")</f>
        <v>SE-001431717</v>
      </c>
      <c r="F1974" s="25"/>
      <c r="G1974" s="24">
        <v>0</v>
      </c>
      <c r="H1974" s="24">
        <v>0</v>
      </c>
      <c r="I1974" s="24">
        <v>0</v>
      </c>
      <c r="J1974" s="25"/>
      <c r="K1974" s="24">
        <v>0</v>
      </c>
      <c r="L1974" s="22" t="str">
        <f>HYPERLINK("https://otsuka-europe-crm.veevavault.com/ui/#object/approved_document__v/V5O00000001A037", "LUP - VAE Póster Adelphi - Nefro")</f>
        <v>LUP - VAE Póster Adelphi - Nefro</v>
      </c>
      <c r="M1974" s="22" t="str">
        <f>HYPERLINK("mailto:vvalladares@crm.otsuka-europe.com", "vvalladares@crm.otsuka-europe.com")</f>
        <v>vvalladares@crm.otsuka-europe.com</v>
      </c>
      <c r="N1974" s="23">
        <v>46175.562835648147</v>
      </c>
      <c r="O1974" s="14" t="str">
        <f>HYPERLINK("https://otsuka-europe-crm.veevavault.com/ui/#object/email_activity__v/V8C00000003K851", "EN-002087543")</f>
        <v>EN-002087543</v>
      </c>
    </row>
    <row r="1975" spans="1:15" ht="16" x14ac:dyDescent="0.2">
      <c r="A1975" s="18"/>
      <c r="B1975" s="18"/>
      <c r="C1975" s="18"/>
      <c r="D1975" s="18"/>
      <c r="E1975" s="18"/>
      <c r="F1975" s="18"/>
      <c r="G1975" s="18"/>
      <c r="H1975" s="18"/>
      <c r="I1975" s="18"/>
      <c r="J1975" s="18"/>
      <c r="K1975" s="18"/>
      <c r="L1975" s="18"/>
      <c r="M1975" s="18"/>
      <c r="N1975" s="18"/>
      <c r="O1975" s="14" t="str">
        <f>HYPERLINK("https://otsuka-europe-crm.veevavault.com/ui/#object/email_activity__v/V8C00000003N305", "EN-002088467")</f>
        <v>EN-002088467</v>
      </c>
    </row>
    <row r="1976" spans="1:15" ht="16" x14ac:dyDescent="0.2">
      <c r="A1976" s="19"/>
      <c r="B1976" s="19"/>
      <c r="C1976" s="19"/>
      <c r="D1976" s="19"/>
      <c r="E1976" s="19"/>
      <c r="F1976" s="19"/>
      <c r="G1976" s="19"/>
      <c r="H1976" s="19"/>
      <c r="I1976" s="19"/>
      <c r="J1976" s="19"/>
      <c r="K1976" s="19"/>
      <c r="L1976" s="19"/>
      <c r="M1976" s="19"/>
      <c r="N1976" s="19"/>
      <c r="O1976" s="14" t="str">
        <f>HYPERLINK("https://otsuka-europe-crm.veevavault.com/ui/#object/email_activity__v/V8C00000003N540", "EN-002088865")</f>
        <v>EN-002088865</v>
      </c>
    </row>
    <row r="1977" spans="1:15" ht="16" x14ac:dyDescent="0.2">
      <c r="A1977" s="17" t="str">
        <f>HYPERLINK("https://otsuka-europe-crm.veevavault.com/ui/#object/account__v/V4T000000012038", "INES DE LA CUEVA FLORES")</f>
        <v>INES DE LA CUEVA FLORES</v>
      </c>
      <c r="B1977" s="17" t="str">
        <f>HYPERLINK("https://otsuka-europe-crm.veevavault.com/ui/#object/vcountry__v/VENZ000004SONF5", "ES")</f>
        <v>ES</v>
      </c>
      <c r="C1977" s="20" t="s">
        <v>41</v>
      </c>
      <c r="D1977" s="21" t="str">
        <f>HYPERLINK("https://otsuka-europe-crm.veevavault.com/ui/#object/approved_document__v/V5O00000001A037", "LUP - VAE Póster Adelphi - Nefro")</f>
        <v>LUP - VAE Póster Adelphi - Nefro</v>
      </c>
      <c r="E1977" s="22" t="str">
        <f>HYPERLINK("https://otsuka-europe-crm.veevavault.com/ui/#object/sent_email__v/VBL00000002O255", "SE-001431718")</f>
        <v>SE-001431718</v>
      </c>
      <c r="F1977" s="23">
        <v>46175.563055555554</v>
      </c>
      <c r="G1977" s="24">
        <v>1</v>
      </c>
      <c r="H1977" s="24">
        <v>1</v>
      </c>
      <c r="I1977" s="24">
        <v>0</v>
      </c>
      <c r="J1977" s="25"/>
      <c r="K1977" s="24">
        <v>0</v>
      </c>
      <c r="L1977" s="22" t="str">
        <f>HYPERLINK("https://otsuka-europe-crm.veevavault.com/ui/#object/approved_document__v/V5O00000001A037", "LUP - VAE Póster Adelphi - Nefro")</f>
        <v>LUP - VAE Póster Adelphi - Nefro</v>
      </c>
      <c r="M1977" s="22" t="str">
        <f>HYPERLINK("mailto:vvalladares@crm.otsuka-europe.com", "vvalladares@crm.otsuka-europe.com")</f>
        <v>vvalladares@crm.otsuka-europe.com</v>
      </c>
      <c r="N1977" s="23">
        <v>46175.562835648147</v>
      </c>
      <c r="O1977" s="14" t="str">
        <f>HYPERLINK("https://otsuka-europe-crm.veevavault.com/ui/#object/email_activity__v/V8C00000003K847", "EN-002087539")</f>
        <v>EN-002087539</v>
      </c>
    </row>
    <row r="1978" spans="1:15" ht="16" x14ac:dyDescent="0.2">
      <c r="A1978" s="18"/>
      <c r="B1978" s="18"/>
      <c r="C1978" s="18"/>
      <c r="D1978" s="18"/>
      <c r="E1978" s="18"/>
      <c r="F1978" s="18"/>
      <c r="G1978" s="18"/>
      <c r="H1978" s="18"/>
      <c r="I1978" s="18"/>
      <c r="J1978" s="18"/>
      <c r="K1978" s="18"/>
      <c r="L1978" s="18"/>
      <c r="M1978" s="18"/>
      <c r="N1978" s="18"/>
      <c r="O1978" s="14" t="str">
        <f>HYPERLINK("https://otsuka-europe-crm.veevavault.com/ui/#object/email_activity__v/V8C00000003L844", "EN-002087695")</f>
        <v>EN-002087695</v>
      </c>
    </row>
    <row r="1979" spans="1:15" ht="16" x14ac:dyDescent="0.2">
      <c r="A1979" s="19"/>
      <c r="B1979" s="19"/>
      <c r="C1979" s="19"/>
      <c r="D1979" s="19"/>
      <c r="E1979" s="19"/>
      <c r="F1979" s="19"/>
      <c r="G1979" s="19"/>
      <c r="H1979" s="19"/>
      <c r="I1979" s="19"/>
      <c r="J1979" s="19"/>
      <c r="K1979" s="19"/>
      <c r="L1979" s="19"/>
      <c r="M1979" s="19"/>
      <c r="N1979" s="19"/>
      <c r="O1979" s="14" t="str">
        <f>HYPERLINK("https://otsuka-europe-crm.veevavault.com/ui/#object/email_activity__v/V8C00000003M359", "EN-002088718")</f>
        <v>EN-002088718</v>
      </c>
    </row>
    <row r="1980" spans="1:15" ht="16" x14ac:dyDescent="0.2">
      <c r="A1980" s="17" t="str">
        <f>HYPERLINK("https://otsuka-europe-crm.veevavault.com/ui/#object/account__v/V4TZ04ASG9MJ4SO", "JACKIE JOHANA QUINTANA BUBU")</f>
        <v>JACKIE JOHANA QUINTANA BUBU</v>
      </c>
      <c r="B1980" s="17" t="str">
        <f>HYPERLINK("https://otsuka-europe-crm.veevavault.com/ui/#object/vcountry__v/VENZ000004SONF5", "ES")</f>
        <v>ES</v>
      </c>
      <c r="C1980" s="20" t="s">
        <v>41</v>
      </c>
      <c r="D1980" s="21" t="str">
        <f>HYPERLINK("https://otsuka-europe-crm.veevavault.com/ui/#object/approved_document__v/V5O00000001A037", "LUP - VAE Póster Adelphi - Nefro")</f>
        <v>LUP - VAE Póster Adelphi - Nefro</v>
      </c>
      <c r="E1980" s="22" t="str">
        <f>HYPERLINK("https://otsuka-europe-crm.veevavault.com/ui/#object/sent_email__v/VBL00000002O256", "SE-001431719")</f>
        <v>SE-001431719</v>
      </c>
      <c r="F1980" s="23">
        <v>46175.639062499999</v>
      </c>
      <c r="G1980" s="24">
        <v>1</v>
      </c>
      <c r="H1980" s="24">
        <v>2</v>
      </c>
      <c r="I1980" s="24">
        <v>0</v>
      </c>
      <c r="J1980" s="25"/>
      <c r="K1980" s="24">
        <v>0</v>
      </c>
      <c r="L1980" s="22" t="str">
        <f>HYPERLINK("https://otsuka-europe-crm.veevavault.com/ui/#object/approved_document__v/V5O00000001A037", "LUP - VAE Póster Adelphi - Nefro")</f>
        <v>LUP - VAE Póster Adelphi - Nefro</v>
      </c>
      <c r="M1980" s="22" t="str">
        <f>HYPERLINK("mailto:vvalladares@crm.otsuka-europe.com", "vvalladares@crm.otsuka-europe.com")</f>
        <v>vvalladares@crm.otsuka-europe.com</v>
      </c>
      <c r="N1980" s="23">
        <v>46175.562835648147</v>
      </c>
      <c r="O1980" s="14" t="str">
        <f>HYPERLINK("https://otsuka-europe-crm.veevavault.com/ui/#object/email_activity__v/V8C00000003K848", "EN-002087540")</f>
        <v>EN-002087540</v>
      </c>
    </row>
    <row r="1981" spans="1:15" ht="16" x14ac:dyDescent="0.2">
      <c r="A1981" s="18"/>
      <c r="B1981" s="18"/>
      <c r="C1981" s="18"/>
      <c r="D1981" s="18"/>
      <c r="E1981" s="18"/>
      <c r="F1981" s="18"/>
      <c r="G1981" s="18"/>
      <c r="H1981" s="18"/>
      <c r="I1981" s="18"/>
      <c r="J1981" s="18"/>
      <c r="K1981" s="18"/>
      <c r="L1981" s="18"/>
      <c r="M1981" s="18"/>
      <c r="N1981" s="18"/>
      <c r="O1981" s="14" t="str">
        <f>HYPERLINK("https://otsuka-europe-crm.veevavault.com/ui/#object/email_activity__v/V8C00000003L963", "EN-002087918")</f>
        <v>EN-002087918</v>
      </c>
    </row>
    <row r="1982" spans="1:15" ht="16" x14ac:dyDescent="0.2">
      <c r="A1982" s="19"/>
      <c r="B1982" s="19"/>
      <c r="C1982" s="19"/>
      <c r="D1982" s="19"/>
      <c r="E1982" s="19"/>
      <c r="F1982" s="19"/>
      <c r="G1982" s="19"/>
      <c r="H1982" s="19"/>
      <c r="I1982" s="19"/>
      <c r="J1982" s="19"/>
      <c r="K1982" s="19"/>
      <c r="L1982" s="19"/>
      <c r="M1982" s="19"/>
      <c r="N1982" s="19"/>
      <c r="O1982" s="14" t="str">
        <f>HYPERLINK("https://otsuka-europe-crm.veevavault.com/ui/#object/email_activity__v/V8C00000003L964", "EN-002087919")</f>
        <v>EN-002087919</v>
      </c>
    </row>
    <row r="1983" spans="1:15" ht="32" x14ac:dyDescent="0.2">
      <c r="A1983" s="7" t="str">
        <f>HYPERLINK("https://otsuka-europe-crm.veevavault.com/ui/#object/account__v/V4TZ025E87AAYMH", "LLENALIA GORDILLO GARCIA")</f>
        <v>LLENALIA GORDILLO GARCIA</v>
      </c>
      <c r="B1983" s="7" t="str">
        <f>HYPERLINK("https://otsuka-europe-crm.veevavault.com/ui/#object/vcountry__v/VENZ000004SONF5", "ES")</f>
        <v>ES</v>
      </c>
      <c r="C1983" s="8" t="s">
        <v>41</v>
      </c>
      <c r="D1983" s="9" t="str">
        <f>HYPERLINK("https://otsuka-europe-crm.veevavault.com/ui/#object/approved_document__v/V5O00000001A037", "LUP - VAE Póster Adelphi - Nefro")</f>
        <v>LUP - VAE Póster Adelphi - Nefro</v>
      </c>
      <c r="E1983" s="10" t="str">
        <f>HYPERLINK("https://otsuka-europe-crm.veevavault.com/ui/#object/sent_email__v/VBL00000002O257", "SE-001431720")</f>
        <v>SE-001431720</v>
      </c>
      <c r="F1983" s="11"/>
      <c r="G1983" s="12">
        <v>0</v>
      </c>
      <c r="H1983" s="12">
        <v>0</v>
      </c>
      <c r="I1983" s="12">
        <v>0</v>
      </c>
      <c r="J1983" s="11"/>
      <c r="K1983" s="12">
        <v>0</v>
      </c>
      <c r="L1983" s="10" t="str">
        <f>HYPERLINK("https://otsuka-europe-crm.veevavault.com/ui/#object/approved_document__v/V5O00000001A037", "LUP - VAE Póster Adelphi - Nefro")</f>
        <v>LUP - VAE Póster Adelphi - Nefro</v>
      </c>
      <c r="M1983" s="10" t="str">
        <f>HYPERLINK("mailto:vvalladares@crm.otsuka-europe.com", "vvalladares@crm.otsuka-europe.com")</f>
        <v>vvalladares@crm.otsuka-europe.com</v>
      </c>
      <c r="N1983" s="13">
        <v>46175.562835648147</v>
      </c>
      <c r="O1983" s="14" t="str">
        <f>HYPERLINK("https://otsuka-europe-crm.veevavault.com/ui/#object/email_activity__v/V8C00000003K858", "EN-002087577")</f>
        <v>EN-002087577</v>
      </c>
    </row>
    <row r="1984" spans="1:15" ht="16" x14ac:dyDescent="0.2">
      <c r="A1984" s="17" t="str">
        <f>HYPERLINK("https://otsuka-europe-crm.veevavault.com/ui/#object/account__v/V4TZ06G6O71T7RN", "ZAKARIAE KORAICHI RABIE-SENHAJI")</f>
        <v>ZAKARIAE KORAICHI RABIE-SENHAJI</v>
      </c>
      <c r="B1984" s="17" t="str">
        <f>HYPERLINK("https://otsuka-europe-crm.veevavault.com/ui/#object/vcountry__v/VENZ000004SONF5", "ES")</f>
        <v>ES</v>
      </c>
      <c r="C1984" s="20" t="s">
        <v>41</v>
      </c>
      <c r="D1984" s="21" t="str">
        <f>HYPERLINK("https://otsuka-europe-crm.veevavault.com/ui/#object/approved_document__v/V5O00000001A037", "LUP - VAE Póster Adelphi - Nefro")</f>
        <v>LUP - VAE Póster Adelphi - Nefro</v>
      </c>
      <c r="E1984" s="22" t="str">
        <f>HYPERLINK("https://otsuka-europe-crm.veevavault.com/ui/#object/sent_email__v/VBL00000002O258", "SE-001431721")</f>
        <v>SE-001431721</v>
      </c>
      <c r="F1984" s="23">
        <v>46175.91133101852</v>
      </c>
      <c r="G1984" s="24">
        <v>1</v>
      </c>
      <c r="H1984" s="24">
        <v>1</v>
      </c>
      <c r="I1984" s="24">
        <v>0</v>
      </c>
      <c r="J1984" s="25"/>
      <c r="K1984" s="24">
        <v>0</v>
      </c>
      <c r="L1984" s="22" t="str">
        <f>HYPERLINK("https://otsuka-europe-crm.veevavault.com/ui/#object/approved_document__v/V5O00000001A037", "LUP - VAE Póster Adelphi - Nefro")</f>
        <v>LUP - VAE Póster Adelphi - Nefro</v>
      </c>
      <c r="M1984" s="22" t="str">
        <f>HYPERLINK("mailto:vvalladares@crm.otsuka-europe.com", "vvalladares@crm.otsuka-europe.com")</f>
        <v>vvalladares@crm.otsuka-europe.com</v>
      </c>
      <c r="N1984" s="23">
        <v>46175.562893518516</v>
      </c>
      <c r="O1984" s="14" t="str">
        <f>HYPERLINK("https://otsuka-europe-crm.veevavault.com/ui/#object/email_activity__v/V8C00000003K937", "EN-002087690")</f>
        <v>EN-002087690</v>
      </c>
    </row>
    <row r="1985" spans="1:15" ht="16" x14ac:dyDescent="0.2">
      <c r="A1985" s="19"/>
      <c r="B1985" s="19"/>
      <c r="C1985" s="19"/>
      <c r="D1985" s="19"/>
      <c r="E1985" s="19"/>
      <c r="F1985" s="19"/>
      <c r="G1985" s="19"/>
      <c r="H1985" s="19"/>
      <c r="I1985" s="19"/>
      <c r="J1985" s="19"/>
      <c r="K1985" s="19"/>
      <c r="L1985" s="19"/>
      <c r="M1985" s="19"/>
      <c r="N1985" s="19"/>
      <c r="O1985" s="14" t="str">
        <f>HYPERLINK("https://otsuka-europe-crm.veevavault.com/ui/#object/email_activity__v/V8C00000003N295", "EN-002088443")</f>
        <v>EN-002088443</v>
      </c>
    </row>
    <row r="1986" spans="1:15" ht="32" x14ac:dyDescent="0.2">
      <c r="A1986" s="7" t="str">
        <f>HYPERLINK("https://otsuka-europe-crm.veevavault.com/ui/#object/account__v/V4TZ06G6O71TAU1", "MARIA ASUNCION MACIA LAGIER")</f>
        <v>MARIA ASUNCION MACIA LAGIER</v>
      </c>
      <c r="B1986" s="7" t="str">
        <f>HYPERLINK("https://otsuka-europe-crm.veevavault.com/ui/#object/vcountry__v/VENZ000004SONF5", "ES")</f>
        <v>ES</v>
      </c>
      <c r="C1986" s="8" t="s">
        <v>41</v>
      </c>
      <c r="D1986" s="9" t="str">
        <f>HYPERLINK("https://otsuka-europe-crm.veevavault.com/ui/#object/approved_document__v/V5O00000001A037", "LUP - VAE Póster Adelphi - Nefro")</f>
        <v>LUP - VAE Póster Adelphi - Nefro</v>
      </c>
      <c r="E1986" s="10" t="str">
        <f>HYPERLINK("https://otsuka-europe-crm.veevavault.com/ui/#object/sent_email__v/VBL00000002O259", "SE-001431722")</f>
        <v>SE-001431722</v>
      </c>
      <c r="F1986" s="11"/>
      <c r="G1986" s="12">
        <v>0</v>
      </c>
      <c r="H1986" s="12">
        <v>0</v>
      </c>
      <c r="I1986" s="12">
        <v>0</v>
      </c>
      <c r="J1986" s="11"/>
      <c r="K1986" s="12">
        <v>0</v>
      </c>
      <c r="L1986" s="10" t="str">
        <f>HYPERLINK("https://otsuka-europe-crm.veevavault.com/ui/#object/approved_document__v/V5O00000001A037", "LUP - VAE Póster Adelphi - Nefro")</f>
        <v>LUP - VAE Póster Adelphi - Nefro</v>
      </c>
      <c r="M1986" s="10" t="str">
        <f>HYPERLINK("mailto:vvalladares@crm.otsuka-europe.com", "vvalladares@crm.otsuka-europe.com")</f>
        <v>vvalladares@crm.otsuka-europe.com</v>
      </c>
      <c r="N1986" s="13">
        <v>46175.562928240739</v>
      </c>
      <c r="O1986" s="14" t="str">
        <f>HYPERLINK("https://otsuka-europe-crm.veevavault.com/ui/#object/email_activity__v/V8C00000003K916", "EN-002087644")</f>
        <v>EN-002087644</v>
      </c>
    </row>
    <row r="1987" spans="1:15" ht="32" x14ac:dyDescent="0.2">
      <c r="A1987" s="7" t="str">
        <f>HYPERLINK("https://otsuka-europe-crm.veevavault.com/ui/#object/account__v/V4TZ06G6O95NGA6", "ESTEFANIA TERESA YEROVI LEON")</f>
        <v>ESTEFANIA TERESA YEROVI LEON</v>
      </c>
      <c r="B1987" s="7" t="str">
        <f>HYPERLINK("https://otsuka-europe-crm.veevavault.com/ui/#object/vcountry__v/VENZ000004SONF5", "ES")</f>
        <v>ES</v>
      </c>
      <c r="C1987" s="8" t="s">
        <v>41</v>
      </c>
      <c r="D1987" s="9" t="str">
        <f>HYPERLINK("https://otsuka-europe-crm.veevavault.com/ui/#object/approved_document__v/V5O00000001A037", "LUP - VAE Póster Adelphi - Nefro")</f>
        <v>LUP - VAE Póster Adelphi - Nefro</v>
      </c>
      <c r="E1987" s="10" t="str">
        <f>HYPERLINK("https://otsuka-europe-crm.veevavault.com/ui/#object/sent_email__v/VBL00000002O260", "SE-001431723")</f>
        <v>SE-001431723</v>
      </c>
      <c r="F1987" s="11"/>
      <c r="G1987" s="12">
        <v>0</v>
      </c>
      <c r="H1987" s="12">
        <v>0</v>
      </c>
      <c r="I1987" s="12">
        <v>0</v>
      </c>
      <c r="J1987" s="11"/>
      <c r="K1987" s="12">
        <v>0</v>
      </c>
      <c r="L1987" s="10" t="str">
        <f>HYPERLINK("https://otsuka-europe-crm.veevavault.com/ui/#object/approved_document__v/V5O00000001A037", "LUP - VAE Póster Adelphi - Nefro")</f>
        <v>LUP - VAE Póster Adelphi - Nefro</v>
      </c>
      <c r="M1987" s="10" t="str">
        <f>HYPERLINK("mailto:vvalladares@crm.otsuka-europe.com", "vvalladares@crm.otsuka-europe.com")</f>
        <v>vvalladares@crm.otsuka-europe.com</v>
      </c>
      <c r="N1987" s="13">
        <v>46175.562893518516</v>
      </c>
      <c r="O1987" s="14" t="str">
        <f>HYPERLINK("https://otsuka-europe-crm.veevavault.com/ui/#object/email_activity__v/V8C00000003K865", "EN-002087584")</f>
        <v>EN-002087584</v>
      </c>
    </row>
    <row r="1988" spans="1:15" ht="16" x14ac:dyDescent="0.2">
      <c r="A1988" s="17" t="str">
        <f>HYPERLINK("https://otsuka-europe-crm.veevavault.com/ui/#object/account__v/V4TZ06G6O71TB1O", "MARIA ADORACION MARTIN GOMEZ")</f>
        <v>MARIA ADORACION MARTIN GOMEZ</v>
      </c>
      <c r="B1988" s="17" t="str">
        <f>HYPERLINK("https://otsuka-europe-crm.veevavault.com/ui/#object/vcountry__v/VENZ000004SONF5", "ES")</f>
        <v>ES</v>
      </c>
      <c r="C1988" s="20" t="s">
        <v>41</v>
      </c>
      <c r="D1988" s="21" t="str">
        <f>HYPERLINK("https://otsuka-europe-crm.veevavault.com/ui/#object/approved_document__v/V5O00000001A037", "LUP - VAE Póster Adelphi - Nefro")</f>
        <v>LUP - VAE Póster Adelphi - Nefro</v>
      </c>
      <c r="E1988" s="22" t="str">
        <f>HYPERLINK("https://otsuka-europe-crm.veevavault.com/ui/#object/sent_email__v/VBL00000002O261", "SE-001431724")</f>
        <v>SE-001431724</v>
      </c>
      <c r="F1988" s="23">
        <v>46175.563067129631</v>
      </c>
      <c r="G1988" s="24">
        <v>1</v>
      </c>
      <c r="H1988" s="24">
        <v>1</v>
      </c>
      <c r="I1988" s="24">
        <v>0</v>
      </c>
      <c r="J1988" s="25"/>
      <c r="K1988" s="24">
        <v>0</v>
      </c>
      <c r="L1988" s="22" t="str">
        <f>HYPERLINK("https://otsuka-europe-crm.veevavault.com/ui/#object/approved_document__v/V5O00000001A037", "LUP - VAE Póster Adelphi - Nefro")</f>
        <v>LUP - VAE Póster Adelphi - Nefro</v>
      </c>
      <c r="M1988" s="22" t="str">
        <f>HYPERLINK("mailto:vvalladares@crm.otsuka-europe.com", "vvalladares@crm.otsuka-europe.com")</f>
        <v>vvalladares@crm.otsuka-europe.com</v>
      </c>
      <c r="N1988" s="23">
        <v>46175.562893518516</v>
      </c>
      <c r="O1988" s="14" t="str">
        <f>HYPERLINK("https://otsuka-europe-crm.veevavault.com/ui/#object/email_activity__v/V8C00000003K914", "EN-002087642")</f>
        <v>EN-002087642</v>
      </c>
    </row>
    <row r="1989" spans="1:15" ht="16" x14ac:dyDescent="0.2">
      <c r="A1989" s="19"/>
      <c r="B1989" s="19"/>
      <c r="C1989" s="19"/>
      <c r="D1989" s="19"/>
      <c r="E1989" s="19"/>
      <c r="F1989" s="19"/>
      <c r="G1989" s="19"/>
      <c r="H1989" s="19"/>
      <c r="I1989" s="19"/>
      <c r="J1989" s="19"/>
      <c r="K1989" s="19"/>
      <c r="L1989" s="19"/>
      <c r="M1989" s="19"/>
      <c r="N1989" s="19"/>
      <c r="O1989" s="14" t="str">
        <f>HYPERLINK("https://otsuka-europe-crm.veevavault.com/ui/#object/email_activity__v/V8C00000003L803", "EN-002087570")</f>
        <v>EN-002087570</v>
      </c>
    </row>
    <row r="1990" spans="1:15" ht="16" x14ac:dyDescent="0.2">
      <c r="A1990" s="17" t="str">
        <f>HYPERLINK("https://otsuka-europe-crm.veevavault.com/ui/#object/account__v/V4TZ06G6O71T746", "ENOC MERINO GARCIA")</f>
        <v>ENOC MERINO GARCIA</v>
      </c>
      <c r="B1990" s="17" t="str">
        <f>HYPERLINK("https://otsuka-europe-crm.veevavault.com/ui/#object/vcountry__v/VENZ000004SONF5", "ES")</f>
        <v>ES</v>
      </c>
      <c r="C1990" s="20" t="s">
        <v>41</v>
      </c>
      <c r="D1990" s="21" t="str">
        <f>HYPERLINK("https://otsuka-europe-crm.veevavault.com/ui/#object/approved_document__v/V5O00000001A037", "LUP - VAE Póster Adelphi - Nefro")</f>
        <v>LUP - VAE Póster Adelphi - Nefro</v>
      </c>
      <c r="E1990" s="22" t="str">
        <f>HYPERLINK("https://otsuka-europe-crm.veevavault.com/ui/#object/sent_email__v/VBL00000002O262", "SE-001431725")</f>
        <v>SE-001431725</v>
      </c>
      <c r="F1990" s="23">
        <v>46175.599166666667</v>
      </c>
      <c r="G1990" s="24">
        <v>1</v>
      </c>
      <c r="H1990" s="24">
        <v>2</v>
      </c>
      <c r="I1990" s="24">
        <v>0</v>
      </c>
      <c r="J1990" s="25"/>
      <c r="K1990" s="24">
        <v>0</v>
      </c>
      <c r="L1990" s="22" t="str">
        <f>HYPERLINK("https://otsuka-europe-crm.veevavault.com/ui/#object/approved_document__v/V5O00000001A037", "LUP - VAE Póster Adelphi - Nefro")</f>
        <v>LUP - VAE Póster Adelphi - Nefro</v>
      </c>
      <c r="M1990" s="22" t="str">
        <f>HYPERLINK("mailto:vvalladares@crm.otsuka-europe.com", "vvalladares@crm.otsuka-europe.com")</f>
        <v>vvalladares@crm.otsuka-europe.com</v>
      </c>
      <c r="N1990" s="23">
        <v>46175.562893518516</v>
      </c>
      <c r="O1990" s="14" t="str">
        <f>HYPERLINK("https://otsuka-europe-crm.veevavault.com/ui/#object/email_activity__v/V8C00000003L840", "EN-002087676")</f>
        <v>EN-002087676</v>
      </c>
    </row>
    <row r="1991" spans="1:15" ht="16" x14ac:dyDescent="0.2">
      <c r="A1991" s="18"/>
      <c r="B1991" s="18"/>
      <c r="C1991" s="18"/>
      <c r="D1991" s="18"/>
      <c r="E1991" s="18"/>
      <c r="F1991" s="18"/>
      <c r="G1991" s="18"/>
      <c r="H1991" s="18"/>
      <c r="I1991" s="18"/>
      <c r="J1991" s="18"/>
      <c r="K1991" s="18"/>
      <c r="L1991" s="18"/>
      <c r="M1991" s="18"/>
      <c r="N1991" s="18"/>
      <c r="O1991" s="14" t="str">
        <f>HYPERLINK("https://otsuka-europe-crm.veevavault.com/ui/#object/email_activity__v/V8C00000003M007", "EN-002087849")</f>
        <v>EN-002087849</v>
      </c>
    </row>
    <row r="1992" spans="1:15" ht="16" x14ac:dyDescent="0.2">
      <c r="A1992" s="19"/>
      <c r="B1992" s="19"/>
      <c r="C1992" s="19"/>
      <c r="D1992" s="19"/>
      <c r="E1992" s="19"/>
      <c r="F1992" s="19"/>
      <c r="G1992" s="19"/>
      <c r="H1992" s="19"/>
      <c r="I1992" s="19"/>
      <c r="J1992" s="19"/>
      <c r="K1992" s="19"/>
      <c r="L1992" s="19"/>
      <c r="M1992" s="19"/>
      <c r="N1992" s="19"/>
      <c r="O1992" s="14" t="str">
        <f>HYPERLINK("https://otsuka-europe-crm.veevavault.com/ui/#object/email_activity__v/V8C00000003M008", "EN-002087850")</f>
        <v>EN-002087850</v>
      </c>
    </row>
    <row r="1993" spans="1:15" ht="16" x14ac:dyDescent="0.2">
      <c r="A1993" s="17" t="str">
        <f>HYPERLINK("https://otsuka-europe-crm.veevavault.com/ui/#object/account__v/V4TZ06G6OCEHQSC", "GERMAN PEREZ SUAREZ")</f>
        <v>GERMAN PEREZ SUAREZ</v>
      </c>
      <c r="B1993" s="17" t="str">
        <f>HYPERLINK("https://otsuka-europe-crm.veevavault.com/ui/#object/vcountry__v/VENZ000004SONF5", "ES")</f>
        <v>ES</v>
      </c>
      <c r="C1993" s="20" t="s">
        <v>41</v>
      </c>
      <c r="D1993" s="21" t="str">
        <f>HYPERLINK("https://otsuka-europe-crm.veevavault.com/ui/#object/approved_document__v/V5O00000001A037", "LUP - VAE Póster Adelphi - Nefro")</f>
        <v>LUP - VAE Póster Adelphi - Nefro</v>
      </c>
      <c r="E1993" s="22" t="str">
        <f>HYPERLINK("https://otsuka-europe-crm.veevavault.com/ui/#object/sent_email__v/VBL00000002O263", "SE-001431726")</f>
        <v>SE-001431726</v>
      </c>
      <c r="F1993" s="25"/>
      <c r="G1993" s="24">
        <v>0</v>
      </c>
      <c r="H1993" s="24">
        <v>0</v>
      </c>
      <c r="I1993" s="24">
        <v>0</v>
      </c>
      <c r="J1993" s="25"/>
      <c r="K1993" s="24">
        <v>0</v>
      </c>
      <c r="L1993" s="22" t="str">
        <f>HYPERLINK("https://otsuka-europe-crm.veevavault.com/ui/#object/approved_document__v/V5O00000001A037", "LUP - VAE Póster Adelphi - Nefro")</f>
        <v>LUP - VAE Póster Adelphi - Nefro</v>
      </c>
      <c r="M1993" s="22" t="str">
        <f>HYPERLINK("mailto:vvalladares@crm.otsuka-europe.com", "vvalladares@crm.otsuka-europe.com")</f>
        <v>vvalladares@crm.otsuka-europe.com</v>
      </c>
      <c r="N1993" s="23">
        <v>46175.562893518516</v>
      </c>
      <c r="O1993" s="14" t="str">
        <f>HYPERLINK("https://otsuka-europe-crm.veevavault.com/ui/#object/email_activity__v/V8C00000003L811", "EN-002087610")</f>
        <v>EN-002087610</v>
      </c>
    </row>
    <row r="1994" spans="1:15" ht="16" x14ac:dyDescent="0.2">
      <c r="A1994" s="18"/>
      <c r="B1994" s="18"/>
      <c r="C1994" s="18"/>
      <c r="D1994" s="18"/>
      <c r="E1994" s="18"/>
      <c r="F1994" s="18"/>
      <c r="G1994" s="18"/>
      <c r="H1994" s="18"/>
      <c r="I1994" s="18"/>
      <c r="J1994" s="18"/>
      <c r="K1994" s="18"/>
      <c r="L1994" s="18"/>
      <c r="M1994" s="18"/>
      <c r="N1994" s="18"/>
      <c r="O1994" s="14" t="str">
        <f>HYPERLINK("https://otsuka-europe-crm.veevavault.com/ui/#object/email_activity__v/V8C00000003L855", "EN-002087712")</f>
        <v>EN-002087712</v>
      </c>
    </row>
    <row r="1995" spans="1:15" ht="16" x14ac:dyDescent="0.2">
      <c r="A1995" s="18"/>
      <c r="B1995" s="18"/>
      <c r="C1995" s="18"/>
      <c r="D1995" s="18"/>
      <c r="E1995" s="18"/>
      <c r="F1995" s="18"/>
      <c r="G1995" s="18"/>
      <c r="H1995" s="18"/>
      <c r="I1995" s="18"/>
      <c r="J1995" s="18"/>
      <c r="K1995" s="18"/>
      <c r="L1995" s="18"/>
      <c r="M1995" s="18"/>
      <c r="N1995" s="18"/>
      <c r="O1995" s="14" t="str">
        <f>HYPERLINK("https://otsuka-europe-crm.veevavault.com/ui/#object/email_activity__v/V8C00000003M089", "EN-002088012")</f>
        <v>EN-002088012</v>
      </c>
    </row>
    <row r="1996" spans="1:15" ht="16" x14ac:dyDescent="0.2">
      <c r="A1996" s="19"/>
      <c r="B1996" s="19"/>
      <c r="C1996" s="19"/>
      <c r="D1996" s="19"/>
      <c r="E1996" s="19"/>
      <c r="F1996" s="19"/>
      <c r="G1996" s="19"/>
      <c r="H1996" s="19"/>
      <c r="I1996" s="19"/>
      <c r="J1996" s="19"/>
      <c r="K1996" s="19"/>
      <c r="L1996" s="19"/>
      <c r="M1996" s="19"/>
      <c r="N1996" s="19"/>
      <c r="O1996" s="14" t="str">
        <f>HYPERLINK("https://otsuka-europe-crm.veevavault.com/ui/#object/email_activity__v/V8C00000003Z167", "EN-002098939")</f>
        <v>EN-002098939</v>
      </c>
    </row>
    <row r="1997" spans="1:15" ht="16" x14ac:dyDescent="0.2">
      <c r="A1997" s="17" t="str">
        <f>HYPERLINK("https://otsuka-europe-crm.veevavault.com/ui/#object/account__v/V4TZ06G6O71T7V1", "MARIA RAMIREZ GOMEZ")</f>
        <v>MARIA RAMIREZ GOMEZ</v>
      </c>
      <c r="B1997" s="17" t="str">
        <f>HYPERLINK("https://otsuka-europe-crm.veevavault.com/ui/#object/vcountry__v/VENZ000004SONF5", "ES")</f>
        <v>ES</v>
      </c>
      <c r="C1997" s="20" t="s">
        <v>41</v>
      </c>
      <c r="D1997" s="21" t="str">
        <f>HYPERLINK("https://otsuka-europe-crm.veevavault.com/ui/#object/approved_document__v/V5O00000001A037", "LUP - VAE Póster Adelphi - Nefro")</f>
        <v>LUP - VAE Póster Adelphi - Nefro</v>
      </c>
      <c r="E1997" s="22" t="str">
        <f>HYPERLINK("https://otsuka-europe-crm.veevavault.com/ui/#object/sent_email__v/VBL00000002O264", "SE-001431727")</f>
        <v>SE-001431727</v>
      </c>
      <c r="F1997" s="23">
        <v>46175.622916666667</v>
      </c>
      <c r="G1997" s="24">
        <v>1</v>
      </c>
      <c r="H1997" s="24">
        <v>1</v>
      </c>
      <c r="I1997" s="24">
        <v>0</v>
      </c>
      <c r="J1997" s="25"/>
      <c r="K1997" s="24">
        <v>0</v>
      </c>
      <c r="L1997" s="22" t="str">
        <f>HYPERLINK("https://otsuka-europe-crm.veevavault.com/ui/#object/approved_document__v/V5O00000001A037", "LUP - VAE Póster Adelphi - Nefro")</f>
        <v>LUP - VAE Póster Adelphi - Nefro</v>
      </c>
      <c r="M1997" s="22" t="str">
        <f>HYPERLINK("mailto:vvalladares@crm.otsuka-europe.com", "vvalladares@crm.otsuka-europe.com")</f>
        <v>vvalladares@crm.otsuka-europe.com</v>
      </c>
      <c r="N1997" s="23">
        <v>46175.562905092593</v>
      </c>
      <c r="O1997" s="14" t="str">
        <f>HYPERLINK("https://otsuka-europe-crm.veevavault.com/ui/#object/email_activity__v/V8C00000003L813", "EN-002087620")</f>
        <v>EN-002087620</v>
      </c>
    </row>
    <row r="1998" spans="1:15" ht="16" x14ac:dyDescent="0.2">
      <c r="A1998" s="19"/>
      <c r="B1998" s="19"/>
      <c r="C1998" s="19"/>
      <c r="D1998" s="19"/>
      <c r="E1998" s="19"/>
      <c r="F1998" s="19"/>
      <c r="G1998" s="19"/>
      <c r="H1998" s="19"/>
      <c r="I1998" s="19"/>
      <c r="J1998" s="19"/>
      <c r="K1998" s="19"/>
      <c r="L1998" s="19"/>
      <c r="M1998" s="19"/>
      <c r="N1998" s="19"/>
      <c r="O1998" s="14" t="str">
        <f>HYPERLINK("https://otsuka-europe-crm.veevavault.com/ui/#object/email_activity__v/V8C00000003L951", "EN-002087895")</f>
        <v>EN-002087895</v>
      </c>
    </row>
    <row r="1999" spans="1:15" ht="32" x14ac:dyDescent="0.2">
      <c r="A1999" s="7" t="str">
        <f>HYPERLINK("https://otsuka-europe-crm.veevavault.com/ui/#object/account__v/V4TZ025E86SYMNA", "ANA ISABEL CASCALES VALLEJO")</f>
        <v>ANA ISABEL CASCALES VALLEJO</v>
      </c>
      <c r="B1999" s="7" t="str">
        <f>HYPERLINK("https://otsuka-europe-crm.veevavault.com/ui/#object/vcountry__v/VENZ000004SONF5", "ES")</f>
        <v>ES</v>
      </c>
      <c r="C1999" s="8" t="s">
        <v>41</v>
      </c>
      <c r="D1999" s="9" t="str">
        <f>HYPERLINK("https://otsuka-europe-crm.veevavault.com/ui/#object/approved_document__v/V5O00000001B037", "LUP - VAE Póster Adelphi - Reuma")</f>
        <v>LUP - VAE Póster Adelphi - Reuma</v>
      </c>
      <c r="E1999" s="10" t="str">
        <f>HYPERLINK("https://otsuka-europe-crm.veevavault.com/ui/#object/sent_email__v/VBL00000002O265", "SE-001431728")</f>
        <v>SE-001431728</v>
      </c>
      <c r="F1999" s="11"/>
      <c r="G1999" s="12">
        <v>0</v>
      </c>
      <c r="H1999" s="12">
        <v>0</v>
      </c>
      <c r="I1999" s="12">
        <v>0</v>
      </c>
      <c r="J1999" s="11"/>
      <c r="K1999" s="12">
        <v>0</v>
      </c>
      <c r="L1999" s="10" t="str">
        <f>HYPERLINK("https://otsuka-europe-crm.veevavault.com/ui/#object/approved_document__v/V5O00000001B037", "LUP - VAE Póster Adelphi - Reuma")</f>
        <v>LUP - VAE Póster Adelphi - Reuma</v>
      </c>
      <c r="M1999" s="10" t="str">
        <f>HYPERLINK("mailto:vvalladares@crm.otsuka-europe.com", "vvalladares@crm.otsuka-europe.com")</f>
        <v>vvalladares@crm.otsuka-europe.com</v>
      </c>
      <c r="N1999" s="13">
        <v>46175.562835648147</v>
      </c>
      <c r="O1999" s="14" t="str">
        <f>HYPERLINK("https://otsuka-europe-crm.veevavault.com/ui/#object/email_activity__v/V8C00000003K859", "EN-002087578")</f>
        <v>EN-002087578</v>
      </c>
    </row>
    <row r="2000" spans="1:15" ht="16" x14ac:dyDescent="0.2">
      <c r="A2000" s="17" t="str">
        <f>HYPERLINK("https://otsuka-europe-crm.veevavault.com/ui/#object/account__v/V4TZ04ASG6ZR3NT", "MARIA RAQUEL RIOS FERNANDEZ")</f>
        <v>MARIA RAQUEL RIOS FERNANDEZ</v>
      </c>
      <c r="B2000" s="17" t="str">
        <f>HYPERLINK("https://otsuka-europe-crm.veevavault.com/ui/#object/vcountry__v/VENZ000004SONF5", "ES")</f>
        <v>ES</v>
      </c>
      <c r="C2000" s="20" t="s">
        <v>41</v>
      </c>
      <c r="D2000" s="21" t="str">
        <f>HYPERLINK("https://otsuka-europe-crm.veevavault.com/ui/#object/approved_document__v/V5O00000001B037", "LUP - VAE Póster Adelphi - Reuma")</f>
        <v>LUP - VAE Póster Adelphi - Reuma</v>
      </c>
      <c r="E2000" s="22" t="str">
        <f>HYPERLINK("https://otsuka-europe-crm.veevavault.com/ui/#object/sent_email__v/VBL00000002O266", "SE-001431729")</f>
        <v>SE-001431729</v>
      </c>
      <c r="F2000" s="25"/>
      <c r="G2000" s="24">
        <v>0</v>
      </c>
      <c r="H2000" s="24">
        <v>0</v>
      </c>
      <c r="I2000" s="24">
        <v>0</v>
      </c>
      <c r="J2000" s="25"/>
      <c r="K2000" s="24">
        <v>0</v>
      </c>
      <c r="L2000" s="22" t="str">
        <f>HYPERLINK("https://otsuka-europe-crm.veevavault.com/ui/#object/approved_document__v/V5O00000001B037", "LUP - VAE Póster Adelphi - Reuma")</f>
        <v>LUP - VAE Póster Adelphi - Reuma</v>
      </c>
      <c r="M2000" s="22" t="str">
        <f>HYPERLINK("mailto:vvalladares@crm.otsuka-europe.com", "vvalladares@crm.otsuka-europe.com")</f>
        <v>vvalladares@crm.otsuka-europe.com</v>
      </c>
      <c r="N2000" s="23">
        <v>46175.562835648147</v>
      </c>
      <c r="O2000" s="14" t="str">
        <f>HYPERLINK("https://otsuka-europe-crm.veevavault.com/ui/#object/email_activity__v/V8C00000003K855", "EN-002087547")</f>
        <v>EN-002087547</v>
      </c>
    </row>
    <row r="2001" spans="1:15" ht="16" x14ac:dyDescent="0.2">
      <c r="A2001" s="19"/>
      <c r="B2001" s="19"/>
      <c r="C2001" s="19"/>
      <c r="D2001" s="19"/>
      <c r="E2001" s="19"/>
      <c r="F2001" s="19"/>
      <c r="G2001" s="19"/>
      <c r="H2001" s="19"/>
      <c r="I2001" s="19"/>
      <c r="J2001" s="19"/>
      <c r="K2001" s="19"/>
      <c r="L2001" s="19"/>
      <c r="M2001" s="19"/>
      <c r="N2001" s="19"/>
      <c r="O2001" s="14" t="str">
        <f>HYPERLINK("https://otsuka-europe-crm.veevavault.com/ui/#object/email_activity__v/V8C00000003M420", "EN-002088862")</f>
        <v>EN-002088862</v>
      </c>
    </row>
    <row r="2002" spans="1:15" ht="32" x14ac:dyDescent="0.2">
      <c r="A2002" s="7" t="str">
        <f>HYPERLINK("https://otsuka-europe-crm.veevavault.com/ui/#object/account__v/V4TZ04ASG9HF7EE", "ANDREA AFONSO DIAZ")</f>
        <v>ANDREA AFONSO DIAZ</v>
      </c>
      <c r="B2002" s="7" t="str">
        <f>HYPERLINK("https://otsuka-europe-crm.veevavault.com/ui/#object/vcountry__v/VENZ000004SONF5", "ES")</f>
        <v>ES</v>
      </c>
      <c r="C2002" s="8" t="s">
        <v>41</v>
      </c>
      <c r="D2002" s="9" t="str">
        <f>HYPERLINK("https://otsuka-europe-crm.veevavault.com/ui/#object/approved_document__v/V5O00000001B037", "LUP - VAE Póster Adelphi - Reuma")</f>
        <v>LUP - VAE Póster Adelphi - Reuma</v>
      </c>
      <c r="E2002" s="10" t="str">
        <f>HYPERLINK("https://otsuka-europe-crm.veevavault.com/ui/#object/sent_email__v/VBL00000002O267", "SE-001431730")</f>
        <v>SE-001431730</v>
      </c>
      <c r="F2002" s="11"/>
      <c r="G2002" s="12">
        <v>0</v>
      </c>
      <c r="H2002" s="12">
        <v>0</v>
      </c>
      <c r="I2002" s="12">
        <v>0</v>
      </c>
      <c r="J2002" s="11"/>
      <c r="K2002" s="12">
        <v>0</v>
      </c>
      <c r="L2002" s="10" t="str">
        <f>HYPERLINK("https://otsuka-europe-crm.veevavault.com/ui/#object/approved_document__v/V5O00000001B037", "LUP - VAE Póster Adelphi - Reuma")</f>
        <v>LUP - VAE Póster Adelphi - Reuma</v>
      </c>
      <c r="M2002" s="10" t="str">
        <f>HYPERLINK("mailto:vvalladares@crm.otsuka-europe.com", "vvalladares@crm.otsuka-europe.com")</f>
        <v>vvalladares@crm.otsuka-europe.com</v>
      </c>
      <c r="N2002" s="13">
        <v>46175.562835648147</v>
      </c>
      <c r="O2002" s="14" t="str">
        <f>HYPERLINK("https://otsuka-europe-crm.veevavault.com/ui/#object/email_activity__v/V8C00000003L806", "EN-002087573")</f>
        <v>EN-002087573</v>
      </c>
    </row>
    <row r="2003" spans="1:15" ht="16" x14ac:dyDescent="0.2">
      <c r="A2003" s="17" t="str">
        <f>HYPERLINK("https://otsuka-europe-crm.veevavault.com/ui/#object/account__v/V4TZ04ASG8VE2NH", "MANUEL ABARCA COSTALAGO")</f>
        <v>MANUEL ABARCA COSTALAGO</v>
      </c>
      <c r="B2003" s="17" t="str">
        <f>HYPERLINK("https://otsuka-europe-crm.veevavault.com/ui/#object/vcountry__v/VENZ000004SONF5", "ES")</f>
        <v>ES</v>
      </c>
      <c r="C2003" s="20" t="s">
        <v>41</v>
      </c>
      <c r="D2003" s="21" t="str">
        <f>HYPERLINK("https://otsuka-europe-crm.veevavault.com/ui/#object/approved_document__v/V5O00000001B037", "LUP - VAE Póster Adelphi - Reuma")</f>
        <v>LUP - VAE Póster Adelphi - Reuma</v>
      </c>
      <c r="E2003" s="22" t="str">
        <f>HYPERLINK("https://otsuka-europe-crm.veevavault.com/ui/#object/sent_email__v/VBL00000002O268", "SE-001431731")</f>
        <v>SE-001431731</v>
      </c>
      <c r="F2003" s="25"/>
      <c r="G2003" s="24">
        <v>0</v>
      </c>
      <c r="H2003" s="24">
        <v>0</v>
      </c>
      <c r="I2003" s="24">
        <v>0</v>
      </c>
      <c r="J2003" s="25"/>
      <c r="K2003" s="24">
        <v>0</v>
      </c>
      <c r="L2003" s="22" t="str">
        <f>HYPERLINK("https://otsuka-europe-crm.veevavault.com/ui/#object/approved_document__v/V5O00000001B037", "LUP - VAE Póster Adelphi - Reuma")</f>
        <v>LUP - VAE Póster Adelphi - Reuma</v>
      </c>
      <c r="M2003" s="22" t="str">
        <f>HYPERLINK("mailto:vvalladares@crm.otsuka-europe.com", "vvalladares@crm.otsuka-europe.com")</f>
        <v>vvalladares@crm.otsuka-europe.com</v>
      </c>
      <c r="N2003" s="23">
        <v>46175.562835648147</v>
      </c>
      <c r="O2003" s="14" t="str">
        <f>HYPERLINK("https://otsuka-europe-crm.veevavault.com/ui/#object/email_activity__v/V8C00000003K842", "EN-002087534")</f>
        <v>EN-002087534</v>
      </c>
    </row>
    <row r="2004" spans="1:15" ht="16" x14ac:dyDescent="0.2">
      <c r="A2004" s="19"/>
      <c r="B2004" s="19"/>
      <c r="C2004" s="19"/>
      <c r="D2004" s="19"/>
      <c r="E2004" s="19"/>
      <c r="F2004" s="19"/>
      <c r="G2004" s="19"/>
      <c r="H2004" s="19"/>
      <c r="I2004" s="19"/>
      <c r="J2004" s="19"/>
      <c r="K2004" s="19"/>
      <c r="L2004" s="19"/>
      <c r="M2004" s="19"/>
      <c r="N2004" s="19"/>
      <c r="O2004" s="14" t="str">
        <f>HYPERLINK("https://otsuka-europe-crm.veevavault.com/ui/#object/email_activity__v/V8C00000003O015", "EN-002089260")</f>
        <v>EN-002089260</v>
      </c>
    </row>
    <row r="2005" spans="1:15" ht="32" x14ac:dyDescent="0.2">
      <c r="A2005" s="7" t="str">
        <f>HYPERLINK("https://otsuka-europe-crm.veevavault.com/ui/#object/account__v/V4TZ025E858G6OC", "DOLORES RICO LOPEZ")</f>
        <v>DOLORES RICO LOPEZ</v>
      </c>
      <c r="B2005" s="7" t="str">
        <f>HYPERLINK("https://otsuka-europe-crm.veevavault.com/ui/#object/vcountry__v/VENZ000004SONF5", "ES")</f>
        <v>ES</v>
      </c>
      <c r="C2005" s="8" t="s">
        <v>41</v>
      </c>
      <c r="D2005" s="9" t="str">
        <f>HYPERLINK("https://otsuka-europe-crm.veevavault.com/ui/#object/approved_document__v/V5O00000001B037", "LUP - VAE Póster Adelphi - Reuma")</f>
        <v>LUP - VAE Póster Adelphi - Reuma</v>
      </c>
      <c r="E2005" s="10" t="str">
        <f>HYPERLINK("https://otsuka-europe-crm.veevavault.com/ui/#object/sent_email__v/VBL00000002O269", "SE-001431732")</f>
        <v>SE-001431732</v>
      </c>
      <c r="F2005" s="11"/>
      <c r="G2005" s="12">
        <v>0</v>
      </c>
      <c r="H2005" s="12">
        <v>0</v>
      </c>
      <c r="I2005" s="12">
        <v>0</v>
      </c>
      <c r="J2005" s="11"/>
      <c r="K2005" s="12">
        <v>0</v>
      </c>
      <c r="L2005" s="10" t="str">
        <f>HYPERLINK("https://otsuka-europe-crm.veevavault.com/ui/#object/approved_document__v/V5O00000001B037", "LUP - VAE Póster Adelphi - Reuma")</f>
        <v>LUP - VAE Póster Adelphi - Reuma</v>
      </c>
      <c r="M2005" s="10" t="str">
        <f>HYPERLINK("mailto:vvalladares@crm.otsuka-europe.com", "vvalladares@crm.otsuka-europe.com")</f>
        <v>vvalladares@crm.otsuka-europe.com</v>
      </c>
      <c r="N2005" s="13">
        <v>46175.562835648147</v>
      </c>
      <c r="O2005" s="14" t="str">
        <f>HYPERLINK("https://otsuka-europe-crm.veevavault.com/ui/#object/email_activity__v/V8C00000003K846", "EN-002087538")</f>
        <v>EN-002087538</v>
      </c>
    </row>
    <row r="2006" spans="1:15" ht="16" x14ac:dyDescent="0.2">
      <c r="A2006" s="17" t="str">
        <f>HYPERLINK("https://otsuka-europe-crm.veevavault.com/ui/#object/account__v/V4TZ04ASG9B3EW7", "MARIA ESTHER RUBIO ROLDAN")</f>
        <v>MARIA ESTHER RUBIO ROLDAN</v>
      </c>
      <c r="B2006" s="17" t="str">
        <f>HYPERLINK("https://otsuka-europe-crm.veevavault.com/ui/#object/vcountry__v/VENZ000004SONF5", "ES")</f>
        <v>ES</v>
      </c>
      <c r="C2006" s="20" t="s">
        <v>41</v>
      </c>
      <c r="D2006" s="21" t="str">
        <f>HYPERLINK("https://otsuka-europe-crm.veevavault.com/ui/#object/approved_document__v/V5O00000001B037", "LUP - VAE Póster Adelphi - Reuma")</f>
        <v>LUP - VAE Póster Adelphi - Reuma</v>
      </c>
      <c r="E2006" s="22" t="str">
        <f>HYPERLINK("https://otsuka-europe-crm.veevavault.com/ui/#object/sent_email__v/VBL00000002O270", "SE-001431733")</f>
        <v>SE-001431733</v>
      </c>
      <c r="F2006" s="23">
        <v>46175.577013888891</v>
      </c>
      <c r="G2006" s="24">
        <v>1</v>
      </c>
      <c r="H2006" s="24">
        <v>1</v>
      </c>
      <c r="I2006" s="24">
        <v>0</v>
      </c>
      <c r="J2006" s="25"/>
      <c r="K2006" s="24">
        <v>0</v>
      </c>
      <c r="L2006" s="22" t="str">
        <f>HYPERLINK("https://otsuka-europe-crm.veevavault.com/ui/#object/approved_document__v/V5O00000001B037", "LUP - VAE Póster Adelphi - Reuma")</f>
        <v>LUP - VAE Póster Adelphi - Reuma</v>
      </c>
      <c r="M2006" s="22" t="str">
        <f>HYPERLINK("mailto:vvalladares@crm.otsuka-europe.com", "vvalladares@crm.otsuka-europe.com")</f>
        <v>vvalladares@crm.otsuka-europe.com</v>
      </c>
      <c r="N2006" s="23">
        <v>46175.562835648147</v>
      </c>
      <c r="O2006" s="14" t="str">
        <f>HYPERLINK("https://otsuka-europe-crm.veevavault.com/ui/#object/email_activity__v/V8C00000003K845", "EN-002087537")</f>
        <v>EN-002087537</v>
      </c>
    </row>
    <row r="2007" spans="1:15" ht="16" x14ac:dyDescent="0.2">
      <c r="A2007" s="19"/>
      <c r="B2007" s="19"/>
      <c r="C2007" s="19"/>
      <c r="D2007" s="19"/>
      <c r="E2007" s="19"/>
      <c r="F2007" s="19"/>
      <c r="G2007" s="19"/>
      <c r="H2007" s="19"/>
      <c r="I2007" s="19"/>
      <c r="J2007" s="19"/>
      <c r="K2007" s="19"/>
      <c r="L2007" s="19"/>
      <c r="M2007" s="19"/>
      <c r="N2007" s="19"/>
      <c r="O2007" s="14" t="str">
        <f>HYPERLINK("https://otsuka-europe-crm.veevavault.com/ui/#object/email_activity__v/V8C00000003K977", "EN-002087764")</f>
        <v>EN-002087764</v>
      </c>
    </row>
    <row r="2008" spans="1:15" ht="16" x14ac:dyDescent="0.2">
      <c r="A2008" s="17" t="str">
        <f>HYPERLINK("https://otsuka-europe-crm.veevavault.com/ui/#object/account__v/V4TZ025E85BFFEH", "DANIEL DE LA CUEVA GENOVES")</f>
        <v>DANIEL DE LA CUEVA GENOVES</v>
      </c>
      <c r="B2008" s="17" t="str">
        <f>HYPERLINK("https://otsuka-europe-crm.veevavault.com/ui/#object/vcountry__v/VENZ000004SONF5", "ES")</f>
        <v>ES</v>
      </c>
      <c r="C2008" s="20" t="s">
        <v>41</v>
      </c>
      <c r="D2008" s="21" t="str">
        <f>HYPERLINK("https://otsuka-europe-crm.veevavault.com/ui/#object/approved_document__v/V5O00000001B037", "LUP - VAE Póster Adelphi - Reuma")</f>
        <v>LUP - VAE Póster Adelphi - Reuma</v>
      </c>
      <c r="E2008" s="22" t="str">
        <f>HYPERLINK("https://otsuka-europe-crm.veevavault.com/ui/#object/sent_email__v/VBL00000002O271", "SE-001431734")</f>
        <v>SE-001431734</v>
      </c>
      <c r="F2008" s="23">
        <v>46175.900706018518</v>
      </c>
      <c r="G2008" s="24">
        <v>1</v>
      </c>
      <c r="H2008" s="24">
        <v>1</v>
      </c>
      <c r="I2008" s="24">
        <v>0</v>
      </c>
      <c r="J2008" s="25"/>
      <c r="K2008" s="24">
        <v>0</v>
      </c>
      <c r="L2008" s="22" t="str">
        <f>HYPERLINK("https://otsuka-europe-crm.veevavault.com/ui/#object/approved_document__v/V5O00000001B037", "LUP - VAE Póster Adelphi - Reuma")</f>
        <v>LUP - VAE Póster Adelphi - Reuma</v>
      </c>
      <c r="M2008" s="22" t="str">
        <f>HYPERLINK("mailto:vvalladares@crm.otsuka-europe.com", "vvalladares@crm.otsuka-europe.com")</f>
        <v>vvalladares@crm.otsuka-europe.com</v>
      </c>
      <c r="N2008" s="23">
        <v>46175.562835648147</v>
      </c>
      <c r="O2008" s="14" t="str">
        <f>HYPERLINK("https://otsuka-europe-crm.veevavault.com/ui/#object/email_activity__v/V8C00000003K857", "EN-002087576")</f>
        <v>EN-002087576</v>
      </c>
    </row>
    <row r="2009" spans="1:15" ht="16" x14ac:dyDescent="0.2">
      <c r="A2009" s="19"/>
      <c r="B2009" s="19"/>
      <c r="C2009" s="19"/>
      <c r="D2009" s="19"/>
      <c r="E2009" s="19"/>
      <c r="F2009" s="19"/>
      <c r="G2009" s="19"/>
      <c r="H2009" s="19"/>
      <c r="I2009" s="19"/>
      <c r="J2009" s="19"/>
      <c r="K2009" s="19"/>
      <c r="L2009" s="19"/>
      <c r="M2009" s="19"/>
      <c r="N2009" s="19"/>
      <c r="O2009" s="14" t="str">
        <f>HYPERLINK("https://otsuka-europe-crm.veevavault.com/ui/#object/email_activity__v/V8C00000003M239", "EN-002088442")</f>
        <v>EN-002088442</v>
      </c>
    </row>
    <row r="2010" spans="1:15" ht="32" x14ac:dyDescent="0.2">
      <c r="A2010" s="7" t="str">
        <f>HYPERLINK("https://otsuka-europe-crm.veevavault.com/ui/#object/account__v/V4T000000010097", "PABLO RODRIGUEZ LOPEZ")</f>
        <v>PABLO RODRIGUEZ LOPEZ</v>
      </c>
      <c r="B2010" s="7" t="str">
        <f>HYPERLINK("https://otsuka-europe-crm.veevavault.com/ui/#object/vcountry__v/VENZ000004SONF5", "ES")</f>
        <v>ES</v>
      </c>
      <c r="C2010" s="8" t="s">
        <v>41</v>
      </c>
      <c r="D2010" s="9" t="str">
        <f>HYPERLINK("https://otsuka-europe-crm.veevavault.com/ui/#object/approved_document__v/V5O00000001B037", "LUP - VAE Póster Adelphi - Reuma")</f>
        <v>LUP - VAE Póster Adelphi - Reuma</v>
      </c>
      <c r="E2010" s="10" t="str">
        <f>HYPERLINK("https://otsuka-europe-crm.veevavault.com/ui/#object/sent_email__v/VBL00000002O272", "SE-001431735")</f>
        <v>SE-001431735</v>
      </c>
      <c r="F2010" s="11"/>
      <c r="G2010" s="12">
        <v>0</v>
      </c>
      <c r="H2010" s="12">
        <v>0</v>
      </c>
      <c r="I2010" s="12">
        <v>0</v>
      </c>
      <c r="J2010" s="11"/>
      <c r="K2010" s="12">
        <v>0</v>
      </c>
      <c r="L2010" s="10" t="str">
        <f>HYPERLINK("https://otsuka-europe-crm.veevavault.com/ui/#object/approved_document__v/V5O00000001B037", "LUP - VAE Póster Adelphi - Reuma")</f>
        <v>LUP - VAE Póster Adelphi - Reuma</v>
      </c>
      <c r="M2010" s="10" t="str">
        <f>HYPERLINK("mailto:vvalladares@crm.otsuka-europe.com", "vvalladares@crm.otsuka-europe.com")</f>
        <v>vvalladares@crm.otsuka-europe.com</v>
      </c>
      <c r="N2010" s="13">
        <v>46175.562847222223</v>
      </c>
      <c r="O2010" s="14" t="str">
        <f>HYPERLINK("https://otsuka-europe-crm.veevavault.com/ui/#object/email_activity__v/V8C00000003K889", "EN-002087612")</f>
        <v>EN-002087612</v>
      </c>
    </row>
    <row r="2011" spans="1:15" ht="16" x14ac:dyDescent="0.2">
      <c r="A2011" s="17" t="str">
        <f>HYPERLINK("https://otsuka-europe-crm.veevavault.com/ui/#object/account__v/V4TZ06G6O71T8HS", "DIEGO JOSE GARCIA GONZALEZ")</f>
        <v>DIEGO JOSE GARCIA GONZALEZ</v>
      </c>
      <c r="B2011" s="17" t="str">
        <f>HYPERLINK("https://otsuka-europe-crm.veevavault.com/ui/#object/vcountry__v/VENZ000004SONF5", "ES")</f>
        <v>ES</v>
      </c>
      <c r="C2011" s="20" t="s">
        <v>41</v>
      </c>
      <c r="D2011" s="21" t="str">
        <f>HYPERLINK("https://otsuka-europe-crm.veevavault.com/ui/#object/approved_document__v/V5O00000001B037", "LUP - VAE Póster Adelphi - Reuma")</f>
        <v>LUP - VAE Póster Adelphi - Reuma</v>
      </c>
      <c r="E2011" s="22" t="str">
        <f>HYPERLINK("https://otsuka-europe-crm.veevavault.com/ui/#object/sent_email__v/VBL00000002O273", "SE-001431736")</f>
        <v>SE-001431736</v>
      </c>
      <c r="F2011" s="23">
        <v>46175.865844907406</v>
      </c>
      <c r="G2011" s="24">
        <v>1</v>
      </c>
      <c r="H2011" s="24">
        <v>1</v>
      </c>
      <c r="I2011" s="24">
        <v>0</v>
      </c>
      <c r="J2011" s="25"/>
      <c r="K2011" s="24">
        <v>0</v>
      </c>
      <c r="L2011" s="22" t="str">
        <f>HYPERLINK("https://otsuka-europe-crm.veevavault.com/ui/#object/approved_document__v/V5O00000001B037", "LUP - VAE Póster Adelphi - Reuma")</f>
        <v>LUP - VAE Póster Adelphi - Reuma</v>
      </c>
      <c r="M2011" s="22" t="str">
        <f>HYPERLINK("mailto:vvalladares@crm.otsuka-europe.com", "vvalladares@crm.otsuka-europe.com")</f>
        <v>vvalladares@crm.otsuka-europe.com</v>
      </c>
      <c r="N2011" s="23">
        <v>46175.562858796293</v>
      </c>
      <c r="O2011" s="14" t="str">
        <f>HYPERLINK("https://otsuka-europe-crm.veevavault.com/ui/#object/email_activity__v/V8C00000003K890", "EN-002087613")</f>
        <v>EN-002087613</v>
      </c>
    </row>
    <row r="2012" spans="1:15" ht="16" x14ac:dyDescent="0.2">
      <c r="A2012" s="19"/>
      <c r="B2012" s="19"/>
      <c r="C2012" s="19"/>
      <c r="D2012" s="19"/>
      <c r="E2012" s="19"/>
      <c r="F2012" s="19"/>
      <c r="G2012" s="19"/>
      <c r="H2012" s="19"/>
      <c r="I2012" s="19"/>
      <c r="J2012" s="19"/>
      <c r="K2012" s="19"/>
      <c r="L2012" s="19"/>
      <c r="M2012" s="19"/>
      <c r="N2012" s="19"/>
      <c r="O2012" s="14" t="str">
        <f>HYPERLINK("https://otsuka-europe-crm.veevavault.com/ui/#object/email_activity__v/V8C00000003N279", "EN-002088409")</f>
        <v>EN-002088409</v>
      </c>
    </row>
    <row r="2013" spans="1:15" ht="32" x14ac:dyDescent="0.2">
      <c r="A2013" s="7" t="str">
        <f>HYPERLINK("https://otsuka-europe-crm.veevavault.com/ui/#object/account__v/V4TZ04ASG95LCS3", "IVAN PEREZ DE PEDRO")</f>
        <v>IVAN PEREZ DE PEDRO</v>
      </c>
      <c r="B2013" s="7" t="str">
        <f>HYPERLINK("https://otsuka-europe-crm.veevavault.com/ui/#object/vcountry__v/VENZ000004SONF5", "ES")</f>
        <v>ES</v>
      </c>
      <c r="C2013" s="8" t="s">
        <v>41</v>
      </c>
      <c r="D2013" s="9" t="str">
        <f>HYPERLINK("https://otsuka-europe-crm.veevavault.com/ui/#object/approved_document__v/V5O00000001B037", "LUP - VAE Póster Adelphi - Reuma")</f>
        <v>LUP - VAE Póster Adelphi - Reuma</v>
      </c>
      <c r="E2013" s="10" t="str">
        <f>HYPERLINK("https://otsuka-europe-crm.veevavault.com/ui/#object/sent_email__v/VBL00000002O274", "SE-001431737")</f>
        <v>SE-001431737</v>
      </c>
      <c r="F2013" s="11"/>
      <c r="G2013" s="12">
        <v>0</v>
      </c>
      <c r="H2013" s="12">
        <v>0</v>
      </c>
      <c r="I2013" s="12">
        <v>0</v>
      </c>
      <c r="J2013" s="11"/>
      <c r="K2013" s="12">
        <v>0</v>
      </c>
      <c r="L2013" s="10" t="str">
        <f>HYPERLINK("https://otsuka-europe-crm.veevavault.com/ui/#object/approved_document__v/V5O00000001B037", "LUP - VAE Póster Adelphi - Reuma")</f>
        <v>LUP - VAE Póster Adelphi - Reuma</v>
      </c>
      <c r="M2013" s="10" t="str">
        <f>HYPERLINK("mailto:vvalladares@crm.otsuka-europe.com", "vvalladares@crm.otsuka-europe.com")</f>
        <v>vvalladares@crm.otsuka-europe.com</v>
      </c>
      <c r="N2013" s="13">
        <v>46175.56287037037</v>
      </c>
      <c r="O2013" s="14" t="str">
        <f>HYPERLINK("https://otsuka-europe-crm.veevavault.com/ui/#object/email_activity__v/V8C00000003K892", "EN-002087615")</f>
        <v>EN-002087615</v>
      </c>
    </row>
    <row r="2014" spans="1:15" ht="32" x14ac:dyDescent="0.2">
      <c r="A2014" s="7" t="str">
        <f>HYPERLINK("https://otsuka-europe-crm.veevavault.com/ui/#object/account__v/V4TZ06G6OBIG9VF", "FRANCISCO JAVIER DE LA HERA FERNANDEZ")</f>
        <v>FRANCISCO JAVIER DE LA HERA FERNANDEZ</v>
      </c>
      <c r="B2014" s="7" t="str">
        <f>HYPERLINK("https://otsuka-europe-crm.veevavault.com/ui/#object/vcountry__v/VENZ000004SONF5", "ES")</f>
        <v>ES</v>
      </c>
      <c r="C2014" s="8" t="s">
        <v>41</v>
      </c>
      <c r="D2014" s="9" t="str">
        <f>HYPERLINK("https://otsuka-europe-crm.veevavault.com/ui/#object/approved_document__v/V5O00000001B037", "LUP - VAE Póster Adelphi - Reuma")</f>
        <v>LUP - VAE Póster Adelphi - Reuma</v>
      </c>
      <c r="E2014" s="10" t="str">
        <f>HYPERLINK("https://otsuka-europe-crm.veevavault.com/ui/#object/sent_email__v/VBL00000002O275", "SE-001431738")</f>
        <v>SE-001431738</v>
      </c>
      <c r="F2014" s="11"/>
      <c r="G2014" s="12">
        <v>0</v>
      </c>
      <c r="H2014" s="12">
        <v>0</v>
      </c>
      <c r="I2014" s="12">
        <v>0</v>
      </c>
      <c r="J2014" s="11"/>
      <c r="K2014" s="12">
        <v>0</v>
      </c>
      <c r="L2014" s="10" t="str">
        <f>HYPERLINK("https://otsuka-europe-crm.veevavault.com/ui/#object/approved_document__v/V5O00000001B037", "LUP - VAE Póster Adelphi - Reuma")</f>
        <v>LUP - VAE Póster Adelphi - Reuma</v>
      </c>
      <c r="M2014" s="10" t="str">
        <f>HYPERLINK("mailto:vvalladares@crm.otsuka-europe.com", "vvalladares@crm.otsuka-europe.com")</f>
        <v>vvalladares@crm.otsuka-europe.com</v>
      </c>
      <c r="N2014" s="13">
        <v>46175.562835648147</v>
      </c>
      <c r="O2014" s="14" t="str">
        <f>HYPERLINK("https://otsuka-europe-crm.veevavault.com/ui/#object/email_activity__v/V8C00000003K852", "EN-002087544")</f>
        <v>EN-002087544</v>
      </c>
    </row>
    <row r="2015" spans="1:15" ht="16" x14ac:dyDescent="0.2">
      <c r="A2015" s="17" t="str">
        <f>HYPERLINK("https://otsuka-europe-crm.veevavault.com/ui/#object/account__v/V4TZ04ASG9983AH", "ALBA RAMIREZ BUENO")</f>
        <v>ALBA RAMIREZ BUENO</v>
      </c>
      <c r="B2015" s="17" t="str">
        <f>HYPERLINK("https://otsuka-europe-crm.veevavault.com/ui/#object/vcountry__v/VENZ000004SONF5", "ES")</f>
        <v>ES</v>
      </c>
      <c r="C2015" s="20" t="s">
        <v>41</v>
      </c>
      <c r="D2015" s="21" t="str">
        <f>HYPERLINK("https://otsuka-europe-crm.veevavault.com/ui/#object/approved_document__v/V5O00000001B037", "LUP - VAE Póster Adelphi - Reuma")</f>
        <v>LUP - VAE Póster Adelphi - Reuma</v>
      </c>
      <c r="E2015" s="22" t="str">
        <f>HYPERLINK("https://otsuka-europe-crm.veevavault.com/ui/#object/sent_email__v/VBL00000002O276", "SE-001431739")</f>
        <v>SE-001431739</v>
      </c>
      <c r="F2015" s="23">
        <v>46178.634247685186</v>
      </c>
      <c r="G2015" s="24">
        <v>1</v>
      </c>
      <c r="H2015" s="24">
        <v>2</v>
      </c>
      <c r="I2015" s="24">
        <v>0</v>
      </c>
      <c r="J2015" s="25"/>
      <c r="K2015" s="24">
        <v>0</v>
      </c>
      <c r="L2015" s="22" t="str">
        <f>HYPERLINK("https://otsuka-europe-crm.veevavault.com/ui/#object/approved_document__v/V5O00000001B037", "LUP - VAE Póster Adelphi - Reuma")</f>
        <v>LUP - VAE Póster Adelphi - Reuma</v>
      </c>
      <c r="M2015" s="22" t="str">
        <f>HYPERLINK("mailto:vvalladares@crm.otsuka-europe.com", "vvalladares@crm.otsuka-europe.com")</f>
        <v>vvalladares@crm.otsuka-europe.com</v>
      </c>
      <c r="N2015" s="23">
        <v>46175.562835648147</v>
      </c>
      <c r="O2015" s="14" t="str">
        <f>HYPERLINK("https://otsuka-europe-crm.veevavault.com/ui/#object/email_activity__v/V8C00000003L804", "EN-002087571")</f>
        <v>EN-002087571</v>
      </c>
    </row>
    <row r="2016" spans="1:15" ht="16" x14ac:dyDescent="0.2">
      <c r="A2016" s="18"/>
      <c r="B2016" s="18"/>
      <c r="C2016" s="18"/>
      <c r="D2016" s="18"/>
      <c r="E2016" s="18"/>
      <c r="F2016" s="18"/>
      <c r="G2016" s="18"/>
      <c r="H2016" s="18"/>
      <c r="I2016" s="18"/>
      <c r="J2016" s="18"/>
      <c r="K2016" s="18"/>
      <c r="L2016" s="18"/>
      <c r="M2016" s="18"/>
      <c r="N2016" s="18"/>
      <c r="O2016" s="14" t="str">
        <f>HYPERLINK("https://otsuka-europe-crm.veevavault.com/ui/#object/email_activity__v/V8C00000003L853", "EN-002087710")</f>
        <v>EN-002087710</v>
      </c>
    </row>
    <row r="2017" spans="1:15" ht="16" x14ac:dyDescent="0.2">
      <c r="A2017" s="19"/>
      <c r="B2017" s="19"/>
      <c r="C2017" s="19"/>
      <c r="D2017" s="19"/>
      <c r="E2017" s="19"/>
      <c r="F2017" s="19"/>
      <c r="G2017" s="19"/>
      <c r="H2017" s="19"/>
      <c r="I2017" s="19"/>
      <c r="J2017" s="19"/>
      <c r="K2017" s="19"/>
      <c r="L2017" s="19"/>
      <c r="M2017" s="19"/>
      <c r="N2017" s="19"/>
      <c r="O2017" s="14" t="str">
        <f>HYPERLINK("https://otsuka-europe-crm.veevavault.com/ui/#object/email_activity__v/V8C00000003P077", "EN-002089382")</f>
        <v>EN-002089382</v>
      </c>
    </row>
    <row r="2018" spans="1:15" ht="16" x14ac:dyDescent="0.2">
      <c r="A2018" s="17" t="str">
        <f>HYPERLINK("https://otsuka-europe-crm.veevavault.com/ui/#object/account__v/V4TZ04ASG95LVMJ", "CARLOS ROMERO GOMEZ")</f>
        <v>CARLOS ROMERO GOMEZ</v>
      </c>
      <c r="B2018" s="17" t="str">
        <f>HYPERLINK("https://otsuka-europe-crm.veevavault.com/ui/#object/vcountry__v/VENZ000004SONF5", "ES")</f>
        <v>ES</v>
      </c>
      <c r="C2018" s="20" t="s">
        <v>41</v>
      </c>
      <c r="D2018" s="21" t="str">
        <f>HYPERLINK("https://otsuka-europe-crm.veevavault.com/ui/#object/approved_document__v/V5O00000001B037", "LUP - VAE Póster Adelphi - Reuma")</f>
        <v>LUP - VAE Póster Adelphi - Reuma</v>
      </c>
      <c r="E2018" s="22" t="str">
        <f>HYPERLINK("https://otsuka-europe-crm.veevavault.com/ui/#object/sent_email__v/VBL00000002O277", "SE-001431740")</f>
        <v>SE-001431740</v>
      </c>
      <c r="F2018" s="23">
        <v>46175.682685185187</v>
      </c>
      <c r="G2018" s="24">
        <v>1</v>
      </c>
      <c r="H2018" s="24">
        <v>1</v>
      </c>
      <c r="I2018" s="24">
        <v>0</v>
      </c>
      <c r="J2018" s="25"/>
      <c r="K2018" s="24">
        <v>0</v>
      </c>
      <c r="L2018" s="22" t="str">
        <f>HYPERLINK("https://otsuka-europe-crm.veevavault.com/ui/#object/approved_document__v/V5O00000001B037", "LUP - VAE Póster Adelphi - Reuma")</f>
        <v>LUP - VAE Póster Adelphi - Reuma</v>
      </c>
      <c r="M2018" s="22" t="str">
        <f>HYPERLINK("mailto:vvalladares@crm.otsuka-europe.com", "vvalladares@crm.otsuka-europe.com")</f>
        <v>vvalladares@crm.otsuka-europe.com</v>
      </c>
      <c r="N2018" s="23">
        <v>46175.562835648147</v>
      </c>
      <c r="O2018" s="14" t="str">
        <f>HYPERLINK("https://otsuka-europe-crm.veevavault.com/ui/#object/email_activity__v/V8C00000003K844", "EN-002087536")</f>
        <v>EN-002087536</v>
      </c>
    </row>
    <row r="2019" spans="1:15" ht="16" x14ac:dyDescent="0.2">
      <c r="A2019" s="19"/>
      <c r="B2019" s="19"/>
      <c r="C2019" s="19"/>
      <c r="D2019" s="19"/>
      <c r="E2019" s="19"/>
      <c r="F2019" s="19"/>
      <c r="G2019" s="19"/>
      <c r="H2019" s="19"/>
      <c r="I2019" s="19"/>
      <c r="J2019" s="19"/>
      <c r="K2019" s="19"/>
      <c r="L2019" s="19"/>
      <c r="M2019" s="19"/>
      <c r="N2019" s="19"/>
      <c r="O2019" s="14" t="str">
        <f>HYPERLINK("https://otsuka-europe-crm.veevavault.com/ui/#object/email_activity__v/V8C00000003M081", "EN-002087997")</f>
        <v>EN-002087997</v>
      </c>
    </row>
    <row r="2020" spans="1:15" ht="16" x14ac:dyDescent="0.2">
      <c r="A2020" s="17" t="str">
        <f>HYPERLINK("https://otsuka-europe-crm.veevavault.com/ui/#object/account__v/V4TZ025E8397ORE", "ISABEL SANCHEZ BERNA")</f>
        <v>ISABEL SANCHEZ BERNA</v>
      </c>
      <c r="B2020" s="17" t="str">
        <f>HYPERLINK("https://otsuka-europe-crm.veevavault.com/ui/#object/vcountry__v/VENZ000004SONF5", "ES")</f>
        <v>ES</v>
      </c>
      <c r="C2020" s="20" t="s">
        <v>41</v>
      </c>
      <c r="D2020" s="21" t="str">
        <f>HYPERLINK("https://otsuka-europe-crm.veevavault.com/ui/#object/approved_document__v/V5O00000001B037", "LUP - VAE Póster Adelphi - Reuma")</f>
        <v>LUP - VAE Póster Adelphi - Reuma</v>
      </c>
      <c r="E2020" s="22" t="str">
        <f>HYPERLINK("https://otsuka-europe-crm.veevavault.com/ui/#object/sent_email__v/VBL00000002O278", "SE-001431741")</f>
        <v>SE-001431741</v>
      </c>
      <c r="F2020" s="25"/>
      <c r="G2020" s="24">
        <v>0</v>
      </c>
      <c r="H2020" s="24">
        <v>0</v>
      </c>
      <c r="I2020" s="24">
        <v>0</v>
      </c>
      <c r="J2020" s="25"/>
      <c r="K2020" s="24">
        <v>0</v>
      </c>
      <c r="L2020" s="22" t="str">
        <f>HYPERLINK("https://otsuka-europe-crm.veevavault.com/ui/#object/approved_document__v/V5O00000001B037", "LUP - VAE Póster Adelphi - Reuma")</f>
        <v>LUP - VAE Póster Adelphi - Reuma</v>
      </c>
      <c r="M2020" s="22" t="str">
        <f>HYPERLINK("mailto:vvalladares@crm.otsuka-europe.com", "vvalladares@crm.otsuka-europe.com")</f>
        <v>vvalladares@crm.otsuka-europe.com</v>
      </c>
      <c r="N2020" s="23">
        <v>46175.562835648147</v>
      </c>
      <c r="O2020" s="14" t="str">
        <f>HYPERLINK("https://otsuka-europe-crm.veevavault.com/ui/#object/email_activity__v/V8C00000003K843", "EN-002087535")</f>
        <v>EN-002087535</v>
      </c>
    </row>
    <row r="2021" spans="1:15" ht="16" x14ac:dyDescent="0.2">
      <c r="A2021" s="19"/>
      <c r="B2021" s="19"/>
      <c r="C2021" s="19"/>
      <c r="D2021" s="19"/>
      <c r="E2021" s="19"/>
      <c r="F2021" s="19"/>
      <c r="G2021" s="19"/>
      <c r="H2021" s="19"/>
      <c r="I2021" s="19"/>
      <c r="J2021" s="19"/>
      <c r="K2021" s="19"/>
      <c r="L2021" s="19"/>
      <c r="M2021" s="19"/>
      <c r="N2021" s="19"/>
      <c r="O2021" s="14" t="str">
        <f>HYPERLINK("https://otsuka-europe-crm.veevavault.com/ui/#object/email_activity__v/V8C00000003M084", "EN-002088005")</f>
        <v>EN-002088005</v>
      </c>
    </row>
    <row r="2022" spans="1:15" ht="32" x14ac:dyDescent="0.2">
      <c r="A2022" s="7" t="str">
        <f>HYPERLINK("https://otsuka-europe-crm.veevavault.com/ui/#object/account__v/V4TZ025E82XQX9P", "FRANCISCO JAVIER GASCON JURADO")</f>
        <v>FRANCISCO JAVIER GASCON JURADO</v>
      </c>
      <c r="B2022" s="7" t="str">
        <f>HYPERLINK("https://otsuka-europe-crm.veevavault.com/ui/#object/vcountry__v/VENZ000004SONF5", "ES")</f>
        <v>ES</v>
      </c>
      <c r="C2022" s="8" t="s">
        <v>41</v>
      </c>
      <c r="D2022" s="9" t="str">
        <f>HYPERLINK("https://otsuka-europe-crm.veevavault.com/ui/#object/approved_document__v/V5O00000001B037", "LUP - VAE Póster Adelphi - Reuma")</f>
        <v>LUP - VAE Póster Adelphi - Reuma</v>
      </c>
      <c r="E2022" s="10" t="str">
        <f>HYPERLINK("https://otsuka-europe-crm.veevavault.com/ui/#object/sent_email__v/VBL00000002O279", "SE-001431742")</f>
        <v>SE-001431742</v>
      </c>
      <c r="F2022" s="11"/>
      <c r="G2022" s="12">
        <v>0</v>
      </c>
      <c r="H2022" s="12">
        <v>0</v>
      </c>
      <c r="I2022" s="12">
        <v>0</v>
      </c>
      <c r="J2022" s="11"/>
      <c r="K2022" s="12">
        <v>0</v>
      </c>
      <c r="L2022" s="10" t="str">
        <f>HYPERLINK("https://otsuka-europe-crm.veevavault.com/ui/#object/approved_document__v/V5O00000001B037", "LUP - VAE Póster Adelphi - Reuma")</f>
        <v>LUP - VAE Póster Adelphi - Reuma</v>
      </c>
      <c r="M2022" s="10" t="str">
        <f>HYPERLINK("mailto:vvalladares@crm.otsuka-europe.com", "vvalladares@crm.otsuka-europe.com")</f>
        <v>vvalladares@crm.otsuka-europe.com</v>
      </c>
      <c r="N2022" s="13">
        <v>46175.562835648147</v>
      </c>
      <c r="O2022" s="14" t="str">
        <f>HYPERLINK("https://otsuka-europe-crm.veevavault.com/ui/#object/email_activity__v/V8C00000003K849", "EN-002087541")</f>
        <v>EN-002087541</v>
      </c>
    </row>
    <row r="2023" spans="1:15" ht="16" x14ac:dyDescent="0.2">
      <c r="A2023" s="17" t="str">
        <f>HYPERLINK("https://otsuka-europe-crm.veevavault.com/ui/#object/account__v/V4TZ04ASGH6CFFD", "RAFAEL COTOS CANCA")</f>
        <v>RAFAEL COTOS CANCA</v>
      </c>
      <c r="B2023" s="17" t="str">
        <f>HYPERLINK("https://otsuka-europe-crm.veevavault.com/ui/#object/vcountry__v/VENZ000004SONF5", "ES")</f>
        <v>ES</v>
      </c>
      <c r="C2023" s="20" t="s">
        <v>41</v>
      </c>
      <c r="D2023" s="21" t="str">
        <f>HYPERLINK("https://otsuka-europe-crm.veevavault.com/ui/#object/approved_document__v/V5O00000001B037", "LUP - VAE Póster Adelphi - Reuma")</f>
        <v>LUP - VAE Póster Adelphi - Reuma</v>
      </c>
      <c r="E2023" s="22" t="str">
        <f>HYPERLINK("https://otsuka-europe-crm.veevavault.com/ui/#object/sent_email__v/VBL00000002O280", "SE-001431743")</f>
        <v>SE-001431743</v>
      </c>
      <c r="F2023" s="25"/>
      <c r="G2023" s="24">
        <v>0</v>
      </c>
      <c r="H2023" s="24">
        <v>0</v>
      </c>
      <c r="I2023" s="24">
        <v>0</v>
      </c>
      <c r="J2023" s="25"/>
      <c r="K2023" s="24">
        <v>0</v>
      </c>
      <c r="L2023" s="22" t="str">
        <f>HYPERLINK("https://otsuka-europe-crm.veevavault.com/ui/#object/approved_document__v/V5O00000001B037", "LUP - VAE Póster Adelphi - Reuma")</f>
        <v>LUP - VAE Póster Adelphi - Reuma</v>
      </c>
      <c r="M2023" s="22" t="str">
        <f>HYPERLINK("mailto:vvalladares@crm.otsuka-europe.com", "vvalladares@crm.otsuka-europe.com")</f>
        <v>vvalladares@crm.otsuka-europe.com</v>
      </c>
      <c r="N2023" s="23">
        <v>46175.562835648147</v>
      </c>
      <c r="O2023" s="14" t="str">
        <f>HYPERLINK("https://otsuka-europe-crm.veevavault.com/ui/#object/email_activity__v/V8C00000003L819", "EN-002087654")</f>
        <v>EN-002087654</v>
      </c>
    </row>
    <row r="2024" spans="1:15" ht="16" x14ac:dyDescent="0.2">
      <c r="A2024" s="19"/>
      <c r="B2024" s="19"/>
      <c r="C2024" s="19"/>
      <c r="D2024" s="19"/>
      <c r="E2024" s="19"/>
      <c r="F2024" s="19"/>
      <c r="G2024" s="19"/>
      <c r="H2024" s="19"/>
      <c r="I2024" s="19"/>
      <c r="J2024" s="19"/>
      <c r="K2024" s="19"/>
      <c r="L2024" s="19"/>
      <c r="M2024" s="19"/>
      <c r="N2024" s="19"/>
      <c r="O2024" s="14" t="str">
        <f>HYPERLINK("https://otsuka-europe-crm.veevavault.com/ui/#object/email_activity__v/V8C00000003M027", "EN-002087882")</f>
        <v>EN-002087882</v>
      </c>
    </row>
    <row r="2025" spans="1:15" ht="32" x14ac:dyDescent="0.2">
      <c r="A2025" s="7" t="str">
        <f>HYPERLINK("https://otsuka-europe-crm.veevavault.com/ui/#object/account__v/V4TZ025E83ZU5XL", "MONICA ZAMORA PASADAS")</f>
        <v>MONICA ZAMORA PASADAS</v>
      </c>
      <c r="B2025" s="7" t="str">
        <f>HYPERLINK("https://otsuka-europe-crm.veevavault.com/ui/#object/vcountry__v/VENZ000004SONF5", "ES")</f>
        <v>ES</v>
      </c>
      <c r="C2025" s="8" t="s">
        <v>41</v>
      </c>
      <c r="D2025" s="9" t="str">
        <f>HYPERLINK("https://otsuka-europe-crm.veevavault.com/ui/#object/approved_document__v/V5O00000001B037", "LUP - VAE Póster Adelphi - Reuma")</f>
        <v>LUP - VAE Póster Adelphi - Reuma</v>
      </c>
      <c r="E2025" s="10" t="str">
        <f>HYPERLINK("https://otsuka-europe-crm.veevavault.com/ui/#object/sent_email__v/VBL00000002O281", "SE-001431744")</f>
        <v>SE-001431744</v>
      </c>
      <c r="F2025" s="11"/>
      <c r="G2025" s="12">
        <v>0</v>
      </c>
      <c r="H2025" s="12">
        <v>0</v>
      </c>
      <c r="I2025" s="12">
        <v>0</v>
      </c>
      <c r="J2025" s="11"/>
      <c r="K2025" s="12">
        <v>0</v>
      </c>
      <c r="L2025" s="10" t="str">
        <f>HYPERLINK("https://otsuka-europe-crm.veevavault.com/ui/#object/approved_document__v/V5O00000001B037", "LUP - VAE Póster Adelphi - Reuma")</f>
        <v>LUP - VAE Póster Adelphi - Reuma</v>
      </c>
      <c r="M2025" s="10" t="str">
        <f>HYPERLINK("mailto:vvalladares@crm.otsuka-europe.com", "vvalladares@crm.otsuka-europe.com")</f>
        <v>vvalladares@crm.otsuka-europe.com</v>
      </c>
      <c r="N2025" s="13">
        <v>46175.562858796293</v>
      </c>
      <c r="O2025" s="14" t="str">
        <f>HYPERLINK("https://otsuka-europe-crm.veevavault.com/ui/#object/email_activity__v/V8C00000003K891", "EN-002087614")</f>
        <v>EN-002087614</v>
      </c>
    </row>
    <row r="2026" spans="1:15" ht="16" x14ac:dyDescent="0.2">
      <c r="A2026" s="17" t="str">
        <f>HYPERLINK("https://otsuka-europe-crm.veevavault.com/ui/#object/account__v/V4TZ04ASG9980NJ", "ANA MARIA HIDALGO CONDE")</f>
        <v>ANA MARIA HIDALGO CONDE</v>
      </c>
      <c r="B2026" s="17" t="str">
        <f>HYPERLINK("https://otsuka-europe-crm.veevavault.com/ui/#object/vcountry__v/VENZ000004SONF5", "ES")</f>
        <v>ES</v>
      </c>
      <c r="C2026" s="20" t="s">
        <v>41</v>
      </c>
      <c r="D2026" s="21" t="str">
        <f>HYPERLINK("https://otsuka-europe-crm.veevavault.com/ui/#object/approved_document__v/V5O00000001B037", "LUP - VAE Póster Adelphi - Reuma")</f>
        <v>LUP - VAE Póster Adelphi - Reuma</v>
      </c>
      <c r="E2026" s="22" t="str">
        <f>HYPERLINK("https://otsuka-europe-crm.veevavault.com/ui/#object/sent_email__v/VBL00000002O282", "SE-001431745")</f>
        <v>SE-001431745</v>
      </c>
      <c r="F2026" s="23">
        <v>46175.563483796293</v>
      </c>
      <c r="G2026" s="24">
        <v>1</v>
      </c>
      <c r="H2026" s="24">
        <v>1</v>
      </c>
      <c r="I2026" s="24">
        <v>0</v>
      </c>
      <c r="J2026" s="25"/>
      <c r="K2026" s="24">
        <v>0</v>
      </c>
      <c r="L2026" s="22" t="str">
        <f>HYPERLINK("https://otsuka-europe-crm.veevavault.com/ui/#object/approved_document__v/V5O00000001B037", "LUP - VAE Póster Adelphi - Reuma")</f>
        <v>LUP - VAE Póster Adelphi - Reuma</v>
      </c>
      <c r="M2026" s="22" t="str">
        <f>HYPERLINK("mailto:vvalladares@crm.otsuka-europe.com", "vvalladares@crm.otsuka-europe.com")</f>
        <v>vvalladares@crm.otsuka-europe.com</v>
      </c>
      <c r="N2026" s="23">
        <v>46175.562835648147</v>
      </c>
      <c r="O2026" s="14" t="str">
        <f>HYPERLINK("https://otsuka-europe-crm.veevavault.com/ui/#object/email_activity__v/V8C00000003K850", "EN-002087542")</f>
        <v>EN-002087542</v>
      </c>
    </row>
    <row r="2027" spans="1:15" ht="16" x14ac:dyDescent="0.2">
      <c r="A2027" s="18"/>
      <c r="B2027" s="18"/>
      <c r="C2027" s="18"/>
      <c r="D2027" s="18"/>
      <c r="E2027" s="18"/>
      <c r="F2027" s="18"/>
      <c r="G2027" s="18"/>
      <c r="H2027" s="18"/>
      <c r="I2027" s="18"/>
      <c r="J2027" s="18"/>
      <c r="K2027" s="18"/>
      <c r="L2027" s="18"/>
      <c r="M2027" s="18"/>
      <c r="N2027" s="18"/>
      <c r="O2027" s="14" t="str">
        <f>HYPERLINK("https://otsuka-europe-crm.veevavault.com/ui/#object/email_activity__v/V8C00000003K945", "EN-002087705")</f>
        <v>EN-002087705</v>
      </c>
    </row>
    <row r="2028" spans="1:15" ht="16" x14ac:dyDescent="0.2">
      <c r="A2028" s="18"/>
      <c r="B2028" s="18"/>
      <c r="C2028" s="18"/>
      <c r="D2028" s="18"/>
      <c r="E2028" s="18"/>
      <c r="F2028" s="18"/>
      <c r="G2028" s="18"/>
      <c r="H2028" s="18"/>
      <c r="I2028" s="18"/>
      <c r="J2028" s="18"/>
      <c r="K2028" s="18"/>
      <c r="L2028" s="18"/>
      <c r="M2028" s="18"/>
      <c r="N2028" s="18"/>
      <c r="O2028" s="14" t="str">
        <f>HYPERLINK("https://otsuka-europe-crm.veevavault.com/ui/#object/email_activity__v/V8C00000003N321", "EN-002088490")</f>
        <v>EN-002088490</v>
      </c>
    </row>
    <row r="2029" spans="1:15" ht="16" x14ac:dyDescent="0.2">
      <c r="A2029" s="19"/>
      <c r="B2029" s="19"/>
      <c r="C2029" s="19"/>
      <c r="D2029" s="19"/>
      <c r="E2029" s="19"/>
      <c r="F2029" s="19"/>
      <c r="G2029" s="19"/>
      <c r="H2029" s="19"/>
      <c r="I2029" s="19"/>
      <c r="J2029" s="19"/>
      <c r="K2029" s="19"/>
      <c r="L2029" s="19"/>
      <c r="M2029" s="19"/>
      <c r="N2029" s="19"/>
      <c r="O2029" s="14" t="str">
        <f>HYPERLINK("https://otsuka-europe-crm.veevavault.com/ui/#object/email_activity__v/V8C00000003T417", "EN-002094459")</f>
        <v>EN-002094459</v>
      </c>
    </row>
    <row r="2030" spans="1:15" ht="16" x14ac:dyDescent="0.2">
      <c r="A2030" s="17" t="str">
        <f>HYPERLINK("https://otsuka-europe-crm.veevavault.com/ui/#object/account__v/V4TZ06G6OBI8QC6", "JOSE LUIS CALLEJAS RUBIO")</f>
        <v>JOSE LUIS CALLEJAS RUBIO</v>
      </c>
      <c r="B2030" s="17" t="str">
        <f>HYPERLINK("https://otsuka-europe-crm.veevavault.com/ui/#object/vcountry__v/VENZ000004SONF5", "ES")</f>
        <v>ES</v>
      </c>
      <c r="C2030" s="20" t="s">
        <v>41</v>
      </c>
      <c r="D2030" s="21" t="str">
        <f>HYPERLINK("https://otsuka-europe-crm.veevavault.com/ui/#object/approved_document__v/V5O00000001B037", "LUP - VAE Póster Adelphi - Reuma")</f>
        <v>LUP - VAE Póster Adelphi - Reuma</v>
      </c>
      <c r="E2030" s="22" t="str">
        <f>HYPERLINK("https://otsuka-europe-crm.veevavault.com/ui/#object/sent_email__v/VBL00000002O283", "SE-001431746")</f>
        <v>SE-001431746</v>
      </c>
      <c r="F2030" s="25"/>
      <c r="G2030" s="24">
        <v>0</v>
      </c>
      <c r="H2030" s="24">
        <v>0</v>
      </c>
      <c r="I2030" s="24">
        <v>0</v>
      </c>
      <c r="J2030" s="25"/>
      <c r="K2030" s="24">
        <v>0</v>
      </c>
      <c r="L2030" s="22" t="str">
        <f>HYPERLINK("https://otsuka-europe-crm.veevavault.com/ui/#object/approved_document__v/V5O00000001B037", "LUP - VAE Póster Adelphi - Reuma")</f>
        <v>LUP - VAE Póster Adelphi - Reuma</v>
      </c>
      <c r="M2030" s="22" t="str">
        <f>HYPERLINK("mailto:vvalladares@crm.otsuka-europe.com", "vvalladares@crm.otsuka-europe.com")</f>
        <v>vvalladares@crm.otsuka-europe.com</v>
      </c>
      <c r="N2030" s="23">
        <v>46175.562835648147</v>
      </c>
      <c r="O2030" s="14" t="str">
        <f>HYPERLINK("https://otsuka-europe-crm.veevavault.com/ui/#object/email_activity__v/V8C00000003L820", "EN-002087655")</f>
        <v>EN-002087655</v>
      </c>
    </row>
    <row r="2031" spans="1:15" ht="16" x14ac:dyDescent="0.2">
      <c r="A2031" s="18"/>
      <c r="B2031" s="18"/>
      <c r="C2031" s="18"/>
      <c r="D2031" s="18"/>
      <c r="E2031" s="18"/>
      <c r="F2031" s="18"/>
      <c r="G2031" s="18"/>
      <c r="H2031" s="18"/>
      <c r="I2031" s="18"/>
      <c r="J2031" s="18"/>
      <c r="K2031" s="18"/>
      <c r="L2031" s="18"/>
      <c r="M2031" s="18"/>
      <c r="N2031" s="18"/>
      <c r="O2031" s="14" t="str">
        <f>HYPERLINK("https://otsuka-europe-crm.veevavault.com/ui/#object/email_activity__v/V8C00000003M190", "EN-002088371")</f>
        <v>EN-002088371</v>
      </c>
    </row>
    <row r="2032" spans="1:15" ht="16" x14ac:dyDescent="0.2">
      <c r="A2032" s="19"/>
      <c r="B2032" s="19"/>
      <c r="C2032" s="19"/>
      <c r="D2032" s="19"/>
      <c r="E2032" s="19"/>
      <c r="F2032" s="19"/>
      <c r="G2032" s="19"/>
      <c r="H2032" s="19"/>
      <c r="I2032" s="19"/>
      <c r="J2032" s="19"/>
      <c r="K2032" s="19"/>
      <c r="L2032" s="19"/>
      <c r="M2032" s="19"/>
      <c r="N2032" s="19"/>
      <c r="O2032" s="14" t="str">
        <f>HYPERLINK("https://otsuka-europe-crm.veevavault.com/ui/#object/email_activity__v/V8C00000003M416", "EN-002088857")</f>
        <v>EN-002088857</v>
      </c>
    </row>
    <row r="2033" spans="1:15" ht="16" x14ac:dyDescent="0.2">
      <c r="A2033" s="17" t="str">
        <f>HYPERLINK("https://otsuka-europe-crm.veevavault.com/ui/#object/account__v/V4TZ06G6O71T991", "ROCIO ARNEDO DIEZ DE LOS RIOS")</f>
        <v>ROCIO ARNEDO DIEZ DE LOS RIOS</v>
      </c>
      <c r="B2033" s="17" t="str">
        <f>HYPERLINK("https://otsuka-europe-crm.veevavault.com/ui/#object/vcountry__v/VENZ000004SONF5", "ES")</f>
        <v>ES</v>
      </c>
      <c r="C2033" s="20" t="s">
        <v>41</v>
      </c>
      <c r="D2033" s="21" t="str">
        <f>HYPERLINK("https://otsuka-europe-crm.veevavault.com/ui/#object/approved_document__v/V5O00000001B037", "LUP - VAE Póster Adelphi - Reuma")</f>
        <v>LUP - VAE Póster Adelphi - Reuma</v>
      </c>
      <c r="E2033" s="22" t="str">
        <f>HYPERLINK("https://otsuka-europe-crm.veevavault.com/ui/#object/sent_email__v/VBL00000002O284", "SE-001431747")</f>
        <v>SE-001431747</v>
      </c>
      <c r="F2033" s="25"/>
      <c r="G2033" s="24">
        <v>0</v>
      </c>
      <c r="H2033" s="24">
        <v>0</v>
      </c>
      <c r="I2033" s="24">
        <v>0</v>
      </c>
      <c r="J2033" s="25"/>
      <c r="K2033" s="24">
        <v>0</v>
      </c>
      <c r="L2033" s="22" t="str">
        <f>HYPERLINK("https://otsuka-europe-crm.veevavault.com/ui/#object/approved_document__v/V5O00000001B037", "LUP - VAE Póster Adelphi - Reuma")</f>
        <v>LUP - VAE Póster Adelphi - Reuma</v>
      </c>
      <c r="M2033" s="22" t="str">
        <f>HYPERLINK("mailto:vvalladares@crm.otsuka-europe.com", "vvalladares@crm.otsuka-europe.com")</f>
        <v>vvalladares@crm.otsuka-europe.com</v>
      </c>
      <c r="N2033" s="23">
        <v>46175.562835648147</v>
      </c>
      <c r="O2033" s="14" t="str">
        <f>HYPERLINK("https://otsuka-europe-crm.veevavault.com/ui/#object/email_activity__v/V8C00000003L805", "EN-002087572")</f>
        <v>EN-002087572</v>
      </c>
    </row>
    <row r="2034" spans="1:15" ht="16" x14ac:dyDescent="0.2">
      <c r="A2034" s="19"/>
      <c r="B2034" s="19"/>
      <c r="C2034" s="19"/>
      <c r="D2034" s="19"/>
      <c r="E2034" s="19"/>
      <c r="F2034" s="19"/>
      <c r="G2034" s="19"/>
      <c r="H2034" s="19"/>
      <c r="I2034" s="19"/>
      <c r="J2034" s="19"/>
      <c r="K2034" s="19"/>
      <c r="L2034" s="19"/>
      <c r="M2034" s="19"/>
      <c r="N2034" s="19"/>
      <c r="O2034" s="14" t="str">
        <f>HYPERLINK("https://otsuka-europe-crm.veevavault.com/ui/#object/email_activity__v/V8C00000003N304", "EN-002088466")</f>
        <v>EN-002088466</v>
      </c>
    </row>
    <row r="2035" spans="1:15" ht="16" x14ac:dyDescent="0.2">
      <c r="A2035" s="17" t="str">
        <f>HYPERLINK("https://otsuka-europe-crm.veevavault.com/ui/#object/account__v/V4TZ04ASGBC4F3S", "JUAN SALVATIERRA OSSORIO")</f>
        <v>JUAN SALVATIERRA OSSORIO</v>
      </c>
      <c r="B2035" s="17" t="str">
        <f>HYPERLINK("https://otsuka-europe-crm.veevavault.com/ui/#object/vcountry__v/VENZ000004SONF5", "ES")</f>
        <v>ES</v>
      </c>
      <c r="C2035" s="20" t="s">
        <v>41</v>
      </c>
      <c r="D2035" s="21" t="str">
        <f>HYPERLINK("https://otsuka-europe-crm.veevavault.com/ui/#object/approved_document__v/V5O00000001B037", "LUP - VAE Póster Adelphi - Reuma")</f>
        <v>LUP - VAE Póster Adelphi - Reuma</v>
      </c>
      <c r="E2035" s="22" t="str">
        <f>HYPERLINK("https://otsuka-europe-crm.veevavault.com/ui/#object/sent_email__v/VBL00000002O285", "SE-001431748")</f>
        <v>SE-001431748</v>
      </c>
      <c r="F2035" s="23">
        <v>46183.718043981484</v>
      </c>
      <c r="G2035" s="24">
        <v>1</v>
      </c>
      <c r="H2035" s="24">
        <v>1</v>
      </c>
      <c r="I2035" s="24">
        <v>0</v>
      </c>
      <c r="J2035" s="25"/>
      <c r="K2035" s="24">
        <v>0</v>
      </c>
      <c r="L2035" s="22" t="str">
        <f>HYPERLINK("https://otsuka-europe-crm.veevavault.com/ui/#object/approved_document__v/V5O00000001B037", "LUP - VAE Póster Adelphi - Reuma")</f>
        <v>LUP - VAE Póster Adelphi - Reuma</v>
      </c>
      <c r="M2035" s="22" t="str">
        <f>HYPERLINK("mailto:vvalladares@crm.otsuka-europe.com", "vvalladares@crm.otsuka-europe.com")</f>
        <v>vvalladares@crm.otsuka-europe.com</v>
      </c>
      <c r="N2035" s="23">
        <v>46175.56287037037</v>
      </c>
      <c r="O2035" s="14" t="str">
        <f>HYPERLINK("https://otsuka-europe-crm.veevavault.com/ui/#object/email_activity__v/V8C00000003K870", "EN-002087589")</f>
        <v>EN-002087589</v>
      </c>
    </row>
    <row r="2036" spans="1:15" ht="16" x14ac:dyDescent="0.2">
      <c r="A2036" s="19"/>
      <c r="B2036" s="19"/>
      <c r="C2036" s="19"/>
      <c r="D2036" s="19"/>
      <c r="E2036" s="19"/>
      <c r="F2036" s="19"/>
      <c r="G2036" s="19"/>
      <c r="H2036" s="19"/>
      <c r="I2036" s="19"/>
      <c r="J2036" s="19"/>
      <c r="K2036" s="19"/>
      <c r="L2036" s="19"/>
      <c r="M2036" s="19"/>
      <c r="N2036" s="19"/>
      <c r="O2036" s="14" t="str">
        <f>HYPERLINK("https://otsuka-europe-crm.veevavault.com/ui/#object/email_activity__v/V8C00000003T376", "EN-002094351")</f>
        <v>EN-002094351</v>
      </c>
    </row>
    <row r="2037" spans="1:15" ht="32" x14ac:dyDescent="0.2">
      <c r="A2037" s="7" t="str">
        <f>HYPERLINK("https://otsuka-europe-crm.veevavault.com/ui/#object/account__v/V4TZ04ASGABZRMG", "MARTA MILAGROS LLANES GOMEZ")</f>
        <v>MARTA MILAGROS LLANES GOMEZ</v>
      </c>
      <c r="B2037" s="7" t="str">
        <f>HYPERLINK("https://otsuka-europe-crm.veevavault.com/ui/#object/vcountry__v/VENZ000004SONF5", "ES")</f>
        <v>ES</v>
      </c>
      <c r="C2037" s="8" t="s">
        <v>41</v>
      </c>
      <c r="D2037" s="9" t="str">
        <f>HYPERLINK("https://otsuka-europe-crm.veevavault.com/ui/#object/approved_document__v/V5O00000001B037", "LUP - VAE Póster Adelphi - Reuma")</f>
        <v>LUP - VAE Póster Adelphi - Reuma</v>
      </c>
      <c r="E2037" s="10" t="str">
        <f>HYPERLINK("https://otsuka-europe-crm.veevavault.com/ui/#object/sent_email__v/VBL00000002O286", "SE-001431749")</f>
        <v>SE-001431749</v>
      </c>
      <c r="F2037" s="11"/>
      <c r="G2037" s="12">
        <v>0</v>
      </c>
      <c r="H2037" s="12">
        <v>0</v>
      </c>
      <c r="I2037" s="12">
        <v>0</v>
      </c>
      <c r="J2037" s="11"/>
      <c r="K2037" s="12">
        <v>0</v>
      </c>
      <c r="L2037" s="10" t="str">
        <f>HYPERLINK("https://otsuka-europe-crm.veevavault.com/ui/#object/approved_document__v/V5O00000001B037", "LUP - VAE Póster Adelphi - Reuma")</f>
        <v>LUP - VAE Póster Adelphi - Reuma</v>
      </c>
      <c r="M2037" s="10" t="str">
        <f>HYPERLINK("mailto:vvalladares@crm.otsuka-europe.com", "vvalladares@crm.otsuka-europe.com")</f>
        <v>vvalladares@crm.otsuka-europe.com</v>
      </c>
      <c r="N2037" s="13">
        <v>46175.56287037037</v>
      </c>
      <c r="O2037" s="14" t="str">
        <f>HYPERLINK("https://otsuka-europe-crm.veevavault.com/ui/#object/email_activity__v/V8C00000003K880", "EN-002087599")</f>
        <v>EN-002087599</v>
      </c>
    </row>
    <row r="2038" spans="1:15" ht="32" x14ac:dyDescent="0.2">
      <c r="A2038" s="7" t="str">
        <f>HYPERLINK("https://otsuka-europe-crm.veevavault.com/ui/#object/account__v/V4TZ04ASG9AXIA8", "PAOLA COROMOTO LEON SUAREZ")</f>
        <v>PAOLA COROMOTO LEON SUAREZ</v>
      </c>
      <c r="B2038" s="7" t="str">
        <f>HYPERLINK("https://otsuka-europe-crm.veevavault.com/ui/#object/vcountry__v/VENZ000004SONF5", "ES")</f>
        <v>ES</v>
      </c>
      <c r="C2038" s="8" t="s">
        <v>41</v>
      </c>
      <c r="D2038" s="9" t="str">
        <f>HYPERLINK("https://otsuka-europe-crm.veevavault.com/ui/#object/approved_document__v/V5O00000001B037", "LUP - VAE Póster Adelphi - Reuma")</f>
        <v>LUP - VAE Póster Adelphi - Reuma</v>
      </c>
      <c r="E2038" s="10" t="str">
        <f>HYPERLINK("https://otsuka-europe-crm.veevavault.com/ui/#object/sent_email__v/VBL00000002O287", "SE-001431750")</f>
        <v>SE-001431750</v>
      </c>
      <c r="F2038" s="11"/>
      <c r="G2038" s="12">
        <v>0</v>
      </c>
      <c r="H2038" s="12">
        <v>0</v>
      </c>
      <c r="I2038" s="12">
        <v>0</v>
      </c>
      <c r="J2038" s="11"/>
      <c r="K2038" s="12">
        <v>0</v>
      </c>
      <c r="L2038" s="10" t="str">
        <f>HYPERLINK("https://otsuka-europe-crm.veevavault.com/ui/#object/approved_document__v/V5O00000001B037", "LUP - VAE Póster Adelphi - Reuma")</f>
        <v>LUP - VAE Póster Adelphi - Reuma</v>
      </c>
      <c r="M2038" s="10" t="str">
        <f>HYPERLINK("mailto:vvalladares@crm.otsuka-europe.com", "vvalladares@crm.otsuka-europe.com")</f>
        <v>vvalladares@crm.otsuka-europe.com</v>
      </c>
      <c r="N2038" s="13">
        <v>46175.56287037037</v>
      </c>
      <c r="O2038" s="14" t="str">
        <f>HYPERLINK("https://otsuka-europe-crm.veevavault.com/ui/#object/email_activity__v/V8C00000003K876", "EN-002087595")</f>
        <v>EN-002087595</v>
      </c>
    </row>
    <row r="2039" spans="1:15" ht="32" x14ac:dyDescent="0.2">
      <c r="A2039" s="7" t="str">
        <f>HYPERLINK("https://otsuka-europe-crm.veevavault.com/ui/#object/account__v/V4TZ04ASG9REL42", "SARA MANRIQUE ARIJA")</f>
        <v>SARA MANRIQUE ARIJA</v>
      </c>
      <c r="B2039" s="7" t="str">
        <f>HYPERLINK("https://otsuka-europe-crm.veevavault.com/ui/#object/vcountry__v/VENZ000004SONF5", "ES")</f>
        <v>ES</v>
      </c>
      <c r="C2039" s="8" t="s">
        <v>41</v>
      </c>
      <c r="D2039" s="9" t="str">
        <f>HYPERLINK("https://otsuka-europe-crm.veevavault.com/ui/#object/approved_document__v/V5O00000001B037", "LUP - VAE Póster Adelphi - Reuma")</f>
        <v>LUP - VAE Póster Adelphi - Reuma</v>
      </c>
      <c r="E2039" s="10" t="str">
        <f>HYPERLINK("https://otsuka-europe-crm.veevavault.com/ui/#object/sent_email__v/VBL00000002O288", "SE-001431751")</f>
        <v>SE-001431751</v>
      </c>
      <c r="F2039" s="11"/>
      <c r="G2039" s="12">
        <v>0</v>
      </c>
      <c r="H2039" s="12">
        <v>0</v>
      </c>
      <c r="I2039" s="12">
        <v>0</v>
      </c>
      <c r="J2039" s="11"/>
      <c r="K2039" s="12">
        <v>0</v>
      </c>
      <c r="L2039" s="10" t="str">
        <f>HYPERLINK("https://otsuka-europe-crm.veevavault.com/ui/#object/approved_document__v/V5O00000001B037", "LUP - VAE Póster Adelphi - Reuma")</f>
        <v>LUP - VAE Póster Adelphi - Reuma</v>
      </c>
      <c r="M2039" s="10" t="str">
        <f>HYPERLINK("mailto:vvalladares@crm.otsuka-europe.com", "vvalladares@crm.otsuka-europe.com")</f>
        <v>vvalladares@crm.otsuka-europe.com</v>
      </c>
      <c r="N2039" s="13">
        <v>46175.562916666669</v>
      </c>
      <c r="O2039" s="14" t="str">
        <f>HYPERLINK("https://otsuka-europe-crm.veevavault.com/ui/#object/email_activity__v/V8C00000003L817", "EN-002087624")</f>
        <v>EN-002087624</v>
      </c>
    </row>
    <row r="2040" spans="1:15" ht="16" x14ac:dyDescent="0.2">
      <c r="A2040" s="17" t="str">
        <f>HYPERLINK("https://otsuka-europe-crm.veevavault.com/ui/#object/account__v/V4TZ04ASG9ZSH2X", "ALBA PEREZ LINAZA")</f>
        <v>ALBA PEREZ LINAZA</v>
      </c>
      <c r="B2040" s="17" t="str">
        <f>HYPERLINK("https://otsuka-europe-crm.veevavault.com/ui/#object/vcountry__v/VENZ000004SONF5", "ES")</f>
        <v>ES</v>
      </c>
      <c r="C2040" s="20" t="s">
        <v>41</v>
      </c>
      <c r="D2040" s="21" t="str">
        <f>HYPERLINK("https://otsuka-europe-crm.veevavault.com/ui/#object/approved_document__v/V5O00000001B037", "LUP - VAE Póster Adelphi - Reuma")</f>
        <v>LUP - VAE Póster Adelphi - Reuma</v>
      </c>
      <c r="E2040" s="22" t="str">
        <f>HYPERLINK("https://otsuka-europe-crm.veevavault.com/ui/#object/sent_email__v/VBL00000002O289", "SE-001431752")</f>
        <v>SE-001431752</v>
      </c>
      <c r="F2040" s="25"/>
      <c r="G2040" s="24">
        <v>0</v>
      </c>
      <c r="H2040" s="24">
        <v>0</v>
      </c>
      <c r="I2040" s="24">
        <v>0</v>
      </c>
      <c r="J2040" s="25"/>
      <c r="K2040" s="24">
        <v>0</v>
      </c>
      <c r="L2040" s="22" t="str">
        <f>HYPERLINK("https://otsuka-europe-crm.veevavault.com/ui/#object/approved_document__v/V5O00000001B037", "LUP - VAE Póster Adelphi - Reuma")</f>
        <v>LUP - VAE Póster Adelphi - Reuma</v>
      </c>
      <c r="M2040" s="22" t="str">
        <f>HYPERLINK("mailto:vvalladares@crm.otsuka-europe.com", "vvalladares@crm.otsuka-europe.com")</f>
        <v>vvalladares@crm.otsuka-europe.com</v>
      </c>
      <c r="N2040" s="23">
        <v>46175.562893518516</v>
      </c>
      <c r="O2040" s="14" t="str">
        <f>HYPERLINK("https://otsuka-europe-crm.veevavault.com/ui/#object/email_activity__v/V8C00000003K897", "EN-002087625")</f>
        <v>EN-002087625</v>
      </c>
    </row>
    <row r="2041" spans="1:15" ht="16" x14ac:dyDescent="0.2">
      <c r="A2041" s="19"/>
      <c r="B2041" s="19"/>
      <c r="C2041" s="19"/>
      <c r="D2041" s="19"/>
      <c r="E2041" s="19"/>
      <c r="F2041" s="19"/>
      <c r="G2041" s="19"/>
      <c r="H2041" s="19"/>
      <c r="I2041" s="19"/>
      <c r="J2041" s="19"/>
      <c r="K2041" s="19"/>
      <c r="L2041" s="19"/>
      <c r="M2041" s="19"/>
      <c r="N2041" s="19"/>
      <c r="O2041" s="14" t="str">
        <f>HYPERLINK("https://otsuka-europe-crm.veevavault.com/ui/#object/email_activity__v/V8C00000003N704", "EN-002089193")</f>
        <v>EN-002089193</v>
      </c>
    </row>
    <row r="2042" spans="1:15" ht="16" x14ac:dyDescent="0.2">
      <c r="A2042" s="17" t="str">
        <f>HYPERLINK("https://otsuka-europe-crm.veevavault.com/ui/#object/account__v/V4TZ04ASGABWAM3", "LORENA PEREZ ALBALADEJO")</f>
        <v>LORENA PEREZ ALBALADEJO</v>
      </c>
      <c r="B2042" s="17" t="str">
        <f>HYPERLINK("https://otsuka-europe-crm.veevavault.com/ui/#object/vcountry__v/VENZ000004SONF5", "ES")</f>
        <v>ES</v>
      </c>
      <c r="C2042" s="20" t="s">
        <v>41</v>
      </c>
      <c r="D2042" s="21" t="str">
        <f>HYPERLINK("https://otsuka-europe-crm.veevavault.com/ui/#object/approved_document__v/V5O00000001B037", "LUP - VAE Póster Adelphi - Reuma")</f>
        <v>LUP - VAE Póster Adelphi - Reuma</v>
      </c>
      <c r="E2042" s="22" t="str">
        <f>HYPERLINK("https://otsuka-europe-crm.veevavault.com/ui/#object/sent_email__v/VBL00000002O290", "SE-001431753")</f>
        <v>SE-001431753</v>
      </c>
      <c r="F2042" s="25"/>
      <c r="G2042" s="24">
        <v>0</v>
      </c>
      <c r="H2042" s="24">
        <v>0</v>
      </c>
      <c r="I2042" s="24">
        <v>0</v>
      </c>
      <c r="J2042" s="25"/>
      <c r="K2042" s="24">
        <v>0</v>
      </c>
      <c r="L2042" s="22" t="str">
        <f>HYPERLINK("https://otsuka-europe-crm.veevavault.com/ui/#object/approved_document__v/V5O00000001B037", "LUP - VAE Póster Adelphi - Reuma")</f>
        <v>LUP - VAE Póster Adelphi - Reuma</v>
      </c>
      <c r="M2042" s="22" t="str">
        <f>HYPERLINK("mailto:vvalladares@crm.otsuka-europe.com", "vvalladares@crm.otsuka-europe.com")</f>
        <v>vvalladares@crm.otsuka-europe.com</v>
      </c>
      <c r="N2042" s="23">
        <v>46175.56287037037</v>
      </c>
      <c r="O2042" s="14" t="str">
        <f>HYPERLINK("https://otsuka-europe-crm.veevavault.com/ui/#object/email_activity__v/V8C00000003K856", "EN-002087548")</f>
        <v>EN-002087548</v>
      </c>
    </row>
    <row r="2043" spans="1:15" ht="16" x14ac:dyDescent="0.2">
      <c r="A2043" s="19"/>
      <c r="B2043" s="19"/>
      <c r="C2043" s="19"/>
      <c r="D2043" s="19"/>
      <c r="E2043" s="19"/>
      <c r="F2043" s="19"/>
      <c r="G2043" s="19"/>
      <c r="H2043" s="19"/>
      <c r="I2043" s="19"/>
      <c r="J2043" s="19"/>
      <c r="K2043" s="19"/>
      <c r="L2043" s="19"/>
      <c r="M2043" s="19"/>
      <c r="N2043" s="19"/>
      <c r="O2043" s="14" t="str">
        <f>HYPERLINK("https://otsuka-europe-crm.veevavault.com/ui/#object/email_activity__v/V8C00000003M415", "EN-002088856")</f>
        <v>EN-002088856</v>
      </c>
    </row>
    <row r="2044" spans="1:15" ht="32" x14ac:dyDescent="0.2">
      <c r="A2044" s="7" t="str">
        <f>HYPERLINK("https://otsuka-europe-crm.veevavault.com/ui/#object/account__v/V4TZ04ASG9MQYEZ", "ISABEL AÑON OÑATE")</f>
        <v>ISABEL AÑON OÑATE</v>
      </c>
      <c r="B2044" s="7" t="str">
        <f>HYPERLINK("https://otsuka-europe-crm.veevavault.com/ui/#object/vcountry__v/VENZ000004SONF5", "ES")</f>
        <v>ES</v>
      </c>
      <c r="C2044" s="8" t="s">
        <v>41</v>
      </c>
      <c r="D2044" s="9" t="str">
        <f>HYPERLINK("https://otsuka-europe-crm.veevavault.com/ui/#object/approved_document__v/V5O00000001B037", "LUP - VAE Póster Adelphi - Reuma")</f>
        <v>LUP - VAE Póster Adelphi - Reuma</v>
      </c>
      <c r="E2044" s="10" t="str">
        <f>HYPERLINK("https://otsuka-europe-crm.veevavault.com/ui/#object/sent_email__v/VBL00000002O291", "SE-001431754")</f>
        <v>SE-001431754</v>
      </c>
      <c r="F2044" s="11"/>
      <c r="G2044" s="12">
        <v>0</v>
      </c>
      <c r="H2044" s="12">
        <v>0</v>
      </c>
      <c r="I2044" s="12">
        <v>0</v>
      </c>
      <c r="J2044" s="11"/>
      <c r="K2044" s="12">
        <v>0</v>
      </c>
      <c r="L2044" s="10" t="str">
        <f>HYPERLINK("https://otsuka-europe-crm.veevavault.com/ui/#object/approved_document__v/V5O00000001B037", "LUP - VAE Póster Adelphi - Reuma")</f>
        <v>LUP - VAE Póster Adelphi - Reuma</v>
      </c>
      <c r="M2044" s="10" t="str">
        <f>HYPERLINK("mailto:vvalladares@crm.otsuka-europe.com", "vvalladares@crm.otsuka-europe.com")</f>
        <v>vvalladares@crm.otsuka-europe.com</v>
      </c>
      <c r="N2044" s="13">
        <v>46175.562916666669</v>
      </c>
      <c r="O2044" s="14" t="str">
        <f>HYPERLINK("https://otsuka-europe-crm.veevavault.com/ui/#object/email_activity__v/V8C00000003K910", "EN-002087638")</f>
        <v>EN-002087638</v>
      </c>
    </row>
    <row r="2045" spans="1:15" ht="16" x14ac:dyDescent="0.2">
      <c r="A2045" s="17" t="str">
        <f>HYPERLINK("https://otsuka-europe-crm.veevavault.com/ui/#object/account__v/V4TZ04ASG9BBOZH", "MARTA HERNANDEZ DIAZ")</f>
        <v>MARTA HERNANDEZ DIAZ</v>
      </c>
      <c r="B2045" s="17" t="str">
        <f>HYPERLINK("https://otsuka-europe-crm.veevavault.com/ui/#object/vcountry__v/VENZ000004SONF5", "ES")</f>
        <v>ES</v>
      </c>
      <c r="C2045" s="20" t="s">
        <v>41</v>
      </c>
      <c r="D2045" s="21" t="str">
        <f>HYPERLINK("https://otsuka-europe-crm.veevavault.com/ui/#object/approved_document__v/V5O00000001B037", "LUP - VAE Póster Adelphi - Reuma")</f>
        <v>LUP - VAE Póster Adelphi - Reuma</v>
      </c>
      <c r="E2045" s="22" t="str">
        <f>HYPERLINK("https://otsuka-europe-crm.veevavault.com/ui/#object/sent_email__v/VBL00000002O292", "SE-001431755")</f>
        <v>SE-001431755</v>
      </c>
      <c r="F2045" s="23">
        <v>46179.788518518515</v>
      </c>
      <c r="G2045" s="24">
        <v>1</v>
      </c>
      <c r="H2045" s="24">
        <v>2</v>
      </c>
      <c r="I2045" s="24">
        <v>0</v>
      </c>
      <c r="J2045" s="25"/>
      <c r="K2045" s="24">
        <v>0</v>
      </c>
      <c r="L2045" s="22" t="str">
        <f>HYPERLINK("https://otsuka-europe-crm.veevavault.com/ui/#object/approved_document__v/V5O00000001B037", "LUP - VAE Póster Adelphi - Reuma")</f>
        <v>LUP - VAE Póster Adelphi - Reuma</v>
      </c>
      <c r="M2045" s="22" t="str">
        <f>HYPERLINK("mailto:vvalladares@crm.otsuka-europe.com", "vvalladares@crm.otsuka-europe.com")</f>
        <v>vvalladares@crm.otsuka-europe.com</v>
      </c>
      <c r="N2045" s="23">
        <v>46175.562881944446</v>
      </c>
      <c r="O2045" s="14" t="str">
        <f>HYPERLINK("https://otsuka-europe-crm.veevavault.com/ui/#object/email_activity__v/V8C00000003K906", "EN-002087634")</f>
        <v>EN-002087634</v>
      </c>
    </row>
    <row r="2046" spans="1:15" ht="16" x14ac:dyDescent="0.2">
      <c r="A2046" s="18"/>
      <c r="B2046" s="18"/>
      <c r="C2046" s="18"/>
      <c r="D2046" s="18"/>
      <c r="E2046" s="18"/>
      <c r="F2046" s="18"/>
      <c r="G2046" s="18"/>
      <c r="H2046" s="18"/>
      <c r="I2046" s="18"/>
      <c r="J2046" s="18"/>
      <c r="K2046" s="18"/>
      <c r="L2046" s="18"/>
      <c r="M2046" s="18"/>
      <c r="N2046" s="18"/>
      <c r="O2046" s="14" t="str">
        <f>HYPERLINK("https://otsuka-europe-crm.veevavault.com/ui/#object/email_activity__v/V8C00000003P109", "EN-002089447")</f>
        <v>EN-002089447</v>
      </c>
    </row>
    <row r="2047" spans="1:15" ht="16" x14ac:dyDescent="0.2">
      <c r="A2047" s="19"/>
      <c r="B2047" s="19"/>
      <c r="C2047" s="19"/>
      <c r="D2047" s="19"/>
      <c r="E2047" s="19"/>
      <c r="F2047" s="19"/>
      <c r="G2047" s="19"/>
      <c r="H2047" s="19"/>
      <c r="I2047" s="19"/>
      <c r="J2047" s="19"/>
      <c r="K2047" s="19"/>
      <c r="L2047" s="19"/>
      <c r="M2047" s="19"/>
      <c r="N2047" s="19"/>
      <c r="O2047" s="14" t="str">
        <f>HYPERLINK("https://otsuka-europe-crm.veevavault.com/ui/#object/email_activity__v/V8C00000003P110", "EN-002089448")</f>
        <v>EN-002089448</v>
      </c>
    </row>
    <row r="2048" spans="1:15" ht="16" x14ac:dyDescent="0.2">
      <c r="A2048" s="17" t="str">
        <f>HYPERLINK("https://otsuka-europe-crm.veevavault.com/ui/#object/account__v/V4TZ04ASGBJKHWZ", "FRANCESCO FULVIO BIZZARRI")</f>
        <v>FRANCESCO FULVIO BIZZARRI</v>
      </c>
      <c r="B2048" s="17" t="str">
        <f>HYPERLINK("https://otsuka-europe-crm.veevavault.com/ui/#object/vcountry__v/VENZ000004SONF5", "ES")</f>
        <v>ES</v>
      </c>
      <c r="C2048" s="20" t="s">
        <v>41</v>
      </c>
      <c r="D2048" s="21" t="str">
        <f>HYPERLINK("https://otsuka-europe-crm.veevavault.com/ui/#object/approved_document__v/V5O00000001B037", "LUP - VAE Póster Adelphi - Reuma")</f>
        <v>LUP - VAE Póster Adelphi - Reuma</v>
      </c>
      <c r="E2048" s="22" t="str">
        <f>HYPERLINK("https://otsuka-europe-crm.veevavault.com/ui/#object/sent_email__v/VBL00000002O293", "SE-001431756")</f>
        <v>SE-001431756</v>
      </c>
      <c r="F2048" s="25"/>
      <c r="G2048" s="24">
        <v>0</v>
      </c>
      <c r="H2048" s="24">
        <v>0</v>
      </c>
      <c r="I2048" s="24">
        <v>0</v>
      </c>
      <c r="J2048" s="25"/>
      <c r="K2048" s="24">
        <v>0</v>
      </c>
      <c r="L2048" s="22" t="str">
        <f>HYPERLINK("https://otsuka-europe-crm.veevavault.com/ui/#object/approved_document__v/V5O00000001B037", "LUP - VAE Póster Adelphi - Reuma")</f>
        <v>LUP - VAE Póster Adelphi - Reuma</v>
      </c>
      <c r="M2048" s="22" t="str">
        <f>HYPERLINK("mailto:vvalladares@crm.otsuka-europe.com", "vvalladares@crm.otsuka-europe.com")</f>
        <v>vvalladares@crm.otsuka-europe.com</v>
      </c>
      <c r="N2048" s="23">
        <v>46175.562928240739</v>
      </c>
      <c r="O2048" s="14" t="str">
        <f>HYPERLINK("https://otsuka-europe-crm.veevavault.com/ui/#object/email_activity__v/V8C00000003K915", "EN-002087643")</f>
        <v>EN-002087643</v>
      </c>
    </row>
    <row r="2049" spans="1:15" ht="16" x14ac:dyDescent="0.2">
      <c r="A2049" s="18"/>
      <c r="B2049" s="18"/>
      <c r="C2049" s="18"/>
      <c r="D2049" s="18"/>
      <c r="E2049" s="18"/>
      <c r="F2049" s="18"/>
      <c r="G2049" s="18"/>
      <c r="H2049" s="18"/>
      <c r="I2049" s="18"/>
      <c r="J2049" s="18"/>
      <c r="K2049" s="18"/>
      <c r="L2049" s="18"/>
      <c r="M2049" s="18"/>
      <c r="N2049" s="18"/>
      <c r="O2049" s="14" t="str">
        <f>HYPERLINK("https://otsuka-europe-crm.veevavault.com/ui/#object/email_activity__v/V8C00000003P080", "EN-002089386")</f>
        <v>EN-002089386</v>
      </c>
    </row>
    <row r="2050" spans="1:15" ht="16" x14ac:dyDescent="0.2">
      <c r="A2050" s="19"/>
      <c r="B2050" s="19"/>
      <c r="C2050" s="19"/>
      <c r="D2050" s="19"/>
      <c r="E2050" s="19"/>
      <c r="F2050" s="19"/>
      <c r="G2050" s="19"/>
      <c r="H2050" s="19"/>
      <c r="I2050" s="19"/>
      <c r="J2050" s="19"/>
      <c r="K2050" s="19"/>
      <c r="L2050" s="19"/>
      <c r="M2050" s="19"/>
      <c r="N2050" s="19"/>
      <c r="O2050" s="14" t="str">
        <f>HYPERLINK("https://otsuka-europe-crm.veevavault.com/ui/#object/email_activity__v/V8C00000003T161", "EN-002093890")</f>
        <v>EN-002093890</v>
      </c>
    </row>
    <row r="2051" spans="1:15" ht="16" x14ac:dyDescent="0.2">
      <c r="A2051" s="17" t="str">
        <f>HYPERLINK("https://otsuka-europe-crm.veevavault.com/ui/#object/account__v/V4TZ06G6OBIL31R", "IRENE ALTABAS GONZALEZ")</f>
        <v>IRENE ALTABAS GONZALEZ</v>
      </c>
      <c r="B2051" s="17" t="str">
        <f>HYPERLINK("https://otsuka-europe-crm.veevavault.com/ui/#object/vcountry__v/VENZ000004SONF5", "ES")</f>
        <v>ES</v>
      </c>
      <c r="C2051" s="20" t="s">
        <v>41</v>
      </c>
      <c r="D2051" s="21" t="str">
        <f>HYPERLINK("https://otsuka-europe-crm.veevavault.com/ui/#object/approved_document__v/V5O00000001B037", "LUP - VAE Póster Adelphi - Reuma")</f>
        <v>LUP - VAE Póster Adelphi - Reuma</v>
      </c>
      <c r="E2051" s="22" t="str">
        <f>HYPERLINK("https://otsuka-europe-crm.veevavault.com/ui/#object/sent_email__v/VBL00000002O294", "SE-001431757")</f>
        <v>SE-001431757</v>
      </c>
      <c r="F2051" s="25"/>
      <c r="G2051" s="24">
        <v>0</v>
      </c>
      <c r="H2051" s="24">
        <v>0</v>
      </c>
      <c r="I2051" s="24">
        <v>1</v>
      </c>
      <c r="J2051" s="23">
        <v>46175.604583333334</v>
      </c>
      <c r="K2051" s="24">
        <v>2</v>
      </c>
      <c r="L2051" s="22" t="str">
        <f>HYPERLINK("https://otsuka-europe-crm.veevavault.com/ui/#object/approved_document__v/V5O00000001B037", "LUP - VAE Póster Adelphi - Reuma")</f>
        <v>LUP - VAE Póster Adelphi - Reuma</v>
      </c>
      <c r="M2051" s="22" t="str">
        <f>HYPERLINK("mailto:vvalladares@crm.otsuka-europe.com", "vvalladares@crm.otsuka-europe.com")</f>
        <v>vvalladares@crm.otsuka-europe.com</v>
      </c>
      <c r="N2051" s="23">
        <v>46175.562881944446</v>
      </c>
      <c r="O2051" s="14" t="str">
        <f>HYPERLINK("https://otsuka-europe-crm.veevavault.com/ui/#object/email_activity__v/V8C00000003K904", "EN-002087632")</f>
        <v>EN-002087632</v>
      </c>
    </row>
    <row r="2052" spans="1:15" ht="16" x14ac:dyDescent="0.2">
      <c r="A2052" s="18"/>
      <c r="B2052" s="18"/>
      <c r="C2052" s="18"/>
      <c r="D2052" s="18"/>
      <c r="E2052" s="18"/>
      <c r="F2052" s="18"/>
      <c r="G2052" s="18"/>
      <c r="H2052" s="18"/>
      <c r="I2052" s="18"/>
      <c r="J2052" s="18"/>
      <c r="K2052" s="18"/>
      <c r="L2052" s="18"/>
      <c r="M2052" s="18"/>
      <c r="N2052" s="18"/>
      <c r="O2052" s="14" t="str">
        <f>HYPERLINK("https://otsuka-europe-crm.veevavault.com/ui/#object/email_activity__v/V8C00000003L933", "EN-002087857")</f>
        <v>EN-002087857</v>
      </c>
    </row>
    <row r="2053" spans="1:15" ht="16" x14ac:dyDescent="0.2">
      <c r="A2053" s="18"/>
      <c r="B2053" s="18"/>
      <c r="C2053" s="18"/>
      <c r="D2053" s="18"/>
      <c r="E2053" s="18"/>
      <c r="F2053" s="18"/>
      <c r="G2053" s="18"/>
      <c r="H2053" s="18"/>
      <c r="I2053" s="18"/>
      <c r="J2053" s="18"/>
      <c r="K2053" s="18"/>
      <c r="L2053" s="18"/>
      <c r="M2053" s="18"/>
      <c r="N2053" s="18"/>
      <c r="O2053" s="14" t="str">
        <f>HYPERLINK("https://otsuka-europe-crm.veevavault.com/ui/#object/email_activity__v/V8C00000003L935", "EN-002087860")</f>
        <v>EN-002087860</v>
      </c>
    </row>
    <row r="2054" spans="1:15" ht="16" x14ac:dyDescent="0.2">
      <c r="A2054" s="18"/>
      <c r="B2054" s="18"/>
      <c r="C2054" s="18"/>
      <c r="D2054" s="18"/>
      <c r="E2054" s="18"/>
      <c r="F2054" s="18"/>
      <c r="G2054" s="18"/>
      <c r="H2054" s="18"/>
      <c r="I2054" s="18"/>
      <c r="J2054" s="18"/>
      <c r="K2054" s="18"/>
      <c r="L2054" s="18"/>
      <c r="M2054" s="18"/>
      <c r="N2054" s="18"/>
      <c r="O2054" s="14" t="str">
        <f>HYPERLINK("https://otsuka-europe-crm.veevavault.com/ui/#object/email_activity__v/V8C00000003L936", "EN-002087861")</f>
        <v>EN-002087861</v>
      </c>
    </row>
    <row r="2055" spans="1:15" ht="16" x14ac:dyDescent="0.2">
      <c r="A2055" s="18"/>
      <c r="B2055" s="18"/>
      <c r="C2055" s="18"/>
      <c r="D2055" s="18"/>
      <c r="E2055" s="18"/>
      <c r="F2055" s="18"/>
      <c r="G2055" s="18"/>
      <c r="H2055" s="18"/>
      <c r="I2055" s="18"/>
      <c r="J2055" s="18"/>
      <c r="K2055" s="18"/>
      <c r="L2055" s="18"/>
      <c r="M2055" s="18"/>
      <c r="N2055" s="18"/>
      <c r="O2055" s="14" t="str">
        <f>HYPERLINK("https://otsuka-europe-crm.veevavault.com/ui/#object/email_activity__v/V8C00000003M036", "EN-002087907")</f>
        <v>EN-002087907</v>
      </c>
    </row>
    <row r="2056" spans="1:15" ht="16" x14ac:dyDescent="0.2">
      <c r="A2056" s="19"/>
      <c r="B2056" s="19"/>
      <c r="C2056" s="19"/>
      <c r="D2056" s="19"/>
      <c r="E2056" s="19"/>
      <c r="F2056" s="19"/>
      <c r="G2056" s="19"/>
      <c r="H2056" s="19"/>
      <c r="I2056" s="19"/>
      <c r="J2056" s="19"/>
      <c r="K2056" s="19"/>
      <c r="L2056" s="19"/>
      <c r="M2056" s="19"/>
      <c r="N2056" s="19"/>
      <c r="O2056" s="14" t="str">
        <f>HYPERLINK("https://otsuka-europe-crm.veevavault.com/ui/#object/email_activity__v/V8C00000003M038", "EN-002087909")</f>
        <v>EN-002087909</v>
      </c>
    </row>
    <row r="2057" spans="1:15" ht="16" x14ac:dyDescent="0.2">
      <c r="A2057" s="17" t="str">
        <f>HYPERLINK("https://otsuka-europe-crm.veevavault.com/ui/#object/account__v/V4TZ04ASGDUAZA2", "CRISTINA RODRIGUEZ ALVEAR")</f>
        <v>CRISTINA RODRIGUEZ ALVEAR</v>
      </c>
      <c r="B2057" s="17" t="str">
        <f>HYPERLINK("https://otsuka-europe-crm.veevavault.com/ui/#object/vcountry__v/VENZ000004SONF5", "ES")</f>
        <v>ES</v>
      </c>
      <c r="C2057" s="20" t="s">
        <v>41</v>
      </c>
      <c r="D2057" s="21" t="str">
        <f>HYPERLINK("https://otsuka-europe-crm.veevavault.com/ui/#object/approved_document__v/V5O00000001B037", "LUP - VAE Póster Adelphi - Reuma")</f>
        <v>LUP - VAE Póster Adelphi - Reuma</v>
      </c>
      <c r="E2057" s="22" t="str">
        <f>HYPERLINK("https://otsuka-europe-crm.veevavault.com/ui/#object/sent_email__v/VBL00000002O295", "SE-001431758")</f>
        <v>SE-001431758</v>
      </c>
      <c r="F2057" s="25"/>
      <c r="G2057" s="24">
        <v>0</v>
      </c>
      <c r="H2057" s="24">
        <v>0</v>
      </c>
      <c r="I2057" s="24">
        <v>0</v>
      </c>
      <c r="J2057" s="25"/>
      <c r="K2057" s="24">
        <v>0</v>
      </c>
      <c r="L2057" s="22" t="str">
        <f>HYPERLINK("https://otsuka-europe-crm.veevavault.com/ui/#object/approved_document__v/V5O00000001B037", "LUP - VAE Póster Adelphi - Reuma")</f>
        <v>LUP - VAE Póster Adelphi - Reuma</v>
      </c>
      <c r="M2057" s="22" t="str">
        <f>HYPERLINK("mailto:vvalladares@crm.otsuka-europe.com", "vvalladares@crm.otsuka-europe.com")</f>
        <v>vvalladares@crm.otsuka-europe.com</v>
      </c>
      <c r="N2057" s="23">
        <v>46175.56287037037</v>
      </c>
      <c r="O2057" s="14" t="str">
        <f>HYPERLINK("https://otsuka-europe-crm.veevavault.com/ui/#object/email_activity__v/V8C00000003K934", "EN-002087687")</f>
        <v>EN-002087687</v>
      </c>
    </row>
    <row r="2058" spans="1:15" ht="16" x14ac:dyDescent="0.2">
      <c r="A2058" s="19"/>
      <c r="B2058" s="19"/>
      <c r="C2058" s="19"/>
      <c r="D2058" s="19"/>
      <c r="E2058" s="19"/>
      <c r="F2058" s="19"/>
      <c r="G2058" s="19"/>
      <c r="H2058" s="19"/>
      <c r="I2058" s="19"/>
      <c r="J2058" s="19"/>
      <c r="K2058" s="19"/>
      <c r="L2058" s="19"/>
      <c r="M2058" s="19"/>
      <c r="N2058" s="19"/>
      <c r="O2058" s="14" t="str">
        <f>HYPERLINK("https://otsuka-europe-crm.veevavault.com/ui/#object/email_activity__v/V8C00000003M266", "EN-002088507")</f>
        <v>EN-002088507</v>
      </c>
    </row>
    <row r="2059" spans="1:15" ht="16" x14ac:dyDescent="0.2">
      <c r="A2059" s="17" t="str">
        <f>HYPERLINK("https://otsuka-europe-crm.veevavault.com/ui/#object/account__v/V4TZ04ASGALU49S", "ZAHRA ECHEREI FHAFAH")</f>
        <v>ZAHRA ECHEREI FHAFAH</v>
      </c>
      <c r="B2059" s="17" t="str">
        <f>HYPERLINK("https://otsuka-europe-crm.veevavault.com/ui/#object/vcountry__v/VENZ000004SONF5", "ES")</f>
        <v>ES</v>
      </c>
      <c r="C2059" s="20" t="s">
        <v>41</v>
      </c>
      <c r="D2059" s="21" t="str">
        <f>HYPERLINK("https://otsuka-europe-crm.veevavault.com/ui/#object/approved_document__v/V5O00000001B037", "LUP - VAE Póster Adelphi - Reuma")</f>
        <v>LUP - VAE Póster Adelphi - Reuma</v>
      </c>
      <c r="E2059" s="22" t="str">
        <f>HYPERLINK("https://otsuka-europe-crm.veevavault.com/ui/#object/sent_email__v/VBL00000002O296", "SE-001431759")</f>
        <v>SE-001431759</v>
      </c>
      <c r="F2059" s="25"/>
      <c r="G2059" s="24">
        <v>0</v>
      </c>
      <c r="H2059" s="24">
        <v>0</v>
      </c>
      <c r="I2059" s="24">
        <v>0</v>
      </c>
      <c r="J2059" s="25"/>
      <c r="K2059" s="24">
        <v>0</v>
      </c>
      <c r="L2059" s="22" t="str">
        <f>HYPERLINK("https://otsuka-europe-crm.veevavault.com/ui/#object/approved_document__v/V5O00000001B037", "LUP - VAE Póster Adelphi - Reuma")</f>
        <v>LUP - VAE Póster Adelphi - Reuma</v>
      </c>
      <c r="M2059" s="22" t="str">
        <f>HYPERLINK("mailto:vvalladares@crm.otsuka-europe.com", "vvalladares@crm.otsuka-europe.com")</f>
        <v>vvalladares@crm.otsuka-europe.com</v>
      </c>
      <c r="N2059" s="23">
        <v>46175.56287037037</v>
      </c>
      <c r="O2059" s="14" t="str">
        <f>HYPERLINK("https://otsuka-europe-crm.veevavault.com/ui/#object/email_activity__v/V8C00000003L807", "EN-002087574")</f>
        <v>EN-002087574</v>
      </c>
    </row>
    <row r="2060" spans="1:15" ht="16" x14ac:dyDescent="0.2">
      <c r="A2060" s="18"/>
      <c r="B2060" s="18"/>
      <c r="C2060" s="18"/>
      <c r="D2060" s="18"/>
      <c r="E2060" s="18"/>
      <c r="F2060" s="18"/>
      <c r="G2060" s="18"/>
      <c r="H2060" s="18"/>
      <c r="I2060" s="18"/>
      <c r="J2060" s="18"/>
      <c r="K2060" s="18"/>
      <c r="L2060" s="18"/>
      <c r="M2060" s="18"/>
      <c r="N2060" s="18"/>
      <c r="O2060" s="14" t="str">
        <f>HYPERLINK("https://otsuka-europe-crm.veevavault.com/ui/#object/email_activity__v/V8C00000003N368", "EN-002088583")</f>
        <v>EN-002088583</v>
      </c>
    </row>
    <row r="2061" spans="1:15" ht="16" x14ac:dyDescent="0.2">
      <c r="A2061" s="19"/>
      <c r="B2061" s="19"/>
      <c r="C2061" s="19"/>
      <c r="D2061" s="19"/>
      <c r="E2061" s="19"/>
      <c r="F2061" s="19"/>
      <c r="G2061" s="19"/>
      <c r="H2061" s="19"/>
      <c r="I2061" s="19"/>
      <c r="J2061" s="19"/>
      <c r="K2061" s="19"/>
      <c r="L2061" s="19"/>
      <c r="M2061" s="19"/>
      <c r="N2061" s="19"/>
      <c r="O2061" s="14" t="str">
        <f>HYPERLINK("https://otsuka-europe-crm.veevavault.com/ui/#object/email_activity__v/V8C00000003S748", "EN-002094366")</f>
        <v>EN-002094366</v>
      </c>
    </row>
    <row r="2062" spans="1:15" ht="32" x14ac:dyDescent="0.2">
      <c r="A2062" s="7" t="str">
        <f>HYPERLINK("https://otsuka-europe-crm.veevavault.com/ui/#object/account__v/V4TZ04ASGBJKSQ2", "NURIA BARROSO GARCIA")</f>
        <v>NURIA BARROSO GARCIA</v>
      </c>
      <c r="B2062" s="7" t="str">
        <f>HYPERLINK("https://otsuka-europe-crm.veevavault.com/ui/#object/vcountry__v/VENZ000004SONF5", "ES")</f>
        <v>ES</v>
      </c>
      <c r="C2062" s="8" t="s">
        <v>41</v>
      </c>
      <c r="D2062" s="9" t="str">
        <f>HYPERLINK("https://otsuka-europe-crm.veevavault.com/ui/#object/approved_document__v/V5O00000001B037", "LUP - VAE Póster Adelphi - Reuma")</f>
        <v>LUP - VAE Póster Adelphi - Reuma</v>
      </c>
      <c r="E2062" s="10" t="str">
        <f>HYPERLINK("https://otsuka-europe-crm.veevavault.com/ui/#object/sent_email__v/VBL00000002O297", "SE-001431760")</f>
        <v>SE-001431760</v>
      </c>
      <c r="F2062" s="11"/>
      <c r="G2062" s="12">
        <v>0</v>
      </c>
      <c r="H2062" s="12">
        <v>0</v>
      </c>
      <c r="I2062" s="12">
        <v>0</v>
      </c>
      <c r="J2062" s="11"/>
      <c r="K2062" s="12">
        <v>0</v>
      </c>
      <c r="L2062" s="10" t="str">
        <f>HYPERLINK("https://otsuka-europe-crm.veevavault.com/ui/#object/approved_document__v/V5O00000001B037", "LUP - VAE Póster Adelphi - Reuma")</f>
        <v>LUP - VAE Póster Adelphi - Reuma</v>
      </c>
      <c r="M2062" s="10" t="str">
        <f>HYPERLINK("mailto:vvalladares@crm.otsuka-europe.com", "vvalladares@crm.otsuka-europe.com")</f>
        <v>vvalladares@crm.otsuka-europe.com</v>
      </c>
      <c r="N2062" s="13">
        <v>46175.562905092593</v>
      </c>
      <c r="O2062" s="14" t="str">
        <f>HYPERLINK("https://otsuka-europe-crm.veevavault.com/ui/#object/email_activity__v/V8C00000003K898", "EN-002087626")</f>
        <v>EN-002087626</v>
      </c>
    </row>
    <row r="2063" spans="1:15" ht="16" x14ac:dyDescent="0.2">
      <c r="A2063" s="17" t="str">
        <f>HYPERLINK("https://otsuka-europe-crm.veevavault.com/ui/#object/account__v/V4TZ04ASG9ZQEUS", "MARITZA FLORES CORTES")</f>
        <v>MARITZA FLORES CORTES</v>
      </c>
      <c r="B2063" s="17" t="str">
        <f>HYPERLINK("https://otsuka-europe-crm.veevavault.com/ui/#object/vcountry__v/VENZ000004SONF5", "ES")</f>
        <v>ES</v>
      </c>
      <c r="C2063" s="20" t="s">
        <v>41</v>
      </c>
      <c r="D2063" s="21" t="str">
        <f>HYPERLINK("https://otsuka-europe-crm.veevavault.com/ui/#object/approved_document__v/V5O00000001B037", "LUP - VAE Póster Adelphi - Reuma")</f>
        <v>LUP - VAE Póster Adelphi - Reuma</v>
      </c>
      <c r="E2063" s="22" t="str">
        <f>HYPERLINK("https://otsuka-europe-crm.veevavault.com/ui/#object/sent_email__v/VBL00000002O298", "SE-001431761")</f>
        <v>SE-001431761</v>
      </c>
      <c r="F2063" s="23">
        <v>46175.606921296298</v>
      </c>
      <c r="G2063" s="24">
        <v>1</v>
      </c>
      <c r="H2063" s="24">
        <v>1</v>
      </c>
      <c r="I2063" s="24">
        <v>0</v>
      </c>
      <c r="J2063" s="25"/>
      <c r="K2063" s="24">
        <v>0</v>
      </c>
      <c r="L2063" s="22" t="str">
        <f>HYPERLINK("https://otsuka-europe-crm.veevavault.com/ui/#object/approved_document__v/V5O00000001B037", "LUP - VAE Póster Adelphi - Reuma")</f>
        <v>LUP - VAE Póster Adelphi - Reuma</v>
      </c>
      <c r="M2063" s="22" t="str">
        <f>HYPERLINK("mailto:vvalladares@crm.otsuka-europe.com", "vvalladares@crm.otsuka-europe.com")</f>
        <v>vvalladares@crm.otsuka-europe.com</v>
      </c>
      <c r="N2063" s="23">
        <v>46175.562858796293</v>
      </c>
      <c r="O2063" s="14" t="str">
        <f>HYPERLINK("https://otsuka-europe-crm.veevavault.com/ui/#object/email_activity__v/V8C00000003K938", "EN-002087691")</f>
        <v>EN-002087691</v>
      </c>
    </row>
    <row r="2064" spans="1:15" ht="16" x14ac:dyDescent="0.2">
      <c r="A2064" s="19"/>
      <c r="B2064" s="19"/>
      <c r="C2064" s="19"/>
      <c r="D2064" s="19"/>
      <c r="E2064" s="19"/>
      <c r="F2064" s="19"/>
      <c r="G2064" s="19"/>
      <c r="H2064" s="19"/>
      <c r="I2064" s="19"/>
      <c r="J2064" s="19"/>
      <c r="K2064" s="19"/>
      <c r="L2064" s="19"/>
      <c r="M2064" s="19"/>
      <c r="N2064" s="19"/>
      <c r="O2064" s="14" t="str">
        <f>HYPERLINK("https://otsuka-europe-crm.veevavault.com/ui/#object/email_activity__v/V8C00000003M018", "EN-002087868")</f>
        <v>EN-002087868</v>
      </c>
    </row>
    <row r="2065" spans="1:15" ht="16" x14ac:dyDescent="0.2">
      <c r="A2065" s="17" t="str">
        <f>HYPERLINK("https://otsuka-europe-crm.veevavault.com/ui/#object/account__v/V4TZ04ASG9BBON5", "CRISTINA MARTINEZ GONZALEZ")</f>
        <v>CRISTINA MARTINEZ GONZALEZ</v>
      </c>
      <c r="B2065" s="17" t="str">
        <f>HYPERLINK("https://otsuka-europe-crm.veevavault.com/ui/#object/vcountry__v/VENZ000004SONF5", "ES")</f>
        <v>ES</v>
      </c>
      <c r="C2065" s="20" t="s">
        <v>41</v>
      </c>
      <c r="D2065" s="21" t="str">
        <f>HYPERLINK("https://otsuka-europe-crm.veevavault.com/ui/#object/approved_document__v/V5O00000001B037", "LUP - VAE Póster Adelphi - Reuma")</f>
        <v>LUP - VAE Póster Adelphi - Reuma</v>
      </c>
      <c r="E2065" s="22" t="str">
        <f>HYPERLINK("https://otsuka-europe-crm.veevavault.com/ui/#object/sent_email__v/VBL00000002O299", "SE-001431762")</f>
        <v>SE-001431762</v>
      </c>
      <c r="F2065" s="23">
        <v>46175.563020833331</v>
      </c>
      <c r="G2065" s="24">
        <v>1</v>
      </c>
      <c r="H2065" s="24">
        <v>1</v>
      </c>
      <c r="I2065" s="24">
        <v>0</v>
      </c>
      <c r="J2065" s="25"/>
      <c r="K2065" s="24">
        <v>0</v>
      </c>
      <c r="L2065" s="22" t="str">
        <f>HYPERLINK("https://otsuka-europe-crm.veevavault.com/ui/#object/approved_document__v/V5O00000001B037", "LUP - VAE Póster Adelphi - Reuma")</f>
        <v>LUP - VAE Póster Adelphi - Reuma</v>
      </c>
      <c r="M2065" s="22" t="str">
        <f>HYPERLINK("mailto:vvalladares@crm.otsuka-europe.com", "vvalladares@crm.otsuka-europe.com")</f>
        <v>vvalladares@crm.otsuka-europe.com</v>
      </c>
      <c r="N2065" s="23">
        <v>46175.562858796293</v>
      </c>
      <c r="O2065" s="14" t="str">
        <f>HYPERLINK("https://otsuka-europe-crm.veevavault.com/ui/#object/email_activity__v/V8C00000003K894", "EN-002087617")</f>
        <v>EN-002087617</v>
      </c>
    </row>
    <row r="2066" spans="1:15" ht="16" x14ac:dyDescent="0.2">
      <c r="A2066" s="19"/>
      <c r="B2066" s="19"/>
      <c r="C2066" s="19"/>
      <c r="D2066" s="19"/>
      <c r="E2066" s="19"/>
      <c r="F2066" s="19"/>
      <c r="G2066" s="19"/>
      <c r="H2066" s="19"/>
      <c r="I2066" s="19"/>
      <c r="J2066" s="19"/>
      <c r="K2066" s="19"/>
      <c r="L2066" s="19"/>
      <c r="M2066" s="19"/>
      <c r="N2066" s="19"/>
      <c r="O2066" s="14" t="str">
        <f>HYPERLINK("https://otsuka-europe-crm.veevavault.com/ui/#object/email_activity__v/V8C00000003L846", "EN-002087697")</f>
        <v>EN-002087697</v>
      </c>
    </row>
    <row r="2067" spans="1:15" ht="32" x14ac:dyDescent="0.2">
      <c r="A2067" s="7" t="str">
        <f>HYPERLINK("https://otsuka-europe-crm.veevavault.com/ui/#object/account__v/V4TZ04ASG9REMVY", "ANA NIETO GONZALEZ")</f>
        <v>ANA NIETO GONZALEZ</v>
      </c>
      <c r="B2067" s="7" t="str">
        <f>HYPERLINK("https://otsuka-europe-crm.veevavault.com/ui/#object/vcountry__v/VENZ000004SONF5", "ES")</f>
        <v>ES</v>
      </c>
      <c r="C2067" s="8" t="s">
        <v>41</v>
      </c>
      <c r="D2067" s="9" t="str">
        <f>HYPERLINK("https://otsuka-europe-crm.veevavault.com/ui/#object/approved_document__v/V5O00000001B037", "LUP - VAE Póster Adelphi - Reuma")</f>
        <v>LUP - VAE Póster Adelphi - Reuma</v>
      </c>
      <c r="E2067" s="10" t="str">
        <f>HYPERLINK("https://otsuka-europe-crm.veevavault.com/ui/#object/sent_email__v/VBL00000002O300", "SE-001431763")</f>
        <v>SE-001431763</v>
      </c>
      <c r="F2067" s="11"/>
      <c r="G2067" s="12">
        <v>0</v>
      </c>
      <c r="H2067" s="12">
        <v>0</v>
      </c>
      <c r="I2067" s="12">
        <v>0</v>
      </c>
      <c r="J2067" s="11"/>
      <c r="K2067" s="12">
        <v>0</v>
      </c>
      <c r="L2067" s="10" t="str">
        <f>HYPERLINK("https://otsuka-europe-crm.veevavault.com/ui/#object/approved_document__v/V5O00000001B037", "LUP - VAE Póster Adelphi - Reuma")</f>
        <v>LUP - VAE Póster Adelphi - Reuma</v>
      </c>
      <c r="M2067" s="10" t="str">
        <f>HYPERLINK("mailto:vvalladares@crm.otsuka-europe.com", "vvalladares@crm.otsuka-europe.com")</f>
        <v>vvalladares@crm.otsuka-europe.com</v>
      </c>
      <c r="N2067" s="13">
        <v>46175.56287037037</v>
      </c>
      <c r="O2067" s="14" t="str">
        <f>HYPERLINK("https://otsuka-europe-crm.veevavault.com/ui/#object/email_activity__v/V8C00000003K872", "EN-002087591")</f>
        <v>EN-002087591</v>
      </c>
    </row>
    <row r="2068" spans="1:15" ht="32" x14ac:dyDescent="0.2">
      <c r="A2068" s="7" t="str">
        <f>HYPERLINK("https://otsuka-europe-crm.veevavault.com/ui/#object/account__v/V4TZ04ASG92430O", "ELISA TRUJILLO MARTIN")</f>
        <v>ELISA TRUJILLO MARTIN</v>
      </c>
      <c r="B2068" s="7" t="str">
        <f>HYPERLINK("https://otsuka-europe-crm.veevavault.com/ui/#object/vcountry__v/VENZ000004SONF5", "ES")</f>
        <v>ES</v>
      </c>
      <c r="C2068" s="8" t="s">
        <v>41</v>
      </c>
      <c r="D2068" s="9" t="str">
        <f>HYPERLINK("https://otsuka-europe-crm.veevavault.com/ui/#object/approved_document__v/V5O00000001B037", "LUP - VAE Póster Adelphi - Reuma")</f>
        <v>LUP - VAE Póster Adelphi - Reuma</v>
      </c>
      <c r="E2068" s="10" t="str">
        <f>HYPERLINK("https://otsuka-europe-crm.veevavault.com/ui/#object/sent_email__v/VBL00000002O301", "SE-001431764")</f>
        <v>SE-001431764</v>
      </c>
      <c r="F2068" s="11"/>
      <c r="G2068" s="12">
        <v>0</v>
      </c>
      <c r="H2068" s="12">
        <v>0</v>
      </c>
      <c r="I2068" s="12">
        <v>0</v>
      </c>
      <c r="J2068" s="11"/>
      <c r="K2068" s="12">
        <v>0</v>
      </c>
      <c r="L2068" s="10" t="str">
        <f>HYPERLINK("https://otsuka-europe-crm.veevavault.com/ui/#object/approved_document__v/V5O00000001B037", "LUP - VAE Póster Adelphi - Reuma")</f>
        <v>LUP - VAE Póster Adelphi - Reuma</v>
      </c>
      <c r="M2068" s="10" t="str">
        <f>HYPERLINK("mailto:vvalladares@crm.otsuka-europe.com", "vvalladares@crm.otsuka-europe.com")</f>
        <v>vvalladares@crm.otsuka-europe.com</v>
      </c>
      <c r="N2068" s="13">
        <v>46175.56287037037</v>
      </c>
      <c r="O2068" s="14" t="str">
        <f>HYPERLINK("https://otsuka-europe-crm.veevavault.com/ui/#object/email_activity__v/V8C00000003K873", "EN-002087592")</f>
        <v>EN-002087592</v>
      </c>
    </row>
    <row r="2069" spans="1:15" ht="32" x14ac:dyDescent="0.2">
      <c r="A2069" s="7" t="str">
        <f>HYPERLINK("https://otsuka-europe-crm.veevavault.com/ui/#object/account__v/V4TZ04ASGABWAEG", "FRANCISCO JAVIER GODOY NAVARRETE")</f>
        <v>FRANCISCO JAVIER GODOY NAVARRETE</v>
      </c>
      <c r="B2069" s="7" t="str">
        <f>HYPERLINK("https://otsuka-europe-crm.veevavault.com/ui/#object/vcountry__v/VENZ000004SONF5", "ES")</f>
        <v>ES</v>
      </c>
      <c r="C2069" s="8" t="s">
        <v>41</v>
      </c>
      <c r="D2069" s="9" t="str">
        <f>HYPERLINK("https://otsuka-europe-crm.veevavault.com/ui/#object/approved_document__v/V5O00000001B037", "LUP - VAE Póster Adelphi - Reuma")</f>
        <v>LUP - VAE Póster Adelphi - Reuma</v>
      </c>
      <c r="E2069" s="10" t="str">
        <f>HYPERLINK("https://otsuka-europe-crm.veevavault.com/ui/#object/sent_email__v/VBL00000002O302", "SE-001431765")</f>
        <v>SE-001431765</v>
      </c>
      <c r="F2069" s="11"/>
      <c r="G2069" s="12">
        <v>0</v>
      </c>
      <c r="H2069" s="12">
        <v>0</v>
      </c>
      <c r="I2069" s="12">
        <v>0</v>
      </c>
      <c r="J2069" s="11"/>
      <c r="K2069" s="12">
        <v>0</v>
      </c>
      <c r="L2069" s="10" t="str">
        <f>HYPERLINK("https://otsuka-europe-crm.veevavault.com/ui/#object/approved_document__v/V5O00000001B037", "LUP - VAE Póster Adelphi - Reuma")</f>
        <v>LUP - VAE Póster Adelphi - Reuma</v>
      </c>
      <c r="M2069" s="10" t="str">
        <f>HYPERLINK("mailto:vvalladares@crm.otsuka-europe.com", "vvalladares@crm.otsuka-europe.com")</f>
        <v>vvalladares@crm.otsuka-europe.com</v>
      </c>
      <c r="N2069" s="13">
        <v>46175.56287037037</v>
      </c>
      <c r="O2069" s="14" t="str">
        <f>HYPERLINK("https://otsuka-europe-crm.veevavault.com/ui/#object/email_activity__v/V8C00000003K868", "EN-002087587")</f>
        <v>EN-002087587</v>
      </c>
    </row>
    <row r="2070" spans="1:15" ht="16" x14ac:dyDescent="0.2">
      <c r="A2070" s="17" t="str">
        <f>HYPERLINK("https://otsuka-europe-crm.veevavault.com/ui/#object/account__v/V4TZ04ASG8VE2MD", "MANUEL DE HARO LIGER")</f>
        <v>MANUEL DE HARO LIGER</v>
      </c>
      <c r="B2070" s="17" t="str">
        <f>HYPERLINK("https://otsuka-europe-crm.veevavault.com/ui/#object/vcountry__v/VENZ000004SONF5", "ES")</f>
        <v>ES</v>
      </c>
      <c r="C2070" s="20" t="s">
        <v>41</v>
      </c>
      <c r="D2070" s="21" t="str">
        <f>HYPERLINK("https://otsuka-europe-crm.veevavault.com/ui/#object/approved_document__v/V5O00000001B037", "LUP - VAE Póster Adelphi - Reuma")</f>
        <v>LUP - VAE Póster Adelphi - Reuma</v>
      </c>
      <c r="E2070" s="22" t="str">
        <f>HYPERLINK("https://otsuka-europe-crm.veevavault.com/ui/#object/sent_email__v/VBL00000002O303", "SE-001431766")</f>
        <v>SE-001431766</v>
      </c>
      <c r="F2070" s="23">
        <v>46175.873518518521</v>
      </c>
      <c r="G2070" s="24">
        <v>1</v>
      </c>
      <c r="H2070" s="24">
        <v>3</v>
      </c>
      <c r="I2070" s="24">
        <v>1</v>
      </c>
      <c r="J2070" s="23">
        <v>46175.873784722222</v>
      </c>
      <c r="K2070" s="24">
        <v>4</v>
      </c>
      <c r="L2070" s="22" t="str">
        <f>HYPERLINK("https://otsuka-europe-crm.veevavault.com/ui/#object/approved_document__v/V5O00000001B037", "LUP - VAE Póster Adelphi - Reuma")</f>
        <v>LUP - VAE Póster Adelphi - Reuma</v>
      </c>
      <c r="M2070" s="22" t="str">
        <f>HYPERLINK("mailto:vvalladares@crm.otsuka-europe.com", "vvalladares@crm.otsuka-europe.com")</f>
        <v>vvalladares@crm.otsuka-europe.com</v>
      </c>
      <c r="N2070" s="23">
        <v>46175.562881944446</v>
      </c>
      <c r="O2070" s="14" t="str">
        <f>HYPERLINK("https://otsuka-europe-crm.veevavault.com/ui/#object/email_activity__v/V8C00000003K908", "EN-002087636")</f>
        <v>EN-002087636</v>
      </c>
    </row>
    <row r="2071" spans="1:15" ht="16" x14ac:dyDescent="0.2">
      <c r="A2071" s="18"/>
      <c r="B2071" s="18"/>
      <c r="C2071" s="18"/>
      <c r="D2071" s="18"/>
      <c r="E2071" s="18"/>
      <c r="F2071" s="18"/>
      <c r="G2071" s="18"/>
      <c r="H2071" s="18"/>
      <c r="I2071" s="18"/>
      <c r="J2071" s="18"/>
      <c r="K2071" s="18"/>
      <c r="L2071" s="18"/>
      <c r="M2071" s="18"/>
      <c r="N2071" s="18"/>
      <c r="O2071" s="14" t="str">
        <f>HYPERLINK("https://otsuka-europe-crm.veevavault.com/ui/#object/email_activity__v/V8C00000003L984", "EN-002087972")</f>
        <v>EN-002087972</v>
      </c>
    </row>
    <row r="2072" spans="1:15" ht="16" x14ac:dyDescent="0.2">
      <c r="A2072" s="18"/>
      <c r="B2072" s="18"/>
      <c r="C2072" s="18"/>
      <c r="D2072" s="18"/>
      <c r="E2072" s="18"/>
      <c r="F2072" s="18"/>
      <c r="G2072" s="18"/>
      <c r="H2072" s="18"/>
      <c r="I2072" s="18"/>
      <c r="J2072" s="18"/>
      <c r="K2072" s="18"/>
      <c r="L2072" s="18"/>
      <c r="M2072" s="18"/>
      <c r="N2072" s="18"/>
      <c r="O2072" s="14" t="str">
        <f>HYPERLINK("https://otsuka-europe-crm.veevavault.com/ui/#object/email_activity__v/V8C00000003L985", "EN-002087973")</f>
        <v>EN-002087973</v>
      </c>
    </row>
    <row r="2073" spans="1:15" ht="16" x14ac:dyDescent="0.2">
      <c r="A2073" s="18"/>
      <c r="B2073" s="18"/>
      <c r="C2073" s="18"/>
      <c r="D2073" s="18"/>
      <c r="E2073" s="18"/>
      <c r="F2073" s="18"/>
      <c r="G2073" s="18"/>
      <c r="H2073" s="18"/>
      <c r="I2073" s="18"/>
      <c r="J2073" s="18"/>
      <c r="K2073" s="18"/>
      <c r="L2073" s="18"/>
      <c r="M2073" s="18"/>
      <c r="N2073" s="18"/>
      <c r="O2073" s="14" t="str">
        <f>HYPERLINK("https://otsuka-europe-crm.veevavault.com/ui/#object/email_activity__v/V8C00000003L986", "EN-002087974")</f>
        <v>EN-002087974</v>
      </c>
    </row>
    <row r="2074" spans="1:15" ht="16" x14ac:dyDescent="0.2">
      <c r="A2074" s="18"/>
      <c r="B2074" s="18"/>
      <c r="C2074" s="18"/>
      <c r="D2074" s="18"/>
      <c r="E2074" s="18"/>
      <c r="F2074" s="18"/>
      <c r="G2074" s="18"/>
      <c r="H2074" s="18"/>
      <c r="I2074" s="18"/>
      <c r="J2074" s="18"/>
      <c r="K2074" s="18"/>
      <c r="L2074" s="18"/>
      <c r="M2074" s="18"/>
      <c r="N2074" s="18"/>
      <c r="O2074" s="14" t="str">
        <f>HYPERLINK("https://otsuka-europe-crm.veevavault.com/ui/#object/email_activity__v/V8C00000003L988", "EN-002087976")</f>
        <v>EN-002087976</v>
      </c>
    </row>
    <row r="2075" spans="1:15" ht="16" x14ac:dyDescent="0.2">
      <c r="A2075" s="18"/>
      <c r="B2075" s="18"/>
      <c r="C2075" s="18"/>
      <c r="D2075" s="18"/>
      <c r="E2075" s="18"/>
      <c r="F2075" s="18"/>
      <c r="G2075" s="18"/>
      <c r="H2075" s="18"/>
      <c r="I2075" s="18"/>
      <c r="J2075" s="18"/>
      <c r="K2075" s="18"/>
      <c r="L2075" s="18"/>
      <c r="M2075" s="18"/>
      <c r="N2075" s="18"/>
      <c r="O2075" s="14" t="str">
        <f>HYPERLINK("https://otsuka-europe-crm.veevavault.com/ui/#object/email_activity__v/V8C00000003L990", "EN-002087978")</f>
        <v>EN-002087978</v>
      </c>
    </row>
    <row r="2076" spans="1:15" ht="16" x14ac:dyDescent="0.2">
      <c r="A2076" s="18"/>
      <c r="B2076" s="18"/>
      <c r="C2076" s="18"/>
      <c r="D2076" s="18"/>
      <c r="E2076" s="18"/>
      <c r="F2076" s="18"/>
      <c r="G2076" s="18"/>
      <c r="H2076" s="18"/>
      <c r="I2076" s="18"/>
      <c r="J2076" s="18"/>
      <c r="K2076" s="18"/>
      <c r="L2076" s="18"/>
      <c r="M2076" s="18"/>
      <c r="N2076" s="18"/>
      <c r="O2076" s="14" t="str">
        <f>HYPERLINK("https://otsuka-europe-crm.veevavault.com/ui/#object/email_activity__v/V8C00000003L992", "EN-002087980")</f>
        <v>EN-002087980</v>
      </c>
    </row>
    <row r="2077" spans="1:15" ht="16" x14ac:dyDescent="0.2">
      <c r="A2077" s="18"/>
      <c r="B2077" s="18"/>
      <c r="C2077" s="18"/>
      <c r="D2077" s="18"/>
      <c r="E2077" s="18"/>
      <c r="F2077" s="18"/>
      <c r="G2077" s="18"/>
      <c r="H2077" s="18"/>
      <c r="I2077" s="18"/>
      <c r="J2077" s="18"/>
      <c r="K2077" s="18"/>
      <c r="L2077" s="18"/>
      <c r="M2077" s="18"/>
      <c r="N2077" s="18"/>
      <c r="O2077" s="14" t="str">
        <f>HYPERLINK("https://otsuka-europe-crm.veevavault.com/ui/#object/email_activity__v/V8C00000003L993", "EN-002087981")</f>
        <v>EN-002087981</v>
      </c>
    </row>
    <row r="2078" spans="1:15" ht="16" x14ac:dyDescent="0.2">
      <c r="A2078" s="18"/>
      <c r="B2078" s="18"/>
      <c r="C2078" s="18"/>
      <c r="D2078" s="18"/>
      <c r="E2078" s="18"/>
      <c r="F2078" s="18"/>
      <c r="G2078" s="18"/>
      <c r="H2078" s="18"/>
      <c r="I2078" s="18"/>
      <c r="J2078" s="18"/>
      <c r="K2078" s="18"/>
      <c r="L2078" s="18"/>
      <c r="M2078" s="18"/>
      <c r="N2078" s="18"/>
      <c r="O2078" s="14" t="str">
        <f>HYPERLINK("https://otsuka-europe-crm.veevavault.com/ui/#object/email_activity__v/V8C00000003L995", "EN-002087983")</f>
        <v>EN-002087983</v>
      </c>
    </row>
    <row r="2079" spans="1:15" ht="16" x14ac:dyDescent="0.2">
      <c r="A2079" s="18"/>
      <c r="B2079" s="18"/>
      <c r="C2079" s="18"/>
      <c r="D2079" s="18"/>
      <c r="E2079" s="18"/>
      <c r="F2079" s="18"/>
      <c r="G2079" s="18"/>
      <c r="H2079" s="18"/>
      <c r="I2079" s="18"/>
      <c r="J2079" s="18"/>
      <c r="K2079" s="18"/>
      <c r="L2079" s="18"/>
      <c r="M2079" s="18"/>
      <c r="N2079" s="18"/>
      <c r="O2079" s="14" t="str">
        <f>HYPERLINK("https://otsuka-europe-crm.veevavault.com/ui/#object/email_activity__v/V8C00000003L996", "EN-002087984")</f>
        <v>EN-002087984</v>
      </c>
    </row>
    <row r="2080" spans="1:15" ht="16" x14ac:dyDescent="0.2">
      <c r="A2080" s="18"/>
      <c r="B2080" s="18"/>
      <c r="C2080" s="18"/>
      <c r="D2080" s="18"/>
      <c r="E2080" s="18"/>
      <c r="F2080" s="18"/>
      <c r="G2080" s="18"/>
      <c r="H2080" s="18"/>
      <c r="I2080" s="18"/>
      <c r="J2080" s="18"/>
      <c r="K2080" s="18"/>
      <c r="L2080" s="18"/>
      <c r="M2080" s="18"/>
      <c r="N2080" s="18"/>
      <c r="O2080" s="14" t="str">
        <f>HYPERLINK("https://otsuka-europe-crm.veevavault.com/ui/#object/email_activity__v/V8C00000003L998", "EN-002087986")</f>
        <v>EN-002087986</v>
      </c>
    </row>
    <row r="2081" spans="1:15" ht="16" x14ac:dyDescent="0.2">
      <c r="A2081" s="18"/>
      <c r="B2081" s="18"/>
      <c r="C2081" s="18"/>
      <c r="D2081" s="18"/>
      <c r="E2081" s="18"/>
      <c r="F2081" s="18"/>
      <c r="G2081" s="18"/>
      <c r="H2081" s="18"/>
      <c r="I2081" s="18"/>
      <c r="J2081" s="18"/>
      <c r="K2081" s="18"/>
      <c r="L2081" s="18"/>
      <c r="M2081" s="18"/>
      <c r="N2081" s="18"/>
      <c r="O2081" s="14" t="str">
        <f>HYPERLINK("https://otsuka-europe-crm.veevavault.com/ui/#object/email_activity__v/V8C00000003L999", "EN-002087987")</f>
        <v>EN-002087987</v>
      </c>
    </row>
    <row r="2082" spans="1:15" ht="16" x14ac:dyDescent="0.2">
      <c r="A2082" s="18"/>
      <c r="B2082" s="18"/>
      <c r="C2082" s="18"/>
      <c r="D2082" s="18"/>
      <c r="E2082" s="18"/>
      <c r="F2082" s="18"/>
      <c r="G2082" s="18"/>
      <c r="H2082" s="18"/>
      <c r="I2082" s="18"/>
      <c r="J2082" s="18"/>
      <c r="K2082" s="18"/>
      <c r="L2082" s="18"/>
      <c r="M2082" s="18"/>
      <c r="N2082" s="18"/>
      <c r="O2082" s="14" t="str">
        <f>HYPERLINK("https://otsuka-europe-crm.veevavault.com/ui/#object/email_activity__v/V8C00000003M071", "EN-002087962")</f>
        <v>EN-002087962</v>
      </c>
    </row>
    <row r="2083" spans="1:15" ht="16" x14ac:dyDescent="0.2">
      <c r="A2083" s="18"/>
      <c r="B2083" s="18"/>
      <c r="C2083" s="18"/>
      <c r="D2083" s="18"/>
      <c r="E2083" s="18"/>
      <c r="F2083" s="18"/>
      <c r="G2083" s="18"/>
      <c r="H2083" s="18"/>
      <c r="I2083" s="18"/>
      <c r="J2083" s="18"/>
      <c r="K2083" s="18"/>
      <c r="L2083" s="18"/>
      <c r="M2083" s="18"/>
      <c r="N2083" s="18"/>
      <c r="O2083" s="14" t="str">
        <f>HYPERLINK("https://otsuka-europe-crm.veevavault.com/ui/#object/email_activity__v/V8C00000003M072", "EN-002087963")</f>
        <v>EN-002087963</v>
      </c>
    </row>
    <row r="2084" spans="1:15" ht="16" x14ac:dyDescent="0.2">
      <c r="A2084" s="18"/>
      <c r="B2084" s="18"/>
      <c r="C2084" s="18"/>
      <c r="D2084" s="18"/>
      <c r="E2084" s="18"/>
      <c r="F2084" s="18"/>
      <c r="G2084" s="18"/>
      <c r="H2084" s="18"/>
      <c r="I2084" s="18"/>
      <c r="J2084" s="18"/>
      <c r="K2084" s="18"/>
      <c r="L2084" s="18"/>
      <c r="M2084" s="18"/>
      <c r="N2084" s="18"/>
      <c r="O2084" s="14" t="str">
        <f>HYPERLINK("https://otsuka-europe-crm.veevavault.com/ui/#object/email_activity__v/V8C00000003M073", "EN-002087964")</f>
        <v>EN-002087964</v>
      </c>
    </row>
    <row r="2085" spans="1:15" ht="16" x14ac:dyDescent="0.2">
      <c r="A2085" s="18"/>
      <c r="B2085" s="18"/>
      <c r="C2085" s="18"/>
      <c r="D2085" s="18"/>
      <c r="E2085" s="18"/>
      <c r="F2085" s="18"/>
      <c r="G2085" s="18"/>
      <c r="H2085" s="18"/>
      <c r="I2085" s="18"/>
      <c r="J2085" s="18"/>
      <c r="K2085" s="18"/>
      <c r="L2085" s="18"/>
      <c r="M2085" s="18"/>
      <c r="N2085" s="18"/>
      <c r="O2085" s="14" t="str">
        <f>HYPERLINK("https://otsuka-europe-crm.veevavault.com/ui/#object/email_activity__v/V8C00000003M075", "EN-002087966")</f>
        <v>EN-002087966</v>
      </c>
    </row>
    <row r="2086" spans="1:15" ht="16" x14ac:dyDescent="0.2">
      <c r="A2086" s="18"/>
      <c r="B2086" s="18"/>
      <c r="C2086" s="18"/>
      <c r="D2086" s="18"/>
      <c r="E2086" s="18"/>
      <c r="F2086" s="18"/>
      <c r="G2086" s="18"/>
      <c r="H2086" s="18"/>
      <c r="I2086" s="18"/>
      <c r="J2086" s="18"/>
      <c r="K2086" s="18"/>
      <c r="L2086" s="18"/>
      <c r="M2086" s="18"/>
      <c r="N2086" s="18"/>
      <c r="O2086" s="14" t="str">
        <f>HYPERLINK("https://otsuka-europe-crm.veevavault.com/ui/#object/email_activity__v/V8C00000003M225", "EN-002088418")</f>
        <v>EN-002088418</v>
      </c>
    </row>
    <row r="2087" spans="1:15" ht="16" x14ac:dyDescent="0.2">
      <c r="A2087" s="18"/>
      <c r="B2087" s="18"/>
      <c r="C2087" s="18"/>
      <c r="D2087" s="18"/>
      <c r="E2087" s="18"/>
      <c r="F2087" s="18"/>
      <c r="G2087" s="18"/>
      <c r="H2087" s="18"/>
      <c r="I2087" s="18"/>
      <c r="J2087" s="18"/>
      <c r="K2087" s="18"/>
      <c r="L2087" s="18"/>
      <c r="M2087" s="18"/>
      <c r="N2087" s="18"/>
      <c r="O2087" s="14" t="str">
        <f>HYPERLINK("https://otsuka-europe-crm.veevavault.com/ui/#object/email_activity__v/V8C00000003M226", "EN-002088419")</f>
        <v>EN-002088419</v>
      </c>
    </row>
    <row r="2088" spans="1:15" ht="16" x14ac:dyDescent="0.2">
      <c r="A2088" s="18"/>
      <c r="B2088" s="18"/>
      <c r="C2088" s="18"/>
      <c r="D2088" s="18"/>
      <c r="E2088" s="18"/>
      <c r="F2088" s="18"/>
      <c r="G2088" s="18"/>
      <c r="H2088" s="18"/>
      <c r="I2088" s="18"/>
      <c r="J2088" s="18"/>
      <c r="K2088" s="18"/>
      <c r="L2088" s="18"/>
      <c r="M2088" s="18"/>
      <c r="N2088" s="18"/>
      <c r="O2088" s="14" t="str">
        <f>HYPERLINK("https://otsuka-europe-crm.veevavault.com/ui/#object/email_activity__v/V8C00000003M232", "EN-002088426")</f>
        <v>EN-002088426</v>
      </c>
    </row>
    <row r="2089" spans="1:15" ht="16" x14ac:dyDescent="0.2">
      <c r="A2089" s="18"/>
      <c r="B2089" s="18"/>
      <c r="C2089" s="18"/>
      <c r="D2089" s="18"/>
      <c r="E2089" s="18"/>
      <c r="F2089" s="18"/>
      <c r="G2089" s="18"/>
      <c r="H2089" s="18"/>
      <c r="I2089" s="18"/>
      <c r="J2089" s="18"/>
      <c r="K2089" s="18"/>
      <c r="L2089" s="18"/>
      <c r="M2089" s="18"/>
      <c r="N2089" s="18"/>
      <c r="O2089" s="14" t="str">
        <f>HYPERLINK("https://otsuka-europe-crm.veevavault.com/ui/#object/email_activity__v/V8C00000003M233", "EN-002088427")</f>
        <v>EN-002088427</v>
      </c>
    </row>
    <row r="2090" spans="1:15" ht="16" x14ac:dyDescent="0.2">
      <c r="A2090" s="18"/>
      <c r="B2090" s="18"/>
      <c r="C2090" s="18"/>
      <c r="D2090" s="18"/>
      <c r="E2090" s="18"/>
      <c r="F2090" s="18"/>
      <c r="G2090" s="18"/>
      <c r="H2090" s="18"/>
      <c r="I2090" s="18"/>
      <c r="J2090" s="18"/>
      <c r="K2090" s="18"/>
      <c r="L2090" s="18"/>
      <c r="M2090" s="18"/>
      <c r="N2090" s="18"/>
      <c r="O2090" s="14" t="str">
        <f>HYPERLINK("https://otsuka-europe-crm.veevavault.com/ui/#object/email_activity__v/V8C00000003M234", "EN-002088428")</f>
        <v>EN-002088428</v>
      </c>
    </row>
    <row r="2091" spans="1:15" ht="16" x14ac:dyDescent="0.2">
      <c r="A2091" s="18"/>
      <c r="B2091" s="18"/>
      <c r="C2091" s="18"/>
      <c r="D2091" s="18"/>
      <c r="E2091" s="18"/>
      <c r="F2091" s="18"/>
      <c r="G2091" s="18"/>
      <c r="H2091" s="18"/>
      <c r="I2091" s="18"/>
      <c r="J2091" s="18"/>
      <c r="K2091" s="18"/>
      <c r="L2091" s="18"/>
      <c r="M2091" s="18"/>
      <c r="N2091" s="18"/>
      <c r="O2091" s="14" t="str">
        <f>HYPERLINK("https://otsuka-europe-crm.veevavault.com/ui/#object/email_activity__v/V8C00000003M235", "EN-002088429")</f>
        <v>EN-002088429</v>
      </c>
    </row>
    <row r="2092" spans="1:15" ht="16" x14ac:dyDescent="0.2">
      <c r="A2092" s="18"/>
      <c r="B2092" s="18"/>
      <c r="C2092" s="18"/>
      <c r="D2092" s="18"/>
      <c r="E2092" s="18"/>
      <c r="F2092" s="18"/>
      <c r="G2092" s="18"/>
      <c r="H2092" s="18"/>
      <c r="I2092" s="18"/>
      <c r="J2092" s="18"/>
      <c r="K2092" s="18"/>
      <c r="L2092" s="18"/>
      <c r="M2092" s="18"/>
      <c r="N2092" s="18"/>
      <c r="O2092" s="14" t="str">
        <f>HYPERLINK("https://otsuka-europe-crm.veevavault.com/ui/#object/email_activity__v/V8C00000003N001", "EN-002087988")</f>
        <v>EN-002087988</v>
      </c>
    </row>
    <row r="2093" spans="1:15" ht="16" x14ac:dyDescent="0.2">
      <c r="A2093" s="18"/>
      <c r="B2093" s="18"/>
      <c r="C2093" s="18"/>
      <c r="D2093" s="18"/>
      <c r="E2093" s="18"/>
      <c r="F2093" s="18"/>
      <c r="G2093" s="18"/>
      <c r="H2093" s="18"/>
      <c r="I2093" s="18"/>
      <c r="J2093" s="18"/>
      <c r="K2093" s="18"/>
      <c r="L2093" s="18"/>
      <c r="M2093" s="18"/>
      <c r="N2093" s="18"/>
      <c r="O2093" s="14" t="str">
        <f>HYPERLINK("https://otsuka-europe-crm.veevavault.com/ui/#object/email_activity__v/V8C00000003N003", "EN-002087990")</f>
        <v>EN-002087990</v>
      </c>
    </row>
    <row r="2094" spans="1:15" ht="16" x14ac:dyDescent="0.2">
      <c r="A2094" s="19"/>
      <c r="B2094" s="19"/>
      <c r="C2094" s="19"/>
      <c r="D2094" s="19"/>
      <c r="E2094" s="19"/>
      <c r="F2094" s="19"/>
      <c r="G2094" s="19"/>
      <c r="H2094" s="19"/>
      <c r="I2094" s="19"/>
      <c r="J2094" s="19"/>
      <c r="K2094" s="19"/>
      <c r="L2094" s="19"/>
      <c r="M2094" s="19"/>
      <c r="N2094" s="19"/>
      <c r="O2094" s="14" t="str">
        <f>HYPERLINK("https://otsuka-europe-crm.veevavault.com/ui/#object/email_activity__v/V8C00000003N284", "EN-002088416")</f>
        <v>EN-002088416</v>
      </c>
    </row>
    <row r="2095" spans="1:15" ht="16" x14ac:dyDescent="0.2">
      <c r="A2095" s="17" t="str">
        <f>HYPERLINK("https://otsuka-europe-crm.veevavault.com/ui/#object/account__v/V4TZ025E82NV6MU", "HALBERT HERNANDEZ NEGRIN")</f>
        <v>HALBERT HERNANDEZ NEGRIN</v>
      </c>
      <c r="B2095" s="17" t="str">
        <f>HYPERLINK("https://otsuka-europe-crm.veevavault.com/ui/#object/vcountry__v/VENZ000004SONF5", "ES")</f>
        <v>ES</v>
      </c>
      <c r="C2095" s="20" t="s">
        <v>41</v>
      </c>
      <c r="D2095" s="21" t="str">
        <f>HYPERLINK("https://otsuka-europe-crm.veevavault.com/ui/#object/approved_document__v/V5O00000001B037", "LUP - VAE Póster Adelphi - Reuma")</f>
        <v>LUP - VAE Póster Adelphi - Reuma</v>
      </c>
      <c r="E2095" s="22" t="str">
        <f>HYPERLINK("https://otsuka-europe-crm.veevavault.com/ui/#object/sent_email__v/VBL00000002O304", "SE-001431767")</f>
        <v>SE-001431767</v>
      </c>
      <c r="F2095" s="23">
        <v>46175.633657407408</v>
      </c>
      <c r="G2095" s="24">
        <v>1</v>
      </c>
      <c r="H2095" s="24">
        <v>3</v>
      </c>
      <c r="I2095" s="24">
        <v>0</v>
      </c>
      <c r="J2095" s="25"/>
      <c r="K2095" s="24">
        <v>0</v>
      </c>
      <c r="L2095" s="22" t="str">
        <f>HYPERLINK("https://otsuka-europe-crm.veevavault.com/ui/#object/approved_document__v/V5O00000001B037", "LUP - VAE Póster Adelphi - Reuma")</f>
        <v>LUP - VAE Póster Adelphi - Reuma</v>
      </c>
      <c r="M2095" s="22" t="str">
        <f>HYPERLINK("mailto:vvalladares@crm.otsuka-europe.com", "vvalladares@crm.otsuka-europe.com")</f>
        <v>vvalladares@crm.otsuka-europe.com</v>
      </c>
      <c r="N2095" s="23">
        <v>46175.56287037037</v>
      </c>
      <c r="O2095" s="14" t="str">
        <f>HYPERLINK("https://otsuka-europe-crm.veevavault.com/ui/#object/email_activity__v/V8C00000003K854", "EN-002087546")</f>
        <v>EN-002087546</v>
      </c>
    </row>
    <row r="2096" spans="1:15" ht="16" x14ac:dyDescent="0.2">
      <c r="A2096" s="18"/>
      <c r="B2096" s="18"/>
      <c r="C2096" s="18"/>
      <c r="D2096" s="18"/>
      <c r="E2096" s="18"/>
      <c r="F2096" s="18"/>
      <c r="G2096" s="18"/>
      <c r="H2096" s="18"/>
      <c r="I2096" s="18"/>
      <c r="J2096" s="18"/>
      <c r="K2096" s="18"/>
      <c r="L2096" s="18"/>
      <c r="M2096" s="18"/>
      <c r="N2096" s="18"/>
      <c r="O2096" s="14" t="str">
        <f>HYPERLINK("https://otsuka-europe-crm.veevavault.com/ui/#object/email_activity__v/V8C00000003L928", "EN-002087843")</f>
        <v>EN-002087843</v>
      </c>
    </row>
    <row r="2097" spans="1:15" ht="16" x14ac:dyDescent="0.2">
      <c r="A2097" s="18"/>
      <c r="B2097" s="18"/>
      <c r="C2097" s="18"/>
      <c r="D2097" s="18"/>
      <c r="E2097" s="18"/>
      <c r="F2097" s="18"/>
      <c r="G2097" s="18"/>
      <c r="H2097" s="18"/>
      <c r="I2097" s="18"/>
      <c r="J2097" s="18"/>
      <c r="K2097" s="18"/>
      <c r="L2097" s="18"/>
      <c r="M2097" s="18"/>
      <c r="N2097" s="18"/>
      <c r="O2097" s="14" t="str">
        <f>HYPERLINK("https://otsuka-europe-crm.veevavault.com/ui/#object/email_activity__v/V8C00000003M011", "EN-002087853")</f>
        <v>EN-002087853</v>
      </c>
    </row>
    <row r="2098" spans="1:15" ht="16" x14ac:dyDescent="0.2">
      <c r="A2098" s="19"/>
      <c r="B2098" s="19"/>
      <c r="C2098" s="19"/>
      <c r="D2098" s="19"/>
      <c r="E2098" s="19"/>
      <c r="F2098" s="19"/>
      <c r="G2098" s="19"/>
      <c r="H2098" s="19"/>
      <c r="I2098" s="19"/>
      <c r="J2098" s="19"/>
      <c r="K2098" s="19"/>
      <c r="L2098" s="19"/>
      <c r="M2098" s="19"/>
      <c r="N2098" s="19"/>
      <c r="O2098" s="14" t="str">
        <f>HYPERLINK("https://otsuka-europe-crm.veevavault.com/ui/#object/email_activity__v/V8C00000003M043", "EN-002087915")</f>
        <v>EN-002087915</v>
      </c>
    </row>
    <row r="2099" spans="1:15" ht="32" x14ac:dyDescent="0.2">
      <c r="A2099" s="7" t="str">
        <f>HYPERLINK("https://otsuka-europe-crm.veevavault.com/ui/#object/account__v/V4TZ04ASG9BFDA3", "ANTONIO JENARO AZNAR ESQUIVEL")</f>
        <v>ANTONIO JENARO AZNAR ESQUIVEL</v>
      </c>
      <c r="B2099" s="7" t="str">
        <f>HYPERLINK("https://otsuka-europe-crm.veevavault.com/ui/#object/vcountry__v/VENZ000004SONF5", "ES")</f>
        <v>ES</v>
      </c>
      <c r="C2099" s="8" t="s">
        <v>41</v>
      </c>
      <c r="D2099" s="9" t="str">
        <f>HYPERLINK("https://otsuka-europe-crm.veevavault.com/ui/#object/approved_document__v/V5O00000001B037", "LUP - VAE Póster Adelphi - Reuma")</f>
        <v>LUP - VAE Póster Adelphi - Reuma</v>
      </c>
      <c r="E2099" s="10" t="str">
        <f>HYPERLINK("https://otsuka-europe-crm.veevavault.com/ui/#object/sent_email__v/VBL00000002O305", "SE-001431768")</f>
        <v>SE-001431768</v>
      </c>
      <c r="F2099" s="11"/>
      <c r="G2099" s="12">
        <v>0</v>
      </c>
      <c r="H2099" s="12">
        <v>0</v>
      </c>
      <c r="I2099" s="12">
        <v>0</v>
      </c>
      <c r="J2099" s="11"/>
      <c r="K2099" s="12">
        <v>0</v>
      </c>
      <c r="L2099" s="10" t="str">
        <f>HYPERLINK("https://otsuka-europe-crm.veevavault.com/ui/#object/approved_document__v/V5O00000001B037", "LUP - VAE Póster Adelphi - Reuma")</f>
        <v>LUP - VAE Póster Adelphi - Reuma</v>
      </c>
      <c r="M2099" s="10" t="str">
        <f>HYPERLINK("mailto:vvalladares@crm.otsuka-europe.com", "vvalladares@crm.otsuka-europe.com")</f>
        <v>vvalladares@crm.otsuka-europe.com</v>
      </c>
      <c r="N2099" s="13">
        <v>46175.56287037037</v>
      </c>
      <c r="O2099" s="14" t="str">
        <f>HYPERLINK("https://otsuka-europe-crm.veevavault.com/ui/#object/email_activity__v/V8C00000003K877", "EN-002087596")</f>
        <v>EN-002087596</v>
      </c>
    </row>
    <row r="2100" spans="1:15" ht="16" x14ac:dyDescent="0.2">
      <c r="A2100" s="17" t="str">
        <f>HYPERLINK("https://otsuka-europe-crm.veevavault.com/ui/#object/account__v/V4TZ04ASG8VDPCW", "FRANCISCO JESUS RUBIÑO JUAREZ")</f>
        <v>FRANCISCO JESUS RUBIÑO JUAREZ</v>
      </c>
      <c r="B2100" s="17" t="str">
        <f>HYPERLINK("https://otsuka-europe-crm.veevavault.com/ui/#object/vcountry__v/VENZ000004SONF5", "ES")</f>
        <v>ES</v>
      </c>
      <c r="C2100" s="20" t="s">
        <v>41</v>
      </c>
      <c r="D2100" s="21" t="str">
        <f>HYPERLINK("https://otsuka-europe-crm.veevavault.com/ui/#object/approved_document__v/V5O00000001B037", "LUP - VAE Póster Adelphi - Reuma")</f>
        <v>LUP - VAE Póster Adelphi - Reuma</v>
      </c>
      <c r="E2100" s="22" t="str">
        <f>HYPERLINK("https://otsuka-europe-crm.veevavault.com/ui/#object/sent_email__v/VBL00000002O306", "SE-001431769")</f>
        <v>SE-001431769</v>
      </c>
      <c r="F2100" s="23">
        <v>46175.707997685182</v>
      </c>
      <c r="G2100" s="24">
        <v>1</v>
      </c>
      <c r="H2100" s="24">
        <v>2</v>
      </c>
      <c r="I2100" s="24">
        <v>0</v>
      </c>
      <c r="J2100" s="25"/>
      <c r="K2100" s="24">
        <v>0</v>
      </c>
      <c r="L2100" s="22" t="str">
        <f>HYPERLINK("https://otsuka-europe-crm.veevavault.com/ui/#object/approved_document__v/V5O00000001B037", "LUP - VAE Póster Adelphi - Reuma")</f>
        <v>LUP - VAE Póster Adelphi - Reuma</v>
      </c>
      <c r="M2100" s="22" t="str">
        <f>HYPERLINK("mailto:vvalladares@crm.otsuka-europe.com", "vvalladares@crm.otsuka-europe.com")</f>
        <v>vvalladares@crm.otsuka-europe.com</v>
      </c>
      <c r="N2100" s="23">
        <v>46175.56287037037</v>
      </c>
      <c r="O2100" s="14" t="str">
        <f>HYPERLINK("https://otsuka-europe-crm.veevavault.com/ui/#object/email_activity__v/V8C00000003K949", "EN-002087721")</f>
        <v>EN-002087721</v>
      </c>
    </row>
    <row r="2101" spans="1:15" ht="16" x14ac:dyDescent="0.2">
      <c r="A2101" s="18"/>
      <c r="B2101" s="18"/>
      <c r="C2101" s="18"/>
      <c r="D2101" s="18"/>
      <c r="E2101" s="18"/>
      <c r="F2101" s="18"/>
      <c r="G2101" s="18"/>
      <c r="H2101" s="18"/>
      <c r="I2101" s="18"/>
      <c r="J2101" s="18"/>
      <c r="K2101" s="18"/>
      <c r="L2101" s="18"/>
      <c r="M2101" s="18"/>
      <c r="N2101" s="18"/>
      <c r="O2101" s="14" t="str">
        <f>HYPERLINK("https://otsuka-europe-crm.veevavault.com/ui/#object/email_activity__v/V8C00000003L782", "EN-002087549")</f>
        <v>EN-002087549</v>
      </c>
    </row>
    <row r="2102" spans="1:15" ht="16" x14ac:dyDescent="0.2">
      <c r="A2102" s="18"/>
      <c r="B2102" s="18"/>
      <c r="C2102" s="18"/>
      <c r="D2102" s="18"/>
      <c r="E2102" s="18"/>
      <c r="F2102" s="18"/>
      <c r="G2102" s="18"/>
      <c r="H2102" s="18"/>
      <c r="I2102" s="18"/>
      <c r="J2102" s="18"/>
      <c r="K2102" s="18"/>
      <c r="L2102" s="18"/>
      <c r="M2102" s="18"/>
      <c r="N2102" s="18"/>
      <c r="O2102" s="14" t="str">
        <f>HYPERLINK("https://otsuka-europe-crm.veevavault.com/ui/#object/email_activity__v/V8C00000003M102", "EN-002088027")</f>
        <v>EN-002088027</v>
      </c>
    </row>
    <row r="2103" spans="1:15" ht="16" x14ac:dyDescent="0.2">
      <c r="A2103" s="19"/>
      <c r="B2103" s="19"/>
      <c r="C2103" s="19"/>
      <c r="D2103" s="19"/>
      <c r="E2103" s="19"/>
      <c r="F2103" s="19"/>
      <c r="G2103" s="19"/>
      <c r="H2103" s="19"/>
      <c r="I2103" s="19"/>
      <c r="J2103" s="19"/>
      <c r="K2103" s="19"/>
      <c r="L2103" s="19"/>
      <c r="M2103" s="19"/>
      <c r="N2103" s="19"/>
      <c r="O2103" s="14" t="str">
        <f>HYPERLINK("https://otsuka-europe-crm.veevavault.com/ui/#object/email_activity__v/V8C00000003P124", "EN-002089479")</f>
        <v>EN-002089479</v>
      </c>
    </row>
    <row r="2104" spans="1:15" ht="16" x14ac:dyDescent="0.2">
      <c r="A2104" s="17" t="str">
        <f>HYPERLINK("https://otsuka-europe-crm.veevavault.com/ui/#object/account__v/V4TZ04ASG9MFL3E", "CARLOS RODRIGUEZ ESCALERA")</f>
        <v>CARLOS RODRIGUEZ ESCALERA</v>
      </c>
      <c r="B2104" s="17" t="str">
        <f>HYPERLINK("https://otsuka-europe-crm.veevavault.com/ui/#object/vcountry__v/VENZ000004SONF5", "ES")</f>
        <v>ES</v>
      </c>
      <c r="C2104" s="20" t="s">
        <v>41</v>
      </c>
      <c r="D2104" s="21" t="str">
        <f>HYPERLINK("https://otsuka-europe-crm.veevavault.com/ui/#object/approved_document__v/V5O00000001B037", "LUP - VAE Póster Adelphi - Reuma")</f>
        <v>LUP - VAE Póster Adelphi - Reuma</v>
      </c>
      <c r="E2104" s="22" t="str">
        <f>HYPERLINK("https://otsuka-europe-crm.veevavault.com/ui/#object/sent_email__v/VBL00000002O307", "SE-001431770")</f>
        <v>SE-001431770</v>
      </c>
      <c r="F2104" s="23">
        <v>46175.653252314813</v>
      </c>
      <c r="G2104" s="24">
        <v>1</v>
      </c>
      <c r="H2104" s="24">
        <v>2</v>
      </c>
      <c r="I2104" s="24">
        <v>1</v>
      </c>
      <c r="J2104" s="23">
        <v>46175.653344907405</v>
      </c>
      <c r="K2104" s="24">
        <v>1</v>
      </c>
      <c r="L2104" s="22" t="str">
        <f>HYPERLINK("https://otsuka-europe-crm.veevavault.com/ui/#object/approved_document__v/V5O00000001B037", "LUP - VAE Póster Adelphi - Reuma")</f>
        <v>LUP - VAE Póster Adelphi - Reuma</v>
      </c>
      <c r="M2104" s="22" t="str">
        <f>HYPERLINK("mailto:vvalladares@crm.otsuka-europe.com", "vvalladares@crm.otsuka-europe.com")</f>
        <v>vvalladares@crm.otsuka-europe.com</v>
      </c>
      <c r="N2104" s="23">
        <v>46175.562881944446</v>
      </c>
      <c r="O2104" s="14" t="str">
        <f>HYPERLINK("https://otsuka-europe-crm.veevavault.com/ui/#object/email_activity__v/V8C00000003K907", "EN-002087635")</f>
        <v>EN-002087635</v>
      </c>
    </row>
    <row r="2105" spans="1:15" ht="16" x14ac:dyDescent="0.2">
      <c r="A2105" s="18"/>
      <c r="B2105" s="18"/>
      <c r="C2105" s="18"/>
      <c r="D2105" s="18"/>
      <c r="E2105" s="18"/>
      <c r="F2105" s="18"/>
      <c r="G2105" s="18"/>
      <c r="H2105" s="18"/>
      <c r="I2105" s="18"/>
      <c r="J2105" s="18"/>
      <c r="K2105" s="18"/>
      <c r="L2105" s="18"/>
      <c r="M2105" s="18"/>
      <c r="N2105" s="18"/>
      <c r="O2105" s="14" t="str">
        <f>HYPERLINK("https://otsuka-europe-crm.veevavault.com/ui/#object/email_activity__v/V8C00000003L864", "EN-002087725")</f>
        <v>EN-002087725</v>
      </c>
    </row>
    <row r="2106" spans="1:15" ht="16" x14ac:dyDescent="0.2">
      <c r="A2106" s="18"/>
      <c r="B2106" s="18"/>
      <c r="C2106" s="18"/>
      <c r="D2106" s="18"/>
      <c r="E2106" s="18"/>
      <c r="F2106" s="18"/>
      <c r="G2106" s="18"/>
      <c r="H2106" s="18"/>
      <c r="I2106" s="18"/>
      <c r="J2106" s="18"/>
      <c r="K2106" s="18"/>
      <c r="L2106" s="18"/>
      <c r="M2106" s="18"/>
      <c r="N2106" s="18"/>
      <c r="O2106" s="14" t="str">
        <f>HYPERLINK("https://otsuka-europe-crm.veevavault.com/ui/#object/email_activity__v/V8C00000003L989", "EN-002087977")</f>
        <v>EN-002087977</v>
      </c>
    </row>
    <row r="2107" spans="1:15" ht="16" x14ac:dyDescent="0.2">
      <c r="A2107" s="18"/>
      <c r="B2107" s="18"/>
      <c r="C2107" s="18"/>
      <c r="D2107" s="18"/>
      <c r="E2107" s="18"/>
      <c r="F2107" s="18"/>
      <c r="G2107" s="18"/>
      <c r="H2107" s="18"/>
      <c r="I2107" s="18"/>
      <c r="J2107" s="18"/>
      <c r="K2107" s="18"/>
      <c r="L2107" s="18"/>
      <c r="M2107" s="18"/>
      <c r="N2107" s="18"/>
      <c r="O2107" s="14" t="str">
        <f>HYPERLINK("https://otsuka-europe-crm.veevavault.com/ui/#object/email_activity__v/V8C00000003M062", "EN-002087947")</f>
        <v>EN-002087947</v>
      </c>
    </row>
    <row r="2108" spans="1:15" ht="16" x14ac:dyDescent="0.2">
      <c r="A2108" s="18"/>
      <c r="B2108" s="18"/>
      <c r="C2108" s="18"/>
      <c r="D2108" s="18"/>
      <c r="E2108" s="18"/>
      <c r="F2108" s="18"/>
      <c r="G2108" s="18"/>
      <c r="H2108" s="18"/>
      <c r="I2108" s="18"/>
      <c r="J2108" s="18"/>
      <c r="K2108" s="18"/>
      <c r="L2108" s="18"/>
      <c r="M2108" s="18"/>
      <c r="N2108" s="18"/>
      <c r="O2108" s="14" t="str">
        <f>HYPERLINK("https://otsuka-europe-crm.veevavault.com/ui/#object/email_activity__v/V8C00000003M063", "EN-002087948")</f>
        <v>EN-002087948</v>
      </c>
    </row>
    <row r="2109" spans="1:15" ht="16" x14ac:dyDescent="0.2">
      <c r="A2109" s="19"/>
      <c r="B2109" s="19"/>
      <c r="C2109" s="19"/>
      <c r="D2109" s="19"/>
      <c r="E2109" s="19"/>
      <c r="F2109" s="19"/>
      <c r="G2109" s="19"/>
      <c r="H2109" s="19"/>
      <c r="I2109" s="19"/>
      <c r="J2109" s="19"/>
      <c r="K2109" s="19"/>
      <c r="L2109" s="19"/>
      <c r="M2109" s="19"/>
      <c r="N2109" s="19"/>
      <c r="O2109" s="14" t="str">
        <f>HYPERLINK("https://otsuka-europe-crm.veevavault.com/ui/#object/email_activity__v/V8C00000003N512", "EN-002088813")</f>
        <v>EN-002088813</v>
      </c>
    </row>
    <row r="2110" spans="1:15" ht="16" x14ac:dyDescent="0.2">
      <c r="A2110" s="17" t="str">
        <f>HYPERLINK("https://otsuka-europe-crm.veevavault.com/ui/#object/account__v/V4TZ04ASG9BAL1G", "MARIA JESUS MONTESA CABRERA")</f>
        <v>MARIA JESUS MONTESA CABRERA</v>
      </c>
      <c r="B2110" s="17" t="str">
        <f>HYPERLINK("https://otsuka-europe-crm.veevavault.com/ui/#object/vcountry__v/VENZ000004SONF5", "ES")</f>
        <v>ES</v>
      </c>
      <c r="C2110" s="20" t="s">
        <v>41</v>
      </c>
      <c r="D2110" s="21" t="str">
        <f>HYPERLINK("https://otsuka-europe-crm.veevavault.com/ui/#object/approved_document__v/V5O00000001B037", "LUP - VAE Póster Adelphi - Reuma")</f>
        <v>LUP - VAE Póster Adelphi - Reuma</v>
      </c>
      <c r="E2110" s="22" t="str">
        <f>HYPERLINK("https://otsuka-europe-crm.veevavault.com/ui/#object/sent_email__v/VBL00000002O308", "SE-001431771")</f>
        <v>SE-001431771</v>
      </c>
      <c r="F2110" s="25"/>
      <c r="G2110" s="24">
        <v>0</v>
      </c>
      <c r="H2110" s="24">
        <v>0</v>
      </c>
      <c r="I2110" s="24">
        <v>0</v>
      </c>
      <c r="J2110" s="25"/>
      <c r="K2110" s="24">
        <v>0</v>
      </c>
      <c r="L2110" s="22" t="str">
        <f>HYPERLINK("https://otsuka-europe-crm.veevavault.com/ui/#object/approved_document__v/V5O00000001B037", "LUP - VAE Póster Adelphi - Reuma")</f>
        <v>LUP - VAE Póster Adelphi - Reuma</v>
      </c>
      <c r="M2110" s="22" t="str">
        <f>HYPERLINK("mailto:vvalladares@crm.otsuka-europe.com", "vvalladares@crm.otsuka-europe.com")</f>
        <v>vvalladares@crm.otsuka-europe.com</v>
      </c>
      <c r="N2110" s="23">
        <v>46175.56287037037</v>
      </c>
      <c r="O2110" s="14" t="str">
        <f>HYPERLINK("https://otsuka-europe-crm.veevavault.com/ui/#object/email_activity__v/V8C00000003L791", "EN-002087558")</f>
        <v>EN-002087558</v>
      </c>
    </row>
    <row r="2111" spans="1:15" ht="16" x14ac:dyDescent="0.2">
      <c r="A2111" s="18"/>
      <c r="B2111" s="18"/>
      <c r="C2111" s="18"/>
      <c r="D2111" s="18"/>
      <c r="E2111" s="18"/>
      <c r="F2111" s="18"/>
      <c r="G2111" s="18"/>
      <c r="H2111" s="18"/>
      <c r="I2111" s="18"/>
      <c r="J2111" s="18"/>
      <c r="K2111" s="18"/>
      <c r="L2111" s="18"/>
      <c r="M2111" s="18"/>
      <c r="N2111" s="18"/>
      <c r="O2111" s="14" t="str">
        <f>HYPERLINK("https://otsuka-europe-crm.veevavault.com/ui/#object/email_activity__v/V8C00000003L917", "EN-002087828")</f>
        <v>EN-002087828</v>
      </c>
    </row>
    <row r="2112" spans="1:15" ht="16" x14ac:dyDescent="0.2">
      <c r="A2112" s="18"/>
      <c r="B2112" s="18"/>
      <c r="C2112" s="18"/>
      <c r="D2112" s="18"/>
      <c r="E2112" s="18"/>
      <c r="F2112" s="18"/>
      <c r="G2112" s="18"/>
      <c r="H2112" s="18"/>
      <c r="I2112" s="18"/>
      <c r="J2112" s="18"/>
      <c r="K2112" s="18"/>
      <c r="L2112" s="18"/>
      <c r="M2112" s="18"/>
      <c r="N2112" s="18"/>
      <c r="O2112" s="14" t="str">
        <f>HYPERLINK("https://otsuka-europe-crm.veevavault.com/ui/#object/email_activity__v/V8C00000003M103", "EN-002088029")</f>
        <v>EN-002088029</v>
      </c>
    </row>
    <row r="2113" spans="1:15" ht="16" x14ac:dyDescent="0.2">
      <c r="A2113" s="19"/>
      <c r="B2113" s="19"/>
      <c r="C2113" s="19"/>
      <c r="D2113" s="19"/>
      <c r="E2113" s="19"/>
      <c r="F2113" s="19"/>
      <c r="G2113" s="19"/>
      <c r="H2113" s="19"/>
      <c r="I2113" s="19"/>
      <c r="J2113" s="19"/>
      <c r="K2113" s="19"/>
      <c r="L2113" s="19"/>
      <c r="M2113" s="19"/>
      <c r="N2113" s="19"/>
      <c r="O2113" s="14" t="str">
        <f>HYPERLINK("https://otsuka-europe-crm.veevavault.com/ui/#object/email_activity__v/V8C00000003O003", "EN-002089243")</f>
        <v>EN-002089243</v>
      </c>
    </row>
    <row r="2114" spans="1:15" ht="16" x14ac:dyDescent="0.2">
      <c r="A2114" s="17" t="str">
        <f>HYPERLINK("https://otsuka-europe-crm.veevavault.com/ui/#object/account__v/V4TZ04ASGCYMFU5", "NOEMI PATRICIA GARRIDO PUÑAL")</f>
        <v>NOEMI PATRICIA GARRIDO PUÑAL</v>
      </c>
      <c r="B2114" s="17" t="str">
        <f>HYPERLINK("https://otsuka-europe-crm.veevavault.com/ui/#object/vcountry__v/VENZ000004SONF5", "ES")</f>
        <v>ES</v>
      </c>
      <c r="C2114" s="20" t="s">
        <v>41</v>
      </c>
      <c r="D2114" s="21" t="str">
        <f>HYPERLINK("https://otsuka-europe-crm.veevavault.com/ui/#object/approved_document__v/V5O00000001B037", "LUP - VAE Póster Adelphi - Reuma")</f>
        <v>LUP - VAE Póster Adelphi - Reuma</v>
      </c>
      <c r="E2114" s="22" t="str">
        <f>HYPERLINK("https://otsuka-europe-crm.veevavault.com/ui/#object/sent_email__v/VBL00000002O309", "SE-001431772")</f>
        <v>SE-001431772</v>
      </c>
      <c r="F2114" s="23">
        <v>46175.68204861111</v>
      </c>
      <c r="G2114" s="24">
        <v>1</v>
      </c>
      <c r="H2114" s="24">
        <v>1</v>
      </c>
      <c r="I2114" s="24">
        <v>0</v>
      </c>
      <c r="J2114" s="25"/>
      <c r="K2114" s="24">
        <v>0</v>
      </c>
      <c r="L2114" s="22" t="str">
        <f>HYPERLINK("https://otsuka-europe-crm.veevavault.com/ui/#object/approved_document__v/V5O00000001B037", "LUP - VAE Póster Adelphi - Reuma")</f>
        <v>LUP - VAE Póster Adelphi - Reuma</v>
      </c>
      <c r="M2114" s="22" t="str">
        <f>HYPERLINK("mailto:vvalladares@crm.otsuka-europe.com", "vvalladares@crm.otsuka-europe.com")</f>
        <v>vvalladares@crm.otsuka-europe.com</v>
      </c>
      <c r="N2114" s="23">
        <v>46175.56287037037</v>
      </c>
      <c r="O2114" s="14" t="str">
        <f>HYPERLINK("https://otsuka-europe-crm.veevavault.com/ui/#object/email_activity__v/V8C00000003K871", "EN-002087590")</f>
        <v>EN-002087590</v>
      </c>
    </row>
    <row r="2115" spans="1:15" ht="16" x14ac:dyDescent="0.2">
      <c r="A2115" s="19"/>
      <c r="B2115" s="19"/>
      <c r="C2115" s="19"/>
      <c r="D2115" s="19"/>
      <c r="E2115" s="19"/>
      <c r="F2115" s="19"/>
      <c r="G2115" s="19"/>
      <c r="H2115" s="19"/>
      <c r="I2115" s="19"/>
      <c r="J2115" s="19"/>
      <c r="K2115" s="19"/>
      <c r="L2115" s="19"/>
      <c r="M2115" s="19"/>
      <c r="N2115" s="19"/>
      <c r="O2115" s="14" t="str">
        <f>HYPERLINK("https://otsuka-europe-crm.veevavault.com/ui/#object/email_activity__v/V8C00000003N007", "EN-002087995")</f>
        <v>EN-002087995</v>
      </c>
    </row>
    <row r="2116" spans="1:15" ht="32" x14ac:dyDescent="0.2">
      <c r="A2116" s="7" t="str">
        <f>HYPERLINK("https://otsuka-europe-crm.veevavault.com/ui/#object/account__v/V4TZ04ASG9REL8S", "NATALIA MENA VAZQUEZ")</f>
        <v>NATALIA MENA VAZQUEZ</v>
      </c>
      <c r="B2116" s="7" t="str">
        <f t="shared" ref="B2116:B2121" si="40">HYPERLINK("https://otsuka-europe-crm.veevavault.com/ui/#object/vcountry__v/VENZ000004SONF5", "ES")</f>
        <v>ES</v>
      </c>
      <c r="C2116" s="8" t="s">
        <v>41</v>
      </c>
      <c r="D2116" s="9" t="str">
        <f t="shared" ref="D2116:D2121" si="41">HYPERLINK("https://otsuka-europe-crm.veevavault.com/ui/#object/approved_document__v/V5O00000001B037", "LUP - VAE Póster Adelphi - Reuma")</f>
        <v>LUP - VAE Póster Adelphi - Reuma</v>
      </c>
      <c r="E2116" s="10" t="str">
        <f>HYPERLINK("https://otsuka-europe-crm.veevavault.com/ui/#object/sent_email__v/VBL00000002O310", "SE-001431773")</f>
        <v>SE-001431773</v>
      </c>
      <c r="F2116" s="11"/>
      <c r="G2116" s="12">
        <v>0</v>
      </c>
      <c r="H2116" s="12">
        <v>0</v>
      </c>
      <c r="I2116" s="12">
        <v>0</v>
      </c>
      <c r="J2116" s="11"/>
      <c r="K2116" s="12">
        <v>0</v>
      </c>
      <c r="L2116" s="10" t="str">
        <f t="shared" ref="L2116:L2121" si="42">HYPERLINK("https://otsuka-europe-crm.veevavault.com/ui/#object/approved_document__v/V5O00000001B037", "LUP - VAE Póster Adelphi - Reuma")</f>
        <v>LUP - VAE Póster Adelphi - Reuma</v>
      </c>
      <c r="M2116" s="10" t="str">
        <f t="shared" ref="M2116:M2121" si="43">HYPERLINK("mailto:vvalladares@crm.otsuka-europe.com", "vvalladares@crm.otsuka-europe.com")</f>
        <v>vvalladares@crm.otsuka-europe.com</v>
      </c>
      <c r="N2116" s="13">
        <v>46175.562858796293</v>
      </c>
      <c r="O2116" s="14" t="str">
        <f>HYPERLINK("https://otsuka-europe-crm.veevavault.com/ui/#object/email_activity__v/V8C00000003L845", "EN-002087696")</f>
        <v>EN-002087696</v>
      </c>
    </row>
    <row r="2117" spans="1:15" ht="32" x14ac:dyDescent="0.2">
      <c r="A2117" s="7" t="str">
        <f>HYPERLINK("https://otsuka-europe-crm.veevavault.com/ui/#object/account__v/V4TZ04ASG9MFHS3", "CARMEN MARIA ROMERO BARCO")</f>
        <v>CARMEN MARIA ROMERO BARCO</v>
      </c>
      <c r="B2117" s="7" t="str">
        <f t="shared" si="40"/>
        <v>ES</v>
      </c>
      <c r="C2117" s="8" t="s">
        <v>41</v>
      </c>
      <c r="D2117" s="9" t="str">
        <f t="shared" si="41"/>
        <v>LUP - VAE Póster Adelphi - Reuma</v>
      </c>
      <c r="E2117" s="10" t="str">
        <f>HYPERLINK("https://otsuka-europe-crm.veevavault.com/ui/#object/sent_email__v/VBL00000002O311", "SE-001431774")</f>
        <v>SE-001431774</v>
      </c>
      <c r="F2117" s="11"/>
      <c r="G2117" s="12">
        <v>0</v>
      </c>
      <c r="H2117" s="12">
        <v>0</v>
      </c>
      <c r="I2117" s="12">
        <v>0</v>
      </c>
      <c r="J2117" s="11"/>
      <c r="K2117" s="12">
        <v>0</v>
      </c>
      <c r="L2117" s="10" t="str">
        <f t="shared" si="42"/>
        <v>LUP - VAE Póster Adelphi - Reuma</v>
      </c>
      <c r="M2117" s="10" t="str">
        <f t="shared" si="43"/>
        <v>vvalladares@crm.otsuka-europe.com</v>
      </c>
      <c r="N2117" s="13">
        <v>46175.562858796293</v>
      </c>
      <c r="O2117" s="14" t="str">
        <f>HYPERLINK("https://otsuka-europe-crm.veevavault.com/ui/#object/email_activity__v/V8C00000003L847", "EN-002087699")</f>
        <v>EN-002087699</v>
      </c>
    </row>
    <row r="2118" spans="1:15" ht="32" x14ac:dyDescent="0.2">
      <c r="A2118" s="7" t="str">
        <f>HYPERLINK("https://otsuka-europe-crm.veevavault.com/ui/#object/account__v/V4TZ04ASG9MFKXV", "MARIA CARMEN ORDOÑEZ CAÑIZARES")</f>
        <v>MARIA CARMEN ORDOÑEZ CAÑIZARES</v>
      </c>
      <c r="B2118" s="7" t="str">
        <f t="shared" si="40"/>
        <v>ES</v>
      </c>
      <c r="C2118" s="8" t="s">
        <v>41</v>
      </c>
      <c r="D2118" s="9" t="str">
        <f t="shared" si="41"/>
        <v>LUP - VAE Póster Adelphi - Reuma</v>
      </c>
      <c r="E2118" s="10" t="str">
        <f>HYPERLINK("https://otsuka-europe-crm.veevavault.com/ui/#object/sent_email__v/VBL00000002O312", "SE-001431775")</f>
        <v>SE-001431775</v>
      </c>
      <c r="F2118" s="11"/>
      <c r="G2118" s="12">
        <v>0</v>
      </c>
      <c r="H2118" s="12">
        <v>0</v>
      </c>
      <c r="I2118" s="12">
        <v>0</v>
      </c>
      <c r="J2118" s="11"/>
      <c r="K2118" s="12">
        <v>0</v>
      </c>
      <c r="L2118" s="10" t="str">
        <f t="shared" si="42"/>
        <v>LUP - VAE Póster Adelphi - Reuma</v>
      </c>
      <c r="M2118" s="10" t="str">
        <f t="shared" si="43"/>
        <v>vvalladares@crm.otsuka-europe.com</v>
      </c>
      <c r="N2118" s="13">
        <v>46175.562858796293</v>
      </c>
      <c r="O2118" s="14" t="str">
        <f>HYPERLINK("https://otsuka-europe-crm.veevavault.com/ui/#object/email_activity__v/V8C00000003K887", "EN-002087606")</f>
        <v>EN-002087606</v>
      </c>
    </row>
    <row r="2119" spans="1:15" ht="32" x14ac:dyDescent="0.2">
      <c r="A2119" s="7" t="str">
        <f>HYPERLINK("https://otsuka-europe-crm.veevavault.com/ui/#object/account__v/V4TZ04ASG9MFKXW", "ROSA MARIA GARCIA PORTALES")</f>
        <v>ROSA MARIA GARCIA PORTALES</v>
      </c>
      <c r="B2119" s="7" t="str">
        <f t="shared" si="40"/>
        <v>ES</v>
      </c>
      <c r="C2119" s="8" t="s">
        <v>41</v>
      </c>
      <c r="D2119" s="9" t="str">
        <f t="shared" si="41"/>
        <v>LUP - VAE Póster Adelphi - Reuma</v>
      </c>
      <c r="E2119" s="10" t="str">
        <f>HYPERLINK("https://otsuka-europe-crm.veevavault.com/ui/#object/sent_email__v/VBL00000002O313", "SE-001431776")</f>
        <v>SE-001431776</v>
      </c>
      <c r="F2119" s="11"/>
      <c r="G2119" s="12">
        <v>0</v>
      </c>
      <c r="H2119" s="12">
        <v>0</v>
      </c>
      <c r="I2119" s="12">
        <v>0</v>
      </c>
      <c r="J2119" s="11"/>
      <c r="K2119" s="12">
        <v>0</v>
      </c>
      <c r="L2119" s="10" t="str">
        <f t="shared" si="42"/>
        <v>LUP - VAE Póster Adelphi - Reuma</v>
      </c>
      <c r="M2119" s="10" t="str">
        <f t="shared" si="43"/>
        <v>vvalladares@crm.otsuka-europe.com</v>
      </c>
      <c r="N2119" s="13">
        <v>46175.56287037037</v>
      </c>
      <c r="O2119" s="14" t="str">
        <f>HYPERLINK("https://otsuka-europe-crm.veevavault.com/ui/#object/email_activity__v/V8C00000003L830", "EN-002087665")</f>
        <v>EN-002087665</v>
      </c>
    </row>
    <row r="2120" spans="1:15" ht="32" x14ac:dyDescent="0.2">
      <c r="A2120" s="7" t="str">
        <f>HYPERLINK("https://otsuka-europe-crm.veevavault.com/ui/#object/account__v/V4TZ025E86T000Y", "MIRIAM NAVIDAD FUENTES")</f>
        <v>MIRIAM NAVIDAD FUENTES</v>
      </c>
      <c r="B2120" s="7" t="str">
        <f t="shared" si="40"/>
        <v>ES</v>
      </c>
      <c r="C2120" s="8" t="s">
        <v>41</v>
      </c>
      <c r="D2120" s="9" t="str">
        <f t="shared" si="41"/>
        <v>LUP - VAE Póster Adelphi - Reuma</v>
      </c>
      <c r="E2120" s="10" t="str">
        <f>HYPERLINK("https://otsuka-europe-crm.veevavault.com/ui/#object/sent_email__v/VBL00000002O314", "SE-001431777")</f>
        <v>SE-001431777</v>
      </c>
      <c r="F2120" s="11"/>
      <c r="G2120" s="12">
        <v>0</v>
      </c>
      <c r="H2120" s="12">
        <v>0</v>
      </c>
      <c r="I2120" s="12">
        <v>0</v>
      </c>
      <c r="J2120" s="11"/>
      <c r="K2120" s="12">
        <v>0</v>
      </c>
      <c r="L2120" s="10" t="str">
        <f t="shared" si="42"/>
        <v>LUP - VAE Póster Adelphi - Reuma</v>
      </c>
      <c r="M2120" s="10" t="str">
        <f t="shared" si="43"/>
        <v>vvalladares@crm.otsuka-europe.com</v>
      </c>
      <c r="N2120" s="13">
        <v>46175.56287037037</v>
      </c>
      <c r="O2120" s="14" t="str">
        <f>HYPERLINK("https://otsuka-europe-crm.veevavault.com/ui/#object/email_activity__v/V8C00000003K853", "EN-002087545")</f>
        <v>EN-002087545</v>
      </c>
    </row>
    <row r="2121" spans="1:15" ht="16" x14ac:dyDescent="0.2">
      <c r="A2121" s="17" t="str">
        <f>HYPERLINK("https://otsuka-europe-crm.veevavault.com/ui/#object/account__v/V4TZ025E84KHE6H", "SALMA AL FAZAZI")</f>
        <v>SALMA AL FAZAZI</v>
      </c>
      <c r="B2121" s="17" t="str">
        <f t="shared" si="40"/>
        <v>ES</v>
      </c>
      <c r="C2121" s="20" t="s">
        <v>41</v>
      </c>
      <c r="D2121" s="21" t="str">
        <f t="shared" si="41"/>
        <v>LUP - VAE Póster Adelphi - Reuma</v>
      </c>
      <c r="E2121" s="22" t="str">
        <f>HYPERLINK("https://otsuka-europe-crm.veevavault.com/ui/#object/sent_email__v/VBL00000002O315", "SE-001431778")</f>
        <v>SE-001431778</v>
      </c>
      <c r="F2121" s="23">
        <v>46175.562951388885</v>
      </c>
      <c r="G2121" s="24">
        <v>1</v>
      </c>
      <c r="H2121" s="24">
        <v>1</v>
      </c>
      <c r="I2121" s="24">
        <v>0</v>
      </c>
      <c r="J2121" s="25"/>
      <c r="K2121" s="24">
        <v>0</v>
      </c>
      <c r="L2121" s="22" t="str">
        <f t="shared" si="42"/>
        <v>LUP - VAE Póster Adelphi - Reuma</v>
      </c>
      <c r="M2121" s="22" t="str">
        <f t="shared" si="43"/>
        <v>vvalladares@crm.otsuka-europe.com</v>
      </c>
      <c r="N2121" s="23">
        <v>46175.56287037037</v>
      </c>
      <c r="O2121" s="14" t="str">
        <f>HYPERLINK("https://otsuka-europe-crm.veevavault.com/ui/#object/email_activity__v/V8C00000003K869", "EN-002087588")</f>
        <v>EN-002087588</v>
      </c>
    </row>
    <row r="2122" spans="1:15" ht="16" x14ac:dyDescent="0.2">
      <c r="A2122" s="19"/>
      <c r="B2122" s="19"/>
      <c r="C2122" s="19"/>
      <c r="D2122" s="19"/>
      <c r="E2122" s="19"/>
      <c r="F2122" s="19"/>
      <c r="G2122" s="19"/>
      <c r="H2122" s="19"/>
      <c r="I2122" s="19"/>
      <c r="J2122" s="19"/>
      <c r="K2122" s="19"/>
      <c r="L2122" s="19"/>
      <c r="M2122" s="19"/>
      <c r="N2122" s="19"/>
      <c r="O2122" s="14" t="str">
        <f>HYPERLINK("https://otsuka-europe-crm.veevavault.com/ui/#object/email_activity__v/V8C00000003K925", "EN-002087666")</f>
        <v>EN-002087666</v>
      </c>
    </row>
    <row r="2123" spans="1:15" ht="16" x14ac:dyDescent="0.2">
      <c r="A2123" s="17" t="str">
        <f>HYPERLINK("https://otsuka-europe-crm.veevavault.com/ui/#object/account__v/V4TZ04ASG9HFBC5", "BEATRIZ GONZALEZ ALVAREZ")</f>
        <v>BEATRIZ GONZALEZ ALVAREZ</v>
      </c>
      <c r="B2123" s="17" t="str">
        <f>HYPERLINK("https://otsuka-europe-crm.veevavault.com/ui/#object/vcountry__v/VENZ000004SONF5", "ES")</f>
        <v>ES</v>
      </c>
      <c r="C2123" s="20" t="s">
        <v>41</v>
      </c>
      <c r="D2123" s="21" t="str">
        <f>HYPERLINK("https://otsuka-europe-crm.veevavault.com/ui/#object/approved_document__v/V5O00000001B037", "LUP - VAE Póster Adelphi - Reuma")</f>
        <v>LUP - VAE Póster Adelphi - Reuma</v>
      </c>
      <c r="E2123" s="22" t="str">
        <f>HYPERLINK("https://otsuka-europe-crm.veevavault.com/ui/#object/sent_email__v/VBL00000002O316", "SE-001431779")</f>
        <v>SE-001431779</v>
      </c>
      <c r="F2123" s="23">
        <v>46175.719664351855</v>
      </c>
      <c r="G2123" s="24">
        <v>1</v>
      </c>
      <c r="H2123" s="24">
        <v>1</v>
      </c>
      <c r="I2123" s="24">
        <v>0</v>
      </c>
      <c r="J2123" s="25"/>
      <c r="K2123" s="24">
        <v>0</v>
      </c>
      <c r="L2123" s="22" t="str">
        <f>HYPERLINK("https://otsuka-europe-crm.veevavault.com/ui/#object/approved_document__v/V5O00000001B037", "LUP - VAE Póster Adelphi - Reuma")</f>
        <v>LUP - VAE Póster Adelphi - Reuma</v>
      </c>
      <c r="M2123" s="22" t="str">
        <f>HYPERLINK("mailto:vvalladares@crm.otsuka-europe.com", "vvalladares@crm.otsuka-europe.com")</f>
        <v>vvalladares@crm.otsuka-europe.com</v>
      </c>
      <c r="N2123" s="23">
        <v>46175.56287037037</v>
      </c>
      <c r="O2123" s="14" t="str">
        <f>HYPERLINK("https://otsuka-europe-crm.veevavault.com/ui/#object/email_activity__v/V8C00000003L792", "EN-002087559")</f>
        <v>EN-002087559</v>
      </c>
    </row>
    <row r="2124" spans="1:15" ht="16" x14ac:dyDescent="0.2">
      <c r="A2124" s="19"/>
      <c r="B2124" s="19"/>
      <c r="C2124" s="19"/>
      <c r="D2124" s="19"/>
      <c r="E2124" s="19"/>
      <c r="F2124" s="19"/>
      <c r="G2124" s="19"/>
      <c r="H2124" s="19"/>
      <c r="I2124" s="19"/>
      <c r="J2124" s="19"/>
      <c r="K2124" s="19"/>
      <c r="L2124" s="19"/>
      <c r="M2124" s="19"/>
      <c r="N2124" s="19"/>
      <c r="O2124" s="14" t="str">
        <f>HYPERLINK("https://otsuka-europe-crm.veevavault.com/ui/#object/email_activity__v/V8C00000003M112", "EN-002088041")</f>
        <v>EN-002088041</v>
      </c>
    </row>
    <row r="2125" spans="1:15" ht="32" x14ac:dyDescent="0.2">
      <c r="A2125" s="7" t="str">
        <f>HYPERLINK("https://otsuka-europe-crm.veevavault.com/ui/#object/account__v/V4TZ04ASG9RELLS", "MARIA VICTORIA IRIGOYEN OYARZABAL")</f>
        <v>MARIA VICTORIA IRIGOYEN OYARZABAL</v>
      </c>
      <c r="B2125" s="7" t="str">
        <f>HYPERLINK("https://otsuka-europe-crm.veevavault.com/ui/#object/vcountry__v/VENZ000004SONF5", "ES")</f>
        <v>ES</v>
      </c>
      <c r="C2125" s="8" t="s">
        <v>41</v>
      </c>
      <c r="D2125" s="9" t="str">
        <f>HYPERLINK("https://otsuka-europe-crm.veevavault.com/ui/#object/approved_document__v/V5O00000001B037", "LUP - VAE Póster Adelphi - Reuma")</f>
        <v>LUP - VAE Póster Adelphi - Reuma</v>
      </c>
      <c r="E2125" s="10" t="str">
        <f>HYPERLINK("https://otsuka-europe-crm.veevavault.com/ui/#object/sent_email__v/VBL00000002O317", "SE-001431780")</f>
        <v>SE-001431780</v>
      </c>
      <c r="F2125" s="11"/>
      <c r="G2125" s="12">
        <v>0</v>
      </c>
      <c r="H2125" s="12">
        <v>0</v>
      </c>
      <c r="I2125" s="12">
        <v>0</v>
      </c>
      <c r="J2125" s="11"/>
      <c r="K2125" s="12">
        <v>0</v>
      </c>
      <c r="L2125" s="10" t="str">
        <f>HYPERLINK("https://otsuka-europe-crm.veevavault.com/ui/#object/approved_document__v/V5O00000001B037", "LUP - VAE Póster Adelphi - Reuma")</f>
        <v>LUP - VAE Póster Adelphi - Reuma</v>
      </c>
      <c r="M2125" s="10" t="str">
        <f>HYPERLINK("mailto:vvalladares@crm.otsuka-europe.com", "vvalladares@crm.otsuka-europe.com")</f>
        <v>vvalladares@crm.otsuka-europe.com</v>
      </c>
      <c r="N2125" s="13">
        <v>46175.56287037037</v>
      </c>
      <c r="O2125" s="14" t="str">
        <f>HYPERLINK("https://otsuka-europe-crm.veevavault.com/ui/#object/email_activity__v/V8C00000003K878", "EN-002087597")</f>
        <v>EN-002087597</v>
      </c>
    </row>
    <row r="2126" spans="1:15" ht="16" x14ac:dyDescent="0.2">
      <c r="A2126" s="17" t="str">
        <f>HYPERLINK("https://otsuka-europe-crm.veevavault.com/ui/#object/account__v/V4TZ06G6ODNMYIU", "JOSE FEDERICO DIAZ GONZALEZ")</f>
        <v>JOSE FEDERICO DIAZ GONZALEZ</v>
      </c>
      <c r="B2126" s="17" t="str">
        <f>HYPERLINK("https://otsuka-europe-crm.veevavault.com/ui/#object/vcountry__v/VENZ000004SONF5", "ES")</f>
        <v>ES</v>
      </c>
      <c r="C2126" s="20" t="s">
        <v>41</v>
      </c>
      <c r="D2126" s="21" t="str">
        <f>HYPERLINK("https://otsuka-europe-crm.veevavault.com/ui/#object/approved_document__v/V5O00000001B037", "LUP - VAE Póster Adelphi - Reuma")</f>
        <v>LUP - VAE Póster Adelphi - Reuma</v>
      </c>
      <c r="E2126" s="22" t="str">
        <f>HYPERLINK("https://otsuka-europe-crm.veevavault.com/ui/#object/sent_email__v/VBL00000002O318", "SE-001431781")</f>
        <v>SE-001431781</v>
      </c>
      <c r="F2126" s="23">
        <v>46175.56927083333</v>
      </c>
      <c r="G2126" s="24">
        <v>1</v>
      </c>
      <c r="H2126" s="24">
        <v>2</v>
      </c>
      <c r="I2126" s="24">
        <v>0</v>
      </c>
      <c r="J2126" s="25"/>
      <c r="K2126" s="24">
        <v>0</v>
      </c>
      <c r="L2126" s="22" t="str">
        <f>HYPERLINK("https://otsuka-europe-crm.veevavault.com/ui/#object/approved_document__v/V5O00000001B037", "LUP - VAE Póster Adelphi - Reuma")</f>
        <v>LUP - VAE Póster Adelphi - Reuma</v>
      </c>
      <c r="M2126" s="22" t="str">
        <f>HYPERLINK("mailto:vvalladares@crm.otsuka-europe.com", "vvalladares@crm.otsuka-europe.com")</f>
        <v>vvalladares@crm.otsuka-europe.com</v>
      </c>
      <c r="N2126" s="23">
        <v>46175.56287037037</v>
      </c>
      <c r="O2126" s="14" t="str">
        <f>HYPERLINK("https://otsuka-europe-crm.veevavault.com/ui/#object/email_activity__v/V8C00000003K879", "EN-002087598")</f>
        <v>EN-002087598</v>
      </c>
    </row>
    <row r="2127" spans="1:15" ht="16" x14ac:dyDescent="0.2">
      <c r="A2127" s="18"/>
      <c r="B2127" s="18"/>
      <c r="C2127" s="18"/>
      <c r="D2127" s="18"/>
      <c r="E2127" s="18"/>
      <c r="F2127" s="18"/>
      <c r="G2127" s="18"/>
      <c r="H2127" s="18"/>
      <c r="I2127" s="18"/>
      <c r="J2127" s="18"/>
      <c r="K2127" s="18"/>
      <c r="L2127" s="18"/>
      <c r="M2127" s="18"/>
      <c r="N2127" s="18"/>
      <c r="O2127" s="14" t="str">
        <f>HYPERLINK("https://otsuka-europe-crm.veevavault.com/ui/#object/email_activity__v/V8C00000003K941", "EN-002087698")</f>
        <v>EN-002087698</v>
      </c>
    </row>
    <row r="2128" spans="1:15" ht="16" x14ac:dyDescent="0.2">
      <c r="A2128" s="19"/>
      <c r="B2128" s="19"/>
      <c r="C2128" s="19"/>
      <c r="D2128" s="19"/>
      <c r="E2128" s="19"/>
      <c r="F2128" s="19"/>
      <c r="G2128" s="19"/>
      <c r="H2128" s="19"/>
      <c r="I2128" s="19"/>
      <c r="J2128" s="19"/>
      <c r="K2128" s="19"/>
      <c r="L2128" s="19"/>
      <c r="M2128" s="19"/>
      <c r="N2128" s="19"/>
      <c r="O2128" s="14" t="str">
        <f>HYPERLINK("https://otsuka-europe-crm.veevavault.com/ui/#object/email_activity__v/V8C00000003K950", "EN-002087723")</f>
        <v>EN-002087723</v>
      </c>
    </row>
    <row r="2129" spans="1:15" ht="32" x14ac:dyDescent="0.2">
      <c r="A2129" s="7" t="str">
        <f>HYPERLINK("https://otsuka-europe-crm.veevavault.com/ui/#object/account__v/V4TZ04ASG9MR4YR", "LUIS SARABIA DE ARDANAZ")</f>
        <v>LUIS SARABIA DE ARDANAZ</v>
      </c>
      <c r="B2129" s="7" t="str">
        <f>HYPERLINK("https://otsuka-europe-crm.veevavault.com/ui/#object/vcountry__v/VENZ000004SONF5", "ES")</f>
        <v>ES</v>
      </c>
      <c r="C2129" s="8" t="s">
        <v>41</v>
      </c>
      <c r="D2129" s="9" t="str">
        <f>HYPERLINK("https://otsuka-europe-crm.veevavault.com/ui/#object/approved_document__v/V5O00000001B037", "LUP - VAE Póster Adelphi - Reuma")</f>
        <v>LUP - VAE Póster Adelphi - Reuma</v>
      </c>
      <c r="E2129" s="10" t="str">
        <f>HYPERLINK("https://otsuka-europe-crm.veevavault.com/ui/#object/sent_email__v/VBL00000002O319", "SE-001431782")</f>
        <v>SE-001431782</v>
      </c>
      <c r="F2129" s="11"/>
      <c r="G2129" s="12">
        <v>0</v>
      </c>
      <c r="H2129" s="12">
        <v>0</v>
      </c>
      <c r="I2129" s="12">
        <v>0</v>
      </c>
      <c r="J2129" s="11"/>
      <c r="K2129" s="12">
        <v>0</v>
      </c>
      <c r="L2129" s="10" t="str">
        <f>HYPERLINK("https://otsuka-europe-crm.veevavault.com/ui/#object/approved_document__v/V5O00000001B037", "LUP - VAE Póster Adelphi - Reuma")</f>
        <v>LUP - VAE Póster Adelphi - Reuma</v>
      </c>
      <c r="M2129" s="10" t="str">
        <f>HYPERLINK("mailto:vvalladares@crm.otsuka-europe.com", "vvalladares@crm.otsuka-europe.com")</f>
        <v>vvalladares@crm.otsuka-europe.com</v>
      </c>
      <c r="N2129" s="13">
        <v>46175.562916666669</v>
      </c>
      <c r="O2129" s="14" t="str">
        <f>HYPERLINK("https://otsuka-europe-crm.veevavault.com/ui/#object/email_activity__v/V8C00000003K911", "EN-002087639")</f>
        <v>EN-002087639</v>
      </c>
    </row>
    <row r="2130" spans="1:15" ht="32" x14ac:dyDescent="0.2">
      <c r="A2130" s="7" t="str">
        <f>HYPERLINK("https://otsuka-europe-crm.veevavault.com/ui/#object/account__v/V4TZ06G6O9VKN7I", "ANTONIO FERNANDEZ NEBRO")</f>
        <v>ANTONIO FERNANDEZ NEBRO</v>
      </c>
      <c r="B2130" s="7" t="str">
        <f>HYPERLINK("https://otsuka-europe-crm.veevavault.com/ui/#object/vcountry__v/VENZ000004SONF5", "ES")</f>
        <v>ES</v>
      </c>
      <c r="C2130" s="8" t="s">
        <v>41</v>
      </c>
      <c r="D2130" s="9" t="str">
        <f>HYPERLINK("https://otsuka-europe-crm.veevavault.com/ui/#object/approved_document__v/V5O00000001B037", "LUP - VAE Póster Adelphi - Reuma")</f>
        <v>LUP - VAE Póster Adelphi - Reuma</v>
      </c>
      <c r="E2130" s="10" t="str">
        <f>HYPERLINK("https://otsuka-europe-crm.veevavault.com/ui/#object/sent_email__v/VBL00000002O320", "SE-001431783")</f>
        <v>SE-001431783</v>
      </c>
      <c r="F2130" s="11"/>
      <c r="G2130" s="12">
        <v>0</v>
      </c>
      <c r="H2130" s="12">
        <v>0</v>
      </c>
      <c r="I2130" s="12">
        <v>0</v>
      </c>
      <c r="J2130" s="11"/>
      <c r="K2130" s="12">
        <v>0</v>
      </c>
      <c r="L2130" s="10" t="str">
        <f>HYPERLINK("https://otsuka-europe-crm.veevavault.com/ui/#object/approved_document__v/V5O00000001B037", "LUP - VAE Póster Adelphi - Reuma")</f>
        <v>LUP - VAE Póster Adelphi - Reuma</v>
      </c>
      <c r="M2130" s="10" t="str">
        <f>HYPERLINK("mailto:vvalladares@crm.otsuka-europe.com", "vvalladares@crm.otsuka-europe.com")</f>
        <v>vvalladares@crm.otsuka-europe.com</v>
      </c>
      <c r="N2130" s="13">
        <v>46175.562881944446</v>
      </c>
      <c r="O2130" s="14" t="str">
        <f>HYPERLINK("https://otsuka-europe-crm.veevavault.com/ui/#object/email_activity__v/V8C00000003K905", "EN-002087633")</f>
        <v>EN-002087633</v>
      </c>
    </row>
    <row r="2131" spans="1:15" ht="16" x14ac:dyDescent="0.2">
      <c r="A2131" s="17" t="str">
        <f>HYPERLINK("https://otsuka-europe-crm.veevavault.com/ui/#object/account__v/V4TZ04ASGALU4FT", "ALBA MARIA CABEZAS LUCENA")</f>
        <v>ALBA MARIA CABEZAS LUCENA</v>
      </c>
      <c r="B2131" s="17" t="str">
        <f>HYPERLINK("https://otsuka-europe-crm.veevavault.com/ui/#object/vcountry__v/VENZ000004SONF5", "ES")</f>
        <v>ES</v>
      </c>
      <c r="C2131" s="20" t="s">
        <v>41</v>
      </c>
      <c r="D2131" s="21" t="str">
        <f>HYPERLINK("https://otsuka-europe-crm.veevavault.com/ui/#object/approved_document__v/V5O00000001B037", "LUP - VAE Póster Adelphi - Reuma")</f>
        <v>LUP - VAE Póster Adelphi - Reuma</v>
      </c>
      <c r="E2131" s="22" t="str">
        <f>HYPERLINK("https://otsuka-europe-crm.veevavault.com/ui/#object/sent_email__v/VBL00000002O321", "SE-001431784")</f>
        <v>SE-001431784</v>
      </c>
      <c r="F2131" s="23">
        <v>46175.614560185182</v>
      </c>
      <c r="G2131" s="24">
        <v>1</v>
      </c>
      <c r="H2131" s="24">
        <v>1</v>
      </c>
      <c r="I2131" s="24">
        <v>0</v>
      </c>
      <c r="J2131" s="25"/>
      <c r="K2131" s="24">
        <v>0</v>
      </c>
      <c r="L2131" s="22" t="str">
        <f>HYPERLINK("https://otsuka-europe-crm.veevavault.com/ui/#object/approved_document__v/V5O00000001B037", "LUP - VAE Póster Adelphi - Reuma")</f>
        <v>LUP - VAE Póster Adelphi - Reuma</v>
      </c>
      <c r="M2131" s="22" t="str">
        <f>HYPERLINK("mailto:vvalladares@crm.otsuka-europe.com", "vvalladares@crm.otsuka-europe.com")</f>
        <v>vvalladares@crm.otsuka-europe.com</v>
      </c>
      <c r="N2131" s="23">
        <v>46175.562881944446</v>
      </c>
      <c r="O2131" s="14" t="str">
        <f>HYPERLINK("https://otsuka-europe-crm.veevavault.com/ui/#object/email_activity__v/V8C00000003K909", "EN-002087637")</f>
        <v>EN-002087637</v>
      </c>
    </row>
    <row r="2132" spans="1:15" ht="16" x14ac:dyDescent="0.2">
      <c r="A2132" s="19"/>
      <c r="B2132" s="19"/>
      <c r="C2132" s="19"/>
      <c r="D2132" s="19"/>
      <c r="E2132" s="19"/>
      <c r="F2132" s="19"/>
      <c r="G2132" s="19"/>
      <c r="H2132" s="19"/>
      <c r="I2132" s="19"/>
      <c r="J2132" s="19"/>
      <c r="K2132" s="19"/>
      <c r="L2132" s="19"/>
      <c r="M2132" s="19"/>
      <c r="N2132" s="19"/>
      <c r="O2132" s="14" t="str">
        <f>HYPERLINK("https://otsuka-europe-crm.veevavault.com/ui/#object/email_activity__v/V8C00000003L947", "EN-002087884")</f>
        <v>EN-002087884</v>
      </c>
    </row>
    <row r="2133" spans="1:15" ht="16" x14ac:dyDescent="0.2">
      <c r="A2133" s="17" t="str">
        <f>HYPERLINK("https://otsuka-europe-crm.veevavault.com/ui/#object/account__v/V4T000000021022", "CAROLINA LACALZADA HIGUERAS")</f>
        <v>CAROLINA LACALZADA HIGUERAS</v>
      </c>
      <c r="B2133" s="17" t="str">
        <f>HYPERLINK("https://otsuka-europe-crm.veevavault.com/ui/#object/vcountry__v/VENZ000004SONF5", "ES")</f>
        <v>ES</v>
      </c>
      <c r="C2133" s="20" t="s">
        <v>41</v>
      </c>
      <c r="D2133" s="21" t="str">
        <f>HYPERLINK("https://otsuka-europe-crm.veevavault.com/ui/#object/approved_document__v/V5OZ06G6O6RFL1P", "ES Veeva Privacy Notice Email")</f>
        <v>ES Veeva Privacy Notice Email</v>
      </c>
      <c r="E2133" s="22" t="str">
        <f>HYPERLINK("https://otsuka-europe-crm.veevavault.com/ui/#object/sent_email__v/VBL00000002O322", "SE-001431785")</f>
        <v>SE-001431785</v>
      </c>
      <c r="F2133" s="23">
        <v>46175.563101851854</v>
      </c>
      <c r="G2133" s="24">
        <v>1</v>
      </c>
      <c r="H2133" s="24">
        <v>1</v>
      </c>
      <c r="I2133" s="24">
        <v>0</v>
      </c>
      <c r="J2133" s="25"/>
      <c r="K2133" s="24">
        <v>0</v>
      </c>
      <c r="L2133" s="22" t="str">
        <f>HYPERLINK("https://otsuka-europe-crm.veevavault.com/ui/#object/approved_document__v/V5OZ06G6O6RFL1P", "ES Veeva Privacy Notice Email")</f>
        <v>ES Veeva Privacy Notice Email</v>
      </c>
      <c r="M2133" s="22" t="str">
        <f>HYPERLINK("mailto:vvalladares@crm.otsuka-europe.com", "vvalladares@crm.otsuka-europe.com")</f>
        <v>vvalladares@crm.otsuka-europe.com</v>
      </c>
      <c r="N2133" s="23">
        <v>46175.563020833331</v>
      </c>
      <c r="O2133" s="14" t="str">
        <f>HYPERLINK("https://otsuka-europe-crm.veevavault.com/ui/#object/email_activity__v/V8C00000003K913", "EN-002087641")</f>
        <v>EN-002087641</v>
      </c>
    </row>
    <row r="2134" spans="1:15" ht="16" x14ac:dyDescent="0.2">
      <c r="A2134" s="18"/>
      <c r="B2134" s="18"/>
      <c r="C2134" s="18"/>
      <c r="D2134" s="18"/>
      <c r="E2134" s="18"/>
      <c r="F2134" s="18"/>
      <c r="G2134" s="18"/>
      <c r="H2134" s="18"/>
      <c r="I2134" s="18"/>
      <c r="J2134" s="18"/>
      <c r="K2134" s="18"/>
      <c r="L2134" s="18"/>
      <c r="M2134" s="18"/>
      <c r="N2134" s="18"/>
      <c r="O2134" s="14" t="str">
        <f>HYPERLINK("https://otsuka-europe-crm.veevavault.com/ui/#object/email_activity__v/V8C00000003K942", "EN-002087701")</f>
        <v>EN-002087701</v>
      </c>
    </row>
    <row r="2135" spans="1:15" ht="16" x14ac:dyDescent="0.2">
      <c r="A2135" s="19"/>
      <c r="B2135" s="19"/>
      <c r="C2135" s="19"/>
      <c r="D2135" s="19"/>
      <c r="E2135" s="19"/>
      <c r="F2135" s="19"/>
      <c r="G2135" s="19"/>
      <c r="H2135" s="19"/>
      <c r="I2135" s="19"/>
      <c r="J2135" s="19"/>
      <c r="K2135" s="19"/>
      <c r="L2135" s="19"/>
      <c r="M2135" s="19"/>
      <c r="N2135" s="19"/>
      <c r="O2135" s="14" t="str">
        <f>HYPERLINK("https://otsuka-europe-crm.veevavault.com/ui/#object/email_activity__v/V8C00000003M005", "EN-002087842")</f>
        <v>EN-002087842</v>
      </c>
    </row>
    <row r="2136" spans="1:15" ht="16" x14ac:dyDescent="0.2">
      <c r="A2136" s="17" t="str">
        <f>HYPERLINK("https://otsuka-europe-crm.veevavault.com/ui/#object/account__v/V4T000000021028", "ANA BELEN ACEVEDO GARCIA")</f>
        <v>ANA BELEN ACEVEDO GARCIA</v>
      </c>
      <c r="B2136" s="17" t="str">
        <f>HYPERLINK("https://otsuka-europe-crm.veevavault.com/ui/#object/vcountry__v/VENZ000004SONF5", "ES")</f>
        <v>ES</v>
      </c>
      <c r="C2136" s="20" t="s">
        <v>41</v>
      </c>
      <c r="D2136" s="21" t="str">
        <f>HYPERLINK("https://otsuka-europe-crm.veevavault.com/ui/#object/approved_document__v/V5OZ06G6O6RFL1P", "ES Veeva Privacy Notice Email")</f>
        <v>ES Veeva Privacy Notice Email</v>
      </c>
      <c r="E2136" s="22" t="str">
        <f>HYPERLINK("https://otsuka-europe-crm.veevavault.com/ui/#object/sent_email__v/VBL00000002N629", "SE-001431786")</f>
        <v>SE-001431786</v>
      </c>
      <c r="F2136" s="23">
        <v>46175.914479166669</v>
      </c>
      <c r="G2136" s="24">
        <v>1</v>
      </c>
      <c r="H2136" s="24">
        <v>3</v>
      </c>
      <c r="I2136" s="24">
        <v>0</v>
      </c>
      <c r="J2136" s="25"/>
      <c r="K2136" s="24">
        <v>0</v>
      </c>
      <c r="L2136" s="22" t="str">
        <f>HYPERLINK("https://otsuka-europe-crm.veevavault.com/ui/#object/approved_document__v/V5OZ06G6O6RFL1P", "ES Veeva Privacy Notice Email")</f>
        <v>ES Veeva Privacy Notice Email</v>
      </c>
      <c r="M2136" s="22" t="str">
        <f>HYPERLINK("mailto:cmaroto@crm.otsuka-europe.com", "cmaroto@crm.otsuka-europe.com")</f>
        <v>cmaroto@crm.otsuka-europe.com</v>
      </c>
      <c r="N2136" s="23">
        <v>46175.567152777781</v>
      </c>
      <c r="O2136" s="14" t="str">
        <f>HYPERLINK("https://otsuka-europe-crm.veevavault.com/ui/#object/email_activity__v/V8C00000003L858", "EN-002087717")</f>
        <v>EN-002087717</v>
      </c>
    </row>
    <row r="2137" spans="1:15" ht="16" x14ac:dyDescent="0.2">
      <c r="A2137" s="18"/>
      <c r="B2137" s="18"/>
      <c r="C2137" s="18"/>
      <c r="D2137" s="18"/>
      <c r="E2137" s="18"/>
      <c r="F2137" s="18"/>
      <c r="G2137" s="18"/>
      <c r="H2137" s="18"/>
      <c r="I2137" s="18"/>
      <c r="J2137" s="18"/>
      <c r="K2137" s="18"/>
      <c r="L2137" s="18"/>
      <c r="M2137" s="18"/>
      <c r="N2137" s="18"/>
      <c r="O2137" s="14" t="str">
        <f>HYPERLINK("https://otsuka-europe-crm.veevavault.com/ui/#object/email_activity__v/V8C00000003L860", "EN-002087719")</f>
        <v>EN-002087719</v>
      </c>
    </row>
    <row r="2138" spans="1:15" ht="16" x14ac:dyDescent="0.2">
      <c r="A2138" s="18"/>
      <c r="B2138" s="18"/>
      <c r="C2138" s="18"/>
      <c r="D2138" s="18"/>
      <c r="E2138" s="18"/>
      <c r="F2138" s="18"/>
      <c r="G2138" s="18"/>
      <c r="H2138" s="18"/>
      <c r="I2138" s="18"/>
      <c r="J2138" s="18"/>
      <c r="K2138" s="18"/>
      <c r="L2138" s="18"/>
      <c r="M2138" s="18"/>
      <c r="N2138" s="18"/>
      <c r="O2138" s="14" t="str">
        <f>HYPERLINK("https://otsuka-europe-crm.veevavault.com/ui/#object/email_activity__v/V8C00000003L861", "EN-002087720")</f>
        <v>EN-002087720</v>
      </c>
    </row>
    <row r="2139" spans="1:15" ht="16" x14ac:dyDescent="0.2">
      <c r="A2139" s="19"/>
      <c r="B2139" s="19"/>
      <c r="C2139" s="19"/>
      <c r="D2139" s="19"/>
      <c r="E2139" s="19"/>
      <c r="F2139" s="19"/>
      <c r="G2139" s="19"/>
      <c r="H2139" s="19"/>
      <c r="I2139" s="19"/>
      <c r="J2139" s="19"/>
      <c r="K2139" s="19"/>
      <c r="L2139" s="19"/>
      <c r="M2139" s="19"/>
      <c r="N2139" s="19"/>
      <c r="O2139" s="14" t="str">
        <f>HYPERLINK("https://otsuka-europe-crm.veevavault.com/ui/#object/email_activity__v/V8C00000003N298", "EN-002088446")</f>
        <v>EN-002088446</v>
      </c>
    </row>
    <row r="2140" spans="1:15" ht="32" x14ac:dyDescent="0.2">
      <c r="A2140" s="7" t="str">
        <f>HYPERLINK("https://otsuka-europe-crm.veevavault.com/ui/#object/account__v/V4TZ06G6OB46COF", "MIGUEL ANGEL GONZALEZ-GAY MANTECON")</f>
        <v>MIGUEL ANGEL GONZALEZ-GAY MANTECON</v>
      </c>
      <c r="B2140" s="7" t="str">
        <f>HYPERLINK("https://otsuka-europe-crm.veevavault.com/ui/#object/vcountry__v/VENZ000004SONF5", "ES")</f>
        <v>ES</v>
      </c>
      <c r="C2140" s="8" t="s">
        <v>41</v>
      </c>
      <c r="D2140" s="9" t="str">
        <f>HYPERLINK("https://otsuka-europe-crm.veevavault.com/ui/#object/approved_document__v/V5O00000001H025", "LUP - VAE invitación simposio SEN-SER - Reuma")</f>
        <v>LUP - VAE invitación simposio SEN-SER - Reuma</v>
      </c>
      <c r="E2140" s="10" t="str">
        <f>HYPERLINK("https://otsuka-europe-crm.veevavault.com/ui/#object/sent_email__v/VBL00000002O323", "SE-001431787")</f>
        <v>SE-001431787</v>
      </c>
      <c r="F2140" s="11"/>
      <c r="G2140" s="12">
        <v>0</v>
      </c>
      <c r="H2140" s="12">
        <v>0</v>
      </c>
      <c r="I2140" s="12">
        <v>0</v>
      </c>
      <c r="J2140" s="11"/>
      <c r="K2140" s="12">
        <v>0</v>
      </c>
      <c r="L2140" s="10" t="str">
        <f>HYPERLINK("https://otsuka-europe-crm.veevavault.com/ui/#object/approved_document__v/V5O00000001H025", "LUP - VAE invitación simposio SEN-SER - Reuma")</f>
        <v>LUP - VAE invitación simposio SEN-SER - Reuma</v>
      </c>
      <c r="M2140" s="10" t="str">
        <f>HYPERLINK("mailto:cmaroto@crm.otsuka-europe.com", "cmaroto@crm.otsuka-europe.com")</f>
        <v>cmaroto@crm.otsuka-europe.com</v>
      </c>
      <c r="N2140" s="13">
        <v>46175.57571759259</v>
      </c>
      <c r="O2140" s="14" t="str">
        <f>HYPERLINK("https://otsuka-europe-crm.veevavault.com/ui/#object/email_activity__v/V8C00000003K956", "EN-002087739")</f>
        <v>EN-002087739</v>
      </c>
    </row>
    <row r="2141" spans="1:15" ht="32" x14ac:dyDescent="0.2">
      <c r="A2141" s="7" t="str">
        <f>HYPERLINK("https://otsuka-europe-crm.veevavault.com/ui/#object/account__v/V4TZ04ASGBXC915", "NATIVIDAD CARO FERNANDEZ")</f>
        <v>NATIVIDAD CARO FERNANDEZ</v>
      </c>
      <c r="B2141" s="7" t="str">
        <f>HYPERLINK("https://otsuka-europe-crm.veevavault.com/ui/#object/vcountry__v/VENZ000004SONF5", "ES")</f>
        <v>ES</v>
      </c>
      <c r="C2141" s="8" t="s">
        <v>41</v>
      </c>
      <c r="D2141" s="9" t="str">
        <f>HYPERLINK("https://otsuka-europe-crm.veevavault.com/ui/#object/approved_document__v/V5O00000001H025", "LUP - VAE invitación simposio SEN-SER - Reuma")</f>
        <v>LUP - VAE invitación simposio SEN-SER - Reuma</v>
      </c>
      <c r="E2141" s="10" t="str">
        <f>HYPERLINK("https://otsuka-europe-crm.veevavault.com/ui/#object/sent_email__v/VBL00000002O324", "SE-001431788")</f>
        <v>SE-001431788</v>
      </c>
      <c r="F2141" s="11"/>
      <c r="G2141" s="12">
        <v>0</v>
      </c>
      <c r="H2141" s="12">
        <v>0</v>
      </c>
      <c r="I2141" s="12">
        <v>0</v>
      </c>
      <c r="J2141" s="11"/>
      <c r="K2141" s="12">
        <v>0</v>
      </c>
      <c r="L2141" s="10" t="str">
        <f>HYPERLINK("https://otsuka-europe-crm.veevavault.com/ui/#object/approved_document__v/V5O00000001H025", "LUP - VAE invitación simposio SEN-SER - Reuma")</f>
        <v>LUP - VAE invitación simposio SEN-SER - Reuma</v>
      </c>
      <c r="M2141" s="10" t="str">
        <f>HYPERLINK("mailto:cmaroto@crm.otsuka-europe.com", "cmaroto@crm.otsuka-europe.com")</f>
        <v>cmaroto@crm.otsuka-europe.com</v>
      </c>
      <c r="N2141" s="13">
        <v>46175.57571759259</v>
      </c>
      <c r="O2141" s="14" t="str">
        <f>HYPERLINK("https://otsuka-europe-crm.veevavault.com/ui/#object/email_activity__v/V8C00000003K964", "EN-002087751")</f>
        <v>EN-002087751</v>
      </c>
    </row>
    <row r="2142" spans="1:15" ht="16" x14ac:dyDescent="0.2">
      <c r="A2142" s="17" t="str">
        <f>HYPERLINK("https://otsuka-europe-crm.veevavault.com/ui/#object/account__v/V4TZ04ASGABZ38V", "SIMON ANGEL SANCHEZ FERNANDEZ")</f>
        <v>SIMON ANGEL SANCHEZ FERNANDEZ</v>
      </c>
      <c r="B2142" s="17" t="str">
        <f>HYPERLINK("https://otsuka-europe-crm.veevavault.com/ui/#object/vcountry__v/VENZ000004SONF5", "ES")</f>
        <v>ES</v>
      </c>
      <c r="C2142" s="20" t="s">
        <v>41</v>
      </c>
      <c r="D2142" s="21" t="str">
        <f>HYPERLINK("https://otsuka-europe-crm.veevavault.com/ui/#object/approved_document__v/V5O00000001H025", "LUP - VAE invitación simposio SEN-SER - Reuma")</f>
        <v>LUP - VAE invitación simposio SEN-SER - Reuma</v>
      </c>
      <c r="E2142" s="22" t="str">
        <f>HYPERLINK("https://otsuka-europe-crm.veevavault.com/ui/#object/sent_email__v/VBL00000002O325", "SE-001431789")</f>
        <v>SE-001431789</v>
      </c>
      <c r="F2142" s="25"/>
      <c r="G2142" s="24">
        <v>0</v>
      </c>
      <c r="H2142" s="24">
        <v>0</v>
      </c>
      <c r="I2142" s="24">
        <v>0</v>
      </c>
      <c r="J2142" s="25"/>
      <c r="K2142" s="24">
        <v>0</v>
      </c>
      <c r="L2142" s="22" t="str">
        <f>HYPERLINK("https://otsuka-europe-crm.veevavault.com/ui/#object/approved_document__v/V5O00000001H025", "LUP - VAE invitación simposio SEN-SER - Reuma")</f>
        <v>LUP - VAE invitación simposio SEN-SER - Reuma</v>
      </c>
      <c r="M2142" s="22" t="str">
        <f>HYPERLINK("mailto:cmaroto@crm.otsuka-europe.com", "cmaroto@crm.otsuka-europe.com")</f>
        <v>cmaroto@crm.otsuka-europe.com</v>
      </c>
      <c r="N2142" s="23">
        <v>46175.57571759259</v>
      </c>
      <c r="O2142" s="14" t="str">
        <f>HYPERLINK("https://otsuka-europe-crm.veevavault.com/ui/#object/email_activity__v/V8C00000003K962", "EN-002087749")</f>
        <v>EN-002087749</v>
      </c>
    </row>
    <row r="2143" spans="1:15" ht="16" x14ac:dyDescent="0.2">
      <c r="A2143" s="19"/>
      <c r="B2143" s="19"/>
      <c r="C2143" s="19"/>
      <c r="D2143" s="19"/>
      <c r="E2143" s="19"/>
      <c r="F2143" s="19"/>
      <c r="G2143" s="19"/>
      <c r="H2143" s="19"/>
      <c r="I2143" s="19"/>
      <c r="J2143" s="19"/>
      <c r="K2143" s="19"/>
      <c r="L2143" s="19"/>
      <c r="M2143" s="19"/>
      <c r="N2143" s="19"/>
      <c r="O2143" s="14" t="str">
        <f>HYPERLINK("https://otsuka-europe-crm.veevavault.com/ui/#object/email_activity__v/V8C00000003L937", "EN-002087862")</f>
        <v>EN-002087862</v>
      </c>
    </row>
    <row r="2144" spans="1:15" ht="32" x14ac:dyDescent="0.2">
      <c r="A2144" s="7" t="str">
        <f>HYPERLINK("https://otsuka-europe-crm.veevavault.com/ui/#object/account__v/V4TZ04ASGBXC95A", "SILVIA MONTES GARCIA")</f>
        <v>SILVIA MONTES GARCIA</v>
      </c>
      <c r="B2144" s="7" t="str">
        <f>HYPERLINK("https://otsuka-europe-crm.veevavault.com/ui/#object/vcountry__v/VENZ000004SONF5", "ES")</f>
        <v>ES</v>
      </c>
      <c r="C2144" s="8" t="s">
        <v>41</v>
      </c>
      <c r="D2144" s="9" t="str">
        <f>HYPERLINK("https://otsuka-europe-crm.veevavault.com/ui/#object/approved_document__v/V5O00000001H025", "LUP - VAE invitación simposio SEN-SER - Reuma")</f>
        <v>LUP - VAE invitación simposio SEN-SER - Reuma</v>
      </c>
      <c r="E2144" s="10" t="str">
        <f>HYPERLINK("https://otsuka-europe-crm.veevavault.com/ui/#object/sent_email__v/VBL00000002O326", "SE-001431790")</f>
        <v>SE-001431790</v>
      </c>
      <c r="F2144" s="11"/>
      <c r="G2144" s="12">
        <v>0</v>
      </c>
      <c r="H2144" s="12">
        <v>0</v>
      </c>
      <c r="I2144" s="12">
        <v>0</v>
      </c>
      <c r="J2144" s="11"/>
      <c r="K2144" s="12">
        <v>0</v>
      </c>
      <c r="L2144" s="10" t="str">
        <f>HYPERLINK("https://otsuka-europe-crm.veevavault.com/ui/#object/approved_document__v/V5O00000001H025", "LUP - VAE invitación simposio SEN-SER - Reuma")</f>
        <v>LUP - VAE invitación simposio SEN-SER - Reuma</v>
      </c>
      <c r="M2144" s="10" t="str">
        <f>HYPERLINK("mailto:cmaroto@crm.otsuka-europe.com", "cmaroto@crm.otsuka-europe.com")</f>
        <v>cmaroto@crm.otsuka-europe.com</v>
      </c>
      <c r="N2144" s="13">
        <v>46175.57571759259</v>
      </c>
      <c r="O2144" s="14" t="str">
        <f>HYPERLINK("https://otsuka-europe-crm.veevavault.com/ui/#object/email_activity__v/V8C00000003K960", "EN-002087745")</f>
        <v>EN-002087745</v>
      </c>
    </row>
    <row r="2145" spans="1:15" ht="32" x14ac:dyDescent="0.2">
      <c r="A2145" s="7" t="str">
        <f>HYPERLINK("https://otsuka-europe-crm.veevavault.com/ui/#object/account__v/V4TZ025E870865L", "SANDRA SORO MARIN")</f>
        <v>SANDRA SORO MARIN</v>
      </c>
      <c r="B2145" s="7" t="str">
        <f>HYPERLINK("https://otsuka-europe-crm.veevavault.com/ui/#object/vcountry__v/VENZ000004SONF5", "ES")</f>
        <v>ES</v>
      </c>
      <c r="C2145" s="8" t="s">
        <v>41</v>
      </c>
      <c r="D2145" s="9" t="str">
        <f>HYPERLINK("https://otsuka-europe-crm.veevavault.com/ui/#object/approved_document__v/V5O00000001H025", "LUP - VAE invitación simposio SEN-SER - Reuma")</f>
        <v>LUP - VAE invitación simposio SEN-SER - Reuma</v>
      </c>
      <c r="E2145" s="10" t="str">
        <f>HYPERLINK("https://otsuka-europe-crm.veevavault.com/ui/#object/sent_email__v/VBL00000002O327", "SE-001431791")</f>
        <v>SE-001431791</v>
      </c>
      <c r="F2145" s="11"/>
      <c r="G2145" s="12">
        <v>0</v>
      </c>
      <c r="H2145" s="12">
        <v>0</v>
      </c>
      <c r="I2145" s="12">
        <v>0</v>
      </c>
      <c r="J2145" s="11"/>
      <c r="K2145" s="12">
        <v>0</v>
      </c>
      <c r="L2145" s="10" t="str">
        <f>HYPERLINK("https://otsuka-europe-crm.veevavault.com/ui/#object/approved_document__v/V5O00000001H025", "LUP - VAE invitación simposio SEN-SER - Reuma")</f>
        <v>LUP - VAE invitación simposio SEN-SER - Reuma</v>
      </c>
      <c r="M2145" s="10" t="str">
        <f>HYPERLINK("mailto:cmaroto@crm.otsuka-europe.com", "cmaroto@crm.otsuka-europe.com")</f>
        <v>cmaroto@crm.otsuka-europe.com</v>
      </c>
      <c r="N2145" s="13">
        <v>46175.57571759259</v>
      </c>
      <c r="O2145" s="14" t="str">
        <f>HYPERLINK("https://otsuka-europe-crm.veevavault.com/ui/#object/email_activity__v/V8C00000003K969", "EN-002087756")</f>
        <v>EN-002087756</v>
      </c>
    </row>
    <row r="2146" spans="1:15" ht="16" x14ac:dyDescent="0.2">
      <c r="A2146" s="17" t="str">
        <f>HYPERLINK("https://otsuka-europe-crm.veevavault.com/ui/#object/account__v/V4TZ04ASGAPA4M6", "JUAN ANTONIO MARTINEZ LOPEZ")</f>
        <v>JUAN ANTONIO MARTINEZ LOPEZ</v>
      </c>
      <c r="B2146" s="17" t="str">
        <f>HYPERLINK("https://otsuka-europe-crm.veevavault.com/ui/#object/vcountry__v/VENZ000004SONF5", "ES")</f>
        <v>ES</v>
      </c>
      <c r="C2146" s="20" t="s">
        <v>41</v>
      </c>
      <c r="D2146" s="21" t="str">
        <f>HYPERLINK("https://otsuka-europe-crm.veevavault.com/ui/#object/approved_document__v/V5O00000001H025", "LUP - VAE invitación simposio SEN-SER - Reuma")</f>
        <v>LUP - VAE invitación simposio SEN-SER - Reuma</v>
      </c>
      <c r="E2146" s="22" t="str">
        <f>HYPERLINK("https://otsuka-europe-crm.veevavault.com/ui/#object/sent_email__v/VBL00000002O328", "SE-001431792")</f>
        <v>SE-001431792</v>
      </c>
      <c r="F2146" s="23">
        <v>46195.879560185182</v>
      </c>
      <c r="G2146" s="24">
        <v>1</v>
      </c>
      <c r="H2146" s="24">
        <v>3</v>
      </c>
      <c r="I2146" s="24">
        <v>0</v>
      </c>
      <c r="J2146" s="25"/>
      <c r="K2146" s="24">
        <v>0</v>
      </c>
      <c r="L2146" s="22" t="str">
        <f>HYPERLINK("https://otsuka-europe-crm.veevavault.com/ui/#object/approved_document__v/V5O00000001H025", "LUP - VAE invitación simposio SEN-SER - Reuma")</f>
        <v>LUP - VAE invitación simposio SEN-SER - Reuma</v>
      </c>
      <c r="M2146" s="22" t="str">
        <f>HYPERLINK("mailto:cmaroto@crm.otsuka-europe.com", "cmaroto@crm.otsuka-europe.com")</f>
        <v>cmaroto@crm.otsuka-europe.com</v>
      </c>
      <c r="N2146" s="23">
        <v>46175.57571759259</v>
      </c>
      <c r="O2146" s="14" t="str">
        <f>HYPERLINK("https://otsuka-europe-crm.veevavault.com/ui/#object/email_activity__v/V8C00000003L873", "EN-002087740")</f>
        <v>EN-002087740</v>
      </c>
    </row>
    <row r="2147" spans="1:15" ht="16" x14ac:dyDescent="0.2">
      <c r="A2147" s="18"/>
      <c r="B2147" s="18"/>
      <c r="C2147" s="18"/>
      <c r="D2147" s="18"/>
      <c r="E2147" s="18"/>
      <c r="F2147" s="18"/>
      <c r="G2147" s="18"/>
      <c r="H2147" s="18"/>
      <c r="I2147" s="18"/>
      <c r="J2147" s="18"/>
      <c r="K2147" s="18"/>
      <c r="L2147" s="18"/>
      <c r="M2147" s="18"/>
      <c r="N2147" s="18"/>
      <c r="O2147" s="14" t="str">
        <f>HYPERLINK("https://otsuka-europe-crm.veevavault.com/ui/#object/email_activity__v/V8C00000003L926", "EN-002087838")</f>
        <v>EN-002087838</v>
      </c>
    </row>
    <row r="2148" spans="1:15" ht="16" x14ac:dyDescent="0.2">
      <c r="A2148" s="18"/>
      <c r="B2148" s="18"/>
      <c r="C2148" s="18"/>
      <c r="D2148" s="18"/>
      <c r="E2148" s="18"/>
      <c r="F2148" s="18"/>
      <c r="G2148" s="18"/>
      <c r="H2148" s="18"/>
      <c r="I2148" s="18"/>
      <c r="J2148" s="18"/>
      <c r="K2148" s="18"/>
      <c r="L2148" s="18"/>
      <c r="M2148" s="18"/>
      <c r="N2148" s="18"/>
      <c r="O2148" s="14" t="str">
        <f>HYPERLINK("https://otsuka-europe-crm.veevavault.com/ui/#object/email_activity__v/V8C00000003O117", "EN-002089482")</f>
        <v>EN-002089482</v>
      </c>
    </row>
    <row r="2149" spans="1:15" ht="16" x14ac:dyDescent="0.2">
      <c r="A2149" s="18"/>
      <c r="B2149" s="18"/>
      <c r="C2149" s="18"/>
      <c r="D2149" s="18"/>
      <c r="E2149" s="18"/>
      <c r="F2149" s="18"/>
      <c r="G2149" s="18"/>
      <c r="H2149" s="18"/>
      <c r="I2149" s="18"/>
      <c r="J2149" s="18"/>
      <c r="K2149" s="18"/>
      <c r="L2149" s="18"/>
      <c r="M2149" s="18"/>
      <c r="N2149" s="18"/>
      <c r="O2149" s="14" t="str">
        <f>HYPERLINK("https://otsuka-europe-crm.veevavault.com/ui/#object/email_activity__v/V8C00000003Z267", "EN-002099124")</f>
        <v>EN-002099124</v>
      </c>
    </row>
    <row r="2150" spans="1:15" ht="16" x14ac:dyDescent="0.2">
      <c r="A2150" s="19"/>
      <c r="B2150" s="19"/>
      <c r="C2150" s="19"/>
      <c r="D2150" s="19"/>
      <c r="E2150" s="19"/>
      <c r="F2150" s="19"/>
      <c r="G2150" s="19"/>
      <c r="H2150" s="19"/>
      <c r="I2150" s="19"/>
      <c r="J2150" s="19"/>
      <c r="K2150" s="19"/>
      <c r="L2150" s="19"/>
      <c r="M2150" s="19"/>
      <c r="N2150" s="19"/>
      <c r="O2150" s="14" t="str">
        <f>HYPERLINK("https://otsuka-europe-crm.veevavault.com/ui/#object/email_activity__v/V8C000000041290", "EN-002100252")</f>
        <v>EN-002100252</v>
      </c>
    </row>
    <row r="2151" spans="1:15" ht="32" x14ac:dyDescent="0.2">
      <c r="A2151" s="7" t="str">
        <f>HYPERLINK("https://otsuka-europe-crm.veevavault.com/ui/#object/account__v/V4TZ04ASGABZ2VC", "ADELA ALIA JIMENEZ")</f>
        <v>ADELA ALIA JIMENEZ</v>
      </c>
      <c r="B2151" s="7" t="str">
        <f>HYPERLINK("https://otsuka-europe-crm.veevavault.com/ui/#object/vcountry__v/VENZ000004SONF5", "ES")</f>
        <v>ES</v>
      </c>
      <c r="C2151" s="8" t="s">
        <v>41</v>
      </c>
      <c r="D2151" s="9" t="str">
        <f>HYPERLINK("https://otsuka-europe-crm.veevavault.com/ui/#object/approved_document__v/V5O00000001H025", "LUP - VAE invitación simposio SEN-SER - Reuma")</f>
        <v>LUP - VAE invitación simposio SEN-SER - Reuma</v>
      </c>
      <c r="E2151" s="10" t="str">
        <f>HYPERLINK("https://otsuka-europe-crm.veevavault.com/ui/#object/sent_email__v/VBL00000002O329", "SE-001431793")</f>
        <v>SE-001431793</v>
      </c>
      <c r="F2151" s="11"/>
      <c r="G2151" s="12">
        <v>0</v>
      </c>
      <c r="H2151" s="12">
        <v>0</v>
      </c>
      <c r="I2151" s="12">
        <v>0</v>
      </c>
      <c r="J2151" s="11"/>
      <c r="K2151" s="12">
        <v>0</v>
      </c>
      <c r="L2151" s="10" t="str">
        <f>HYPERLINK("https://otsuka-europe-crm.veevavault.com/ui/#object/approved_document__v/V5O00000001H025", "LUP - VAE invitación simposio SEN-SER - Reuma")</f>
        <v>LUP - VAE invitación simposio SEN-SER - Reuma</v>
      </c>
      <c r="M2151" s="10" t="str">
        <f>HYPERLINK("mailto:cmaroto@crm.otsuka-europe.com", "cmaroto@crm.otsuka-europe.com")</f>
        <v>cmaroto@crm.otsuka-europe.com</v>
      </c>
      <c r="N2151" s="13">
        <v>46175.57571759259</v>
      </c>
      <c r="O2151" s="14" t="str">
        <f>HYPERLINK("https://otsuka-europe-crm.veevavault.com/ui/#object/email_activity__v/V8C00000003K974", "EN-002087761")</f>
        <v>EN-002087761</v>
      </c>
    </row>
    <row r="2152" spans="1:15" ht="16" x14ac:dyDescent="0.2">
      <c r="A2152" s="17" t="str">
        <f>HYPERLINK("https://otsuka-europe-crm.veevavault.com/ui/#object/account__v/V4TZ04ASGC47POP", "MARCOS PAULINO HUERTAS")</f>
        <v>MARCOS PAULINO HUERTAS</v>
      </c>
      <c r="B2152" s="17" t="str">
        <f>HYPERLINK("https://otsuka-europe-crm.veevavault.com/ui/#object/vcountry__v/VENZ000004SONF5", "ES")</f>
        <v>ES</v>
      </c>
      <c r="C2152" s="20" t="s">
        <v>41</v>
      </c>
      <c r="D2152" s="21" t="str">
        <f>HYPERLINK("https://otsuka-europe-crm.veevavault.com/ui/#object/approved_document__v/V5O00000001H025", "LUP - VAE invitación simposio SEN-SER - Reuma")</f>
        <v>LUP - VAE invitación simposio SEN-SER - Reuma</v>
      </c>
      <c r="E2152" s="22" t="str">
        <f>HYPERLINK("https://otsuka-europe-crm.veevavault.com/ui/#object/sent_email__v/VBL00000002O330", "SE-001431794")</f>
        <v>SE-001431794</v>
      </c>
      <c r="F2152" s="23">
        <v>46175.592280092591</v>
      </c>
      <c r="G2152" s="24">
        <v>1</v>
      </c>
      <c r="H2152" s="24">
        <v>1</v>
      </c>
      <c r="I2152" s="24">
        <v>0</v>
      </c>
      <c r="J2152" s="25"/>
      <c r="K2152" s="24">
        <v>0</v>
      </c>
      <c r="L2152" s="22" t="str">
        <f>HYPERLINK("https://otsuka-europe-crm.veevavault.com/ui/#object/approved_document__v/V5O00000001H025", "LUP - VAE invitación simposio SEN-SER - Reuma")</f>
        <v>LUP - VAE invitación simposio SEN-SER - Reuma</v>
      </c>
      <c r="M2152" s="22" t="str">
        <f>HYPERLINK("mailto:cmaroto@crm.otsuka-europe.com", "cmaroto@crm.otsuka-europe.com")</f>
        <v>cmaroto@crm.otsuka-europe.com</v>
      </c>
      <c r="N2152" s="23">
        <v>46175.575694444444</v>
      </c>
      <c r="O2152" s="14" t="str">
        <f>HYPERLINK("https://otsuka-europe-crm.veevavault.com/ui/#object/email_activity__v/V8C00000003K952", "EN-002087735")</f>
        <v>EN-002087735</v>
      </c>
    </row>
    <row r="2153" spans="1:15" ht="16" x14ac:dyDescent="0.2">
      <c r="A2153" s="19"/>
      <c r="B2153" s="19"/>
      <c r="C2153" s="19"/>
      <c r="D2153" s="19"/>
      <c r="E2153" s="19"/>
      <c r="F2153" s="19"/>
      <c r="G2153" s="19"/>
      <c r="H2153" s="19"/>
      <c r="I2153" s="19"/>
      <c r="J2153" s="19"/>
      <c r="K2153" s="19"/>
      <c r="L2153" s="19"/>
      <c r="M2153" s="19"/>
      <c r="N2153" s="19"/>
      <c r="O2153" s="14" t="str">
        <f>HYPERLINK("https://otsuka-europe-crm.veevavault.com/ui/#object/email_activity__v/V8C00000003M004", "EN-002087841")</f>
        <v>EN-002087841</v>
      </c>
    </row>
    <row r="2154" spans="1:15" ht="16" x14ac:dyDescent="0.2">
      <c r="A2154" s="17" t="str">
        <f>HYPERLINK("https://otsuka-europe-crm.veevavault.com/ui/#object/account__v/V4TZ04ASGBJNHN5", "MARIA LUISA BRIS OCHAITA")</f>
        <v>MARIA LUISA BRIS OCHAITA</v>
      </c>
      <c r="B2154" s="17" t="str">
        <f>HYPERLINK("https://otsuka-europe-crm.veevavault.com/ui/#object/vcountry__v/VENZ000004SONF5", "ES")</f>
        <v>ES</v>
      </c>
      <c r="C2154" s="20" t="s">
        <v>41</v>
      </c>
      <c r="D2154" s="21" t="str">
        <f>HYPERLINK("https://otsuka-europe-crm.veevavault.com/ui/#object/approved_document__v/V5O00000001H025", "LUP - VAE invitación simposio SEN-SER - Reuma")</f>
        <v>LUP - VAE invitación simposio SEN-SER - Reuma</v>
      </c>
      <c r="E2154" s="22" t="str">
        <f>HYPERLINK("https://otsuka-europe-crm.veevavault.com/ui/#object/sent_email__v/VBL00000002O331", "SE-001431795")</f>
        <v>SE-001431795</v>
      </c>
      <c r="F2154" s="25"/>
      <c r="G2154" s="24">
        <v>0</v>
      </c>
      <c r="H2154" s="24">
        <v>0</v>
      </c>
      <c r="I2154" s="24">
        <v>1</v>
      </c>
      <c r="J2154" s="23">
        <v>46177.830590277779</v>
      </c>
      <c r="K2154" s="24">
        <v>1</v>
      </c>
      <c r="L2154" s="22" t="str">
        <f>HYPERLINK("https://otsuka-europe-crm.veevavault.com/ui/#object/approved_document__v/V5O00000001H025", "LUP - VAE invitación simposio SEN-SER - Reuma")</f>
        <v>LUP - VAE invitación simposio SEN-SER - Reuma</v>
      </c>
      <c r="M2154" s="22" t="str">
        <f>HYPERLINK("mailto:cmaroto@crm.otsuka-europe.com", "cmaroto@crm.otsuka-europe.com")</f>
        <v>cmaroto@crm.otsuka-europe.com</v>
      </c>
      <c r="N2154" s="23">
        <v>46175.575694444444</v>
      </c>
      <c r="O2154" s="14" t="str">
        <f>HYPERLINK("https://otsuka-europe-crm.veevavault.com/ui/#object/email_activity__v/V8C00000003K966", "EN-002087753")</f>
        <v>EN-002087753</v>
      </c>
    </row>
    <row r="2155" spans="1:15" ht="16" x14ac:dyDescent="0.2">
      <c r="A2155" s="18"/>
      <c r="B2155" s="18"/>
      <c r="C2155" s="18"/>
      <c r="D2155" s="18"/>
      <c r="E2155" s="18"/>
      <c r="F2155" s="18"/>
      <c r="G2155" s="18"/>
      <c r="H2155" s="18"/>
      <c r="I2155" s="18"/>
      <c r="J2155" s="18"/>
      <c r="K2155" s="18"/>
      <c r="L2155" s="18"/>
      <c r="M2155" s="18"/>
      <c r="N2155" s="18"/>
      <c r="O2155" s="14" t="str">
        <f>HYPERLINK("https://otsuka-europe-crm.veevavault.com/ui/#object/email_activity__v/V8C00000003M605", "EN-002089228")</f>
        <v>EN-002089228</v>
      </c>
    </row>
    <row r="2156" spans="1:15" ht="16" x14ac:dyDescent="0.2">
      <c r="A2156" s="18"/>
      <c r="B2156" s="18"/>
      <c r="C2156" s="18"/>
      <c r="D2156" s="18"/>
      <c r="E2156" s="18"/>
      <c r="F2156" s="18"/>
      <c r="G2156" s="18"/>
      <c r="H2156" s="18"/>
      <c r="I2156" s="18"/>
      <c r="J2156" s="18"/>
      <c r="K2156" s="18"/>
      <c r="L2156" s="18"/>
      <c r="M2156" s="18"/>
      <c r="N2156" s="18"/>
      <c r="O2156" s="14" t="str">
        <f>HYPERLINK("https://otsuka-europe-crm.veevavault.com/ui/#object/email_activity__v/V8C00000003N720", "EN-002089227")</f>
        <v>EN-002089227</v>
      </c>
    </row>
    <row r="2157" spans="1:15" ht="16" x14ac:dyDescent="0.2">
      <c r="A2157" s="18"/>
      <c r="B2157" s="18"/>
      <c r="C2157" s="18"/>
      <c r="D2157" s="18"/>
      <c r="E2157" s="18"/>
      <c r="F2157" s="18"/>
      <c r="G2157" s="18"/>
      <c r="H2157" s="18"/>
      <c r="I2157" s="18"/>
      <c r="J2157" s="18"/>
      <c r="K2157" s="18"/>
      <c r="L2157" s="18"/>
      <c r="M2157" s="18"/>
      <c r="N2157" s="18"/>
      <c r="O2157" s="14" t="str">
        <f>HYPERLINK("https://otsuka-europe-crm.veevavault.com/ui/#object/email_activity__v/V8C00000003N722", "EN-002089231")</f>
        <v>EN-002089231</v>
      </c>
    </row>
    <row r="2158" spans="1:15" ht="16" x14ac:dyDescent="0.2">
      <c r="A2158" s="19"/>
      <c r="B2158" s="19"/>
      <c r="C2158" s="19"/>
      <c r="D2158" s="19"/>
      <c r="E2158" s="19"/>
      <c r="F2158" s="19"/>
      <c r="G2158" s="19"/>
      <c r="H2158" s="19"/>
      <c r="I2158" s="19"/>
      <c r="J2158" s="19"/>
      <c r="K2158" s="19"/>
      <c r="L2158" s="19"/>
      <c r="M2158" s="19"/>
      <c r="N2158" s="19"/>
      <c r="O2158" s="14" t="str">
        <f>HYPERLINK("https://otsuka-europe-crm.veevavault.com/ui/#object/email_activity__v/V8C00000003U948", "EN-002096880")</f>
        <v>EN-002096880</v>
      </c>
    </row>
    <row r="2159" spans="1:15" ht="16" x14ac:dyDescent="0.2">
      <c r="A2159" s="17" t="str">
        <f>HYPERLINK("https://otsuka-europe-crm.veevavault.com/ui/#object/account__v/V4TZ06G6OBIL6W5", "JOSE ANTONIO CARRASCO FERNANDEZ")</f>
        <v>JOSE ANTONIO CARRASCO FERNANDEZ</v>
      </c>
      <c r="B2159" s="17" t="str">
        <f>HYPERLINK("https://otsuka-europe-crm.veevavault.com/ui/#object/vcountry__v/VENZ000004SONF5", "ES")</f>
        <v>ES</v>
      </c>
      <c r="C2159" s="20" t="s">
        <v>41</v>
      </c>
      <c r="D2159" s="21" t="str">
        <f>HYPERLINK("https://otsuka-europe-crm.veevavault.com/ui/#object/approved_document__v/V5O00000001H025", "LUP - VAE invitación simposio SEN-SER - Reuma")</f>
        <v>LUP - VAE invitación simposio SEN-SER - Reuma</v>
      </c>
      <c r="E2159" s="22" t="str">
        <f>HYPERLINK("https://otsuka-europe-crm.veevavault.com/ui/#object/sent_email__v/VBL00000002O332", "SE-001431796")</f>
        <v>SE-001431796</v>
      </c>
      <c r="F2159" s="25"/>
      <c r="G2159" s="24">
        <v>0</v>
      </c>
      <c r="H2159" s="24">
        <v>0</v>
      </c>
      <c r="I2159" s="24">
        <v>0</v>
      </c>
      <c r="J2159" s="25"/>
      <c r="K2159" s="24">
        <v>0</v>
      </c>
      <c r="L2159" s="22" t="str">
        <f>HYPERLINK("https://otsuka-europe-crm.veevavault.com/ui/#object/approved_document__v/V5O00000001H025", "LUP - VAE invitación simposio SEN-SER - Reuma")</f>
        <v>LUP - VAE invitación simposio SEN-SER - Reuma</v>
      </c>
      <c r="M2159" s="22" t="str">
        <f>HYPERLINK("mailto:cmaroto@crm.otsuka-europe.com", "cmaroto@crm.otsuka-europe.com")</f>
        <v>cmaroto@crm.otsuka-europe.com</v>
      </c>
      <c r="N2159" s="23">
        <v>46175.575694444444</v>
      </c>
      <c r="O2159" s="14" t="str">
        <f>HYPERLINK("https://otsuka-europe-crm.veevavault.com/ui/#object/email_activity__v/V8C00000003K965", "EN-002087752")</f>
        <v>EN-002087752</v>
      </c>
    </row>
    <row r="2160" spans="1:15" ht="16" x14ac:dyDescent="0.2">
      <c r="A2160" s="19"/>
      <c r="B2160" s="19"/>
      <c r="C2160" s="19"/>
      <c r="D2160" s="19"/>
      <c r="E2160" s="19"/>
      <c r="F2160" s="19"/>
      <c r="G2160" s="19"/>
      <c r="H2160" s="19"/>
      <c r="I2160" s="19"/>
      <c r="J2160" s="19"/>
      <c r="K2160" s="19"/>
      <c r="L2160" s="19"/>
      <c r="M2160" s="19"/>
      <c r="N2160" s="19"/>
      <c r="O2160" s="14" t="str">
        <f>HYPERLINK("https://otsuka-europe-crm.veevavault.com/ui/#object/email_activity__v/V8C00000003N539", "EN-002088863")</f>
        <v>EN-002088863</v>
      </c>
    </row>
    <row r="2161" spans="1:15" ht="32" x14ac:dyDescent="0.2">
      <c r="A2161" s="7" t="str">
        <f>HYPERLINK("https://otsuka-europe-crm.veevavault.com/ui/#object/account__v/V4TZ06G6OB46CWI", "FERNANDO LOZANO MORILLO")</f>
        <v>FERNANDO LOZANO MORILLO</v>
      </c>
      <c r="B2161" s="7" t="str">
        <f>HYPERLINK("https://otsuka-europe-crm.veevavault.com/ui/#object/vcountry__v/VENZ000004SONF5", "ES")</f>
        <v>ES</v>
      </c>
      <c r="C2161" s="8" t="s">
        <v>41</v>
      </c>
      <c r="D2161" s="9" t="str">
        <f>HYPERLINK("https://otsuka-europe-crm.veevavault.com/ui/#object/approved_document__v/V5O00000001H025", "LUP - VAE invitación simposio SEN-SER - Reuma")</f>
        <v>LUP - VAE invitación simposio SEN-SER - Reuma</v>
      </c>
      <c r="E2161" s="10" t="str">
        <f>HYPERLINK("https://otsuka-europe-crm.veevavault.com/ui/#object/sent_email__v/VBL00000002O333", "SE-001431797")</f>
        <v>SE-001431797</v>
      </c>
      <c r="F2161" s="11"/>
      <c r="G2161" s="12">
        <v>0</v>
      </c>
      <c r="H2161" s="12">
        <v>0</v>
      </c>
      <c r="I2161" s="12">
        <v>0</v>
      </c>
      <c r="J2161" s="11"/>
      <c r="K2161" s="12">
        <v>0</v>
      </c>
      <c r="L2161" s="10" t="str">
        <f>HYPERLINK("https://otsuka-europe-crm.veevavault.com/ui/#object/approved_document__v/V5O00000001H025", "LUP - VAE invitación simposio SEN-SER - Reuma")</f>
        <v>LUP - VAE invitación simposio SEN-SER - Reuma</v>
      </c>
      <c r="M2161" s="10" t="str">
        <f>HYPERLINK("mailto:cmaroto@crm.otsuka-europe.com", "cmaroto@crm.otsuka-europe.com")</f>
        <v>cmaroto@crm.otsuka-europe.com</v>
      </c>
      <c r="N2161" s="13">
        <v>46175.575694444444</v>
      </c>
      <c r="O2161" s="14" t="str">
        <f>HYPERLINK("https://otsuka-europe-crm.veevavault.com/ui/#object/email_activity__v/V8C00000003K953", "EN-002087736")</f>
        <v>EN-002087736</v>
      </c>
    </row>
    <row r="2162" spans="1:15" ht="16" x14ac:dyDescent="0.2">
      <c r="A2162" s="17" t="str">
        <f>HYPERLINK("https://otsuka-europe-crm.veevavault.com/ui/#object/account__v/V4TZ04ASG8QA81M", "MARIA JESUS GARCIA VILLANUEVA")</f>
        <v>MARIA JESUS GARCIA VILLANUEVA</v>
      </c>
      <c r="B2162" s="17" t="str">
        <f>HYPERLINK("https://otsuka-europe-crm.veevavault.com/ui/#object/vcountry__v/VENZ000004SONF5", "ES")</f>
        <v>ES</v>
      </c>
      <c r="C2162" s="20" t="s">
        <v>41</v>
      </c>
      <c r="D2162" s="21" t="str">
        <f>HYPERLINK("https://otsuka-europe-crm.veevavault.com/ui/#object/approved_document__v/V5O00000001H025", "LUP - VAE invitación simposio SEN-SER - Reuma")</f>
        <v>LUP - VAE invitación simposio SEN-SER - Reuma</v>
      </c>
      <c r="E2162" s="22" t="str">
        <f>HYPERLINK("https://otsuka-europe-crm.veevavault.com/ui/#object/sent_email__v/VBL00000002O334", "SE-001431798")</f>
        <v>SE-001431798</v>
      </c>
      <c r="F2162" s="25"/>
      <c r="G2162" s="24">
        <v>0</v>
      </c>
      <c r="H2162" s="24">
        <v>0</v>
      </c>
      <c r="I2162" s="24">
        <v>0</v>
      </c>
      <c r="J2162" s="25"/>
      <c r="K2162" s="24">
        <v>0</v>
      </c>
      <c r="L2162" s="22" t="str">
        <f>HYPERLINK("https://otsuka-europe-crm.veevavault.com/ui/#object/approved_document__v/V5O00000001H025", "LUP - VAE invitación simposio SEN-SER - Reuma")</f>
        <v>LUP - VAE invitación simposio SEN-SER - Reuma</v>
      </c>
      <c r="M2162" s="22" t="str">
        <f>HYPERLINK("mailto:cmaroto@crm.otsuka-europe.com", "cmaroto@crm.otsuka-europe.com")</f>
        <v>cmaroto@crm.otsuka-europe.com</v>
      </c>
      <c r="N2162" s="23">
        <v>46175.575694444444</v>
      </c>
      <c r="O2162" s="14" t="str">
        <f>HYPERLINK("https://otsuka-europe-crm.veevavault.com/ui/#object/email_activity__v/V8C00000003L875", "EN-002087746")</f>
        <v>EN-002087746</v>
      </c>
    </row>
    <row r="2163" spans="1:15" ht="16" x14ac:dyDescent="0.2">
      <c r="A2163" s="18"/>
      <c r="B2163" s="18"/>
      <c r="C2163" s="18"/>
      <c r="D2163" s="18"/>
      <c r="E2163" s="18"/>
      <c r="F2163" s="18"/>
      <c r="G2163" s="18"/>
      <c r="H2163" s="18"/>
      <c r="I2163" s="18"/>
      <c r="J2163" s="18"/>
      <c r="K2163" s="18"/>
      <c r="L2163" s="18"/>
      <c r="M2163" s="18"/>
      <c r="N2163" s="18"/>
      <c r="O2163" s="14" t="str">
        <f>HYPERLINK("https://otsuka-europe-crm.veevavault.com/ui/#object/email_activity__v/V8C00000003M295", "EN-002088553")</f>
        <v>EN-002088553</v>
      </c>
    </row>
    <row r="2164" spans="1:15" ht="16" x14ac:dyDescent="0.2">
      <c r="A2164" s="18"/>
      <c r="B2164" s="18"/>
      <c r="C2164" s="18"/>
      <c r="D2164" s="18"/>
      <c r="E2164" s="18"/>
      <c r="F2164" s="18"/>
      <c r="G2164" s="18"/>
      <c r="H2164" s="18"/>
      <c r="I2164" s="18"/>
      <c r="J2164" s="18"/>
      <c r="K2164" s="18"/>
      <c r="L2164" s="18"/>
      <c r="M2164" s="18"/>
      <c r="N2164" s="18"/>
      <c r="O2164" s="14" t="str">
        <f>HYPERLINK("https://otsuka-europe-crm.veevavault.com/ui/#object/email_activity__v/V8C00000003N277", "EN-002088407")</f>
        <v>EN-002088407</v>
      </c>
    </row>
    <row r="2165" spans="1:15" ht="16" x14ac:dyDescent="0.2">
      <c r="A2165" s="18"/>
      <c r="B2165" s="18"/>
      <c r="C2165" s="18"/>
      <c r="D2165" s="18"/>
      <c r="E2165" s="18"/>
      <c r="F2165" s="18"/>
      <c r="G2165" s="18"/>
      <c r="H2165" s="18"/>
      <c r="I2165" s="18"/>
      <c r="J2165" s="18"/>
      <c r="K2165" s="18"/>
      <c r="L2165" s="18"/>
      <c r="M2165" s="18"/>
      <c r="N2165" s="18"/>
      <c r="O2165" s="14" t="str">
        <f>HYPERLINK("https://otsuka-europe-crm.veevavault.com/ui/#object/email_activity__v/V8C00000003N500", "EN-002088795")</f>
        <v>EN-002088795</v>
      </c>
    </row>
    <row r="2166" spans="1:15" ht="16" x14ac:dyDescent="0.2">
      <c r="A2166" s="19"/>
      <c r="B2166" s="19"/>
      <c r="C2166" s="19"/>
      <c r="D2166" s="19"/>
      <c r="E2166" s="19"/>
      <c r="F2166" s="19"/>
      <c r="G2166" s="19"/>
      <c r="H2166" s="19"/>
      <c r="I2166" s="19"/>
      <c r="J2166" s="19"/>
      <c r="K2166" s="19"/>
      <c r="L2166" s="19"/>
      <c r="M2166" s="19"/>
      <c r="N2166" s="19"/>
      <c r="O2166" s="14" t="str">
        <f>HYPERLINK("https://otsuka-europe-crm.veevavault.com/ui/#object/email_activity__v/V8C00000003R156", "EN-002091976")</f>
        <v>EN-002091976</v>
      </c>
    </row>
    <row r="2167" spans="1:15" ht="16" x14ac:dyDescent="0.2">
      <c r="A2167" s="17" t="str">
        <f>HYPERLINK("https://otsuka-europe-crm.veevavault.com/ui/#object/account__v/V4TZ025E85RTM8I", "MARIA ANGELES BLAZQUEZ CAÑAMERO")</f>
        <v>MARIA ANGELES BLAZQUEZ CAÑAMERO</v>
      </c>
      <c r="B2167" s="17" t="str">
        <f>HYPERLINK("https://otsuka-europe-crm.veevavault.com/ui/#object/vcountry__v/VENZ000004SONF5", "ES")</f>
        <v>ES</v>
      </c>
      <c r="C2167" s="20" t="s">
        <v>41</v>
      </c>
      <c r="D2167" s="21" t="str">
        <f>HYPERLINK("https://otsuka-europe-crm.veevavault.com/ui/#object/approved_document__v/V5O00000001H025", "LUP - VAE invitación simposio SEN-SER - Reuma")</f>
        <v>LUP - VAE invitación simposio SEN-SER - Reuma</v>
      </c>
      <c r="E2167" s="22" t="str">
        <f>HYPERLINK("https://otsuka-europe-crm.veevavault.com/ui/#object/sent_email__v/VBL00000002O335", "SE-001431799")</f>
        <v>SE-001431799</v>
      </c>
      <c r="F2167" s="23">
        <v>46175.607870370368</v>
      </c>
      <c r="G2167" s="24">
        <v>1</v>
      </c>
      <c r="H2167" s="24">
        <v>1</v>
      </c>
      <c r="I2167" s="24">
        <v>1</v>
      </c>
      <c r="J2167" s="23">
        <v>46175.608414351853</v>
      </c>
      <c r="K2167" s="24">
        <v>1</v>
      </c>
      <c r="L2167" s="22" t="str">
        <f>HYPERLINK("https://otsuka-europe-crm.veevavault.com/ui/#object/approved_document__v/V5O00000001H025", "LUP - VAE invitación simposio SEN-SER - Reuma")</f>
        <v>LUP - VAE invitación simposio SEN-SER - Reuma</v>
      </c>
      <c r="M2167" s="22" t="str">
        <f>HYPERLINK("mailto:cmaroto@crm.otsuka-europe.com", "cmaroto@crm.otsuka-europe.com")</f>
        <v>cmaroto@crm.otsuka-europe.com</v>
      </c>
      <c r="N2167" s="23">
        <v>46175.575706018521</v>
      </c>
      <c r="O2167" s="14" t="str">
        <f>HYPERLINK("https://otsuka-europe-crm.veevavault.com/ui/#object/email_activity__v/V8C00000003K971", "EN-002087758")</f>
        <v>EN-002087758</v>
      </c>
    </row>
    <row r="2168" spans="1:15" ht="16" x14ac:dyDescent="0.2">
      <c r="A2168" s="18"/>
      <c r="B2168" s="18"/>
      <c r="C2168" s="18"/>
      <c r="D2168" s="18"/>
      <c r="E2168" s="18"/>
      <c r="F2168" s="18"/>
      <c r="G2168" s="18"/>
      <c r="H2168" s="18"/>
      <c r="I2168" s="18"/>
      <c r="J2168" s="18"/>
      <c r="K2168" s="18"/>
      <c r="L2168" s="18"/>
      <c r="M2168" s="18"/>
      <c r="N2168" s="18"/>
      <c r="O2168" s="14" t="str">
        <f>HYPERLINK("https://otsuka-europe-crm.veevavault.com/ui/#object/email_activity__v/V8C00000003L942", "EN-002087870")</f>
        <v>EN-002087870</v>
      </c>
    </row>
    <row r="2169" spans="1:15" ht="16" x14ac:dyDescent="0.2">
      <c r="A2169" s="18"/>
      <c r="B2169" s="18"/>
      <c r="C2169" s="18"/>
      <c r="D2169" s="18"/>
      <c r="E2169" s="18"/>
      <c r="F2169" s="18"/>
      <c r="G2169" s="18"/>
      <c r="H2169" s="18"/>
      <c r="I2169" s="18"/>
      <c r="J2169" s="18"/>
      <c r="K2169" s="18"/>
      <c r="L2169" s="18"/>
      <c r="M2169" s="18"/>
      <c r="N2169" s="18"/>
      <c r="O2169" s="14" t="str">
        <f>HYPERLINK("https://otsuka-europe-crm.veevavault.com/ui/#object/email_activity__v/V8C00000003M019", "EN-002087872")</f>
        <v>EN-002087872</v>
      </c>
    </row>
    <row r="2170" spans="1:15" ht="16" x14ac:dyDescent="0.2">
      <c r="A2170" s="19"/>
      <c r="B2170" s="19"/>
      <c r="C2170" s="19"/>
      <c r="D2170" s="19"/>
      <c r="E2170" s="19"/>
      <c r="F2170" s="19"/>
      <c r="G2170" s="19"/>
      <c r="H2170" s="19"/>
      <c r="I2170" s="19"/>
      <c r="J2170" s="19"/>
      <c r="K2170" s="19"/>
      <c r="L2170" s="19"/>
      <c r="M2170" s="19"/>
      <c r="N2170" s="19"/>
      <c r="O2170" s="14" t="str">
        <f>HYPERLINK("https://otsuka-europe-crm.veevavault.com/ui/#object/email_activity__v/V8C00000003M039", "EN-002087910")</f>
        <v>EN-002087910</v>
      </c>
    </row>
    <row r="2171" spans="1:15" ht="16" x14ac:dyDescent="0.2">
      <c r="A2171" s="17" t="str">
        <f>HYPERLINK("https://otsuka-europe-crm.veevavault.com/ui/#object/account__v/V4TZ025E82XR34V", "DAVID CASTRO CORREDOR")</f>
        <v>DAVID CASTRO CORREDOR</v>
      </c>
      <c r="B2171" s="17" t="str">
        <f>HYPERLINK("https://otsuka-europe-crm.veevavault.com/ui/#object/vcountry__v/VENZ000004SONF5", "ES")</f>
        <v>ES</v>
      </c>
      <c r="C2171" s="20" t="s">
        <v>41</v>
      </c>
      <c r="D2171" s="21" t="str">
        <f>HYPERLINK("https://otsuka-europe-crm.veevavault.com/ui/#object/approved_document__v/V5O00000001H025", "LUP - VAE invitación simposio SEN-SER - Reuma")</f>
        <v>LUP - VAE invitación simposio SEN-SER - Reuma</v>
      </c>
      <c r="E2171" s="22" t="str">
        <f>HYPERLINK("https://otsuka-europe-crm.veevavault.com/ui/#object/sent_email__v/VBL00000002O336", "SE-001431800")</f>
        <v>SE-001431800</v>
      </c>
      <c r="F2171" s="23">
        <v>46175.577847222223</v>
      </c>
      <c r="G2171" s="24">
        <v>1</v>
      </c>
      <c r="H2171" s="24">
        <v>2</v>
      </c>
      <c r="I2171" s="24">
        <v>1</v>
      </c>
      <c r="J2171" s="23">
        <v>46175.577847222223</v>
      </c>
      <c r="K2171" s="24">
        <v>1</v>
      </c>
      <c r="L2171" s="22" t="str">
        <f>HYPERLINK("https://otsuka-europe-crm.veevavault.com/ui/#object/approved_document__v/V5O00000001H025", "LUP - VAE invitación simposio SEN-SER - Reuma")</f>
        <v>LUP - VAE invitación simposio SEN-SER - Reuma</v>
      </c>
      <c r="M2171" s="22" t="str">
        <f>HYPERLINK("mailto:cmaroto@crm.otsuka-europe.com", "cmaroto@crm.otsuka-europe.com")</f>
        <v>cmaroto@crm.otsuka-europe.com</v>
      </c>
      <c r="N2171" s="23">
        <v>46175.575694444444</v>
      </c>
      <c r="O2171" s="14" t="str">
        <f>HYPERLINK("https://otsuka-europe-crm.veevavault.com/ui/#object/email_activity__v/V8C00000003K982", "EN-002087770")</f>
        <v>EN-002087770</v>
      </c>
    </row>
    <row r="2172" spans="1:15" ht="16" x14ac:dyDescent="0.2">
      <c r="A2172" s="18"/>
      <c r="B2172" s="18"/>
      <c r="C2172" s="18"/>
      <c r="D2172" s="18"/>
      <c r="E2172" s="18"/>
      <c r="F2172" s="18"/>
      <c r="G2172" s="18"/>
      <c r="H2172" s="18"/>
      <c r="I2172" s="18"/>
      <c r="J2172" s="18"/>
      <c r="K2172" s="18"/>
      <c r="L2172" s="18"/>
      <c r="M2172" s="18"/>
      <c r="N2172" s="18"/>
      <c r="O2172" s="14" t="str">
        <f>HYPERLINK("https://otsuka-europe-crm.veevavault.com/ui/#object/email_activity__v/V8C00000003K983", "EN-002087769")</f>
        <v>EN-002087769</v>
      </c>
    </row>
    <row r="2173" spans="1:15" ht="16" x14ac:dyDescent="0.2">
      <c r="A2173" s="18"/>
      <c r="B2173" s="18"/>
      <c r="C2173" s="18"/>
      <c r="D2173" s="18"/>
      <c r="E2173" s="18"/>
      <c r="F2173" s="18"/>
      <c r="G2173" s="18"/>
      <c r="H2173" s="18"/>
      <c r="I2173" s="18"/>
      <c r="J2173" s="18"/>
      <c r="K2173" s="18"/>
      <c r="L2173" s="18"/>
      <c r="M2173" s="18"/>
      <c r="N2173" s="18"/>
      <c r="O2173" s="14" t="str">
        <f>HYPERLINK("https://otsuka-europe-crm.veevavault.com/ui/#object/email_activity__v/V8C00000003K984", "EN-002087771")</f>
        <v>EN-002087771</v>
      </c>
    </row>
    <row r="2174" spans="1:15" ht="16" x14ac:dyDescent="0.2">
      <c r="A2174" s="18"/>
      <c r="B2174" s="18"/>
      <c r="C2174" s="18"/>
      <c r="D2174" s="18"/>
      <c r="E2174" s="18"/>
      <c r="F2174" s="18"/>
      <c r="G2174" s="18"/>
      <c r="H2174" s="18"/>
      <c r="I2174" s="18"/>
      <c r="J2174" s="18"/>
      <c r="K2174" s="18"/>
      <c r="L2174" s="18"/>
      <c r="M2174" s="18"/>
      <c r="N2174" s="18"/>
      <c r="O2174" s="14" t="str">
        <f>HYPERLINK("https://otsuka-europe-crm.veevavault.com/ui/#object/email_activity__v/V8C00000003L876", "EN-002087747")</f>
        <v>EN-002087747</v>
      </c>
    </row>
    <row r="2175" spans="1:15" ht="16" x14ac:dyDescent="0.2">
      <c r="A2175" s="18"/>
      <c r="B2175" s="18"/>
      <c r="C2175" s="18"/>
      <c r="D2175" s="18"/>
      <c r="E2175" s="18"/>
      <c r="F2175" s="18"/>
      <c r="G2175" s="18"/>
      <c r="H2175" s="18"/>
      <c r="I2175" s="18"/>
      <c r="J2175" s="18"/>
      <c r="K2175" s="18"/>
      <c r="L2175" s="18"/>
      <c r="M2175" s="18"/>
      <c r="N2175" s="18"/>
      <c r="O2175" s="14" t="str">
        <f>HYPERLINK("https://otsuka-europe-crm.veevavault.com/ui/#object/email_activity__v/V8C00000003L924", "EN-002087836")</f>
        <v>EN-002087836</v>
      </c>
    </row>
    <row r="2176" spans="1:15" ht="16" x14ac:dyDescent="0.2">
      <c r="A2176" s="18"/>
      <c r="B2176" s="18"/>
      <c r="C2176" s="18"/>
      <c r="D2176" s="18"/>
      <c r="E2176" s="18"/>
      <c r="F2176" s="18"/>
      <c r="G2176" s="18"/>
      <c r="H2176" s="18"/>
      <c r="I2176" s="18"/>
      <c r="J2176" s="18"/>
      <c r="K2176" s="18"/>
      <c r="L2176" s="18"/>
      <c r="M2176" s="18"/>
      <c r="N2176" s="18"/>
      <c r="O2176" s="14" t="str">
        <f>HYPERLINK("https://otsuka-europe-crm.veevavault.com/ui/#object/email_activity__v/V8C00000003N004", "EN-002087991")</f>
        <v>EN-002087991</v>
      </c>
    </row>
    <row r="2177" spans="1:15" ht="16" x14ac:dyDescent="0.2">
      <c r="A2177" s="19"/>
      <c r="B2177" s="19"/>
      <c r="C2177" s="19"/>
      <c r="D2177" s="19"/>
      <c r="E2177" s="19"/>
      <c r="F2177" s="19"/>
      <c r="G2177" s="19"/>
      <c r="H2177" s="19"/>
      <c r="I2177" s="19"/>
      <c r="J2177" s="19"/>
      <c r="K2177" s="19"/>
      <c r="L2177" s="19"/>
      <c r="M2177" s="19"/>
      <c r="N2177" s="19"/>
      <c r="O2177" s="14" t="str">
        <f>HYPERLINK("https://otsuka-europe-crm.veevavault.com/ui/#object/email_activity__v/V8C00000003N511", "EN-002088811")</f>
        <v>EN-002088811</v>
      </c>
    </row>
    <row r="2178" spans="1:15" ht="16" x14ac:dyDescent="0.2">
      <c r="A2178" s="17" t="str">
        <f>HYPERLINK("https://otsuka-europe-crm.veevavault.com/ui/#object/account__v/V4TZ04ASGAZN3BE", "ENRIQUE JUDEZ NAVARRO")</f>
        <v>ENRIQUE JUDEZ NAVARRO</v>
      </c>
      <c r="B2178" s="17" t="str">
        <f>HYPERLINK("https://otsuka-europe-crm.veevavault.com/ui/#object/vcountry__v/VENZ000004SONF5", "ES")</f>
        <v>ES</v>
      </c>
      <c r="C2178" s="20" t="s">
        <v>41</v>
      </c>
      <c r="D2178" s="21" t="str">
        <f>HYPERLINK("https://otsuka-europe-crm.veevavault.com/ui/#object/approved_document__v/V5O00000001H025", "LUP - VAE invitación simposio SEN-SER - Reuma")</f>
        <v>LUP - VAE invitación simposio SEN-SER - Reuma</v>
      </c>
      <c r="E2178" s="22" t="str">
        <f>HYPERLINK("https://otsuka-europe-crm.veevavault.com/ui/#object/sent_email__v/VBL00000002O337", "SE-001431801")</f>
        <v>SE-001431801</v>
      </c>
      <c r="F2178" s="25"/>
      <c r="G2178" s="24">
        <v>0</v>
      </c>
      <c r="H2178" s="24">
        <v>0</v>
      </c>
      <c r="I2178" s="24">
        <v>0</v>
      </c>
      <c r="J2178" s="25"/>
      <c r="K2178" s="24">
        <v>0</v>
      </c>
      <c r="L2178" s="22" t="str">
        <f>HYPERLINK("https://otsuka-europe-crm.veevavault.com/ui/#object/approved_document__v/V5O00000001H025", "LUP - VAE invitación simposio SEN-SER - Reuma")</f>
        <v>LUP - VAE invitación simposio SEN-SER - Reuma</v>
      </c>
      <c r="M2178" s="22" t="str">
        <f>HYPERLINK("mailto:cmaroto@crm.otsuka-europe.com", "cmaroto@crm.otsuka-europe.com")</f>
        <v>cmaroto@crm.otsuka-europe.com</v>
      </c>
      <c r="N2178" s="23">
        <v>46175.57571759259</v>
      </c>
      <c r="O2178" s="14" t="str">
        <f>HYPERLINK("https://otsuka-europe-crm.veevavault.com/ui/#object/email_activity__v/V8C00000003K970", "EN-002087757")</f>
        <v>EN-002087757</v>
      </c>
    </row>
    <row r="2179" spans="1:15" ht="16" x14ac:dyDescent="0.2">
      <c r="A2179" s="19"/>
      <c r="B2179" s="19"/>
      <c r="C2179" s="19"/>
      <c r="D2179" s="19"/>
      <c r="E2179" s="19"/>
      <c r="F2179" s="19"/>
      <c r="G2179" s="19"/>
      <c r="H2179" s="19"/>
      <c r="I2179" s="19"/>
      <c r="J2179" s="19"/>
      <c r="K2179" s="19"/>
      <c r="L2179" s="19"/>
      <c r="M2179" s="19"/>
      <c r="N2179" s="19"/>
      <c r="O2179" s="14" t="str">
        <f>HYPERLINK("https://otsuka-europe-crm.veevavault.com/ui/#object/email_activity__v/V8C00000003K986", "EN-002087773")</f>
        <v>EN-002087773</v>
      </c>
    </row>
    <row r="2180" spans="1:15" ht="16" x14ac:dyDescent="0.2">
      <c r="A2180" s="17" t="str">
        <f>HYPERLINK("https://otsuka-europe-crm.veevavault.com/ui/#object/account__v/V4TZ04ASG9RG6AY", "RAUL MARIA VEIGA CABELLO")</f>
        <v>RAUL MARIA VEIGA CABELLO</v>
      </c>
      <c r="B2180" s="17" t="str">
        <f>HYPERLINK("https://otsuka-europe-crm.veevavault.com/ui/#object/vcountry__v/VENZ000004SONF5", "ES")</f>
        <v>ES</v>
      </c>
      <c r="C2180" s="20" t="s">
        <v>41</v>
      </c>
      <c r="D2180" s="21" t="str">
        <f>HYPERLINK("https://otsuka-europe-crm.veevavault.com/ui/#object/approved_document__v/V5O00000001H025", "LUP - VAE invitación simposio SEN-SER - Reuma")</f>
        <v>LUP - VAE invitación simposio SEN-SER - Reuma</v>
      </c>
      <c r="E2180" s="22" t="str">
        <f>HYPERLINK("https://otsuka-europe-crm.veevavault.com/ui/#object/sent_email__v/VBL00000002O338", "SE-001431802")</f>
        <v>SE-001431802</v>
      </c>
      <c r="F2180" s="25"/>
      <c r="G2180" s="24">
        <v>0</v>
      </c>
      <c r="H2180" s="24">
        <v>0</v>
      </c>
      <c r="I2180" s="24">
        <v>0</v>
      </c>
      <c r="J2180" s="25"/>
      <c r="K2180" s="24">
        <v>0</v>
      </c>
      <c r="L2180" s="22" t="str">
        <f>HYPERLINK("https://otsuka-europe-crm.veevavault.com/ui/#object/approved_document__v/V5O00000001H025", "LUP - VAE invitación simposio SEN-SER - Reuma")</f>
        <v>LUP - VAE invitación simposio SEN-SER - Reuma</v>
      </c>
      <c r="M2180" s="22" t="str">
        <f>HYPERLINK("mailto:cmaroto@crm.otsuka-europe.com", "cmaroto@crm.otsuka-europe.com")</f>
        <v>cmaroto@crm.otsuka-europe.com</v>
      </c>
      <c r="N2180" s="23">
        <v>46175.57571759259</v>
      </c>
      <c r="O2180" s="14" t="str">
        <f>HYPERLINK("https://otsuka-europe-crm.veevavault.com/ui/#object/email_activity__v/V8C00000003K961", "EN-002087748")</f>
        <v>EN-002087748</v>
      </c>
    </row>
    <row r="2181" spans="1:15" ht="16" x14ac:dyDescent="0.2">
      <c r="A2181" s="19"/>
      <c r="B2181" s="19"/>
      <c r="C2181" s="19"/>
      <c r="D2181" s="19"/>
      <c r="E2181" s="19"/>
      <c r="F2181" s="19"/>
      <c r="G2181" s="19"/>
      <c r="H2181" s="19"/>
      <c r="I2181" s="19"/>
      <c r="J2181" s="19"/>
      <c r="K2181" s="19"/>
      <c r="L2181" s="19"/>
      <c r="M2181" s="19"/>
      <c r="N2181" s="19"/>
      <c r="O2181" s="14" t="str">
        <f>HYPERLINK("https://otsuka-europe-crm.veevavault.com/ui/#object/email_activity__v/V8C00000003O009", "EN-002089252")</f>
        <v>EN-002089252</v>
      </c>
    </row>
    <row r="2182" spans="1:15" ht="32" x14ac:dyDescent="0.2">
      <c r="A2182" s="7" t="str">
        <f>HYPERLINK("https://otsuka-europe-crm.veevavault.com/ui/#object/account__v/V4TZ06G6OB46CMI", "MARIA GALINDO IZQUIERDO")</f>
        <v>MARIA GALINDO IZQUIERDO</v>
      </c>
      <c r="B2182" s="7" t="str">
        <f>HYPERLINK("https://otsuka-europe-crm.veevavault.com/ui/#object/vcountry__v/VENZ000004SONF5", "ES")</f>
        <v>ES</v>
      </c>
      <c r="C2182" s="8" t="s">
        <v>41</v>
      </c>
      <c r="D2182" s="9" t="str">
        <f>HYPERLINK("https://otsuka-europe-crm.veevavault.com/ui/#object/approved_document__v/V5O00000001H025", "LUP - VAE invitación simposio SEN-SER - Reuma")</f>
        <v>LUP - VAE invitación simposio SEN-SER - Reuma</v>
      </c>
      <c r="E2182" s="10" t="str">
        <f>HYPERLINK("https://otsuka-europe-crm.veevavault.com/ui/#object/sent_email__v/VBL00000002O339", "SE-001431803")</f>
        <v>SE-001431803</v>
      </c>
      <c r="F2182" s="11"/>
      <c r="G2182" s="12">
        <v>0</v>
      </c>
      <c r="H2182" s="12">
        <v>0</v>
      </c>
      <c r="I2182" s="12">
        <v>0</v>
      </c>
      <c r="J2182" s="11"/>
      <c r="K2182" s="12">
        <v>0</v>
      </c>
      <c r="L2182" s="10" t="str">
        <f>HYPERLINK("https://otsuka-europe-crm.veevavault.com/ui/#object/approved_document__v/V5O00000001H025", "LUP - VAE invitación simposio SEN-SER - Reuma")</f>
        <v>LUP - VAE invitación simposio SEN-SER - Reuma</v>
      </c>
      <c r="M2182" s="10" t="str">
        <f>HYPERLINK("mailto:cmaroto@crm.otsuka-europe.com", "cmaroto@crm.otsuka-europe.com")</f>
        <v>cmaroto@crm.otsuka-europe.com</v>
      </c>
      <c r="N2182" s="13">
        <v>46175.575694444444</v>
      </c>
      <c r="O2182" s="14" t="str">
        <f>HYPERLINK("https://otsuka-europe-crm.veevavault.com/ui/#object/email_activity__v/V8C00000003K963", "EN-002087750")</f>
        <v>EN-002087750</v>
      </c>
    </row>
    <row r="2183" spans="1:15" ht="32" x14ac:dyDescent="0.2">
      <c r="A2183" s="7" t="str">
        <f>HYPERLINK("https://otsuka-europe-crm.veevavault.com/ui/#object/account__v/V4TZ04ASGBCM2W1", "FREDESWINDA ISABEL ROMERO BUENO")</f>
        <v>FREDESWINDA ISABEL ROMERO BUENO</v>
      </c>
      <c r="B2183" s="7" t="str">
        <f>HYPERLINK("https://otsuka-europe-crm.veevavault.com/ui/#object/vcountry__v/VENZ000004SONF5", "ES")</f>
        <v>ES</v>
      </c>
      <c r="C2183" s="8" t="s">
        <v>41</v>
      </c>
      <c r="D2183" s="9" t="str">
        <f>HYPERLINK("https://otsuka-europe-crm.veevavault.com/ui/#object/approved_document__v/V5O00000001H025", "LUP - VAE invitación simposio SEN-SER - Reuma")</f>
        <v>LUP - VAE invitación simposio SEN-SER - Reuma</v>
      </c>
      <c r="E2183" s="10" t="str">
        <f>HYPERLINK("https://otsuka-europe-crm.veevavault.com/ui/#object/sent_email__v/VBL00000002O340", "SE-001431804")</f>
        <v>SE-001431804</v>
      </c>
      <c r="F2183" s="11"/>
      <c r="G2183" s="12">
        <v>0</v>
      </c>
      <c r="H2183" s="12">
        <v>0</v>
      </c>
      <c r="I2183" s="12">
        <v>0</v>
      </c>
      <c r="J2183" s="11"/>
      <c r="K2183" s="12">
        <v>0</v>
      </c>
      <c r="L2183" s="10" t="str">
        <f>HYPERLINK("https://otsuka-europe-crm.veevavault.com/ui/#object/approved_document__v/V5O00000001H025", "LUP - VAE invitación simposio SEN-SER - Reuma")</f>
        <v>LUP - VAE invitación simposio SEN-SER - Reuma</v>
      </c>
      <c r="M2183" s="10" t="str">
        <f>HYPERLINK("mailto:cmaroto@crm.otsuka-europe.com", "cmaroto@crm.otsuka-europe.com")</f>
        <v>cmaroto@crm.otsuka-europe.com</v>
      </c>
      <c r="N2183" s="13">
        <v>46175.57571759259</v>
      </c>
      <c r="O2183" s="14" t="str">
        <f>HYPERLINK("https://otsuka-europe-crm.veevavault.com/ui/#object/email_activity__v/V8C00000003K958", "EN-002087743")</f>
        <v>EN-002087743</v>
      </c>
    </row>
    <row r="2184" spans="1:15" ht="16" x14ac:dyDescent="0.2">
      <c r="A2184" s="17" t="str">
        <f>HYPERLINK("https://otsuka-europe-crm.veevavault.com/ui/#object/account__v/V4TZ04ASGBNZZE2", "SANDRA GARROTE CORRAL")</f>
        <v>SANDRA GARROTE CORRAL</v>
      </c>
      <c r="B2184" s="17" t="str">
        <f>HYPERLINK("https://otsuka-europe-crm.veevavault.com/ui/#object/vcountry__v/VENZ000004SONF5", "ES")</f>
        <v>ES</v>
      </c>
      <c r="C2184" s="20" t="s">
        <v>41</v>
      </c>
      <c r="D2184" s="21" t="str">
        <f>HYPERLINK("https://otsuka-europe-crm.veevavault.com/ui/#object/approved_document__v/V5O00000001H025", "LUP - VAE invitación simposio SEN-SER - Reuma")</f>
        <v>LUP - VAE invitación simposio SEN-SER - Reuma</v>
      </c>
      <c r="E2184" s="22" t="str">
        <f>HYPERLINK("https://otsuka-europe-crm.veevavault.com/ui/#object/sent_email__v/VBL00000002O341", "SE-001431805")</f>
        <v>SE-001431805</v>
      </c>
      <c r="F2184" s="25"/>
      <c r="G2184" s="24">
        <v>0</v>
      </c>
      <c r="H2184" s="24">
        <v>0</v>
      </c>
      <c r="I2184" s="24">
        <v>0</v>
      </c>
      <c r="J2184" s="25"/>
      <c r="K2184" s="24">
        <v>0</v>
      </c>
      <c r="L2184" s="22" t="str">
        <f>HYPERLINK("https://otsuka-europe-crm.veevavault.com/ui/#object/approved_document__v/V5O00000001H025", "LUP - VAE invitación simposio SEN-SER - Reuma")</f>
        <v>LUP - VAE invitación simposio SEN-SER - Reuma</v>
      </c>
      <c r="M2184" s="22" t="str">
        <f>HYPERLINK("mailto:cmaroto@crm.otsuka-europe.com", "cmaroto@crm.otsuka-europe.com")</f>
        <v>cmaroto@crm.otsuka-europe.com</v>
      </c>
      <c r="N2184" s="23">
        <v>46175.57571759259</v>
      </c>
      <c r="O2184" s="14" t="str">
        <f>HYPERLINK("https://otsuka-europe-crm.veevavault.com/ui/#object/email_activity__v/V8C00000003K967", "EN-002087754")</f>
        <v>EN-002087754</v>
      </c>
    </row>
    <row r="2185" spans="1:15" ht="16" x14ac:dyDescent="0.2">
      <c r="A2185" s="19"/>
      <c r="B2185" s="19"/>
      <c r="C2185" s="19"/>
      <c r="D2185" s="19"/>
      <c r="E2185" s="19"/>
      <c r="F2185" s="19"/>
      <c r="G2185" s="19"/>
      <c r="H2185" s="19"/>
      <c r="I2185" s="19"/>
      <c r="J2185" s="19"/>
      <c r="K2185" s="19"/>
      <c r="L2185" s="19"/>
      <c r="M2185" s="19"/>
      <c r="N2185" s="19"/>
      <c r="O2185" s="14" t="str">
        <f>HYPERLINK("https://otsuka-europe-crm.veevavault.com/ui/#object/email_activity__v/V8C00000003M003", "EN-002087840")</f>
        <v>EN-002087840</v>
      </c>
    </row>
    <row r="2186" spans="1:15" ht="32" x14ac:dyDescent="0.2">
      <c r="A2186" s="7" t="str">
        <f>HYPERLINK("https://otsuka-europe-crm.veevavault.com/ui/#object/account__v/V4TZ04ASGE05KZ6", "MARCO AURELIO RAMIREZ HUARANGA")</f>
        <v>MARCO AURELIO RAMIREZ HUARANGA</v>
      </c>
      <c r="B2186" s="7" t="str">
        <f>HYPERLINK("https://otsuka-europe-crm.veevavault.com/ui/#object/vcountry__v/VENZ000004SONF5", "ES")</f>
        <v>ES</v>
      </c>
      <c r="C2186" s="8" t="s">
        <v>41</v>
      </c>
      <c r="D2186" s="9" t="str">
        <f>HYPERLINK("https://otsuka-europe-crm.veevavault.com/ui/#object/approved_document__v/V5O00000001H025", "LUP - VAE invitación simposio SEN-SER - Reuma")</f>
        <v>LUP - VAE invitación simposio SEN-SER - Reuma</v>
      </c>
      <c r="E2186" s="10" t="str">
        <f>HYPERLINK("https://otsuka-europe-crm.veevavault.com/ui/#object/sent_email__v/VBL00000002O342", "SE-001431806")</f>
        <v>SE-001431806</v>
      </c>
      <c r="F2186" s="11"/>
      <c r="G2186" s="12">
        <v>0</v>
      </c>
      <c r="H2186" s="12">
        <v>0</v>
      </c>
      <c r="I2186" s="12">
        <v>0</v>
      </c>
      <c r="J2186" s="11"/>
      <c r="K2186" s="12">
        <v>0</v>
      </c>
      <c r="L2186" s="10" t="str">
        <f>HYPERLINK("https://otsuka-europe-crm.veevavault.com/ui/#object/approved_document__v/V5O00000001H025", "LUP - VAE invitación simposio SEN-SER - Reuma")</f>
        <v>LUP - VAE invitación simposio SEN-SER - Reuma</v>
      </c>
      <c r="M2186" s="10" t="str">
        <f>HYPERLINK("mailto:cmaroto@crm.otsuka-europe.com", "cmaroto@crm.otsuka-europe.com")</f>
        <v>cmaroto@crm.otsuka-europe.com</v>
      </c>
      <c r="N2186" s="13">
        <v>46175.57571759259</v>
      </c>
      <c r="O2186" s="14" t="str">
        <f>HYPERLINK("https://otsuka-europe-crm.veevavault.com/ui/#object/email_activity__v/V8C00000003K973", "EN-002087760")</f>
        <v>EN-002087760</v>
      </c>
    </row>
    <row r="2187" spans="1:15" ht="32" x14ac:dyDescent="0.2">
      <c r="A2187" s="7" t="str">
        <f>HYPERLINK("https://otsuka-europe-crm.veevavault.com/ui/#object/account__v/V4TZ025E85BHGUT", "JESSICA BEATRIZ POLO Y LA BORDA CHUMPITAZ")</f>
        <v>JESSICA BEATRIZ POLO Y LA BORDA CHUMPITAZ</v>
      </c>
      <c r="B2187" s="7" t="str">
        <f>HYPERLINK("https://otsuka-europe-crm.veevavault.com/ui/#object/vcountry__v/VENZ000004SONF5", "ES")</f>
        <v>ES</v>
      </c>
      <c r="C2187" s="8" t="s">
        <v>41</v>
      </c>
      <c r="D2187" s="9" t="str">
        <f>HYPERLINK("https://otsuka-europe-crm.veevavault.com/ui/#object/approved_document__v/V5O00000001H025", "LUP - VAE invitación simposio SEN-SER - Reuma")</f>
        <v>LUP - VAE invitación simposio SEN-SER - Reuma</v>
      </c>
      <c r="E2187" s="10" t="str">
        <f>HYPERLINK("https://otsuka-europe-crm.veevavault.com/ui/#object/sent_email__v/VBL00000002O343", "SE-001431807")</f>
        <v>SE-001431807</v>
      </c>
      <c r="F2187" s="11"/>
      <c r="G2187" s="12">
        <v>0</v>
      </c>
      <c r="H2187" s="12">
        <v>0</v>
      </c>
      <c r="I2187" s="12">
        <v>0</v>
      </c>
      <c r="J2187" s="11"/>
      <c r="K2187" s="12">
        <v>0</v>
      </c>
      <c r="L2187" s="10" t="str">
        <f>HYPERLINK("https://otsuka-europe-crm.veevavault.com/ui/#object/approved_document__v/V5O00000001H025", "LUP - VAE invitación simposio SEN-SER - Reuma")</f>
        <v>LUP - VAE invitación simposio SEN-SER - Reuma</v>
      </c>
      <c r="M2187" s="10" t="str">
        <f>HYPERLINK("mailto:cmaroto@crm.otsuka-europe.com", "cmaroto@crm.otsuka-europe.com")</f>
        <v>cmaroto@crm.otsuka-europe.com</v>
      </c>
      <c r="N2187" s="13">
        <v>46175.57571759259</v>
      </c>
      <c r="O2187" s="14" t="str">
        <f>HYPERLINK("https://otsuka-europe-crm.veevavault.com/ui/#object/email_activity__v/V8C00000003K957", "EN-002087742")</f>
        <v>EN-002087742</v>
      </c>
    </row>
    <row r="2188" spans="1:15" ht="16" x14ac:dyDescent="0.2">
      <c r="A2188" s="17" t="str">
        <f>HYPERLINK("https://otsuka-europe-crm.veevavault.com/ui/#object/account__v/V4TZ04ASGABWN5R", "ANTIA ASUNCION GARCIA FERNANDEZ")</f>
        <v>ANTIA ASUNCION GARCIA FERNANDEZ</v>
      </c>
      <c r="B2188" s="17" t="str">
        <f>HYPERLINK("https://otsuka-europe-crm.veevavault.com/ui/#object/vcountry__v/VENZ000004SONF5", "ES")</f>
        <v>ES</v>
      </c>
      <c r="C2188" s="20" t="s">
        <v>41</v>
      </c>
      <c r="D2188" s="21" t="str">
        <f>HYPERLINK("https://otsuka-europe-crm.veevavault.com/ui/#object/approved_document__v/V5O00000001H025", "LUP - VAE invitación simposio SEN-SER - Reuma")</f>
        <v>LUP - VAE invitación simposio SEN-SER - Reuma</v>
      </c>
      <c r="E2188" s="22" t="str">
        <f>HYPERLINK("https://otsuka-europe-crm.veevavault.com/ui/#object/sent_email__v/VBL00000002O344", "SE-001431808")</f>
        <v>SE-001431808</v>
      </c>
      <c r="F2188" s="23">
        <v>46185.623263888891</v>
      </c>
      <c r="G2188" s="24">
        <v>1</v>
      </c>
      <c r="H2188" s="24">
        <v>3</v>
      </c>
      <c r="I2188" s="24">
        <v>0</v>
      </c>
      <c r="J2188" s="25"/>
      <c r="K2188" s="24">
        <v>0</v>
      </c>
      <c r="L2188" s="22" t="str">
        <f>HYPERLINK("https://otsuka-europe-crm.veevavault.com/ui/#object/approved_document__v/V5O00000001H025", "LUP - VAE invitación simposio SEN-SER - Reuma")</f>
        <v>LUP - VAE invitación simposio SEN-SER - Reuma</v>
      </c>
      <c r="M2188" s="22" t="str">
        <f>HYPERLINK("mailto:cmaroto@crm.otsuka-europe.com", "cmaroto@crm.otsuka-europe.com")</f>
        <v>cmaroto@crm.otsuka-europe.com</v>
      </c>
      <c r="N2188" s="23">
        <v>46175.57571759259</v>
      </c>
      <c r="O2188" s="14" t="str">
        <f>HYPERLINK("https://otsuka-europe-crm.veevavault.com/ui/#object/email_activity__v/V8C00000003K972", "EN-002087759")</f>
        <v>EN-002087759</v>
      </c>
    </row>
    <row r="2189" spans="1:15" ht="16" x14ac:dyDescent="0.2">
      <c r="A2189" s="18"/>
      <c r="B2189" s="18"/>
      <c r="C2189" s="18"/>
      <c r="D2189" s="18"/>
      <c r="E2189" s="18"/>
      <c r="F2189" s="18"/>
      <c r="G2189" s="18"/>
      <c r="H2189" s="18"/>
      <c r="I2189" s="18"/>
      <c r="J2189" s="18"/>
      <c r="K2189" s="18"/>
      <c r="L2189" s="18"/>
      <c r="M2189" s="18"/>
      <c r="N2189" s="18"/>
      <c r="O2189" s="14" t="str">
        <f>HYPERLINK("https://otsuka-europe-crm.veevavault.com/ui/#object/email_activity__v/V8C00000003K975", "EN-002087762")</f>
        <v>EN-002087762</v>
      </c>
    </row>
    <row r="2190" spans="1:15" ht="16" x14ac:dyDescent="0.2">
      <c r="A2190" s="18"/>
      <c r="B2190" s="18"/>
      <c r="C2190" s="18"/>
      <c r="D2190" s="18"/>
      <c r="E2190" s="18"/>
      <c r="F2190" s="18"/>
      <c r="G2190" s="18"/>
      <c r="H2190" s="18"/>
      <c r="I2190" s="18"/>
      <c r="J2190" s="18"/>
      <c r="K2190" s="18"/>
      <c r="L2190" s="18"/>
      <c r="M2190" s="18"/>
      <c r="N2190" s="18"/>
      <c r="O2190" s="14" t="str">
        <f>HYPERLINK("https://otsuka-europe-crm.veevavault.com/ui/#object/email_activity__v/V8C00000003M354", "EN-002088706")</f>
        <v>EN-002088706</v>
      </c>
    </row>
    <row r="2191" spans="1:15" ht="16" x14ac:dyDescent="0.2">
      <c r="A2191" s="19"/>
      <c r="B2191" s="19"/>
      <c r="C2191" s="19"/>
      <c r="D2191" s="19"/>
      <c r="E2191" s="19"/>
      <c r="F2191" s="19"/>
      <c r="G2191" s="19"/>
      <c r="H2191" s="19"/>
      <c r="I2191" s="19"/>
      <c r="J2191" s="19"/>
      <c r="K2191" s="19"/>
      <c r="L2191" s="19"/>
      <c r="M2191" s="19"/>
      <c r="N2191" s="19"/>
      <c r="O2191" s="14" t="str">
        <f>HYPERLINK("https://otsuka-europe-crm.veevavault.com/ui/#object/email_activity__v/V8C00000003V351", "EN-002095498")</f>
        <v>EN-002095498</v>
      </c>
    </row>
    <row r="2192" spans="1:15" ht="32" x14ac:dyDescent="0.2">
      <c r="A2192" s="7" t="str">
        <f>HYPERLINK("https://otsuka-europe-crm.veevavault.com/ui/#object/account__v/V4TZ025E82XIINC", "EVA REVUELTA EVRARD")</f>
        <v>EVA REVUELTA EVRARD</v>
      </c>
      <c r="B2192" s="7" t="str">
        <f>HYPERLINK("https://otsuka-europe-crm.veevavault.com/ui/#object/vcountry__v/VENZ000004SONF5", "ES")</f>
        <v>ES</v>
      </c>
      <c r="C2192" s="8" t="s">
        <v>41</v>
      </c>
      <c r="D2192" s="9" t="str">
        <f>HYPERLINK("https://otsuka-europe-crm.veevavault.com/ui/#object/approved_document__v/V5O00000001H025", "LUP - VAE invitación simposio SEN-SER - Reuma")</f>
        <v>LUP - VAE invitación simposio SEN-SER - Reuma</v>
      </c>
      <c r="E2192" s="10" t="str">
        <f>HYPERLINK("https://otsuka-europe-crm.veevavault.com/ui/#object/sent_email__v/VBL00000002O345", "SE-001431809")</f>
        <v>SE-001431809</v>
      </c>
      <c r="F2192" s="11"/>
      <c r="G2192" s="12">
        <v>0</v>
      </c>
      <c r="H2192" s="12">
        <v>0</v>
      </c>
      <c r="I2192" s="12">
        <v>0</v>
      </c>
      <c r="J2192" s="11"/>
      <c r="K2192" s="12">
        <v>0</v>
      </c>
      <c r="L2192" s="10" t="str">
        <f>HYPERLINK("https://otsuka-europe-crm.veevavault.com/ui/#object/approved_document__v/V5O00000001H025", "LUP - VAE invitación simposio SEN-SER - Reuma")</f>
        <v>LUP - VAE invitación simposio SEN-SER - Reuma</v>
      </c>
      <c r="M2192" s="10" t="str">
        <f>HYPERLINK("mailto:cmaroto@crm.otsuka-europe.com", "cmaroto@crm.otsuka-europe.com")</f>
        <v>cmaroto@crm.otsuka-europe.com</v>
      </c>
      <c r="N2192" s="13">
        <v>46175.57571759259</v>
      </c>
      <c r="O2192" s="14" t="str">
        <f>HYPERLINK("https://otsuka-europe-crm.veevavault.com/ui/#object/email_activity__v/V8C00000003K959", "EN-002087744")</f>
        <v>EN-002087744</v>
      </c>
    </row>
    <row r="2193" spans="1:15" ht="16" x14ac:dyDescent="0.2">
      <c r="A2193" s="17" t="str">
        <f>HYPERLINK("https://otsuka-europe-crm.veevavault.com/ui/#object/account__v/V4TZ04ASGBJNHN6", "MANUEL FERNANDEZ PRADA")</f>
        <v>MANUEL FERNANDEZ PRADA</v>
      </c>
      <c r="B2193" s="17" t="str">
        <f>HYPERLINK("https://otsuka-europe-crm.veevavault.com/ui/#object/vcountry__v/VENZ000004SONF5", "ES")</f>
        <v>ES</v>
      </c>
      <c r="C2193" s="20" t="s">
        <v>41</v>
      </c>
      <c r="D2193" s="21" t="str">
        <f>HYPERLINK("https://otsuka-europe-crm.veevavault.com/ui/#object/approved_document__v/V5O00000001H025", "LUP - VAE invitación simposio SEN-SER - Reuma")</f>
        <v>LUP - VAE invitación simposio SEN-SER - Reuma</v>
      </c>
      <c r="E2193" s="22" t="str">
        <f>HYPERLINK("https://otsuka-europe-crm.veevavault.com/ui/#object/sent_email__v/VBL00000002O346", "SE-001431810")</f>
        <v>SE-001431810</v>
      </c>
      <c r="F2193" s="25"/>
      <c r="G2193" s="24">
        <v>0</v>
      </c>
      <c r="H2193" s="24">
        <v>0</v>
      </c>
      <c r="I2193" s="24">
        <v>0</v>
      </c>
      <c r="J2193" s="25"/>
      <c r="K2193" s="24">
        <v>0</v>
      </c>
      <c r="L2193" s="22" t="str">
        <f>HYPERLINK("https://otsuka-europe-crm.veevavault.com/ui/#object/approved_document__v/V5O00000001H025", "LUP - VAE invitación simposio SEN-SER - Reuma")</f>
        <v>LUP - VAE invitación simposio SEN-SER - Reuma</v>
      </c>
      <c r="M2193" s="22" t="str">
        <f>HYPERLINK("mailto:cmaroto@crm.otsuka-europe.com", "cmaroto@crm.otsuka-europe.com")</f>
        <v>cmaroto@crm.otsuka-europe.com</v>
      </c>
      <c r="N2193" s="23">
        <v>46175.57571759259</v>
      </c>
      <c r="O2193" s="14" t="str">
        <f>HYPERLINK("https://otsuka-europe-crm.veevavault.com/ui/#object/email_activity__v/V8C00000003K955", "EN-002087738")</f>
        <v>EN-002087738</v>
      </c>
    </row>
    <row r="2194" spans="1:15" ht="16" x14ac:dyDescent="0.2">
      <c r="A2194" s="19"/>
      <c r="B2194" s="19"/>
      <c r="C2194" s="19"/>
      <c r="D2194" s="19"/>
      <c r="E2194" s="19"/>
      <c r="F2194" s="19"/>
      <c r="G2194" s="19"/>
      <c r="H2194" s="19"/>
      <c r="I2194" s="19"/>
      <c r="J2194" s="19"/>
      <c r="K2194" s="19"/>
      <c r="L2194" s="19"/>
      <c r="M2194" s="19"/>
      <c r="N2194" s="19"/>
      <c r="O2194" s="14" t="str">
        <f>HYPERLINK("https://otsuka-europe-crm.veevavault.com/ui/#object/email_activity__v/V8C00000003K985", "EN-002087772")</f>
        <v>EN-002087772</v>
      </c>
    </row>
    <row r="2195" spans="1:15" ht="16" x14ac:dyDescent="0.2">
      <c r="A2195" s="17" t="str">
        <f>HYPERLINK("https://otsuka-europe-crm.veevavault.com/ui/#object/account__v/V4TZ04ASGAOWLBL", "ANGEL MARIA GARCIA APARICIO")</f>
        <v>ANGEL MARIA GARCIA APARICIO</v>
      </c>
      <c r="B2195" s="17" t="str">
        <f>HYPERLINK("https://otsuka-europe-crm.veevavault.com/ui/#object/vcountry__v/VENZ000004SONF5", "ES")</f>
        <v>ES</v>
      </c>
      <c r="C2195" s="20" t="s">
        <v>41</v>
      </c>
      <c r="D2195" s="21" t="str">
        <f>HYPERLINK("https://otsuka-europe-crm.veevavault.com/ui/#object/approved_document__v/V5O00000001H025", "LUP - VAE invitación simposio SEN-SER - Reuma")</f>
        <v>LUP - VAE invitación simposio SEN-SER - Reuma</v>
      </c>
      <c r="E2195" s="22" t="str">
        <f>HYPERLINK("https://otsuka-europe-crm.veevavault.com/ui/#object/sent_email__v/VBL00000002O347", "SE-001431811")</f>
        <v>SE-001431811</v>
      </c>
      <c r="F2195" s="23">
        <v>46176.766539351855</v>
      </c>
      <c r="G2195" s="24">
        <v>1</v>
      </c>
      <c r="H2195" s="24">
        <v>1</v>
      </c>
      <c r="I2195" s="24">
        <v>1</v>
      </c>
      <c r="J2195" s="23">
        <v>46176.766539351855</v>
      </c>
      <c r="K2195" s="24">
        <v>1</v>
      </c>
      <c r="L2195" s="22" t="str">
        <f>HYPERLINK("https://otsuka-europe-crm.veevavault.com/ui/#object/approved_document__v/V5O00000001H025", "LUP - VAE invitación simposio SEN-SER - Reuma")</f>
        <v>LUP - VAE invitación simposio SEN-SER - Reuma</v>
      </c>
      <c r="M2195" s="22" t="str">
        <f>HYPERLINK("mailto:cmaroto@crm.otsuka-europe.com", "cmaroto@crm.otsuka-europe.com")</f>
        <v>cmaroto@crm.otsuka-europe.com</v>
      </c>
      <c r="N2195" s="23">
        <v>46175.57571759259</v>
      </c>
      <c r="O2195" s="14" t="str">
        <f>HYPERLINK("https://otsuka-europe-crm.veevavault.com/ui/#object/email_activity__v/V8C00000003L874", "EN-002087741")</f>
        <v>EN-002087741</v>
      </c>
    </row>
    <row r="2196" spans="1:15" ht="16" x14ac:dyDescent="0.2">
      <c r="A2196" s="18"/>
      <c r="B2196" s="18"/>
      <c r="C2196" s="18"/>
      <c r="D2196" s="18"/>
      <c r="E2196" s="18"/>
      <c r="F2196" s="18"/>
      <c r="G2196" s="18"/>
      <c r="H2196" s="18"/>
      <c r="I2196" s="18"/>
      <c r="J2196" s="18"/>
      <c r="K2196" s="18"/>
      <c r="L2196" s="18"/>
      <c r="M2196" s="18"/>
      <c r="N2196" s="18"/>
      <c r="O2196" s="14" t="str">
        <f>HYPERLINK("https://otsuka-europe-crm.veevavault.com/ui/#object/email_activity__v/V8C00000003M394", "EN-002088807")</f>
        <v>EN-002088807</v>
      </c>
    </row>
    <row r="2197" spans="1:15" ht="16" x14ac:dyDescent="0.2">
      <c r="A2197" s="18"/>
      <c r="B2197" s="18"/>
      <c r="C2197" s="18"/>
      <c r="D2197" s="18"/>
      <c r="E2197" s="18"/>
      <c r="F2197" s="18"/>
      <c r="G2197" s="18"/>
      <c r="H2197" s="18"/>
      <c r="I2197" s="18"/>
      <c r="J2197" s="18"/>
      <c r="K2197" s="18"/>
      <c r="L2197" s="18"/>
      <c r="M2197" s="18"/>
      <c r="N2197" s="18"/>
      <c r="O2197" s="14" t="str">
        <f>HYPERLINK("https://otsuka-europe-crm.veevavault.com/ui/#object/email_activity__v/V8C00000003M395", "EN-002088806")</f>
        <v>EN-002088806</v>
      </c>
    </row>
    <row r="2198" spans="1:15" ht="16" x14ac:dyDescent="0.2">
      <c r="A2198" s="19"/>
      <c r="B2198" s="19"/>
      <c r="C2198" s="19"/>
      <c r="D2198" s="19"/>
      <c r="E2198" s="19"/>
      <c r="F2198" s="19"/>
      <c r="G2198" s="19"/>
      <c r="H2198" s="19"/>
      <c r="I2198" s="19"/>
      <c r="J2198" s="19"/>
      <c r="K2198" s="19"/>
      <c r="L2198" s="19"/>
      <c r="M2198" s="19"/>
      <c r="N2198" s="19"/>
      <c r="O2198" s="14" t="str">
        <f>HYPERLINK("https://otsuka-europe-crm.veevavault.com/ui/#object/email_activity__v/V8C00000003N513", "EN-002088814")</f>
        <v>EN-002088814</v>
      </c>
    </row>
    <row r="2199" spans="1:15" ht="32" x14ac:dyDescent="0.2">
      <c r="A2199" s="7" t="str">
        <f>HYPERLINK("https://otsuka-europe-crm.veevavault.com/ui/#object/account__v/V4TZ025E82Y4CR9", "NOELIA GARCIA CASTAÑEDA")</f>
        <v>NOELIA GARCIA CASTAÑEDA</v>
      </c>
      <c r="B2199" s="7" t="str">
        <f>HYPERLINK("https://otsuka-europe-crm.veevavault.com/ui/#object/vcountry__v/VENZ000004SONF5", "ES")</f>
        <v>ES</v>
      </c>
      <c r="C2199" s="8" t="s">
        <v>41</v>
      </c>
      <c r="D2199" s="9" t="str">
        <f>HYPERLINK("https://otsuka-europe-crm.veevavault.com/ui/#object/approved_document__v/V5O00000001H025", "LUP - VAE invitación simposio SEN-SER - Reuma")</f>
        <v>LUP - VAE invitación simposio SEN-SER - Reuma</v>
      </c>
      <c r="E2199" s="10" t="str">
        <f>HYPERLINK("https://otsuka-europe-crm.veevavault.com/ui/#object/sent_email__v/VBL00000002O348", "SE-001431812")</f>
        <v>SE-001431812</v>
      </c>
      <c r="F2199" s="11"/>
      <c r="G2199" s="12">
        <v>0</v>
      </c>
      <c r="H2199" s="12">
        <v>0</v>
      </c>
      <c r="I2199" s="12">
        <v>0</v>
      </c>
      <c r="J2199" s="11"/>
      <c r="K2199" s="12">
        <v>0</v>
      </c>
      <c r="L2199" s="10" t="str">
        <f>HYPERLINK("https://otsuka-europe-crm.veevavault.com/ui/#object/approved_document__v/V5O00000001H025", "LUP - VAE invitación simposio SEN-SER - Reuma")</f>
        <v>LUP - VAE invitación simposio SEN-SER - Reuma</v>
      </c>
      <c r="M2199" s="10" t="str">
        <f>HYPERLINK("mailto:cmaroto@crm.otsuka-europe.com", "cmaroto@crm.otsuka-europe.com")</f>
        <v>cmaroto@crm.otsuka-europe.com</v>
      </c>
      <c r="N2199" s="13">
        <v>46175.57571759259</v>
      </c>
      <c r="O2199" s="14" t="str">
        <f>HYPERLINK("https://otsuka-europe-crm.veevavault.com/ui/#object/email_activity__v/V8C00000003K954", "EN-002087737")</f>
        <v>EN-002087737</v>
      </c>
    </row>
    <row r="2200" spans="1:15" ht="32" x14ac:dyDescent="0.2">
      <c r="A2200" s="7" t="str">
        <f>HYPERLINK("https://otsuka-europe-crm.veevavault.com/ui/#object/account__v/V4TZ04ASGC4AYQQ", "VERONICA SALAS MANZANEDO")</f>
        <v>VERONICA SALAS MANZANEDO</v>
      </c>
      <c r="B2200" s="7" t="str">
        <f>HYPERLINK("https://otsuka-europe-crm.veevavault.com/ui/#object/vcountry__v/VENZ000004SONF5", "ES")</f>
        <v>ES</v>
      </c>
      <c r="C2200" s="8" t="s">
        <v>41</v>
      </c>
      <c r="D2200" s="9" t="str">
        <f>HYPERLINK("https://otsuka-europe-crm.veevavault.com/ui/#object/approved_document__v/V5O00000001H025", "LUP - VAE invitación simposio SEN-SER - Reuma")</f>
        <v>LUP - VAE invitación simposio SEN-SER - Reuma</v>
      </c>
      <c r="E2200" s="10" t="str">
        <f>HYPERLINK("https://otsuka-europe-crm.veevavault.com/ui/#object/sent_email__v/VBL00000002O349", "SE-001431813")</f>
        <v>SE-001431813</v>
      </c>
      <c r="F2200" s="11"/>
      <c r="G2200" s="12">
        <v>0</v>
      </c>
      <c r="H2200" s="12">
        <v>0</v>
      </c>
      <c r="I2200" s="12">
        <v>0</v>
      </c>
      <c r="J2200" s="11"/>
      <c r="K2200" s="12">
        <v>0</v>
      </c>
      <c r="L2200" s="10" t="str">
        <f>HYPERLINK("https://otsuka-europe-crm.veevavault.com/ui/#object/approved_document__v/V5O00000001H025", "LUP - VAE invitación simposio SEN-SER - Reuma")</f>
        <v>LUP - VAE invitación simposio SEN-SER - Reuma</v>
      </c>
      <c r="M2200" s="10" t="str">
        <f>HYPERLINK("mailto:cmaroto@crm.otsuka-europe.com", "cmaroto@crm.otsuka-europe.com")</f>
        <v>cmaroto@crm.otsuka-europe.com</v>
      </c>
      <c r="N2200" s="13">
        <v>46175.57571759259</v>
      </c>
      <c r="O2200" s="14" t="str">
        <f>HYPERLINK("https://otsuka-europe-crm.veevavault.com/ui/#object/email_activity__v/V8C00000003K968", "EN-002087755")</f>
        <v>EN-002087755</v>
      </c>
    </row>
    <row r="2201" spans="1:15" ht="16" x14ac:dyDescent="0.2">
      <c r="A2201" s="17" t="str">
        <f>HYPERLINK("https://otsuka-europe-crm.veevavault.com/ui/#object/account__v/V4TZ06G6O71UQRP", "IRENE MARTIN CAPON")</f>
        <v>IRENE MARTIN CAPON</v>
      </c>
      <c r="B2201" s="17" t="str">
        <f>HYPERLINK("https://otsuka-europe-crm.veevavault.com/ui/#object/vcountry__v/VENZ000004SONF5", "ES")</f>
        <v>ES</v>
      </c>
      <c r="C2201" s="20" t="s">
        <v>41</v>
      </c>
      <c r="D2201" s="21" t="str">
        <f>HYPERLINK("https://otsuka-europe-crm.veevavault.com/ui/#object/approved_document__v/V5O00000001H022", "LUP - VAE invitación simposio SEN-SER - Nefro")</f>
        <v>LUP - VAE invitación simposio SEN-SER - Nefro</v>
      </c>
      <c r="E2201" s="22" t="str">
        <f>HYPERLINK("https://otsuka-europe-crm.veevavault.com/ui/#object/sent_email__v/VBL00000002O350", "SE-001431814")</f>
        <v>SE-001431814</v>
      </c>
      <c r="F2201" s="25"/>
      <c r="G2201" s="24">
        <v>0</v>
      </c>
      <c r="H2201" s="24">
        <v>0</v>
      </c>
      <c r="I2201" s="24">
        <v>0</v>
      </c>
      <c r="J2201" s="25"/>
      <c r="K2201" s="24">
        <v>0</v>
      </c>
      <c r="L2201" s="22" t="str">
        <f>HYPERLINK("https://otsuka-europe-crm.veevavault.com/ui/#object/approved_document__v/V5O00000001H022", "LUP - VAE invitación simposio SEN-SER - Nefro")</f>
        <v>LUP - VAE invitación simposio SEN-SER - Nefro</v>
      </c>
      <c r="M2201" s="22" t="str">
        <f>HYPERLINK("mailto:cmaroto@crm.otsuka-europe.com", "cmaroto@crm.otsuka-europe.com")</f>
        <v>cmaroto@crm.otsuka-europe.com</v>
      </c>
      <c r="N2201" s="23">
        <v>46175.580891203703</v>
      </c>
      <c r="O2201" s="14" t="str">
        <f>HYPERLINK("https://otsuka-europe-crm.veevavault.com/ui/#object/email_activity__v/V8C00000003L890", "EN-002087791")</f>
        <v>EN-002087791</v>
      </c>
    </row>
    <row r="2202" spans="1:15" ht="16" x14ac:dyDescent="0.2">
      <c r="A2202" s="19"/>
      <c r="B2202" s="19"/>
      <c r="C2202" s="19"/>
      <c r="D2202" s="19"/>
      <c r="E2202" s="19"/>
      <c r="F2202" s="19"/>
      <c r="G2202" s="19"/>
      <c r="H2202" s="19"/>
      <c r="I2202" s="19"/>
      <c r="J2202" s="19"/>
      <c r="K2202" s="19"/>
      <c r="L2202" s="19"/>
      <c r="M2202" s="19"/>
      <c r="N2202" s="19"/>
      <c r="O2202" s="14" t="str">
        <f>HYPERLINK("https://otsuka-europe-crm.veevavault.com/ui/#object/email_activity__v/V8C00000003N296", "EN-002088444")</f>
        <v>EN-002088444</v>
      </c>
    </row>
    <row r="2203" spans="1:15" ht="16" x14ac:dyDescent="0.2">
      <c r="A2203" s="17" t="str">
        <f>HYPERLINK("https://otsuka-europe-crm.veevavault.com/ui/#object/account__v/V4TZ06G6O71T83E", "TANIA LINARES GRAVALOS")</f>
        <v>TANIA LINARES GRAVALOS</v>
      </c>
      <c r="B2203" s="17" t="str">
        <f>HYPERLINK("https://otsuka-europe-crm.veevavault.com/ui/#object/vcountry__v/VENZ000004SONF5", "ES")</f>
        <v>ES</v>
      </c>
      <c r="C2203" s="20" t="s">
        <v>41</v>
      </c>
      <c r="D2203" s="21" t="str">
        <f>HYPERLINK("https://otsuka-europe-crm.veevavault.com/ui/#object/approved_document__v/V5O00000001H022", "LUP - VAE invitación simposio SEN-SER - Nefro")</f>
        <v>LUP - VAE invitación simposio SEN-SER - Nefro</v>
      </c>
      <c r="E2203" s="22" t="str">
        <f>HYPERLINK("https://otsuka-europe-crm.veevavault.com/ui/#object/sent_email__v/VBL00000002O351", "SE-001431815")</f>
        <v>SE-001431815</v>
      </c>
      <c r="F2203" s="25"/>
      <c r="G2203" s="24">
        <v>0</v>
      </c>
      <c r="H2203" s="24">
        <v>0</v>
      </c>
      <c r="I2203" s="24">
        <v>0</v>
      </c>
      <c r="J2203" s="25"/>
      <c r="K2203" s="24">
        <v>0</v>
      </c>
      <c r="L2203" s="22" t="str">
        <f>HYPERLINK("https://otsuka-europe-crm.veevavault.com/ui/#object/approved_document__v/V5O00000001H022", "LUP - VAE invitación simposio SEN-SER - Nefro")</f>
        <v>LUP - VAE invitación simposio SEN-SER - Nefro</v>
      </c>
      <c r="M2203" s="22" t="str">
        <f>HYPERLINK("mailto:cmaroto@crm.otsuka-europe.com", "cmaroto@crm.otsuka-europe.com")</f>
        <v>cmaroto@crm.otsuka-europe.com</v>
      </c>
      <c r="N2203" s="23">
        <v>46175.58090277778</v>
      </c>
      <c r="O2203" s="14" t="str">
        <f>HYPERLINK("https://otsuka-europe-crm.veevavault.com/ui/#object/email_activity__v/V8C00000003L898", "EN-002087804")</f>
        <v>EN-002087804</v>
      </c>
    </row>
    <row r="2204" spans="1:15" ht="16" x14ac:dyDescent="0.2">
      <c r="A2204" s="18"/>
      <c r="B2204" s="18"/>
      <c r="C2204" s="18"/>
      <c r="D2204" s="18"/>
      <c r="E2204" s="18"/>
      <c r="F2204" s="18"/>
      <c r="G2204" s="18"/>
      <c r="H2204" s="18"/>
      <c r="I2204" s="18"/>
      <c r="J2204" s="18"/>
      <c r="K2204" s="18"/>
      <c r="L2204" s="18"/>
      <c r="M2204" s="18"/>
      <c r="N2204" s="18"/>
      <c r="O2204" s="14" t="str">
        <f>HYPERLINK("https://otsuka-europe-crm.veevavault.com/ui/#object/email_activity__v/V8C00000003M193", "EN-002088373")</f>
        <v>EN-002088373</v>
      </c>
    </row>
    <row r="2205" spans="1:15" ht="16" x14ac:dyDescent="0.2">
      <c r="A2205" s="19"/>
      <c r="B2205" s="19"/>
      <c r="C2205" s="19"/>
      <c r="D2205" s="19"/>
      <c r="E2205" s="19"/>
      <c r="F2205" s="19"/>
      <c r="G2205" s="19"/>
      <c r="H2205" s="19"/>
      <c r="I2205" s="19"/>
      <c r="J2205" s="19"/>
      <c r="K2205" s="19"/>
      <c r="L2205" s="19"/>
      <c r="M2205" s="19"/>
      <c r="N2205" s="19"/>
      <c r="O2205" s="14" t="str">
        <f>HYPERLINK("https://otsuka-europe-crm.veevavault.com/ui/#object/email_activity__v/V8C00000003W092", "EN-002096829")</f>
        <v>EN-002096829</v>
      </c>
    </row>
    <row r="2206" spans="1:15" ht="16" x14ac:dyDescent="0.2">
      <c r="A2206" s="17" t="str">
        <f>HYPERLINK("https://otsuka-europe-crm.veevavault.com/ui/#object/account__v/V4TZ06G6O71TBSU", "BEGOÑA RINCON RUIZ")</f>
        <v>BEGOÑA RINCON RUIZ</v>
      </c>
      <c r="B2206" s="17" t="str">
        <f>HYPERLINK("https://otsuka-europe-crm.veevavault.com/ui/#object/vcountry__v/VENZ000004SONF5", "ES")</f>
        <v>ES</v>
      </c>
      <c r="C2206" s="20" t="s">
        <v>41</v>
      </c>
      <c r="D2206" s="21" t="str">
        <f>HYPERLINK("https://otsuka-europe-crm.veevavault.com/ui/#object/approved_document__v/V5O00000001H022", "LUP - VAE invitación simposio SEN-SER - Nefro")</f>
        <v>LUP - VAE invitación simposio SEN-SER - Nefro</v>
      </c>
      <c r="E2206" s="22" t="str">
        <f>HYPERLINK("https://otsuka-europe-crm.veevavault.com/ui/#object/sent_email__v/VBL00000002O352", "SE-001431816")</f>
        <v>SE-001431816</v>
      </c>
      <c r="F2206" s="23">
        <v>46175.665254629632</v>
      </c>
      <c r="G2206" s="24">
        <v>1</v>
      </c>
      <c r="H2206" s="24">
        <v>1</v>
      </c>
      <c r="I2206" s="24">
        <v>1</v>
      </c>
      <c r="J2206" s="23">
        <v>46175.666030092594</v>
      </c>
      <c r="K2206" s="24">
        <v>2</v>
      </c>
      <c r="L2206" s="22" t="str">
        <f>HYPERLINK("https://otsuka-europe-crm.veevavault.com/ui/#object/approved_document__v/V5O00000001H022", "LUP - VAE invitación simposio SEN-SER - Nefro")</f>
        <v>LUP - VAE invitación simposio SEN-SER - Nefro</v>
      </c>
      <c r="M2206" s="22" t="str">
        <f>HYPERLINK("mailto:cmaroto@crm.otsuka-europe.com", "cmaroto@crm.otsuka-europe.com")</f>
        <v>cmaroto@crm.otsuka-europe.com</v>
      </c>
      <c r="N2206" s="23">
        <v>46175.58090277778</v>
      </c>
      <c r="O2206" s="14" t="str">
        <f>HYPERLINK("https://otsuka-europe-crm.veevavault.com/ui/#object/email_activity__v/V8C00000003L881", "EN-002087782")</f>
        <v>EN-002087782</v>
      </c>
    </row>
    <row r="2207" spans="1:15" ht="16" x14ac:dyDescent="0.2">
      <c r="A2207" s="18"/>
      <c r="B2207" s="18"/>
      <c r="C2207" s="18"/>
      <c r="D2207" s="18"/>
      <c r="E2207" s="18"/>
      <c r="F2207" s="18"/>
      <c r="G2207" s="18"/>
      <c r="H2207" s="18"/>
      <c r="I2207" s="18"/>
      <c r="J2207" s="18"/>
      <c r="K2207" s="18"/>
      <c r="L2207" s="18"/>
      <c r="M2207" s="18"/>
      <c r="N2207" s="18"/>
      <c r="O2207" s="14" t="str">
        <f>HYPERLINK("https://otsuka-europe-crm.veevavault.com/ui/#object/email_activity__v/V8C00000003L994", "EN-002087982")</f>
        <v>EN-002087982</v>
      </c>
    </row>
    <row r="2208" spans="1:15" ht="16" x14ac:dyDescent="0.2">
      <c r="A2208" s="18"/>
      <c r="B2208" s="18"/>
      <c r="C2208" s="18"/>
      <c r="D2208" s="18"/>
      <c r="E2208" s="18"/>
      <c r="F2208" s="18"/>
      <c r="G2208" s="18"/>
      <c r="H2208" s="18"/>
      <c r="I2208" s="18"/>
      <c r="J2208" s="18"/>
      <c r="K2208" s="18"/>
      <c r="L2208" s="18"/>
      <c r="M2208" s="18"/>
      <c r="N2208" s="18"/>
      <c r="O2208" s="14" t="str">
        <f>HYPERLINK("https://otsuka-europe-crm.veevavault.com/ui/#object/email_activity__v/V8C00000003L997", "EN-002087985")</f>
        <v>EN-002087985</v>
      </c>
    </row>
    <row r="2209" spans="1:15" ht="16" x14ac:dyDescent="0.2">
      <c r="A2209" s="18"/>
      <c r="B2209" s="18"/>
      <c r="C2209" s="18"/>
      <c r="D2209" s="18"/>
      <c r="E2209" s="18"/>
      <c r="F2209" s="18"/>
      <c r="G2209" s="18"/>
      <c r="H2209" s="18"/>
      <c r="I2209" s="18"/>
      <c r="J2209" s="18"/>
      <c r="K2209" s="18"/>
      <c r="L2209" s="18"/>
      <c r="M2209" s="18"/>
      <c r="N2209" s="18"/>
      <c r="O2209" s="14" t="str">
        <f>HYPERLINK("https://otsuka-europe-crm.veevavault.com/ui/#object/email_activity__v/V8C00000003M065", "EN-002087956")</f>
        <v>EN-002087956</v>
      </c>
    </row>
    <row r="2210" spans="1:15" ht="16" x14ac:dyDescent="0.2">
      <c r="A2210" s="18"/>
      <c r="B2210" s="18"/>
      <c r="C2210" s="18"/>
      <c r="D2210" s="18"/>
      <c r="E2210" s="18"/>
      <c r="F2210" s="18"/>
      <c r="G2210" s="18"/>
      <c r="H2210" s="18"/>
      <c r="I2210" s="18"/>
      <c r="J2210" s="18"/>
      <c r="K2210" s="18"/>
      <c r="L2210" s="18"/>
      <c r="M2210" s="18"/>
      <c r="N2210" s="18"/>
      <c r="O2210" s="14" t="str">
        <f>HYPERLINK("https://otsuka-europe-crm.veevavault.com/ui/#object/email_activity__v/V8C00000003M066", "EN-002087957")</f>
        <v>EN-002087957</v>
      </c>
    </row>
    <row r="2211" spans="1:15" ht="16" x14ac:dyDescent="0.2">
      <c r="A2211" s="18"/>
      <c r="B2211" s="18"/>
      <c r="C2211" s="18"/>
      <c r="D2211" s="18"/>
      <c r="E2211" s="18"/>
      <c r="F2211" s="18"/>
      <c r="G2211" s="18"/>
      <c r="H2211" s="18"/>
      <c r="I2211" s="18"/>
      <c r="J2211" s="18"/>
      <c r="K2211" s="18"/>
      <c r="L2211" s="18"/>
      <c r="M2211" s="18"/>
      <c r="N2211" s="18"/>
      <c r="O2211" s="14" t="str">
        <f>HYPERLINK("https://otsuka-europe-crm.veevavault.com/ui/#object/email_activity__v/V8C00000003M067", "EN-002087958")</f>
        <v>EN-002087958</v>
      </c>
    </row>
    <row r="2212" spans="1:15" ht="16" x14ac:dyDescent="0.2">
      <c r="A2212" s="19"/>
      <c r="B2212" s="19"/>
      <c r="C2212" s="19"/>
      <c r="D2212" s="19"/>
      <c r="E2212" s="19"/>
      <c r="F2212" s="19"/>
      <c r="G2212" s="19"/>
      <c r="H2212" s="19"/>
      <c r="I2212" s="19"/>
      <c r="J2212" s="19"/>
      <c r="K2212" s="19"/>
      <c r="L2212" s="19"/>
      <c r="M2212" s="19"/>
      <c r="N2212" s="19"/>
      <c r="O2212" s="14" t="str">
        <f>HYPERLINK("https://otsuka-europe-crm.veevavault.com/ui/#object/email_activity__v/V8C00000003W740", "EN-002098474")</f>
        <v>EN-002098474</v>
      </c>
    </row>
    <row r="2213" spans="1:15" ht="16" x14ac:dyDescent="0.2">
      <c r="A2213" s="17" t="str">
        <f>HYPERLINK("https://otsuka-europe-crm.veevavault.com/ui/#object/account__v/V4TZ06G6O71TB9P", "ENRIQUE MORALES RUIZ")</f>
        <v>ENRIQUE MORALES RUIZ</v>
      </c>
      <c r="B2213" s="17" t="str">
        <f>HYPERLINK("https://otsuka-europe-crm.veevavault.com/ui/#object/vcountry__v/VENZ000004SONF5", "ES")</f>
        <v>ES</v>
      </c>
      <c r="C2213" s="20" t="s">
        <v>41</v>
      </c>
      <c r="D2213" s="21" t="str">
        <f>HYPERLINK("https://otsuka-europe-crm.veevavault.com/ui/#object/approved_document__v/V5O00000001H022", "LUP - VAE invitación simposio SEN-SER - Nefro")</f>
        <v>LUP - VAE invitación simposio SEN-SER - Nefro</v>
      </c>
      <c r="E2213" s="22" t="str">
        <f>HYPERLINK("https://otsuka-europe-crm.veevavault.com/ui/#object/sent_email__v/VBL00000002O353", "SE-001431817")</f>
        <v>SE-001431817</v>
      </c>
      <c r="F2213" s="23">
        <v>46175.582777777781</v>
      </c>
      <c r="G2213" s="24">
        <v>1</v>
      </c>
      <c r="H2213" s="24">
        <v>1</v>
      </c>
      <c r="I2213" s="24">
        <v>1</v>
      </c>
      <c r="J2213" s="23">
        <v>46175.582777777781</v>
      </c>
      <c r="K2213" s="24">
        <v>1</v>
      </c>
      <c r="L2213" s="22" t="str">
        <f>HYPERLINK("https://otsuka-europe-crm.veevavault.com/ui/#object/approved_document__v/V5O00000001H022", "LUP - VAE invitación simposio SEN-SER - Nefro")</f>
        <v>LUP - VAE invitación simposio SEN-SER - Nefro</v>
      </c>
      <c r="M2213" s="22" t="str">
        <f>HYPERLINK("mailto:cmaroto@crm.otsuka-europe.com", "cmaroto@crm.otsuka-europe.com")</f>
        <v>cmaroto@crm.otsuka-europe.com</v>
      </c>
      <c r="N2213" s="23">
        <v>46175.580891203703</v>
      </c>
      <c r="O2213" s="14" t="str">
        <f>HYPERLINK("https://otsuka-europe-crm.veevavault.com/ui/#object/email_activity__v/V8C00000003L889", "EN-002087790")</f>
        <v>EN-002087790</v>
      </c>
    </row>
    <row r="2214" spans="1:15" ht="16" x14ac:dyDescent="0.2">
      <c r="A2214" s="18"/>
      <c r="B2214" s="18"/>
      <c r="C2214" s="18"/>
      <c r="D2214" s="18"/>
      <c r="E2214" s="18"/>
      <c r="F2214" s="18"/>
      <c r="G2214" s="18"/>
      <c r="H2214" s="18"/>
      <c r="I2214" s="18"/>
      <c r="J2214" s="18"/>
      <c r="K2214" s="18"/>
      <c r="L2214" s="18"/>
      <c r="M2214" s="18"/>
      <c r="N2214" s="18"/>
      <c r="O2214" s="14" t="str">
        <f>HYPERLINK("https://otsuka-europe-crm.veevavault.com/ui/#object/email_activity__v/V8C00000003L913", "EN-002087822")</f>
        <v>EN-002087822</v>
      </c>
    </row>
    <row r="2215" spans="1:15" ht="16" x14ac:dyDescent="0.2">
      <c r="A2215" s="18"/>
      <c r="B2215" s="18"/>
      <c r="C2215" s="18"/>
      <c r="D2215" s="18"/>
      <c r="E2215" s="18"/>
      <c r="F2215" s="18"/>
      <c r="G2215" s="18"/>
      <c r="H2215" s="18"/>
      <c r="I2215" s="18"/>
      <c r="J2215" s="18"/>
      <c r="K2215" s="18"/>
      <c r="L2215" s="18"/>
      <c r="M2215" s="18"/>
      <c r="N2215" s="18"/>
      <c r="O2215" s="14" t="str">
        <f>HYPERLINK("https://otsuka-europe-crm.veevavault.com/ui/#object/email_activity__v/V8C00000003L914", "EN-002087821")</f>
        <v>EN-002087821</v>
      </c>
    </row>
    <row r="2216" spans="1:15" ht="16" x14ac:dyDescent="0.2">
      <c r="A2216" s="19"/>
      <c r="B2216" s="19"/>
      <c r="C2216" s="19"/>
      <c r="D2216" s="19"/>
      <c r="E2216" s="19"/>
      <c r="F2216" s="19"/>
      <c r="G2216" s="19"/>
      <c r="H2216" s="19"/>
      <c r="I2216" s="19"/>
      <c r="J2216" s="19"/>
      <c r="K2216" s="19"/>
      <c r="L2216" s="19"/>
      <c r="M2216" s="19"/>
      <c r="N2216" s="19"/>
      <c r="O2216" s="14" t="str">
        <f>HYPERLINK("https://otsuka-europe-crm.veevavault.com/ui/#object/email_activity__v/V8C00000003L922", "EN-002087834")</f>
        <v>EN-002087834</v>
      </c>
    </row>
    <row r="2217" spans="1:15" ht="16" x14ac:dyDescent="0.2">
      <c r="A2217" s="17" t="str">
        <f>HYPERLINK("https://otsuka-europe-crm.veevavault.com/ui/#object/account__v/V4TZ06G6O71URQ7", "XAVIER ENRIQUE GUERRA TORRES")</f>
        <v>XAVIER ENRIQUE GUERRA TORRES</v>
      </c>
      <c r="B2217" s="17" t="str">
        <f>HYPERLINK("https://otsuka-europe-crm.veevavault.com/ui/#object/vcountry__v/VENZ000004SONF5", "ES")</f>
        <v>ES</v>
      </c>
      <c r="C2217" s="20" t="s">
        <v>41</v>
      </c>
      <c r="D2217" s="21" t="str">
        <f>HYPERLINK("https://otsuka-europe-crm.veevavault.com/ui/#object/approved_document__v/V5O00000001H022", "LUP - VAE invitación simposio SEN-SER - Nefro")</f>
        <v>LUP - VAE invitación simposio SEN-SER - Nefro</v>
      </c>
      <c r="E2217" s="22" t="str">
        <f>HYPERLINK("https://otsuka-europe-crm.veevavault.com/ui/#object/sent_email__v/VBL00000002O354", "SE-001431818")</f>
        <v>SE-001431818</v>
      </c>
      <c r="F2217" s="25"/>
      <c r="G2217" s="24">
        <v>0</v>
      </c>
      <c r="H2217" s="24">
        <v>0</v>
      </c>
      <c r="I2217" s="24">
        <v>0</v>
      </c>
      <c r="J2217" s="25"/>
      <c r="K2217" s="24">
        <v>0</v>
      </c>
      <c r="L2217" s="22" t="str">
        <f>HYPERLINK("https://otsuka-europe-crm.veevavault.com/ui/#object/approved_document__v/V5O00000001H022", "LUP - VAE invitación simposio SEN-SER - Nefro")</f>
        <v>LUP - VAE invitación simposio SEN-SER - Nefro</v>
      </c>
      <c r="M2217" s="22" t="str">
        <f>HYPERLINK("mailto:cmaroto@crm.otsuka-europe.com", "cmaroto@crm.otsuka-europe.com")</f>
        <v>cmaroto@crm.otsuka-europe.com</v>
      </c>
      <c r="N2217" s="23">
        <v>46175.580891203703</v>
      </c>
      <c r="O2217" s="14" t="str">
        <f>HYPERLINK("https://otsuka-europe-crm.veevavault.com/ui/#object/email_activity__v/V8C00000003L902", "EN-002087808")</f>
        <v>EN-002087808</v>
      </c>
    </row>
    <row r="2218" spans="1:15" ht="16" x14ac:dyDescent="0.2">
      <c r="A2218" s="19"/>
      <c r="B2218" s="19"/>
      <c r="C2218" s="19"/>
      <c r="D2218" s="19"/>
      <c r="E2218" s="19"/>
      <c r="F2218" s="19"/>
      <c r="G2218" s="19"/>
      <c r="H2218" s="19"/>
      <c r="I2218" s="19"/>
      <c r="J2218" s="19"/>
      <c r="K2218" s="19"/>
      <c r="L2218" s="19"/>
      <c r="M2218" s="19"/>
      <c r="N2218" s="19"/>
      <c r="O2218" s="14" t="str">
        <f>HYPERLINK("https://otsuka-europe-crm.veevavault.com/ui/#object/email_activity__v/V8C00000003L927", "EN-002087839")</f>
        <v>EN-002087839</v>
      </c>
    </row>
    <row r="2219" spans="1:15" ht="32" x14ac:dyDescent="0.2">
      <c r="A2219" s="7" t="str">
        <f>HYPERLINK("https://otsuka-europe-crm.veevavault.com/ui/#object/account__v/V4TZ06G6O71TA00", "REBECA GARCIA AGUDO")</f>
        <v>REBECA GARCIA AGUDO</v>
      </c>
      <c r="B2219" s="7" t="str">
        <f>HYPERLINK("https://otsuka-europe-crm.veevavault.com/ui/#object/vcountry__v/VENZ000004SONF5", "ES")</f>
        <v>ES</v>
      </c>
      <c r="C2219" s="8" t="s">
        <v>41</v>
      </c>
      <c r="D2219" s="9" t="str">
        <f>HYPERLINK("https://otsuka-europe-crm.veevavault.com/ui/#object/approved_document__v/V5O00000001H022", "LUP - VAE invitación simposio SEN-SER - Nefro")</f>
        <v>LUP - VAE invitación simposio SEN-SER - Nefro</v>
      </c>
      <c r="E2219" s="10" t="str">
        <f>HYPERLINK("https://otsuka-europe-crm.veevavault.com/ui/#object/sent_email__v/VBL00000002O355", "SE-001431819")</f>
        <v>SE-001431819</v>
      </c>
      <c r="F2219" s="11"/>
      <c r="G2219" s="12">
        <v>0</v>
      </c>
      <c r="H2219" s="12">
        <v>0</v>
      </c>
      <c r="I2219" s="12">
        <v>0</v>
      </c>
      <c r="J2219" s="11"/>
      <c r="K2219" s="12">
        <v>0</v>
      </c>
      <c r="L2219" s="10" t="str">
        <f>HYPERLINK("https://otsuka-europe-crm.veevavault.com/ui/#object/approved_document__v/V5O00000001H022", "LUP - VAE invitación simposio SEN-SER - Nefro")</f>
        <v>LUP - VAE invitación simposio SEN-SER - Nefro</v>
      </c>
      <c r="M2219" s="10" t="str">
        <f>HYPERLINK("mailto:cmaroto@crm.otsuka-europe.com", "cmaroto@crm.otsuka-europe.com")</f>
        <v>cmaroto@crm.otsuka-europe.com</v>
      </c>
      <c r="N2219" s="13">
        <v>46175.580891203703</v>
      </c>
      <c r="O2219" s="14" t="str">
        <f>HYPERLINK("https://otsuka-europe-crm.veevavault.com/ui/#object/email_activity__v/V8C00000003L895", "EN-002087801")</f>
        <v>EN-002087801</v>
      </c>
    </row>
    <row r="2220" spans="1:15" ht="16" x14ac:dyDescent="0.2">
      <c r="A2220" s="17" t="str">
        <f>HYPERLINK("https://otsuka-europe-crm.veevavault.com/ui/#object/account__v/V4TZ04ASGABW98D", "ALEJANDRO AVELLO ESCRIBANO")</f>
        <v>ALEJANDRO AVELLO ESCRIBANO</v>
      </c>
      <c r="B2220" s="17" t="str">
        <f>HYPERLINK("https://otsuka-europe-crm.veevavault.com/ui/#object/vcountry__v/VENZ000004SONF5", "ES")</f>
        <v>ES</v>
      </c>
      <c r="C2220" s="20" t="s">
        <v>41</v>
      </c>
      <c r="D2220" s="21" t="str">
        <f>HYPERLINK("https://otsuka-europe-crm.veevavault.com/ui/#object/approved_document__v/V5O00000001H022", "LUP - VAE invitación simposio SEN-SER - Nefro")</f>
        <v>LUP - VAE invitación simposio SEN-SER - Nefro</v>
      </c>
      <c r="E2220" s="22" t="str">
        <f>HYPERLINK("https://otsuka-europe-crm.veevavault.com/ui/#object/sent_email__v/VBL00000002O356", "SE-001431820")</f>
        <v>SE-001431820</v>
      </c>
      <c r="F2220" s="23">
        <v>46175.818831018521</v>
      </c>
      <c r="G2220" s="24">
        <v>1</v>
      </c>
      <c r="H2220" s="24">
        <v>4</v>
      </c>
      <c r="I2220" s="24">
        <v>1</v>
      </c>
      <c r="J2220" s="23">
        <v>46175.581319444442</v>
      </c>
      <c r="K2220" s="24">
        <v>1</v>
      </c>
      <c r="L2220" s="22" t="str">
        <f>HYPERLINK("https://otsuka-europe-crm.veevavault.com/ui/#object/approved_document__v/V5O00000001H022", "LUP - VAE invitación simposio SEN-SER - Nefro")</f>
        <v>LUP - VAE invitación simposio SEN-SER - Nefro</v>
      </c>
      <c r="M2220" s="22" t="str">
        <f>HYPERLINK("mailto:cmaroto@crm.otsuka-europe.com", "cmaroto@crm.otsuka-europe.com")</f>
        <v>cmaroto@crm.otsuka-europe.com</v>
      </c>
      <c r="N2220" s="23">
        <v>46175.580891203703</v>
      </c>
      <c r="O2220" s="14" t="str">
        <f>HYPERLINK("https://otsuka-europe-crm.veevavault.com/ui/#object/email_activity__v/V8C00000003K997", "EN-002087818")</f>
        <v>EN-002087818</v>
      </c>
    </row>
    <row r="2221" spans="1:15" ht="16" x14ac:dyDescent="0.2">
      <c r="A2221" s="18"/>
      <c r="B2221" s="18"/>
      <c r="C2221" s="18"/>
      <c r="D2221" s="18"/>
      <c r="E2221" s="18"/>
      <c r="F2221" s="18"/>
      <c r="G2221" s="18"/>
      <c r="H2221" s="18"/>
      <c r="I2221" s="18"/>
      <c r="J2221" s="18"/>
      <c r="K2221" s="18"/>
      <c r="L2221" s="18"/>
      <c r="M2221" s="18"/>
      <c r="N2221" s="18"/>
      <c r="O2221" s="14" t="str">
        <f>HYPERLINK("https://otsuka-europe-crm.veevavault.com/ui/#object/email_activity__v/V8C00000003L880", "EN-002087781")</f>
        <v>EN-002087781</v>
      </c>
    </row>
    <row r="2222" spans="1:15" ht="16" x14ac:dyDescent="0.2">
      <c r="A2222" s="18"/>
      <c r="B2222" s="18"/>
      <c r="C2222" s="18"/>
      <c r="D2222" s="18"/>
      <c r="E2222" s="18"/>
      <c r="F2222" s="18"/>
      <c r="G2222" s="18"/>
      <c r="H2222" s="18"/>
      <c r="I2222" s="18"/>
      <c r="J2222" s="18"/>
      <c r="K2222" s="18"/>
      <c r="L2222" s="18"/>
      <c r="M2222" s="18"/>
      <c r="N2222" s="18"/>
      <c r="O2222" s="14" t="str">
        <f>HYPERLINK("https://otsuka-europe-crm.veevavault.com/ui/#object/email_activity__v/V8C00000003L907", "EN-002087815")</f>
        <v>EN-002087815</v>
      </c>
    </row>
    <row r="2223" spans="1:15" ht="16" x14ac:dyDescent="0.2">
      <c r="A2223" s="18"/>
      <c r="B2223" s="18"/>
      <c r="C2223" s="18"/>
      <c r="D2223" s="18"/>
      <c r="E2223" s="18"/>
      <c r="F2223" s="18"/>
      <c r="G2223" s="18"/>
      <c r="H2223" s="18"/>
      <c r="I2223" s="18"/>
      <c r="J2223" s="18"/>
      <c r="K2223" s="18"/>
      <c r="L2223" s="18"/>
      <c r="M2223" s="18"/>
      <c r="N2223" s="18"/>
      <c r="O2223" s="14" t="str">
        <f>HYPERLINK("https://otsuka-europe-crm.veevavault.com/ui/#object/email_activity__v/V8C00000003L909", "EN-002087813")</f>
        <v>EN-002087813</v>
      </c>
    </row>
    <row r="2224" spans="1:15" ht="16" x14ac:dyDescent="0.2">
      <c r="A2224" s="18"/>
      <c r="B2224" s="18"/>
      <c r="C2224" s="18"/>
      <c r="D2224" s="18"/>
      <c r="E2224" s="18"/>
      <c r="F2224" s="18"/>
      <c r="G2224" s="18"/>
      <c r="H2224" s="18"/>
      <c r="I2224" s="18"/>
      <c r="J2224" s="18"/>
      <c r="K2224" s="18"/>
      <c r="L2224" s="18"/>
      <c r="M2224" s="18"/>
      <c r="N2224" s="18"/>
      <c r="O2224" s="14" t="str">
        <f>HYPERLINK("https://otsuka-europe-crm.veevavault.com/ui/#object/email_activity__v/V8C00000003L920", "EN-002087832")</f>
        <v>EN-002087832</v>
      </c>
    </row>
    <row r="2225" spans="1:15" ht="16" x14ac:dyDescent="0.2">
      <c r="A2225" s="18"/>
      <c r="B2225" s="18"/>
      <c r="C2225" s="18"/>
      <c r="D2225" s="18"/>
      <c r="E2225" s="18"/>
      <c r="F2225" s="18"/>
      <c r="G2225" s="18"/>
      <c r="H2225" s="18"/>
      <c r="I2225" s="18"/>
      <c r="J2225" s="18"/>
      <c r="K2225" s="18"/>
      <c r="L2225" s="18"/>
      <c r="M2225" s="18"/>
      <c r="N2225" s="18"/>
      <c r="O2225" s="14" t="str">
        <f>HYPERLINK("https://otsuka-europe-crm.veevavault.com/ui/#object/email_activity__v/V8C00000003M186", "EN-002088359")</f>
        <v>EN-002088359</v>
      </c>
    </row>
    <row r="2226" spans="1:15" ht="16" x14ac:dyDescent="0.2">
      <c r="A2226" s="19"/>
      <c r="B2226" s="19"/>
      <c r="C2226" s="19"/>
      <c r="D2226" s="19"/>
      <c r="E2226" s="19"/>
      <c r="F2226" s="19"/>
      <c r="G2226" s="19"/>
      <c r="H2226" s="19"/>
      <c r="I2226" s="19"/>
      <c r="J2226" s="19"/>
      <c r="K2226" s="19"/>
      <c r="L2226" s="19"/>
      <c r="M2226" s="19"/>
      <c r="N2226" s="19"/>
      <c r="O2226" s="14" t="str">
        <f>HYPERLINK("https://otsuka-europe-crm.veevavault.com/ui/#object/email_activity__v/V8C00000003M187", "EN-002088360")</f>
        <v>EN-002088360</v>
      </c>
    </row>
    <row r="2227" spans="1:15" ht="16" x14ac:dyDescent="0.2">
      <c r="A2227" s="17" t="str">
        <f>HYPERLINK("https://otsuka-europe-crm.veevavault.com/ui/#object/account__v/V4TZ025E82FRB2L", "SERGIO BARRERO MARTIN")</f>
        <v>SERGIO BARRERO MARTIN</v>
      </c>
      <c r="B2227" s="17" t="str">
        <f>HYPERLINK("https://otsuka-europe-crm.veevavault.com/ui/#object/vcountry__v/VENZ000004SONF5", "ES")</f>
        <v>ES</v>
      </c>
      <c r="C2227" s="20" t="s">
        <v>41</v>
      </c>
      <c r="D2227" s="21" t="str">
        <f>HYPERLINK("https://otsuka-europe-crm.veevavault.com/ui/#object/approved_document__v/V5O00000001H022", "LUP - VAE invitación simposio SEN-SER - Nefro")</f>
        <v>LUP - VAE invitación simposio SEN-SER - Nefro</v>
      </c>
      <c r="E2227" s="22" t="str">
        <f>HYPERLINK("https://otsuka-europe-crm.veevavault.com/ui/#object/sent_email__v/VBL00000002O357", "SE-001431821")</f>
        <v>SE-001431821</v>
      </c>
      <c r="F2227" s="23">
        <v>46175.585312499999</v>
      </c>
      <c r="G2227" s="24">
        <v>1</v>
      </c>
      <c r="H2227" s="24">
        <v>1</v>
      </c>
      <c r="I2227" s="24">
        <v>0</v>
      </c>
      <c r="J2227" s="25"/>
      <c r="K2227" s="24">
        <v>0</v>
      </c>
      <c r="L2227" s="22" t="str">
        <f>HYPERLINK("https://otsuka-europe-crm.veevavault.com/ui/#object/approved_document__v/V5O00000001H022", "LUP - VAE invitación simposio SEN-SER - Nefro")</f>
        <v>LUP - VAE invitación simposio SEN-SER - Nefro</v>
      </c>
      <c r="M2227" s="22" t="str">
        <f>HYPERLINK("mailto:cmaroto@crm.otsuka-europe.com", "cmaroto@crm.otsuka-europe.com")</f>
        <v>cmaroto@crm.otsuka-europe.com</v>
      </c>
      <c r="N2227" s="23">
        <v>46175.58090277778</v>
      </c>
      <c r="O2227" s="14" t="str">
        <f>HYPERLINK("https://otsuka-europe-crm.veevavault.com/ui/#object/email_activity__v/V8C00000003K998", "EN-002087825")</f>
        <v>EN-002087825</v>
      </c>
    </row>
    <row r="2228" spans="1:15" ht="16" x14ac:dyDescent="0.2">
      <c r="A2228" s="19"/>
      <c r="B2228" s="19"/>
      <c r="C2228" s="19"/>
      <c r="D2228" s="19"/>
      <c r="E2228" s="19"/>
      <c r="F2228" s="19"/>
      <c r="G2228" s="19"/>
      <c r="H2228" s="19"/>
      <c r="I2228" s="19"/>
      <c r="J2228" s="19"/>
      <c r="K2228" s="19"/>
      <c r="L2228" s="19"/>
      <c r="M2228" s="19"/>
      <c r="N2228" s="19"/>
      <c r="O2228" s="14" t="str">
        <f>HYPERLINK("https://otsuka-europe-crm.veevavault.com/ui/#object/email_activity__v/V8C00000003L886", "EN-002087787")</f>
        <v>EN-002087787</v>
      </c>
    </row>
    <row r="2229" spans="1:15" ht="16" x14ac:dyDescent="0.2">
      <c r="A2229" s="17" t="str">
        <f>HYPERLINK("https://otsuka-europe-crm.veevavault.com/ui/#object/account__v/V4TZ06G6O71T8BN", "BASILIO JESUS CABEZUELO RODRIGUEZ")</f>
        <v>BASILIO JESUS CABEZUELO RODRIGUEZ</v>
      </c>
      <c r="B2229" s="17" t="str">
        <f>HYPERLINK("https://otsuka-europe-crm.veevavault.com/ui/#object/vcountry__v/VENZ000004SONF5", "ES")</f>
        <v>ES</v>
      </c>
      <c r="C2229" s="20" t="s">
        <v>41</v>
      </c>
      <c r="D2229" s="21" t="str">
        <f>HYPERLINK("https://otsuka-europe-crm.veevavault.com/ui/#object/approved_document__v/V5O00000001H022", "LUP - VAE invitación simposio SEN-SER - Nefro")</f>
        <v>LUP - VAE invitación simposio SEN-SER - Nefro</v>
      </c>
      <c r="E2229" s="22" t="str">
        <f>HYPERLINK("https://otsuka-europe-crm.veevavault.com/ui/#object/sent_email__v/VBL00000002O358", "SE-001431822")</f>
        <v>SE-001431822</v>
      </c>
      <c r="F2229" s="23">
        <v>46188.438425925924</v>
      </c>
      <c r="G2229" s="24">
        <v>1</v>
      </c>
      <c r="H2229" s="24">
        <v>2</v>
      </c>
      <c r="I2229" s="24">
        <v>0</v>
      </c>
      <c r="J2229" s="25"/>
      <c r="K2229" s="24">
        <v>0</v>
      </c>
      <c r="L2229" s="22" t="str">
        <f>HYPERLINK("https://otsuka-europe-crm.veevavault.com/ui/#object/approved_document__v/V5O00000001H022", "LUP - VAE invitación simposio SEN-SER - Nefro")</f>
        <v>LUP - VAE invitación simposio SEN-SER - Nefro</v>
      </c>
      <c r="M2229" s="22" t="str">
        <f>HYPERLINK("mailto:cmaroto@crm.otsuka-europe.com", "cmaroto@crm.otsuka-europe.com")</f>
        <v>cmaroto@crm.otsuka-europe.com</v>
      </c>
      <c r="N2229" s="23">
        <v>46175.58090277778</v>
      </c>
      <c r="O2229" s="14" t="str">
        <f>HYPERLINK("https://otsuka-europe-crm.veevavault.com/ui/#object/email_activity__v/V8C00000003L897", "EN-002087803")</f>
        <v>EN-002087803</v>
      </c>
    </row>
    <row r="2230" spans="1:15" ht="16" x14ac:dyDescent="0.2">
      <c r="A2230" s="18"/>
      <c r="B2230" s="18"/>
      <c r="C2230" s="18"/>
      <c r="D2230" s="18"/>
      <c r="E2230" s="18"/>
      <c r="F2230" s="18"/>
      <c r="G2230" s="18"/>
      <c r="H2230" s="18"/>
      <c r="I2230" s="18"/>
      <c r="J2230" s="18"/>
      <c r="K2230" s="18"/>
      <c r="L2230" s="18"/>
      <c r="M2230" s="18"/>
      <c r="N2230" s="18"/>
      <c r="O2230" s="14" t="str">
        <f>HYPERLINK("https://otsuka-europe-crm.veevavault.com/ui/#object/email_activity__v/V8C00000003V535", "EN-002095887")</f>
        <v>EN-002095887</v>
      </c>
    </row>
    <row r="2231" spans="1:15" ht="16" x14ac:dyDescent="0.2">
      <c r="A2231" s="19"/>
      <c r="B2231" s="19"/>
      <c r="C2231" s="19"/>
      <c r="D2231" s="19"/>
      <c r="E2231" s="19"/>
      <c r="F2231" s="19"/>
      <c r="G2231" s="19"/>
      <c r="H2231" s="19"/>
      <c r="I2231" s="19"/>
      <c r="J2231" s="19"/>
      <c r="K2231" s="19"/>
      <c r="L2231" s="19"/>
      <c r="M2231" s="19"/>
      <c r="N2231" s="19"/>
      <c r="O2231" s="14" t="str">
        <f>HYPERLINK("https://otsuka-europe-crm.veevavault.com/ui/#object/email_activity__v/V8C00000003V536", "EN-002095891")</f>
        <v>EN-002095891</v>
      </c>
    </row>
    <row r="2232" spans="1:15" ht="16" x14ac:dyDescent="0.2">
      <c r="A2232" s="17" t="str">
        <f>HYPERLINK("https://otsuka-europe-crm.veevavault.com/ui/#object/account__v/V4TZ06G6O71T8JB", "RAUL FERNANDEZ PRADO")</f>
        <v>RAUL FERNANDEZ PRADO</v>
      </c>
      <c r="B2232" s="17" t="str">
        <f>HYPERLINK("https://otsuka-europe-crm.veevavault.com/ui/#object/vcountry__v/VENZ000004SONF5", "ES")</f>
        <v>ES</v>
      </c>
      <c r="C2232" s="20" t="s">
        <v>41</v>
      </c>
      <c r="D2232" s="21" t="str">
        <f>HYPERLINK("https://otsuka-europe-crm.veevavault.com/ui/#object/approved_document__v/V5O00000001H022", "LUP - VAE invitación simposio SEN-SER - Nefro")</f>
        <v>LUP - VAE invitación simposio SEN-SER - Nefro</v>
      </c>
      <c r="E2232" s="22" t="str">
        <f>HYPERLINK("https://otsuka-europe-crm.veevavault.com/ui/#object/sent_email__v/VBL00000002O359", "SE-001431823")</f>
        <v>SE-001431823</v>
      </c>
      <c r="F2232" s="23">
        <v>46175.606481481482</v>
      </c>
      <c r="G2232" s="24">
        <v>1</v>
      </c>
      <c r="H2232" s="24">
        <v>3</v>
      </c>
      <c r="I2232" s="24">
        <v>0</v>
      </c>
      <c r="J2232" s="25"/>
      <c r="K2232" s="24">
        <v>0</v>
      </c>
      <c r="L2232" s="22" t="str">
        <f>HYPERLINK("https://otsuka-europe-crm.veevavault.com/ui/#object/approved_document__v/V5O00000001H022", "LUP - VAE invitación simposio SEN-SER - Nefro")</f>
        <v>LUP - VAE invitación simposio SEN-SER - Nefro</v>
      </c>
      <c r="M2232" s="22" t="str">
        <f>HYPERLINK("mailto:cmaroto@crm.otsuka-europe.com", "cmaroto@crm.otsuka-europe.com")</f>
        <v>cmaroto@crm.otsuka-europe.com</v>
      </c>
      <c r="N2232" s="23">
        <v>46175.58090277778</v>
      </c>
      <c r="O2232" s="14" t="str">
        <f>HYPERLINK("https://otsuka-europe-crm.veevavault.com/ui/#object/email_activity__v/V8C00000003L884", "EN-002087785")</f>
        <v>EN-002087785</v>
      </c>
    </row>
    <row r="2233" spans="1:15" ht="16" x14ac:dyDescent="0.2">
      <c r="A2233" s="18"/>
      <c r="B2233" s="18"/>
      <c r="C2233" s="18"/>
      <c r="D2233" s="18"/>
      <c r="E2233" s="18"/>
      <c r="F2233" s="18"/>
      <c r="G2233" s="18"/>
      <c r="H2233" s="18"/>
      <c r="I2233" s="18"/>
      <c r="J2233" s="18"/>
      <c r="K2233" s="18"/>
      <c r="L2233" s="18"/>
      <c r="M2233" s="18"/>
      <c r="N2233" s="18"/>
      <c r="O2233" s="14" t="str">
        <f>HYPERLINK("https://otsuka-europe-crm.veevavault.com/ui/#object/email_activity__v/V8C00000003L911", "EN-002087819")</f>
        <v>EN-002087819</v>
      </c>
    </row>
    <row r="2234" spans="1:15" ht="16" x14ac:dyDescent="0.2">
      <c r="A2234" s="18"/>
      <c r="B2234" s="18"/>
      <c r="C2234" s="18"/>
      <c r="D2234" s="18"/>
      <c r="E2234" s="18"/>
      <c r="F2234" s="18"/>
      <c r="G2234" s="18"/>
      <c r="H2234" s="18"/>
      <c r="I2234" s="18"/>
      <c r="J2234" s="18"/>
      <c r="K2234" s="18"/>
      <c r="L2234" s="18"/>
      <c r="M2234" s="18"/>
      <c r="N2234" s="18"/>
      <c r="O2234" s="14" t="str">
        <f>HYPERLINK("https://otsuka-europe-crm.veevavault.com/ui/#object/email_activity__v/V8C00000003L939", "EN-002087865")</f>
        <v>EN-002087865</v>
      </c>
    </row>
    <row r="2235" spans="1:15" ht="16" x14ac:dyDescent="0.2">
      <c r="A2235" s="19"/>
      <c r="B2235" s="19"/>
      <c r="C2235" s="19"/>
      <c r="D2235" s="19"/>
      <c r="E2235" s="19"/>
      <c r="F2235" s="19"/>
      <c r="G2235" s="19"/>
      <c r="H2235" s="19"/>
      <c r="I2235" s="19"/>
      <c r="J2235" s="19"/>
      <c r="K2235" s="19"/>
      <c r="L2235" s="19"/>
      <c r="M2235" s="19"/>
      <c r="N2235" s="19"/>
      <c r="O2235" s="14" t="str">
        <f>HYPERLINK("https://otsuka-europe-crm.veevavault.com/ui/#object/email_activity__v/V8C00000003M016", "EN-002087864")</f>
        <v>EN-002087864</v>
      </c>
    </row>
    <row r="2236" spans="1:15" ht="16" x14ac:dyDescent="0.2">
      <c r="A2236" s="17" t="str">
        <f>HYPERLINK("https://otsuka-europe-crm.veevavault.com/ui/#object/account__v/V4TZ06G6O71URT9", "BEATRIZ SUALDEA PEÑA")</f>
        <v>BEATRIZ SUALDEA PEÑA</v>
      </c>
      <c r="B2236" s="17" t="str">
        <f>HYPERLINK("https://otsuka-europe-crm.veevavault.com/ui/#object/vcountry__v/VENZ000004SONF5", "ES")</f>
        <v>ES</v>
      </c>
      <c r="C2236" s="20" t="s">
        <v>41</v>
      </c>
      <c r="D2236" s="21" t="str">
        <f>HYPERLINK("https://otsuka-europe-crm.veevavault.com/ui/#object/approved_document__v/V5O00000001H022", "LUP - VAE invitación simposio SEN-SER - Nefro")</f>
        <v>LUP - VAE invitación simposio SEN-SER - Nefro</v>
      </c>
      <c r="E2236" s="22" t="str">
        <f>HYPERLINK("https://otsuka-europe-crm.veevavault.com/ui/#object/sent_email__v/VBL00000002O360", "SE-001431824")</f>
        <v>SE-001431824</v>
      </c>
      <c r="F2236" s="23">
        <v>46175.598935185182</v>
      </c>
      <c r="G2236" s="24">
        <v>1</v>
      </c>
      <c r="H2236" s="24">
        <v>2</v>
      </c>
      <c r="I2236" s="24">
        <v>0</v>
      </c>
      <c r="J2236" s="25"/>
      <c r="K2236" s="24">
        <v>0</v>
      </c>
      <c r="L2236" s="22" t="str">
        <f>HYPERLINK("https://otsuka-europe-crm.veevavault.com/ui/#object/approved_document__v/V5O00000001H022", "LUP - VAE invitación simposio SEN-SER - Nefro")</f>
        <v>LUP - VAE invitación simposio SEN-SER - Nefro</v>
      </c>
      <c r="M2236" s="22" t="str">
        <f>HYPERLINK("mailto:cmaroto@crm.otsuka-europe.com", "cmaroto@crm.otsuka-europe.com")</f>
        <v>cmaroto@crm.otsuka-europe.com</v>
      </c>
      <c r="N2236" s="23">
        <v>46175.58090277778</v>
      </c>
      <c r="O2236" s="14" t="str">
        <f>HYPERLINK("https://otsuka-europe-crm.veevavault.com/ui/#object/email_activity__v/V8C00000003L879", "EN-002087780")</f>
        <v>EN-002087780</v>
      </c>
    </row>
    <row r="2237" spans="1:15" ht="16" x14ac:dyDescent="0.2">
      <c r="A2237" s="18"/>
      <c r="B2237" s="18"/>
      <c r="C2237" s="18"/>
      <c r="D2237" s="18"/>
      <c r="E2237" s="18"/>
      <c r="F2237" s="18"/>
      <c r="G2237" s="18"/>
      <c r="H2237" s="18"/>
      <c r="I2237" s="18"/>
      <c r="J2237" s="18"/>
      <c r="K2237" s="18"/>
      <c r="L2237" s="18"/>
      <c r="M2237" s="18"/>
      <c r="N2237" s="18"/>
      <c r="O2237" s="14" t="str">
        <f>HYPERLINK("https://otsuka-europe-crm.veevavault.com/ui/#object/email_activity__v/V8C00000003L912", "EN-002087820")</f>
        <v>EN-002087820</v>
      </c>
    </row>
    <row r="2238" spans="1:15" ht="16" x14ac:dyDescent="0.2">
      <c r="A2238" s="19"/>
      <c r="B2238" s="19"/>
      <c r="C2238" s="19"/>
      <c r="D2238" s="19"/>
      <c r="E2238" s="19"/>
      <c r="F2238" s="19"/>
      <c r="G2238" s="19"/>
      <c r="H2238" s="19"/>
      <c r="I2238" s="19"/>
      <c r="J2238" s="19"/>
      <c r="K2238" s="19"/>
      <c r="L2238" s="19"/>
      <c r="M2238" s="19"/>
      <c r="N2238" s="19"/>
      <c r="O2238" s="14" t="str">
        <f>HYPERLINK("https://otsuka-europe-crm.veevavault.com/ui/#object/email_activity__v/V8C00000003L932", "EN-002087847")</f>
        <v>EN-002087847</v>
      </c>
    </row>
    <row r="2239" spans="1:15" ht="32" x14ac:dyDescent="0.2">
      <c r="A2239" s="7" t="str">
        <f>HYPERLINK("https://otsuka-europe-crm.veevavault.com/ui/#object/account__v/V4TZ06G6O71TCAB", "SERAFIN TALLON LOBO")</f>
        <v>SERAFIN TALLON LOBO</v>
      </c>
      <c r="B2239" s="7" t="str">
        <f>HYPERLINK("https://otsuka-europe-crm.veevavault.com/ui/#object/vcountry__v/VENZ000004SONF5", "ES")</f>
        <v>ES</v>
      </c>
      <c r="C2239" s="8" t="s">
        <v>41</v>
      </c>
      <c r="D2239" s="9" t="str">
        <f>HYPERLINK("https://otsuka-europe-crm.veevavault.com/ui/#object/approved_document__v/V5O00000001H022", "LUP - VAE invitación simposio SEN-SER - Nefro")</f>
        <v>LUP - VAE invitación simposio SEN-SER - Nefro</v>
      </c>
      <c r="E2239" s="10" t="str">
        <f>HYPERLINK("https://otsuka-europe-crm.veevavault.com/ui/#object/sent_email__v/VBL00000002O361", "SE-001431825")</f>
        <v>SE-001431825</v>
      </c>
      <c r="F2239" s="11"/>
      <c r="G2239" s="12">
        <v>0</v>
      </c>
      <c r="H2239" s="12">
        <v>0</v>
      </c>
      <c r="I2239" s="12">
        <v>0</v>
      </c>
      <c r="J2239" s="11"/>
      <c r="K2239" s="12">
        <v>0</v>
      </c>
      <c r="L2239" s="10" t="str">
        <f>HYPERLINK("https://otsuka-europe-crm.veevavault.com/ui/#object/approved_document__v/V5O00000001H022", "LUP - VAE invitación simposio SEN-SER - Nefro")</f>
        <v>LUP - VAE invitación simposio SEN-SER - Nefro</v>
      </c>
      <c r="M2239" s="10" t="str">
        <f>HYPERLINK("mailto:cmaroto@crm.otsuka-europe.com", "cmaroto@crm.otsuka-europe.com")</f>
        <v>cmaroto@crm.otsuka-europe.com</v>
      </c>
      <c r="N2239" s="13">
        <v>46175.58090277778</v>
      </c>
      <c r="O2239" s="14" t="str">
        <f>HYPERLINK("https://otsuka-europe-crm.veevavault.com/ui/#object/email_activity__v/V8C00000003K995", "EN-002087797")</f>
        <v>EN-002087797</v>
      </c>
    </row>
    <row r="2240" spans="1:15" ht="32" x14ac:dyDescent="0.2">
      <c r="A2240" s="7" t="str">
        <f>HYPERLINK("https://otsuka-europe-crm.veevavault.com/ui/#object/account__v/V4T00000001U111", "PATRICIA TORRES MARTINEZ")</f>
        <v>PATRICIA TORRES MARTINEZ</v>
      </c>
      <c r="B2240" s="7" t="str">
        <f>HYPERLINK("https://otsuka-europe-crm.veevavault.com/ui/#object/vcountry__v/VENZ000004SONF5", "ES")</f>
        <v>ES</v>
      </c>
      <c r="C2240" s="8" t="s">
        <v>41</v>
      </c>
      <c r="D2240" s="9" t="str">
        <f>HYPERLINK("https://otsuka-europe-crm.veevavault.com/ui/#object/approved_document__v/V5O00000001H022", "LUP - VAE invitación simposio SEN-SER - Nefro")</f>
        <v>LUP - VAE invitación simposio SEN-SER - Nefro</v>
      </c>
      <c r="E2240" s="10" t="str">
        <f>HYPERLINK("https://otsuka-europe-crm.veevavault.com/ui/#object/sent_email__v/VBL00000002O362", "SE-001431826")</f>
        <v>SE-001431826</v>
      </c>
      <c r="F2240" s="11"/>
      <c r="G2240" s="12">
        <v>0</v>
      </c>
      <c r="H2240" s="12">
        <v>0</v>
      </c>
      <c r="I2240" s="12">
        <v>0</v>
      </c>
      <c r="J2240" s="11"/>
      <c r="K2240" s="12">
        <v>0</v>
      </c>
      <c r="L2240" s="10" t="str">
        <f>HYPERLINK("https://otsuka-europe-crm.veevavault.com/ui/#object/approved_document__v/V5O00000001H022", "LUP - VAE invitación simposio SEN-SER - Nefro")</f>
        <v>LUP - VAE invitación simposio SEN-SER - Nefro</v>
      </c>
      <c r="M2240" s="10" t="str">
        <f>HYPERLINK("mailto:cmaroto@crm.otsuka-europe.com", "cmaroto@crm.otsuka-europe.com")</f>
        <v>cmaroto@crm.otsuka-europe.com</v>
      </c>
      <c r="N2240" s="13">
        <v>46175.58090277778</v>
      </c>
      <c r="O2240" s="14" t="str">
        <f>HYPERLINK("https://otsuka-europe-crm.veevavault.com/ui/#object/email_activity__v/V8C00000003L883", "EN-002087784")</f>
        <v>EN-002087784</v>
      </c>
    </row>
    <row r="2241" spans="1:15" ht="32" x14ac:dyDescent="0.2">
      <c r="A2241" s="7" t="str">
        <f>HYPERLINK("https://otsuka-europe-crm.veevavault.com/ui/#object/account__v/V4TZ06G6O71TASC", "MARIA ESPERANZA LOPEZ RUBIO")</f>
        <v>MARIA ESPERANZA LOPEZ RUBIO</v>
      </c>
      <c r="B2241" s="7" t="str">
        <f>HYPERLINK("https://otsuka-europe-crm.veevavault.com/ui/#object/vcountry__v/VENZ000004SONF5", "ES")</f>
        <v>ES</v>
      </c>
      <c r="C2241" s="8" t="s">
        <v>41</v>
      </c>
      <c r="D2241" s="9" t="str">
        <f>HYPERLINK("https://otsuka-europe-crm.veevavault.com/ui/#object/approved_document__v/V5O00000001H022", "LUP - VAE invitación simposio SEN-SER - Nefro")</f>
        <v>LUP - VAE invitación simposio SEN-SER - Nefro</v>
      </c>
      <c r="E2241" s="10" t="str">
        <f>HYPERLINK("https://otsuka-europe-crm.veevavault.com/ui/#object/sent_email__v/VBL00000002O363", "SE-001431827")</f>
        <v>SE-001431827</v>
      </c>
      <c r="F2241" s="11"/>
      <c r="G2241" s="12">
        <v>0</v>
      </c>
      <c r="H2241" s="12">
        <v>0</v>
      </c>
      <c r="I2241" s="12">
        <v>0</v>
      </c>
      <c r="J2241" s="11"/>
      <c r="K2241" s="12">
        <v>0</v>
      </c>
      <c r="L2241" s="10" t="str">
        <f>HYPERLINK("https://otsuka-europe-crm.veevavault.com/ui/#object/approved_document__v/V5O00000001H022", "LUP - VAE invitación simposio SEN-SER - Nefro")</f>
        <v>LUP - VAE invitación simposio SEN-SER - Nefro</v>
      </c>
      <c r="M2241" s="10" t="str">
        <f>HYPERLINK("mailto:cmaroto@crm.otsuka-europe.com", "cmaroto@crm.otsuka-europe.com")</f>
        <v>cmaroto@crm.otsuka-europe.com</v>
      </c>
      <c r="N2241" s="13">
        <v>46175.58090277778</v>
      </c>
      <c r="O2241" s="14" t="str">
        <f>HYPERLINK("https://otsuka-europe-crm.veevavault.com/ui/#object/email_activity__v/V8C00000003L899", "EN-002087805")</f>
        <v>EN-002087805</v>
      </c>
    </row>
    <row r="2242" spans="1:15" ht="16" x14ac:dyDescent="0.2">
      <c r="A2242" s="17" t="str">
        <f>HYPERLINK("https://otsuka-europe-crm.veevavault.com/ui/#object/account__v/V4TZ06G6O71T97L", "SARA ANAYA FERNANDEZ")</f>
        <v>SARA ANAYA FERNANDEZ</v>
      </c>
      <c r="B2242" s="17" t="str">
        <f>HYPERLINK("https://otsuka-europe-crm.veevavault.com/ui/#object/vcountry__v/VENZ000004SONF5", "ES")</f>
        <v>ES</v>
      </c>
      <c r="C2242" s="20" t="s">
        <v>41</v>
      </c>
      <c r="D2242" s="21" t="str">
        <f>HYPERLINK("https://otsuka-europe-crm.veevavault.com/ui/#object/approved_document__v/V5O00000001H022", "LUP - VAE invitación simposio SEN-SER - Nefro")</f>
        <v>LUP - VAE invitación simposio SEN-SER - Nefro</v>
      </c>
      <c r="E2242" s="22" t="str">
        <f>HYPERLINK("https://otsuka-europe-crm.veevavault.com/ui/#object/sent_email__v/VBL00000002O364", "SE-001431828")</f>
        <v>SE-001431828</v>
      </c>
      <c r="F2242" s="23">
        <v>46176.226319444446</v>
      </c>
      <c r="G2242" s="24">
        <v>1</v>
      </c>
      <c r="H2242" s="24">
        <v>1</v>
      </c>
      <c r="I2242" s="24">
        <v>0</v>
      </c>
      <c r="J2242" s="25"/>
      <c r="K2242" s="24">
        <v>0</v>
      </c>
      <c r="L2242" s="22" t="str">
        <f>HYPERLINK("https://otsuka-europe-crm.veevavault.com/ui/#object/approved_document__v/V5O00000001H022", "LUP - VAE invitación simposio SEN-SER - Nefro")</f>
        <v>LUP - VAE invitación simposio SEN-SER - Nefro</v>
      </c>
      <c r="M2242" s="22" t="str">
        <f>HYPERLINK("mailto:cmaroto@crm.otsuka-europe.com", "cmaroto@crm.otsuka-europe.com")</f>
        <v>cmaroto@crm.otsuka-europe.com</v>
      </c>
      <c r="N2242" s="23">
        <v>46175.58090277778</v>
      </c>
      <c r="O2242" s="14" t="str">
        <f>HYPERLINK("https://otsuka-europe-crm.veevavault.com/ui/#object/email_activity__v/V8C00000003L901", "EN-002087807")</f>
        <v>EN-002087807</v>
      </c>
    </row>
    <row r="2243" spans="1:15" ht="16" x14ac:dyDescent="0.2">
      <c r="A2243" s="19"/>
      <c r="B2243" s="19"/>
      <c r="C2243" s="19"/>
      <c r="D2243" s="19"/>
      <c r="E2243" s="19"/>
      <c r="F2243" s="19"/>
      <c r="G2243" s="19"/>
      <c r="H2243" s="19"/>
      <c r="I2243" s="19"/>
      <c r="J2243" s="19"/>
      <c r="K2243" s="19"/>
      <c r="L2243" s="19"/>
      <c r="M2243" s="19"/>
      <c r="N2243" s="19"/>
      <c r="O2243" s="14" t="str">
        <f>HYPERLINK("https://otsuka-europe-crm.veevavault.com/ui/#object/email_activity__v/V8C00000003N338", "EN-002088516")</f>
        <v>EN-002088516</v>
      </c>
    </row>
    <row r="2244" spans="1:15" ht="32" x14ac:dyDescent="0.2">
      <c r="A2244" s="7" t="str">
        <f>HYPERLINK("https://otsuka-europe-crm.veevavault.com/ui/#object/account__v/V4TZ06G6O71TC16", "ANA MARIA ROMERA SEGORBE")</f>
        <v>ANA MARIA ROMERA SEGORBE</v>
      </c>
      <c r="B2244" s="7" t="str">
        <f>HYPERLINK("https://otsuka-europe-crm.veevavault.com/ui/#object/vcountry__v/VENZ000004SONF5", "ES")</f>
        <v>ES</v>
      </c>
      <c r="C2244" s="8" t="s">
        <v>41</v>
      </c>
      <c r="D2244" s="9" t="str">
        <f>HYPERLINK("https://otsuka-europe-crm.veevavault.com/ui/#object/approved_document__v/V5O00000001H022", "LUP - VAE invitación simposio SEN-SER - Nefro")</f>
        <v>LUP - VAE invitación simposio SEN-SER - Nefro</v>
      </c>
      <c r="E2244" s="10" t="str">
        <f>HYPERLINK("https://otsuka-europe-crm.veevavault.com/ui/#object/sent_email__v/VBL00000002O365", "SE-001431829")</f>
        <v>SE-001431829</v>
      </c>
      <c r="F2244" s="11"/>
      <c r="G2244" s="12">
        <v>0</v>
      </c>
      <c r="H2244" s="12">
        <v>0</v>
      </c>
      <c r="I2244" s="12">
        <v>0</v>
      </c>
      <c r="J2244" s="11"/>
      <c r="K2244" s="12">
        <v>0</v>
      </c>
      <c r="L2244" s="10" t="str">
        <f>HYPERLINK("https://otsuka-europe-crm.veevavault.com/ui/#object/approved_document__v/V5O00000001H022", "LUP - VAE invitación simposio SEN-SER - Nefro")</f>
        <v>LUP - VAE invitación simposio SEN-SER - Nefro</v>
      </c>
      <c r="M2244" s="10" t="str">
        <f>HYPERLINK("mailto:cmaroto@crm.otsuka-europe.com", "cmaroto@crm.otsuka-europe.com")</f>
        <v>cmaroto@crm.otsuka-europe.com</v>
      </c>
      <c r="N2244" s="13">
        <v>46175.58090277778</v>
      </c>
      <c r="O2244" s="14" t="str">
        <f>HYPERLINK("https://otsuka-europe-crm.veevavault.com/ui/#object/email_activity__v/V8C00000003L894", "EN-002087800")</f>
        <v>EN-002087800</v>
      </c>
    </row>
    <row r="2245" spans="1:15" ht="16" x14ac:dyDescent="0.2">
      <c r="A2245" s="17" t="str">
        <f>HYPERLINK("https://otsuka-europe-crm.veevavault.com/ui/#object/account__v/V4TZ04ASGE7IUY1", "FERNANDO CARAVACA FONTAN")</f>
        <v>FERNANDO CARAVACA FONTAN</v>
      </c>
      <c r="B2245" s="17" t="str">
        <f>HYPERLINK("https://otsuka-europe-crm.veevavault.com/ui/#object/vcountry__v/VENZ000004SONF5", "ES")</f>
        <v>ES</v>
      </c>
      <c r="C2245" s="20" t="s">
        <v>41</v>
      </c>
      <c r="D2245" s="21" t="str">
        <f>HYPERLINK("https://otsuka-europe-crm.veevavault.com/ui/#object/approved_document__v/V5O00000001H022", "LUP - VAE invitación simposio SEN-SER - Nefro")</f>
        <v>LUP - VAE invitación simposio SEN-SER - Nefro</v>
      </c>
      <c r="E2245" s="22" t="str">
        <f>HYPERLINK("https://otsuka-europe-crm.veevavault.com/ui/#object/sent_email__v/VBL00000002O366", "SE-001431830")</f>
        <v>SE-001431830</v>
      </c>
      <c r="F2245" s="23">
        <v>46175.58121527778</v>
      </c>
      <c r="G2245" s="24">
        <v>1</v>
      </c>
      <c r="H2245" s="24">
        <v>1</v>
      </c>
      <c r="I2245" s="24">
        <v>1</v>
      </c>
      <c r="J2245" s="23">
        <v>46175.58121527778</v>
      </c>
      <c r="K2245" s="24">
        <v>1</v>
      </c>
      <c r="L2245" s="22" t="str">
        <f>HYPERLINK("https://otsuka-europe-crm.veevavault.com/ui/#object/approved_document__v/V5O00000001H022", "LUP - VAE invitación simposio SEN-SER - Nefro")</f>
        <v>LUP - VAE invitación simposio SEN-SER - Nefro</v>
      </c>
      <c r="M2245" s="22" t="str">
        <f>HYPERLINK("mailto:cmaroto@crm.otsuka-europe.com", "cmaroto@crm.otsuka-europe.com")</f>
        <v>cmaroto@crm.otsuka-europe.com</v>
      </c>
      <c r="N2245" s="23">
        <v>46175.58090277778</v>
      </c>
      <c r="O2245" s="14" t="str">
        <f>HYPERLINK("https://otsuka-europe-crm.veevavault.com/ui/#object/email_activity__v/V8C00000003K992", "EN-002087794")</f>
        <v>EN-002087794</v>
      </c>
    </row>
    <row r="2246" spans="1:15" ht="16" x14ac:dyDescent="0.2">
      <c r="A2246" s="18"/>
      <c r="B2246" s="18"/>
      <c r="C2246" s="18"/>
      <c r="D2246" s="18"/>
      <c r="E2246" s="18"/>
      <c r="F2246" s="18"/>
      <c r="G2246" s="18"/>
      <c r="H2246" s="18"/>
      <c r="I2246" s="18"/>
      <c r="J2246" s="18"/>
      <c r="K2246" s="18"/>
      <c r="L2246" s="18"/>
      <c r="M2246" s="18"/>
      <c r="N2246" s="18"/>
      <c r="O2246" s="14" t="str">
        <f>HYPERLINK("https://otsuka-europe-crm.veevavault.com/ui/#object/email_activity__v/V8C00000003K996", "EN-002087816")</f>
        <v>EN-002087816</v>
      </c>
    </row>
    <row r="2247" spans="1:15" ht="16" x14ac:dyDescent="0.2">
      <c r="A2247" s="18"/>
      <c r="B2247" s="18"/>
      <c r="C2247" s="18"/>
      <c r="D2247" s="18"/>
      <c r="E2247" s="18"/>
      <c r="F2247" s="18"/>
      <c r="G2247" s="18"/>
      <c r="H2247" s="18"/>
      <c r="I2247" s="18"/>
      <c r="J2247" s="18"/>
      <c r="K2247" s="18"/>
      <c r="L2247" s="18"/>
      <c r="M2247" s="18"/>
      <c r="N2247" s="18"/>
      <c r="O2247" s="14" t="str">
        <f>HYPERLINK("https://otsuka-europe-crm.veevavault.com/ui/#object/email_activity__v/V8C00000003L906", "EN-002087814")</f>
        <v>EN-002087814</v>
      </c>
    </row>
    <row r="2248" spans="1:15" ht="16" x14ac:dyDescent="0.2">
      <c r="A2248" s="18"/>
      <c r="B2248" s="18"/>
      <c r="C2248" s="18"/>
      <c r="D2248" s="18"/>
      <c r="E2248" s="18"/>
      <c r="F2248" s="18"/>
      <c r="G2248" s="18"/>
      <c r="H2248" s="18"/>
      <c r="I2248" s="18"/>
      <c r="J2248" s="18"/>
      <c r="K2248" s="18"/>
      <c r="L2248" s="18"/>
      <c r="M2248" s="18"/>
      <c r="N2248" s="18"/>
      <c r="O2248" s="14" t="str">
        <f>HYPERLINK("https://otsuka-europe-crm.veevavault.com/ui/#object/email_activity__v/V8C00000003L908", "EN-002087812")</f>
        <v>EN-002087812</v>
      </c>
    </row>
    <row r="2249" spans="1:15" ht="16" x14ac:dyDescent="0.2">
      <c r="A2249" s="19"/>
      <c r="B2249" s="19"/>
      <c r="C2249" s="19"/>
      <c r="D2249" s="19"/>
      <c r="E2249" s="19"/>
      <c r="F2249" s="19"/>
      <c r="G2249" s="19"/>
      <c r="H2249" s="19"/>
      <c r="I2249" s="19"/>
      <c r="J2249" s="19"/>
      <c r="K2249" s="19"/>
      <c r="L2249" s="19"/>
      <c r="M2249" s="19"/>
      <c r="N2249" s="19"/>
      <c r="O2249" s="14" t="str">
        <f>HYPERLINK("https://otsuka-europe-crm.veevavault.com/ui/#object/email_activity__v/V8C00000003M015", "EN-002087858")</f>
        <v>EN-002087858</v>
      </c>
    </row>
    <row r="2250" spans="1:15" ht="16" x14ac:dyDescent="0.2">
      <c r="A2250" s="17" t="str">
        <f>HYPERLINK("https://otsuka-europe-crm.veevavault.com/ui/#object/account__v/V4TZ06G6O71TBEJ", "ALBERTO ORTIZ ARDUAN")</f>
        <v>ALBERTO ORTIZ ARDUAN</v>
      </c>
      <c r="B2250" s="17" t="str">
        <f>HYPERLINK("https://otsuka-europe-crm.veevavault.com/ui/#object/vcountry__v/VENZ000004SONF5", "ES")</f>
        <v>ES</v>
      </c>
      <c r="C2250" s="20" t="s">
        <v>41</v>
      </c>
      <c r="D2250" s="21" t="str">
        <f>HYPERLINK("https://otsuka-europe-crm.veevavault.com/ui/#object/approved_document__v/V5O00000001H022", "LUP - VAE invitación simposio SEN-SER - Nefro")</f>
        <v>LUP - VAE invitación simposio SEN-SER - Nefro</v>
      </c>
      <c r="E2250" s="22" t="str">
        <f>HYPERLINK("https://otsuka-europe-crm.veevavault.com/ui/#object/sent_email__v/VBL00000002O367", "SE-001431831")</f>
        <v>SE-001431831</v>
      </c>
      <c r="F2250" s="23">
        <v>46175.580972222226</v>
      </c>
      <c r="G2250" s="24">
        <v>1</v>
      </c>
      <c r="H2250" s="24">
        <v>1</v>
      </c>
      <c r="I2250" s="24">
        <v>0</v>
      </c>
      <c r="J2250" s="25"/>
      <c r="K2250" s="24">
        <v>0</v>
      </c>
      <c r="L2250" s="22" t="str">
        <f>HYPERLINK("https://otsuka-europe-crm.veevavault.com/ui/#object/approved_document__v/V5O00000001H022", "LUP - VAE invitación simposio SEN-SER - Nefro")</f>
        <v>LUP - VAE invitación simposio SEN-SER - Nefro</v>
      </c>
      <c r="M2250" s="22" t="str">
        <f>HYPERLINK("mailto:cmaroto@crm.otsuka-europe.com", "cmaroto@crm.otsuka-europe.com")</f>
        <v>cmaroto@crm.otsuka-europe.com</v>
      </c>
      <c r="N2250" s="23">
        <v>46175.58090277778</v>
      </c>
      <c r="O2250" s="14" t="str">
        <f>HYPERLINK("https://otsuka-europe-crm.veevavault.com/ui/#object/email_activity__v/V8C00000003L896", "EN-002087802")</f>
        <v>EN-002087802</v>
      </c>
    </row>
    <row r="2251" spans="1:15" ht="16" x14ac:dyDescent="0.2">
      <c r="A2251" s="19"/>
      <c r="B2251" s="19"/>
      <c r="C2251" s="19"/>
      <c r="D2251" s="19"/>
      <c r="E2251" s="19"/>
      <c r="F2251" s="19"/>
      <c r="G2251" s="19"/>
      <c r="H2251" s="19"/>
      <c r="I2251" s="19"/>
      <c r="J2251" s="19"/>
      <c r="K2251" s="19"/>
      <c r="L2251" s="19"/>
      <c r="M2251" s="19"/>
      <c r="N2251" s="19"/>
      <c r="O2251" s="14" t="str">
        <f>HYPERLINK("https://otsuka-europe-crm.veevavault.com/ui/#object/email_activity__v/V8C00000003L905", "EN-002087811")</f>
        <v>EN-002087811</v>
      </c>
    </row>
    <row r="2252" spans="1:15" ht="16" x14ac:dyDescent="0.2">
      <c r="A2252" s="17" t="str">
        <f>HYPERLINK("https://otsuka-europe-crm.veevavault.com/ui/#object/account__v/V4TZ06G6O71TA5J", "EDUARDO GUTIERREZ MARTINEZ")</f>
        <v>EDUARDO GUTIERREZ MARTINEZ</v>
      </c>
      <c r="B2252" s="17" t="str">
        <f>HYPERLINK("https://otsuka-europe-crm.veevavault.com/ui/#object/vcountry__v/VENZ000004SONF5", "ES")</f>
        <v>ES</v>
      </c>
      <c r="C2252" s="20" t="s">
        <v>41</v>
      </c>
      <c r="D2252" s="21" t="str">
        <f>HYPERLINK("https://otsuka-europe-crm.veevavault.com/ui/#object/approved_document__v/V5O00000001H022", "LUP - VAE invitación simposio SEN-SER - Nefro")</f>
        <v>LUP - VAE invitación simposio SEN-SER - Nefro</v>
      </c>
      <c r="E2252" s="22" t="str">
        <f>HYPERLINK("https://otsuka-europe-crm.veevavault.com/ui/#object/sent_email__v/VBL00000002O368", "SE-001431832")</f>
        <v>SE-001431832</v>
      </c>
      <c r="F2252" s="25"/>
      <c r="G2252" s="24">
        <v>0</v>
      </c>
      <c r="H2252" s="24">
        <v>0</v>
      </c>
      <c r="I2252" s="24">
        <v>0</v>
      </c>
      <c r="J2252" s="25"/>
      <c r="K2252" s="24">
        <v>0</v>
      </c>
      <c r="L2252" s="22" t="str">
        <f>HYPERLINK("https://otsuka-europe-crm.veevavault.com/ui/#object/approved_document__v/V5O00000001H022", "LUP - VAE invitación simposio SEN-SER - Nefro")</f>
        <v>LUP - VAE invitación simposio SEN-SER - Nefro</v>
      </c>
      <c r="M2252" s="22" t="str">
        <f>HYPERLINK("mailto:cmaroto@crm.otsuka-europe.com", "cmaroto@crm.otsuka-europe.com")</f>
        <v>cmaroto@crm.otsuka-europe.com</v>
      </c>
      <c r="N2252" s="23">
        <v>46175.58090277778</v>
      </c>
      <c r="O2252" s="14" t="str">
        <f>HYPERLINK("https://otsuka-europe-crm.veevavault.com/ui/#object/email_activity__v/V8C00000003L877", "EN-002087778")</f>
        <v>EN-002087778</v>
      </c>
    </row>
    <row r="2253" spans="1:15" ht="16" x14ac:dyDescent="0.2">
      <c r="A2253" s="18"/>
      <c r="B2253" s="18"/>
      <c r="C2253" s="18"/>
      <c r="D2253" s="18"/>
      <c r="E2253" s="18"/>
      <c r="F2253" s="18"/>
      <c r="G2253" s="18"/>
      <c r="H2253" s="18"/>
      <c r="I2253" s="18"/>
      <c r="J2253" s="18"/>
      <c r="K2253" s="18"/>
      <c r="L2253" s="18"/>
      <c r="M2253" s="18"/>
      <c r="N2253" s="18"/>
      <c r="O2253" s="14" t="str">
        <f>HYPERLINK("https://otsuka-europe-crm.veevavault.com/ui/#object/email_activity__v/V8C00000003M033", "EN-002087892")</f>
        <v>EN-002087892</v>
      </c>
    </row>
    <row r="2254" spans="1:15" ht="16" x14ac:dyDescent="0.2">
      <c r="A2254" s="19"/>
      <c r="B2254" s="19"/>
      <c r="C2254" s="19"/>
      <c r="D2254" s="19"/>
      <c r="E2254" s="19"/>
      <c r="F2254" s="19"/>
      <c r="G2254" s="19"/>
      <c r="H2254" s="19"/>
      <c r="I2254" s="19"/>
      <c r="J2254" s="19"/>
      <c r="K2254" s="19"/>
      <c r="L2254" s="19"/>
      <c r="M2254" s="19"/>
      <c r="N2254" s="19"/>
      <c r="O2254" s="14" t="str">
        <f>HYPERLINK("https://otsuka-europe-crm.veevavault.com/ui/#object/email_activity__v/V8C00000003V330", "EN-002095447")</f>
        <v>EN-002095447</v>
      </c>
    </row>
    <row r="2255" spans="1:15" ht="16" x14ac:dyDescent="0.2">
      <c r="A2255" s="17" t="str">
        <f>HYPERLINK("https://otsuka-europe-crm.veevavault.com/ui/#object/account__v/V4TZ06G6OA5WQEC", "JULIO PASCUAL SANTOS")</f>
        <v>JULIO PASCUAL SANTOS</v>
      </c>
      <c r="B2255" s="17" t="str">
        <f>HYPERLINK("https://otsuka-europe-crm.veevavault.com/ui/#object/vcountry__v/VENZ000004SONF5", "ES")</f>
        <v>ES</v>
      </c>
      <c r="C2255" s="20" t="s">
        <v>41</v>
      </c>
      <c r="D2255" s="21" t="str">
        <f>HYPERLINK("https://otsuka-europe-crm.veevavault.com/ui/#object/approved_document__v/V5O00000001H022", "LUP - VAE invitación simposio SEN-SER - Nefro")</f>
        <v>LUP - VAE invitación simposio SEN-SER - Nefro</v>
      </c>
      <c r="E2255" s="22" t="str">
        <f>HYPERLINK("https://otsuka-europe-crm.veevavault.com/ui/#object/sent_email__v/VBL00000002O369", "SE-001431833")</f>
        <v>SE-001431833</v>
      </c>
      <c r="F2255" s="25"/>
      <c r="G2255" s="24">
        <v>0</v>
      </c>
      <c r="H2255" s="24">
        <v>0</v>
      </c>
      <c r="I2255" s="24">
        <v>0</v>
      </c>
      <c r="J2255" s="25"/>
      <c r="K2255" s="24">
        <v>0</v>
      </c>
      <c r="L2255" s="22" t="str">
        <f>HYPERLINK("https://otsuka-europe-crm.veevavault.com/ui/#object/approved_document__v/V5O00000001H022", "LUP - VAE invitación simposio SEN-SER - Nefro")</f>
        <v>LUP - VAE invitación simposio SEN-SER - Nefro</v>
      </c>
      <c r="M2255" s="22" t="str">
        <f>HYPERLINK("mailto:cmaroto@crm.otsuka-europe.com", "cmaroto@crm.otsuka-europe.com")</f>
        <v>cmaroto@crm.otsuka-europe.com</v>
      </c>
      <c r="N2255" s="23">
        <v>46175.58090277778</v>
      </c>
      <c r="O2255" s="14" t="str">
        <f>HYPERLINK("https://otsuka-europe-crm.veevavault.com/ui/#object/email_activity__v/V8C00000003K991", "EN-002087793")</f>
        <v>EN-002087793</v>
      </c>
    </row>
    <row r="2256" spans="1:15" ht="16" x14ac:dyDescent="0.2">
      <c r="A2256" s="19"/>
      <c r="B2256" s="19"/>
      <c r="C2256" s="19"/>
      <c r="D2256" s="19"/>
      <c r="E2256" s="19"/>
      <c r="F2256" s="19"/>
      <c r="G2256" s="19"/>
      <c r="H2256" s="19"/>
      <c r="I2256" s="19"/>
      <c r="J2256" s="19"/>
      <c r="K2256" s="19"/>
      <c r="L2256" s="19"/>
      <c r="M2256" s="19"/>
      <c r="N2256" s="19"/>
      <c r="O2256" s="14" t="str">
        <f>HYPERLINK("https://otsuka-europe-crm.veevavault.com/ui/#object/email_activity__v/V8C00000003L915", "EN-002087823")</f>
        <v>EN-002087823</v>
      </c>
    </row>
    <row r="2257" spans="1:15" ht="16" x14ac:dyDescent="0.2">
      <c r="A2257" s="17" t="str">
        <f>HYPERLINK("https://otsuka-europe-crm.veevavault.com/ui/#object/account__v/V4TZ04ASG8DPFKI", "ELENA PASCUAL PAJARES")</f>
        <v>ELENA PASCUAL PAJARES</v>
      </c>
      <c r="B2257" s="17" t="str">
        <f>HYPERLINK("https://otsuka-europe-crm.veevavault.com/ui/#object/vcountry__v/VENZ000004SONF5", "ES")</f>
        <v>ES</v>
      </c>
      <c r="C2257" s="20" t="s">
        <v>41</v>
      </c>
      <c r="D2257" s="21" t="str">
        <f>HYPERLINK("https://otsuka-europe-crm.veevavault.com/ui/#object/approved_document__v/V5O00000001H022", "LUP - VAE invitación simposio SEN-SER - Nefro")</f>
        <v>LUP - VAE invitación simposio SEN-SER - Nefro</v>
      </c>
      <c r="E2257" s="22" t="str">
        <f>HYPERLINK("https://otsuka-europe-crm.veevavault.com/ui/#object/sent_email__v/VBL00000002O370", "SE-001431834")</f>
        <v>SE-001431834</v>
      </c>
      <c r="F2257" s="23">
        <v>46175.817175925928</v>
      </c>
      <c r="G2257" s="24">
        <v>1</v>
      </c>
      <c r="H2257" s="24">
        <v>4</v>
      </c>
      <c r="I2257" s="24">
        <v>0</v>
      </c>
      <c r="J2257" s="25"/>
      <c r="K2257" s="24">
        <v>0</v>
      </c>
      <c r="L2257" s="22" t="str">
        <f>HYPERLINK("https://otsuka-europe-crm.veevavault.com/ui/#object/approved_document__v/V5O00000001H022", "LUP - VAE invitación simposio SEN-SER - Nefro")</f>
        <v>LUP - VAE invitación simposio SEN-SER - Nefro</v>
      </c>
      <c r="M2257" s="22" t="str">
        <f>HYPERLINK("mailto:cmaroto@crm.otsuka-europe.com", "cmaroto@crm.otsuka-europe.com")</f>
        <v>cmaroto@crm.otsuka-europe.com</v>
      </c>
      <c r="N2257" s="23">
        <v>46175.58090277778</v>
      </c>
      <c r="O2257" s="14" t="str">
        <f>HYPERLINK("https://otsuka-europe-crm.veevavault.com/ui/#object/email_activity__v/V8C00000003K994", "EN-002087796")</f>
        <v>EN-002087796</v>
      </c>
    </row>
    <row r="2258" spans="1:15" ht="16" x14ac:dyDescent="0.2">
      <c r="A2258" s="18"/>
      <c r="B2258" s="18"/>
      <c r="C2258" s="18"/>
      <c r="D2258" s="18"/>
      <c r="E2258" s="18"/>
      <c r="F2258" s="18"/>
      <c r="G2258" s="18"/>
      <c r="H2258" s="18"/>
      <c r="I2258" s="18"/>
      <c r="J2258" s="18"/>
      <c r="K2258" s="18"/>
      <c r="L2258" s="18"/>
      <c r="M2258" s="18"/>
      <c r="N2258" s="18"/>
      <c r="O2258" s="14" t="str">
        <f>HYPERLINK("https://otsuka-europe-crm.veevavault.com/ui/#object/email_activity__v/V8C00000003M178", "EN-002088351")</f>
        <v>EN-002088351</v>
      </c>
    </row>
    <row r="2259" spans="1:15" ht="16" x14ac:dyDescent="0.2">
      <c r="A2259" s="18"/>
      <c r="B2259" s="18"/>
      <c r="C2259" s="18"/>
      <c r="D2259" s="18"/>
      <c r="E2259" s="18"/>
      <c r="F2259" s="18"/>
      <c r="G2259" s="18"/>
      <c r="H2259" s="18"/>
      <c r="I2259" s="18"/>
      <c r="J2259" s="18"/>
      <c r="K2259" s="18"/>
      <c r="L2259" s="18"/>
      <c r="M2259" s="18"/>
      <c r="N2259" s="18"/>
      <c r="O2259" s="14" t="str">
        <f>HYPERLINK("https://otsuka-europe-crm.veevavault.com/ui/#object/email_activity__v/V8C00000003M180", "EN-002088353")</f>
        <v>EN-002088353</v>
      </c>
    </row>
    <row r="2260" spans="1:15" ht="16" x14ac:dyDescent="0.2">
      <c r="A2260" s="18"/>
      <c r="B2260" s="18"/>
      <c r="C2260" s="18"/>
      <c r="D2260" s="18"/>
      <c r="E2260" s="18"/>
      <c r="F2260" s="18"/>
      <c r="G2260" s="18"/>
      <c r="H2260" s="18"/>
      <c r="I2260" s="18"/>
      <c r="J2260" s="18"/>
      <c r="K2260" s="18"/>
      <c r="L2260" s="18"/>
      <c r="M2260" s="18"/>
      <c r="N2260" s="18"/>
      <c r="O2260" s="14" t="str">
        <f>HYPERLINK("https://otsuka-europe-crm.veevavault.com/ui/#object/email_activity__v/V8C00000003M182", "EN-002088355")</f>
        <v>EN-002088355</v>
      </c>
    </row>
    <row r="2261" spans="1:15" ht="16" x14ac:dyDescent="0.2">
      <c r="A2261" s="19"/>
      <c r="B2261" s="19"/>
      <c r="C2261" s="19"/>
      <c r="D2261" s="19"/>
      <c r="E2261" s="19"/>
      <c r="F2261" s="19"/>
      <c r="G2261" s="19"/>
      <c r="H2261" s="19"/>
      <c r="I2261" s="19"/>
      <c r="J2261" s="19"/>
      <c r="K2261" s="19"/>
      <c r="L2261" s="19"/>
      <c r="M2261" s="19"/>
      <c r="N2261" s="19"/>
      <c r="O2261" s="14" t="str">
        <f>HYPERLINK("https://otsuka-europe-crm.veevavault.com/ui/#object/email_activity__v/V8C00000003M183", "EN-002088356")</f>
        <v>EN-002088356</v>
      </c>
    </row>
    <row r="2262" spans="1:15" ht="16" x14ac:dyDescent="0.2">
      <c r="A2262" s="17" t="str">
        <f>HYPERLINK("https://otsuka-europe-crm.veevavault.com/ui/#object/account__v/V4T00000001G031", "MARIA LAURA BUCALO MANA")</f>
        <v>MARIA LAURA BUCALO MANA</v>
      </c>
      <c r="B2262" s="17" t="str">
        <f>HYPERLINK("https://otsuka-europe-crm.veevavault.com/ui/#object/vcountry__v/VENZ000004SONF5", "ES")</f>
        <v>ES</v>
      </c>
      <c r="C2262" s="20" t="s">
        <v>41</v>
      </c>
      <c r="D2262" s="21" t="str">
        <f>HYPERLINK("https://otsuka-europe-crm.veevavault.com/ui/#object/approved_document__v/V5O00000001H022", "LUP - VAE invitación simposio SEN-SER - Nefro")</f>
        <v>LUP - VAE invitación simposio SEN-SER - Nefro</v>
      </c>
      <c r="E2262" s="22" t="str">
        <f>HYPERLINK("https://otsuka-europe-crm.veevavault.com/ui/#object/sent_email__v/VBL00000002O371", "SE-001431835")</f>
        <v>SE-001431835</v>
      </c>
      <c r="F2262" s="23">
        <v>46175.586261574077</v>
      </c>
      <c r="G2262" s="24">
        <v>1</v>
      </c>
      <c r="H2262" s="24">
        <v>3</v>
      </c>
      <c r="I2262" s="24">
        <v>0</v>
      </c>
      <c r="J2262" s="25"/>
      <c r="K2262" s="24">
        <v>0</v>
      </c>
      <c r="L2262" s="22" t="str">
        <f>HYPERLINK("https://otsuka-europe-crm.veevavault.com/ui/#object/approved_document__v/V5O00000001H022", "LUP - VAE invitación simposio SEN-SER - Nefro")</f>
        <v>LUP - VAE invitación simposio SEN-SER - Nefro</v>
      </c>
      <c r="M2262" s="22" t="str">
        <f>HYPERLINK("mailto:cmaroto@crm.otsuka-europe.com", "cmaroto@crm.otsuka-europe.com")</f>
        <v>cmaroto@crm.otsuka-europe.com</v>
      </c>
      <c r="N2262" s="23">
        <v>46175.58090277778</v>
      </c>
      <c r="O2262" s="14" t="str">
        <f>HYPERLINK("https://otsuka-europe-crm.veevavault.com/ui/#object/email_activity__v/V8C00000003K999", "EN-002087826")</f>
        <v>EN-002087826</v>
      </c>
    </row>
    <row r="2263" spans="1:15" ht="16" x14ac:dyDescent="0.2">
      <c r="A2263" s="18"/>
      <c r="B2263" s="18"/>
      <c r="C2263" s="18"/>
      <c r="D2263" s="18"/>
      <c r="E2263" s="18"/>
      <c r="F2263" s="18"/>
      <c r="G2263" s="18"/>
      <c r="H2263" s="18"/>
      <c r="I2263" s="18"/>
      <c r="J2263" s="18"/>
      <c r="K2263" s="18"/>
      <c r="L2263" s="18"/>
      <c r="M2263" s="18"/>
      <c r="N2263" s="18"/>
      <c r="O2263" s="14" t="str">
        <f>HYPERLINK("https://otsuka-europe-crm.veevavault.com/ui/#object/email_activity__v/V8C00000003L887", "EN-002087788")</f>
        <v>EN-002087788</v>
      </c>
    </row>
    <row r="2264" spans="1:15" ht="16" x14ac:dyDescent="0.2">
      <c r="A2264" s="18"/>
      <c r="B2264" s="18"/>
      <c r="C2264" s="18"/>
      <c r="D2264" s="18"/>
      <c r="E2264" s="18"/>
      <c r="F2264" s="18"/>
      <c r="G2264" s="18"/>
      <c r="H2264" s="18"/>
      <c r="I2264" s="18"/>
      <c r="J2264" s="18"/>
      <c r="K2264" s="18"/>
      <c r="L2264" s="18"/>
      <c r="M2264" s="18"/>
      <c r="N2264" s="18"/>
      <c r="O2264" s="14" t="str">
        <f>HYPERLINK("https://otsuka-europe-crm.veevavault.com/ui/#object/email_activity__v/V8C00000003L904", "EN-002087810")</f>
        <v>EN-002087810</v>
      </c>
    </row>
    <row r="2265" spans="1:15" ht="16" x14ac:dyDescent="0.2">
      <c r="A2265" s="19"/>
      <c r="B2265" s="19"/>
      <c r="C2265" s="19"/>
      <c r="D2265" s="19"/>
      <c r="E2265" s="19"/>
      <c r="F2265" s="19"/>
      <c r="G2265" s="19"/>
      <c r="H2265" s="19"/>
      <c r="I2265" s="19"/>
      <c r="J2265" s="19"/>
      <c r="K2265" s="19"/>
      <c r="L2265" s="19"/>
      <c r="M2265" s="19"/>
      <c r="N2265" s="19"/>
      <c r="O2265" s="14" t="str">
        <f>HYPERLINK("https://otsuka-europe-crm.veevavault.com/ui/#object/email_activity__v/V8C00000003M001", "EN-002087827")</f>
        <v>EN-002087827</v>
      </c>
    </row>
    <row r="2266" spans="1:15" ht="16" x14ac:dyDescent="0.2">
      <c r="A2266" s="17" t="str">
        <f>HYPERLINK("https://otsuka-europe-crm.veevavault.com/ui/#object/account__v/V4TZ06G6O71TC7U", "MARIA DOLORES SANCHEZ DE LA NIETA GARCIA")</f>
        <v>MARIA DOLORES SANCHEZ DE LA NIETA GARCIA</v>
      </c>
      <c r="B2266" s="17" t="str">
        <f>HYPERLINK("https://otsuka-europe-crm.veevavault.com/ui/#object/vcountry__v/VENZ000004SONF5", "ES")</f>
        <v>ES</v>
      </c>
      <c r="C2266" s="20" t="s">
        <v>41</v>
      </c>
      <c r="D2266" s="21" t="str">
        <f>HYPERLINK("https://otsuka-europe-crm.veevavault.com/ui/#object/approved_document__v/V5O00000001H022", "LUP - VAE invitación simposio SEN-SER - Nefro")</f>
        <v>LUP - VAE invitación simposio SEN-SER - Nefro</v>
      </c>
      <c r="E2266" s="22" t="str">
        <f>HYPERLINK("https://otsuka-europe-crm.veevavault.com/ui/#object/sent_email__v/VBL00000002O372", "SE-001431836")</f>
        <v>SE-001431836</v>
      </c>
      <c r="F2266" s="25"/>
      <c r="G2266" s="24">
        <v>0</v>
      </c>
      <c r="H2266" s="24">
        <v>0</v>
      </c>
      <c r="I2266" s="24">
        <v>0</v>
      </c>
      <c r="J2266" s="25"/>
      <c r="K2266" s="24">
        <v>0</v>
      </c>
      <c r="L2266" s="22" t="str">
        <f>HYPERLINK("https://otsuka-europe-crm.veevavault.com/ui/#object/approved_document__v/V5O00000001H022", "LUP - VAE invitación simposio SEN-SER - Nefro")</f>
        <v>LUP - VAE invitación simposio SEN-SER - Nefro</v>
      </c>
      <c r="M2266" s="22" t="str">
        <f>HYPERLINK("mailto:cmaroto@crm.otsuka-europe.com", "cmaroto@crm.otsuka-europe.com")</f>
        <v>cmaroto@crm.otsuka-europe.com</v>
      </c>
      <c r="N2266" s="23">
        <v>46175.580891203703</v>
      </c>
      <c r="O2266" s="14" t="str">
        <f>HYPERLINK("https://otsuka-europe-crm.veevavault.com/ui/#object/email_activity__v/V8C00000003L888", "EN-002087789")</f>
        <v>EN-002087789</v>
      </c>
    </row>
    <row r="2267" spans="1:15" ht="16" x14ac:dyDescent="0.2">
      <c r="A2267" s="19"/>
      <c r="B2267" s="19"/>
      <c r="C2267" s="19"/>
      <c r="D2267" s="19"/>
      <c r="E2267" s="19"/>
      <c r="F2267" s="19"/>
      <c r="G2267" s="19"/>
      <c r="H2267" s="19"/>
      <c r="I2267" s="19"/>
      <c r="J2267" s="19"/>
      <c r="K2267" s="19"/>
      <c r="L2267" s="19"/>
      <c r="M2267" s="19"/>
      <c r="N2267" s="19"/>
      <c r="O2267" s="14" t="str">
        <f>HYPERLINK("https://otsuka-europe-crm.veevavault.com/ui/#object/email_activity__v/V8C00000003N331", "EN-002088502")</f>
        <v>EN-002088502</v>
      </c>
    </row>
    <row r="2268" spans="1:15" ht="32" x14ac:dyDescent="0.2">
      <c r="A2268" s="7" t="str">
        <f>HYPERLINK("https://otsuka-europe-crm.veevavault.com/ui/#object/account__v/V4TZ06G6O71T98M", "GABRIEL DE ARRIBA DE LA FUENTE")</f>
        <v>GABRIEL DE ARRIBA DE LA FUENTE</v>
      </c>
      <c r="B2268" s="7" t="str">
        <f>HYPERLINK("https://otsuka-europe-crm.veevavault.com/ui/#object/vcountry__v/VENZ000004SONF5", "ES")</f>
        <v>ES</v>
      </c>
      <c r="C2268" s="8" t="s">
        <v>41</v>
      </c>
      <c r="D2268" s="9" t="str">
        <f>HYPERLINK("https://otsuka-europe-crm.veevavault.com/ui/#object/approved_document__v/V5O00000001H022", "LUP - VAE invitación simposio SEN-SER - Nefro")</f>
        <v>LUP - VAE invitación simposio SEN-SER - Nefro</v>
      </c>
      <c r="E2268" s="10" t="str">
        <f>HYPERLINK("https://otsuka-europe-crm.veevavault.com/ui/#object/sent_email__v/VBL00000002O373", "SE-001431837")</f>
        <v>SE-001431837</v>
      </c>
      <c r="F2268" s="11"/>
      <c r="G2268" s="12">
        <v>0</v>
      </c>
      <c r="H2268" s="12">
        <v>0</v>
      </c>
      <c r="I2268" s="12">
        <v>0</v>
      </c>
      <c r="J2268" s="11"/>
      <c r="K2268" s="12">
        <v>0</v>
      </c>
      <c r="L2268" s="10" t="str">
        <f>HYPERLINK("https://otsuka-europe-crm.veevavault.com/ui/#object/approved_document__v/V5O00000001H022", "LUP - VAE invitación simposio SEN-SER - Nefro")</f>
        <v>LUP - VAE invitación simposio SEN-SER - Nefro</v>
      </c>
      <c r="M2268" s="10" t="str">
        <f>HYPERLINK("mailto:cmaroto@crm.otsuka-europe.com", "cmaroto@crm.otsuka-europe.com")</f>
        <v>cmaroto@crm.otsuka-europe.com</v>
      </c>
      <c r="N2268" s="13">
        <v>46175.58090277778</v>
      </c>
      <c r="O2268" s="14" t="str">
        <f>HYPERLINK("https://otsuka-europe-crm.veevavault.com/ui/#object/email_activity__v/V8C00000003L882", "EN-002087783")</f>
        <v>EN-002087783</v>
      </c>
    </row>
    <row r="2269" spans="1:15" ht="32" x14ac:dyDescent="0.2">
      <c r="A2269" s="7" t="str">
        <f>HYPERLINK("https://otsuka-europe-crm.veevavault.com/ui/#object/account__v/V4TZ025E8720CEX", "LUCIA CORDERO GARCIA-GALAN")</f>
        <v>LUCIA CORDERO GARCIA-GALAN</v>
      </c>
      <c r="B2269" s="7" t="str">
        <f>HYPERLINK("https://otsuka-europe-crm.veevavault.com/ui/#object/vcountry__v/VENZ000004SONF5", "ES")</f>
        <v>ES</v>
      </c>
      <c r="C2269" s="8" t="s">
        <v>41</v>
      </c>
      <c r="D2269" s="9" t="str">
        <f>HYPERLINK("https://otsuka-europe-crm.veevavault.com/ui/#object/approved_document__v/V5O00000001H022", "LUP - VAE invitación simposio SEN-SER - Nefro")</f>
        <v>LUP - VAE invitación simposio SEN-SER - Nefro</v>
      </c>
      <c r="E2269" s="10" t="str">
        <f>HYPERLINK("https://otsuka-europe-crm.veevavault.com/ui/#object/sent_email__v/VBL00000002O374", "SE-001431838")</f>
        <v>SE-001431838</v>
      </c>
      <c r="F2269" s="11"/>
      <c r="G2269" s="12">
        <v>0</v>
      </c>
      <c r="H2269" s="12">
        <v>0</v>
      </c>
      <c r="I2269" s="12">
        <v>0</v>
      </c>
      <c r="J2269" s="11"/>
      <c r="K2269" s="12">
        <v>0</v>
      </c>
      <c r="L2269" s="10" t="str">
        <f>HYPERLINK("https://otsuka-europe-crm.veevavault.com/ui/#object/approved_document__v/V5O00000001H022", "LUP - VAE invitación simposio SEN-SER - Nefro")</f>
        <v>LUP - VAE invitación simposio SEN-SER - Nefro</v>
      </c>
      <c r="M2269" s="10" t="str">
        <f>HYPERLINK("mailto:cmaroto@crm.otsuka-europe.com", "cmaroto@crm.otsuka-europe.com")</f>
        <v>cmaroto@crm.otsuka-europe.com</v>
      </c>
      <c r="N2269" s="13">
        <v>46175.58090277778</v>
      </c>
      <c r="O2269" s="14" t="str">
        <f>HYPERLINK("https://otsuka-europe-crm.veevavault.com/ui/#object/email_activity__v/V8C00000003L893", "EN-002087799")</f>
        <v>EN-002087799</v>
      </c>
    </row>
    <row r="2270" spans="1:15" ht="32" x14ac:dyDescent="0.2">
      <c r="A2270" s="7" t="str">
        <f>HYPERLINK("https://otsuka-europe-crm.veevavault.com/ui/#object/account__v/V4TZ06G6O71TBUD", "DABAIBA REGIDOR RODRIGUEZ")</f>
        <v>DABAIBA REGIDOR RODRIGUEZ</v>
      </c>
      <c r="B2270" s="7" t="str">
        <f>HYPERLINK("https://otsuka-europe-crm.veevavault.com/ui/#object/vcountry__v/VENZ000004SONF5", "ES")</f>
        <v>ES</v>
      </c>
      <c r="C2270" s="8" t="s">
        <v>41</v>
      </c>
      <c r="D2270" s="9" t="str">
        <f>HYPERLINK("https://otsuka-europe-crm.veevavault.com/ui/#object/approved_document__v/V5O00000001H022", "LUP - VAE invitación simposio SEN-SER - Nefro")</f>
        <v>LUP - VAE invitación simposio SEN-SER - Nefro</v>
      </c>
      <c r="E2270" s="10" t="str">
        <f>HYPERLINK("https://otsuka-europe-crm.veevavault.com/ui/#object/sent_email__v/VBL00000002O375", "SE-001431839")</f>
        <v>SE-001431839</v>
      </c>
      <c r="F2270" s="11"/>
      <c r="G2270" s="12">
        <v>0</v>
      </c>
      <c r="H2270" s="12">
        <v>0</v>
      </c>
      <c r="I2270" s="12">
        <v>0</v>
      </c>
      <c r="J2270" s="11"/>
      <c r="K2270" s="12">
        <v>0</v>
      </c>
      <c r="L2270" s="10" t="str">
        <f>HYPERLINK("https://otsuka-europe-crm.veevavault.com/ui/#object/approved_document__v/V5O00000001H022", "LUP - VAE invitación simposio SEN-SER - Nefro")</f>
        <v>LUP - VAE invitación simposio SEN-SER - Nefro</v>
      </c>
      <c r="M2270" s="10" t="str">
        <f>HYPERLINK("mailto:cmaroto@crm.otsuka-europe.com", "cmaroto@crm.otsuka-europe.com")</f>
        <v>cmaroto@crm.otsuka-europe.com</v>
      </c>
      <c r="N2270" s="13">
        <v>46175.580891203703</v>
      </c>
      <c r="O2270" s="14" t="str">
        <f>HYPERLINK("https://otsuka-europe-crm.veevavault.com/ui/#object/email_activity__v/V8C00000003K993", "EN-002087795")</f>
        <v>EN-002087795</v>
      </c>
    </row>
    <row r="2271" spans="1:15" ht="16" x14ac:dyDescent="0.2">
      <c r="A2271" s="17" t="str">
        <f>HYPERLINK("https://otsuka-europe-crm.veevavault.com/ui/#object/account__v/V4TZ04ASG6ZSX9E", "PABLO ALEJANDRO SARDUY CORONADO")</f>
        <v>PABLO ALEJANDRO SARDUY CORONADO</v>
      </c>
      <c r="B2271" s="17" t="str">
        <f>HYPERLINK("https://otsuka-europe-crm.veevavault.com/ui/#object/vcountry__v/VENZ000004SONF5", "ES")</f>
        <v>ES</v>
      </c>
      <c r="C2271" s="20" t="s">
        <v>41</v>
      </c>
      <c r="D2271" s="21" t="str">
        <f>HYPERLINK("https://otsuka-europe-crm.veevavault.com/ui/#object/approved_document__v/V5O00000001H022", "LUP - VAE invitación simposio SEN-SER - Nefro")</f>
        <v>LUP - VAE invitación simposio SEN-SER - Nefro</v>
      </c>
      <c r="E2271" s="22" t="str">
        <f>HYPERLINK("https://otsuka-europe-crm.veevavault.com/ui/#object/sent_email__v/VBL00000002O376", "SE-001431840")</f>
        <v>SE-001431840</v>
      </c>
      <c r="F2271" s="23">
        <v>46175.621064814812</v>
      </c>
      <c r="G2271" s="24">
        <v>1</v>
      </c>
      <c r="H2271" s="24">
        <v>2</v>
      </c>
      <c r="I2271" s="24">
        <v>0</v>
      </c>
      <c r="J2271" s="25"/>
      <c r="K2271" s="24">
        <v>0</v>
      </c>
      <c r="L2271" s="22" t="str">
        <f>HYPERLINK("https://otsuka-europe-crm.veevavault.com/ui/#object/approved_document__v/V5O00000001H022", "LUP - VAE invitación simposio SEN-SER - Nefro")</f>
        <v>LUP - VAE invitación simposio SEN-SER - Nefro</v>
      </c>
      <c r="M2271" s="22" t="str">
        <f>HYPERLINK("mailto:cmaroto@crm.otsuka-europe.com", "cmaroto@crm.otsuka-europe.com")</f>
        <v>cmaroto@crm.otsuka-europe.com</v>
      </c>
      <c r="N2271" s="23">
        <v>46175.580891203703</v>
      </c>
      <c r="O2271" s="14" t="str">
        <f>HYPERLINK("https://otsuka-europe-crm.veevavault.com/ui/#object/email_activity__v/V8C00000003L903", "EN-002087809")</f>
        <v>EN-002087809</v>
      </c>
    </row>
    <row r="2272" spans="1:15" ht="16" x14ac:dyDescent="0.2">
      <c r="A2272" s="18"/>
      <c r="B2272" s="18"/>
      <c r="C2272" s="18"/>
      <c r="D2272" s="18"/>
      <c r="E2272" s="18"/>
      <c r="F2272" s="18"/>
      <c r="G2272" s="18"/>
      <c r="H2272" s="18"/>
      <c r="I2272" s="18"/>
      <c r="J2272" s="18"/>
      <c r="K2272" s="18"/>
      <c r="L2272" s="18"/>
      <c r="M2272" s="18"/>
      <c r="N2272" s="18"/>
      <c r="O2272" s="14" t="str">
        <f>HYPERLINK("https://otsuka-europe-crm.veevavault.com/ui/#object/email_activity__v/V8C00000003L910", "EN-002087817")</f>
        <v>EN-002087817</v>
      </c>
    </row>
    <row r="2273" spans="1:15" ht="16" x14ac:dyDescent="0.2">
      <c r="A2273" s="19"/>
      <c r="B2273" s="19"/>
      <c r="C2273" s="19"/>
      <c r="D2273" s="19"/>
      <c r="E2273" s="19"/>
      <c r="F2273" s="19"/>
      <c r="G2273" s="19"/>
      <c r="H2273" s="19"/>
      <c r="I2273" s="19"/>
      <c r="J2273" s="19"/>
      <c r="K2273" s="19"/>
      <c r="L2273" s="19"/>
      <c r="M2273" s="19"/>
      <c r="N2273" s="19"/>
      <c r="O2273" s="14" t="str">
        <f>HYPERLINK("https://otsuka-europe-crm.veevavault.com/ui/#object/email_activity__v/V8C00000003M032", "EN-002087891")</f>
        <v>EN-002087891</v>
      </c>
    </row>
    <row r="2274" spans="1:15" ht="16" x14ac:dyDescent="0.2">
      <c r="A2274" s="17" t="str">
        <f>HYPERLINK("https://otsuka-europe-crm.veevavault.com/ui/#object/account__v/V4TZ06G6O71T7R1", "CRISTINA HERRAIZ CORREDOR")</f>
        <v>CRISTINA HERRAIZ CORREDOR</v>
      </c>
      <c r="B2274" s="17" t="str">
        <f>HYPERLINK("https://otsuka-europe-crm.veevavault.com/ui/#object/vcountry__v/VENZ000004SONF5", "ES")</f>
        <v>ES</v>
      </c>
      <c r="C2274" s="20" t="s">
        <v>41</v>
      </c>
      <c r="D2274" s="21" t="str">
        <f>HYPERLINK("https://otsuka-europe-crm.veevavault.com/ui/#object/approved_document__v/V5O00000001H022", "LUP - VAE invitación simposio SEN-SER - Nefro")</f>
        <v>LUP - VAE invitación simposio SEN-SER - Nefro</v>
      </c>
      <c r="E2274" s="22" t="str">
        <f>HYPERLINK("https://otsuka-europe-crm.veevavault.com/ui/#object/sent_email__v/VBL00000002O377", "SE-001431841")</f>
        <v>SE-001431841</v>
      </c>
      <c r="F2274" s="25"/>
      <c r="G2274" s="24">
        <v>0</v>
      </c>
      <c r="H2274" s="24">
        <v>0</v>
      </c>
      <c r="I2274" s="24">
        <v>0</v>
      </c>
      <c r="J2274" s="25"/>
      <c r="K2274" s="24">
        <v>0</v>
      </c>
      <c r="L2274" s="22" t="str">
        <f>HYPERLINK("https://otsuka-europe-crm.veevavault.com/ui/#object/approved_document__v/V5O00000001H022", "LUP - VAE invitación simposio SEN-SER - Nefro")</f>
        <v>LUP - VAE invitación simposio SEN-SER - Nefro</v>
      </c>
      <c r="M2274" s="22" t="str">
        <f>HYPERLINK("mailto:cmaroto@crm.otsuka-europe.com", "cmaroto@crm.otsuka-europe.com")</f>
        <v>cmaroto@crm.otsuka-europe.com</v>
      </c>
      <c r="N2274" s="23">
        <v>46175.580891203703</v>
      </c>
      <c r="O2274" s="14" t="str">
        <f>HYPERLINK("https://otsuka-europe-crm.veevavault.com/ui/#object/email_activity__v/V8C00000003L885", "EN-002087786")</f>
        <v>EN-002087786</v>
      </c>
    </row>
    <row r="2275" spans="1:15" ht="16" x14ac:dyDescent="0.2">
      <c r="A2275" s="19"/>
      <c r="B2275" s="19"/>
      <c r="C2275" s="19"/>
      <c r="D2275" s="19"/>
      <c r="E2275" s="19"/>
      <c r="F2275" s="19"/>
      <c r="G2275" s="19"/>
      <c r="H2275" s="19"/>
      <c r="I2275" s="19"/>
      <c r="J2275" s="19"/>
      <c r="K2275" s="19"/>
      <c r="L2275" s="19"/>
      <c r="M2275" s="19"/>
      <c r="N2275" s="19"/>
      <c r="O2275" s="14" t="str">
        <f>HYPERLINK("https://otsuka-europe-crm.veevavault.com/ui/#object/email_activity__v/V8C00000003M270", "EN-002088517")</f>
        <v>EN-002088517</v>
      </c>
    </row>
    <row r="2276" spans="1:15" ht="16" x14ac:dyDescent="0.2">
      <c r="A2276" s="17" t="str">
        <f>HYPERLINK("https://otsuka-europe-crm.veevavault.com/ui/#object/account__v/V4TZ06G6O71T8XF", "MARIA CARMEN HERNAIZ VALENCIA")</f>
        <v>MARIA CARMEN HERNAIZ VALENCIA</v>
      </c>
      <c r="B2276" s="17" t="str">
        <f>HYPERLINK("https://otsuka-europe-crm.veevavault.com/ui/#object/vcountry__v/VENZ000004SONF5", "ES")</f>
        <v>ES</v>
      </c>
      <c r="C2276" s="20" t="s">
        <v>41</v>
      </c>
      <c r="D2276" s="21" t="str">
        <f>HYPERLINK("https://otsuka-europe-crm.veevavault.com/ui/#object/approved_document__v/V5O00000001H022", "LUP - VAE invitación simposio SEN-SER - Nefro")</f>
        <v>LUP - VAE invitación simposio SEN-SER - Nefro</v>
      </c>
      <c r="E2276" s="22" t="str">
        <f>HYPERLINK("https://otsuka-europe-crm.veevavault.com/ui/#object/sent_email__v/VBL00000002O378", "SE-001431842")</f>
        <v>SE-001431842</v>
      </c>
      <c r="F2276" s="23">
        <v>46175.623425925929</v>
      </c>
      <c r="G2276" s="24">
        <v>1</v>
      </c>
      <c r="H2276" s="24">
        <v>1</v>
      </c>
      <c r="I2276" s="24">
        <v>0</v>
      </c>
      <c r="J2276" s="25"/>
      <c r="K2276" s="24">
        <v>0</v>
      </c>
      <c r="L2276" s="22" t="str">
        <f>HYPERLINK("https://otsuka-europe-crm.veevavault.com/ui/#object/approved_document__v/V5O00000001H022", "LUP - VAE invitación simposio SEN-SER - Nefro")</f>
        <v>LUP - VAE invitación simposio SEN-SER - Nefro</v>
      </c>
      <c r="M2276" s="22" t="str">
        <f>HYPERLINK("mailto:cmaroto@crm.otsuka-europe.com", "cmaroto@crm.otsuka-europe.com")</f>
        <v>cmaroto@crm.otsuka-europe.com</v>
      </c>
      <c r="N2276" s="23">
        <v>46175.580891203703</v>
      </c>
      <c r="O2276" s="14" t="str">
        <f>HYPERLINK("https://otsuka-europe-crm.veevavault.com/ui/#object/email_activity__v/V8C00000003L878", "EN-002087779")</f>
        <v>EN-002087779</v>
      </c>
    </row>
    <row r="2277" spans="1:15" ht="16" x14ac:dyDescent="0.2">
      <c r="A2277" s="18"/>
      <c r="B2277" s="18"/>
      <c r="C2277" s="18"/>
      <c r="D2277" s="18"/>
      <c r="E2277" s="18"/>
      <c r="F2277" s="18"/>
      <c r="G2277" s="18"/>
      <c r="H2277" s="18"/>
      <c r="I2277" s="18"/>
      <c r="J2277" s="18"/>
      <c r="K2277" s="18"/>
      <c r="L2277" s="18"/>
      <c r="M2277" s="18"/>
      <c r="N2277" s="18"/>
      <c r="O2277" s="14" t="str">
        <f>HYPERLINK("https://otsuka-europe-crm.veevavault.com/ui/#object/email_activity__v/V8C00000003L919", "EN-002087831")</f>
        <v>EN-002087831</v>
      </c>
    </row>
    <row r="2278" spans="1:15" ht="16" x14ac:dyDescent="0.2">
      <c r="A2278" s="19"/>
      <c r="B2278" s="19"/>
      <c r="C2278" s="19"/>
      <c r="D2278" s="19"/>
      <c r="E2278" s="19"/>
      <c r="F2278" s="19"/>
      <c r="G2278" s="19"/>
      <c r="H2278" s="19"/>
      <c r="I2278" s="19"/>
      <c r="J2278" s="19"/>
      <c r="K2278" s="19"/>
      <c r="L2278" s="19"/>
      <c r="M2278" s="19"/>
      <c r="N2278" s="19"/>
      <c r="O2278" s="14" t="str">
        <f>HYPERLINK("https://otsuka-europe-crm.veevavault.com/ui/#object/email_activity__v/V8C00000003L953", "EN-002087897")</f>
        <v>EN-002087897</v>
      </c>
    </row>
    <row r="2279" spans="1:15" ht="32" x14ac:dyDescent="0.2">
      <c r="A2279" s="7" t="str">
        <f>HYPERLINK("https://otsuka-europe-crm.veevavault.com/ui/#object/account__v/V4TZ06G6O71TAA6", "MARIA LUISA ILLESCAS FERNANDEZ-BERMEJO")</f>
        <v>MARIA LUISA ILLESCAS FERNANDEZ-BERMEJO</v>
      </c>
      <c r="B2279" s="7" t="str">
        <f>HYPERLINK("https://otsuka-europe-crm.veevavault.com/ui/#object/vcountry__v/VENZ000004SONF5", "ES")</f>
        <v>ES</v>
      </c>
      <c r="C2279" s="8" t="s">
        <v>41</v>
      </c>
      <c r="D2279" s="9" t="str">
        <f>HYPERLINK("https://otsuka-europe-crm.veevavault.com/ui/#object/approved_document__v/V5O00000001H022", "LUP - VAE invitación simposio SEN-SER - Nefro")</f>
        <v>LUP - VAE invitación simposio SEN-SER - Nefro</v>
      </c>
      <c r="E2279" s="10" t="str">
        <f>HYPERLINK("https://otsuka-europe-crm.veevavault.com/ui/#object/sent_email__v/VBL00000002O379", "SE-001431843")</f>
        <v>SE-001431843</v>
      </c>
      <c r="F2279" s="11"/>
      <c r="G2279" s="12">
        <v>0</v>
      </c>
      <c r="H2279" s="12">
        <v>0</v>
      </c>
      <c r="I2279" s="12">
        <v>0</v>
      </c>
      <c r="J2279" s="11"/>
      <c r="K2279" s="12">
        <v>0</v>
      </c>
      <c r="L2279" s="10" t="str">
        <f>HYPERLINK("https://otsuka-europe-crm.veevavault.com/ui/#object/approved_document__v/V5O00000001H022", "LUP - VAE invitación simposio SEN-SER - Nefro")</f>
        <v>LUP - VAE invitación simposio SEN-SER - Nefro</v>
      </c>
      <c r="M2279" s="10" t="str">
        <f>HYPERLINK("mailto:cmaroto@crm.otsuka-europe.com", "cmaroto@crm.otsuka-europe.com")</f>
        <v>cmaroto@crm.otsuka-europe.com</v>
      </c>
      <c r="N2279" s="13">
        <v>46175.58090277778</v>
      </c>
      <c r="O2279" s="14" t="str">
        <f>HYPERLINK("https://otsuka-europe-crm.veevavault.com/ui/#object/email_activity__v/V8C00000003L891", "EN-002087792")</f>
        <v>EN-002087792</v>
      </c>
    </row>
    <row r="2280" spans="1:15" ht="16" x14ac:dyDescent="0.2">
      <c r="A2280" s="17" t="str">
        <f>HYPERLINK("https://otsuka-europe-crm.veevavault.com/ui/#object/account__v/V4TZ06G6O71T7H6", "JOSE CARLOS DE LA FLOR MERINO")</f>
        <v>JOSE CARLOS DE LA FLOR MERINO</v>
      </c>
      <c r="B2280" s="17" t="str">
        <f>HYPERLINK("https://otsuka-europe-crm.veevavault.com/ui/#object/vcountry__v/VENZ000004SONF5", "ES")</f>
        <v>ES</v>
      </c>
      <c r="C2280" s="20" t="s">
        <v>41</v>
      </c>
      <c r="D2280" s="21" t="str">
        <f>HYPERLINK("https://otsuka-europe-crm.veevavault.com/ui/#object/approved_document__v/V5O00000001H022", "LUP - VAE invitación simposio SEN-SER - Nefro")</f>
        <v>LUP - VAE invitación simposio SEN-SER - Nefro</v>
      </c>
      <c r="E2280" s="22" t="str">
        <f>HYPERLINK("https://otsuka-europe-crm.veevavault.com/ui/#object/sent_email__v/VBL00000002O380", "SE-001431844")</f>
        <v>SE-001431844</v>
      </c>
      <c r="F2280" s="25"/>
      <c r="G2280" s="24">
        <v>0</v>
      </c>
      <c r="H2280" s="24">
        <v>0</v>
      </c>
      <c r="I2280" s="24">
        <v>0</v>
      </c>
      <c r="J2280" s="25"/>
      <c r="K2280" s="24">
        <v>0</v>
      </c>
      <c r="L2280" s="22" t="str">
        <f>HYPERLINK("https://otsuka-europe-crm.veevavault.com/ui/#object/approved_document__v/V5O00000001H022", "LUP - VAE invitación simposio SEN-SER - Nefro")</f>
        <v>LUP - VAE invitación simposio SEN-SER - Nefro</v>
      </c>
      <c r="M2280" s="22" t="str">
        <f>HYPERLINK("mailto:cmaroto@crm.otsuka-europe.com", "cmaroto@crm.otsuka-europe.com")</f>
        <v>cmaroto@crm.otsuka-europe.com</v>
      </c>
      <c r="N2280" s="23">
        <v>46175.58090277778</v>
      </c>
      <c r="O2280" s="14" t="str">
        <f>HYPERLINK("https://otsuka-europe-crm.veevavault.com/ui/#object/email_activity__v/V8C00000003L900", "EN-002087806")</f>
        <v>EN-002087806</v>
      </c>
    </row>
    <row r="2281" spans="1:15" ht="16" x14ac:dyDescent="0.2">
      <c r="A2281" s="19"/>
      <c r="B2281" s="19"/>
      <c r="C2281" s="19"/>
      <c r="D2281" s="19"/>
      <c r="E2281" s="19"/>
      <c r="F2281" s="19"/>
      <c r="G2281" s="19"/>
      <c r="H2281" s="19"/>
      <c r="I2281" s="19"/>
      <c r="J2281" s="19"/>
      <c r="K2281" s="19"/>
      <c r="L2281" s="19"/>
      <c r="M2281" s="19"/>
      <c r="N2281" s="19"/>
      <c r="O2281" s="14" t="str">
        <f>HYPERLINK("https://otsuka-europe-crm.veevavault.com/ui/#object/email_activity__v/V8C00000003L961", "EN-002087906")</f>
        <v>EN-002087906</v>
      </c>
    </row>
    <row r="2282" spans="1:15" ht="32" x14ac:dyDescent="0.2">
      <c r="A2282" s="7" t="str">
        <f>HYPERLINK("https://otsuka-europe-crm.veevavault.com/ui/#object/account__v/V4TZ06G6O71T7D0", "IVAN GILBERTO ARENAS MONCALEANO")</f>
        <v>IVAN GILBERTO ARENAS MONCALEANO</v>
      </c>
      <c r="B2282" s="7" t="str">
        <f>HYPERLINK("https://otsuka-europe-crm.veevavault.com/ui/#object/vcountry__v/VENZ000004SONF5", "ES")</f>
        <v>ES</v>
      </c>
      <c r="C2282" s="8" t="s">
        <v>41</v>
      </c>
      <c r="D2282" s="9" t="str">
        <f>HYPERLINK("https://otsuka-europe-crm.veevavault.com/ui/#object/approved_document__v/V5O00000001H022", "LUP - VAE invitación simposio SEN-SER - Nefro")</f>
        <v>LUP - VAE invitación simposio SEN-SER - Nefro</v>
      </c>
      <c r="E2282" s="10" t="str">
        <f>HYPERLINK("https://otsuka-europe-crm.veevavault.com/ui/#object/sent_email__v/VBL00000002O381", "SE-001431845")</f>
        <v>SE-001431845</v>
      </c>
      <c r="F2282" s="11"/>
      <c r="G2282" s="12">
        <v>0</v>
      </c>
      <c r="H2282" s="12">
        <v>0</v>
      </c>
      <c r="I2282" s="12">
        <v>0</v>
      </c>
      <c r="J2282" s="11"/>
      <c r="K2282" s="12">
        <v>0</v>
      </c>
      <c r="L2282" s="10" t="str">
        <f>HYPERLINK("https://otsuka-europe-crm.veevavault.com/ui/#object/approved_document__v/V5O00000001H022", "LUP - VAE invitación simposio SEN-SER - Nefro")</f>
        <v>LUP - VAE invitación simposio SEN-SER - Nefro</v>
      </c>
      <c r="M2282" s="10" t="str">
        <f>HYPERLINK("mailto:cmaroto@crm.otsuka-europe.com", "cmaroto@crm.otsuka-europe.com")</f>
        <v>cmaroto@crm.otsuka-europe.com</v>
      </c>
      <c r="N2282" s="13">
        <v>46175.58090277778</v>
      </c>
      <c r="O2282" s="14" t="str">
        <f>HYPERLINK("https://otsuka-europe-crm.veevavault.com/ui/#object/email_activity__v/V8C00000003L892", "EN-002087798")</f>
        <v>EN-002087798</v>
      </c>
    </row>
    <row r="2283" spans="1:15" ht="16" x14ac:dyDescent="0.2">
      <c r="A2283" s="17" t="str">
        <f>HYPERLINK("https://otsuka-europe-crm.veevavault.com/ui/#object/account__v/V4TZ00000634BIP", "OLIVIER MORIN")</f>
        <v>OLIVIER MORIN</v>
      </c>
      <c r="B2283" s="17" t="str">
        <f>HYPERLINK("https://otsuka-europe-crm.veevavault.com/ui/#object/vcountry__v/VENZ000004SONFA", "FR")</f>
        <v>FR</v>
      </c>
      <c r="C2283" s="20" t="s">
        <v>42</v>
      </c>
      <c r="D2283" s="21" t="str">
        <f>HYPERLINK("https://otsuka-europe-crm.veevavault.com/ui/#object/approved_document__v/V5OZ04ASG4G02Y7", "REMERCIEMENTS_VAD_2023")</f>
        <v>REMERCIEMENTS_VAD_2023</v>
      </c>
      <c r="E2283" s="22" t="str">
        <f>HYPERLINK("https://otsuka-europe-crm.veevavault.com/ui/#object/sent_email__v/VBL00000002N630", "SE-001431846")</f>
        <v>SE-001431846</v>
      </c>
      <c r="F2283" s="23">
        <v>46175.724120370367</v>
      </c>
      <c r="G2283" s="24">
        <v>1</v>
      </c>
      <c r="H2283" s="24">
        <v>3</v>
      </c>
      <c r="I2283" s="24">
        <v>0</v>
      </c>
      <c r="J2283" s="25"/>
      <c r="K2283" s="24">
        <v>0</v>
      </c>
      <c r="L2283" s="22" t="str">
        <f>HYPERLINK("https://otsuka-europe-crm.veevavault.com/ui/#object/approved_document__v/V5OZ04ASG4G02Y7", "REMERCIEMENTS_VAD_2023")</f>
        <v>REMERCIEMENTS_VAD_2023</v>
      </c>
      <c r="M2283" s="22" t="str">
        <f>HYPERLINK("mailto:gloriod@crm.otsuka-europe.com", "gloriod@crm.otsuka-europe.com")</f>
        <v>gloriod@crm.otsuka-europe.com</v>
      </c>
      <c r="N2283" s="23">
        <v>46175.617118055554</v>
      </c>
      <c r="O2283" s="14" t="str">
        <f>HYPERLINK("https://otsuka-europe-crm.veevavault.com/ui/#object/email_activity__v/V8C00000003M029", "EN-002087887")</f>
        <v>EN-002087887</v>
      </c>
    </row>
    <row r="2284" spans="1:15" ht="16" x14ac:dyDescent="0.2">
      <c r="A2284" s="18"/>
      <c r="B2284" s="18"/>
      <c r="C2284" s="18"/>
      <c r="D2284" s="18"/>
      <c r="E2284" s="18"/>
      <c r="F2284" s="18"/>
      <c r="G2284" s="18"/>
      <c r="H2284" s="18"/>
      <c r="I2284" s="18"/>
      <c r="J2284" s="18"/>
      <c r="K2284" s="18"/>
      <c r="L2284" s="18"/>
      <c r="M2284" s="18"/>
      <c r="N2284" s="18"/>
      <c r="O2284" s="14" t="str">
        <f>HYPERLINK("https://otsuka-europe-crm.veevavault.com/ui/#object/email_activity__v/V8C00000003M115", "EN-002088044")</f>
        <v>EN-002088044</v>
      </c>
    </row>
    <row r="2285" spans="1:15" ht="16" x14ac:dyDescent="0.2">
      <c r="A2285" s="18"/>
      <c r="B2285" s="18"/>
      <c r="C2285" s="18"/>
      <c r="D2285" s="18"/>
      <c r="E2285" s="18"/>
      <c r="F2285" s="18"/>
      <c r="G2285" s="18"/>
      <c r="H2285" s="18"/>
      <c r="I2285" s="18"/>
      <c r="J2285" s="18"/>
      <c r="K2285" s="18"/>
      <c r="L2285" s="18"/>
      <c r="M2285" s="18"/>
      <c r="N2285" s="18"/>
      <c r="O2285" s="14" t="str">
        <f>HYPERLINK("https://otsuka-europe-crm.veevavault.com/ui/#object/email_activity__v/V8C00000003M117", "EN-002088046")</f>
        <v>EN-002088046</v>
      </c>
    </row>
    <row r="2286" spans="1:15" ht="16" x14ac:dyDescent="0.2">
      <c r="A2286" s="19"/>
      <c r="B2286" s="19"/>
      <c r="C2286" s="19"/>
      <c r="D2286" s="19"/>
      <c r="E2286" s="19"/>
      <c r="F2286" s="19"/>
      <c r="G2286" s="19"/>
      <c r="H2286" s="19"/>
      <c r="I2286" s="19"/>
      <c r="J2286" s="19"/>
      <c r="K2286" s="19"/>
      <c r="L2286" s="19"/>
      <c r="M2286" s="19"/>
      <c r="N2286" s="19"/>
      <c r="O2286" s="14" t="str">
        <f>HYPERLINK("https://otsuka-europe-crm.veevavault.com/ui/#object/email_activity__v/V8C00000003M118", "EN-002088047")</f>
        <v>EN-002088047</v>
      </c>
    </row>
    <row r="2287" spans="1:15" ht="32" x14ac:dyDescent="0.2">
      <c r="A2287" s="7" t="str">
        <f>HYPERLINK("https://otsuka-europe-crm.veevavault.com/ui/#object/account__v/V4T000000013127", "CECILE TROMPEAUX")</f>
        <v>CECILE TROMPEAUX</v>
      </c>
      <c r="B2287" s="7" t="str">
        <f>HYPERLINK("https://otsuka-europe-crm.veevavault.com/ui/#object/vcountry__v/VENZ000004SONFA", "FR")</f>
        <v>FR</v>
      </c>
      <c r="C2287" s="8" t="s">
        <v>42</v>
      </c>
      <c r="D2287" s="9" t="str">
        <f>HYPERLINK("https://otsuka-europe-crm.veevavault.com/ui/#object/approved_document__v/V5O00000000K003", "France - Opt In Email Aug 25 v2")</f>
        <v>France - Opt In Email Aug 25 v2</v>
      </c>
      <c r="E2287" s="10" t="str">
        <f>HYPERLINK("https://otsuka-europe-crm.veevavault.com/ui/#object/sent_email__v/VBL00000002O382", "SE-001431847")</f>
        <v>SE-001431847</v>
      </c>
      <c r="F2287" s="11"/>
      <c r="G2287" s="12">
        <v>0</v>
      </c>
      <c r="H2287" s="12">
        <v>0</v>
      </c>
      <c r="I2287" s="12">
        <v>0</v>
      </c>
      <c r="J2287" s="11"/>
      <c r="K2287" s="12">
        <v>0</v>
      </c>
      <c r="L2287" s="10" t="str">
        <f>HYPERLINK("https://otsuka-europe-crm.veevavault.com/ui/#object/approved_document__v/V5O00000000K003", "France - Opt In Email Aug 25 v2")</f>
        <v>France - Opt In Email Aug 25 v2</v>
      </c>
      <c r="M2287" s="10" t="str">
        <f>HYPERLINK("mailto:sblancheland@crm.otsuka-europe.com", "sblancheland@crm.otsuka-europe.com")</f>
        <v>sblancheland@crm.otsuka-europe.com</v>
      </c>
      <c r="N2287" s="13">
        <v>46175.686863425923</v>
      </c>
      <c r="O2287" s="14" t="str">
        <f>HYPERLINK("https://otsuka-europe-crm.veevavault.com/ui/#object/email_activity__v/V8C00000003N009", "EN-002087999")</f>
        <v>EN-002087999</v>
      </c>
    </row>
    <row r="2288" spans="1:15" ht="16" x14ac:dyDescent="0.2">
      <c r="A2288" s="17" t="str">
        <f>HYPERLINK("https://otsuka-europe-crm.veevavault.com/ui/#object/account__v/V4T000000013127", "CECILE TROMPEAUX")</f>
        <v>CECILE TROMPEAUX</v>
      </c>
      <c r="B2288" s="17" t="str">
        <f>HYPERLINK("https://otsuka-europe-crm.veevavault.com/ui/#object/vcountry__v/VENZ000004SONFA", "FR")</f>
        <v>FR</v>
      </c>
      <c r="C2288" s="20" t="s">
        <v>42</v>
      </c>
      <c r="D2288" s="21" t="str">
        <f>HYPERLINK("https://otsuka-europe-crm.veevavault.com/ui/#object/approved_document__v/V5O00000000K003", "France - Opt In Email Aug 25 v2")</f>
        <v>France - Opt In Email Aug 25 v2</v>
      </c>
      <c r="E2288" s="22" t="str">
        <f>HYPERLINK("https://otsuka-europe-crm.veevavault.com/ui/#object/sent_email__v/VBL00000002O383", "SE-001431848")</f>
        <v>SE-001431848</v>
      </c>
      <c r="F2288" s="23">
        <v>46175.892025462963</v>
      </c>
      <c r="G2288" s="24">
        <v>1</v>
      </c>
      <c r="H2288" s="24">
        <v>1</v>
      </c>
      <c r="I2288" s="24">
        <v>0</v>
      </c>
      <c r="J2288" s="25"/>
      <c r="K2288" s="24">
        <v>0</v>
      </c>
      <c r="L2288" s="22" t="str">
        <f>HYPERLINK("https://otsuka-europe-crm.veevavault.com/ui/#object/approved_document__v/V5O00000000K003", "France - Opt In Email Aug 25 v2")</f>
        <v>France - Opt In Email Aug 25 v2</v>
      </c>
      <c r="M2288" s="22" t="str">
        <f>HYPERLINK("mailto:sblancheland@crm.otsuka-europe.com", "sblancheland@crm.otsuka-europe.com")</f>
        <v>sblancheland@crm.otsuka-europe.com</v>
      </c>
      <c r="N2288" s="23">
        <v>46175.687256944446</v>
      </c>
      <c r="O2288" s="14" t="str">
        <f>HYPERLINK("https://otsuka-europe-crm.veevavault.com/ui/#object/email_activity__v/V8C00000003N010", "EN-002088000")</f>
        <v>EN-002088000</v>
      </c>
    </row>
    <row r="2289" spans="1:15" ht="16" x14ac:dyDescent="0.2">
      <c r="A2289" s="19"/>
      <c r="B2289" s="19"/>
      <c r="C2289" s="19"/>
      <c r="D2289" s="19"/>
      <c r="E2289" s="19"/>
      <c r="F2289" s="19"/>
      <c r="G2289" s="19"/>
      <c r="H2289" s="19"/>
      <c r="I2289" s="19"/>
      <c r="J2289" s="19"/>
      <c r="K2289" s="19"/>
      <c r="L2289" s="19"/>
      <c r="M2289" s="19"/>
      <c r="N2289" s="19"/>
      <c r="O2289" s="14" t="str">
        <f>HYPERLINK("https://otsuka-europe-crm.veevavault.com/ui/#object/email_activity__v/V8C00000003N291", "EN-002088437")</f>
        <v>EN-002088437</v>
      </c>
    </row>
    <row r="2290" spans="1:15" ht="16" x14ac:dyDescent="0.2">
      <c r="A2290" s="17" t="str">
        <f>HYPERLINK("https://otsuka-europe-crm.veevavault.com/ui/#object/account__v/V4TZ06G6O71TC3Y", "VERONICA RUIZ GARCIA")</f>
        <v>VERONICA RUIZ GARCIA</v>
      </c>
      <c r="B2290" s="17" t="str">
        <f>HYPERLINK("https://otsuka-europe-crm.veevavault.com/ui/#object/vcountry__v/VENZ000004SONF5", "ES")</f>
        <v>ES</v>
      </c>
      <c r="C2290" s="20" t="s">
        <v>41</v>
      </c>
      <c r="D2290" s="21" t="str">
        <f>HYPERLINK("https://otsuka-europe-crm.veevavault.com/ui/#object/approved_document__v/V5O00000001A037", "LUP - VAE Póster Adelphi - Nefro")</f>
        <v>LUP - VAE Póster Adelphi - Nefro</v>
      </c>
      <c r="E2290" s="22" t="str">
        <f>HYPERLINK("https://otsuka-europe-crm.veevavault.com/ui/#object/sent_email__v/VBL00000002N631", "SE-001431849")</f>
        <v>SE-001431849</v>
      </c>
      <c r="F2290" s="23">
        <v>46179.591053240743</v>
      </c>
      <c r="G2290" s="24">
        <v>1</v>
      </c>
      <c r="H2290" s="24">
        <v>1</v>
      </c>
      <c r="I2290" s="24">
        <v>1</v>
      </c>
      <c r="J2290" s="23">
        <v>46179.591134259259</v>
      </c>
      <c r="K2290" s="24">
        <v>1</v>
      </c>
      <c r="L2290" s="22" t="str">
        <f>HYPERLINK("https://otsuka-europe-crm.veevavault.com/ui/#object/approved_document__v/V5O00000001A037", "LUP - VAE Póster Adelphi - Nefro")</f>
        <v>LUP - VAE Póster Adelphi - Nefro</v>
      </c>
      <c r="M2290" s="22" t="str">
        <f>HYPERLINK("mailto:ccoll@crm.otsuka-europe.com", "ccoll@crm.otsuka-europe.com")</f>
        <v>ccoll@crm.otsuka-europe.com</v>
      </c>
      <c r="N2290" s="23">
        <v>46175.77915509259</v>
      </c>
      <c r="O2290" s="14" t="str">
        <f>HYPERLINK("https://otsuka-europe-crm.veevavault.com/ui/#object/email_activity__v/V8C00000003M158", "EN-002088325")</f>
        <v>EN-002088325</v>
      </c>
    </row>
    <row r="2291" spans="1:15" ht="16" x14ac:dyDescent="0.2">
      <c r="A2291" s="18"/>
      <c r="B2291" s="18"/>
      <c r="C2291" s="18"/>
      <c r="D2291" s="18"/>
      <c r="E2291" s="18"/>
      <c r="F2291" s="18"/>
      <c r="G2291" s="18"/>
      <c r="H2291" s="18"/>
      <c r="I2291" s="18"/>
      <c r="J2291" s="18"/>
      <c r="K2291" s="18"/>
      <c r="L2291" s="18"/>
      <c r="M2291" s="18"/>
      <c r="N2291" s="18"/>
      <c r="O2291" s="14" t="str">
        <f>HYPERLINK("https://otsuka-europe-crm.veevavault.com/ui/#object/email_activity__v/V8C00000003N125", "EN-002088169")</f>
        <v>EN-002088169</v>
      </c>
    </row>
    <row r="2292" spans="1:15" ht="16" x14ac:dyDescent="0.2">
      <c r="A2292" s="18"/>
      <c r="B2292" s="18"/>
      <c r="C2292" s="18"/>
      <c r="D2292" s="18"/>
      <c r="E2292" s="18"/>
      <c r="F2292" s="18"/>
      <c r="G2292" s="18"/>
      <c r="H2292" s="18"/>
      <c r="I2292" s="18"/>
      <c r="J2292" s="18"/>
      <c r="K2292" s="18"/>
      <c r="L2292" s="18"/>
      <c r="M2292" s="18"/>
      <c r="N2292" s="18"/>
      <c r="O2292" s="14" t="str">
        <f>HYPERLINK("https://otsuka-europe-crm.veevavault.com/ui/#object/email_activity__v/V8C00000003O086", "EN-002089424")</f>
        <v>EN-002089424</v>
      </c>
    </row>
    <row r="2293" spans="1:15" ht="16" x14ac:dyDescent="0.2">
      <c r="A2293" s="18"/>
      <c r="B2293" s="18"/>
      <c r="C2293" s="18"/>
      <c r="D2293" s="18"/>
      <c r="E2293" s="18"/>
      <c r="F2293" s="18"/>
      <c r="G2293" s="18"/>
      <c r="H2293" s="18"/>
      <c r="I2293" s="18"/>
      <c r="J2293" s="18"/>
      <c r="K2293" s="18"/>
      <c r="L2293" s="18"/>
      <c r="M2293" s="18"/>
      <c r="N2293" s="18"/>
      <c r="O2293" s="14" t="str">
        <f>HYPERLINK("https://otsuka-europe-crm.veevavault.com/ui/#object/email_activity__v/V8C00000003O087", "EN-002089425")</f>
        <v>EN-002089425</v>
      </c>
    </row>
    <row r="2294" spans="1:15" ht="16" x14ac:dyDescent="0.2">
      <c r="A2294" s="18"/>
      <c r="B2294" s="18"/>
      <c r="C2294" s="18"/>
      <c r="D2294" s="18"/>
      <c r="E2294" s="18"/>
      <c r="F2294" s="18"/>
      <c r="G2294" s="18"/>
      <c r="H2294" s="18"/>
      <c r="I2294" s="18"/>
      <c r="J2294" s="18"/>
      <c r="K2294" s="18"/>
      <c r="L2294" s="18"/>
      <c r="M2294" s="18"/>
      <c r="N2294" s="18"/>
      <c r="O2294" s="14" t="str">
        <f>HYPERLINK("https://otsuka-europe-crm.veevavault.com/ui/#object/email_activity__v/V8C00000003O088", "EN-002089426")</f>
        <v>EN-002089426</v>
      </c>
    </row>
    <row r="2295" spans="1:15" ht="16" x14ac:dyDescent="0.2">
      <c r="A2295" s="18"/>
      <c r="B2295" s="18"/>
      <c r="C2295" s="18"/>
      <c r="D2295" s="18"/>
      <c r="E2295" s="18"/>
      <c r="F2295" s="18"/>
      <c r="G2295" s="18"/>
      <c r="H2295" s="18"/>
      <c r="I2295" s="18"/>
      <c r="J2295" s="18"/>
      <c r="K2295" s="18"/>
      <c r="L2295" s="18"/>
      <c r="M2295" s="18"/>
      <c r="N2295" s="18"/>
      <c r="O2295" s="14" t="str">
        <f>HYPERLINK("https://otsuka-europe-crm.veevavault.com/ui/#object/email_activity__v/V8C00000003O089", "EN-002089427")</f>
        <v>EN-002089427</v>
      </c>
    </row>
    <row r="2296" spans="1:15" ht="16" x14ac:dyDescent="0.2">
      <c r="A2296" s="19"/>
      <c r="B2296" s="19"/>
      <c r="C2296" s="19"/>
      <c r="D2296" s="19"/>
      <c r="E2296" s="19"/>
      <c r="F2296" s="19"/>
      <c r="G2296" s="19"/>
      <c r="H2296" s="19"/>
      <c r="I2296" s="19"/>
      <c r="J2296" s="19"/>
      <c r="K2296" s="19"/>
      <c r="L2296" s="19"/>
      <c r="M2296" s="19"/>
      <c r="N2296" s="19"/>
      <c r="O2296" s="14" t="str">
        <f>HYPERLINK("https://otsuka-europe-crm.veevavault.com/ui/#object/email_activity__v/V8C00000003O101", "EN-002089455")</f>
        <v>EN-002089455</v>
      </c>
    </row>
    <row r="2297" spans="1:15" ht="32" x14ac:dyDescent="0.2">
      <c r="A2297" s="7" t="str">
        <f>HYPERLINK("https://otsuka-europe-crm.veevavault.com/ui/#object/account__v/V4TZ04ASGBX7LP5", "MERCEDES MONTANER PIZA")</f>
        <v>MERCEDES MONTANER PIZA</v>
      </c>
      <c r="B2297" s="7" t="str">
        <f>HYPERLINK("https://otsuka-europe-crm.veevavault.com/ui/#object/vcountry__v/VENZ000004SONF5", "ES")</f>
        <v>ES</v>
      </c>
      <c r="C2297" s="8" t="s">
        <v>41</v>
      </c>
      <c r="D2297" s="9" t="str">
        <f>HYPERLINK("https://otsuka-europe-crm.veevavault.com/ui/#object/approved_document__v/V5O00000001A037", "LUP - VAE Póster Adelphi - Nefro")</f>
        <v>LUP - VAE Póster Adelphi - Nefro</v>
      </c>
      <c r="E2297" s="10" t="str">
        <f>HYPERLINK("https://otsuka-europe-crm.veevavault.com/ui/#object/sent_email__v/VBL00000002N632", "SE-001431850")</f>
        <v>SE-001431850</v>
      </c>
      <c r="F2297" s="11"/>
      <c r="G2297" s="12">
        <v>0</v>
      </c>
      <c r="H2297" s="12">
        <v>0</v>
      </c>
      <c r="I2297" s="12">
        <v>0</v>
      </c>
      <c r="J2297" s="11"/>
      <c r="K2297" s="12">
        <v>0</v>
      </c>
      <c r="L2297" s="10" t="str">
        <f>HYPERLINK("https://otsuka-europe-crm.veevavault.com/ui/#object/approved_document__v/V5O00000001A037", "LUP - VAE Póster Adelphi - Nefro")</f>
        <v>LUP - VAE Póster Adelphi - Nefro</v>
      </c>
      <c r="M2297" s="10" t="str">
        <f>HYPERLINK("mailto:ccoll@crm.otsuka-europe.com", "ccoll@crm.otsuka-europe.com")</f>
        <v>ccoll@crm.otsuka-europe.com</v>
      </c>
      <c r="N2297" s="13">
        <v>46175.77915509259</v>
      </c>
      <c r="O2297" s="14" t="str">
        <f>HYPERLINK("https://otsuka-europe-crm.veevavault.com/ui/#object/email_activity__v/V8C00000003N040", "EN-002088088")</f>
        <v>EN-002088088</v>
      </c>
    </row>
    <row r="2298" spans="1:15" ht="32" x14ac:dyDescent="0.2">
      <c r="A2298" s="7" t="str">
        <f>HYPERLINK("https://otsuka-europe-crm.veevavault.com/ui/#object/account__v/V4TZ025E82A5RFW", "CRISTINA AMOROS ROBLES")</f>
        <v>CRISTINA AMOROS ROBLES</v>
      </c>
      <c r="B2298" s="7" t="str">
        <f>HYPERLINK("https://otsuka-europe-crm.veevavault.com/ui/#object/vcountry__v/VENZ000004SONF5", "ES")</f>
        <v>ES</v>
      </c>
      <c r="C2298" s="8" t="s">
        <v>41</v>
      </c>
      <c r="D2298" s="9" t="str">
        <f>HYPERLINK("https://otsuka-europe-crm.veevavault.com/ui/#object/approved_document__v/V5O00000001A037", "LUP - VAE Póster Adelphi - Nefro")</f>
        <v>LUP - VAE Póster Adelphi - Nefro</v>
      </c>
      <c r="E2298" s="10" t="str">
        <f>HYPERLINK("https://otsuka-europe-crm.veevavault.com/ui/#object/sent_email__v/VBL00000002N633", "SE-001431851")</f>
        <v>SE-001431851</v>
      </c>
      <c r="F2298" s="11"/>
      <c r="G2298" s="12">
        <v>0</v>
      </c>
      <c r="H2298" s="12">
        <v>0</v>
      </c>
      <c r="I2298" s="12">
        <v>0</v>
      </c>
      <c r="J2298" s="11"/>
      <c r="K2298" s="12">
        <v>0</v>
      </c>
      <c r="L2298" s="10" t="str">
        <f>HYPERLINK("https://otsuka-europe-crm.veevavault.com/ui/#object/approved_document__v/V5O00000001A037", "LUP - VAE Póster Adelphi - Nefro")</f>
        <v>LUP - VAE Póster Adelphi - Nefro</v>
      </c>
      <c r="M2298" s="10" t="str">
        <f>HYPERLINK("mailto:ccoll@crm.otsuka-europe.com", "ccoll@crm.otsuka-europe.com")</f>
        <v>ccoll@crm.otsuka-europe.com</v>
      </c>
      <c r="N2298" s="13">
        <v>46175.77915509259</v>
      </c>
      <c r="O2298" s="14" t="str">
        <f>HYPERLINK("https://otsuka-europe-crm.veevavault.com/ui/#object/email_activity__v/V8C00000003N119", "EN-002088163")</f>
        <v>EN-002088163</v>
      </c>
    </row>
    <row r="2299" spans="1:15" ht="32" x14ac:dyDescent="0.2">
      <c r="A2299" s="7" t="str">
        <f>HYPERLINK("https://otsuka-europe-crm.veevavault.com/ui/#object/account__v/V4TZ06G6O71T84M", "LOURDES ROCA ARGENTE")</f>
        <v>LOURDES ROCA ARGENTE</v>
      </c>
      <c r="B2299" s="7" t="str">
        <f>HYPERLINK("https://otsuka-europe-crm.veevavault.com/ui/#object/vcountry__v/VENZ000004SONF5", "ES")</f>
        <v>ES</v>
      </c>
      <c r="C2299" s="8" t="s">
        <v>41</v>
      </c>
      <c r="D2299" s="9" t="str">
        <f>HYPERLINK("https://otsuka-europe-crm.veevavault.com/ui/#object/approved_document__v/V5O00000001A037", "LUP - VAE Póster Adelphi - Nefro")</f>
        <v>LUP - VAE Póster Adelphi - Nefro</v>
      </c>
      <c r="E2299" s="10" t="str">
        <f>HYPERLINK("https://otsuka-europe-crm.veevavault.com/ui/#object/sent_email__v/VBL00000002N634", "SE-001431852")</f>
        <v>SE-001431852</v>
      </c>
      <c r="F2299" s="11"/>
      <c r="G2299" s="12">
        <v>0</v>
      </c>
      <c r="H2299" s="12">
        <v>0</v>
      </c>
      <c r="I2299" s="12">
        <v>0</v>
      </c>
      <c r="J2299" s="11"/>
      <c r="K2299" s="12">
        <v>0</v>
      </c>
      <c r="L2299" s="10" t="str">
        <f>HYPERLINK("https://otsuka-europe-crm.veevavault.com/ui/#object/approved_document__v/V5O00000001A037", "LUP - VAE Póster Adelphi - Nefro")</f>
        <v>LUP - VAE Póster Adelphi - Nefro</v>
      </c>
      <c r="M2299" s="10" t="str">
        <f>HYPERLINK("mailto:ccoll@crm.otsuka-europe.com", "ccoll@crm.otsuka-europe.com")</f>
        <v>ccoll@crm.otsuka-europe.com</v>
      </c>
      <c r="N2299" s="13">
        <v>46175.77915509259</v>
      </c>
      <c r="O2299" s="14" t="str">
        <f>HYPERLINK("https://otsuka-europe-crm.veevavault.com/ui/#object/email_activity__v/V8C00000003N145", "EN-002088189")</f>
        <v>EN-002088189</v>
      </c>
    </row>
    <row r="2300" spans="1:15" ht="16" x14ac:dyDescent="0.2">
      <c r="A2300" s="17" t="str">
        <f>HYPERLINK("https://otsuka-europe-crm.veevavault.com/ui/#object/account__v/V4TZ06G6O71T8B0", "SANTIAGO MARIÑO LOPEZ")</f>
        <v>SANTIAGO MARIÑO LOPEZ</v>
      </c>
      <c r="B2300" s="17" t="str">
        <f>HYPERLINK("https://otsuka-europe-crm.veevavault.com/ui/#object/vcountry__v/VENZ000004SONF5", "ES")</f>
        <v>ES</v>
      </c>
      <c r="C2300" s="20" t="s">
        <v>41</v>
      </c>
      <c r="D2300" s="21" t="str">
        <f>HYPERLINK("https://otsuka-europe-crm.veevavault.com/ui/#object/approved_document__v/V5O00000001A037", "LUP - VAE Póster Adelphi - Nefro")</f>
        <v>LUP - VAE Póster Adelphi - Nefro</v>
      </c>
      <c r="E2300" s="22" t="str">
        <f>HYPERLINK("https://otsuka-europe-crm.veevavault.com/ui/#object/sent_email__v/VBL00000002N635", "SE-001431853")</f>
        <v>SE-001431853</v>
      </c>
      <c r="F2300" s="25"/>
      <c r="G2300" s="24">
        <v>0</v>
      </c>
      <c r="H2300" s="24">
        <v>0</v>
      </c>
      <c r="I2300" s="24">
        <v>0</v>
      </c>
      <c r="J2300" s="25"/>
      <c r="K2300" s="24">
        <v>0</v>
      </c>
      <c r="L2300" s="22" t="str">
        <f>HYPERLINK("https://otsuka-europe-crm.veevavault.com/ui/#object/approved_document__v/V5O00000001A037", "LUP - VAE Póster Adelphi - Nefro")</f>
        <v>LUP - VAE Póster Adelphi - Nefro</v>
      </c>
      <c r="M2300" s="22" t="str">
        <f>HYPERLINK("mailto:ccoll@crm.otsuka-europe.com", "ccoll@crm.otsuka-europe.com")</f>
        <v>ccoll@crm.otsuka-europe.com</v>
      </c>
      <c r="N2300" s="23">
        <v>46175.77915509259</v>
      </c>
      <c r="O2300" s="14" t="str">
        <f>HYPERLINK("https://otsuka-europe-crm.veevavault.com/ui/#object/email_activity__v/V8C00000003N055", "EN-002088099")</f>
        <v>EN-002088099</v>
      </c>
    </row>
    <row r="2301" spans="1:15" ht="16" x14ac:dyDescent="0.2">
      <c r="A2301" s="18"/>
      <c r="B2301" s="18"/>
      <c r="C2301" s="18"/>
      <c r="D2301" s="18"/>
      <c r="E2301" s="18"/>
      <c r="F2301" s="18"/>
      <c r="G2301" s="18"/>
      <c r="H2301" s="18"/>
      <c r="I2301" s="18"/>
      <c r="J2301" s="18"/>
      <c r="K2301" s="18"/>
      <c r="L2301" s="18"/>
      <c r="M2301" s="18"/>
      <c r="N2301" s="18"/>
      <c r="O2301" s="14" t="str">
        <f>HYPERLINK("https://otsuka-europe-crm.veevavault.com/ui/#object/email_activity__v/V8C00000003N308", "EN-002088470")</f>
        <v>EN-002088470</v>
      </c>
    </row>
    <row r="2302" spans="1:15" ht="16" x14ac:dyDescent="0.2">
      <c r="A2302" s="19"/>
      <c r="B2302" s="19"/>
      <c r="C2302" s="19"/>
      <c r="D2302" s="19"/>
      <c r="E2302" s="19"/>
      <c r="F2302" s="19"/>
      <c r="G2302" s="19"/>
      <c r="H2302" s="19"/>
      <c r="I2302" s="19"/>
      <c r="J2302" s="19"/>
      <c r="K2302" s="19"/>
      <c r="L2302" s="19"/>
      <c r="M2302" s="19"/>
      <c r="N2302" s="19"/>
      <c r="O2302" s="14" t="str">
        <f>HYPERLINK("https://otsuka-europe-crm.veevavault.com/ui/#object/email_activity__v/V8C00000003R923", "EN-002093471")</f>
        <v>EN-002093471</v>
      </c>
    </row>
    <row r="2303" spans="1:15" ht="16" x14ac:dyDescent="0.2">
      <c r="A2303" s="17" t="str">
        <f>HYPERLINK("https://otsuka-europe-crm.veevavault.com/ui/#object/account__v/V4TZ06G6O71T9FF", "JORDI CALLS GINESTA")</f>
        <v>JORDI CALLS GINESTA</v>
      </c>
      <c r="B2303" s="17" t="str">
        <f>HYPERLINK("https://otsuka-europe-crm.veevavault.com/ui/#object/vcountry__v/VENZ000004SONF5", "ES")</f>
        <v>ES</v>
      </c>
      <c r="C2303" s="20" t="s">
        <v>41</v>
      </c>
      <c r="D2303" s="21" t="str">
        <f>HYPERLINK("https://otsuka-europe-crm.veevavault.com/ui/#object/approved_document__v/V5O00000001A037", "LUP - VAE Póster Adelphi - Nefro")</f>
        <v>LUP - VAE Póster Adelphi - Nefro</v>
      </c>
      <c r="E2303" s="22" t="str">
        <f>HYPERLINK("https://otsuka-europe-crm.veevavault.com/ui/#object/sent_email__v/VBL00000002N636", "SE-001431854")</f>
        <v>SE-001431854</v>
      </c>
      <c r="F2303" s="25"/>
      <c r="G2303" s="24">
        <v>0</v>
      </c>
      <c r="H2303" s="24">
        <v>0</v>
      </c>
      <c r="I2303" s="24">
        <v>0</v>
      </c>
      <c r="J2303" s="25"/>
      <c r="K2303" s="24">
        <v>0</v>
      </c>
      <c r="L2303" s="22" t="str">
        <f>HYPERLINK("https://otsuka-europe-crm.veevavault.com/ui/#object/approved_document__v/V5O00000001A037", "LUP - VAE Póster Adelphi - Nefro")</f>
        <v>LUP - VAE Póster Adelphi - Nefro</v>
      </c>
      <c r="M2303" s="22" t="str">
        <f>HYPERLINK("mailto:ccoll@crm.otsuka-europe.com", "ccoll@crm.otsuka-europe.com")</f>
        <v>ccoll@crm.otsuka-europe.com</v>
      </c>
      <c r="N2303" s="23">
        <v>46175.77920138889</v>
      </c>
      <c r="O2303" s="14" t="str">
        <f>HYPERLINK("https://otsuka-europe-crm.veevavault.com/ui/#object/email_activity__v/V8C00000003M396", "EN-002088808")</f>
        <v>EN-002088808</v>
      </c>
    </row>
    <row r="2304" spans="1:15" ht="16" x14ac:dyDescent="0.2">
      <c r="A2304" s="19"/>
      <c r="B2304" s="19"/>
      <c r="C2304" s="19"/>
      <c r="D2304" s="19"/>
      <c r="E2304" s="19"/>
      <c r="F2304" s="19"/>
      <c r="G2304" s="19"/>
      <c r="H2304" s="19"/>
      <c r="I2304" s="19"/>
      <c r="J2304" s="19"/>
      <c r="K2304" s="19"/>
      <c r="L2304" s="19"/>
      <c r="M2304" s="19"/>
      <c r="N2304" s="19"/>
      <c r="O2304" s="14" t="str">
        <f>HYPERLINK("https://otsuka-europe-crm.veevavault.com/ui/#object/email_activity__v/V8C00000003N075", "EN-002088119")</f>
        <v>EN-002088119</v>
      </c>
    </row>
    <row r="2305" spans="1:15" ht="32" x14ac:dyDescent="0.2">
      <c r="A2305" s="7" t="str">
        <f>HYPERLINK("https://otsuka-europe-crm.veevavault.com/ui/#object/account__v/V4TZ025E85BN4PT", "JULIA OLLE GRAU")</f>
        <v>JULIA OLLE GRAU</v>
      </c>
      <c r="B2305" s="7" t="str">
        <f>HYPERLINK("https://otsuka-europe-crm.veevavault.com/ui/#object/vcountry__v/VENZ000004SONF5", "ES")</f>
        <v>ES</v>
      </c>
      <c r="C2305" s="8" t="s">
        <v>41</v>
      </c>
      <c r="D2305" s="9" t="str">
        <f>HYPERLINK("https://otsuka-europe-crm.veevavault.com/ui/#object/approved_document__v/V5O00000001A037", "LUP - VAE Póster Adelphi - Nefro")</f>
        <v>LUP - VAE Póster Adelphi - Nefro</v>
      </c>
      <c r="E2305" s="10" t="str">
        <f>HYPERLINK("https://otsuka-europe-crm.veevavault.com/ui/#object/sent_email__v/VBL00000002N637", "SE-001431855")</f>
        <v>SE-001431855</v>
      </c>
      <c r="F2305" s="11"/>
      <c r="G2305" s="12">
        <v>0</v>
      </c>
      <c r="H2305" s="12">
        <v>0</v>
      </c>
      <c r="I2305" s="12">
        <v>0</v>
      </c>
      <c r="J2305" s="11"/>
      <c r="K2305" s="12">
        <v>0</v>
      </c>
      <c r="L2305" s="10" t="str">
        <f>HYPERLINK("https://otsuka-europe-crm.veevavault.com/ui/#object/approved_document__v/V5O00000001A037", "LUP - VAE Póster Adelphi - Nefro")</f>
        <v>LUP - VAE Póster Adelphi - Nefro</v>
      </c>
      <c r="M2305" s="10" t="str">
        <f>HYPERLINK("mailto:ccoll@crm.otsuka-europe.com", "ccoll@crm.otsuka-europe.com")</f>
        <v>ccoll@crm.otsuka-europe.com</v>
      </c>
      <c r="N2305" s="13">
        <v>46175.779189814813</v>
      </c>
      <c r="O2305" s="14" t="str">
        <f>HYPERLINK("https://otsuka-europe-crm.veevavault.com/ui/#object/email_activity__v/V8C00000003N111", "EN-002088155")</f>
        <v>EN-002088155</v>
      </c>
    </row>
    <row r="2306" spans="1:15" ht="32" x14ac:dyDescent="0.2">
      <c r="A2306" s="7" t="str">
        <f>HYPERLINK("https://otsuka-europe-crm.veevavault.com/ui/#object/account__v/V4TZ04ASGGI40KA", "ONIA FRANQUET CANALS")</f>
        <v>ONIA FRANQUET CANALS</v>
      </c>
      <c r="B2306" s="7" t="str">
        <f>HYPERLINK("https://otsuka-europe-crm.veevavault.com/ui/#object/vcountry__v/VENZ000004SONF5", "ES")</f>
        <v>ES</v>
      </c>
      <c r="C2306" s="8" t="s">
        <v>41</v>
      </c>
      <c r="D2306" s="9" t="str">
        <f>HYPERLINK("https://otsuka-europe-crm.veevavault.com/ui/#object/approved_document__v/V5O00000001A037", "LUP - VAE Póster Adelphi - Nefro")</f>
        <v>LUP - VAE Póster Adelphi - Nefro</v>
      </c>
      <c r="E2306" s="10" t="str">
        <f>HYPERLINK("https://otsuka-europe-crm.veevavault.com/ui/#object/sent_email__v/VBL00000002N638", "SE-001431856")</f>
        <v>SE-001431856</v>
      </c>
      <c r="F2306" s="11"/>
      <c r="G2306" s="12">
        <v>0</v>
      </c>
      <c r="H2306" s="12">
        <v>0</v>
      </c>
      <c r="I2306" s="12">
        <v>0</v>
      </c>
      <c r="J2306" s="11"/>
      <c r="K2306" s="12">
        <v>0</v>
      </c>
      <c r="L2306" s="10" t="str">
        <f>HYPERLINK("https://otsuka-europe-crm.veevavault.com/ui/#object/approved_document__v/V5O00000001A037", "LUP - VAE Póster Adelphi - Nefro")</f>
        <v>LUP - VAE Póster Adelphi - Nefro</v>
      </c>
      <c r="M2306" s="10" t="str">
        <f>HYPERLINK("mailto:ccoll@crm.otsuka-europe.com", "ccoll@crm.otsuka-europe.com")</f>
        <v>ccoll@crm.otsuka-europe.com</v>
      </c>
      <c r="N2306" s="13">
        <v>46175.77915509259</v>
      </c>
      <c r="O2306" s="14" t="str">
        <f>HYPERLINK("https://otsuka-europe-crm.veevavault.com/ui/#object/email_activity__v/V8C00000003N068", "EN-002088112")</f>
        <v>EN-002088112</v>
      </c>
    </row>
    <row r="2307" spans="1:15" ht="16" x14ac:dyDescent="0.2">
      <c r="A2307" s="17" t="str">
        <f>HYPERLINK("https://otsuka-europe-crm.veevavault.com/ui/#object/account__v/V4TZ025E82BHH6P", "ARANZAZU PARDO RUIZ")</f>
        <v>ARANZAZU PARDO RUIZ</v>
      </c>
      <c r="B2307" s="17" t="str">
        <f>HYPERLINK("https://otsuka-europe-crm.veevavault.com/ui/#object/vcountry__v/VENZ000004SONF5", "ES")</f>
        <v>ES</v>
      </c>
      <c r="C2307" s="20" t="s">
        <v>41</v>
      </c>
      <c r="D2307" s="21" t="str">
        <f>HYPERLINK("https://otsuka-europe-crm.veevavault.com/ui/#object/approved_document__v/V5O00000001A037", "LUP - VAE Póster Adelphi - Nefro")</f>
        <v>LUP - VAE Póster Adelphi - Nefro</v>
      </c>
      <c r="E2307" s="22" t="str">
        <f>HYPERLINK("https://otsuka-europe-crm.veevavault.com/ui/#object/sent_email__v/VBL00000002N639", "SE-001431857")</f>
        <v>SE-001431857</v>
      </c>
      <c r="F2307" s="25"/>
      <c r="G2307" s="24">
        <v>0</v>
      </c>
      <c r="H2307" s="24">
        <v>0</v>
      </c>
      <c r="I2307" s="24">
        <v>0</v>
      </c>
      <c r="J2307" s="25"/>
      <c r="K2307" s="24">
        <v>0</v>
      </c>
      <c r="L2307" s="22" t="str">
        <f>HYPERLINK("https://otsuka-europe-crm.veevavault.com/ui/#object/approved_document__v/V5O00000001A037", "LUP - VAE Póster Adelphi - Nefro")</f>
        <v>LUP - VAE Póster Adelphi - Nefro</v>
      </c>
      <c r="M2307" s="22" t="str">
        <f>HYPERLINK("mailto:ccoll@crm.otsuka-europe.com", "ccoll@crm.otsuka-europe.com")</f>
        <v>ccoll@crm.otsuka-europe.com</v>
      </c>
      <c r="N2307" s="23">
        <v>46175.77915509259</v>
      </c>
      <c r="O2307" s="14" t="str">
        <f>HYPERLINK("https://otsuka-europe-crm.veevavault.com/ui/#object/email_activity__v/V8C00000003M153", "EN-002088307")</f>
        <v>EN-002088307</v>
      </c>
    </row>
    <row r="2308" spans="1:15" ht="16" x14ac:dyDescent="0.2">
      <c r="A2308" s="19"/>
      <c r="B2308" s="19"/>
      <c r="C2308" s="19"/>
      <c r="D2308" s="19"/>
      <c r="E2308" s="19"/>
      <c r="F2308" s="19"/>
      <c r="G2308" s="19"/>
      <c r="H2308" s="19"/>
      <c r="I2308" s="19"/>
      <c r="J2308" s="19"/>
      <c r="K2308" s="19"/>
      <c r="L2308" s="19"/>
      <c r="M2308" s="19"/>
      <c r="N2308" s="19"/>
      <c r="O2308" s="14" t="str">
        <f>HYPERLINK("https://otsuka-europe-crm.veevavault.com/ui/#object/email_activity__v/V8C00000003N168", "EN-002088212")</f>
        <v>EN-002088212</v>
      </c>
    </row>
    <row r="2309" spans="1:15" ht="32" x14ac:dyDescent="0.2">
      <c r="A2309" s="7" t="str">
        <f>HYPERLINK("https://otsuka-europe-crm.veevavault.com/ui/#object/account__v/V4TZ04ASGGI1WPE", "LAURA MARCELA MORANTES HERNANDEZ")</f>
        <v>LAURA MARCELA MORANTES HERNANDEZ</v>
      </c>
      <c r="B2309" s="7" t="str">
        <f>HYPERLINK("https://otsuka-europe-crm.veevavault.com/ui/#object/vcountry__v/VENZ000004SONF5", "ES")</f>
        <v>ES</v>
      </c>
      <c r="C2309" s="8" t="s">
        <v>41</v>
      </c>
      <c r="D2309" s="9" t="str">
        <f>HYPERLINK("https://otsuka-europe-crm.veevavault.com/ui/#object/approved_document__v/V5O00000001A037", "LUP - VAE Póster Adelphi - Nefro")</f>
        <v>LUP - VAE Póster Adelphi - Nefro</v>
      </c>
      <c r="E2309" s="10" t="str">
        <f>HYPERLINK("https://otsuka-europe-crm.veevavault.com/ui/#object/sent_email__v/VBL00000002N641", "SE-001431859")</f>
        <v>SE-001431859</v>
      </c>
      <c r="F2309" s="11"/>
      <c r="G2309" s="12">
        <v>0</v>
      </c>
      <c r="H2309" s="12">
        <v>0</v>
      </c>
      <c r="I2309" s="12">
        <v>0</v>
      </c>
      <c r="J2309" s="11"/>
      <c r="K2309" s="12">
        <v>0</v>
      </c>
      <c r="L2309" s="10" t="str">
        <f>HYPERLINK("https://otsuka-europe-crm.veevavault.com/ui/#object/approved_document__v/V5O00000001A037", "LUP - VAE Póster Adelphi - Nefro")</f>
        <v>LUP - VAE Póster Adelphi - Nefro</v>
      </c>
      <c r="M2309" s="10" t="str">
        <f>HYPERLINK("mailto:ccoll@crm.otsuka-europe.com", "ccoll@crm.otsuka-europe.com")</f>
        <v>ccoll@crm.otsuka-europe.com</v>
      </c>
      <c r="N2309" s="13">
        <v>46175.77915509259</v>
      </c>
      <c r="O2309" s="14" t="str">
        <f>HYPERLINK("https://otsuka-europe-crm.veevavault.com/ui/#object/email_activity__v/V8C00000003N041", "EN-002088089")</f>
        <v>EN-002088089</v>
      </c>
    </row>
    <row r="2310" spans="1:15" ht="32" x14ac:dyDescent="0.2">
      <c r="A2310" s="7" t="str">
        <f>HYPERLINK("https://otsuka-europe-crm.veevavault.com/ui/#object/account__v/V4TZ06G6O71TC73", "LAIA SANS ATXER")</f>
        <v>LAIA SANS ATXER</v>
      </c>
      <c r="B2310" s="7" t="str">
        <f>HYPERLINK("https://otsuka-europe-crm.veevavault.com/ui/#object/vcountry__v/VENZ000004SONF5", "ES")</f>
        <v>ES</v>
      </c>
      <c r="C2310" s="8" t="s">
        <v>41</v>
      </c>
      <c r="D2310" s="9" t="str">
        <f>HYPERLINK("https://otsuka-europe-crm.veevavault.com/ui/#object/approved_document__v/V5O00000001A037", "LUP - VAE Póster Adelphi - Nefro")</f>
        <v>LUP - VAE Póster Adelphi - Nefro</v>
      </c>
      <c r="E2310" s="10" t="str">
        <f>HYPERLINK("https://otsuka-europe-crm.veevavault.com/ui/#object/sent_email__v/VBL00000002N642", "SE-001431860")</f>
        <v>SE-001431860</v>
      </c>
      <c r="F2310" s="11"/>
      <c r="G2310" s="12">
        <v>0</v>
      </c>
      <c r="H2310" s="12">
        <v>0</v>
      </c>
      <c r="I2310" s="12">
        <v>0</v>
      </c>
      <c r="J2310" s="11"/>
      <c r="K2310" s="12">
        <v>0</v>
      </c>
      <c r="L2310" s="10" t="str">
        <f>HYPERLINK("https://otsuka-europe-crm.veevavault.com/ui/#object/approved_document__v/V5O00000001A037", "LUP - VAE Póster Adelphi - Nefro")</f>
        <v>LUP - VAE Póster Adelphi - Nefro</v>
      </c>
      <c r="M2310" s="10" t="str">
        <f>HYPERLINK("mailto:ccoll@crm.otsuka-europe.com", "ccoll@crm.otsuka-europe.com")</f>
        <v>ccoll@crm.otsuka-europe.com</v>
      </c>
      <c r="N2310" s="13">
        <v>46175.779178240744</v>
      </c>
      <c r="O2310" s="14" t="str">
        <f>HYPERLINK("https://otsuka-europe-crm.veevavault.com/ui/#object/email_activity__v/V8C00000003N089", "EN-002088133")</f>
        <v>EN-002088133</v>
      </c>
    </row>
    <row r="2311" spans="1:15" ht="16" x14ac:dyDescent="0.2">
      <c r="A2311" s="17" t="str">
        <f>HYPERLINK("https://otsuka-europe-crm.veevavault.com/ui/#object/account__v/V4TZ06G6O852UOG", "LUIS FERNANDO QUINTANA PORRAS")</f>
        <v>LUIS FERNANDO QUINTANA PORRAS</v>
      </c>
      <c r="B2311" s="17" t="str">
        <f>HYPERLINK("https://otsuka-europe-crm.veevavault.com/ui/#object/vcountry__v/VENZ000004SONF5", "ES")</f>
        <v>ES</v>
      </c>
      <c r="C2311" s="20" t="s">
        <v>41</v>
      </c>
      <c r="D2311" s="21" t="str">
        <f>HYPERLINK("https://otsuka-europe-crm.veevavault.com/ui/#object/approved_document__v/V5O00000001A037", "LUP - VAE Póster Adelphi - Nefro")</f>
        <v>LUP - VAE Póster Adelphi - Nefro</v>
      </c>
      <c r="E2311" s="22" t="str">
        <f>HYPERLINK("https://otsuka-europe-crm.veevavault.com/ui/#object/sent_email__v/VBL00000002N643", "SE-001431861")</f>
        <v>SE-001431861</v>
      </c>
      <c r="F2311" s="23">
        <v>46175.860081018516</v>
      </c>
      <c r="G2311" s="24">
        <v>1</v>
      </c>
      <c r="H2311" s="24">
        <v>2</v>
      </c>
      <c r="I2311" s="24">
        <v>0</v>
      </c>
      <c r="J2311" s="25"/>
      <c r="K2311" s="24">
        <v>0</v>
      </c>
      <c r="L2311" s="22" t="str">
        <f>HYPERLINK("https://otsuka-europe-crm.veevavault.com/ui/#object/approved_document__v/V5O00000001A037", "LUP - VAE Póster Adelphi - Nefro")</f>
        <v>LUP - VAE Póster Adelphi - Nefro</v>
      </c>
      <c r="M2311" s="22" t="str">
        <f>HYPERLINK("mailto:ccoll@crm.otsuka-europe.com", "ccoll@crm.otsuka-europe.com")</f>
        <v>ccoll@crm.otsuka-europe.com</v>
      </c>
      <c r="N2311" s="23">
        <v>46175.77915509259</v>
      </c>
      <c r="O2311" s="14" t="str">
        <f>HYPERLINK("https://otsuka-europe-crm.veevavault.com/ui/#object/email_activity__v/V8C00000003M220", "EN-002088405")</f>
        <v>EN-002088405</v>
      </c>
    </row>
    <row r="2312" spans="1:15" ht="16" x14ac:dyDescent="0.2">
      <c r="A2312" s="18"/>
      <c r="B2312" s="18"/>
      <c r="C2312" s="18"/>
      <c r="D2312" s="18"/>
      <c r="E2312" s="18"/>
      <c r="F2312" s="18"/>
      <c r="G2312" s="18"/>
      <c r="H2312" s="18"/>
      <c r="I2312" s="18"/>
      <c r="J2312" s="18"/>
      <c r="K2312" s="18"/>
      <c r="L2312" s="18"/>
      <c r="M2312" s="18"/>
      <c r="N2312" s="18"/>
      <c r="O2312" s="14" t="str">
        <f>HYPERLINK("https://otsuka-europe-crm.veevavault.com/ui/#object/email_activity__v/V8C00000003M221", "EN-002088406")</f>
        <v>EN-002088406</v>
      </c>
    </row>
    <row r="2313" spans="1:15" ht="16" x14ac:dyDescent="0.2">
      <c r="A2313" s="19"/>
      <c r="B2313" s="19"/>
      <c r="C2313" s="19"/>
      <c r="D2313" s="19"/>
      <c r="E2313" s="19"/>
      <c r="F2313" s="19"/>
      <c r="G2313" s="19"/>
      <c r="H2313" s="19"/>
      <c r="I2313" s="19"/>
      <c r="J2313" s="19"/>
      <c r="K2313" s="19"/>
      <c r="L2313" s="19"/>
      <c r="M2313" s="19"/>
      <c r="N2313" s="19"/>
      <c r="O2313" s="14" t="str">
        <f>HYPERLINK("https://otsuka-europe-crm.veevavault.com/ui/#object/email_activity__v/V8C00000003N165", "EN-002088209")</f>
        <v>EN-002088209</v>
      </c>
    </row>
    <row r="2314" spans="1:15" ht="32" x14ac:dyDescent="0.2">
      <c r="A2314" s="7" t="str">
        <f>HYPERLINK("https://otsuka-europe-crm.veevavault.com/ui/#object/account__v/V4TZ06G6O71T8FL", "ALICIA MOLINA ANDUJAR")</f>
        <v>ALICIA MOLINA ANDUJAR</v>
      </c>
      <c r="B2314" s="7" t="str">
        <f>HYPERLINK("https://otsuka-europe-crm.veevavault.com/ui/#object/vcountry__v/VENZ000004SONF5", "ES")</f>
        <v>ES</v>
      </c>
      <c r="C2314" s="8" t="s">
        <v>41</v>
      </c>
      <c r="D2314" s="9" t="str">
        <f>HYPERLINK("https://otsuka-europe-crm.veevavault.com/ui/#object/approved_document__v/V5O00000001A037", "LUP - VAE Póster Adelphi - Nefro")</f>
        <v>LUP - VAE Póster Adelphi - Nefro</v>
      </c>
      <c r="E2314" s="10" t="str">
        <f>HYPERLINK("https://otsuka-europe-crm.veevavault.com/ui/#object/sent_email__v/VBL00000002N644", "SE-001431862")</f>
        <v>SE-001431862</v>
      </c>
      <c r="F2314" s="11"/>
      <c r="G2314" s="12">
        <v>0</v>
      </c>
      <c r="H2314" s="12">
        <v>0</v>
      </c>
      <c r="I2314" s="12">
        <v>0</v>
      </c>
      <c r="J2314" s="11"/>
      <c r="K2314" s="12">
        <v>0</v>
      </c>
      <c r="L2314" s="10" t="str">
        <f>HYPERLINK("https://otsuka-europe-crm.veevavault.com/ui/#object/approved_document__v/V5O00000001A037", "LUP - VAE Póster Adelphi - Nefro")</f>
        <v>LUP - VAE Póster Adelphi - Nefro</v>
      </c>
      <c r="M2314" s="10" t="str">
        <f>HYPERLINK("mailto:ccoll@crm.otsuka-europe.com", "ccoll@crm.otsuka-europe.com")</f>
        <v>ccoll@crm.otsuka-europe.com</v>
      </c>
      <c r="N2314" s="13">
        <v>46175.77915509259</v>
      </c>
      <c r="O2314" s="14" t="str">
        <f>HYPERLINK("https://otsuka-europe-crm.veevavault.com/ui/#object/email_activity__v/V8C00000003N133", "EN-002088177")</f>
        <v>EN-002088177</v>
      </c>
    </row>
    <row r="2315" spans="1:15" ht="16" x14ac:dyDescent="0.2">
      <c r="A2315" s="17" t="str">
        <f>HYPERLINK("https://otsuka-europe-crm.veevavault.com/ui/#object/account__v/V4TZ06G6O71T86D", "MARC XIPELL FONT")</f>
        <v>MARC XIPELL FONT</v>
      </c>
      <c r="B2315" s="17" t="str">
        <f>HYPERLINK("https://otsuka-europe-crm.veevavault.com/ui/#object/vcountry__v/VENZ000004SONF5", "ES")</f>
        <v>ES</v>
      </c>
      <c r="C2315" s="20" t="s">
        <v>41</v>
      </c>
      <c r="D2315" s="21" t="str">
        <f>HYPERLINK("https://otsuka-europe-crm.veevavault.com/ui/#object/approved_document__v/V5O00000001A037", "LUP - VAE Póster Adelphi - Nefro")</f>
        <v>LUP - VAE Póster Adelphi - Nefro</v>
      </c>
      <c r="E2315" s="22" t="str">
        <f>HYPERLINK("https://otsuka-europe-crm.veevavault.com/ui/#object/sent_email__v/VBL00000002N645", "SE-001431863")</f>
        <v>SE-001431863</v>
      </c>
      <c r="F2315" s="23">
        <v>46176.808981481481</v>
      </c>
      <c r="G2315" s="24">
        <v>1</v>
      </c>
      <c r="H2315" s="24">
        <v>5</v>
      </c>
      <c r="I2315" s="24">
        <v>1</v>
      </c>
      <c r="J2315" s="23">
        <v>46176.808993055558</v>
      </c>
      <c r="K2315" s="24">
        <v>3</v>
      </c>
      <c r="L2315" s="22" t="str">
        <f>HYPERLINK("https://otsuka-europe-crm.veevavault.com/ui/#object/approved_document__v/V5O00000001A037", "LUP - VAE Póster Adelphi - Nefro")</f>
        <v>LUP - VAE Póster Adelphi - Nefro</v>
      </c>
      <c r="M2315" s="22" t="str">
        <f>HYPERLINK("mailto:ccoll@crm.otsuka-europe.com", "ccoll@crm.otsuka-europe.com")</f>
        <v>ccoll@crm.otsuka-europe.com</v>
      </c>
      <c r="N2315" s="23">
        <v>46175.77915509259</v>
      </c>
      <c r="O2315" s="14" t="str">
        <f>HYPERLINK("https://otsuka-europe-crm.veevavault.com/ui/#object/email_activity__v/V8C00000003M161", "EN-002088329")</f>
        <v>EN-002088329</v>
      </c>
    </row>
    <row r="2316" spans="1:15" ht="16" x14ac:dyDescent="0.2">
      <c r="A2316" s="18"/>
      <c r="B2316" s="18"/>
      <c r="C2316" s="18"/>
      <c r="D2316" s="18"/>
      <c r="E2316" s="18"/>
      <c r="F2316" s="18"/>
      <c r="G2316" s="18"/>
      <c r="H2316" s="18"/>
      <c r="I2316" s="18"/>
      <c r="J2316" s="18"/>
      <c r="K2316" s="18"/>
      <c r="L2316" s="18"/>
      <c r="M2316" s="18"/>
      <c r="N2316" s="18"/>
      <c r="O2316" s="14" t="str">
        <f>HYPERLINK("https://otsuka-europe-crm.veevavault.com/ui/#object/email_activity__v/V8C00000003M162", "EN-002088331")</f>
        <v>EN-002088331</v>
      </c>
    </row>
    <row r="2317" spans="1:15" ht="16" x14ac:dyDescent="0.2">
      <c r="A2317" s="18"/>
      <c r="B2317" s="18"/>
      <c r="C2317" s="18"/>
      <c r="D2317" s="18"/>
      <c r="E2317" s="18"/>
      <c r="F2317" s="18"/>
      <c r="G2317" s="18"/>
      <c r="H2317" s="18"/>
      <c r="I2317" s="18"/>
      <c r="J2317" s="18"/>
      <c r="K2317" s="18"/>
      <c r="L2317" s="18"/>
      <c r="M2317" s="18"/>
      <c r="N2317" s="18"/>
      <c r="O2317" s="14" t="str">
        <f>HYPERLINK("https://otsuka-europe-crm.veevavault.com/ui/#object/email_activity__v/V8C00000003M198", "EN-002088379")</f>
        <v>EN-002088379</v>
      </c>
    </row>
    <row r="2318" spans="1:15" ht="16" x14ac:dyDescent="0.2">
      <c r="A2318" s="18"/>
      <c r="B2318" s="18"/>
      <c r="C2318" s="18"/>
      <c r="D2318" s="18"/>
      <c r="E2318" s="18"/>
      <c r="F2318" s="18"/>
      <c r="G2318" s="18"/>
      <c r="H2318" s="18"/>
      <c r="I2318" s="18"/>
      <c r="J2318" s="18"/>
      <c r="K2318" s="18"/>
      <c r="L2318" s="18"/>
      <c r="M2318" s="18"/>
      <c r="N2318" s="18"/>
      <c r="O2318" s="14" t="str">
        <f>HYPERLINK("https://otsuka-europe-crm.veevavault.com/ui/#object/email_activity__v/V8C00000003M202", "EN-002088383")</f>
        <v>EN-002088383</v>
      </c>
    </row>
    <row r="2319" spans="1:15" ht="16" x14ac:dyDescent="0.2">
      <c r="A2319" s="18"/>
      <c r="B2319" s="18"/>
      <c r="C2319" s="18"/>
      <c r="D2319" s="18"/>
      <c r="E2319" s="18"/>
      <c r="F2319" s="18"/>
      <c r="G2319" s="18"/>
      <c r="H2319" s="18"/>
      <c r="I2319" s="18"/>
      <c r="J2319" s="18"/>
      <c r="K2319" s="18"/>
      <c r="L2319" s="18"/>
      <c r="M2319" s="18"/>
      <c r="N2319" s="18"/>
      <c r="O2319" s="14" t="str">
        <f>HYPERLINK("https://otsuka-europe-crm.veevavault.com/ui/#object/email_activity__v/V8C00000003M206", "EN-002088387")</f>
        <v>EN-002088387</v>
      </c>
    </row>
    <row r="2320" spans="1:15" ht="16" x14ac:dyDescent="0.2">
      <c r="A2320" s="18"/>
      <c r="B2320" s="18"/>
      <c r="C2320" s="18"/>
      <c r="D2320" s="18"/>
      <c r="E2320" s="18"/>
      <c r="F2320" s="18"/>
      <c r="G2320" s="18"/>
      <c r="H2320" s="18"/>
      <c r="I2320" s="18"/>
      <c r="J2320" s="18"/>
      <c r="K2320" s="18"/>
      <c r="L2320" s="18"/>
      <c r="M2320" s="18"/>
      <c r="N2320" s="18"/>
      <c r="O2320" s="14" t="str">
        <f>HYPERLINK("https://otsuka-europe-crm.veevavault.com/ui/#object/email_activity__v/V8C00000003M208", "EN-002088389")</f>
        <v>EN-002088389</v>
      </c>
    </row>
    <row r="2321" spans="1:15" ht="16" x14ac:dyDescent="0.2">
      <c r="A2321" s="18"/>
      <c r="B2321" s="18"/>
      <c r="C2321" s="18"/>
      <c r="D2321" s="18"/>
      <c r="E2321" s="18"/>
      <c r="F2321" s="18"/>
      <c r="G2321" s="18"/>
      <c r="H2321" s="18"/>
      <c r="I2321" s="18"/>
      <c r="J2321" s="18"/>
      <c r="K2321" s="18"/>
      <c r="L2321" s="18"/>
      <c r="M2321" s="18"/>
      <c r="N2321" s="18"/>
      <c r="O2321" s="14" t="str">
        <f>HYPERLINK("https://otsuka-europe-crm.veevavault.com/ui/#object/email_activity__v/V8C00000003M209", "EN-002088390")</f>
        <v>EN-002088390</v>
      </c>
    </row>
    <row r="2322" spans="1:15" ht="16" x14ac:dyDescent="0.2">
      <c r="A2322" s="18"/>
      <c r="B2322" s="18"/>
      <c r="C2322" s="18"/>
      <c r="D2322" s="18"/>
      <c r="E2322" s="18"/>
      <c r="F2322" s="18"/>
      <c r="G2322" s="18"/>
      <c r="H2322" s="18"/>
      <c r="I2322" s="18"/>
      <c r="J2322" s="18"/>
      <c r="K2322" s="18"/>
      <c r="L2322" s="18"/>
      <c r="M2322" s="18"/>
      <c r="N2322" s="18"/>
      <c r="O2322" s="14" t="str">
        <f>HYPERLINK("https://otsuka-europe-crm.veevavault.com/ui/#object/email_activity__v/V8C00000003M328", "EN-002088636")</f>
        <v>EN-002088636</v>
      </c>
    </row>
    <row r="2323" spans="1:15" ht="16" x14ac:dyDescent="0.2">
      <c r="A2323" s="18"/>
      <c r="B2323" s="18"/>
      <c r="C2323" s="18"/>
      <c r="D2323" s="18"/>
      <c r="E2323" s="18"/>
      <c r="F2323" s="18"/>
      <c r="G2323" s="18"/>
      <c r="H2323" s="18"/>
      <c r="I2323" s="18"/>
      <c r="J2323" s="18"/>
      <c r="K2323" s="18"/>
      <c r="L2323" s="18"/>
      <c r="M2323" s="18"/>
      <c r="N2323" s="18"/>
      <c r="O2323" s="14" t="str">
        <f>HYPERLINK("https://otsuka-europe-crm.veevavault.com/ui/#object/email_activity__v/V8C00000003M330", "EN-002088639")</f>
        <v>EN-002088639</v>
      </c>
    </row>
    <row r="2324" spans="1:15" ht="16" x14ac:dyDescent="0.2">
      <c r="A2324" s="18"/>
      <c r="B2324" s="18"/>
      <c r="C2324" s="18"/>
      <c r="D2324" s="18"/>
      <c r="E2324" s="18"/>
      <c r="F2324" s="18"/>
      <c r="G2324" s="18"/>
      <c r="H2324" s="18"/>
      <c r="I2324" s="18"/>
      <c r="J2324" s="18"/>
      <c r="K2324" s="18"/>
      <c r="L2324" s="18"/>
      <c r="M2324" s="18"/>
      <c r="N2324" s="18"/>
      <c r="O2324" s="14" t="str">
        <f>HYPERLINK("https://otsuka-europe-crm.veevavault.com/ui/#object/email_activity__v/V8C00000003M399", "EN-002088820")</f>
        <v>EN-002088820</v>
      </c>
    </row>
    <row r="2325" spans="1:15" ht="16" x14ac:dyDescent="0.2">
      <c r="A2325" s="18"/>
      <c r="B2325" s="18"/>
      <c r="C2325" s="18"/>
      <c r="D2325" s="18"/>
      <c r="E2325" s="18"/>
      <c r="F2325" s="18"/>
      <c r="G2325" s="18"/>
      <c r="H2325" s="18"/>
      <c r="I2325" s="18"/>
      <c r="J2325" s="18"/>
      <c r="K2325" s="18"/>
      <c r="L2325" s="18"/>
      <c r="M2325" s="18"/>
      <c r="N2325" s="18"/>
      <c r="O2325" s="14" t="str">
        <f>HYPERLINK("https://otsuka-europe-crm.veevavault.com/ui/#object/email_activity__v/V8C00000003N135", "EN-002088179")</f>
        <v>EN-002088179</v>
      </c>
    </row>
    <row r="2326" spans="1:15" ht="16" x14ac:dyDescent="0.2">
      <c r="A2326" s="18"/>
      <c r="B2326" s="18"/>
      <c r="C2326" s="18"/>
      <c r="D2326" s="18"/>
      <c r="E2326" s="18"/>
      <c r="F2326" s="18"/>
      <c r="G2326" s="18"/>
      <c r="H2326" s="18"/>
      <c r="I2326" s="18"/>
      <c r="J2326" s="18"/>
      <c r="K2326" s="18"/>
      <c r="L2326" s="18"/>
      <c r="M2326" s="18"/>
      <c r="N2326" s="18"/>
      <c r="O2326" s="14" t="str">
        <f>HYPERLINK("https://otsuka-europe-crm.veevavault.com/ui/#object/email_activity__v/V8C00000003N260", "EN-002088333")</f>
        <v>EN-002088333</v>
      </c>
    </row>
    <row r="2327" spans="1:15" ht="16" x14ac:dyDescent="0.2">
      <c r="A2327" s="18"/>
      <c r="B2327" s="18"/>
      <c r="C2327" s="18"/>
      <c r="D2327" s="18"/>
      <c r="E2327" s="18"/>
      <c r="F2327" s="18"/>
      <c r="G2327" s="18"/>
      <c r="H2327" s="18"/>
      <c r="I2327" s="18"/>
      <c r="J2327" s="18"/>
      <c r="K2327" s="18"/>
      <c r="L2327" s="18"/>
      <c r="M2327" s="18"/>
      <c r="N2327" s="18"/>
      <c r="O2327" s="14" t="str">
        <f>HYPERLINK("https://otsuka-europe-crm.veevavault.com/ui/#object/email_activity__v/V8C00000003N263", "EN-002088339")</f>
        <v>EN-002088339</v>
      </c>
    </row>
    <row r="2328" spans="1:15" ht="16" x14ac:dyDescent="0.2">
      <c r="A2328" s="18"/>
      <c r="B2328" s="18"/>
      <c r="C2328" s="18"/>
      <c r="D2328" s="18"/>
      <c r="E2328" s="18"/>
      <c r="F2328" s="18"/>
      <c r="G2328" s="18"/>
      <c r="H2328" s="18"/>
      <c r="I2328" s="18"/>
      <c r="J2328" s="18"/>
      <c r="K2328" s="18"/>
      <c r="L2328" s="18"/>
      <c r="M2328" s="18"/>
      <c r="N2328" s="18"/>
      <c r="O2328" s="14" t="str">
        <f>HYPERLINK("https://otsuka-europe-crm.veevavault.com/ui/#object/email_activity__v/V8C00000003N518", "EN-002088821")</f>
        <v>EN-002088821</v>
      </c>
    </row>
    <row r="2329" spans="1:15" ht="16" x14ac:dyDescent="0.2">
      <c r="A2329" s="19"/>
      <c r="B2329" s="19"/>
      <c r="C2329" s="19"/>
      <c r="D2329" s="19"/>
      <c r="E2329" s="19"/>
      <c r="F2329" s="19"/>
      <c r="G2329" s="19"/>
      <c r="H2329" s="19"/>
      <c r="I2329" s="19"/>
      <c r="J2329" s="19"/>
      <c r="K2329" s="19"/>
      <c r="L2329" s="19"/>
      <c r="M2329" s="19"/>
      <c r="N2329" s="19"/>
      <c r="O2329" s="14" t="str">
        <f>HYPERLINK("https://otsuka-europe-crm.veevavault.com/ui/#object/email_activity__v/V8C00000003N525", "EN-002088829")</f>
        <v>EN-002088829</v>
      </c>
    </row>
    <row r="2330" spans="1:15" ht="32" x14ac:dyDescent="0.2">
      <c r="A2330" s="7" t="str">
        <f>HYPERLINK("https://otsuka-europe-crm.veevavault.com/ui/#object/account__v/V4TZ04ASGB4NJ3Q", "ANA CECILIA FARFAN RUIZ")</f>
        <v>ANA CECILIA FARFAN RUIZ</v>
      </c>
      <c r="B2330" s="7" t="str">
        <f>HYPERLINK("https://otsuka-europe-crm.veevavault.com/ui/#object/vcountry__v/VENZ000004SONF5", "ES")</f>
        <v>ES</v>
      </c>
      <c r="C2330" s="8" t="s">
        <v>41</v>
      </c>
      <c r="D2330" s="9" t="str">
        <f>HYPERLINK("https://otsuka-europe-crm.veevavault.com/ui/#object/approved_document__v/V5O00000001A037", "LUP - VAE Póster Adelphi - Nefro")</f>
        <v>LUP - VAE Póster Adelphi - Nefro</v>
      </c>
      <c r="E2330" s="10" t="str">
        <f>HYPERLINK("https://otsuka-europe-crm.veevavault.com/ui/#object/sent_email__v/VBL00000002N646", "SE-001431864")</f>
        <v>SE-001431864</v>
      </c>
      <c r="F2330" s="11"/>
      <c r="G2330" s="12">
        <v>0</v>
      </c>
      <c r="H2330" s="12">
        <v>0</v>
      </c>
      <c r="I2330" s="12">
        <v>0</v>
      </c>
      <c r="J2330" s="11"/>
      <c r="K2330" s="12">
        <v>0</v>
      </c>
      <c r="L2330" s="10" t="str">
        <f>HYPERLINK("https://otsuka-europe-crm.veevavault.com/ui/#object/approved_document__v/V5O00000001A037", "LUP - VAE Póster Adelphi - Nefro")</f>
        <v>LUP - VAE Póster Adelphi - Nefro</v>
      </c>
      <c r="M2330" s="10" t="str">
        <f>HYPERLINK("mailto:ccoll@crm.otsuka-europe.com", "ccoll@crm.otsuka-europe.com")</f>
        <v>ccoll@crm.otsuka-europe.com</v>
      </c>
      <c r="N2330" s="13">
        <v>46175.77915509259</v>
      </c>
      <c r="O2330" s="14" t="str">
        <f>HYPERLINK("https://otsuka-europe-crm.veevavault.com/ui/#object/email_activity__v/V8C00000003N116", "EN-002088160")</f>
        <v>EN-002088160</v>
      </c>
    </row>
    <row r="2331" spans="1:15" ht="16" x14ac:dyDescent="0.2">
      <c r="A2331" s="17" t="str">
        <f>HYPERLINK("https://otsuka-europe-crm.veevavault.com/ui/#object/account__v/V4TZ06G6O71TBEJ", "ALBERTO ORTIZ ARDUAN")</f>
        <v>ALBERTO ORTIZ ARDUAN</v>
      </c>
      <c r="B2331" s="17" t="str">
        <f>HYPERLINK("https://otsuka-europe-crm.veevavault.com/ui/#object/vcountry__v/VENZ000004SONF5", "ES")</f>
        <v>ES</v>
      </c>
      <c r="C2331" s="20" t="s">
        <v>41</v>
      </c>
      <c r="D2331" s="21" t="str">
        <f>HYPERLINK("https://otsuka-europe-crm.veevavault.com/ui/#object/approved_document__v/V5O00000001A037", "LUP - VAE Póster Adelphi - Nefro")</f>
        <v>LUP - VAE Póster Adelphi - Nefro</v>
      </c>
      <c r="E2331" s="22" t="str">
        <f>HYPERLINK("https://otsuka-europe-crm.veevavault.com/ui/#object/sent_email__v/VBL00000002N647", "SE-001431865")</f>
        <v>SE-001431865</v>
      </c>
      <c r="F2331" s="23">
        <v>46175.781365740739</v>
      </c>
      <c r="G2331" s="24">
        <v>1</v>
      </c>
      <c r="H2331" s="24">
        <v>1</v>
      </c>
      <c r="I2331" s="24">
        <v>0</v>
      </c>
      <c r="J2331" s="25"/>
      <c r="K2331" s="24">
        <v>0</v>
      </c>
      <c r="L2331" s="22" t="str">
        <f>HYPERLINK("https://otsuka-europe-crm.veevavault.com/ui/#object/approved_document__v/V5O00000001A037", "LUP - VAE Póster Adelphi - Nefro")</f>
        <v>LUP - VAE Póster Adelphi - Nefro</v>
      </c>
      <c r="M2331" s="22" t="str">
        <f>HYPERLINK("mailto:ccoll@crm.otsuka-europe.com", "ccoll@crm.otsuka-europe.com")</f>
        <v>ccoll@crm.otsuka-europe.com</v>
      </c>
      <c r="N2331" s="23">
        <v>46175.77915509259</v>
      </c>
      <c r="O2331" s="14" t="str">
        <f>HYPERLINK("https://otsuka-europe-crm.veevavault.com/ui/#object/email_activity__v/V8C00000003M137", "EN-002088282")</f>
        <v>EN-002088282</v>
      </c>
    </row>
    <row r="2332" spans="1:15" ht="16" x14ac:dyDescent="0.2">
      <c r="A2332" s="19"/>
      <c r="B2332" s="19"/>
      <c r="C2332" s="19"/>
      <c r="D2332" s="19"/>
      <c r="E2332" s="19"/>
      <c r="F2332" s="19"/>
      <c r="G2332" s="19"/>
      <c r="H2332" s="19"/>
      <c r="I2332" s="19"/>
      <c r="J2332" s="19"/>
      <c r="K2332" s="19"/>
      <c r="L2332" s="19"/>
      <c r="M2332" s="19"/>
      <c r="N2332" s="19"/>
      <c r="O2332" s="14" t="str">
        <f>HYPERLINK("https://otsuka-europe-crm.veevavault.com/ui/#object/email_activity__v/V8C00000003N067", "EN-002088111")</f>
        <v>EN-002088111</v>
      </c>
    </row>
    <row r="2333" spans="1:15" ht="32" x14ac:dyDescent="0.2">
      <c r="A2333" s="7" t="str">
        <f>HYPERLINK("https://otsuka-europe-crm.veevavault.com/ui/#object/account__v/V4TZ04ASG9234F7", "SILVIA TORRES CAMPOS")</f>
        <v>SILVIA TORRES CAMPOS</v>
      </c>
      <c r="B2333" s="7" t="str">
        <f>HYPERLINK("https://otsuka-europe-crm.veevavault.com/ui/#object/vcountry__v/VENZ000004SONF5", "ES")</f>
        <v>ES</v>
      </c>
      <c r="C2333" s="8" t="s">
        <v>41</v>
      </c>
      <c r="D2333" s="9" t="str">
        <f>HYPERLINK("https://otsuka-europe-crm.veevavault.com/ui/#object/approved_document__v/V5O00000001A037", "LUP - VAE Póster Adelphi - Nefro")</f>
        <v>LUP - VAE Póster Adelphi - Nefro</v>
      </c>
      <c r="E2333" s="10" t="str">
        <f>HYPERLINK("https://otsuka-europe-crm.veevavault.com/ui/#object/sent_email__v/VBL00000002N648", "SE-001431866")</f>
        <v>SE-001431866</v>
      </c>
      <c r="F2333" s="11"/>
      <c r="G2333" s="12">
        <v>0</v>
      </c>
      <c r="H2333" s="12">
        <v>0</v>
      </c>
      <c r="I2333" s="12">
        <v>0</v>
      </c>
      <c r="J2333" s="11"/>
      <c r="K2333" s="12">
        <v>0</v>
      </c>
      <c r="L2333" s="10" t="str">
        <f>HYPERLINK("https://otsuka-europe-crm.veevavault.com/ui/#object/approved_document__v/V5O00000001A037", "LUP - VAE Póster Adelphi - Nefro")</f>
        <v>LUP - VAE Póster Adelphi - Nefro</v>
      </c>
      <c r="M2333" s="10" t="str">
        <f>HYPERLINK("mailto:ccoll@crm.otsuka-europe.com", "ccoll@crm.otsuka-europe.com")</f>
        <v>ccoll@crm.otsuka-europe.com</v>
      </c>
      <c r="N2333" s="13">
        <v>46175.77915509259</v>
      </c>
      <c r="O2333" s="14" t="str">
        <f>HYPERLINK("https://otsuka-europe-crm.veevavault.com/ui/#object/email_activity__v/V8C00000003N121", "EN-002088165")</f>
        <v>EN-002088165</v>
      </c>
    </row>
    <row r="2334" spans="1:15" ht="16" x14ac:dyDescent="0.2">
      <c r="A2334" s="17" t="str">
        <f>HYPERLINK("https://otsuka-europe-crm.veevavault.com/ui/#object/account__v/V4TZ025E878UPSA", "LUIS DAVID MEZA ANTUNEZ")</f>
        <v>LUIS DAVID MEZA ANTUNEZ</v>
      </c>
      <c r="B2334" s="17" t="str">
        <f>HYPERLINK("https://otsuka-europe-crm.veevavault.com/ui/#object/vcountry__v/VENZ000004SONF5", "ES")</f>
        <v>ES</v>
      </c>
      <c r="C2334" s="20" t="s">
        <v>41</v>
      </c>
      <c r="D2334" s="21" t="str">
        <f>HYPERLINK("https://otsuka-europe-crm.veevavault.com/ui/#object/approved_document__v/V5O00000001A037", "LUP - VAE Póster Adelphi - Nefro")</f>
        <v>LUP - VAE Póster Adelphi - Nefro</v>
      </c>
      <c r="E2334" s="22" t="str">
        <f>HYPERLINK("https://otsuka-europe-crm.veevavault.com/ui/#object/sent_email__v/VBL00000002N649", "SE-001431867")</f>
        <v>SE-001431867</v>
      </c>
      <c r="F2334" s="25"/>
      <c r="G2334" s="24">
        <v>0</v>
      </c>
      <c r="H2334" s="24">
        <v>0</v>
      </c>
      <c r="I2334" s="24">
        <v>1</v>
      </c>
      <c r="J2334" s="23">
        <v>46175.81958333333</v>
      </c>
      <c r="K2334" s="24">
        <v>1</v>
      </c>
      <c r="L2334" s="22" t="str">
        <f>HYPERLINK("https://otsuka-europe-crm.veevavault.com/ui/#object/approved_document__v/V5O00000001A037", "LUP - VAE Póster Adelphi - Nefro")</f>
        <v>LUP - VAE Póster Adelphi - Nefro</v>
      </c>
      <c r="M2334" s="22" t="str">
        <f>HYPERLINK("mailto:ccoll@crm.otsuka-europe.com", "ccoll@crm.otsuka-europe.com")</f>
        <v>ccoll@crm.otsuka-europe.com</v>
      </c>
      <c r="N2334" s="23">
        <v>46175.779178240744</v>
      </c>
      <c r="O2334" s="14" t="str">
        <f>HYPERLINK("https://otsuka-europe-crm.veevavault.com/ui/#object/email_activity__v/V8C00000003M179", "EN-002088352")</f>
        <v>EN-002088352</v>
      </c>
    </row>
    <row r="2335" spans="1:15" ht="16" x14ac:dyDescent="0.2">
      <c r="A2335" s="18"/>
      <c r="B2335" s="18"/>
      <c r="C2335" s="18"/>
      <c r="D2335" s="18"/>
      <c r="E2335" s="18"/>
      <c r="F2335" s="18"/>
      <c r="G2335" s="18"/>
      <c r="H2335" s="18"/>
      <c r="I2335" s="18"/>
      <c r="J2335" s="18"/>
      <c r="K2335" s="18"/>
      <c r="L2335" s="18"/>
      <c r="M2335" s="18"/>
      <c r="N2335" s="18"/>
      <c r="O2335" s="14" t="str">
        <f>HYPERLINK("https://otsuka-europe-crm.veevavault.com/ui/#object/email_activity__v/V8C00000003M188", "EN-002088361")</f>
        <v>EN-002088361</v>
      </c>
    </row>
    <row r="2336" spans="1:15" ht="16" x14ac:dyDescent="0.2">
      <c r="A2336" s="18"/>
      <c r="B2336" s="18"/>
      <c r="C2336" s="18"/>
      <c r="D2336" s="18"/>
      <c r="E2336" s="18"/>
      <c r="F2336" s="18"/>
      <c r="G2336" s="18"/>
      <c r="H2336" s="18"/>
      <c r="I2336" s="18"/>
      <c r="J2336" s="18"/>
      <c r="K2336" s="18"/>
      <c r="L2336" s="18"/>
      <c r="M2336" s="18"/>
      <c r="N2336" s="18"/>
      <c r="O2336" s="14" t="str">
        <f>HYPERLINK("https://otsuka-europe-crm.veevavault.com/ui/#object/email_activity__v/V8C00000003M199", "EN-002088380")</f>
        <v>EN-002088380</v>
      </c>
    </row>
    <row r="2337" spans="1:15" ht="16" x14ac:dyDescent="0.2">
      <c r="A2337" s="18"/>
      <c r="B2337" s="18"/>
      <c r="C2337" s="18"/>
      <c r="D2337" s="18"/>
      <c r="E2337" s="18"/>
      <c r="F2337" s="18"/>
      <c r="G2337" s="18"/>
      <c r="H2337" s="18"/>
      <c r="I2337" s="18"/>
      <c r="J2337" s="18"/>
      <c r="K2337" s="18"/>
      <c r="L2337" s="18"/>
      <c r="M2337" s="18"/>
      <c r="N2337" s="18"/>
      <c r="O2337" s="14" t="str">
        <f>HYPERLINK("https://otsuka-europe-crm.veevavault.com/ui/#object/email_activity__v/V8C00000003M203", "EN-002088384")</f>
        <v>EN-002088384</v>
      </c>
    </row>
    <row r="2338" spans="1:15" ht="16" x14ac:dyDescent="0.2">
      <c r="A2338" s="18"/>
      <c r="B2338" s="18"/>
      <c r="C2338" s="18"/>
      <c r="D2338" s="18"/>
      <c r="E2338" s="18"/>
      <c r="F2338" s="18"/>
      <c r="G2338" s="18"/>
      <c r="H2338" s="18"/>
      <c r="I2338" s="18"/>
      <c r="J2338" s="18"/>
      <c r="K2338" s="18"/>
      <c r="L2338" s="18"/>
      <c r="M2338" s="18"/>
      <c r="N2338" s="18"/>
      <c r="O2338" s="14" t="str">
        <f>HYPERLINK("https://otsuka-europe-crm.veevavault.com/ui/#object/email_activity__v/V8C00000003M204", "EN-002088385")</f>
        <v>EN-002088385</v>
      </c>
    </row>
    <row r="2339" spans="1:15" ht="16" x14ac:dyDescent="0.2">
      <c r="A2339" s="18"/>
      <c r="B2339" s="18"/>
      <c r="C2339" s="18"/>
      <c r="D2339" s="18"/>
      <c r="E2339" s="18"/>
      <c r="F2339" s="18"/>
      <c r="G2339" s="18"/>
      <c r="H2339" s="18"/>
      <c r="I2339" s="18"/>
      <c r="J2339" s="18"/>
      <c r="K2339" s="18"/>
      <c r="L2339" s="18"/>
      <c r="M2339" s="18"/>
      <c r="N2339" s="18"/>
      <c r="O2339" s="14" t="str">
        <f>HYPERLINK("https://otsuka-europe-crm.veevavault.com/ui/#object/email_activity__v/V8C00000003M205", "EN-002088386")</f>
        <v>EN-002088386</v>
      </c>
    </row>
    <row r="2340" spans="1:15" ht="16" x14ac:dyDescent="0.2">
      <c r="A2340" s="19"/>
      <c r="B2340" s="19"/>
      <c r="C2340" s="19"/>
      <c r="D2340" s="19"/>
      <c r="E2340" s="19"/>
      <c r="F2340" s="19"/>
      <c r="G2340" s="19"/>
      <c r="H2340" s="19"/>
      <c r="I2340" s="19"/>
      <c r="J2340" s="19"/>
      <c r="K2340" s="19"/>
      <c r="L2340" s="19"/>
      <c r="M2340" s="19"/>
      <c r="N2340" s="19"/>
      <c r="O2340" s="14" t="str">
        <f>HYPERLINK("https://otsuka-europe-crm.veevavault.com/ui/#object/email_activity__v/V8C00000003N094", "EN-002088138")</f>
        <v>EN-002088138</v>
      </c>
    </row>
    <row r="2341" spans="1:15" ht="32" x14ac:dyDescent="0.2">
      <c r="A2341" s="7" t="str">
        <f>HYPERLINK("https://otsuka-europe-crm.veevavault.com/ui/#object/account__v/V4TZ025E85G7QK9", "KATHERYN ISABEL MEMBREÑO BLANDON")</f>
        <v>KATHERYN ISABEL MEMBREÑO BLANDON</v>
      </c>
      <c r="B2341" s="7" t="str">
        <f>HYPERLINK("https://otsuka-europe-crm.veevavault.com/ui/#object/vcountry__v/VENZ000004SONF5", "ES")</f>
        <v>ES</v>
      </c>
      <c r="C2341" s="8" t="s">
        <v>41</v>
      </c>
      <c r="D2341" s="9" t="str">
        <f>HYPERLINK("https://otsuka-europe-crm.veevavault.com/ui/#object/approved_document__v/V5O00000001A037", "LUP - VAE Póster Adelphi - Nefro")</f>
        <v>LUP - VAE Póster Adelphi - Nefro</v>
      </c>
      <c r="E2341" s="10" t="str">
        <f>HYPERLINK("https://otsuka-europe-crm.veevavault.com/ui/#object/sent_email__v/VBL00000002N650", "SE-001431868")</f>
        <v>SE-001431868</v>
      </c>
      <c r="F2341" s="11"/>
      <c r="G2341" s="12">
        <v>0</v>
      </c>
      <c r="H2341" s="12">
        <v>0</v>
      </c>
      <c r="I2341" s="12">
        <v>0</v>
      </c>
      <c r="J2341" s="11"/>
      <c r="K2341" s="12">
        <v>0</v>
      </c>
      <c r="L2341" s="10" t="str">
        <f>HYPERLINK("https://otsuka-europe-crm.veevavault.com/ui/#object/approved_document__v/V5O00000001A037", "LUP - VAE Póster Adelphi - Nefro")</f>
        <v>LUP - VAE Póster Adelphi - Nefro</v>
      </c>
      <c r="M2341" s="10" t="str">
        <f>HYPERLINK("mailto:ccoll@crm.otsuka-europe.com", "ccoll@crm.otsuka-europe.com")</f>
        <v>ccoll@crm.otsuka-europe.com</v>
      </c>
      <c r="N2341" s="13">
        <v>46175.77915509259</v>
      </c>
      <c r="O2341" s="14" t="str">
        <f>HYPERLINK("https://otsuka-europe-crm.veevavault.com/ui/#object/email_activity__v/V8C00000003N114", "EN-002088158")</f>
        <v>EN-002088158</v>
      </c>
    </row>
    <row r="2342" spans="1:15" ht="16" x14ac:dyDescent="0.2">
      <c r="A2342" s="17" t="str">
        <f>HYPERLINK("https://otsuka-europe-crm.veevavault.com/ui/#object/account__v/V4TZ06G6O71TC45", "JORGE RUIZ CRIADO")</f>
        <v>JORGE RUIZ CRIADO</v>
      </c>
      <c r="B2342" s="17" t="str">
        <f>HYPERLINK("https://otsuka-europe-crm.veevavault.com/ui/#object/vcountry__v/VENZ000004SONF5", "ES")</f>
        <v>ES</v>
      </c>
      <c r="C2342" s="20" t="s">
        <v>41</v>
      </c>
      <c r="D2342" s="21" t="str">
        <f>HYPERLINK("https://otsuka-europe-crm.veevavault.com/ui/#object/approved_document__v/V5O00000001A037", "LUP - VAE Póster Adelphi - Nefro")</f>
        <v>LUP - VAE Póster Adelphi - Nefro</v>
      </c>
      <c r="E2342" s="22" t="str">
        <f>HYPERLINK("https://otsuka-europe-crm.veevavault.com/ui/#object/sent_email__v/VBL00000002N651", "SE-001431869")</f>
        <v>SE-001431869</v>
      </c>
      <c r="F2342" s="25"/>
      <c r="G2342" s="24">
        <v>0</v>
      </c>
      <c r="H2342" s="24">
        <v>0</v>
      </c>
      <c r="I2342" s="24">
        <v>0</v>
      </c>
      <c r="J2342" s="25"/>
      <c r="K2342" s="24">
        <v>0</v>
      </c>
      <c r="L2342" s="22" t="str">
        <f>HYPERLINK("https://otsuka-europe-crm.veevavault.com/ui/#object/approved_document__v/V5O00000001A037", "LUP - VAE Póster Adelphi - Nefro")</f>
        <v>LUP - VAE Póster Adelphi - Nefro</v>
      </c>
      <c r="M2342" s="22" t="str">
        <f>HYPERLINK("mailto:ccoll@crm.otsuka-europe.com", "ccoll@crm.otsuka-europe.com")</f>
        <v>ccoll@crm.otsuka-europe.com</v>
      </c>
      <c r="N2342" s="23">
        <v>46175.779178240744</v>
      </c>
      <c r="O2342" s="14" t="str">
        <f>HYPERLINK("https://otsuka-europe-crm.veevavault.com/ui/#object/email_activity__v/V8C00000003N083", "EN-002088127")</f>
        <v>EN-002088127</v>
      </c>
    </row>
    <row r="2343" spans="1:15" ht="16" x14ac:dyDescent="0.2">
      <c r="A2343" s="19"/>
      <c r="B2343" s="19"/>
      <c r="C2343" s="19"/>
      <c r="D2343" s="19"/>
      <c r="E2343" s="19"/>
      <c r="F2343" s="19"/>
      <c r="G2343" s="19"/>
      <c r="H2343" s="19"/>
      <c r="I2343" s="19"/>
      <c r="J2343" s="19"/>
      <c r="K2343" s="19"/>
      <c r="L2343" s="19"/>
      <c r="M2343" s="19"/>
      <c r="N2343" s="19"/>
      <c r="O2343" s="14" t="str">
        <f>HYPERLINK("https://otsuka-europe-crm.veevavault.com/ui/#object/email_activity__v/V8C00000003N314", "EN-002088481")</f>
        <v>EN-002088481</v>
      </c>
    </row>
    <row r="2344" spans="1:15" ht="32" x14ac:dyDescent="0.2">
      <c r="A2344" s="7" t="str">
        <f>HYPERLINK("https://otsuka-europe-crm.veevavault.com/ui/#object/account__v/V4TZ06G6OCBHSFO", "JORDI BOVER SANJUAN")</f>
        <v>JORDI BOVER SANJUAN</v>
      </c>
      <c r="B2344" s="7" t="str">
        <f>HYPERLINK("https://otsuka-europe-crm.veevavault.com/ui/#object/vcountry__v/VENZ000004SONF5", "ES")</f>
        <v>ES</v>
      </c>
      <c r="C2344" s="8" t="s">
        <v>41</v>
      </c>
      <c r="D2344" s="9" t="str">
        <f>HYPERLINK("https://otsuka-europe-crm.veevavault.com/ui/#object/approved_document__v/V5O00000001A037", "LUP - VAE Póster Adelphi - Nefro")</f>
        <v>LUP - VAE Póster Adelphi - Nefro</v>
      </c>
      <c r="E2344" s="10" t="str">
        <f>HYPERLINK("https://otsuka-europe-crm.veevavault.com/ui/#object/sent_email__v/VBL00000002N652", "SE-001431870")</f>
        <v>SE-001431870</v>
      </c>
      <c r="F2344" s="11"/>
      <c r="G2344" s="12">
        <v>0</v>
      </c>
      <c r="H2344" s="12">
        <v>0</v>
      </c>
      <c r="I2344" s="12">
        <v>0</v>
      </c>
      <c r="J2344" s="11"/>
      <c r="K2344" s="12">
        <v>0</v>
      </c>
      <c r="L2344" s="10" t="str">
        <f>HYPERLINK("https://otsuka-europe-crm.veevavault.com/ui/#object/approved_document__v/V5O00000001A037", "LUP - VAE Póster Adelphi - Nefro")</f>
        <v>LUP - VAE Póster Adelphi - Nefro</v>
      </c>
      <c r="M2344" s="10" t="str">
        <f>HYPERLINK("mailto:ccoll@crm.otsuka-europe.com", "ccoll@crm.otsuka-europe.com")</f>
        <v>ccoll@crm.otsuka-europe.com</v>
      </c>
      <c r="N2344" s="13">
        <v>46175.77915509259</v>
      </c>
      <c r="O2344" s="14" t="str">
        <f>HYPERLINK("https://otsuka-europe-crm.veevavault.com/ui/#object/email_activity__v/V8C00000003N154", "EN-002088198")</f>
        <v>EN-002088198</v>
      </c>
    </row>
    <row r="2345" spans="1:15" ht="16" x14ac:dyDescent="0.2">
      <c r="A2345" s="17" t="str">
        <f>HYPERLINK("https://otsuka-europe-crm.veevavault.com/ui/#object/account__v/V4TZ025E82CXZP2", "SILVIA ALOS GUIMERA")</f>
        <v>SILVIA ALOS GUIMERA</v>
      </c>
      <c r="B2345" s="17" t="str">
        <f>HYPERLINK("https://otsuka-europe-crm.veevavault.com/ui/#object/vcountry__v/VENZ000004SONF5", "ES")</f>
        <v>ES</v>
      </c>
      <c r="C2345" s="20" t="s">
        <v>41</v>
      </c>
      <c r="D2345" s="21" t="str">
        <f>HYPERLINK("https://otsuka-europe-crm.veevavault.com/ui/#object/approved_document__v/V5O00000001A037", "LUP - VAE Póster Adelphi - Nefro")</f>
        <v>LUP - VAE Póster Adelphi - Nefro</v>
      </c>
      <c r="E2345" s="22" t="str">
        <f>HYPERLINK("https://otsuka-europe-crm.veevavault.com/ui/#object/sent_email__v/VBL00000002N653", "SE-001431871")</f>
        <v>SE-001431871</v>
      </c>
      <c r="F2345" s="23">
        <v>46188.753391203703</v>
      </c>
      <c r="G2345" s="24">
        <v>1</v>
      </c>
      <c r="H2345" s="24">
        <v>1</v>
      </c>
      <c r="I2345" s="24">
        <v>0</v>
      </c>
      <c r="J2345" s="25"/>
      <c r="K2345" s="24">
        <v>0</v>
      </c>
      <c r="L2345" s="22" t="str">
        <f>HYPERLINK("https://otsuka-europe-crm.veevavault.com/ui/#object/approved_document__v/V5O00000001A037", "LUP - VAE Póster Adelphi - Nefro")</f>
        <v>LUP - VAE Póster Adelphi - Nefro</v>
      </c>
      <c r="M2345" s="22" t="str">
        <f>HYPERLINK("mailto:ccoll@crm.otsuka-europe.com", "ccoll@crm.otsuka-europe.com")</f>
        <v>ccoll@crm.otsuka-europe.com</v>
      </c>
      <c r="N2345" s="23">
        <v>46175.77915509259</v>
      </c>
      <c r="O2345" s="14" t="str">
        <f>HYPERLINK("https://otsuka-europe-crm.veevavault.com/ui/#object/email_activity__v/V8C00000003N136", "EN-002088180")</f>
        <v>EN-002088180</v>
      </c>
    </row>
    <row r="2346" spans="1:15" ht="16" x14ac:dyDescent="0.2">
      <c r="A2346" s="18"/>
      <c r="B2346" s="18"/>
      <c r="C2346" s="18"/>
      <c r="D2346" s="18"/>
      <c r="E2346" s="18"/>
      <c r="F2346" s="18"/>
      <c r="G2346" s="18"/>
      <c r="H2346" s="18"/>
      <c r="I2346" s="18"/>
      <c r="J2346" s="18"/>
      <c r="K2346" s="18"/>
      <c r="L2346" s="18"/>
      <c r="M2346" s="18"/>
      <c r="N2346" s="18"/>
      <c r="O2346" s="14" t="str">
        <f>HYPERLINK("https://otsuka-europe-crm.veevavault.com/ui/#object/email_activity__v/V8C00000003N434", "EN-002088687")</f>
        <v>EN-002088687</v>
      </c>
    </row>
    <row r="2347" spans="1:15" ht="16" x14ac:dyDescent="0.2">
      <c r="A2347" s="18"/>
      <c r="B2347" s="18"/>
      <c r="C2347" s="18"/>
      <c r="D2347" s="18"/>
      <c r="E2347" s="18"/>
      <c r="F2347" s="18"/>
      <c r="G2347" s="18"/>
      <c r="H2347" s="18"/>
      <c r="I2347" s="18"/>
      <c r="J2347" s="18"/>
      <c r="K2347" s="18"/>
      <c r="L2347" s="18"/>
      <c r="M2347" s="18"/>
      <c r="N2347" s="18"/>
      <c r="O2347" s="14" t="str">
        <f>HYPERLINK("https://otsuka-europe-crm.veevavault.com/ui/#object/email_activity__v/V8C00000003N499", "EN-002088793")</f>
        <v>EN-002088793</v>
      </c>
    </row>
    <row r="2348" spans="1:15" ht="16" x14ac:dyDescent="0.2">
      <c r="A2348" s="19"/>
      <c r="B2348" s="19"/>
      <c r="C2348" s="19"/>
      <c r="D2348" s="19"/>
      <c r="E2348" s="19"/>
      <c r="F2348" s="19"/>
      <c r="G2348" s="19"/>
      <c r="H2348" s="19"/>
      <c r="I2348" s="19"/>
      <c r="J2348" s="19"/>
      <c r="K2348" s="19"/>
      <c r="L2348" s="19"/>
      <c r="M2348" s="19"/>
      <c r="N2348" s="19"/>
      <c r="O2348" s="14" t="str">
        <f>HYPERLINK("https://otsuka-europe-crm.veevavault.com/ui/#object/email_activity__v/V8C00000003V911", "EN-002096531")</f>
        <v>EN-002096531</v>
      </c>
    </row>
    <row r="2349" spans="1:15" ht="16" x14ac:dyDescent="0.2">
      <c r="A2349" s="17" t="str">
        <f>HYPERLINK("https://otsuka-europe-crm.veevavault.com/ui/#object/account__v/V4TZ06G6O71TC0H", "MARIA MERCEDES ELENA SAIZ MARTINEZ")</f>
        <v>MARIA MERCEDES ELENA SAIZ MARTINEZ</v>
      </c>
      <c r="B2349" s="17" t="str">
        <f>HYPERLINK("https://otsuka-europe-crm.veevavault.com/ui/#object/vcountry__v/VENZ000004SONF5", "ES")</f>
        <v>ES</v>
      </c>
      <c r="C2349" s="20" t="s">
        <v>41</v>
      </c>
      <c r="D2349" s="21" t="str">
        <f>HYPERLINK("https://otsuka-europe-crm.veevavault.com/ui/#object/approved_document__v/V5O00000001A037", "LUP - VAE Póster Adelphi - Nefro")</f>
        <v>LUP - VAE Póster Adelphi - Nefro</v>
      </c>
      <c r="E2349" s="22" t="str">
        <f>HYPERLINK("https://otsuka-europe-crm.veevavault.com/ui/#object/sent_email__v/VBL00000002N654", "SE-001431872")</f>
        <v>SE-001431872</v>
      </c>
      <c r="F2349" s="23">
        <v>46176.337881944448</v>
      </c>
      <c r="G2349" s="24">
        <v>1</v>
      </c>
      <c r="H2349" s="24">
        <v>2</v>
      </c>
      <c r="I2349" s="24">
        <v>0</v>
      </c>
      <c r="J2349" s="25"/>
      <c r="K2349" s="24">
        <v>0</v>
      </c>
      <c r="L2349" s="22" t="str">
        <f>HYPERLINK("https://otsuka-europe-crm.veevavault.com/ui/#object/approved_document__v/V5O00000001A037", "LUP - VAE Póster Adelphi - Nefro")</f>
        <v>LUP - VAE Póster Adelphi - Nefro</v>
      </c>
      <c r="M2349" s="22" t="str">
        <f>HYPERLINK("mailto:ccoll@crm.otsuka-europe.com", "ccoll@crm.otsuka-europe.com")</f>
        <v>ccoll@crm.otsuka-europe.com</v>
      </c>
      <c r="N2349" s="23">
        <v>46175.77915509259</v>
      </c>
      <c r="O2349" s="14" t="str">
        <f>HYPERLINK("https://otsuka-europe-crm.veevavault.com/ui/#object/email_activity__v/V8C00000003N115", "EN-002088159")</f>
        <v>EN-002088159</v>
      </c>
    </row>
    <row r="2350" spans="1:15" ht="16" x14ac:dyDescent="0.2">
      <c r="A2350" s="18"/>
      <c r="B2350" s="18"/>
      <c r="C2350" s="18"/>
      <c r="D2350" s="18"/>
      <c r="E2350" s="18"/>
      <c r="F2350" s="18"/>
      <c r="G2350" s="18"/>
      <c r="H2350" s="18"/>
      <c r="I2350" s="18"/>
      <c r="J2350" s="18"/>
      <c r="K2350" s="18"/>
      <c r="L2350" s="18"/>
      <c r="M2350" s="18"/>
      <c r="N2350" s="18"/>
      <c r="O2350" s="14" t="str">
        <f>HYPERLINK("https://otsuka-europe-crm.veevavault.com/ui/#object/email_activity__v/V8C00000003N375", "EN-002088592")</f>
        <v>EN-002088592</v>
      </c>
    </row>
    <row r="2351" spans="1:15" ht="16" x14ac:dyDescent="0.2">
      <c r="A2351" s="19"/>
      <c r="B2351" s="19"/>
      <c r="C2351" s="19"/>
      <c r="D2351" s="19"/>
      <c r="E2351" s="19"/>
      <c r="F2351" s="19"/>
      <c r="G2351" s="19"/>
      <c r="H2351" s="19"/>
      <c r="I2351" s="19"/>
      <c r="J2351" s="19"/>
      <c r="K2351" s="19"/>
      <c r="L2351" s="19"/>
      <c r="M2351" s="19"/>
      <c r="N2351" s="19"/>
      <c r="O2351" s="14" t="str">
        <f>HYPERLINK("https://otsuka-europe-crm.veevavault.com/ui/#object/email_activity__v/V8C00000003N376", "EN-002088593")</f>
        <v>EN-002088593</v>
      </c>
    </row>
    <row r="2352" spans="1:15" ht="16" x14ac:dyDescent="0.2">
      <c r="A2352" s="17" t="str">
        <f>HYPERLINK("https://otsuka-europe-crm.veevavault.com/ui/#object/account__v/V4TZ06G6O71T9MW", "CECILIA DALL-ANESE SIEGENTHALER")</f>
        <v>CECILIA DALL-ANESE SIEGENTHALER</v>
      </c>
      <c r="B2352" s="17" t="str">
        <f>HYPERLINK("https://otsuka-europe-crm.veevavault.com/ui/#object/vcountry__v/VENZ000004SONF5", "ES")</f>
        <v>ES</v>
      </c>
      <c r="C2352" s="20" t="s">
        <v>41</v>
      </c>
      <c r="D2352" s="21" t="str">
        <f>HYPERLINK("https://otsuka-europe-crm.veevavault.com/ui/#object/approved_document__v/V5O00000001A037", "LUP - VAE Póster Adelphi - Nefro")</f>
        <v>LUP - VAE Póster Adelphi - Nefro</v>
      </c>
      <c r="E2352" s="22" t="str">
        <f>HYPERLINK("https://otsuka-europe-crm.veevavault.com/ui/#object/sent_email__v/VBL00000002N655", "SE-001431873")</f>
        <v>SE-001431873</v>
      </c>
      <c r="F2352" s="25"/>
      <c r="G2352" s="24">
        <v>0</v>
      </c>
      <c r="H2352" s="24">
        <v>0</v>
      </c>
      <c r="I2352" s="24">
        <v>0</v>
      </c>
      <c r="J2352" s="25"/>
      <c r="K2352" s="24">
        <v>0</v>
      </c>
      <c r="L2352" s="22" t="str">
        <f>HYPERLINK("https://otsuka-europe-crm.veevavault.com/ui/#object/approved_document__v/V5O00000001A037", "LUP - VAE Póster Adelphi - Nefro")</f>
        <v>LUP - VAE Póster Adelphi - Nefro</v>
      </c>
      <c r="M2352" s="22" t="str">
        <f>HYPERLINK("mailto:ccoll@crm.otsuka-europe.com", "ccoll@crm.otsuka-europe.com")</f>
        <v>ccoll@crm.otsuka-europe.com</v>
      </c>
      <c r="N2352" s="23">
        <v>46175.77915509259</v>
      </c>
      <c r="O2352" s="14" t="str">
        <f>HYPERLINK("https://otsuka-europe-crm.veevavault.com/ui/#object/email_activity__v/V8C00000003M269", "EN-002088515")</f>
        <v>EN-002088515</v>
      </c>
    </row>
    <row r="2353" spans="1:15" ht="16" x14ac:dyDescent="0.2">
      <c r="A2353" s="19"/>
      <c r="B2353" s="19"/>
      <c r="C2353" s="19"/>
      <c r="D2353" s="19"/>
      <c r="E2353" s="19"/>
      <c r="F2353" s="19"/>
      <c r="G2353" s="19"/>
      <c r="H2353" s="19"/>
      <c r="I2353" s="19"/>
      <c r="J2353" s="19"/>
      <c r="K2353" s="19"/>
      <c r="L2353" s="19"/>
      <c r="M2353" s="19"/>
      <c r="N2353" s="19"/>
      <c r="O2353" s="14" t="str">
        <f>HYPERLINK("https://otsuka-europe-crm.veevavault.com/ui/#object/email_activity__v/V8C00000003N166", "EN-002088210")</f>
        <v>EN-002088210</v>
      </c>
    </row>
    <row r="2354" spans="1:15" ht="32" x14ac:dyDescent="0.2">
      <c r="A2354" s="7" t="str">
        <f>HYPERLINK("https://otsuka-europe-crm.veevavault.com/ui/#object/account__v/V4TZ06G6O71TC1Q", "MARIA ESTHER ROSSICH FONT")</f>
        <v>MARIA ESTHER ROSSICH FONT</v>
      </c>
      <c r="B2354" s="7" t="str">
        <f t="shared" ref="B2354:B2360" si="44">HYPERLINK("https://otsuka-europe-crm.veevavault.com/ui/#object/vcountry__v/VENZ000004SONF5", "ES")</f>
        <v>ES</v>
      </c>
      <c r="C2354" s="8" t="s">
        <v>41</v>
      </c>
      <c r="D2354" s="9" t="str">
        <f t="shared" ref="D2354:D2360" si="45">HYPERLINK("https://otsuka-europe-crm.veevavault.com/ui/#object/approved_document__v/V5O00000001A037", "LUP - VAE Póster Adelphi - Nefro")</f>
        <v>LUP - VAE Póster Adelphi - Nefro</v>
      </c>
      <c r="E2354" s="10" t="str">
        <f>HYPERLINK("https://otsuka-europe-crm.veevavault.com/ui/#object/sent_email__v/VBL00000002N656", "SE-001431874")</f>
        <v>SE-001431874</v>
      </c>
      <c r="F2354" s="11"/>
      <c r="G2354" s="12">
        <v>0</v>
      </c>
      <c r="H2354" s="12">
        <v>0</v>
      </c>
      <c r="I2354" s="12">
        <v>0</v>
      </c>
      <c r="J2354" s="11"/>
      <c r="K2354" s="12">
        <v>0</v>
      </c>
      <c r="L2354" s="10" t="str">
        <f t="shared" ref="L2354:L2360" si="46">HYPERLINK("https://otsuka-europe-crm.veevavault.com/ui/#object/approved_document__v/V5O00000001A037", "LUP - VAE Póster Adelphi - Nefro")</f>
        <v>LUP - VAE Póster Adelphi - Nefro</v>
      </c>
      <c r="M2354" s="10" t="str">
        <f t="shared" ref="M2354:M2360" si="47">HYPERLINK("mailto:ccoll@crm.otsuka-europe.com", "ccoll@crm.otsuka-europe.com")</f>
        <v>ccoll@crm.otsuka-europe.com</v>
      </c>
      <c r="N2354" s="13">
        <v>46175.77915509259</v>
      </c>
      <c r="O2354" s="14" t="str">
        <f>HYPERLINK("https://otsuka-europe-crm.veevavault.com/ui/#object/email_activity__v/V8C00000003N164", "EN-002088208")</f>
        <v>EN-002088208</v>
      </c>
    </row>
    <row r="2355" spans="1:15" ht="32" x14ac:dyDescent="0.2">
      <c r="A2355" s="7" t="str">
        <f>HYPERLINK("https://otsuka-europe-crm.veevavault.com/ui/#object/account__v/V4TZ06G6O71TBPV", "MANUEL RAMIREZ DE ARELLANO SERNA")</f>
        <v>MANUEL RAMIREZ DE ARELLANO SERNA</v>
      </c>
      <c r="B2355" s="7" t="str">
        <f t="shared" si="44"/>
        <v>ES</v>
      </c>
      <c r="C2355" s="8" t="s">
        <v>41</v>
      </c>
      <c r="D2355" s="9" t="str">
        <f t="shared" si="45"/>
        <v>LUP - VAE Póster Adelphi - Nefro</v>
      </c>
      <c r="E2355" s="10" t="str">
        <f>HYPERLINK("https://otsuka-europe-crm.veevavault.com/ui/#object/sent_email__v/VBL00000002N657", "SE-001431875")</f>
        <v>SE-001431875</v>
      </c>
      <c r="F2355" s="11"/>
      <c r="G2355" s="12">
        <v>0</v>
      </c>
      <c r="H2355" s="12">
        <v>0</v>
      </c>
      <c r="I2355" s="12">
        <v>0</v>
      </c>
      <c r="J2355" s="11"/>
      <c r="K2355" s="12">
        <v>0</v>
      </c>
      <c r="L2355" s="10" t="str">
        <f t="shared" si="46"/>
        <v>LUP - VAE Póster Adelphi - Nefro</v>
      </c>
      <c r="M2355" s="10" t="str">
        <f t="shared" si="47"/>
        <v>ccoll@crm.otsuka-europe.com</v>
      </c>
      <c r="N2355" s="13">
        <v>46175.77915509259</v>
      </c>
      <c r="O2355" s="14" t="str">
        <f>HYPERLINK("https://otsuka-europe-crm.veevavault.com/ui/#object/email_activity__v/V8C00000003N039", "EN-002088087")</f>
        <v>EN-002088087</v>
      </c>
    </row>
    <row r="2356" spans="1:15" ht="32" x14ac:dyDescent="0.2">
      <c r="A2356" s="7" t="str">
        <f>HYPERLINK("https://otsuka-europe-crm.veevavault.com/ui/#object/account__v/V4TZ06G6O71TCBW", "ROSER TORRA BALCELLS")</f>
        <v>ROSER TORRA BALCELLS</v>
      </c>
      <c r="B2356" s="7" t="str">
        <f t="shared" si="44"/>
        <v>ES</v>
      </c>
      <c r="C2356" s="8" t="s">
        <v>41</v>
      </c>
      <c r="D2356" s="9" t="str">
        <f t="shared" si="45"/>
        <v>LUP - VAE Póster Adelphi - Nefro</v>
      </c>
      <c r="E2356" s="10" t="str">
        <f>HYPERLINK("https://otsuka-europe-crm.veevavault.com/ui/#object/sent_email__v/VBL00000002N658", "SE-001431876")</f>
        <v>SE-001431876</v>
      </c>
      <c r="F2356" s="11"/>
      <c r="G2356" s="12">
        <v>0</v>
      </c>
      <c r="H2356" s="12">
        <v>0</v>
      </c>
      <c r="I2356" s="12">
        <v>0</v>
      </c>
      <c r="J2356" s="11"/>
      <c r="K2356" s="12">
        <v>0</v>
      </c>
      <c r="L2356" s="10" t="str">
        <f t="shared" si="46"/>
        <v>LUP - VAE Póster Adelphi - Nefro</v>
      </c>
      <c r="M2356" s="10" t="str">
        <f t="shared" si="47"/>
        <v>ccoll@crm.otsuka-europe.com</v>
      </c>
      <c r="N2356" s="13">
        <v>46175.77915509259</v>
      </c>
      <c r="O2356" s="14" t="str">
        <f>HYPERLINK("https://otsuka-europe-crm.veevavault.com/ui/#object/email_activity__v/V8C00000003N046", "EN-002088090")</f>
        <v>EN-002088090</v>
      </c>
    </row>
    <row r="2357" spans="1:15" ht="32" x14ac:dyDescent="0.2">
      <c r="A2357" s="7" t="str">
        <f>HYPERLINK("https://otsuka-europe-crm.veevavault.com/ui/#object/account__v/V4TZ06G6O71T73O", "LUCIEMNE FERNANDEZ ANTUÑA")</f>
        <v>LUCIEMNE FERNANDEZ ANTUÑA</v>
      </c>
      <c r="B2357" s="7" t="str">
        <f t="shared" si="44"/>
        <v>ES</v>
      </c>
      <c r="C2357" s="8" t="s">
        <v>41</v>
      </c>
      <c r="D2357" s="9" t="str">
        <f t="shared" si="45"/>
        <v>LUP - VAE Póster Adelphi - Nefro</v>
      </c>
      <c r="E2357" s="10" t="str">
        <f>HYPERLINK("https://otsuka-europe-crm.veevavault.com/ui/#object/sent_email__v/VBL00000002N659", "SE-001431877")</f>
        <v>SE-001431877</v>
      </c>
      <c r="F2357" s="11"/>
      <c r="G2357" s="12">
        <v>0</v>
      </c>
      <c r="H2357" s="12">
        <v>0</v>
      </c>
      <c r="I2357" s="12">
        <v>0</v>
      </c>
      <c r="J2357" s="11"/>
      <c r="K2357" s="12">
        <v>0</v>
      </c>
      <c r="L2357" s="10" t="str">
        <f t="shared" si="46"/>
        <v>LUP - VAE Póster Adelphi - Nefro</v>
      </c>
      <c r="M2357" s="10" t="str">
        <f t="shared" si="47"/>
        <v>ccoll@crm.otsuka-europe.com</v>
      </c>
      <c r="N2357" s="13">
        <v>46175.779189814813</v>
      </c>
      <c r="O2357" s="14" t="str">
        <f>HYPERLINK("https://otsuka-europe-crm.veevavault.com/ui/#object/email_activity__v/V8C00000003N109", "EN-002088153")</f>
        <v>EN-002088153</v>
      </c>
    </row>
    <row r="2358" spans="1:15" ht="32" x14ac:dyDescent="0.2">
      <c r="A2358" s="7" t="str">
        <f>HYPERLINK("https://otsuka-europe-crm.veevavault.com/ui/#object/account__v/V4TZ06G6O71TAJ3", "MARIA EMMA HUARTE LOZA")</f>
        <v>MARIA EMMA HUARTE LOZA</v>
      </c>
      <c r="B2358" s="7" t="str">
        <f t="shared" si="44"/>
        <v>ES</v>
      </c>
      <c r="C2358" s="8" t="s">
        <v>41</v>
      </c>
      <c r="D2358" s="9" t="str">
        <f t="shared" si="45"/>
        <v>LUP - VAE Póster Adelphi - Nefro</v>
      </c>
      <c r="E2358" s="10" t="str">
        <f>HYPERLINK("https://otsuka-europe-crm.veevavault.com/ui/#object/sent_email__v/VBL00000002N660", "SE-001431878")</f>
        <v>SE-001431878</v>
      </c>
      <c r="F2358" s="11"/>
      <c r="G2358" s="12">
        <v>0</v>
      </c>
      <c r="H2358" s="12">
        <v>0</v>
      </c>
      <c r="I2358" s="12">
        <v>0</v>
      </c>
      <c r="J2358" s="11"/>
      <c r="K2358" s="12">
        <v>0</v>
      </c>
      <c r="L2358" s="10" t="str">
        <f t="shared" si="46"/>
        <v>LUP - VAE Póster Adelphi - Nefro</v>
      </c>
      <c r="M2358" s="10" t="str">
        <f t="shared" si="47"/>
        <v>ccoll@crm.otsuka-europe.com</v>
      </c>
      <c r="N2358" s="13">
        <v>46175.77915509259</v>
      </c>
      <c r="O2358" s="14" t="str">
        <f>HYPERLINK("https://otsuka-europe-crm.veevavault.com/ui/#object/email_activity__v/V8C00000003N167", "EN-002088211")</f>
        <v>EN-002088211</v>
      </c>
    </row>
    <row r="2359" spans="1:15" ht="32" x14ac:dyDescent="0.2">
      <c r="A2359" s="7" t="str">
        <f>HYPERLINK("https://otsuka-europe-crm.veevavault.com/ui/#object/account__v/V4TZ04ASG9H6T65", "BEATRIZ GARCIA PERIS")</f>
        <v>BEATRIZ GARCIA PERIS</v>
      </c>
      <c r="B2359" s="7" t="str">
        <f t="shared" si="44"/>
        <v>ES</v>
      </c>
      <c r="C2359" s="8" t="s">
        <v>41</v>
      </c>
      <c r="D2359" s="9" t="str">
        <f t="shared" si="45"/>
        <v>LUP - VAE Póster Adelphi - Nefro</v>
      </c>
      <c r="E2359" s="10" t="str">
        <f>HYPERLINK("https://otsuka-europe-crm.veevavault.com/ui/#object/sent_email__v/VBL00000002N661", "SE-001431879")</f>
        <v>SE-001431879</v>
      </c>
      <c r="F2359" s="11"/>
      <c r="G2359" s="12">
        <v>0</v>
      </c>
      <c r="H2359" s="12">
        <v>0</v>
      </c>
      <c r="I2359" s="12">
        <v>0</v>
      </c>
      <c r="J2359" s="11"/>
      <c r="K2359" s="12">
        <v>0</v>
      </c>
      <c r="L2359" s="10" t="str">
        <f t="shared" si="46"/>
        <v>LUP - VAE Póster Adelphi - Nefro</v>
      </c>
      <c r="M2359" s="10" t="str">
        <f t="shared" si="47"/>
        <v>ccoll@crm.otsuka-europe.com</v>
      </c>
      <c r="N2359" s="13">
        <v>46175.779178240744</v>
      </c>
      <c r="O2359" s="14" t="str">
        <f>HYPERLINK("https://otsuka-europe-crm.veevavault.com/ui/#object/email_activity__v/V8C00000003N078", "EN-002088122")</f>
        <v>EN-002088122</v>
      </c>
    </row>
    <row r="2360" spans="1:15" ht="16" x14ac:dyDescent="0.2">
      <c r="A2360" s="17" t="str">
        <f>HYPERLINK("https://otsuka-europe-crm.veevavault.com/ui/#object/account__v/V4TZ06G6O71TAZ9", "CARLOS ALBERTO MAÑERO RODRIGUEZ")</f>
        <v>CARLOS ALBERTO MAÑERO RODRIGUEZ</v>
      </c>
      <c r="B2360" s="17" t="str">
        <f t="shared" si="44"/>
        <v>ES</v>
      </c>
      <c r="C2360" s="20" t="s">
        <v>41</v>
      </c>
      <c r="D2360" s="21" t="str">
        <f t="shared" si="45"/>
        <v>LUP - VAE Póster Adelphi - Nefro</v>
      </c>
      <c r="E2360" s="22" t="str">
        <f>HYPERLINK("https://otsuka-europe-crm.veevavault.com/ui/#object/sent_email__v/VBL00000002N662", "SE-001431880")</f>
        <v>SE-001431880</v>
      </c>
      <c r="F2360" s="23">
        <v>46175.779247685183</v>
      </c>
      <c r="G2360" s="24">
        <v>1</v>
      </c>
      <c r="H2360" s="24">
        <v>1</v>
      </c>
      <c r="I2360" s="24">
        <v>0</v>
      </c>
      <c r="J2360" s="25"/>
      <c r="K2360" s="24">
        <v>0</v>
      </c>
      <c r="L2360" s="22" t="str">
        <f t="shared" si="46"/>
        <v>LUP - VAE Póster Adelphi - Nefro</v>
      </c>
      <c r="M2360" s="22" t="str">
        <f t="shared" si="47"/>
        <v>ccoll@crm.otsuka-europe.com</v>
      </c>
      <c r="N2360" s="23">
        <v>46175.779178240744</v>
      </c>
      <c r="O2360" s="14" t="str">
        <f>HYPERLINK("https://otsuka-europe-crm.veevavault.com/ui/#object/email_activity__v/V8C00000003N084", "EN-002088128")</f>
        <v>EN-002088128</v>
      </c>
    </row>
    <row r="2361" spans="1:15" ht="16" x14ac:dyDescent="0.2">
      <c r="A2361" s="18"/>
      <c r="B2361" s="18"/>
      <c r="C2361" s="18"/>
      <c r="D2361" s="18"/>
      <c r="E2361" s="18"/>
      <c r="F2361" s="18"/>
      <c r="G2361" s="18"/>
      <c r="H2361" s="18"/>
      <c r="I2361" s="18"/>
      <c r="J2361" s="18"/>
      <c r="K2361" s="18"/>
      <c r="L2361" s="18"/>
      <c r="M2361" s="18"/>
      <c r="N2361" s="18"/>
      <c r="O2361" s="14" t="str">
        <f>HYPERLINK("https://otsuka-europe-crm.veevavault.com/ui/#object/email_activity__v/V8C00000003N171", "EN-002088215")</f>
        <v>EN-002088215</v>
      </c>
    </row>
    <row r="2362" spans="1:15" ht="16" x14ac:dyDescent="0.2">
      <c r="A2362" s="19"/>
      <c r="B2362" s="19"/>
      <c r="C2362" s="19"/>
      <c r="D2362" s="19"/>
      <c r="E2362" s="19"/>
      <c r="F2362" s="19"/>
      <c r="G2362" s="19"/>
      <c r="H2362" s="19"/>
      <c r="I2362" s="19"/>
      <c r="J2362" s="19"/>
      <c r="K2362" s="19"/>
      <c r="L2362" s="19"/>
      <c r="M2362" s="19"/>
      <c r="N2362" s="19"/>
      <c r="O2362" s="14" t="str">
        <f>HYPERLINK("https://otsuka-europe-crm.veevavault.com/ui/#object/email_activity__v/V8C00000003N531", "EN-002088838")</f>
        <v>EN-002088838</v>
      </c>
    </row>
    <row r="2363" spans="1:15" ht="32" x14ac:dyDescent="0.2">
      <c r="A2363" s="7" t="str">
        <f>HYPERLINK("https://otsuka-europe-crm.veevavault.com/ui/#object/account__v/V4TZ06G6O71TBLF", "LAUREANO PEREZ OLLER")</f>
        <v>LAUREANO PEREZ OLLER</v>
      </c>
      <c r="B2363" s="7" t="str">
        <f>HYPERLINK("https://otsuka-europe-crm.veevavault.com/ui/#object/vcountry__v/VENZ000004SONF5", "ES")</f>
        <v>ES</v>
      </c>
      <c r="C2363" s="8" t="s">
        <v>41</v>
      </c>
      <c r="D2363" s="9" t="str">
        <f>HYPERLINK("https://otsuka-europe-crm.veevavault.com/ui/#object/approved_document__v/V5O00000001A037", "LUP - VAE Póster Adelphi - Nefro")</f>
        <v>LUP - VAE Póster Adelphi - Nefro</v>
      </c>
      <c r="E2363" s="10" t="str">
        <f>HYPERLINK("https://otsuka-europe-crm.veevavault.com/ui/#object/sent_email__v/VBL00000002N663", "SE-001431881")</f>
        <v>SE-001431881</v>
      </c>
      <c r="F2363" s="11"/>
      <c r="G2363" s="12">
        <v>0</v>
      </c>
      <c r="H2363" s="12">
        <v>0</v>
      </c>
      <c r="I2363" s="12">
        <v>0</v>
      </c>
      <c r="J2363" s="11"/>
      <c r="K2363" s="12">
        <v>0</v>
      </c>
      <c r="L2363" s="10" t="str">
        <f>HYPERLINK("https://otsuka-europe-crm.veevavault.com/ui/#object/approved_document__v/V5O00000001A037", "LUP - VAE Póster Adelphi - Nefro")</f>
        <v>LUP - VAE Póster Adelphi - Nefro</v>
      </c>
      <c r="M2363" s="10" t="str">
        <f>HYPERLINK("mailto:ccoll@crm.otsuka-europe.com", "ccoll@crm.otsuka-europe.com")</f>
        <v>ccoll@crm.otsuka-europe.com</v>
      </c>
      <c r="N2363" s="13">
        <v>46175.77915509259</v>
      </c>
      <c r="O2363" s="14" t="str">
        <f>HYPERLINK("https://otsuka-europe-crm.veevavault.com/ui/#object/email_activity__v/V8C00000003N169", "EN-002088213")</f>
        <v>EN-002088213</v>
      </c>
    </row>
    <row r="2364" spans="1:15" ht="16" x14ac:dyDescent="0.2">
      <c r="A2364" s="17" t="str">
        <f>HYPERLINK("https://otsuka-europe-crm.veevavault.com/ui/#object/account__v/V4TZ04ASGAGAHOY", "HUGO VERGARA PEREZ")</f>
        <v>HUGO VERGARA PEREZ</v>
      </c>
      <c r="B2364" s="17" t="str">
        <f>HYPERLINK("https://otsuka-europe-crm.veevavault.com/ui/#object/vcountry__v/VENZ000004SONF5", "ES")</f>
        <v>ES</v>
      </c>
      <c r="C2364" s="20" t="s">
        <v>41</v>
      </c>
      <c r="D2364" s="21" t="str">
        <f>HYPERLINK("https://otsuka-europe-crm.veevavault.com/ui/#object/approved_document__v/V5O00000001A037", "LUP - VAE Póster Adelphi - Nefro")</f>
        <v>LUP - VAE Póster Adelphi - Nefro</v>
      </c>
      <c r="E2364" s="22" t="str">
        <f>HYPERLINK("https://otsuka-europe-crm.veevavault.com/ui/#object/sent_email__v/VBL00000002N664", "SE-001431882")</f>
        <v>SE-001431882</v>
      </c>
      <c r="F2364" s="25"/>
      <c r="G2364" s="24">
        <v>0</v>
      </c>
      <c r="H2364" s="24">
        <v>0</v>
      </c>
      <c r="I2364" s="24">
        <v>0</v>
      </c>
      <c r="J2364" s="25"/>
      <c r="K2364" s="24">
        <v>0</v>
      </c>
      <c r="L2364" s="22" t="str">
        <f>HYPERLINK("https://otsuka-europe-crm.veevavault.com/ui/#object/approved_document__v/V5O00000001A037", "LUP - VAE Póster Adelphi - Nefro")</f>
        <v>LUP - VAE Póster Adelphi - Nefro</v>
      </c>
      <c r="M2364" s="22" t="str">
        <f>HYPERLINK("mailto:ccoll@crm.otsuka-europe.com", "ccoll@crm.otsuka-europe.com")</f>
        <v>ccoll@crm.otsuka-europe.com</v>
      </c>
      <c r="N2364" s="23">
        <v>46175.77915509259</v>
      </c>
      <c r="O2364" s="14" t="str">
        <f>HYPERLINK("https://otsuka-europe-crm.veevavault.com/ui/#object/email_activity__v/V8C00000003M152", "EN-002088306")</f>
        <v>EN-002088306</v>
      </c>
    </row>
    <row r="2365" spans="1:15" ht="16" x14ac:dyDescent="0.2">
      <c r="A2365" s="19"/>
      <c r="B2365" s="19"/>
      <c r="C2365" s="19"/>
      <c r="D2365" s="19"/>
      <c r="E2365" s="19"/>
      <c r="F2365" s="19"/>
      <c r="G2365" s="19"/>
      <c r="H2365" s="19"/>
      <c r="I2365" s="19"/>
      <c r="J2365" s="19"/>
      <c r="K2365" s="19"/>
      <c r="L2365" s="19"/>
      <c r="M2365" s="19"/>
      <c r="N2365" s="19"/>
      <c r="O2365" s="14" t="str">
        <f>HYPERLINK("https://otsuka-europe-crm.veevavault.com/ui/#object/email_activity__v/V8C00000003N037", "EN-002088085")</f>
        <v>EN-002088085</v>
      </c>
    </row>
    <row r="2366" spans="1:15" ht="16" x14ac:dyDescent="0.2">
      <c r="A2366" s="17" t="str">
        <f>HYPERLINK("https://otsuka-europe-crm.veevavault.com/ui/#object/account__v/V4TZ04ASG6LNRDZ", "MARTA CRESPO BARRIO")</f>
        <v>MARTA CRESPO BARRIO</v>
      </c>
      <c r="B2366" s="17" t="str">
        <f>HYPERLINK("https://otsuka-europe-crm.veevavault.com/ui/#object/vcountry__v/VENZ000004SONF5", "ES")</f>
        <v>ES</v>
      </c>
      <c r="C2366" s="20" t="s">
        <v>41</v>
      </c>
      <c r="D2366" s="21" t="str">
        <f>HYPERLINK("https://otsuka-europe-crm.veevavault.com/ui/#object/approved_document__v/V5O00000001A037", "LUP - VAE Póster Adelphi - Nefro")</f>
        <v>LUP - VAE Póster Adelphi - Nefro</v>
      </c>
      <c r="E2366" s="22" t="str">
        <f>HYPERLINK("https://otsuka-europe-crm.veevavault.com/ui/#object/sent_email__v/VBL00000002N665", "SE-001431883")</f>
        <v>SE-001431883</v>
      </c>
      <c r="F2366" s="23">
        <v>46175.780486111114</v>
      </c>
      <c r="G2366" s="24">
        <v>1</v>
      </c>
      <c r="H2366" s="24">
        <v>2</v>
      </c>
      <c r="I2366" s="24">
        <v>0</v>
      </c>
      <c r="J2366" s="25"/>
      <c r="K2366" s="24">
        <v>0</v>
      </c>
      <c r="L2366" s="22" t="str">
        <f>HYPERLINK("https://otsuka-europe-crm.veevavault.com/ui/#object/approved_document__v/V5O00000001A037", "LUP - VAE Póster Adelphi - Nefro")</f>
        <v>LUP - VAE Póster Adelphi - Nefro</v>
      </c>
      <c r="M2366" s="22" t="str">
        <f>HYPERLINK("mailto:ccoll@crm.otsuka-europe.com", "ccoll@crm.otsuka-europe.com")</f>
        <v>ccoll@crm.otsuka-europe.com</v>
      </c>
      <c r="N2366" s="23">
        <v>46175.77915509259</v>
      </c>
      <c r="O2366" s="14" t="str">
        <f>HYPERLINK("https://otsuka-europe-crm.veevavault.com/ui/#object/email_activity__v/V8C00000003N050", "EN-002088094")</f>
        <v>EN-002088094</v>
      </c>
    </row>
    <row r="2367" spans="1:15" ht="16" x14ac:dyDescent="0.2">
      <c r="A2367" s="18"/>
      <c r="B2367" s="18"/>
      <c r="C2367" s="18"/>
      <c r="D2367" s="18"/>
      <c r="E2367" s="18"/>
      <c r="F2367" s="18"/>
      <c r="G2367" s="18"/>
      <c r="H2367" s="18"/>
      <c r="I2367" s="18"/>
      <c r="J2367" s="18"/>
      <c r="K2367" s="18"/>
      <c r="L2367" s="18"/>
      <c r="M2367" s="18"/>
      <c r="N2367" s="18"/>
      <c r="O2367" s="14" t="str">
        <f>HYPERLINK("https://otsuka-europe-crm.veevavault.com/ui/#object/email_activity__v/V8C00000003N234", "EN-002088278")</f>
        <v>EN-002088278</v>
      </c>
    </row>
    <row r="2368" spans="1:15" ht="16" x14ac:dyDescent="0.2">
      <c r="A2368" s="19"/>
      <c r="B2368" s="19"/>
      <c r="C2368" s="19"/>
      <c r="D2368" s="19"/>
      <c r="E2368" s="19"/>
      <c r="F2368" s="19"/>
      <c r="G2368" s="19"/>
      <c r="H2368" s="19"/>
      <c r="I2368" s="19"/>
      <c r="J2368" s="19"/>
      <c r="K2368" s="19"/>
      <c r="L2368" s="19"/>
      <c r="M2368" s="19"/>
      <c r="N2368" s="19"/>
      <c r="O2368" s="14" t="str">
        <f>HYPERLINK("https://otsuka-europe-crm.veevavault.com/ui/#object/email_activity__v/V8C00000003N235", "EN-002088279")</f>
        <v>EN-002088279</v>
      </c>
    </row>
    <row r="2369" spans="1:15" ht="16" x14ac:dyDescent="0.2">
      <c r="A2369" s="17" t="str">
        <f>HYPERLINK("https://otsuka-europe-crm.veevavault.com/ui/#object/account__v/V4TZ025E877WSPV", "FABRIZZIO HUMBERTO POMA SAAVEDRA")</f>
        <v>FABRIZZIO HUMBERTO POMA SAAVEDRA</v>
      </c>
      <c r="B2369" s="17" t="str">
        <f>HYPERLINK("https://otsuka-europe-crm.veevavault.com/ui/#object/vcountry__v/VENZ000004SONF5", "ES")</f>
        <v>ES</v>
      </c>
      <c r="C2369" s="20" t="s">
        <v>41</v>
      </c>
      <c r="D2369" s="21" t="str">
        <f>HYPERLINK("https://otsuka-europe-crm.veevavault.com/ui/#object/approved_document__v/V5O00000001A037", "LUP - VAE Póster Adelphi - Nefro")</f>
        <v>LUP - VAE Póster Adelphi - Nefro</v>
      </c>
      <c r="E2369" s="22" t="str">
        <f>HYPERLINK("https://otsuka-europe-crm.veevavault.com/ui/#object/sent_email__v/VBL00000002N666", "SE-001431884")</f>
        <v>SE-001431884</v>
      </c>
      <c r="F2369" s="23">
        <v>46175.836469907408</v>
      </c>
      <c r="G2369" s="24">
        <v>1</v>
      </c>
      <c r="H2369" s="24">
        <v>1</v>
      </c>
      <c r="I2369" s="24">
        <v>0</v>
      </c>
      <c r="J2369" s="25"/>
      <c r="K2369" s="24">
        <v>0</v>
      </c>
      <c r="L2369" s="22" t="str">
        <f>HYPERLINK("https://otsuka-europe-crm.veevavault.com/ui/#object/approved_document__v/V5O00000001A037", "LUP - VAE Póster Adelphi - Nefro")</f>
        <v>LUP - VAE Póster Adelphi - Nefro</v>
      </c>
      <c r="M2369" s="22" t="str">
        <f>HYPERLINK("mailto:ccoll@crm.otsuka-europe.com", "ccoll@crm.otsuka-europe.com")</f>
        <v>ccoll@crm.otsuka-europe.com</v>
      </c>
      <c r="N2369" s="23">
        <v>46175.77915509259</v>
      </c>
      <c r="O2369" s="14" t="str">
        <f>HYPERLINK("https://otsuka-europe-crm.veevavault.com/ui/#object/email_activity__v/V8C00000003M195", "EN-002088376")</f>
        <v>EN-002088376</v>
      </c>
    </row>
    <row r="2370" spans="1:15" ht="16" x14ac:dyDescent="0.2">
      <c r="A2370" s="19"/>
      <c r="B2370" s="19"/>
      <c r="C2370" s="19"/>
      <c r="D2370" s="19"/>
      <c r="E2370" s="19"/>
      <c r="F2370" s="19"/>
      <c r="G2370" s="19"/>
      <c r="H2370" s="19"/>
      <c r="I2370" s="19"/>
      <c r="J2370" s="19"/>
      <c r="K2370" s="19"/>
      <c r="L2370" s="19"/>
      <c r="M2370" s="19"/>
      <c r="N2370" s="19"/>
      <c r="O2370" s="14" t="str">
        <f>HYPERLINK("https://otsuka-europe-crm.veevavault.com/ui/#object/email_activity__v/V8C00000003N047", "EN-002088091")</f>
        <v>EN-002088091</v>
      </c>
    </row>
    <row r="2371" spans="1:15" ht="16" x14ac:dyDescent="0.2">
      <c r="A2371" s="17" t="str">
        <f>HYPERLINK("https://otsuka-europe-crm.veevavault.com/ui/#object/account__v/V4TZ06G6O71TB2J", "JUDITH FATIMA MARTINS MUÑOZ")</f>
        <v>JUDITH FATIMA MARTINS MUÑOZ</v>
      </c>
      <c r="B2371" s="17" t="str">
        <f>HYPERLINK("https://otsuka-europe-crm.veevavault.com/ui/#object/vcountry__v/VENZ000004SONF5", "ES")</f>
        <v>ES</v>
      </c>
      <c r="C2371" s="20" t="s">
        <v>41</v>
      </c>
      <c r="D2371" s="21" t="str">
        <f>HYPERLINK("https://otsuka-europe-crm.veevavault.com/ui/#object/approved_document__v/V5O00000001A037", "LUP - VAE Póster Adelphi - Nefro")</f>
        <v>LUP - VAE Póster Adelphi - Nefro</v>
      </c>
      <c r="E2371" s="22" t="str">
        <f>HYPERLINK("https://otsuka-europe-crm.veevavault.com/ui/#object/sent_email__v/VBL00000002N667", "SE-001431885")</f>
        <v>SE-001431885</v>
      </c>
      <c r="F2371" s="25"/>
      <c r="G2371" s="24">
        <v>0</v>
      </c>
      <c r="H2371" s="24">
        <v>0</v>
      </c>
      <c r="I2371" s="24">
        <v>0</v>
      </c>
      <c r="J2371" s="25"/>
      <c r="K2371" s="24">
        <v>0</v>
      </c>
      <c r="L2371" s="22" t="str">
        <f>HYPERLINK("https://otsuka-europe-crm.veevavault.com/ui/#object/approved_document__v/V5O00000001A037", "LUP - VAE Póster Adelphi - Nefro")</f>
        <v>LUP - VAE Póster Adelphi - Nefro</v>
      </c>
      <c r="M2371" s="22" t="str">
        <f>HYPERLINK("mailto:ccoll@crm.otsuka-europe.com", "ccoll@crm.otsuka-europe.com")</f>
        <v>ccoll@crm.otsuka-europe.com</v>
      </c>
      <c r="N2371" s="23">
        <v>46175.77915509259</v>
      </c>
      <c r="O2371" s="14" t="str">
        <f>HYPERLINK("https://otsuka-europe-crm.veevavault.com/ui/#object/email_activity__v/V8C00000003N048", "EN-002088092")</f>
        <v>EN-002088092</v>
      </c>
    </row>
    <row r="2372" spans="1:15" ht="16" x14ac:dyDescent="0.2">
      <c r="A2372" s="19"/>
      <c r="B2372" s="19"/>
      <c r="C2372" s="19"/>
      <c r="D2372" s="19"/>
      <c r="E2372" s="19"/>
      <c r="F2372" s="19"/>
      <c r="G2372" s="19"/>
      <c r="H2372" s="19"/>
      <c r="I2372" s="19"/>
      <c r="J2372" s="19"/>
      <c r="K2372" s="19"/>
      <c r="L2372" s="19"/>
      <c r="M2372" s="19"/>
      <c r="N2372" s="19"/>
      <c r="O2372" s="14" t="str">
        <f>HYPERLINK("https://otsuka-europe-crm.veevavault.com/ui/#object/email_activity__v/V8C00000003N306", "EN-002088468")</f>
        <v>EN-002088468</v>
      </c>
    </row>
    <row r="2373" spans="1:15" ht="32" x14ac:dyDescent="0.2">
      <c r="A2373" s="7" t="str">
        <f>HYPERLINK("https://otsuka-europe-crm.veevavault.com/ui/#object/account__v/V4TZ04ASG9MA1MT", "MARIA MILAGROS VAZQUEZ GOMEZ")</f>
        <v>MARIA MILAGROS VAZQUEZ GOMEZ</v>
      </c>
      <c r="B2373" s="7" t="str">
        <f>HYPERLINK("https://otsuka-europe-crm.veevavault.com/ui/#object/vcountry__v/VENZ000004SONF5", "ES")</f>
        <v>ES</v>
      </c>
      <c r="C2373" s="8" t="s">
        <v>41</v>
      </c>
      <c r="D2373" s="9" t="str">
        <f>HYPERLINK("https://otsuka-europe-crm.veevavault.com/ui/#object/approved_document__v/V5O00000001A037", "LUP - VAE Póster Adelphi - Nefro")</f>
        <v>LUP - VAE Póster Adelphi - Nefro</v>
      </c>
      <c r="E2373" s="10" t="str">
        <f>HYPERLINK("https://otsuka-europe-crm.veevavault.com/ui/#object/sent_email__v/VBL00000002N668", "SE-001431886")</f>
        <v>SE-001431886</v>
      </c>
      <c r="F2373" s="11"/>
      <c r="G2373" s="12">
        <v>0</v>
      </c>
      <c r="H2373" s="12">
        <v>0</v>
      </c>
      <c r="I2373" s="12">
        <v>0</v>
      </c>
      <c r="J2373" s="11"/>
      <c r="K2373" s="12">
        <v>0</v>
      </c>
      <c r="L2373" s="10" t="str">
        <f>HYPERLINK("https://otsuka-europe-crm.veevavault.com/ui/#object/approved_document__v/V5O00000001A037", "LUP - VAE Póster Adelphi - Nefro")</f>
        <v>LUP - VAE Póster Adelphi - Nefro</v>
      </c>
      <c r="M2373" s="10" t="str">
        <f>HYPERLINK("mailto:ccoll@crm.otsuka-europe.com", "ccoll@crm.otsuka-europe.com")</f>
        <v>ccoll@crm.otsuka-europe.com</v>
      </c>
      <c r="N2373" s="13">
        <v>46175.779189814813</v>
      </c>
      <c r="O2373" s="14" t="str">
        <f>HYPERLINK("https://otsuka-europe-crm.veevavault.com/ui/#object/email_activity__v/V8C00000003N073", "EN-002088117")</f>
        <v>EN-002088117</v>
      </c>
    </row>
    <row r="2374" spans="1:15" ht="16" x14ac:dyDescent="0.2">
      <c r="A2374" s="17" t="str">
        <f>HYPERLINK("https://otsuka-europe-crm.veevavault.com/ui/#object/account__v/V4TZ025E87GCXMX", "CLAUDIA FLORES CORTES")</f>
        <v>CLAUDIA FLORES CORTES</v>
      </c>
      <c r="B2374" s="17" t="str">
        <f>HYPERLINK("https://otsuka-europe-crm.veevavault.com/ui/#object/vcountry__v/VENZ000004SONF5", "ES")</f>
        <v>ES</v>
      </c>
      <c r="C2374" s="20" t="s">
        <v>41</v>
      </c>
      <c r="D2374" s="21" t="str">
        <f>HYPERLINK("https://otsuka-europe-crm.veevavault.com/ui/#object/approved_document__v/V5O00000001A037", "LUP - VAE Póster Adelphi - Nefro")</f>
        <v>LUP - VAE Póster Adelphi - Nefro</v>
      </c>
      <c r="E2374" s="22" t="str">
        <f>HYPERLINK("https://otsuka-europe-crm.veevavault.com/ui/#object/sent_email__v/VBL00000002N669", "SE-001431887")</f>
        <v>SE-001431887</v>
      </c>
      <c r="F2374" s="23">
        <v>46177.263645833336</v>
      </c>
      <c r="G2374" s="24">
        <v>1</v>
      </c>
      <c r="H2374" s="24">
        <v>3</v>
      </c>
      <c r="I2374" s="24">
        <v>0</v>
      </c>
      <c r="J2374" s="25"/>
      <c r="K2374" s="24">
        <v>0</v>
      </c>
      <c r="L2374" s="22" t="str">
        <f>HYPERLINK("https://otsuka-europe-crm.veevavault.com/ui/#object/approved_document__v/V5O00000001A037", "LUP - VAE Póster Adelphi - Nefro")</f>
        <v>LUP - VAE Póster Adelphi - Nefro</v>
      </c>
      <c r="M2374" s="22" t="str">
        <f>HYPERLINK("mailto:ccoll@crm.otsuka-europe.com", "ccoll@crm.otsuka-europe.com")</f>
        <v>ccoll@crm.otsuka-europe.com</v>
      </c>
      <c r="N2374" s="23">
        <v>46175.77915509259</v>
      </c>
      <c r="O2374" s="14" t="str">
        <f>HYPERLINK("https://otsuka-europe-crm.veevavault.com/ui/#object/email_activity__v/V8C00000003M155", "EN-002088309")</f>
        <v>EN-002088309</v>
      </c>
    </row>
    <row r="2375" spans="1:15" ht="16" x14ac:dyDescent="0.2">
      <c r="A2375" s="18"/>
      <c r="B2375" s="18"/>
      <c r="C2375" s="18"/>
      <c r="D2375" s="18"/>
      <c r="E2375" s="18"/>
      <c r="F2375" s="18"/>
      <c r="G2375" s="18"/>
      <c r="H2375" s="18"/>
      <c r="I2375" s="18"/>
      <c r="J2375" s="18"/>
      <c r="K2375" s="18"/>
      <c r="L2375" s="18"/>
      <c r="M2375" s="18"/>
      <c r="N2375" s="18"/>
      <c r="O2375" s="14" t="str">
        <f>HYPERLINK("https://otsuka-europe-crm.veevavault.com/ui/#object/email_activity__v/V8C00000003M426", "EN-002088872")</f>
        <v>EN-002088872</v>
      </c>
    </row>
    <row r="2376" spans="1:15" ht="16" x14ac:dyDescent="0.2">
      <c r="A2376" s="18"/>
      <c r="B2376" s="18"/>
      <c r="C2376" s="18"/>
      <c r="D2376" s="18"/>
      <c r="E2376" s="18"/>
      <c r="F2376" s="18"/>
      <c r="G2376" s="18"/>
      <c r="H2376" s="18"/>
      <c r="I2376" s="18"/>
      <c r="J2376" s="18"/>
      <c r="K2376" s="18"/>
      <c r="L2376" s="18"/>
      <c r="M2376" s="18"/>
      <c r="N2376" s="18"/>
      <c r="O2376" s="14" t="str">
        <f>HYPERLINK("https://otsuka-europe-crm.veevavault.com/ui/#object/email_activity__v/V8C00000003N150", "EN-002088194")</f>
        <v>EN-002088194</v>
      </c>
    </row>
    <row r="2377" spans="1:15" ht="16" x14ac:dyDescent="0.2">
      <c r="A2377" s="19"/>
      <c r="B2377" s="19"/>
      <c r="C2377" s="19"/>
      <c r="D2377" s="19"/>
      <c r="E2377" s="19"/>
      <c r="F2377" s="19"/>
      <c r="G2377" s="19"/>
      <c r="H2377" s="19"/>
      <c r="I2377" s="19"/>
      <c r="J2377" s="19"/>
      <c r="K2377" s="19"/>
      <c r="L2377" s="19"/>
      <c r="M2377" s="19"/>
      <c r="N2377" s="19"/>
      <c r="O2377" s="14" t="str">
        <f>HYPERLINK("https://otsuka-europe-crm.veevavault.com/ui/#object/email_activity__v/V8C00000003N542", "EN-002088871")</f>
        <v>EN-002088871</v>
      </c>
    </row>
    <row r="2378" spans="1:15" ht="32" x14ac:dyDescent="0.2">
      <c r="A2378" s="7" t="str">
        <f>HYPERLINK("https://otsuka-europe-crm.veevavault.com/ui/#object/account__v/V4TZ025E878V3AA", "MAITANE DEL POZO ECHEZARRETA")</f>
        <v>MAITANE DEL POZO ECHEZARRETA</v>
      </c>
      <c r="B2378" s="7" t="str">
        <f>HYPERLINK("https://otsuka-europe-crm.veevavault.com/ui/#object/vcountry__v/VENZ000004SONF5", "ES")</f>
        <v>ES</v>
      </c>
      <c r="C2378" s="8" t="s">
        <v>41</v>
      </c>
      <c r="D2378" s="9" t="str">
        <f>HYPERLINK("https://otsuka-europe-crm.veevavault.com/ui/#object/approved_document__v/V5O00000001A037", "LUP - VAE Póster Adelphi - Nefro")</f>
        <v>LUP - VAE Póster Adelphi - Nefro</v>
      </c>
      <c r="E2378" s="10" t="str">
        <f>HYPERLINK("https://otsuka-europe-crm.veevavault.com/ui/#object/sent_email__v/VBL00000002N670", "SE-001431888")</f>
        <v>SE-001431888</v>
      </c>
      <c r="F2378" s="11"/>
      <c r="G2378" s="12">
        <v>0</v>
      </c>
      <c r="H2378" s="12">
        <v>0</v>
      </c>
      <c r="I2378" s="12">
        <v>0</v>
      </c>
      <c r="J2378" s="11"/>
      <c r="K2378" s="12">
        <v>0</v>
      </c>
      <c r="L2378" s="10" t="str">
        <f>HYPERLINK("https://otsuka-europe-crm.veevavault.com/ui/#object/approved_document__v/V5O00000001A037", "LUP - VAE Póster Adelphi - Nefro")</f>
        <v>LUP - VAE Póster Adelphi - Nefro</v>
      </c>
      <c r="M2378" s="10" t="str">
        <f>HYPERLINK("mailto:ccoll@crm.otsuka-europe.com", "ccoll@crm.otsuka-europe.com")</f>
        <v>ccoll@crm.otsuka-europe.com</v>
      </c>
      <c r="N2378" s="13">
        <v>46175.77915509259</v>
      </c>
      <c r="O2378" s="14" t="str">
        <f>HYPERLINK("https://otsuka-europe-crm.veevavault.com/ui/#object/email_activity__v/V8C00000003N148", "EN-002088192")</f>
        <v>EN-002088192</v>
      </c>
    </row>
    <row r="2379" spans="1:15" ht="16" x14ac:dyDescent="0.2">
      <c r="A2379" s="17" t="str">
        <f>HYPERLINK("https://otsuka-europe-crm.veevavault.com/ui/#object/account__v/V4TZ06G6O71UQS8", "PALOMA LIVIANOS ARIAS-CAMISON")</f>
        <v>PALOMA LIVIANOS ARIAS-CAMISON</v>
      </c>
      <c r="B2379" s="17" t="str">
        <f>HYPERLINK("https://otsuka-europe-crm.veevavault.com/ui/#object/vcountry__v/VENZ000004SONF5", "ES")</f>
        <v>ES</v>
      </c>
      <c r="C2379" s="20" t="s">
        <v>41</v>
      </c>
      <c r="D2379" s="21" t="str">
        <f>HYPERLINK("https://otsuka-europe-crm.veevavault.com/ui/#object/approved_document__v/V5O00000001A037", "LUP - VAE Póster Adelphi - Nefro")</f>
        <v>LUP - VAE Póster Adelphi - Nefro</v>
      </c>
      <c r="E2379" s="22" t="str">
        <f>HYPERLINK("https://otsuka-europe-crm.veevavault.com/ui/#object/sent_email__v/VBL00000002N671", "SE-001431889")</f>
        <v>SE-001431889</v>
      </c>
      <c r="F2379" s="23">
        <v>46175.796759259261</v>
      </c>
      <c r="G2379" s="24">
        <v>1</v>
      </c>
      <c r="H2379" s="24">
        <v>1</v>
      </c>
      <c r="I2379" s="24">
        <v>0</v>
      </c>
      <c r="J2379" s="25"/>
      <c r="K2379" s="24">
        <v>0</v>
      </c>
      <c r="L2379" s="22" t="str">
        <f>HYPERLINK("https://otsuka-europe-crm.veevavault.com/ui/#object/approved_document__v/V5O00000001A037", "LUP - VAE Póster Adelphi - Nefro")</f>
        <v>LUP - VAE Póster Adelphi - Nefro</v>
      </c>
      <c r="M2379" s="22" t="str">
        <f>HYPERLINK("mailto:ccoll@crm.otsuka-europe.com", "ccoll@crm.otsuka-europe.com")</f>
        <v>ccoll@crm.otsuka-europe.com</v>
      </c>
      <c r="N2379" s="23">
        <v>46175.77915509259</v>
      </c>
      <c r="O2379" s="14" t="str">
        <f>HYPERLINK("https://otsuka-europe-crm.veevavault.com/ui/#object/email_activity__v/V8C00000003N134", "EN-002088178")</f>
        <v>EN-002088178</v>
      </c>
    </row>
    <row r="2380" spans="1:15" ht="16" x14ac:dyDescent="0.2">
      <c r="A2380" s="19"/>
      <c r="B2380" s="19"/>
      <c r="C2380" s="19"/>
      <c r="D2380" s="19"/>
      <c r="E2380" s="19"/>
      <c r="F2380" s="19"/>
      <c r="G2380" s="19"/>
      <c r="H2380" s="19"/>
      <c r="I2380" s="19"/>
      <c r="J2380" s="19"/>
      <c r="K2380" s="19"/>
      <c r="L2380" s="19"/>
      <c r="M2380" s="19"/>
      <c r="N2380" s="19"/>
      <c r="O2380" s="14" t="str">
        <f>HYPERLINK("https://otsuka-europe-crm.veevavault.com/ui/#object/email_activity__v/V8C00000003N246", "EN-002088312")</f>
        <v>EN-002088312</v>
      </c>
    </row>
    <row r="2381" spans="1:15" ht="16" x14ac:dyDescent="0.2">
      <c r="A2381" s="17" t="str">
        <f>HYPERLINK("https://otsuka-europe-crm.veevavault.com/ui/#object/account__v/V4TZ025E885VOSI", "FATIMA ALVAREDO DE BEAS")</f>
        <v>FATIMA ALVAREDO DE BEAS</v>
      </c>
      <c r="B2381" s="17" t="str">
        <f>HYPERLINK("https://otsuka-europe-crm.veevavault.com/ui/#object/vcountry__v/VENZ000004SONF5", "ES")</f>
        <v>ES</v>
      </c>
      <c r="C2381" s="20" t="s">
        <v>41</v>
      </c>
      <c r="D2381" s="21" t="str">
        <f>HYPERLINK("https://otsuka-europe-crm.veevavault.com/ui/#object/approved_document__v/V5O00000001A037", "LUP - VAE Póster Adelphi - Nefro")</f>
        <v>LUP - VAE Póster Adelphi - Nefro</v>
      </c>
      <c r="E2381" s="22" t="str">
        <f>HYPERLINK("https://otsuka-europe-crm.veevavault.com/ui/#object/sent_email__v/VBL00000002N672", "SE-001431890")</f>
        <v>SE-001431890</v>
      </c>
      <c r="F2381" s="23">
        <v>46175.935023148151</v>
      </c>
      <c r="G2381" s="24">
        <v>1</v>
      </c>
      <c r="H2381" s="24">
        <v>1</v>
      </c>
      <c r="I2381" s="24">
        <v>1</v>
      </c>
      <c r="J2381" s="23">
        <v>46177.388888888891</v>
      </c>
      <c r="K2381" s="24">
        <v>2</v>
      </c>
      <c r="L2381" s="22" t="str">
        <f>HYPERLINK("https://otsuka-europe-crm.veevavault.com/ui/#object/approved_document__v/V5O00000001A037", "LUP - VAE Póster Adelphi - Nefro")</f>
        <v>LUP - VAE Póster Adelphi - Nefro</v>
      </c>
      <c r="M2381" s="22" t="str">
        <f>HYPERLINK("mailto:ccoll@crm.otsuka-europe.com", "ccoll@crm.otsuka-europe.com")</f>
        <v>ccoll@crm.otsuka-europe.com</v>
      </c>
      <c r="N2381" s="23">
        <v>46175.77915509259</v>
      </c>
      <c r="O2381" s="14" t="str">
        <f>HYPERLINK("https://otsuka-europe-crm.veevavault.com/ui/#object/email_activity__v/V8C00000003M443", "EN-002088918")</f>
        <v>EN-002088918</v>
      </c>
    </row>
    <row r="2382" spans="1:15" ht="16" x14ac:dyDescent="0.2">
      <c r="A2382" s="18"/>
      <c r="B2382" s="18"/>
      <c r="C2382" s="18"/>
      <c r="D2382" s="18"/>
      <c r="E2382" s="18"/>
      <c r="F2382" s="18"/>
      <c r="G2382" s="18"/>
      <c r="H2382" s="18"/>
      <c r="I2382" s="18"/>
      <c r="J2382" s="18"/>
      <c r="K2382" s="18"/>
      <c r="L2382" s="18"/>
      <c r="M2382" s="18"/>
      <c r="N2382" s="18"/>
      <c r="O2382" s="14" t="str">
        <f>HYPERLINK("https://otsuka-europe-crm.veevavault.com/ui/#object/email_activity__v/V8C00000003M459", "EN-002088944")</f>
        <v>EN-002088944</v>
      </c>
    </row>
    <row r="2383" spans="1:15" ht="16" x14ac:dyDescent="0.2">
      <c r="A2383" s="18"/>
      <c r="B2383" s="18"/>
      <c r="C2383" s="18"/>
      <c r="D2383" s="18"/>
      <c r="E2383" s="18"/>
      <c r="F2383" s="18"/>
      <c r="G2383" s="18"/>
      <c r="H2383" s="18"/>
      <c r="I2383" s="18"/>
      <c r="J2383" s="18"/>
      <c r="K2383" s="18"/>
      <c r="L2383" s="18"/>
      <c r="M2383" s="18"/>
      <c r="N2383" s="18"/>
      <c r="O2383" s="14" t="str">
        <f>HYPERLINK("https://otsuka-europe-crm.veevavault.com/ui/#object/email_activity__v/V8C00000003N065", "EN-002088109")</f>
        <v>EN-002088109</v>
      </c>
    </row>
    <row r="2384" spans="1:15" ht="16" x14ac:dyDescent="0.2">
      <c r="A2384" s="18"/>
      <c r="B2384" s="18"/>
      <c r="C2384" s="18"/>
      <c r="D2384" s="18"/>
      <c r="E2384" s="18"/>
      <c r="F2384" s="18"/>
      <c r="G2384" s="18"/>
      <c r="H2384" s="18"/>
      <c r="I2384" s="18"/>
      <c r="J2384" s="18"/>
      <c r="K2384" s="18"/>
      <c r="L2384" s="18"/>
      <c r="M2384" s="18"/>
      <c r="N2384" s="18"/>
      <c r="O2384" s="14" t="str">
        <f>HYPERLINK("https://otsuka-europe-crm.veevavault.com/ui/#object/email_activity__v/V8C00000003N300", "EN-002088456")</f>
        <v>EN-002088456</v>
      </c>
    </row>
    <row r="2385" spans="1:15" ht="16" x14ac:dyDescent="0.2">
      <c r="A2385" s="19"/>
      <c r="B2385" s="19"/>
      <c r="C2385" s="19"/>
      <c r="D2385" s="19"/>
      <c r="E2385" s="19"/>
      <c r="F2385" s="19"/>
      <c r="G2385" s="19"/>
      <c r="H2385" s="19"/>
      <c r="I2385" s="19"/>
      <c r="J2385" s="19"/>
      <c r="K2385" s="19"/>
      <c r="L2385" s="19"/>
      <c r="M2385" s="19"/>
      <c r="N2385" s="19"/>
      <c r="O2385" s="14" t="str">
        <f>HYPERLINK("https://otsuka-europe-crm.veevavault.com/ui/#object/email_activity__v/V8C00000003N571", "EN-002088917")</f>
        <v>EN-002088917</v>
      </c>
    </row>
    <row r="2386" spans="1:15" ht="32" x14ac:dyDescent="0.2">
      <c r="A2386" s="7" t="str">
        <f>HYPERLINK("https://otsuka-europe-crm.veevavault.com/ui/#object/account__v/V4TZ06G6O71TBNL", "ESTEBAN POCH LOPEZ DE BRIÑAS")</f>
        <v>ESTEBAN POCH LOPEZ DE BRIÑAS</v>
      </c>
      <c r="B2386" s="7" t="str">
        <f>HYPERLINK("https://otsuka-europe-crm.veevavault.com/ui/#object/vcountry__v/VENZ000004SONF5", "ES")</f>
        <v>ES</v>
      </c>
      <c r="C2386" s="8" t="s">
        <v>41</v>
      </c>
      <c r="D2386" s="9" t="str">
        <f>HYPERLINK("https://otsuka-europe-crm.veevavault.com/ui/#object/approved_document__v/V5O00000001A037", "LUP - VAE Póster Adelphi - Nefro")</f>
        <v>LUP - VAE Póster Adelphi - Nefro</v>
      </c>
      <c r="E2386" s="10" t="str">
        <f>HYPERLINK("https://otsuka-europe-crm.veevavault.com/ui/#object/sent_email__v/VBL00000002N673", "SE-001431891")</f>
        <v>SE-001431891</v>
      </c>
      <c r="F2386" s="11"/>
      <c r="G2386" s="12">
        <v>0</v>
      </c>
      <c r="H2386" s="12">
        <v>0</v>
      </c>
      <c r="I2386" s="12">
        <v>0</v>
      </c>
      <c r="J2386" s="11"/>
      <c r="K2386" s="12">
        <v>0</v>
      </c>
      <c r="L2386" s="10" t="str">
        <f>HYPERLINK("https://otsuka-europe-crm.veevavault.com/ui/#object/approved_document__v/V5O00000001A037", "LUP - VAE Póster Adelphi - Nefro")</f>
        <v>LUP - VAE Póster Adelphi - Nefro</v>
      </c>
      <c r="M2386" s="10" t="str">
        <f>HYPERLINK("mailto:ccoll@crm.otsuka-europe.com", "ccoll@crm.otsuka-europe.com")</f>
        <v>ccoll@crm.otsuka-europe.com</v>
      </c>
      <c r="N2386" s="13">
        <v>46175.779189814813</v>
      </c>
      <c r="O2386" s="14" t="str">
        <f>HYPERLINK("https://otsuka-europe-crm.veevavault.com/ui/#object/email_activity__v/V8C00000003N107", "EN-002088151")</f>
        <v>EN-002088151</v>
      </c>
    </row>
    <row r="2387" spans="1:15" ht="16" x14ac:dyDescent="0.2">
      <c r="A2387" s="17" t="str">
        <f>HYPERLINK("https://otsuka-europe-crm.veevavault.com/ui/#object/account__v/V4TZ04ASGG579JH", "JOAQUIM CASALS URQUIZA")</f>
        <v>JOAQUIM CASALS URQUIZA</v>
      </c>
      <c r="B2387" s="17" t="str">
        <f>HYPERLINK("https://otsuka-europe-crm.veevavault.com/ui/#object/vcountry__v/VENZ000004SONF5", "ES")</f>
        <v>ES</v>
      </c>
      <c r="C2387" s="20" t="s">
        <v>41</v>
      </c>
      <c r="D2387" s="21" t="str">
        <f>HYPERLINK("https://otsuka-europe-crm.veevavault.com/ui/#object/approved_document__v/V5O00000001A037", "LUP - VAE Póster Adelphi - Nefro")</f>
        <v>LUP - VAE Póster Adelphi - Nefro</v>
      </c>
      <c r="E2387" s="22" t="str">
        <f>HYPERLINK("https://otsuka-europe-crm.veevavault.com/ui/#object/sent_email__v/VBL00000002N674", "SE-001431892")</f>
        <v>SE-001431892</v>
      </c>
      <c r="F2387" s="23">
        <v>46176.420682870368</v>
      </c>
      <c r="G2387" s="24">
        <v>1</v>
      </c>
      <c r="H2387" s="24">
        <v>1</v>
      </c>
      <c r="I2387" s="24">
        <v>0</v>
      </c>
      <c r="J2387" s="25"/>
      <c r="K2387" s="24">
        <v>0</v>
      </c>
      <c r="L2387" s="22" t="str">
        <f>HYPERLINK("https://otsuka-europe-crm.veevavault.com/ui/#object/approved_document__v/V5O00000001A037", "LUP - VAE Póster Adelphi - Nefro")</f>
        <v>LUP - VAE Póster Adelphi - Nefro</v>
      </c>
      <c r="M2387" s="22" t="str">
        <f>HYPERLINK("mailto:ccoll@crm.otsuka-europe.com", "ccoll@crm.otsuka-europe.com")</f>
        <v>ccoll@crm.otsuka-europe.com</v>
      </c>
      <c r="N2387" s="23">
        <v>46175.77915509259</v>
      </c>
      <c r="O2387" s="14" t="str">
        <f>HYPERLINK("https://otsuka-europe-crm.veevavault.com/ui/#object/email_activity__v/V8C00000003M335", "EN-002088650")</f>
        <v>EN-002088650</v>
      </c>
    </row>
    <row r="2388" spans="1:15" ht="16" x14ac:dyDescent="0.2">
      <c r="A2388" s="19"/>
      <c r="B2388" s="19"/>
      <c r="C2388" s="19"/>
      <c r="D2388" s="19"/>
      <c r="E2388" s="19"/>
      <c r="F2388" s="19"/>
      <c r="G2388" s="19"/>
      <c r="H2388" s="19"/>
      <c r="I2388" s="19"/>
      <c r="J2388" s="19"/>
      <c r="K2388" s="19"/>
      <c r="L2388" s="19"/>
      <c r="M2388" s="19"/>
      <c r="N2388" s="19"/>
      <c r="O2388" s="14" t="str">
        <f>HYPERLINK("https://otsuka-europe-crm.veevavault.com/ui/#object/email_activity__v/V8C00000003N139", "EN-002088183")</f>
        <v>EN-002088183</v>
      </c>
    </row>
    <row r="2389" spans="1:15" ht="32" x14ac:dyDescent="0.2">
      <c r="A2389" s="7" t="str">
        <f>HYPERLINK("https://otsuka-europe-crm.veevavault.com/ui/#object/account__v/V4TZ06G6O7W4ZMZ", "CASSANDRA PUIG HOOPER")</f>
        <v>CASSANDRA PUIG HOOPER</v>
      </c>
      <c r="B2389" s="7" t="str">
        <f>HYPERLINK("https://otsuka-europe-crm.veevavault.com/ui/#object/vcountry__v/VENZ000004SONF5", "ES")</f>
        <v>ES</v>
      </c>
      <c r="C2389" s="8" t="s">
        <v>41</v>
      </c>
      <c r="D2389" s="9" t="str">
        <f>HYPERLINK("https://otsuka-europe-crm.veevavault.com/ui/#object/approved_document__v/V5O00000001A037", "LUP - VAE Póster Adelphi - Nefro")</f>
        <v>LUP - VAE Póster Adelphi - Nefro</v>
      </c>
      <c r="E2389" s="10" t="str">
        <f>HYPERLINK("https://otsuka-europe-crm.veevavault.com/ui/#object/sent_email__v/VBL00000002N675", "SE-001431893")</f>
        <v>SE-001431893</v>
      </c>
      <c r="F2389" s="11"/>
      <c r="G2389" s="12">
        <v>0</v>
      </c>
      <c r="H2389" s="12">
        <v>0</v>
      </c>
      <c r="I2389" s="12">
        <v>0</v>
      </c>
      <c r="J2389" s="11"/>
      <c r="K2389" s="12">
        <v>0</v>
      </c>
      <c r="L2389" s="10" t="str">
        <f>HYPERLINK("https://otsuka-europe-crm.veevavault.com/ui/#object/approved_document__v/V5O00000001A037", "LUP - VAE Póster Adelphi - Nefro")</f>
        <v>LUP - VAE Póster Adelphi - Nefro</v>
      </c>
      <c r="M2389" s="10" t="str">
        <f>HYPERLINK("mailto:ccoll@crm.otsuka-europe.com", "ccoll@crm.otsuka-europe.com")</f>
        <v>ccoll@crm.otsuka-europe.com</v>
      </c>
      <c r="N2389" s="13">
        <v>46175.77915509259</v>
      </c>
      <c r="O2389" s="14" t="str">
        <f>HYPERLINK("https://otsuka-europe-crm.veevavault.com/ui/#object/email_activity__v/V8C00000003N059", "EN-002088103")</f>
        <v>EN-002088103</v>
      </c>
    </row>
    <row r="2390" spans="1:15" ht="32" x14ac:dyDescent="0.2">
      <c r="A2390" s="7" t="str">
        <f>HYPERLINK("https://otsuka-europe-crm.veevavault.com/ui/#object/account__v/V4TZ06G6O71T8HH", "AROA ROVIRA ROIG")</f>
        <v>AROA ROVIRA ROIG</v>
      </c>
      <c r="B2390" s="7" t="str">
        <f>HYPERLINK("https://otsuka-europe-crm.veevavault.com/ui/#object/vcountry__v/VENZ000004SONF5", "ES")</f>
        <v>ES</v>
      </c>
      <c r="C2390" s="8" t="s">
        <v>41</v>
      </c>
      <c r="D2390" s="9" t="str">
        <f>HYPERLINK("https://otsuka-europe-crm.veevavault.com/ui/#object/approved_document__v/V5O00000001A037", "LUP - VAE Póster Adelphi - Nefro")</f>
        <v>LUP - VAE Póster Adelphi - Nefro</v>
      </c>
      <c r="E2390" s="10" t="str">
        <f>HYPERLINK("https://otsuka-europe-crm.veevavault.com/ui/#object/sent_email__v/VBL00000002N676", "SE-001431894")</f>
        <v>SE-001431894</v>
      </c>
      <c r="F2390" s="11"/>
      <c r="G2390" s="12">
        <v>0</v>
      </c>
      <c r="H2390" s="12">
        <v>0</v>
      </c>
      <c r="I2390" s="12">
        <v>0</v>
      </c>
      <c r="J2390" s="11"/>
      <c r="K2390" s="12">
        <v>0</v>
      </c>
      <c r="L2390" s="10" t="str">
        <f>HYPERLINK("https://otsuka-europe-crm.veevavault.com/ui/#object/approved_document__v/V5O00000001A037", "LUP - VAE Póster Adelphi - Nefro")</f>
        <v>LUP - VAE Póster Adelphi - Nefro</v>
      </c>
      <c r="M2390" s="10" t="str">
        <f>HYPERLINK("mailto:ccoll@crm.otsuka-europe.com", "ccoll@crm.otsuka-europe.com")</f>
        <v>ccoll@crm.otsuka-europe.com</v>
      </c>
      <c r="N2390" s="13">
        <v>46175.77915509259</v>
      </c>
      <c r="O2390" s="14" t="str">
        <f>HYPERLINK("https://otsuka-europe-crm.veevavault.com/ui/#object/email_activity__v/V8C00000003N044", "EN-002088083")</f>
        <v>EN-002088083</v>
      </c>
    </row>
    <row r="2391" spans="1:15" ht="32" x14ac:dyDescent="0.2">
      <c r="A2391" s="7" t="str">
        <f>HYPERLINK("https://otsuka-europe-crm.veevavault.com/ui/#object/account__v/V4TZ025E88XIUVF", "ANDRES HERRERA NARANJO")</f>
        <v>ANDRES HERRERA NARANJO</v>
      </c>
      <c r="B2391" s="7" t="str">
        <f>HYPERLINK("https://otsuka-europe-crm.veevavault.com/ui/#object/vcountry__v/VENZ000004SONF5", "ES")</f>
        <v>ES</v>
      </c>
      <c r="C2391" s="8" t="s">
        <v>41</v>
      </c>
      <c r="D2391" s="9" t="str">
        <f>HYPERLINK("https://otsuka-europe-crm.veevavault.com/ui/#object/approved_document__v/V5O00000001A037", "LUP - VAE Póster Adelphi - Nefro")</f>
        <v>LUP - VAE Póster Adelphi - Nefro</v>
      </c>
      <c r="E2391" s="10" t="str">
        <f>HYPERLINK("https://otsuka-europe-crm.veevavault.com/ui/#object/sent_email__v/VBL00000002N677", "SE-001431895")</f>
        <v>SE-001431895</v>
      </c>
      <c r="F2391" s="11"/>
      <c r="G2391" s="12">
        <v>0</v>
      </c>
      <c r="H2391" s="12">
        <v>0</v>
      </c>
      <c r="I2391" s="12">
        <v>0</v>
      </c>
      <c r="J2391" s="11"/>
      <c r="K2391" s="12">
        <v>0</v>
      </c>
      <c r="L2391" s="10" t="str">
        <f>HYPERLINK("https://otsuka-europe-crm.veevavault.com/ui/#object/approved_document__v/V5O00000001A037", "LUP - VAE Póster Adelphi - Nefro")</f>
        <v>LUP - VAE Póster Adelphi - Nefro</v>
      </c>
      <c r="M2391" s="10" t="str">
        <f>HYPERLINK("mailto:ccoll@crm.otsuka-europe.com", "ccoll@crm.otsuka-europe.com")</f>
        <v>ccoll@crm.otsuka-europe.com</v>
      </c>
      <c r="N2391" s="13">
        <v>46175.779189814813</v>
      </c>
      <c r="O2391" s="14" t="str">
        <f>HYPERLINK("https://otsuka-europe-crm.veevavault.com/ui/#object/email_activity__v/V8C00000003N099", "EN-002088143")</f>
        <v>EN-002088143</v>
      </c>
    </row>
    <row r="2392" spans="1:15" ht="32" x14ac:dyDescent="0.2">
      <c r="A2392" s="7" t="str">
        <f>HYPERLINK("https://otsuka-europe-crm.veevavault.com/ui/#object/account__v/V4TZ04ASGGI61CG", "MARTA MARTINEZ CHILLARON")</f>
        <v>MARTA MARTINEZ CHILLARON</v>
      </c>
      <c r="B2392" s="7" t="str">
        <f>HYPERLINK("https://otsuka-europe-crm.veevavault.com/ui/#object/vcountry__v/VENZ000004SONF5", "ES")</f>
        <v>ES</v>
      </c>
      <c r="C2392" s="8" t="s">
        <v>41</v>
      </c>
      <c r="D2392" s="9" t="str">
        <f>HYPERLINK("https://otsuka-europe-crm.veevavault.com/ui/#object/approved_document__v/V5O00000001A037", "LUP - VAE Póster Adelphi - Nefro")</f>
        <v>LUP - VAE Póster Adelphi - Nefro</v>
      </c>
      <c r="E2392" s="10" t="str">
        <f>HYPERLINK("https://otsuka-europe-crm.veevavault.com/ui/#object/sent_email__v/VBL00000002N678", "SE-001431896")</f>
        <v>SE-001431896</v>
      </c>
      <c r="F2392" s="11"/>
      <c r="G2392" s="12">
        <v>0</v>
      </c>
      <c r="H2392" s="12">
        <v>0</v>
      </c>
      <c r="I2392" s="12">
        <v>0</v>
      </c>
      <c r="J2392" s="11"/>
      <c r="K2392" s="12">
        <v>0</v>
      </c>
      <c r="L2392" s="10" t="str">
        <f>HYPERLINK("https://otsuka-europe-crm.veevavault.com/ui/#object/approved_document__v/V5O00000001A037", "LUP - VAE Póster Adelphi - Nefro")</f>
        <v>LUP - VAE Póster Adelphi - Nefro</v>
      </c>
      <c r="M2392" s="10" t="str">
        <f>HYPERLINK("mailto:ccoll@crm.otsuka-europe.com", "ccoll@crm.otsuka-europe.com")</f>
        <v>ccoll@crm.otsuka-europe.com</v>
      </c>
      <c r="N2392" s="13">
        <v>46175.77915509259</v>
      </c>
      <c r="O2392" s="14" t="str">
        <f>HYPERLINK("https://otsuka-europe-crm.veevavault.com/ui/#object/email_activity__v/V8C00000003N069", "EN-002088113")</f>
        <v>EN-002088113</v>
      </c>
    </row>
    <row r="2393" spans="1:15" ht="16" x14ac:dyDescent="0.2">
      <c r="A2393" s="17" t="str">
        <f>HYPERLINK("https://otsuka-europe-crm.veevavault.com/ui/#object/account__v/V4TZ06G6O71TB31", "VICTOR MARTINEZ JIMENEZ")</f>
        <v>VICTOR MARTINEZ JIMENEZ</v>
      </c>
      <c r="B2393" s="17" t="str">
        <f>HYPERLINK("https://otsuka-europe-crm.veevavault.com/ui/#object/vcountry__v/VENZ000004SONF5", "ES")</f>
        <v>ES</v>
      </c>
      <c r="C2393" s="20" t="s">
        <v>41</v>
      </c>
      <c r="D2393" s="21" t="str">
        <f>HYPERLINK("https://otsuka-europe-crm.veevavault.com/ui/#object/approved_document__v/V5O00000001A037", "LUP - VAE Póster Adelphi - Nefro")</f>
        <v>LUP - VAE Póster Adelphi - Nefro</v>
      </c>
      <c r="E2393" s="22" t="str">
        <f>HYPERLINK("https://otsuka-europe-crm.veevavault.com/ui/#object/sent_email__v/VBL00000002N679", "SE-001431897")</f>
        <v>SE-001431897</v>
      </c>
      <c r="F2393" s="23">
        <v>46175.900324074071</v>
      </c>
      <c r="G2393" s="24">
        <v>1</v>
      </c>
      <c r="H2393" s="24">
        <v>1</v>
      </c>
      <c r="I2393" s="24">
        <v>0</v>
      </c>
      <c r="J2393" s="25"/>
      <c r="K2393" s="24">
        <v>0</v>
      </c>
      <c r="L2393" s="22" t="str">
        <f>HYPERLINK("https://otsuka-europe-crm.veevavault.com/ui/#object/approved_document__v/V5O00000001A037", "LUP - VAE Póster Adelphi - Nefro")</f>
        <v>LUP - VAE Póster Adelphi - Nefro</v>
      </c>
      <c r="M2393" s="22" t="str">
        <f>HYPERLINK("mailto:ccoll@crm.otsuka-europe.com", "ccoll@crm.otsuka-europe.com")</f>
        <v>ccoll@crm.otsuka-europe.com</v>
      </c>
      <c r="N2393" s="23">
        <v>46175.77915509259</v>
      </c>
      <c r="O2393" s="14" t="str">
        <f>HYPERLINK("https://otsuka-europe-crm.veevavault.com/ui/#object/email_activity__v/V8C00000003N127", "EN-002088171")</f>
        <v>EN-002088171</v>
      </c>
    </row>
    <row r="2394" spans="1:15" ht="16" x14ac:dyDescent="0.2">
      <c r="A2394" s="18"/>
      <c r="B2394" s="18"/>
      <c r="C2394" s="18"/>
      <c r="D2394" s="18"/>
      <c r="E2394" s="18"/>
      <c r="F2394" s="18"/>
      <c r="G2394" s="18"/>
      <c r="H2394" s="18"/>
      <c r="I2394" s="18"/>
      <c r="J2394" s="18"/>
      <c r="K2394" s="18"/>
      <c r="L2394" s="18"/>
      <c r="M2394" s="18"/>
      <c r="N2394" s="18"/>
      <c r="O2394" s="14" t="str">
        <f>HYPERLINK("https://otsuka-europe-crm.veevavault.com/ui/#object/email_activity__v/V8C00000003N294", "EN-002088441")</f>
        <v>EN-002088441</v>
      </c>
    </row>
    <row r="2395" spans="1:15" ht="16" x14ac:dyDescent="0.2">
      <c r="A2395" s="19"/>
      <c r="B2395" s="19"/>
      <c r="C2395" s="19"/>
      <c r="D2395" s="19"/>
      <c r="E2395" s="19"/>
      <c r="F2395" s="19"/>
      <c r="G2395" s="19"/>
      <c r="H2395" s="19"/>
      <c r="I2395" s="19"/>
      <c r="J2395" s="19"/>
      <c r="K2395" s="19"/>
      <c r="L2395" s="19"/>
      <c r="M2395" s="19"/>
      <c r="N2395" s="19"/>
      <c r="O2395" s="14" t="str">
        <f>HYPERLINK("https://otsuka-europe-crm.veevavault.com/ui/#object/email_activity__v/V8C00000003P049", "EN-002089337")</f>
        <v>EN-002089337</v>
      </c>
    </row>
    <row r="2396" spans="1:15" ht="32" x14ac:dyDescent="0.2">
      <c r="A2396" s="7" t="str">
        <f>HYPERLINK("https://otsuka-europe-crm.veevavault.com/ui/#object/account__v/V4TZ06G6OBU76C6", "MONTSERRAT MERCEDES DIAZ ENCARNACION")</f>
        <v>MONTSERRAT MERCEDES DIAZ ENCARNACION</v>
      </c>
      <c r="B2396" s="7" t="str">
        <f t="shared" ref="B2396:B2404" si="48">HYPERLINK("https://otsuka-europe-crm.veevavault.com/ui/#object/vcountry__v/VENZ000004SONF5", "ES")</f>
        <v>ES</v>
      </c>
      <c r="C2396" s="8" t="s">
        <v>41</v>
      </c>
      <c r="D2396" s="9" t="str">
        <f t="shared" ref="D2396:D2404" si="49">HYPERLINK("https://otsuka-europe-crm.veevavault.com/ui/#object/approved_document__v/V5O00000001A037", "LUP - VAE Póster Adelphi - Nefro")</f>
        <v>LUP - VAE Póster Adelphi - Nefro</v>
      </c>
      <c r="E2396" s="10" t="str">
        <f>HYPERLINK("https://otsuka-europe-crm.veevavault.com/ui/#object/sent_email__v/VBL00000002N680", "SE-001431898")</f>
        <v>SE-001431898</v>
      </c>
      <c r="F2396" s="11"/>
      <c r="G2396" s="12">
        <v>0</v>
      </c>
      <c r="H2396" s="12">
        <v>0</v>
      </c>
      <c r="I2396" s="12">
        <v>0</v>
      </c>
      <c r="J2396" s="11"/>
      <c r="K2396" s="12">
        <v>0</v>
      </c>
      <c r="L2396" s="10" t="str">
        <f t="shared" ref="L2396:L2404" si="50">HYPERLINK("https://otsuka-europe-crm.veevavault.com/ui/#object/approved_document__v/V5O00000001A037", "LUP - VAE Póster Adelphi - Nefro")</f>
        <v>LUP - VAE Póster Adelphi - Nefro</v>
      </c>
      <c r="M2396" s="10" t="str">
        <f t="shared" ref="M2396:M2404" si="51">HYPERLINK("mailto:ccoll@crm.otsuka-europe.com", "ccoll@crm.otsuka-europe.com")</f>
        <v>ccoll@crm.otsuka-europe.com</v>
      </c>
      <c r="N2396" s="13">
        <v>46175.779097222221</v>
      </c>
      <c r="O2396" s="14" t="str">
        <f>HYPERLINK("https://otsuka-europe-crm.veevavault.com/ui/#object/email_activity__v/V8C00000003N123", "EN-002088167")</f>
        <v>EN-002088167</v>
      </c>
    </row>
    <row r="2397" spans="1:15" ht="32" x14ac:dyDescent="0.2">
      <c r="A2397" s="7" t="str">
        <f>HYPERLINK("https://otsuka-europe-crm.veevavault.com/ui/#object/account__v/V4TZ025E894MIXS", "SARA NUÑEZ DELGADO")</f>
        <v>SARA NUÑEZ DELGADO</v>
      </c>
      <c r="B2397" s="7" t="str">
        <f t="shared" si="48"/>
        <v>ES</v>
      </c>
      <c r="C2397" s="8" t="s">
        <v>41</v>
      </c>
      <c r="D2397" s="9" t="str">
        <f t="shared" si="49"/>
        <v>LUP - VAE Póster Adelphi - Nefro</v>
      </c>
      <c r="E2397" s="10" t="str">
        <f>HYPERLINK("https://otsuka-europe-crm.veevavault.com/ui/#object/sent_email__v/VBL00000002N681", "SE-001431899")</f>
        <v>SE-001431899</v>
      </c>
      <c r="F2397" s="11"/>
      <c r="G2397" s="12">
        <v>0</v>
      </c>
      <c r="H2397" s="12">
        <v>0</v>
      </c>
      <c r="I2397" s="12">
        <v>0</v>
      </c>
      <c r="J2397" s="11"/>
      <c r="K2397" s="12">
        <v>0</v>
      </c>
      <c r="L2397" s="10" t="str">
        <f t="shared" si="50"/>
        <v>LUP - VAE Póster Adelphi - Nefro</v>
      </c>
      <c r="M2397" s="10" t="str">
        <f t="shared" si="51"/>
        <v>ccoll@crm.otsuka-europe.com</v>
      </c>
      <c r="N2397" s="13">
        <v>46175.779097222221</v>
      </c>
      <c r="O2397" s="14" t="str">
        <f>HYPERLINK("https://otsuka-europe-crm.veevavault.com/ui/#object/email_activity__v/V8C00000003N061", "EN-002088105")</f>
        <v>EN-002088105</v>
      </c>
    </row>
    <row r="2398" spans="1:15" ht="32" x14ac:dyDescent="0.2">
      <c r="A2398" s="7" t="str">
        <f>HYPERLINK("https://otsuka-europe-crm.veevavault.com/ui/#object/account__v/V4TZ06G6O71T9X3", "RAFAEL JOSE ESTEBAN DE LA ROSA")</f>
        <v>RAFAEL JOSE ESTEBAN DE LA ROSA</v>
      </c>
      <c r="B2398" s="7" t="str">
        <f t="shared" si="48"/>
        <v>ES</v>
      </c>
      <c r="C2398" s="8" t="s">
        <v>41</v>
      </c>
      <c r="D2398" s="9" t="str">
        <f t="shared" si="49"/>
        <v>LUP - VAE Póster Adelphi - Nefro</v>
      </c>
      <c r="E2398" s="10" t="str">
        <f>HYPERLINK("https://otsuka-europe-crm.veevavault.com/ui/#object/sent_email__v/VBL00000002N682", "SE-001431900")</f>
        <v>SE-001431900</v>
      </c>
      <c r="F2398" s="11"/>
      <c r="G2398" s="12">
        <v>0</v>
      </c>
      <c r="H2398" s="12">
        <v>0</v>
      </c>
      <c r="I2398" s="12">
        <v>0</v>
      </c>
      <c r="J2398" s="11"/>
      <c r="K2398" s="12">
        <v>0</v>
      </c>
      <c r="L2398" s="10" t="str">
        <f t="shared" si="50"/>
        <v>LUP - VAE Póster Adelphi - Nefro</v>
      </c>
      <c r="M2398" s="10" t="str">
        <f t="shared" si="51"/>
        <v>ccoll@crm.otsuka-europe.com</v>
      </c>
      <c r="N2398" s="13">
        <v>46175.779085648152</v>
      </c>
      <c r="O2398" s="14" t="str">
        <f>HYPERLINK("https://otsuka-europe-crm.veevavault.com/ui/#object/email_activity__v/V8C00000003N035", "EN-002088079")</f>
        <v>EN-002088079</v>
      </c>
    </row>
    <row r="2399" spans="1:15" ht="32" x14ac:dyDescent="0.2">
      <c r="A2399" s="7" t="str">
        <f>HYPERLINK("https://otsuka-europe-crm.veevavault.com/ui/#object/account__v/V4TZ04ASGB4V0IB", "ANNA DOMINGUEZ GUASCH")</f>
        <v>ANNA DOMINGUEZ GUASCH</v>
      </c>
      <c r="B2399" s="7" t="str">
        <f t="shared" si="48"/>
        <v>ES</v>
      </c>
      <c r="C2399" s="8" t="s">
        <v>41</v>
      </c>
      <c r="D2399" s="9" t="str">
        <f t="shared" si="49"/>
        <v>LUP - VAE Póster Adelphi - Nefro</v>
      </c>
      <c r="E2399" s="10" t="str">
        <f>HYPERLINK("https://otsuka-europe-crm.veevavault.com/ui/#object/sent_email__v/VBL00000002N683", "SE-001431901")</f>
        <v>SE-001431901</v>
      </c>
      <c r="F2399" s="11"/>
      <c r="G2399" s="12">
        <v>0</v>
      </c>
      <c r="H2399" s="12">
        <v>0</v>
      </c>
      <c r="I2399" s="12">
        <v>0</v>
      </c>
      <c r="J2399" s="11"/>
      <c r="K2399" s="12">
        <v>0</v>
      </c>
      <c r="L2399" s="10" t="str">
        <f t="shared" si="50"/>
        <v>LUP - VAE Póster Adelphi - Nefro</v>
      </c>
      <c r="M2399" s="10" t="str">
        <f t="shared" si="51"/>
        <v>ccoll@crm.otsuka-europe.com</v>
      </c>
      <c r="N2399" s="13">
        <v>46175.779085648152</v>
      </c>
      <c r="O2399" s="14" t="str">
        <f>HYPERLINK("https://otsuka-europe-crm.veevavault.com/ui/#object/email_activity__v/V8C00000003N062", "EN-002088106")</f>
        <v>EN-002088106</v>
      </c>
    </row>
    <row r="2400" spans="1:15" ht="32" x14ac:dyDescent="0.2">
      <c r="A2400" s="7" t="str">
        <f>HYPERLINK("https://otsuka-europe-crm.veevavault.com/ui/#object/account__v/V4TZ04ASG6LG891", "ISABEL GALCERAN HERRERA")</f>
        <v>ISABEL GALCERAN HERRERA</v>
      </c>
      <c r="B2400" s="7" t="str">
        <f t="shared" si="48"/>
        <v>ES</v>
      </c>
      <c r="C2400" s="8" t="s">
        <v>41</v>
      </c>
      <c r="D2400" s="9" t="str">
        <f t="shared" si="49"/>
        <v>LUP - VAE Póster Adelphi - Nefro</v>
      </c>
      <c r="E2400" s="10" t="str">
        <f>HYPERLINK("https://otsuka-europe-crm.veevavault.com/ui/#object/sent_email__v/VBL00000002N684", "SE-001431902")</f>
        <v>SE-001431902</v>
      </c>
      <c r="F2400" s="11"/>
      <c r="G2400" s="12">
        <v>0</v>
      </c>
      <c r="H2400" s="12">
        <v>0</v>
      </c>
      <c r="I2400" s="12">
        <v>0</v>
      </c>
      <c r="J2400" s="11"/>
      <c r="K2400" s="12">
        <v>0</v>
      </c>
      <c r="L2400" s="10" t="str">
        <f t="shared" si="50"/>
        <v>LUP - VAE Póster Adelphi - Nefro</v>
      </c>
      <c r="M2400" s="10" t="str">
        <f t="shared" si="51"/>
        <v>ccoll@crm.otsuka-europe.com</v>
      </c>
      <c r="N2400" s="13">
        <v>46175.779120370367</v>
      </c>
      <c r="O2400" s="14" t="str">
        <f>HYPERLINK("https://otsuka-europe-crm.veevavault.com/ui/#object/email_activity__v/V8C00000003N082", "EN-002088126")</f>
        <v>EN-002088126</v>
      </c>
    </row>
    <row r="2401" spans="1:15" ht="32" x14ac:dyDescent="0.2">
      <c r="A2401" s="7" t="str">
        <f>HYPERLINK("https://otsuka-europe-crm.veevavault.com/ui/#object/account__v/V4TZ06G6O71T7UF", "ROCIO CARAMELO HERNANDEZ")</f>
        <v>ROCIO CARAMELO HERNANDEZ</v>
      </c>
      <c r="B2401" s="7" t="str">
        <f t="shared" si="48"/>
        <v>ES</v>
      </c>
      <c r="C2401" s="8" t="s">
        <v>41</v>
      </c>
      <c r="D2401" s="9" t="str">
        <f t="shared" si="49"/>
        <v>LUP - VAE Póster Adelphi - Nefro</v>
      </c>
      <c r="E2401" s="10" t="str">
        <f>HYPERLINK("https://otsuka-europe-crm.veevavault.com/ui/#object/sent_email__v/VBL00000002N685", "SE-001431903")</f>
        <v>SE-001431903</v>
      </c>
      <c r="F2401" s="11"/>
      <c r="G2401" s="12">
        <v>0</v>
      </c>
      <c r="H2401" s="12">
        <v>0</v>
      </c>
      <c r="I2401" s="12">
        <v>0</v>
      </c>
      <c r="J2401" s="11"/>
      <c r="K2401" s="12">
        <v>0</v>
      </c>
      <c r="L2401" s="10" t="str">
        <f t="shared" si="50"/>
        <v>LUP - VAE Póster Adelphi - Nefro</v>
      </c>
      <c r="M2401" s="10" t="str">
        <f t="shared" si="51"/>
        <v>ccoll@crm.otsuka-europe.com</v>
      </c>
      <c r="N2401" s="13">
        <v>46175.779085648152</v>
      </c>
      <c r="O2401" s="14" t="str">
        <f>HYPERLINK("https://otsuka-europe-crm.veevavault.com/ui/#object/email_activity__v/V8C00000003N124", "EN-002088168")</f>
        <v>EN-002088168</v>
      </c>
    </row>
    <row r="2402" spans="1:15" ht="32" x14ac:dyDescent="0.2">
      <c r="A2402" s="7" t="str">
        <f>HYPERLINK("https://otsuka-europe-crm.veevavault.com/ui/#object/account__v/V4TZ06G6O71TBOA", "MARIA CARMEN PRADOS SOLER")</f>
        <v>MARIA CARMEN PRADOS SOLER</v>
      </c>
      <c r="B2402" s="7" t="str">
        <f t="shared" si="48"/>
        <v>ES</v>
      </c>
      <c r="C2402" s="8" t="s">
        <v>41</v>
      </c>
      <c r="D2402" s="9" t="str">
        <f t="shared" si="49"/>
        <v>LUP - VAE Póster Adelphi - Nefro</v>
      </c>
      <c r="E2402" s="10" t="str">
        <f>HYPERLINK("https://otsuka-europe-crm.veevavault.com/ui/#object/sent_email__v/VBL00000002N686", "SE-001431904")</f>
        <v>SE-001431904</v>
      </c>
      <c r="F2402" s="11"/>
      <c r="G2402" s="12">
        <v>0</v>
      </c>
      <c r="H2402" s="12">
        <v>0</v>
      </c>
      <c r="I2402" s="12">
        <v>0</v>
      </c>
      <c r="J2402" s="11"/>
      <c r="K2402" s="12">
        <v>0</v>
      </c>
      <c r="L2402" s="10" t="str">
        <f t="shared" si="50"/>
        <v>LUP - VAE Póster Adelphi - Nefro</v>
      </c>
      <c r="M2402" s="10" t="str">
        <f t="shared" si="51"/>
        <v>ccoll@crm.otsuka-europe.com</v>
      </c>
      <c r="N2402" s="13">
        <v>46175.77915509259</v>
      </c>
      <c r="O2402" s="14" t="str">
        <f>HYPERLINK("https://otsuka-europe-crm.veevavault.com/ui/#object/email_activity__v/V8C00000003N057", "EN-002088101")</f>
        <v>EN-002088101</v>
      </c>
    </row>
    <row r="2403" spans="1:15" ht="32" x14ac:dyDescent="0.2">
      <c r="A2403" s="7" t="str">
        <f>HYPERLINK("https://otsuka-europe-crm.veevavault.com/ui/#object/account__v/V4TZ06G6O810I1W", "ALEJANDRO JOSE ROSALES MONTERO")</f>
        <v>ALEJANDRO JOSE ROSALES MONTERO</v>
      </c>
      <c r="B2403" s="7" t="str">
        <f t="shared" si="48"/>
        <v>ES</v>
      </c>
      <c r="C2403" s="8" t="s">
        <v>41</v>
      </c>
      <c r="D2403" s="9" t="str">
        <f t="shared" si="49"/>
        <v>LUP - VAE Póster Adelphi - Nefro</v>
      </c>
      <c r="E2403" s="10" t="str">
        <f>HYPERLINK("https://otsuka-europe-crm.veevavault.com/ui/#object/sent_email__v/VBL00000002N687", "SE-001431905")</f>
        <v>SE-001431905</v>
      </c>
      <c r="F2403" s="11"/>
      <c r="G2403" s="12">
        <v>0</v>
      </c>
      <c r="H2403" s="12">
        <v>0</v>
      </c>
      <c r="I2403" s="12">
        <v>0</v>
      </c>
      <c r="J2403" s="11"/>
      <c r="K2403" s="12">
        <v>0</v>
      </c>
      <c r="L2403" s="10" t="str">
        <f t="shared" si="50"/>
        <v>LUP - VAE Póster Adelphi - Nefro</v>
      </c>
      <c r="M2403" s="10" t="str">
        <f t="shared" si="51"/>
        <v>ccoll@crm.otsuka-europe.com</v>
      </c>
      <c r="N2403" s="13">
        <v>46175.77915509259</v>
      </c>
      <c r="O2403" s="14" t="str">
        <f>HYPERLINK("https://otsuka-europe-crm.veevavault.com/ui/#object/email_activity__v/V8C00000003N126", "EN-002088170")</f>
        <v>EN-002088170</v>
      </c>
    </row>
    <row r="2404" spans="1:15" ht="16" x14ac:dyDescent="0.2">
      <c r="A2404" s="17" t="str">
        <f>HYPERLINK("https://otsuka-europe-crm.veevavault.com/ui/#object/account__v/V4TZ06G6O71TBVH", "ROSA RAMOS SANCHEZ")</f>
        <v>ROSA RAMOS SANCHEZ</v>
      </c>
      <c r="B2404" s="17" t="str">
        <f t="shared" si="48"/>
        <v>ES</v>
      </c>
      <c r="C2404" s="20" t="s">
        <v>41</v>
      </c>
      <c r="D2404" s="21" t="str">
        <f t="shared" si="49"/>
        <v>LUP - VAE Póster Adelphi - Nefro</v>
      </c>
      <c r="E2404" s="22" t="str">
        <f>HYPERLINK("https://otsuka-europe-crm.veevavault.com/ui/#object/sent_email__v/VBL00000002N688", "SE-001431906")</f>
        <v>SE-001431906</v>
      </c>
      <c r="F2404" s="23">
        <v>46175.884259259263</v>
      </c>
      <c r="G2404" s="24">
        <v>1</v>
      </c>
      <c r="H2404" s="24">
        <v>1</v>
      </c>
      <c r="I2404" s="24">
        <v>0</v>
      </c>
      <c r="J2404" s="25"/>
      <c r="K2404" s="24">
        <v>0</v>
      </c>
      <c r="L2404" s="22" t="str">
        <f t="shared" si="50"/>
        <v>LUP - VAE Póster Adelphi - Nefro</v>
      </c>
      <c r="M2404" s="22" t="str">
        <f t="shared" si="51"/>
        <v>ccoll@crm.otsuka-europe.com</v>
      </c>
      <c r="N2404" s="23">
        <v>46175.77915509259</v>
      </c>
      <c r="O2404" s="14" t="str">
        <f>HYPERLINK("https://otsuka-europe-crm.veevavault.com/ui/#object/email_activity__v/V8C00000003N038", "EN-002088086")</f>
        <v>EN-002088086</v>
      </c>
    </row>
    <row r="2405" spans="1:15" ht="16" x14ac:dyDescent="0.2">
      <c r="A2405" s="19"/>
      <c r="B2405" s="19"/>
      <c r="C2405" s="19"/>
      <c r="D2405" s="19"/>
      <c r="E2405" s="19"/>
      <c r="F2405" s="19"/>
      <c r="G2405" s="19"/>
      <c r="H2405" s="19"/>
      <c r="I2405" s="19"/>
      <c r="J2405" s="19"/>
      <c r="K2405" s="19"/>
      <c r="L2405" s="19"/>
      <c r="M2405" s="19"/>
      <c r="N2405" s="19"/>
      <c r="O2405" s="14" t="str">
        <f>HYPERLINK("https://otsuka-europe-crm.veevavault.com/ui/#object/email_activity__v/V8C00000003N287", "EN-002088431")</f>
        <v>EN-002088431</v>
      </c>
    </row>
    <row r="2406" spans="1:15" ht="32" x14ac:dyDescent="0.2">
      <c r="A2406" s="7" t="str">
        <f>HYPERLINK("https://otsuka-europe-crm.veevavault.com/ui/#object/account__v/V4TZ06G6O71US89", "ELENA GUILLEN OLMOS")</f>
        <v>ELENA GUILLEN OLMOS</v>
      </c>
      <c r="B2406" s="7" t="str">
        <f>HYPERLINK("https://otsuka-europe-crm.veevavault.com/ui/#object/vcountry__v/VENZ000004SONF5", "ES")</f>
        <v>ES</v>
      </c>
      <c r="C2406" s="8" t="s">
        <v>41</v>
      </c>
      <c r="D2406" s="9" t="str">
        <f>HYPERLINK("https://otsuka-europe-crm.veevavault.com/ui/#object/approved_document__v/V5O00000001A037", "LUP - VAE Póster Adelphi - Nefro")</f>
        <v>LUP - VAE Póster Adelphi - Nefro</v>
      </c>
      <c r="E2406" s="10" t="str">
        <f>HYPERLINK("https://otsuka-europe-crm.veevavault.com/ui/#object/sent_email__v/VBL00000002N689", "SE-001431907")</f>
        <v>SE-001431907</v>
      </c>
      <c r="F2406" s="11"/>
      <c r="G2406" s="12">
        <v>0</v>
      </c>
      <c r="H2406" s="12">
        <v>0</v>
      </c>
      <c r="I2406" s="12">
        <v>0</v>
      </c>
      <c r="J2406" s="11"/>
      <c r="K2406" s="12">
        <v>0</v>
      </c>
      <c r="L2406" s="10" t="str">
        <f>HYPERLINK("https://otsuka-europe-crm.veevavault.com/ui/#object/approved_document__v/V5O00000001A037", "LUP - VAE Póster Adelphi - Nefro")</f>
        <v>LUP - VAE Póster Adelphi - Nefro</v>
      </c>
      <c r="M2406" s="10" t="str">
        <f>HYPERLINK("mailto:ccoll@crm.otsuka-europe.com", "ccoll@crm.otsuka-europe.com")</f>
        <v>ccoll@crm.otsuka-europe.com</v>
      </c>
      <c r="N2406" s="13">
        <v>46175.77915509259</v>
      </c>
      <c r="O2406" s="14" t="str">
        <f>HYPERLINK("https://otsuka-europe-crm.veevavault.com/ui/#object/email_activity__v/V8C00000003N163", "EN-002088207")</f>
        <v>EN-002088207</v>
      </c>
    </row>
    <row r="2407" spans="1:15" ht="16" x14ac:dyDescent="0.2">
      <c r="A2407" s="17" t="str">
        <f>HYPERLINK("https://otsuka-europe-crm.veevavault.com/ui/#object/account__v/V4TZ06G6O71T8DL", "JAVIER NARANJO MUÑOZ")</f>
        <v>JAVIER NARANJO MUÑOZ</v>
      </c>
      <c r="B2407" s="17" t="str">
        <f>HYPERLINK("https://otsuka-europe-crm.veevavault.com/ui/#object/vcountry__v/VENZ000004SONF5", "ES")</f>
        <v>ES</v>
      </c>
      <c r="C2407" s="20" t="s">
        <v>41</v>
      </c>
      <c r="D2407" s="21" t="str">
        <f>HYPERLINK("https://otsuka-europe-crm.veevavault.com/ui/#object/approved_document__v/V5O00000001A037", "LUP - VAE Póster Adelphi - Nefro")</f>
        <v>LUP - VAE Póster Adelphi - Nefro</v>
      </c>
      <c r="E2407" s="22" t="str">
        <f>HYPERLINK("https://otsuka-europe-crm.veevavault.com/ui/#object/sent_email__v/VBL00000002N690", "SE-001431908")</f>
        <v>SE-001431908</v>
      </c>
      <c r="F2407" s="23">
        <v>46175.886331018519</v>
      </c>
      <c r="G2407" s="24">
        <v>1</v>
      </c>
      <c r="H2407" s="24">
        <v>1</v>
      </c>
      <c r="I2407" s="24">
        <v>0</v>
      </c>
      <c r="J2407" s="25"/>
      <c r="K2407" s="24">
        <v>0</v>
      </c>
      <c r="L2407" s="22" t="str">
        <f>HYPERLINK("https://otsuka-europe-crm.veevavault.com/ui/#object/approved_document__v/V5O00000001A037", "LUP - VAE Póster Adelphi - Nefro")</f>
        <v>LUP - VAE Póster Adelphi - Nefro</v>
      </c>
      <c r="M2407" s="22" t="str">
        <f>HYPERLINK("mailto:ccoll@crm.otsuka-europe.com", "ccoll@crm.otsuka-europe.com")</f>
        <v>ccoll@crm.otsuka-europe.com</v>
      </c>
      <c r="N2407" s="23">
        <v>46175.779178240744</v>
      </c>
      <c r="O2407" s="14" t="str">
        <f>HYPERLINK("https://otsuka-europe-crm.veevavault.com/ui/#object/email_activity__v/V8C00000003N079", "EN-002088123")</f>
        <v>EN-002088123</v>
      </c>
    </row>
    <row r="2408" spans="1:15" ht="16" x14ac:dyDescent="0.2">
      <c r="A2408" s="19"/>
      <c r="B2408" s="19"/>
      <c r="C2408" s="19"/>
      <c r="D2408" s="19"/>
      <c r="E2408" s="19"/>
      <c r="F2408" s="19"/>
      <c r="G2408" s="19"/>
      <c r="H2408" s="19"/>
      <c r="I2408" s="19"/>
      <c r="J2408" s="19"/>
      <c r="K2408" s="19"/>
      <c r="L2408" s="19"/>
      <c r="M2408" s="19"/>
      <c r="N2408" s="19"/>
      <c r="O2408" s="14" t="str">
        <f>HYPERLINK("https://otsuka-europe-crm.veevavault.com/ui/#object/email_activity__v/V8C00000003N288", "EN-002088434")</f>
        <v>EN-002088434</v>
      </c>
    </row>
    <row r="2409" spans="1:15" ht="16" x14ac:dyDescent="0.2">
      <c r="A2409" s="17" t="str">
        <f>HYPERLINK("https://otsuka-europe-crm.veevavault.com/ui/#object/account__v/V4TZ06G6O71T8VA", "NORMA LORENA CASTILLO ERASO")</f>
        <v>NORMA LORENA CASTILLO ERASO</v>
      </c>
      <c r="B2409" s="17" t="str">
        <f>HYPERLINK("https://otsuka-europe-crm.veevavault.com/ui/#object/vcountry__v/VENZ000004SONF5", "ES")</f>
        <v>ES</v>
      </c>
      <c r="C2409" s="20" t="s">
        <v>41</v>
      </c>
      <c r="D2409" s="21" t="str">
        <f>HYPERLINK("https://otsuka-europe-crm.veevavault.com/ui/#object/approved_document__v/V5O00000001A037", "LUP - VAE Póster Adelphi - Nefro")</f>
        <v>LUP - VAE Póster Adelphi - Nefro</v>
      </c>
      <c r="E2409" s="22" t="str">
        <f>HYPERLINK("https://otsuka-europe-crm.veevavault.com/ui/#object/sent_email__v/VBL00000002N691", "SE-001431909")</f>
        <v>SE-001431909</v>
      </c>
      <c r="F2409" s="23">
        <v>46186.723495370374</v>
      </c>
      <c r="G2409" s="24">
        <v>1</v>
      </c>
      <c r="H2409" s="24">
        <v>2</v>
      </c>
      <c r="I2409" s="24">
        <v>0</v>
      </c>
      <c r="J2409" s="25"/>
      <c r="K2409" s="24">
        <v>0</v>
      </c>
      <c r="L2409" s="22" t="str">
        <f>HYPERLINK("https://otsuka-europe-crm.veevavault.com/ui/#object/approved_document__v/V5O00000001A037", "LUP - VAE Póster Adelphi - Nefro")</f>
        <v>LUP - VAE Póster Adelphi - Nefro</v>
      </c>
      <c r="M2409" s="22" t="str">
        <f>HYPERLINK("mailto:ccoll@crm.otsuka-europe.com", "ccoll@crm.otsuka-europe.com")</f>
        <v>ccoll@crm.otsuka-europe.com</v>
      </c>
      <c r="N2409" s="23">
        <v>46175.779178240744</v>
      </c>
      <c r="O2409" s="14" t="str">
        <f>HYPERLINK("https://otsuka-europe-crm.veevavault.com/ui/#object/email_activity__v/V8C00000003N092", "EN-002088136")</f>
        <v>EN-002088136</v>
      </c>
    </row>
    <row r="2410" spans="1:15" ht="16" x14ac:dyDescent="0.2">
      <c r="A2410" s="18"/>
      <c r="B2410" s="18"/>
      <c r="C2410" s="18"/>
      <c r="D2410" s="18"/>
      <c r="E2410" s="18"/>
      <c r="F2410" s="18"/>
      <c r="G2410" s="18"/>
      <c r="H2410" s="18"/>
      <c r="I2410" s="18"/>
      <c r="J2410" s="18"/>
      <c r="K2410" s="18"/>
      <c r="L2410" s="18"/>
      <c r="M2410" s="18"/>
      <c r="N2410" s="18"/>
      <c r="O2410" s="14" t="str">
        <f>HYPERLINK("https://otsuka-europe-crm.veevavault.com/ui/#object/email_activity__v/V8C00000003U397", "EN-002095654")</f>
        <v>EN-002095654</v>
      </c>
    </row>
    <row r="2411" spans="1:15" ht="16" x14ac:dyDescent="0.2">
      <c r="A2411" s="19"/>
      <c r="B2411" s="19"/>
      <c r="C2411" s="19"/>
      <c r="D2411" s="19"/>
      <c r="E2411" s="19"/>
      <c r="F2411" s="19"/>
      <c r="G2411" s="19"/>
      <c r="H2411" s="19"/>
      <c r="I2411" s="19"/>
      <c r="J2411" s="19"/>
      <c r="K2411" s="19"/>
      <c r="L2411" s="19"/>
      <c r="M2411" s="19"/>
      <c r="N2411" s="19"/>
      <c r="O2411" s="14" t="str">
        <f>HYPERLINK("https://otsuka-europe-crm.veevavault.com/ui/#object/email_activity__v/V8C00000003V441", "EN-002095653")</f>
        <v>EN-002095653</v>
      </c>
    </row>
    <row r="2412" spans="1:15" ht="16" x14ac:dyDescent="0.2">
      <c r="A2412" s="17" t="str">
        <f>HYPERLINK("https://otsuka-europe-crm.veevavault.com/ui/#object/account__v/V4T00000001O090", "BETTY ODETTE CHAMOUN HUACON")</f>
        <v>BETTY ODETTE CHAMOUN HUACON</v>
      </c>
      <c r="B2412" s="17" t="str">
        <f>HYPERLINK("https://otsuka-europe-crm.veevavault.com/ui/#object/vcountry__v/VENZ000004SONF5", "ES")</f>
        <v>ES</v>
      </c>
      <c r="C2412" s="20" t="s">
        <v>41</v>
      </c>
      <c r="D2412" s="21" t="str">
        <f>HYPERLINK("https://otsuka-europe-crm.veevavault.com/ui/#object/approved_document__v/V5O00000001A037", "LUP - VAE Póster Adelphi - Nefro")</f>
        <v>LUP - VAE Póster Adelphi - Nefro</v>
      </c>
      <c r="E2412" s="22" t="str">
        <f>HYPERLINK("https://otsuka-europe-crm.veevavault.com/ui/#object/sent_email__v/VBL00000002N692", "SE-001431910")</f>
        <v>SE-001431910</v>
      </c>
      <c r="F2412" s="23">
        <v>46175.80064814815</v>
      </c>
      <c r="G2412" s="24">
        <v>1</v>
      </c>
      <c r="H2412" s="24">
        <v>1</v>
      </c>
      <c r="I2412" s="24">
        <v>0</v>
      </c>
      <c r="J2412" s="25"/>
      <c r="K2412" s="24">
        <v>0</v>
      </c>
      <c r="L2412" s="22" t="str">
        <f>HYPERLINK("https://otsuka-europe-crm.veevavault.com/ui/#object/approved_document__v/V5O00000001A037", "LUP - VAE Póster Adelphi - Nefro")</f>
        <v>LUP - VAE Póster Adelphi - Nefro</v>
      </c>
      <c r="M2412" s="22" t="str">
        <f>HYPERLINK("mailto:ccoll@crm.otsuka-europe.com", "ccoll@crm.otsuka-europe.com")</f>
        <v>ccoll@crm.otsuka-europe.com</v>
      </c>
      <c r="N2412" s="23">
        <v>46175.779178240744</v>
      </c>
      <c r="O2412" s="14" t="str">
        <f>HYPERLINK("https://otsuka-europe-crm.veevavault.com/ui/#object/email_activity__v/V8C00000003M159", "EN-002088327")</f>
        <v>EN-002088327</v>
      </c>
    </row>
    <row r="2413" spans="1:15" ht="16" x14ac:dyDescent="0.2">
      <c r="A2413" s="19"/>
      <c r="B2413" s="19"/>
      <c r="C2413" s="19"/>
      <c r="D2413" s="19"/>
      <c r="E2413" s="19"/>
      <c r="F2413" s="19"/>
      <c r="G2413" s="19"/>
      <c r="H2413" s="19"/>
      <c r="I2413" s="19"/>
      <c r="J2413" s="19"/>
      <c r="K2413" s="19"/>
      <c r="L2413" s="19"/>
      <c r="M2413" s="19"/>
      <c r="N2413" s="19"/>
      <c r="O2413" s="14" t="str">
        <f>HYPERLINK("https://otsuka-europe-crm.veevavault.com/ui/#object/email_activity__v/V8C00000003N101", "EN-002088145")</f>
        <v>EN-002088145</v>
      </c>
    </row>
    <row r="2414" spans="1:15" ht="32" x14ac:dyDescent="0.2">
      <c r="A2414" s="7" t="str">
        <f>HYPERLINK("https://otsuka-europe-crm.veevavault.com/ui/#object/account__v/V4TZ025E878U13E", "MARIO LADO FUENTES")</f>
        <v>MARIO LADO FUENTES</v>
      </c>
      <c r="B2414" s="7" t="str">
        <f>HYPERLINK("https://otsuka-europe-crm.veevavault.com/ui/#object/vcountry__v/VENZ000004SONF5", "ES")</f>
        <v>ES</v>
      </c>
      <c r="C2414" s="8" t="s">
        <v>41</v>
      </c>
      <c r="D2414" s="9" t="str">
        <f>HYPERLINK("https://otsuka-europe-crm.veevavault.com/ui/#object/approved_document__v/V5O00000001A037", "LUP - VAE Póster Adelphi - Nefro")</f>
        <v>LUP - VAE Póster Adelphi - Nefro</v>
      </c>
      <c r="E2414" s="10" t="str">
        <f>HYPERLINK("https://otsuka-europe-crm.veevavault.com/ui/#object/sent_email__v/VBL00000002N693", "SE-001431911")</f>
        <v>SE-001431911</v>
      </c>
      <c r="F2414" s="11"/>
      <c r="G2414" s="12">
        <v>0</v>
      </c>
      <c r="H2414" s="12">
        <v>0</v>
      </c>
      <c r="I2414" s="12">
        <v>0</v>
      </c>
      <c r="J2414" s="11"/>
      <c r="K2414" s="12">
        <v>0</v>
      </c>
      <c r="L2414" s="10" t="str">
        <f>HYPERLINK("https://otsuka-europe-crm.veevavault.com/ui/#object/approved_document__v/V5O00000001A037", "LUP - VAE Póster Adelphi - Nefro")</f>
        <v>LUP - VAE Póster Adelphi - Nefro</v>
      </c>
      <c r="M2414" s="10" t="str">
        <f>HYPERLINK("mailto:ccoll@crm.otsuka-europe.com", "ccoll@crm.otsuka-europe.com")</f>
        <v>ccoll@crm.otsuka-europe.com</v>
      </c>
      <c r="N2414" s="13">
        <v>46175.779189814813</v>
      </c>
      <c r="O2414" s="14" t="str">
        <f>HYPERLINK("https://otsuka-europe-crm.veevavault.com/ui/#object/email_activity__v/V8C00000003N102", "EN-002088146")</f>
        <v>EN-002088146</v>
      </c>
    </row>
    <row r="2415" spans="1:15" ht="16" x14ac:dyDescent="0.2">
      <c r="A2415" s="17" t="str">
        <f>HYPERLINK("https://otsuka-europe-crm.veevavault.com/ui/#object/account__v/V4TZ04ASGGI2JZ1", "JUAN FERNANDEZ SOLIS")</f>
        <v>JUAN FERNANDEZ SOLIS</v>
      </c>
      <c r="B2415" s="17" t="str">
        <f>HYPERLINK("https://otsuka-europe-crm.veevavault.com/ui/#object/vcountry__v/VENZ000004SONF5", "ES")</f>
        <v>ES</v>
      </c>
      <c r="C2415" s="20" t="s">
        <v>41</v>
      </c>
      <c r="D2415" s="21" t="str">
        <f>HYPERLINK("https://otsuka-europe-crm.veevavault.com/ui/#object/approved_document__v/V5O00000001A037", "LUP - VAE Póster Adelphi - Nefro")</f>
        <v>LUP - VAE Póster Adelphi - Nefro</v>
      </c>
      <c r="E2415" s="22" t="str">
        <f>HYPERLINK("https://otsuka-europe-crm.veevavault.com/ui/#object/sent_email__v/VBL00000002N694", "SE-001431912")</f>
        <v>SE-001431912</v>
      </c>
      <c r="F2415" s="23">
        <v>46185.428020833337</v>
      </c>
      <c r="G2415" s="24">
        <v>1</v>
      </c>
      <c r="H2415" s="24">
        <v>8</v>
      </c>
      <c r="I2415" s="24">
        <v>0</v>
      </c>
      <c r="J2415" s="25"/>
      <c r="K2415" s="24">
        <v>0</v>
      </c>
      <c r="L2415" s="22" t="str">
        <f>HYPERLINK("https://otsuka-europe-crm.veevavault.com/ui/#object/approved_document__v/V5O00000001A037", "LUP - VAE Póster Adelphi - Nefro")</f>
        <v>LUP - VAE Póster Adelphi - Nefro</v>
      </c>
      <c r="M2415" s="22" t="str">
        <f>HYPERLINK("mailto:ccoll@crm.otsuka-europe.com", "ccoll@crm.otsuka-europe.com")</f>
        <v>ccoll@crm.otsuka-europe.com</v>
      </c>
      <c r="N2415" s="23">
        <v>46175.779166666667</v>
      </c>
      <c r="O2415" s="14" t="str">
        <f>HYPERLINK("https://otsuka-europe-crm.veevavault.com/ui/#object/email_activity__v/V8C00000003M248", "EN-002088458")</f>
        <v>EN-002088458</v>
      </c>
    </row>
    <row r="2416" spans="1:15" ht="16" x14ac:dyDescent="0.2">
      <c r="A2416" s="18"/>
      <c r="B2416" s="18"/>
      <c r="C2416" s="18"/>
      <c r="D2416" s="18"/>
      <c r="E2416" s="18"/>
      <c r="F2416" s="18"/>
      <c r="G2416" s="18"/>
      <c r="H2416" s="18"/>
      <c r="I2416" s="18"/>
      <c r="J2416" s="18"/>
      <c r="K2416" s="18"/>
      <c r="L2416" s="18"/>
      <c r="M2416" s="18"/>
      <c r="N2416" s="18"/>
      <c r="O2416" s="14" t="str">
        <f>HYPERLINK("https://otsuka-europe-crm.veevavault.com/ui/#object/email_activity__v/V8C00000003M249", "EN-002088459")</f>
        <v>EN-002088459</v>
      </c>
    </row>
    <row r="2417" spans="1:15" ht="16" x14ac:dyDescent="0.2">
      <c r="A2417" s="18"/>
      <c r="B2417" s="18"/>
      <c r="C2417" s="18"/>
      <c r="D2417" s="18"/>
      <c r="E2417" s="18"/>
      <c r="F2417" s="18"/>
      <c r="G2417" s="18"/>
      <c r="H2417" s="18"/>
      <c r="I2417" s="18"/>
      <c r="J2417" s="18"/>
      <c r="K2417" s="18"/>
      <c r="L2417" s="18"/>
      <c r="M2417" s="18"/>
      <c r="N2417" s="18"/>
      <c r="O2417" s="14" t="str">
        <f>HYPERLINK("https://otsuka-europe-crm.veevavault.com/ui/#object/email_activity__v/V8C00000003M250", "EN-002088462")</f>
        <v>EN-002088462</v>
      </c>
    </row>
    <row r="2418" spans="1:15" ht="16" x14ac:dyDescent="0.2">
      <c r="A2418" s="18"/>
      <c r="B2418" s="18"/>
      <c r="C2418" s="18"/>
      <c r="D2418" s="18"/>
      <c r="E2418" s="18"/>
      <c r="F2418" s="18"/>
      <c r="G2418" s="18"/>
      <c r="H2418" s="18"/>
      <c r="I2418" s="18"/>
      <c r="J2418" s="18"/>
      <c r="K2418" s="18"/>
      <c r="L2418" s="18"/>
      <c r="M2418" s="18"/>
      <c r="N2418" s="18"/>
      <c r="O2418" s="14" t="str">
        <f>HYPERLINK("https://otsuka-europe-crm.veevavault.com/ui/#object/email_activity__v/V8C00000003M252", "EN-002088464")</f>
        <v>EN-002088464</v>
      </c>
    </row>
    <row r="2419" spans="1:15" ht="16" x14ac:dyDescent="0.2">
      <c r="A2419" s="18"/>
      <c r="B2419" s="18"/>
      <c r="C2419" s="18"/>
      <c r="D2419" s="18"/>
      <c r="E2419" s="18"/>
      <c r="F2419" s="18"/>
      <c r="G2419" s="18"/>
      <c r="H2419" s="18"/>
      <c r="I2419" s="18"/>
      <c r="J2419" s="18"/>
      <c r="K2419" s="18"/>
      <c r="L2419" s="18"/>
      <c r="M2419" s="18"/>
      <c r="N2419" s="18"/>
      <c r="O2419" s="14" t="str">
        <f>HYPERLINK("https://otsuka-europe-crm.veevavault.com/ui/#object/email_activity__v/V8C00000003M253", "EN-002088465")</f>
        <v>EN-002088465</v>
      </c>
    </row>
    <row r="2420" spans="1:15" ht="16" x14ac:dyDescent="0.2">
      <c r="A2420" s="18"/>
      <c r="B2420" s="18"/>
      <c r="C2420" s="18"/>
      <c r="D2420" s="18"/>
      <c r="E2420" s="18"/>
      <c r="F2420" s="18"/>
      <c r="G2420" s="18"/>
      <c r="H2420" s="18"/>
      <c r="I2420" s="18"/>
      <c r="J2420" s="18"/>
      <c r="K2420" s="18"/>
      <c r="L2420" s="18"/>
      <c r="M2420" s="18"/>
      <c r="N2420" s="18"/>
      <c r="O2420" s="14" t="str">
        <f>HYPERLINK("https://otsuka-europe-crm.veevavault.com/ui/#object/email_activity__v/V8C00000003N076", "EN-002088120")</f>
        <v>EN-002088120</v>
      </c>
    </row>
    <row r="2421" spans="1:15" ht="16" x14ac:dyDescent="0.2">
      <c r="A2421" s="18"/>
      <c r="B2421" s="18"/>
      <c r="C2421" s="18"/>
      <c r="D2421" s="18"/>
      <c r="E2421" s="18"/>
      <c r="F2421" s="18"/>
      <c r="G2421" s="18"/>
      <c r="H2421" s="18"/>
      <c r="I2421" s="18"/>
      <c r="J2421" s="18"/>
      <c r="K2421" s="18"/>
      <c r="L2421" s="18"/>
      <c r="M2421" s="18"/>
      <c r="N2421" s="18"/>
      <c r="O2421" s="14" t="str">
        <f>HYPERLINK("https://otsuka-europe-crm.veevavault.com/ui/#object/email_activity__v/V8C00000003N303", "EN-002088461")</f>
        <v>EN-002088461</v>
      </c>
    </row>
    <row r="2422" spans="1:15" ht="16" x14ac:dyDescent="0.2">
      <c r="A2422" s="18"/>
      <c r="B2422" s="18"/>
      <c r="C2422" s="18"/>
      <c r="D2422" s="18"/>
      <c r="E2422" s="18"/>
      <c r="F2422" s="18"/>
      <c r="G2422" s="18"/>
      <c r="H2422" s="18"/>
      <c r="I2422" s="18"/>
      <c r="J2422" s="18"/>
      <c r="K2422" s="18"/>
      <c r="L2422" s="18"/>
      <c r="M2422" s="18"/>
      <c r="N2422" s="18"/>
      <c r="O2422" s="14" t="str">
        <f>HYPERLINK("https://otsuka-europe-crm.veevavault.com/ui/#object/email_activity__v/V8C00000003N307", "EN-002088469")</f>
        <v>EN-002088469</v>
      </c>
    </row>
    <row r="2423" spans="1:15" ht="16" x14ac:dyDescent="0.2">
      <c r="A2423" s="19"/>
      <c r="B2423" s="19"/>
      <c r="C2423" s="19"/>
      <c r="D2423" s="19"/>
      <c r="E2423" s="19"/>
      <c r="F2423" s="19"/>
      <c r="G2423" s="19"/>
      <c r="H2423" s="19"/>
      <c r="I2423" s="19"/>
      <c r="J2423" s="19"/>
      <c r="K2423" s="19"/>
      <c r="L2423" s="19"/>
      <c r="M2423" s="19"/>
      <c r="N2423" s="19"/>
      <c r="O2423" s="14" t="str">
        <f>HYPERLINK("https://otsuka-europe-crm.veevavault.com/ui/#object/email_activity__v/V8C00000003V270", "EN-002095328")</f>
        <v>EN-002095328</v>
      </c>
    </row>
    <row r="2424" spans="1:15" ht="16" x14ac:dyDescent="0.2">
      <c r="A2424" s="17" t="str">
        <f>HYPERLINK("https://otsuka-europe-crm.veevavault.com/ui/#object/account__v/V4TZ025E82A6PUP", "MARIA IRAOLA LEGARRA")</f>
        <v>MARIA IRAOLA LEGARRA</v>
      </c>
      <c r="B2424" s="17" t="str">
        <f>HYPERLINK("https://otsuka-europe-crm.veevavault.com/ui/#object/vcountry__v/VENZ000004SONF5", "ES")</f>
        <v>ES</v>
      </c>
      <c r="C2424" s="20" t="s">
        <v>41</v>
      </c>
      <c r="D2424" s="21" t="str">
        <f>HYPERLINK("https://otsuka-europe-crm.veevavault.com/ui/#object/approved_document__v/V5O00000001A037", "LUP - VAE Póster Adelphi - Nefro")</f>
        <v>LUP - VAE Póster Adelphi - Nefro</v>
      </c>
      <c r="E2424" s="22" t="str">
        <f>HYPERLINK("https://otsuka-europe-crm.veevavault.com/ui/#object/sent_email__v/VBL00000002N695", "SE-001431913")</f>
        <v>SE-001431913</v>
      </c>
      <c r="F2424" s="23">
        <v>46181.615011574075</v>
      </c>
      <c r="G2424" s="24">
        <v>1</v>
      </c>
      <c r="H2424" s="24">
        <v>2</v>
      </c>
      <c r="I2424" s="24">
        <v>0</v>
      </c>
      <c r="J2424" s="25"/>
      <c r="K2424" s="24">
        <v>0</v>
      </c>
      <c r="L2424" s="22" t="str">
        <f>HYPERLINK("https://otsuka-europe-crm.veevavault.com/ui/#object/approved_document__v/V5O00000001A037", "LUP - VAE Póster Adelphi - Nefro")</f>
        <v>LUP - VAE Póster Adelphi - Nefro</v>
      </c>
      <c r="M2424" s="22" t="str">
        <f>HYPERLINK("mailto:ccoll@crm.otsuka-europe.com", "ccoll@crm.otsuka-europe.com")</f>
        <v>ccoll@crm.otsuka-europe.com</v>
      </c>
      <c r="N2424" s="23">
        <v>46175.77915509259</v>
      </c>
      <c r="O2424" s="14" t="str">
        <f>HYPERLINK("https://otsuka-europe-crm.veevavault.com/ui/#object/email_activity__v/V8C00000003N161", "EN-002088205")</f>
        <v>EN-002088205</v>
      </c>
    </row>
    <row r="2425" spans="1:15" ht="16" x14ac:dyDescent="0.2">
      <c r="A2425" s="18"/>
      <c r="B2425" s="18"/>
      <c r="C2425" s="18"/>
      <c r="D2425" s="18"/>
      <c r="E2425" s="18"/>
      <c r="F2425" s="18"/>
      <c r="G2425" s="18"/>
      <c r="H2425" s="18"/>
      <c r="I2425" s="18"/>
      <c r="J2425" s="18"/>
      <c r="K2425" s="18"/>
      <c r="L2425" s="18"/>
      <c r="M2425" s="18"/>
      <c r="N2425" s="18"/>
      <c r="O2425" s="14" t="str">
        <f>HYPERLINK("https://otsuka-europe-crm.veevavault.com/ui/#object/email_activity__v/V8C00000003Q594", "EN-002092009")</f>
        <v>EN-002092009</v>
      </c>
    </row>
    <row r="2426" spans="1:15" ht="16" x14ac:dyDescent="0.2">
      <c r="A2426" s="19"/>
      <c r="B2426" s="19"/>
      <c r="C2426" s="19"/>
      <c r="D2426" s="19"/>
      <c r="E2426" s="19"/>
      <c r="F2426" s="19"/>
      <c r="G2426" s="19"/>
      <c r="H2426" s="19"/>
      <c r="I2426" s="19"/>
      <c r="J2426" s="19"/>
      <c r="K2426" s="19"/>
      <c r="L2426" s="19"/>
      <c r="M2426" s="19"/>
      <c r="N2426" s="19"/>
      <c r="O2426" s="14" t="str">
        <f>HYPERLINK("https://otsuka-europe-crm.veevavault.com/ui/#object/email_activity__v/V8C00000003R178", "EN-002092010")</f>
        <v>EN-002092010</v>
      </c>
    </row>
    <row r="2427" spans="1:15" ht="32" x14ac:dyDescent="0.2">
      <c r="A2427" s="7" t="str">
        <f>HYPERLINK("https://otsuka-europe-crm.veevavault.com/ui/#object/account__v/V4TZ025E82C86GC", "MARINA VILLANUEVA CHULVI")</f>
        <v>MARINA VILLANUEVA CHULVI</v>
      </c>
      <c r="B2427" s="7" t="str">
        <f t="shared" ref="B2427:B2432" si="52">HYPERLINK("https://otsuka-europe-crm.veevavault.com/ui/#object/vcountry__v/VENZ000004SONF5", "ES")</f>
        <v>ES</v>
      </c>
      <c r="C2427" s="8" t="s">
        <v>41</v>
      </c>
      <c r="D2427" s="9" t="str">
        <f t="shared" ref="D2427:D2432" si="53">HYPERLINK("https://otsuka-europe-crm.veevavault.com/ui/#object/approved_document__v/V5O00000001A037", "LUP - VAE Póster Adelphi - Nefro")</f>
        <v>LUP - VAE Póster Adelphi - Nefro</v>
      </c>
      <c r="E2427" s="10" t="str">
        <f>HYPERLINK("https://otsuka-europe-crm.veevavault.com/ui/#object/sent_email__v/VBL00000002N696", "SE-001431914")</f>
        <v>SE-001431914</v>
      </c>
      <c r="F2427" s="11"/>
      <c r="G2427" s="12">
        <v>0</v>
      </c>
      <c r="H2427" s="12">
        <v>0</v>
      </c>
      <c r="I2427" s="12">
        <v>0</v>
      </c>
      <c r="J2427" s="11"/>
      <c r="K2427" s="12">
        <v>0</v>
      </c>
      <c r="L2427" s="10" t="str">
        <f t="shared" ref="L2427:L2432" si="54">HYPERLINK("https://otsuka-europe-crm.veevavault.com/ui/#object/approved_document__v/V5O00000001A037", "LUP - VAE Póster Adelphi - Nefro")</f>
        <v>LUP - VAE Póster Adelphi - Nefro</v>
      </c>
      <c r="M2427" s="10" t="str">
        <f t="shared" ref="M2427:M2432" si="55">HYPERLINK("mailto:ccoll@crm.otsuka-europe.com", "ccoll@crm.otsuka-europe.com")</f>
        <v>ccoll@crm.otsuka-europe.com</v>
      </c>
      <c r="N2427" s="13">
        <v>46175.77915509259</v>
      </c>
      <c r="O2427" s="14" t="str">
        <f>HYPERLINK("https://otsuka-europe-crm.veevavault.com/ui/#object/email_activity__v/V8C00000003N156", "EN-002088200")</f>
        <v>EN-002088200</v>
      </c>
    </row>
    <row r="2428" spans="1:15" ht="32" x14ac:dyDescent="0.2">
      <c r="A2428" s="7" t="str">
        <f>HYPERLINK("https://otsuka-europe-crm.veevavault.com/ui/#object/account__v/V4TZ06G6O71TCDU", "MARIA JOSE SOLER ROMEO")</f>
        <v>MARIA JOSE SOLER ROMEO</v>
      </c>
      <c r="B2428" s="7" t="str">
        <f t="shared" si="52"/>
        <v>ES</v>
      </c>
      <c r="C2428" s="8" t="s">
        <v>41</v>
      </c>
      <c r="D2428" s="9" t="str">
        <f t="shared" si="53"/>
        <v>LUP - VAE Póster Adelphi - Nefro</v>
      </c>
      <c r="E2428" s="10" t="str">
        <f>HYPERLINK("https://otsuka-europe-crm.veevavault.com/ui/#object/sent_email__v/VBL00000002N697", "SE-001431915")</f>
        <v>SE-001431915</v>
      </c>
      <c r="F2428" s="11"/>
      <c r="G2428" s="12">
        <v>0</v>
      </c>
      <c r="H2428" s="12">
        <v>0</v>
      </c>
      <c r="I2428" s="12">
        <v>0</v>
      </c>
      <c r="J2428" s="11"/>
      <c r="K2428" s="12">
        <v>0</v>
      </c>
      <c r="L2428" s="10" t="str">
        <f t="shared" si="54"/>
        <v>LUP - VAE Póster Adelphi - Nefro</v>
      </c>
      <c r="M2428" s="10" t="str">
        <f t="shared" si="55"/>
        <v>ccoll@crm.otsuka-europe.com</v>
      </c>
      <c r="N2428" s="13">
        <v>46175.779189814813</v>
      </c>
      <c r="O2428" s="14" t="str">
        <f>HYPERLINK("https://otsuka-europe-crm.veevavault.com/ui/#object/email_activity__v/V8C00000003N103", "EN-002088147")</f>
        <v>EN-002088147</v>
      </c>
    </row>
    <row r="2429" spans="1:15" ht="32" x14ac:dyDescent="0.2">
      <c r="A2429" s="7" t="str">
        <f>HYPERLINK("https://otsuka-europe-crm.veevavault.com/ui/#object/account__v/V4TZ025E82G72II", "KARLA JACKELINE LOPEZ ESPINOZA")</f>
        <v>KARLA JACKELINE LOPEZ ESPINOZA</v>
      </c>
      <c r="B2429" s="7" t="str">
        <f t="shared" si="52"/>
        <v>ES</v>
      </c>
      <c r="C2429" s="8" t="s">
        <v>41</v>
      </c>
      <c r="D2429" s="9" t="str">
        <f t="shared" si="53"/>
        <v>LUP - VAE Póster Adelphi - Nefro</v>
      </c>
      <c r="E2429" s="10" t="str">
        <f>HYPERLINK("https://otsuka-europe-crm.veevavault.com/ui/#object/sent_email__v/VBL00000002N698", "SE-001431916")</f>
        <v>SE-001431916</v>
      </c>
      <c r="F2429" s="11"/>
      <c r="G2429" s="12">
        <v>0</v>
      </c>
      <c r="H2429" s="12">
        <v>0</v>
      </c>
      <c r="I2429" s="12">
        <v>0</v>
      </c>
      <c r="J2429" s="11"/>
      <c r="K2429" s="12">
        <v>0</v>
      </c>
      <c r="L2429" s="10" t="str">
        <f t="shared" si="54"/>
        <v>LUP - VAE Póster Adelphi - Nefro</v>
      </c>
      <c r="M2429" s="10" t="str">
        <f t="shared" si="55"/>
        <v>ccoll@crm.otsuka-europe.com</v>
      </c>
      <c r="N2429" s="13">
        <v>46175.77920138889</v>
      </c>
      <c r="O2429" s="14" t="str">
        <f>HYPERLINK("https://otsuka-europe-crm.veevavault.com/ui/#object/email_activity__v/V8C00000003N093", "EN-002088137")</f>
        <v>EN-002088137</v>
      </c>
    </row>
    <row r="2430" spans="1:15" ht="32" x14ac:dyDescent="0.2">
      <c r="A2430" s="7" t="str">
        <f>HYPERLINK("https://otsuka-europe-crm.veevavault.com/ui/#object/account__v/V4TZ06G6O71T9E2", "MARIA SAGRARIO BALDA MANZANOS")</f>
        <v>MARIA SAGRARIO BALDA MANZANOS</v>
      </c>
      <c r="B2430" s="7" t="str">
        <f t="shared" si="52"/>
        <v>ES</v>
      </c>
      <c r="C2430" s="8" t="s">
        <v>41</v>
      </c>
      <c r="D2430" s="9" t="str">
        <f t="shared" si="53"/>
        <v>LUP - VAE Póster Adelphi - Nefro</v>
      </c>
      <c r="E2430" s="10" t="str">
        <f>HYPERLINK("https://otsuka-europe-crm.veevavault.com/ui/#object/sent_email__v/VBL00000002N699", "SE-001431917")</f>
        <v>SE-001431917</v>
      </c>
      <c r="F2430" s="11"/>
      <c r="G2430" s="12">
        <v>0</v>
      </c>
      <c r="H2430" s="12">
        <v>0</v>
      </c>
      <c r="I2430" s="12">
        <v>0</v>
      </c>
      <c r="J2430" s="11"/>
      <c r="K2430" s="12">
        <v>0</v>
      </c>
      <c r="L2430" s="10" t="str">
        <f t="shared" si="54"/>
        <v>LUP - VAE Póster Adelphi - Nefro</v>
      </c>
      <c r="M2430" s="10" t="str">
        <f t="shared" si="55"/>
        <v>ccoll@crm.otsuka-europe.com</v>
      </c>
      <c r="N2430" s="13">
        <v>46175.77915509259</v>
      </c>
      <c r="O2430" s="14" t="str">
        <f>HYPERLINK("https://otsuka-europe-crm.veevavault.com/ui/#object/email_activity__v/V8C00000003N147", "EN-002088191")</f>
        <v>EN-002088191</v>
      </c>
    </row>
    <row r="2431" spans="1:15" ht="32" x14ac:dyDescent="0.2">
      <c r="A2431" s="7" t="str">
        <f>HYPERLINK("https://otsuka-europe-crm.veevavault.com/ui/#object/account__v/V4TZ04ASG7RXB3G", "EVA MARQUEZ MOSQUERA")</f>
        <v>EVA MARQUEZ MOSQUERA</v>
      </c>
      <c r="B2431" s="7" t="str">
        <f t="shared" si="52"/>
        <v>ES</v>
      </c>
      <c r="C2431" s="8" t="s">
        <v>41</v>
      </c>
      <c r="D2431" s="9" t="str">
        <f t="shared" si="53"/>
        <v>LUP - VAE Póster Adelphi - Nefro</v>
      </c>
      <c r="E2431" s="10" t="str">
        <f>HYPERLINK("https://otsuka-europe-crm.veevavault.com/ui/#object/sent_email__v/VBL00000002N700", "SE-001431918")</f>
        <v>SE-001431918</v>
      </c>
      <c r="F2431" s="11"/>
      <c r="G2431" s="12">
        <v>0</v>
      </c>
      <c r="H2431" s="12">
        <v>0</v>
      </c>
      <c r="I2431" s="12">
        <v>0</v>
      </c>
      <c r="J2431" s="11"/>
      <c r="K2431" s="12">
        <v>0</v>
      </c>
      <c r="L2431" s="10" t="str">
        <f t="shared" si="54"/>
        <v>LUP - VAE Póster Adelphi - Nefro</v>
      </c>
      <c r="M2431" s="10" t="str">
        <f t="shared" si="55"/>
        <v>ccoll@crm.otsuka-europe.com</v>
      </c>
      <c r="N2431" s="13">
        <v>46175.77915509259</v>
      </c>
      <c r="O2431" s="14" t="str">
        <f>HYPERLINK("https://otsuka-europe-crm.veevavault.com/ui/#object/email_activity__v/V8C00000003N160", "EN-002088204")</f>
        <v>EN-002088204</v>
      </c>
    </row>
    <row r="2432" spans="1:15" ht="16" x14ac:dyDescent="0.2">
      <c r="A2432" s="17" t="str">
        <f>HYPERLINK("https://otsuka-europe-crm.veevavault.com/ui/#object/account__v/V4TZ06G6O71TBY2", "EVA RODRIGUEZ GARCIA")</f>
        <v>EVA RODRIGUEZ GARCIA</v>
      </c>
      <c r="B2432" s="17" t="str">
        <f t="shared" si="52"/>
        <v>ES</v>
      </c>
      <c r="C2432" s="20" t="s">
        <v>41</v>
      </c>
      <c r="D2432" s="21" t="str">
        <f t="shared" si="53"/>
        <v>LUP - VAE Póster Adelphi - Nefro</v>
      </c>
      <c r="E2432" s="22" t="str">
        <f>HYPERLINK("https://otsuka-europe-crm.veevavault.com/ui/#object/sent_email__v/VBL00000002N701", "SE-001431919")</f>
        <v>SE-001431919</v>
      </c>
      <c r="F2432" s="23">
        <v>46175.823113425926</v>
      </c>
      <c r="G2432" s="24">
        <v>1</v>
      </c>
      <c r="H2432" s="24">
        <v>1</v>
      </c>
      <c r="I2432" s="24">
        <v>1</v>
      </c>
      <c r="J2432" s="23">
        <v>46175.823240740741</v>
      </c>
      <c r="K2432" s="24">
        <v>1</v>
      </c>
      <c r="L2432" s="22" t="str">
        <f t="shared" si="54"/>
        <v>LUP - VAE Póster Adelphi - Nefro</v>
      </c>
      <c r="M2432" s="22" t="str">
        <f t="shared" si="55"/>
        <v>ccoll@crm.otsuka-europe.com</v>
      </c>
      <c r="N2432" s="23">
        <v>46175.77915509259</v>
      </c>
      <c r="O2432" s="14" t="str">
        <f>HYPERLINK("https://otsuka-europe-crm.veevavault.com/ui/#object/email_activity__v/V8C00000003M207", "EN-002088388")</f>
        <v>EN-002088388</v>
      </c>
    </row>
    <row r="2433" spans="1:15" ht="16" x14ac:dyDescent="0.2">
      <c r="A2433" s="18"/>
      <c r="B2433" s="18"/>
      <c r="C2433" s="18"/>
      <c r="D2433" s="18"/>
      <c r="E2433" s="18"/>
      <c r="F2433" s="18"/>
      <c r="G2433" s="18"/>
      <c r="H2433" s="18"/>
      <c r="I2433" s="18"/>
      <c r="J2433" s="18"/>
      <c r="K2433" s="18"/>
      <c r="L2433" s="18"/>
      <c r="M2433" s="18"/>
      <c r="N2433" s="18"/>
      <c r="O2433" s="14" t="str">
        <f>HYPERLINK("https://otsuka-europe-crm.veevavault.com/ui/#object/email_activity__v/V8C00000003N058", "EN-002088102")</f>
        <v>EN-002088102</v>
      </c>
    </row>
    <row r="2434" spans="1:15" ht="16" x14ac:dyDescent="0.2">
      <c r="A2434" s="18"/>
      <c r="B2434" s="18"/>
      <c r="C2434" s="18"/>
      <c r="D2434" s="18"/>
      <c r="E2434" s="18"/>
      <c r="F2434" s="18"/>
      <c r="G2434" s="18"/>
      <c r="H2434" s="18"/>
      <c r="I2434" s="18"/>
      <c r="J2434" s="18"/>
      <c r="K2434" s="18"/>
      <c r="L2434" s="18"/>
      <c r="M2434" s="18"/>
      <c r="N2434" s="18"/>
      <c r="O2434" s="14" t="str">
        <f>HYPERLINK("https://otsuka-europe-crm.veevavault.com/ui/#object/email_activity__v/V8C00000003N265", "EN-002088363")</f>
        <v>EN-002088363</v>
      </c>
    </row>
    <row r="2435" spans="1:15" ht="16" x14ac:dyDescent="0.2">
      <c r="A2435" s="19"/>
      <c r="B2435" s="19"/>
      <c r="C2435" s="19"/>
      <c r="D2435" s="19"/>
      <c r="E2435" s="19"/>
      <c r="F2435" s="19"/>
      <c r="G2435" s="19"/>
      <c r="H2435" s="19"/>
      <c r="I2435" s="19"/>
      <c r="J2435" s="19"/>
      <c r="K2435" s="19"/>
      <c r="L2435" s="19"/>
      <c r="M2435" s="19"/>
      <c r="N2435" s="19"/>
      <c r="O2435" s="14" t="str">
        <f>HYPERLINK("https://otsuka-europe-crm.veevavault.com/ui/#object/email_activity__v/V8C00000003N266", "EN-002088364")</f>
        <v>EN-002088364</v>
      </c>
    </row>
    <row r="2436" spans="1:15" ht="16" x14ac:dyDescent="0.2">
      <c r="A2436" s="17" t="str">
        <f>HYPERLINK("https://otsuka-europe-crm.veevavault.com/ui/#object/account__v/V4TZ025E87FYSFA", "JAVIER EDUARDO REQUE SANTIVAÑEZ")</f>
        <v>JAVIER EDUARDO REQUE SANTIVAÑEZ</v>
      </c>
      <c r="B2436" s="17" t="str">
        <f>HYPERLINK("https://otsuka-europe-crm.veevavault.com/ui/#object/vcountry__v/VENZ000004SONF5", "ES")</f>
        <v>ES</v>
      </c>
      <c r="C2436" s="20" t="s">
        <v>41</v>
      </c>
      <c r="D2436" s="21" t="str">
        <f>HYPERLINK("https://otsuka-europe-crm.veevavault.com/ui/#object/approved_document__v/V5O00000001A037", "LUP - VAE Póster Adelphi - Nefro")</f>
        <v>LUP - VAE Póster Adelphi - Nefro</v>
      </c>
      <c r="E2436" s="22" t="str">
        <f>HYPERLINK("https://otsuka-europe-crm.veevavault.com/ui/#object/sent_email__v/VBL00000002N702", "SE-001431920")</f>
        <v>SE-001431920</v>
      </c>
      <c r="F2436" s="23">
        <v>46175.785694444443</v>
      </c>
      <c r="G2436" s="24">
        <v>1</v>
      </c>
      <c r="H2436" s="24">
        <v>1</v>
      </c>
      <c r="I2436" s="24">
        <v>0</v>
      </c>
      <c r="J2436" s="25"/>
      <c r="K2436" s="24">
        <v>0</v>
      </c>
      <c r="L2436" s="22" t="str">
        <f>HYPERLINK("https://otsuka-europe-crm.veevavault.com/ui/#object/approved_document__v/V5O00000001A037", "LUP - VAE Póster Adelphi - Nefro")</f>
        <v>LUP - VAE Póster Adelphi - Nefro</v>
      </c>
      <c r="M2436" s="22" t="str">
        <f>HYPERLINK("mailto:ccoll@crm.otsuka-europe.com", "ccoll@crm.otsuka-europe.com")</f>
        <v>ccoll@crm.otsuka-europe.com</v>
      </c>
      <c r="N2436" s="23">
        <v>46175.77920138889</v>
      </c>
      <c r="O2436" s="14" t="str">
        <f>HYPERLINK("https://otsuka-europe-crm.veevavault.com/ui/#object/email_activity__v/V8C00000003N074", "EN-002088118")</f>
        <v>EN-002088118</v>
      </c>
    </row>
    <row r="2437" spans="1:15" ht="16" x14ac:dyDescent="0.2">
      <c r="A2437" s="19"/>
      <c r="B2437" s="19"/>
      <c r="C2437" s="19"/>
      <c r="D2437" s="19"/>
      <c r="E2437" s="19"/>
      <c r="F2437" s="19"/>
      <c r="G2437" s="19"/>
      <c r="H2437" s="19"/>
      <c r="I2437" s="19"/>
      <c r="J2437" s="19"/>
      <c r="K2437" s="19"/>
      <c r="L2437" s="19"/>
      <c r="M2437" s="19"/>
      <c r="N2437" s="19"/>
      <c r="O2437" s="14" t="str">
        <f>HYPERLINK("https://otsuka-europe-crm.veevavault.com/ui/#object/email_activity__v/V8C00000003N242", "EN-002088290")</f>
        <v>EN-002088290</v>
      </c>
    </row>
    <row r="2438" spans="1:15" ht="32" x14ac:dyDescent="0.2">
      <c r="A2438" s="7" t="str">
        <f>HYPERLINK("https://otsuka-europe-crm.veevavault.com/ui/#object/account__v/V4TZ04ASGE04VRJ", "LISSETT JOSEFINA PULIDO")</f>
        <v>LISSETT JOSEFINA PULIDO</v>
      </c>
      <c r="B2438" s="7" t="str">
        <f>HYPERLINK("https://otsuka-europe-crm.veevavault.com/ui/#object/vcountry__v/VENZ000004SONF5", "ES")</f>
        <v>ES</v>
      </c>
      <c r="C2438" s="8" t="s">
        <v>41</v>
      </c>
      <c r="D2438" s="9" t="str">
        <f>HYPERLINK("https://otsuka-europe-crm.veevavault.com/ui/#object/approved_document__v/V5O00000001A037", "LUP - VAE Póster Adelphi - Nefro")</f>
        <v>LUP - VAE Póster Adelphi - Nefro</v>
      </c>
      <c r="E2438" s="10" t="str">
        <f>HYPERLINK("https://otsuka-europe-crm.veevavault.com/ui/#object/sent_email__v/VBL00000002N703", "SE-001431921")</f>
        <v>SE-001431921</v>
      </c>
      <c r="F2438" s="11"/>
      <c r="G2438" s="12">
        <v>0</v>
      </c>
      <c r="H2438" s="12">
        <v>0</v>
      </c>
      <c r="I2438" s="12">
        <v>0</v>
      </c>
      <c r="J2438" s="11"/>
      <c r="K2438" s="12">
        <v>0</v>
      </c>
      <c r="L2438" s="10" t="str">
        <f>HYPERLINK("https://otsuka-europe-crm.veevavault.com/ui/#object/approved_document__v/V5O00000001A037", "LUP - VAE Póster Adelphi - Nefro")</f>
        <v>LUP - VAE Póster Adelphi - Nefro</v>
      </c>
      <c r="M2438" s="10" t="str">
        <f>HYPERLINK("mailto:ccoll@crm.otsuka-europe.com", "ccoll@crm.otsuka-europe.com")</f>
        <v>ccoll@crm.otsuka-europe.com</v>
      </c>
      <c r="N2438" s="13">
        <v>46175.77915509259</v>
      </c>
      <c r="O2438" s="14" t="str">
        <f>HYPERLINK("https://otsuka-europe-crm.veevavault.com/ui/#object/email_activity__v/V8C00000003N152", "EN-002088196")</f>
        <v>EN-002088196</v>
      </c>
    </row>
    <row r="2439" spans="1:15" ht="32" x14ac:dyDescent="0.2">
      <c r="A2439" s="7" t="str">
        <f>HYPERLINK("https://otsuka-europe-crm.veevavault.com/ui/#object/account__v/V4TZ06G6O71TJXW", "KARLA FLORES GIMENO")</f>
        <v>KARLA FLORES GIMENO</v>
      </c>
      <c r="B2439" s="7" t="str">
        <f>HYPERLINK("https://otsuka-europe-crm.veevavault.com/ui/#object/vcountry__v/VENZ000004SONF5", "ES")</f>
        <v>ES</v>
      </c>
      <c r="C2439" s="8" t="s">
        <v>41</v>
      </c>
      <c r="D2439" s="9" t="str">
        <f>HYPERLINK("https://otsuka-europe-crm.veevavault.com/ui/#object/approved_document__v/V5O00000001A037", "LUP - VAE Póster Adelphi - Nefro")</f>
        <v>LUP - VAE Póster Adelphi - Nefro</v>
      </c>
      <c r="E2439" s="10" t="str">
        <f>HYPERLINK("https://otsuka-europe-crm.veevavault.com/ui/#object/sent_email__v/VBL00000002N704", "SE-001431922")</f>
        <v>SE-001431922</v>
      </c>
      <c r="F2439" s="11"/>
      <c r="G2439" s="12">
        <v>0</v>
      </c>
      <c r="H2439" s="12">
        <v>0</v>
      </c>
      <c r="I2439" s="12">
        <v>0</v>
      </c>
      <c r="J2439" s="11"/>
      <c r="K2439" s="12">
        <v>0</v>
      </c>
      <c r="L2439" s="10" t="str">
        <f>HYPERLINK("https://otsuka-europe-crm.veevavault.com/ui/#object/approved_document__v/V5O00000001A037", "LUP - VAE Póster Adelphi - Nefro")</f>
        <v>LUP - VAE Póster Adelphi - Nefro</v>
      </c>
      <c r="M2439" s="10" t="str">
        <f>HYPERLINK("mailto:ccoll@crm.otsuka-europe.com", "ccoll@crm.otsuka-europe.com")</f>
        <v>ccoll@crm.otsuka-europe.com</v>
      </c>
      <c r="N2439" s="13">
        <v>46175.77915509259</v>
      </c>
      <c r="O2439" s="14" t="str">
        <f>HYPERLINK("https://otsuka-europe-crm.veevavault.com/ui/#object/email_activity__v/V8C00000003N131", "EN-002088175")</f>
        <v>EN-002088175</v>
      </c>
    </row>
    <row r="2440" spans="1:15" ht="32" x14ac:dyDescent="0.2">
      <c r="A2440" s="7" t="str">
        <f>HYPERLINK("https://otsuka-europe-crm.veevavault.com/ui/#object/account__v/V4TZ025E82A5WUA", "MICHELLE ANDREA LINAREZ BREA")</f>
        <v>MICHELLE ANDREA LINAREZ BREA</v>
      </c>
      <c r="B2440" s="7" t="str">
        <f>HYPERLINK("https://otsuka-europe-crm.veevavault.com/ui/#object/vcountry__v/VENZ000004SONF5", "ES")</f>
        <v>ES</v>
      </c>
      <c r="C2440" s="8" t="s">
        <v>41</v>
      </c>
      <c r="D2440" s="9" t="str">
        <f>HYPERLINK("https://otsuka-europe-crm.veevavault.com/ui/#object/approved_document__v/V5O00000001A037", "LUP - VAE Póster Adelphi - Nefro")</f>
        <v>LUP - VAE Póster Adelphi - Nefro</v>
      </c>
      <c r="E2440" s="10" t="str">
        <f>HYPERLINK("https://otsuka-europe-crm.veevavault.com/ui/#object/sent_email__v/VBL00000002N705", "SE-001431923")</f>
        <v>SE-001431923</v>
      </c>
      <c r="F2440" s="11"/>
      <c r="G2440" s="12">
        <v>0</v>
      </c>
      <c r="H2440" s="12">
        <v>0</v>
      </c>
      <c r="I2440" s="12">
        <v>0</v>
      </c>
      <c r="J2440" s="11"/>
      <c r="K2440" s="12">
        <v>0</v>
      </c>
      <c r="L2440" s="10" t="str">
        <f>HYPERLINK("https://otsuka-europe-crm.veevavault.com/ui/#object/approved_document__v/V5O00000001A037", "LUP - VAE Póster Adelphi - Nefro")</f>
        <v>LUP - VAE Póster Adelphi - Nefro</v>
      </c>
      <c r="M2440" s="10" t="str">
        <f>HYPERLINK("mailto:ccoll@crm.otsuka-europe.com", "ccoll@crm.otsuka-europe.com")</f>
        <v>ccoll@crm.otsuka-europe.com</v>
      </c>
      <c r="N2440" s="13">
        <v>46175.77915509259</v>
      </c>
      <c r="O2440" s="14" t="str">
        <f>HYPERLINK("https://otsuka-europe-crm.veevavault.com/ui/#object/email_activity__v/V8C00000003N143", "EN-002088187")</f>
        <v>EN-002088187</v>
      </c>
    </row>
    <row r="2441" spans="1:15" ht="16" x14ac:dyDescent="0.2">
      <c r="A2441" s="17" t="str">
        <f>HYPERLINK("https://otsuka-europe-crm.veevavault.com/ui/#object/account__v/V4TZ06G6O71TC7U", "MARIA DOLORES SANCHEZ DE LA NIETA GARCIA")</f>
        <v>MARIA DOLORES SANCHEZ DE LA NIETA GARCIA</v>
      </c>
      <c r="B2441" s="17" t="str">
        <f>HYPERLINK("https://otsuka-europe-crm.veevavault.com/ui/#object/vcountry__v/VENZ000004SONF5", "ES")</f>
        <v>ES</v>
      </c>
      <c r="C2441" s="20" t="s">
        <v>41</v>
      </c>
      <c r="D2441" s="21" t="str">
        <f>HYPERLINK("https://otsuka-europe-crm.veevavault.com/ui/#object/approved_document__v/V5O00000001A037", "LUP - VAE Póster Adelphi - Nefro")</f>
        <v>LUP - VAE Póster Adelphi - Nefro</v>
      </c>
      <c r="E2441" s="22" t="str">
        <f>HYPERLINK("https://otsuka-europe-crm.veevavault.com/ui/#object/sent_email__v/VBL00000002N706", "SE-001431924")</f>
        <v>SE-001431924</v>
      </c>
      <c r="F2441" s="25"/>
      <c r="G2441" s="24">
        <v>0</v>
      </c>
      <c r="H2441" s="24">
        <v>0</v>
      </c>
      <c r="I2441" s="24">
        <v>0</v>
      </c>
      <c r="J2441" s="25"/>
      <c r="K2441" s="24">
        <v>0</v>
      </c>
      <c r="L2441" s="22" t="str">
        <f>HYPERLINK("https://otsuka-europe-crm.veevavault.com/ui/#object/approved_document__v/V5O00000001A037", "LUP - VAE Póster Adelphi - Nefro")</f>
        <v>LUP - VAE Póster Adelphi - Nefro</v>
      </c>
      <c r="M2441" s="22" t="str">
        <f>HYPERLINK("mailto:ccoll@crm.otsuka-europe.com", "ccoll@crm.otsuka-europe.com")</f>
        <v>ccoll@crm.otsuka-europe.com</v>
      </c>
      <c r="N2441" s="23">
        <v>46175.77915509259</v>
      </c>
      <c r="O2441" s="14" t="str">
        <f>HYPERLINK("https://otsuka-europe-crm.veevavault.com/ui/#object/email_activity__v/V8C00000003N144", "EN-002088188")</f>
        <v>EN-002088188</v>
      </c>
    </row>
    <row r="2442" spans="1:15" ht="16" x14ac:dyDescent="0.2">
      <c r="A2442" s="19"/>
      <c r="B2442" s="19"/>
      <c r="C2442" s="19"/>
      <c r="D2442" s="19"/>
      <c r="E2442" s="19"/>
      <c r="F2442" s="19"/>
      <c r="G2442" s="19"/>
      <c r="H2442" s="19"/>
      <c r="I2442" s="19"/>
      <c r="J2442" s="19"/>
      <c r="K2442" s="19"/>
      <c r="L2442" s="19"/>
      <c r="M2442" s="19"/>
      <c r="N2442" s="19"/>
      <c r="O2442" s="14" t="str">
        <f>HYPERLINK("https://otsuka-europe-crm.veevavault.com/ui/#object/email_activity__v/V8C00000003N330", "EN-002088501")</f>
        <v>EN-002088501</v>
      </c>
    </row>
    <row r="2443" spans="1:15" ht="16" x14ac:dyDescent="0.2">
      <c r="A2443" s="17" t="str">
        <f>HYPERLINK("https://otsuka-europe-crm.veevavault.com/ui/#object/account__v/V4TZ04ASG7RX91O", "NANCY DANIELA VALENCIA MORALES")</f>
        <v>NANCY DANIELA VALENCIA MORALES</v>
      </c>
      <c r="B2443" s="17" t="str">
        <f>HYPERLINK("https://otsuka-europe-crm.veevavault.com/ui/#object/vcountry__v/VENZ000004SONF5", "ES")</f>
        <v>ES</v>
      </c>
      <c r="C2443" s="20" t="s">
        <v>41</v>
      </c>
      <c r="D2443" s="21" t="str">
        <f>HYPERLINK("https://otsuka-europe-crm.veevavault.com/ui/#object/approved_document__v/V5O00000001A037", "LUP - VAE Póster Adelphi - Nefro")</f>
        <v>LUP - VAE Póster Adelphi - Nefro</v>
      </c>
      <c r="E2443" s="22" t="str">
        <f>HYPERLINK("https://otsuka-europe-crm.veevavault.com/ui/#object/sent_email__v/VBL00000002N707", "SE-001431925")</f>
        <v>SE-001431925</v>
      </c>
      <c r="F2443" s="23">
        <v>46179.485115740739</v>
      </c>
      <c r="G2443" s="24">
        <v>1</v>
      </c>
      <c r="H2443" s="24">
        <v>2</v>
      </c>
      <c r="I2443" s="24">
        <v>1</v>
      </c>
      <c r="J2443" s="23">
        <v>46177.676388888889</v>
      </c>
      <c r="K2443" s="24">
        <v>1</v>
      </c>
      <c r="L2443" s="22" t="str">
        <f>HYPERLINK("https://otsuka-europe-crm.veevavault.com/ui/#object/approved_document__v/V5O00000001A037", "LUP - VAE Póster Adelphi - Nefro")</f>
        <v>LUP - VAE Póster Adelphi - Nefro</v>
      </c>
      <c r="M2443" s="22" t="str">
        <f>HYPERLINK("mailto:ccoll@crm.otsuka-europe.com", "ccoll@crm.otsuka-europe.com")</f>
        <v>ccoll@crm.otsuka-europe.com</v>
      </c>
      <c r="N2443" s="23">
        <v>46175.77915509259</v>
      </c>
      <c r="O2443" s="14" t="str">
        <f>HYPERLINK("https://otsuka-europe-crm.veevavault.com/ui/#object/email_activity__v/V8C00000003M579", "EN-002089171")</f>
        <v>EN-002089171</v>
      </c>
    </row>
    <row r="2444" spans="1:15" ht="16" x14ac:dyDescent="0.2">
      <c r="A2444" s="18"/>
      <c r="B2444" s="18"/>
      <c r="C2444" s="18"/>
      <c r="D2444" s="18"/>
      <c r="E2444" s="18"/>
      <c r="F2444" s="18"/>
      <c r="G2444" s="18"/>
      <c r="H2444" s="18"/>
      <c r="I2444" s="18"/>
      <c r="J2444" s="18"/>
      <c r="K2444" s="18"/>
      <c r="L2444" s="18"/>
      <c r="M2444" s="18"/>
      <c r="N2444" s="18"/>
      <c r="O2444" s="14" t="str">
        <f>HYPERLINK("https://otsuka-europe-crm.veevavault.com/ui/#object/email_activity__v/V8C00000003N045", "EN-002088084")</f>
        <v>EN-002088084</v>
      </c>
    </row>
    <row r="2445" spans="1:15" ht="16" x14ac:dyDescent="0.2">
      <c r="A2445" s="18"/>
      <c r="B2445" s="18"/>
      <c r="C2445" s="18"/>
      <c r="D2445" s="18"/>
      <c r="E2445" s="18"/>
      <c r="F2445" s="18"/>
      <c r="G2445" s="18"/>
      <c r="H2445" s="18"/>
      <c r="I2445" s="18"/>
      <c r="J2445" s="18"/>
      <c r="K2445" s="18"/>
      <c r="L2445" s="18"/>
      <c r="M2445" s="18"/>
      <c r="N2445" s="18"/>
      <c r="O2445" s="14" t="str">
        <f>HYPERLINK("https://otsuka-europe-crm.veevavault.com/ui/#object/email_activity__v/V8C00000003N689", "EN-002089172")</f>
        <v>EN-002089172</v>
      </c>
    </row>
    <row r="2446" spans="1:15" ht="16" x14ac:dyDescent="0.2">
      <c r="A2446" s="18"/>
      <c r="B2446" s="18"/>
      <c r="C2446" s="18"/>
      <c r="D2446" s="18"/>
      <c r="E2446" s="18"/>
      <c r="F2446" s="18"/>
      <c r="G2446" s="18"/>
      <c r="H2446" s="18"/>
      <c r="I2446" s="18"/>
      <c r="J2446" s="18"/>
      <c r="K2446" s="18"/>
      <c r="L2446" s="18"/>
      <c r="M2446" s="18"/>
      <c r="N2446" s="18"/>
      <c r="O2446" s="14" t="str">
        <f>HYPERLINK("https://otsuka-europe-crm.veevavault.com/ui/#object/email_activity__v/V8C00000003N698", "EN-002089185")</f>
        <v>EN-002089185</v>
      </c>
    </row>
    <row r="2447" spans="1:15" ht="16" x14ac:dyDescent="0.2">
      <c r="A2447" s="18"/>
      <c r="B2447" s="18"/>
      <c r="C2447" s="18"/>
      <c r="D2447" s="18"/>
      <c r="E2447" s="18"/>
      <c r="F2447" s="18"/>
      <c r="G2447" s="18"/>
      <c r="H2447" s="18"/>
      <c r="I2447" s="18"/>
      <c r="J2447" s="18"/>
      <c r="K2447" s="18"/>
      <c r="L2447" s="18"/>
      <c r="M2447" s="18"/>
      <c r="N2447" s="18"/>
      <c r="O2447" s="14" t="str">
        <f>HYPERLINK("https://otsuka-europe-crm.veevavault.com/ui/#object/email_activity__v/V8C00000003N699", "EN-002089186")</f>
        <v>EN-002089186</v>
      </c>
    </row>
    <row r="2448" spans="1:15" ht="16" x14ac:dyDescent="0.2">
      <c r="A2448" s="18"/>
      <c r="B2448" s="18"/>
      <c r="C2448" s="18"/>
      <c r="D2448" s="18"/>
      <c r="E2448" s="18"/>
      <c r="F2448" s="18"/>
      <c r="G2448" s="18"/>
      <c r="H2448" s="18"/>
      <c r="I2448" s="18"/>
      <c r="J2448" s="18"/>
      <c r="K2448" s="18"/>
      <c r="L2448" s="18"/>
      <c r="M2448" s="18"/>
      <c r="N2448" s="18"/>
      <c r="O2448" s="14" t="str">
        <f>HYPERLINK("https://otsuka-europe-crm.veevavault.com/ui/#object/email_activity__v/V8C00000003N700", "EN-002089187")</f>
        <v>EN-002089187</v>
      </c>
    </row>
    <row r="2449" spans="1:15" ht="16" x14ac:dyDescent="0.2">
      <c r="A2449" s="18"/>
      <c r="B2449" s="18"/>
      <c r="C2449" s="18"/>
      <c r="D2449" s="18"/>
      <c r="E2449" s="18"/>
      <c r="F2449" s="18"/>
      <c r="G2449" s="18"/>
      <c r="H2449" s="18"/>
      <c r="I2449" s="18"/>
      <c r="J2449" s="18"/>
      <c r="K2449" s="18"/>
      <c r="L2449" s="18"/>
      <c r="M2449" s="18"/>
      <c r="N2449" s="18"/>
      <c r="O2449" s="14" t="str">
        <f>HYPERLINK("https://otsuka-europe-crm.veevavault.com/ui/#object/email_activity__v/V8C00000003N701", "EN-002089188")</f>
        <v>EN-002089188</v>
      </c>
    </row>
    <row r="2450" spans="1:15" ht="16" x14ac:dyDescent="0.2">
      <c r="A2450" s="18"/>
      <c r="B2450" s="18"/>
      <c r="C2450" s="18"/>
      <c r="D2450" s="18"/>
      <c r="E2450" s="18"/>
      <c r="F2450" s="18"/>
      <c r="G2450" s="18"/>
      <c r="H2450" s="18"/>
      <c r="I2450" s="18"/>
      <c r="J2450" s="18"/>
      <c r="K2450" s="18"/>
      <c r="L2450" s="18"/>
      <c r="M2450" s="18"/>
      <c r="N2450" s="18"/>
      <c r="O2450" s="14" t="str">
        <f>HYPERLINK("https://otsuka-europe-crm.veevavault.com/ui/#object/email_activity__v/V8C00000003P095", "EN-002089418")</f>
        <v>EN-002089418</v>
      </c>
    </row>
    <row r="2451" spans="1:15" ht="16" x14ac:dyDescent="0.2">
      <c r="A2451" s="19"/>
      <c r="B2451" s="19"/>
      <c r="C2451" s="19"/>
      <c r="D2451" s="19"/>
      <c r="E2451" s="19"/>
      <c r="F2451" s="19"/>
      <c r="G2451" s="19"/>
      <c r="H2451" s="19"/>
      <c r="I2451" s="19"/>
      <c r="J2451" s="19"/>
      <c r="K2451" s="19"/>
      <c r="L2451" s="19"/>
      <c r="M2451" s="19"/>
      <c r="N2451" s="19"/>
      <c r="O2451" s="14" t="str">
        <f>HYPERLINK("https://otsuka-europe-crm.veevavault.com/ui/#object/email_activity__v/V8C00000003P098", "EN-002089422")</f>
        <v>EN-002089422</v>
      </c>
    </row>
    <row r="2452" spans="1:15" ht="16" x14ac:dyDescent="0.2">
      <c r="A2452" s="17" t="str">
        <f>HYPERLINK("https://otsuka-europe-crm.veevavault.com/ui/#object/account__v/V4TZ06G6O71T9QD", "MARIA ANGELES FENOLLOSA SEGARRA")</f>
        <v>MARIA ANGELES FENOLLOSA SEGARRA</v>
      </c>
      <c r="B2452" s="17" t="str">
        <f>HYPERLINK("https://otsuka-europe-crm.veevavault.com/ui/#object/vcountry__v/VENZ000004SONF5", "ES")</f>
        <v>ES</v>
      </c>
      <c r="C2452" s="20" t="s">
        <v>41</v>
      </c>
      <c r="D2452" s="21" t="str">
        <f>HYPERLINK("https://otsuka-europe-crm.veevavault.com/ui/#object/approved_document__v/V5O00000001A037", "LUP - VAE Póster Adelphi - Nefro")</f>
        <v>LUP - VAE Póster Adelphi - Nefro</v>
      </c>
      <c r="E2452" s="22" t="str">
        <f>HYPERLINK("https://otsuka-europe-crm.veevavault.com/ui/#object/sent_email__v/VBL00000002N708", "SE-001431926")</f>
        <v>SE-001431926</v>
      </c>
      <c r="F2452" s="23">
        <v>46175.793680555558</v>
      </c>
      <c r="G2452" s="24">
        <v>1</v>
      </c>
      <c r="H2452" s="24">
        <v>2</v>
      </c>
      <c r="I2452" s="24">
        <v>0</v>
      </c>
      <c r="J2452" s="25"/>
      <c r="K2452" s="24">
        <v>0</v>
      </c>
      <c r="L2452" s="22" t="str">
        <f>HYPERLINK("https://otsuka-europe-crm.veevavault.com/ui/#object/approved_document__v/V5O00000001A037", "LUP - VAE Póster Adelphi - Nefro")</f>
        <v>LUP - VAE Póster Adelphi - Nefro</v>
      </c>
      <c r="M2452" s="22" t="str">
        <f>HYPERLINK("mailto:ccoll@crm.otsuka-europe.com", "ccoll@crm.otsuka-europe.com")</f>
        <v>ccoll@crm.otsuka-europe.com</v>
      </c>
      <c r="N2452" s="23">
        <v>46175.779178240744</v>
      </c>
      <c r="O2452" s="14" t="str">
        <f>HYPERLINK("https://otsuka-europe-crm.veevavault.com/ui/#object/email_activity__v/V8C00000003M156", "EN-002088310")</f>
        <v>EN-002088310</v>
      </c>
    </row>
    <row r="2453" spans="1:15" ht="16" x14ac:dyDescent="0.2">
      <c r="A2453" s="18"/>
      <c r="B2453" s="18"/>
      <c r="C2453" s="18"/>
      <c r="D2453" s="18"/>
      <c r="E2453" s="18"/>
      <c r="F2453" s="18"/>
      <c r="G2453" s="18"/>
      <c r="H2453" s="18"/>
      <c r="I2453" s="18"/>
      <c r="J2453" s="18"/>
      <c r="K2453" s="18"/>
      <c r="L2453" s="18"/>
      <c r="M2453" s="18"/>
      <c r="N2453" s="18"/>
      <c r="O2453" s="14" t="str">
        <f>HYPERLINK("https://otsuka-europe-crm.veevavault.com/ui/#object/email_activity__v/V8C00000003M157", "EN-002088311")</f>
        <v>EN-002088311</v>
      </c>
    </row>
    <row r="2454" spans="1:15" ht="16" x14ac:dyDescent="0.2">
      <c r="A2454" s="19"/>
      <c r="B2454" s="19"/>
      <c r="C2454" s="19"/>
      <c r="D2454" s="19"/>
      <c r="E2454" s="19"/>
      <c r="F2454" s="19"/>
      <c r="G2454" s="19"/>
      <c r="H2454" s="19"/>
      <c r="I2454" s="19"/>
      <c r="J2454" s="19"/>
      <c r="K2454" s="19"/>
      <c r="L2454" s="19"/>
      <c r="M2454" s="19"/>
      <c r="N2454" s="19"/>
      <c r="O2454" s="14" t="str">
        <f>HYPERLINK("https://otsuka-europe-crm.veevavault.com/ui/#object/email_activity__v/V8C00000003N096", "EN-002088140")</f>
        <v>EN-002088140</v>
      </c>
    </row>
    <row r="2455" spans="1:15" ht="32" x14ac:dyDescent="0.2">
      <c r="A2455" s="7" t="str">
        <f>HYPERLINK("https://otsuka-europe-crm.veevavault.com/ui/#object/account__v/V4TZ06G6O71T87X", "SHEILA BERMEJO GARCIA")</f>
        <v>SHEILA BERMEJO GARCIA</v>
      </c>
      <c r="B2455" s="7" t="str">
        <f>HYPERLINK("https://otsuka-europe-crm.veevavault.com/ui/#object/vcountry__v/VENZ000004SONF5", "ES")</f>
        <v>ES</v>
      </c>
      <c r="C2455" s="8" t="s">
        <v>41</v>
      </c>
      <c r="D2455" s="9" t="str">
        <f>HYPERLINK("https://otsuka-europe-crm.veevavault.com/ui/#object/approved_document__v/V5O00000001A037", "LUP - VAE Póster Adelphi - Nefro")</f>
        <v>LUP - VAE Póster Adelphi - Nefro</v>
      </c>
      <c r="E2455" s="10" t="str">
        <f>HYPERLINK("https://otsuka-europe-crm.veevavault.com/ui/#object/sent_email__v/VBL00000002N709", "SE-001431927")</f>
        <v>SE-001431927</v>
      </c>
      <c r="F2455" s="11"/>
      <c r="G2455" s="12">
        <v>0</v>
      </c>
      <c r="H2455" s="12">
        <v>0</v>
      </c>
      <c r="I2455" s="12">
        <v>0</v>
      </c>
      <c r="J2455" s="11"/>
      <c r="K2455" s="12">
        <v>0</v>
      </c>
      <c r="L2455" s="10" t="str">
        <f>HYPERLINK("https://otsuka-europe-crm.veevavault.com/ui/#object/approved_document__v/V5O00000001A037", "LUP - VAE Póster Adelphi - Nefro")</f>
        <v>LUP - VAE Póster Adelphi - Nefro</v>
      </c>
      <c r="M2455" s="10" t="str">
        <f>HYPERLINK("mailto:ccoll@crm.otsuka-europe.com", "ccoll@crm.otsuka-europe.com")</f>
        <v>ccoll@crm.otsuka-europe.com</v>
      </c>
      <c r="N2455" s="13">
        <v>46175.779178240744</v>
      </c>
      <c r="O2455" s="14" t="str">
        <f>HYPERLINK("https://otsuka-europe-crm.veevavault.com/ui/#object/email_activity__v/V8C00000003N097", "EN-002088141")</f>
        <v>EN-002088141</v>
      </c>
    </row>
    <row r="2456" spans="1:15" ht="32" x14ac:dyDescent="0.2">
      <c r="A2456" s="7" t="str">
        <f>HYPERLINK("https://otsuka-europe-crm.veevavault.com/ui/#object/account__v/V4TZ06G6O71TB20", "ORLANDO MARTINS DOMINGOS")</f>
        <v>ORLANDO MARTINS DOMINGOS</v>
      </c>
      <c r="B2456" s="7" t="str">
        <f>HYPERLINK("https://otsuka-europe-crm.veevavault.com/ui/#object/vcountry__v/VENZ000004SONF5", "ES")</f>
        <v>ES</v>
      </c>
      <c r="C2456" s="8" t="s">
        <v>41</v>
      </c>
      <c r="D2456" s="9" t="str">
        <f>HYPERLINK("https://otsuka-europe-crm.veevavault.com/ui/#object/approved_document__v/V5O00000001A037", "LUP - VAE Póster Adelphi - Nefro")</f>
        <v>LUP - VAE Póster Adelphi - Nefro</v>
      </c>
      <c r="E2456" s="10" t="str">
        <f>HYPERLINK("https://otsuka-europe-crm.veevavault.com/ui/#object/sent_email__v/VBL00000002N710", "SE-001431928")</f>
        <v>SE-001431928</v>
      </c>
      <c r="F2456" s="11"/>
      <c r="G2456" s="12">
        <v>0</v>
      </c>
      <c r="H2456" s="12">
        <v>0</v>
      </c>
      <c r="I2456" s="12">
        <v>0</v>
      </c>
      <c r="J2456" s="11"/>
      <c r="K2456" s="12">
        <v>0</v>
      </c>
      <c r="L2456" s="10" t="str">
        <f>HYPERLINK("https://otsuka-europe-crm.veevavault.com/ui/#object/approved_document__v/V5O00000001A037", "LUP - VAE Póster Adelphi - Nefro")</f>
        <v>LUP - VAE Póster Adelphi - Nefro</v>
      </c>
      <c r="M2456" s="10" t="str">
        <f>HYPERLINK("mailto:ccoll@crm.otsuka-europe.com", "ccoll@crm.otsuka-europe.com")</f>
        <v>ccoll@crm.otsuka-europe.com</v>
      </c>
      <c r="N2456" s="13">
        <v>46175.779178240744</v>
      </c>
      <c r="O2456" s="14" t="str">
        <f>HYPERLINK("https://otsuka-europe-crm.veevavault.com/ui/#object/email_activity__v/V8C00000003N086", "EN-002088130")</f>
        <v>EN-002088130</v>
      </c>
    </row>
    <row r="2457" spans="1:15" ht="16" x14ac:dyDescent="0.2">
      <c r="A2457" s="17" t="str">
        <f>HYPERLINK("https://otsuka-europe-crm.veevavault.com/ui/#object/account__v/V4TZ06G6O71TBNH", "ANTONIO FRANCISCO PLANAS PONS")</f>
        <v>ANTONIO FRANCISCO PLANAS PONS</v>
      </c>
      <c r="B2457" s="17" t="str">
        <f>HYPERLINK("https://otsuka-europe-crm.veevavault.com/ui/#object/vcountry__v/VENZ000004SONF5", "ES")</f>
        <v>ES</v>
      </c>
      <c r="C2457" s="20" t="s">
        <v>41</v>
      </c>
      <c r="D2457" s="21" t="str">
        <f>HYPERLINK("https://otsuka-europe-crm.veevavault.com/ui/#object/approved_document__v/V5O00000001A037", "LUP - VAE Póster Adelphi - Nefro")</f>
        <v>LUP - VAE Póster Adelphi - Nefro</v>
      </c>
      <c r="E2457" s="22" t="str">
        <f>HYPERLINK("https://otsuka-europe-crm.veevavault.com/ui/#object/sent_email__v/VBL00000002N711", "SE-001431929")</f>
        <v>SE-001431929</v>
      </c>
      <c r="F2457" s="23">
        <v>46175.81585648148</v>
      </c>
      <c r="G2457" s="24">
        <v>1</v>
      </c>
      <c r="H2457" s="24">
        <v>1</v>
      </c>
      <c r="I2457" s="24">
        <v>0</v>
      </c>
      <c r="J2457" s="25"/>
      <c r="K2457" s="24">
        <v>0</v>
      </c>
      <c r="L2457" s="22" t="str">
        <f>HYPERLINK("https://otsuka-europe-crm.veevavault.com/ui/#object/approved_document__v/V5O00000001A037", "LUP - VAE Póster Adelphi - Nefro")</f>
        <v>LUP - VAE Póster Adelphi - Nefro</v>
      </c>
      <c r="M2457" s="22" t="str">
        <f>HYPERLINK("mailto:ccoll@crm.otsuka-europe.com", "ccoll@crm.otsuka-europe.com")</f>
        <v>ccoll@crm.otsuka-europe.com</v>
      </c>
      <c r="N2457" s="23">
        <v>46175.779178240744</v>
      </c>
      <c r="O2457" s="14" t="str">
        <f>HYPERLINK("https://otsuka-europe-crm.veevavault.com/ui/#object/email_activity__v/V8C00000003M176", "EN-002088349")</f>
        <v>EN-002088349</v>
      </c>
    </row>
    <row r="2458" spans="1:15" ht="16" x14ac:dyDescent="0.2">
      <c r="A2458" s="19"/>
      <c r="B2458" s="19"/>
      <c r="C2458" s="19"/>
      <c r="D2458" s="19"/>
      <c r="E2458" s="19"/>
      <c r="F2458" s="19"/>
      <c r="G2458" s="19"/>
      <c r="H2458" s="19"/>
      <c r="I2458" s="19"/>
      <c r="J2458" s="19"/>
      <c r="K2458" s="19"/>
      <c r="L2458" s="19"/>
      <c r="M2458" s="19"/>
      <c r="N2458" s="19"/>
      <c r="O2458" s="14" t="str">
        <f>HYPERLINK("https://otsuka-europe-crm.veevavault.com/ui/#object/email_activity__v/V8C00000003N087", "EN-002088131")</f>
        <v>EN-002088131</v>
      </c>
    </row>
    <row r="2459" spans="1:15" ht="16" x14ac:dyDescent="0.2">
      <c r="A2459" s="17" t="str">
        <f>HYPERLINK("https://otsuka-europe-crm.veevavault.com/ui/#object/account__v/V4TZ04ASGBC5QX5", "JULIA GARRO MARTINEZ")</f>
        <v>JULIA GARRO MARTINEZ</v>
      </c>
      <c r="B2459" s="17" t="str">
        <f>HYPERLINK("https://otsuka-europe-crm.veevavault.com/ui/#object/vcountry__v/VENZ000004SONF5", "ES")</f>
        <v>ES</v>
      </c>
      <c r="C2459" s="20" t="s">
        <v>41</v>
      </c>
      <c r="D2459" s="21" t="str">
        <f>HYPERLINK("https://otsuka-europe-crm.veevavault.com/ui/#object/approved_document__v/V5O00000001A037", "LUP - VAE Póster Adelphi - Nefro")</f>
        <v>LUP - VAE Póster Adelphi - Nefro</v>
      </c>
      <c r="E2459" s="22" t="str">
        <f>HYPERLINK("https://otsuka-europe-crm.veevavault.com/ui/#object/sent_email__v/VBL00000002N712", "SE-001431930")</f>
        <v>SE-001431930</v>
      </c>
      <c r="F2459" s="25"/>
      <c r="G2459" s="24">
        <v>0</v>
      </c>
      <c r="H2459" s="24">
        <v>0</v>
      </c>
      <c r="I2459" s="24">
        <v>0</v>
      </c>
      <c r="J2459" s="25"/>
      <c r="K2459" s="24">
        <v>0</v>
      </c>
      <c r="L2459" s="22" t="str">
        <f>HYPERLINK("https://otsuka-europe-crm.veevavault.com/ui/#object/approved_document__v/V5O00000001A037", "LUP - VAE Póster Adelphi - Nefro")</f>
        <v>LUP - VAE Póster Adelphi - Nefro</v>
      </c>
      <c r="M2459" s="22" t="str">
        <f>HYPERLINK("mailto:ccoll@crm.otsuka-europe.com", "ccoll@crm.otsuka-europe.com")</f>
        <v>ccoll@crm.otsuka-europe.com</v>
      </c>
      <c r="N2459" s="23">
        <v>46175.77915509259</v>
      </c>
      <c r="O2459" s="14" t="str">
        <f>HYPERLINK("https://otsuka-europe-crm.veevavault.com/ui/#object/email_activity__v/V8C00000003M151", "EN-002088305")</f>
        <v>EN-002088305</v>
      </c>
    </row>
    <row r="2460" spans="1:15" ht="16" x14ac:dyDescent="0.2">
      <c r="A2460" s="19"/>
      <c r="B2460" s="19"/>
      <c r="C2460" s="19"/>
      <c r="D2460" s="19"/>
      <c r="E2460" s="19"/>
      <c r="F2460" s="19"/>
      <c r="G2460" s="19"/>
      <c r="H2460" s="19"/>
      <c r="I2460" s="19"/>
      <c r="J2460" s="19"/>
      <c r="K2460" s="19"/>
      <c r="L2460" s="19"/>
      <c r="M2460" s="19"/>
      <c r="N2460" s="19"/>
      <c r="O2460" s="14" t="str">
        <f>HYPERLINK("https://otsuka-europe-crm.veevavault.com/ui/#object/email_activity__v/V8C00000003N153", "EN-002088197")</f>
        <v>EN-002088197</v>
      </c>
    </row>
    <row r="2461" spans="1:15" ht="16" x14ac:dyDescent="0.2">
      <c r="A2461" s="17" t="str">
        <f>HYPERLINK("https://otsuka-europe-crm.veevavault.com/ui/#object/account__v/V4TZ06G6O71T95W", "RAUL EDILBERTO ALVARADO GUTIERREZ")</f>
        <v>RAUL EDILBERTO ALVARADO GUTIERREZ</v>
      </c>
      <c r="B2461" s="17" t="str">
        <f>HYPERLINK("https://otsuka-europe-crm.veevavault.com/ui/#object/vcountry__v/VENZ000004SONF5", "ES")</f>
        <v>ES</v>
      </c>
      <c r="C2461" s="20" t="s">
        <v>41</v>
      </c>
      <c r="D2461" s="21" t="str">
        <f>HYPERLINK("https://otsuka-europe-crm.veevavault.com/ui/#object/approved_document__v/V5O00000001A037", "LUP - VAE Póster Adelphi - Nefro")</f>
        <v>LUP - VAE Póster Adelphi - Nefro</v>
      </c>
      <c r="E2461" s="22" t="str">
        <f>HYPERLINK("https://otsuka-europe-crm.veevavault.com/ui/#object/sent_email__v/VBL00000002N713", "SE-001431931")</f>
        <v>SE-001431931</v>
      </c>
      <c r="F2461" s="25"/>
      <c r="G2461" s="24">
        <v>0</v>
      </c>
      <c r="H2461" s="24">
        <v>0</v>
      </c>
      <c r="I2461" s="24">
        <v>0</v>
      </c>
      <c r="J2461" s="25"/>
      <c r="K2461" s="24">
        <v>0</v>
      </c>
      <c r="L2461" s="22" t="str">
        <f>HYPERLINK("https://otsuka-europe-crm.veevavault.com/ui/#object/approved_document__v/V5O00000001A037", "LUP - VAE Póster Adelphi - Nefro")</f>
        <v>LUP - VAE Póster Adelphi - Nefro</v>
      </c>
      <c r="M2461" s="22" t="str">
        <f>HYPERLINK("mailto:ccoll@crm.otsuka-europe.com", "ccoll@crm.otsuka-europe.com")</f>
        <v>ccoll@crm.otsuka-europe.com</v>
      </c>
      <c r="N2461" s="23">
        <v>46175.779189814813</v>
      </c>
      <c r="O2461" s="14" t="str">
        <f>HYPERLINK("https://otsuka-europe-crm.veevavault.com/ui/#object/email_activity__v/V8C00000003N108", "EN-002088152")</f>
        <v>EN-002088152</v>
      </c>
    </row>
    <row r="2462" spans="1:15" ht="16" x14ac:dyDescent="0.2">
      <c r="A2462" s="19"/>
      <c r="B2462" s="19"/>
      <c r="C2462" s="19"/>
      <c r="D2462" s="19"/>
      <c r="E2462" s="19"/>
      <c r="F2462" s="19"/>
      <c r="G2462" s="19"/>
      <c r="H2462" s="19"/>
      <c r="I2462" s="19"/>
      <c r="J2462" s="19"/>
      <c r="K2462" s="19"/>
      <c r="L2462" s="19"/>
      <c r="M2462" s="19"/>
      <c r="N2462" s="19"/>
      <c r="O2462" s="14" t="str">
        <f>HYPERLINK("https://otsuka-europe-crm.veevavault.com/ui/#object/email_activity__v/V8C00000003N232", "EN-002088276")</f>
        <v>EN-002088276</v>
      </c>
    </row>
    <row r="2463" spans="1:15" ht="32" x14ac:dyDescent="0.2">
      <c r="A2463" s="7" t="str">
        <f>HYPERLINK("https://otsuka-europe-crm.veevavault.com/ui/#object/account__v/V4TZ06G6O71T84V", "JESSICA MARIA UGALDE ALTAMIRANO")</f>
        <v>JESSICA MARIA UGALDE ALTAMIRANO</v>
      </c>
      <c r="B2463" s="7" t="str">
        <f>HYPERLINK("https://otsuka-europe-crm.veevavault.com/ui/#object/vcountry__v/VENZ000004SONF5", "ES")</f>
        <v>ES</v>
      </c>
      <c r="C2463" s="8" t="s">
        <v>41</v>
      </c>
      <c r="D2463" s="9" t="str">
        <f>HYPERLINK("https://otsuka-europe-crm.veevavault.com/ui/#object/approved_document__v/V5O00000001A037", "LUP - VAE Póster Adelphi - Nefro")</f>
        <v>LUP - VAE Póster Adelphi - Nefro</v>
      </c>
      <c r="E2463" s="10" t="str">
        <f>HYPERLINK("https://otsuka-europe-crm.veevavault.com/ui/#object/sent_email__v/VBL00000002N714", "SE-001431932")</f>
        <v>SE-001431932</v>
      </c>
      <c r="F2463" s="11"/>
      <c r="G2463" s="12">
        <v>0</v>
      </c>
      <c r="H2463" s="12">
        <v>0</v>
      </c>
      <c r="I2463" s="12">
        <v>0</v>
      </c>
      <c r="J2463" s="11"/>
      <c r="K2463" s="12">
        <v>0</v>
      </c>
      <c r="L2463" s="10" t="str">
        <f>HYPERLINK("https://otsuka-europe-crm.veevavault.com/ui/#object/approved_document__v/V5O00000001A037", "LUP - VAE Póster Adelphi - Nefro")</f>
        <v>LUP - VAE Póster Adelphi - Nefro</v>
      </c>
      <c r="M2463" s="10" t="str">
        <f>HYPERLINK("mailto:ccoll@crm.otsuka-europe.com", "ccoll@crm.otsuka-europe.com")</f>
        <v>ccoll@crm.otsuka-europe.com</v>
      </c>
      <c r="N2463" s="13">
        <v>46175.779178240744</v>
      </c>
      <c r="O2463" s="14" t="str">
        <f>HYPERLINK("https://otsuka-europe-crm.veevavault.com/ui/#object/email_activity__v/V8C00000003N080", "EN-002088124")</f>
        <v>EN-002088124</v>
      </c>
    </row>
    <row r="2464" spans="1:15" ht="16" x14ac:dyDescent="0.2">
      <c r="A2464" s="17" t="str">
        <f>HYPERLINK("https://otsuka-europe-crm.veevavault.com/ui/#object/account__v/V4TZ06G6O71TCN5", "MERCEDES HOMS DEL VALLE")</f>
        <v>MERCEDES HOMS DEL VALLE</v>
      </c>
      <c r="B2464" s="17" t="str">
        <f>HYPERLINK("https://otsuka-europe-crm.veevavault.com/ui/#object/vcountry__v/VENZ000004SONF5", "ES")</f>
        <v>ES</v>
      </c>
      <c r="C2464" s="20" t="s">
        <v>41</v>
      </c>
      <c r="D2464" s="21" t="str">
        <f>HYPERLINK("https://otsuka-europe-crm.veevavault.com/ui/#object/approved_document__v/V5O00000001A037", "LUP - VAE Póster Adelphi - Nefro")</f>
        <v>LUP - VAE Póster Adelphi - Nefro</v>
      </c>
      <c r="E2464" s="22" t="str">
        <f>HYPERLINK("https://otsuka-europe-crm.veevavault.com/ui/#object/sent_email__v/VBL00000002N715", "SE-001431933")</f>
        <v>SE-001431933</v>
      </c>
      <c r="F2464" s="23">
        <v>46176.369837962964</v>
      </c>
      <c r="G2464" s="24">
        <v>1</v>
      </c>
      <c r="H2464" s="24">
        <v>1</v>
      </c>
      <c r="I2464" s="24">
        <v>1</v>
      </c>
      <c r="J2464" s="23">
        <v>46176.369837962964</v>
      </c>
      <c r="K2464" s="24">
        <v>1</v>
      </c>
      <c r="L2464" s="22" t="str">
        <f>HYPERLINK("https://otsuka-europe-crm.veevavault.com/ui/#object/approved_document__v/V5O00000001A037", "LUP - VAE Póster Adelphi - Nefro")</f>
        <v>LUP - VAE Póster Adelphi - Nefro</v>
      </c>
      <c r="M2464" s="22" t="str">
        <f>HYPERLINK("mailto:ccoll@crm.otsuka-europe.com", "ccoll@crm.otsuka-europe.com")</f>
        <v>ccoll@crm.otsuka-europe.com</v>
      </c>
      <c r="N2464" s="23">
        <v>46175.77915509259</v>
      </c>
      <c r="O2464" s="14" t="str">
        <f>HYPERLINK("https://otsuka-europe-crm.veevavault.com/ui/#object/email_activity__v/V8C00000003M321", "EN-002088626")</f>
        <v>EN-002088626</v>
      </c>
    </row>
    <row r="2465" spans="1:15" ht="16" x14ac:dyDescent="0.2">
      <c r="A2465" s="18"/>
      <c r="B2465" s="18"/>
      <c r="C2465" s="18"/>
      <c r="D2465" s="18"/>
      <c r="E2465" s="18"/>
      <c r="F2465" s="18"/>
      <c r="G2465" s="18"/>
      <c r="H2465" s="18"/>
      <c r="I2465" s="18"/>
      <c r="J2465" s="18"/>
      <c r="K2465" s="18"/>
      <c r="L2465" s="18"/>
      <c r="M2465" s="18"/>
      <c r="N2465" s="18"/>
      <c r="O2465" s="14" t="str">
        <f>HYPERLINK("https://otsuka-europe-crm.veevavault.com/ui/#object/email_activity__v/V8C00000003N132", "EN-002088176")</f>
        <v>EN-002088176</v>
      </c>
    </row>
    <row r="2466" spans="1:15" ht="16" x14ac:dyDescent="0.2">
      <c r="A2466" s="18"/>
      <c r="B2466" s="18"/>
      <c r="C2466" s="18"/>
      <c r="D2466" s="18"/>
      <c r="E2466" s="18"/>
      <c r="F2466" s="18"/>
      <c r="G2466" s="18"/>
      <c r="H2466" s="18"/>
      <c r="I2466" s="18"/>
      <c r="J2466" s="18"/>
      <c r="K2466" s="18"/>
      <c r="L2466" s="18"/>
      <c r="M2466" s="18"/>
      <c r="N2466" s="18"/>
      <c r="O2466" s="14" t="str">
        <f>HYPERLINK("https://otsuka-europe-crm.veevavault.com/ui/#object/email_activity__v/V8C00000003N395", "EN-002088618")</f>
        <v>EN-002088618</v>
      </c>
    </row>
    <row r="2467" spans="1:15" ht="16" x14ac:dyDescent="0.2">
      <c r="A2467" s="19"/>
      <c r="B2467" s="19"/>
      <c r="C2467" s="19"/>
      <c r="D2467" s="19"/>
      <c r="E2467" s="19"/>
      <c r="F2467" s="19"/>
      <c r="G2467" s="19"/>
      <c r="H2467" s="19"/>
      <c r="I2467" s="19"/>
      <c r="J2467" s="19"/>
      <c r="K2467" s="19"/>
      <c r="L2467" s="19"/>
      <c r="M2467" s="19"/>
      <c r="N2467" s="19"/>
      <c r="O2467" s="14" t="str">
        <f>HYPERLINK("https://otsuka-europe-crm.veevavault.com/ui/#object/email_activity__v/V8C00000003N396", "EN-002088617")</f>
        <v>EN-002088617</v>
      </c>
    </row>
    <row r="2468" spans="1:15" ht="16" x14ac:dyDescent="0.2">
      <c r="A2468" s="17" t="str">
        <f>HYPERLINK("https://otsuka-europe-crm.veevavault.com/ui/#object/account__v/V4TZ025E86GOECL", "ASTRID PATRICIA HERNANDEZ SIERRA")</f>
        <v>ASTRID PATRICIA HERNANDEZ SIERRA</v>
      </c>
      <c r="B2468" s="17" t="str">
        <f>HYPERLINK("https://otsuka-europe-crm.veevavault.com/ui/#object/vcountry__v/VENZ000004SONF5", "ES")</f>
        <v>ES</v>
      </c>
      <c r="C2468" s="20" t="s">
        <v>41</v>
      </c>
      <c r="D2468" s="21" t="str">
        <f>HYPERLINK("https://otsuka-europe-crm.veevavault.com/ui/#object/approved_document__v/V5O00000001A037", "LUP - VAE Póster Adelphi - Nefro")</f>
        <v>LUP - VAE Póster Adelphi - Nefro</v>
      </c>
      <c r="E2468" s="22" t="str">
        <f>HYPERLINK("https://otsuka-europe-crm.veevavault.com/ui/#object/sent_email__v/VBL00000002N716", "SE-001431934")</f>
        <v>SE-001431934</v>
      </c>
      <c r="F2468" s="23">
        <v>46175.779224537036</v>
      </c>
      <c r="G2468" s="24">
        <v>1</v>
      </c>
      <c r="H2468" s="24">
        <v>1</v>
      </c>
      <c r="I2468" s="24">
        <v>0</v>
      </c>
      <c r="J2468" s="25"/>
      <c r="K2468" s="24">
        <v>0</v>
      </c>
      <c r="L2468" s="22" t="str">
        <f>HYPERLINK("https://otsuka-europe-crm.veevavault.com/ui/#object/approved_document__v/V5O00000001A037", "LUP - VAE Póster Adelphi - Nefro")</f>
        <v>LUP - VAE Póster Adelphi - Nefro</v>
      </c>
      <c r="M2468" s="22" t="str">
        <f>HYPERLINK("mailto:ccoll@crm.otsuka-europe.com", "ccoll@crm.otsuka-europe.com")</f>
        <v>ccoll@crm.otsuka-europe.com</v>
      </c>
      <c r="N2468" s="23">
        <v>46175.779178240744</v>
      </c>
      <c r="O2468" s="14" t="str">
        <f>HYPERLINK("https://otsuka-europe-crm.veevavault.com/ui/#object/email_activity__v/V8C00000003N077", "EN-002088121")</f>
        <v>EN-002088121</v>
      </c>
    </row>
    <row r="2469" spans="1:15" ht="16" x14ac:dyDescent="0.2">
      <c r="A2469" s="19"/>
      <c r="B2469" s="19"/>
      <c r="C2469" s="19"/>
      <c r="D2469" s="19"/>
      <c r="E2469" s="19"/>
      <c r="F2469" s="19"/>
      <c r="G2469" s="19"/>
      <c r="H2469" s="19"/>
      <c r="I2469" s="19"/>
      <c r="J2469" s="19"/>
      <c r="K2469" s="19"/>
      <c r="L2469" s="19"/>
      <c r="M2469" s="19"/>
      <c r="N2469" s="19"/>
      <c r="O2469" s="14" t="str">
        <f>HYPERLINK("https://otsuka-europe-crm.veevavault.com/ui/#object/email_activity__v/V8C00000003N172", "EN-002088216")</f>
        <v>EN-002088216</v>
      </c>
    </row>
    <row r="2470" spans="1:15" ht="32" x14ac:dyDescent="0.2">
      <c r="A2470" s="7" t="str">
        <f>HYPERLINK("https://otsuka-europe-crm.veevavault.com/ui/#object/account__v/V4TZ06G6O71TA8W", "ANTONIO GASCON MARIÑO")</f>
        <v>ANTONIO GASCON MARIÑO</v>
      </c>
      <c r="B2470" s="7" t="str">
        <f>HYPERLINK("https://otsuka-europe-crm.veevavault.com/ui/#object/vcountry__v/VENZ000004SONF5", "ES")</f>
        <v>ES</v>
      </c>
      <c r="C2470" s="8" t="s">
        <v>41</v>
      </c>
      <c r="D2470" s="9" t="str">
        <f>HYPERLINK("https://otsuka-europe-crm.veevavault.com/ui/#object/approved_document__v/V5O00000001A037", "LUP - VAE Póster Adelphi - Nefro")</f>
        <v>LUP - VAE Póster Adelphi - Nefro</v>
      </c>
      <c r="E2470" s="10" t="str">
        <f>HYPERLINK("https://otsuka-europe-crm.veevavault.com/ui/#object/sent_email__v/VBL00000002N717", "SE-001431935")</f>
        <v>SE-001431935</v>
      </c>
      <c r="F2470" s="11"/>
      <c r="G2470" s="12">
        <v>0</v>
      </c>
      <c r="H2470" s="12">
        <v>0</v>
      </c>
      <c r="I2470" s="12">
        <v>0</v>
      </c>
      <c r="J2470" s="11"/>
      <c r="K2470" s="12">
        <v>0</v>
      </c>
      <c r="L2470" s="10" t="str">
        <f>HYPERLINK("https://otsuka-europe-crm.veevavault.com/ui/#object/approved_document__v/V5O00000001A037", "LUP - VAE Póster Adelphi - Nefro")</f>
        <v>LUP - VAE Póster Adelphi - Nefro</v>
      </c>
      <c r="M2470" s="10" t="str">
        <f>HYPERLINK("mailto:ccoll@crm.otsuka-europe.com", "ccoll@crm.otsuka-europe.com")</f>
        <v>ccoll@crm.otsuka-europe.com</v>
      </c>
      <c r="N2470" s="13">
        <v>46175.77915509259</v>
      </c>
      <c r="O2470" s="14" t="str">
        <f>HYPERLINK("https://otsuka-europe-crm.veevavault.com/ui/#object/email_activity__v/V8C00000003N142", "EN-002088186")</f>
        <v>EN-002088186</v>
      </c>
    </row>
    <row r="2471" spans="1:15" ht="16" x14ac:dyDescent="0.2">
      <c r="A2471" s="17" t="str">
        <f>HYPERLINK("https://otsuka-europe-crm.veevavault.com/ui/#object/account__v/V4TZ06G6O71T8AF", "ANIURYS CALVO ESPINOLA")</f>
        <v>ANIURYS CALVO ESPINOLA</v>
      </c>
      <c r="B2471" s="17" t="str">
        <f>HYPERLINK("https://otsuka-europe-crm.veevavault.com/ui/#object/vcountry__v/VENZ000004SONF5", "ES")</f>
        <v>ES</v>
      </c>
      <c r="C2471" s="20" t="s">
        <v>41</v>
      </c>
      <c r="D2471" s="21" t="str">
        <f>HYPERLINK("https://otsuka-europe-crm.veevavault.com/ui/#object/approved_document__v/V5O00000001A037", "LUP - VAE Póster Adelphi - Nefro")</f>
        <v>LUP - VAE Póster Adelphi - Nefro</v>
      </c>
      <c r="E2471" s="22" t="str">
        <f>HYPERLINK("https://otsuka-europe-crm.veevavault.com/ui/#object/sent_email__v/VBL00000002N718", "SE-001431936")</f>
        <v>SE-001431936</v>
      </c>
      <c r="F2471" s="23">
        <v>46176.43509259259</v>
      </c>
      <c r="G2471" s="24">
        <v>1</v>
      </c>
      <c r="H2471" s="24">
        <v>2</v>
      </c>
      <c r="I2471" s="24">
        <v>0</v>
      </c>
      <c r="J2471" s="25"/>
      <c r="K2471" s="24">
        <v>0</v>
      </c>
      <c r="L2471" s="22" t="str">
        <f>HYPERLINK("https://otsuka-europe-crm.veevavault.com/ui/#object/approved_document__v/V5O00000001A037", "LUP - VAE Póster Adelphi - Nefro")</f>
        <v>LUP - VAE Póster Adelphi - Nefro</v>
      </c>
      <c r="M2471" s="22" t="str">
        <f>HYPERLINK("mailto:ccoll@crm.otsuka-europe.com", "ccoll@crm.otsuka-europe.com")</f>
        <v>ccoll@crm.otsuka-europe.com</v>
      </c>
      <c r="N2471" s="23">
        <v>46175.779178240744</v>
      </c>
      <c r="O2471" s="14" t="str">
        <f>HYPERLINK("https://otsuka-europe-crm.veevavault.com/ui/#object/email_activity__v/V8C00000003M340", "EN-002088665")</f>
        <v>EN-002088665</v>
      </c>
    </row>
    <row r="2472" spans="1:15" ht="16" x14ac:dyDescent="0.2">
      <c r="A2472" s="18"/>
      <c r="B2472" s="18"/>
      <c r="C2472" s="18"/>
      <c r="D2472" s="18"/>
      <c r="E2472" s="18"/>
      <c r="F2472" s="18"/>
      <c r="G2472" s="18"/>
      <c r="H2472" s="18"/>
      <c r="I2472" s="18"/>
      <c r="J2472" s="18"/>
      <c r="K2472" s="18"/>
      <c r="L2472" s="18"/>
      <c r="M2472" s="18"/>
      <c r="N2472" s="18"/>
      <c r="O2472" s="14" t="str">
        <f>HYPERLINK("https://otsuka-europe-crm.veevavault.com/ui/#object/email_activity__v/V8C00000003N095", "EN-002088139")</f>
        <v>EN-002088139</v>
      </c>
    </row>
    <row r="2473" spans="1:15" ht="16" x14ac:dyDescent="0.2">
      <c r="A2473" s="19"/>
      <c r="B2473" s="19"/>
      <c r="C2473" s="19"/>
      <c r="D2473" s="19"/>
      <c r="E2473" s="19"/>
      <c r="F2473" s="19"/>
      <c r="G2473" s="19"/>
      <c r="H2473" s="19"/>
      <c r="I2473" s="19"/>
      <c r="J2473" s="19"/>
      <c r="K2473" s="19"/>
      <c r="L2473" s="19"/>
      <c r="M2473" s="19"/>
      <c r="N2473" s="19"/>
      <c r="O2473" s="14" t="str">
        <f>HYPERLINK("https://otsuka-europe-crm.veevavault.com/ui/#object/email_activity__v/V8C00000003N419", "EN-002088664")</f>
        <v>EN-002088664</v>
      </c>
    </row>
    <row r="2474" spans="1:15" ht="16" x14ac:dyDescent="0.2">
      <c r="A2474" s="17" t="str">
        <f>HYPERLINK("https://otsuka-europe-crm.veevavault.com/ui/#object/account__v/V4TZ04ASGGHVBE2", "JUAN JOSE SANCHEZ CANEL")</f>
        <v>JUAN JOSE SANCHEZ CANEL</v>
      </c>
      <c r="B2474" s="17" t="str">
        <f>HYPERLINK("https://otsuka-europe-crm.veevavault.com/ui/#object/vcountry__v/VENZ000004SONF5", "ES")</f>
        <v>ES</v>
      </c>
      <c r="C2474" s="20" t="s">
        <v>41</v>
      </c>
      <c r="D2474" s="21" t="str">
        <f>HYPERLINK("https://otsuka-europe-crm.veevavault.com/ui/#object/approved_document__v/V5O00000001A037", "LUP - VAE Póster Adelphi - Nefro")</f>
        <v>LUP - VAE Póster Adelphi - Nefro</v>
      </c>
      <c r="E2474" s="22" t="str">
        <f>HYPERLINK("https://otsuka-europe-crm.veevavault.com/ui/#object/sent_email__v/VBL00000002N719", "SE-001431937")</f>
        <v>SE-001431937</v>
      </c>
      <c r="F2474" s="25"/>
      <c r="G2474" s="24">
        <v>0</v>
      </c>
      <c r="H2474" s="24">
        <v>0</v>
      </c>
      <c r="I2474" s="24">
        <v>0</v>
      </c>
      <c r="J2474" s="25"/>
      <c r="K2474" s="24">
        <v>0</v>
      </c>
      <c r="L2474" s="22" t="str">
        <f>HYPERLINK("https://otsuka-europe-crm.veevavault.com/ui/#object/approved_document__v/V5O00000001A037", "LUP - VAE Póster Adelphi - Nefro")</f>
        <v>LUP - VAE Póster Adelphi - Nefro</v>
      </c>
      <c r="M2474" s="22" t="str">
        <f>HYPERLINK("mailto:ccoll@crm.otsuka-europe.com", "ccoll@crm.otsuka-europe.com")</f>
        <v>ccoll@crm.otsuka-europe.com</v>
      </c>
      <c r="N2474" s="23">
        <v>46175.77915509259</v>
      </c>
      <c r="O2474" s="14" t="str">
        <f>HYPERLINK("https://otsuka-europe-crm.veevavault.com/ui/#object/email_activity__v/V8C00000003M167", "EN-002088338")</f>
        <v>EN-002088338</v>
      </c>
    </row>
    <row r="2475" spans="1:15" ht="16" x14ac:dyDescent="0.2">
      <c r="A2475" s="19"/>
      <c r="B2475" s="19"/>
      <c r="C2475" s="19"/>
      <c r="D2475" s="19"/>
      <c r="E2475" s="19"/>
      <c r="F2475" s="19"/>
      <c r="G2475" s="19"/>
      <c r="H2475" s="19"/>
      <c r="I2475" s="19"/>
      <c r="J2475" s="19"/>
      <c r="K2475" s="19"/>
      <c r="L2475" s="19"/>
      <c r="M2475" s="19"/>
      <c r="N2475" s="19"/>
      <c r="O2475" s="14" t="str">
        <f>HYPERLINK("https://otsuka-europe-crm.veevavault.com/ui/#object/email_activity__v/V8C00000003N151", "EN-002088195")</f>
        <v>EN-002088195</v>
      </c>
    </row>
    <row r="2476" spans="1:15" ht="32" x14ac:dyDescent="0.2">
      <c r="A2476" s="7" t="str">
        <f>HYPERLINK("https://otsuka-europe-crm.veevavault.com/ui/#object/account__v/V4TZ025E8321J6A", "MARC PATRICIO LIEBANA")</f>
        <v>MARC PATRICIO LIEBANA</v>
      </c>
      <c r="B2476" s="7" t="str">
        <f>HYPERLINK("https://otsuka-europe-crm.veevavault.com/ui/#object/vcountry__v/VENZ000004SONF5", "ES")</f>
        <v>ES</v>
      </c>
      <c r="C2476" s="8" t="s">
        <v>41</v>
      </c>
      <c r="D2476" s="9" t="str">
        <f>HYPERLINK("https://otsuka-europe-crm.veevavault.com/ui/#object/approved_document__v/V5O00000001A037", "LUP - VAE Póster Adelphi - Nefro")</f>
        <v>LUP - VAE Póster Adelphi - Nefro</v>
      </c>
      <c r="E2476" s="10" t="str">
        <f>HYPERLINK("https://otsuka-europe-crm.veevavault.com/ui/#object/sent_email__v/VBL00000002N720", "SE-001431938")</f>
        <v>SE-001431938</v>
      </c>
      <c r="F2476" s="11"/>
      <c r="G2476" s="12">
        <v>0</v>
      </c>
      <c r="H2476" s="12">
        <v>0</v>
      </c>
      <c r="I2476" s="12">
        <v>0</v>
      </c>
      <c r="J2476" s="11"/>
      <c r="K2476" s="12">
        <v>0</v>
      </c>
      <c r="L2476" s="10" t="str">
        <f>HYPERLINK("https://otsuka-europe-crm.veevavault.com/ui/#object/approved_document__v/V5O00000001A037", "LUP - VAE Póster Adelphi - Nefro")</f>
        <v>LUP - VAE Póster Adelphi - Nefro</v>
      </c>
      <c r="M2476" s="10" t="str">
        <f>HYPERLINK("mailto:ccoll@crm.otsuka-europe.com", "ccoll@crm.otsuka-europe.com")</f>
        <v>ccoll@crm.otsuka-europe.com</v>
      </c>
      <c r="N2476" s="13">
        <v>46175.77915509259</v>
      </c>
      <c r="O2476" s="14" t="str">
        <f>HYPERLINK("https://otsuka-europe-crm.veevavault.com/ui/#object/email_activity__v/V8C00000003N043", "EN-002088082")</f>
        <v>EN-002088082</v>
      </c>
    </row>
    <row r="2477" spans="1:15" ht="32" x14ac:dyDescent="0.2">
      <c r="A2477" s="7" t="str">
        <f>HYPERLINK("https://otsuka-europe-crm.veevavault.com/ui/#object/account__v/V4TZ06G6O71T9K5", "JUAN MANUEL BUADES FUSTER")</f>
        <v>JUAN MANUEL BUADES FUSTER</v>
      </c>
      <c r="B2477" s="7" t="str">
        <f>HYPERLINK("https://otsuka-europe-crm.veevavault.com/ui/#object/vcountry__v/VENZ000004SONF5", "ES")</f>
        <v>ES</v>
      </c>
      <c r="C2477" s="8" t="s">
        <v>41</v>
      </c>
      <c r="D2477" s="9" t="str">
        <f>HYPERLINK("https://otsuka-europe-crm.veevavault.com/ui/#object/approved_document__v/V5O00000001A037", "LUP - VAE Póster Adelphi - Nefro")</f>
        <v>LUP - VAE Póster Adelphi - Nefro</v>
      </c>
      <c r="E2477" s="10" t="str">
        <f>HYPERLINK("https://otsuka-europe-crm.veevavault.com/ui/#object/sent_email__v/VBL00000002N721", "SE-001431939")</f>
        <v>SE-001431939</v>
      </c>
      <c r="F2477" s="11"/>
      <c r="G2477" s="12">
        <v>0</v>
      </c>
      <c r="H2477" s="12">
        <v>0</v>
      </c>
      <c r="I2477" s="12">
        <v>0</v>
      </c>
      <c r="J2477" s="11"/>
      <c r="K2477" s="12">
        <v>0</v>
      </c>
      <c r="L2477" s="10" t="str">
        <f>HYPERLINK("https://otsuka-europe-crm.veevavault.com/ui/#object/approved_document__v/V5O00000001A037", "LUP - VAE Póster Adelphi - Nefro")</f>
        <v>LUP - VAE Póster Adelphi - Nefro</v>
      </c>
      <c r="M2477" s="10" t="str">
        <f>HYPERLINK("mailto:ccoll@crm.otsuka-europe.com", "ccoll@crm.otsuka-europe.com")</f>
        <v>ccoll@crm.otsuka-europe.com</v>
      </c>
      <c r="N2477" s="13">
        <v>46175.779189814813</v>
      </c>
      <c r="O2477" s="14" t="str">
        <f>HYPERLINK("https://otsuka-europe-crm.veevavault.com/ui/#object/email_activity__v/V8C00000003N106", "EN-002088150")</f>
        <v>EN-002088150</v>
      </c>
    </row>
    <row r="2478" spans="1:15" ht="32" x14ac:dyDescent="0.2">
      <c r="A2478" s="7" t="str">
        <f>HYPERLINK("https://otsuka-europe-crm.veevavault.com/ui/#object/account__v/V4TZ06G6O9623GB", "JIMENA DEL RISCO ZEVALLOS")</f>
        <v>JIMENA DEL RISCO ZEVALLOS</v>
      </c>
      <c r="B2478" s="7" t="str">
        <f>HYPERLINK("https://otsuka-europe-crm.veevavault.com/ui/#object/vcountry__v/VENZ000004SONF5", "ES")</f>
        <v>ES</v>
      </c>
      <c r="C2478" s="8" t="s">
        <v>41</v>
      </c>
      <c r="D2478" s="9" t="str">
        <f>HYPERLINK("https://otsuka-europe-crm.veevavault.com/ui/#object/approved_document__v/V5O00000001A037", "LUP - VAE Póster Adelphi - Nefro")</f>
        <v>LUP - VAE Póster Adelphi - Nefro</v>
      </c>
      <c r="E2478" s="10" t="str">
        <f>HYPERLINK("https://otsuka-europe-crm.veevavault.com/ui/#object/sent_email__v/VBL00000002N722", "SE-001431940")</f>
        <v>SE-001431940</v>
      </c>
      <c r="F2478" s="11"/>
      <c r="G2478" s="12">
        <v>0</v>
      </c>
      <c r="H2478" s="12">
        <v>0</v>
      </c>
      <c r="I2478" s="12">
        <v>0</v>
      </c>
      <c r="J2478" s="11"/>
      <c r="K2478" s="12">
        <v>0</v>
      </c>
      <c r="L2478" s="10" t="str">
        <f>HYPERLINK("https://otsuka-europe-crm.veevavault.com/ui/#object/approved_document__v/V5O00000001A037", "LUP - VAE Póster Adelphi - Nefro")</f>
        <v>LUP - VAE Póster Adelphi - Nefro</v>
      </c>
      <c r="M2478" s="10" t="str">
        <f>HYPERLINK("mailto:ccoll@crm.otsuka-europe.com", "ccoll@crm.otsuka-europe.com")</f>
        <v>ccoll@crm.otsuka-europe.com</v>
      </c>
      <c r="N2478" s="13">
        <v>46175.77915509259</v>
      </c>
      <c r="O2478" s="14" t="str">
        <f>HYPERLINK("https://otsuka-europe-crm.veevavault.com/ui/#object/email_activity__v/V8C00000003N071", "EN-002088115")</f>
        <v>EN-002088115</v>
      </c>
    </row>
    <row r="2479" spans="1:15" ht="16" x14ac:dyDescent="0.2">
      <c r="A2479" s="17" t="str">
        <f>HYPERLINK("https://otsuka-europe-crm.veevavault.com/ui/#object/account__v/V4TZ06G6O71TBY3", "AMPARO RODA SAFONT")</f>
        <v>AMPARO RODA SAFONT</v>
      </c>
      <c r="B2479" s="17" t="str">
        <f>HYPERLINK("https://otsuka-europe-crm.veevavault.com/ui/#object/vcountry__v/VENZ000004SONF5", "ES")</f>
        <v>ES</v>
      </c>
      <c r="C2479" s="20" t="s">
        <v>41</v>
      </c>
      <c r="D2479" s="21" t="str">
        <f>HYPERLINK("https://otsuka-europe-crm.veevavault.com/ui/#object/approved_document__v/V5O00000001A037", "LUP - VAE Póster Adelphi - Nefro")</f>
        <v>LUP - VAE Póster Adelphi - Nefro</v>
      </c>
      <c r="E2479" s="22" t="str">
        <f>HYPERLINK("https://otsuka-europe-crm.veevavault.com/ui/#object/sent_email__v/VBL00000002N723", "SE-001431941")</f>
        <v>SE-001431941</v>
      </c>
      <c r="F2479" s="23">
        <v>46186.591145833336</v>
      </c>
      <c r="G2479" s="24">
        <v>1</v>
      </c>
      <c r="H2479" s="24">
        <v>30</v>
      </c>
      <c r="I2479" s="24">
        <v>0</v>
      </c>
      <c r="J2479" s="25"/>
      <c r="K2479" s="24">
        <v>0</v>
      </c>
      <c r="L2479" s="22" t="str">
        <f>HYPERLINK("https://otsuka-europe-crm.veevavault.com/ui/#object/approved_document__v/V5O00000001A037", "LUP - VAE Póster Adelphi - Nefro")</f>
        <v>LUP - VAE Póster Adelphi - Nefro</v>
      </c>
      <c r="M2479" s="22" t="str">
        <f>HYPERLINK("mailto:ccoll@crm.otsuka-europe.com", "ccoll@crm.otsuka-europe.com")</f>
        <v>ccoll@crm.otsuka-europe.com</v>
      </c>
      <c r="N2479" s="23">
        <v>46175.77915509259</v>
      </c>
      <c r="O2479" s="14" t="str">
        <f>HYPERLINK("https://otsuka-europe-crm.veevavault.com/ui/#object/email_activity__v/V8C00000003M271", "EN-002088524")</f>
        <v>EN-002088524</v>
      </c>
    </row>
    <row r="2480" spans="1:15" ht="16" x14ac:dyDescent="0.2">
      <c r="A2480" s="18"/>
      <c r="B2480" s="18"/>
      <c r="C2480" s="18"/>
      <c r="D2480" s="18"/>
      <c r="E2480" s="18"/>
      <c r="F2480" s="18"/>
      <c r="G2480" s="18"/>
      <c r="H2480" s="18"/>
      <c r="I2480" s="18"/>
      <c r="J2480" s="18"/>
      <c r="K2480" s="18"/>
      <c r="L2480" s="18"/>
      <c r="M2480" s="18"/>
      <c r="N2480" s="18"/>
      <c r="O2480" s="14" t="str">
        <f>HYPERLINK("https://otsuka-europe-crm.veevavault.com/ui/#object/email_activity__v/V8C00000003M272", "EN-002088525")</f>
        <v>EN-002088525</v>
      </c>
    </row>
    <row r="2481" spans="1:15" ht="16" x14ac:dyDescent="0.2">
      <c r="A2481" s="18"/>
      <c r="B2481" s="18"/>
      <c r="C2481" s="18"/>
      <c r="D2481" s="18"/>
      <c r="E2481" s="18"/>
      <c r="F2481" s="18"/>
      <c r="G2481" s="18"/>
      <c r="H2481" s="18"/>
      <c r="I2481" s="18"/>
      <c r="J2481" s="18"/>
      <c r="K2481" s="18"/>
      <c r="L2481" s="18"/>
      <c r="M2481" s="18"/>
      <c r="N2481" s="18"/>
      <c r="O2481" s="14" t="str">
        <f>HYPERLINK("https://otsuka-europe-crm.veevavault.com/ui/#object/email_activity__v/V8C00000003M273", "EN-002088526")</f>
        <v>EN-002088526</v>
      </c>
    </row>
    <row r="2482" spans="1:15" ht="16" x14ac:dyDescent="0.2">
      <c r="A2482" s="18"/>
      <c r="B2482" s="18"/>
      <c r="C2482" s="18"/>
      <c r="D2482" s="18"/>
      <c r="E2482" s="18"/>
      <c r="F2482" s="18"/>
      <c r="G2482" s="18"/>
      <c r="H2482" s="18"/>
      <c r="I2482" s="18"/>
      <c r="J2482" s="18"/>
      <c r="K2482" s="18"/>
      <c r="L2482" s="18"/>
      <c r="M2482" s="18"/>
      <c r="N2482" s="18"/>
      <c r="O2482" s="14" t="str">
        <f>HYPERLINK("https://otsuka-europe-crm.veevavault.com/ui/#object/email_activity__v/V8C00000003M283", "EN-002088537")</f>
        <v>EN-002088537</v>
      </c>
    </row>
    <row r="2483" spans="1:15" ht="16" x14ac:dyDescent="0.2">
      <c r="A2483" s="18"/>
      <c r="B2483" s="18"/>
      <c r="C2483" s="18"/>
      <c r="D2483" s="18"/>
      <c r="E2483" s="18"/>
      <c r="F2483" s="18"/>
      <c r="G2483" s="18"/>
      <c r="H2483" s="18"/>
      <c r="I2483" s="18"/>
      <c r="J2483" s="18"/>
      <c r="K2483" s="18"/>
      <c r="L2483" s="18"/>
      <c r="M2483" s="18"/>
      <c r="N2483" s="18"/>
      <c r="O2483" s="14" t="str">
        <f>HYPERLINK("https://otsuka-europe-crm.veevavault.com/ui/#object/email_activity__v/V8C00000003M290", "EN-002088546")</f>
        <v>EN-002088546</v>
      </c>
    </row>
    <row r="2484" spans="1:15" ht="16" x14ac:dyDescent="0.2">
      <c r="A2484" s="18"/>
      <c r="B2484" s="18"/>
      <c r="C2484" s="18"/>
      <c r="D2484" s="18"/>
      <c r="E2484" s="18"/>
      <c r="F2484" s="18"/>
      <c r="G2484" s="18"/>
      <c r="H2484" s="18"/>
      <c r="I2484" s="18"/>
      <c r="J2484" s="18"/>
      <c r="K2484" s="18"/>
      <c r="L2484" s="18"/>
      <c r="M2484" s="18"/>
      <c r="N2484" s="18"/>
      <c r="O2484" s="14" t="str">
        <f>HYPERLINK("https://otsuka-europe-crm.veevavault.com/ui/#object/email_activity__v/V8C00000003M293", "EN-002088550")</f>
        <v>EN-002088550</v>
      </c>
    </row>
    <row r="2485" spans="1:15" ht="16" x14ac:dyDescent="0.2">
      <c r="A2485" s="18"/>
      <c r="B2485" s="18"/>
      <c r="C2485" s="18"/>
      <c r="D2485" s="18"/>
      <c r="E2485" s="18"/>
      <c r="F2485" s="18"/>
      <c r="G2485" s="18"/>
      <c r="H2485" s="18"/>
      <c r="I2485" s="18"/>
      <c r="J2485" s="18"/>
      <c r="K2485" s="18"/>
      <c r="L2485" s="18"/>
      <c r="M2485" s="18"/>
      <c r="N2485" s="18"/>
      <c r="O2485" s="14" t="str">
        <f>HYPERLINK("https://otsuka-europe-crm.veevavault.com/ui/#object/email_activity__v/V8C00000003M294", "EN-002088551")</f>
        <v>EN-002088551</v>
      </c>
    </row>
    <row r="2486" spans="1:15" ht="16" x14ac:dyDescent="0.2">
      <c r="A2486" s="18"/>
      <c r="B2486" s="18"/>
      <c r="C2486" s="18"/>
      <c r="D2486" s="18"/>
      <c r="E2486" s="18"/>
      <c r="F2486" s="18"/>
      <c r="G2486" s="18"/>
      <c r="H2486" s="18"/>
      <c r="I2486" s="18"/>
      <c r="J2486" s="18"/>
      <c r="K2486" s="18"/>
      <c r="L2486" s="18"/>
      <c r="M2486" s="18"/>
      <c r="N2486" s="18"/>
      <c r="O2486" s="14" t="str">
        <f>HYPERLINK("https://otsuka-europe-crm.veevavault.com/ui/#object/email_activity__v/V8C00000003M296", "EN-002088554")</f>
        <v>EN-002088554</v>
      </c>
    </row>
    <row r="2487" spans="1:15" ht="16" x14ac:dyDescent="0.2">
      <c r="A2487" s="18"/>
      <c r="B2487" s="18"/>
      <c r="C2487" s="18"/>
      <c r="D2487" s="18"/>
      <c r="E2487" s="18"/>
      <c r="F2487" s="18"/>
      <c r="G2487" s="18"/>
      <c r="H2487" s="18"/>
      <c r="I2487" s="18"/>
      <c r="J2487" s="18"/>
      <c r="K2487" s="18"/>
      <c r="L2487" s="18"/>
      <c r="M2487" s="18"/>
      <c r="N2487" s="18"/>
      <c r="O2487" s="14" t="str">
        <f>HYPERLINK("https://otsuka-europe-crm.veevavault.com/ui/#object/email_activity__v/V8C00000003M299", "EN-002088571")</f>
        <v>EN-002088571</v>
      </c>
    </row>
    <row r="2488" spans="1:15" ht="16" x14ac:dyDescent="0.2">
      <c r="A2488" s="18"/>
      <c r="B2488" s="18"/>
      <c r="C2488" s="18"/>
      <c r="D2488" s="18"/>
      <c r="E2488" s="18"/>
      <c r="F2488" s="18"/>
      <c r="G2488" s="18"/>
      <c r="H2488" s="18"/>
      <c r="I2488" s="18"/>
      <c r="J2488" s="18"/>
      <c r="K2488" s="18"/>
      <c r="L2488" s="18"/>
      <c r="M2488" s="18"/>
      <c r="N2488" s="18"/>
      <c r="O2488" s="14" t="str">
        <f>HYPERLINK("https://otsuka-europe-crm.veevavault.com/ui/#object/email_activity__v/V8C00000003N112", "EN-002088156")</f>
        <v>EN-002088156</v>
      </c>
    </row>
    <row r="2489" spans="1:15" ht="16" x14ac:dyDescent="0.2">
      <c r="A2489" s="18"/>
      <c r="B2489" s="18"/>
      <c r="C2489" s="18"/>
      <c r="D2489" s="18"/>
      <c r="E2489" s="18"/>
      <c r="F2489" s="18"/>
      <c r="G2489" s="18"/>
      <c r="H2489" s="18"/>
      <c r="I2489" s="18"/>
      <c r="J2489" s="18"/>
      <c r="K2489" s="18"/>
      <c r="L2489" s="18"/>
      <c r="M2489" s="18"/>
      <c r="N2489" s="18"/>
      <c r="O2489" s="14" t="str">
        <f>HYPERLINK("https://otsuka-europe-crm.veevavault.com/ui/#object/email_activity__v/V8C00000003N229", "EN-002088273")</f>
        <v>EN-002088273</v>
      </c>
    </row>
    <row r="2490" spans="1:15" ht="16" x14ac:dyDescent="0.2">
      <c r="A2490" s="18"/>
      <c r="B2490" s="18"/>
      <c r="C2490" s="18"/>
      <c r="D2490" s="18"/>
      <c r="E2490" s="18"/>
      <c r="F2490" s="18"/>
      <c r="G2490" s="18"/>
      <c r="H2490" s="18"/>
      <c r="I2490" s="18"/>
      <c r="J2490" s="18"/>
      <c r="K2490" s="18"/>
      <c r="L2490" s="18"/>
      <c r="M2490" s="18"/>
      <c r="N2490" s="18"/>
      <c r="O2490" s="14" t="str">
        <f>HYPERLINK("https://otsuka-europe-crm.veevavault.com/ui/#object/email_activity__v/V8C00000003N278", "EN-002088408")</f>
        <v>EN-002088408</v>
      </c>
    </row>
    <row r="2491" spans="1:15" ht="16" x14ac:dyDescent="0.2">
      <c r="A2491" s="18"/>
      <c r="B2491" s="18"/>
      <c r="C2491" s="18"/>
      <c r="D2491" s="18"/>
      <c r="E2491" s="18"/>
      <c r="F2491" s="18"/>
      <c r="G2491" s="18"/>
      <c r="H2491" s="18"/>
      <c r="I2491" s="18"/>
      <c r="J2491" s="18"/>
      <c r="K2491" s="18"/>
      <c r="L2491" s="18"/>
      <c r="M2491" s="18"/>
      <c r="N2491" s="18"/>
      <c r="O2491" s="14" t="str">
        <f>HYPERLINK("https://otsuka-europe-crm.veevavault.com/ui/#object/email_activity__v/V8C00000003N339", "EN-002088518")</f>
        <v>EN-002088518</v>
      </c>
    </row>
    <row r="2492" spans="1:15" ht="16" x14ac:dyDescent="0.2">
      <c r="A2492" s="18"/>
      <c r="B2492" s="18"/>
      <c r="C2492" s="18"/>
      <c r="D2492" s="18"/>
      <c r="E2492" s="18"/>
      <c r="F2492" s="18"/>
      <c r="G2492" s="18"/>
      <c r="H2492" s="18"/>
      <c r="I2492" s="18"/>
      <c r="J2492" s="18"/>
      <c r="K2492" s="18"/>
      <c r="L2492" s="18"/>
      <c r="M2492" s="18"/>
      <c r="N2492" s="18"/>
      <c r="O2492" s="14" t="str">
        <f>HYPERLINK("https://otsuka-europe-crm.veevavault.com/ui/#object/email_activity__v/V8C00000003N340", "EN-002088519")</f>
        <v>EN-002088519</v>
      </c>
    </row>
    <row r="2493" spans="1:15" ht="16" x14ac:dyDescent="0.2">
      <c r="A2493" s="18"/>
      <c r="B2493" s="18"/>
      <c r="C2493" s="18"/>
      <c r="D2493" s="18"/>
      <c r="E2493" s="18"/>
      <c r="F2493" s="18"/>
      <c r="G2493" s="18"/>
      <c r="H2493" s="18"/>
      <c r="I2493" s="18"/>
      <c r="J2493" s="18"/>
      <c r="K2493" s="18"/>
      <c r="L2493" s="18"/>
      <c r="M2493" s="18"/>
      <c r="N2493" s="18"/>
      <c r="O2493" s="14" t="str">
        <f>HYPERLINK("https://otsuka-europe-crm.veevavault.com/ui/#object/email_activity__v/V8C00000003N341", "EN-002088520")</f>
        <v>EN-002088520</v>
      </c>
    </row>
    <row r="2494" spans="1:15" ht="16" x14ac:dyDescent="0.2">
      <c r="A2494" s="18"/>
      <c r="B2494" s="18"/>
      <c r="C2494" s="18"/>
      <c r="D2494" s="18"/>
      <c r="E2494" s="18"/>
      <c r="F2494" s="18"/>
      <c r="G2494" s="18"/>
      <c r="H2494" s="18"/>
      <c r="I2494" s="18"/>
      <c r="J2494" s="18"/>
      <c r="K2494" s="18"/>
      <c r="L2494" s="18"/>
      <c r="M2494" s="18"/>
      <c r="N2494" s="18"/>
      <c r="O2494" s="14" t="str">
        <f>HYPERLINK("https://otsuka-europe-crm.veevavault.com/ui/#object/email_activity__v/V8C00000003N342", "EN-002088521")</f>
        <v>EN-002088521</v>
      </c>
    </row>
    <row r="2495" spans="1:15" ht="16" x14ac:dyDescent="0.2">
      <c r="A2495" s="18"/>
      <c r="B2495" s="18"/>
      <c r="C2495" s="18"/>
      <c r="D2495" s="18"/>
      <c r="E2495" s="18"/>
      <c r="F2495" s="18"/>
      <c r="G2495" s="18"/>
      <c r="H2495" s="18"/>
      <c r="I2495" s="18"/>
      <c r="J2495" s="18"/>
      <c r="K2495" s="18"/>
      <c r="L2495" s="18"/>
      <c r="M2495" s="18"/>
      <c r="N2495" s="18"/>
      <c r="O2495" s="14" t="str">
        <f>HYPERLINK("https://otsuka-europe-crm.veevavault.com/ui/#object/email_activity__v/V8C00000003N343", "EN-002088522")</f>
        <v>EN-002088522</v>
      </c>
    </row>
    <row r="2496" spans="1:15" ht="16" x14ac:dyDescent="0.2">
      <c r="A2496" s="18"/>
      <c r="B2496" s="18"/>
      <c r="C2496" s="18"/>
      <c r="D2496" s="18"/>
      <c r="E2496" s="18"/>
      <c r="F2496" s="18"/>
      <c r="G2496" s="18"/>
      <c r="H2496" s="18"/>
      <c r="I2496" s="18"/>
      <c r="J2496" s="18"/>
      <c r="K2496" s="18"/>
      <c r="L2496" s="18"/>
      <c r="M2496" s="18"/>
      <c r="N2496" s="18"/>
      <c r="O2496" s="14" t="str">
        <f>HYPERLINK("https://otsuka-europe-crm.veevavault.com/ui/#object/email_activity__v/V8C00000003N344", "EN-002088523")</f>
        <v>EN-002088523</v>
      </c>
    </row>
    <row r="2497" spans="1:15" ht="16" x14ac:dyDescent="0.2">
      <c r="A2497" s="18"/>
      <c r="B2497" s="18"/>
      <c r="C2497" s="18"/>
      <c r="D2497" s="18"/>
      <c r="E2497" s="18"/>
      <c r="F2497" s="18"/>
      <c r="G2497" s="18"/>
      <c r="H2497" s="18"/>
      <c r="I2497" s="18"/>
      <c r="J2497" s="18"/>
      <c r="K2497" s="18"/>
      <c r="L2497" s="18"/>
      <c r="M2497" s="18"/>
      <c r="N2497" s="18"/>
      <c r="O2497" s="14" t="str">
        <f>HYPERLINK("https://otsuka-europe-crm.veevavault.com/ui/#object/email_activity__v/V8C00000003N347", "EN-002088541")</f>
        <v>EN-002088541</v>
      </c>
    </row>
    <row r="2498" spans="1:15" ht="16" x14ac:dyDescent="0.2">
      <c r="A2498" s="18"/>
      <c r="B2498" s="18"/>
      <c r="C2498" s="18"/>
      <c r="D2498" s="18"/>
      <c r="E2498" s="18"/>
      <c r="F2498" s="18"/>
      <c r="G2498" s="18"/>
      <c r="H2498" s="18"/>
      <c r="I2498" s="18"/>
      <c r="J2498" s="18"/>
      <c r="K2498" s="18"/>
      <c r="L2498" s="18"/>
      <c r="M2498" s="18"/>
      <c r="N2498" s="18"/>
      <c r="O2498" s="14" t="str">
        <f>HYPERLINK("https://otsuka-europe-crm.veevavault.com/ui/#object/email_activity__v/V8C00000003N348", "EN-002088549")</f>
        <v>EN-002088549</v>
      </c>
    </row>
    <row r="2499" spans="1:15" ht="16" x14ac:dyDescent="0.2">
      <c r="A2499" s="18"/>
      <c r="B2499" s="18"/>
      <c r="C2499" s="18"/>
      <c r="D2499" s="18"/>
      <c r="E2499" s="18"/>
      <c r="F2499" s="18"/>
      <c r="G2499" s="18"/>
      <c r="H2499" s="18"/>
      <c r="I2499" s="18"/>
      <c r="J2499" s="18"/>
      <c r="K2499" s="18"/>
      <c r="L2499" s="18"/>
      <c r="M2499" s="18"/>
      <c r="N2499" s="18"/>
      <c r="O2499" s="14" t="str">
        <f>HYPERLINK("https://otsuka-europe-crm.veevavault.com/ui/#object/email_activity__v/V8C00000003N349", "EN-002088552")</f>
        <v>EN-002088552</v>
      </c>
    </row>
    <row r="2500" spans="1:15" ht="16" x14ac:dyDescent="0.2">
      <c r="A2500" s="18"/>
      <c r="B2500" s="18"/>
      <c r="C2500" s="18"/>
      <c r="D2500" s="18"/>
      <c r="E2500" s="18"/>
      <c r="F2500" s="18"/>
      <c r="G2500" s="18"/>
      <c r="H2500" s="18"/>
      <c r="I2500" s="18"/>
      <c r="J2500" s="18"/>
      <c r="K2500" s="18"/>
      <c r="L2500" s="18"/>
      <c r="M2500" s="18"/>
      <c r="N2500" s="18"/>
      <c r="O2500" s="14" t="str">
        <f>HYPERLINK("https://otsuka-europe-crm.veevavault.com/ui/#object/email_activity__v/V8C00000003N351", "EN-002088556")</f>
        <v>EN-002088556</v>
      </c>
    </row>
    <row r="2501" spans="1:15" ht="16" x14ac:dyDescent="0.2">
      <c r="A2501" s="18"/>
      <c r="B2501" s="18"/>
      <c r="C2501" s="18"/>
      <c r="D2501" s="18"/>
      <c r="E2501" s="18"/>
      <c r="F2501" s="18"/>
      <c r="G2501" s="18"/>
      <c r="H2501" s="18"/>
      <c r="I2501" s="18"/>
      <c r="J2501" s="18"/>
      <c r="K2501" s="18"/>
      <c r="L2501" s="18"/>
      <c r="M2501" s="18"/>
      <c r="N2501" s="18"/>
      <c r="O2501" s="14" t="str">
        <f>HYPERLINK("https://otsuka-europe-crm.veevavault.com/ui/#object/email_activity__v/V8C00000003N358", "EN-002088565")</f>
        <v>EN-002088565</v>
      </c>
    </row>
    <row r="2502" spans="1:15" ht="16" x14ac:dyDescent="0.2">
      <c r="A2502" s="18"/>
      <c r="B2502" s="18"/>
      <c r="C2502" s="18"/>
      <c r="D2502" s="18"/>
      <c r="E2502" s="18"/>
      <c r="F2502" s="18"/>
      <c r="G2502" s="18"/>
      <c r="H2502" s="18"/>
      <c r="I2502" s="18"/>
      <c r="J2502" s="18"/>
      <c r="K2502" s="18"/>
      <c r="L2502" s="18"/>
      <c r="M2502" s="18"/>
      <c r="N2502" s="18"/>
      <c r="O2502" s="14" t="str">
        <f>HYPERLINK("https://otsuka-europe-crm.veevavault.com/ui/#object/email_activity__v/V8C00000003N362", "EN-002088569")</f>
        <v>EN-002088569</v>
      </c>
    </row>
    <row r="2503" spans="1:15" ht="16" x14ac:dyDescent="0.2">
      <c r="A2503" s="18"/>
      <c r="B2503" s="18"/>
      <c r="C2503" s="18"/>
      <c r="D2503" s="18"/>
      <c r="E2503" s="18"/>
      <c r="F2503" s="18"/>
      <c r="G2503" s="18"/>
      <c r="H2503" s="18"/>
      <c r="I2503" s="18"/>
      <c r="J2503" s="18"/>
      <c r="K2503" s="18"/>
      <c r="L2503" s="18"/>
      <c r="M2503" s="18"/>
      <c r="N2503" s="18"/>
      <c r="O2503" s="14" t="str">
        <f>HYPERLINK("https://otsuka-europe-crm.veevavault.com/ui/#object/email_activity__v/V8C00000003N363", "EN-002088570")</f>
        <v>EN-002088570</v>
      </c>
    </row>
    <row r="2504" spans="1:15" ht="16" x14ac:dyDescent="0.2">
      <c r="A2504" s="18"/>
      <c r="B2504" s="18"/>
      <c r="C2504" s="18"/>
      <c r="D2504" s="18"/>
      <c r="E2504" s="18"/>
      <c r="F2504" s="18"/>
      <c r="G2504" s="18"/>
      <c r="H2504" s="18"/>
      <c r="I2504" s="18"/>
      <c r="J2504" s="18"/>
      <c r="K2504" s="18"/>
      <c r="L2504" s="18"/>
      <c r="M2504" s="18"/>
      <c r="N2504" s="18"/>
      <c r="O2504" s="14" t="str">
        <f>HYPERLINK("https://otsuka-europe-crm.veevavault.com/ui/#object/email_activity__v/V8C00000003U043", "EN-002094898")</f>
        <v>EN-002094898</v>
      </c>
    </row>
    <row r="2505" spans="1:15" ht="16" x14ac:dyDescent="0.2">
      <c r="A2505" s="18"/>
      <c r="B2505" s="18"/>
      <c r="C2505" s="18"/>
      <c r="D2505" s="18"/>
      <c r="E2505" s="18"/>
      <c r="F2505" s="18"/>
      <c r="G2505" s="18"/>
      <c r="H2505" s="18"/>
      <c r="I2505" s="18"/>
      <c r="J2505" s="18"/>
      <c r="K2505" s="18"/>
      <c r="L2505" s="18"/>
      <c r="M2505" s="18"/>
      <c r="N2505" s="18"/>
      <c r="O2505" s="14" t="str">
        <f>HYPERLINK("https://otsuka-europe-crm.veevavault.com/ui/#object/email_activity__v/V8C00000003U044", "EN-002094900")</f>
        <v>EN-002094900</v>
      </c>
    </row>
    <row r="2506" spans="1:15" ht="16" x14ac:dyDescent="0.2">
      <c r="A2506" s="18"/>
      <c r="B2506" s="18"/>
      <c r="C2506" s="18"/>
      <c r="D2506" s="18"/>
      <c r="E2506" s="18"/>
      <c r="F2506" s="18"/>
      <c r="G2506" s="18"/>
      <c r="H2506" s="18"/>
      <c r="I2506" s="18"/>
      <c r="J2506" s="18"/>
      <c r="K2506" s="18"/>
      <c r="L2506" s="18"/>
      <c r="M2506" s="18"/>
      <c r="N2506" s="18"/>
      <c r="O2506" s="14" t="str">
        <f>HYPERLINK("https://otsuka-europe-crm.veevavault.com/ui/#object/email_activity__v/V8C00000003V009", "EN-002094838")</f>
        <v>EN-002094838</v>
      </c>
    </row>
    <row r="2507" spans="1:15" ht="16" x14ac:dyDescent="0.2">
      <c r="A2507" s="18"/>
      <c r="B2507" s="18"/>
      <c r="C2507" s="18"/>
      <c r="D2507" s="18"/>
      <c r="E2507" s="18"/>
      <c r="F2507" s="18"/>
      <c r="G2507" s="18"/>
      <c r="H2507" s="18"/>
      <c r="I2507" s="18"/>
      <c r="J2507" s="18"/>
      <c r="K2507" s="18"/>
      <c r="L2507" s="18"/>
      <c r="M2507" s="18"/>
      <c r="N2507" s="18"/>
      <c r="O2507" s="14" t="str">
        <f>HYPERLINK("https://otsuka-europe-crm.veevavault.com/ui/#object/email_activity__v/V8C00000003V010", "EN-002094839")</f>
        <v>EN-002094839</v>
      </c>
    </row>
    <row r="2508" spans="1:15" ht="16" x14ac:dyDescent="0.2">
      <c r="A2508" s="18"/>
      <c r="B2508" s="18"/>
      <c r="C2508" s="18"/>
      <c r="D2508" s="18"/>
      <c r="E2508" s="18"/>
      <c r="F2508" s="18"/>
      <c r="G2508" s="18"/>
      <c r="H2508" s="18"/>
      <c r="I2508" s="18"/>
      <c r="J2508" s="18"/>
      <c r="K2508" s="18"/>
      <c r="L2508" s="18"/>
      <c r="M2508" s="18"/>
      <c r="N2508" s="18"/>
      <c r="O2508" s="14" t="str">
        <f>HYPERLINK("https://otsuka-europe-crm.veevavault.com/ui/#object/email_activity__v/V8C00000003V037", "EN-002094896")</f>
        <v>EN-002094896</v>
      </c>
    </row>
    <row r="2509" spans="1:15" ht="16" x14ac:dyDescent="0.2">
      <c r="A2509" s="19"/>
      <c r="B2509" s="19"/>
      <c r="C2509" s="19"/>
      <c r="D2509" s="19"/>
      <c r="E2509" s="19"/>
      <c r="F2509" s="19"/>
      <c r="G2509" s="19"/>
      <c r="H2509" s="19"/>
      <c r="I2509" s="19"/>
      <c r="J2509" s="19"/>
      <c r="K2509" s="19"/>
      <c r="L2509" s="19"/>
      <c r="M2509" s="19"/>
      <c r="N2509" s="19"/>
      <c r="O2509" s="14" t="str">
        <f>HYPERLINK("https://otsuka-europe-crm.veevavault.com/ui/#object/email_activity__v/V8C00000003V436", "EN-002095642")</f>
        <v>EN-002095642</v>
      </c>
    </row>
    <row r="2510" spans="1:15" ht="32" x14ac:dyDescent="0.2">
      <c r="A2510" s="7" t="str">
        <f>HYPERLINK("https://otsuka-europe-crm.veevavault.com/ui/#object/account__v/V4TZ04ASGGI2N7M", "URSULA LUZ VADILLO VIDAL")</f>
        <v>URSULA LUZ VADILLO VIDAL</v>
      </c>
      <c r="B2510" s="7" t="str">
        <f>HYPERLINK("https://otsuka-europe-crm.veevavault.com/ui/#object/vcountry__v/VENZ000004SONF5", "ES")</f>
        <v>ES</v>
      </c>
      <c r="C2510" s="8" t="s">
        <v>41</v>
      </c>
      <c r="D2510" s="9" t="str">
        <f>HYPERLINK("https://otsuka-europe-crm.veevavault.com/ui/#object/approved_document__v/V5O00000001A037", "LUP - VAE Póster Adelphi - Nefro")</f>
        <v>LUP - VAE Póster Adelphi - Nefro</v>
      </c>
      <c r="E2510" s="10" t="str">
        <f>HYPERLINK("https://otsuka-europe-crm.veevavault.com/ui/#object/sent_email__v/VBL00000002N724", "SE-001431942")</f>
        <v>SE-001431942</v>
      </c>
      <c r="F2510" s="11"/>
      <c r="G2510" s="12">
        <v>0</v>
      </c>
      <c r="H2510" s="12">
        <v>0</v>
      </c>
      <c r="I2510" s="12">
        <v>0</v>
      </c>
      <c r="J2510" s="11"/>
      <c r="K2510" s="12">
        <v>0</v>
      </c>
      <c r="L2510" s="10" t="str">
        <f>HYPERLINK("https://otsuka-europe-crm.veevavault.com/ui/#object/approved_document__v/V5O00000001A037", "LUP - VAE Póster Adelphi - Nefro")</f>
        <v>LUP - VAE Póster Adelphi - Nefro</v>
      </c>
      <c r="M2510" s="10" t="str">
        <f>HYPERLINK("mailto:ccoll@crm.otsuka-europe.com", "ccoll@crm.otsuka-europe.com")</f>
        <v>ccoll@crm.otsuka-europe.com</v>
      </c>
      <c r="N2510" s="13">
        <v>46175.779097222221</v>
      </c>
      <c r="O2510" s="14" t="str">
        <f>HYPERLINK("https://otsuka-europe-crm.veevavault.com/ui/#object/email_activity__v/V8C00000003N034", "EN-002088078")</f>
        <v>EN-002088078</v>
      </c>
    </row>
    <row r="2511" spans="1:15" ht="32" x14ac:dyDescent="0.2">
      <c r="A2511" s="7" t="str">
        <f>HYPERLINK("https://otsuka-europe-crm.veevavault.com/ui/#object/account__v/V4TZ06G6O71TAZ7", "JOSEFA GLORIA MARTINEZ MATEU")</f>
        <v>JOSEFA GLORIA MARTINEZ MATEU</v>
      </c>
      <c r="B2511" s="7" t="str">
        <f>HYPERLINK("https://otsuka-europe-crm.veevavault.com/ui/#object/vcountry__v/VENZ000004SONF5", "ES")</f>
        <v>ES</v>
      </c>
      <c r="C2511" s="8" t="s">
        <v>41</v>
      </c>
      <c r="D2511" s="9" t="str">
        <f>HYPERLINK("https://otsuka-europe-crm.veevavault.com/ui/#object/approved_document__v/V5O00000001A037", "LUP - VAE Póster Adelphi - Nefro")</f>
        <v>LUP - VAE Póster Adelphi - Nefro</v>
      </c>
      <c r="E2511" s="10" t="str">
        <f>HYPERLINK("https://otsuka-europe-crm.veevavault.com/ui/#object/sent_email__v/VBL00000002N725", "SE-001431943")</f>
        <v>SE-001431943</v>
      </c>
      <c r="F2511" s="11"/>
      <c r="G2511" s="12">
        <v>0</v>
      </c>
      <c r="H2511" s="12">
        <v>0</v>
      </c>
      <c r="I2511" s="12">
        <v>0</v>
      </c>
      <c r="J2511" s="11"/>
      <c r="K2511" s="12">
        <v>0</v>
      </c>
      <c r="L2511" s="10" t="str">
        <f>HYPERLINK("https://otsuka-europe-crm.veevavault.com/ui/#object/approved_document__v/V5O00000001A037", "LUP - VAE Póster Adelphi - Nefro")</f>
        <v>LUP - VAE Póster Adelphi - Nefro</v>
      </c>
      <c r="M2511" s="10" t="str">
        <f>HYPERLINK("mailto:ccoll@crm.otsuka-europe.com", "ccoll@crm.otsuka-europe.com")</f>
        <v>ccoll@crm.otsuka-europe.com</v>
      </c>
      <c r="N2511" s="13">
        <v>46175.77915509259</v>
      </c>
      <c r="O2511" s="14" t="str">
        <f>HYPERLINK("https://otsuka-europe-crm.veevavault.com/ui/#object/email_activity__v/V8C00000003N056", "EN-002088100")</f>
        <v>EN-002088100</v>
      </c>
    </row>
    <row r="2512" spans="1:15" ht="16" x14ac:dyDescent="0.2">
      <c r="A2512" s="17" t="str">
        <f>HYPERLINK("https://otsuka-europe-crm.veevavault.com/ui/#object/account__v/V4TZ025E84TMJY6", "CHRISTIAN ISRAEL ALFARO SANCHEZ")</f>
        <v>CHRISTIAN ISRAEL ALFARO SANCHEZ</v>
      </c>
      <c r="B2512" s="17" t="str">
        <f>HYPERLINK("https://otsuka-europe-crm.veevavault.com/ui/#object/vcountry__v/VENZ000004SONF5", "ES")</f>
        <v>ES</v>
      </c>
      <c r="C2512" s="20" t="s">
        <v>41</v>
      </c>
      <c r="D2512" s="21" t="str">
        <f>HYPERLINK("https://otsuka-europe-crm.veevavault.com/ui/#object/approved_document__v/V5O00000001A037", "LUP - VAE Póster Adelphi - Nefro")</f>
        <v>LUP - VAE Póster Adelphi - Nefro</v>
      </c>
      <c r="E2512" s="22" t="str">
        <f>HYPERLINK("https://otsuka-europe-crm.veevavault.com/ui/#object/sent_email__v/VBL00000002N726", "SE-001431944")</f>
        <v>SE-001431944</v>
      </c>
      <c r="F2512" s="23">
        <v>46177.615787037037</v>
      </c>
      <c r="G2512" s="24">
        <v>1</v>
      </c>
      <c r="H2512" s="24">
        <v>2</v>
      </c>
      <c r="I2512" s="24">
        <v>0</v>
      </c>
      <c r="J2512" s="25"/>
      <c r="K2512" s="24">
        <v>0</v>
      </c>
      <c r="L2512" s="22" t="str">
        <f>HYPERLINK("https://otsuka-europe-crm.veevavault.com/ui/#object/approved_document__v/V5O00000001A037", "LUP - VAE Póster Adelphi - Nefro")</f>
        <v>LUP - VAE Póster Adelphi - Nefro</v>
      </c>
      <c r="M2512" s="22" t="str">
        <f>HYPERLINK("mailto:ccoll@crm.otsuka-europe.com", "ccoll@crm.otsuka-europe.com")</f>
        <v>ccoll@crm.otsuka-europe.com</v>
      </c>
      <c r="N2512" s="23">
        <v>46175.77915509259</v>
      </c>
      <c r="O2512" s="14" t="str">
        <f>HYPERLINK("https://otsuka-europe-crm.veevavault.com/ui/#object/email_activity__v/V8C00000003M558", "EN-002089136")</f>
        <v>EN-002089136</v>
      </c>
    </row>
    <row r="2513" spans="1:15" ht="16" x14ac:dyDescent="0.2">
      <c r="A2513" s="18"/>
      <c r="B2513" s="18"/>
      <c r="C2513" s="18"/>
      <c r="D2513" s="18"/>
      <c r="E2513" s="18"/>
      <c r="F2513" s="18"/>
      <c r="G2513" s="18"/>
      <c r="H2513" s="18"/>
      <c r="I2513" s="18"/>
      <c r="J2513" s="18"/>
      <c r="K2513" s="18"/>
      <c r="L2513" s="18"/>
      <c r="M2513" s="18"/>
      <c r="N2513" s="18"/>
      <c r="O2513" s="14" t="str">
        <f>HYPERLINK("https://otsuka-europe-crm.veevavault.com/ui/#object/email_activity__v/V8C00000003N162", "EN-002088206")</f>
        <v>EN-002088206</v>
      </c>
    </row>
    <row r="2514" spans="1:15" ht="16" x14ac:dyDescent="0.2">
      <c r="A2514" s="19"/>
      <c r="B2514" s="19"/>
      <c r="C2514" s="19"/>
      <c r="D2514" s="19"/>
      <c r="E2514" s="19"/>
      <c r="F2514" s="19"/>
      <c r="G2514" s="19"/>
      <c r="H2514" s="19"/>
      <c r="I2514" s="19"/>
      <c r="J2514" s="19"/>
      <c r="K2514" s="19"/>
      <c r="L2514" s="19"/>
      <c r="M2514" s="19"/>
      <c r="N2514" s="19"/>
      <c r="O2514" s="14" t="str">
        <f>HYPERLINK("https://otsuka-europe-crm.veevavault.com/ui/#object/email_activity__v/V8C00000003N675", "EN-002089137")</f>
        <v>EN-002089137</v>
      </c>
    </row>
    <row r="2515" spans="1:15" ht="32" x14ac:dyDescent="0.2">
      <c r="A2515" s="7" t="str">
        <f>HYPERLINK("https://otsuka-europe-crm.veevavault.com/ui/#object/account__v/V4TZ04ASGGCFLUE", "JORGE IVAN ZAMORA CARRILLO")</f>
        <v>JORGE IVAN ZAMORA CARRILLO</v>
      </c>
      <c r="B2515" s="7" t="str">
        <f>HYPERLINK("https://otsuka-europe-crm.veevavault.com/ui/#object/vcountry__v/VENZ000004SONF5", "ES")</f>
        <v>ES</v>
      </c>
      <c r="C2515" s="8" t="s">
        <v>41</v>
      </c>
      <c r="D2515" s="9" t="str">
        <f>HYPERLINK("https://otsuka-europe-crm.veevavault.com/ui/#object/approved_document__v/V5O00000001A037", "LUP - VAE Póster Adelphi - Nefro")</f>
        <v>LUP - VAE Póster Adelphi - Nefro</v>
      </c>
      <c r="E2515" s="10" t="str">
        <f>HYPERLINK("https://otsuka-europe-crm.veevavault.com/ui/#object/sent_email__v/VBL00000002N727", "SE-001431945")</f>
        <v>SE-001431945</v>
      </c>
      <c r="F2515" s="11"/>
      <c r="G2515" s="12">
        <v>0</v>
      </c>
      <c r="H2515" s="12">
        <v>0</v>
      </c>
      <c r="I2515" s="12">
        <v>0</v>
      </c>
      <c r="J2515" s="11"/>
      <c r="K2515" s="12">
        <v>0</v>
      </c>
      <c r="L2515" s="10" t="str">
        <f>HYPERLINK("https://otsuka-europe-crm.veevavault.com/ui/#object/approved_document__v/V5O00000001A037", "LUP - VAE Póster Adelphi - Nefro")</f>
        <v>LUP - VAE Póster Adelphi - Nefro</v>
      </c>
      <c r="M2515" s="10" t="str">
        <f>HYPERLINK("mailto:ccoll@crm.otsuka-europe.com", "ccoll@crm.otsuka-europe.com")</f>
        <v>ccoll@crm.otsuka-europe.com</v>
      </c>
      <c r="N2515" s="13">
        <v>46175.779189814813</v>
      </c>
      <c r="O2515" s="14" t="str">
        <f>HYPERLINK("https://otsuka-europe-crm.veevavault.com/ui/#object/email_activity__v/V8C00000003N105", "EN-002088149")</f>
        <v>EN-002088149</v>
      </c>
    </row>
    <row r="2516" spans="1:15" ht="32" x14ac:dyDescent="0.2">
      <c r="A2516" s="7" t="str">
        <f>HYPERLINK("https://otsuka-europe-crm.veevavault.com/ui/#object/account__v/V4TZ025E878UUVL", "LUIS FERNANDO DOMINGUEZ REINA")</f>
        <v>LUIS FERNANDO DOMINGUEZ REINA</v>
      </c>
      <c r="B2516" s="7" t="str">
        <f>HYPERLINK("https://otsuka-europe-crm.veevavault.com/ui/#object/vcountry__v/VENZ000004SONF5", "ES")</f>
        <v>ES</v>
      </c>
      <c r="C2516" s="8" t="s">
        <v>41</v>
      </c>
      <c r="D2516" s="9" t="str">
        <f>HYPERLINK("https://otsuka-europe-crm.veevavault.com/ui/#object/approved_document__v/V5O00000001A037", "LUP - VAE Póster Adelphi - Nefro")</f>
        <v>LUP - VAE Póster Adelphi - Nefro</v>
      </c>
      <c r="E2516" s="10" t="str">
        <f>HYPERLINK("https://otsuka-europe-crm.veevavault.com/ui/#object/sent_email__v/VBL00000002N728", "SE-001431946")</f>
        <v>SE-001431946</v>
      </c>
      <c r="F2516" s="11"/>
      <c r="G2516" s="12">
        <v>0</v>
      </c>
      <c r="H2516" s="12">
        <v>0</v>
      </c>
      <c r="I2516" s="12">
        <v>0</v>
      </c>
      <c r="J2516" s="11"/>
      <c r="K2516" s="12">
        <v>0</v>
      </c>
      <c r="L2516" s="10" t="str">
        <f>HYPERLINK("https://otsuka-europe-crm.veevavault.com/ui/#object/approved_document__v/V5O00000001A037", "LUP - VAE Póster Adelphi - Nefro")</f>
        <v>LUP - VAE Póster Adelphi - Nefro</v>
      </c>
      <c r="M2516" s="10" t="str">
        <f>HYPERLINK("mailto:ccoll@crm.otsuka-europe.com", "ccoll@crm.otsuka-europe.com")</f>
        <v>ccoll@crm.otsuka-europe.com</v>
      </c>
      <c r="N2516" s="13">
        <v>46175.77915509259</v>
      </c>
      <c r="O2516" s="14" t="str">
        <f>HYPERLINK("https://otsuka-europe-crm.veevavault.com/ui/#object/email_activity__v/V8C00000003N155", "EN-002088199")</f>
        <v>EN-002088199</v>
      </c>
    </row>
    <row r="2517" spans="1:15" ht="32" x14ac:dyDescent="0.2">
      <c r="A2517" s="7" t="str">
        <f>HYPERLINK("https://otsuka-europe-crm.veevavault.com/ui/#object/account__v/V4TZ06G6O71TB32", "HELENA MARCO RUSIÑOL")</f>
        <v>HELENA MARCO RUSIÑOL</v>
      </c>
      <c r="B2517" s="7" t="str">
        <f>HYPERLINK("https://otsuka-europe-crm.veevavault.com/ui/#object/vcountry__v/VENZ000004SONF5", "ES")</f>
        <v>ES</v>
      </c>
      <c r="C2517" s="8" t="s">
        <v>41</v>
      </c>
      <c r="D2517" s="9" t="str">
        <f>HYPERLINK("https://otsuka-europe-crm.veevavault.com/ui/#object/approved_document__v/V5O00000001A037", "LUP - VAE Póster Adelphi - Nefro")</f>
        <v>LUP - VAE Póster Adelphi - Nefro</v>
      </c>
      <c r="E2517" s="10" t="str">
        <f>HYPERLINK("https://otsuka-europe-crm.veevavault.com/ui/#object/sent_email__v/VBL00000002N729", "SE-001431947")</f>
        <v>SE-001431947</v>
      </c>
      <c r="F2517" s="11"/>
      <c r="G2517" s="12">
        <v>0</v>
      </c>
      <c r="H2517" s="12">
        <v>0</v>
      </c>
      <c r="I2517" s="12">
        <v>0</v>
      </c>
      <c r="J2517" s="11"/>
      <c r="K2517" s="12">
        <v>0</v>
      </c>
      <c r="L2517" s="10" t="str">
        <f>HYPERLINK("https://otsuka-europe-crm.veevavault.com/ui/#object/approved_document__v/V5O00000001A037", "LUP - VAE Póster Adelphi - Nefro")</f>
        <v>LUP - VAE Póster Adelphi - Nefro</v>
      </c>
      <c r="M2517" s="10" t="str">
        <f>HYPERLINK("mailto:ccoll@crm.otsuka-europe.com", "ccoll@crm.otsuka-europe.com")</f>
        <v>ccoll@crm.otsuka-europe.com</v>
      </c>
      <c r="N2517" s="13">
        <v>46175.77915509259</v>
      </c>
      <c r="O2517" s="14" t="str">
        <f>HYPERLINK("https://otsuka-europe-crm.veevavault.com/ui/#object/email_activity__v/V8C00000003N072", "EN-002088116")</f>
        <v>EN-002088116</v>
      </c>
    </row>
    <row r="2518" spans="1:15" ht="16" x14ac:dyDescent="0.2">
      <c r="A2518" s="17" t="str">
        <f>HYPERLINK("https://otsuka-europe-crm.veevavault.com/ui/#object/account__v/V4TZ06G6O71TBO8", "MARIA DOLORES PRADOS GARRIDO")</f>
        <v>MARIA DOLORES PRADOS GARRIDO</v>
      </c>
      <c r="B2518" s="17" t="str">
        <f>HYPERLINK("https://otsuka-europe-crm.veevavault.com/ui/#object/vcountry__v/VENZ000004SONF5", "ES")</f>
        <v>ES</v>
      </c>
      <c r="C2518" s="20" t="s">
        <v>41</v>
      </c>
      <c r="D2518" s="21" t="str">
        <f>HYPERLINK("https://otsuka-europe-crm.veevavault.com/ui/#object/approved_document__v/V5O00000001A037", "LUP - VAE Póster Adelphi - Nefro")</f>
        <v>LUP - VAE Póster Adelphi - Nefro</v>
      </c>
      <c r="E2518" s="22" t="str">
        <f>HYPERLINK("https://otsuka-europe-crm.veevavault.com/ui/#object/sent_email__v/VBL00000002N730", "SE-001431948")</f>
        <v>SE-001431948</v>
      </c>
      <c r="F2518" s="25"/>
      <c r="G2518" s="24">
        <v>0</v>
      </c>
      <c r="H2518" s="24">
        <v>0</v>
      </c>
      <c r="I2518" s="24">
        <v>0</v>
      </c>
      <c r="J2518" s="25"/>
      <c r="K2518" s="24">
        <v>0</v>
      </c>
      <c r="L2518" s="22" t="str">
        <f>HYPERLINK("https://otsuka-europe-crm.veevavault.com/ui/#object/approved_document__v/V5O00000001A037", "LUP - VAE Póster Adelphi - Nefro")</f>
        <v>LUP - VAE Póster Adelphi - Nefro</v>
      </c>
      <c r="M2518" s="22" t="str">
        <f>HYPERLINK("mailto:ccoll@crm.otsuka-europe.com", "ccoll@crm.otsuka-europe.com")</f>
        <v>ccoll@crm.otsuka-europe.com</v>
      </c>
      <c r="N2518" s="23">
        <v>46175.77915509259</v>
      </c>
      <c r="O2518" s="14" t="str">
        <f>HYPERLINK("https://otsuka-europe-crm.veevavault.com/ui/#object/email_activity__v/V8C00000003M139", "EN-002088289")</f>
        <v>EN-002088289</v>
      </c>
    </row>
    <row r="2519" spans="1:15" ht="16" x14ac:dyDescent="0.2">
      <c r="A2519" s="19"/>
      <c r="B2519" s="19"/>
      <c r="C2519" s="19"/>
      <c r="D2519" s="19"/>
      <c r="E2519" s="19"/>
      <c r="F2519" s="19"/>
      <c r="G2519" s="19"/>
      <c r="H2519" s="19"/>
      <c r="I2519" s="19"/>
      <c r="J2519" s="19"/>
      <c r="K2519" s="19"/>
      <c r="L2519" s="19"/>
      <c r="M2519" s="19"/>
      <c r="N2519" s="19"/>
      <c r="O2519" s="14" t="str">
        <f>HYPERLINK("https://otsuka-europe-crm.veevavault.com/ui/#object/email_activity__v/V8C00000003N049", "EN-002088093")</f>
        <v>EN-002088093</v>
      </c>
    </row>
    <row r="2520" spans="1:15" ht="32" x14ac:dyDescent="0.2">
      <c r="A2520" s="7" t="str">
        <f>HYPERLINK("https://otsuka-europe-crm.veevavault.com/ui/#object/account__v/V4TZ04ASG8V7V07", "STHEFANNY CAROLINA GONZALEZ GARCIA")</f>
        <v>STHEFANNY CAROLINA GONZALEZ GARCIA</v>
      </c>
      <c r="B2520" s="7" t="str">
        <f>HYPERLINK("https://otsuka-europe-crm.veevavault.com/ui/#object/vcountry__v/VENZ000004SONF5", "ES")</f>
        <v>ES</v>
      </c>
      <c r="C2520" s="8" t="s">
        <v>41</v>
      </c>
      <c r="D2520" s="9" t="str">
        <f>HYPERLINK("https://otsuka-europe-crm.veevavault.com/ui/#object/approved_document__v/V5O00000001A037", "LUP - VAE Póster Adelphi - Nefro")</f>
        <v>LUP - VAE Póster Adelphi - Nefro</v>
      </c>
      <c r="E2520" s="10" t="str">
        <f>HYPERLINK("https://otsuka-europe-crm.veevavault.com/ui/#object/sent_email__v/VBL00000002N731", "SE-001431949")</f>
        <v>SE-001431949</v>
      </c>
      <c r="F2520" s="11"/>
      <c r="G2520" s="12">
        <v>0</v>
      </c>
      <c r="H2520" s="12">
        <v>0</v>
      </c>
      <c r="I2520" s="12">
        <v>0</v>
      </c>
      <c r="J2520" s="11"/>
      <c r="K2520" s="12">
        <v>0</v>
      </c>
      <c r="L2520" s="10" t="str">
        <f>HYPERLINK("https://otsuka-europe-crm.veevavault.com/ui/#object/approved_document__v/V5O00000001A037", "LUP - VAE Póster Adelphi - Nefro")</f>
        <v>LUP - VAE Póster Adelphi - Nefro</v>
      </c>
      <c r="M2520" s="10" t="str">
        <f>HYPERLINK("mailto:ccoll@crm.otsuka-europe.com", "ccoll@crm.otsuka-europe.com")</f>
        <v>ccoll@crm.otsuka-europe.com</v>
      </c>
      <c r="N2520" s="13">
        <v>46175.77915509259</v>
      </c>
      <c r="O2520" s="14" t="str">
        <f>HYPERLINK("https://otsuka-europe-crm.veevavault.com/ui/#object/email_activity__v/V8C00000003N070", "EN-002088114")</f>
        <v>EN-002088114</v>
      </c>
    </row>
    <row r="2521" spans="1:15" ht="16" x14ac:dyDescent="0.2">
      <c r="A2521" s="17" t="str">
        <f>HYPERLINK("https://otsuka-europe-crm.veevavault.com/ui/#object/account__v/V4TZ025E85M0UKL", "JOSE ANTONIO FERRERAS GASCO")</f>
        <v>JOSE ANTONIO FERRERAS GASCO</v>
      </c>
      <c r="B2521" s="17" t="str">
        <f>HYPERLINK("https://otsuka-europe-crm.veevavault.com/ui/#object/vcountry__v/VENZ000004SONF5", "ES")</f>
        <v>ES</v>
      </c>
      <c r="C2521" s="20" t="s">
        <v>41</v>
      </c>
      <c r="D2521" s="21" t="str">
        <f>HYPERLINK("https://otsuka-europe-crm.veevavault.com/ui/#object/approved_document__v/V5O00000001A037", "LUP - VAE Póster Adelphi - Nefro")</f>
        <v>LUP - VAE Póster Adelphi - Nefro</v>
      </c>
      <c r="E2521" s="22" t="str">
        <f>HYPERLINK("https://otsuka-europe-crm.veevavault.com/ui/#object/sent_email__v/VBL00000002N732", "SE-001431950")</f>
        <v>SE-001431950</v>
      </c>
      <c r="F2521" s="25"/>
      <c r="G2521" s="24">
        <v>0</v>
      </c>
      <c r="H2521" s="24">
        <v>0</v>
      </c>
      <c r="I2521" s="24">
        <v>0</v>
      </c>
      <c r="J2521" s="25"/>
      <c r="K2521" s="24">
        <v>0</v>
      </c>
      <c r="L2521" s="22" t="str">
        <f>HYPERLINK("https://otsuka-europe-crm.veevavault.com/ui/#object/approved_document__v/V5O00000001A037", "LUP - VAE Póster Adelphi - Nefro")</f>
        <v>LUP - VAE Póster Adelphi - Nefro</v>
      </c>
      <c r="M2521" s="22" t="str">
        <f>HYPERLINK("mailto:ccoll@crm.otsuka-europe.com", "ccoll@crm.otsuka-europe.com")</f>
        <v>ccoll@crm.otsuka-europe.com</v>
      </c>
      <c r="N2521" s="23">
        <v>46175.77915509259</v>
      </c>
      <c r="O2521" s="14" t="str">
        <f>HYPERLINK("https://otsuka-europe-crm.veevavault.com/ui/#object/email_activity__v/V8C00000003M170", "EN-002088343")</f>
        <v>EN-002088343</v>
      </c>
    </row>
    <row r="2522" spans="1:15" ht="16" x14ac:dyDescent="0.2">
      <c r="A2522" s="18"/>
      <c r="B2522" s="18"/>
      <c r="C2522" s="18"/>
      <c r="D2522" s="18"/>
      <c r="E2522" s="18"/>
      <c r="F2522" s="18"/>
      <c r="G2522" s="18"/>
      <c r="H2522" s="18"/>
      <c r="I2522" s="18"/>
      <c r="J2522" s="18"/>
      <c r="K2522" s="18"/>
      <c r="L2522" s="18"/>
      <c r="M2522" s="18"/>
      <c r="N2522" s="18"/>
      <c r="O2522" s="14" t="str">
        <f>HYPERLINK("https://otsuka-europe-crm.veevavault.com/ui/#object/email_activity__v/V8C00000003N128", "EN-002088172")</f>
        <v>EN-002088172</v>
      </c>
    </row>
    <row r="2523" spans="1:15" ht="16" x14ac:dyDescent="0.2">
      <c r="A2523" s="19"/>
      <c r="B2523" s="19"/>
      <c r="C2523" s="19"/>
      <c r="D2523" s="19"/>
      <c r="E2523" s="19"/>
      <c r="F2523" s="19"/>
      <c r="G2523" s="19"/>
      <c r="H2523" s="19"/>
      <c r="I2523" s="19"/>
      <c r="J2523" s="19"/>
      <c r="K2523" s="19"/>
      <c r="L2523" s="19"/>
      <c r="M2523" s="19"/>
      <c r="N2523" s="19"/>
      <c r="O2523" s="14" t="str">
        <f>HYPERLINK("https://otsuka-europe-crm.veevavault.com/ui/#object/email_activity__v/V8C00000003O037", "EN-002089316")</f>
        <v>EN-002089316</v>
      </c>
    </row>
    <row r="2524" spans="1:15" ht="32" x14ac:dyDescent="0.2">
      <c r="A2524" s="7" t="str">
        <f>HYPERLINK("https://otsuka-europe-crm.veevavault.com/ui/#object/account__v/V4TZ04ASGAGIU4J", "JUAN CARLOS GONZALEZ OLIVA")</f>
        <v>JUAN CARLOS GONZALEZ OLIVA</v>
      </c>
      <c r="B2524" s="7" t="str">
        <f>HYPERLINK("https://otsuka-europe-crm.veevavault.com/ui/#object/vcountry__v/VENZ000004SONF5", "ES")</f>
        <v>ES</v>
      </c>
      <c r="C2524" s="8" t="s">
        <v>41</v>
      </c>
      <c r="D2524" s="9" t="str">
        <f>HYPERLINK("https://otsuka-europe-crm.veevavault.com/ui/#object/approved_document__v/V5O00000001A037", "LUP - VAE Póster Adelphi - Nefro")</f>
        <v>LUP - VAE Póster Adelphi - Nefro</v>
      </c>
      <c r="E2524" s="10" t="str">
        <f>HYPERLINK("https://otsuka-europe-crm.veevavault.com/ui/#object/sent_email__v/VBL00000002N733", "SE-001431951")</f>
        <v>SE-001431951</v>
      </c>
      <c r="F2524" s="11"/>
      <c r="G2524" s="12">
        <v>0</v>
      </c>
      <c r="H2524" s="12">
        <v>0</v>
      </c>
      <c r="I2524" s="12">
        <v>0</v>
      </c>
      <c r="J2524" s="11"/>
      <c r="K2524" s="12">
        <v>0</v>
      </c>
      <c r="L2524" s="10" t="str">
        <f>HYPERLINK("https://otsuka-europe-crm.veevavault.com/ui/#object/approved_document__v/V5O00000001A037", "LUP - VAE Póster Adelphi - Nefro")</f>
        <v>LUP - VAE Póster Adelphi - Nefro</v>
      </c>
      <c r="M2524" s="10" t="str">
        <f>HYPERLINK("mailto:ccoll@crm.otsuka-europe.com", "ccoll@crm.otsuka-europe.com")</f>
        <v>ccoll@crm.otsuka-europe.com</v>
      </c>
      <c r="N2524" s="13">
        <v>46175.77915509259</v>
      </c>
      <c r="O2524" s="14" t="str">
        <f>HYPERLINK("https://otsuka-europe-crm.veevavault.com/ui/#object/email_activity__v/V8C00000003N137", "EN-002088181")</f>
        <v>EN-002088181</v>
      </c>
    </row>
    <row r="2525" spans="1:15" ht="16" x14ac:dyDescent="0.2">
      <c r="A2525" s="17" t="str">
        <f>HYPERLINK("https://otsuka-europe-crm.veevavault.com/ui/#object/account__v/V4TZ06G6O71UQRO", "DIANA MARIA RODRIGUEZ ESPINOZA")</f>
        <v>DIANA MARIA RODRIGUEZ ESPINOZA</v>
      </c>
      <c r="B2525" s="17" t="str">
        <f>HYPERLINK("https://otsuka-europe-crm.veevavault.com/ui/#object/vcountry__v/VENZ000004SONF5", "ES")</f>
        <v>ES</v>
      </c>
      <c r="C2525" s="20" t="s">
        <v>41</v>
      </c>
      <c r="D2525" s="21" t="str">
        <f>HYPERLINK("https://otsuka-europe-crm.veevavault.com/ui/#object/approved_document__v/V5O00000001A037", "LUP - VAE Póster Adelphi - Nefro")</f>
        <v>LUP - VAE Póster Adelphi - Nefro</v>
      </c>
      <c r="E2525" s="22" t="str">
        <f>HYPERLINK("https://otsuka-europe-crm.veevavault.com/ui/#object/sent_email__v/VBL00000002N734", "SE-001431952")</f>
        <v>SE-001431952</v>
      </c>
      <c r="F2525" s="25"/>
      <c r="G2525" s="24">
        <v>0</v>
      </c>
      <c r="H2525" s="24">
        <v>0</v>
      </c>
      <c r="I2525" s="24">
        <v>0</v>
      </c>
      <c r="J2525" s="25"/>
      <c r="K2525" s="24">
        <v>0</v>
      </c>
      <c r="L2525" s="22" t="str">
        <f>HYPERLINK("https://otsuka-europe-crm.veevavault.com/ui/#object/approved_document__v/V5O00000001A037", "LUP - VAE Póster Adelphi - Nefro")</f>
        <v>LUP - VAE Póster Adelphi - Nefro</v>
      </c>
      <c r="M2525" s="22" t="str">
        <f>HYPERLINK("mailto:ccoll@crm.otsuka-europe.com", "ccoll@crm.otsuka-europe.com")</f>
        <v>ccoll@crm.otsuka-europe.com</v>
      </c>
      <c r="N2525" s="23">
        <v>46175.779178240744</v>
      </c>
      <c r="O2525" s="14" t="str">
        <f>HYPERLINK("https://otsuka-europe-crm.veevavault.com/ui/#object/email_activity__v/V8C00000003N090", "EN-002088134")</f>
        <v>EN-002088134</v>
      </c>
    </row>
    <row r="2526" spans="1:15" ht="16" x14ac:dyDescent="0.2">
      <c r="A2526" s="19"/>
      <c r="B2526" s="19"/>
      <c r="C2526" s="19"/>
      <c r="D2526" s="19"/>
      <c r="E2526" s="19"/>
      <c r="F2526" s="19"/>
      <c r="G2526" s="19"/>
      <c r="H2526" s="19"/>
      <c r="I2526" s="19"/>
      <c r="J2526" s="19"/>
      <c r="K2526" s="19"/>
      <c r="L2526" s="19"/>
      <c r="M2526" s="19"/>
      <c r="N2526" s="19"/>
      <c r="O2526" s="14" t="str">
        <f>HYPERLINK("https://otsuka-europe-crm.veevavault.com/ui/#object/email_activity__v/V8C00000003N474", "EN-002088751")</f>
        <v>EN-002088751</v>
      </c>
    </row>
    <row r="2527" spans="1:15" ht="16" x14ac:dyDescent="0.2">
      <c r="A2527" s="17" t="str">
        <f>HYPERLINK("https://otsuka-europe-crm.veevavault.com/ui/#object/account__v/V4TZ06G6O71TBTG", "MARIA TERESA PIN GODOS")</f>
        <v>MARIA TERESA PIN GODOS</v>
      </c>
      <c r="B2527" s="17" t="str">
        <f>HYPERLINK("https://otsuka-europe-crm.veevavault.com/ui/#object/vcountry__v/VENZ000004SONF5", "ES")</f>
        <v>ES</v>
      </c>
      <c r="C2527" s="20" t="s">
        <v>41</v>
      </c>
      <c r="D2527" s="21" t="str">
        <f>HYPERLINK("https://otsuka-europe-crm.veevavault.com/ui/#object/approved_document__v/V5O00000001A037", "LUP - VAE Póster Adelphi - Nefro")</f>
        <v>LUP - VAE Póster Adelphi - Nefro</v>
      </c>
      <c r="E2527" s="22" t="str">
        <f>HYPERLINK("https://otsuka-europe-crm.veevavault.com/ui/#object/sent_email__v/VBL00000002N735", "SE-001431953")</f>
        <v>SE-001431953</v>
      </c>
      <c r="F2527" s="23">
        <v>46176.251747685186</v>
      </c>
      <c r="G2527" s="24">
        <v>1</v>
      </c>
      <c r="H2527" s="24">
        <v>2</v>
      </c>
      <c r="I2527" s="24">
        <v>0</v>
      </c>
      <c r="J2527" s="25"/>
      <c r="K2527" s="24">
        <v>0</v>
      </c>
      <c r="L2527" s="22" t="str">
        <f>HYPERLINK("https://otsuka-europe-crm.veevavault.com/ui/#object/approved_document__v/V5O00000001A037", "LUP - VAE Póster Adelphi - Nefro")</f>
        <v>LUP - VAE Póster Adelphi - Nefro</v>
      </c>
      <c r="M2527" s="22" t="str">
        <f>HYPERLINK("mailto:ccoll@crm.otsuka-europe.com", "ccoll@crm.otsuka-europe.com")</f>
        <v>ccoll@crm.otsuka-europe.com</v>
      </c>
      <c r="N2527" s="23">
        <v>46175.77915509259</v>
      </c>
      <c r="O2527" s="14" t="str">
        <f>HYPERLINK("https://otsuka-europe-crm.veevavault.com/ui/#object/email_activity__v/V8C00000003N042", "EN-002088081")</f>
        <v>EN-002088081</v>
      </c>
    </row>
    <row r="2528" spans="1:15" ht="16" x14ac:dyDescent="0.2">
      <c r="A2528" s="18"/>
      <c r="B2528" s="18"/>
      <c r="C2528" s="18"/>
      <c r="D2528" s="18"/>
      <c r="E2528" s="18"/>
      <c r="F2528" s="18"/>
      <c r="G2528" s="18"/>
      <c r="H2528" s="18"/>
      <c r="I2528" s="18"/>
      <c r="J2528" s="18"/>
      <c r="K2528" s="18"/>
      <c r="L2528" s="18"/>
      <c r="M2528" s="18"/>
      <c r="N2528" s="18"/>
      <c r="O2528" s="14" t="str">
        <f>HYPERLINK("https://otsuka-europe-crm.veevavault.com/ui/#object/email_activity__v/V8C00000003N173", "EN-002088217")</f>
        <v>EN-002088217</v>
      </c>
    </row>
    <row r="2529" spans="1:15" ht="16" x14ac:dyDescent="0.2">
      <c r="A2529" s="19"/>
      <c r="B2529" s="19"/>
      <c r="C2529" s="19"/>
      <c r="D2529" s="19"/>
      <c r="E2529" s="19"/>
      <c r="F2529" s="19"/>
      <c r="G2529" s="19"/>
      <c r="H2529" s="19"/>
      <c r="I2529" s="19"/>
      <c r="J2529" s="19"/>
      <c r="K2529" s="19"/>
      <c r="L2529" s="19"/>
      <c r="M2529" s="19"/>
      <c r="N2529" s="19"/>
      <c r="O2529" s="14" t="str">
        <f>HYPERLINK("https://otsuka-europe-crm.veevavault.com/ui/#object/email_activity__v/V8C00000003N345", "EN-002088531")</f>
        <v>EN-002088531</v>
      </c>
    </row>
    <row r="2530" spans="1:15" ht="32" x14ac:dyDescent="0.2">
      <c r="A2530" s="7" t="str">
        <f>HYPERLINK("https://otsuka-europe-crm.veevavault.com/ui/#object/account__v/V4TZ06G6O71WX8J", "MARTA ARTAMENDI LARRAÑAGA")</f>
        <v>MARTA ARTAMENDI LARRAÑAGA</v>
      </c>
      <c r="B2530" s="7" t="str">
        <f>HYPERLINK("https://otsuka-europe-crm.veevavault.com/ui/#object/vcountry__v/VENZ000004SONF5", "ES")</f>
        <v>ES</v>
      </c>
      <c r="C2530" s="8" t="s">
        <v>41</v>
      </c>
      <c r="D2530" s="9" t="str">
        <f>HYPERLINK("https://otsuka-europe-crm.veevavault.com/ui/#object/approved_document__v/V5O00000001A037", "LUP - VAE Póster Adelphi - Nefro")</f>
        <v>LUP - VAE Póster Adelphi - Nefro</v>
      </c>
      <c r="E2530" s="10" t="str">
        <f>HYPERLINK("https://otsuka-europe-crm.veevavault.com/ui/#object/sent_email__v/VBL00000002N736", "SE-001431954")</f>
        <v>SE-001431954</v>
      </c>
      <c r="F2530" s="11"/>
      <c r="G2530" s="12">
        <v>0</v>
      </c>
      <c r="H2530" s="12">
        <v>0</v>
      </c>
      <c r="I2530" s="12">
        <v>0</v>
      </c>
      <c r="J2530" s="11"/>
      <c r="K2530" s="12">
        <v>0</v>
      </c>
      <c r="L2530" s="10" t="str">
        <f>HYPERLINK("https://otsuka-europe-crm.veevavault.com/ui/#object/approved_document__v/V5O00000001A037", "LUP - VAE Póster Adelphi - Nefro")</f>
        <v>LUP - VAE Póster Adelphi - Nefro</v>
      </c>
      <c r="M2530" s="10" t="str">
        <f>HYPERLINK("mailto:ccoll@crm.otsuka-europe.com", "ccoll@crm.otsuka-europe.com")</f>
        <v>ccoll@crm.otsuka-europe.com</v>
      </c>
      <c r="N2530" s="13">
        <v>46175.77915509259</v>
      </c>
      <c r="O2530" s="14" t="str">
        <f>HYPERLINK("https://otsuka-europe-crm.veevavault.com/ui/#object/email_activity__v/V8C00000003N129", "EN-002088173")</f>
        <v>EN-002088173</v>
      </c>
    </row>
    <row r="2531" spans="1:15" ht="32" x14ac:dyDescent="0.2">
      <c r="A2531" s="7" t="str">
        <f>HYPERLINK("https://otsuka-europe-crm.veevavault.com/ui/#object/account__v/V4TZ06G6O71TCD3", "MARIA FERNANDA SILVA CEDEÑO")</f>
        <v>MARIA FERNANDA SILVA CEDEÑO</v>
      </c>
      <c r="B2531" s="7" t="str">
        <f>HYPERLINK("https://otsuka-europe-crm.veevavault.com/ui/#object/vcountry__v/VENZ000004SONF5", "ES")</f>
        <v>ES</v>
      </c>
      <c r="C2531" s="8" t="s">
        <v>41</v>
      </c>
      <c r="D2531" s="9" t="str">
        <f>HYPERLINK("https://otsuka-europe-crm.veevavault.com/ui/#object/approved_document__v/V5O00000001A037", "LUP - VAE Póster Adelphi - Nefro")</f>
        <v>LUP - VAE Póster Adelphi - Nefro</v>
      </c>
      <c r="E2531" s="10" t="str">
        <f>HYPERLINK("https://otsuka-europe-crm.veevavault.com/ui/#object/sent_email__v/VBL00000002N737", "SE-001431955")</f>
        <v>SE-001431955</v>
      </c>
      <c r="F2531" s="11"/>
      <c r="G2531" s="12">
        <v>0</v>
      </c>
      <c r="H2531" s="12">
        <v>0</v>
      </c>
      <c r="I2531" s="12">
        <v>0</v>
      </c>
      <c r="J2531" s="11"/>
      <c r="K2531" s="12">
        <v>0</v>
      </c>
      <c r="L2531" s="10" t="str">
        <f>HYPERLINK("https://otsuka-europe-crm.veevavault.com/ui/#object/approved_document__v/V5O00000001A037", "LUP - VAE Póster Adelphi - Nefro")</f>
        <v>LUP - VAE Póster Adelphi - Nefro</v>
      </c>
      <c r="M2531" s="10" t="str">
        <f>HYPERLINK("mailto:ccoll@crm.otsuka-europe.com", "ccoll@crm.otsuka-europe.com")</f>
        <v>ccoll@crm.otsuka-europe.com</v>
      </c>
      <c r="N2531" s="13">
        <v>46175.77915509259</v>
      </c>
      <c r="O2531" s="14" t="str">
        <f>HYPERLINK("https://otsuka-europe-crm.veevavault.com/ui/#object/email_activity__v/V8C00000003N053", "EN-002088097")</f>
        <v>EN-002088097</v>
      </c>
    </row>
    <row r="2532" spans="1:15" ht="32" x14ac:dyDescent="0.2">
      <c r="A2532" s="7" t="str">
        <f>HYPERLINK("https://otsuka-europe-crm.veevavault.com/ui/#object/account__v/V4TZ06G6O71T7O9", "MONICA MARIA FURLANO")</f>
        <v>MONICA MARIA FURLANO</v>
      </c>
      <c r="B2532" s="7" t="str">
        <f>HYPERLINK("https://otsuka-europe-crm.veevavault.com/ui/#object/vcountry__v/VENZ000004SONF5", "ES")</f>
        <v>ES</v>
      </c>
      <c r="C2532" s="8" t="s">
        <v>41</v>
      </c>
      <c r="D2532" s="9" t="str">
        <f>HYPERLINK("https://otsuka-europe-crm.veevavault.com/ui/#object/approved_document__v/V5O00000001A037", "LUP - VAE Póster Adelphi - Nefro")</f>
        <v>LUP - VAE Póster Adelphi - Nefro</v>
      </c>
      <c r="E2532" s="10" t="str">
        <f>HYPERLINK("https://otsuka-europe-crm.veevavault.com/ui/#object/sent_email__v/VBL00000002N738", "SE-001431956")</f>
        <v>SE-001431956</v>
      </c>
      <c r="F2532" s="11"/>
      <c r="G2532" s="12">
        <v>0</v>
      </c>
      <c r="H2532" s="12">
        <v>0</v>
      </c>
      <c r="I2532" s="12">
        <v>0</v>
      </c>
      <c r="J2532" s="11"/>
      <c r="K2532" s="12">
        <v>0</v>
      </c>
      <c r="L2532" s="10" t="str">
        <f>HYPERLINK("https://otsuka-europe-crm.veevavault.com/ui/#object/approved_document__v/V5O00000001A037", "LUP - VAE Póster Adelphi - Nefro")</f>
        <v>LUP - VAE Póster Adelphi - Nefro</v>
      </c>
      <c r="M2532" s="10" t="str">
        <f>HYPERLINK("mailto:ccoll@crm.otsuka-europe.com", "ccoll@crm.otsuka-europe.com")</f>
        <v>ccoll@crm.otsuka-europe.com</v>
      </c>
      <c r="N2532" s="13">
        <v>46175.77915509259</v>
      </c>
      <c r="O2532" s="14" t="str">
        <f>HYPERLINK("https://otsuka-europe-crm.veevavault.com/ui/#object/email_activity__v/V8C00000003N117", "EN-002088161")</f>
        <v>EN-002088161</v>
      </c>
    </row>
    <row r="2533" spans="1:15" ht="32" x14ac:dyDescent="0.2">
      <c r="A2533" s="7" t="str">
        <f>HYPERLINK("https://otsuka-europe-crm.veevavault.com/ui/#object/account__v/V4TZ06G6O71TCEF", "ANNA SAURINA SOLE")</f>
        <v>ANNA SAURINA SOLE</v>
      </c>
      <c r="B2533" s="7" t="str">
        <f>HYPERLINK("https://otsuka-europe-crm.veevavault.com/ui/#object/vcountry__v/VENZ000004SONF5", "ES")</f>
        <v>ES</v>
      </c>
      <c r="C2533" s="8" t="s">
        <v>41</v>
      </c>
      <c r="D2533" s="9" t="str">
        <f>HYPERLINK("https://otsuka-europe-crm.veevavault.com/ui/#object/approved_document__v/V5O00000001A037", "LUP - VAE Póster Adelphi - Nefro")</f>
        <v>LUP - VAE Póster Adelphi - Nefro</v>
      </c>
      <c r="E2533" s="10" t="str">
        <f>HYPERLINK("https://otsuka-europe-crm.veevavault.com/ui/#object/sent_email__v/VBL00000002N739", "SE-001431957")</f>
        <v>SE-001431957</v>
      </c>
      <c r="F2533" s="11"/>
      <c r="G2533" s="12">
        <v>0</v>
      </c>
      <c r="H2533" s="12">
        <v>0</v>
      </c>
      <c r="I2533" s="12">
        <v>0</v>
      </c>
      <c r="J2533" s="11"/>
      <c r="K2533" s="12">
        <v>0</v>
      </c>
      <c r="L2533" s="10" t="str">
        <f>HYPERLINK("https://otsuka-europe-crm.veevavault.com/ui/#object/approved_document__v/V5O00000001A037", "LUP - VAE Póster Adelphi - Nefro")</f>
        <v>LUP - VAE Póster Adelphi - Nefro</v>
      </c>
      <c r="M2533" s="10" t="str">
        <f>HYPERLINK("mailto:ccoll@crm.otsuka-europe.com", "ccoll@crm.otsuka-europe.com")</f>
        <v>ccoll@crm.otsuka-europe.com</v>
      </c>
      <c r="N2533" s="13">
        <v>46175.779189814813</v>
      </c>
      <c r="O2533" s="14" t="str">
        <f>HYPERLINK("https://otsuka-europe-crm.veevavault.com/ui/#object/email_activity__v/V8C00000003N110", "EN-002088154")</f>
        <v>EN-002088154</v>
      </c>
    </row>
    <row r="2534" spans="1:15" ht="16" x14ac:dyDescent="0.2">
      <c r="A2534" s="17" t="str">
        <f>HYPERLINK("https://otsuka-europe-crm.veevavault.com/ui/#object/account__v/V4TZ06G6O71T9EY", "XOANA BARROS FREIRIA")</f>
        <v>XOANA BARROS FREIRIA</v>
      </c>
      <c r="B2534" s="17" t="str">
        <f>HYPERLINK("https://otsuka-europe-crm.veevavault.com/ui/#object/vcountry__v/VENZ000004SONF5", "ES")</f>
        <v>ES</v>
      </c>
      <c r="C2534" s="20" t="s">
        <v>41</v>
      </c>
      <c r="D2534" s="21" t="str">
        <f>HYPERLINK("https://otsuka-europe-crm.veevavault.com/ui/#object/approved_document__v/V5O00000001A037", "LUP - VAE Póster Adelphi - Nefro")</f>
        <v>LUP - VAE Póster Adelphi - Nefro</v>
      </c>
      <c r="E2534" s="22" t="str">
        <f>HYPERLINK("https://otsuka-europe-crm.veevavault.com/ui/#object/sent_email__v/VBL00000002N740", "SE-001431958")</f>
        <v>SE-001431958</v>
      </c>
      <c r="F2534" s="23">
        <v>46176.354826388888</v>
      </c>
      <c r="G2534" s="24">
        <v>1</v>
      </c>
      <c r="H2534" s="24">
        <v>2</v>
      </c>
      <c r="I2534" s="24">
        <v>0</v>
      </c>
      <c r="J2534" s="25"/>
      <c r="K2534" s="24">
        <v>0</v>
      </c>
      <c r="L2534" s="22" t="str">
        <f>HYPERLINK("https://otsuka-europe-crm.veevavault.com/ui/#object/approved_document__v/V5O00000001A037", "LUP - VAE Póster Adelphi - Nefro")</f>
        <v>LUP - VAE Póster Adelphi - Nefro</v>
      </c>
      <c r="M2534" s="22" t="str">
        <f>HYPERLINK("mailto:ccoll@crm.otsuka-europe.com", "ccoll@crm.otsuka-europe.com")</f>
        <v>ccoll@crm.otsuka-europe.com</v>
      </c>
      <c r="N2534" s="23">
        <v>46175.77915509259</v>
      </c>
      <c r="O2534" s="14" t="str">
        <f>HYPERLINK("https://otsuka-europe-crm.veevavault.com/ui/#object/email_activity__v/V8C00000003M257", "EN-002088477")</f>
        <v>EN-002088477</v>
      </c>
    </row>
    <row r="2535" spans="1:15" ht="16" x14ac:dyDescent="0.2">
      <c r="A2535" s="18"/>
      <c r="B2535" s="18"/>
      <c r="C2535" s="18"/>
      <c r="D2535" s="18"/>
      <c r="E2535" s="18"/>
      <c r="F2535" s="18"/>
      <c r="G2535" s="18"/>
      <c r="H2535" s="18"/>
      <c r="I2535" s="18"/>
      <c r="J2535" s="18"/>
      <c r="K2535" s="18"/>
      <c r="L2535" s="18"/>
      <c r="M2535" s="18"/>
      <c r="N2535" s="18"/>
      <c r="O2535" s="14" t="str">
        <f>HYPERLINK("https://otsuka-europe-crm.veevavault.com/ui/#object/email_activity__v/V8C00000003M315", "EN-002088611")</f>
        <v>EN-002088611</v>
      </c>
    </row>
    <row r="2536" spans="1:15" ht="16" x14ac:dyDescent="0.2">
      <c r="A2536" s="19"/>
      <c r="B2536" s="19"/>
      <c r="C2536" s="19"/>
      <c r="D2536" s="19"/>
      <c r="E2536" s="19"/>
      <c r="F2536" s="19"/>
      <c r="G2536" s="19"/>
      <c r="H2536" s="19"/>
      <c r="I2536" s="19"/>
      <c r="J2536" s="19"/>
      <c r="K2536" s="19"/>
      <c r="L2536" s="19"/>
      <c r="M2536" s="19"/>
      <c r="N2536" s="19"/>
      <c r="O2536" s="14" t="str">
        <f>HYPERLINK("https://otsuka-europe-crm.veevavault.com/ui/#object/email_activity__v/V8C00000003N159", "EN-002088203")</f>
        <v>EN-002088203</v>
      </c>
    </row>
    <row r="2537" spans="1:15" ht="32" x14ac:dyDescent="0.2">
      <c r="A2537" s="7" t="str">
        <f>HYPERLINK("https://otsuka-europe-crm.veevavault.com/ui/#object/account__v/V4TZ06G6O71TBGI", "AINA REMEI OBRADOR MULET")</f>
        <v>AINA REMEI OBRADOR MULET</v>
      </c>
      <c r="B2537" s="7" t="str">
        <f>HYPERLINK("https://otsuka-europe-crm.veevavault.com/ui/#object/vcountry__v/VENZ000004SONF5", "ES")</f>
        <v>ES</v>
      </c>
      <c r="C2537" s="8" t="s">
        <v>41</v>
      </c>
      <c r="D2537" s="9" t="str">
        <f>HYPERLINK("https://otsuka-europe-crm.veevavault.com/ui/#object/approved_document__v/V5O00000001A037", "LUP - VAE Póster Adelphi - Nefro")</f>
        <v>LUP - VAE Póster Adelphi - Nefro</v>
      </c>
      <c r="E2537" s="10" t="str">
        <f>HYPERLINK("https://otsuka-europe-crm.veevavault.com/ui/#object/sent_email__v/VBL00000002N741", "SE-001431959")</f>
        <v>SE-001431959</v>
      </c>
      <c r="F2537" s="11"/>
      <c r="G2537" s="12">
        <v>0</v>
      </c>
      <c r="H2537" s="12">
        <v>0</v>
      </c>
      <c r="I2537" s="12">
        <v>0</v>
      </c>
      <c r="J2537" s="11"/>
      <c r="K2537" s="12">
        <v>0</v>
      </c>
      <c r="L2537" s="10" t="str">
        <f>HYPERLINK("https://otsuka-europe-crm.veevavault.com/ui/#object/approved_document__v/V5O00000001A037", "LUP - VAE Póster Adelphi - Nefro")</f>
        <v>LUP - VAE Póster Adelphi - Nefro</v>
      </c>
      <c r="M2537" s="10" t="str">
        <f>HYPERLINK("mailto:ccoll@crm.otsuka-europe.com", "ccoll@crm.otsuka-europe.com")</f>
        <v>ccoll@crm.otsuka-europe.com</v>
      </c>
      <c r="N2537" s="13">
        <v>46175.779178240744</v>
      </c>
      <c r="O2537" s="14" t="str">
        <f>HYPERLINK("https://otsuka-europe-crm.veevavault.com/ui/#object/email_activity__v/V8C00000003N088", "EN-002088132")</f>
        <v>EN-002088132</v>
      </c>
    </row>
    <row r="2538" spans="1:15" ht="32" x14ac:dyDescent="0.2">
      <c r="A2538" s="7" t="str">
        <f>HYPERLINK("https://otsuka-europe-crm.veevavault.com/ui/#object/account__v/V4TZ025E85LG0C9", "MARIA NOEL MARTINA LINGUA")</f>
        <v>MARIA NOEL MARTINA LINGUA</v>
      </c>
      <c r="B2538" s="7" t="str">
        <f>HYPERLINK("https://otsuka-europe-crm.veevavault.com/ui/#object/vcountry__v/VENZ000004SONF5", "ES")</f>
        <v>ES</v>
      </c>
      <c r="C2538" s="8" t="s">
        <v>41</v>
      </c>
      <c r="D2538" s="9" t="str">
        <f>HYPERLINK("https://otsuka-europe-crm.veevavault.com/ui/#object/approved_document__v/V5O00000001A037", "LUP - VAE Póster Adelphi - Nefro")</f>
        <v>LUP - VAE Póster Adelphi - Nefro</v>
      </c>
      <c r="E2538" s="10" t="str">
        <f>HYPERLINK("https://otsuka-europe-crm.veevavault.com/ui/#object/sent_email__v/VBL00000002N742", "SE-001431960")</f>
        <v>SE-001431960</v>
      </c>
      <c r="F2538" s="11"/>
      <c r="G2538" s="12">
        <v>0</v>
      </c>
      <c r="H2538" s="12">
        <v>0</v>
      </c>
      <c r="I2538" s="12">
        <v>0</v>
      </c>
      <c r="J2538" s="11"/>
      <c r="K2538" s="12">
        <v>0</v>
      </c>
      <c r="L2538" s="10" t="str">
        <f>HYPERLINK("https://otsuka-europe-crm.veevavault.com/ui/#object/approved_document__v/V5O00000001A037", "LUP - VAE Póster Adelphi - Nefro")</f>
        <v>LUP - VAE Póster Adelphi - Nefro</v>
      </c>
      <c r="M2538" s="10" t="str">
        <f>HYPERLINK("mailto:ccoll@crm.otsuka-europe.com", "ccoll@crm.otsuka-europe.com")</f>
        <v>ccoll@crm.otsuka-europe.com</v>
      </c>
      <c r="N2538" s="13">
        <v>46175.779178240744</v>
      </c>
      <c r="O2538" s="14" t="str">
        <f>HYPERLINK("https://otsuka-europe-crm.veevavault.com/ui/#object/email_activity__v/V8C00000003N091", "EN-002088135")</f>
        <v>EN-002088135</v>
      </c>
    </row>
    <row r="2539" spans="1:15" ht="32" x14ac:dyDescent="0.2">
      <c r="A2539" s="7" t="str">
        <f>HYPERLINK("https://otsuka-europe-crm.veevavault.com/ui/#object/account__v/V4TZ06G6O71TA97", "MARIA VICTORIA IÑIGO VANRELL")</f>
        <v>MARIA VICTORIA IÑIGO VANRELL</v>
      </c>
      <c r="B2539" s="7" t="str">
        <f>HYPERLINK("https://otsuka-europe-crm.veevavault.com/ui/#object/vcountry__v/VENZ000004SONF5", "ES")</f>
        <v>ES</v>
      </c>
      <c r="C2539" s="8" t="s">
        <v>41</v>
      </c>
      <c r="D2539" s="9" t="str">
        <f>HYPERLINK("https://otsuka-europe-crm.veevavault.com/ui/#object/approved_document__v/V5O00000001A037", "LUP - VAE Póster Adelphi - Nefro")</f>
        <v>LUP - VAE Póster Adelphi - Nefro</v>
      </c>
      <c r="E2539" s="10" t="str">
        <f>HYPERLINK("https://otsuka-europe-crm.veevavault.com/ui/#object/sent_email__v/VBL00000002N743", "SE-001431961")</f>
        <v>SE-001431961</v>
      </c>
      <c r="F2539" s="11"/>
      <c r="G2539" s="12">
        <v>0</v>
      </c>
      <c r="H2539" s="12">
        <v>0</v>
      </c>
      <c r="I2539" s="12">
        <v>0</v>
      </c>
      <c r="J2539" s="11"/>
      <c r="K2539" s="12">
        <v>0</v>
      </c>
      <c r="L2539" s="10" t="str">
        <f>HYPERLINK("https://otsuka-europe-crm.veevavault.com/ui/#object/approved_document__v/V5O00000001A037", "LUP - VAE Póster Adelphi - Nefro")</f>
        <v>LUP - VAE Póster Adelphi - Nefro</v>
      </c>
      <c r="M2539" s="10" t="str">
        <f>HYPERLINK("mailto:ccoll@crm.otsuka-europe.com", "ccoll@crm.otsuka-europe.com")</f>
        <v>ccoll@crm.otsuka-europe.com</v>
      </c>
      <c r="N2539" s="13">
        <v>46175.779178240744</v>
      </c>
      <c r="O2539" s="14" t="str">
        <f>HYPERLINK("https://otsuka-europe-crm.veevavault.com/ui/#object/email_activity__v/V8C00000003N100", "EN-002088144")</f>
        <v>EN-002088144</v>
      </c>
    </row>
    <row r="2540" spans="1:15" ht="16" x14ac:dyDescent="0.2">
      <c r="A2540" s="17" t="str">
        <f>HYPERLINK("https://otsuka-europe-crm.veevavault.com/ui/#object/account__v/V4TZ06G6O71TCF3", "MARIA MILAGROS SIERRA CARPIO")</f>
        <v>MARIA MILAGROS SIERRA CARPIO</v>
      </c>
      <c r="B2540" s="17" t="str">
        <f>HYPERLINK("https://otsuka-europe-crm.veevavault.com/ui/#object/vcountry__v/VENZ000004SONF5", "ES")</f>
        <v>ES</v>
      </c>
      <c r="C2540" s="20" t="s">
        <v>41</v>
      </c>
      <c r="D2540" s="21" t="str">
        <f>HYPERLINK("https://otsuka-europe-crm.veevavault.com/ui/#object/approved_document__v/V5O00000001A037", "LUP - VAE Póster Adelphi - Nefro")</f>
        <v>LUP - VAE Póster Adelphi - Nefro</v>
      </c>
      <c r="E2540" s="22" t="str">
        <f>HYPERLINK("https://otsuka-europe-crm.veevavault.com/ui/#object/sent_email__v/VBL00000002N744", "SE-001431962")</f>
        <v>SE-001431962</v>
      </c>
      <c r="F2540" s="23">
        <v>46176.271886574075</v>
      </c>
      <c r="G2540" s="24">
        <v>1</v>
      </c>
      <c r="H2540" s="24">
        <v>1</v>
      </c>
      <c r="I2540" s="24">
        <v>1</v>
      </c>
      <c r="J2540" s="23">
        <v>46178.540486111109</v>
      </c>
      <c r="K2540" s="24">
        <v>2</v>
      </c>
      <c r="L2540" s="22" t="str">
        <f>HYPERLINK("https://otsuka-europe-crm.veevavault.com/ui/#object/approved_document__v/V5O00000001A037", "LUP - VAE Póster Adelphi - Nefro")</f>
        <v>LUP - VAE Póster Adelphi - Nefro</v>
      </c>
      <c r="M2540" s="22" t="str">
        <f>HYPERLINK("mailto:ccoll@crm.otsuka-europe.com", "ccoll@crm.otsuka-europe.com")</f>
        <v>ccoll@crm.otsuka-europe.com</v>
      </c>
      <c r="N2540" s="23">
        <v>46175.77915509259</v>
      </c>
      <c r="O2540" s="14" t="str">
        <f>HYPERLINK("https://otsuka-europe-crm.veevavault.com/ui/#object/email_activity__v/V8C00000003M286", "EN-002088543")</f>
        <v>EN-002088543</v>
      </c>
    </row>
    <row r="2541" spans="1:15" ht="16" x14ac:dyDescent="0.2">
      <c r="A2541" s="18"/>
      <c r="B2541" s="18"/>
      <c r="C2541" s="18"/>
      <c r="D2541" s="18"/>
      <c r="E2541" s="18"/>
      <c r="F2541" s="18"/>
      <c r="G2541" s="18"/>
      <c r="H2541" s="18"/>
      <c r="I2541" s="18"/>
      <c r="J2541" s="18"/>
      <c r="K2541" s="18"/>
      <c r="L2541" s="18"/>
      <c r="M2541" s="18"/>
      <c r="N2541" s="18"/>
      <c r="O2541" s="14" t="str">
        <f>HYPERLINK("https://otsuka-europe-crm.veevavault.com/ui/#object/email_activity__v/V8C00000003M287", "EN-002088542")</f>
        <v>EN-002088542</v>
      </c>
    </row>
    <row r="2542" spans="1:15" ht="16" x14ac:dyDescent="0.2">
      <c r="A2542" s="18"/>
      <c r="B2542" s="18"/>
      <c r="C2542" s="18"/>
      <c r="D2542" s="18"/>
      <c r="E2542" s="18"/>
      <c r="F2542" s="18"/>
      <c r="G2542" s="18"/>
      <c r="H2542" s="18"/>
      <c r="I2542" s="18"/>
      <c r="J2542" s="18"/>
      <c r="K2542" s="18"/>
      <c r="L2542" s="18"/>
      <c r="M2542" s="18"/>
      <c r="N2542" s="18"/>
      <c r="O2542" s="14" t="str">
        <f>HYPERLINK("https://otsuka-europe-crm.veevavault.com/ui/#object/email_activity__v/V8C00000003M288", "EN-002088544")</f>
        <v>EN-002088544</v>
      </c>
    </row>
    <row r="2543" spans="1:15" ht="16" x14ac:dyDescent="0.2">
      <c r="A2543" s="18"/>
      <c r="B2543" s="18"/>
      <c r="C2543" s="18"/>
      <c r="D2543" s="18"/>
      <c r="E2543" s="18"/>
      <c r="F2543" s="18"/>
      <c r="G2543" s="18"/>
      <c r="H2543" s="18"/>
      <c r="I2543" s="18"/>
      <c r="J2543" s="18"/>
      <c r="K2543" s="18"/>
      <c r="L2543" s="18"/>
      <c r="M2543" s="18"/>
      <c r="N2543" s="18"/>
      <c r="O2543" s="14" t="str">
        <f>HYPERLINK("https://otsuka-europe-crm.veevavault.com/ui/#object/email_activity__v/V8C00000003N130", "EN-002088174")</f>
        <v>EN-002088174</v>
      </c>
    </row>
    <row r="2544" spans="1:15" ht="16" x14ac:dyDescent="0.2">
      <c r="A2544" s="18"/>
      <c r="B2544" s="18"/>
      <c r="C2544" s="18"/>
      <c r="D2544" s="18"/>
      <c r="E2544" s="18"/>
      <c r="F2544" s="18"/>
      <c r="G2544" s="18"/>
      <c r="H2544" s="18"/>
      <c r="I2544" s="18"/>
      <c r="J2544" s="18"/>
      <c r="K2544" s="18"/>
      <c r="L2544" s="18"/>
      <c r="M2544" s="18"/>
      <c r="N2544" s="18"/>
      <c r="O2544" s="14" t="str">
        <f>HYPERLINK("https://otsuka-europe-crm.veevavault.com/ui/#object/email_activity__v/V8C00000003N350", "EN-002088555")</f>
        <v>EN-002088555</v>
      </c>
    </row>
    <row r="2545" spans="1:15" ht="16" x14ac:dyDescent="0.2">
      <c r="A2545" s="18"/>
      <c r="B2545" s="18"/>
      <c r="C2545" s="18"/>
      <c r="D2545" s="18"/>
      <c r="E2545" s="18"/>
      <c r="F2545" s="18"/>
      <c r="G2545" s="18"/>
      <c r="H2545" s="18"/>
      <c r="I2545" s="18"/>
      <c r="J2545" s="18"/>
      <c r="K2545" s="18"/>
      <c r="L2545" s="18"/>
      <c r="M2545" s="18"/>
      <c r="N2545" s="18"/>
      <c r="O2545" s="14" t="str">
        <f>HYPERLINK("https://otsuka-europe-crm.veevavault.com/ui/#object/email_activity__v/V8C00000003P050", "EN-002089338")</f>
        <v>EN-002089338</v>
      </c>
    </row>
    <row r="2546" spans="1:15" ht="16" x14ac:dyDescent="0.2">
      <c r="A2546" s="18"/>
      <c r="B2546" s="18"/>
      <c r="C2546" s="18"/>
      <c r="D2546" s="18"/>
      <c r="E2546" s="18"/>
      <c r="F2546" s="18"/>
      <c r="G2546" s="18"/>
      <c r="H2546" s="18"/>
      <c r="I2546" s="18"/>
      <c r="J2546" s="18"/>
      <c r="K2546" s="18"/>
      <c r="L2546" s="18"/>
      <c r="M2546" s="18"/>
      <c r="N2546" s="18"/>
      <c r="O2546" s="14" t="str">
        <f>HYPERLINK("https://otsuka-europe-crm.veevavault.com/ui/#object/email_activity__v/V8C00000003P052", "EN-002089342")</f>
        <v>EN-002089342</v>
      </c>
    </row>
    <row r="2547" spans="1:15" ht="16" x14ac:dyDescent="0.2">
      <c r="A2547" s="19"/>
      <c r="B2547" s="19"/>
      <c r="C2547" s="19"/>
      <c r="D2547" s="19"/>
      <c r="E2547" s="19"/>
      <c r="F2547" s="19"/>
      <c r="G2547" s="19"/>
      <c r="H2547" s="19"/>
      <c r="I2547" s="19"/>
      <c r="J2547" s="19"/>
      <c r="K2547" s="19"/>
      <c r="L2547" s="19"/>
      <c r="M2547" s="19"/>
      <c r="N2547" s="19"/>
      <c r="O2547" s="14" t="str">
        <f>HYPERLINK("https://otsuka-europe-crm.veevavault.com/ui/#object/email_activity__v/V8C00000003P053", "EN-002089343")</f>
        <v>EN-002089343</v>
      </c>
    </row>
    <row r="2548" spans="1:15" ht="16" x14ac:dyDescent="0.2">
      <c r="A2548" s="17" t="str">
        <f>HYPERLINK("https://otsuka-europe-crm.veevavault.com/ui/#object/account__v/V4TZ025E87JMJIE", "CRISTINA GARCIA PAREJO")</f>
        <v>CRISTINA GARCIA PAREJO</v>
      </c>
      <c r="B2548" s="17" t="str">
        <f>HYPERLINK("https://otsuka-europe-crm.veevavault.com/ui/#object/vcountry__v/VENZ000004SONF5", "ES")</f>
        <v>ES</v>
      </c>
      <c r="C2548" s="20" t="s">
        <v>41</v>
      </c>
      <c r="D2548" s="21" t="str">
        <f>HYPERLINK("https://otsuka-europe-crm.veevavault.com/ui/#object/approved_document__v/V5O00000001A037", "LUP - VAE Póster Adelphi - Nefro")</f>
        <v>LUP - VAE Póster Adelphi - Nefro</v>
      </c>
      <c r="E2548" s="22" t="str">
        <f>HYPERLINK("https://otsuka-europe-crm.veevavault.com/ui/#object/sent_email__v/VBL00000002N745", "SE-001431963")</f>
        <v>SE-001431963</v>
      </c>
      <c r="F2548" s="23">
        <v>46175.779247685183</v>
      </c>
      <c r="G2548" s="24">
        <v>1</v>
      </c>
      <c r="H2548" s="24">
        <v>1</v>
      </c>
      <c r="I2548" s="24">
        <v>0</v>
      </c>
      <c r="J2548" s="25"/>
      <c r="K2548" s="24">
        <v>0</v>
      </c>
      <c r="L2548" s="22" t="str">
        <f>HYPERLINK("https://otsuka-europe-crm.veevavault.com/ui/#object/approved_document__v/V5O00000001A037", "LUP - VAE Póster Adelphi - Nefro")</f>
        <v>LUP - VAE Póster Adelphi - Nefro</v>
      </c>
      <c r="M2548" s="22" t="str">
        <f>HYPERLINK("mailto:ccoll@crm.otsuka-europe.com", "ccoll@crm.otsuka-europe.com")</f>
        <v>ccoll@crm.otsuka-europe.com</v>
      </c>
      <c r="N2548" s="23">
        <v>46175.779166666667</v>
      </c>
      <c r="O2548" s="14" t="str">
        <f>HYPERLINK("https://otsuka-europe-crm.veevavault.com/ui/#object/email_activity__v/V8C00000003N113", "EN-002088157")</f>
        <v>EN-002088157</v>
      </c>
    </row>
    <row r="2549" spans="1:15" ht="16" x14ac:dyDescent="0.2">
      <c r="A2549" s="19"/>
      <c r="B2549" s="19"/>
      <c r="C2549" s="19"/>
      <c r="D2549" s="19"/>
      <c r="E2549" s="19"/>
      <c r="F2549" s="19"/>
      <c r="G2549" s="19"/>
      <c r="H2549" s="19"/>
      <c r="I2549" s="19"/>
      <c r="J2549" s="19"/>
      <c r="K2549" s="19"/>
      <c r="L2549" s="19"/>
      <c r="M2549" s="19"/>
      <c r="N2549" s="19"/>
      <c r="O2549" s="14" t="str">
        <f>HYPERLINK("https://otsuka-europe-crm.veevavault.com/ui/#object/email_activity__v/V8C00000003N170", "EN-002088214")</f>
        <v>EN-002088214</v>
      </c>
    </row>
    <row r="2550" spans="1:15" ht="16" x14ac:dyDescent="0.2">
      <c r="A2550" s="17" t="str">
        <f>HYPERLINK("https://otsuka-europe-crm.veevavault.com/ui/#object/account__v/V4TZ025E82V25MQ", "MARIA TERESA ESTEVE ALGORA")</f>
        <v>MARIA TERESA ESTEVE ALGORA</v>
      </c>
      <c r="B2550" s="17" t="str">
        <f>HYPERLINK("https://otsuka-europe-crm.veevavault.com/ui/#object/vcountry__v/VENZ000004SONF5", "ES")</f>
        <v>ES</v>
      </c>
      <c r="C2550" s="20" t="s">
        <v>41</v>
      </c>
      <c r="D2550" s="21" t="str">
        <f>HYPERLINK("https://otsuka-europe-crm.veevavault.com/ui/#object/approved_document__v/V5O00000001A037", "LUP - VAE Póster Adelphi - Nefro")</f>
        <v>LUP - VAE Póster Adelphi - Nefro</v>
      </c>
      <c r="E2550" s="22" t="str">
        <f>HYPERLINK("https://otsuka-europe-crm.veevavault.com/ui/#object/sent_email__v/VBL00000002N746", "SE-001431964")</f>
        <v>SE-001431964</v>
      </c>
      <c r="F2550" s="25"/>
      <c r="G2550" s="24">
        <v>0</v>
      </c>
      <c r="H2550" s="24">
        <v>0</v>
      </c>
      <c r="I2550" s="24">
        <v>0</v>
      </c>
      <c r="J2550" s="25"/>
      <c r="K2550" s="24">
        <v>0</v>
      </c>
      <c r="L2550" s="22" t="str">
        <f>HYPERLINK("https://otsuka-europe-crm.veevavault.com/ui/#object/approved_document__v/V5O00000001A037", "LUP - VAE Póster Adelphi - Nefro")</f>
        <v>LUP - VAE Póster Adelphi - Nefro</v>
      </c>
      <c r="M2550" s="22" t="str">
        <f>HYPERLINK("mailto:ccoll@crm.otsuka-europe.com", "ccoll@crm.otsuka-europe.com")</f>
        <v>ccoll@crm.otsuka-europe.com</v>
      </c>
      <c r="N2550" s="23">
        <v>46175.779178240744</v>
      </c>
      <c r="O2550" s="14" t="str">
        <f>HYPERLINK("https://otsuka-europe-crm.veevavault.com/ui/#object/email_activity__v/V8C00000003N081", "EN-002088125")</f>
        <v>EN-002088125</v>
      </c>
    </row>
    <row r="2551" spans="1:15" ht="16" x14ac:dyDescent="0.2">
      <c r="A2551" s="19"/>
      <c r="B2551" s="19"/>
      <c r="C2551" s="19"/>
      <c r="D2551" s="19"/>
      <c r="E2551" s="19"/>
      <c r="F2551" s="19"/>
      <c r="G2551" s="19"/>
      <c r="H2551" s="19"/>
      <c r="I2551" s="19"/>
      <c r="J2551" s="19"/>
      <c r="K2551" s="19"/>
      <c r="L2551" s="19"/>
      <c r="M2551" s="19"/>
      <c r="N2551" s="19"/>
      <c r="O2551" s="14" t="str">
        <f>HYPERLINK("https://otsuka-europe-crm.veevavault.com/ui/#object/email_activity__v/V8C00000003N274", "EN-002088397")</f>
        <v>EN-002088397</v>
      </c>
    </row>
    <row r="2552" spans="1:15" ht="32" x14ac:dyDescent="0.2">
      <c r="A2552" s="7" t="str">
        <f>HYPERLINK("https://otsuka-europe-crm.veevavault.com/ui/#object/account__v/V4TZ04ASGCI47I7", "ROCIO VIDAL MORILLO-VELARDE")</f>
        <v>ROCIO VIDAL MORILLO-VELARDE</v>
      </c>
      <c r="B2552" s="7" t="str">
        <f>HYPERLINK("https://otsuka-europe-crm.veevavault.com/ui/#object/vcountry__v/VENZ000004SONF5", "ES")</f>
        <v>ES</v>
      </c>
      <c r="C2552" s="8" t="s">
        <v>41</v>
      </c>
      <c r="D2552" s="9" t="str">
        <f>HYPERLINK("https://otsuka-europe-crm.veevavault.com/ui/#object/approved_document__v/V5O00000001A037", "LUP - VAE Póster Adelphi - Nefro")</f>
        <v>LUP - VAE Póster Adelphi - Nefro</v>
      </c>
      <c r="E2552" s="10" t="str">
        <f>HYPERLINK("https://otsuka-europe-crm.veevavault.com/ui/#object/sent_email__v/VBL00000002N747", "SE-001431965")</f>
        <v>SE-001431965</v>
      </c>
      <c r="F2552" s="11"/>
      <c r="G2552" s="12">
        <v>0</v>
      </c>
      <c r="H2552" s="12">
        <v>0</v>
      </c>
      <c r="I2552" s="12">
        <v>0</v>
      </c>
      <c r="J2552" s="11"/>
      <c r="K2552" s="12">
        <v>0</v>
      </c>
      <c r="L2552" s="10" t="str">
        <f>HYPERLINK("https://otsuka-europe-crm.veevavault.com/ui/#object/approved_document__v/V5O00000001A037", "LUP - VAE Póster Adelphi - Nefro")</f>
        <v>LUP - VAE Póster Adelphi - Nefro</v>
      </c>
      <c r="M2552" s="10" t="str">
        <f>HYPERLINK("mailto:ccoll@crm.otsuka-europe.com", "ccoll@crm.otsuka-europe.com")</f>
        <v>ccoll@crm.otsuka-europe.com</v>
      </c>
      <c r="N2552" s="13">
        <v>46175.77915509259</v>
      </c>
      <c r="O2552" s="14" t="str">
        <f>HYPERLINK("https://otsuka-europe-crm.veevavault.com/ui/#object/email_activity__v/V8C00000003N118", "EN-002088162")</f>
        <v>EN-002088162</v>
      </c>
    </row>
    <row r="2553" spans="1:15" ht="32" x14ac:dyDescent="0.2">
      <c r="A2553" s="7" t="str">
        <f>HYPERLINK("https://otsuka-europe-crm.veevavault.com/ui/#object/account__v/V4TZ06G6O71TBT4", "JOSE RAMON PONS PRADES")</f>
        <v>JOSE RAMON PONS PRADES</v>
      </c>
      <c r="B2553" s="7" t="str">
        <f>HYPERLINK("https://otsuka-europe-crm.veevavault.com/ui/#object/vcountry__v/VENZ000004SONF5", "ES")</f>
        <v>ES</v>
      </c>
      <c r="C2553" s="8" t="s">
        <v>41</v>
      </c>
      <c r="D2553" s="9" t="str">
        <f>HYPERLINK("https://otsuka-europe-crm.veevavault.com/ui/#object/approved_document__v/V5O00000001A037", "LUP - VAE Póster Adelphi - Nefro")</f>
        <v>LUP - VAE Póster Adelphi - Nefro</v>
      </c>
      <c r="E2553" s="10" t="str">
        <f>HYPERLINK("https://otsuka-europe-crm.veevavault.com/ui/#object/sent_email__v/VBL00000002N748", "SE-001431966")</f>
        <v>SE-001431966</v>
      </c>
      <c r="F2553" s="11"/>
      <c r="G2553" s="12">
        <v>0</v>
      </c>
      <c r="H2553" s="12">
        <v>0</v>
      </c>
      <c r="I2553" s="12">
        <v>0</v>
      </c>
      <c r="J2553" s="11"/>
      <c r="K2553" s="12">
        <v>0</v>
      </c>
      <c r="L2553" s="10" t="str">
        <f>HYPERLINK("https://otsuka-europe-crm.veevavault.com/ui/#object/approved_document__v/V5O00000001A037", "LUP - VAE Póster Adelphi - Nefro")</f>
        <v>LUP - VAE Póster Adelphi - Nefro</v>
      </c>
      <c r="M2553" s="10" t="str">
        <f>HYPERLINK("mailto:ccoll@crm.otsuka-europe.com", "ccoll@crm.otsuka-europe.com")</f>
        <v>ccoll@crm.otsuka-europe.com</v>
      </c>
      <c r="N2553" s="13">
        <v>46175.77915509259</v>
      </c>
      <c r="O2553" s="14" t="str">
        <f>HYPERLINK("https://otsuka-europe-crm.veevavault.com/ui/#object/email_activity__v/V8C00000003N051", "EN-002088095")</f>
        <v>EN-002088095</v>
      </c>
    </row>
    <row r="2554" spans="1:15" ht="32" x14ac:dyDescent="0.2">
      <c r="A2554" s="7" t="str">
        <f>HYPERLINK("https://otsuka-europe-crm.veevavault.com/ui/#object/account__v/V4TZ025E87FZH06", "ANA CRISTINA TUGORES VAZQUEZ")</f>
        <v>ANA CRISTINA TUGORES VAZQUEZ</v>
      </c>
      <c r="B2554" s="7" t="str">
        <f>HYPERLINK("https://otsuka-europe-crm.veevavault.com/ui/#object/vcountry__v/VENZ000004SONF5", "ES")</f>
        <v>ES</v>
      </c>
      <c r="C2554" s="8" t="s">
        <v>41</v>
      </c>
      <c r="D2554" s="9" t="str">
        <f>HYPERLINK("https://otsuka-europe-crm.veevavault.com/ui/#object/approved_document__v/V5O00000001A037", "LUP - VAE Póster Adelphi - Nefro")</f>
        <v>LUP - VAE Póster Adelphi - Nefro</v>
      </c>
      <c r="E2554" s="10" t="str">
        <f>HYPERLINK("https://otsuka-europe-crm.veevavault.com/ui/#object/sent_email__v/VBL00000002N749", "SE-001431967")</f>
        <v>SE-001431967</v>
      </c>
      <c r="F2554" s="11"/>
      <c r="G2554" s="12">
        <v>0</v>
      </c>
      <c r="H2554" s="12">
        <v>0</v>
      </c>
      <c r="I2554" s="12">
        <v>0</v>
      </c>
      <c r="J2554" s="11"/>
      <c r="K2554" s="12">
        <v>0</v>
      </c>
      <c r="L2554" s="10" t="str">
        <f>HYPERLINK("https://otsuka-europe-crm.veevavault.com/ui/#object/approved_document__v/V5O00000001A037", "LUP - VAE Póster Adelphi - Nefro")</f>
        <v>LUP - VAE Póster Adelphi - Nefro</v>
      </c>
      <c r="M2554" s="10" t="str">
        <f>HYPERLINK("mailto:ccoll@crm.otsuka-europe.com", "ccoll@crm.otsuka-europe.com")</f>
        <v>ccoll@crm.otsuka-europe.com</v>
      </c>
      <c r="N2554" s="13">
        <v>46175.77915509259</v>
      </c>
      <c r="O2554" s="14" t="str">
        <f>HYPERLINK("https://otsuka-europe-crm.veevavault.com/ui/#object/email_activity__v/V8C00000003N060", "EN-002088104")</f>
        <v>EN-002088104</v>
      </c>
    </row>
    <row r="2555" spans="1:15" ht="16" x14ac:dyDescent="0.2">
      <c r="A2555" s="17" t="str">
        <f>HYPERLINK("https://otsuka-europe-crm.veevavault.com/ui/#object/account__v/V4TZ025E82SCT5H", "JUAN PABLO MORET CHIAPPE")</f>
        <v>JUAN PABLO MORET CHIAPPE</v>
      </c>
      <c r="B2555" s="17" t="str">
        <f>HYPERLINK("https://otsuka-europe-crm.veevavault.com/ui/#object/vcountry__v/VENZ000004SONF5", "ES")</f>
        <v>ES</v>
      </c>
      <c r="C2555" s="20" t="s">
        <v>41</v>
      </c>
      <c r="D2555" s="21" t="str">
        <f>HYPERLINK("https://otsuka-europe-crm.veevavault.com/ui/#object/approved_document__v/V5O00000001A037", "LUP - VAE Póster Adelphi - Nefro")</f>
        <v>LUP - VAE Póster Adelphi - Nefro</v>
      </c>
      <c r="E2555" s="22" t="str">
        <f>HYPERLINK("https://otsuka-europe-crm.veevavault.com/ui/#object/sent_email__v/VBL00000002N750", "SE-001431968")</f>
        <v>SE-001431968</v>
      </c>
      <c r="F2555" s="23">
        <v>46175.779803240737</v>
      </c>
      <c r="G2555" s="24">
        <v>1</v>
      </c>
      <c r="H2555" s="24">
        <v>2</v>
      </c>
      <c r="I2555" s="24">
        <v>1</v>
      </c>
      <c r="J2555" s="23">
        <v>46177.683981481481</v>
      </c>
      <c r="K2555" s="24">
        <v>2</v>
      </c>
      <c r="L2555" s="22" t="str">
        <f>HYPERLINK("https://otsuka-europe-crm.veevavault.com/ui/#object/approved_document__v/V5O00000001A037", "LUP - VAE Póster Adelphi - Nefro")</f>
        <v>LUP - VAE Póster Adelphi - Nefro</v>
      </c>
      <c r="M2555" s="22" t="str">
        <f>HYPERLINK("mailto:ccoll@crm.otsuka-europe.com", "ccoll@crm.otsuka-europe.com")</f>
        <v>ccoll@crm.otsuka-europe.com</v>
      </c>
      <c r="N2555" s="23">
        <v>46175.77915509259</v>
      </c>
      <c r="O2555" s="14" t="str">
        <f>HYPERLINK("https://otsuka-europe-crm.veevavault.com/ui/#object/email_activity__v/V8C00000003N138", "EN-002088182")</f>
        <v>EN-002088182</v>
      </c>
    </row>
    <row r="2556" spans="1:15" ht="16" x14ac:dyDescent="0.2">
      <c r="A2556" s="18"/>
      <c r="B2556" s="18"/>
      <c r="C2556" s="18"/>
      <c r="D2556" s="18"/>
      <c r="E2556" s="18"/>
      <c r="F2556" s="18"/>
      <c r="G2556" s="18"/>
      <c r="H2556" s="18"/>
      <c r="I2556" s="18"/>
      <c r="J2556" s="18"/>
      <c r="K2556" s="18"/>
      <c r="L2556" s="18"/>
      <c r="M2556" s="18"/>
      <c r="N2556" s="18"/>
      <c r="O2556" s="14" t="str">
        <f>HYPERLINK("https://otsuka-europe-crm.veevavault.com/ui/#object/email_activity__v/V8C00000003N149", "EN-002088193")</f>
        <v>EN-002088193</v>
      </c>
    </row>
    <row r="2557" spans="1:15" ht="16" x14ac:dyDescent="0.2">
      <c r="A2557" s="18"/>
      <c r="B2557" s="18"/>
      <c r="C2557" s="18"/>
      <c r="D2557" s="18"/>
      <c r="E2557" s="18"/>
      <c r="F2557" s="18"/>
      <c r="G2557" s="18"/>
      <c r="H2557" s="18"/>
      <c r="I2557" s="18"/>
      <c r="J2557" s="18"/>
      <c r="K2557" s="18"/>
      <c r="L2557" s="18"/>
      <c r="M2557" s="18"/>
      <c r="N2557" s="18"/>
      <c r="O2557" s="14" t="str">
        <f>HYPERLINK("https://otsuka-europe-crm.veevavault.com/ui/#object/email_activity__v/V8C00000003N230", "EN-002088274")</f>
        <v>EN-002088274</v>
      </c>
    </row>
    <row r="2558" spans="1:15" ht="16" x14ac:dyDescent="0.2">
      <c r="A2558" s="18"/>
      <c r="B2558" s="18"/>
      <c r="C2558" s="18"/>
      <c r="D2558" s="18"/>
      <c r="E2558" s="18"/>
      <c r="F2558" s="18"/>
      <c r="G2558" s="18"/>
      <c r="H2558" s="18"/>
      <c r="I2558" s="18"/>
      <c r="J2558" s="18"/>
      <c r="K2558" s="18"/>
      <c r="L2558" s="18"/>
      <c r="M2558" s="18"/>
      <c r="N2558" s="18"/>
      <c r="O2558" s="14" t="str">
        <f>HYPERLINK("https://otsuka-europe-crm.veevavault.com/ui/#object/email_activity__v/V8C00000003N231", "EN-002088275")</f>
        <v>EN-002088275</v>
      </c>
    </row>
    <row r="2559" spans="1:15" ht="16" x14ac:dyDescent="0.2">
      <c r="A2559" s="19"/>
      <c r="B2559" s="19"/>
      <c r="C2559" s="19"/>
      <c r="D2559" s="19"/>
      <c r="E2559" s="19"/>
      <c r="F2559" s="19"/>
      <c r="G2559" s="19"/>
      <c r="H2559" s="19"/>
      <c r="I2559" s="19"/>
      <c r="J2559" s="19"/>
      <c r="K2559" s="19"/>
      <c r="L2559" s="19"/>
      <c r="M2559" s="19"/>
      <c r="N2559" s="19"/>
      <c r="O2559" s="14" t="str">
        <f>HYPERLINK("https://otsuka-europe-crm.veevavault.com/ui/#object/email_activity__v/V8C00000003N691", "EN-002089175")</f>
        <v>EN-002089175</v>
      </c>
    </row>
    <row r="2560" spans="1:15" ht="16" x14ac:dyDescent="0.2">
      <c r="A2560" s="17" t="str">
        <f>HYPERLINK("https://otsuka-europe-crm.veevavault.com/ui/#object/account__v/V4TZ025E82A5S7N", "ARIADNA GONZALEZ GARCIA")</f>
        <v>ARIADNA GONZALEZ GARCIA</v>
      </c>
      <c r="B2560" s="17" t="str">
        <f>HYPERLINK("https://otsuka-europe-crm.veevavault.com/ui/#object/vcountry__v/VENZ000004SONF5", "ES")</f>
        <v>ES</v>
      </c>
      <c r="C2560" s="20" t="s">
        <v>41</v>
      </c>
      <c r="D2560" s="21" t="str">
        <f>HYPERLINK("https://otsuka-europe-crm.veevavault.com/ui/#object/approved_document__v/V5O00000001A037", "LUP - VAE Póster Adelphi - Nefro")</f>
        <v>LUP - VAE Póster Adelphi - Nefro</v>
      </c>
      <c r="E2560" s="22" t="str">
        <f>HYPERLINK("https://otsuka-europe-crm.veevavault.com/ui/#object/sent_email__v/VBL00000002N751", "SE-001431969")</f>
        <v>SE-001431969</v>
      </c>
      <c r="F2560" s="25"/>
      <c r="G2560" s="24">
        <v>0</v>
      </c>
      <c r="H2560" s="24">
        <v>0</v>
      </c>
      <c r="I2560" s="24">
        <v>0</v>
      </c>
      <c r="J2560" s="25"/>
      <c r="K2560" s="24">
        <v>0</v>
      </c>
      <c r="L2560" s="22" t="str">
        <f>HYPERLINK("https://otsuka-europe-crm.veevavault.com/ui/#object/approved_document__v/V5O00000001A037", "LUP - VAE Póster Adelphi - Nefro")</f>
        <v>LUP - VAE Póster Adelphi - Nefro</v>
      </c>
      <c r="M2560" s="22" t="str">
        <f>HYPERLINK("mailto:ccoll@crm.otsuka-europe.com", "ccoll@crm.otsuka-europe.com")</f>
        <v>ccoll@crm.otsuka-europe.com</v>
      </c>
      <c r="N2560" s="23">
        <v>46175.77915509259</v>
      </c>
      <c r="O2560" s="14" t="str">
        <f>HYPERLINK("https://otsuka-europe-crm.veevavault.com/ui/#object/email_activity__v/V8C00000003N122", "EN-002088166")</f>
        <v>EN-002088166</v>
      </c>
    </row>
    <row r="2561" spans="1:15" ht="16" x14ac:dyDescent="0.2">
      <c r="A2561" s="19"/>
      <c r="B2561" s="19"/>
      <c r="C2561" s="19"/>
      <c r="D2561" s="19"/>
      <c r="E2561" s="19"/>
      <c r="F2561" s="19"/>
      <c r="G2561" s="19"/>
      <c r="H2561" s="19"/>
      <c r="I2561" s="19"/>
      <c r="J2561" s="19"/>
      <c r="K2561" s="19"/>
      <c r="L2561" s="19"/>
      <c r="M2561" s="19"/>
      <c r="N2561" s="19"/>
      <c r="O2561" s="14" t="str">
        <f>HYPERLINK("https://otsuka-europe-crm.veevavault.com/ui/#object/email_activity__v/V8C00000003U946", "EN-002096878")</f>
        <v>EN-002096878</v>
      </c>
    </row>
    <row r="2562" spans="1:15" ht="32" x14ac:dyDescent="0.2">
      <c r="A2562" s="7" t="str">
        <f>HYPERLINK("https://otsuka-europe-crm.veevavault.com/ui/#object/account__v/V4TZ025E88TP0RK", "ESTELA MAS RODENAS")</f>
        <v>ESTELA MAS RODENAS</v>
      </c>
      <c r="B2562" s="7" t="str">
        <f>HYPERLINK("https://otsuka-europe-crm.veevavault.com/ui/#object/vcountry__v/VENZ000004SONF5", "ES")</f>
        <v>ES</v>
      </c>
      <c r="C2562" s="8" t="s">
        <v>41</v>
      </c>
      <c r="D2562" s="9" t="str">
        <f>HYPERLINK("https://otsuka-europe-crm.veevavault.com/ui/#object/approved_document__v/V5O00000001A037", "LUP - VAE Póster Adelphi - Nefro")</f>
        <v>LUP - VAE Póster Adelphi - Nefro</v>
      </c>
      <c r="E2562" s="10" t="str">
        <f>HYPERLINK("https://otsuka-europe-crm.veevavault.com/ui/#object/sent_email__v/VBL00000002N752", "SE-001431970")</f>
        <v>SE-001431970</v>
      </c>
      <c r="F2562" s="11"/>
      <c r="G2562" s="12">
        <v>0</v>
      </c>
      <c r="H2562" s="12">
        <v>0</v>
      </c>
      <c r="I2562" s="12">
        <v>0</v>
      </c>
      <c r="J2562" s="11"/>
      <c r="K2562" s="12">
        <v>0</v>
      </c>
      <c r="L2562" s="10" t="str">
        <f>HYPERLINK("https://otsuka-europe-crm.veevavault.com/ui/#object/approved_document__v/V5O00000001A037", "LUP - VAE Póster Adelphi - Nefro")</f>
        <v>LUP - VAE Póster Adelphi - Nefro</v>
      </c>
      <c r="M2562" s="10" t="str">
        <f>HYPERLINK("mailto:ccoll@crm.otsuka-europe.com", "ccoll@crm.otsuka-europe.com")</f>
        <v>ccoll@crm.otsuka-europe.com</v>
      </c>
      <c r="N2562" s="13">
        <v>46175.77915509259</v>
      </c>
      <c r="O2562" s="14" t="str">
        <f>HYPERLINK("https://otsuka-europe-crm.veevavault.com/ui/#object/email_activity__v/V8C00000003N052", "EN-002088096")</f>
        <v>EN-002088096</v>
      </c>
    </row>
    <row r="2563" spans="1:15" ht="32" x14ac:dyDescent="0.2">
      <c r="A2563" s="7" t="str">
        <f>HYPERLINK("https://otsuka-europe-crm.veevavault.com/ui/#object/account__v/V4TZ06G6O71T9NR", "MARIA TERESA COMPTE JOVE")</f>
        <v>MARIA TERESA COMPTE JOVE</v>
      </c>
      <c r="B2563" s="7" t="str">
        <f>HYPERLINK("https://otsuka-europe-crm.veevavault.com/ui/#object/vcountry__v/VENZ000004SONF5", "ES")</f>
        <v>ES</v>
      </c>
      <c r="C2563" s="8" t="s">
        <v>41</v>
      </c>
      <c r="D2563" s="9" t="str">
        <f>HYPERLINK("https://otsuka-europe-crm.veevavault.com/ui/#object/approved_document__v/V5O00000001A037", "LUP - VAE Póster Adelphi - Nefro")</f>
        <v>LUP - VAE Póster Adelphi - Nefro</v>
      </c>
      <c r="E2563" s="10" t="str">
        <f>HYPERLINK("https://otsuka-europe-crm.veevavault.com/ui/#object/sent_email__v/VBL00000002N753", "SE-001431971")</f>
        <v>SE-001431971</v>
      </c>
      <c r="F2563" s="11"/>
      <c r="G2563" s="12">
        <v>0</v>
      </c>
      <c r="H2563" s="12">
        <v>0</v>
      </c>
      <c r="I2563" s="12">
        <v>0</v>
      </c>
      <c r="J2563" s="11"/>
      <c r="K2563" s="12">
        <v>0</v>
      </c>
      <c r="L2563" s="10" t="str">
        <f>HYPERLINK("https://otsuka-europe-crm.veevavault.com/ui/#object/approved_document__v/V5O00000001A037", "LUP - VAE Póster Adelphi - Nefro")</f>
        <v>LUP - VAE Póster Adelphi - Nefro</v>
      </c>
      <c r="M2563" s="10" t="str">
        <f>HYPERLINK("mailto:ccoll@crm.otsuka-europe.com", "ccoll@crm.otsuka-europe.com")</f>
        <v>ccoll@crm.otsuka-europe.com</v>
      </c>
      <c r="N2563" s="13">
        <v>46175.77915509259</v>
      </c>
      <c r="O2563" s="14" t="str">
        <f>HYPERLINK("https://otsuka-europe-crm.veevavault.com/ui/#object/email_activity__v/V8C00000003N146", "EN-002088190")</f>
        <v>EN-002088190</v>
      </c>
    </row>
    <row r="2564" spans="1:15" ht="16" x14ac:dyDescent="0.2">
      <c r="A2564" s="17" t="str">
        <f>HYPERLINK("https://otsuka-europe-crm.veevavault.com/ui/#object/account__v/V4TZ025E86WTUOM", "GRECIA MARIA CARMEN MONROY CONDORI")</f>
        <v>GRECIA MARIA CARMEN MONROY CONDORI</v>
      </c>
      <c r="B2564" s="17" t="str">
        <f>HYPERLINK("https://otsuka-europe-crm.veevavault.com/ui/#object/vcountry__v/VENZ000004SONF5", "ES")</f>
        <v>ES</v>
      </c>
      <c r="C2564" s="20" t="s">
        <v>41</v>
      </c>
      <c r="D2564" s="21" t="str">
        <f>HYPERLINK("https://otsuka-europe-crm.veevavault.com/ui/#object/approved_document__v/V5O00000001A037", "LUP - VAE Póster Adelphi - Nefro")</f>
        <v>LUP - VAE Póster Adelphi - Nefro</v>
      </c>
      <c r="E2564" s="22" t="str">
        <f>HYPERLINK("https://otsuka-europe-crm.veevavault.com/ui/#object/sent_email__v/VBL00000002N754", "SE-001431972")</f>
        <v>SE-001431972</v>
      </c>
      <c r="F2564" s="23">
        <v>46175.843784722223</v>
      </c>
      <c r="G2564" s="24">
        <v>1</v>
      </c>
      <c r="H2564" s="24">
        <v>2</v>
      </c>
      <c r="I2564" s="24">
        <v>0</v>
      </c>
      <c r="J2564" s="25"/>
      <c r="K2564" s="24">
        <v>0</v>
      </c>
      <c r="L2564" s="22" t="str">
        <f>HYPERLINK("https://otsuka-europe-crm.veevavault.com/ui/#object/approved_document__v/V5O00000001A037", "LUP - VAE Póster Adelphi - Nefro")</f>
        <v>LUP - VAE Póster Adelphi - Nefro</v>
      </c>
      <c r="M2564" s="22" t="str">
        <f>HYPERLINK("mailto:ccoll@crm.otsuka-europe.com", "ccoll@crm.otsuka-europe.com")</f>
        <v>ccoll@crm.otsuka-europe.com</v>
      </c>
      <c r="N2564" s="23">
        <v>46175.77915509259</v>
      </c>
      <c r="O2564" s="14" t="str">
        <f>HYPERLINK("https://otsuka-europe-crm.veevavault.com/ui/#object/email_activity__v/V8C00000003M210", "EN-002088392")</f>
        <v>EN-002088392</v>
      </c>
    </row>
    <row r="2565" spans="1:15" ht="16" x14ac:dyDescent="0.2">
      <c r="A2565" s="18"/>
      <c r="B2565" s="18"/>
      <c r="C2565" s="18"/>
      <c r="D2565" s="18"/>
      <c r="E2565" s="18"/>
      <c r="F2565" s="18"/>
      <c r="G2565" s="18"/>
      <c r="H2565" s="18"/>
      <c r="I2565" s="18"/>
      <c r="J2565" s="18"/>
      <c r="K2565" s="18"/>
      <c r="L2565" s="18"/>
      <c r="M2565" s="18"/>
      <c r="N2565" s="18"/>
      <c r="O2565" s="14" t="str">
        <f>HYPERLINK("https://otsuka-europe-crm.veevavault.com/ui/#object/email_activity__v/V8C00000003M214", "EN-002088396")</f>
        <v>EN-002088396</v>
      </c>
    </row>
    <row r="2566" spans="1:15" ht="16" x14ac:dyDescent="0.2">
      <c r="A2566" s="19"/>
      <c r="B2566" s="19"/>
      <c r="C2566" s="19"/>
      <c r="D2566" s="19"/>
      <c r="E2566" s="19"/>
      <c r="F2566" s="19"/>
      <c r="G2566" s="19"/>
      <c r="H2566" s="19"/>
      <c r="I2566" s="19"/>
      <c r="J2566" s="19"/>
      <c r="K2566" s="19"/>
      <c r="L2566" s="19"/>
      <c r="M2566" s="19"/>
      <c r="N2566" s="19"/>
      <c r="O2566" s="14" t="str">
        <f>HYPERLINK("https://otsuka-europe-crm.veevavault.com/ui/#object/email_activity__v/V8C00000003N054", "EN-002088098")</f>
        <v>EN-002088098</v>
      </c>
    </row>
    <row r="2567" spans="1:15" ht="32" x14ac:dyDescent="0.2">
      <c r="A2567" s="7" t="str">
        <f>HYPERLINK("https://otsuka-europe-crm.veevavault.com/ui/#object/account__v/V4TZ025E82C89DT", "MARIA CASANOVA APARICIO")</f>
        <v>MARIA CASANOVA APARICIO</v>
      </c>
      <c r="B2567" s="7" t="str">
        <f>HYPERLINK("https://otsuka-europe-crm.veevavault.com/ui/#object/vcountry__v/VENZ000004SONF5", "ES")</f>
        <v>ES</v>
      </c>
      <c r="C2567" s="8" t="s">
        <v>41</v>
      </c>
      <c r="D2567" s="9" t="str">
        <f>HYPERLINK("https://otsuka-europe-crm.veevavault.com/ui/#object/approved_document__v/V5O00000001A037", "LUP - VAE Póster Adelphi - Nefro")</f>
        <v>LUP - VAE Póster Adelphi - Nefro</v>
      </c>
      <c r="E2567" s="10" t="str">
        <f>HYPERLINK("https://otsuka-europe-crm.veevavault.com/ui/#object/sent_email__v/VBL00000002N755", "SE-001431973")</f>
        <v>SE-001431973</v>
      </c>
      <c r="F2567" s="11"/>
      <c r="G2567" s="12">
        <v>0</v>
      </c>
      <c r="H2567" s="12">
        <v>0</v>
      </c>
      <c r="I2567" s="12">
        <v>0</v>
      </c>
      <c r="J2567" s="11"/>
      <c r="K2567" s="12">
        <v>0</v>
      </c>
      <c r="L2567" s="10" t="str">
        <f>HYPERLINK("https://otsuka-europe-crm.veevavault.com/ui/#object/approved_document__v/V5O00000001A037", "LUP - VAE Póster Adelphi - Nefro")</f>
        <v>LUP - VAE Póster Adelphi - Nefro</v>
      </c>
      <c r="M2567" s="10" t="str">
        <f>HYPERLINK("mailto:ccoll@crm.otsuka-europe.com", "ccoll@crm.otsuka-europe.com")</f>
        <v>ccoll@crm.otsuka-europe.com</v>
      </c>
      <c r="N2567" s="13">
        <v>46175.779189814813</v>
      </c>
      <c r="O2567" s="14" t="str">
        <f>HYPERLINK("https://otsuka-europe-crm.veevavault.com/ui/#object/email_activity__v/V8C00000003N104", "EN-002088148")</f>
        <v>EN-002088148</v>
      </c>
    </row>
    <row r="2568" spans="1:15" ht="32" x14ac:dyDescent="0.2">
      <c r="A2568" s="7" t="str">
        <f>HYPERLINK("https://otsuka-europe-crm.veevavault.com/ui/#object/account__v/V4TZ06G6O71TC39", "ASUNCION RIUS PERIS")</f>
        <v>ASUNCION RIUS PERIS</v>
      </c>
      <c r="B2568" s="7" t="str">
        <f>HYPERLINK("https://otsuka-europe-crm.veevavault.com/ui/#object/vcountry__v/VENZ000004SONF5", "ES")</f>
        <v>ES</v>
      </c>
      <c r="C2568" s="8" t="s">
        <v>41</v>
      </c>
      <c r="D2568" s="9" t="str">
        <f>HYPERLINK("https://otsuka-europe-crm.veevavault.com/ui/#object/approved_document__v/V5O00000001A037", "LUP - VAE Póster Adelphi - Nefro")</f>
        <v>LUP - VAE Póster Adelphi - Nefro</v>
      </c>
      <c r="E2568" s="10" t="str">
        <f>HYPERLINK("https://otsuka-europe-crm.veevavault.com/ui/#object/sent_email__v/VBL00000002N756", "SE-001431974")</f>
        <v>SE-001431974</v>
      </c>
      <c r="F2568" s="11"/>
      <c r="G2568" s="12">
        <v>0</v>
      </c>
      <c r="H2568" s="12">
        <v>0</v>
      </c>
      <c r="I2568" s="12">
        <v>0</v>
      </c>
      <c r="J2568" s="11"/>
      <c r="K2568" s="12">
        <v>0</v>
      </c>
      <c r="L2568" s="10" t="str">
        <f>HYPERLINK("https://otsuka-europe-crm.veevavault.com/ui/#object/approved_document__v/V5O00000001A037", "LUP - VAE Póster Adelphi - Nefro")</f>
        <v>LUP - VAE Póster Adelphi - Nefro</v>
      </c>
      <c r="M2568" s="10" t="str">
        <f>HYPERLINK("mailto:ccoll@crm.otsuka-europe.com", "ccoll@crm.otsuka-europe.com")</f>
        <v>ccoll@crm.otsuka-europe.com</v>
      </c>
      <c r="N2568" s="13">
        <v>46175.77915509259</v>
      </c>
      <c r="O2568" s="14" t="str">
        <f>HYPERLINK("https://otsuka-europe-crm.veevavault.com/ui/#object/email_activity__v/V8C00000003N120", "EN-002088164")</f>
        <v>EN-002088164</v>
      </c>
    </row>
    <row r="2569" spans="1:15" ht="16" x14ac:dyDescent="0.2">
      <c r="A2569" s="17" t="str">
        <f>HYPERLINK("https://otsuka-europe-crm.veevavault.com/ui/#object/account__v/V4TZ06G6O71TCJ3", "DAVID TURA ROSALES")</f>
        <v>DAVID TURA ROSALES</v>
      </c>
      <c r="B2569" s="17" t="str">
        <f>HYPERLINK("https://otsuka-europe-crm.veevavault.com/ui/#object/vcountry__v/VENZ000004SONF5", "ES")</f>
        <v>ES</v>
      </c>
      <c r="C2569" s="20" t="s">
        <v>41</v>
      </c>
      <c r="D2569" s="21" t="str">
        <f>HYPERLINK("https://otsuka-europe-crm.veevavault.com/ui/#object/approved_document__v/V5O00000001A037", "LUP - VAE Póster Adelphi - Nefro")</f>
        <v>LUP - VAE Póster Adelphi - Nefro</v>
      </c>
      <c r="E2569" s="22" t="str">
        <f>HYPERLINK("https://otsuka-europe-crm.veevavault.com/ui/#object/sent_email__v/VBL00000002N757", "SE-001431975")</f>
        <v>SE-001431975</v>
      </c>
      <c r="F2569" s="23">
        <v>46175.833587962959</v>
      </c>
      <c r="G2569" s="24">
        <v>1</v>
      </c>
      <c r="H2569" s="24">
        <v>1</v>
      </c>
      <c r="I2569" s="24">
        <v>0</v>
      </c>
      <c r="J2569" s="25"/>
      <c r="K2569" s="24">
        <v>0</v>
      </c>
      <c r="L2569" s="22" t="str">
        <f>HYPERLINK("https://otsuka-europe-crm.veevavault.com/ui/#object/approved_document__v/V5O00000001A037", "LUP - VAE Póster Adelphi - Nefro")</f>
        <v>LUP - VAE Póster Adelphi - Nefro</v>
      </c>
      <c r="M2569" s="22" t="str">
        <f>HYPERLINK("mailto:ccoll@crm.otsuka-europe.com", "ccoll@crm.otsuka-europe.com")</f>
        <v>ccoll@crm.otsuka-europe.com</v>
      </c>
      <c r="N2569" s="23">
        <v>46175.77915509259</v>
      </c>
      <c r="O2569" s="14" t="str">
        <f>HYPERLINK("https://otsuka-europe-crm.veevavault.com/ui/#object/email_activity__v/V8C00000003N158", "EN-002088202")</f>
        <v>EN-002088202</v>
      </c>
    </row>
    <row r="2570" spans="1:15" ht="16" x14ac:dyDescent="0.2">
      <c r="A2570" s="19"/>
      <c r="B2570" s="19"/>
      <c r="C2570" s="19"/>
      <c r="D2570" s="19"/>
      <c r="E2570" s="19"/>
      <c r="F2570" s="19"/>
      <c r="G2570" s="19"/>
      <c r="H2570" s="19"/>
      <c r="I2570" s="19"/>
      <c r="J2570" s="19"/>
      <c r="K2570" s="19"/>
      <c r="L2570" s="19"/>
      <c r="M2570" s="19"/>
      <c r="N2570" s="19"/>
      <c r="O2570" s="14" t="str">
        <f>HYPERLINK("https://otsuka-europe-crm.veevavault.com/ui/#object/email_activity__v/V8C00000003N272", "EN-002088370")</f>
        <v>EN-002088370</v>
      </c>
    </row>
    <row r="2571" spans="1:15" ht="32" x14ac:dyDescent="0.2">
      <c r="A2571" s="7" t="str">
        <f>HYPERLINK("https://otsuka-europe-crm.veevavault.com/ui/#object/account__v/V4TZ06G6O71T8HZ", "ASUNCION FERRER NADAL")</f>
        <v>ASUNCION FERRER NADAL</v>
      </c>
      <c r="B2571" s="7" t="str">
        <f>HYPERLINK("https://otsuka-europe-crm.veevavault.com/ui/#object/vcountry__v/VENZ000004SONF5", "ES")</f>
        <v>ES</v>
      </c>
      <c r="C2571" s="8" t="s">
        <v>41</v>
      </c>
      <c r="D2571" s="9" t="str">
        <f>HYPERLINK("https://otsuka-europe-crm.veevavault.com/ui/#object/approved_document__v/V5O00000001A037", "LUP - VAE Póster Adelphi - Nefro")</f>
        <v>LUP - VAE Póster Adelphi - Nefro</v>
      </c>
      <c r="E2571" s="10" t="str">
        <f>HYPERLINK("https://otsuka-europe-crm.veevavault.com/ui/#object/sent_email__v/VBL00000002N758", "SE-001431976")</f>
        <v>SE-001431976</v>
      </c>
      <c r="F2571" s="11"/>
      <c r="G2571" s="12">
        <v>0</v>
      </c>
      <c r="H2571" s="12">
        <v>0</v>
      </c>
      <c r="I2571" s="12">
        <v>0</v>
      </c>
      <c r="J2571" s="11"/>
      <c r="K2571" s="12">
        <v>0</v>
      </c>
      <c r="L2571" s="10" t="str">
        <f>HYPERLINK("https://otsuka-europe-crm.veevavault.com/ui/#object/approved_document__v/V5O00000001A037", "LUP - VAE Póster Adelphi - Nefro")</f>
        <v>LUP - VAE Póster Adelphi - Nefro</v>
      </c>
      <c r="M2571" s="10" t="str">
        <f>HYPERLINK("mailto:ccoll@crm.otsuka-europe.com", "ccoll@crm.otsuka-europe.com")</f>
        <v>ccoll@crm.otsuka-europe.com</v>
      </c>
      <c r="N2571" s="13">
        <v>46175.77915509259</v>
      </c>
      <c r="O2571" s="14" t="str">
        <f>HYPERLINK("https://otsuka-europe-crm.veevavault.com/ui/#object/email_activity__v/V8C00000003N064", "EN-002088108")</f>
        <v>EN-002088108</v>
      </c>
    </row>
    <row r="2572" spans="1:15" ht="32" x14ac:dyDescent="0.2">
      <c r="A2572" s="7" t="str">
        <f>HYPERLINK("https://otsuka-europe-crm.veevavault.com/ui/#object/account__v/V4TZ06G6O71TAUW", "PATRICIA GRACIA LOSADA GONZALEZ")</f>
        <v>PATRICIA GRACIA LOSADA GONZALEZ</v>
      </c>
      <c r="B2572" s="7" t="str">
        <f>HYPERLINK("https://otsuka-europe-crm.veevavault.com/ui/#object/vcountry__v/VENZ000004SONF5", "ES")</f>
        <v>ES</v>
      </c>
      <c r="C2572" s="8" t="s">
        <v>41</v>
      </c>
      <c r="D2572" s="9" t="str">
        <f>HYPERLINK("https://otsuka-europe-crm.veevavault.com/ui/#object/approved_document__v/V5O00000001A037", "LUP - VAE Póster Adelphi - Nefro")</f>
        <v>LUP - VAE Póster Adelphi - Nefro</v>
      </c>
      <c r="E2572" s="10" t="str">
        <f>HYPERLINK("https://otsuka-europe-crm.veevavault.com/ui/#object/sent_email__v/VBL00000002N759", "SE-001431977")</f>
        <v>SE-001431977</v>
      </c>
      <c r="F2572" s="11"/>
      <c r="G2572" s="12">
        <v>0</v>
      </c>
      <c r="H2572" s="12">
        <v>0</v>
      </c>
      <c r="I2572" s="12">
        <v>0</v>
      </c>
      <c r="J2572" s="11"/>
      <c r="K2572" s="12">
        <v>0</v>
      </c>
      <c r="L2572" s="10" t="str">
        <f>HYPERLINK("https://otsuka-europe-crm.veevavault.com/ui/#object/approved_document__v/V5O00000001A037", "LUP - VAE Póster Adelphi - Nefro")</f>
        <v>LUP - VAE Póster Adelphi - Nefro</v>
      </c>
      <c r="M2572" s="10" t="str">
        <f>HYPERLINK("mailto:ccoll@crm.otsuka-europe.com", "ccoll@crm.otsuka-europe.com")</f>
        <v>ccoll@crm.otsuka-europe.com</v>
      </c>
      <c r="N2572" s="13">
        <v>46175.779189814813</v>
      </c>
      <c r="O2572" s="14" t="str">
        <f>HYPERLINK("https://otsuka-europe-crm.veevavault.com/ui/#object/email_activity__v/V8C00000003N098", "EN-002088142")</f>
        <v>EN-002088142</v>
      </c>
    </row>
    <row r="2573" spans="1:15" ht="32" x14ac:dyDescent="0.2">
      <c r="A2573" s="7" t="str">
        <f>HYPERLINK("https://otsuka-europe-crm.veevavault.com/ui/#object/account__v/V4TZ06G6O71TBQ0", "MARIO ALBERTO PAVONE")</f>
        <v>MARIO ALBERTO PAVONE</v>
      </c>
      <c r="B2573" s="7" t="str">
        <f>HYPERLINK("https://otsuka-europe-crm.veevavault.com/ui/#object/vcountry__v/VENZ000004SONF5", "ES")</f>
        <v>ES</v>
      </c>
      <c r="C2573" s="8" t="s">
        <v>41</v>
      </c>
      <c r="D2573" s="9" t="str">
        <f>HYPERLINK("https://otsuka-europe-crm.veevavault.com/ui/#object/approved_document__v/V5O00000001A037", "LUP - VAE Póster Adelphi - Nefro")</f>
        <v>LUP - VAE Póster Adelphi - Nefro</v>
      </c>
      <c r="E2573" s="10" t="str">
        <f>HYPERLINK("https://otsuka-europe-crm.veevavault.com/ui/#object/sent_email__v/VBL00000002N760", "SE-001431978")</f>
        <v>SE-001431978</v>
      </c>
      <c r="F2573" s="11"/>
      <c r="G2573" s="12">
        <v>0</v>
      </c>
      <c r="H2573" s="12">
        <v>0</v>
      </c>
      <c r="I2573" s="12">
        <v>0</v>
      </c>
      <c r="J2573" s="11"/>
      <c r="K2573" s="12">
        <v>0</v>
      </c>
      <c r="L2573" s="10" t="str">
        <f>HYPERLINK("https://otsuka-europe-crm.veevavault.com/ui/#object/approved_document__v/V5O00000001A037", "LUP - VAE Póster Adelphi - Nefro")</f>
        <v>LUP - VAE Póster Adelphi - Nefro</v>
      </c>
      <c r="M2573" s="10" t="str">
        <f>HYPERLINK("mailto:ccoll@crm.otsuka-europe.com", "ccoll@crm.otsuka-europe.com")</f>
        <v>ccoll@crm.otsuka-europe.com</v>
      </c>
      <c r="N2573" s="13">
        <v>46175.77915509259</v>
      </c>
      <c r="O2573" s="14" t="str">
        <f>HYPERLINK("https://otsuka-europe-crm.veevavault.com/ui/#object/email_activity__v/V8C00000003N141", "EN-002088185")</f>
        <v>EN-002088185</v>
      </c>
    </row>
    <row r="2574" spans="1:15" ht="16" x14ac:dyDescent="0.2">
      <c r="A2574" s="17" t="str">
        <f>HYPERLINK("https://otsuka-europe-crm.veevavault.com/ui/#object/account__v/V4TZ025E88QKYNK", "ROGER ALABAU PERICH")</f>
        <v>ROGER ALABAU PERICH</v>
      </c>
      <c r="B2574" s="17" t="str">
        <f>HYPERLINK("https://otsuka-europe-crm.veevavault.com/ui/#object/vcountry__v/VENZ000004SONF5", "ES")</f>
        <v>ES</v>
      </c>
      <c r="C2574" s="20" t="s">
        <v>41</v>
      </c>
      <c r="D2574" s="21" t="str">
        <f>HYPERLINK("https://otsuka-europe-crm.veevavault.com/ui/#object/approved_document__v/V5O00000001A037", "LUP - VAE Póster Adelphi - Nefro")</f>
        <v>LUP - VAE Póster Adelphi - Nefro</v>
      </c>
      <c r="E2574" s="22" t="str">
        <f>HYPERLINK("https://otsuka-europe-crm.veevavault.com/ui/#object/sent_email__v/VBL00000002N761", "SE-001431979")</f>
        <v>SE-001431979</v>
      </c>
      <c r="F2574" s="23">
        <v>46175.780891203707</v>
      </c>
      <c r="G2574" s="24">
        <v>1</v>
      </c>
      <c r="H2574" s="24">
        <v>2</v>
      </c>
      <c r="I2574" s="24">
        <v>0</v>
      </c>
      <c r="J2574" s="25"/>
      <c r="K2574" s="24">
        <v>0</v>
      </c>
      <c r="L2574" s="22" t="str">
        <f>HYPERLINK("https://otsuka-europe-crm.veevavault.com/ui/#object/approved_document__v/V5O00000001A037", "LUP - VAE Póster Adelphi - Nefro")</f>
        <v>LUP - VAE Póster Adelphi - Nefro</v>
      </c>
      <c r="M2574" s="22" t="str">
        <f>HYPERLINK("mailto:ccoll@crm.otsuka-europe.com", "ccoll@crm.otsuka-europe.com")</f>
        <v>ccoll@crm.otsuka-europe.com</v>
      </c>
      <c r="N2574" s="23">
        <v>46175.77915509259</v>
      </c>
      <c r="O2574" s="14" t="str">
        <f>HYPERLINK("https://otsuka-europe-crm.veevavault.com/ui/#object/email_activity__v/V8C00000003M136", "EN-002088280")</f>
        <v>EN-002088280</v>
      </c>
    </row>
    <row r="2575" spans="1:15" ht="16" x14ac:dyDescent="0.2">
      <c r="A2575" s="18"/>
      <c r="B2575" s="18"/>
      <c r="C2575" s="18"/>
      <c r="D2575" s="18"/>
      <c r="E2575" s="18"/>
      <c r="F2575" s="18"/>
      <c r="G2575" s="18"/>
      <c r="H2575" s="18"/>
      <c r="I2575" s="18"/>
      <c r="J2575" s="18"/>
      <c r="K2575" s="18"/>
      <c r="L2575" s="18"/>
      <c r="M2575" s="18"/>
      <c r="N2575" s="18"/>
      <c r="O2575" s="14" t="str">
        <f>HYPERLINK("https://otsuka-europe-crm.veevavault.com/ui/#object/email_activity__v/V8C00000003N066", "EN-002088110")</f>
        <v>EN-002088110</v>
      </c>
    </row>
    <row r="2576" spans="1:15" ht="16" x14ac:dyDescent="0.2">
      <c r="A2576" s="18"/>
      <c r="B2576" s="18"/>
      <c r="C2576" s="18"/>
      <c r="D2576" s="18"/>
      <c r="E2576" s="18"/>
      <c r="F2576" s="18"/>
      <c r="G2576" s="18"/>
      <c r="H2576" s="18"/>
      <c r="I2576" s="18"/>
      <c r="J2576" s="18"/>
      <c r="K2576" s="18"/>
      <c r="L2576" s="18"/>
      <c r="M2576" s="18"/>
      <c r="N2576" s="18"/>
      <c r="O2576" s="14" t="str">
        <f>HYPERLINK("https://otsuka-europe-crm.veevavault.com/ui/#object/email_activity__v/V8C00000003N236", "EN-002088281")</f>
        <v>EN-002088281</v>
      </c>
    </row>
    <row r="2577" spans="1:15" ht="16" x14ac:dyDescent="0.2">
      <c r="A2577" s="19"/>
      <c r="B2577" s="19"/>
      <c r="C2577" s="19"/>
      <c r="D2577" s="19"/>
      <c r="E2577" s="19"/>
      <c r="F2577" s="19"/>
      <c r="G2577" s="19"/>
      <c r="H2577" s="19"/>
      <c r="I2577" s="19"/>
      <c r="J2577" s="19"/>
      <c r="K2577" s="19"/>
      <c r="L2577" s="19"/>
      <c r="M2577" s="19"/>
      <c r="N2577" s="19"/>
      <c r="O2577" s="14" t="str">
        <f>HYPERLINK("https://otsuka-europe-crm.veevavault.com/ui/#object/email_activity__v/V8C00000003P130", "EN-002089500")</f>
        <v>EN-002089500</v>
      </c>
    </row>
    <row r="2578" spans="1:15" ht="32" x14ac:dyDescent="0.2">
      <c r="A2578" s="7" t="str">
        <f>HYPERLINK("https://otsuka-europe-crm.veevavault.com/ui/#object/account__v/V4TZ025E89AZY58", "NESTOR GABRIEL TOAPANTA GAIBOR")</f>
        <v>NESTOR GABRIEL TOAPANTA GAIBOR</v>
      </c>
      <c r="B2578" s="7" t="str">
        <f>HYPERLINK("https://otsuka-europe-crm.veevavault.com/ui/#object/vcountry__v/VENZ000004SONF5", "ES")</f>
        <v>ES</v>
      </c>
      <c r="C2578" s="8" t="s">
        <v>41</v>
      </c>
      <c r="D2578" s="9" t="str">
        <f>HYPERLINK("https://otsuka-europe-crm.veevavault.com/ui/#object/approved_document__v/V5O00000001A037", "LUP - VAE Póster Adelphi - Nefro")</f>
        <v>LUP - VAE Póster Adelphi - Nefro</v>
      </c>
      <c r="E2578" s="10" t="str">
        <f>HYPERLINK("https://otsuka-europe-crm.veevavault.com/ui/#object/sent_email__v/VBL00000002N762", "SE-001431980")</f>
        <v>SE-001431980</v>
      </c>
      <c r="F2578" s="11"/>
      <c r="G2578" s="12">
        <v>0</v>
      </c>
      <c r="H2578" s="12">
        <v>0</v>
      </c>
      <c r="I2578" s="12">
        <v>0</v>
      </c>
      <c r="J2578" s="11"/>
      <c r="K2578" s="12">
        <v>0</v>
      </c>
      <c r="L2578" s="10" t="str">
        <f>HYPERLINK("https://otsuka-europe-crm.veevavault.com/ui/#object/approved_document__v/V5O00000001A037", "LUP - VAE Póster Adelphi - Nefro")</f>
        <v>LUP - VAE Póster Adelphi - Nefro</v>
      </c>
      <c r="M2578" s="10" t="str">
        <f>HYPERLINK("mailto:ccoll@crm.otsuka-europe.com", "ccoll@crm.otsuka-europe.com")</f>
        <v>ccoll@crm.otsuka-europe.com</v>
      </c>
      <c r="N2578" s="13">
        <v>46175.77915509259</v>
      </c>
      <c r="O2578" s="14" t="str">
        <f>HYPERLINK("https://otsuka-europe-crm.veevavault.com/ui/#object/email_activity__v/V8C00000003N157", "EN-002088201")</f>
        <v>EN-002088201</v>
      </c>
    </row>
    <row r="2579" spans="1:15" ht="32" x14ac:dyDescent="0.2">
      <c r="A2579" s="7" t="str">
        <f>HYPERLINK("https://otsuka-europe-crm.veevavault.com/ui/#object/account__v/V4TZ06G6O71TBYV", "NEUS RODRIGUEZ FARRE")</f>
        <v>NEUS RODRIGUEZ FARRE</v>
      </c>
      <c r="B2579" s="7" t="str">
        <f>HYPERLINK("https://otsuka-europe-crm.veevavault.com/ui/#object/vcountry__v/VENZ000004SONF5", "ES")</f>
        <v>ES</v>
      </c>
      <c r="C2579" s="8" t="s">
        <v>41</v>
      </c>
      <c r="D2579" s="9" t="str">
        <f>HYPERLINK("https://otsuka-europe-crm.veevavault.com/ui/#object/approved_document__v/V5O00000001A037", "LUP - VAE Póster Adelphi - Nefro")</f>
        <v>LUP - VAE Póster Adelphi - Nefro</v>
      </c>
      <c r="E2579" s="10" t="str">
        <f>HYPERLINK("https://otsuka-europe-crm.veevavault.com/ui/#object/sent_email__v/VBL00000002N763", "SE-001431981")</f>
        <v>SE-001431981</v>
      </c>
      <c r="F2579" s="11"/>
      <c r="G2579" s="12">
        <v>0</v>
      </c>
      <c r="H2579" s="12">
        <v>0</v>
      </c>
      <c r="I2579" s="12">
        <v>0</v>
      </c>
      <c r="J2579" s="11"/>
      <c r="K2579" s="12">
        <v>0</v>
      </c>
      <c r="L2579" s="10" t="str">
        <f>HYPERLINK("https://otsuka-europe-crm.veevavault.com/ui/#object/approved_document__v/V5O00000001A037", "LUP - VAE Póster Adelphi - Nefro")</f>
        <v>LUP - VAE Póster Adelphi - Nefro</v>
      </c>
      <c r="M2579" s="10" t="str">
        <f>HYPERLINK("mailto:ccoll@crm.otsuka-europe.com", "ccoll@crm.otsuka-europe.com")</f>
        <v>ccoll@crm.otsuka-europe.com</v>
      </c>
      <c r="N2579" s="13">
        <v>46175.779178240744</v>
      </c>
      <c r="O2579" s="14" t="str">
        <f>HYPERLINK("https://otsuka-europe-crm.veevavault.com/ui/#object/email_activity__v/V8C00000003N085", "EN-002088129")</f>
        <v>EN-002088129</v>
      </c>
    </row>
    <row r="2580" spans="1:15" ht="16" x14ac:dyDescent="0.2">
      <c r="A2580" s="17" t="str">
        <f>HYPERLINK("https://otsuka-europe-crm.veevavault.com/ui/#object/account__v/V4TZ025E878VARP", "SERGIO IBAÑEZ SANCHEZ")</f>
        <v>SERGIO IBAÑEZ SANCHEZ</v>
      </c>
      <c r="B2580" s="17" t="str">
        <f>HYPERLINK("https://otsuka-europe-crm.veevavault.com/ui/#object/vcountry__v/VENZ000004SONF5", "ES")</f>
        <v>ES</v>
      </c>
      <c r="C2580" s="20" t="s">
        <v>41</v>
      </c>
      <c r="D2580" s="21" t="str">
        <f>HYPERLINK("https://otsuka-europe-crm.veevavault.com/ui/#object/approved_document__v/V5O00000001A037", "LUP - VAE Póster Adelphi - Nefro")</f>
        <v>LUP - VAE Póster Adelphi - Nefro</v>
      </c>
      <c r="E2580" s="22" t="str">
        <f>HYPERLINK("https://otsuka-europe-crm.veevavault.com/ui/#object/sent_email__v/VBL00000002N764", "SE-001431982")</f>
        <v>SE-001431982</v>
      </c>
      <c r="F2580" s="25"/>
      <c r="G2580" s="24">
        <v>0</v>
      </c>
      <c r="H2580" s="24">
        <v>0</v>
      </c>
      <c r="I2580" s="24">
        <v>0</v>
      </c>
      <c r="J2580" s="25"/>
      <c r="K2580" s="24">
        <v>0</v>
      </c>
      <c r="L2580" s="22" t="str">
        <f>HYPERLINK("https://otsuka-europe-crm.veevavault.com/ui/#object/approved_document__v/V5O00000001A037", "LUP - VAE Póster Adelphi - Nefro")</f>
        <v>LUP - VAE Póster Adelphi - Nefro</v>
      </c>
      <c r="M2580" s="22" t="str">
        <f>HYPERLINK("mailto:ccoll@crm.otsuka-europe.com", "ccoll@crm.otsuka-europe.com")</f>
        <v>ccoll@crm.otsuka-europe.com</v>
      </c>
      <c r="N2580" s="23">
        <v>46175.77915509259</v>
      </c>
      <c r="O2580" s="14" t="str">
        <f>HYPERLINK("https://otsuka-europe-crm.veevavault.com/ui/#object/email_activity__v/V8C00000003M228", "EN-002088422")</f>
        <v>EN-002088422</v>
      </c>
    </row>
    <row r="2581" spans="1:15" ht="16" x14ac:dyDescent="0.2">
      <c r="A2581" s="18"/>
      <c r="B2581" s="18"/>
      <c r="C2581" s="18"/>
      <c r="D2581" s="18"/>
      <c r="E2581" s="18"/>
      <c r="F2581" s="18"/>
      <c r="G2581" s="18"/>
      <c r="H2581" s="18"/>
      <c r="I2581" s="18"/>
      <c r="J2581" s="18"/>
      <c r="K2581" s="18"/>
      <c r="L2581" s="18"/>
      <c r="M2581" s="18"/>
      <c r="N2581" s="18"/>
      <c r="O2581" s="14" t="str">
        <f>HYPERLINK("https://otsuka-europe-crm.veevavault.com/ui/#object/email_activity__v/V8C00000003M237", "EN-002088433")</f>
        <v>EN-002088433</v>
      </c>
    </row>
    <row r="2582" spans="1:15" ht="16" x14ac:dyDescent="0.2">
      <c r="A2582" s="18"/>
      <c r="B2582" s="18"/>
      <c r="C2582" s="18"/>
      <c r="D2582" s="18"/>
      <c r="E2582" s="18"/>
      <c r="F2582" s="18"/>
      <c r="G2582" s="18"/>
      <c r="H2582" s="18"/>
      <c r="I2582" s="18"/>
      <c r="J2582" s="18"/>
      <c r="K2582" s="18"/>
      <c r="L2582" s="18"/>
      <c r="M2582" s="18"/>
      <c r="N2582" s="18"/>
      <c r="O2582" s="14" t="str">
        <f>HYPERLINK("https://otsuka-europe-crm.veevavault.com/ui/#object/email_activity__v/V8C00000003M401", "EN-002088832")</f>
        <v>EN-002088832</v>
      </c>
    </row>
    <row r="2583" spans="1:15" ht="16" x14ac:dyDescent="0.2">
      <c r="A2583" s="19"/>
      <c r="B2583" s="19"/>
      <c r="C2583" s="19"/>
      <c r="D2583" s="19"/>
      <c r="E2583" s="19"/>
      <c r="F2583" s="19"/>
      <c r="G2583" s="19"/>
      <c r="H2583" s="19"/>
      <c r="I2583" s="19"/>
      <c r="J2583" s="19"/>
      <c r="K2583" s="19"/>
      <c r="L2583" s="19"/>
      <c r="M2583" s="19"/>
      <c r="N2583" s="19"/>
      <c r="O2583" s="14" t="str">
        <f>HYPERLINK("https://otsuka-europe-crm.veevavault.com/ui/#object/email_activity__v/V8C00000003N063", "EN-002088107")</f>
        <v>EN-002088107</v>
      </c>
    </row>
    <row r="2584" spans="1:15" ht="32" x14ac:dyDescent="0.2">
      <c r="A2584" s="7" t="str">
        <f>HYPERLINK("https://otsuka-europe-crm.veevavault.com/ui/#object/account__v/V4TZ06G6O71T8OY", "IRENE AGRAZ PAMPLONA")</f>
        <v>IRENE AGRAZ PAMPLONA</v>
      </c>
      <c r="B2584" s="7" t="str">
        <f>HYPERLINK("https://otsuka-europe-crm.veevavault.com/ui/#object/vcountry__v/VENZ000004SONF5", "ES")</f>
        <v>ES</v>
      </c>
      <c r="C2584" s="8" t="s">
        <v>41</v>
      </c>
      <c r="D2584" s="9" t="str">
        <f>HYPERLINK("https://otsuka-europe-crm.veevavault.com/ui/#object/approved_document__v/V5O00000001A037", "LUP - VAE Póster Adelphi - Nefro")</f>
        <v>LUP - VAE Póster Adelphi - Nefro</v>
      </c>
      <c r="E2584" s="10" t="str">
        <f>HYPERLINK("https://otsuka-europe-crm.veevavault.com/ui/#object/sent_email__v/VBL00000002N765", "SE-001431983")</f>
        <v>SE-001431983</v>
      </c>
      <c r="F2584" s="11"/>
      <c r="G2584" s="12">
        <v>0</v>
      </c>
      <c r="H2584" s="12">
        <v>0</v>
      </c>
      <c r="I2584" s="12">
        <v>0</v>
      </c>
      <c r="J2584" s="11"/>
      <c r="K2584" s="12">
        <v>0</v>
      </c>
      <c r="L2584" s="10" t="str">
        <f>HYPERLINK("https://otsuka-europe-crm.veevavault.com/ui/#object/approved_document__v/V5O00000001A037", "LUP - VAE Póster Adelphi - Nefro")</f>
        <v>LUP - VAE Póster Adelphi - Nefro</v>
      </c>
      <c r="M2584" s="10" t="str">
        <f>HYPERLINK("mailto:ccoll@crm.otsuka-europe.com", "ccoll@crm.otsuka-europe.com")</f>
        <v>ccoll@crm.otsuka-europe.com</v>
      </c>
      <c r="N2584" s="13">
        <v>46175.77915509259</v>
      </c>
      <c r="O2584" s="14" t="str">
        <f>HYPERLINK("https://otsuka-europe-crm.veevavault.com/ui/#object/email_activity__v/V8C00000003N140", "EN-002088184")</f>
        <v>EN-002088184</v>
      </c>
    </row>
    <row r="2585" spans="1:15" ht="16" x14ac:dyDescent="0.2">
      <c r="A2585" s="17" t="str">
        <f>HYPERLINK("https://otsuka-europe-crm.veevavault.com/ui/#object/account__v/V4TZ04ASGABZIUJ", "MERITXELL SALLES LIZARZABURU")</f>
        <v>MERITXELL SALLES LIZARZABURU</v>
      </c>
      <c r="B2585" s="17" t="str">
        <f>HYPERLINK("https://otsuka-europe-crm.veevavault.com/ui/#object/vcountry__v/VENZ000004SONF5", "ES")</f>
        <v>ES</v>
      </c>
      <c r="C2585" s="20" t="s">
        <v>41</v>
      </c>
      <c r="D2585" s="21" t="str">
        <f>HYPERLINK("https://otsuka-europe-crm.veevavault.com/ui/#object/approved_document__v/V5O00000001B037", "LUP - VAE Póster Adelphi - Reuma")</f>
        <v>LUP - VAE Póster Adelphi - Reuma</v>
      </c>
      <c r="E2585" s="22" t="str">
        <f>HYPERLINK("https://otsuka-europe-crm.veevavault.com/ui/#object/sent_email__v/VBL00000002N766", "SE-001431984")</f>
        <v>SE-001431984</v>
      </c>
      <c r="F2585" s="25"/>
      <c r="G2585" s="24">
        <v>0</v>
      </c>
      <c r="H2585" s="24">
        <v>0</v>
      </c>
      <c r="I2585" s="24">
        <v>0</v>
      </c>
      <c r="J2585" s="25"/>
      <c r="K2585" s="24">
        <v>0</v>
      </c>
      <c r="L2585" s="22" t="str">
        <f>HYPERLINK("https://otsuka-europe-crm.veevavault.com/ui/#object/approved_document__v/V5O00000001B037", "LUP - VAE Póster Adelphi - Reuma")</f>
        <v>LUP - VAE Póster Adelphi - Reuma</v>
      </c>
      <c r="M2585" s="22" t="str">
        <f>HYPERLINK("mailto:ccoll@crm.otsuka-europe.com", "ccoll@crm.otsuka-europe.com")</f>
        <v>ccoll@crm.otsuka-europe.com</v>
      </c>
      <c r="N2585" s="23">
        <v>46175.779560185183</v>
      </c>
      <c r="O2585" s="14" t="str">
        <f>HYPERLINK("https://otsuka-europe-crm.veevavault.com/ui/#object/email_activity__v/V8C00000003N227", "EN-002088271")</f>
        <v>EN-002088271</v>
      </c>
    </row>
    <row r="2586" spans="1:15" ht="16" x14ac:dyDescent="0.2">
      <c r="A2586" s="19"/>
      <c r="B2586" s="19"/>
      <c r="C2586" s="19"/>
      <c r="D2586" s="19"/>
      <c r="E2586" s="19"/>
      <c r="F2586" s="19"/>
      <c r="G2586" s="19"/>
      <c r="H2586" s="19"/>
      <c r="I2586" s="19"/>
      <c r="J2586" s="19"/>
      <c r="K2586" s="19"/>
      <c r="L2586" s="19"/>
      <c r="M2586" s="19"/>
      <c r="N2586" s="19"/>
      <c r="O2586" s="14" t="str">
        <f>HYPERLINK("https://otsuka-europe-crm.veevavault.com/ui/#object/email_activity__v/V8C00000003N309", "EN-002088471")</f>
        <v>EN-002088471</v>
      </c>
    </row>
    <row r="2587" spans="1:15" ht="16" x14ac:dyDescent="0.2">
      <c r="A2587" s="17" t="str">
        <f>HYPERLINK("https://otsuka-europe-crm.veevavault.com/ui/#object/account__v/V4TZ025E834QHZG", "SEBASTIAN SANDOVAL MORENO")</f>
        <v>SEBASTIAN SANDOVAL MORENO</v>
      </c>
      <c r="B2587" s="17" t="str">
        <f>HYPERLINK("https://otsuka-europe-crm.veevavault.com/ui/#object/vcountry__v/VENZ000004SONF5", "ES")</f>
        <v>ES</v>
      </c>
      <c r="C2587" s="20" t="s">
        <v>41</v>
      </c>
      <c r="D2587" s="21" t="str">
        <f>HYPERLINK("https://otsuka-europe-crm.veevavault.com/ui/#object/approved_document__v/V5O00000001B037", "LUP - VAE Póster Adelphi - Reuma")</f>
        <v>LUP - VAE Póster Adelphi - Reuma</v>
      </c>
      <c r="E2587" s="22" t="str">
        <f>HYPERLINK("https://otsuka-europe-crm.veevavault.com/ui/#object/sent_email__v/VBL00000002N767", "SE-001431985")</f>
        <v>SE-001431985</v>
      </c>
      <c r="F2587" s="25"/>
      <c r="G2587" s="24">
        <v>0</v>
      </c>
      <c r="H2587" s="24">
        <v>0</v>
      </c>
      <c r="I2587" s="24">
        <v>1</v>
      </c>
      <c r="J2587" s="23">
        <v>46176.25072916667</v>
      </c>
      <c r="K2587" s="24">
        <v>1</v>
      </c>
      <c r="L2587" s="22" t="str">
        <f>HYPERLINK("https://otsuka-europe-crm.veevavault.com/ui/#object/approved_document__v/V5O00000001B037", "LUP - VAE Póster Adelphi - Reuma")</f>
        <v>LUP - VAE Póster Adelphi - Reuma</v>
      </c>
      <c r="M2587" s="22" t="str">
        <f>HYPERLINK("mailto:ccoll@crm.otsuka-europe.com", "ccoll@crm.otsuka-europe.com")</f>
        <v>ccoll@crm.otsuka-europe.com</v>
      </c>
      <c r="N2587" s="23">
        <v>46175.779560185183</v>
      </c>
      <c r="O2587" s="14" t="str">
        <f>HYPERLINK("https://otsuka-europe-crm.veevavault.com/ui/#object/email_activity__v/V8C00000003M276", "EN-002088529")</f>
        <v>EN-002088529</v>
      </c>
    </row>
    <row r="2588" spans="1:15" ht="16" x14ac:dyDescent="0.2">
      <c r="A2588" s="18"/>
      <c r="B2588" s="18"/>
      <c r="C2588" s="18"/>
      <c r="D2588" s="18"/>
      <c r="E2588" s="18"/>
      <c r="F2588" s="18"/>
      <c r="G2588" s="18"/>
      <c r="H2588" s="18"/>
      <c r="I2588" s="18"/>
      <c r="J2588" s="18"/>
      <c r="K2588" s="18"/>
      <c r="L2588" s="18"/>
      <c r="M2588" s="18"/>
      <c r="N2588" s="18"/>
      <c r="O2588" s="14" t="str">
        <f>HYPERLINK("https://otsuka-europe-crm.veevavault.com/ui/#object/email_activity__v/V8C00000003M277", "EN-002088530")</f>
        <v>EN-002088530</v>
      </c>
    </row>
    <row r="2589" spans="1:15" ht="16" x14ac:dyDescent="0.2">
      <c r="A2589" s="18"/>
      <c r="B2589" s="18"/>
      <c r="C2589" s="18"/>
      <c r="D2589" s="18"/>
      <c r="E2589" s="18"/>
      <c r="F2589" s="18"/>
      <c r="G2589" s="18"/>
      <c r="H2589" s="18"/>
      <c r="I2589" s="18"/>
      <c r="J2589" s="18"/>
      <c r="K2589" s="18"/>
      <c r="L2589" s="18"/>
      <c r="M2589" s="18"/>
      <c r="N2589" s="18"/>
      <c r="O2589" s="14" t="str">
        <f>HYPERLINK("https://otsuka-europe-crm.veevavault.com/ui/#object/email_activity__v/V8C00000003M278", "EN-002088532")</f>
        <v>EN-002088532</v>
      </c>
    </row>
    <row r="2590" spans="1:15" ht="16" x14ac:dyDescent="0.2">
      <c r="A2590" s="18"/>
      <c r="B2590" s="18"/>
      <c r="C2590" s="18"/>
      <c r="D2590" s="18"/>
      <c r="E2590" s="18"/>
      <c r="F2590" s="18"/>
      <c r="G2590" s="18"/>
      <c r="H2590" s="18"/>
      <c r="I2590" s="18"/>
      <c r="J2590" s="18"/>
      <c r="K2590" s="18"/>
      <c r="L2590" s="18"/>
      <c r="M2590" s="18"/>
      <c r="N2590" s="18"/>
      <c r="O2590" s="14" t="str">
        <f>HYPERLINK("https://otsuka-europe-crm.veevavault.com/ui/#object/email_activity__v/V8C00000003M279", "EN-002088533")</f>
        <v>EN-002088533</v>
      </c>
    </row>
    <row r="2591" spans="1:15" ht="16" x14ac:dyDescent="0.2">
      <c r="A2591" s="18"/>
      <c r="B2591" s="18"/>
      <c r="C2591" s="18"/>
      <c r="D2591" s="18"/>
      <c r="E2591" s="18"/>
      <c r="F2591" s="18"/>
      <c r="G2591" s="18"/>
      <c r="H2591" s="18"/>
      <c r="I2591" s="18"/>
      <c r="J2591" s="18"/>
      <c r="K2591" s="18"/>
      <c r="L2591" s="18"/>
      <c r="M2591" s="18"/>
      <c r="N2591" s="18"/>
      <c r="O2591" s="14" t="str">
        <f>HYPERLINK("https://otsuka-europe-crm.veevavault.com/ui/#object/email_activity__v/V8C00000003M280", "EN-002088534")</f>
        <v>EN-002088534</v>
      </c>
    </row>
    <row r="2592" spans="1:15" ht="16" x14ac:dyDescent="0.2">
      <c r="A2592" s="18"/>
      <c r="B2592" s="18"/>
      <c r="C2592" s="18"/>
      <c r="D2592" s="18"/>
      <c r="E2592" s="18"/>
      <c r="F2592" s="18"/>
      <c r="G2592" s="18"/>
      <c r="H2592" s="18"/>
      <c r="I2592" s="18"/>
      <c r="J2592" s="18"/>
      <c r="K2592" s="18"/>
      <c r="L2592" s="18"/>
      <c r="M2592" s="18"/>
      <c r="N2592" s="18"/>
      <c r="O2592" s="14" t="str">
        <f>HYPERLINK("https://otsuka-europe-crm.veevavault.com/ui/#object/email_activity__v/V8C00000003M281", "EN-002088535")</f>
        <v>EN-002088535</v>
      </c>
    </row>
    <row r="2593" spans="1:15" ht="16" x14ac:dyDescent="0.2">
      <c r="A2593" s="18"/>
      <c r="B2593" s="18"/>
      <c r="C2593" s="18"/>
      <c r="D2593" s="18"/>
      <c r="E2593" s="18"/>
      <c r="F2593" s="18"/>
      <c r="G2593" s="18"/>
      <c r="H2593" s="18"/>
      <c r="I2593" s="18"/>
      <c r="J2593" s="18"/>
      <c r="K2593" s="18"/>
      <c r="L2593" s="18"/>
      <c r="M2593" s="18"/>
      <c r="N2593" s="18"/>
      <c r="O2593" s="14" t="str">
        <f>HYPERLINK("https://otsuka-europe-crm.veevavault.com/ui/#object/email_activity__v/V8C00000003N216", "EN-002088260")</f>
        <v>EN-002088260</v>
      </c>
    </row>
    <row r="2594" spans="1:15" ht="16" x14ac:dyDescent="0.2">
      <c r="A2594" s="18"/>
      <c r="B2594" s="18"/>
      <c r="C2594" s="18"/>
      <c r="D2594" s="18"/>
      <c r="E2594" s="18"/>
      <c r="F2594" s="18"/>
      <c r="G2594" s="18"/>
      <c r="H2594" s="18"/>
      <c r="I2594" s="18"/>
      <c r="J2594" s="18"/>
      <c r="K2594" s="18"/>
      <c r="L2594" s="18"/>
      <c r="M2594" s="18"/>
      <c r="N2594" s="18"/>
      <c r="O2594" s="14" t="str">
        <f>HYPERLINK("https://otsuka-europe-crm.veevavault.com/ui/#object/email_activity__v/V8C00000003N335", "EN-002088512")</f>
        <v>EN-002088512</v>
      </c>
    </row>
    <row r="2595" spans="1:15" ht="16" x14ac:dyDescent="0.2">
      <c r="A2595" s="19"/>
      <c r="B2595" s="19"/>
      <c r="C2595" s="19"/>
      <c r="D2595" s="19"/>
      <c r="E2595" s="19"/>
      <c r="F2595" s="19"/>
      <c r="G2595" s="19"/>
      <c r="H2595" s="19"/>
      <c r="I2595" s="19"/>
      <c r="J2595" s="19"/>
      <c r="K2595" s="19"/>
      <c r="L2595" s="19"/>
      <c r="M2595" s="19"/>
      <c r="N2595" s="19"/>
      <c r="O2595" s="14" t="str">
        <f>HYPERLINK("https://otsuka-europe-crm.veevavault.com/ui/#object/email_activity__v/V8C00000003Q696", "EN-002092232")</f>
        <v>EN-002092232</v>
      </c>
    </row>
    <row r="2596" spans="1:15" ht="32" x14ac:dyDescent="0.2">
      <c r="A2596" s="7" t="str">
        <f>HYPERLINK("https://otsuka-europe-crm.veevavault.com/ui/#object/account__v/V4TZ04ASG9MC2VK", "DELIA REINA SANZ")</f>
        <v>DELIA REINA SANZ</v>
      </c>
      <c r="B2596" s="7" t="str">
        <f>HYPERLINK("https://otsuka-europe-crm.veevavault.com/ui/#object/vcountry__v/VENZ000004SONF5", "ES")</f>
        <v>ES</v>
      </c>
      <c r="C2596" s="8" t="s">
        <v>41</v>
      </c>
      <c r="D2596" s="9" t="str">
        <f>HYPERLINK("https://otsuka-europe-crm.veevavault.com/ui/#object/approved_document__v/V5O00000001B037", "LUP - VAE Póster Adelphi - Reuma")</f>
        <v>LUP - VAE Póster Adelphi - Reuma</v>
      </c>
      <c r="E2596" s="10" t="str">
        <f>HYPERLINK("https://otsuka-europe-crm.veevavault.com/ui/#object/sent_email__v/VBL00000002N768", "SE-001431986")</f>
        <v>SE-001431986</v>
      </c>
      <c r="F2596" s="11"/>
      <c r="G2596" s="12">
        <v>0</v>
      </c>
      <c r="H2596" s="12">
        <v>0</v>
      </c>
      <c r="I2596" s="12">
        <v>0</v>
      </c>
      <c r="J2596" s="11"/>
      <c r="K2596" s="12">
        <v>0</v>
      </c>
      <c r="L2596" s="10" t="str">
        <f>HYPERLINK("https://otsuka-europe-crm.veevavault.com/ui/#object/approved_document__v/V5O00000001B037", "LUP - VAE Póster Adelphi - Reuma")</f>
        <v>LUP - VAE Póster Adelphi - Reuma</v>
      </c>
      <c r="M2596" s="10" t="str">
        <f>HYPERLINK("mailto:ccoll@crm.otsuka-europe.com", "ccoll@crm.otsuka-europe.com")</f>
        <v>ccoll@crm.otsuka-europe.com</v>
      </c>
      <c r="N2596" s="13">
        <v>46175.779560185183</v>
      </c>
      <c r="O2596" s="14" t="str">
        <f>HYPERLINK("https://otsuka-europe-crm.veevavault.com/ui/#object/email_activity__v/V8C00000003M140", "EN-002088291")</f>
        <v>EN-002088291</v>
      </c>
    </row>
    <row r="2597" spans="1:15" ht="16" x14ac:dyDescent="0.2">
      <c r="A2597" s="17" t="str">
        <f>HYPERLINK("https://otsuka-europe-crm.veevavault.com/ui/#object/account__v/V4TZ025E83DWCD8", "MARIELA CARMEN UYAGUARI MOROCHO")</f>
        <v>MARIELA CARMEN UYAGUARI MOROCHO</v>
      </c>
      <c r="B2597" s="17" t="str">
        <f>HYPERLINK("https://otsuka-europe-crm.veevavault.com/ui/#object/vcountry__v/VENZ000004SONF5", "ES")</f>
        <v>ES</v>
      </c>
      <c r="C2597" s="20" t="s">
        <v>41</v>
      </c>
      <c r="D2597" s="21" t="str">
        <f>HYPERLINK("https://otsuka-europe-crm.veevavault.com/ui/#object/approved_document__v/V5O00000001B037", "LUP - VAE Póster Adelphi - Reuma")</f>
        <v>LUP - VAE Póster Adelphi - Reuma</v>
      </c>
      <c r="E2597" s="22" t="str">
        <f>HYPERLINK("https://otsuka-europe-crm.veevavault.com/ui/#object/sent_email__v/VBL00000002N769", "SE-001431987")</f>
        <v>SE-001431987</v>
      </c>
      <c r="F2597" s="23">
        <v>46176.464525462965</v>
      </c>
      <c r="G2597" s="24">
        <v>1</v>
      </c>
      <c r="H2597" s="24">
        <v>2</v>
      </c>
      <c r="I2597" s="24">
        <v>0</v>
      </c>
      <c r="J2597" s="25"/>
      <c r="K2597" s="24">
        <v>0</v>
      </c>
      <c r="L2597" s="22" t="str">
        <f>HYPERLINK("https://otsuka-europe-crm.veevavault.com/ui/#object/approved_document__v/V5O00000001B037", "LUP - VAE Póster Adelphi - Reuma")</f>
        <v>LUP - VAE Póster Adelphi - Reuma</v>
      </c>
      <c r="M2597" s="22" t="str">
        <f>HYPERLINK("mailto:ccoll@crm.otsuka-europe.com", "ccoll@crm.otsuka-europe.com")</f>
        <v>ccoll@crm.otsuka-europe.com</v>
      </c>
      <c r="N2597" s="23">
        <v>46175.779560185183</v>
      </c>
      <c r="O2597" s="14" t="str">
        <f>HYPERLINK("https://otsuka-europe-crm.veevavault.com/ui/#object/email_activity__v/V8C00000003M138", "EN-002088284")</f>
        <v>EN-002088284</v>
      </c>
    </row>
    <row r="2598" spans="1:15" ht="16" x14ac:dyDescent="0.2">
      <c r="A2598" s="18"/>
      <c r="B2598" s="18"/>
      <c r="C2598" s="18"/>
      <c r="D2598" s="18"/>
      <c r="E2598" s="18"/>
      <c r="F2598" s="18"/>
      <c r="G2598" s="18"/>
      <c r="H2598" s="18"/>
      <c r="I2598" s="18"/>
      <c r="J2598" s="18"/>
      <c r="K2598" s="18"/>
      <c r="L2598" s="18"/>
      <c r="M2598" s="18"/>
      <c r="N2598" s="18"/>
      <c r="O2598" s="14" t="str">
        <f>HYPERLINK("https://otsuka-europe-crm.veevavault.com/ui/#object/email_activity__v/V8C00000003M346", "EN-002088679")</f>
        <v>EN-002088679</v>
      </c>
    </row>
    <row r="2599" spans="1:15" ht="16" x14ac:dyDescent="0.2">
      <c r="A2599" s="19"/>
      <c r="B2599" s="19"/>
      <c r="C2599" s="19"/>
      <c r="D2599" s="19"/>
      <c r="E2599" s="19"/>
      <c r="F2599" s="19"/>
      <c r="G2599" s="19"/>
      <c r="H2599" s="19"/>
      <c r="I2599" s="19"/>
      <c r="J2599" s="19"/>
      <c r="K2599" s="19"/>
      <c r="L2599" s="19"/>
      <c r="M2599" s="19"/>
      <c r="N2599" s="19"/>
      <c r="O2599" s="14" t="str">
        <f>HYPERLINK("https://otsuka-europe-crm.veevavault.com/ui/#object/email_activity__v/V8C00000003N177", "EN-002088221")</f>
        <v>EN-002088221</v>
      </c>
    </row>
    <row r="2600" spans="1:15" ht="32" x14ac:dyDescent="0.2">
      <c r="A2600" s="7" t="str">
        <f>HYPERLINK("https://otsuka-europe-crm.veevavault.com/ui/#object/account__v/V4TZ025E87IXD6L", "ARIADNA RUSIÑOL JOVE")</f>
        <v>ARIADNA RUSIÑOL JOVE</v>
      </c>
      <c r="B2600" s="7" t="str">
        <f>HYPERLINK("https://otsuka-europe-crm.veevavault.com/ui/#object/vcountry__v/VENZ000004SONF5", "ES")</f>
        <v>ES</v>
      </c>
      <c r="C2600" s="8" t="s">
        <v>41</v>
      </c>
      <c r="D2600" s="9" t="str">
        <f>HYPERLINK("https://otsuka-europe-crm.veevavault.com/ui/#object/approved_document__v/V5O00000001B037", "LUP - VAE Póster Adelphi - Reuma")</f>
        <v>LUP - VAE Póster Adelphi - Reuma</v>
      </c>
      <c r="E2600" s="10" t="str">
        <f>HYPERLINK("https://otsuka-europe-crm.veevavault.com/ui/#object/sent_email__v/VBL00000002N770", "SE-001431988")</f>
        <v>SE-001431988</v>
      </c>
      <c r="F2600" s="11"/>
      <c r="G2600" s="12">
        <v>0</v>
      </c>
      <c r="H2600" s="12">
        <v>0</v>
      </c>
      <c r="I2600" s="12">
        <v>0</v>
      </c>
      <c r="J2600" s="11"/>
      <c r="K2600" s="12">
        <v>0</v>
      </c>
      <c r="L2600" s="10" t="str">
        <f>HYPERLINK("https://otsuka-europe-crm.veevavault.com/ui/#object/approved_document__v/V5O00000001B037", "LUP - VAE Póster Adelphi - Reuma")</f>
        <v>LUP - VAE Póster Adelphi - Reuma</v>
      </c>
      <c r="M2600" s="10" t="str">
        <f>HYPERLINK("mailto:ccoll@crm.otsuka-europe.com", "ccoll@crm.otsuka-europe.com")</f>
        <v>ccoll@crm.otsuka-europe.com</v>
      </c>
      <c r="N2600" s="13">
        <v>46175.779594907406</v>
      </c>
      <c r="O2600" s="14" t="str">
        <f>HYPERLINK("https://otsuka-europe-crm.veevavault.com/ui/#object/email_activity__v/V8C00000003N183", "EN-002088227")</f>
        <v>EN-002088227</v>
      </c>
    </row>
    <row r="2601" spans="1:15" ht="16" x14ac:dyDescent="0.2">
      <c r="A2601" s="17" t="str">
        <f>HYPERLINK("https://otsuka-europe-crm.veevavault.com/ui/#object/account__v/V4TZ025E82UQVJ6", "ANNA PAMIES CORTS")</f>
        <v>ANNA PAMIES CORTS</v>
      </c>
      <c r="B2601" s="17" t="str">
        <f>HYPERLINK("https://otsuka-europe-crm.veevavault.com/ui/#object/vcountry__v/VENZ000004SONF5", "ES")</f>
        <v>ES</v>
      </c>
      <c r="C2601" s="20" t="s">
        <v>41</v>
      </c>
      <c r="D2601" s="21" t="str">
        <f>HYPERLINK("https://otsuka-europe-crm.veevavault.com/ui/#object/approved_document__v/V5O00000001B037", "LUP - VAE Póster Adelphi - Reuma")</f>
        <v>LUP - VAE Póster Adelphi - Reuma</v>
      </c>
      <c r="E2601" s="22" t="str">
        <f>HYPERLINK("https://otsuka-europe-crm.veevavault.com/ui/#object/sent_email__v/VBL00000002N771", "SE-001431989")</f>
        <v>SE-001431989</v>
      </c>
      <c r="F2601" s="23">
        <v>46176.379641203705</v>
      </c>
      <c r="G2601" s="24">
        <v>1</v>
      </c>
      <c r="H2601" s="24">
        <v>2</v>
      </c>
      <c r="I2601" s="24">
        <v>0</v>
      </c>
      <c r="J2601" s="25"/>
      <c r="K2601" s="24">
        <v>0</v>
      </c>
      <c r="L2601" s="22" t="str">
        <f>HYPERLINK("https://otsuka-europe-crm.veevavault.com/ui/#object/approved_document__v/V5O00000001B037", "LUP - VAE Póster Adelphi - Reuma")</f>
        <v>LUP - VAE Póster Adelphi - Reuma</v>
      </c>
      <c r="M2601" s="22" t="str">
        <f>HYPERLINK("mailto:ccoll@crm.otsuka-europe.com", "ccoll@crm.otsuka-europe.com")</f>
        <v>ccoll@crm.otsuka-europe.com</v>
      </c>
      <c r="N2601" s="23">
        <v>46175.779594907406</v>
      </c>
      <c r="O2601" s="14" t="str">
        <f>HYPERLINK("https://otsuka-europe-crm.veevavault.com/ui/#object/email_activity__v/V8C00000003M320", "EN-002088624")</f>
        <v>EN-002088624</v>
      </c>
    </row>
    <row r="2602" spans="1:15" ht="16" x14ac:dyDescent="0.2">
      <c r="A2602" s="18"/>
      <c r="B2602" s="18"/>
      <c r="C2602" s="18"/>
      <c r="D2602" s="18"/>
      <c r="E2602" s="18"/>
      <c r="F2602" s="18"/>
      <c r="G2602" s="18"/>
      <c r="H2602" s="18"/>
      <c r="I2602" s="18"/>
      <c r="J2602" s="18"/>
      <c r="K2602" s="18"/>
      <c r="L2602" s="18"/>
      <c r="M2602" s="18"/>
      <c r="N2602" s="18"/>
      <c r="O2602" s="14" t="str">
        <f>HYPERLINK("https://otsuka-europe-crm.veevavault.com/ui/#object/email_activity__v/V8C00000003N179", "EN-002088223")</f>
        <v>EN-002088223</v>
      </c>
    </row>
    <row r="2603" spans="1:15" ht="16" x14ac:dyDescent="0.2">
      <c r="A2603" s="19"/>
      <c r="B2603" s="19"/>
      <c r="C2603" s="19"/>
      <c r="D2603" s="19"/>
      <c r="E2603" s="19"/>
      <c r="F2603" s="19"/>
      <c r="G2603" s="19"/>
      <c r="H2603" s="19"/>
      <c r="I2603" s="19"/>
      <c r="J2603" s="19"/>
      <c r="K2603" s="19"/>
      <c r="L2603" s="19"/>
      <c r="M2603" s="19"/>
      <c r="N2603" s="19"/>
      <c r="O2603" s="14" t="str">
        <f>HYPERLINK("https://otsuka-europe-crm.veevavault.com/ui/#object/email_activity__v/V8C00000003N399", "EN-002088625")</f>
        <v>EN-002088625</v>
      </c>
    </row>
    <row r="2604" spans="1:15" ht="16" x14ac:dyDescent="0.2">
      <c r="A2604" s="17" t="str">
        <f>HYPERLINK("https://otsuka-europe-crm.veevavault.com/ui/#object/account__v/V4TZ025E84CL45I", "SERGIO ORDOÑEZ PALAU")</f>
        <v>SERGIO ORDOÑEZ PALAU</v>
      </c>
      <c r="B2604" s="17" t="str">
        <f>HYPERLINK("https://otsuka-europe-crm.veevavault.com/ui/#object/vcountry__v/VENZ000004SONF5", "ES")</f>
        <v>ES</v>
      </c>
      <c r="C2604" s="20" t="s">
        <v>41</v>
      </c>
      <c r="D2604" s="21" t="str">
        <f>HYPERLINK("https://otsuka-europe-crm.veevavault.com/ui/#object/approved_document__v/V5O00000001B037", "LUP - VAE Póster Adelphi - Reuma")</f>
        <v>LUP - VAE Póster Adelphi - Reuma</v>
      </c>
      <c r="E2604" s="22" t="str">
        <f>HYPERLINK("https://otsuka-europe-crm.veevavault.com/ui/#object/sent_email__v/VBL00000002N772", "SE-001431990")</f>
        <v>SE-001431990</v>
      </c>
      <c r="F2604" s="25"/>
      <c r="G2604" s="24">
        <v>0</v>
      </c>
      <c r="H2604" s="24">
        <v>0</v>
      </c>
      <c r="I2604" s="24">
        <v>0</v>
      </c>
      <c r="J2604" s="25"/>
      <c r="K2604" s="24">
        <v>0</v>
      </c>
      <c r="L2604" s="22" t="str">
        <f>HYPERLINK("https://otsuka-europe-crm.veevavault.com/ui/#object/approved_document__v/V5O00000001B037", "LUP - VAE Póster Adelphi - Reuma")</f>
        <v>LUP - VAE Póster Adelphi - Reuma</v>
      </c>
      <c r="M2604" s="22" t="str">
        <f>HYPERLINK("mailto:ccoll@crm.otsuka-europe.com", "ccoll@crm.otsuka-europe.com")</f>
        <v>ccoll@crm.otsuka-europe.com</v>
      </c>
      <c r="N2604" s="23">
        <v>46175.779594907406</v>
      </c>
      <c r="O2604" s="14" t="str">
        <f>HYPERLINK("https://otsuka-europe-crm.veevavault.com/ui/#object/email_activity__v/V8C00000003M169", "EN-002088342")</f>
        <v>EN-002088342</v>
      </c>
    </row>
    <row r="2605" spans="1:15" ht="16" x14ac:dyDescent="0.2">
      <c r="A2605" s="19"/>
      <c r="B2605" s="19"/>
      <c r="C2605" s="19"/>
      <c r="D2605" s="19"/>
      <c r="E2605" s="19"/>
      <c r="F2605" s="19"/>
      <c r="G2605" s="19"/>
      <c r="H2605" s="19"/>
      <c r="I2605" s="19"/>
      <c r="J2605" s="19"/>
      <c r="K2605" s="19"/>
      <c r="L2605" s="19"/>
      <c r="M2605" s="19"/>
      <c r="N2605" s="19"/>
      <c r="O2605" s="14" t="str">
        <f>HYPERLINK("https://otsuka-europe-crm.veevavault.com/ui/#object/email_activity__v/V8C00000003N224", "EN-002088268")</f>
        <v>EN-002088268</v>
      </c>
    </row>
    <row r="2606" spans="1:15" ht="32" x14ac:dyDescent="0.2">
      <c r="A2606" s="7" t="str">
        <f>HYPERLINK("https://otsuka-europe-crm.veevavault.com/ui/#object/account__v/V4TZ025E83ZVCG2", "LIDIA DE PRADO PEÑA")</f>
        <v>LIDIA DE PRADO PEÑA</v>
      </c>
      <c r="B2606" s="7" t="str">
        <f>HYPERLINK("https://otsuka-europe-crm.veevavault.com/ui/#object/vcountry__v/VENZ000004SONF5", "ES")</f>
        <v>ES</v>
      </c>
      <c r="C2606" s="8" t="s">
        <v>41</v>
      </c>
      <c r="D2606" s="9" t="str">
        <f>HYPERLINK("https://otsuka-europe-crm.veevavault.com/ui/#object/approved_document__v/V5O00000001B037", "LUP - VAE Póster Adelphi - Reuma")</f>
        <v>LUP - VAE Póster Adelphi - Reuma</v>
      </c>
      <c r="E2606" s="10" t="str">
        <f>HYPERLINK("https://otsuka-europe-crm.veevavault.com/ui/#object/sent_email__v/VBL00000002N773", "SE-001431991")</f>
        <v>SE-001431991</v>
      </c>
      <c r="F2606" s="11"/>
      <c r="G2606" s="12">
        <v>0</v>
      </c>
      <c r="H2606" s="12">
        <v>0</v>
      </c>
      <c r="I2606" s="12">
        <v>0</v>
      </c>
      <c r="J2606" s="11"/>
      <c r="K2606" s="12">
        <v>0</v>
      </c>
      <c r="L2606" s="10" t="str">
        <f>HYPERLINK("https://otsuka-europe-crm.veevavault.com/ui/#object/approved_document__v/V5O00000001B037", "LUP - VAE Póster Adelphi - Reuma")</f>
        <v>LUP - VAE Póster Adelphi - Reuma</v>
      </c>
      <c r="M2606" s="10" t="str">
        <f>HYPERLINK("mailto:ccoll@crm.otsuka-europe.com", "ccoll@crm.otsuka-europe.com")</f>
        <v>ccoll@crm.otsuka-europe.com</v>
      </c>
      <c r="N2606" s="13">
        <v>46175.779594907406</v>
      </c>
      <c r="O2606" s="14" t="str">
        <f>HYPERLINK("https://otsuka-europe-crm.veevavault.com/ui/#object/email_activity__v/V8C00000003N200", "EN-002088244")</f>
        <v>EN-002088244</v>
      </c>
    </row>
    <row r="2607" spans="1:15" ht="16" x14ac:dyDescent="0.2">
      <c r="A2607" s="17" t="str">
        <f>HYPERLINK("https://otsuka-europe-crm.veevavault.com/ui/#object/account__v/V4TZ04ASG9629IW", "LIDIA ESTOPIÑAN FORTEA")</f>
        <v>LIDIA ESTOPIÑAN FORTEA</v>
      </c>
      <c r="B2607" s="17" t="str">
        <f>HYPERLINK("https://otsuka-europe-crm.veevavault.com/ui/#object/vcountry__v/VENZ000004SONF5", "ES")</f>
        <v>ES</v>
      </c>
      <c r="C2607" s="20" t="s">
        <v>41</v>
      </c>
      <c r="D2607" s="21" t="str">
        <f>HYPERLINK("https://otsuka-europe-crm.veevavault.com/ui/#object/approved_document__v/V5O00000001B037", "LUP - VAE Póster Adelphi - Reuma")</f>
        <v>LUP - VAE Póster Adelphi - Reuma</v>
      </c>
      <c r="E2607" s="22" t="str">
        <f>HYPERLINK("https://otsuka-europe-crm.veevavault.com/ui/#object/sent_email__v/VBL00000002N774", "SE-001431992")</f>
        <v>SE-001431992</v>
      </c>
      <c r="F2607" s="25"/>
      <c r="G2607" s="24">
        <v>0</v>
      </c>
      <c r="H2607" s="24">
        <v>0</v>
      </c>
      <c r="I2607" s="24">
        <v>0</v>
      </c>
      <c r="J2607" s="25"/>
      <c r="K2607" s="24">
        <v>0</v>
      </c>
      <c r="L2607" s="22" t="str">
        <f>HYPERLINK("https://otsuka-europe-crm.veevavault.com/ui/#object/approved_document__v/V5O00000001B037", "LUP - VAE Póster Adelphi - Reuma")</f>
        <v>LUP - VAE Póster Adelphi - Reuma</v>
      </c>
      <c r="M2607" s="22" t="str">
        <f>HYPERLINK("mailto:ccoll@crm.otsuka-europe.com", "ccoll@crm.otsuka-europe.com")</f>
        <v>ccoll@crm.otsuka-europe.com</v>
      </c>
      <c r="N2607" s="23">
        <v>46175.779594907406</v>
      </c>
      <c r="O2607" s="14" t="str">
        <f>HYPERLINK("https://otsuka-europe-crm.veevavault.com/ui/#object/email_activity__v/V8C00000003M223", "EN-002088415")</f>
        <v>EN-002088415</v>
      </c>
    </row>
    <row r="2608" spans="1:15" ht="16" x14ac:dyDescent="0.2">
      <c r="A2608" s="18"/>
      <c r="B2608" s="18"/>
      <c r="C2608" s="18"/>
      <c r="D2608" s="18"/>
      <c r="E2608" s="18"/>
      <c r="F2608" s="18"/>
      <c r="G2608" s="18"/>
      <c r="H2608" s="18"/>
      <c r="I2608" s="18"/>
      <c r="J2608" s="18"/>
      <c r="K2608" s="18"/>
      <c r="L2608" s="18"/>
      <c r="M2608" s="18"/>
      <c r="N2608" s="18"/>
      <c r="O2608" s="14" t="str">
        <f>HYPERLINK("https://otsuka-europe-crm.veevavault.com/ui/#object/email_activity__v/V8C00000003N206", "EN-002088250")</f>
        <v>EN-002088250</v>
      </c>
    </row>
    <row r="2609" spans="1:15" ht="16" x14ac:dyDescent="0.2">
      <c r="A2609" s="18"/>
      <c r="B2609" s="18"/>
      <c r="C2609" s="18"/>
      <c r="D2609" s="18"/>
      <c r="E2609" s="18"/>
      <c r="F2609" s="18"/>
      <c r="G2609" s="18"/>
      <c r="H2609" s="18"/>
      <c r="I2609" s="18"/>
      <c r="J2609" s="18"/>
      <c r="K2609" s="18"/>
      <c r="L2609" s="18"/>
      <c r="M2609" s="18"/>
      <c r="N2609" s="18"/>
      <c r="O2609" s="14" t="str">
        <f>HYPERLINK("https://otsuka-europe-crm.veevavault.com/ui/#object/email_activity__v/V8C00000003V033", "EN-002094877")</f>
        <v>EN-002094877</v>
      </c>
    </row>
    <row r="2610" spans="1:15" ht="16" x14ac:dyDescent="0.2">
      <c r="A2610" s="19"/>
      <c r="B2610" s="19"/>
      <c r="C2610" s="19"/>
      <c r="D2610" s="19"/>
      <c r="E2610" s="19"/>
      <c r="F2610" s="19"/>
      <c r="G2610" s="19"/>
      <c r="H2610" s="19"/>
      <c r="I2610" s="19"/>
      <c r="J2610" s="19"/>
      <c r="K2610" s="19"/>
      <c r="L2610" s="19"/>
      <c r="M2610" s="19"/>
      <c r="N2610" s="19"/>
      <c r="O2610" s="14" t="str">
        <f>HYPERLINK("https://otsuka-europe-crm.veevavault.com/ui/#object/email_activity__v/V8C000000041496", "EN-002100652")</f>
        <v>EN-002100652</v>
      </c>
    </row>
    <row r="2611" spans="1:15" ht="32" x14ac:dyDescent="0.2">
      <c r="A2611" s="7" t="str">
        <f>HYPERLINK("https://otsuka-europe-crm.veevavault.com/ui/#object/account__v/V4TZ06G6O9VLJDT", "JOSEFINA CORTES HERNANDEZ")</f>
        <v>JOSEFINA CORTES HERNANDEZ</v>
      </c>
      <c r="B2611" s="7" t="str">
        <f>HYPERLINK("https://otsuka-europe-crm.veevavault.com/ui/#object/vcountry__v/VENZ000004SONF5", "ES")</f>
        <v>ES</v>
      </c>
      <c r="C2611" s="8" t="s">
        <v>41</v>
      </c>
      <c r="D2611" s="9" t="str">
        <f>HYPERLINK("https://otsuka-europe-crm.veevavault.com/ui/#object/approved_document__v/V5O00000001B037", "LUP - VAE Póster Adelphi - Reuma")</f>
        <v>LUP - VAE Póster Adelphi - Reuma</v>
      </c>
      <c r="E2611" s="10" t="str">
        <f>HYPERLINK("https://otsuka-europe-crm.veevavault.com/ui/#object/sent_email__v/VBL00000002N775", "SE-001431993")</f>
        <v>SE-001431993</v>
      </c>
      <c r="F2611" s="11"/>
      <c r="G2611" s="12">
        <v>0</v>
      </c>
      <c r="H2611" s="12">
        <v>0</v>
      </c>
      <c r="I2611" s="12">
        <v>0</v>
      </c>
      <c r="J2611" s="11"/>
      <c r="K2611" s="12">
        <v>0</v>
      </c>
      <c r="L2611" s="10" t="str">
        <f>HYPERLINK("https://otsuka-europe-crm.veevavault.com/ui/#object/approved_document__v/V5O00000001B037", "LUP - VAE Póster Adelphi - Reuma")</f>
        <v>LUP - VAE Póster Adelphi - Reuma</v>
      </c>
      <c r="M2611" s="10" t="str">
        <f>HYPERLINK("mailto:ccoll@crm.otsuka-europe.com", "ccoll@crm.otsuka-europe.com")</f>
        <v>ccoll@crm.otsuka-europe.com</v>
      </c>
      <c r="N2611" s="13">
        <v>46175.779594907406</v>
      </c>
      <c r="O2611" s="14" t="str">
        <f>HYPERLINK("https://otsuka-europe-crm.veevavault.com/ui/#object/email_activity__v/V8C00000003N193", "EN-002088237")</f>
        <v>EN-002088237</v>
      </c>
    </row>
    <row r="2612" spans="1:15" ht="16" x14ac:dyDescent="0.2">
      <c r="A2612" s="17" t="str">
        <f>HYPERLINK("https://otsuka-europe-crm.veevavault.com/ui/#object/account__v/V4TZ025E85JF1EV", "ORIANA ANGELICA OMAÑA IGLESIAS")</f>
        <v>ORIANA ANGELICA OMAÑA IGLESIAS</v>
      </c>
      <c r="B2612" s="17" t="str">
        <f>HYPERLINK("https://otsuka-europe-crm.veevavault.com/ui/#object/vcountry__v/VENZ000004SONF5", "ES")</f>
        <v>ES</v>
      </c>
      <c r="C2612" s="20" t="s">
        <v>41</v>
      </c>
      <c r="D2612" s="21" t="str">
        <f>HYPERLINK("https://otsuka-europe-crm.veevavault.com/ui/#object/approved_document__v/V5O00000001B037", "LUP - VAE Póster Adelphi - Reuma")</f>
        <v>LUP - VAE Póster Adelphi - Reuma</v>
      </c>
      <c r="E2612" s="22" t="str">
        <f>HYPERLINK("https://otsuka-europe-crm.veevavault.com/ui/#object/sent_email__v/VBL00000002N776", "SE-001431994")</f>
        <v>SE-001431994</v>
      </c>
      <c r="F2612" s="23">
        <v>46175.851030092592</v>
      </c>
      <c r="G2612" s="24">
        <v>1</v>
      </c>
      <c r="H2612" s="24">
        <v>1</v>
      </c>
      <c r="I2612" s="24">
        <v>0</v>
      </c>
      <c r="J2612" s="25"/>
      <c r="K2612" s="24">
        <v>0</v>
      </c>
      <c r="L2612" s="22" t="str">
        <f>HYPERLINK("https://otsuka-europe-crm.veevavault.com/ui/#object/approved_document__v/V5O00000001B037", "LUP - VAE Póster Adelphi - Reuma")</f>
        <v>LUP - VAE Póster Adelphi - Reuma</v>
      </c>
      <c r="M2612" s="22" t="str">
        <f>HYPERLINK("mailto:ccoll@crm.otsuka-europe.com", "ccoll@crm.otsuka-europe.com")</f>
        <v>ccoll@crm.otsuka-europe.com</v>
      </c>
      <c r="N2612" s="23">
        <v>46175.779594907406</v>
      </c>
      <c r="O2612" s="14" t="str">
        <f>HYPERLINK("https://otsuka-europe-crm.veevavault.com/ui/#object/email_activity__v/V8C00000003N212", "EN-002088256")</f>
        <v>EN-002088256</v>
      </c>
    </row>
    <row r="2613" spans="1:15" ht="16" x14ac:dyDescent="0.2">
      <c r="A2613" s="19"/>
      <c r="B2613" s="19"/>
      <c r="C2613" s="19"/>
      <c r="D2613" s="19"/>
      <c r="E2613" s="19"/>
      <c r="F2613" s="19"/>
      <c r="G2613" s="19"/>
      <c r="H2613" s="19"/>
      <c r="I2613" s="19"/>
      <c r="J2613" s="19"/>
      <c r="K2613" s="19"/>
      <c r="L2613" s="19"/>
      <c r="M2613" s="19"/>
      <c r="N2613" s="19"/>
      <c r="O2613" s="14" t="str">
        <f>HYPERLINK("https://otsuka-europe-crm.veevavault.com/ui/#object/email_activity__v/V8C00000003N275", "EN-002088398")</f>
        <v>EN-002088398</v>
      </c>
    </row>
    <row r="2614" spans="1:15" ht="32" x14ac:dyDescent="0.2">
      <c r="A2614" s="7" t="str">
        <f>HYPERLINK("https://otsuka-europe-crm.veevavault.com/ui/#object/account__v/V4TZ025E880W7DD", "MARIA BELEN BUSSO ALVAREZ")</f>
        <v>MARIA BELEN BUSSO ALVAREZ</v>
      </c>
      <c r="B2614" s="7" t="str">
        <f>HYPERLINK("https://otsuka-europe-crm.veevavault.com/ui/#object/vcountry__v/VENZ000004SONF5", "ES")</f>
        <v>ES</v>
      </c>
      <c r="C2614" s="8" t="s">
        <v>41</v>
      </c>
      <c r="D2614" s="9" t="str">
        <f>HYPERLINK("https://otsuka-europe-crm.veevavault.com/ui/#object/approved_document__v/V5O00000001B037", "LUP - VAE Póster Adelphi - Reuma")</f>
        <v>LUP - VAE Póster Adelphi - Reuma</v>
      </c>
      <c r="E2614" s="10" t="str">
        <f>HYPERLINK("https://otsuka-europe-crm.veevavault.com/ui/#object/sent_email__v/VBL00000002N777", "SE-001431995")</f>
        <v>SE-001431995</v>
      </c>
      <c r="F2614" s="11"/>
      <c r="G2614" s="12">
        <v>0</v>
      </c>
      <c r="H2614" s="12">
        <v>0</v>
      </c>
      <c r="I2614" s="12">
        <v>0</v>
      </c>
      <c r="J2614" s="11"/>
      <c r="K2614" s="12">
        <v>0</v>
      </c>
      <c r="L2614" s="10" t="str">
        <f>HYPERLINK("https://otsuka-europe-crm.veevavault.com/ui/#object/approved_document__v/V5O00000001B037", "LUP - VAE Póster Adelphi - Reuma")</f>
        <v>LUP - VAE Póster Adelphi - Reuma</v>
      </c>
      <c r="M2614" s="10" t="str">
        <f>HYPERLINK("mailto:ccoll@crm.otsuka-europe.com", "ccoll@crm.otsuka-europe.com")</f>
        <v>ccoll@crm.otsuka-europe.com</v>
      </c>
      <c r="N2614" s="13">
        <v>46175.779594907406</v>
      </c>
      <c r="O2614" s="14" t="str">
        <f>HYPERLINK("https://otsuka-europe-crm.veevavault.com/ui/#object/email_activity__v/V8C00000003N188", "EN-002088232")</f>
        <v>EN-002088232</v>
      </c>
    </row>
    <row r="2615" spans="1:15" ht="16" x14ac:dyDescent="0.2">
      <c r="A2615" s="17" t="str">
        <f>HYPERLINK("https://otsuka-europe-crm.veevavault.com/ui/#object/account__v/V4TZ04ASG9ZQEUS", "MARITZA FLORES CORTES")</f>
        <v>MARITZA FLORES CORTES</v>
      </c>
      <c r="B2615" s="17" t="str">
        <f>HYPERLINK("https://otsuka-europe-crm.veevavault.com/ui/#object/vcountry__v/VENZ000004SONF5", "ES")</f>
        <v>ES</v>
      </c>
      <c r="C2615" s="20" t="s">
        <v>41</v>
      </c>
      <c r="D2615" s="21" t="str">
        <f>HYPERLINK("https://otsuka-europe-crm.veevavault.com/ui/#object/approved_document__v/V5O00000001B037", "LUP - VAE Póster Adelphi - Reuma")</f>
        <v>LUP - VAE Póster Adelphi - Reuma</v>
      </c>
      <c r="E2615" s="22" t="str">
        <f>HYPERLINK("https://otsuka-europe-crm.veevavault.com/ui/#object/sent_email__v/VBL00000002N778", "SE-001431996")</f>
        <v>SE-001431996</v>
      </c>
      <c r="F2615" s="23">
        <v>46175.999189814815</v>
      </c>
      <c r="G2615" s="24">
        <v>1</v>
      </c>
      <c r="H2615" s="24">
        <v>2</v>
      </c>
      <c r="I2615" s="24">
        <v>0</v>
      </c>
      <c r="J2615" s="25"/>
      <c r="K2615" s="24">
        <v>0</v>
      </c>
      <c r="L2615" s="22" t="str">
        <f>HYPERLINK("https://otsuka-europe-crm.veevavault.com/ui/#object/approved_document__v/V5O00000001B037", "LUP - VAE Póster Adelphi - Reuma")</f>
        <v>LUP - VAE Póster Adelphi - Reuma</v>
      </c>
      <c r="M2615" s="22" t="str">
        <f>HYPERLINK("mailto:ccoll@crm.otsuka-europe.com", "ccoll@crm.otsuka-europe.com")</f>
        <v>ccoll@crm.otsuka-europe.com</v>
      </c>
      <c r="N2615" s="23">
        <v>46175.779594907406</v>
      </c>
      <c r="O2615" s="14" t="str">
        <f>HYPERLINK("https://otsuka-europe-crm.veevavault.com/ui/#object/email_activity__v/V8C00000003M175", "EN-002088348")</f>
        <v>EN-002088348</v>
      </c>
    </row>
    <row r="2616" spans="1:15" ht="16" x14ac:dyDescent="0.2">
      <c r="A2616" s="18"/>
      <c r="B2616" s="18"/>
      <c r="C2616" s="18"/>
      <c r="D2616" s="18"/>
      <c r="E2616" s="18"/>
      <c r="F2616" s="18"/>
      <c r="G2616" s="18"/>
      <c r="H2616" s="18"/>
      <c r="I2616" s="18"/>
      <c r="J2616" s="18"/>
      <c r="K2616" s="18"/>
      <c r="L2616" s="18"/>
      <c r="M2616" s="18"/>
      <c r="N2616" s="18"/>
      <c r="O2616" s="14" t="str">
        <f>HYPERLINK("https://otsuka-europe-crm.veevavault.com/ui/#object/email_activity__v/V8C00000003N175", "EN-002088219")</f>
        <v>EN-002088219</v>
      </c>
    </row>
    <row r="2617" spans="1:15" ht="16" x14ac:dyDescent="0.2">
      <c r="A2617" s="19"/>
      <c r="B2617" s="19"/>
      <c r="C2617" s="19"/>
      <c r="D2617" s="19"/>
      <c r="E2617" s="19"/>
      <c r="F2617" s="19"/>
      <c r="G2617" s="19"/>
      <c r="H2617" s="19"/>
      <c r="I2617" s="19"/>
      <c r="J2617" s="19"/>
      <c r="K2617" s="19"/>
      <c r="L2617" s="19"/>
      <c r="M2617" s="19"/>
      <c r="N2617" s="19"/>
      <c r="O2617" s="14" t="str">
        <f>HYPERLINK("https://otsuka-europe-crm.veevavault.com/ui/#object/email_activity__v/V8C00000003N320", "EN-002088489")</f>
        <v>EN-002088489</v>
      </c>
    </row>
    <row r="2618" spans="1:15" ht="32" x14ac:dyDescent="0.2">
      <c r="A2618" s="7" t="str">
        <f>HYPERLINK("https://otsuka-europe-crm.veevavault.com/ui/#object/account__v/V4TZ025E83E49UY", "KATERINE FABIOLA LOPEZ GLORIA")</f>
        <v>KATERINE FABIOLA LOPEZ GLORIA</v>
      </c>
      <c r="B2618" s="7" t="str">
        <f>HYPERLINK("https://otsuka-europe-crm.veevavault.com/ui/#object/vcountry__v/VENZ000004SONF5", "ES")</f>
        <v>ES</v>
      </c>
      <c r="C2618" s="8" t="s">
        <v>41</v>
      </c>
      <c r="D2618" s="9" t="str">
        <f>HYPERLINK("https://otsuka-europe-crm.veevavault.com/ui/#object/approved_document__v/V5O00000001B037", "LUP - VAE Póster Adelphi - Reuma")</f>
        <v>LUP - VAE Póster Adelphi - Reuma</v>
      </c>
      <c r="E2618" s="10" t="str">
        <f>HYPERLINK("https://otsuka-europe-crm.veevavault.com/ui/#object/sent_email__v/VBL00000002N779", "SE-001431997")</f>
        <v>SE-001431997</v>
      </c>
      <c r="F2618" s="11"/>
      <c r="G2618" s="12">
        <v>0</v>
      </c>
      <c r="H2618" s="12">
        <v>0</v>
      </c>
      <c r="I2618" s="12">
        <v>0</v>
      </c>
      <c r="J2618" s="11"/>
      <c r="K2618" s="12">
        <v>0</v>
      </c>
      <c r="L2618" s="10" t="str">
        <f>HYPERLINK("https://otsuka-europe-crm.veevavault.com/ui/#object/approved_document__v/V5O00000001B037", "LUP - VAE Póster Adelphi - Reuma")</f>
        <v>LUP - VAE Póster Adelphi - Reuma</v>
      </c>
      <c r="M2618" s="10" t="str">
        <f>HYPERLINK("mailto:ccoll@crm.otsuka-europe.com", "ccoll@crm.otsuka-europe.com")</f>
        <v>ccoll@crm.otsuka-europe.com</v>
      </c>
      <c r="N2618" s="13">
        <v>46175.779594907406</v>
      </c>
      <c r="O2618" s="14" t="str">
        <f>HYPERLINK("https://otsuka-europe-crm.veevavault.com/ui/#object/email_activity__v/V8C00000003N191", "EN-002088235")</f>
        <v>EN-002088235</v>
      </c>
    </row>
    <row r="2619" spans="1:15" ht="32" x14ac:dyDescent="0.2">
      <c r="A2619" s="7" t="str">
        <f>HYPERLINK("https://otsuka-europe-crm.veevavault.com/ui/#object/account__v/V4TZ04ASG9HF79W", "ANA URRUTICOECHEA ARANA")</f>
        <v>ANA URRUTICOECHEA ARANA</v>
      </c>
      <c r="B2619" s="7" t="str">
        <f>HYPERLINK("https://otsuka-europe-crm.veevavault.com/ui/#object/vcountry__v/VENZ000004SONF5", "ES")</f>
        <v>ES</v>
      </c>
      <c r="C2619" s="8" t="s">
        <v>41</v>
      </c>
      <c r="D2619" s="9" t="str">
        <f>HYPERLINK("https://otsuka-europe-crm.veevavault.com/ui/#object/approved_document__v/V5O00000001B037", "LUP - VAE Póster Adelphi - Reuma")</f>
        <v>LUP - VAE Póster Adelphi - Reuma</v>
      </c>
      <c r="E2619" s="10" t="str">
        <f>HYPERLINK("https://otsuka-europe-crm.veevavault.com/ui/#object/sent_email__v/VBL00000002N780", "SE-001431998")</f>
        <v>SE-001431998</v>
      </c>
      <c r="F2619" s="11"/>
      <c r="G2619" s="12">
        <v>0</v>
      </c>
      <c r="H2619" s="12">
        <v>0</v>
      </c>
      <c r="I2619" s="12">
        <v>0</v>
      </c>
      <c r="J2619" s="11"/>
      <c r="K2619" s="12">
        <v>0</v>
      </c>
      <c r="L2619" s="10" t="str">
        <f>HYPERLINK("https://otsuka-europe-crm.veevavault.com/ui/#object/approved_document__v/V5O00000001B037", "LUP - VAE Póster Adelphi - Reuma")</f>
        <v>LUP - VAE Póster Adelphi - Reuma</v>
      </c>
      <c r="M2619" s="10" t="str">
        <f>HYPERLINK("mailto:ccoll@crm.otsuka-europe.com", "ccoll@crm.otsuka-europe.com")</f>
        <v>ccoll@crm.otsuka-europe.com</v>
      </c>
      <c r="N2619" s="13">
        <v>46175.779594907406</v>
      </c>
      <c r="O2619" s="14" t="str">
        <f>HYPERLINK("https://otsuka-europe-crm.veevavault.com/ui/#object/email_activity__v/V8C00000003N202", "EN-002088246")</f>
        <v>EN-002088246</v>
      </c>
    </row>
    <row r="2620" spans="1:15" ht="32" x14ac:dyDescent="0.2">
      <c r="A2620" s="7" t="str">
        <f>HYPERLINK("https://otsuka-europe-crm.veevavault.com/ui/#object/account__v/V4TZ06G6O9VLJHY", "ANNE MARGARET RIVEROS FRUTOS")</f>
        <v>ANNE MARGARET RIVEROS FRUTOS</v>
      </c>
      <c r="B2620" s="7" t="str">
        <f>HYPERLINK("https://otsuka-europe-crm.veevavault.com/ui/#object/vcountry__v/VENZ000004SONF5", "ES")</f>
        <v>ES</v>
      </c>
      <c r="C2620" s="8" t="s">
        <v>41</v>
      </c>
      <c r="D2620" s="9" t="str">
        <f>HYPERLINK("https://otsuka-europe-crm.veevavault.com/ui/#object/approved_document__v/V5O00000001B037", "LUP - VAE Póster Adelphi - Reuma")</f>
        <v>LUP - VAE Póster Adelphi - Reuma</v>
      </c>
      <c r="E2620" s="10" t="str">
        <f>HYPERLINK("https://otsuka-europe-crm.veevavault.com/ui/#object/sent_email__v/VBL00000002N781", "SE-001431999")</f>
        <v>SE-001431999</v>
      </c>
      <c r="F2620" s="11"/>
      <c r="G2620" s="12">
        <v>0</v>
      </c>
      <c r="H2620" s="12">
        <v>0</v>
      </c>
      <c r="I2620" s="12">
        <v>0</v>
      </c>
      <c r="J2620" s="11"/>
      <c r="K2620" s="12">
        <v>0</v>
      </c>
      <c r="L2620" s="10" t="str">
        <f>HYPERLINK("https://otsuka-europe-crm.veevavault.com/ui/#object/approved_document__v/V5O00000001B037", "LUP - VAE Póster Adelphi - Reuma")</f>
        <v>LUP - VAE Póster Adelphi - Reuma</v>
      </c>
      <c r="M2620" s="10" t="str">
        <f>HYPERLINK("mailto:ccoll@crm.otsuka-europe.com", "ccoll@crm.otsuka-europe.com")</f>
        <v>ccoll@crm.otsuka-europe.com</v>
      </c>
      <c r="N2620" s="13">
        <v>46175.779594907406</v>
      </c>
      <c r="O2620" s="14" t="str">
        <f>HYPERLINK("https://otsuka-europe-crm.veevavault.com/ui/#object/email_activity__v/V8C00000003N176", "EN-002088220")</f>
        <v>EN-002088220</v>
      </c>
    </row>
    <row r="2621" spans="1:15" ht="16" x14ac:dyDescent="0.2">
      <c r="A2621" s="17" t="str">
        <f>HYPERLINK("https://otsuka-europe-crm.veevavault.com/ui/#object/account__v/V4TZ025E85M0LUR", "ANA DANIELA ULLOA NAVAS")</f>
        <v>ANA DANIELA ULLOA NAVAS</v>
      </c>
      <c r="B2621" s="17" t="str">
        <f>HYPERLINK("https://otsuka-europe-crm.veevavault.com/ui/#object/vcountry__v/VENZ000004SONF5", "ES")</f>
        <v>ES</v>
      </c>
      <c r="C2621" s="20" t="s">
        <v>41</v>
      </c>
      <c r="D2621" s="21" t="str">
        <f>HYPERLINK("https://otsuka-europe-crm.veevavault.com/ui/#object/approved_document__v/V5O00000001B037", "LUP - VAE Póster Adelphi - Reuma")</f>
        <v>LUP - VAE Póster Adelphi - Reuma</v>
      </c>
      <c r="E2621" s="22" t="str">
        <f>HYPERLINK("https://otsuka-europe-crm.veevavault.com/ui/#object/sent_email__v/VBL00000002N782", "SE-001432000")</f>
        <v>SE-001432000</v>
      </c>
      <c r="F2621" s="25"/>
      <c r="G2621" s="24">
        <v>0</v>
      </c>
      <c r="H2621" s="24">
        <v>0</v>
      </c>
      <c r="I2621" s="24">
        <v>0</v>
      </c>
      <c r="J2621" s="25"/>
      <c r="K2621" s="24">
        <v>0</v>
      </c>
      <c r="L2621" s="22" t="str">
        <f>HYPERLINK("https://otsuka-europe-crm.veevavault.com/ui/#object/approved_document__v/V5O00000001B037", "LUP - VAE Póster Adelphi - Reuma")</f>
        <v>LUP - VAE Póster Adelphi - Reuma</v>
      </c>
      <c r="M2621" s="22" t="str">
        <f>HYPERLINK("mailto:ccoll@crm.otsuka-europe.com", "ccoll@crm.otsuka-europe.com")</f>
        <v>ccoll@crm.otsuka-europe.com</v>
      </c>
      <c r="N2621" s="23">
        <v>46175.779594907406</v>
      </c>
      <c r="O2621" s="14" t="str">
        <f>HYPERLINK("https://otsuka-europe-crm.veevavault.com/ui/#object/email_activity__v/V8C00000003M246", "EN-002088454")</f>
        <v>EN-002088454</v>
      </c>
    </row>
    <row r="2622" spans="1:15" ht="16" x14ac:dyDescent="0.2">
      <c r="A2622" s="18"/>
      <c r="B2622" s="18"/>
      <c r="C2622" s="18"/>
      <c r="D2622" s="18"/>
      <c r="E2622" s="18"/>
      <c r="F2622" s="18"/>
      <c r="G2622" s="18"/>
      <c r="H2622" s="18"/>
      <c r="I2622" s="18"/>
      <c r="J2622" s="18"/>
      <c r="K2622" s="18"/>
      <c r="L2622" s="18"/>
      <c r="M2622" s="18"/>
      <c r="N2622" s="18"/>
      <c r="O2622" s="14" t="str">
        <f>HYPERLINK("https://otsuka-europe-crm.veevavault.com/ui/#object/email_activity__v/V8C00000003N217", "EN-002088261")</f>
        <v>EN-002088261</v>
      </c>
    </row>
    <row r="2623" spans="1:15" ht="16" x14ac:dyDescent="0.2">
      <c r="A2623" s="18"/>
      <c r="B2623" s="18"/>
      <c r="C2623" s="18"/>
      <c r="D2623" s="18"/>
      <c r="E2623" s="18"/>
      <c r="F2623" s="18"/>
      <c r="G2623" s="18"/>
      <c r="H2623" s="18"/>
      <c r="I2623" s="18"/>
      <c r="J2623" s="18"/>
      <c r="K2623" s="18"/>
      <c r="L2623" s="18"/>
      <c r="M2623" s="18"/>
      <c r="N2623" s="18"/>
      <c r="O2623" s="14" t="str">
        <f>HYPERLINK("https://otsuka-europe-crm.veevavault.com/ui/#object/email_activity__v/V8C00000003N240", "EN-002088287")</f>
        <v>EN-002088287</v>
      </c>
    </row>
    <row r="2624" spans="1:15" ht="16" x14ac:dyDescent="0.2">
      <c r="A2624" s="19"/>
      <c r="B2624" s="19"/>
      <c r="C2624" s="19"/>
      <c r="D2624" s="19"/>
      <c r="E2624" s="19"/>
      <c r="F2624" s="19"/>
      <c r="G2624" s="19"/>
      <c r="H2624" s="19"/>
      <c r="I2624" s="19"/>
      <c r="J2624" s="19"/>
      <c r="K2624" s="19"/>
      <c r="L2624" s="19"/>
      <c r="M2624" s="19"/>
      <c r="N2624" s="19"/>
      <c r="O2624" s="14" t="str">
        <f>HYPERLINK("https://otsuka-europe-crm.veevavault.com/ui/#object/email_activity__v/V8C00000003N665", "EN-002089113")</f>
        <v>EN-002089113</v>
      </c>
    </row>
    <row r="2625" spans="1:15" ht="32" x14ac:dyDescent="0.2">
      <c r="A2625" s="7" t="str">
        <f>HYPERLINK("https://otsuka-europe-crm.veevavault.com/ui/#object/account__v/V4TZ04ASG96298S", "LAURA CRESPI MARTINEZ")</f>
        <v>LAURA CRESPI MARTINEZ</v>
      </c>
      <c r="B2625" s="7" t="str">
        <f>HYPERLINK("https://otsuka-europe-crm.veevavault.com/ui/#object/vcountry__v/VENZ000004SONF5", "ES")</f>
        <v>ES</v>
      </c>
      <c r="C2625" s="8" t="s">
        <v>41</v>
      </c>
      <c r="D2625" s="9" t="str">
        <f>HYPERLINK("https://otsuka-europe-crm.veevavault.com/ui/#object/approved_document__v/V5O00000001B037", "LUP - VAE Póster Adelphi - Reuma")</f>
        <v>LUP - VAE Póster Adelphi - Reuma</v>
      </c>
      <c r="E2625" s="10" t="str">
        <f>HYPERLINK("https://otsuka-europe-crm.veevavault.com/ui/#object/sent_email__v/VBL00000002N783", "SE-001432001")</f>
        <v>SE-001432001</v>
      </c>
      <c r="F2625" s="11"/>
      <c r="G2625" s="12">
        <v>0</v>
      </c>
      <c r="H2625" s="12">
        <v>0</v>
      </c>
      <c r="I2625" s="12">
        <v>0</v>
      </c>
      <c r="J2625" s="11"/>
      <c r="K2625" s="12">
        <v>0</v>
      </c>
      <c r="L2625" s="10" t="str">
        <f>HYPERLINK("https://otsuka-europe-crm.veevavault.com/ui/#object/approved_document__v/V5O00000001B037", "LUP - VAE Póster Adelphi - Reuma")</f>
        <v>LUP - VAE Póster Adelphi - Reuma</v>
      </c>
      <c r="M2625" s="10" t="str">
        <f>HYPERLINK("mailto:ccoll@crm.otsuka-europe.com", "ccoll@crm.otsuka-europe.com")</f>
        <v>ccoll@crm.otsuka-europe.com</v>
      </c>
      <c r="N2625" s="13">
        <v>46175.779594907406</v>
      </c>
      <c r="O2625" s="14" t="str">
        <f>HYPERLINK("https://otsuka-europe-crm.veevavault.com/ui/#object/email_activity__v/V8C00000003M143", "EN-002088294")</f>
        <v>EN-002088294</v>
      </c>
    </row>
    <row r="2626" spans="1:15" ht="32" x14ac:dyDescent="0.2">
      <c r="A2626" s="7" t="str">
        <f>HYPERLINK("https://otsuka-europe-crm.veevavault.com/ui/#object/account__v/V4TZ025E8413QQX", "ELISABET GARCIA CASARES")</f>
        <v>ELISABET GARCIA CASARES</v>
      </c>
      <c r="B2626" s="7" t="str">
        <f>HYPERLINK("https://otsuka-europe-crm.veevavault.com/ui/#object/vcountry__v/VENZ000004SONF5", "ES")</f>
        <v>ES</v>
      </c>
      <c r="C2626" s="8" t="s">
        <v>41</v>
      </c>
      <c r="D2626" s="9" t="str">
        <f>HYPERLINK("https://otsuka-europe-crm.veevavault.com/ui/#object/approved_document__v/V5O00000001B037", "LUP - VAE Póster Adelphi - Reuma")</f>
        <v>LUP - VAE Póster Adelphi - Reuma</v>
      </c>
      <c r="E2626" s="10" t="str">
        <f>HYPERLINK("https://otsuka-europe-crm.veevavault.com/ui/#object/sent_email__v/VBL00000002N784", "SE-001432002")</f>
        <v>SE-001432002</v>
      </c>
      <c r="F2626" s="11"/>
      <c r="G2626" s="12">
        <v>0</v>
      </c>
      <c r="H2626" s="12">
        <v>0</v>
      </c>
      <c r="I2626" s="12">
        <v>0</v>
      </c>
      <c r="J2626" s="11"/>
      <c r="K2626" s="12">
        <v>0</v>
      </c>
      <c r="L2626" s="10" t="str">
        <f>HYPERLINK("https://otsuka-europe-crm.veevavault.com/ui/#object/approved_document__v/V5O00000001B037", "LUP - VAE Póster Adelphi - Reuma")</f>
        <v>LUP - VAE Póster Adelphi - Reuma</v>
      </c>
      <c r="M2626" s="10" t="str">
        <f>HYPERLINK("mailto:ccoll@crm.otsuka-europe.com", "ccoll@crm.otsuka-europe.com")</f>
        <v>ccoll@crm.otsuka-europe.com</v>
      </c>
      <c r="N2626" s="13">
        <v>46175.779594907406</v>
      </c>
      <c r="O2626" s="14" t="str">
        <f>HYPERLINK("https://otsuka-europe-crm.veevavault.com/ui/#object/email_activity__v/V8C00000003N201", "EN-002088245")</f>
        <v>EN-002088245</v>
      </c>
    </row>
    <row r="2627" spans="1:15" ht="32" x14ac:dyDescent="0.2">
      <c r="A2627" s="7" t="str">
        <f>HYPERLINK("https://otsuka-europe-crm.veevavault.com/ui/#object/account__v/V4TZ06G6OB46CMI", "MARIA GALINDO IZQUIERDO")</f>
        <v>MARIA GALINDO IZQUIERDO</v>
      </c>
      <c r="B2627" s="7" t="str">
        <f>HYPERLINK("https://otsuka-europe-crm.veevavault.com/ui/#object/vcountry__v/VENZ000004SONF5", "ES")</f>
        <v>ES</v>
      </c>
      <c r="C2627" s="8" t="s">
        <v>41</v>
      </c>
      <c r="D2627" s="9" t="str">
        <f>HYPERLINK("https://otsuka-europe-crm.veevavault.com/ui/#object/approved_document__v/V5O00000001B037", "LUP - VAE Póster Adelphi - Reuma")</f>
        <v>LUP - VAE Póster Adelphi - Reuma</v>
      </c>
      <c r="E2627" s="10" t="str">
        <f>HYPERLINK("https://otsuka-europe-crm.veevavault.com/ui/#object/sent_email__v/VBL00000002N785", "SE-001432003")</f>
        <v>SE-001432003</v>
      </c>
      <c r="F2627" s="11"/>
      <c r="G2627" s="12">
        <v>0</v>
      </c>
      <c r="H2627" s="12">
        <v>0</v>
      </c>
      <c r="I2627" s="12">
        <v>0</v>
      </c>
      <c r="J2627" s="11"/>
      <c r="K2627" s="12">
        <v>0</v>
      </c>
      <c r="L2627" s="10" t="str">
        <f>HYPERLINK("https://otsuka-europe-crm.veevavault.com/ui/#object/approved_document__v/V5O00000001B037", "LUP - VAE Póster Adelphi - Reuma")</f>
        <v>LUP - VAE Póster Adelphi - Reuma</v>
      </c>
      <c r="M2627" s="10" t="str">
        <f>HYPERLINK("mailto:ccoll@crm.otsuka-europe.com", "ccoll@crm.otsuka-europe.com")</f>
        <v>ccoll@crm.otsuka-europe.com</v>
      </c>
      <c r="N2627" s="13">
        <v>46175.779594907406</v>
      </c>
      <c r="O2627" s="14" t="str">
        <f>HYPERLINK("https://otsuka-europe-crm.veevavault.com/ui/#object/email_activity__v/V8C00000003N192", "EN-002088236")</f>
        <v>EN-002088236</v>
      </c>
    </row>
    <row r="2628" spans="1:15" ht="32" x14ac:dyDescent="0.2">
      <c r="A2628" s="7" t="str">
        <f>HYPERLINK("https://otsuka-europe-crm.veevavault.com/ui/#object/account__v/V4TZ025E832J9WG", "MARIA IRENE CARRION BARBERA")</f>
        <v>MARIA IRENE CARRION BARBERA</v>
      </c>
      <c r="B2628" s="7" t="str">
        <f>HYPERLINK("https://otsuka-europe-crm.veevavault.com/ui/#object/vcountry__v/VENZ000004SONF5", "ES")</f>
        <v>ES</v>
      </c>
      <c r="C2628" s="8" t="s">
        <v>41</v>
      </c>
      <c r="D2628" s="9" t="str">
        <f>HYPERLINK("https://otsuka-europe-crm.veevavault.com/ui/#object/approved_document__v/V5O00000001B037", "LUP - VAE Póster Adelphi - Reuma")</f>
        <v>LUP - VAE Póster Adelphi - Reuma</v>
      </c>
      <c r="E2628" s="10" t="str">
        <f>HYPERLINK("https://otsuka-europe-crm.veevavault.com/ui/#object/sent_email__v/VBL00000002N786", "SE-001432004")</f>
        <v>SE-001432004</v>
      </c>
      <c r="F2628" s="11"/>
      <c r="G2628" s="12">
        <v>0</v>
      </c>
      <c r="H2628" s="12">
        <v>0</v>
      </c>
      <c r="I2628" s="12">
        <v>0</v>
      </c>
      <c r="J2628" s="11"/>
      <c r="K2628" s="12">
        <v>0</v>
      </c>
      <c r="L2628" s="10" t="str">
        <f>HYPERLINK("https://otsuka-europe-crm.veevavault.com/ui/#object/approved_document__v/V5O00000001B037", "LUP - VAE Póster Adelphi - Reuma")</f>
        <v>LUP - VAE Póster Adelphi - Reuma</v>
      </c>
      <c r="M2628" s="10" t="str">
        <f>HYPERLINK("mailto:ccoll@crm.otsuka-europe.com", "ccoll@crm.otsuka-europe.com")</f>
        <v>ccoll@crm.otsuka-europe.com</v>
      </c>
      <c r="N2628" s="13">
        <v>46175.779594907406</v>
      </c>
      <c r="O2628" s="14" t="str">
        <f>HYPERLINK("https://otsuka-europe-crm.veevavault.com/ui/#object/email_activity__v/V8C00000003N219", "EN-002088263")</f>
        <v>EN-002088263</v>
      </c>
    </row>
    <row r="2629" spans="1:15" ht="16" x14ac:dyDescent="0.2">
      <c r="A2629" s="17" t="str">
        <f>HYPERLINK("https://otsuka-europe-crm.veevavault.com/ui/#object/account__v/V4TZ06G6OBU76DL", "TAREK CARLOS SALMAN MONTE")</f>
        <v>TAREK CARLOS SALMAN MONTE</v>
      </c>
      <c r="B2629" s="17" t="str">
        <f>HYPERLINK("https://otsuka-europe-crm.veevavault.com/ui/#object/vcountry__v/VENZ000004SONF5", "ES")</f>
        <v>ES</v>
      </c>
      <c r="C2629" s="20" t="s">
        <v>41</v>
      </c>
      <c r="D2629" s="21" t="str">
        <f>HYPERLINK("https://otsuka-europe-crm.veevavault.com/ui/#object/approved_document__v/V5O00000001B037", "LUP - VAE Póster Adelphi - Reuma")</f>
        <v>LUP - VAE Póster Adelphi - Reuma</v>
      </c>
      <c r="E2629" s="22" t="str">
        <f>HYPERLINK("https://otsuka-europe-crm.veevavault.com/ui/#object/sent_email__v/VBL00000002N787", "SE-001432005")</f>
        <v>SE-001432005</v>
      </c>
      <c r="F2629" s="23">
        <v>46175.783194444448</v>
      </c>
      <c r="G2629" s="24">
        <v>1</v>
      </c>
      <c r="H2629" s="24">
        <v>1</v>
      </c>
      <c r="I2629" s="24">
        <v>0</v>
      </c>
      <c r="J2629" s="25"/>
      <c r="K2629" s="24">
        <v>0</v>
      </c>
      <c r="L2629" s="22" t="str">
        <f>HYPERLINK("https://otsuka-europe-crm.veevavault.com/ui/#object/approved_document__v/V5O00000001B037", "LUP - VAE Póster Adelphi - Reuma")</f>
        <v>LUP - VAE Póster Adelphi - Reuma</v>
      </c>
      <c r="M2629" s="22" t="str">
        <f>HYPERLINK("mailto:ccoll@crm.otsuka-europe.com", "ccoll@crm.otsuka-europe.com")</f>
        <v>ccoll@crm.otsuka-europe.com</v>
      </c>
      <c r="N2629" s="23">
        <v>46175.779594907406</v>
      </c>
      <c r="O2629" s="14" t="str">
        <f>HYPERLINK("https://otsuka-europe-crm.veevavault.com/ui/#object/email_activity__v/V8C00000003N218", "EN-002088262")</f>
        <v>EN-002088262</v>
      </c>
    </row>
    <row r="2630" spans="1:15" ht="16" x14ac:dyDescent="0.2">
      <c r="A2630" s="19"/>
      <c r="B2630" s="19"/>
      <c r="C2630" s="19"/>
      <c r="D2630" s="19"/>
      <c r="E2630" s="19"/>
      <c r="F2630" s="19"/>
      <c r="G2630" s="19"/>
      <c r="H2630" s="19"/>
      <c r="I2630" s="19"/>
      <c r="J2630" s="19"/>
      <c r="K2630" s="19"/>
      <c r="L2630" s="19"/>
      <c r="M2630" s="19"/>
      <c r="N2630" s="19"/>
      <c r="O2630" s="14" t="str">
        <f>HYPERLINK("https://otsuka-europe-crm.veevavault.com/ui/#object/email_activity__v/V8C00000003N237", "EN-002088283")</f>
        <v>EN-002088283</v>
      </c>
    </row>
    <row r="2631" spans="1:15" ht="16" x14ac:dyDescent="0.2">
      <c r="A2631" s="17" t="str">
        <f>HYPERLINK("https://otsuka-europe-crm.veevavault.com/ui/#object/account__v/V4TZ04ASGAADDZO", "MARILE SANABRIA HERNANDEZ")</f>
        <v>MARILE SANABRIA HERNANDEZ</v>
      </c>
      <c r="B2631" s="17" t="str">
        <f>HYPERLINK("https://otsuka-europe-crm.veevavault.com/ui/#object/vcountry__v/VENZ000004SONF5", "ES")</f>
        <v>ES</v>
      </c>
      <c r="C2631" s="20" t="s">
        <v>41</v>
      </c>
      <c r="D2631" s="21" t="str">
        <f>HYPERLINK("https://otsuka-europe-crm.veevavault.com/ui/#object/approved_document__v/V5O00000001B037", "LUP - VAE Póster Adelphi - Reuma")</f>
        <v>LUP - VAE Póster Adelphi - Reuma</v>
      </c>
      <c r="E2631" s="22" t="str">
        <f>HYPERLINK("https://otsuka-europe-crm.veevavault.com/ui/#object/sent_email__v/VBL00000002N788", "SE-001432006")</f>
        <v>SE-001432006</v>
      </c>
      <c r="F2631" s="23">
        <v>46175.801423611112</v>
      </c>
      <c r="G2631" s="24">
        <v>1</v>
      </c>
      <c r="H2631" s="24">
        <v>2</v>
      </c>
      <c r="I2631" s="24">
        <v>0</v>
      </c>
      <c r="J2631" s="25"/>
      <c r="K2631" s="24">
        <v>0</v>
      </c>
      <c r="L2631" s="22" t="str">
        <f>HYPERLINK("https://otsuka-europe-crm.veevavault.com/ui/#object/approved_document__v/V5O00000001B037", "LUP - VAE Póster Adelphi - Reuma")</f>
        <v>LUP - VAE Póster Adelphi - Reuma</v>
      </c>
      <c r="M2631" s="22" t="str">
        <f>HYPERLINK("mailto:ccoll@crm.otsuka-europe.com", "ccoll@crm.otsuka-europe.com")</f>
        <v>ccoll@crm.otsuka-europe.com</v>
      </c>
      <c r="N2631" s="23">
        <v>46175.779594907406</v>
      </c>
      <c r="O2631" s="14" t="str">
        <f>HYPERLINK("https://otsuka-europe-crm.veevavault.com/ui/#object/email_activity__v/V8C00000003M160", "EN-002088328")</f>
        <v>EN-002088328</v>
      </c>
    </row>
    <row r="2632" spans="1:15" ht="16" x14ac:dyDescent="0.2">
      <c r="A2632" s="18"/>
      <c r="B2632" s="18"/>
      <c r="C2632" s="18"/>
      <c r="D2632" s="18"/>
      <c r="E2632" s="18"/>
      <c r="F2632" s="18"/>
      <c r="G2632" s="18"/>
      <c r="H2632" s="18"/>
      <c r="I2632" s="18"/>
      <c r="J2632" s="18"/>
      <c r="K2632" s="18"/>
      <c r="L2632" s="18"/>
      <c r="M2632" s="18"/>
      <c r="N2632" s="18"/>
      <c r="O2632" s="14" t="str">
        <f>HYPERLINK("https://otsuka-europe-crm.veevavault.com/ui/#object/email_activity__v/V8C00000003N174", "EN-002088218")</f>
        <v>EN-002088218</v>
      </c>
    </row>
    <row r="2633" spans="1:15" ht="16" x14ac:dyDescent="0.2">
      <c r="A2633" s="19"/>
      <c r="B2633" s="19"/>
      <c r="C2633" s="19"/>
      <c r="D2633" s="19"/>
      <c r="E2633" s="19"/>
      <c r="F2633" s="19"/>
      <c r="G2633" s="19"/>
      <c r="H2633" s="19"/>
      <c r="I2633" s="19"/>
      <c r="J2633" s="19"/>
      <c r="K2633" s="19"/>
      <c r="L2633" s="19"/>
      <c r="M2633" s="19"/>
      <c r="N2633" s="19"/>
      <c r="O2633" s="14" t="str">
        <f>HYPERLINK("https://otsuka-europe-crm.veevavault.com/ui/#object/email_activity__v/V8C00000003N205", "EN-002088249")</f>
        <v>EN-002088249</v>
      </c>
    </row>
    <row r="2634" spans="1:15" ht="32" x14ac:dyDescent="0.2">
      <c r="A2634" s="7" t="str">
        <f>HYPERLINK("https://otsuka-europe-crm.veevavault.com/ui/#object/account__v/V4TZ04ASGC2GZN2", "DELIA TAVERNER TORRENT")</f>
        <v>DELIA TAVERNER TORRENT</v>
      </c>
      <c r="B2634" s="7" t="str">
        <f>HYPERLINK("https://otsuka-europe-crm.veevavault.com/ui/#object/vcountry__v/VENZ000004SONF5", "ES")</f>
        <v>ES</v>
      </c>
      <c r="C2634" s="8" t="s">
        <v>41</v>
      </c>
      <c r="D2634" s="9" t="str">
        <f>HYPERLINK("https://otsuka-europe-crm.veevavault.com/ui/#object/approved_document__v/V5O00000001B037", "LUP - VAE Póster Adelphi - Reuma")</f>
        <v>LUP - VAE Póster Adelphi - Reuma</v>
      </c>
      <c r="E2634" s="10" t="str">
        <f>HYPERLINK("https://otsuka-europe-crm.veevavault.com/ui/#object/sent_email__v/VBL00000002N789", "SE-001432007")</f>
        <v>SE-001432007</v>
      </c>
      <c r="F2634" s="11"/>
      <c r="G2634" s="12">
        <v>0</v>
      </c>
      <c r="H2634" s="12">
        <v>0</v>
      </c>
      <c r="I2634" s="12">
        <v>0</v>
      </c>
      <c r="J2634" s="11"/>
      <c r="K2634" s="12">
        <v>0</v>
      </c>
      <c r="L2634" s="10" t="str">
        <f>HYPERLINK("https://otsuka-europe-crm.veevavault.com/ui/#object/approved_document__v/V5O00000001B037", "LUP - VAE Póster Adelphi - Reuma")</f>
        <v>LUP - VAE Póster Adelphi - Reuma</v>
      </c>
      <c r="M2634" s="10" t="str">
        <f>HYPERLINK("mailto:ccoll@crm.otsuka-europe.com", "ccoll@crm.otsuka-europe.com")</f>
        <v>ccoll@crm.otsuka-europe.com</v>
      </c>
      <c r="N2634" s="13">
        <v>46175.779594907406</v>
      </c>
      <c r="O2634" s="14" t="str">
        <f>HYPERLINK("https://otsuka-europe-crm.veevavault.com/ui/#object/email_activity__v/V8C00000003N209", "EN-002088253")</f>
        <v>EN-002088253</v>
      </c>
    </row>
    <row r="2635" spans="1:15" ht="32" x14ac:dyDescent="0.2">
      <c r="A2635" s="7" t="str">
        <f>HYPERLINK("https://otsuka-europe-crm.veevavault.com/ui/#object/account__v/V4TZ025E83P7WIE", "ELENA RIERA ALONSO")</f>
        <v>ELENA RIERA ALONSO</v>
      </c>
      <c r="B2635" s="7" t="str">
        <f>HYPERLINK("https://otsuka-europe-crm.veevavault.com/ui/#object/vcountry__v/VENZ000004SONF5", "ES")</f>
        <v>ES</v>
      </c>
      <c r="C2635" s="8" t="s">
        <v>41</v>
      </c>
      <c r="D2635" s="9" t="str">
        <f>HYPERLINK("https://otsuka-europe-crm.veevavault.com/ui/#object/approved_document__v/V5O00000001B037", "LUP - VAE Póster Adelphi - Reuma")</f>
        <v>LUP - VAE Póster Adelphi - Reuma</v>
      </c>
      <c r="E2635" s="10" t="str">
        <f>HYPERLINK("https://otsuka-europe-crm.veevavault.com/ui/#object/sent_email__v/VBL00000002N790", "SE-001432008")</f>
        <v>SE-001432008</v>
      </c>
      <c r="F2635" s="11"/>
      <c r="G2635" s="12">
        <v>0</v>
      </c>
      <c r="H2635" s="12">
        <v>0</v>
      </c>
      <c r="I2635" s="12">
        <v>0</v>
      </c>
      <c r="J2635" s="11"/>
      <c r="K2635" s="12">
        <v>0</v>
      </c>
      <c r="L2635" s="10" t="str">
        <f>HYPERLINK("https://otsuka-europe-crm.veevavault.com/ui/#object/approved_document__v/V5O00000001B037", "LUP - VAE Póster Adelphi - Reuma")</f>
        <v>LUP - VAE Póster Adelphi - Reuma</v>
      </c>
      <c r="M2635" s="10" t="str">
        <f>HYPERLINK("mailto:ccoll@crm.otsuka-europe.com", "ccoll@crm.otsuka-europe.com")</f>
        <v>ccoll@crm.otsuka-europe.com</v>
      </c>
      <c r="N2635" s="13">
        <v>46175.779594907406</v>
      </c>
      <c r="O2635" s="14" t="str">
        <f>HYPERLINK("https://otsuka-europe-crm.veevavault.com/ui/#object/email_activity__v/V8C00000003N199", "EN-002088243")</f>
        <v>EN-002088243</v>
      </c>
    </row>
    <row r="2636" spans="1:15" ht="16" x14ac:dyDescent="0.2">
      <c r="A2636" s="17" t="str">
        <f>HYPERLINK("https://otsuka-europe-crm.veevavault.com/ui/#object/account__v/V4TZ04ASGCDJCG0", "MARIA PILAR SANTO PANERO")</f>
        <v>MARIA PILAR SANTO PANERO</v>
      </c>
      <c r="B2636" s="17" t="str">
        <f>HYPERLINK("https://otsuka-europe-crm.veevavault.com/ui/#object/vcountry__v/VENZ000004SONF5", "ES")</f>
        <v>ES</v>
      </c>
      <c r="C2636" s="20" t="s">
        <v>41</v>
      </c>
      <c r="D2636" s="21" t="str">
        <f>HYPERLINK("https://otsuka-europe-crm.veevavault.com/ui/#object/approved_document__v/V5O00000001B037", "LUP - VAE Póster Adelphi - Reuma")</f>
        <v>LUP - VAE Póster Adelphi - Reuma</v>
      </c>
      <c r="E2636" s="22" t="str">
        <f>HYPERLINK("https://otsuka-europe-crm.veevavault.com/ui/#object/sent_email__v/VBL00000002N791", "SE-001432009")</f>
        <v>SE-001432009</v>
      </c>
      <c r="F2636" s="23">
        <v>46175.78875</v>
      </c>
      <c r="G2636" s="24">
        <v>1</v>
      </c>
      <c r="H2636" s="24">
        <v>1</v>
      </c>
      <c r="I2636" s="24">
        <v>0</v>
      </c>
      <c r="J2636" s="25"/>
      <c r="K2636" s="24">
        <v>0</v>
      </c>
      <c r="L2636" s="22" t="str">
        <f>HYPERLINK("https://otsuka-europe-crm.veevavault.com/ui/#object/approved_document__v/V5O00000001B037", "LUP - VAE Póster Adelphi - Reuma")</f>
        <v>LUP - VAE Póster Adelphi - Reuma</v>
      </c>
      <c r="M2636" s="22" t="str">
        <f>HYPERLINK("mailto:ccoll@crm.otsuka-europe.com", "ccoll@crm.otsuka-europe.com")</f>
        <v>ccoll@crm.otsuka-europe.com</v>
      </c>
      <c r="N2636" s="23">
        <v>46175.779594907406</v>
      </c>
      <c r="O2636" s="14" t="str">
        <f>HYPERLINK("https://otsuka-europe-crm.veevavault.com/ui/#object/email_activity__v/V8C00000003N222", "EN-002088266")</f>
        <v>EN-002088266</v>
      </c>
    </row>
    <row r="2637" spans="1:15" ht="16" x14ac:dyDescent="0.2">
      <c r="A2637" s="19"/>
      <c r="B2637" s="19"/>
      <c r="C2637" s="19"/>
      <c r="D2637" s="19"/>
      <c r="E2637" s="19"/>
      <c r="F2637" s="19"/>
      <c r="G2637" s="19"/>
      <c r="H2637" s="19"/>
      <c r="I2637" s="19"/>
      <c r="J2637" s="19"/>
      <c r="K2637" s="19"/>
      <c r="L2637" s="19"/>
      <c r="M2637" s="19"/>
      <c r="N2637" s="19"/>
      <c r="O2637" s="14" t="str">
        <f>HYPERLINK("https://otsuka-europe-crm.veevavault.com/ui/#object/email_activity__v/V8C00000003N245", "EN-002088301")</f>
        <v>EN-002088301</v>
      </c>
    </row>
    <row r="2638" spans="1:15" ht="32" x14ac:dyDescent="0.2">
      <c r="A2638" s="7" t="str">
        <f>HYPERLINK("https://otsuka-europe-crm.veevavault.com/ui/#object/account__v/V4TZ025E85JK6LH", "CLAUDIA ARANGO SILVA")</f>
        <v>CLAUDIA ARANGO SILVA</v>
      </c>
      <c r="B2638" s="7" t="str">
        <f>HYPERLINK("https://otsuka-europe-crm.veevavault.com/ui/#object/vcountry__v/VENZ000004SONF5", "ES")</f>
        <v>ES</v>
      </c>
      <c r="C2638" s="8" t="s">
        <v>41</v>
      </c>
      <c r="D2638" s="9" t="str">
        <f>HYPERLINK("https://otsuka-europe-crm.veevavault.com/ui/#object/approved_document__v/V5O00000001B037", "LUP - VAE Póster Adelphi - Reuma")</f>
        <v>LUP - VAE Póster Adelphi - Reuma</v>
      </c>
      <c r="E2638" s="10" t="str">
        <f>HYPERLINK("https://otsuka-europe-crm.veevavault.com/ui/#object/sent_email__v/VBL00000002N792", "SE-001432010")</f>
        <v>SE-001432010</v>
      </c>
      <c r="F2638" s="11"/>
      <c r="G2638" s="12">
        <v>0</v>
      </c>
      <c r="H2638" s="12">
        <v>0</v>
      </c>
      <c r="I2638" s="12">
        <v>0</v>
      </c>
      <c r="J2638" s="11"/>
      <c r="K2638" s="12">
        <v>0</v>
      </c>
      <c r="L2638" s="10" t="str">
        <f>HYPERLINK("https://otsuka-europe-crm.veevavault.com/ui/#object/approved_document__v/V5O00000001B037", "LUP - VAE Póster Adelphi - Reuma")</f>
        <v>LUP - VAE Póster Adelphi - Reuma</v>
      </c>
      <c r="M2638" s="10" t="str">
        <f>HYPERLINK("mailto:ccoll@crm.otsuka-europe.com", "ccoll@crm.otsuka-europe.com")</f>
        <v>ccoll@crm.otsuka-europe.com</v>
      </c>
      <c r="N2638" s="13">
        <v>46175.779594907406</v>
      </c>
      <c r="O2638" s="14" t="str">
        <f>HYPERLINK("https://otsuka-europe-crm.veevavault.com/ui/#object/email_activity__v/V8C00000003N210", "EN-002088254")</f>
        <v>EN-002088254</v>
      </c>
    </row>
    <row r="2639" spans="1:15" ht="32" x14ac:dyDescent="0.2">
      <c r="A2639" s="7" t="str">
        <f>HYPERLINK("https://otsuka-europe-crm.veevavault.com/ui/#object/account__v/V4TZ04ASGEBWRWC", "PAULA VALENTINA ESTRADA ALARCON")</f>
        <v>PAULA VALENTINA ESTRADA ALARCON</v>
      </c>
      <c r="B2639" s="7" t="str">
        <f>HYPERLINK("https://otsuka-europe-crm.veevavault.com/ui/#object/vcountry__v/VENZ000004SONF5", "ES")</f>
        <v>ES</v>
      </c>
      <c r="C2639" s="8" t="s">
        <v>41</v>
      </c>
      <c r="D2639" s="9" t="str">
        <f>HYPERLINK("https://otsuka-europe-crm.veevavault.com/ui/#object/approved_document__v/V5O00000001B037", "LUP - VAE Póster Adelphi - Reuma")</f>
        <v>LUP - VAE Póster Adelphi - Reuma</v>
      </c>
      <c r="E2639" s="10" t="str">
        <f>HYPERLINK("https://otsuka-europe-crm.veevavault.com/ui/#object/sent_email__v/VBL00000002N793", "SE-001432011")</f>
        <v>SE-001432011</v>
      </c>
      <c r="F2639" s="11"/>
      <c r="G2639" s="12">
        <v>0</v>
      </c>
      <c r="H2639" s="12">
        <v>0</v>
      </c>
      <c r="I2639" s="12">
        <v>0</v>
      </c>
      <c r="J2639" s="11"/>
      <c r="K2639" s="12">
        <v>0</v>
      </c>
      <c r="L2639" s="10" t="str">
        <f>HYPERLINK("https://otsuka-europe-crm.veevavault.com/ui/#object/approved_document__v/V5O00000001B037", "LUP - VAE Póster Adelphi - Reuma")</f>
        <v>LUP - VAE Póster Adelphi - Reuma</v>
      </c>
      <c r="M2639" s="10" t="str">
        <f>HYPERLINK("mailto:ccoll@crm.otsuka-europe.com", "ccoll@crm.otsuka-europe.com")</f>
        <v>ccoll@crm.otsuka-europe.com</v>
      </c>
      <c r="N2639" s="13">
        <v>46175.779594907406</v>
      </c>
      <c r="O2639" s="14" t="str">
        <f>HYPERLINK("https://otsuka-europe-crm.veevavault.com/ui/#object/email_activity__v/V8C00000003N214", "EN-002088258")</f>
        <v>EN-002088258</v>
      </c>
    </row>
    <row r="2640" spans="1:15" ht="16" x14ac:dyDescent="0.2">
      <c r="A2640" s="17" t="str">
        <f>HYPERLINK("https://otsuka-europe-crm.veevavault.com/ui/#object/account__v/V4TZ06G6OB4F1KD", "FRANCISCO JAVIER NARVAEZ GARCIA")</f>
        <v>FRANCISCO JAVIER NARVAEZ GARCIA</v>
      </c>
      <c r="B2640" s="17" t="str">
        <f>HYPERLINK("https://otsuka-europe-crm.veevavault.com/ui/#object/vcountry__v/VENZ000004SONF5", "ES")</f>
        <v>ES</v>
      </c>
      <c r="C2640" s="20" t="s">
        <v>41</v>
      </c>
      <c r="D2640" s="21" t="str">
        <f>HYPERLINK("https://otsuka-europe-crm.veevavault.com/ui/#object/approved_document__v/V5O00000001B037", "LUP - VAE Póster Adelphi - Reuma")</f>
        <v>LUP - VAE Póster Adelphi - Reuma</v>
      </c>
      <c r="E2640" s="22" t="str">
        <f>HYPERLINK("https://otsuka-europe-crm.veevavault.com/ui/#object/sent_email__v/VBL00000002N794", "SE-001432012")</f>
        <v>SE-001432012</v>
      </c>
      <c r="F2640" s="23">
        <v>46175.784305555557</v>
      </c>
      <c r="G2640" s="24">
        <v>1</v>
      </c>
      <c r="H2640" s="24">
        <v>2</v>
      </c>
      <c r="I2640" s="24">
        <v>0</v>
      </c>
      <c r="J2640" s="25"/>
      <c r="K2640" s="24">
        <v>0</v>
      </c>
      <c r="L2640" s="22" t="str">
        <f>HYPERLINK("https://otsuka-europe-crm.veevavault.com/ui/#object/approved_document__v/V5O00000001B037", "LUP - VAE Póster Adelphi - Reuma")</f>
        <v>LUP - VAE Póster Adelphi - Reuma</v>
      </c>
      <c r="M2640" s="22" t="str">
        <f>HYPERLINK("mailto:ccoll@crm.otsuka-europe.com", "ccoll@crm.otsuka-europe.com")</f>
        <v>ccoll@crm.otsuka-europe.com</v>
      </c>
      <c r="N2640" s="23">
        <v>46175.779594907406</v>
      </c>
      <c r="O2640" s="14" t="str">
        <f>HYPERLINK("https://otsuka-europe-crm.veevavault.com/ui/#object/email_activity__v/V8C00000003N185", "EN-002088229")</f>
        <v>EN-002088229</v>
      </c>
    </row>
    <row r="2641" spans="1:15" ht="16" x14ac:dyDescent="0.2">
      <c r="A2641" s="18"/>
      <c r="B2641" s="18"/>
      <c r="C2641" s="18"/>
      <c r="D2641" s="18"/>
      <c r="E2641" s="18"/>
      <c r="F2641" s="18"/>
      <c r="G2641" s="18"/>
      <c r="H2641" s="18"/>
      <c r="I2641" s="18"/>
      <c r="J2641" s="18"/>
      <c r="K2641" s="18"/>
      <c r="L2641" s="18"/>
      <c r="M2641" s="18"/>
      <c r="N2641" s="18"/>
      <c r="O2641" s="14" t="str">
        <f>HYPERLINK("https://otsuka-europe-crm.veevavault.com/ui/#object/email_activity__v/V8C00000003N238", "EN-002088285")</f>
        <v>EN-002088285</v>
      </c>
    </row>
    <row r="2642" spans="1:15" ht="16" x14ac:dyDescent="0.2">
      <c r="A2642" s="19"/>
      <c r="B2642" s="19"/>
      <c r="C2642" s="19"/>
      <c r="D2642" s="19"/>
      <c r="E2642" s="19"/>
      <c r="F2642" s="19"/>
      <c r="G2642" s="19"/>
      <c r="H2642" s="19"/>
      <c r="I2642" s="19"/>
      <c r="J2642" s="19"/>
      <c r="K2642" s="19"/>
      <c r="L2642" s="19"/>
      <c r="M2642" s="19"/>
      <c r="N2642" s="19"/>
      <c r="O2642" s="14" t="str">
        <f>HYPERLINK("https://otsuka-europe-crm.veevavault.com/ui/#object/email_activity__v/V8C00000003N239", "EN-002088286")</f>
        <v>EN-002088286</v>
      </c>
    </row>
    <row r="2643" spans="1:15" ht="16" x14ac:dyDescent="0.2">
      <c r="A2643" s="17" t="str">
        <f>HYPERLINK("https://otsuka-europe-crm.veevavault.com/ui/#object/account__v/V4TZ025E86KXG5G", "JOSHUA ADOLFO PEÑAFIEL SAM")</f>
        <v>JOSHUA ADOLFO PEÑAFIEL SAM</v>
      </c>
      <c r="B2643" s="17" t="str">
        <f>HYPERLINK("https://otsuka-europe-crm.veevavault.com/ui/#object/vcountry__v/VENZ000004SONF5", "ES")</f>
        <v>ES</v>
      </c>
      <c r="C2643" s="20" t="s">
        <v>41</v>
      </c>
      <c r="D2643" s="21" t="str">
        <f>HYPERLINK("https://otsuka-europe-crm.veevavault.com/ui/#object/approved_document__v/V5O00000001B037", "LUP - VAE Póster Adelphi - Reuma")</f>
        <v>LUP - VAE Póster Adelphi - Reuma</v>
      </c>
      <c r="E2643" s="22" t="str">
        <f>HYPERLINK("https://otsuka-europe-crm.veevavault.com/ui/#object/sent_email__v/VBL00000002N795", "SE-001432013")</f>
        <v>SE-001432013</v>
      </c>
      <c r="F2643" s="23">
        <v>46175.815821759257</v>
      </c>
      <c r="G2643" s="24">
        <v>1</v>
      </c>
      <c r="H2643" s="24">
        <v>1</v>
      </c>
      <c r="I2643" s="24">
        <v>0</v>
      </c>
      <c r="J2643" s="25"/>
      <c r="K2643" s="24">
        <v>0</v>
      </c>
      <c r="L2643" s="22" t="str">
        <f>HYPERLINK("https://otsuka-europe-crm.veevavault.com/ui/#object/approved_document__v/V5O00000001B037", "LUP - VAE Póster Adelphi - Reuma")</f>
        <v>LUP - VAE Póster Adelphi - Reuma</v>
      </c>
      <c r="M2643" s="22" t="str">
        <f>HYPERLINK("mailto:ccoll@crm.otsuka-europe.com", "ccoll@crm.otsuka-europe.com")</f>
        <v>ccoll@crm.otsuka-europe.com</v>
      </c>
      <c r="N2643" s="23">
        <v>46175.779594907406</v>
      </c>
      <c r="O2643" s="14" t="str">
        <f>HYPERLINK("https://otsuka-europe-crm.veevavault.com/ui/#object/email_activity__v/V8C00000003M177", "EN-002088350")</f>
        <v>EN-002088350</v>
      </c>
    </row>
    <row r="2644" spans="1:15" ht="16" x14ac:dyDescent="0.2">
      <c r="A2644" s="19"/>
      <c r="B2644" s="19"/>
      <c r="C2644" s="19"/>
      <c r="D2644" s="19"/>
      <c r="E2644" s="19"/>
      <c r="F2644" s="19"/>
      <c r="G2644" s="19"/>
      <c r="H2644" s="19"/>
      <c r="I2644" s="19"/>
      <c r="J2644" s="19"/>
      <c r="K2644" s="19"/>
      <c r="L2644" s="19"/>
      <c r="M2644" s="19"/>
      <c r="N2644" s="19"/>
      <c r="O2644" s="14" t="str">
        <f>HYPERLINK("https://otsuka-europe-crm.veevavault.com/ui/#object/email_activity__v/V8C00000003N184", "EN-002088228")</f>
        <v>EN-002088228</v>
      </c>
    </row>
    <row r="2645" spans="1:15" ht="32" x14ac:dyDescent="0.2">
      <c r="A2645" s="7" t="str">
        <f>HYPERLINK("https://otsuka-europe-crm.veevavault.com/ui/#object/account__v/V4TZ04ASGAGEXWS", "JOSE ALFREDO GOMEZ PUERTA")</f>
        <v>JOSE ALFREDO GOMEZ PUERTA</v>
      </c>
      <c r="B2645" s="7" t="str">
        <f t="shared" ref="B2645:B2650" si="56">HYPERLINK("https://otsuka-europe-crm.veevavault.com/ui/#object/vcountry__v/VENZ000004SONF5", "ES")</f>
        <v>ES</v>
      </c>
      <c r="C2645" s="8" t="s">
        <v>41</v>
      </c>
      <c r="D2645" s="9" t="str">
        <f t="shared" ref="D2645:D2650" si="57">HYPERLINK("https://otsuka-europe-crm.veevavault.com/ui/#object/approved_document__v/V5O00000001B037", "LUP - VAE Póster Adelphi - Reuma")</f>
        <v>LUP - VAE Póster Adelphi - Reuma</v>
      </c>
      <c r="E2645" s="10" t="str">
        <f>HYPERLINK("https://otsuka-europe-crm.veevavault.com/ui/#object/sent_email__v/VBL00000002N796", "SE-001432014")</f>
        <v>SE-001432014</v>
      </c>
      <c r="F2645" s="11"/>
      <c r="G2645" s="12">
        <v>0</v>
      </c>
      <c r="H2645" s="12">
        <v>0</v>
      </c>
      <c r="I2645" s="12">
        <v>0</v>
      </c>
      <c r="J2645" s="11"/>
      <c r="K2645" s="12">
        <v>0</v>
      </c>
      <c r="L2645" s="10" t="str">
        <f t="shared" ref="L2645:L2650" si="58">HYPERLINK("https://otsuka-europe-crm.veevavault.com/ui/#object/approved_document__v/V5O00000001B037", "LUP - VAE Póster Adelphi - Reuma")</f>
        <v>LUP - VAE Póster Adelphi - Reuma</v>
      </c>
      <c r="M2645" s="10" t="str">
        <f t="shared" ref="M2645:M2650" si="59">HYPERLINK("mailto:ccoll@crm.otsuka-europe.com", "ccoll@crm.otsuka-europe.com")</f>
        <v>ccoll@crm.otsuka-europe.com</v>
      </c>
      <c r="N2645" s="13">
        <v>46175.779594907406</v>
      </c>
      <c r="O2645" s="14" t="str">
        <f>HYPERLINK("https://otsuka-europe-crm.veevavault.com/ui/#object/email_activity__v/V8C00000003N213", "EN-002088257")</f>
        <v>EN-002088257</v>
      </c>
    </row>
    <row r="2646" spans="1:15" ht="32" x14ac:dyDescent="0.2">
      <c r="A2646" s="7" t="str">
        <f>HYPERLINK("https://otsuka-europe-crm.veevavault.com/ui/#object/account__v/V4TZ04ASGCDJBDQ", "ELENA LEONOR SIRVENT ALIERTA")</f>
        <v>ELENA LEONOR SIRVENT ALIERTA</v>
      </c>
      <c r="B2646" s="7" t="str">
        <f t="shared" si="56"/>
        <v>ES</v>
      </c>
      <c r="C2646" s="8" t="s">
        <v>41</v>
      </c>
      <c r="D2646" s="9" t="str">
        <f t="shared" si="57"/>
        <v>LUP - VAE Póster Adelphi - Reuma</v>
      </c>
      <c r="E2646" s="10" t="str">
        <f>HYPERLINK("https://otsuka-europe-crm.veevavault.com/ui/#object/sent_email__v/VBL00000002N797", "SE-001432015")</f>
        <v>SE-001432015</v>
      </c>
      <c r="F2646" s="11"/>
      <c r="G2646" s="12">
        <v>0</v>
      </c>
      <c r="H2646" s="12">
        <v>0</v>
      </c>
      <c r="I2646" s="12">
        <v>0</v>
      </c>
      <c r="J2646" s="11"/>
      <c r="K2646" s="12">
        <v>0</v>
      </c>
      <c r="L2646" s="10" t="str">
        <f t="shared" si="58"/>
        <v>LUP - VAE Póster Adelphi - Reuma</v>
      </c>
      <c r="M2646" s="10" t="str">
        <f t="shared" si="59"/>
        <v>ccoll@crm.otsuka-europe.com</v>
      </c>
      <c r="N2646" s="13">
        <v>46175.779594907406</v>
      </c>
      <c r="O2646" s="14" t="str">
        <f>HYPERLINK("https://otsuka-europe-crm.veevavault.com/ui/#object/email_activity__v/V8C00000003N223", "EN-002088267")</f>
        <v>EN-002088267</v>
      </c>
    </row>
    <row r="2647" spans="1:15" ht="32" x14ac:dyDescent="0.2">
      <c r="A2647" s="7" t="str">
        <f>HYPERLINK("https://otsuka-europe-crm.veevavault.com/ui/#object/account__v/V4TZ025E87IXEF2", "REGINA FARE GARCIA")</f>
        <v>REGINA FARE GARCIA</v>
      </c>
      <c r="B2647" s="7" t="str">
        <f t="shared" si="56"/>
        <v>ES</v>
      </c>
      <c r="C2647" s="8" t="s">
        <v>41</v>
      </c>
      <c r="D2647" s="9" t="str">
        <f t="shared" si="57"/>
        <v>LUP - VAE Póster Adelphi - Reuma</v>
      </c>
      <c r="E2647" s="10" t="str">
        <f>HYPERLINK("https://otsuka-europe-crm.veevavault.com/ui/#object/sent_email__v/VBL00000002N798", "SE-001432016")</f>
        <v>SE-001432016</v>
      </c>
      <c r="F2647" s="11"/>
      <c r="G2647" s="12">
        <v>0</v>
      </c>
      <c r="H2647" s="12">
        <v>0</v>
      </c>
      <c r="I2647" s="12">
        <v>0</v>
      </c>
      <c r="J2647" s="11"/>
      <c r="K2647" s="12">
        <v>0</v>
      </c>
      <c r="L2647" s="10" t="str">
        <f t="shared" si="58"/>
        <v>LUP - VAE Póster Adelphi - Reuma</v>
      </c>
      <c r="M2647" s="10" t="str">
        <f t="shared" si="59"/>
        <v>ccoll@crm.otsuka-europe.com</v>
      </c>
      <c r="N2647" s="13">
        <v>46175.779594907406</v>
      </c>
      <c r="O2647" s="14" t="str">
        <f>HYPERLINK("https://otsuka-europe-crm.veevavault.com/ui/#object/email_activity__v/V8C00000003M144", "EN-002088295")</f>
        <v>EN-002088295</v>
      </c>
    </row>
    <row r="2648" spans="1:15" ht="32" x14ac:dyDescent="0.2">
      <c r="A2648" s="7" t="str">
        <f>HYPERLINK("https://otsuka-europe-crm.veevavault.com/ui/#object/account__v/V4TZ025E85XQW3A", "CHAFIK ALEJANDRO CHACUR KISS")</f>
        <v>CHAFIK ALEJANDRO CHACUR KISS</v>
      </c>
      <c r="B2648" s="7" t="str">
        <f t="shared" si="56"/>
        <v>ES</v>
      </c>
      <c r="C2648" s="8" t="s">
        <v>41</v>
      </c>
      <c r="D2648" s="9" t="str">
        <f t="shared" si="57"/>
        <v>LUP - VAE Póster Adelphi - Reuma</v>
      </c>
      <c r="E2648" s="10" t="str">
        <f>HYPERLINK("https://otsuka-europe-crm.veevavault.com/ui/#object/sent_email__v/VBL00000002N799", "SE-001432017")</f>
        <v>SE-001432017</v>
      </c>
      <c r="F2648" s="11"/>
      <c r="G2648" s="12">
        <v>0</v>
      </c>
      <c r="H2648" s="12">
        <v>0</v>
      </c>
      <c r="I2648" s="12">
        <v>0</v>
      </c>
      <c r="J2648" s="11"/>
      <c r="K2648" s="12">
        <v>0</v>
      </c>
      <c r="L2648" s="10" t="str">
        <f t="shared" si="58"/>
        <v>LUP - VAE Póster Adelphi - Reuma</v>
      </c>
      <c r="M2648" s="10" t="str">
        <f t="shared" si="59"/>
        <v>ccoll@crm.otsuka-europe.com</v>
      </c>
      <c r="N2648" s="13">
        <v>46175.779594907406</v>
      </c>
      <c r="O2648" s="14" t="str">
        <f>HYPERLINK("https://otsuka-europe-crm.veevavault.com/ui/#object/email_activity__v/V8C00000003N211", "EN-002088255")</f>
        <v>EN-002088255</v>
      </c>
    </row>
    <row r="2649" spans="1:15" ht="32" x14ac:dyDescent="0.2">
      <c r="A2649" s="7" t="str">
        <f>HYPERLINK("https://otsuka-europe-crm.veevavault.com/ui/#object/account__v/V4TZ04ASG9M8EVR", "IVETTE CASAFONT SOLE")</f>
        <v>IVETTE CASAFONT SOLE</v>
      </c>
      <c r="B2649" s="7" t="str">
        <f t="shared" si="56"/>
        <v>ES</v>
      </c>
      <c r="C2649" s="8" t="s">
        <v>41</v>
      </c>
      <c r="D2649" s="9" t="str">
        <f t="shared" si="57"/>
        <v>LUP - VAE Póster Adelphi - Reuma</v>
      </c>
      <c r="E2649" s="10" t="str">
        <f>HYPERLINK("https://otsuka-europe-crm.veevavault.com/ui/#object/sent_email__v/VBL00000002N800", "SE-001432018")</f>
        <v>SE-001432018</v>
      </c>
      <c r="F2649" s="11"/>
      <c r="G2649" s="12">
        <v>0</v>
      </c>
      <c r="H2649" s="12">
        <v>0</v>
      </c>
      <c r="I2649" s="12">
        <v>0</v>
      </c>
      <c r="J2649" s="11"/>
      <c r="K2649" s="12">
        <v>0</v>
      </c>
      <c r="L2649" s="10" t="str">
        <f t="shared" si="58"/>
        <v>LUP - VAE Póster Adelphi - Reuma</v>
      </c>
      <c r="M2649" s="10" t="str">
        <f t="shared" si="59"/>
        <v>ccoll@crm.otsuka-europe.com</v>
      </c>
      <c r="N2649" s="13">
        <v>46175.779560185183</v>
      </c>
      <c r="O2649" s="14" t="str">
        <f>HYPERLINK("https://otsuka-europe-crm.veevavault.com/ui/#object/email_activity__v/V8C00000003N215", "EN-002088259")</f>
        <v>EN-002088259</v>
      </c>
    </row>
    <row r="2650" spans="1:15" ht="16" x14ac:dyDescent="0.2">
      <c r="A2650" s="17" t="str">
        <f>HYPERLINK("https://otsuka-europe-crm.veevavault.com/ui/#object/account__v/V4TZ04ASGCDLBBL", "SAMUEL HERNANDEZ BALDIZON")</f>
        <v>SAMUEL HERNANDEZ BALDIZON</v>
      </c>
      <c r="B2650" s="17" t="str">
        <f t="shared" si="56"/>
        <v>ES</v>
      </c>
      <c r="C2650" s="20" t="s">
        <v>41</v>
      </c>
      <c r="D2650" s="21" t="str">
        <f t="shared" si="57"/>
        <v>LUP - VAE Póster Adelphi - Reuma</v>
      </c>
      <c r="E2650" s="22" t="str">
        <f>HYPERLINK("https://otsuka-europe-crm.veevavault.com/ui/#object/sent_email__v/VBL00000002N801", "SE-001432019")</f>
        <v>SE-001432019</v>
      </c>
      <c r="F2650" s="23">
        <v>46175.816886574074</v>
      </c>
      <c r="G2650" s="24">
        <v>1</v>
      </c>
      <c r="H2650" s="24">
        <v>1</v>
      </c>
      <c r="I2650" s="24">
        <v>0</v>
      </c>
      <c r="J2650" s="25"/>
      <c r="K2650" s="24">
        <v>0</v>
      </c>
      <c r="L2650" s="22" t="str">
        <f t="shared" si="58"/>
        <v>LUP - VAE Póster Adelphi - Reuma</v>
      </c>
      <c r="M2650" s="22" t="str">
        <f t="shared" si="59"/>
        <v>ccoll@crm.otsuka-europe.com</v>
      </c>
      <c r="N2650" s="23">
        <v>46175.779560185183</v>
      </c>
      <c r="O2650" s="14" t="str">
        <f>HYPERLINK("https://otsuka-europe-crm.veevavault.com/ui/#object/email_activity__v/V8C00000003M142", "EN-002088293")</f>
        <v>EN-002088293</v>
      </c>
    </row>
    <row r="2651" spans="1:15" ht="16" x14ac:dyDescent="0.2">
      <c r="A2651" s="19"/>
      <c r="B2651" s="19"/>
      <c r="C2651" s="19"/>
      <c r="D2651" s="19"/>
      <c r="E2651" s="19"/>
      <c r="F2651" s="19"/>
      <c r="G2651" s="19"/>
      <c r="H2651" s="19"/>
      <c r="I2651" s="19"/>
      <c r="J2651" s="19"/>
      <c r="K2651" s="19"/>
      <c r="L2651" s="19"/>
      <c r="M2651" s="19"/>
      <c r="N2651" s="19"/>
      <c r="O2651" s="14" t="str">
        <f>HYPERLINK("https://otsuka-europe-crm.veevavault.com/ui/#object/email_activity__v/V8C00000003M181", "EN-002088354")</f>
        <v>EN-002088354</v>
      </c>
    </row>
    <row r="2652" spans="1:15" ht="32" x14ac:dyDescent="0.2">
      <c r="A2652" s="7" t="str">
        <f>HYPERLINK("https://otsuka-europe-crm.veevavault.com/ui/#object/account__v/V4T000000010098", "HELENA CODES MENDEZ")</f>
        <v>HELENA CODES MENDEZ</v>
      </c>
      <c r="B2652" s="7" t="str">
        <f>HYPERLINK("https://otsuka-europe-crm.veevavault.com/ui/#object/vcountry__v/VENZ000004SONF5", "ES")</f>
        <v>ES</v>
      </c>
      <c r="C2652" s="8" t="s">
        <v>41</v>
      </c>
      <c r="D2652" s="9" t="str">
        <f>HYPERLINK("https://otsuka-europe-crm.veevavault.com/ui/#object/approved_document__v/V5O00000001B037", "LUP - VAE Póster Adelphi - Reuma")</f>
        <v>LUP - VAE Póster Adelphi - Reuma</v>
      </c>
      <c r="E2652" s="10" t="str">
        <f>HYPERLINK("https://otsuka-europe-crm.veevavault.com/ui/#object/sent_email__v/VBL00000002N802", "SE-001432020")</f>
        <v>SE-001432020</v>
      </c>
      <c r="F2652" s="11"/>
      <c r="G2652" s="12">
        <v>0</v>
      </c>
      <c r="H2652" s="12">
        <v>0</v>
      </c>
      <c r="I2652" s="12">
        <v>0</v>
      </c>
      <c r="J2652" s="11"/>
      <c r="K2652" s="12">
        <v>0</v>
      </c>
      <c r="L2652" s="10" t="str">
        <f>HYPERLINK("https://otsuka-europe-crm.veevavault.com/ui/#object/approved_document__v/V5O00000001B037", "LUP - VAE Póster Adelphi - Reuma")</f>
        <v>LUP - VAE Póster Adelphi - Reuma</v>
      </c>
      <c r="M2652" s="10" t="str">
        <f>HYPERLINK("mailto:ccoll@crm.otsuka-europe.com", "ccoll@crm.otsuka-europe.com")</f>
        <v>ccoll@crm.otsuka-europe.com</v>
      </c>
      <c r="N2652" s="13">
        <v>46175.779560185183</v>
      </c>
      <c r="O2652" s="14" t="str">
        <f>HYPERLINK("https://otsuka-europe-crm.veevavault.com/ui/#object/email_activity__v/V8C00000003N204", "EN-002088248")</f>
        <v>EN-002088248</v>
      </c>
    </row>
    <row r="2653" spans="1:15" ht="32" x14ac:dyDescent="0.2">
      <c r="A2653" s="7" t="str">
        <f>HYPERLINK("https://otsuka-europe-crm.veevavault.com/ui/#object/account__v/V4TZ025E82WZJ62", "ANTONIO JOSE LOZANO SAEZ")</f>
        <v>ANTONIO JOSE LOZANO SAEZ</v>
      </c>
      <c r="B2653" s="7" t="str">
        <f>HYPERLINK("https://otsuka-europe-crm.veevavault.com/ui/#object/vcountry__v/VENZ000004SONF5", "ES")</f>
        <v>ES</v>
      </c>
      <c r="C2653" s="8" t="s">
        <v>41</v>
      </c>
      <c r="D2653" s="9" t="str">
        <f>HYPERLINK("https://otsuka-europe-crm.veevavault.com/ui/#object/approved_document__v/V5O00000001B037", "LUP - VAE Póster Adelphi - Reuma")</f>
        <v>LUP - VAE Póster Adelphi - Reuma</v>
      </c>
      <c r="E2653" s="10" t="str">
        <f>HYPERLINK("https://otsuka-europe-crm.veevavault.com/ui/#object/sent_email__v/VBL00000002N803", "SE-001432021")</f>
        <v>SE-001432021</v>
      </c>
      <c r="F2653" s="11"/>
      <c r="G2653" s="12">
        <v>0</v>
      </c>
      <c r="H2653" s="12">
        <v>0</v>
      </c>
      <c r="I2653" s="12">
        <v>0</v>
      </c>
      <c r="J2653" s="11"/>
      <c r="K2653" s="12">
        <v>0</v>
      </c>
      <c r="L2653" s="10" t="str">
        <f>HYPERLINK("https://otsuka-europe-crm.veevavault.com/ui/#object/approved_document__v/V5O00000001B037", "LUP - VAE Póster Adelphi - Reuma")</f>
        <v>LUP - VAE Póster Adelphi - Reuma</v>
      </c>
      <c r="M2653" s="10" t="str">
        <f>HYPERLINK("mailto:ccoll@crm.otsuka-europe.com", "ccoll@crm.otsuka-europe.com")</f>
        <v>ccoll@crm.otsuka-europe.com</v>
      </c>
      <c r="N2653" s="13">
        <v>46175.779560185183</v>
      </c>
      <c r="O2653" s="14" t="str">
        <f>HYPERLINK("https://otsuka-europe-crm.veevavault.com/ui/#object/email_activity__v/V8C00000003N228", "EN-002088272")</f>
        <v>EN-002088272</v>
      </c>
    </row>
    <row r="2654" spans="1:15" ht="16" x14ac:dyDescent="0.2">
      <c r="A2654" s="17" t="str">
        <f>HYPERLINK("https://otsuka-europe-crm.veevavault.com/ui/#object/account__v/V4TZ04ASGB4LAF8", "PAOLA VIDAL MONTAL")</f>
        <v>PAOLA VIDAL MONTAL</v>
      </c>
      <c r="B2654" s="17" t="str">
        <f>HYPERLINK("https://otsuka-europe-crm.veevavault.com/ui/#object/vcountry__v/VENZ000004SONF5", "ES")</f>
        <v>ES</v>
      </c>
      <c r="C2654" s="20" t="s">
        <v>41</v>
      </c>
      <c r="D2654" s="21" t="str">
        <f>HYPERLINK("https://otsuka-europe-crm.veevavault.com/ui/#object/approved_document__v/V5O00000001B037", "LUP - VAE Póster Adelphi - Reuma")</f>
        <v>LUP - VAE Póster Adelphi - Reuma</v>
      </c>
      <c r="E2654" s="22" t="str">
        <f>HYPERLINK("https://otsuka-europe-crm.veevavault.com/ui/#object/sent_email__v/VBL00000002N804", "SE-001432022")</f>
        <v>SE-001432022</v>
      </c>
      <c r="F2654" s="23">
        <v>46176.316331018519</v>
      </c>
      <c r="G2654" s="24">
        <v>1</v>
      </c>
      <c r="H2654" s="24">
        <v>1</v>
      </c>
      <c r="I2654" s="24">
        <v>1</v>
      </c>
      <c r="J2654" s="23">
        <v>46176.316354166665</v>
      </c>
      <c r="K2654" s="24">
        <v>1</v>
      </c>
      <c r="L2654" s="22" t="str">
        <f>HYPERLINK("https://otsuka-europe-crm.veevavault.com/ui/#object/approved_document__v/V5O00000001B037", "LUP - VAE Póster Adelphi - Reuma")</f>
        <v>LUP - VAE Póster Adelphi - Reuma</v>
      </c>
      <c r="M2654" s="22" t="str">
        <f>HYPERLINK("mailto:ccoll@crm.otsuka-europe.com", "ccoll@crm.otsuka-europe.com")</f>
        <v>ccoll@crm.otsuka-europe.com</v>
      </c>
      <c r="N2654" s="23">
        <v>46175.779594907406</v>
      </c>
      <c r="O2654" s="14" t="str">
        <f>HYPERLINK("https://otsuka-europe-crm.veevavault.com/ui/#object/email_activity__v/V8C00000003M303", "EN-002088576")</f>
        <v>EN-002088576</v>
      </c>
    </row>
    <row r="2655" spans="1:15" ht="16" x14ac:dyDescent="0.2">
      <c r="A2655" s="18"/>
      <c r="B2655" s="18"/>
      <c r="C2655" s="18"/>
      <c r="D2655" s="18"/>
      <c r="E2655" s="18"/>
      <c r="F2655" s="18"/>
      <c r="G2655" s="18"/>
      <c r="H2655" s="18"/>
      <c r="I2655" s="18"/>
      <c r="J2655" s="18"/>
      <c r="K2655" s="18"/>
      <c r="L2655" s="18"/>
      <c r="M2655" s="18"/>
      <c r="N2655" s="18"/>
      <c r="O2655" s="14" t="str">
        <f>HYPERLINK("https://otsuka-europe-crm.veevavault.com/ui/#object/email_activity__v/V8C00000003N187", "EN-002088231")</f>
        <v>EN-002088231</v>
      </c>
    </row>
    <row r="2656" spans="1:15" ht="16" x14ac:dyDescent="0.2">
      <c r="A2656" s="18"/>
      <c r="B2656" s="18"/>
      <c r="C2656" s="18"/>
      <c r="D2656" s="18"/>
      <c r="E2656" s="18"/>
      <c r="F2656" s="18"/>
      <c r="G2656" s="18"/>
      <c r="H2656" s="18"/>
      <c r="I2656" s="18"/>
      <c r="J2656" s="18"/>
      <c r="K2656" s="18"/>
      <c r="L2656" s="18"/>
      <c r="M2656" s="18"/>
      <c r="N2656" s="18"/>
      <c r="O2656" s="14" t="str">
        <f>HYPERLINK("https://otsuka-europe-crm.veevavault.com/ui/#object/email_activity__v/V8C00000003N364", "EN-002088575")</f>
        <v>EN-002088575</v>
      </c>
    </row>
    <row r="2657" spans="1:15" ht="16" x14ac:dyDescent="0.2">
      <c r="A2657" s="19"/>
      <c r="B2657" s="19"/>
      <c r="C2657" s="19"/>
      <c r="D2657" s="19"/>
      <c r="E2657" s="19"/>
      <c r="F2657" s="19"/>
      <c r="G2657" s="19"/>
      <c r="H2657" s="19"/>
      <c r="I2657" s="19"/>
      <c r="J2657" s="19"/>
      <c r="K2657" s="19"/>
      <c r="L2657" s="19"/>
      <c r="M2657" s="19"/>
      <c r="N2657" s="19"/>
      <c r="O2657" s="14" t="str">
        <f>HYPERLINK("https://otsuka-europe-crm.veevavault.com/ui/#object/email_activity__v/V8C00000003N380", "EN-002088597")</f>
        <v>EN-002088597</v>
      </c>
    </row>
    <row r="2658" spans="1:15" ht="16" x14ac:dyDescent="0.2">
      <c r="A2658" s="17" t="str">
        <f>HYPERLINK("https://otsuka-europe-crm.veevavault.com/ui/#object/account__v/V4TZ06G6O9VLJFM", "BEATRIZ FRADE SOSA")</f>
        <v>BEATRIZ FRADE SOSA</v>
      </c>
      <c r="B2658" s="17" t="str">
        <f>HYPERLINK("https://otsuka-europe-crm.veevavault.com/ui/#object/vcountry__v/VENZ000004SONF5", "ES")</f>
        <v>ES</v>
      </c>
      <c r="C2658" s="20" t="s">
        <v>41</v>
      </c>
      <c r="D2658" s="21" t="str">
        <f>HYPERLINK("https://otsuka-europe-crm.veevavault.com/ui/#object/approved_document__v/V5O00000001B037", "LUP - VAE Póster Adelphi - Reuma")</f>
        <v>LUP - VAE Póster Adelphi - Reuma</v>
      </c>
      <c r="E2658" s="22" t="str">
        <f>HYPERLINK("https://otsuka-europe-crm.veevavault.com/ui/#object/sent_email__v/VBL00000002N805", "SE-001432023")</f>
        <v>SE-001432023</v>
      </c>
      <c r="F2658" s="23">
        <v>46175.912870370368</v>
      </c>
      <c r="G2658" s="24">
        <v>1</v>
      </c>
      <c r="H2658" s="24">
        <v>1</v>
      </c>
      <c r="I2658" s="24">
        <v>0</v>
      </c>
      <c r="J2658" s="25"/>
      <c r="K2658" s="24">
        <v>0</v>
      </c>
      <c r="L2658" s="22" t="str">
        <f>HYPERLINK("https://otsuka-europe-crm.veevavault.com/ui/#object/approved_document__v/V5O00000001B037", "LUP - VAE Póster Adelphi - Reuma")</f>
        <v>LUP - VAE Póster Adelphi - Reuma</v>
      </c>
      <c r="M2658" s="22" t="str">
        <f>HYPERLINK("mailto:ccoll@crm.otsuka-europe.com", "ccoll@crm.otsuka-europe.com")</f>
        <v>ccoll@crm.otsuka-europe.com</v>
      </c>
      <c r="N2658" s="23">
        <v>46175.779594907406</v>
      </c>
      <c r="O2658" s="14" t="str">
        <f>HYPERLINK("https://otsuka-europe-crm.veevavault.com/ui/#object/email_activity__v/V8C00000003N226", "EN-002088270")</f>
        <v>EN-002088270</v>
      </c>
    </row>
    <row r="2659" spans="1:15" ht="16" x14ac:dyDescent="0.2">
      <c r="A2659" s="19"/>
      <c r="B2659" s="19"/>
      <c r="C2659" s="19"/>
      <c r="D2659" s="19"/>
      <c r="E2659" s="19"/>
      <c r="F2659" s="19"/>
      <c r="G2659" s="19"/>
      <c r="H2659" s="19"/>
      <c r="I2659" s="19"/>
      <c r="J2659" s="19"/>
      <c r="K2659" s="19"/>
      <c r="L2659" s="19"/>
      <c r="M2659" s="19"/>
      <c r="N2659" s="19"/>
      <c r="O2659" s="14" t="str">
        <f>HYPERLINK("https://otsuka-europe-crm.veevavault.com/ui/#object/email_activity__v/V8C00000003N297", "EN-002088445")</f>
        <v>EN-002088445</v>
      </c>
    </row>
    <row r="2660" spans="1:15" ht="32" x14ac:dyDescent="0.2">
      <c r="A2660" s="7" t="str">
        <f>HYPERLINK("https://otsuka-europe-crm.veevavault.com/ui/#object/account__v/V4TZ025E85SK79C", "JULIA BERNARDEZ MORENO")</f>
        <v>JULIA BERNARDEZ MORENO</v>
      </c>
      <c r="B2660" s="7" t="str">
        <f>HYPERLINK("https://otsuka-europe-crm.veevavault.com/ui/#object/vcountry__v/VENZ000004SONF5", "ES")</f>
        <v>ES</v>
      </c>
      <c r="C2660" s="8" t="s">
        <v>41</v>
      </c>
      <c r="D2660" s="9" t="str">
        <f>HYPERLINK("https://otsuka-europe-crm.veevavault.com/ui/#object/approved_document__v/V5O00000001B037", "LUP - VAE Póster Adelphi - Reuma")</f>
        <v>LUP - VAE Póster Adelphi - Reuma</v>
      </c>
      <c r="E2660" s="10" t="str">
        <f>HYPERLINK("https://otsuka-europe-crm.veevavault.com/ui/#object/sent_email__v/VBL00000002N806", "SE-001432024")</f>
        <v>SE-001432024</v>
      </c>
      <c r="F2660" s="11"/>
      <c r="G2660" s="12">
        <v>0</v>
      </c>
      <c r="H2660" s="12">
        <v>0</v>
      </c>
      <c r="I2660" s="12">
        <v>0</v>
      </c>
      <c r="J2660" s="11"/>
      <c r="K2660" s="12">
        <v>0</v>
      </c>
      <c r="L2660" s="10" t="str">
        <f>HYPERLINK("https://otsuka-europe-crm.veevavault.com/ui/#object/approved_document__v/V5O00000001B037", "LUP - VAE Póster Adelphi - Reuma")</f>
        <v>LUP - VAE Póster Adelphi - Reuma</v>
      </c>
      <c r="M2660" s="10" t="str">
        <f>HYPERLINK("mailto:ccoll@crm.otsuka-europe.com", "ccoll@crm.otsuka-europe.com")</f>
        <v>ccoll@crm.otsuka-europe.com</v>
      </c>
      <c r="N2660" s="13">
        <v>46175.779594907406</v>
      </c>
      <c r="O2660" s="14" t="str">
        <f>HYPERLINK("https://otsuka-europe-crm.veevavault.com/ui/#object/email_activity__v/V8C00000003N194", "EN-002088238")</f>
        <v>EN-002088238</v>
      </c>
    </row>
    <row r="2661" spans="1:15" ht="16" x14ac:dyDescent="0.2">
      <c r="A2661" s="17" t="str">
        <f>HYPERLINK("https://otsuka-europe-crm.veevavault.com/ui/#object/account__v/V4TZ025E892EO47", "JAIR JAVIER BASTIDAS VINUEZA")</f>
        <v>JAIR JAVIER BASTIDAS VINUEZA</v>
      </c>
      <c r="B2661" s="17" t="str">
        <f>HYPERLINK("https://otsuka-europe-crm.veevavault.com/ui/#object/vcountry__v/VENZ000004SONF5", "ES")</f>
        <v>ES</v>
      </c>
      <c r="C2661" s="20" t="s">
        <v>41</v>
      </c>
      <c r="D2661" s="21" t="str">
        <f>HYPERLINK("https://otsuka-europe-crm.veevavault.com/ui/#object/approved_document__v/V5O00000001B037", "LUP - VAE Póster Adelphi - Reuma")</f>
        <v>LUP - VAE Póster Adelphi - Reuma</v>
      </c>
      <c r="E2661" s="22" t="str">
        <f>HYPERLINK("https://otsuka-europe-crm.veevavault.com/ui/#object/sent_email__v/VBL00000002N807", "SE-001432025")</f>
        <v>SE-001432025</v>
      </c>
      <c r="F2661" s="23">
        <v>46175.806608796294</v>
      </c>
      <c r="G2661" s="24">
        <v>1</v>
      </c>
      <c r="H2661" s="24">
        <v>1</v>
      </c>
      <c r="I2661" s="24">
        <v>0</v>
      </c>
      <c r="J2661" s="25"/>
      <c r="K2661" s="24">
        <v>0</v>
      </c>
      <c r="L2661" s="22" t="str">
        <f>HYPERLINK("https://otsuka-europe-crm.veevavault.com/ui/#object/approved_document__v/V5O00000001B037", "LUP - VAE Póster Adelphi - Reuma")</f>
        <v>LUP - VAE Póster Adelphi - Reuma</v>
      </c>
      <c r="M2661" s="22" t="str">
        <f>HYPERLINK("mailto:ccoll@crm.otsuka-europe.com", "ccoll@crm.otsuka-europe.com")</f>
        <v>ccoll@crm.otsuka-europe.com</v>
      </c>
      <c r="N2661" s="23">
        <v>46175.779594907406</v>
      </c>
      <c r="O2661" s="14" t="str">
        <f>HYPERLINK("https://otsuka-europe-crm.veevavault.com/ui/#object/email_activity__v/V8C00000003N178", "EN-002088222")</f>
        <v>EN-002088222</v>
      </c>
    </row>
    <row r="2662" spans="1:15" ht="16" x14ac:dyDescent="0.2">
      <c r="A2662" s="19"/>
      <c r="B2662" s="19"/>
      <c r="C2662" s="19"/>
      <c r="D2662" s="19"/>
      <c r="E2662" s="19"/>
      <c r="F2662" s="19"/>
      <c r="G2662" s="19"/>
      <c r="H2662" s="19"/>
      <c r="I2662" s="19"/>
      <c r="J2662" s="19"/>
      <c r="K2662" s="19"/>
      <c r="L2662" s="19"/>
      <c r="M2662" s="19"/>
      <c r="N2662" s="19"/>
      <c r="O2662" s="14" t="str">
        <f>HYPERLINK("https://otsuka-europe-crm.veevavault.com/ui/#object/email_activity__v/V8C00000003N262", "EN-002088337")</f>
        <v>EN-002088337</v>
      </c>
    </row>
    <row r="2663" spans="1:15" ht="32" x14ac:dyDescent="0.2">
      <c r="A2663" s="7" t="str">
        <f>HYPERLINK("https://otsuka-europe-crm.veevavault.com/ui/#object/account__v/V4TZ025E85ANY1R", "ALBERT CASALS URQUIZA")</f>
        <v>ALBERT CASALS URQUIZA</v>
      </c>
      <c r="B2663" s="7" t="str">
        <f>HYPERLINK("https://otsuka-europe-crm.veevavault.com/ui/#object/vcountry__v/VENZ000004SONF5", "ES")</f>
        <v>ES</v>
      </c>
      <c r="C2663" s="8" t="s">
        <v>41</v>
      </c>
      <c r="D2663" s="9" t="str">
        <f>HYPERLINK("https://otsuka-europe-crm.veevavault.com/ui/#object/approved_document__v/V5O00000001B037", "LUP - VAE Póster Adelphi - Reuma")</f>
        <v>LUP - VAE Póster Adelphi - Reuma</v>
      </c>
      <c r="E2663" s="10" t="str">
        <f>HYPERLINK("https://otsuka-europe-crm.veevavault.com/ui/#object/sent_email__v/VBL00000002N808", "SE-001432026")</f>
        <v>SE-001432026</v>
      </c>
      <c r="F2663" s="11"/>
      <c r="G2663" s="12">
        <v>0</v>
      </c>
      <c r="H2663" s="12">
        <v>0</v>
      </c>
      <c r="I2663" s="12">
        <v>0</v>
      </c>
      <c r="J2663" s="11"/>
      <c r="K2663" s="12">
        <v>0</v>
      </c>
      <c r="L2663" s="10" t="str">
        <f>HYPERLINK("https://otsuka-europe-crm.veevavault.com/ui/#object/approved_document__v/V5O00000001B037", "LUP - VAE Póster Adelphi - Reuma")</f>
        <v>LUP - VAE Póster Adelphi - Reuma</v>
      </c>
      <c r="M2663" s="10" t="str">
        <f>HYPERLINK("mailto:ccoll@crm.otsuka-europe.com", "ccoll@crm.otsuka-europe.com")</f>
        <v>ccoll@crm.otsuka-europe.com</v>
      </c>
      <c r="N2663" s="13">
        <v>46175.779594907406</v>
      </c>
      <c r="O2663" s="14" t="str">
        <f>HYPERLINK("https://otsuka-europe-crm.veevavault.com/ui/#object/email_activity__v/V8C00000003N221", "EN-002088265")</f>
        <v>EN-002088265</v>
      </c>
    </row>
    <row r="2664" spans="1:15" ht="16" x14ac:dyDescent="0.2">
      <c r="A2664" s="17" t="str">
        <f>HYPERLINK("https://otsuka-europe-crm.veevavault.com/ui/#object/account__v/V4TZ04ASGALJJS1", "BERTA PAULA MAGALLARES LOPEZ")</f>
        <v>BERTA PAULA MAGALLARES LOPEZ</v>
      </c>
      <c r="B2664" s="17" t="str">
        <f>HYPERLINK("https://otsuka-europe-crm.veevavault.com/ui/#object/vcountry__v/VENZ000004SONF5", "ES")</f>
        <v>ES</v>
      </c>
      <c r="C2664" s="20" t="s">
        <v>41</v>
      </c>
      <c r="D2664" s="21" t="str">
        <f>HYPERLINK("https://otsuka-europe-crm.veevavault.com/ui/#object/approved_document__v/V5O00000001B037", "LUP - VAE Póster Adelphi - Reuma")</f>
        <v>LUP - VAE Póster Adelphi - Reuma</v>
      </c>
      <c r="E2664" s="22" t="str">
        <f>HYPERLINK("https://otsuka-europe-crm.veevavault.com/ui/#object/sent_email__v/VBL00000002N809", "SE-001432027")</f>
        <v>SE-001432027</v>
      </c>
      <c r="F2664" s="23">
        <v>46176.636388888888</v>
      </c>
      <c r="G2664" s="24">
        <v>1</v>
      </c>
      <c r="H2664" s="24">
        <v>1</v>
      </c>
      <c r="I2664" s="24">
        <v>1</v>
      </c>
      <c r="J2664" s="23">
        <v>46176.636516203704</v>
      </c>
      <c r="K2664" s="24">
        <v>2</v>
      </c>
      <c r="L2664" s="22" t="str">
        <f>HYPERLINK("https://otsuka-europe-crm.veevavault.com/ui/#object/approved_document__v/V5O00000001B037", "LUP - VAE Póster Adelphi - Reuma")</f>
        <v>LUP - VAE Póster Adelphi - Reuma</v>
      </c>
      <c r="M2664" s="22" t="str">
        <f>HYPERLINK("mailto:ccoll@crm.otsuka-europe.com", "ccoll@crm.otsuka-europe.com")</f>
        <v>ccoll@crm.otsuka-europe.com</v>
      </c>
      <c r="N2664" s="23">
        <v>46175.779560185183</v>
      </c>
      <c r="O2664" s="14" t="str">
        <f>HYPERLINK("https://otsuka-europe-crm.veevavault.com/ui/#object/email_activity__v/V8C00000003N203", "EN-002088247")</f>
        <v>EN-002088247</v>
      </c>
    </row>
    <row r="2665" spans="1:15" ht="16" x14ac:dyDescent="0.2">
      <c r="A2665" s="18"/>
      <c r="B2665" s="18"/>
      <c r="C2665" s="18"/>
      <c r="D2665" s="18"/>
      <c r="E2665" s="18"/>
      <c r="F2665" s="18"/>
      <c r="G2665" s="18"/>
      <c r="H2665" s="18"/>
      <c r="I2665" s="18"/>
      <c r="J2665" s="18"/>
      <c r="K2665" s="18"/>
      <c r="L2665" s="18"/>
      <c r="M2665" s="18"/>
      <c r="N2665" s="18"/>
      <c r="O2665" s="14" t="str">
        <f>HYPERLINK("https://otsuka-europe-crm.veevavault.com/ui/#object/email_activity__v/V8C00000003N470", "EN-002088743")</f>
        <v>EN-002088743</v>
      </c>
    </row>
    <row r="2666" spans="1:15" ht="16" x14ac:dyDescent="0.2">
      <c r="A2666" s="18"/>
      <c r="B2666" s="18"/>
      <c r="C2666" s="18"/>
      <c r="D2666" s="18"/>
      <c r="E2666" s="18"/>
      <c r="F2666" s="18"/>
      <c r="G2666" s="18"/>
      <c r="H2666" s="18"/>
      <c r="I2666" s="18"/>
      <c r="J2666" s="18"/>
      <c r="K2666" s="18"/>
      <c r="L2666" s="18"/>
      <c r="M2666" s="18"/>
      <c r="N2666" s="18"/>
      <c r="O2666" s="14" t="str">
        <f>HYPERLINK("https://otsuka-europe-crm.veevavault.com/ui/#object/email_activity__v/V8C00000003N471", "EN-002088742")</f>
        <v>EN-002088742</v>
      </c>
    </row>
    <row r="2667" spans="1:15" ht="16" x14ac:dyDescent="0.2">
      <c r="A2667" s="18"/>
      <c r="B2667" s="18"/>
      <c r="C2667" s="18"/>
      <c r="D2667" s="18"/>
      <c r="E2667" s="18"/>
      <c r="F2667" s="18"/>
      <c r="G2667" s="18"/>
      <c r="H2667" s="18"/>
      <c r="I2667" s="18"/>
      <c r="J2667" s="18"/>
      <c r="K2667" s="18"/>
      <c r="L2667" s="18"/>
      <c r="M2667" s="18"/>
      <c r="N2667" s="18"/>
      <c r="O2667" s="14" t="str">
        <f>HYPERLINK("https://otsuka-europe-crm.veevavault.com/ui/#object/email_activity__v/V8C00000003N472", "EN-002088745")</f>
        <v>EN-002088745</v>
      </c>
    </row>
    <row r="2668" spans="1:15" ht="16" x14ac:dyDescent="0.2">
      <c r="A2668" s="18"/>
      <c r="B2668" s="18"/>
      <c r="C2668" s="18"/>
      <c r="D2668" s="18"/>
      <c r="E2668" s="18"/>
      <c r="F2668" s="18"/>
      <c r="G2668" s="18"/>
      <c r="H2668" s="18"/>
      <c r="I2668" s="18"/>
      <c r="J2668" s="18"/>
      <c r="K2668" s="18"/>
      <c r="L2668" s="18"/>
      <c r="M2668" s="18"/>
      <c r="N2668" s="18"/>
      <c r="O2668" s="14" t="str">
        <f>HYPERLINK("https://otsuka-europe-crm.veevavault.com/ui/#object/email_activity__v/V8C00000003N479", "EN-002088757")</f>
        <v>EN-002088757</v>
      </c>
    </row>
    <row r="2669" spans="1:15" ht="16" x14ac:dyDescent="0.2">
      <c r="A2669" s="19"/>
      <c r="B2669" s="19"/>
      <c r="C2669" s="19"/>
      <c r="D2669" s="19"/>
      <c r="E2669" s="19"/>
      <c r="F2669" s="19"/>
      <c r="G2669" s="19"/>
      <c r="H2669" s="19"/>
      <c r="I2669" s="19"/>
      <c r="J2669" s="19"/>
      <c r="K2669" s="19"/>
      <c r="L2669" s="19"/>
      <c r="M2669" s="19"/>
      <c r="N2669" s="19"/>
      <c r="O2669" s="14" t="str">
        <f>HYPERLINK("https://otsuka-europe-crm.veevavault.com/ui/#object/email_activity__v/V8C00000003N480", "EN-002088758")</f>
        <v>EN-002088758</v>
      </c>
    </row>
    <row r="2670" spans="1:15" ht="32" x14ac:dyDescent="0.2">
      <c r="A2670" s="7" t="str">
        <f>HYPERLINK("https://otsuka-europe-crm.veevavault.com/ui/#object/account__v/V4TZ025E8411P26", "JOANA ROVIRA AGUILAR")</f>
        <v>JOANA ROVIRA AGUILAR</v>
      </c>
      <c r="B2670" s="7" t="str">
        <f>HYPERLINK("https://otsuka-europe-crm.veevavault.com/ui/#object/vcountry__v/VENZ000004SONF5", "ES")</f>
        <v>ES</v>
      </c>
      <c r="C2670" s="8" t="s">
        <v>41</v>
      </c>
      <c r="D2670" s="9" t="str">
        <f>HYPERLINK("https://otsuka-europe-crm.veevavault.com/ui/#object/approved_document__v/V5O00000001B037", "LUP - VAE Póster Adelphi - Reuma")</f>
        <v>LUP - VAE Póster Adelphi - Reuma</v>
      </c>
      <c r="E2670" s="10" t="str">
        <f>HYPERLINK("https://otsuka-europe-crm.veevavault.com/ui/#object/sent_email__v/VBL00000002N810", "SE-001432028")</f>
        <v>SE-001432028</v>
      </c>
      <c r="F2670" s="11"/>
      <c r="G2670" s="12">
        <v>0</v>
      </c>
      <c r="H2670" s="12">
        <v>0</v>
      </c>
      <c r="I2670" s="12">
        <v>0</v>
      </c>
      <c r="J2670" s="11"/>
      <c r="K2670" s="12">
        <v>0</v>
      </c>
      <c r="L2670" s="10" t="str">
        <f>HYPERLINK("https://otsuka-europe-crm.veevavault.com/ui/#object/approved_document__v/V5O00000001B037", "LUP - VAE Póster Adelphi - Reuma")</f>
        <v>LUP - VAE Póster Adelphi - Reuma</v>
      </c>
      <c r="M2670" s="10" t="str">
        <f>HYPERLINK("mailto:ccoll@crm.otsuka-europe.com", "ccoll@crm.otsuka-europe.com")</f>
        <v>ccoll@crm.otsuka-europe.com</v>
      </c>
      <c r="N2670" s="13">
        <v>46175.779594907406</v>
      </c>
      <c r="O2670" s="14" t="str">
        <f>HYPERLINK("https://otsuka-europe-crm.veevavault.com/ui/#object/email_activity__v/V8C00000003N198", "EN-002088242")</f>
        <v>EN-002088242</v>
      </c>
    </row>
    <row r="2671" spans="1:15" ht="32" x14ac:dyDescent="0.2">
      <c r="A2671" s="7" t="str">
        <f>HYPERLINK("https://otsuka-europe-crm.veevavault.com/ui/#object/account__v/V4TZ04ASGAP2CFD", "ROBERTO FRANCO GUMUCIO SANGUINO")</f>
        <v>ROBERTO FRANCO GUMUCIO SANGUINO</v>
      </c>
      <c r="B2671" s="7" t="str">
        <f>HYPERLINK("https://otsuka-europe-crm.veevavault.com/ui/#object/vcountry__v/VENZ000004SONF5", "ES")</f>
        <v>ES</v>
      </c>
      <c r="C2671" s="8" t="s">
        <v>41</v>
      </c>
      <c r="D2671" s="9" t="str">
        <f>HYPERLINK("https://otsuka-europe-crm.veevavault.com/ui/#object/approved_document__v/V5O00000001B037", "LUP - VAE Póster Adelphi - Reuma")</f>
        <v>LUP - VAE Póster Adelphi - Reuma</v>
      </c>
      <c r="E2671" s="10" t="str">
        <f>HYPERLINK("https://otsuka-europe-crm.veevavault.com/ui/#object/sent_email__v/VBL00000002N811", "SE-001432029")</f>
        <v>SE-001432029</v>
      </c>
      <c r="F2671" s="11"/>
      <c r="G2671" s="12">
        <v>0</v>
      </c>
      <c r="H2671" s="12">
        <v>0</v>
      </c>
      <c r="I2671" s="12">
        <v>0</v>
      </c>
      <c r="J2671" s="11"/>
      <c r="K2671" s="12">
        <v>0</v>
      </c>
      <c r="L2671" s="10" t="str">
        <f>HYPERLINK("https://otsuka-europe-crm.veevavault.com/ui/#object/approved_document__v/V5O00000001B037", "LUP - VAE Póster Adelphi - Reuma")</f>
        <v>LUP - VAE Póster Adelphi - Reuma</v>
      </c>
      <c r="M2671" s="10" t="str">
        <f>HYPERLINK("mailto:ccoll@crm.otsuka-europe.com", "ccoll@crm.otsuka-europe.com")</f>
        <v>ccoll@crm.otsuka-europe.com</v>
      </c>
      <c r="N2671" s="13">
        <v>46175.779594907406</v>
      </c>
      <c r="O2671" s="14" t="str">
        <f>HYPERLINK("https://otsuka-europe-crm.veevavault.com/ui/#object/email_activity__v/V8C00000003N189", "EN-002088233")</f>
        <v>EN-002088233</v>
      </c>
    </row>
    <row r="2672" spans="1:15" ht="16" x14ac:dyDescent="0.2">
      <c r="A2672" s="17" t="str">
        <f>HYPERLINK("https://otsuka-europe-crm.veevavault.com/ui/#object/account__v/V4TZ025E876XEHN", "TERESA FONT GAYA")</f>
        <v>TERESA FONT GAYA</v>
      </c>
      <c r="B2672" s="17" t="str">
        <f>HYPERLINK("https://otsuka-europe-crm.veevavault.com/ui/#object/vcountry__v/VENZ000004SONF5", "ES")</f>
        <v>ES</v>
      </c>
      <c r="C2672" s="20" t="s">
        <v>41</v>
      </c>
      <c r="D2672" s="21" t="str">
        <f>HYPERLINK("https://otsuka-europe-crm.veevavault.com/ui/#object/approved_document__v/V5O00000001B037", "LUP - VAE Póster Adelphi - Reuma")</f>
        <v>LUP - VAE Póster Adelphi - Reuma</v>
      </c>
      <c r="E2672" s="22" t="str">
        <f>HYPERLINK("https://otsuka-europe-crm.veevavault.com/ui/#object/sent_email__v/VBL00000002N812", "SE-001432030")</f>
        <v>SE-001432030</v>
      </c>
      <c r="F2672" s="23">
        <v>46176.250555555554</v>
      </c>
      <c r="G2672" s="24">
        <v>1</v>
      </c>
      <c r="H2672" s="24">
        <v>1</v>
      </c>
      <c r="I2672" s="24">
        <v>0</v>
      </c>
      <c r="J2672" s="25"/>
      <c r="K2672" s="24">
        <v>0</v>
      </c>
      <c r="L2672" s="22" t="str">
        <f>HYPERLINK("https://otsuka-europe-crm.veevavault.com/ui/#object/approved_document__v/V5O00000001B037", "LUP - VAE Póster Adelphi - Reuma")</f>
        <v>LUP - VAE Póster Adelphi - Reuma</v>
      </c>
      <c r="M2672" s="22" t="str">
        <f>HYPERLINK("mailto:ccoll@crm.otsuka-europe.com", "ccoll@crm.otsuka-europe.com")</f>
        <v>ccoll@crm.otsuka-europe.com</v>
      </c>
      <c r="N2672" s="23">
        <v>46175.779594907406</v>
      </c>
      <c r="O2672" s="14" t="str">
        <f>HYPERLINK("https://otsuka-europe-crm.veevavault.com/ui/#object/email_activity__v/V8C00000003M275", "EN-002088528")</f>
        <v>EN-002088528</v>
      </c>
    </row>
    <row r="2673" spans="1:15" ht="16" x14ac:dyDescent="0.2">
      <c r="A2673" s="19"/>
      <c r="B2673" s="19"/>
      <c r="C2673" s="19"/>
      <c r="D2673" s="19"/>
      <c r="E2673" s="19"/>
      <c r="F2673" s="19"/>
      <c r="G2673" s="19"/>
      <c r="H2673" s="19"/>
      <c r="I2673" s="19"/>
      <c r="J2673" s="19"/>
      <c r="K2673" s="19"/>
      <c r="L2673" s="19"/>
      <c r="M2673" s="19"/>
      <c r="N2673" s="19"/>
      <c r="O2673" s="14" t="str">
        <f>HYPERLINK("https://otsuka-europe-crm.veevavault.com/ui/#object/email_activity__v/V8C00000003N207", "EN-002088251")</f>
        <v>EN-002088251</v>
      </c>
    </row>
    <row r="2674" spans="1:15" ht="32" x14ac:dyDescent="0.2">
      <c r="A2674" s="7" t="str">
        <f>HYPERLINK("https://otsuka-europe-crm.veevavault.com/ui/#object/account__v/V4TZ04ASGEC6OFJ", "INMACULADA ROS VILAMAJO")</f>
        <v>INMACULADA ROS VILAMAJO</v>
      </c>
      <c r="B2674" s="7" t="str">
        <f>HYPERLINK("https://otsuka-europe-crm.veevavault.com/ui/#object/vcountry__v/VENZ000004SONF5", "ES")</f>
        <v>ES</v>
      </c>
      <c r="C2674" s="8" t="s">
        <v>41</v>
      </c>
      <c r="D2674" s="9" t="str">
        <f>HYPERLINK("https://otsuka-europe-crm.veevavault.com/ui/#object/approved_document__v/V5O00000001B037", "LUP - VAE Póster Adelphi - Reuma")</f>
        <v>LUP - VAE Póster Adelphi - Reuma</v>
      </c>
      <c r="E2674" s="10" t="str">
        <f>HYPERLINK("https://otsuka-europe-crm.veevavault.com/ui/#object/sent_email__v/VBL00000002N813", "SE-001432031")</f>
        <v>SE-001432031</v>
      </c>
      <c r="F2674" s="11"/>
      <c r="G2674" s="12">
        <v>0</v>
      </c>
      <c r="H2674" s="12">
        <v>0</v>
      </c>
      <c r="I2674" s="12">
        <v>0</v>
      </c>
      <c r="J2674" s="11"/>
      <c r="K2674" s="12">
        <v>0</v>
      </c>
      <c r="L2674" s="10" t="str">
        <f>HYPERLINK("https://otsuka-europe-crm.veevavault.com/ui/#object/approved_document__v/V5O00000001B037", "LUP - VAE Póster Adelphi - Reuma")</f>
        <v>LUP - VAE Póster Adelphi - Reuma</v>
      </c>
      <c r="M2674" s="10" t="str">
        <f>HYPERLINK("mailto:ccoll@crm.otsuka-europe.com", "ccoll@crm.otsuka-europe.com")</f>
        <v>ccoll@crm.otsuka-europe.com</v>
      </c>
      <c r="N2674" s="13">
        <v>46175.779594907406</v>
      </c>
      <c r="O2674" s="14" t="str">
        <f>HYPERLINK("https://otsuka-europe-crm.veevavault.com/ui/#object/email_activity__v/V8C00000003M145", "EN-002088296")</f>
        <v>EN-002088296</v>
      </c>
    </row>
    <row r="2675" spans="1:15" ht="32" x14ac:dyDescent="0.2">
      <c r="A2675" s="7" t="str">
        <f>HYPERLINK("https://otsuka-europe-crm.veevavault.com/ui/#object/account__v/V4TZ04ASG9HF77Y", "ALBA QUESADA MORENO")</f>
        <v>ALBA QUESADA MORENO</v>
      </c>
      <c r="B2675" s="7" t="str">
        <f>HYPERLINK("https://otsuka-europe-crm.veevavault.com/ui/#object/vcountry__v/VENZ000004SONF5", "ES")</f>
        <v>ES</v>
      </c>
      <c r="C2675" s="8" t="s">
        <v>41</v>
      </c>
      <c r="D2675" s="9" t="str">
        <f>HYPERLINK("https://otsuka-europe-crm.veevavault.com/ui/#object/approved_document__v/V5O00000001B037", "LUP - VAE Póster Adelphi - Reuma")</f>
        <v>LUP - VAE Póster Adelphi - Reuma</v>
      </c>
      <c r="E2675" s="10" t="str">
        <f>HYPERLINK("https://otsuka-europe-crm.veevavault.com/ui/#object/sent_email__v/VBL00000002N814", "SE-001432032")</f>
        <v>SE-001432032</v>
      </c>
      <c r="F2675" s="11"/>
      <c r="G2675" s="12">
        <v>0</v>
      </c>
      <c r="H2675" s="12">
        <v>0</v>
      </c>
      <c r="I2675" s="12">
        <v>0</v>
      </c>
      <c r="J2675" s="11"/>
      <c r="K2675" s="12">
        <v>0</v>
      </c>
      <c r="L2675" s="10" t="str">
        <f>HYPERLINK("https://otsuka-europe-crm.veevavault.com/ui/#object/approved_document__v/V5O00000001B037", "LUP - VAE Póster Adelphi - Reuma")</f>
        <v>LUP - VAE Póster Adelphi - Reuma</v>
      </c>
      <c r="M2675" s="10" t="str">
        <f>HYPERLINK("mailto:ccoll@crm.otsuka-europe.com", "ccoll@crm.otsuka-europe.com")</f>
        <v>ccoll@crm.otsuka-europe.com</v>
      </c>
      <c r="N2675" s="13">
        <v>46175.779594907406</v>
      </c>
      <c r="O2675" s="14" t="str">
        <f>HYPERLINK("https://otsuka-europe-crm.veevavault.com/ui/#object/email_activity__v/V8C00000003N186", "EN-002088230")</f>
        <v>EN-002088230</v>
      </c>
    </row>
    <row r="2676" spans="1:15" ht="32" x14ac:dyDescent="0.2">
      <c r="A2676" s="7" t="str">
        <f>HYPERLINK("https://otsuka-europe-crm.veevavault.com/ui/#object/account__v/V4TZ025E82X32V4", "MARIA ARANTZAZU CONESA MATEOS")</f>
        <v>MARIA ARANTZAZU CONESA MATEOS</v>
      </c>
      <c r="B2676" s="7" t="str">
        <f>HYPERLINK("https://otsuka-europe-crm.veevavault.com/ui/#object/vcountry__v/VENZ000004SONF5", "ES")</f>
        <v>ES</v>
      </c>
      <c r="C2676" s="8" t="s">
        <v>41</v>
      </c>
      <c r="D2676" s="9" t="str">
        <f>HYPERLINK("https://otsuka-europe-crm.veevavault.com/ui/#object/approved_document__v/V5O00000001B037", "LUP - VAE Póster Adelphi - Reuma")</f>
        <v>LUP - VAE Póster Adelphi - Reuma</v>
      </c>
      <c r="E2676" s="10" t="str">
        <f>HYPERLINK("https://otsuka-europe-crm.veevavault.com/ui/#object/sent_email__v/VBL00000002N815", "SE-001432033")</f>
        <v>SE-001432033</v>
      </c>
      <c r="F2676" s="11"/>
      <c r="G2676" s="12">
        <v>0</v>
      </c>
      <c r="H2676" s="12">
        <v>0</v>
      </c>
      <c r="I2676" s="12">
        <v>0</v>
      </c>
      <c r="J2676" s="11"/>
      <c r="K2676" s="12">
        <v>0</v>
      </c>
      <c r="L2676" s="10" t="str">
        <f>HYPERLINK("https://otsuka-europe-crm.veevavault.com/ui/#object/approved_document__v/V5O00000001B037", "LUP - VAE Póster Adelphi - Reuma")</f>
        <v>LUP - VAE Póster Adelphi - Reuma</v>
      </c>
      <c r="M2676" s="10" t="str">
        <f>HYPERLINK("mailto:ccoll@crm.otsuka-europe.com", "ccoll@crm.otsuka-europe.com")</f>
        <v>ccoll@crm.otsuka-europe.com</v>
      </c>
      <c r="N2676" s="13">
        <v>46175.779594907406</v>
      </c>
      <c r="O2676" s="14" t="str">
        <f>HYPERLINK("https://otsuka-europe-crm.veevavault.com/ui/#object/email_activity__v/V8C00000003N180", "EN-002088224")</f>
        <v>EN-002088224</v>
      </c>
    </row>
    <row r="2677" spans="1:15" ht="16" x14ac:dyDescent="0.2">
      <c r="A2677" s="17" t="str">
        <f>HYPERLINK("https://otsuka-europe-crm.veevavault.com/ui/#object/account__v/V4TZ025E84G4UU9", "RICARDO DAVID GALARZA GAMBOA")</f>
        <v>RICARDO DAVID GALARZA GAMBOA</v>
      </c>
      <c r="B2677" s="17" t="str">
        <f>HYPERLINK("https://otsuka-europe-crm.veevavault.com/ui/#object/vcountry__v/VENZ000004SONF5", "ES")</f>
        <v>ES</v>
      </c>
      <c r="C2677" s="20" t="s">
        <v>41</v>
      </c>
      <c r="D2677" s="21" t="str">
        <f>HYPERLINK("https://otsuka-europe-crm.veevavault.com/ui/#object/approved_document__v/V5O00000001B037", "LUP - VAE Póster Adelphi - Reuma")</f>
        <v>LUP - VAE Póster Adelphi - Reuma</v>
      </c>
      <c r="E2677" s="22" t="str">
        <f>HYPERLINK("https://otsuka-europe-crm.veevavault.com/ui/#object/sent_email__v/VBL00000002N816", "SE-001432034")</f>
        <v>SE-001432034</v>
      </c>
      <c r="F2677" s="23">
        <v>46175.858541666668</v>
      </c>
      <c r="G2677" s="24">
        <v>1</v>
      </c>
      <c r="H2677" s="24">
        <v>2</v>
      </c>
      <c r="I2677" s="24">
        <v>0</v>
      </c>
      <c r="J2677" s="25"/>
      <c r="K2677" s="24">
        <v>0</v>
      </c>
      <c r="L2677" s="22" t="str">
        <f>HYPERLINK("https://otsuka-europe-crm.veevavault.com/ui/#object/approved_document__v/V5O00000001B037", "LUP - VAE Póster Adelphi - Reuma")</f>
        <v>LUP - VAE Póster Adelphi - Reuma</v>
      </c>
      <c r="M2677" s="22" t="str">
        <f>HYPERLINK("mailto:ccoll@crm.otsuka-europe.com", "ccoll@crm.otsuka-europe.com")</f>
        <v>ccoll@crm.otsuka-europe.com</v>
      </c>
      <c r="N2677" s="23">
        <v>46175.779594907406</v>
      </c>
      <c r="O2677" s="14" t="str">
        <f>HYPERLINK("https://otsuka-europe-crm.veevavault.com/ui/#object/email_activity__v/V8C00000003M218", "EN-002088403")</f>
        <v>EN-002088403</v>
      </c>
    </row>
    <row r="2678" spans="1:15" ht="16" x14ac:dyDescent="0.2">
      <c r="A2678" s="18"/>
      <c r="B2678" s="18"/>
      <c r="C2678" s="18"/>
      <c r="D2678" s="18"/>
      <c r="E2678" s="18"/>
      <c r="F2678" s="18"/>
      <c r="G2678" s="18"/>
      <c r="H2678" s="18"/>
      <c r="I2678" s="18"/>
      <c r="J2678" s="18"/>
      <c r="K2678" s="18"/>
      <c r="L2678" s="18"/>
      <c r="M2678" s="18"/>
      <c r="N2678" s="18"/>
      <c r="O2678" s="14" t="str">
        <f>HYPERLINK("https://otsuka-europe-crm.veevavault.com/ui/#object/email_activity__v/V8C00000003M219", "EN-002088404")</f>
        <v>EN-002088404</v>
      </c>
    </row>
    <row r="2679" spans="1:15" ht="16" x14ac:dyDescent="0.2">
      <c r="A2679" s="19"/>
      <c r="B2679" s="19"/>
      <c r="C2679" s="19"/>
      <c r="D2679" s="19"/>
      <c r="E2679" s="19"/>
      <c r="F2679" s="19"/>
      <c r="G2679" s="19"/>
      <c r="H2679" s="19"/>
      <c r="I2679" s="19"/>
      <c r="J2679" s="19"/>
      <c r="K2679" s="19"/>
      <c r="L2679" s="19"/>
      <c r="M2679" s="19"/>
      <c r="N2679" s="19"/>
      <c r="O2679" s="14" t="str">
        <f>HYPERLINK("https://otsuka-europe-crm.veevavault.com/ui/#object/email_activity__v/V8C00000003N225", "EN-002088269")</f>
        <v>EN-002088269</v>
      </c>
    </row>
    <row r="2680" spans="1:15" ht="16" x14ac:dyDescent="0.2">
      <c r="A2680" s="17" t="str">
        <f>HYPERLINK("https://otsuka-europe-crm.veevavault.com/ui/#object/account__v/V4TZ025E844GGW1", "JORGE LUIS RODAS FLORES")</f>
        <v>JORGE LUIS RODAS FLORES</v>
      </c>
      <c r="B2680" s="17" t="str">
        <f>HYPERLINK("https://otsuka-europe-crm.veevavault.com/ui/#object/vcountry__v/VENZ000004SONF5", "ES")</f>
        <v>ES</v>
      </c>
      <c r="C2680" s="20" t="s">
        <v>41</v>
      </c>
      <c r="D2680" s="21" t="str">
        <f>HYPERLINK("https://otsuka-europe-crm.veevavault.com/ui/#object/approved_document__v/V5O00000001B037", "LUP - VAE Póster Adelphi - Reuma")</f>
        <v>LUP - VAE Póster Adelphi - Reuma</v>
      </c>
      <c r="E2680" s="22" t="str">
        <f>HYPERLINK("https://otsuka-europe-crm.veevavault.com/ui/#object/sent_email__v/VBL00000002N817", "SE-001432035")</f>
        <v>SE-001432035</v>
      </c>
      <c r="F2680" s="23">
        <v>46176.561284722222</v>
      </c>
      <c r="G2680" s="24">
        <v>1</v>
      </c>
      <c r="H2680" s="24">
        <v>1</v>
      </c>
      <c r="I2680" s="24">
        <v>0</v>
      </c>
      <c r="J2680" s="25"/>
      <c r="K2680" s="24">
        <v>0</v>
      </c>
      <c r="L2680" s="22" t="str">
        <f>HYPERLINK("https://otsuka-europe-crm.veevavault.com/ui/#object/approved_document__v/V5O00000001B037", "LUP - VAE Póster Adelphi - Reuma")</f>
        <v>LUP - VAE Póster Adelphi - Reuma</v>
      </c>
      <c r="M2680" s="22" t="str">
        <f>HYPERLINK("mailto:ccoll@crm.otsuka-europe.com", "ccoll@crm.otsuka-europe.com")</f>
        <v>ccoll@crm.otsuka-europe.com</v>
      </c>
      <c r="N2680" s="23">
        <v>46175.779594907406</v>
      </c>
      <c r="O2680" s="14" t="str">
        <f>HYPERLINK("https://otsuka-europe-crm.veevavault.com/ui/#object/email_activity__v/V8C00000003N181", "EN-002088225")</f>
        <v>EN-002088225</v>
      </c>
    </row>
    <row r="2681" spans="1:15" ht="16" x14ac:dyDescent="0.2">
      <c r="A2681" s="19"/>
      <c r="B2681" s="19"/>
      <c r="C2681" s="19"/>
      <c r="D2681" s="19"/>
      <c r="E2681" s="19"/>
      <c r="F2681" s="19"/>
      <c r="G2681" s="19"/>
      <c r="H2681" s="19"/>
      <c r="I2681" s="19"/>
      <c r="J2681" s="19"/>
      <c r="K2681" s="19"/>
      <c r="L2681" s="19"/>
      <c r="M2681" s="19"/>
      <c r="N2681" s="19"/>
      <c r="O2681" s="14" t="str">
        <f>HYPERLINK("https://otsuka-europe-crm.veevavault.com/ui/#object/email_activity__v/V8C00000003N458", "EN-002088723")</f>
        <v>EN-002088723</v>
      </c>
    </row>
    <row r="2682" spans="1:15" ht="32" x14ac:dyDescent="0.2">
      <c r="A2682" s="7" t="str">
        <f>HYPERLINK("https://otsuka-europe-crm.veevavault.com/ui/#object/account__v/V4TZ025E8413Q7H", "HELENA SIRERA PERELLO")</f>
        <v>HELENA SIRERA PERELLO</v>
      </c>
      <c r="B2682" s="7" t="str">
        <f t="shared" ref="B2682:B2687" si="60">HYPERLINK("https://otsuka-europe-crm.veevavault.com/ui/#object/vcountry__v/VENZ000004SONF5", "ES")</f>
        <v>ES</v>
      </c>
      <c r="C2682" s="8" t="s">
        <v>41</v>
      </c>
      <c r="D2682" s="9" t="str">
        <f t="shared" ref="D2682:D2687" si="61">HYPERLINK("https://otsuka-europe-crm.veevavault.com/ui/#object/approved_document__v/V5O00000001B037", "LUP - VAE Póster Adelphi - Reuma")</f>
        <v>LUP - VAE Póster Adelphi - Reuma</v>
      </c>
      <c r="E2682" s="10" t="str">
        <f>HYPERLINK("https://otsuka-europe-crm.veevavault.com/ui/#object/sent_email__v/VBL00000002N818", "SE-001432036")</f>
        <v>SE-001432036</v>
      </c>
      <c r="F2682" s="11"/>
      <c r="G2682" s="12">
        <v>0</v>
      </c>
      <c r="H2682" s="12">
        <v>0</v>
      </c>
      <c r="I2682" s="12">
        <v>0</v>
      </c>
      <c r="J2682" s="11"/>
      <c r="K2682" s="12">
        <v>0</v>
      </c>
      <c r="L2682" s="10" t="str">
        <f t="shared" ref="L2682:L2687" si="62">HYPERLINK("https://otsuka-europe-crm.veevavault.com/ui/#object/approved_document__v/V5O00000001B037", "LUP - VAE Póster Adelphi - Reuma")</f>
        <v>LUP - VAE Póster Adelphi - Reuma</v>
      </c>
      <c r="M2682" s="10" t="str">
        <f t="shared" ref="M2682:M2687" si="63">HYPERLINK("mailto:ccoll@crm.otsuka-europe.com", "ccoll@crm.otsuka-europe.com")</f>
        <v>ccoll@crm.otsuka-europe.com</v>
      </c>
      <c r="N2682" s="13">
        <v>46175.779594907406</v>
      </c>
      <c r="O2682" s="14" t="str">
        <f>HYPERLINK("https://otsuka-europe-crm.veevavault.com/ui/#object/email_activity__v/V8C00000003N195", "EN-002088239")</f>
        <v>EN-002088239</v>
      </c>
    </row>
    <row r="2683" spans="1:15" ht="32" x14ac:dyDescent="0.2">
      <c r="A2683" s="7" t="str">
        <f>HYPERLINK("https://otsuka-europe-crm.veevavault.com/ui/#object/account__v/V4TZ025E86G5XX5", "PATRICIA MOYA ALVARADO")</f>
        <v>PATRICIA MOYA ALVARADO</v>
      </c>
      <c r="B2683" s="7" t="str">
        <f t="shared" si="60"/>
        <v>ES</v>
      </c>
      <c r="C2683" s="8" t="s">
        <v>41</v>
      </c>
      <c r="D2683" s="9" t="str">
        <f t="shared" si="61"/>
        <v>LUP - VAE Póster Adelphi - Reuma</v>
      </c>
      <c r="E2683" s="10" t="str">
        <f>HYPERLINK("https://otsuka-europe-crm.veevavault.com/ui/#object/sent_email__v/VBL00000002N819", "SE-001432037")</f>
        <v>SE-001432037</v>
      </c>
      <c r="F2683" s="11"/>
      <c r="G2683" s="12">
        <v>0</v>
      </c>
      <c r="H2683" s="12">
        <v>0</v>
      </c>
      <c r="I2683" s="12">
        <v>0</v>
      </c>
      <c r="J2683" s="11"/>
      <c r="K2683" s="12">
        <v>0</v>
      </c>
      <c r="L2683" s="10" t="str">
        <f t="shared" si="62"/>
        <v>LUP - VAE Póster Adelphi - Reuma</v>
      </c>
      <c r="M2683" s="10" t="str">
        <f t="shared" si="63"/>
        <v>ccoll@crm.otsuka-europe.com</v>
      </c>
      <c r="N2683" s="13">
        <v>46175.779594907406</v>
      </c>
      <c r="O2683" s="14" t="str">
        <f>HYPERLINK("https://otsuka-europe-crm.veevavault.com/ui/#object/email_activity__v/V8C00000003N220", "EN-002088264")</f>
        <v>EN-002088264</v>
      </c>
    </row>
    <row r="2684" spans="1:15" ht="32" x14ac:dyDescent="0.2">
      <c r="A2684" s="7" t="str">
        <f>HYPERLINK("https://otsuka-europe-crm.veevavault.com/ui/#object/account__v/V4TZ04ASGB4WQ3U", "PATRICIA CORZO GARCIA")</f>
        <v>PATRICIA CORZO GARCIA</v>
      </c>
      <c r="B2684" s="7" t="str">
        <f t="shared" si="60"/>
        <v>ES</v>
      </c>
      <c r="C2684" s="8" t="s">
        <v>41</v>
      </c>
      <c r="D2684" s="9" t="str">
        <f t="shared" si="61"/>
        <v>LUP - VAE Póster Adelphi - Reuma</v>
      </c>
      <c r="E2684" s="10" t="str">
        <f>HYPERLINK("https://otsuka-europe-crm.veevavault.com/ui/#object/sent_email__v/VBL00000002N820", "SE-001432038")</f>
        <v>SE-001432038</v>
      </c>
      <c r="F2684" s="11"/>
      <c r="G2684" s="12">
        <v>0</v>
      </c>
      <c r="H2684" s="12">
        <v>0</v>
      </c>
      <c r="I2684" s="12">
        <v>0</v>
      </c>
      <c r="J2684" s="11"/>
      <c r="K2684" s="12">
        <v>0</v>
      </c>
      <c r="L2684" s="10" t="str">
        <f t="shared" si="62"/>
        <v>LUP - VAE Póster Adelphi - Reuma</v>
      </c>
      <c r="M2684" s="10" t="str">
        <f t="shared" si="63"/>
        <v>ccoll@crm.otsuka-europe.com</v>
      </c>
      <c r="N2684" s="13">
        <v>46175.779594907406</v>
      </c>
      <c r="O2684" s="14" t="str">
        <f>HYPERLINK("https://otsuka-europe-crm.veevavault.com/ui/#object/email_activity__v/V8C00000003N182", "EN-002088226")</f>
        <v>EN-002088226</v>
      </c>
    </row>
    <row r="2685" spans="1:15" ht="32" x14ac:dyDescent="0.2">
      <c r="A2685" s="7" t="str">
        <f>HYPERLINK("https://otsuka-europe-crm.veevavault.com/ui/#object/account__v/V4TZ04ASG961DOR", "LAURA CALVO SANZ")</f>
        <v>LAURA CALVO SANZ</v>
      </c>
      <c r="B2685" s="7" t="str">
        <f t="shared" si="60"/>
        <v>ES</v>
      </c>
      <c r="C2685" s="8" t="s">
        <v>41</v>
      </c>
      <c r="D2685" s="9" t="str">
        <f t="shared" si="61"/>
        <v>LUP - VAE Póster Adelphi - Reuma</v>
      </c>
      <c r="E2685" s="10" t="str">
        <f>HYPERLINK("https://otsuka-europe-crm.veevavault.com/ui/#object/sent_email__v/VBL00000002N821", "SE-001432039")</f>
        <v>SE-001432039</v>
      </c>
      <c r="F2685" s="11"/>
      <c r="G2685" s="12">
        <v>0</v>
      </c>
      <c r="H2685" s="12">
        <v>0</v>
      </c>
      <c r="I2685" s="12">
        <v>0</v>
      </c>
      <c r="J2685" s="11"/>
      <c r="K2685" s="12">
        <v>0</v>
      </c>
      <c r="L2685" s="10" t="str">
        <f t="shared" si="62"/>
        <v>LUP - VAE Póster Adelphi - Reuma</v>
      </c>
      <c r="M2685" s="10" t="str">
        <f t="shared" si="63"/>
        <v>ccoll@crm.otsuka-europe.com</v>
      </c>
      <c r="N2685" s="13">
        <v>46175.779594907406</v>
      </c>
      <c r="O2685" s="14" t="str">
        <f>HYPERLINK("https://otsuka-europe-crm.veevavault.com/ui/#object/email_activity__v/V8C00000003N190", "EN-002088234")</f>
        <v>EN-002088234</v>
      </c>
    </row>
    <row r="2686" spans="1:15" ht="32" x14ac:dyDescent="0.2">
      <c r="A2686" s="7" t="str">
        <f>HYPERLINK("https://otsuka-europe-crm.veevavault.com/ui/#object/account__v/V4TZ04ASGB967AE", "RAMON FONTOVA GARROFE")</f>
        <v>RAMON FONTOVA GARROFE</v>
      </c>
      <c r="B2686" s="7" t="str">
        <f t="shared" si="60"/>
        <v>ES</v>
      </c>
      <c r="C2686" s="8" t="s">
        <v>41</v>
      </c>
      <c r="D2686" s="9" t="str">
        <f t="shared" si="61"/>
        <v>LUP - VAE Póster Adelphi - Reuma</v>
      </c>
      <c r="E2686" s="10" t="str">
        <f>HYPERLINK("https://otsuka-europe-crm.veevavault.com/ui/#object/sent_email__v/VBL00000002N822", "SE-001432040")</f>
        <v>SE-001432040</v>
      </c>
      <c r="F2686" s="11"/>
      <c r="G2686" s="12">
        <v>0</v>
      </c>
      <c r="H2686" s="12">
        <v>0</v>
      </c>
      <c r="I2686" s="12">
        <v>0</v>
      </c>
      <c r="J2686" s="11"/>
      <c r="K2686" s="12">
        <v>0</v>
      </c>
      <c r="L2686" s="10" t="str">
        <f t="shared" si="62"/>
        <v>LUP - VAE Póster Adelphi - Reuma</v>
      </c>
      <c r="M2686" s="10" t="str">
        <f t="shared" si="63"/>
        <v>ccoll@crm.otsuka-europe.com</v>
      </c>
      <c r="N2686" s="13">
        <v>46175.779594907406</v>
      </c>
      <c r="O2686" s="14" t="str">
        <f>HYPERLINK("https://otsuka-europe-crm.veevavault.com/ui/#object/email_activity__v/V8C00000003N208", "EN-002088252")</f>
        <v>EN-002088252</v>
      </c>
    </row>
    <row r="2687" spans="1:15" ht="16" x14ac:dyDescent="0.2">
      <c r="A2687" s="17" t="str">
        <f>HYPERLINK("https://otsuka-europe-crm.veevavault.com/ui/#object/account__v/V4TZ04ASG963020", "JULIA FERNANDEZ MELON")</f>
        <v>JULIA FERNANDEZ MELON</v>
      </c>
      <c r="B2687" s="17" t="str">
        <f t="shared" si="60"/>
        <v>ES</v>
      </c>
      <c r="C2687" s="20" t="s">
        <v>41</v>
      </c>
      <c r="D2687" s="21" t="str">
        <f t="shared" si="61"/>
        <v>LUP - VAE Póster Adelphi - Reuma</v>
      </c>
      <c r="E2687" s="22" t="str">
        <f>HYPERLINK("https://otsuka-europe-crm.veevavault.com/ui/#object/sent_email__v/VBL00000002N823", "SE-001432041")</f>
        <v>SE-001432041</v>
      </c>
      <c r="F2687" s="23">
        <v>46176.302766203706</v>
      </c>
      <c r="G2687" s="24">
        <v>1</v>
      </c>
      <c r="H2687" s="24">
        <v>2</v>
      </c>
      <c r="I2687" s="24">
        <v>0</v>
      </c>
      <c r="J2687" s="25"/>
      <c r="K2687" s="24">
        <v>0</v>
      </c>
      <c r="L2687" s="22" t="str">
        <f t="shared" si="62"/>
        <v>LUP - VAE Póster Adelphi - Reuma</v>
      </c>
      <c r="M2687" s="22" t="str">
        <f t="shared" si="63"/>
        <v>ccoll@crm.otsuka-europe.com</v>
      </c>
      <c r="N2687" s="23">
        <v>46175.779594907406</v>
      </c>
      <c r="O2687" s="14" t="str">
        <f>HYPERLINK("https://otsuka-europe-crm.veevavault.com/ui/#object/email_activity__v/V8C00000003M141", "EN-002088292")</f>
        <v>EN-002088292</v>
      </c>
    </row>
    <row r="2688" spans="1:15" ht="16" x14ac:dyDescent="0.2">
      <c r="A2688" s="18"/>
      <c r="B2688" s="18"/>
      <c r="C2688" s="18"/>
      <c r="D2688" s="18"/>
      <c r="E2688" s="18"/>
      <c r="F2688" s="18"/>
      <c r="G2688" s="18"/>
      <c r="H2688" s="18"/>
      <c r="I2688" s="18"/>
      <c r="J2688" s="18"/>
      <c r="K2688" s="18"/>
      <c r="L2688" s="18"/>
      <c r="M2688" s="18"/>
      <c r="N2688" s="18"/>
      <c r="O2688" s="14" t="str">
        <f>HYPERLINK("https://otsuka-europe-crm.veevavault.com/ui/#object/email_activity__v/V8C00000003N355", "EN-002088561")</f>
        <v>EN-002088561</v>
      </c>
    </row>
    <row r="2689" spans="1:15" ht="16" x14ac:dyDescent="0.2">
      <c r="A2689" s="19"/>
      <c r="B2689" s="19"/>
      <c r="C2689" s="19"/>
      <c r="D2689" s="19"/>
      <c r="E2689" s="19"/>
      <c r="F2689" s="19"/>
      <c r="G2689" s="19"/>
      <c r="H2689" s="19"/>
      <c r="I2689" s="19"/>
      <c r="J2689" s="19"/>
      <c r="K2689" s="19"/>
      <c r="L2689" s="19"/>
      <c r="M2689" s="19"/>
      <c r="N2689" s="19"/>
      <c r="O2689" s="14" t="str">
        <f>HYPERLINK("https://otsuka-europe-crm.veevavault.com/ui/#object/email_activity__v/V8C00000003N357", "EN-002088563")</f>
        <v>EN-002088563</v>
      </c>
    </row>
    <row r="2690" spans="1:15" ht="32" x14ac:dyDescent="0.2">
      <c r="A2690" s="7" t="str">
        <f>HYPERLINK("https://otsuka-europe-crm.veevavault.com/ui/#object/account__v/V4TZ04ASGAGEZ0G", "JUAN CAMILO SARMIENTO MONROY")</f>
        <v>JUAN CAMILO SARMIENTO MONROY</v>
      </c>
      <c r="B2690" s="7" t="str">
        <f>HYPERLINK("https://otsuka-europe-crm.veevavault.com/ui/#object/vcountry__v/VENZ000004SONF5", "ES")</f>
        <v>ES</v>
      </c>
      <c r="C2690" s="8" t="s">
        <v>41</v>
      </c>
      <c r="D2690" s="9" t="str">
        <f>HYPERLINK("https://otsuka-europe-crm.veevavault.com/ui/#object/approved_document__v/V5O00000001B037", "LUP - VAE Póster Adelphi - Reuma")</f>
        <v>LUP - VAE Póster Adelphi - Reuma</v>
      </c>
      <c r="E2690" s="10" t="str">
        <f>HYPERLINK("https://otsuka-europe-crm.veevavault.com/ui/#object/sent_email__v/VBL00000002N824", "SE-001432042")</f>
        <v>SE-001432042</v>
      </c>
      <c r="F2690" s="11"/>
      <c r="G2690" s="12">
        <v>0</v>
      </c>
      <c r="H2690" s="12">
        <v>0</v>
      </c>
      <c r="I2690" s="12">
        <v>0</v>
      </c>
      <c r="J2690" s="11"/>
      <c r="K2690" s="12">
        <v>0</v>
      </c>
      <c r="L2690" s="10" t="str">
        <f>HYPERLINK("https://otsuka-europe-crm.veevavault.com/ui/#object/approved_document__v/V5O00000001B037", "LUP - VAE Póster Adelphi - Reuma")</f>
        <v>LUP - VAE Póster Adelphi - Reuma</v>
      </c>
      <c r="M2690" s="10" t="str">
        <f>HYPERLINK("mailto:ccoll@crm.otsuka-europe.com", "ccoll@crm.otsuka-europe.com")</f>
        <v>ccoll@crm.otsuka-europe.com</v>
      </c>
      <c r="N2690" s="13">
        <v>46175.779594907406</v>
      </c>
      <c r="O2690" s="14" t="str">
        <f>HYPERLINK("https://otsuka-europe-crm.veevavault.com/ui/#object/email_activity__v/V8C00000003N196", "EN-002088240")</f>
        <v>EN-002088240</v>
      </c>
    </row>
    <row r="2691" spans="1:15" ht="16" x14ac:dyDescent="0.2">
      <c r="A2691" s="17" t="str">
        <f>HYPERLINK("https://otsuka-europe-crm.veevavault.com/ui/#object/account__v/V4TZ04ASGB4TQAO", "SILVIA GARCIA CIRERA")</f>
        <v>SILVIA GARCIA CIRERA</v>
      </c>
      <c r="B2691" s="17" t="str">
        <f>HYPERLINK("https://otsuka-europe-crm.veevavault.com/ui/#object/vcountry__v/VENZ000004SONF5", "ES")</f>
        <v>ES</v>
      </c>
      <c r="C2691" s="20" t="s">
        <v>41</v>
      </c>
      <c r="D2691" s="21" t="str">
        <f>HYPERLINK("https://otsuka-europe-crm.veevavault.com/ui/#object/approved_document__v/V5O00000001B037", "LUP - VAE Póster Adelphi - Reuma")</f>
        <v>LUP - VAE Póster Adelphi - Reuma</v>
      </c>
      <c r="E2691" s="22" t="str">
        <f>HYPERLINK("https://otsuka-europe-crm.veevavault.com/ui/#object/sent_email__v/VBL00000002N825", "SE-001432043")</f>
        <v>SE-001432043</v>
      </c>
      <c r="F2691" s="23">
        <v>46185.384953703702</v>
      </c>
      <c r="G2691" s="24">
        <v>1</v>
      </c>
      <c r="H2691" s="24">
        <v>1</v>
      </c>
      <c r="I2691" s="24">
        <v>0</v>
      </c>
      <c r="J2691" s="25"/>
      <c r="K2691" s="24">
        <v>0</v>
      </c>
      <c r="L2691" s="22" t="str">
        <f>HYPERLINK("https://otsuka-europe-crm.veevavault.com/ui/#object/approved_document__v/V5O00000001B037", "LUP - VAE Póster Adelphi - Reuma")</f>
        <v>LUP - VAE Póster Adelphi - Reuma</v>
      </c>
      <c r="M2691" s="22" t="str">
        <f>HYPERLINK("mailto:ccoll@crm.otsuka-europe.com", "ccoll@crm.otsuka-europe.com")</f>
        <v>ccoll@crm.otsuka-europe.com</v>
      </c>
      <c r="N2691" s="23">
        <v>46175.779594907406</v>
      </c>
      <c r="O2691" s="14" t="str">
        <f>HYPERLINK("https://otsuka-europe-crm.veevavault.com/ui/#object/email_activity__v/V8C00000003M412", "EN-002088851")</f>
        <v>EN-002088851</v>
      </c>
    </row>
    <row r="2692" spans="1:15" ht="16" x14ac:dyDescent="0.2">
      <c r="A2692" s="18"/>
      <c r="B2692" s="18"/>
      <c r="C2692" s="18"/>
      <c r="D2692" s="18"/>
      <c r="E2692" s="18"/>
      <c r="F2692" s="18"/>
      <c r="G2692" s="18"/>
      <c r="H2692" s="18"/>
      <c r="I2692" s="18"/>
      <c r="J2692" s="18"/>
      <c r="K2692" s="18"/>
      <c r="L2692" s="18"/>
      <c r="M2692" s="18"/>
      <c r="N2692" s="18"/>
      <c r="O2692" s="14" t="str">
        <f>HYPERLINK("https://otsuka-europe-crm.veevavault.com/ui/#object/email_activity__v/V8C00000003N197", "EN-002088241")</f>
        <v>EN-002088241</v>
      </c>
    </row>
    <row r="2693" spans="1:15" ht="16" x14ac:dyDescent="0.2">
      <c r="A2693" s="19"/>
      <c r="B2693" s="19"/>
      <c r="C2693" s="19"/>
      <c r="D2693" s="19"/>
      <c r="E2693" s="19"/>
      <c r="F2693" s="19"/>
      <c r="G2693" s="19"/>
      <c r="H2693" s="19"/>
      <c r="I2693" s="19"/>
      <c r="J2693" s="19"/>
      <c r="K2693" s="19"/>
      <c r="L2693" s="19"/>
      <c r="M2693" s="19"/>
      <c r="N2693" s="19"/>
      <c r="O2693" s="14" t="str">
        <f>HYPERLINK("https://otsuka-europe-crm.veevavault.com/ui/#object/email_activity__v/V8C00000003U158", "EN-002095176")</f>
        <v>EN-002095176</v>
      </c>
    </row>
    <row r="2694" spans="1:15" ht="16" x14ac:dyDescent="0.2">
      <c r="A2694" s="17" t="str">
        <f>HYPERLINK("https://otsuka-europe-crm.veevavault.com/ui/#object/account__v/V4TZ00000633KE1", "ALEXANDRE BOT")</f>
        <v>ALEXANDRE BOT</v>
      </c>
      <c r="B2694" s="17" t="str">
        <f>HYPERLINK("https://otsuka-europe-crm.veevavault.com/ui/#object/vcountry__v/VENZ000004SONFA", "FR")</f>
        <v>FR</v>
      </c>
      <c r="C2694" s="20" t="s">
        <v>42</v>
      </c>
      <c r="D2694" s="21" t="str">
        <f>HYPERLINK("https://otsuka-europe-crm.veevavault.com/ui/#object/approved_document__v/V5OZ04ASG4G02Y6", "INVITATION_VAD_2023")</f>
        <v>INVITATION_VAD_2023</v>
      </c>
      <c r="E2694" s="22" t="str">
        <f>HYPERLINK("https://otsuka-europe-crm.veevavault.com/ui/#object/sent_email__v/VBL00000002N826", "SE-001432044")</f>
        <v>SE-001432044</v>
      </c>
      <c r="F2694" s="25"/>
      <c r="G2694" s="24">
        <v>0</v>
      </c>
      <c r="H2694" s="24">
        <v>0</v>
      </c>
      <c r="I2694" s="24">
        <v>0</v>
      </c>
      <c r="J2694" s="25"/>
      <c r="K2694" s="24">
        <v>0</v>
      </c>
      <c r="L2694" s="22" t="str">
        <f>HYPERLINK("https://otsuka-europe-crm.veevavault.com/ui/#object/approved_document__v/V5OZ04ASG4G02Y6", "INVITATION_VAD_2023")</f>
        <v>INVITATION_VAD_2023</v>
      </c>
      <c r="M2694" s="22" t="str">
        <f>HYPERLINK("mailto:cchevalliermiserole@crm.otsuka-europe.com", "cchevalliermiserole@crm.otsuka-europe.com")</f>
        <v>cchevalliermiserole@crm.otsuka-europe.com</v>
      </c>
      <c r="N2694" s="23">
        <v>46175.822210648148</v>
      </c>
      <c r="O2694" s="14" t="str">
        <f>HYPERLINK("https://otsuka-europe-crm.veevavault.com/ui/#object/email_activity__v/V8C00000003M189", "EN-002088362")</f>
        <v>EN-002088362</v>
      </c>
    </row>
    <row r="2695" spans="1:15" ht="16" x14ac:dyDescent="0.2">
      <c r="A2695" s="18"/>
      <c r="B2695" s="18"/>
      <c r="C2695" s="18"/>
      <c r="D2695" s="18"/>
      <c r="E2695" s="18"/>
      <c r="F2695" s="18"/>
      <c r="G2695" s="18"/>
      <c r="H2695" s="18"/>
      <c r="I2695" s="18"/>
      <c r="J2695" s="18"/>
      <c r="K2695" s="18"/>
      <c r="L2695" s="18"/>
      <c r="M2695" s="18"/>
      <c r="N2695" s="18"/>
      <c r="O2695" s="14" t="str">
        <f>HYPERLINK("https://otsuka-europe-crm.veevavault.com/ui/#object/email_activity__v/V8C00000003N302", "EN-002088460")</f>
        <v>EN-002088460</v>
      </c>
    </row>
    <row r="2696" spans="1:15" ht="16" x14ac:dyDescent="0.2">
      <c r="A2696" s="18"/>
      <c r="B2696" s="18"/>
      <c r="C2696" s="18"/>
      <c r="D2696" s="18"/>
      <c r="E2696" s="18"/>
      <c r="F2696" s="18"/>
      <c r="G2696" s="18"/>
      <c r="H2696" s="18"/>
      <c r="I2696" s="18"/>
      <c r="J2696" s="18"/>
      <c r="K2696" s="18"/>
      <c r="L2696" s="18"/>
      <c r="M2696" s="18"/>
      <c r="N2696" s="18"/>
      <c r="O2696" s="14" t="str">
        <f>HYPERLINK("https://otsuka-europe-crm.veevavault.com/ui/#object/email_activity__v/V8C00000003S522", "EN-002093941")</f>
        <v>EN-002093941</v>
      </c>
    </row>
    <row r="2697" spans="1:15" ht="16" x14ac:dyDescent="0.2">
      <c r="A2697" s="18"/>
      <c r="B2697" s="18"/>
      <c r="C2697" s="18"/>
      <c r="D2697" s="18"/>
      <c r="E2697" s="18"/>
      <c r="F2697" s="18"/>
      <c r="G2697" s="18"/>
      <c r="H2697" s="18"/>
      <c r="I2697" s="18"/>
      <c r="J2697" s="18"/>
      <c r="K2697" s="18"/>
      <c r="L2697" s="18"/>
      <c r="M2697" s="18"/>
      <c r="N2697" s="18"/>
      <c r="O2697" s="14" t="str">
        <f>HYPERLINK("https://otsuka-europe-crm.veevavault.com/ui/#object/email_activity__v/V8C00000003U010", "EN-002094836")</f>
        <v>EN-002094836</v>
      </c>
    </row>
    <row r="2698" spans="1:15" ht="16" x14ac:dyDescent="0.2">
      <c r="A2698" s="19"/>
      <c r="B2698" s="19"/>
      <c r="C2698" s="19"/>
      <c r="D2698" s="19"/>
      <c r="E2698" s="19"/>
      <c r="F2698" s="19"/>
      <c r="G2698" s="19"/>
      <c r="H2698" s="19"/>
      <c r="I2698" s="19"/>
      <c r="J2698" s="19"/>
      <c r="K2698" s="19"/>
      <c r="L2698" s="19"/>
      <c r="M2698" s="19"/>
      <c r="N2698" s="19"/>
      <c r="O2698" s="14" t="str">
        <f>HYPERLINK("https://otsuka-europe-crm.veevavault.com/ui/#object/email_activity__v/V8C00000003Z038", "EN-002098708")</f>
        <v>EN-002098708</v>
      </c>
    </row>
    <row r="2699" spans="1:15" ht="48" x14ac:dyDescent="0.2">
      <c r="A2699" s="7" t="str">
        <f>HYPERLINK("https://otsuka-europe-crm.veevavault.com/ui/#object/account__v/V4TZ000006353B6", "Andreas Stadelmann")</f>
        <v>Andreas Stadelmann</v>
      </c>
      <c r="B2699" s="7" t="str">
        <f>HYPERLINK("https://otsuka-europe-crm.veevavault.com/ui/#object/vcountry__v/VENZ000004SONFP", "DE")</f>
        <v>DE</v>
      </c>
      <c r="C2699" s="8" t="s">
        <v>43</v>
      </c>
      <c r="D2699" s="9" t="str">
        <f>HYPERLINK("https://otsuka-europe-crm.veevavault.com/ui/#object/approved_document__v/V5O00000001H029", "VAE DE AM960 - Podcast-Interview Prof. Dr. Köhler_2026-05")</f>
        <v>VAE DE AM960 - Podcast-Interview Prof. Dr. Köhler_2026-05</v>
      </c>
      <c r="E2699" s="10" t="str">
        <f>HYPERLINK("https://otsuka-europe-crm.veevavault.com/ui/#object/sent_email__v/VBL00000002N829", "SE-001432045")</f>
        <v>SE-001432045</v>
      </c>
      <c r="F2699" s="11"/>
      <c r="G2699" s="12">
        <v>0</v>
      </c>
      <c r="H2699" s="12">
        <v>0</v>
      </c>
      <c r="I2699" s="12">
        <v>0</v>
      </c>
      <c r="J2699" s="11"/>
      <c r="K2699" s="12">
        <v>0</v>
      </c>
      <c r="L2699" s="10" t="str">
        <f>HYPERLINK("https://otsuka-europe-crm.veevavault.com/ui/#object/approved_document__v/V5O00000001H029", "VAE DE AM960 - Podcast-Interview Prof. Dr. Köhler_2026-05")</f>
        <v>VAE DE AM960 - Podcast-Interview Prof. Dr. Köhler_2026-05</v>
      </c>
      <c r="M2699" s="10" t="str">
        <f>HYPERLINK("mailto:apein@crm.otsuka-europe.com", "apein@crm.otsuka-europe.com")</f>
        <v>apein@crm.otsuka-europe.com</v>
      </c>
      <c r="N2699" s="13">
        <v>46176.329872685186</v>
      </c>
      <c r="O2699" s="14" t="str">
        <f>HYPERLINK("https://otsuka-europe-crm.veevavault.com/ui/#object/email_activity__v/V8C00000003N369", "EN-002088584")</f>
        <v>EN-002088584</v>
      </c>
    </row>
    <row r="2700" spans="1:15" ht="16" x14ac:dyDescent="0.2">
      <c r="A2700" s="17" t="str">
        <f>HYPERLINK("https://otsuka-europe-crm.veevavault.com/ui/#object/account__v/V4TZ0000062T9X0", "Juri Sloboda")</f>
        <v>Juri Sloboda</v>
      </c>
      <c r="B2700" s="17" t="str">
        <f>HYPERLINK("https://otsuka-europe-crm.veevavault.com/ui/#object/vcountry__v/VENZ000004SONFP", "DE")</f>
        <v>DE</v>
      </c>
      <c r="C2700" s="20" t="s">
        <v>43</v>
      </c>
      <c r="D2700" s="21" t="str">
        <f>HYPERLINK("https://otsuka-europe-crm.veevavault.com/ui/#object/approved_document__v/V5O00000001H029", "VAE DE AM960 - Podcast-Interview Prof. Dr. Köhler_2026-05")</f>
        <v>VAE DE AM960 - Podcast-Interview Prof. Dr. Köhler_2026-05</v>
      </c>
      <c r="E2700" s="22" t="str">
        <f>HYPERLINK("https://otsuka-europe-crm.veevavault.com/ui/#object/sent_email__v/VBL00000002O388", "SE-001432046")</f>
        <v>SE-001432046</v>
      </c>
      <c r="F2700" s="23">
        <v>46176.787280092591</v>
      </c>
      <c r="G2700" s="24">
        <v>1</v>
      </c>
      <c r="H2700" s="24">
        <v>1</v>
      </c>
      <c r="I2700" s="24">
        <v>0</v>
      </c>
      <c r="J2700" s="25"/>
      <c r="K2700" s="24">
        <v>0</v>
      </c>
      <c r="L2700" s="22" t="str">
        <f>HYPERLINK("https://otsuka-europe-crm.veevavault.com/ui/#object/approved_document__v/V5O00000001H029", "VAE DE AM960 - Podcast-Interview Prof. Dr. Köhler_2026-05")</f>
        <v>VAE DE AM960 - Podcast-Interview Prof. Dr. Köhler_2026-05</v>
      </c>
      <c r="M2700" s="22" t="str">
        <f>HYPERLINK("mailto:apein@crm.otsuka-europe.com", "apein@crm.otsuka-europe.com")</f>
        <v>apein@crm.otsuka-europe.com</v>
      </c>
      <c r="N2700" s="23">
        <v>46176.33</v>
      </c>
      <c r="O2700" s="14" t="str">
        <f>HYPERLINK("https://otsuka-europe-crm.veevavault.com/ui/#object/email_activity__v/V8C00000003N370", "EN-002088585")</f>
        <v>EN-002088585</v>
      </c>
    </row>
    <row r="2701" spans="1:15" ht="16" x14ac:dyDescent="0.2">
      <c r="A2701" s="19"/>
      <c r="B2701" s="19"/>
      <c r="C2701" s="19"/>
      <c r="D2701" s="19"/>
      <c r="E2701" s="19"/>
      <c r="F2701" s="19"/>
      <c r="G2701" s="19"/>
      <c r="H2701" s="19"/>
      <c r="I2701" s="19"/>
      <c r="J2701" s="19"/>
      <c r="K2701" s="19"/>
      <c r="L2701" s="19"/>
      <c r="M2701" s="19"/>
      <c r="N2701" s="19"/>
      <c r="O2701" s="14" t="str">
        <f>HYPERLINK("https://otsuka-europe-crm.veevavault.com/ui/#object/email_activity__v/V8C00000003N510", "EN-002088810")</f>
        <v>EN-002088810</v>
      </c>
    </row>
    <row r="2702" spans="1:15" ht="16" x14ac:dyDescent="0.2">
      <c r="A2702" s="17" t="str">
        <f>HYPERLINK("https://otsuka-europe-crm.veevavault.com/ui/#object/account__v/V4TZ0000062T975", "Imke Puls")</f>
        <v>Imke Puls</v>
      </c>
      <c r="B2702" s="17" t="str">
        <f>HYPERLINK("https://otsuka-europe-crm.veevavault.com/ui/#object/vcountry__v/VENZ000004SONFP", "DE")</f>
        <v>DE</v>
      </c>
      <c r="C2702" s="20" t="s">
        <v>43</v>
      </c>
      <c r="D2702" s="21" t="str">
        <f>HYPERLINK("https://otsuka-europe-crm.veevavault.com/ui/#object/approved_document__v/V5O00000001H029", "VAE DE AM960 - Podcast-Interview Prof. Dr. Köhler_2026-05")</f>
        <v>VAE DE AM960 - Podcast-Interview Prof. Dr. Köhler_2026-05</v>
      </c>
      <c r="E2702" s="22" t="str">
        <f>HYPERLINK("https://otsuka-europe-crm.veevavault.com/ui/#object/sent_email__v/VBL00000002N830", "SE-001432047")</f>
        <v>SE-001432047</v>
      </c>
      <c r="F2702" s="23">
        <v>46192.508333333331</v>
      </c>
      <c r="G2702" s="24">
        <v>1</v>
      </c>
      <c r="H2702" s="24">
        <v>3</v>
      </c>
      <c r="I2702" s="24">
        <v>0</v>
      </c>
      <c r="J2702" s="25"/>
      <c r="K2702" s="24">
        <v>0</v>
      </c>
      <c r="L2702" s="22" t="str">
        <f>HYPERLINK("https://otsuka-europe-crm.veevavault.com/ui/#object/approved_document__v/V5O00000001H029", "VAE DE AM960 - Podcast-Interview Prof. Dr. Köhler_2026-05")</f>
        <v>VAE DE AM960 - Podcast-Interview Prof. Dr. Köhler_2026-05</v>
      </c>
      <c r="M2702" s="22" t="str">
        <f>HYPERLINK("mailto:apein@crm.otsuka-europe.com", "apein@crm.otsuka-europe.com")</f>
        <v>apein@crm.otsuka-europe.com</v>
      </c>
      <c r="N2702" s="23">
        <v>46176.331064814818</v>
      </c>
      <c r="O2702" s="14" t="str">
        <f>HYPERLINK("https://otsuka-europe-crm.veevavault.com/ui/#object/email_activity__v/V8C00000003N371", "EN-002088586")</f>
        <v>EN-002088586</v>
      </c>
    </row>
    <row r="2703" spans="1:15" ht="16" x14ac:dyDescent="0.2">
      <c r="A2703" s="18"/>
      <c r="B2703" s="18"/>
      <c r="C2703" s="18"/>
      <c r="D2703" s="18"/>
      <c r="E2703" s="18"/>
      <c r="F2703" s="18"/>
      <c r="G2703" s="18"/>
      <c r="H2703" s="18"/>
      <c r="I2703" s="18"/>
      <c r="J2703" s="18"/>
      <c r="K2703" s="18"/>
      <c r="L2703" s="18"/>
      <c r="M2703" s="18"/>
      <c r="N2703" s="18"/>
      <c r="O2703" s="14" t="str">
        <f>HYPERLINK("https://otsuka-europe-crm.veevavault.com/ui/#object/email_activity__v/V8C00000003N374", "EN-002088591")</f>
        <v>EN-002088591</v>
      </c>
    </row>
    <row r="2704" spans="1:15" ht="16" x14ac:dyDescent="0.2">
      <c r="A2704" s="18"/>
      <c r="B2704" s="18"/>
      <c r="C2704" s="18"/>
      <c r="D2704" s="18"/>
      <c r="E2704" s="18"/>
      <c r="F2704" s="18"/>
      <c r="G2704" s="18"/>
      <c r="H2704" s="18"/>
      <c r="I2704" s="18"/>
      <c r="J2704" s="18"/>
      <c r="K2704" s="18"/>
      <c r="L2704" s="18"/>
      <c r="M2704" s="18"/>
      <c r="N2704" s="18"/>
      <c r="O2704" s="14" t="str">
        <f>HYPERLINK("https://otsuka-europe-crm.veevavault.com/ui/#object/email_activity__v/V8C00000003Z083", "EN-002098793")</f>
        <v>EN-002098793</v>
      </c>
    </row>
    <row r="2705" spans="1:15" ht="16" x14ac:dyDescent="0.2">
      <c r="A2705" s="19"/>
      <c r="B2705" s="19"/>
      <c r="C2705" s="19"/>
      <c r="D2705" s="19"/>
      <c r="E2705" s="19"/>
      <c r="F2705" s="19"/>
      <c r="G2705" s="19"/>
      <c r="H2705" s="19"/>
      <c r="I2705" s="19"/>
      <c r="J2705" s="19"/>
      <c r="K2705" s="19"/>
      <c r="L2705" s="19"/>
      <c r="M2705" s="19"/>
      <c r="N2705" s="19"/>
      <c r="O2705" s="14" t="str">
        <f>HYPERLINK("https://otsuka-europe-crm.veevavault.com/ui/#object/email_activity__v/V8C00000003Z084", "EN-002098794")</f>
        <v>EN-002098794</v>
      </c>
    </row>
    <row r="2706" spans="1:15" ht="48" x14ac:dyDescent="0.2">
      <c r="A2706" s="7" t="str">
        <f>HYPERLINK("https://otsuka-europe-crm.veevavault.com/ui/#object/account__v/V4TZ0000062T6PF", "Peter W. Lust")</f>
        <v>Peter W. Lust</v>
      </c>
      <c r="B2706" s="7" t="str">
        <f>HYPERLINK("https://otsuka-europe-crm.veevavault.com/ui/#object/vcountry__v/VENZ000004SONFP", "DE")</f>
        <v>DE</v>
      </c>
      <c r="C2706" s="8" t="s">
        <v>43</v>
      </c>
      <c r="D2706" s="9" t="str">
        <f>HYPERLINK("https://otsuka-europe-crm.veevavault.com/ui/#object/approved_document__v/V5O00000001H029", "VAE DE AM960 - Podcast-Interview Prof. Dr. Köhler_2026-05")</f>
        <v>VAE DE AM960 - Podcast-Interview Prof. Dr. Köhler_2026-05</v>
      </c>
      <c r="E2706" s="10" t="str">
        <f>HYPERLINK("https://otsuka-europe-crm.veevavault.com/ui/#object/sent_email__v/VBL00000002O389", "SE-001432048")</f>
        <v>SE-001432048</v>
      </c>
      <c r="F2706" s="11"/>
      <c r="G2706" s="12">
        <v>0</v>
      </c>
      <c r="H2706" s="12">
        <v>0</v>
      </c>
      <c r="I2706" s="12">
        <v>0</v>
      </c>
      <c r="J2706" s="11"/>
      <c r="K2706" s="12">
        <v>0</v>
      </c>
      <c r="L2706" s="10" t="str">
        <f>HYPERLINK("https://otsuka-europe-crm.veevavault.com/ui/#object/approved_document__v/V5O00000001H029", "VAE DE AM960 - Podcast-Interview Prof. Dr. Köhler_2026-05")</f>
        <v>VAE DE AM960 - Podcast-Interview Prof. Dr. Köhler_2026-05</v>
      </c>
      <c r="M2706" s="10" t="str">
        <f>HYPERLINK("mailto:apein@crm.otsuka-europe.com", "apein@crm.otsuka-europe.com")</f>
        <v>apein@crm.otsuka-europe.com</v>
      </c>
      <c r="N2706" s="13">
        <v>46176.331759259258</v>
      </c>
      <c r="O2706" s="14" t="str">
        <f>HYPERLINK("https://otsuka-europe-crm.veevavault.com/ui/#object/email_activity__v/V8C00000003N372", "EN-002088587")</f>
        <v>EN-002088587</v>
      </c>
    </row>
    <row r="2707" spans="1:15" ht="48" x14ac:dyDescent="0.2">
      <c r="A2707" s="7" t="str">
        <f>HYPERLINK("https://otsuka-europe-crm.veevavault.com/ui/#object/account__v/V4TZ00000634XE8", "Thomas Boldt")</f>
        <v>Thomas Boldt</v>
      </c>
      <c r="B2707" s="7" t="str">
        <f>HYPERLINK("https://otsuka-europe-crm.veevavault.com/ui/#object/vcountry__v/VENZ000004SONFP", "DE")</f>
        <v>DE</v>
      </c>
      <c r="C2707" s="8" t="s">
        <v>43</v>
      </c>
      <c r="D2707" s="9" t="str">
        <f>HYPERLINK("https://otsuka-europe-crm.veevavault.com/ui/#object/approved_document__v/V5O00000001H013", "INA VAE DE - Sopro DKK 2026_Interview Dr. Kirakosow")</f>
        <v>INA VAE DE - Sopro DKK 2026_Interview Dr. Kirakosow</v>
      </c>
      <c r="E2707" s="10" t="str">
        <f>HYPERLINK("https://otsuka-europe-crm.veevavault.com/ui/#object/sent_email__v/VBL00000002O390", "SE-001432049")</f>
        <v>SE-001432049</v>
      </c>
      <c r="F2707" s="11"/>
      <c r="G2707" s="12">
        <v>0</v>
      </c>
      <c r="H2707" s="12">
        <v>0</v>
      </c>
      <c r="I2707" s="12">
        <v>0</v>
      </c>
      <c r="J2707" s="11"/>
      <c r="K2707" s="12">
        <v>0</v>
      </c>
      <c r="L2707" s="10" t="str">
        <f>HYPERLINK("https://otsuka-europe-crm.veevavault.com/ui/#object/approved_document__v/V5O00000001H013", "INA VAE DE - Sopro DKK 2026_Interview Dr. Kirakosow")</f>
        <v>INA VAE DE - Sopro DKK 2026_Interview Dr. Kirakosow</v>
      </c>
      <c r="M2707" s="10" t="str">
        <f>HYPERLINK("mailto:apein@crm.otsuka-europe.com", "apein@crm.otsuka-europe.com")</f>
        <v>apein@crm.otsuka-europe.com</v>
      </c>
      <c r="N2707" s="13">
        <v>46176.332465277781</v>
      </c>
      <c r="O2707" s="14" t="str">
        <f>HYPERLINK("https://otsuka-europe-crm.veevavault.com/ui/#object/email_activity__v/V8C00000003M307", "EN-002088588")</f>
        <v>EN-002088588</v>
      </c>
    </row>
    <row r="2708" spans="1:15" ht="16" x14ac:dyDescent="0.2">
      <c r="A2708" s="17" t="str">
        <f>HYPERLINK("https://otsuka-europe-crm.veevavault.com/ui/#object/account__v/V4TZ025E88XBRUW", "Eryk Cylka")</f>
        <v>Eryk Cylka</v>
      </c>
      <c r="B2708" s="17" t="str">
        <f>HYPERLINK("https://otsuka-europe-crm.veevavault.com/ui/#object/vcountry__v/VENZ000004SONFP", "DE")</f>
        <v>DE</v>
      </c>
      <c r="C2708" s="20" t="s">
        <v>43</v>
      </c>
      <c r="D2708" s="21" t="str">
        <f>HYPERLINK("https://otsuka-europe-crm.veevavault.com/ui/#object/approved_document__v/V5O00000001H013", "INA VAE DE - Sopro DKK 2026_Interview Dr. Kirakosow")</f>
        <v>INA VAE DE - Sopro DKK 2026_Interview Dr. Kirakosow</v>
      </c>
      <c r="E2708" s="22" t="str">
        <f>HYPERLINK("https://otsuka-europe-crm.veevavault.com/ui/#object/sent_email__v/VBL00000002O391", "SE-001432050")</f>
        <v>SE-001432050</v>
      </c>
      <c r="F2708" s="23">
        <v>46176.415219907409</v>
      </c>
      <c r="G2708" s="24">
        <v>1</v>
      </c>
      <c r="H2708" s="24">
        <v>3</v>
      </c>
      <c r="I2708" s="24">
        <v>0</v>
      </c>
      <c r="J2708" s="25"/>
      <c r="K2708" s="24">
        <v>0</v>
      </c>
      <c r="L2708" s="22" t="str">
        <f>HYPERLINK("https://otsuka-europe-crm.veevavault.com/ui/#object/approved_document__v/V5O00000001H013", "INA VAE DE - Sopro DKK 2026_Interview Dr. Kirakosow")</f>
        <v>INA VAE DE - Sopro DKK 2026_Interview Dr. Kirakosow</v>
      </c>
      <c r="M2708" s="22" t="str">
        <f>HYPERLINK("mailto:apein@crm.otsuka-europe.com", "apein@crm.otsuka-europe.com")</f>
        <v>apein@crm.otsuka-europe.com</v>
      </c>
      <c r="N2708" s="23">
        <v>46176.333495370367</v>
      </c>
      <c r="O2708" s="14" t="str">
        <f>HYPERLINK("https://otsuka-europe-crm.veevavault.com/ui/#object/email_activity__v/V8C00000003M308", "EN-002088589")</f>
        <v>EN-002088589</v>
      </c>
    </row>
    <row r="2709" spans="1:15" ht="16" x14ac:dyDescent="0.2">
      <c r="A2709" s="18"/>
      <c r="B2709" s="18"/>
      <c r="C2709" s="18"/>
      <c r="D2709" s="18"/>
      <c r="E2709" s="18"/>
      <c r="F2709" s="18"/>
      <c r="G2709" s="18"/>
      <c r="H2709" s="18"/>
      <c r="I2709" s="18"/>
      <c r="J2709" s="18"/>
      <c r="K2709" s="18"/>
      <c r="L2709" s="18"/>
      <c r="M2709" s="18"/>
      <c r="N2709" s="18"/>
      <c r="O2709" s="14" t="str">
        <f>HYPERLINK("https://otsuka-europe-crm.veevavault.com/ui/#object/email_activity__v/V8C00000003M317", "EN-002088621")</f>
        <v>EN-002088621</v>
      </c>
    </row>
    <row r="2710" spans="1:15" ht="16" x14ac:dyDescent="0.2">
      <c r="A2710" s="18"/>
      <c r="B2710" s="18"/>
      <c r="C2710" s="18"/>
      <c r="D2710" s="18"/>
      <c r="E2710" s="18"/>
      <c r="F2710" s="18"/>
      <c r="G2710" s="18"/>
      <c r="H2710" s="18"/>
      <c r="I2710" s="18"/>
      <c r="J2710" s="18"/>
      <c r="K2710" s="18"/>
      <c r="L2710" s="18"/>
      <c r="M2710" s="18"/>
      <c r="N2710" s="18"/>
      <c r="O2710" s="14" t="str">
        <f>HYPERLINK("https://otsuka-europe-crm.veevavault.com/ui/#object/email_activity__v/V8C00000003M319", "EN-002088623")</f>
        <v>EN-002088623</v>
      </c>
    </row>
    <row r="2711" spans="1:15" ht="16" x14ac:dyDescent="0.2">
      <c r="A2711" s="19"/>
      <c r="B2711" s="19"/>
      <c r="C2711" s="19"/>
      <c r="D2711" s="19"/>
      <c r="E2711" s="19"/>
      <c r="F2711" s="19"/>
      <c r="G2711" s="19"/>
      <c r="H2711" s="19"/>
      <c r="I2711" s="19"/>
      <c r="J2711" s="19"/>
      <c r="K2711" s="19"/>
      <c r="L2711" s="19"/>
      <c r="M2711" s="19"/>
      <c r="N2711" s="19"/>
      <c r="O2711" s="14" t="str">
        <f>HYPERLINK("https://otsuka-europe-crm.veevavault.com/ui/#object/email_activity__v/V8C00000003N408", "EN-002088647")</f>
        <v>EN-002088647</v>
      </c>
    </row>
    <row r="2712" spans="1:15" ht="48" x14ac:dyDescent="0.2">
      <c r="A2712" s="7" t="str">
        <f>HYPERLINK("https://otsuka-europe-crm.veevavault.com/ui/#object/account__v/V4TZ00000634Y5X", "Ronny Frey")</f>
        <v>Ronny Frey</v>
      </c>
      <c r="B2712" s="7" t="str">
        <f>HYPERLINK("https://otsuka-europe-crm.veevavault.com/ui/#object/vcountry__v/VENZ000004SONFP", "DE")</f>
        <v>DE</v>
      </c>
      <c r="C2712" s="8" t="s">
        <v>43</v>
      </c>
      <c r="D2712" s="9" t="str">
        <f>HYPERLINK("https://otsuka-europe-crm.veevavault.com/ui/#object/approved_document__v/V5O00000001H013", "INA VAE DE - Sopro DKK 2026_Interview Dr. Kirakosow")</f>
        <v>INA VAE DE - Sopro DKK 2026_Interview Dr. Kirakosow</v>
      </c>
      <c r="E2712" s="10" t="str">
        <f>HYPERLINK("https://otsuka-europe-crm.veevavault.com/ui/#object/sent_email__v/VBL00000002O392", "SE-001432051")</f>
        <v>SE-001432051</v>
      </c>
      <c r="F2712" s="11"/>
      <c r="G2712" s="12">
        <v>0</v>
      </c>
      <c r="H2712" s="12">
        <v>0</v>
      </c>
      <c r="I2712" s="12">
        <v>0</v>
      </c>
      <c r="J2712" s="11"/>
      <c r="K2712" s="12">
        <v>0</v>
      </c>
      <c r="L2712" s="10" t="str">
        <f>HYPERLINK("https://otsuka-europe-crm.veevavault.com/ui/#object/approved_document__v/V5O00000001H013", "INA VAE DE - Sopro DKK 2026_Interview Dr. Kirakosow")</f>
        <v>INA VAE DE - Sopro DKK 2026_Interview Dr. Kirakosow</v>
      </c>
      <c r="M2712" s="10" t="str">
        <f>HYPERLINK("mailto:apein@crm.otsuka-europe.com", "apein@crm.otsuka-europe.com")</f>
        <v>apein@crm.otsuka-europe.com</v>
      </c>
      <c r="N2712" s="13">
        <v>46176.333865740744</v>
      </c>
      <c r="O2712" s="14" t="str">
        <f>HYPERLINK("https://otsuka-europe-crm.veevavault.com/ui/#object/email_activity__v/V8C00000003N373", "EN-002088590")</f>
        <v>EN-002088590</v>
      </c>
    </row>
    <row r="2713" spans="1:15" ht="32" x14ac:dyDescent="0.2">
      <c r="A2713" s="7" t="str">
        <f>HYPERLINK("https://otsuka-europe-crm.veevavault.com/ui/#object/account__v/V4TZ00000633N5Z", "AHMED BEN ACHOUR")</f>
        <v>AHMED BEN ACHOUR</v>
      </c>
      <c r="B2713" s="7" t="str">
        <f>HYPERLINK("https://otsuka-europe-crm.veevavault.com/ui/#object/vcountry__v/VENZ000004SONFA", "FR")</f>
        <v>FR</v>
      </c>
      <c r="C2713" s="8" t="s">
        <v>42</v>
      </c>
      <c r="D2713" s="9" t="str">
        <f>HYPERLINK("https://otsuka-europe-crm.veevavault.com/ui/#object/approved_document__v/V5OZ04ASG4G02Y6", "INVITATION_VAD_2023")</f>
        <v>INVITATION_VAD_2023</v>
      </c>
      <c r="E2713" s="10" t="str">
        <f>HYPERLINK("https://otsuka-europe-crm.veevavault.com/ui/#object/sent_email__v/VBL00000002O393", "SE-001432052")</f>
        <v>SE-001432052</v>
      </c>
      <c r="F2713" s="11"/>
      <c r="G2713" s="12">
        <v>0</v>
      </c>
      <c r="H2713" s="12">
        <v>0</v>
      </c>
      <c r="I2713" s="12">
        <v>0</v>
      </c>
      <c r="J2713" s="11"/>
      <c r="K2713" s="12">
        <v>0</v>
      </c>
      <c r="L2713" s="10" t="str">
        <f>HYPERLINK("https://otsuka-europe-crm.veevavault.com/ui/#object/approved_document__v/V5OZ04ASG4G02Y6", "INVITATION_VAD_2023")</f>
        <v>INVITATION_VAD_2023</v>
      </c>
      <c r="M2713" s="10" t="str">
        <f>HYPERLINK("mailto:sblancheland@crm.otsuka-europe.com", "sblancheland@crm.otsuka-europe.com")</f>
        <v>sblancheland@crm.otsuka-europe.com</v>
      </c>
      <c r="N2713" s="13">
        <v>46176.345150462963</v>
      </c>
      <c r="O2713" s="14" t="str">
        <f>HYPERLINK("https://otsuka-europe-crm.veevavault.com/ui/#object/email_activity__v/V8C00000003M310", "EN-002088603")</f>
        <v>EN-002088603</v>
      </c>
    </row>
    <row r="2714" spans="1:15" ht="32" x14ac:dyDescent="0.2">
      <c r="A2714" s="7" t="str">
        <f>HYPERLINK("https://otsuka-europe-crm.veevavault.com/ui/#object/account__v/V4TZ00000633N5Z", "AHMED BEN ACHOUR")</f>
        <v>AHMED BEN ACHOUR</v>
      </c>
      <c r="B2714" s="7" t="str">
        <f>HYPERLINK("https://otsuka-europe-crm.veevavault.com/ui/#object/vcountry__v/VENZ000004SONFA", "FR")</f>
        <v>FR</v>
      </c>
      <c r="C2714" s="8" t="s">
        <v>42</v>
      </c>
      <c r="D2714" s="9" t="str">
        <f>HYPERLINK("https://otsuka-europe-crm.veevavault.com/ui/#object/approved_document__v/V5OZ04ASG4G02Y7", "REMERCIEMENTS_VAD_2023")</f>
        <v>REMERCIEMENTS_VAD_2023</v>
      </c>
      <c r="E2714" s="10" t="str">
        <f>HYPERLINK("https://otsuka-europe-crm.veevavault.com/ui/#object/sent_email__v/VBL00000002O394", "SE-001432053")</f>
        <v>SE-001432053</v>
      </c>
      <c r="F2714" s="11"/>
      <c r="G2714" s="12">
        <v>0</v>
      </c>
      <c r="H2714" s="12">
        <v>0</v>
      </c>
      <c r="I2714" s="12">
        <v>0</v>
      </c>
      <c r="J2714" s="11"/>
      <c r="K2714" s="12">
        <v>0</v>
      </c>
      <c r="L2714" s="10" t="str">
        <f>HYPERLINK("https://otsuka-europe-crm.veevavault.com/ui/#object/approved_document__v/V5OZ04ASG4G02Y7", "REMERCIEMENTS_VAD_2023")</f>
        <v>REMERCIEMENTS_VAD_2023</v>
      </c>
      <c r="M2714" s="10" t="str">
        <f>HYPERLINK("mailto:sblancheland@crm.otsuka-europe.com", "sblancheland@crm.otsuka-europe.com")</f>
        <v>sblancheland@crm.otsuka-europe.com</v>
      </c>
      <c r="N2714" s="13">
        <v>46176.354398148149</v>
      </c>
      <c r="O2714" s="14" t="str">
        <f>HYPERLINK("https://otsuka-europe-crm.veevavault.com/ui/#object/email_activity__v/V8C00000003M314", "EN-002088610")</f>
        <v>EN-002088610</v>
      </c>
    </row>
    <row r="2715" spans="1:15" ht="16" x14ac:dyDescent="0.2">
      <c r="A2715" s="17" t="str">
        <f>HYPERLINK("https://otsuka-europe-crm.veevavault.com/ui/#object/account__v/V4TZ06G6OBUD5KH", "NELLY GENSBITTEL")</f>
        <v>NELLY GENSBITTEL</v>
      </c>
      <c r="B2715" s="17" t="str">
        <f>HYPERLINK("https://otsuka-europe-crm.veevavault.com/ui/#object/vcountry__v/VENZ000004SONFA", "FR")</f>
        <v>FR</v>
      </c>
      <c r="C2715" s="20" t="s">
        <v>42</v>
      </c>
      <c r="D2715" s="21" t="str">
        <f>HYPERLINK("https://otsuka-europe-crm.veevavault.com/ui/#object/approved_document__v/V5OZ04ASG4G02Y6", "INVITATION_VAD_2023")</f>
        <v>INVITATION_VAD_2023</v>
      </c>
      <c r="E2715" s="22" t="str">
        <f>HYPERLINK("https://otsuka-europe-crm.veevavault.com/ui/#object/sent_email__v/VBL00000002N831", "SE-001432054")</f>
        <v>SE-001432054</v>
      </c>
      <c r="F2715" s="23">
        <v>46177.279583333337</v>
      </c>
      <c r="G2715" s="24">
        <v>1</v>
      </c>
      <c r="H2715" s="24">
        <v>6</v>
      </c>
      <c r="I2715" s="24">
        <v>0</v>
      </c>
      <c r="J2715" s="25"/>
      <c r="K2715" s="24">
        <v>0</v>
      </c>
      <c r="L2715" s="22" t="str">
        <f>HYPERLINK("https://otsuka-europe-crm.veevavault.com/ui/#object/approved_document__v/V5OZ04ASG4G02Y6", "INVITATION_VAD_2023")</f>
        <v>INVITATION_VAD_2023</v>
      </c>
      <c r="M2715" s="22" t="str">
        <f>HYPERLINK("mailto:sblancheland@crm.otsuka-europe.com", "sblancheland@crm.otsuka-europe.com")</f>
        <v>sblancheland@crm.otsuka-europe.com</v>
      </c>
      <c r="N2715" s="23">
        <v>46176.365706018521</v>
      </c>
      <c r="O2715" s="14" t="str">
        <f>HYPERLINK("https://otsuka-europe-crm.veevavault.com/ui/#object/email_activity__v/V8C00000003M316", "EN-002088615")</f>
        <v>EN-002088615</v>
      </c>
    </row>
    <row r="2716" spans="1:15" ht="16" x14ac:dyDescent="0.2">
      <c r="A2716" s="18"/>
      <c r="B2716" s="18"/>
      <c r="C2716" s="18"/>
      <c r="D2716" s="18"/>
      <c r="E2716" s="18"/>
      <c r="F2716" s="18"/>
      <c r="G2716" s="18"/>
      <c r="H2716" s="18"/>
      <c r="I2716" s="18"/>
      <c r="J2716" s="18"/>
      <c r="K2716" s="18"/>
      <c r="L2716" s="18"/>
      <c r="M2716" s="18"/>
      <c r="N2716" s="18"/>
      <c r="O2716" s="14" t="str">
        <f>HYPERLINK("https://otsuka-europe-crm.veevavault.com/ui/#object/email_activity__v/V8C00000003M324", "EN-002088629")</f>
        <v>EN-002088629</v>
      </c>
    </row>
    <row r="2717" spans="1:15" ht="16" x14ac:dyDescent="0.2">
      <c r="A2717" s="18"/>
      <c r="B2717" s="18"/>
      <c r="C2717" s="18"/>
      <c r="D2717" s="18"/>
      <c r="E2717" s="18"/>
      <c r="F2717" s="18"/>
      <c r="G2717" s="18"/>
      <c r="H2717" s="18"/>
      <c r="I2717" s="18"/>
      <c r="J2717" s="18"/>
      <c r="K2717" s="18"/>
      <c r="L2717" s="18"/>
      <c r="M2717" s="18"/>
      <c r="N2717" s="18"/>
      <c r="O2717" s="14" t="str">
        <f>HYPERLINK("https://otsuka-europe-crm.veevavault.com/ui/#object/email_activity__v/V8C00000003M329", "EN-002088638")</f>
        <v>EN-002088638</v>
      </c>
    </row>
    <row r="2718" spans="1:15" ht="16" x14ac:dyDescent="0.2">
      <c r="A2718" s="18"/>
      <c r="B2718" s="18"/>
      <c r="C2718" s="18"/>
      <c r="D2718" s="18"/>
      <c r="E2718" s="18"/>
      <c r="F2718" s="18"/>
      <c r="G2718" s="18"/>
      <c r="H2718" s="18"/>
      <c r="I2718" s="18"/>
      <c r="J2718" s="18"/>
      <c r="K2718" s="18"/>
      <c r="L2718" s="18"/>
      <c r="M2718" s="18"/>
      <c r="N2718" s="18"/>
      <c r="O2718" s="14" t="str">
        <f>HYPERLINK("https://otsuka-europe-crm.veevavault.com/ui/#object/email_activity__v/V8C00000003N394", "EN-002088616")</f>
        <v>EN-002088616</v>
      </c>
    </row>
    <row r="2719" spans="1:15" ht="16" x14ac:dyDescent="0.2">
      <c r="A2719" s="18"/>
      <c r="B2719" s="18"/>
      <c r="C2719" s="18"/>
      <c r="D2719" s="18"/>
      <c r="E2719" s="18"/>
      <c r="F2719" s="18"/>
      <c r="G2719" s="18"/>
      <c r="H2719" s="18"/>
      <c r="I2719" s="18"/>
      <c r="J2719" s="18"/>
      <c r="K2719" s="18"/>
      <c r="L2719" s="18"/>
      <c r="M2719" s="18"/>
      <c r="N2719" s="18"/>
      <c r="O2719" s="14" t="str">
        <f>HYPERLINK("https://otsuka-europe-crm.veevavault.com/ui/#object/email_activity__v/V8C00000003N400", "EN-002088630")</f>
        <v>EN-002088630</v>
      </c>
    </row>
    <row r="2720" spans="1:15" ht="16" x14ac:dyDescent="0.2">
      <c r="A2720" s="18"/>
      <c r="B2720" s="18"/>
      <c r="C2720" s="18"/>
      <c r="D2720" s="18"/>
      <c r="E2720" s="18"/>
      <c r="F2720" s="18"/>
      <c r="G2720" s="18"/>
      <c r="H2720" s="18"/>
      <c r="I2720" s="18"/>
      <c r="J2720" s="18"/>
      <c r="K2720" s="18"/>
      <c r="L2720" s="18"/>
      <c r="M2720" s="18"/>
      <c r="N2720" s="18"/>
      <c r="O2720" s="14" t="str">
        <f>HYPERLINK("https://otsuka-europe-crm.veevavault.com/ui/#object/email_activity__v/V8C00000003N464", "EN-002088735")</f>
        <v>EN-002088735</v>
      </c>
    </row>
    <row r="2721" spans="1:15" ht="16" x14ac:dyDescent="0.2">
      <c r="A2721" s="19"/>
      <c r="B2721" s="19"/>
      <c r="C2721" s="19"/>
      <c r="D2721" s="19"/>
      <c r="E2721" s="19"/>
      <c r="F2721" s="19"/>
      <c r="G2721" s="19"/>
      <c r="H2721" s="19"/>
      <c r="I2721" s="19"/>
      <c r="J2721" s="19"/>
      <c r="K2721" s="19"/>
      <c r="L2721" s="19"/>
      <c r="M2721" s="19"/>
      <c r="N2721" s="19"/>
      <c r="O2721" s="14" t="str">
        <f>HYPERLINK("https://otsuka-europe-crm.veevavault.com/ui/#object/email_activity__v/V8C00000003N544", "EN-002088874")</f>
        <v>EN-002088874</v>
      </c>
    </row>
    <row r="2722" spans="1:15" ht="16" x14ac:dyDescent="0.2">
      <c r="A2722" s="17" t="str">
        <f>HYPERLINK("https://otsuka-europe-crm.veevavault.com/ui/#object/account__v/V4TZ00000633XOH", "IMAN INGREMEAU RIZKALLAH")</f>
        <v>IMAN INGREMEAU RIZKALLAH</v>
      </c>
      <c r="B2722" s="17" t="str">
        <f>HYPERLINK("https://otsuka-europe-crm.veevavault.com/ui/#object/vcountry__v/VENZ000004SONFA", "FR")</f>
        <v>FR</v>
      </c>
      <c r="C2722" s="20" t="s">
        <v>42</v>
      </c>
      <c r="D2722" s="21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E2722" s="22" t="str">
        <f>HYPERLINK("https://otsuka-europe-crm.veevavault.com/ui/#object/sent_email__v/VBL00000002O395", "SE-001432055")</f>
        <v>SE-001432055</v>
      </c>
      <c r="F2722" s="25"/>
      <c r="G2722" s="24">
        <v>0</v>
      </c>
      <c r="H2722" s="24">
        <v>0</v>
      </c>
      <c r="I2722" s="24">
        <v>0</v>
      </c>
      <c r="J2722" s="25"/>
      <c r="K2722" s="24">
        <v>0</v>
      </c>
      <c r="L2722" s="22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M2722" s="22" t="str">
        <f>HYPERLINK("mailto:ijardy@crm.otsuka-europe.com", "ijardy@crm.otsuka-europe.com")</f>
        <v>ijardy@crm.otsuka-europe.com</v>
      </c>
      <c r="N2722" s="23">
        <v>46176.509201388886</v>
      </c>
      <c r="O2722" s="14" t="str">
        <f>HYPERLINK("https://otsuka-europe-crm.veevavault.com/ui/#object/email_activity__v/V8C00000003N441", "EN-002088696")</f>
        <v>EN-002088696</v>
      </c>
    </row>
    <row r="2723" spans="1:15" ht="16" x14ac:dyDescent="0.2">
      <c r="A2723" s="19"/>
      <c r="B2723" s="19"/>
      <c r="C2723" s="19"/>
      <c r="D2723" s="19"/>
      <c r="E2723" s="19"/>
      <c r="F2723" s="19"/>
      <c r="G2723" s="19"/>
      <c r="H2723" s="19"/>
      <c r="I2723" s="19"/>
      <c r="J2723" s="19"/>
      <c r="K2723" s="19"/>
      <c r="L2723" s="19"/>
      <c r="M2723" s="19"/>
      <c r="N2723" s="19"/>
      <c r="O2723" s="14" t="str">
        <f>HYPERLINK("https://otsuka-europe-crm.veevavault.com/ui/#object/email_activity__v/V8C00000003N509", "EN-002088809")</f>
        <v>EN-002088809</v>
      </c>
    </row>
    <row r="2724" spans="1:15" ht="32" x14ac:dyDescent="0.2">
      <c r="A2724" s="7" t="str">
        <f>HYPERLINK("https://otsuka-europe-crm.veevavault.com/ui/#object/account__v/V4TZ00000633KDZ", "NICOLAS SALOME")</f>
        <v>NICOLAS SALOME</v>
      </c>
      <c r="B2724" s="7" t="str">
        <f>HYPERLINK("https://otsuka-europe-crm.veevavault.com/ui/#object/vcountry__v/VENZ000004SONFA", "FR")</f>
        <v>FR</v>
      </c>
      <c r="C2724" s="8" t="s">
        <v>42</v>
      </c>
      <c r="D2724" s="9" t="str">
        <f>HYPERLINK("https://otsuka-europe-crm.veevavault.com/ui/#object/approved_document__v/V5OZ04ASG4G02Y6", "INVITATION_VAD_2023")</f>
        <v>INVITATION_VAD_2023</v>
      </c>
      <c r="E2724" s="10" t="str">
        <f>HYPERLINK("https://otsuka-europe-crm.veevavault.com/ui/#object/sent_email__v/VBL00000002N832", "SE-001432057")</f>
        <v>SE-001432057</v>
      </c>
      <c r="F2724" s="11"/>
      <c r="G2724" s="12">
        <v>0</v>
      </c>
      <c r="H2724" s="12">
        <v>0</v>
      </c>
      <c r="I2724" s="12">
        <v>0</v>
      </c>
      <c r="J2724" s="11"/>
      <c r="K2724" s="12">
        <v>0</v>
      </c>
      <c r="L2724" s="10" t="str">
        <f>HYPERLINK("https://otsuka-europe-crm.veevavault.com/ui/#object/approved_document__v/V5OZ04ASG4G02Y6", "INVITATION_VAD_2023")</f>
        <v>INVITATION_VAD_2023</v>
      </c>
      <c r="M2724" s="10" t="str">
        <f>HYPERLINK("mailto:cchevalliermiserole@crm.otsuka-europe.com", "cchevalliermiserole@crm.otsuka-europe.com")</f>
        <v>cchevalliermiserole@crm.otsuka-europe.com</v>
      </c>
      <c r="N2724" s="13">
        <v>46176.37908564815</v>
      </c>
      <c r="O2724" s="14" t="str">
        <f>HYPERLINK("https://otsuka-europe-crm.veevavault.com/ui/#object/email_activity__v/V8C00000003M318", "EN-002088622")</f>
        <v>EN-002088622</v>
      </c>
    </row>
    <row r="2725" spans="1:15" ht="48" x14ac:dyDescent="0.2">
      <c r="A2725" s="7" t="str">
        <f>HYPERLINK("https://otsuka-europe-crm.veevavault.com/ui/#object/account__v/V4TZ00000633LLB", "NAJIB AKRAM")</f>
        <v>NAJIB AKRAM</v>
      </c>
      <c r="B2725" s="7" t="str">
        <f>HYPERLINK("https://otsuka-europe-crm.veevavault.com/ui/#object/vcountry__v/VENZ000004SONFA", "FR")</f>
        <v>FR</v>
      </c>
      <c r="C2725" s="8" t="s">
        <v>42</v>
      </c>
      <c r="D2725" s="9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E2725" s="10" t="str">
        <f>HYPERLINK("https://otsuka-europe-crm.veevavault.com/ui/#object/sent_email__v/VBL00000002O397", "SE-001432058")</f>
        <v>SE-001432058</v>
      </c>
      <c r="F2725" s="11"/>
      <c r="G2725" s="12">
        <v>0</v>
      </c>
      <c r="H2725" s="12">
        <v>0</v>
      </c>
      <c r="I2725" s="12">
        <v>0</v>
      </c>
      <c r="J2725" s="11"/>
      <c r="K2725" s="12">
        <v>0</v>
      </c>
      <c r="L2725" s="10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M2725" s="10" t="str">
        <f>HYPERLINK("mailto:ijardy@crm.otsuka-europe.com", "ijardy@crm.otsuka-europe.com")</f>
        <v>ijardy@crm.otsuka-europe.com</v>
      </c>
      <c r="N2725" s="13">
        <v>46176.509201388886</v>
      </c>
      <c r="O2725" s="14" t="str">
        <f>HYPERLINK("https://otsuka-europe-crm.veevavault.com/ui/#object/email_activity__v/V8C00000003M349", "EN-002088695")</f>
        <v>EN-002088695</v>
      </c>
    </row>
    <row r="2726" spans="1:15" ht="16" x14ac:dyDescent="0.2">
      <c r="A2726" s="17" t="str">
        <f>HYPERLINK("https://otsuka-europe-crm.veevavault.com/ui/#object/account__v/V4TZ00000633WS5", "ANNE MARIE NEDELEC")</f>
        <v>ANNE MARIE NEDELEC</v>
      </c>
      <c r="B2726" s="17" t="str">
        <f>HYPERLINK("https://otsuka-europe-crm.veevavault.com/ui/#object/vcountry__v/VENZ000004SONFA", "FR")</f>
        <v>FR</v>
      </c>
      <c r="C2726" s="20" t="s">
        <v>42</v>
      </c>
      <c r="D2726" s="21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E2726" s="22" t="str">
        <f>HYPERLINK("https://otsuka-europe-crm.veevavault.com/ui/#object/sent_email__v/VBL00000002N833", "SE-001432059")</f>
        <v>SE-001432059</v>
      </c>
      <c r="F2726" s="23">
        <v>46178.534525462965</v>
      </c>
      <c r="G2726" s="24">
        <v>1</v>
      </c>
      <c r="H2726" s="24">
        <v>1</v>
      </c>
      <c r="I2726" s="24">
        <v>0</v>
      </c>
      <c r="J2726" s="25"/>
      <c r="K2726" s="24">
        <v>0</v>
      </c>
      <c r="L2726" s="22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M2726" s="22" t="str">
        <f>HYPERLINK("mailto:ijardy@crm.otsuka-europe.com", "ijardy@crm.otsuka-europe.com")</f>
        <v>ijardy@crm.otsuka-europe.com</v>
      </c>
      <c r="N2726" s="23">
        <v>46177.634016203701</v>
      </c>
      <c r="O2726" s="14" t="str">
        <f>HYPERLINK("https://otsuka-europe-crm.veevavault.com/ui/#object/email_activity__v/V8C00000003M563", "EN-002089144")</f>
        <v>EN-002089144</v>
      </c>
    </row>
    <row r="2727" spans="1:15" ht="16" x14ac:dyDescent="0.2">
      <c r="A2727" s="19"/>
      <c r="B2727" s="19"/>
      <c r="C2727" s="19"/>
      <c r="D2727" s="19"/>
      <c r="E2727" s="19"/>
      <c r="F2727" s="19"/>
      <c r="G2727" s="19"/>
      <c r="H2727" s="19"/>
      <c r="I2727" s="19"/>
      <c r="J2727" s="19"/>
      <c r="K2727" s="19"/>
      <c r="L2727" s="19"/>
      <c r="M2727" s="19"/>
      <c r="N2727" s="19"/>
      <c r="O2727" s="14" t="str">
        <f>HYPERLINK("https://otsuka-europe-crm.veevavault.com/ui/#object/email_activity__v/V8C00000003P048", "EN-002089336")</f>
        <v>EN-002089336</v>
      </c>
    </row>
    <row r="2728" spans="1:15" ht="48" x14ac:dyDescent="0.2">
      <c r="A2728" s="7" t="str">
        <f>HYPERLINK("https://otsuka-europe-crm.veevavault.com/ui/#object/account__v/V4TZ00000633ITE", "CHOUAIB RABEHI")</f>
        <v>CHOUAIB RABEHI</v>
      </c>
      <c r="B2728" s="7" t="str">
        <f>HYPERLINK("https://otsuka-europe-crm.veevavault.com/ui/#object/vcountry__v/VENZ000004SONFA", "FR")</f>
        <v>FR</v>
      </c>
      <c r="C2728" s="8" t="s">
        <v>42</v>
      </c>
      <c r="D2728" s="9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E2728" s="10" t="str">
        <f>HYPERLINK("https://otsuka-europe-crm.veevavault.com/ui/#object/sent_email__v/VBL00000002N834", "SE-001432060")</f>
        <v>SE-001432060</v>
      </c>
      <c r="F2728" s="11"/>
      <c r="G2728" s="12">
        <v>0</v>
      </c>
      <c r="H2728" s="12">
        <v>0</v>
      </c>
      <c r="I2728" s="12">
        <v>0</v>
      </c>
      <c r="J2728" s="11"/>
      <c r="K2728" s="12">
        <v>0</v>
      </c>
      <c r="L2728" s="10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M2728" s="10" t="str">
        <f>HYPERLINK("mailto:ijardy@crm.otsuka-europe.com", "ijardy@crm.otsuka-europe.com")</f>
        <v>ijardy@crm.otsuka-europe.com</v>
      </c>
      <c r="N2728" s="13">
        <v>46176.650578703702</v>
      </c>
      <c r="O2728" s="14" t="str">
        <f>HYPERLINK("https://otsuka-europe-crm.veevavault.com/ui/#object/email_activity__v/V8C00000003M375", "EN-002088761")</f>
        <v>EN-002088761</v>
      </c>
    </row>
    <row r="2729" spans="1:15" ht="16" x14ac:dyDescent="0.2">
      <c r="A2729" s="17" t="str">
        <f>HYPERLINK("https://otsuka-europe-crm.veevavault.com/ui/#object/account__v/V4TZ06G6O71T7Z9", "BEATRIZ HERREJON TEODORO")</f>
        <v>BEATRIZ HERREJON TEODORO</v>
      </c>
      <c r="B2729" s="17" t="str">
        <f>HYPERLINK("https://otsuka-europe-crm.veevavault.com/ui/#object/vcountry__v/VENZ000004SONF5", "ES")</f>
        <v>ES</v>
      </c>
      <c r="C2729" s="20" t="s">
        <v>41</v>
      </c>
      <c r="D2729" s="21" t="str">
        <f>HYPERLINK("https://otsuka-europe-crm.veevavault.com/ui/#object/approved_document__v/V5O00000001I001", "RXULTI - Programa webinar RXPERTS 11 junio")</f>
        <v>RXULTI - Programa webinar RXPERTS 11 junio</v>
      </c>
      <c r="E2729" s="22" t="str">
        <f>HYPERLINK("https://otsuka-europe-crm.veevavault.com/ui/#object/sent_email__v/VBL00000002N835", "SE-001432061")</f>
        <v>SE-001432061</v>
      </c>
      <c r="F2729" s="23">
        <v>46184.742337962962</v>
      </c>
      <c r="G2729" s="24">
        <v>1</v>
      </c>
      <c r="H2729" s="24">
        <v>2</v>
      </c>
      <c r="I2729" s="24">
        <v>1</v>
      </c>
      <c r="J2729" s="23">
        <v>46184.742361111108</v>
      </c>
      <c r="K2729" s="24">
        <v>2</v>
      </c>
      <c r="L2729" s="22" t="str">
        <f>HYPERLINK("https://otsuka-europe-crm.veevavault.com/ui/#object/approved_document__v/V5O00000001I001", "RXULTI - Programa webinar RXPERTS 11 junio")</f>
        <v>RXULTI - Programa webinar RXPERTS 11 junio</v>
      </c>
      <c r="M2729" s="22" t="str">
        <f>HYPERLINK("mailto:jcastro@crm.otsuka-europe.com", "jcastro@crm.otsuka-europe.com")</f>
        <v>jcastro@crm.otsuka-europe.com</v>
      </c>
      <c r="N2729" s="23">
        <v>46176.398981481485</v>
      </c>
      <c r="O2729" s="14" t="str">
        <f>HYPERLINK("https://otsuka-europe-crm.veevavault.com/ui/#object/email_activity__v/V8C00000003N402", "EN-002088632")</f>
        <v>EN-002088632</v>
      </c>
    </row>
    <row r="2730" spans="1:15" ht="16" x14ac:dyDescent="0.2">
      <c r="A2730" s="18"/>
      <c r="B2730" s="18"/>
      <c r="C2730" s="18"/>
      <c r="D2730" s="18"/>
      <c r="E2730" s="18"/>
      <c r="F2730" s="18"/>
      <c r="G2730" s="18"/>
      <c r="H2730" s="18"/>
      <c r="I2730" s="18"/>
      <c r="J2730" s="18"/>
      <c r="K2730" s="18"/>
      <c r="L2730" s="18"/>
      <c r="M2730" s="18"/>
      <c r="N2730" s="18"/>
      <c r="O2730" s="14" t="str">
        <f>HYPERLINK("https://otsuka-europe-crm.veevavault.com/ui/#object/email_activity__v/V8C00000003T578", "EN-002094778")</f>
        <v>EN-002094778</v>
      </c>
    </row>
    <row r="2731" spans="1:15" ht="16" x14ac:dyDescent="0.2">
      <c r="A2731" s="18"/>
      <c r="B2731" s="18"/>
      <c r="C2731" s="18"/>
      <c r="D2731" s="18"/>
      <c r="E2731" s="18"/>
      <c r="F2731" s="18"/>
      <c r="G2731" s="18"/>
      <c r="H2731" s="18"/>
      <c r="I2731" s="18"/>
      <c r="J2731" s="18"/>
      <c r="K2731" s="18"/>
      <c r="L2731" s="18"/>
      <c r="M2731" s="18"/>
      <c r="N2731" s="18"/>
      <c r="O2731" s="14" t="str">
        <f>HYPERLINK("https://otsuka-europe-crm.veevavault.com/ui/#object/email_activity__v/V8C00000003T579", "EN-002094780")</f>
        <v>EN-002094780</v>
      </c>
    </row>
    <row r="2732" spans="1:15" ht="16" x14ac:dyDescent="0.2">
      <c r="A2732" s="18"/>
      <c r="B2732" s="18"/>
      <c r="C2732" s="18"/>
      <c r="D2732" s="18"/>
      <c r="E2732" s="18"/>
      <c r="F2732" s="18"/>
      <c r="G2732" s="18"/>
      <c r="H2732" s="18"/>
      <c r="I2732" s="18"/>
      <c r="J2732" s="18"/>
      <c r="K2732" s="18"/>
      <c r="L2732" s="18"/>
      <c r="M2732" s="18"/>
      <c r="N2732" s="18"/>
      <c r="O2732" s="14" t="str">
        <f>HYPERLINK("https://otsuka-europe-crm.veevavault.com/ui/#object/email_activity__v/V8C00000003T580", "EN-002094779")</f>
        <v>EN-002094779</v>
      </c>
    </row>
    <row r="2733" spans="1:15" ht="16" x14ac:dyDescent="0.2">
      <c r="A2733" s="19"/>
      <c r="B2733" s="19"/>
      <c r="C2733" s="19"/>
      <c r="D2733" s="19"/>
      <c r="E2733" s="19"/>
      <c r="F2733" s="19"/>
      <c r="G2733" s="19"/>
      <c r="H2733" s="19"/>
      <c r="I2733" s="19"/>
      <c r="J2733" s="19"/>
      <c r="K2733" s="19"/>
      <c r="L2733" s="19"/>
      <c r="M2733" s="19"/>
      <c r="N2733" s="19"/>
      <c r="O2733" s="14" t="str">
        <f>HYPERLINK("https://otsuka-europe-crm.veevavault.com/ui/#object/email_activity__v/V8C00000003T581", "EN-002094781")</f>
        <v>EN-002094781</v>
      </c>
    </row>
    <row r="2734" spans="1:15" ht="16" x14ac:dyDescent="0.2">
      <c r="A2734" s="17" t="str">
        <f>HYPERLINK("https://otsuka-europe-crm.veevavault.com/ui/#object/account__v/V4TZ06G6O9BZB9T", "JAVIER VELASCO ESCORIZA")</f>
        <v>JAVIER VELASCO ESCORIZA</v>
      </c>
      <c r="B2734" s="17" t="str">
        <f>HYPERLINK("https://otsuka-europe-crm.veevavault.com/ui/#object/vcountry__v/VENZ000004SONF5", "ES")</f>
        <v>ES</v>
      </c>
      <c r="C2734" s="20" t="s">
        <v>41</v>
      </c>
      <c r="D2734" s="21" t="str">
        <f>HYPERLINK("https://otsuka-europe-crm.veevavault.com/ui/#object/approved_document__v/V5O00000001I001", "RXULTI - Programa webinar RXPERTS 11 junio")</f>
        <v>RXULTI - Programa webinar RXPERTS 11 junio</v>
      </c>
      <c r="E2734" s="22" t="str">
        <f>HYPERLINK("https://otsuka-europe-crm.veevavault.com/ui/#object/sent_email__v/VBL00000002N836", "SE-001432062")</f>
        <v>SE-001432062</v>
      </c>
      <c r="F2734" s="23">
        <v>46177.685162037036</v>
      </c>
      <c r="G2734" s="24">
        <v>1</v>
      </c>
      <c r="H2734" s="24">
        <v>2</v>
      </c>
      <c r="I2734" s="24">
        <v>1</v>
      </c>
      <c r="J2734" s="23">
        <v>46177.685231481482</v>
      </c>
      <c r="K2734" s="24">
        <v>1</v>
      </c>
      <c r="L2734" s="22" t="str">
        <f>HYPERLINK("https://otsuka-europe-crm.veevavault.com/ui/#object/approved_document__v/V5O00000001I001", "RXULTI - Programa webinar RXPERTS 11 junio")</f>
        <v>RXULTI - Programa webinar RXPERTS 11 junio</v>
      </c>
      <c r="M2734" s="22" t="str">
        <f>HYPERLINK("mailto:jcastro@crm.otsuka-europe.com", "jcastro@crm.otsuka-europe.com")</f>
        <v>jcastro@crm.otsuka-europe.com</v>
      </c>
      <c r="N2734" s="23">
        <v>46176.398969907408</v>
      </c>
      <c r="O2734" s="14" t="str">
        <f>HYPERLINK("https://otsuka-europe-crm.veevavault.com/ui/#object/email_activity__v/V8C00000003M581", "EN-002089179")</f>
        <v>EN-002089179</v>
      </c>
    </row>
    <row r="2735" spans="1:15" ht="16" x14ac:dyDescent="0.2">
      <c r="A2735" s="18"/>
      <c r="B2735" s="18"/>
      <c r="C2735" s="18"/>
      <c r="D2735" s="18"/>
      <c r="E2735" s="18"/>
      <c r="F2735" s="18"/>
      <c r="G2735" s="18"/>
      <c r="H2735" s="18"/>
      <c r="I2735" s="18"/>
      <c r="J2735" s="18"/>
      <c r="K2735" s="18"/>
      <c r="L2735" s="18"/>
      <c r="M2735" s="18"/>
      <c r="N2735" s="18"/>
      <c r="O2735" s="14" t="str">
        <f>HYPERLINK("https://otsuka-europe-crm.veevavault.com/ui/#object/email_activity__v/V8C00000003N401", "EN-002088631")</f>
        <v>EN-002088631</v>
      </c>
    </row>
    <row r="2736" spans="1:15" ht="16" x14ac:dyDescent="0.2">
      <c r="A2736" s="18"/>
      <c r="B2736" s="18"/>
      <c r="C2736" s="18"/>
      <c r="D2736" s="18"/>
      <c r="E2736" s="18"/>
      <c r="F2736" s="18"/>
      <c r="G2736" s="18"/>
      <c r="H2736" s="18"/>
      <c r="I2736" s="18"/>
      <c r="J2736" s="18"/>
      <c r="K2736" s="18"/>
      <c r="L2736" s="18"/>
      <c r="M2736" s="18"/>
      <c r="N2736" s="18"/>
      <c r="O2736" s="14" t="str">
        <f>HYPERLINK("https://otsuka-europe-crm.veevavault.com/ui/#object/email_activity__v/V8C00000003N692", "EN-002089176")</f>
        <v>EN-002089176</v>
      </c>
    </row>
    <row r="2737" spans="1:15" ht="16" x14ac:dyDescent="0.2">
      <c r="A2737" s="19"/>
      <c r="B2737" s="19"/>
      <c r="C2737" s="19"/>
      <c r="D2737" s="19"/>
      <c r="E2737" s="19"/>
      <c r="F2737" s="19"/>
      <c r="G2737" s="19"/>
      <c r="H2737" s="19"/>
      <c r="I2737" s="19"/>
      <c r="J2737" s="19"/>
      <c r="K2737" s="19"/>
      <c r="L2737" s="19"/>
      <c r="M2737" s="19"/>
      <c r="N2737" s="19"/>
      <c r="O2737" s="14" t="str">
        <f>HYPERLINK("https://otsuka-europe-crm.veevavault.com/ui/#object/email_activity__v/V8C00000003N694", "EN-002089178")</f>
        <v>EN-002089178</v>
      </c>
    </row>
    <row r="2738" spans="1:15" ht="16" x14ac:dyDescent="0.2">
      <c r="A2738" s="17" t="str">
        <f>HYPERLINK("https://otsuka-europe-crm.veevavault.com/ui/#object/account__v/V4TZ025E85LD89I", "MARIA CARMEN ROMERO VEGA")</f>
        <v>MARIA CARMEN ROMERO VEGA</v>
      </c>
      <c r="B2738" s="17" t="str">
        <f>HYPERLINK("https://otsuka-europe-crm.veevavault.com/ui/#object/vcountry__v/VENZ000004SONF5", "ES")</f>
        <v>ES</v>
      </c>
      <c r="C2738" s="20" t="s">
        <v>41</v>
      </c>
      <c r="D2738" s="21" t="str">
        <f>HYPERLINK("https://otsuka-europe-crm.veevavault.com/ui/#object/approved_document__v/V5OZ04ASG4FWKA7", "Reuniones Online Consent - 2")</f>
        <v>Reuniones Online Consent - 2</v>
      </c>
      <c r="E2738" s="22" t="str">
        <f>HYPERLINK("https://otsuka-europe-crm.veevavault.com/ui/#object/sent_email__v/VBL00000002O398", "SE-001432063")</f>
        <v>SE-001432063</v>
      </c>
      <c r="F2738" s="23">
        <v>46176.430706018517</v>
      </c>
      <c r="G2738" s="24">
        <v>1</v>
      </c>
      <c r="H2738" s="24">
        <v>2</v>
      </c>
      <c r="I2738" s="24">
        <v>0</v>
      </c>
      <c r="J2738" s="25"/>
      <c r="K2738" s="24">
        <v>0</v>
      </c>
      <c r="L2738" s="22" t="str">
        <f>HYPERLINK("https://otsuka-europe-crm.veevavault.com/ui/#object/approved_document__v/V5OZ04ASG4FWKA7", "Reuniones Online Consent - 2")</f>
        <v>Reuniones Online Consent - 2</v>
      </c>
      <c r="M2738" s="22" t="str">
        <f>HYPERLINK("mailto:mgravan@crm.otsuka-europe.com", "mgravan@crm.otsuka-europe.com")</f>
        <v>mgravan@crm.otsuka-europe.com</v>
      </c>
      <c r="N2738" s="23">
        <v>46176.399629629632</v>
      </c>
      <c r="O2738" s="14" t="str">
        <f>HYPERLINK("https://otsuka-europe-crm.veevavault.com/ui/#object/email_activity__v/V8C00000003M326", "EN-002088634")</f>
        <v>EN-002088634</v>
      </c>
    </row>
    <row r="2739" spans="1:15" ht="16" x14ac:dyDescent="0.2">
      <c r="A2739" s="18"/>
      <c r="B2739" s="18"/>
      <c r="C2739" s="18"/>
      <c r="D2739" s="18"/>
      <c r="E2739" s="18"/>
      <c r="F2739" s="18"/>
      <c r="G2739" s="18"/>
      <c r="H2739" s="18"/>
      <c r="I2739" s="18"/>
      <c r="J2739" s="18"/>
      <c r="K2739" s="18"/>
      <c r="L2739" s="18"/>
      <c r="M2739" s="18"/>
      <c r="N2739" s="18"/>
      <c r="O2739" s="14" t="str">
        <f>HYPERLINK("https://otsuka-europe-crm.veevavault.com/ui/#object/email_activity__v/V8C00000003N412", "EN-002088654")</f>
        <v>EN-002088654</v>
      </c>
    </row>
    <row r="2740" spans="1:15" ht="16" x14ac:dyDescent="0.2">
      <c r="A2740" s="19"/>
      <c r="B2740" s="19"/>
      <c r="C2740" s="19"/>
      <c r="D2740" s="19"/>
      <c r="E2740" s="19"/>
      <c r="F2740" s="19"/>
      <c r="G2740" s="19"/>
      <c r="H2740" s="19"/>
      <c r="I2740" s="19"/>
      <c r="J2740" s="19"/>
      <c r="K2740" s="19"/>
      <c r="L2740" s="19"/>
      <c r="M2740" s="19"/>
      <c r="N2740" s="19"/>
      <c r="O2740" s="14" t="str">
        <f>HYPERLINK("https://otsuka-europe-crm.veevavault.com/ui/#object/email_activity__v/V8C00000003N414", "EN-002088656")</f>
        <v>EN-002088656</v>
      </c>
    </row>
    <row r="2741" spans="1:15" ht="16" x14ac:dyDescent="0.2">
      <c r="A2741" s="17" t="str">
        <f>HYPERLINK("https://otsuka-europe-crm.veevavault.com/ui/#object/account__v/V4TZ025E85LD89I", "MARIA CARMEN ROMERO VEGA")</f>
        <v>MARIA CARMEN ROMERO VEGA</v>
      </c>
      <c r="B2741" s="17" t="str">
        <f>HYPERLINK("https://otsuka-europe-crm.veevavault.com/ui/#object/vcountry__v/VENZ000004SONF5", "ES")</f>
        <v>ES</v>
      </c>
      <c r="C2741" s="20" t="s">
        <v>41</v>
      </c>
      <c r="D2741" s="21" t="str">
        <f>HYPERLINK("https://otsuka-europe-crm.veevavault.com/ui/#object/approved_document__v/V5O00000000D100", "Spain - Consent Email 1 Aug 25")</f>
        <v>Spain - Consent Email 1 Aug 25</v>
      </c>
      <c r="E2741" s="22" t="str">
        <f>HYPERLINK("https://otsuka-europe-crm.veevavault.com/ui/#object/sent_email__v/VBL00000002O399", "SE-001432064")</f>
        <v>SE-001432064</v>
      </c>
      <c r="F2741" s="23">
        <v>46176.431018518517</v>
      </c>
      <c r="G2741" s="24">
        <v>1</v>
      </c>
      <c r="H2741" s="24">
        <v>4</v>
      </c>
      <c r="I2741" s="24">
        <v>1</v>
      </c>
      <c r="J2741" s="23">
        <v>46176.43074074074</v>
      </c>
      <c r="K2741" s="24">
        <v>2</v>
      </c>
      <c r="L2741" s="22" t="str">
        <f>HYPERLINK("https://otsuka-europe-crm.veevavault.com/ui/#object/approved_document__v/V5O00000000D100", "Spain - Consent Email 1 Aug 25")</f>
        <v>Spain - Consent Email 1 Aug 25</v>
      </c>
      <c r="M2741" s="22" t="str">
        <f>HYPERLINK("mailto:mgravan@crm.otsuka-europe.com", "mgravan@crm.otsuka-europe.com")</f>
        <v>mgravan@crm.otsuka-europe.com</v>
      </c>
      <c r="N2741" s="23">
        <v>46176.399629629632</v>
      </c>
      <c r="O2741" s="14" t="str">
        <f>HYPERLINK("https://otsuka-europe-crm.veevavault.com/ui/#object/email_activity__v/V8C00000003M325", "EN-002088633")</f>
        <v>EN-002088633</v>
      </c>
    </row>
    <row r="2742" spans="1:15" ht="16" x14ac:dyDescent="0.2">
      <c r="A2742" s="18"/>
      <c r="B2742" s="18"/>
      <c r="C2742" s="18"/>
      <c r="D2742" s="18"/>
      <c r="E2742" s="18"/>
      <c r="F2742" s="18"/>
      <c r="G2742" s="18"/>
      <c r="H2742" s="18"/>
      <c r="I2742" s="18"/>
      <c r="J2742" s="18"/>
      <c r="K2742" s="18"/>
      <c r="L2742" s="18"/>
      <c r="M2742" s="18"/>
      <c r="N2742" s="18"/>
      <c r="O2742" s="14" t="str">
        <f>HYPERLINK("https://otsuka-europe-crm.veevavault.com/ui/#object/email_activity__v/V8C00000003M336", "EN-002088653")</f>
        <v>EN-002088653</v>
      </c>
    </row>
    <row r="2743" spans="1:15" ht="16" x14ac:dyDescent="0.2">
      <c r="A2743" s="18"/>
      <c r="B2743" s="18"/>
      <c r="C2743" s="18"/>
      <c r="D2743" s="18"/>
      <c r="E2743" s="18"/>
      <c r="F2743" s="18"/>
      <c r="G2743" s="18"/>
      <c r="H2743" s="18"/>
      <c r="I2743" s="18"/>
      <c r="J2743" s="18"/>
      <c r="K2743" s="18"/>
      <c r="L2743" s="18"/>
      <c r="M2743" s="18"/>
      <c r="N2743" s="18"/>
      <c r="O2743" s="14" t="str">
        <f>HYPERLINK("https://otsuka-europe-crm.veevavault.com/ui/#object/email_activity__v/V8C00000003M337", "EN-002088659")</f>
        <v>EN-002088659</v>
      </c>
    </row>
    <row r="2744" spans="1:15" ht="16" x14ac:dyDescent="0.2">
      <c r="A2744" s="18"/>
      <c r="B2744" s="18"/>
      <c r="C2744" s="18"/>
      <c r="D2744" s="18"/>
      <c r="E2744" s="18"/>
      <c r="F2744" s="18"/>
      <c r="G2744" s="18"/>
      <c r="H2744" s="18"/>
      <c r="I2744" s="18"/>
      <c r="J2744" s="18"/>
      <c r="K2744" s="18"/>
      <c r="L2744" s="18"/>
      <c r="M2744" s="18"/>
      <c r="N2744" s="18"/>
      <c r="O2744" s="14" t="str">
        <f>HYPERLINK("https://otsuka-europe-crm.veevavault.com/ui/#object/email_activity__v/V8C00000003N410", "EN-002088651")</f>
        <v>EN-002088651</v>
      </c>
    </row>
    <row r="2745" spans="1:15" ht="16" x14ac:dyDescent="0.2">
      <c r="A2745" s="18"/>
      <c r="B2745" s="18"/>
      <c r="C2745" s="18"/>
      <c r="D2745" s="18"/>
      <c r="E2745" s="18"/>
      <c r="F2745" s="18"/>
      <c r="G2745" s="18"/>
      <c r="H2745" s="18"/>
      <c r="I2745" s="18"/>
      <c r="J2745" s="18"/>
      <c r="K2745" s="18"/>
      <c r="L2745" s="18"/>
      <c r="M2745" s="18"/>
      <c r="N2745" s="18"/>
      <c r="O2745" s="14" t="str">
        <f>HYPERLINK("https://otsuka-europe-crm.veevavault.com/ui/#object/email_activity__v/V8C00000003N411", "EN-002088652")</f>
        <v>EN-002088652</v>
      </c>
    </row>
    <row r="2746" spans="1:15" ht="16" x14ac:dyDescent="0.2">
      <c r="A2746" s="18"/>
      <c r="B2746" s="18"/>
      <c r="C2746" s="18"/>
      <c r="D2746" s="18"/>
      <c r="E2746" s="18"/>
      <c r="F2746" s="18"/>
      <c r="G2746" s="18"/>
      <c r="H2746" s="18"/>
      <c r="I2746" s="18"/>
      <c r="J2746" s="18"/>
      <c r="K2746" s="18"/>
      <c r="L2746" s="18"/>
      <c r="M2746" s="18"/>
      <c r="N2746" s="18"/>
      <c r="O2746" s="14" t="str">
        <f>HYPERLINK("https://otsuka-europe-crm.veevavault.com/ui/#object/email_activity__v/V8C00000003N415", "EN-002088657")</f>
        <v>EN-002088657</v>
      </c>
    </row>
    <row r="2747" spans="1:15" ht="16" x14ac:dyDescent="0.2">
      <c r="A2747" s="19"/>
      <c r="B2747" s="19"/>
      <c r="C2747" s="19"/>
      <c r="D2747" s="19"/>
      <c r="E2747" s="19"/>
      <c r="F2747" s="19"/>
      <c r="G2747" s="19"/>
      <c r="H2747" s="19"/>
      <c r="I2747" s="19"/>
      <c r="J2747" s="19"/>
      <c r="K2747" s="19"/>
      <c r="L2747" s="19"/>
      <c r="M2747" s="19"/>
      <c r="N2747" s="19"/>
      <c r="O2747" s="14" t="str">
        <f>HYPERLINK("https://otsuka-europe-crm.veevavault.com/ui/#object/email_activity__v/V8C00000003N418", "EN-002088662")</f>
        <v>EN-002088662</v>
      </c>
    </row>
    <row r="2748" spans="1:15" ht="16" x14ac:dyDescent="0.2">
      <c r="A2748" s="17" t="str">
        <f>HYPERLINK("https://otsuka-europe-crm.veevavault.com/ui/#object/account__v/V4TZ025E85LD89I", "MARIA CARMEN ROMERO VEGA")</f>
        <v>MARIA CARMEN ROMERO VEGA</v>
      </c>
      <c r="B2748" s="17" t="str">
        <f>HYPERLINK("https://otsuka-europe-crm.veevavault.com/ui/#object/vcountry__v/VENZ000004SONF5", "ES")</f>
        <v>ES</v>
      </c>
      <c r="C2748" s="20" t="s">
        <v>41</v>
      </c>
      <c r="D2748" s="21" t="str">
        <f>HYPERLINK("https://otsuka-europe-crm.veevavault.com/ui/#object/approved_document__v/V5OZ06G6O6RFL1P", "ES Veeva Privacy Notice Email")</f>
        <v>ES Veeva Privacy Notice Email</v>
      </c>
      <c r="E2748" s="22" t="str">
        <f>HYPERLINK("https://otsuka-europe-crm.veevavault.com/ui/#object/sent_email__v/VBL00000002O400", "SE-001432065")</f>
        <v>SE-001432065</v>
      </c>
      <c r="F2748" s="23">
        <v>46176.431018518517</v>
      </c>
      <c r="G2748" s="24">
        <v>1</v>
      </c>
      <c r="H2748" s="24">
        <v>4</v>
      </c>
      <c r="I2748" s="24">
        <v>1</v>
      </c>
      <c r="J2748" s="23">
        <v>46176.431192129632</v>
      </c>
      <c r="K2748" s="24">
        <v>1</v>
      </c>
      <c r="L2748" s="22" t="str">
        <f>HYPERLINK("https://otsuka-europe-crm.veevavault.com/ui/#object/approved_document__v/V5OZ06G6O6RFL1P", "ES Veeva Privacy Notice Email")</f>
        <v>ES Veeva Privacy Notice Email</v>
      </c>
      <c r="M2748" s="22" t="str">
        <f>HYPERLINK("mailto:mgravan@crm.otsuka-europe.com", "mgravan@crm.otsuka-europe.com")</f>
        <v>mgravan@crm.otsuka-europe.com</v>
      </c>
      <c r="N2748" s="23">
        <v>46176.400671296295</v>
      </c>
      <c r="O2748" s="14" t="str">
        <f>HYPERLINK("https://otsuka-europe-crm.veevavault.com/ui/#object/email_activity__v/V8C00000003M327", "EN-002088635")</f>
        <v>EN-002088635</v>
      </c>
    </row>
    <row r="2749" spans="1:15" ht="16" x14ac:dyDescent="0.2">
      <c r="A2749" s="18"/>
      <c r="B2749" s="18"/>
      <c r="C2749" s="18"/>
      <c r="D2749" s="18"/>
      <c r="E2749" s="18"/>
      <c r="F2749" s="18"/>
      <c r="G2749" s="18"/>
      <c r="H2749" s="18"/>
      <c r="I2749" s="18"/>
      <c r="J2749" s="18"/>
      <c r="K2749" s="18"/>
      <c r="L2749" s="18"/>
      <c r="M2749" s="18"/>
      <c r="N2749" s="18"/>
      <c r="O2749" s="14" t="str">
        <f>HYPERLINK("https://otsuka-europe-crm.veevavault.com/ui/#object/email_activity__v/V8C00000003M338", "EN-002088661")</f>
        <v>EN-002088661</v>
      </c>
    </row>
    <row r="2750" spans="1:15" ht="16" x14ac:dyDescent="0.2">
      <c r="A2750" s="18"/>
      <c r="B2750" s="18"/>
      <c r="C2750" s="18"/>
      <c r="D2750" s="18"/>
      <c r="E2750" s="18"/>
      <c r="F2750" s="18"/>
      <c r="G2750" s="18"/>
      <c r="H2750" s="18"/>
      <c r="I2750" s="18"/>
      <c r="J2750" s="18"/>
      <c r="K2750" s="18"/>
      <c r="L2750" s="18"/>
      <c r="M2750" s="18"/>
      <c r="N2750" s="18"/>
      <c r="O2750" s="14" t="str">
        <f>HYPERLINK("https://otsuka-europe-crm.veevavault.com/ui/#object/email_activity__v/V8C00000003M339", "EN-002088663")</f>
        <v>EN-002088663</v>
      </c>
    </row>
    <row r="2751" spans="1:15" ht="16" x14ac:dyDescent="0.2">
      <c r="A2751" s="18"/>
      <c r="B2751" s="18"/>
      <c r="C2751" s="18"/>
      <c r="D2751" s="18"/>
      <c r="E2751" s="18"/>
      <c r="F2751" s="18"/>
      <c r="G2751" s="18"/>
      <c r="H2751" s="18"/>
      <c r="I2751" s="18"/>
      <c r="J2751" s="18"/>
      <c r="K2751" s="18"/>
      <c r="L2751" s="18"/>
      <c r="M2751" s="18"/>
      <c r="N2751" s="18"/>
      <c r="O2751" s="14" t="str">
        <f>HYPERLINK("https://otsuka-europe-crm.veevavault.com/ui/#object/email_activity__v/V8C00000003N413", "EN-002088655")</f>
        <v>EN-002088655</v>
      </c>
    </row>
    <row r="2752" spans="1:15" ht="16" x14ac:dyDescent="0.2">
      <c r="A2752" s="18"/>
      <c r="B2752" s="18"/>
      <c r="C2752" s="18"/>
      <c r="D2752" s="18"/>
      <c r="E2752" s="18"/>
      <c r="F2752" s="18"/>
      <c r="G2752" s="18"/>
      <c r="H2752" s="18"/>
      <c r="I2752" s="18"/>
      <c r="J2752" s="18"/>
      <c r="K2752" s="18"/>
      <c r="L2752" s="18"/>
      <c r="M2752" s="18"/>
      <c r="N2752" s="18"/>
      <c r="O2752" s="14" t="str">
        <f>HYPERLINK("https://otsuka-europe-crm.veevavault.com/ui/#object/email_activity__v/V8C00000003N416", "EN-002088658")</f>
        <v>EN-002088658</v>
      </c>
    </row>
    <row r="2753" spans="1:15" ht="16" x14ac:dyDescent="0.2">
      <c r="A2753" s="19"/>
      <c r="B2753" s="19"/>
      <c r="C2753" s="19"/>
      <c r="D2753" s="19"/>
      <c r="E2753" s="19"/>
      <c r="F2753" s="19"/>
      <c r="G2753" s="19"/>
      <c r="H2753" s="19"/>
      <c r="I2753" s="19"/>
      <c r="J2753" s="19"/>
      <c r="K2753" s="19"/>
      <c r="L2753" s="19"/>
      <c r="M2753" s="19"/>
      <c r="N2753" s="19"/>
      <c r="O2753" s="14" t="str">
        <f>HYPERLINK("https://otsuka-europe-crm.veevavault.com/ui/#object/email_activity__v/V8C00000003N417", "EN-002088660")</f>
        <v>EN-002088660</v>
      </c>
    </row>
    <row r="2754" spans="1:15" ht="16" x14ac:dyDescent="0.2">
      <c r="A2754" s="17" t="str">
        <f>HYPERLINK("https://otsuka-europe-crm.veevavault.com/ui/#object/account__v/V4TZ06G6O71TBLY", "ANTONIO LUIS PEREZ NEVOT")</f>
        <v>ANTONIO LUIS PEREZ NEVOT</v>
      </c>
      <c r="B2754" s="17" t="str">
        <f>HYPERLINK("https://otsuka-europe-crm.veevavault.com/ui/#object/vcountry__v/VENZ000004SONF5", "ES")</f>
        <v>ES</v>
      </c>
      <c r="C2754" s="20" t="s">
        <v>41</v>
      </c>
      <c r="D2754" s="21" t="str">
        <f>HYPERLINK("https://otsuka-europe-crm.veevavault.com/ui/#object/approved_document__v/V5O00000001I001", "RXULTI - Programa webinar RXPERTS 11 junio")</f>
        <v>RXULTI - Programa webinar RXPERTS 11 junio</v>
      </c>
      <c r="E2754" s="22" t="str">
        <f>HYPERLINK("https://otsuka-europe-crm.veevavault.com/ui/#object/sent_email__v/VBL00000002O401", "SE-001432066")</f>
        <v>SE-001432066</v>
      </c>
      <c r="F2754" s="23">
        <v>46176.418090277781</v>
      </c>
      <c r="G2754" s="24">
        <v>1</v>
      </c>
      <c r="H2754" s="24">
        <v>1</v>
      </c>
      <c r="I2754" s="24">
        <v>0</v>
      </c>
      <c r="J2754" s="25"/>
      <c r="K2754" s="24">
        <v>0</v>
      </c>
      <c r="L2754" s="22" t="str">
        <f>HYPERLINK("https://otsuka-europe-crm.veevavault.com/ui/#object/approved_document__v/V5O00000001I001", "RXULTI - Programa webinar RXPERTS 11 junio")</f>
        <v>RXULTI - Programa webinar RXPERTS 11 junio</v>
      </c>
      <c r="M2754" s="22" t="str">
        <f>HYPERLINK("mailto:jblazquez@crm.otsuka-europe.com", "jblazquez@crm.otsuka-europe.com")</f>
        <v>jblazquez@crm.otsuka-europe.com</v>
      </c>
      <c r="N2754" s="23">
        <v>46176.417384259257</v>
      </c>
      <c r="O2754" s="14" t="str">
        <f>HYPERLINK("https://otsuka-europe-crm.veevavault.com/ui/#object/email_activity__v/V8C00000003M334", "EN-002088648")</f>
        <v>EN-002088648</v>
      </c>
    </row>
    <row r="2755" spans="1:15" ht="16" x14ac:dyDescent="0.2">
      <c r="A2755" s="18"/>
      <c r="B2755" s="18"/>
      <c r="C2755" s="18"/>
      <c r="D2755" s="18"/>
      <c r="E2755" s="18"/>
      <c r="F2755" s="18"/>
      <c r="G2755" s="18"/>
      <c r="H2755" s="18"/>
      <c r="I2755" s="18"/>
      <c r="J2755" s="18"/>
      <c r="K2755" s="18"/>
      <c r="L2755" s="18"/>
      <c r="M2755" s="18"/>
      <c r="N2755" s="18"/>
      <c r="O2755" s="14" t="str">
        <f>HYPERLINK("https://otsuka-europe-crm.veevavault.com/ui/#object/email_activity__v/V8C00000003M357", "EN-002088716")</f>
        <v>EN-002088716</v>
      </c>
    </row>
    <row r="2756" spans="1:15" ht="16" x14ac:dyDescent="0.2">
      <c r="A2756" s="19"/>
      <c r="B2756" s="19"/>
      <c r="C2756" s="19"/>
      <c r="D2756" s="19"/>
      <c r="E2756" s="19"/>
      <c r="F2756" s="19"/>
      <c r="G2756" s="19"/>
      <c r="H2756" s="19"/>
      <c r="I2756" s="19"/>
      <c r="J2756" s="19"/>
      <c r="K2756" s="19"/>
      <c r="L2756" s="19"/>
      <c r="M2756" s="19"/>
      <c r="N2756" s="19"/>
      <c r="O2756" s="14" t="str">
        <f>HYPERLINK("https://otsuka-europe-crm.veevavault.com/ui/#object/email_activity__v/V8C00000003N409", "EN-002088649")</f>
        <v>EN-002088649</v>
      </c>
    </row>
    <row r="2757" spans="1:15" ht="32" x14ac:dyDescent="0.2">
      <c r="A2757" s="7" t="str">
        <f>HYPERLINK("https://otsuka-europe-crm.veevavault.com/ui/#object/account__v/V4TZ0000062PL07", "Olugbenga Adewumi")</f>
        <v>Olugbenga Adewumi</v>
      </c>
      <c r="B2757" s="7" t="str">
        <f>HYPERLINK("https://otsuka-europe-crm.veevavault.com/ui/#object/vcountry__v/VENZ000004SONFK", "GB")</f>
        <v>GB</v>
      </c>
      <c r="C2757" s="8" t="s">
        <v>39</v>
      </c>
      <c r="D2757" s="9" t="str">
        <f>HYPERLINK("https://otsuka-europe-crm.veevavault.com/ui/#object/approved_document__v/V5O00000001H005", "LDM DR P2P Invite 23-Jun-26 [digital]")</f>
        <v>LDM DR P2P Invite 23-Jun-26 [digital]</v>
      </c>
      <c r="E2757" s="10" t="str">
        <f>HYPERLINK("https://otsuka-europe-crm.veevavault.com/ui/#object/sent_email__v/VBL00000002O402", "SE-001432067")</f>
        <v>SE-001432067</v>
      </c>
      <c r="F2757" s="11"/>
      <c r="G2757" s="12">
        <v>0</v>
      </c>
      <c r="H2757" s="12">
        <v>0</v>
      </c>
      <c r="I2757" s="12">
        <v>0</v>
      </c>
      <c r="J2757" s="11"/>
      <c r="K2757" s="12">
        <v>0</v>
      </c>
      <c r="L2757" s="10" t="str">
        <f>HYPERLINK("https://otsuka-europe-crm.veevavault.com/ui/#object/approved_document__v/V5O00000001H005", "LDM DR P2P Invite 23-Jun-26 [digital]")</f>
        <v>LDM DR P2P Invite 23-Jun-26 [digital]</v>
      </c>
      <c r="M2757" s="10" t="str">
        <f>HYPERLINK("mailto:draval@crm.otsuka-europe.com", "draval@crm.otsuka-europe.com")</f>
        <v>draval@crm.otsuka-europe.com</v>
      </c>
      <c r="N2757" s="13">
        <v>46176.441053240742</v>
      </c>
      <c r="O2757" s="14" t="str">
        <f>HYPERLINK("https://otsuka-europe-crm.veevavault.com/ui/#object/email_activity__v/V8C00000003M341", "EN-002088666")</f>
        <v>EN-002088666</v>
      </c>
    </row>
    <row r="2758" spans="1:15" ht="16" x14ac:dyDescent="0.2">
      <c r="A2758" s="17" t="str">
        <f>HYPERLINK("https://otsuka-europe-crm.veevavault.com/ui/#object/account__v/V4TZ0000062PL07", "Olugbenga Adewumi")</f>
        <v>Olugbenga Adewumi</v>
      </c>
      <c r="B2758" s="17" t="str">
        <f>HYPERLINK("https://otsuka-europe-crm.veevavault.com/ui/#object/vcountry__v/VENZ000004SONFK", "GB")</f>
        <v>GB</v>
      </c>
      <c r="C2758" s="20" t="s">
        <v>39</v>
      </c>
      <c r="D2758" s="21" t="str">
        <f>HYPERLINK("https://otsuka-europe-crm.veevavault.com/ui/#object/approved_document__v/V5O00000001H007", "DR P2P Invite 18-Jun-26 [digital]")</f>
        <v>DR P2P Invite 18-Jun-26 [digital]</v>
      </c>
      <c r="E2758" s="22" t="str">
        <f>HYPERLINK("https://otsuka-europe-crm.veevavault.com/ui/#object/sent_email__v/VBL00000002O403", "SE-001432068")</f>
        <v>SE-001432068</v>
      </c>
      <c r="F2758" s="23">
        <v>46177.238703703704</v>
      </c>
      <c r="G2758" s="24">
        <v>1</v>
      </c>
      <c r="H2758" s="24">
        <v>9</v>
      </c>
      <c r="I2758" s="24">
        <v>0</v>
      </c>
      <c r="J2758" s="25"/>
      <c r="K2758" s="24">
        <v>0</v>
      </c>
      <c r="L2758" s="22" t="str">
        <f>HYPERLINK("https://otsuka-europe-crm.veevavault.com/ui/#object/approved_document__v/V5O00000001H007", "DR P2P Invite 18-Jun-26 [digital]")</f>
        <v>DR P2P Invite 18-Jun-26 [digital]</v>
      </c>
      <c r="M2758" s="22" t="str">
        <f>HYPERLINK("mailto:draval@crm.otsuka-europe.com", "draval@crm.otsuka-europe.com")</f>
        <v>draval@crm.otsuka-europe.com</v>
      </c>
      <c r="N2758" s="23">
        <v>46176.441053240742</v>
      </c>
      <c r="O2758" s="14" t="str">
        <f>HYPERLINK("https://otsuka-europe-crm.veevavault.com/ui/#object/email_activity__v/V8C00000003M342", "EN-002088667")</f>
        <v>EN-002088667</v>
      </c>
    </row>
    <row r="2759" spans="1:15" ht="16" x14ac:dyDescent="0.2">
      <c r="A2759" s="18"/>
      <c r="B2759" s="18"/>
      <c r="C2759" s="18"/>
      <c r="D2759" s="18"/>
      <c r="E2759" s="18"/>
      <c r="F2759" s="18"/>
      <c r="G2759" s="18"/>
      <c r="H2759" s="18"/>
      <c r="I2759" s="18"/>
      <c r="J2759" s="18"/>
      <c r="K2759" s="18"/>
      <c r="L2759" s="18"/>
      <c r="M2759" s="18"/>
      <c r="N2759" s="18"/>
      <c r="O2759" s="14" t="str">
        <f>HYPERLINK("https://otsuka-europe-crm.veevavault.com/ui/#object/email_activity__v/V8C00000003M343", "EN-002088672")</f>
        <v>EN-002088672</v>
      </c>
    </row>
    <row r="2760" spans="1:15" ht="16" x14ac:dyDescent="0.2">
      <c r="A2760" s="18"/>
      <c r="B2760" s="18"/>
      <c r="C2760" s="18"/>
      <c r="D2760" s="18"/>
      <c r="E2760" s="18"/>
      <c r="F2760" s="18"/>
      <c r="G2760" s="18"/>
      <c r="H2760" s="18"/>
      <c r="I2760" s="18"/>
      <c r="J2760" s="18"/>
      <c r="K2760" s="18"/>
      <c r="L2760" s="18"/>
      <c r="M2760" s="18"/>
      <c r="N2760" s="18"/>
      <c r="O2760" s="14" t="str">
        <f>HYPERLINK("https://otsuka-europe-crm.veevavault.com/ui/#object/email_activity__v/V8C00000003M351", "EN-002088700")</f>
        <v>EN-002088700</v>
      </c>
    </row>
    <row r="2761" spans="1:15" ht="16" x14ac:dyDescent="0.2">
      <c r="A2761" s="18"/>
      <c r="B2761" s="18"/>
      <c r="C2761" s="18"/>
      <c r="D2761" s="18"/>
      <c r="E2761" s="18"/>
      <c r="F2761" s="18"/>
      <c r="G2761" s="18"/>
      <c r="H2761" s="18"/>
      <c r="I2761" s="18"/>
      <c r="J2761" s="18"/>
      <c r="K2761" s="18"/>
      <c r="L2761" s="18"/>
      <c r="M2761" s="18"/>
      <c r="N2761" s="18"/>
      <c r="O2761" s="14" t="str">
        <f>HYPERLINK("https://otsuka-europe-crm.veevavault.com/ui/#object/email_activity__v/V8C00000003M352", "EN-002088701")</f>
        <v>EN-002088701</v>
      </c>
    </row>
    <row r="2762" spans="1:15" ht="16" x14ac:dyDescent="0.2">
      <c r="A2762" s="18"/>
      <c r="B2762" s="18"/>
      <c r="C2762" s="18"/>
      <c r="D2762" s="18"/>
      <c r="E2762" s="18"/>
      <c r="F2762" s="18"/>
      <c r="G2762" s="18"/>
      <c r="H2762" s="18"/>
      <c r="I2762" s="18"/>
      <c r="J2762" s="18"/>
      <c r="K2762" s="18"/>
      <c r="L2762" s="18"/>
      <c r="M2762" s="18"/>
      <c r="N2762" s="18"/>
      <c r="O2762" s="14" t="str">
        <f>HYPERLINK("https://otsuka-europe-crm.veevavault.com/ui/#object/email_activity__v/V8C00000003M353", "EN-002088702")</f>
        <v>EN-002088702</v>
      </c>
    </row>
    <row r="2763" spans="1:15" ht="16" x14ac:dyDescent="0.2">
      <c r="A2763" s="18"/>
      <c r="B2763" s="18"/>
      <c r="C2763" s="18"/>
      <c r="D2763" s="18"/>
      <c r="E2763" s="18"/>
      <c r="F2763" s="18"/>
      <c r="G2763" s="18"/>
      <c r="H2763" s="18"/>
      <c r="I2763" s="18"/>
      <c r="J2763" s="18"/>
      <c r="K2763" s="18"/>
      <c r="L2763" s="18"/>
      <c r="M2763" s="18"/>
      <c r="N2763" s="18"/>
      <c r="O2763" s="14" t="str">
        <f>HYPERLINK("https://otsuka-europe-crm.veevavault.com/ui/#object/email_activity__v/V8C00000003M377", "EN-002088771")</f>
        <v>EN-002088771</v>
      </c>
    </row>
    <row r="2764" spans="1:15" ht="16" x14ac:dyDescent="0.2">
      <c r="A2764" s="18"/>
      <c r="B2764" s="18"/>
      <c r="C2764" s="18"/>
      <c r="D2764" s="18"/>
      <c r="E2764" s="18"/>
      <c r="F2764" s="18"/>
      <c r="G2764" s="18"/>
      <c r="H2764" s="18"/>
      <c r="I2764" s="18"/>
      <c r="J2764" s="18"/>
      <c r="K2764" s="18"/>
      <c r="L2764" s="18"/>
      <c r="M2764" s="18"/>
      <c r="N2764" s="18"/>
      <c r="O2764" s="14" t="str">
        <f>HYPERLINK("https://otsuka-europe-crm.veevavault.com/ui/#object/email_activity__v/V8C00000003M424", "EN-002088869")</f>
        <v>EN-002088869</v>
      </c>
    </row>
    <row r="2765" spans="1:15" ht="16" x14ac:dyDescent="0.2">
      <c r="A2765" s="18"/>
      <c r="B2765" s="18"/>
      <c r="C2765" s="18"/>
      <c r="D2765" s="18"/>
      <c r="E2765" s="18"/>
      <c r="F2765" s="18"/>
      <c r="G2765" s="18"/>
      <c r="H2765" s="18"/>
      <c r="I2765" s="18"/>
      <c r="J2765" s="18"/>
      <c r="K2765" s="18"/>
      <c r="L2765" s="18"/>
      <c r="M2765" s="18"/>
      <c r="N2765" s="18"/>
      <c r="O2765" s="14" t="str">
        <f>HYPERLINK("https://otsuka-europe-crm.veevavault.com/ui/#object/email_activity__v/V8C00000003M425", "EN-002088870")</f>
        <v>EN-002088870</v>
      </c>
    </row>
    <row r="2766" spans="1:15" ht="16" x14ac:dyDescent="0.2">
      <c r="A2766" s="18"/>
      <c r="B2766" s="18"/>
      <c r="C2766" s="18"/>
      <c r="D2766" s="18"/>
      <c r="E2766" s="18"/>
      <c r="F2766" s="18"/>
      <c r="G2766" s="18"/>
      <c r="H2766" s="18"/>
      <c r="I2766" s="18"/>
      <c r="J2766" s="18"/>
      <c r="K2766" s="18"/>
      <c r="L2766" s="18"/>
      <c r="M2766" s="18"/>
      <c r="N2766" s="18"/>
      <c r="O2766" s="14" t="str">
        <f>HYPERLINK("https://otsuka-europe-crm.veevavault.com/ui/#object/email_activity__v/V8C00000003N426", "EN-002088677")</f>
        <v>EN-002088677</v>
      </c>
    </row>
    <row r="2767" spans="1:15" ht="16" x14ac:dyDescent="0.2">
      <c r="A2767" s="19"/>
      <c r="B2767" s="19"/>
      <c r="C2767" s="19"/>
      <c r="D2767" s="19"/>
      <c r="E2767" s="19"/>
      <c r="F2767" s="19"/>
      <c r="G2767" s="19"/>
      <c r="H2767" s="19"/>
      <c r="I2767" s="19"/>
      <c r="J2767" s="19"/>
      <c r="K2767" s="19"/>
      <c r="L2767" s="19"/>
      <c r="M2767" s="19"/>
      <c r="N2767" s="19"/>
      <c r="O2767" s="14" t="str">
        <f>HYPERLINK("https://otsuka-europe-crm.veevavault.com/ui/#object/email_activity__v/V8C00000003N427", "EN-002088678")</f>
        <v>EN-002088678</v>
      </c>
    </row>
    <row r="2768" spans="1:15" ht="16" x14ac:dyDescent="0.2">
      <c r="A2768" s="17" t="str">
        <f>HYPERLINK("https://otsuka-europe-crm.veevavault.com/ui/#object/account__v/V4T00000001Z001", "FREDDY KAMBU KIKHELA")</f>
        <v>FREDDY KAMBU KIKHELA</v>
      </c>
      <c r="B2768" s="17" t="str">
        <f>HYPERLINK("https://otsuka-europe-crm.veevavault.com/ui/#object/vcountry__v/VENZ000004SONFA", "FR")</f>
        <v>FR</v>
      </c>
      <c r="C2768" s="20" t="s">
        <v>42</v>
      </c>
      <c r="D2768" s="21" t="str">
        <f>HYPERLINK("https://otsuka-europe-crm.veevavault.com/ui/#object/approved_document__v/V5O00000000P003", "FR-AM2-2500027")</f>
        <v>FR-AM2-2500027</v>
      </c>
      <c r="E2768" s="22" t="str">
        <f>HYPERLINK("https://otsuka-europe-crm.veevavault.com/ui/#object/sent_email__v/VBL00000002N837", "SE-001432069")</f>
        <v>SE-001432069</v>
      </c>
      <c r="F2768" s="23">
        <v>46176.611539351848</v>
      </c>
      <c r="G2768" s="24">
        <v>1</v>
      </c>
      <c r="H2768" s="24">
        <v>4</v>
      </c>
      <c r="I2768" s="24">
        <v>0</v>
      </c>
      <c r="J2768" s="25"/>
      <c r="K2768" s="24">
        <v>0</v>
      </c>
      <c r="L2768" s="22" t="str">
        <f>HYPERLINK("https://otsuka-europe-crm.veevavault.com/ui/#object/approved_document__v/V5O00000000P003", "FR-AM2-2500027")</f>
        <v>FR-AM2-2500027</v>
      </c>
      <c r="M2768" s="22" t="str">
        <f>HYPERLINK("mailto:mvernoux@crm.otsuka-europe.com", "mvernoux@crm.otsuka-europe.com")</f>
        <v>mvernoux@crm.otsuka-europe.com</v>
      </c>
      <c r="N2768" s="23">
        <v>46176.546064814815</v>
      </c>
      <c r="O2768" s="14" t="str">
        <f>HYPERLINK("https://otsuka-europe-crm.veevavault.com/ui/#object/email_activity__v/V8C00000003M361", "EN-002088727")</f>
        <v>EN-002088727</v>
      </c>
    </row>
    <row r="2769" spans="1:15" ht="16" x14ac:dyDescent="0.2">
      <c r="A2769" s="18"/>
      <c r="B2769" s="18"/>
      <c r="C2769" s="18"/>
      <c r="D2769" s="18"/>
      <c r="E2769" s="18"/>
      <c r="F2769" s="18"/>
      <c r="G2769" s="18"/>
      <c r="H2769" s="18"/>
      <c r="I2769" s="18"/>
      <c r="J2769" s="18"/>
      <c r="K2769" s="18"/>
      <c r="L2769" s="18"/>
      <c r="M2769" s="18"/>
      <c r="N2769" s="18"/>
      <c r="O2769" s="14" t="str">
        <f>HYPERLINK("https://otsuka-europe-crm.veevavault.com/ui/#object/email_activity__v/V8C00000003M364", "EN-002088732")</f>
        <v>EN-002088732</v>
      </c>
    </row>
    <row r="2770" spans="1:15" ht="16" x14ac:dyDescent="0.2">
      <c r="A2770" s="18"/>
      <c r="B2770" s="18"/>
      <c r="C2770" s="18"/>
      <c r="D2770" s="18"/>
      <c r="E2770" s="18"/>
      <c r="F2770" s="18"/>
      <c r="G2770" s="18"/>
      <c r="H2770" s="18"/>
      <c r="I2770" s="18"/>
      <c r="J2770" s="18"/>
      <c r="K2770" s="18"/>
      <c r="L2770" s="18"/>
      <c r="M2770" s="18"/>
      <c r="N2770" s="18"/>
      <c r="O2770" s="14" t="str">
        <f>HYPERLINK("https://otsuka-europe-crm.veevavault.com/ui/#object/email_activity__v/V8C00000003M365", "EN-002088733")</f>
        <v>EN-002088733</v>
      </c>
    </row>
    <row r="2771" spans="1:15" ht="16" x14ac:dyDescent="0.2">
      <c r="A2771" s="18"/>
      <c r="B2771" s="18"/>
      <c r="C2771" s="18"/>
      <c r="D2771" s="18"/>
      <c r="E2771" s="18"/>
      <c r="F2771" s="18"/>
      <c r="G2771" s="18"/>
      <c r="H2771" s="18"/>
      <c r="I2771" s="18"/>
      <c r="J2771" s="18"/>
      <c r="K2771" s="18"/>
      <c r="L2771" s="18"/>
      <c r="M2771" s="18"/>
      <c r="N2771" s="18"/>
      <c r="O2771" s="14" t="str">
        <f>HYPERLINK("https://otsuka-europe-crm.veevavault.com/ui/#object/email_activity__v/V8C00000003N450", "EN-002088712")</f>
        <v>EN-002088712</v>
      </c>
    </row>
    <row r="2772" spans="1:15" ht="16" x14ac:dyDescent="0.2">
      <c r="A2772" s="19"/>
      <c r="B2772" s="19"/>
      <c r="C2772" s="19"/>
      <c r="D2772" s="19"/>
      <c r="E2772" s="19"/>
      <c r="F2772" s="19"/>
      <c r="G2772" s="19"/>
      <c r="H2772" s="19"/>
      <c r="I2772" s="19"/>
      <c r="J2772" s="19"/>
      <c r="K2772" s="19"/>
      <c r="L2772" s="19"/>
      <c r="M2772" s="19"/>
      <c r="N2772" s="19"/>
      <c r="O2772" s="14" t="str">
        <f>HYPERLINK("https://otsuka-europe-crm.veevavault.com/ui/#object/email_activity__v/V8C00000003N460", "EN-002088726")</f>
        <v>EN-002088726</v>
      </c>
    </row>
    <row r="2773" spans="1:15" ht="32" x14ac:dyDescent="0.2">
      <c r="A2773" s="7" t="str">
        <f>HYPERLINK("https://otsuka-europe-crm.veevavault.com/ui/#object/account__v/V4TZ0000062R2LX", "Christian Adelsberger")</f>
        <v>Christian Adelsberger</v>
      </c>
      <c r="B2773" s="7" t="str">
        <f>HYPERLINK("https://otsuka-europe-crm.veevavault.com/ui/#object/vcountry__v/VENZ000004SONFD", "AT")</f>
        <v>AT</v>
      </c>
      <c r="C2773" s="8" t="s">
        <v>40</v>
      </c>
      <c r="D2773" s="9" t="str">
        <f>HYPERLINK("https://otsuka-europe-crm.veevavault.com/ui/#object/approved_document__v/V5O00000000K004", "Austria - Consent Email - Aug25 v2")</f>
        <v>Austria - Consent Email - Aug25 v2</v>
      </c>
      <c r="E2773" s="10" t="str">
        <f>HYPERLINK("https://otsuka-europe-crm.veevavault.com/ui/#object/sent_email__v/VBL00000002N838", "SE-001432070")</f>
        <v>SE-001432070</v>
      </c>
      <c r="F2773" s="11"/>
      <c r="G2773" s="12">
        <v>0</v>
      </c>
      <c r="H2773" s="12">
        <v>0</v>
      </c>
      <c r="I2773" s="12">
        <v>0</v>
      </c>
      <c r="J2773" s="11"/>
      <c r="K2773" s="12">
        <v>0</v>
      </c>
      <c r="L2773" s="10" t="str">
        <f>HYPERLINK("https://otsuka-europe-crm.veevavault.com/ui/#object/approved_document__v/V5O00000000K004", "Austria - Consent Email - Aug25 v2")</f>
        <v>Austria - Consent Email - Aug25 v2</v>
      </c>
      <c r="M2773" s="10" t="str">
        <f>HYPERLINK("mailto:nlerchner@crm.otsuka-europe.com", "nlerchner@crm.otsuka-europe.com")</f>
        <v>nlerchner@crm.otsuka-europe.com</v>
      </c>
      <c r="N2773" s="13">
        <v>46176.507523148146</v>
      </c>
      <c r="O2773" s="14" t="str">
        <f>HYPERLINK("https://otsuka-europe-crm.veevavault.com/ui/#object/email_activity__v/V8C00000003N438", "EN-002088692")</f>
        <v>EN-002088692</v>
      </c>
    </row>
    <row r="2774" spans="1:15" ht="32" x14ac:dyDescent="0.2">
      <c r="A2774" s="7" t="str">
        <f>HYPERLINK("https://otsuka-europe-crm.veevavault.com/ui/#object/account__v/V4TZ0000062R2LX", "Christian Adelsberger")</f>
        <v>Christian Adelsberger</v>
      </c>
      <c r="B2774" s="7" t="str">
        <f>HYPERLINK("https://otsuka-europe-crm.veevavault.com/ui/#object/vcountry__v/VENZ000004SONFD", "AT")</f>
        <v>AT</v>
      </c>
      <c r="C2774" s="8" t="s">
        <v>40</v>
      </c>
      <c r="D2774" s="9" t="str">
        <f>HYPERLINK("https://otsuka-europe-crm.veevavault.com/ui/#object/approved_document__v/V5OZ04ASG4FXQX9", "AT - HCP Einwilligung für Remote Calls Österreich")</f>
        <v>AT - HCP Einwilligung für Remote Calls Österreich</v>
      </c>
      <c r="E2774" s="10" t="str">
        <f>HYPERLINK("https://otsuka-europe-crm.veevavault.com/ui/#object/sent_email__v/VBL00000002N839", "SE-001432071")</f>
        <v>SE-001432071</v>
      </c>
      <c r="F2774" s="11"/>
      <c r="G2774" s="12">
        <v>0</v>
      </c>
      <c r="H2774" s="12">
        <v>0</v>
      </c>
      <c r="I2774" s="12">
        <v>0</v>
      </c>
      <c r="J2774" s="11"/>
      <c r="K2774" s="12">
        <v>0</v>
      </c>
      <c r="L2774" s="10" t="str">
        <f>HYPERLINK("https://otsuka-europe-crm.veevavault.com/ui/#object/approved_document__v/V5OZ04ASG4FXQX9", "AT - HCP Einwilligung für Remote Calls Österreich")</f>
        <v>AT - HCP Einwilligung für Remote Calls Österreich</v>
      </c>
      <c r="M2774" s="10" t="str">
        <f>HYPERLINK("mailto:nlerchner@crm.otsuka-europe.com", "nlerchner@crm.otsuka-europe.com")</f>
        <v>nlerchner@crm.otsuka-europe.com</v>
      </c>
      <c r="N2774" s="13">
        <v>46176.5075462963</v>
      </c>
      <c r="O2774" s="14" t="str">
        <f>HYPERLINK("https://otsuka-europe-crm.veevavault.com/ui/#object/email_activity__v/V8C00000003N437", "EN-002088691")</f>
        <v>EN-002088691</v>
      </c>
    </row>
    <row r="2775" spans="1:15" ht="16" x14ac:dyDescent="0.2">
      <c r="A2775" s="17" t="str">
        <f>HYPERLINK("https://otsuka-europe-crm.veevavault.com/ui/#object/account__v/V4TZ025E840J3B3", "ISABEL IZQUIERDO GARCIA")</f>
        <v>ISABEL IZQUIERDO GARCIA</v>
      </c>
      <c r="B2775" s="17" t="str">
        <f>HYPERLINK("https://otsuka-europe-crm.veevavault.com/ui/#object/vcountry__v/VENZ000004SONF5", "ES")</f>
        <v>ES</v>
      </c>
      <c r="C2775" s="20" t="s">
        <v>41</v>
      </c>
      <c r="D2775" s="21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2775" s="22" t="str">
        <f>HYPERLINK("https://otsuka-europe-crm.veevavault.com/ui/#object/sent_email__v/VBL00000002O405", "SE-001432072")</f>
        <v>SE-001432072</v>
      </c>
      <c r="F2775" s="23">
        <v>46177.432627314818</v>
      </c>
      <c r="G2775" s="24">
        <v>1</v>
      </c>
      <c r="H2775" s="24">
        <v>2</v>
      </c>
      <c r="I2775" s="24">
        <v>1</v>
      </c>
      <c r="J2775" s="23">
        <v>46188.626909722225</v>
      </c>
      <c r="K2775" s="24">
        <v>2</v>
      </c>
      <c r="L2775" s="22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2775" s="22" t="str">
        <f>HYPERLINK("mailto:gsammali@crm.otsuka-europe.com", "gsammali@crm.otsuka-europe.com")</f>
        <v>gsammali@crm.otsuka-europe.com</v>
      </c>
      <c r="N2775" s="23">
        <v>46176.508703703701</v>
      </c>
      <c r="O2775" s="14" t="str">
        <f>HYPERLINK("https://otsuka-europe-crm.veevavault.com/ui/#object/email_activity__v/V8C00000003M464", "EN-002088955")</f>
        <v>EN-002088955</v>
      </c>
    </row>
    <row r="2776" spans="1:15" ht="16" x14ac:dyDescent="0.2">
      <c r="A2776" s="18"/>
      <c r="B2776" s="18"/>
      <c r="C2776" s="18"/>
      <c r="D2776" s="18"/>
      <c r="E2776" s="18"/>
      <c r="F2776" s="18"/>
      <c r="G2776" s="18"/>
      <c r="H2776" s="18"/>
      <c r="I2776" s="18"/>
      <c r="J2776" s="18"/>
      <c r="K2776" s="18"/>
      <c r="L2776" s="18"/>
      <c r="M2776" s="18"/>
      <c r="N2776" s="18"/>
      <c r="O2776" s="14" t="str">
        <f>HYPERLINK("https://otsuka-europe-crm.veevavault.com/ui/#object/email_activity__v/V8C00000003N439", "EN-002088693")</f>
        <v>EN-002088693</v>
      </c>
    </row>
    <row r="2777" spans="1:15" ht="16" x14ac:dyDescent="0.2">
      <c r="A2777" s="18"/>
      <c r="B2777" s="18"/>
      <c r="C2777" s="18"/>
      <c r="D2777" s="18"/>
      <c r="E2777" s="18"/>
      <c r="F2777" s="18"/>
      <c r="G2777" s="18"/>
      <c r="H2777" s="18"/>
      <c r="I2777" s="18"/>
      <c r="J2777" s="18"/>
      <c r="K2777" s="18"/>
      <c r="L2777" s="18"/>
      <c r="M2777" s="18"/>
      <c r="N2777" s="18"/>
      <c r="O2777" s="14" t="str">
        <f>HYPERLINK("https://otsuka-europe-crm.veevavault.com/ui/#object/email_activity__v/V8C00000003N440", "EN-002088694")</f>
        <v>EN-002088694</v>
      </c>
    </row>
    <row r="2778" spans="1:15" ht="16" x14ac:dyDescent="0.2">
      <c r="A2778" s="18"/>
      <c r="B2778" s="18"/>
      <c r="C2778" s="18"/>
      <c r="D2778" s="18"/>
      <c r="E2778" s="18"/>
      <c r="F2778" s="18"/>
      <c r="G2778" s="18"/>
      <c r="H2778" s="18"/>
      <c r="I2778" s="18"/>
      <c r="J2778" s="18"/>
      <c r="K2778" s="18"/>
      <c r="L2778" s="18"/>
      <c r="M2778" s="18"/>
      <c r="N2778" s="18"/>
      <c r="O2778" s="14" t="str">
        <f>HYPERLINK("https://otsuka-europe-crm.veevavault.com/ui/#object/email_activity__v/V8C00000003N588", "EN-002088957")</f>
        <v>EN-002088957</v>
      </c>
    </row>
    <row r="2779" spans="1:15" ht="16" x14ac:dyDescent="0.2">
      <c r="A2779" s="18"/>
      <c r="B2779" s="18"/>
      <c r="C2779" s="18"/>
      <c r="D2779" s="18"/>
      <c r="E2779" s="18"/>
      <c r="F2779" s="18"/>
      <c r="G2779" s="18"/>
      <c r="H2779" s="18"/>
      <c r="I2779" s="18"/>
      <c r="J2779" s="18"/>
      <c r="K2779" s="18"/>
      <c r="L2779" s="18"/>
      <c r="M2779" s="18"/>
      <c r="N2779" s="18"/>
      <c r="O2779" s="14" t="str">
        <f>HYPERLINK("https://otsuka-europe-crm.veevavault.com/ui/#object/email_activity__v/V8C00000003V848", "EN-002096418")</f>
        <v>EN-002096418</v>
      </c>
    </row>
    <row r="2780" spans="1:15" ht="16" x14ac:dyDescent="0.2">
      <c r="A2780" s="19"/>
      <c r="B2780" s="19"/>
      <c r="C2780" s="19"/>
      <c r="D2780" s="19"/>
      <c r="E2780" s="19"/>
      <c r="F2780" s="19"/>
      <c r="G2780" s="19"/>
      <c r="H2780" s="19"/>
      <c r="I2780" s="19"/>
      <c r="J2780" s="19"/>
      <c r="K2780" s="19"/>
      <c r="L2780" s="19"/>
      <c r="M2780" s="19"/>
      <c r="N2780" s="19"/>
      <c r="O2780" s="14" t="str">
        <f>HYPERLINK("https://otsuka-europe-crm.veevavault.com/ui/#object/email_activity__v/V8C00000003V849", "EN-002096419")</f>
        <v>EN-002096419</v>
      </c>
    </row>
    <row r="2781" spans="1:15" ht="16" x14ac:dyDescent="0.2">
      <c r="A2781" s="17" t="str">
        <f>HYPERLINK("https://otsuka-europe-crm.veevavault.com/ui/#object/account__v/V4TZ06G6O71T8VO", "LUZ MARIA GONZALEZ GUALDA")</f>
        <v>LUZ MARIA GONZALEZ GUALDA</v>
      </c>
      <c r="B2781" s="17" t="str">
        <f>HYPERLINK("https://otsuka-europe-crm.veevavault.com/ui/#object/vcountry__v/VENZ000004SONF5", "ES")</f>
        <v>ES</v>
      </c>
      <c r="C2781" s="20" t="s">
        <v>41</v>
      </c>
      <c r="D2781" s="21" t="str">
        <f>HYPERLINK("https://otsuka-europe-crm.veevavault.com/ui/#object/approved_document__v/V5OZ04ASG4FWKA9", "Documento Autorizaciขn Centro Empleador")</f>
        <v>Documento Autorizaciขn Centro Empleador</v>
      </c>
      <c r="E2781" s="22" t="str">
        <f>HYPERLINK("https://otsuka-europe-crm.veevavault.com/ui/#object/sent_email__v/VBL00000002N840", "SE-001432073")</f>
        <v>SE-001432073</v>
      </c>
      <c r="F2781" s="23">
        <v>46182.748078703706</v>
      </c>
      <c r="G2781" s="24">
        <v>1</v>
      </c>
      <c r="H2781" s="24">
        <v>4</v>
      </c>
      <c r="I2781" s="24">
        <v>1</v>
      </c>
      <c r="J2781" s="23">
        <v>46176.865486111114</v>
      </c>
      <c r="K2781" s="24">
        <v>2</v>
      </c>
      <c r="L2781" s="22" t="str">
        <f>HYPERLINK("https://otsuka-europe-crm.veevavault.com/ui/#object/approved_document__v/V5OZ04ASG4FWKA9", "Documento Autorizaciขn Centro Empleador")</f>
        <v>Documento Autorizaciขn Centro Empleador</v>
      </c>
      <c r="M2781" s="22" t="str">
        <f>HYPERLINK("mailto:sseco@crm.otsuka-europe.com", "sseco@crm.otsuka-europe.com")</f>
        <v>sseco@crm.otsuka-europe.com</v>
      </c>
      <c r="N2781" s="23">
        <v>46176.509930555556</v>
      </c>
      <c r="O2781" s="14" t="str">
        <f>HYPERLINK("https://otsuka-europe-crm.veevavault.com/ui/#object/email_activity__v/V8C00000003M402", "EN-002088834")</f>
        <v>EN-002088834</v>
      </c>
    </row>
    <row r="2782" spans="1:15" ht="16" x14ac:dyDescent="0.2">
      <c r="A2782" s="18"/>
      <c r="B2782" s="18"/>
      <c r="C2782" s="18"/>
      <c r="D2782" s="18"/>
      <c r="E2782" s="18"/>
      <c r="F2782" s="18"/>
      <c r="G2782" s="18"/>
      <c r="H2782" s="18"/>
      <c r="I2782" s="18"/>
      <c r="J2782" s="18"/>
      <c r="K2782" s="18"/>
      <c r="L2782" s="18"/>
      <c r="M2782" s="18"/>
      <c r="N2782" s="18"/>
      <c r="O2782" s="14" t="str">
        <f>HYPERLINK("https://otsuka-europe-crm.veevavault.com/ui/#object/email_activity__v/V8C00000003M403", "EN-002088835")</f>
        <v>EN-002088835</v>
      </c>
    </row>
    <row r="2783" spans="1:15" ht="16" x14ac:dyDescent="0.2">
      <c r="A2783" s="18"/>
      <c r="B2783" s="18"/>
      <c r="C2783" s="18"/>
      <c r="D2783" s="18"/>
      <c r="E2783" s="18"/>
      <c r="F2783" s="18"/>
      <c r="G2783" s="18"/>
      <c r="H2783" s="18"/>
      <c r="I2783" s="18"/>
      <c r="J2783" s="18"/>
      <c r="K2783" s="18"/>
      <c r="L2783" s="18"/>
      <c r="M2783" s="18"/>
      <c r="N2783" s="18"/>
      <c r="O2783" s="14" t="str">
        <f>HYPERLINK("https://otsuka-europe-crm.veevavault.com/ui/#object/email_activity__v/V8C00000003N442", "EN-002088697")</f>
        <v>EN-002088697</v>
      </c>
    </row>
    <row r="2784" spans="1:15" ht="16" x14ac:dyDescent="0.2">
      <c r="A2784" s="18"/>
      <c r="B2784" s="18"/>
      <c r="C2784" s="18"/>
      <c r="D2784" s="18"/>
      <c r="E2784" s="18"/>
      <c r="F2784" s="18"/>
      <c r="G2784" s="18"/>
      <c r="H2784" s="18"/>
      <c r="I2784" s="18"/>
      <c r="J2784" s="18"/>
      <c r="K2784" s="18"/>
      <c r="L2784" s="18"/>
      <c r="M2784" s="18"/>
      <c r="N2784" s="18"/>
      <c r="O2784" s="14" t="str">
        <f>HYPERLINK("https://otsuka-europe-crm.veevavault.com/ui/#object/email_activity__v/V8C00000003N447", "EN-002088709")</f>
        <v>EN-002088709</v>
      </c>
    </row>
    <row r="2785" spans="1:15" ht="16" x14ac:dyDescent="0.2">
      <c r="A2785" s="18"/>
      <c r="B2785" s="18"/>
      <c r="C2785" s="18"/>
      <c r="D2785" s="18"/>
      <c r="E2785" s="18"/>
      <c r="F2785" s="18"/>
      <c r="G2785" s="18"/>
      <c r="H2785" s="18"/>
      <c r="I2785" s="18"/>
      <c r="J2785" s="18"/>
      <c r="K2785" s="18"/>
      <c r="L2785" s="18"/>
      <c r="M2785" s="18"/>
      <c r="N2785" s="18"/>
      <c r="O2785" s="14" t="str">
        <f>HYPERLINK("https://otsuka-europe-crm.veevavault.com/ui/#object/email_activity__v/V8C00000003N448", "EN-002088708")</f>
        <v>EN-002088708</v>
      </c>
    </row>
    <row r="2786" spans="1:15" ht="16" x14ac:dyDescent="0.2">
      <c r="A2786" s="18"/>
      <c r="B2786" s="18"/>
      <c r="C2786" s="18"/>
      <c r="D2786" s="18"/>
      <c r="E2786" s="18"/>
      <c r="F2786" s="18"/>
      <c r="G2786" s="18"/>
      <c r="H2786" s="18"/>
      <c r="I2786" s="18"/>
      <c r="J2786" s="18"/>
      <c r="K2786" s="18"/>
      <c r="L2786" s="18"/>
      <c r="M2786" s="18"/>
      <c r="N2786" s="18"/>
      <c r="O2786" s="14" t="str">
        <f>HYPERLINK("https://otsuka-europe-crm.veevavault.com/ui/#object/email_activity__v/V8C00000003R894", "EN-002093389")</f>
        <v>EN-002093389</v>
      </c>
    </row>
    <row r="2787" spans="1:15" ht="16" x14ac:dyDescent="0.2">
      <c r="A2787" s="19"/>
      <c r="B2787" s="19"/>
      <c r="C2787" s="19"/>
      <c r="D2787" s="19"/>
      <c r="E2787" s="19"/>
      <c r="F2787" s="19"/>
      <c r="G2787" s="19"/>
      <c r="H2787" s="19"/>
      <c r="I2787" s="19"/>
      <c r="J2787" s="19"/>
      <c r="K2787" s="19"/>
      <c r="L2787" s="19"/>
      <c r="M2787" s="19"/>
      <c r="N2787" s="19"/>
      <c r="O2787" s="14" t="str">
        <f>HYPERLINK("https://otsuka-europe-crm.veevavault.com/ui/#object/email_activity__v/V8C00000003R896", "EN-002093391")</f>
        <v>EN-002093391</v>
      </c>
    </row>
    <row r="2788" spans="1:15" ht="16" x14ac:dyDescent="0.2">
      <c r="A2788" s="17" t="str">
        <f>HYPERLINK("https://otsuka-europe-crm.veevavault.com/ui/#object/account__v/V4TZ04ASGEOSQ0J", "Chizerem Asoegwu")</f>
        <v>Chizerem Asoegwu</v>
      </c>
      <c r="B2788" s="17" t="str">
        <f>HYPERLINK("https://otsuka-europe-crm.veevavault.com/ui/#object/vcountry__v/VENZ000004SONFK", "GB")</f>
        <v>GB</v>
      </c>
      <c r="C2788" s="20" t="s">
        <v>39</v>
      </c>
      <c r="D2788" s="21" t="str">
        <f>HYPERLINK("https://otsuka-europe-crm.veevavault.com/ui/#object/approved_document__v/V5O00000001H007", "DR P2P Invite 18-Jun-26 [digital]")</f>
        <v>DR P2P Invite 18-Jun-26 [digital]</v>
      </c>
      <c r="E2788" s="22" t="str">
        <f>HYPERLINK("https://otsuka-europe-crm.veevavault.com/ui/#object/sent_email__v/VBL00000002N841", "SE-001432074")</f>
        <v>SE-001432074</v>
      </c>
      <c r="F2788" s="23">
        <v>46197.747465277775</v>
      </c>
      <c r="G2788" s="24">
        <v>1</v>
      </c>
      <c r="H2788" s="24">
        <v>29</v>
      </c>
      <c r="I2788" s="24">
        <v>0</v>
      </c>
      <c r="J2788" s="25"/>
      <c r="K2788" s="24">
        <v>0</v>
      </c>
      <c r="L2788" s="22" t="str">
        <f>HYPERLINK("https://otsuka-europe-crm.veevavault.com/ui/#object/approved_document__v/V5O00000001H007", "DR P2P Invite 18-Jun-26 [digital]")</f>
        <v>DR P2P Invite 18-Jun-26 [digital]</v>
      </c>
      <c r="M2788" s="22" t="str">
        <f>HYPERLINK("mailto:draval@crm.otsuka-europe.com", "draval@crm.otsuka-europe.com")</f>
        <v>draval@crm.otsuka-europe.com</v>
      </c>
      <c r="N2788" s="23">
        <v>46176.512025462966</v>
      </c>
      <c r="O2788" s="14" t="str">
        <f>HYPERLINK("https://otsuka-europe-crm.veevavault.com/ui/#object/email_activity__v/V8C00000003N443", "EN-002088698")</f>
        <v>EN-002088698</v>
      </c>
    </row>
    <row r="2789" spans="1:15" ht="16" x14ac:dyDescent="0.2">
      <c r="A2789" s="18"/>
      <c r="B2789" s="18"/>
      <c r="C2789" s="18"/>
      <c r="D2789" s="18"/>
      <c r="E2789" s="18"/>
      <c r="F2789" s="18"/>
      <c r="G2789" s="18"/>
      <c r="H2789" s="18"/>
      <c r="I2789" s="18"/>
      <c r="J2789" s="18"/>
      <c r="K2789" s="18"/>
      <c r="L2789" s="18"/>
      <c r="M2789" s="18"/>
      <c r="N2789" s="18"/>
      <c r="O2789" s="14" t="str">
        <f>HYPERLINK("https://otsuka-europe-crm.veevavault.com/ui/#object/email_activity__v/V8C00000003S671", "EN-002094237")</f>
        <v>EN-002094237</v>
      </c>
    </row>
    <row r="2790" spans="1:15" ht="16" x14ac:dyDescent="0.2">
      <c r="A2790" s="18"/>
      <c r="B2790" s="18"/>
      <c r="C2790" s="18"/>
      <c r="D2790" s="18"/>
      <c r="E2790" s="18"/>
      <c r="F2790" s="18"/>
      <c r="G2790" s="18"/>
      <c r="H2790" s="18"/>
      <c r="I2790" s="18"/>
      <c r="J2790" s="18"/>
      <c r="K2790" s="18"/>
      <c r="L2790" s="18"/>
      <c r="M2790" s="18"/>
      <c r="N2790" s="18"/>
      <c r="O2790" s="14" t="str">
        <f>HYPERLINK("https://otsuka-europe-crm.veevavault.com/ui/#object/email_activity__v/V8C00000003S682", "EN-002094259")</f>
        <v>EN-002094259</v>
      </c>
    </row>
    <row r="2791" spans="1:15" ht="16" x14ac:dyDescent="0.2">
      <c r="A2791" s="18"/>
      <c r="B2791" s="18"/>
      <c r="C2791" s="18"/>
      <c r="D2791" s="18"/>
      <c r="E2791" s="18"/>
      <c r="F2791" s="18"/>
      <c r="G2791" s="18"/>
      <c r="H2791" s="18"/>
      <c r="I2791" s="18"/>
      <c r="J2791" s="18"/>
      <c r="K2791" s="18"/>
      <c r="L2791" s="18"/>
      <c r="M2791" s="18"/>
      <c r="N2791" s="18"/>
      <c r="O2791" s="14" t="str">
        <f>HYPERLINK("https://otsuka-europe-crm.veevavault.com/ui/#object/email_activity__v/V8C00000003S683", "EN-002094260")</f>
        <v>EN-002094260</v>
      </c>
    </row>
    <row r="2792" spans="1:15" ht="16" x14ac:dyDescent="0.2">
      <c r="A2792" s="18"/>
      <c r="B2792" s="18"/>
      <c r="C2792" s="18"/>
      <c r="D2792" s="18"/>
      <c r="E2792" s="18"/>
      <c r="F2792" s="18"/>
      <c r="G2792" s="18"/>
      <c r="H2792" s="18"/>
      <c r="I2792" s="18"/>
      <c r="J2792" s="18"/>
      <c r="K2792" s="18"/>
      <c r="L2792" s="18"/>
      <c r="M2792" s="18"/>
      <c r="N2792" s="18"/>
      <c r="O2792" s="14" t="str">
        <f>HYPERLINK("https://otsuka-europe-crm.veevavault.com/ui/#object/email_activity__v/V8C00000003S684", "EN-002094261")</f>
        <v>EN-002094261</v>
      </c>
    </row>
    <row r="2793" spans="1:15" ht="16" x14ac:dyDescent="0.2">
      <c r="A2793" s="18"/>
      <c r="B2793" s="18"/>
      <c r="C2793" s="18"/>
      <c r="D2793" s="18"/>
      <c r="E2793" s="18"/>
      <c r="F2793" s="18"/>
      <c r="G2793" s="18"/>
      <c r="H2793" s="18"/>
      <c r="I2793" s="18"/>
      <c r="J2793" s="18"/>
      <c r="K2793" s="18"/>
      <c r="L2793" s="18"/>
      <c r="M2793" s="18"/>
      <c r="N2793" s="18"/>
      <c r="O2793" s="14" t="str">
        <f>HYPERLINK("https://otsuka-europe-crm.veevavault.com/ui/#object/email_activity__v/V8C00000003S687", "EN-002094265")</f>
        <v>EN-002094265</v>
      </c>
    </row>
    <row r="2794" spans="1:15" ht="16" x14ac:dyDescent="0.2">
      <c r="A2794" s="18"/>
      <c r="B2794" s="18"/>
      <c r="C2794" s="18"/>
      <c r="D2794" s="18"/>
      <c r="E2794" s="18"/>
      <c r="F2794" s="18"/>
      <c r="G2794" s="18"/>
      <c r="H2794" s="18"/>
      <c r="I2794" s="18"/>
      <c r="J2794" s="18"/>
      <c r="K2794" s="18"/>
      <c r="L2794" s="18"/>
      <c r="M2794" s="18"/>
      <c r="N2794" s="18"/>
      <c r="O2794" s="14" t="str">
        <f>HYPERLINK("https://otsuka-europe-crm.veevavault.com/ui/#object/email_activity__v/V8C00000003S696", "EN-002094281")</f>
        <v>EN-002094281</v>
      </c>
    </row>
    <row r="2795" spans="1:15" ht="16" x14ac:dyDescent="0.2">
      <c r="A2795" s="18"/>
      <c r="B2795" s="18"/>
      <c r="C2795" s="18"/>
      <c r="D2795" s="18"/>
      <c r="E2795" s="18"/>
      <c r="F2795" s="18"/>
      <c r="G2795" s="18"/>
      <c r="H2795" s="18"/>
      <c r="I2795" s="18"/>
      <c r="J2795" s="18"/>
      <c r="K2795" s="18"/>
      <c r="L2795" s="18"/>
      <c r="M2795" s="18"/>
      <c r="N2795" s="18"/>
      <c r="O2795" s="14" t="str">
        <f>HYPERLINK("https://otsuka-europe-crm.veevavault.com/ui/#object/email_activity__v/V8C00000003S713", "EN-002094304")</f>
        <v>EN-002094304</v>
      </c>
    </row>
    <row r="2796" spans="1:15" ht="16" x14ac:dyDescent="0.2">
      <c r="A2796" s="18"/>
      <c r="B2796" s="18"/>
      <c r="C2796" s="18"/>
      <c r="D2796" s="18"/>
      <c r="E2796" s="18"/>
      <c r="F2796" s="18"/>
      <c r="G2796" s="18"/>
      <c r="H2796" s="18"/>
      <c r="I2796" s="18"/>
      <c r="J2796" s="18"/>
      <c r="K2796" s="18"/>
      <c r="L2796" s="18"/>
      <c r="M2796" s="18"/>
      <c r="N2796" s="18"/>
      <c r="O2796" s="14" t="str">
        <f>HYPERLINK("https://otsuka-europe-crm.veevavault.com/ui/#object/email_activity__v/V8C00000003S753", "EN-002094373")</f>
        <v>EN-002094373</v>
      </c>
    </row>
    <row r="2797" spans="1:15" ht="16" x14ac:dyDescent="0.2">
      <c r="A2797" s="18"/>
      <c r="B2797" s="18"/>
      <c r="C2797" s="18"/>
      <c r="D2797" s="18"/>
      <c r="E2797" s="18"/>
      <c r="F2797" s="18"/>
      <c r="G2797" s="18"/>
      <c r="H2797" s="18"/>
      <c r="I2797" s="18"/>
      <c r="J2797" s="18"/>
      <c r="K2797" s="18"/>
      <c r="L2797" s="18"/>
      <c r="M2797" s="18"/>
      <c r="N2797" s="18"/>
      <c r="O2797" s="14" t="str">
        <f>HYPERLINK("https://otsuka-europe-crm.veevavault.com/ui/#object/email_activity__v/V8C00000003S790", "EN-002094431")</f>
        <v>EN-002094431</v>
      </c>
    </row>
    <row r="2798" spans="1:15" ht="16" x14ac:dyDescent="0.2">
      <c r="A2798" s="18"/>
      <c r="B2798" s="18"/>
      <c r="C2798" s="18"/>
      <c r="D2798" s="18"/>
      <c r="E2798" s="18"/>
      <c r="F2798" s="18"/>
      <c r="G2798" s="18"/>
      <c r="H2798" s="18"/>
      <c r="I2798" s="18"/>
      <c r="J2798" s="18"/>
      <c r="K2798" s="18"/>
      <c r="L2798" s="18"/>
      <c r="M2798" s="18"/>
      <c r="N2798" s="18"/>
      <c r="O2798" s="14" t="str">
        <f>HYPERLINK("https://otsuka-europe-crm.veevavault.com/ui/#object/email_activity__v/V8C00000003S856", "EN-002094557")</f>
        <v>EN-002094557</v>
      </c>
    </row>
    <row r="2799" spans="1:15" ht="16" x14ac:dyDescent="0.2">
      <c r="A2799" s="18"/>
      <c r="B2799" s="18"/>
      <c r="C2799" s="18"/>
      <c r="D2799" s="18"/>
      <c r="E2799" s="18"/>
      <c r="F2799" s="18"/>
      <c r="G2799" s="18"/>
      <c r="H2799" s="18"/>
      <c r="I2799" s="18"/>
      <c r="J2799" s="18"/>
      <c r="K2799" s="18"/>
      <c r="L2799" s="18"/>
      <c r="M2799" s="18"/>
      <c r="N2799" s="18"/>
      <c r="O2799" s="14" t="str">
        <f>HYPERLINK("https://otsuka-europe-crm.veevavault.com/ui/#object/email_activity__v/V8C00000003T331", "EN-002094236")</f>
        <v>EN-002094236</v>
      </c>
    </row>
    <row r="2800" spans="1:15" ht="16" x14ac:dyDescent="0.2">
      <c r="A2800" s="18"/>
      <c r="B2800" s="18"/>
      <c r="C2800" s="18"/>
      <c r="D2800" s="18"/>
      <c r="E2800" s="18"/>
      <c r="F2800" s="18"/>
      <c r="G2800" s="18"/>
      <c r="H2800" s="18"/>
      <c r="I2800" s="18"/>
      <c r="J2800" s="18"/>
      <c r="K2800" s="18"/>
      <c r="L2800" s="18"/>
      <c r="M2800" s="18"/>
      <c r="N2800" s="18"/>
      <c r="O2800" s="14" t="str">
        <f>HYPERLINK("https://otsuka-europe-crm.veevavault.com/ui/#object/email_activity__v/V8C00000003T338", "EN-002094252")</f>
        <v>EN-002094252</v>
      </c>
    </row>
    <row r="2801" spans="1:15" ht="16" x14ac:dyDescent="0.2">
      <c r="A2801" s="18"/>
      <c r="B2801" s="18"/>
      <c r="C2801" s="18"/>
      <c r="D2801" s="18"/>
      <c r="E2801" s="18"/>
      <c r="F2801" s="18"/>
      <c r="G2801" s="18"/>
      <c r="H2801" s="18"/>
      <c r="I2801" s="18"/>
      <c r="J2801" s="18"/>
      <c r="K2801" s="18"/>
      <c r="L2801" s="18"/>
      <c r="M2801" s="18"/>
      <c r="N2801" s="18"/>
      <c r="O2801" s="14" t="str">
        <f>HYPERLINK("https://otsuka-europe-crm.veevavault.com/ui/#object/email_activity__v/V8C00000003T339", "EN-002094253")</f>
        <v>EN-002094253</v>
      </c>
    </row>
    <row r="2802" spans="1:15" ht="16" x14ac:dyDescent="0.2">
      <c r="A2802" s="18"/>
      <c r="B2802" s="18"/>
      <c r="C2802" s="18"/>
      <c r="D2802" s="18"/>
      <c r="E2802" s="18"/>
      <c r="F2802" s="18"/>
      <c r="G2802" s="18"/>
      <c r="H2802" s="18"/>
      <c r="I2802" s="18"/>
      <c r="J2802" s="18"/>
      <c r="K2802" s="18"/>
      <c r="L2802" s="18"/>
      <c r="M2802" s="18"/>
      <c r="N2802" s="18"/>
      <c r="O2802" s="14" t="str">
        <f>HYPERLINK("https://otsuka-europe-crm.veevavault.com/ui/#object/email_activity__v/V8C00000003T341", "EN-002094257")</f>
        <v>EN-002094257</v>
      </c>
    </row>
    <row r="2803" spans="1:15" ht="16" x14ac:dyDescent="0.2">
      <c r="A2803" s="18"/>
      <c r="B2803" s="18"/>
      <c r="C2803" s="18"/>
      <c r="D2803" s="18"/>
      <c r="E2803" s="18"/>
      <c r="F2803" s="18"/>
      <c r="G2803" s="18"/>
      <c r="H2803" s="18"/>
      <c r="I2803" s="18"/>
      <c r="J2803" s="18"/>
      <c r="K2803" s="18"/>
      <c r="L2803" s="18"/>
      <c r="M2803" s="18"/>
      <c r="N2803" s="18"/>
      <c r="O2803" s="14" t="str">
        <f>HYPERLINK("https://otsuka-europe-crm.veevavault.com/ui/#object/email_activity__v/V8C00000003T343", "EN-002094264")</f>
        <v>EN-002094264</v>
      </c>
    </row>
    <row r="2804" spans="1:15" ht="16" x14ac:dyDescent="0.2">
      <c r="A2804" s="18"/>
      <c r="B2804" s="18"/>
      <c r="C2804" s="18"/>
      <c r="D2804" s="18"/>
      <c r="E2804" s="18"/>
      <c r="F2804" s="18"/>
      <c r="G2804" s="18"/>
      <c r="H2804" s="18"/>
      <c r="I2804" s="18"/>
      <c r="J2804" s="18"/>
      <c r="K2804" s="18"/>
      <c r="L2804" s="18"/>
      <c r="M2804" s="18"/>
      <c r="N2804" s="18"/>
      <c r="O2804" s="14" t="str">
        <f>HYPERLINK("https://otsuka-europe-crm.veevavault.com/ui/#object/email_activity__v/V8C00000003T344", "EN-002094266")</f>
        <v>EN-002094266</v>
      </c>
    </row>
    <row r="2805" spans="1:15" ht="16" x14ac:dyDescent="0.2">
      <c r="A2805" s="18"/>
      <c r="B2805" s="18"/>
      <c r="C2805" s="18"/>
      <c r="D2805" s="18"/>
      <c r="E2805" s="18"/>
      <c r="F2805" s="18"/>
      <c r="G2805" s="18"/>
      <c r="H2805" s="18"/>
      <c r="I2805" s="18"/>
      <c r="J2805" s="18"/>
      <c r="K2805" s="18"/>
      <c r="L2805" s="18"/>
      <c r="M2805" s="18"/>
      <c r="N2805" s="18"/>
      <c r="O2805" s="14" t="str">
        <f>HYPERLINK("https://otsuka-europe-crm.veevavault.com/ui/#object/email_activity__v/V8C00000003T346", "EN-002094275")</f>
        <v>EN-002094275</v>
      </c>
    </row>
    <row r="2806" spans="1:15" ht="16" x14ac:dyDescent="0.2">
      <c r="A2806" s="18"/>
      <c r="B2806" s="18"/>
      <c r="C2806" s="18"/>
      <c r="D2806" s="18"/>
      <c r="E2806" s="18"/>
      <c r="F2806" s="18"/>
      <c r="G2806" s="18"/>
      <c r="H2806" s="18"/>
      <c r="I2806" s="18"/>
      <c r="J2806" s="18"/>
      <c r="K2806" s="18"/>
      <c r="L2806" s="18"/>
      <c r="M2806" s="18"/>
      <c r="N2806" s="18"/>
      <c r="O2806" s="14" t="str">
        <f>HYPERLINK("https://otsuka-europe-crm.veevavault.com/ui/#object/email_activity__v/V8C00000003T347", "EN-002094276")</f>
        <v>EN-002094276</v>
      </c>
    </row>
    <row r="2807" spans="1:15" ht="16" x14ac:dyDescent="0.2">
      <c r="A2807" s="18"/>
      <c r="B2807" s="18"/>
      <c r="C2807" s="18"/>
      <c r="D2807" s="18"/>
      <c r="E2807" s="18"/>
      <c r="F2807" s="18"/>
      <c r="G2807" s="18"/>
      <c r="H2807" s="18"/>
      <c r="I2807" s="18"/>
      <c r="J2807" s="18"/>
      <c r="K2807" s="18"/>
      <c r="L2807" s="18"/>
      <c r="M2807" s="18"/>
      <c r="N2807" s="18"/>
      <c r="O2807" s="14" t="str">
        <f>HYPERLINK("https://otsuka-europe-crm.veevavault.com/ui/#object/email_activity__v/V8C00000003T352", "EN-002094284")</f>
        <v>EN-002094284</v>
      </c>
    </row>
    <row r="2808" spans="1:15" ht="16" x14ac:dyDescent="0.2">
      <c r="A2808" s="18"/>
      <c r="B2808" s="18"/>
      <c r="C2808" s="18"/>
      <c r="D2808" s="18"/>
      <c r="E2808" s="18"/>
      <c r="F2808" s="18"/>
      <c r="G2808" s="18"/>
      <c r="H2808" s="18"/>
      <c r="I2808" s="18"/>
      <c r="J2808" s="18"/>
      <c r="K2808" s="18"/>
      <c r="L2808" s="18"/>
      <c r="M2808" s="18"/>
      <c r="N2808" s="18"/>
      <c r="O2808" s="14" t="str">
        <f>HYPERLINK("https://otsuka-europe-crm.veevavault.com/ui/#object/email_activity__v/V8C00000003T357", "EN-002094305")</f>
        <v>EN-002094305</v>
      </c>
    </row>
    <row r="2809" spans="1:15" ht="16" x14ac:dyDescent="0.2">
      <c r="A2809" s="18"/>
      <c r="B2809" s="18"/>
      <c r="C2809" s="18"/>
      <c r="D2809" s="18"/>
      <c r="E2809" s="18"/>
      <c r="F2809" s="18"/>
      <c r="G2809" s="18"/>
      <c r="H2809" s="18"/>
      <c r="I2809" s="18"/>
      <c r="J2809" s="18"/>
      <c r="K2809" s="18"/>
      <c r="L2809" s="18"/>
      <c r="M2809" s="18"/>
      <c r="N2809" s="18"/>
      <c r="O2809" s="14" t="str">
        <f>HYPERLINK("https://otsuka-europe-crm.veevavault.com/ui/#object/email_activity__v/V8C00000003T377", "EN-002094352")</f>
        <v>EN-002094352</v>
      </c>
    </row>
    <row r="2810" spans="1:15" ht="16" x14ac:dyDescent="0.2">
      <c r="A2810" s="18"/>
      <c r="B2810" s="18"/>
      <c r="C2810" s="18"/>
      <c r="D2810" s="18"/>
      <c r="E2810" s="18"/>
      <c r="F2810" s="18"/>
      <c r="G2810" s="18"/>
      <c r="H2810" s="18"/>
      <c r="I2810" s="18"/>
      <c r="J2810" s="18"/>
      <c r="K2810" s="18"/>
      <c r="L2810" s="18"/>
      <c r="M2810" s="18"/>
      <c r="N2810" s="18"/>
      <c r="O2810" s="14" t="str">
        <f>HYPERLINK("https://otsuka-europe-crm.veevavault.com/ui/#object/email_activity__v/V8C00000003T389", "EN-002094378")</f>
        <v>EN-002094378</v>
      </c>
    </row>
    <row r="2811" spans="1:15" ht="16" x14ac:dyDescent="0.2">
      <c r="A2811" s="18"/>
      <c r="B2811" s="18"/>
      <c r="C2811" s="18"/>
      <c r="D2811" s="18"/>
      <c r="E2811" s="18"/>
      <c r="F2811" s="18"/>
      <c r="G2811" s="18"/>
      <c r="H2811" s="18"/>
      <c r="I2811" s="18"/>
      <c r="J2811" s="18"/>
      <c r="K2811" s="18"/>
      <c r="L2811" s="18"/>
      <c r="M2811" s="18"/>
      <c r="N2811" s="18"/>
      <c r="O2811" s="14" t="str">
        <f>HYPERLINK("https://otsuka-europe-crm.veevavault.com/ui/#object/email_activity__v/V8C00000003T409", "EN-002094434")</f>
        <v>EN-002094434</v>
      </c>
    </row>
    <row r="2812" spans="1:15" ht="16" x14ac:dyDescent="0.2">
      <c r="A2812" s="18"/>
      <c r="B2812" s="18"/>
      <c r="C2812" s="18"/>
      <c r="D2812" s="18"/>
      <c r="E2812" s="18"/>
      <c r="F2812" s="18"/>
      <c r="G2812" s="18"/>
      <c r="H2812" s="18"/>
      <c r="I2812" s="18"/>
      <c r="J2812" s="18"/>
      <c r="K2812" s="18"/>
      <c r="L2812" s="18"/>
      <c r="M2812" s="18"/>
      <c r="N2812" s="18"/>
      <c r="O2812" s="14" t="str">
        <f>HYPERLINK("https://otsuka-europe-crm.veevavault.com/ui/#object/email_activity__v/V8C00000003T467", "EN-002094558")</f>
        <v>EN-002094558</v>
      </c>
    </row>
    <row r="2813" spans="1:15" ht="16" x14ac:dyDescent="0.2">
      <c r="A2813" s="18"/>
      <c r="B2813" s="18"/>
      <c r="C2813" s="18"/>
      <c r="D2813" s="18"/>
      <c r="E2813" s="18"/>
      <c r="F2813" s="18"/>
      <c r="G2813" s="18"/>
      <c r="H2813" s="18"/>
      <c r="I2813" s="18"/>
      <c r="J2813" s="18"/>
      <c r="K2813" s="18"/>
      <c r="L2813" s="18"/>
      <c r="M2813" s="18"/>
      <c r="N2813" s="18"/>
      <c r="O2813" s="14" t="str">
        <f>HYPERLINK("https://otsuka-europe-crm.veevavault.com/ui/#object/email_activity__v/V8C00000003U267", "EN-002095376")</f>
        <v>EN-002095376</v>
      </c>
    </row>
    <row r="2814" spans="1:15" ht="16" x14ac:dyDescent="0.2">
      <c r="A2814" s="18"/>
      <c r="B2814" s="18"/>
      <c r="C2814" s="18"/>
      <c r="D2814" s="18"/>
      <c r="E2814" s="18"/>
      <c r="F2814" s="18"/>
      <c r="G2814" s="18"/>
      <c r="H2814" s="18"/>
      <c r="I2814" s="18"/>
      <c r="J2814" s="18"/>
      <c r="K2814" s="18"/>
      <c r="L2814" s="18"/>
      <c r="M2814" s="18"/>
      <c r="N2814" s="18"/>
      <c r="O2814" s="14" t="str">
        <f>HYPERLINK("https://otsuka-europe-crm.veevavault.com/ui/#object/email_activity__v/V8C00000003U326", "EN-002095486")</f>
        <v>EN-002095486</v>
      </c>
    </row>
    <row r="2815" spans="1:15" ht="16" x14ac:dyDescent="0.2">
      <c r="A2815" s="18"/>
      <c r="B2815" s="18"/>
      <c r="C2815" s="18"/>
      <c r="D2815" s="18"/>
      <c r="E2815" s="18"/>
      <c r="F2815" s="18"/>
      <c r="G2815" s="18"/>
      <c r="H2815" s="18"/>
      <c r="I2815" s="18"/>
      <c r="J2815" s="18"/>
      <c r="K2815" s="18"/>
      <c r="L2815" s="18"/>
      <c r="M2815" s="18"/>
      <c r="N2815" s="18"/>
      <c r="O2815" s="14" t="str">
        <f>HYPERLINK("https://otsuka-europe-crm.veevavault.com/ui/#object/email_activity__v/V8C00000003V268", "EN-002095326")</f>
        <v>EN-002095326</v>
      </c>
    </row>
    <row r="2816" spans="1:15" ht="16" x14ac:dyDescent="0.2">
      <c r="A2816" s="18"/>
      <c r="B2816" s="18"/>
      <c r="C2816" s="18"/>
      <c r="D2816" s="18"/>
      <c r="E2816" s="18"/>
      <c r="F2816" s="18"/>
      <c r="G2816" s="18"/>
      <c r="H2816" s="18"/>
      <c r="I2816" s="18"/>
      <c r="J2816" s="18"/>
      <c r="K2816" s="18"/>
      <c r="L2816" s="18"/>
      <c r="M2816" s="18"/>
      <c r="N2816" s="18"/>
      <c r="O2816" s="14" t="str">
        <f>HYPERLINK("https://otsuka-europe-crm.veevavault.com/ui/#object/email_activity__v/V8C00000003V269", "EN-002095327")</f>
        <v>EN-002095327</v>
      </c>
    </row>
    <row r="2817" spans="1:15" ht="16" x14ac:dyDescent="0.2">
      <c r="A2817" s="18"/>
      <c r="B2817" s="18"/>
      <c r="C2817" s="18"/>
      <c r="D2817" s="18"/>
      <c r="E2817" s="18"/>
      <c r="F2817" s="18"/>
      <c r="G2817" s="18"/>
      <c r="H2817" s="18"/>
      <c r="I2817" s="18"/>
      <c r="J2817" s="18"/>
      <c r="K2817" s="18"/>
      <c r="L2817" s="18"/>
      <c r="M2817" s="18"/>
      <c r="N2817" s="18"/>
      <c r="O2817" s="14" t="str">
        <f>HYPERLINK("https://otsuka-europe-crm.veevavault.com/ui/#object/email_activity__v/V8C00000003W082", "EN-002096811")</f>
        <v>EN-002096811</v>
      </c>
    </row>
    <row r="2818" spans="1:15" ht="16" x14ac:dyDescent="0.2">
      <c r="A2818" s="18"/>
      <c r="B2818" s="18"/>
      <c r="C2818" s="18"/>
      <c r="D2818" s="18"/>
      <c r="E2818" s="18"/>
      <c r="F2818" s="18"/>
      <c r="G2818" s="18"/>
      <c r="H2818" s="18"/>
      <c r="I2818" s="18"/>
      <c r="J2818" s="18"/>
      <c r="K2818" s="18"/>
      <c r="L2818" s="18"/>
      <c r="M2818" s="18"/>
      <c r="N2818" s="18"/>
      <c r="O2818" s="14" t="str">
        <f>HYPERLINK("https://otsuka-europe-crm.veevavault.com/ui/#object/email_activity__v/V8C00000003W239", "EN-002097214")</f>
        <v>EN-002097214</v>
      </c>
    </row>
    <row r="2819" spans="1:15" ht="16" x14ac:dyDescent="0.2">
      <c r="A2819" s="19"/>
      <c r="B2819" s="19"/>
      <c r="C2819" s="19"/>
      <c r="D2819" s="19"/>
      <c r="E2819" s="19"/>
      <c r="F2819" s="19"/>
      <c r="G2819" s="19"/>
      <c r="H2819" s="19"/>
      <c r="I2819" s="19"/>
      <c r="J2819" s="19"/>
      <c r="K2819" s="19"/>
      <c r="L2819" s="19"/>
      <c r="M2819" s="19"/>
      <c r="N2819" s="19"/>
      <c r="O2819" s="14" t="str">
        <f>HYPERLINK("https://otsuka-europe-crm.veevavault.com/ui/#object/email_activity__v/V8C000000040517", "EN-002099600")</f>
        <v>EN-002099600</v>
      </c>
    </row>
    <row r="2820" spans="1:15" ht="32" x14ac:dyDescent="0.2">
      <c r="A2820" s="7" t="str">
        <f>HYPERLINK("https://otsuka-europe-crm.veevavault.com/ui/#object/account__v/V4TZ04ASGEOSQ0J", "Chizerem Asoegwu")</f>
        <v>Chizerem Asoegwu</v>
      </c>
      <c r="B2820" s="7" t="str">
        <f>HYPERLINK("https://otsuka-europe-crm.veevavault.com/ui/#object/vcountry__v/VENZ000004SONFK", "GB")</f>
        <v>GB</v>
      </c>
      <c r="C2820" s="8" t="s">
        <v>39</v>
      </c>
      <c r="D2820" s="9" t="str">
        <f>HYPERLINK("https://otsuka-europe-crm.veevavault.com/ui/#object/approved_document__v/V5O00000001H005", "LDM DR P2P Invite 23-Jun-26 [digital]")</f>
        <v>LDM DR P2P Invite 23-Jun-26 [digital]</v>
      </c>
      <c r="E2820" s="10" t="str">
        <f>HYPERLINK("https://otsuka-europe-crm.veevavault.com/ui/#object/sent_email__v/VBL00000002N842", "SE-001432075")</f>
        <v>SE-001432075</v>
      </c>
      <c r="F2820" s="11"/>
      <c r="G2820" s="12">
        <v>0</v>
      </c>
      <c r="H2820" s="12">
        <v>0</v>
      </c>
      <c r="I2820" s="12">
        <v>0</v>
      </c>
      <c r="J2820" s="11"/>
      <c r="K2820" s="12">
        <v>0</v>
      </c>
      <c r="L2820" s="10" t="str">
        <f>HYPERLINK("https://otsuka-europe-crm.veevavault.com/ui/#object/approved_document__v/V5O00000001H005", "LDM DR P2P Invite 23-Jun-26 [digital]")</f>
        <v>LDM DR P2P Invite 23-Jun-26 [digital]</v>
      </c>
      <c r="M2820" s="10" t="str">
        <f>HYPERLINK("mailto:draval@crm.otsuka-europe.com", "draval@crm.otsuka-europe.com")</f>
        <v>draval@crm.otsuka-europe.com</v>
      </c>
      <c r="N2820" s="13">
        <v>46176.512013888889</v>
      </c>
      <c r="O2820" s="14" t="str">
        <f>HYPERLINK("https://otsuka-europe-crm.veevavault.com/ui/#object/email_activity__v/V8C00000003M350", "EN-002088699")</f>
        <v>EN-002088699</v>
      </c>
    </row>
    <row r="2821" spans="1:15" ht="16" x14ac:dyDescent="0.2">
      <c r="A2821" s="17" t="str">
        <f>HYPERLINK("https://otsuka-europe-crm.veevavault.com/ui/#object/account__v/V4TZ025E82D8171", "Pradish Dreepaul")</f>
        <v>Pradish Dreepaul</v>
      </c>
      <c r="B2821" s="17" t="str">
        <f>HYPERLINK("https://otsuka-europe-crm.veevavault.com/ui/#object/vcountry__v/VENZ000004SONFK", "GB")</f>
        <v>GB</v>
      </c>
      <c r="C2821" s="20" t="s">
        <v>39</v>
      </c>
      <c r="D2821" s="21" t="str">
        <f>HYPERLINK("https://otsuka-europe-crm.veevavault.com/ui/#object/approved_document__v/V5O00000001H007", "DR P2P Invite 18-Jun-26 [digital]")</f>
        <v>DR P2P Invite 18-Jun-26 [digital]</v>
      </c>
      <c r="E2821" s="22" t="str">
        <f>HYPERLINK("https://otsuka-europe-crm.veevavault.com/ui/#object/sent_email__v/VBL00000002O406", "SE-001432076")</f>
        <v>SE-001432076</v>
      </c>
      <c r="F2821" s="23">
        <v>46176.517094907409</v>
      </c>
      <c r="G2821" s="24">
        <v>1</v>
      </c>
      <c r="H2821" s="24">
        <v>1</v>
      </c>
      <c r="I2821" s="24">
        <v>0</v>
      </c>
      <c r="J2821" s="25"/>
      <c r="K2821" s="24">
        <v>0</v>
      </c>
      <c r="L2821" s="22" t="str">
        <f>HYPERLINK("https://otsuka-europe-crm.veevavault.com/ui/#object/approved_document__v/V5O00000001H007", "DR P2P Invite 18-Jun-26 [digital]")</f>
        <v>DR P2P Invite 18-Jun-26 [digital]</v>
      </c>
      <c r="M2821" s="22" t="str">
        <f>HYPERLINK("mailto:draval@crm.otsuka-europe.com", "draval@crm.otsuka-europe.com")</f>
        <v>draval@crm.otsuka-europe.com</v>
      </c>
      <c r="N2821" s="23">
        <v>46176.516562500001</v>
      </c>
      <c r="O2821" s="14" t="str">
        <f>HYPERLINK("https://otsuka-europe-crm.veevavault.com/ui/#object/email_activity__v/V8C00000003M418", "EN-002088860")</f>
        <v>EN-002088860</v>
      </c>
    </row>
    <row r="2822" spans="1:15" ht="16" x14ac:dyDescent="0.2">
      <c r="A2822" s="18"/>
      <c r="B2822" s="18"/>
      <c r="C2822" s="18"/>
      <c r="D2822" s="18"/>
      <c r="E2822" s="18"/>
      <c r="F2822" s="18"/>
      <c r="G2822" s="18"/>
      <c r="H2822" s="18"/>
      <c r="I2822" s="18"/>
      <c r="J2822" s="18"/>
      <c r="K2822" s="18"/>
      <c r="L2822" s="18"/>
      <c r="M2822" s="18"/>
      <c r="N2822" s="18"/>
      <c r="O2822" s="14" t="str">
        <f>HYPERLINK("https://otsuka-europe-crm.veevavault.com/ui/#object/email_activity__v/V8C00000003N444", "EN-002088703")</f>
        <v>EN-002088703</v>
      </c>
    </row>
    <row r="2823" spans="1:15" ht="16" x14ac:dyDescent="0.2">
      <c r="A2823" s="19"/>
      <c r="B2823" s="19"/>
      <c r="C2823" s="19"/>
      <c r="D2823" s="19"/>
      <c r="E2823" s="19"/>
      <c r="F2823" s="19"/>
      <c r="G2823" s="19"/>
      <c r="H2823" s="19"/>
      <c r="I2823" s="19"/>
      <c r="J2823" s="19"/>
      <c r="K2823" s="19"/>
      <c r="L2823" s="19"/>
      <c r="M2823" s="19"/>
      <c r="N2823" s="19"/>
      <c r="O2823" s="14" t="str">
        <f>HYPERLINK("https://otsuka-europe-crm.veevavault.com/ui/#object/email_activity__v/V8C00000003N446", "EN-002088705")</f>
        <v>EN-002088705</v>
      </c>
    </row>
    <row r="2824" spans="1:15" ht="16" x14ac:dyDescent="0.2">
      <c r="A2824" s="17" t="str">
        <f>HYPERLINK("https://otsuka-europe-crm.veevavault.com/ui/#object/account__v/V4TZ025E82D8171", "Pradish Dreepaul")</f>
        <v>Pradish Dreepaul</v>
      </c>
      <c r="B2824" s="17" t="str">
        <f>HYPERLINK("https://otsuka-europe-crm.veevavault.com/ui/#object/vcountry__v/VENZ000004SONFK", "GB")</f>
        <v>GB</v>
      </c>
      <c r="C2824" s="20" t="s">
        <v>39</v>
      </c>
      <c r="D2824" s="21" t="str">
        <f>HYPERLINK("https://otsuka-europe-crm.veevavault.com/ui/#object/approved_document__v/V5O00000001H005", "LDM DR P2P Invite 23-Jun-26 [digital]")</f>
        <v>LDM DR P2P Invite 23-Jun-26 [digital]</v>
      </c>
      <c r="E2824" s="22" t="str">
        <f>HYPERLINK("https://otsuka-europe-crm.veevavault.com/ui/#object/sent_email__v/VBL00000002N843", "SE-001432077")</f>
        <v>SE-001432077</v>
      </c>
      <c r="F2824" s="25"/>
      <c r="G2824" s="24">
        <v>0</v>
      </c>
      <c r="H2824" s="24">
        <v>0</v>
      </c>
      <c r="I2824" s="24">
        <v>0</v>
      </c>
      <c r="J2824" s="25"/>
      <c r="K2824" s="24">
        <v>0</v>
      </c>
      <c r="L2824" s="22" t="str">
        <f>HYPERLINK("https://otsuka-europe-crm.veevavault.com/ui/#object/approved_document__v/V5O00000001H005", "LDM DR P2P Invite 23-Jun-26 [digital]")</f>
        <v>LDM DR P2P Invite 23-Jun-26 [digital]</v>
      </c>
      <c r="M2824" s="22" t="str">
        <f>HYPERLINK("mailto:draval@crm.otsuka-europe.com", "draval@crm.otsuka-europe.com")</f>
        <v>draval@crm.otsuka-europe.com</v>
      </c>
      <c r="N2824" s="23">
        <v>46176.516562500001</v>
      </c>
      <c r="O2824" s="14" t="str">
        <f>HYPERLINK("https://otsuka-europe-crm.veevavault.com/ui/#object/email_activity__v/V8C00000003M419", "EN-002088861")</f>
        <v>EN-002088861</v>
      </c>
    </row>
    <row r="2825" spans="1:15" ht="16" x14ac:dyDescent="0.2">
      <c r="A2825" s="19"/>
      <c r="B2825" s="19"/>
      <c r="C2825" s="19"/>
      <c r="D2825" s="19"/>
      <c r="E2825" s="19"/>
      <c r="F2825" s="19"/>
      <c r="G2825" s="19"/>
      <c r="H2825" s="19"/>
      <c r="I2825" s="19"/>
      <c r="J2825" s="19"/>
      <c r="K2825" s="19"/>
      <c r="L2825" s="19"/>
      <c r="M2825" s="19"/>
      <c r="N2825" s="19"/>
      <c r="O2825" s="14" t="str">
        <f>HYPERLINK("https://otsuka-europe-crm.veevavault.com/ui/#object/email_activity__v/V8C00000003N445", "EN-002088704")</f>
        <v>EN-002088704</v>
      </c>
    </row>
    <row r="2826" spans="1:15" ht="16" x14ac:dyDescent="0.2">
      <c r="A2826" s="17" t="str">
        <f>HYPERLINK("https://otsuka-europe-crm.veevavault.com/ui/#object/account__v/V4TZ06G6OBUD5KH", "NELLY GENSBITTEL")</f>
        <v>NELLY GENSBITTEL</v>
      </c>
      <c r="B2826" s="17" t="str">
        <f>HYPERLINK("https://otsuka-europe-crm.veevavault.com/ui/#object/vcountry__v/VENZ000004SONFA", "FR")</f>
        <v>FR</v>
      </c>
      <c r="C2826" s="20" t="s">
        <v>42</v>
      </c>
      <c r="D2826" s="21" t="str">
        <f>HYPERLINK("https://otsuka-europe-crm.veevavault.com/ui/#object/approved_document__v/V5OZ04ASG4G02Y7", "REMERCIEMENTS_VAD_2023")</f>
        <v>REMERCIEMENTS_VAD_2023</v>
      </c>
      <c r="E2826" s="22" t="str">
        <f>HYPERLINK("https://otsuka-europe-crm.veevavault.com/ui/#object/sent_email__v/VBL00000002O408", "SE-001432079")</f>
        <v>SE-001432079</v>
      </c>
      <c r="F2826" s="23">
        <v>46178.396979166668</v>
      </c>
      <c r="G2826" s="24">
        <v>1</v>
      </c>
      <c r="H2826" s="24">
        <v>3</v>
      </c>
      <c r="I2826" s="24">
        <v>0</v>
      </c>
      <c r="J2826" s="25"/>
      <c r="K2826" s="24">
        <v>0</v>
      </c>
      <c r="L2826" s="22" t="str">
        <f>HYPERLINK("https://otsuka-europe-crm.veevavault.com/ui/#object/approved_document__v/V5OZ04ASG4G02Y7", "REMERCIEMENTS_VAD_2023")</f>
        <v>REMERCIEMENTS_VAD_2023</v>
      </c>
      <c r="M2826" s="22" t="str">
        <f>HYPERLINK("mailto:sblancheland@crm.otsuka-europe.com", "sblancheland@crm.otsuka-europe.com")</f>
        <v>sblancheland@crm.otsuka-europe.com</v>
      </c>
      <c r="N2826" s="23">
        <v>46176.635347222225</v>
      </c>
      <c r="O2826" s="14" t="str">
        <f>HYPERLINK("https://otsuka-europe-crm.veevavault.com/ui/#object/email_activity__v/V8C00000003M429", "EN-002088878")</f>
        <v>EN-002088878</v>
      </c>
    </row>
    <row r="2827" spans="1:15" ht="16" x14ac:dyDescent="0.2">
      <c r="A2827" s="18"/>
      <c r="B2827" s="18"/>
      <c r="C2827" s="18"/>
      <c r="D2827" s="18"/>
      <c r="E2827" s="18"/>
      <c r="F2827" s="18"/>
      <c r="G2827" s="18"/>
      <c r="H2827" s="18"/>
      <c r="I2827" s="18"/>
      <c r="J2827" s="18"/>
      <c r="K2827" s="18"/>
      <c r="L2827" s="18"/>
      <c r="M2827" s="18"/>
      <c r="N2827" s="18"/>
      <c r="O2827" s="14" t="str">
        <f>HYPERLINK("https://otsuka-europe-crm.veevavault.com/ui/#object/email_activity__v/V8C00000003N469", "EN-002088741")</f>
        <v>EN-002088741</v>
      </c>
    </row>
    <row r="2828" spans="1:15" ht="16" x14ac:dyDescent="0.2">
      <c r="A2828" s="18"/>
      <c r="B2828" s="18"/>
      <c r="C2828" s="18"/>
      <c r="D2828" s="18"/>
      <c r="E2828" s="18"/>
      <c r="F2828" s="18"/>
      <c r="G2828" s="18"/>
      <c r="H2828" s="18"/>
      <c r="I2828" s="18"/>
      <c r="J2828" s="18"/>
      <c r="K2828" s="18"/>
      <c r="L2828" s="18"/>
      <c r="M2828" s="18"/>
      <c r="N2828" s="18"/>
      <c r="O2828" s="14" t="str">
        <f>HYPERLINK("https://otsuka-europe-crm.veevavault.com/ui/#object/email_activity__v/V8C00000003N543", "EN-002088873")</f>
        <v>EN-002088873</v>
      </c>
    </row>
    <row r="2829" spans="1:15" ht="16" x14ac:dyDescent="0.2">
      <c r="A2829" s="19"/>
      <c r="B2829" s="19"/>
      <c r="C2829" s="19"/>
      <c r="D2829" s="19"/>
      <c r="E2829" s="19"/>
      <c r="F2829" s="19"/>
      <c r="G2829" s="19"/>
      <c r="H2829" s="19"/>
      <c r="I2829" s="19"/>
      <c r="J2829" s="19"/>
      <c r="K2829" s="19"/>
      <c r="L2829" s="19"/>
      <c r="M2829" s="19"/>
      <c r="N2829" s="19"/>
      <c r="O2829" s="14" t="str">
        <f>HYPERLINK("https://otsuka-europe-crm.veevavault.com/ui/#object/email_activity__v/V8C00000003O029", "EN-002089300")</f>
        <v>EN-002089300</v>
      </c>
    </row>
    <row r="2830" spans="1:15" ht="16" x14ac:dyDescent="0.2">
      <c r="A2830" s="17" t="str">
        <f>HYPERLINK("https://otsuka-europe-crm.veevavault.com/ui/#object/account__v/V4TZ06G6O71SBPY", "ADA ORRICO")</f>
        <v>ADA ORRICO</v>
      </c>
      <c r="B2830" s="17" t="str">
        <f>HYPERLINK("https://otsuka-europe-crm.veevavault.com/ui/#object/vcountry__v/VENZ000004SONFQ", "IT")</f>
        <v>IT</v>
      </c>
      <c r="C2830" s="20" t="s">
        <v>44</v>
      </c>
      <c r="D2830" s="21" t="str">
        <f>HYPERLINK("https://otsuka-europe-crm.veevavault.com/ui/#object/approved_document__v/V5O000000018003", "AE dialoghi di tempo fiducia e cura episodi 2-3-4")</f>
        <v>AE dialoghi di tempo fiducia e cura episodi 2-3-4</v>
      </c>
      <c r="E2830" s="22" t="str">
        <f>HYPERLINK("https://otsuka-europe-crm.veevavault.com/ui/#object/sent_email__v/VBL00000002O409", "SE-001432080")</f>
        <v>SE-001432080</v>
      </c>
      <c r="F2830" s="25"/>
      <c r="G2830" s="24">
        <v>0</v>
      </c>
      <c r="H2830" s="24">
        <v>0</v>
      </c>
      <c r="I2830" s="24">
        <v>0</v>
      </c>
      <c r="J2830" s="25"/>
      <c r="K2830" s="24">
        <v>0</v>
      </c>
      <c r="L2830" s="22" t="str">
        <f>HYPERLINK("https://otsuka-europe-crm.veevavault.com/ui/#object/approved_document__v/V5O000000018003", "AE dialoghi di tempo fiducia e cura episodi 2-3-4")</f>
        <v>AE dialoghi di tempo fiducia e cura episodi 2-3-4</v>
      </c>
      <c r="M2830" s="22" t="str">
        <f>HYPERLINK("mailto:nicoletta.vozza@crm.otsuka-europe.com", "nicoletta.vozza@crm.otsuka-europe.com")</f>
        <v>nicoletta.vozza@crm.otsuka-europe.com</v>
      </c>
      <c r="N2830" s="23">
        <v>46181.338067129633</v>
      </c>
      <c r="O2830" s="14" t="str">
        <f>HYPERLINK("https://otsuka-europe-crm.veevavault.com/ui/#object/email_activity__v/V8C00000003O653", "EN-002090209")</f>
        <v>EN-002090209</v>
      </c>
    </row>
    <row r="2831" spans="1:15" ht="16" x14ac:dyDescent="0.2">
      <c r="A2831" s="19"/>
      <c r="B2831" s="19"/>
      <c r="C2831" s="19"/>
      <c r="D2831" s="19"/>
      <c r="E2831" s="19"/>
      <c r="F2831" s="19"/>
      <c r="G2831" s="19"/>
      <c r="H2831" s="19"/>
      <c r="I2831" s="19"/>
      <c r="J2831" s="19"/>
      <c r="K2831" s="19"/>
      <c r="L2831" s="19"/>
      <c r="M2831" s="19"/>
      <c r="N2831" s="19"/>
      <c r="O2831" s="14" t="str">
        <f>HYPERLINK("https://otsuka-europe-crm.veevavault.com/ui/#object/email_activity__v/V8C00000003Q698", "EN-002092234")</f>
        <v>EN-002092234</v>
      </c>
    </row>
    <row r="2832" spans="1:15" ht="32" x14ac:dyDescent="0.2">
      <c r="A2832" s="7" t="str">
        <f>HYPERLINK("https://otsuka-europe-crm.veevavault.com/ui/#object/account__v/V4TZ06G6O71SBTY", "ADELAIDE PANARIELLO")</f>
        <v>ADELAIDE PANARIELLO</v>
      </c>
      <c r="B2832" s="7" t="str">
        <f t="shared" ref="B2832:B2840" si="64">HYPERLINK("https://otsuka-europe-crm.veevavault.com/ui/#object/vcountry__v/VENZ000004SONFQ", "IT")</f>
        <v>IT</v>
      </c>
      <c r="C2832" s="8" t="s">
        <v>44</v>
      </c>
      <c r="D2832" s="9" t="str">
        <f t="shared" ref="D2832:D2840" si="65">HYPERLINK("https://otsuka-europe-crm.veevavault.com/ui/#object/approved_document__v/V5O000000018003", "AE dialoghi di tempo fiducia e cura episodi 2-3-4")</f>
        <v>AE dialoghi di tempo fiducia e cura episodi 2-3-4</v>
      </c>
      <c r="E2832" s="10" t="str">
        <f>HYPERLINK("https://otsuka-europe-crm.veevavault.com/ui/#object/sent_email__v/VBL00000002O410", "SE-001432081")</f>
        <v>SE-001432081</v>
      </c>
      <c r="F2832" s="11"/>
      <c r="G2832" s="12">
        <v>0</v>
      </c>
      <c r="H2832" s="12">
        <v>0</v>
      </c>
      <c r="I2832" s="12">
        <v>0</v>
      </c>
      <c r="J2832" s="11"/>
      <c r="K2832" s="12">
        <v>0</v>
      </c>
      <c r="L2832" s="10" t="str">
        <f t="shared" ref="L2832:L2840" si="66">HYPERLINK("https://otsuka-europe-crm.veevavault.com/ui/#object/approved_document__v/V5O000000018003", "AE dialoghi di tempo fiducia e cura episodi 2-3-4")</f>
        <v>AE dialoghi di tempo fiducia e cura episodi 2-3-4</v>
      </c>
      <c r="M2832" s="10" t="str">
        <f t="shared" ref="M2832:M2840" si="67">HYPERLINK("mailto:nicoletta.vozza@crm.otsuka-europe.com", "nicoletta.vozza@crm.otsuka-europe.com")</f>
        <v>nicoletta.vozza@crm.otsuka-europe.com</v>
      </c>
      <c r="N2832" s="13">
        <v>46181.33798611111</v>
      </c>
      <c r="O2832" s="14" t="str">
        <f>HYPERLINK("https://otsuka-europe-crm.veevavault.com/ui/#object/email_activity__v/V8C00000003O738", "EN-002090294")</f>
        <v>EN-002090294</v>
      </c>
    </row>
    <row r="2833" spans="1:15" ht="32" x14ac:dyDescent="0.2">
      <c r="A2833" s="7" t="str">
        <f>HYPERLINK("https://otsuka-europe-crm.veevavault.com/ui/#object/account__v/V4TZ06G6O71SBHR", "ADELE MASI")</f>
        <v>ADELE MASI</v>
      </c>
      <c r="B2833" s="7" t="str">
        <f t="shared" si="64"/>
        <v>IT</v>
      </c>
      <c r="C2833" s="8" t="s">
        <v>44</v>
      </c>
      <c r="D2833" s="9" t="str">
        <f t="shared" si="65"/>
        <v>AE dialoghi di tempo fiducia e cura episodi 2-3-4</v>
      </c>
      <c r="E2833" s="10" t="str">
        <f>HYPERLINK("https://otsuka-europe-crm.veevavault.com/ui/#object/sent_email__v/VBL00000002O411", "SE-001432082")</f>
        <v>SE-001432082</v>
      </c>
      <c r="F2833" s="11"/>
      <c r="G2833" s="12">
        <v>0</v>
      </c>
      <c r="H2833" s="12">
        <v>0</v>
      </c>
      <c r="I2833" s="12">
        <v>0</v>
      </c>
      <c r="J2833" s="11"/>
      <c r="K2833" s="12">
        <v>0</v>
      </c>
      <c r="L2833" s="10" t="str">
        <f t="shared" si="66"/>
        <v>AE dialoghi di tempo fiducia e cura episodi 2-3-4</v>
      </c>
      <c r="M2833" s="10" t="str">
        <f t="shared" si="67"/>
        <v>nicoletta.vozza@crm.otsuka-europe.com</v>
      </c>
      <c r="N2833" s="13">
        <v>46181.33797453704</v>
      </c>
      <c r="O2833" s="14" t="str">
        <f>HYPERLINK("https://otsuka-europe-crm.veevavault.com/ui/#object/email_activity__v/V8C00000003O767", "EN-002090427")</f>
        <v>EN-002090427</v>
      </c>
    </row>
    <row r="2834" spans="1:15" ht="32" x14ac:dyDescent="0.2">
      <c r="A2834" s="7" t="str">
        <f>HYPERLINK("https://otsuka-europe-crm.veevavault.com/ui/#object/account__v/V4TZ04ASGAVB5UP", "ADELE MASSARA")</f>
        <v>ADELE MASSARA</v>
      </c>
      <c r="B2834" s="7" t="str">
        <f t="shared" si="64"/>
        <v>IT</v>
      </c>
      <c r="C2834" s="8" t="s">
        <v>44</v>
      </c>
      <c r="D2834" s="9" t="str">
        <f t="shared" si="65"/>
        <v>AE dialoghi di tempo fiducia e cura episodi 2-3-4</v>
      </c>
      <c r="E2834" s="10" t="str">
        <f>HYPERLINK("https://otsuka-europe-crm.veevavault.com/ui/#object/sent_email__v/VBL00000002O412", "SE-001432083")</f>
        <v>SE-001432083</v>
      </c>
      <c r="F2834" s="11"/>
      <c r="G2834" s="12">
        <v>0</v>
      </c>
      <c r="H2834" s="12">
        <v>0</v>
      </c>
      <c r="I2834" s="12">
        <v>0</v>
      </c>
      <c r="J2834" s="11"/>
      <c r="K2834" s="12">
        <v>0</v>
      </c>
      <c r="L2834" s="10" t="str">
        <f t="shared" si="66"/>
        <v>AE dialoghi di tempo fiducia e cura episodi 2-3-4</v>
      </c>
      <c r="M2834" s="10" t="str">
        <f t="shared" si="67"/>
        <v>nicoletta.vozza@crm.otsuka-europe.com</v>
      </c>
      <c r="N2834" s="13">
        <v>46181.33797453704</v>
      </c>
      <c r="O2834" s="14" t="str">
        <f>HYPERLINK("https://otsuka-europe-crm.veevavault.com/ui/#object/email_activity__v/V8C00000003O313", "EN-002089790")</f>
        <v>EN-002089790</v>
      </c>
    </row>
    <row r="2835" spans="1:15" ht="32" x14ac:dyDescent="0.2">
      <c r="A2835" s="7" t="str">
        <f>HYPERLINK("https://otsuka-europe-crm.veevavault.com/ui/#object/account__v/V4TZ06G6O71SC9A", "ADRIANA CENTARRI'")</f>
        <v>ADRIANA CENTARRI'</v>
      </c>
      <c r="B2835" s="7" t="str">
        <f t="shared" si="64"/>
        <v>IT</v>
      </c>
      <c r="C2835" s="8" t="s">
        <v>44</v>
      </c>
      <c r="D2835" s="9" t="str">
        <f t="shared" si="65"/>
        <v>AE dialoghi di tempo fiducia e cura episodi 2-3-4</v>
      </c>
      <c r="E2835" s="10" t="str">
        <f>HYPERLINK("https://otsuka-europe-crm.veevavault.com/ui/#object/sent_email__v/VBL00000002O413", "SE-001432084")</f>
        <v>SE-001432084</v>
      </c>
      <c r="F2835" s="11"/>
      <c r="G2835" s="12">
        <v>0</v>
      </c>
      <c r="H2835" s="12">
        <v>0</v>
      </c>
      <c r="I2835" s="12">
        <v>0</v>
      </c>
      <c r="J2835" s="11"/>
      <c r="K2835" s="12">
        <v>0</v>
      </c>
      <c r="L2835" s="10" t="str">
        <f t="shared" si="66"/>
        <v>AE dialoghi di tempo fiducia e cura episodi 2-3-4</v>
      </c>
      <c r="M2835" s="10" t="str">
        <f t="shared" si="67"/>
        <v>nicoletta.vozza@crm.otsuka-europe.com</v>
      </c>
      <c r="N2835" s="13">
        <v>46181.337962962964</v>
      </c>
      <c r="O2835" s="14" t="str">
        <f>HYPERLINK("https://otsuka-europe-crm.veevavault.com/ui/#object/email_activity__v/V8C00000003O184", "EN-002089621")</f>
        <v>EN-002089621</v>
      </c>
    </row>
    <row r="2836" spans="1:15" ht="32" x14ac:dyDescent="0.2">
      <c r="A2836" s="7" t="str">
        <f>HYPERLINK("https://otsuka-europe-crm.veevavault.com/ui/#object/account__v/V4TZ06G6O71SB7L", "ADRIANA MARIETTA LAZZINNARO")</f>
        <v>ADRIANA MARIETTA LAZZINNARO</v>
      </c>
      <c r="B2836" s="7" t="str">
        <f t="shared" si="64"/>
        <v>IT</v>
      </c>
      <c r="C2836" s="8" t="s">
        <v>44</v>
      </c>
      <c r="D2836" s="9" t="str">
        <f t="shared" si="65"/>
        <v>AE dialoghi di tempo fiducia e cura episodi 2-3-4</v>
      </c>
      <c r="E2836" s="10" t="str">
        <f>HYPERLINK("https://otsuka-europe-crm.veevavault.com/ui/#object/sent_email__v/VBL00000002O414", "SE-001432085")</f>
        <v>SE-001432085</v>
      </c>
      <c r="F2836" s="11"/>
      <c r="G2836" s="12">
        <v>0</v>
      </c>
      <c r="H2836" s="12">
        <v>0</v>
      </c>
      <c r="I2836" s="12">
        <v>0</v>
      </c>
      <c r="J2836" s="11"/>
      <c r="K2836" s="12">
        <v>0</v>
      </c>
      <c r="L2836" s="10" t="str">
        <f t="shared" si="66"/>
        <v>AE dialoghi di tempo fiducia e cura episodi 2-3-4</v>
      </c>
      <c r="M2836" s="10" t="str">
        <f t="shared" si="67"/>
        <v>nicoletta.vozza@crm.otsuka-europe.com</v>
      </c>
      <c r="N2836" s="13">
        <v>46181.33798611111</v>
      </c>
      <c r="O2836" s="14" t="str">
        <f>HYPERLINK("https://otsuka-europe-crm.veevavault.com/ui/#object/email_activity__v/V8C00000003O220", "EN-002089697")</f>
        <v>EN-002089697</v>
      </c>
    </row>
    <row r="2837" spans="1:15" ht="32" x14ac:dyDescent="0.2">
      <c r="A2837" s="7" t="str">
        <f>HYPERLINK("https://otsuka-europe-crm.veevavault.com/ui/#object/account__v/V4TZ06G6O71S9ZF", "ADRIANO BALDONI")</f>
        <v>ADRIANO BALDONI</v>
      </c>
      <c r="B2837" s="7" t="str">
        <f t="shared" si="64"/>
        <v>IT</v>
      </c>
      <c r="C2837" s="8" t="s">
        <v>44</v>
      </c>
      <c r="D2837" s="9" t="str">
        <f t="shared" si="65"/>
        <v>AE dialoghi di tempo fiducia e cura episodi 2-3-4</v>
      </c>
      <c r="E2837" s="10" t="str">
        <f>HYPERLINK("https://otsuka-europe-crm.veevavault.com/ui/#object/sent_email__v/VBL00000002O415", "SE-001432086")</f>
        <v>SE-001432086</v>
      </c>
      <c r="F2837" s="11"/>
      <c r="G2837" s="12">
        <v>0</v>
      </c>
      <c r="H2837" s="12">
        <v>0</v>
      </c>
      <c r="I2837" s="12">
        <v>0</v>
      </c>
      <c r="J2837" s="11"/>
      <c r="K2837" s="12">
        <v>0</v>
      </c>
      <c r="L2837" s="10" t="str">
        <f t="shared" si="66"/>
        <v>AE dialoghi di tempo fiducia e cura episodi 2-3-4</v>
      </c>
      <c r="M2837" s="10" t="str">
        <f t="shared" si="67"/>
        <v>nicoletta.vozza@crm.otsuka-europe.com</v>
      </c>
      <c r="N2837" s="13">
        <v>46181.339085648149</v>
      </c>
      <c r="O2837" s="14" t="str">
        <f>HYPERLINK("https://otsuka-europe-crm.veevavault.com/ui/#object/email_activity__v/V8C00000003Q243", "EN-002091349")</f>
        <v>EN-002091349</v>
      </c>
    </row>
    <row r="2838" spans="1:15" ht="32" x14ac:dyDescent="0.2">
      <c r="A2838" s="7" t="str">
        <f>HYPERLINK("https://otsuka-europe-crm.veevavault.com/ui/#object/account__v/V4TZ06G6O7VSRKG", "ADRIANO TUSCIANO")</f>
        <v>ADRIANO TUSCIANO</v>
      </c>
      <c r="B2838" s="7" t="str">
        <f t="shared" si="64"/>
        <v>IT</v>
      </c>
      <c r="C2838" s="8" t="s">
        <v>44</v>
      </c>
      <c r="D2838" s="9" t="str">
        <f t="shared" si="65"/>
        <v>AE dialoghi di tempo fiducia e cura episodi 2-3-4</v>
      </c>
      <c r="E2838" s="10" t="str">
        <f>HYPERLINK("https://otsuka-europe-crm.veevavault.com/ui/#object/sent_email__v/VBL00000002O416", "SE-001432087")</f>
        <v>SE-001432087</v>
      </c>
      <c r="F2838" s="11"/>
      <c r="G2838" s="12">
        <v>0</v>
      </c>
      <c r="H2838" s="12">
        <v>0</v>
      </c>
      <c r="I2838" s="12">
        <v>0</v>
      </c>
      <c r="J2838" s="11"/>
      <c r="K2838" s="12">
        <v>0</v>
      </c>
      <c r="L2838" s="10" t="str">
        <f t="shared" si="66"/>
        <v>AE dialoghi di tempo fiducia e cura episodi 2-3-4</v>
      </c>
      <c r="M2838" s="10" t="str">
        <f t="shared" si="67"/>
        <v>nicoletta.vozza@crm.otsuka-europe.com</v>
      </c>
      <c r="N2838" s="13">
        <v>46181.337962962964</v>
      </c>
      <c r="O2838" s="14" t="str">
        <f>HYPERLINK("https://otsuka-europe-crm.veevavault.com/ui/#object/email_activity__v/V8C00000003P249", "EN-002089827")</f>
        <v>EN-002089827</v>
      </c>
    </row>
    <row r="2839" spans="1:15" ht="32" x14ac:dyDescent="0.2">
      <c r="A2839" s="7" t="str">
        <f>HYPERLINK("https://otsuka-europe-crm.veevavault.com/ui/#object/account__v/V4TZ06G6O71SCNO", "ADRIANO VERCELLONE")</f>
        <v>ADRIANO VERCELLONE</v>
      </c>
      <c r="B2839" s="7" t="str">
        <f t="shared" si="64"/>
        <v>IT</v>
      </c>
      <c r="C2839" s="8" t="s">
        <v>44</v>
      </c>
      <c r="D2839" s="9" t="str">
        <f t="shared" si="65"/>
        <v>AE dialoghi di tempo fiducia e cura episodi 2-3-4</v>
      </c>
      <c r="E2839" s="10" t="str">
        <f>HYPERLINK("https://otsuka-europe-crm.veevavault.com/ui/#object/sent_email__v/VBL00000002O417", "SE-001432088")</f>
        <v>SE-001432088</v>
      </c>
      <c r="F2839" s="11"/>
      <c r="G2839" s="12">
        <v>0</v>
      </c>
      <c r="H2839" s="12">
        <v>0</v>
      </c>
      <c r="I2839" s="12">
        <v>0</v>
      </c>
      <c r="J2839" s="11"/>
      <c r="K2839" s="12">
        <v>0</v>
      </c>
      <c r="L2839" s="10" t="str">
        <f t="shared" si="66"/>
        <v>AE dialoghi di tempo fiducia e cura episodi 2-3-4</v>
      </c>
      <c r="M2839" s="10" t="str">
        <f t="shared" si="67"/>
        <v>nicoletta.vozza@crm.otsuka-europe.com</v>
      </c>
      <c r="N2839" s="13">
        <v>46181.33798611111</v>
      </c>
      <c r="O2839" s="14" t="str">
        <f>HYPERLINK("https://otsuka-europe-crm.veevavault.com/ui/#object/email_activity__v/V8C00000003P187", "EN-002089587")</f>
        <v>EN-002089587</v>
      </c>
    </row>
    <row r="2840" spans="1:15" ht="16" x14ac:dyDescent="0.2">
      <c r="A2840" s="17" t="str">
        <f>HYPERLINK("https://otsuka-europe-crm.veevavault.com/ui/#object/account__v/V4TZ06G6O71SAUT", "AGNESE GIAMBRA")</f>
        <v>AGNESE GIAMBRA</v>
      </c>
      <c r="B2840" s="17" t="str">
        <f t="shared" si="64"/>
        <v>IT</v>
      </c>
      <c r="C2840" s="20" t="s">
        <v>44</v>
      </c>
      <c r="D2840" s="21" t="str">
        <f t="shared" si="65"/>
        <v>AE dialoghi di tempo fiducia e cura episodi 2-3-4</v>
      </c>
      <c r="E2840" s="22" t="str">
        <f>HYPERLINK("https://otsuka-europe-crm.veevavault.com/ui/#object/sent_email__v/VBL00000002O418", "SE-001432089")</f>
        <v>SE-001432089</v>
      </c>
      <c r="F2840" s="23">
        <v>46183.798402777778</v>
      </c>
      <c r="G2840" s="24">
        <v>1</v>
      </c>
      <c r="H2840" s="24">
        <v>1</v>
      </c>
      <c r="I2840" s="24">
        <v>0</v>
      </c>
      <c r="J2840" s="25"/>
      <c r="K2840" s="24">
        <v>0</v>
      </c>
      <c r="L2840" s="22" t="str">
        <f t="shared" si="66"/>
        <v>AE dialoghi di tempo fiducia e cura episodi 2-3-4</v>
      </c>
      <c r="M2840" s="22" t="str">
        <f t="shared" si="67"/>
        <v>nicoletta.vozza@crm.otsuka-europe.com</v>
      </c>
      <c r="N2840" s="23">
        <v>46181.337962962964</v>
      </c>
      <c r="O2840" s="14" t="str">
        <f>HYPERLINK("https://otsuka-europe-crm.veevavault.com/ui/#object/email_activity__v/V8C00000003P396", "EN-002090402")</f>
        <v>EN-002090402</v>
      </c>
    </row>
    <row r="2841" spans="1:15" ht="16" x14ac:dyDescent="0.2">
      <c r="A2841" s="19"/>
      <c r="B2841" s="19"/>
      <c r="C2841" s="19"/>
      <c r="D2841" s="19"/>
      <c r="E2841" s="19"/>
      <c r="F2841" s="19"/>
      <c r="G2841" s="19"/>
      <c r="H2841" s="19"/>
      <c r="I2841" s="19"/>
      <c r="J2841" s="19"/>
      <c r="K2841" s="19"/>
      <c r="L2841" s="19"/>
      <c r="M2841" s="19"/>
      <c r="N2841" s="19"/>
      <c r="O2841" s="14" t="str">
        <f>HYPERLINK("https://otsuka-europe-crm.veevavault.com/ui/#object/email_activity__v/V8C00000003S763", "EN-002094393")</f>
        <v>EN-002094393</v>
      </c>
    </row>
    <row r="2842" spans="1:15" ht="16" x14ac:dyDescent="0.2">
      <c r="A2842" s="17" t="str">
        <f>HYPERLINK("https://otsuka-europe-crm.veevavault.com/ui/#object/account__v/V4TZ06G6O71S9T7", "AGOSTINO SANSEVERINO")</f>
        <v>AGOSTINO SANSEVERINO</v>
      </c>
      <c r="B2842" s="17" t="str">
        <f>HYPERLINK("https://otsuka-europe-crm.veevavault.com/ui/#object/vcountry__v/VENZ000004SONFQ", "IT")</f>
        <v>IT</v>
      </c>
      <c r="C2842" s="20" t="s">
        <v>44</v>
      </c>
      <c r="D2842" s="21" t="str">
        <f>HYPERLINK("https://otsuka-europe-crm.veevavault.com/ui/#object/approved_document__v/V5O000000018003", "AE dialoghi di tempo fiducia e cura episodi 2-3-4")</f>
        <v>AE dialoghi di tempo fiducia e cura episodi 2-3-4</v>
      </c>
      <c r="E2842" s="22" t="str">
        <f>HYPERLINK("https://otsuka-europe-crm.veevavault.com/ui/#object/sent_email__v/VBL00000002O419", "SE-001432090")</f>
        <v>SE-001432090</v>
      </c>
      <c r="F2842" s="23">
        <v>46181.404652777775</v>
      </c>
      <c r="G2842" s="24">
        <v>1</v>
      </c>
      <c r="H2842" s="24">
        <v>3</v>
      </c>
      <c r="I2842" s="24">
        <v>0</v>
      </c>
      <c r="J2842" s="25"/>
      <c r="K2842" s="24">
        <v>0</v>
      </c>
      <c r="L2842" s="22" t="str">
        <f>HYPERLINK("https://otsuka-europe-crm.veevavault.com/ui/#object/approved_document__v/V5O000000018003", "AE dialoghi di tempo fiducia e cura episodi 2-3-4")</f>
        <v>AE dialoghi di tempo fiducia e cura episodi 2-3-4</v>
      </c>
      <c r="M2842" s="22" t="str">
        <f>HYPERLINK("mailto:nicoletta.vozza@crm.otsuka-europe.com", "nicoletta.vozza@crm.otsuka-europe.com")</f>
        <v>nicoletta.vozza@crm.otsuka-europe.com</v>
      </c>
      <c r="N2842" s="23">
        <v>46181.337962962964</v>
      </c>
      <c r="O2842" s="14" t="str">
        <f>HYPERLINK("https://otsuka-europe-crm.veevavault.com/ui/#object/email_activity__v/V8C00000003O183", "EN-002089620")</f>
        <v>EN-002089620</v>
      </c>
    </row>
    <row r="2843" spans="1:15" ht="16" x14ac:dyDescent="0.2">
      <c r="A2843" s="18"/>
      <c r="B2843" s="18"/>
      <c r="C2843" s="18"/>
      <c r="D2843" s="18"/>
      <c r="E2843" s="18"/>
      <c r="F2843" s="18"/>
      <c r="G2843" s="18"/>
      <c r="H2843" s="18"/>
      <c r="I2843" s="18"/>
      <c r="J2843" s="18"/>
      <c r="K2843" s="18"/>
      <c r="L2843" s="18"/>
      <c r="M2843" s="18"/>
      <c r="N2843" s="18"/>
      <c r="O2843" s="14" t="str">
        <f>HYPERLINK("https://otsuka-europe-crm.veevavault.com/ui/#object/email_activity__v/V8C00000003P884", "EN-002091406")</f>
        <v>EN-002091406</v>
      </c>
    </row>
    <row r="2844" spans="1:15" ht="16" x14ac:dyDescent="0.2">
      <c r="A2844" s="18"/>
      <c r="B2844" s="18"/>
      <c r="C2844" s="18"/>
      <c r="D2844" s="18"/>
      <c r="E2844" s="18"/>
      <c r="F2844" s="18"/>
      <c r="G2844" s="18"/>
      <c r="H2844" s="18"/>
      <c r="I2844" s="18"/>
      <c r="J2844" s="18"/>
      <c r="K2844" s="18"/>
      <c r="L2844" s="18"/>
      <c r="M2844" s="18"/>
      <c r="N2844" s="18"/>
      <c r="O2844" s="14" t="str">
        <f>HYPERLINK("https://otsuka-europe-crm.veevavault.com/ui/#object/email_activity__v/V8C00000003Q295", "EN-002091436")</f>
        <v>EN-002091436</v>
      </c>
    </row>
    <row r="2845" spans="1:15" ht="16" x14ac:dyDescent="0.2">
      <c r="A2845" s="19"/>
      <c r="B2845" s="19"/>
      <c r="C2845" s="19"/>
      <c r="D2845" s="19"/>
      <c r="E2845" s="19"/>
      <c r="F2845" s="19"/>
      <c r="G2845" s="19"/>
      <c r="H2845" s="19"/>
      <c r="I2845" s="19"/>
      <c r="J2845" s="19"/>
      <c r="K2845" s="19"/>
      <c r="L2845" s="19"/>
      <c r="M2845" s="19"/>
      <c r="N2845" s="19"/>
      <c r="O2845" s="14" t="str">
        <f>HYPERLINK("https://otsuka-europe-crm.veevavault.com/ui/#object/email_activity__v/V8C00000003R036", "EN-002091762")</f>
        <v>EN-002091762</v>
      </c>
    </row>
    <row r="2846" spans="1:15" ht="32" x14ac:dyDescent="0.2">
      <c r="A2846" s="7" t="str">
        <f>HYPERLINK("https://otsuka-europe-crm.veevavault.com/ui/#object/account__v/V4TZ06G6O71TFVZ", "ALBA MARZIANI")</f>
        <v>ALBA MARZIANI</v>
      </c>
      <c r="B2846" s="7" t="str">
        <f t="shared" ref="B2846:B2858" si="68">HYPERLINK("https://otsuka-europe-crm.veevavault.com/ui/#object/vcountry__v/VENZ000004SONFQ", "IT")</f>
        <v>IT</v>
      </c>
      <c r="C2846" s="8" t="s">
        <v>44</v>
      </c>
      <c r="D2846" s="9" t="str">
        <f t="shared" ref="D2846:D2858" si="69">HYPERLINK("https://otsuka-europe-crm.veevavault.com/ui/#object/approved_document__v/V5O000000018003", "AE dialoghi di tempo fiducia e cura episodi 2-3-4")</f>
        <v>AE dialoghi di tempo fiducia e cura episodi 2-3-4</v>
      </c>
      <c r="E2846" s="10" t="str">
        <f>HYPERLINK("https://otsuka-europe-crm.veevavault.com/ui/#object/sent_email__v/VBL00000002O420", "SE-001432091")</f>
        <v>SE-001432091</v>
      </c>
      <c r="F2846" s="11"/>
      <c r="G2846" s="12">
        <v>0</v>
      </c>
      <c r="H2846" s="12">
        <v>0</v>
      </c>
      <c r="I2846" s="12">
        <v>0</v>
      </c>
      <c r="J2846" s="11"/>
      <c r="K2846" s="12">
        <v>0</v>
      </c>
      <c r="L2846" s="10" t="str">
        <f t="shared" ref="L2846:L2858" si="70">HYPERLINK("https://otsuka-europe-crm.veevavault.com/ui/#object/approved_document__v/V5O000000018003", "AE dialoghi di tempo fiducia e cura episodi 2-3-4")</f>
        <v>AE dialoghi di tempo fiducia e cura episodi 2-3-4</v>
      </c>
      <c r="M2846" s="10" t="str">
        <f t="shared" ref="M2846:M2858" si="71">HYPERLINK("mailto:nicoletta.vozza@crm.otsuka-europe.com", "nicoletta.vozza@crm.otsuka-europe.com")</f>
        <v>nicoletta.vozza@crm.otsuka-europe.com</v>
      </c>
      <c r="N2846" s="13">
        <v>46181.338090277779</v>
      </c>
      <c r="O2846" s="14" t="str">
        <f>HYPERLINK("https://otsuka-europe-crm.veevavault.com/ui/#object/email_activity__v/V8C00000003Q043", "EN-002091009")</f>
        <v>EN-002091009</v>
      </c>
    </row>
    <row r="2847" spans="1:15" ht="32" x14ac:dyDescent="0.2">
      <c r="A2847" s="7" t="str">
        <f>HYPERLINK("https://otsuka-europe-crm.veevavault.com/ui/#object/account__v/V4TZ06G6O71SB0S", "ALBERTO CASTAGNA")</f>
        <v>ALBERTO CASTAGNA</v>
      </c>
      <c r="B2847" s="7" t="str">
        <f t="shared" si="68"/>
        <v>IT</v>
      </c>
      <c r="C2847" s="8" t="s">
        <v>44</v>
      </c>
      <c r="D2847" s="9" t="str">
        <f t="shared" si="69"/>
        <v>AE dialoghi di tempo fiducia e cura episodi 2-3-4</v>
      </c>
      <c r="E2847" s="10" t="str">
        <f>HYPERLINK("https://otsuka-europe-crm.veevavault.com/ui/#object/sent_email__v/VBL00000002O421", "SE-001432092")</f>
        <v>SE-001432092</v>
      </c>
      <c r="F2847" s="11"/>
      <c r="G2847" s="12">
        <v>0</v>
      </c>
      <c r="H2847" s="12">
        <v>0</v>
      </c>
      <c r="I2847" s="12">
        <v>0</v>
      </c>
      <c r="J2847" s="11"/>
      <c r="K2847" s="12">
        <v>0</v>
      </c>
      <c r="L2847" s="10" t="str">
        <f t="shared" si="70"/>
        <v>AE dialoghi di tempo fiducia e cura episodi 2-3-4</v>
      </c>
      <c r="M2847" s="10" t="str">
        <f t="shared" si="71"/>
        <v>nicoletta.vozza@crm.otsuka-europe.com</v>
      </c>
      <c r="N2847" s="13">
        <v>46181.338020833333</v>
      </c>
      <c r="O2847" s="14" t="str">
        <f>HYPERLINK("https://otsuka-europe-crm.veevavault.com/ui/#object/email_activity__v/V8C00000003O258", "EN-002089735")</f>
        <v>EN-002089735</v>
      </c>
    </row>
    <row r="2848" spans="1:15" ht="32" x14ac:dyDescent="0.2">
      <c r="A2848" s="7" t="str">
        <f>HYPERLINK("https://otsuka-europe-crm.veevavault.com/ui/#object/account__v/V4TZ06G6O71SC7E", "ALBERTO CELLUCCI")</f>
        <v>ALBERTO CELLUCCI</v>
      </c>
      <c r="B2848" s="7" t="str">
        <f t="shared" si="68"/>
        <v>IT</v>
      </c>
      <c r="C2848" s="8" t="s">
        <v>44</v>
      </c>
      <c r="D2848" s="9" t="str">
        <f t="shared" si="69"/>
        <v>AE dialoghi di tempo fiducia e cura episodi 2-3-4</v>
      </c>
      <c r="E2848" s="10" t="str">
        <f>HYPERLINK("https://otsuka-europe-crm.veevavault.com/ui/#object/sent_email__v/VBL00000002O422", "SE-001432093")</f>
        <v>SE-001432093</v>
      </c>
      <c r="F2848" s="11"/>
      <c r="G2848" s="12">
        <v>0</v>
      </c>
      <c r="H2848" s="12">
        <v>0</v>
      </c>
      <c r="I2848" s="12">
        <v>0</v>
      </c>
      <c r="J2848" s="11"/>
      <c r="K2848" s="12">
        <v>0</v>
      </c>
      <c r="L2848" s="10" t="str">
        <f t="shared" si="70"/>
        <v>AE dialoghi di tempo fiducia e cura episodi 2-3-4</v>
      </c>
      <c r="M2848" s="10" t="str">
        <f t="shared" si="71"/>
        <v>nicoletta.vozza@crm.otsuka-europe.com</v>
      </c>
      <c r="N2848" s="13">
        <v>46181.337997685187</v>
      </c>
      <c r="O2848" s="14" t="str">
        <f>HYPERLINK("https://otsuka-europe-crm.veevavault.com/ui/#object/email_activity__v/V8C00000003O994", "EN-002090743")</f>
        <v>EN-002090743</v>
      </c>
    </row>
    <row r="2849" spans="1:15" ht="32" x14ac:dyDescent="0.2">
      <c r="A2849" s="7" t="str">
        <f>HYPERLINK("https://otsuka-europe-crm.veevavault.com/ui/#object/account__v/V4TZ06G6O71S9T2", "ALBERTO D'ARMA")</f>
        <v>ALBERTO D'ARMA</v>
      </c>
      <c r="B2849" s="7" t="str">
        <f t="shared" si="68"/>
        <v>IT</v>
      </c>
      <c r="C2849" s="8" t="s">
        <v>44</v>
      </c>
      <c r="D2849" s="9" t="str">
        <f t="shared" si="69"/>
        <v>AE dialoghi di tempo fiducia e cura episodi 2-3-4</v>
      </c>
      <c r="E2849" s="10" t="str">
        <f>HYPERLINK("https://otsuka-europe-crm.veevavault.com/ui/#object/sent_email__v/VBL00000002O423", "SE-001432094")</f>
        <v>SE-001432094</v>
      </c>
      <c r="F2849" s="11"/>
      <c r="G2849" s="12">
        <v>0</v>
      </c>
      <c r="H2849" s="12">
        <v>0</v>
      </c>
      <c r="I2849" s="12">
        <v>0</v>
      </c>
      <c r="J2849" s="11"/>
      <c r="K2849" s="12">
        <v>0</v>
      </c>
      <c r="L2849" s="10" t="str">
        <f t="shared" si="70"/>
        <v>AE dialoghi di tempo fiducia e cura episodi 2-3-4</v>
      </c>
      <c r="M2849" s="10" t="str">
        <f t="shared" si="71"/>
        <v>nicoletta.vozza@crm.otsuka-europe.com</v>
      </c>
      <c r="N2849" s="13">
        <v>46181.338009259256</v>
      </c>
      <c r="O2849" s="14" t="str">
        <f>HYPERLINK("https://otsuka-europe-crm.veevavault.com/ui/#object/email_activity__v/V8C00000003O709", "EN-002090265")</f>
        <v>EN-002090265</v>
      </c>
    </row>
    <row r="2850" spans="1:15" ht="32" x14ac:dyDescent="0.2">
      <c r="A2850" s="7" t="str">
        <f>HYPERLINK("https://otsuka-europe-crm.veevavault.com/ui/#object/account__v/V4TZ025E83HTO92", "ALBERTO DONADEO")</f>
        <v>ALBERTO DONADEO</v>
      </c>
      <c r="B2850" s="7" t="str">
        <f t="shared" si="68"/>
        <v>IT</v>
      </c>
      <c r="C2850" s="8" t="s">
        <v>44</v>
      </c>
      <c r="D2850" s="9" t="str">
        <f t="shared" si="69"/>
        <v>AE dialoghi di tempo fiducia e cura episodi 2-3-4</v>
      </c>
      <c r="E2850" s="10" t="str">
        <f>HYPERLINK("https://otsuka-europe-crm.veevavault.com/ui/#object/sent_email__v/VBL00000002O424", "SE-001432095")</f>
        <v>SE-001432095</v>
      </c>
      <c r="F2850" s="11"/>
      <c r="G2850" s="12">
        <v>0</v>
      </c>
      <c r="H2850" s="12">
        <v>0</v>
      </c>
      <c r="I2850" s="12">
        <v>0</v>
      </c>
      <c r="J2850" s="11"/>
      <c r="K2850" s="12">
        <v>0</v>
      </c>
      <c r="L2850" s="10" t="str">
        <f t="shared" si="70"/>
        <v>AE dialoghi di tempo fiducia e cura episodi 2-3-4</v>
      </c>
      <c r="M2850" s="10" t="str">
        <f t="shared" si="71"/>
        <v>nicoletta.vozza@crm.otsuka-europe.com</v>
      </c>
      <c r="N2850" s="13">
        <v>46181.337997685187</v>
      </c>
      <c r="O2850" s="14" t="str">
        <f>HYPERLINK("https://otsuka-europe-crm.veevavault.com/ui/#object/email_activity__v/V8C00000003P595", "EN-002090850")</f>
        <v>EN-002090850</v>
      </c>
    </row>
    <row r="2851" spans="1:15" ht="32" x14ac:dyDescent="0.2">
      <c r="A2851" s="7" t="str">
        <f>HYPERLINK("https://otsuka-europe-crm.veevavault.com/ui/#object/account__v/V4TZ06G6O71TLHD", "ALBERTO IMPERIALE")</f>
        <v>ALBERTO IMPERIALE</v>
      </c>
      <c r="B2851" s="7" t="str">
        <f t="shared" si="68"/>
        <v>IT</v>
      </c>
      <c r="C2851" s="8" t="s">
        <v>44</v>
      </c>
      <c r="D2851" s="9" t="str">
        <f t="shared" si="69"/>
        <v>AE dialoghi di tempo fiducia e cura episodi 2-3-4</v>
      </c>
      <c r="E2851" s="10" t="str">
        <f>HYPERLINK("https://otsuka-europe-crm.veevavault.com/ui/#object/sent_email__v/VBL00000002O425", "SE-001432096")</f>
        <v>SE-001432096</v>
      </c>
      <c r="F2851" s="11"/>
      <c r="G2851" s="12">
        <v>0</v>
      </c>
      <c r="H2851" s="12">
        <v>0</v>
      </c>
      <c r="I2851" s="12">
        <v>0</v>
      </c>
      <c r="J2851" s="11"/>
      <c r="K2851" s="12">
        <v>0</v>
      </c>
      <c r="L2851" s="10" t="str">
        <f t="shared" si="70"/>
        <v>AE dialoghi di tempo fiducia e cura episodi 2-3-4</v>
      </c>
      <c r="M2851" s="10" t="str">
        <f t="shared" si="71"/>
        <v>nicoletta.vozza@crm.otsuka-europe.com</v>
      </c>
      <c r="N2851" s="13">
        <v>46181.338055555556</v>
      </c>
      <c r="O2851" s="14" t="str">
        <f>HYPERLINK("https://otsuka-europe-crm.veevavault.com/ui/#object/email_activity__v/V8C00000003O396", "EN-002089914")</f>
        <v>EN-002089914</v>
      </c>
    </row>
    <row r="2852" spans="1:15" ht="32" x14ac:dyDescent="0.2">
      <c r="A2852" s="7" t="str">
        <f>HYPERLINK("https://otsuka-europe-crm.veevavault.com/ui/#object/account__v/V4TZ06G6O71SBKB", "ALBERTO MONICI")</f>
        <v>ALBERTO MONICI</v>
      </c>
      <c r="B2852" s="7" t="str">
        <f t="shared" si="68"/>
        <v>IT</v>
      </c>
      <c r="C2852" s="8" t="s">
        <v>44</v>
      </c>
      <c r="D2852" s="9" t="str">
        <f t="shared" si="69"/>
        <v>AE dialoghi di tempo fiducia e cura episodi 2-3-4</v>
      </c>
      <c r="E2852" s="10" t="str">
        <f>HYPERLINK("https://otsuka-europe-crm.veevavault.com/ui/#object/sent_email__v/VBL00000002O426", "SE-001432097")</f>
        <v>SE-001432097</v>
      </c>
      <c r="F2852" s="11"/>
      <c r="G2852" s="12">
        <v>0</v>
      </c>
      <c r="H2852" s="12">
        <v>0</v>
      </c>
      <c r="I2852" s="12">
        <v>0</v>
      </c>
      <c r="J2852" s="11"/>
      <c r="K2852" s="12">
        <v>0</v>
      </c>
      <c r="L2852" s="10" t="str">
        <f t="shared" si="70"/>
        <v>AE dialoghi di tempo fiducia e cura episodi 2-3-4</v>
      </c>
      <c r="M2852" s="10" t="str">
        <f t="shared" si="71"/>
        <v>nicoletta.vozza@crm.otsuka-europe.com</v>
      </c>
      <c r="N2852" s="13">
        <v>46181.33797453704</v>
      </c>
      <c r="O2852" s="14" t="str">
        <f>HYPERLINK("https://otsuka-europe-crm.veevavault.com/ui/#object/email_activity__v/V8C00000003P149", "EN-002089549")</f>
        <v>EN-002089549</v>
      </c>
    </row>
    <row r="2853" spans="1:15" ht="32" x14ac:dyDescent="0.2">
      <c r="A2853" s="7" t="str">
        <f>HYPERLINK("https://otsuka-europe-crm.veevavault.com/ui/#object/account__v/V4TZ06G6O71SCC7", "ALBERTO SBARDELLA")</f>
        <v>ALBERTO SBARDELLA</v>
      </c>
      <c r="B2853" s="7" t="str">
        <f t="shared" si="68"/>
        <v>IT</v>
      </c>
      <c r="C2853" s="8" t="s">
        <v>44</v>
      </c>
      <c r="D2853" s="9" t="str">
        <f t="shared" si="69"/>
        <v>AE dialoghi di tempo fiducia e cura episodi 2-3-4</v>
      </c>
      <c r="E2853" s="10" t="str">
        <f>HYPERLINK("https://otsuka-europe-crm.veevavault.com/ui/#object/sent_email__v/VBL00000002O427", "SE-001432098")</f>
        <v>SE-001432098</v>
      </c>
      <c r="F2853" s="11"/>
      <c r="G2853" s="12">
        <v>0</v>
      </c>
      <c r="H2853" s="12">
        <v>0</v>
      </c>
      <c r="I2853" s="12">
        <v>0</v>
      </c>
      <c r="J2853" s="11"/>
      <c r="K2853" s="12">
        <v>0</v>
      </c>
      <c r="L2853" s="10" t="str">
        <f t="shared" si="70"/>
        <v>AE dialoghi di tempo fiducia e cura episodi 2-3-4</v>
      </c>
      <c r="M2853" s="10" t="str">
        <f t="shared" si="71"/>
        <v>nicoletta.vozza@crm.otsuka-europe.com</v>
      </c>
      <c r="N2853" s="13">
        <v>46181.337997685187</v>
      </c>
      <c r="O2853" s="14" t="str">
        <f>HYPERLINK("https://otsuka-europe-crm.veevavault.com/ui/#object/email_activity__v/V8C00000003P700", "EN-002090955")</f>
        <v>EN-002090955</v>
      </c>
    </row>
    <row r="2854" spans="1:15" ht="32" x14ac:dyDescent="0.2">
      <c r="A2854" s="7" t="str">
        <f>HYPERLINK("https://otsuka-europe-crm.veevavault.com/ui/#object/account__v/V4TZ06G6O71SCGO", "ALBERTO SIRACUSANO")</f>
        <v>ALBERTO SIRACUSANO</v>
      </c>
      <c r="B2854" s="7" t="str">
        <f t="shared" si="68"/>
        <v>IT</v>
      </c>
      <c r="C2854" s="8" t="s">
        <v>44</v>
      </c>
      <c r="D2854" s="9" t="str">
        <f t="shared" si="69"/>
        <v>AE dialoghi di tempo fiducia e cura episodi 2-3-4</v>
      </c>
      <c r="E2854" s="10" t="str">
        <f>HYPERLINK("https://otsuka-europe-crm.veevavault.com/ui/#object/sent_email__v/VBL00000002O428", "SE-001432099")</f>
        <v>SE-001432099</v>
      </c>
      <c r="F2854" s="11"/>
      <c r="G2854" s="12">
        <v>0</v>
      </c>
      <c r="H2854" s="12">
        <v>0</v>
      </c>
      <c r="I2854" s="12">
        <v>0</v>
      </c>
      <c r="J2854" s="11"/>
      <c r="K2854" s="12">
        <v>0</v>
      </c>
      <c r="L2854" s="10" t="str">
        <f t="shared" si="70"/>
        <v>AE dialoghi di tempo fiducia e cura episodi 2-3-4</v>
      </c>
      <c r="M2854" s="10" t="str">
        <f t="shared" si="71"/>
        <v>nicoletta.vozza@crm.otsuka-europe.com</v>
      </c>
      <c r="N2854" s="13">
        <v>46181.337997685187</v>
      </c>
      <c r="O2854" s="14" t="str">
        <f>HYPERLINK("https://otsuka-europe-crm.veevavault.com/ui/#object/email_activity__v/V8C00000003O382", "EN-002089900")</f>
        <v>EN-002089900</v>
      </c>
    </row>
    <row r="2855" spans="1:15" ht="32" x14ac:dyDescent="0.2">
      <c r="A2855" s="7" t="str">
        <f>HYPERLINK("https://otsuka-europe-crm.veevavault.com/ui/#object/account__v/V4TZ025E83VKGAE", "ALBERTO VARINELLI")</f>
        <v>ALBERTO VARINELLI</v>
      </c>
      <c r="B2855" s="7" t="str">
        <f t="shared" si="68"/>
        <v>IT</v>
      </c>
      <c r="C2855" s="8" t="s">
        <v>44</v>
      </c>
      <c r="D2855" s="9" t="str">
        <f t="shared" si="69"/>
        <v>AE dialoghi di tempo fiducia e cura episodi 2-3-4</v>
      </c>
      <c r="E2855" s="10" t="str">
        <f>HYPERLINK("https://otsuka-europe-crm.veevavault.com/ui/#object/sent_email__v/VBL00000002O429", "SE-001432100")</f>
        <v>SE-001432100</v>
      </c>
      <c r="F2855" s="11"/>
      <c r="G2855" s="12">
        <v>0</v>
      </c>
      <c r="H2855" s="12">
        <v>0</v>
      </c>
      <c r="I2855" s="12">
        <v>0</v>
      </c>
      <c r="J2855" s="11"/>
      <c r="K2855" s="12">
        <v>0</v>
      </c>
      <c r="L2855" s="10" t="str">
        <f t="shared" si="70"/>
        <v>AE dialoghi di tempo fiducia e cura episodi 2-3-4</v>
      </c>
      <c r="M2855" s="10" t="str">
        <f t="shared" si="71"/>
        <v>nicoletta.vozza@crm.otsuka-europe.com</v>
      </c>
      <c r="N2855" s="13">
        <v>46181.337997685187</v>
      </c>
      <c r="O2855" s="14" t="str">
        <f>HYPERLINK("https://otsuka-europe-crm.veevavault.com/ui/#object/email_activity__v/V8C00000003O913", "EN-002090573")</f>
        <v>EN-002090573</v>
      </c>
    </row>
    <row r="2856" spans="1:15" ht="32" x14ac:dyDescent="0.2">
      <c r="A2856" s="7" t="str">
        <f>HYPERLINK("https://otsuka-europe-crm.veevavault.com/ui/#object/account__v/V4TZ06G6O71SCPH", "ALBERTO VITALUCCI")</f>
        <v>ALBERTO VITALUCCI</v>
      </c>
      <c r="B2856" s="7" t="str">
        <f t="shared" si="68"/>
        <v>IT</v>
      </c>
      <c r="C2856" s="8" t="s">
        <v>44</v>
      </c>
      <c r="D2856" s="9" t="str">
        <f t="shared" si="69"/>
        <v>AE dialoghi di tempo fiducia e cura episodi 2-3-4</v>
      </c>
      <c r="E2856" s="10" t="str">
        <f>HYPERLINK("https://otsuka-europe-crm.veevavault.com/ui/#object/sent_email__v/VBL00000002O430", "SE-001432101")</f>
        <v>SE-001432101</v>
      </c>
      <c r="F2856" s="11"/>
      <c r="G2856" s="12">
        <v>0</v>
      </c>
      <c r="H2856" s="12">
        <v>0</v>
      </c>
      <c r="I2856" s="12">
        <v>0</v>
      </c>
      <c r="J2856" s="11"/>
      <c r="K2856" s="12">
        <v>0</v>
      </c>
      <c r="L2856" s="10" t="str">
        <f t="shared" si="70"/>
        <v>AE dialoghi di tempo fiducia e cura episodi 2-3-4</v>
      </c>
      <c r="M2856" s="10" t="str">
        <f t="shared" si="71"/>
        <v>nicoletta.vozza@crm.otsuka-europe.com</v>
      </c>
      <c r="N2856" s="13">
        <v>46181.33803240741</v>
      </c>
      <c r="O2856" s="14" t="str">
        <f>HYPERLINK("https://otsuka-europe-crm.veevavault.com/ui/#object/email_activity__v/V8C00000003P352", "EN-002090358")</f>
        <v>EN-002090358</v>
      </c>
    </row>
    <row r="2857" spans="1:15" ht="32" x14ac:dyDescent="0.2">
      <c r="A2857" s="7" t="str">
        <f>HYPERLINK("https://otsuka-europe-crm.veevavault.com/ui/#object/account__v/V4TZ06G6O71SATJ", "ALDO GERALDI")</f>
        <v>ALDO GERALDI</v>
      </c>
      <c r="B2857" s="7" t="str">
        <f t="shared" si="68"/>
        <v>IT</v>
      </c>
      <c r="C2857" s="8" t="s">
        <v>44</v>
      </c>
      <c r="D2857" s="9" t="str">
        <f t="shared" si="69"/>
        <v>AE dialoghi di tempo fiducia e cura episodi 2-3-4</v>
      </c>
      <c r="E2857" s="10" t="str">
        <f>HYPERLINK("https://otsuka-europe-crm.veevavault.com/ui/#object/sent_email__v/VBL00000002O431", "SE-001432102")</f>
        <v>SE-001432102</v>
      </c>
      <c r="F2857" s="11"/>
      <c r="G2857" s="12">
        <v>0</v>
      </c>
      <c r="H2857" s="12">
        <v>0</v>
      </c>
      <c r="I2857" s="12">
        <v>0</v>
      </c>
      <c r="J2857" s="11"/>
      <c r="K2857" s="12">
        <v>0</v>
      </c>
      <c r="L2857" s="10" t="str">
        <f t="shared" si="70"/>
        <v>AE dialoghi di tempo fiducia e cura episodi 2-3-4</v>
      </c>
      <c r="M2857" s="10" t="str">
        <f t="shared" si="71"/>
        <v>nicoletta.vozza@crm.otsuka-europe.com</v>
      </c>
      <c r="N2857" s="13">
        <v>46181.338090277779</v>
      </c>
      <c r="O2857" s="14" t="str">
        <f>HYPERLINK("https://otsuka-europe-crm.veevavault.com/ui/#object/email_activity__v/V8C00000003Q278", "EN-002091396")</f>
        <v>EN-002091396</v>
      </c>
    </row>
    <row r="2858" spans="1:15" ht="16" x14ac:dyDescent="0.2">
      <c r="A2858" s="17" t="str">
        <f>HYPERLINK("https://otsuka-europe-crm.veevavault.com/ui/#object/account__v/V4TZ06G6OB4BJY8", "ALESSANDRA ALONZI")</f>
        <v>ALESSANDRA ALONZI</v>
      </c>
      <c r="B2858" s="17" t="str">
        <f t="shared" si="68"/>
        <v>IT</v>
      </c>
      <c r="C2858" s="20" t="s">
        <v>44</v>
      </c>
      <c r="D2858" s="21" t="str">
        <f t="shared" si="69"/>
        <v>AE dialoghi di tempo fiducia e cura episodi 2-3-4</v>
      </c>
      <c r="E2858" s="22" t="str">
        <f>HYPERLINK("https://otsuka-europe-crm.veevavault.com/ui/#object/sent_email__v/VBL00000002O432", "SE-001432103")</f>
        <v>SE-001432103</v>
      </c>
      <c r="F2858" s="25"/>
      <c r="G2858" s="24">
        <v>0</v>
      </c>
      <c r="H2858" s="24">
        <v>0</v>
      </c>
      <c r="I2858" s="24">
        <v>0</v>
      </c>
      <c r="J2858" s="25"/>
      <c r="K2858" s="24">
        <v>0</v>
      </c>
      <c r="L2858" s="22" t="str">
        <f t="shared" si="70"/>
        <v>AE dialoghi di tempo fiducia e cura episodi 2-3-4</v>
      </c>
      <c r="M2858" s="22" t="str">
        <f t="shared" si="71"/>
        <v>nicoletta.vozza@crm.otsuka-europe.com</v>
      </c>
      <c r="N2858" s="23">
        <v>46181.338020833333</v>
      </c>
      <c r="O2858" s="14" t="str">
        <f>HYPERLINK("https://otsuka-europe-crm.veevavault.com/ui/#object/email_activity__v/V8C00000003O719", "EN-002090275")</f>
        <v>EN-002090275</v>
      </c>
    </row>
    <row r="2859" spans="1:15" ht="16" x14ac:dyDescent="0.2">
      <c r="A2859" s="19"/>
      <c r="B2859" s="19"/>
      <c r="C2859" s="19"/>
      <c r="D2859" s="19"/>
      <c r="E2859" s="19"/>
      <c r="F2859" s="19"/>
      <c r="G2859" s="19"/>
      <c r="H2859" s="19"/>
      <c r="I2859" s="19"/>
      <c r="J2859" s="19"/>
      <c r="K2859" s="19"/>
      <c r="L2859" s="19"/>
      <c r="M2859" s="19"/>
      <c r="N2859" s="19"/>
      <c r="O2859" s="14" t="str">
        <f>HYPERLINK("https://otsuka-europe-crm.veevavault.com/ui/#object/email_activity__v/V8C00000003Q741", "EN-002092308")</f>
        <v>EN-002092308</v>
      </c>
    </row>
    <row r="2860" spans="1:15" ht="32" x14ac:dyDescent="0.2">
      <c r="A2860" s="7" t="str">
        <f>HYPERLINK("https://otsuka-europe-crm.veevavault.com/ui/#object/account__v/V4TZ06G6O71SA1U", "ALESSANDRA BADA'")</f>
        <v>ALESSANDRA BADA'</v>
      </c>
      <c r="B2860" s="7" t="str">
        <f t="shared" ref="B2860:B2866" si="72">HYPERLINK("https://otsuka-europe-crm.veevavault.com/ui/#object/vcountry__v/VENZ000004SONFQ", "IT")</f>
        <v>IT</v>
      </c>
      <c r="C2860" s="8" t="s">
        <v>44</v>
      </c>
      <c r="D2860" s="9" t="str">
        <f t="shared" ref="D2860:D2866" si="73">HYPERLINK("https://otsuka-europe-crm.veevavault.com/ui/#object/approved_document__v/V5O000000018003", "AE dialoghi di tempo fiducia e cura episodi 2-3-4")</f>
        <v>AE dialoghi di tempo fiducia e cura episodi 2-3-4</v>
      </c>
      <c r="E2860" s="10" t="str">
        <f>HYPERLINK("https://otsuka-europe-crm.veevavault.com/ui/#object/sent_email__v/VBL00000002O433", "SE-001432104")</f>
        <v>SE-001432104</v>
      </c>
      <c r="F2860" s="11"/>
      <c r="G2860" s="12">
        <v>0</v>
      </c>
      <c r="H2860" s="12">
        <v>0</v>
      </c>
      <c r="I2860" s="12">
        <v>0</v>
      </c>
      <c r="J2860" s="11"/>
      <c r="K2860" s="12">
        <v>0</v>
      </c>
      <c r="L2860" s="10" t="str">
        <f t="shared" ref="L2860:L2866" si="74">HYPERLINK("https://otsuka-europe-crm.veevavault.com/ui/#object/approved_document__v/V5O000000018003", "AE dialoghi di tempo fiducia e cura episodi 2-3-4")</f>
        <v>AE dialoghi di tempo fiducia e cura episodi 2-3-4</v>
      </c>
      <c r="M2860" s="10" t="str">
        <f t="shared" ref="M2860:M2866" si="75">HYPERLINK("mailto:nicoletta.vozza@crm.otsuka-europe.com", "nicoletta.vozza@crm.otsuka-europe.com")</f>
        <v>nicoletta.vozza@crm.otsuka-europe.com</v>
      </c>
      <c r="N2860" s="13">
        <v>46181.338055555556</v>
      </c>
      <c r="O2860" s="14" t="str">
        <f>HYPERLINK("https://otsuka-europe-crm.veevavault.com/ui/#object/email_activity__v/V8C00000003P604", "EN-002090859")</f>
        <v>EN-002090859</v>
      </c>
    </row>
    <row r="2861" spans="1:15" ht="32" x14ac:dyDescent="0.2">
      <c r="A2861" s="7" t="str">
        <f>HYPERLINK("https://otsuka-europe-crm.veevavault.com/ui/#object/account__v/V4TZ06G6OBU77GH", "ALESSANDRA CARLOTTO")</f>
        <v>ALESSANDRA CARLOTTO</v>
      </c>
      <c r="B2861" s="7" t="str">
        <f t="shared" si="72"/>
        <v>IT</v>
      </c>
      <c r="C2861" s="8" t="s">
        <v>44</v>
      </c>
      <c r="D2861" s="9" t="str">
        <f t="shared" si="73"/>
        <v>AE dialoghi di tempo fiducia e cura episodi 2-3-4</v>
      </c>
      <c r="E2861" s="10" t="str">
        <f>HYPERLINK("https://otsuka-europe-crm.veevavault.com/ui/#object/sent_email__v/VBL00000002O434", "SE-001432105")</f>
        <v>SE-001432105</v>
      </c>
      <c r="F2861" s="11"/>
      <c r="G2861" s="12">
        <v>0</v>
      </c>
      <c r="H2861" s="12">
        <v>0</v>
      </c>
      <c r="I2861" s="12">
        <v>0</v>
      </c>
      <c r="J2861" s="11"/>
      <c r="K2861" s="12">
        <v>0</v>
      </c>
      <c r="L2861" s="10" t="str">
        <f t="shared" si="74"/>
        <v>AE dialoghi di tempo fiducia e cura episodi 2-3-4</v>
      </c>
      <c r="M2861" s="10" t="str">
        <f t="shared" si="75"/>
        <v>nicoletta.vozza@crm.otsuka-europe.com</v>
      </c>
      <c r="N2861" s="13">
        <v>46181.338090277779</v>
      </c>
      <c r="O2861" s="14" t="str">
        <f>HYPERLINK("https://otsuka-europe-crm.veevavault.com/ui/#object/email_activity__v/V8C00000003O801", "EN-002090461")</f>
        <v>EN-002090461</v>
      </c>
    </row>
    <row r="2862" spans="1:15" ht="32" x14ac:dyDescent="0.2">
      <c r="A2862" s="7" t="str">
        <f>HYPERLINK("https://otsuka-europe-crm.veevavault.com/ui/#object/account__v/V4TZ06G6O71S9FO", "ALESSANDRA D'IPPOLITO")</f>
        <v>ALESSANDRA D'IPPOLITO</v>
      </c>
      <c r="B2862" s="7" t="str">
        <f t="shared" si="72"/>
        <v>IT</v>
      </c>
      <c r="C2862" s="8" t="s">
        <v>44</v>
      </c>
      <c r="D2862" s="9" t="str">
        <f t="shared" si="73"/>
        <v>AE dialoghi di tempo fiducia e cura episodi 2-3-4</v>
      </c>
      <c r="E2862" s="10" t="str">
        <f>HYPERLINK("https://otsuka-europe-crm.veevavault.com/ui/#object/sent_email__v/VBL00000002O435", "SE-001432106")</f>
        <v>SE-001432106</v>
      </c>
      <c r="F2862" s="11"/>
      <c r="G2862" s="12">
        <v>0</v>
      </c>
      <c r="H2862" s="12">
        <v>0</v>
      </c>
      <c r="I2862" s="12">
        <v>0</v>
      </c>
      <c r="J2862" s="11"/>
      <c r="K2862" s="12">
        <v>0</v>
      </c>
      <c r="L2862" s="10" t="str">
        <f t="shared" si="74"/>
        <v>AE dialoghi di tempo fiducia e cura episodi 2-3-4</v>
      </c>
      <c r="M2862" s="10" t="str">
        <f t="shared" si="75"/>
        <v>nicoletta.vozza@crm.otsuka-europe.com</v>
      </c>
      <c r="N2862" s="13">
        <v>46181.337905092594</v>
      </c>
      <c r="O2862" s="15"/>
    </row>
    <row r="2863" spans="1:15" ht="32" x14ac:dyDescent="0.2">
      <c r="A2863" s="7" t="str">
        <f>HYPERLINK("https://otsuka-europe-crm.veevavault.com/ui/#object/account__v/V4TZ06G6O71SAHL", "ALESSANDRA DISAVOIA")</f>
        <v>ALESSANDRA DISAVOIA</v>
      </c>
      <c r="B2863" s="7" t="str">
        <f t="shared" si="72"/>
        <v>IT</v>
      </c>
      <c r="C2863" s="8" t="s">
        <v>44</v>
      </c>
      <c r="D2863" s="9" t="str">
        <f t="shared" si="73"/>
        <v>AE dialoghi di tempo fiducia e cura episodi 2-3-4</v>
      </c>
      <c r="E2863" s="10" t="str">
        <f>HYPERLINK("https://otsuka-europe-crm.veevavault.com/ui/#object/sent_email__v/VBL00000002O436", "SE-001432107")</f>
        <v>SE-001432107</v>
      </c>
      <c r="F2863" s="11"/>
      <c r="G2863" s="12">
        <v>0</v>
      </c>
      <c r="H2863" s="12">
        <v>0</v>
      </c>
      <c r="I2863" s="12">
        <v>0</v>
      </c>
      <c r="J2863" s="11"/>
      <c r="K2863" s="12">
        <v>0</v>
      </c>
      <c r="L2863" s="10" t="str">
        <f t="shared" si="74"/>
        <v>AE dialoghi di tempo fiducia e cura episodi 2-3-4</v>
      </c>
      <c r="M2863" s="10" t="str">
        <f t="shared" si="75"/>
        <v>nicoletta.vozza@crm.otsuka-europe.com</v>
      </c>
      <c r="N2863" s="13">
        <v>46181.338020833333</v>
      </c>
      <c r="O2863" s="14" t="str">
        <f>HYPERLINK("https://otsuka-europe-crm.veevavault.com/ui/#object/email_activity__v/V8C00000003O573", "EN-002090129")</f>
        <v>EN-002090129</v>
      </c>
    </row>
    <row r="2864" spans="1:15" ht="32" x14ac:dyDescent="0.2">
      <c r="A2864" s="7" t="str">
        <f>HYPERLINK("https://otsuka-europe-crm.veevavault.com/ui/#object/account__v/V4TZ06G6OCESB9A", "ALESSANDRA FERRARA")</f>
        <v>ALESSANDRA FERRARA</v>
      </c>
      <c r="B2864" s="7" t="str">
        <f t="shared" si="72"/>
        <v>IT</v>
      </c>
      <c r="C2864" s="8" t="s">
        <v>44</v>
      </c>
      <c r="D2864" s="9" t="str">
        <f t="shared" si="73"/>
        <v>AE dialoghi di tempo fiducia e cura episodi 2-3-4</v>
      </c>
      <c r="E2864" s="10" t="str">
        <f>HYPERLINK("https://otsuka-europe-crm.veevavault.com/ui/#object/sent_email__v/VBL00000002O437", "SE-001432108")</f>
        <v>SE-001432108</v>
      </c>
      <c r="F2864" s="11"/>
      <c r="G2864" s="12">
        <v>0</v>
      </c>
      <c r="H2864" s="12">
        <v>0</v>
      </c>
      <c r="I2864" s="12">
        <v>0</v>
      </c>
      <c r="J2864" s="11"/>
      <c r="K2864" s="12">
        <v>0</v>
      </c>
      <c r="L2864" s="10" t="str">
        <f t="shared" si="74"/>
        <v>AE dialoghi di tempo fiducia e cura episodi 2-3-4</v>
      </c>
      <c r="M2864" s="10" t="str">
        <f t="shared" si="75"/>
        <v>nicoletta.vozza@crm.otsuka-europe.com</v>
      </c>
      <c r="N2864" s="13">
        <v>46181.338090277779</v>
      </c>
      <c r="O2864" s="14" t="str">
        <f>HYPERLINK("https://otsuka-europe-crm.veevavault.com/ui/#object/email_activity__v/V8C00000003Q050", "EN-002091016")</f>
        <v>EN-002091016</v>
      </c>
    </row>
    <row r="2865" spans="1:15" ht="32" x14ac:dyDescent="0.2">
      <c r="A2865" s="7" t="str">
        <f>HYPERLINK("https://otsuka-europe-crm.veevavault.com/ui/#object/account__v/V4TZ04ASG6ZN51B", "ALESSANDRA GASPARINI")</f>
        <v>ALESSANDRA GASPARINI</v>
      </c>
      <c r="B2865" s="7" t="str">
        <f t="shared" si="72"/>
        <v>IT</v>
      </c>
      <c r="C2865" s="8" t="s">
        <v>44</v>
      </c>
      <c r="D2865" s="9" t="str">
        <f t="shared" si="73"/>
        <v>AE dialoghi di tempo fiducia e cura episodi 2-3-4</v>
      </c>
      <c r="E2865" s="10" t="str">
        <f>HYPERLINK("https://otsuka-europe-crm.veevavault.com/ui/#object/sent_email__v/VBL00000002O438", "SE-001432109")</f>
        <v>SE-001432109</v>
      </c>
      <c r="F2865" s="11"/>
      <c r="G2865" s="12">
        <v>0</v>
      </c>
      <c r="H2865" s="12">
        <v>0</v>
      </c>
      <c r="I2865" s="12">
        <v>0</v>
      </c>
      <c r="J2865" s="11"/>
      <c r="K2865" s="12">
        <v>0</v>
      </c>
      <c r="L2865" s="10" t="str">
        <f t="shared" si="74"/>
        <v>AE dialoghi di tempo fiducia e cura episodi 2-3-4</v>
      </c>
      <c r="M2865" s="10" t="str">
        <f t="shared" si="75"/>
        <v>nicoletta.vozza@crm.otsuka-europe.com</v>
      </c>
      <c r="N2865" s="13">
        <v>46181.338020833333</v>
      </c>
      <c r="O2865" s="14" t="str">
        <f>HYPERLINK("https://otsuka-europe-crm.veevavault.com/ui/#object/email_activity__v/V8C00000003O832", "EN-002090534")</f>
        <v>EN-002090534</v>
      </c>
    </row>
    <row r="2866" spans="1:15" ht="16" x14ac:dyDescent="0.2">
      <c r="A2866" s="17" t="str">
        <f>HYPERLINK("https://otsuka-europe-crm.veevavault.com/ui/#object/account__v/V4TZ06G6O71SARK", "ALESSANDRA GROSSO")</f>
        <v>ALESSANDRA GROSSO</v>
      </c>
      <c r="B2866" s="17" t="str">
        <f t="shared" si="72"/>
        <v>IT</v>
      </c>
      <c r="C2866" s="20" t="s">
        <v>44</v>
      </c>
      <c r="D2866" s="21" t="str">
        <f t="shared" si="73"/>
        <v>AE dialoghi di tempo fiducia e cura episodi 2-3-4</v>
      </c>
      <c r="E2866" s="22" t="str">
        <f>HYPERLINK("https://otsuka-europe-crm.veevavault.com/ui/#object/sent_email__v/VBL00000002O439", "SE-001432110")</f>
        <v>SE-001432110</v>
      </c>
      <c r="F2866" s="23">
        <v>46181.430185185185</v>
      </c>
      <c r="G2866" s="24">
        <v>1</v>
      </c>
      <c r="H2866" s="24">
        <v>1</v>
      </c>
      <c r="I2866" s="24">
        <v>1</v>
      </c>
      <c r="J2866" s="23">
        <v>46181.430185185185</v>
      </c>
      <c r="K2866" s="24">
        <v>1</v>
      </c>
      <c r="L2866" s="22" t="str">
        <f t="shared" si="74"/>
        <v>AE dialoghi di tempo fiducia e cura episodi 2-3-4</v>
      </c>
      <c r="M2866" s="22" t="str">
        <f t="shared" si="75"/>
        <v>nicoletta.vozza@crm.otsuka-europe.com</v>
      </c>
      <c r="N2866" s="23">
        <v>46181.33803240741</v>
      </c>
      <c r="O2866" s="14" t="str">
        <f>HYPERLINK("https://otsuka-europe-crm.veevavault.com/ui/#object/email_activity__v/V8C00000003P703", "EN-002090958")</f>
        <v>EN-002090958</v>
      </c>
    </row>
    <row r="2867" spans="1:15" ht="16" x14ac:dyDescent="0.2">
      <c r="A2867" s="18"/>
      <c r="B2867" s="18"/>
      <c r="C2867" s="18"/>
      <c r="D2867" s="18"/>
      <c r="E2867" s="18"/>
      <c r="F2867" s="18"/>
      <c r="G2867" s="18"/>
      <c r="H2867" s="18"/>
      <c r="I2867" s="18"/>
      <c r="J2867" s="18"/>
      <c r="K2867" s="18"/>
      <c r="L2867" s="18"/>
      <c r="M2867" s="18"/>
      <c r="N2867" s="18"/>
      <c r="O2867" s="14" t="str">
        <f>HYPERLINK("https://otsuka-europe-crm.veevavault.com/ui/#object/email_activity__v/V8C00000003R076", "EN-002091811")</f>
        <v>EN-002091811</v>
      </c>
    </row>
    <row r="2868" spans="1:15" ht="16" x14ac:dyDescent="0.2">
      <c r="A2868" s="19"/>
      <c r="B2868" s="19"/>
      <c r="C2868" s="19"/>
      <c r="D2868" s="19"/>
      <c r="E2868" s="19"/>
      <c r="F2868" s="19"/>
      <c r="G2868" s="19"/>
      <c r="H2868" s="19"/>
      <c r="I2868" s="19"/>
      <c r="J2868" s="19"/>
      <c r="K2868" s="19"/>
      <c r="L2868" s="19"/>
      <c r="M2868" s="19"/>
      <c r="N2868" s="19"/>
      <c r="O2868" s="14" t="str">
        <f>HYPERLINK("https://otsuka-europe-crm.veevavault.com/ui/#object/email_activity__v/V8C00000003R077", "EN-002091810")</f>
        <v>EN-002091810</v>
      </c>
    </row>
    <row r="2869" spans="1:15" ht="32" x14ac:dyDescent="0.2">
      <c r="A2869" s="7" t="str">
        <f>HYPERLINK("https://otsuka-europe-crm.veevavault.com/ui/#object/account__v/V4TZ06G6O71SCQC", "ALESSANDRA IELLAMO")</f>
        <v>ALESSANDRA IELLAMO</v>
      </c>
      <c r="B2869" s="7" t="str">
        <f>HYPERLINK("https://otsuka-europe-crm.veevavault.com/ui/#object/vcountry__v/VENZ000004SONFQ", "IT")</f>
        <v>IT</v>
      </c>
      <c r="C2869" s="8" t="s">
        <v>44</v>
      </c>
      <c r="D2869" s="9" t="str">
        <f>HYPERLINK("https://otsuka-europe-crm.veevavault.com/ui/#object/approved_document__v/V5O000000018003", "AE dialoghi di tempo fiducia e cura episodi 2-3-4")</f>
        <v>AE dialoghi di tempo fiducia e cura episodi 2-3-4</v>
      </c>
      <c r="E2869" s="10" t="str">
        <f>HYPERLINK("https://otsuka-europe-crm.veevavault.com/ui/#object/sent_email__v/VBL00000002O440", "SE-001432111")</f>
        <v>SE-001432111</v>
      </c>
      <c r="F2869" s="11"/>
      <c r="G2869" s="12">
        <v>0</v>
      </c>
      <c r="H2869" s="12">
        <v>0</v>
      </c>
      <c r="I2869" s="12">
        <v>0</v>
      </c>
      <c r="J2869" s="11"/>
      <c r="K2869" s="12">
        <v>0</v>
      </c>
      <c r="L2869" s="10" t="str">
        <f>HYPERLINK("https://otsuka-europe-crm.veevavault.com/ui/#object/approved_document__v/V5O000000018003", "AE dialoghi di tempo fiducia e cura episodi 2-3-4")</f>
        <v>AE dialoghi di tempo fiducia e cura episodi 2-3-4</v>
      </c>
      <c r="M2869" s="10" t="str">
        <f>HYPERLINK("mailto:nicoletta.vozza@crm.otsuka-europe.com", "nicoletta.vozza@crm.otsuka-europe.com")</f>
        <v>nicoletta.vozza@crm.otsuka-europe.com</v>
      </c>
      <c r="N2869" s="13">
        <v>46181.338020833333</v>
      </c>
      <c r="O2869" s="14" t="str">
        <f>HYPERLINK("https://otsuka-europe-crm.veevavault.com/ui/#object/email_activity__v/V8C00000003O924", "EN-002090584")</f>
        <v>EN-002090584</v>
      </c>
    </row>
    <row r="2870" spans="1:15" ht="32" x14ac:dyDescent="0.2">
      <c r="A2870" s="7" t="str">
        <f>HYPERLINK("https://otsuka-europe-crm.veevavault.com/ui/#object/account__v/V4TZ06G6O9UYBND", "ALESSANDRA KERSTIN MANCUSO")</f>
        <v>ALESSANDRA KERSTIN MANCUSO</v>
      </c>
      <c r="B2870" s="7" t="str">
        <f>HYPERLINK("https://otsuka-europe-crm.veevavault.com/ui/#object/vcountry__v/VENZ000004SONFQ", "IT")</f>
        <v>IT</v>
      </c>
      <c r="C2870" s="8" t="s">
        <v>44</v>
      </c>
      <c r="D2870" s="9" t="str">
        <f>HYPERLINK("https://otsuka-europe-crm.veevavault.com/ui/#object/approved_document__v/V5O000000018003", "AE dialoghi di tempo fiducia e cura episodi 2-3-4")</f>
        <v>AE dialoghi di tempo fiducia e cura episodi 2-3-4</v>
      </c>
      <c r="E2870" s="10" t="str">
        <f>HYPERLINK("https://otsuka-europe-crm.veevavault.com/ui/#object/sent_email__v/VBL00000002O441", "SE-001432112")</f>
        <v>SE-001432112</v>
      </c>
      <c r="F2870" s="11"/>
      <c r="G2870" s="12">
        <v>0</v>
      </c>
      <c r="H2870" s="12">
        <v>0</v>
      </c>
      <c r="I2870" s="12">
        <v>0</v>
      </c>
      <c r="J2870" s="11"/>
      <c r="K2870" s="12">
        <v>0</v>
      </c>
      <c r="L2870" s="10" t="str">
        <f>HYPERLINK("https://otsuka-europe-crm.veevavault.com/ui/#object/approved_document__v/V5O000000018003", "AE dialoghi di tempo fiducia e cura episodi 2-3-4")</f>
        <v>AE dialoghi di tempo fiducia e cura episodi 2-3-4</v>
      </c>
      <c r="M2870" s="10" t="str">
        <f>HYPERLINK("mailto:nicoletta.vozza@crm.otsuka-europe.com", "nicoletta.vozza@crm.otsuka-europe.com")</f>
        <v>nicoletta.vozza@crm.otsuka-europe.com</v>
      </c>
      <c r="N2870" s="13">
        <v>46181.338101851848</v>
      </c>
      <c r="O2870" s="14" t="str">
        <f>HYPERLINK("https://otsuka-europe-crm.veevavault.com/ui/#object/email_activity__v/V8C00000003O542", "EN-002090098")</f>
        <v>EN-002090098</v>
      </c>
    </row>
    <row r="2871" spans="1:15" ht="32" x14ac:dyDescent="0.2">
      <c r="A2871" s="7" t="str">
        <f>HYPERLINK("https://otsuka-europe-crm.veevavault.com/ui/#object/account__v/V4TZ06G6O71SB8N", "ALESSANDRA LAUDATO")</f>
        <v>ALESSANDRA LAUDATO</v>
      </c>
      <c r="B2871" s="7" t="str">
        <f>HYPERLINK("https://otsuka-europe-crm.veevavault.com/ui/#object/vcountry__v/VENZ000004SONFQ", "IT")</f>
        <v>IT</v>
      </c>
      <c r="C2871" s="8" t="s">
        <v>44</v>
      </c>
      <c r="D2871" s="9" t="str">
        <f>HYPERLINK("https://otsuka-europe-crm.veevavault.com/ui/#object/approved_document__v/V5O000000018003", "AE dialoghi di tempo fiducia e cura episodi 2-3-4")</f>
        <v>AE dialoghi di tempo fiducia e cura episodi 2-3-4</v>
      </c>
      <c r="E2871" s="10" t="str">
        <f>HYPERLINK("https://otsuka-europe-crm.veevavault.com/ui/#object/sent_email__v/VBL00000002O442", "SE-001432113")</f>
        <v>SE-001432113</v>
      </c>
      <c r="F2871" s="11"/>
      <c r="G2871" s="12">
        <v>0</v>
      </c>
      <c r="H2871" s="12">
        <v>0</v>
      </c>
      <c r="I2871" s="12">
        <v>0</v>
      </c>
      <c r="J2871" s="11"/>
      <c r="K2871" s="12">
        <v>0</v>
      </c>
      <c r="L2871" s="10" t="str">
        <f>HYPERLINK("https://otsuka-europe-crm.veevavault.com/ui/#object/approved_document__v/V5O000000018003", "AE dialoghi di tempo fiducia e cura episodi 2-3-4")</f>
        <v>AE dialoghi di tempo fiducia e cura episodi 2-3-4</v>
      </c>
      <c r="M2871" s="10" t="str">
        <f>HYPERLINK("mailto:nicoletta.vozza@crm.otsuka-europe.com", "nicoletta.vozza@crm.otsuka-europe.com")</f>
        <v>nicoletta.vozza@crm.otsuka-europe.com</v>
      </c>
      <c r="N2871" s="13">
        <v>46181.337951388887</v>
      </c>
      <c r="O2871" s="14" t="str">
        <f>HYPERLINK("https://otsuka-europe-crm.veevavault.com/ui/#object/email_activity__v/V8C00000003P239", "EN-002089817")</f>
        <v>EN-002089817</v>
      </c>
    </row>
    <row r="2872" spans="1:15" ht="32" x14ac:dyDescent="0.2">
      <c r="A2872" s="7" t="str">
        <f>HYPERLINK("https://otsuka-europe-crm.veevavault.com/ui/#object/account__v/V4TZ06G6O71SADA", "ALESSANDRA MARINI")</f>
        <v>ALESSANDRA MARINI</v>
      </c>
      <c r="B2872" s="7" t="str">
        <f>HYPERLINK("https://otsuka-europe-crm.veevavault.com/ui/#object/vcountry__v/VENZ000004SONFQ", "IT")</f>
        <v>IT</v>
      </c>
      <c r="C2872" s="8" t="s">
        <v>44</v>
      </c>
      <c r="D2872" s="9" t="str">
        <f>HYPERLINK("https://otsuka-europe-crm.veevavault.com/ui/#object/approved_document__v/V5O000000018003", "AE dialoghi di tempo fiducia e cura episodi 2-3-4")</f>
        <v>AE dialoghi di tempo fiducia e cura episodi 2-3-4</v>
      </c>
      <c r="E2872" s="10" t="str">
        <f>HYPERLINK("https://otsuka-europe-crm.veevavault.com/ui/#object/sent_email__v/VBL00000002O443", "SE-001432114")</f>
        <v>SE-001432114</v>
      </c>
      <c r="F2872" s="11"/>
      <c r="G2872" s="12">
        <v>0</v>
      </c>
      <c r="H2872" s="12">
        <v>0</v>
      </c>
      <c r="I2872" s="12">
        <v>0</v>
      </c>
      <c r="J2872" s="11"/>
      <c r="K2872" s="12">
        <v>0</v>
      </c>
      <c r="L2872" s="10" t="str">
        <f>HYPERLINK("https://otsuka-europe-crm.veevavault.com/ui/#object/approved_document__v/V5O000000018003", "AE dialoghi di tempo fiducia e cura episodi 2-3-4")</f>
        <v>AE dialoghi di tempo fiducia e cura episodi 2-3-4</v>
      </c>
      <c r="M2872" s="10" t="str">
        <f>HYPERLINK("mailto:nicoletta.vozza@crm.otsuka-europe.com", "nicoletta.vozza@crm.otsuka-europe.com")</f>
        <v>nicoletta.vozza@crm.otsuka-europe.com</v>
      </c>
      <c r="N2872" s="13">
        <v>46181.339074074072</v>
      </c>
      <c r="O2872" s="14" t="str">
        <f>HYPERLINK("https://otsuka-europe-crm.veevavault.com/ui/#object/email_activity__v/V8C00000003Q261", "EN-002091379")</f>
        <v>EN-002091379</v>
      </c>
    </row>
    <row r="2873" spans="1:15" ht="16" x14ac:dyDescent="0.2">
      <c r="A2873" s="17" t="str">
        <f>HYPERLINK("https://otsuka-europe-crm.veevavault.com/ui/#object/account__v/V4TZ06G6O94PSGC", "ALESSANDRA MARSILI")</f>
        <v>ALESSANDRA MARSILI</v>
      </c>
      <c r="B2873" s="17" t="str">
        <f>HYPERLINK("https://otsuka-europe-crm.veevavault.com/ui/#object/vcountry__v/VENZ000004SONFQ", "IT")</f>
        <v>IT</v>
      </c>
      <c r="C2873" s="20" t="s">
        <v>44</v>
      </c>
      <c r="D2873" s="21" t="str">
        <f>HYPERLINK("https://otsuka-europe-crm.veevavault.com/ui/#object/approved_document__v/V5O000000018003", "AE dialoghi di tempo fiducia e cura episodi 2-3-4")</f>
        <v>AE dialoghi di tempo fiducia e cura episodi 2-3-4</v>
      </c>
      <c r="E2873" s="22" t="str">
        <f>HYPERLINK("https://otsuka-europe-crm.veevavault.com/ui/#object/sent_email__v/VBL00000002O444", "SE-001432115")</f>
        <v>SE-001432115</v>
      </c>
      <c r="F2873" s="25"/>
      <c r="G2873" s="24">
        <v>0</v>
      </c>
      <c r="H2873" s="24">
        <v>0</v>
      </c>
      <c r="I2873" s="24">
        <v>0</v>
      </c>
      <c r="J2873" s="25"/>
      <c r="K2873" s="24">
        <v>0</v>
      </c>
      <c r="L2873" s="22" t="str">
        <f>HYPERLINK("https://otsuka-europe-crm.veevavault.com/ui/#object/approved_document__v/V5O000000018003", "AE dialoghi di tempo fiducia e cura episodi 2-3-4")</f>
        <v>AE dialoghi di tempo fiducia e cura episodi 2-3-4</v>
      </c>
      <c r="M2873" s="22" t="str">
        <f>HYPERLINK("mailto:nicoletta.vozza@crm.otsuka-europe.com", "nicoletta.vozza@crm.otsuka-europe.com")</f>
        <v>nicoletta.vozza@crm.otsuka-europe.com</v>
      </c>
      <c r="N2873" s="23">
        <v>46181.337997685187</v>
      </c>
      <c r="O2873" s="14" t="str">
        <f>HYPERLINK("https://otsuka-europe-crm.veevavault.com/ui/#object/email_activity__v/V8C00000003P565", "EN-002090820")</f>
        <v>EN-002090820</v>
      </c>
    </row>
    <row r="2874" spans="1:15" ht="16" x14ac:dyDescent="0.2">
      <c r="A2874" s="18"/>
      <c r="B2874" s="18"/>
      <c r="C2874" s="18"/>
      <c r="D2874" s="18"/>
      <c r="E2874" s="18"/>
      <c r="F2874" s="18"/>
      <c r="G2874" s="18"/>
      <c r="H2874" s="18"/>
      <c r="I2874" s="18"/>
      <c r="J2874" s="18"/>
      <c r="K2874" s="18"/>
      <c r="L2874" s="18"/>
      <c r="M2874" s="18"/>
      <c r="N2874" s="18"/>
      <c r="O2874" s="14" t="str">
        <f>HYPERLINK("https://otsuka-europe-crm.veevavault.com/ui/#object/email_activity__v/V8C00000003Q712", "EN-002092269")</f>
        <v>EN-002092269</v>
      </c>
    </row>
    <row r="2875" spans="1:15" ht="16" x14ac:dyDescent="0.2">
      <c r="A2875" s="18"/>
      <c r="B2875" s="18"/>
      <c r="C2875" s="18"/>
      <c r="D2875" s="18"/>
      <c r="E2875" s="18"/>
      <c r="F2875" s="18"/>
      <c r="G2875" s="18"/>
      <c r="H2875" s="18"/>
      <c r="I2875" s="18"/>
      <c r="J2875" s="18"/>
      <c r="K2875" s="18"/>
      <c r="L2875" s="18"/>
      <c r="M2875" s="18"/>
      <c r="N2875" s="18"/>
      <c r="O2875" s="14" t="str">
        <f>HYPERLINK("https://otsuka-europe-crm.veevavault.com/ui/#object/email_activity__v/V8C00000003U785", "EN-002096488")</f>
        <v>EN-002096488</v>
      </c>
    </row>
    <row r="2876" spans="1:15" ht="16" x14ac:dyDescent="0.2">
      <c r="A2876" s="19"/>
      <c r="B2876" s="19"/>
      <c r="C2876" s="19"/>
      <c r="D2876" s="19"/>
      <c r="E2876" s="19"/>
      <c r="F2876" s="19"/>
      <c r="G2876" s="19"/>
      <c r="H2876" s="19"/>
      <c r="I2876" s="19"/>
      <c r="J2876" s="19"/>
      <c r="K2876" s="19"/>
      <c r="L2876" s="19"/>
      <c r="M2876" s="19"/>
      <c r="N2876" s="19"/>
      <c r="O2876" s="14" t="str">
        <f>HYPERLINK("https://otsuka-europe-crm.veevavault.com/ui/#object/email_activity__v/V8C00000003V500", "EN-002095801")</f>
        <v>EN-002095801</v>
      </c>
    </row>
    <row r="2877" spans="1:15" ht="32" x14ac:dyDescent="0.2">
      <c r="A2877" s="7" t="str">
        <f>HYPERLINK("https://otsuka-europe-crm.veevavault.com/ui/#object/account__v/V4TZ06G6OBU9XL2", "ALESSANDRA MARZO")</f>
        <v>ALESSANDRA MARZO</v>
      </c>
      <c r="B2877" s="7" t="str">
        <f>HYPERLINK("https://otsuka-europe-crm.veevavault.com/ui/#object/vcountry__v/VENZ000004SONFQ", "IT")</f>
        <v>IT</v>
      </c>
      <c r="C2877" s="8" t="s">
        <v>44</v>
      </c>
      <c r="D2877" s="9" t="str">
        <f>HYPERLINK("https://otsuka-europe-crm.veevavault.com/ui/#object/approved_document__v/V5O000000018003", "AE dialoghi di tempo fiducia e cura episodi 2-3-4")</f>
        <v>AE dialoghi di tempo fiducia e cura episodi 2-3-4</v>
      </c>
      <c r="E2877" s="10" t="str">
        <f>HYPERLINK("https://otsuka-europe-crm.veevavault.com/ui/#object/sent_email__v/VBL00000002O445", "SE-001432116")</f>
        <v>SE-001432116</v>
      </c>
      <c r="F2877" s="11"/>
      <c r="G2877" s="12">
        <v>0</v>
      </c>
      <c r="H2877" s="12">
        <v>0</v>
      </c>
      <c r="I2877" s="12">
        <v>0</v>
      </c>
      <c r="J2877" s="11"/>
      <c r="K2877" s="12">
        <v>0</v>
      </c>
      <c r="L2877" s="10" t="str">
        <f>HYPERLINK("https://otsuka-europe-crm.veevavault.com/ui/#object/approved_document__v/V5O000000018003", "AE dialoghi di tempo fiducia e cura episodi 2-3-4")</f>
        <v>AE dialoghi di tempo fiducia e cura episodi 2-3-4</v>
      </c>
      <c r="M2877" s="10" t="str">
        <f>HYPERLINK("mailto:nicoletta.vozza@crm.otsuka-europe.com", "nicoletta.vozza@crm.otsuka-europe.com")</f>
        <v>nicoletta.vozza@crm.otsuka-europe.com</v>
      </c>
      <c r="N2877" s="13">
        <v>46181.338067129633</v>
      </c>
      <c r="O2877" s="14" t="str">
        <f>HYPERLINK("https://otsuka-europe-crm.veevavault.com/ui/#object/email_activity__v/V8C00000003Q052", "EN-002091018")</f>
        <v>EN-002091018</v>
      </c>
    </row>
    <row r="2878" spans="1:15" ht="16" x14ac:dyDescent="0.2">
      <c r="A2878" s="17" t="str">
        <f>HYPERLINK("https://otsuka-europe-crm.veevavault.com/ui/#object/account__v/V4TZ06G6O71SBK0", "ALESSANDRA MOLLICA")</f>
        <v>ALESSANDRA MOLLICA</v>
      </c>
      <c r="B2878" s="17" t="str">
        <f>HYPERLINK("https://otsuka-europe-crm.veevavault.com/ui/#object/vcountry__v/VENZ000004SONFQ", "IT")</f>
        <v>IT</v>
      </c>
      <c r="C2878" s="20" t="s">
        <v>44</v>
      </c>
      <c r="D2878" s="21" t="str">
        <f>HYPERLINK("https://otsuka-europe-crm.veevavault.com/ui/#object/approved_document__v/V5O000000018003", "AE dialoghi di tempo fiducia e cura episodi 2-3-4")</f>
        <v>AE dialoghi di tempo fiducia e cura episodi 2-3-4</v>
      </c>
      <c r="E2878" s="22" t="str">
        <f>HYPERLINK("https://otsuka-europe-crm.veevavault.com/ui/#object/sent_email__v/VBL00000002O446", "SE-001432117")</f>
        <v>SE-001432117</v>
      </c>
      <c r="F2878" s="25"/>
      <c r="G2878" s="24">
        <v>0</v>
      </c>
      <c r="H2878" s="24">
        <v>0</v>
      </c>
      <c r="I2878" s="24">
        <v>0</v>
      </c>
      <c r="J2878" s="25"/>
      <c r="K2878" s="24">
        <v>0</v>
      </c>
      <c r="L2878" s="22" t="str">
        <f>HYPERLINK("https://otsuka-europe-crm.veevavault.com/ui/#object/approved_document__v/V5O000000018003", "AE dialoghi di tempo fiducia e cura episodi 2-3-4")</f>
        <v>AE dialoghi di tempo fiducia e cura episodi 2-3-4</v>
      </c>
      <c r="M2878" s="22" t="str">
        <f>HYPERLINK("mailto:nicoletta.vozza@crm.otsuka-europe.com", "nicoletta.vozza@crm.otsuka-europe.com")</f>
        <v>nicoletta.vozza@crm.otsuka-europe.com</v>
      </c>
      <c r="N2878" s="23">
        <v>46181.338020833333</v>
      </c>
      <c r="O2878" s="14" t="str">
        <f>HYPERLINK("https://otsuka-europe-crm.veevavault.com/ui/#object/email_activity__v/V8C00000003P731", "EN-002091029")</f>
        <v>EN-002091029</v>
      </c>
    </row>
    <row r="2879" spans="1:15" ht="16" x14ac:dyDescent="0.2">
      <c r="A2879" s="19"/>
      <c r="B2879" s="19"/>
      <c r="C2879" s="19"/>
      <c r="D2879" s="19"/>
      <c r="E2879" s="19"/>
      <c r="F2879" s="19"/>
      <c r="G2879" s="19"/>
      <c r="H2879" s="19"/>
      <c r="I2879" s="19"/>
      <c r="J2879" s="19"/>
      <c r="K2879" s="19"/>
      <c r="L2879" s="19"/>
      <c r="M2879" s="19"/>
      <c r="N2879" s="19"/>
      <c r="O2879" s="14" t="str">
        <f>HYPERLINK("https://otsuka-europe-crm.veevavault.com/ui/#object/email_activity__v/V8C00000003R308", "EN-002092250")</f>
        <v>EN-002092250</v>
      </c>
    </row>
    <row r="2880" spans="1:15" ht="32" x14ac:dyDescent="0.2">
      <c r="A2880" s="7" t="str">
        <f>HYPERLINK("https://otsuka-europe-crm.veevavault.com/ui/#object/account__v/V4TZ06G6O71S9G1", "ALESSANDRA MORONI")</f>
        <v>ALESSANDRA MORONI</v>
      </c>
      <c r="B2880" s="7" t="str">
        <f>HYPERLINK("https://otsuka-europe-crm.veevavault.com/ui/#object/vcountry__v/VENZ000004SONFQ", "IT")</f>
        <v>IT</v>
      </c>
      <c r="C2880" s="8" t="s">
        <v>44</v>
      </c>
      <c r="D2880" s="9" t="str">
        <f>HYPERLINK("https://otsuka-europe-crm.veevavault.com/ui/#object/approved_document__v/V5O000000018003", "AE dialoghi di tempo fiducia e cura episodi 2-3-4")</f>
        <v>AE dialoghi di tempo fiducia e cura episodi 2-3-4</v>
      </c>
      <c r="E2880" s="10" t="str">
        <f>HYPERLINK("https://otsuka-europe-crm.veevavault.com/ui/#object/sent_email__v/VBL00000002O447", "SE-001432118")</f>
        <v>SE-001432118</v>
      </c>
      <c r="F2880" s="11"/>
      <c r="G2880" s="12">
        <v>0</v>
      </c>
      <c r="H2880" s="12">
        <v>0</v>
      </c>
      <c r="I2880" s="12">
        <v>0</v>
      </c>
      <c r="J2880" s="11"/>
      <c r="K2880" s="12">
        <v>0</v>
      </c>
      <c r="L2880" s="10" t="str">
        <f>HYPERLINK("https://otsuka-europe-crm.veevavault.com/ui/#object/approved_document__v/V5O000000018003", "AE dialoghi di tempo fiducia e cura episodi 2-3-4")</f>
        <v>AE dialoghi di tempo fiducia e cura episodi 2-3-4</v>
      </c>
      <c r="M2880" s="10" t="str">
        <f>HYPERLINK("mailto:nicoletta.vozza@crm.otsuka-europe.com", "nicoletta.vozza@crm.otsuka-europe.com")</f>
        <v>nicoletta.vozza@crm.otsuka-europe.com</v>
      </c>
      <c r="N2880" s="13">
        <v>46181.338020833333</v>
      </c>
      <c r="O2880" s="14" t="str">
        <f>HYPERLINK("https://otsuka-europe-crm.veevavault.com/ui/#object/email_activity__v/V8C00000003P363", "EN-002090369")</f>
        <v>EN-002090369</v>
      </c>
    </row>
    <row r="2881" spans="1:15" ht="16" x14ac:dyDescent="0.2">
      <c r="A2881" s="17" t="str">
        <f>HYPERLINK("https://otsuka-europe-crm.veevavault.com/ui/#object/account__v/V4TZ06G6O71SBLL", "ALESSANDRA MOSCA")</f>
        <v>ALESSANDRA MOSCA</v>
      </c>
      <c r="B2881" s="17" t="str">
        <f>HYPERLINK("https://otsuka-europe-crm.veevavault.com/ui/#object/vcountry__v/VENZ000004SONFQ", "IT")</f>
        <v>IT</v>
      </c>
      <c r="C2881" s="20" t="s">
        <v>44</v>
      </c>
      <c r="D2881" s="21" t="str">
        <f>HYPERLINK("https://otsuka-europe-crm.veevavault.com/ui/#object/approved_document__v/V5O000000018003", "AE dialoghi di tempo fiducia e cura episodi 2-3-4")</f>
        <v>AE dialoghi di tempo fiducia e cura episodi 2-3-4</v>
      </c>
      <c r="E2881" s="22" t="str">
        <f>HYPERLINK("https://otsuka-europe-crm.veevavault.com/ui/#object/sent_email__v/VBL00000002O448", "SE-001432119")</f>
        <v>SE-001432119</v>
      </c>
      <c r="F2881" s="23">
        <v>46181.382881944446</v>
      </c>
      <c r="G2881" s="24">
        <v>1</v>
      </c>
      <c r="H2881" s="24">
        <v>2</v>
      </c>
      <c r="I2881" s="24">
        <v>0</v>
      </c>
      <c r="J2881" s="25"/>
      <c r="K2881" s="24">
        <v>0</v>
      </c>
      <c r="L2881" s="22" t="str">
        <f>HYPERLINK("https://otsuka-europe-crm.veevavault.com/ui/#object/approved_document__v/V5O000000018003", "AE dialoghi di tempo fiducia e cura episodi 2-3-4")</f>
        <v>AE dialoghi di tempo fiducia e cura episodi 2-3-4</v>
      </c>
      <c r="M2881" s="22" t="str">
        <f>HYPERLINK("mailto:nicoletta.vozza@crm.otsuka-europe.com", "nicoletta.vozza@crm.otsuka-europe.com")</f>
        <v>nicoletta.vozza@crm.otsuka-europe.com</v>
      </c>
      <c r="N2881" s="23">
        <v>46181.338055555556</v>
      </c>
      <c r="O2881" s="14" t="str">
        <f>HYPERLINK("https://otsuka-europe-crm.veevavault.com/ui/#object/email_activity__v/V8C00000003P735", "EN-002091033")</f>
        <v>EN-002091033</v>
      </c>
    </row>
    <row r="2882" spans="1:15" ht="16" x14ac:dyDescent="0.2">
      <c r="A2882" s="18"/>
      <c r="B2882" s="18"/>
      <c r="C2882" s="18"/>
      <c r="D2882" s="18"/>
      <c r="E2882" s="18"/>
      <c r="F2882" s="18"/>
      <c r="G2882" s="18"/>
      <c r="H2882" s="18"/>
      <c r="I2882" s="18"/>
      <c r="J2882" s="18"/>
      <c r="K2882" s="18"/>
      <c r="L2882" s="18"/>
      <c r="M2882" s="18"/>
      <c r="N2882" s="18"/>
      <c r="O2882" s="14" t="str">
        <f>HYPERLINK("https://otsuka-europe-crm.veevavault.com/ui/#object/email_activity__v/V8C00000003Q340", "EN-002091516")</f>
        <v>EN-002091516</v>
      </c>
    </row>
    <row r="2883" spans="1:15" ht="16" x14ac:dyDescent="0.2">
      <c r="A2883" s="19"/>
      <c r="B2883" s="19"/>
      <c r="C2883" s="19"/>
      <c r="D2883" s="19"/>
      <c r="E2883" s="19"/>
      <c r="F2883" s="19"/>
      <c r="G2883" s="19"/>
      <c r="H2883" s="19"/>
      <c r="I2883" s="19"/>
      <c r="J2883" s="19"/>
      <c r="K2883" s="19"/>
      <c r="L2883" s="19"/>
      <c r="M2883" s="19"/>
      <c r="N2883" s="19"/>
      <c r="O2883" s="14" t="str">
        <f>HYPERLINK("https://otsuka-europe-crm.veevavault.com/ui/#object/email_activity__v/V8C00000003Q469", "EN-002091710")</f>
        <v>EN-002091710</v>
      </c>
    </row>
    <row r="2884" spans="1:15" ht="32" x14ac:dyDescent="0.2">
      <c r="A2884" s="7" t="str">
        <f>HYPERLINK("https://otsuka-europe-crm.veevavault.com/ui/#object/account__v/V4TZ06G6O71S9GE", "ALESSANDRA ORNAGHI")</f>
        <v>ALESSANDRA ORNAGHI</v>
      </c>
      <c r="B2884" s="7" t="str">
        <f t="shared" ref="B2884:B2906" si="76">HYPERLINK("https://otsuka-europe-crm.veevavault.com/ui/#object/vcountry__v/VENZ000004SONFQ", "IT")</f>
        <v>IT</v>
      </c>
      <c r="C2884" s="8" t="s">
        <v>44</v>
      </c>
      <c r="D2884" s="9" t="str">
        <f t="shared" ref="D2884:D2906" si="77">HYPERLINK("https://otsuka-europe-crm.veevavault.com/ui/#object/approved_document__v/V5O000000018003", "AE dialoghi di tempo fiducia e cura episodi 2-3-4")</f>
        <v>AE dialoghi di tempo fiducia e cura episodi 2-3-4</v>
      </c>
      <c r="E2884" s="10" t="str">
        <f>HYPERLINK("https://otsuka-europe-crm.veevavault.com/ui/#object/sent_email__v/VBL00000002O449", "SE-001432120")</f>
        <v>SE-001432120</v>
      </c>
      <c r="F2884" s="11"/>
      <c r="G2884" s="12">
        <v>0</v>
      </c>
      <c r="H2884" s="12">
        <v>0</v>
      </c>
      <c r="I2884" s="12">
        <v>0</v>
      </c>
      <c r="J2884" s="11"/>
      <c r="K2884" s="12">
        <v>0</v>
      </c>
      <c r="L2884" s="10" t="str">
        <f t="shared" ref="L2884:L2906" si="78">HYPERLINK("https://otsuka-europe-crm.veevavault.com/ui/#object/approved_document__v/V5O000000018003", "AE dialoghi di tempo fiducia e cura episodi 2-3-4")</f>
        <v>AE dialoghi di tempo fiducia e cura episodi 2-3-4</v>
      </c>
      <c r="M2884" s="10" t="str">
        <f t="shared" ref="M2884:M2906" si="79">HYPERLINK("mailto:nicoletta.vozza@crm.otsuka-europe.com", "nicoletta.vozza@crm.otsuka-europe.com")</f>
        <v>nicoletta.vozza@crm.otsuka-europe.com</v>
      </c>
      <c r="N2884" s="13">
        <v>46181.33798611111</v>
      </c>
      <c r="O2884" s="14" t="str">
        <f>HYPERLINK("https://otsuka-europe-crm.veevavault.com/ui/#object/email_activity__v/V8C00000003P407", "EN-002090413")</f>
        <v>EN-002090413</v>
      </c>
    </row>
    <row r="2885" spans="1:15" ht="32" x14ac:dyDescent="0.2">
      <c r="A2885" s="7" t="str">
        <f>HYPERLINK("https://otsuka-europe-crm.veevavault.com/ui/#object/account__v/V4TZ04ASG6TEXQD", "ALESSANDRA POZZI")</f>
        <v>ALESSANDRA POZZI</v>
      </c>
      <c r="B2885" s="7" t="str">
        <f t="shared" si="76"/>
        <v>IT</v>
      </c>
      <c r="C2885" s="8" t="s">
        <v>44</v>
      </c>
      <c r="D2885" s="9" t="str">
        <f t="shared" si="77"/>
        <v>AE dialoghi di tempo fiducia e cura episodi 2-3-4</v>
      </c>
      <c r="E2885" s="10" t="str">
        <f>HYPERLINK("https://otsuka-europe-crm.veevavault.com/ui/#object/sent_email__v/VBL00000002O450", "SE-001432121")</f>
        <v>SE-001432121</v>
      </c>
      <c r="F2885" s="11"/>
      <c r="G2885" s="12">
        <v>0</v>
      </c>
      <c r="H2885" s="12">
        <v>0</v>
      </c>
      <c r="I2885" s="12">
        <v>0</v>
      </c>
      <c r="J2885" s="11"/>
      <c r="K2885" s="12">
        <v>0</v>
      </c>
      <c r="L2885" s="10" t="str">
        <f t="shared" si="78"/>
        <v>AE dialoghi di tempo fiducia e cura episodi 2-3-4</v>
      </c>
      <c r="M2885" s="10" t="str">
        <f t="shared" si="79"/>
        <v>nicoletta.vozza@crm.otsuka-europe.com</v>
      </c>
      <c r="N2885" s="13">
        <v>46181.337997685187</v>
      </c>
      <c r="O2885" s="14" t="str">
        <f>HYPERLINK("https://otsuka-europe-crm.veevavault.com/ui/#object/email_activity__v/V8C00000003Q024", "EN-002090990")</f>
        <v>EN-002090990</v>
      </c>
    </row>
    <row r="2886" spans="1:15" ht="32" x14ac:dyDescent="0.2">
      <c r="A2886" s="7" t="str">
        <f>HYPERLINK("https://otsuka-europe-crm.veevavault.com/ui/#object/account__v/V4TZ04ASG7NOJ3N", "ALESSANDRA ROARO")</f>
        <v>ALESSANDRA ROARO</v>
      </c>
      <c r="B2886" s="7" t="str">
        <f t="shared" si="76"/>
        <v>IT</v>
      </c>
      <c r="C2886" s="8" t="s">
        <v>44</v>
      </c>
      <c r="D2886" s="9" t="str">
        <f t="shared" si="77"/>
        <v>AE dialoghi di tempo fiducia e cura episodi 2-3-4</v>
      </c>
      <c r="E2886" s="10" t="str">
        <f>HYPERLINK("https://otsuka-europe-crm.veevavault.com/ui/#object/sent_email__v/VBL00000002O451", "SE-001432122")</f>
        <v>SE-001432122</v>
      </c>
      <c r="F2886" s="11"/>
      <c r="G2886" s="12">
        <v>0</v>
      </c>
      <c r="H2886" s="12">
        <v>0</v>
      </c>
      <c r="I2886" s="12">
        <v>0</v>
      </c>
      <c r="J2886" s="11"/>
      <c r="K2886" s="12">
        <v>0</v>
      </c>
      <c r="L2886" s="10" t="str">
        <f t="shared" si="78"/>
        <v>AE dialoghi di tempo fiducia e cura episodi 2-3-4</v>
      </c>
      <c r="M2886" s="10" t="str">
        <f t="shared" si="79"/>
        <v>nicoletta.vozza@crm.otsuka-europe.com</v>
      </c>
      <c r="N2886" s="13">
        <v>46181.338101851848</v>
      </c>
      <c r="O2886" s="14" t="str">
        <f>HYPERLINK("https://otsuka-europe-crm.veevavault.com/ui/#object/email_activity__v/V8C00000003P485", "EN-002090665")</f>
        <v>EN-002090665</v>
      </c>
    </row>
    <row r="2887" spans="1:15" ht="32" x14ac:dyDescent="0.2">
      <c r="A2887" s="7" t="str">
        <f>HYPERLINK("https://otsuka-europe-crm.veevavault.com/ui/#object/account__v/V4TZ06G6O71SC4Y", "ALESSANDRA ROSSI")</f>
        <v>ALESSANDRA ROSSI</v>
      </c>
      <c r="B2887" s="7" t="str">
        <f t="shared" si="76"/>
        <v>IT</v>
      </c>
      <c r="C2887" s="8" t="s">
        <v>44</v>
      </c>
      <c r="D2887" s="9" t="str">
        <f t="shared" si="77"/>
        <v>AE dialoghi di tempo fiducia e cura episodi 2-3-4</v>
      </c>
      <c r="E2887" s="10" t="str">
        <f>HYPERLINK("https://otsuka-europe-crm.veevavault.com/ui/#object/sent_email__v/VBL00000002O452", "SE-001432123")</f>
        <v>SE-001432123</v>
      </c>
      <c r="F2887" s="11"/>
      <c r="G2887" s="12">
        <v>0</v>
      </c>
      <c r="H2887" s="12">
        <v>0</v>
      </c>
      <c r="I2887" s="12">
        <v>0</v>
      </c>
      <c r="J2887" s="11"/>
      <c r="K2887" s="12">
        <v>0</v>
      </c>
      <c r="L2887" s="10" t="str">
        <f t="shared" si="78"/>
        <v>AE dialoghi di tempo fiducia e cura episodi 2-3-4</v>
      </c>
      <c r="M2887" s="10" t="str">
        <f t="shared" si="79"/>
        <v>nicoletta.vozza@crm.otsuka-europe.com</v>
      </c>
      <c r="N2887" s="13">
        <v>46181.338055555556</v>
      </c>
      <c r="O2887" s="14" t="str">
        <f>HYPERLINK("https://otsuka-europe-crm.veevavault.com/ui/#object/email_activity__v/V8C00000003O592", "EN-002090148")</f>
        <v>EN-002090148</v>
      </c>
    </row>
    <row r="2888" spans="1:15" ht="32" x14ac:dyDescent="0.2">
      <c r="A2888" s="7" t="str">
        <f>HYPERLINK("https://otsuka-europe-crm.veevavault.com/ui/#object/account__v/V4TZ06G6O71S9CQ", "ALESSANDRA RUBINACCI")</f>
        <v>ALESSANDRA RUBINACCI</v>
      </c>
      <c r="B2888" s="7" t="str">
        <f t="shared" si="76"/>
        <v>IT</v>
      </c>
      <c r="C2888" s="8" t="s">
        <v>44</v>
      </c>
      <c r="D2888" s="9" t="str">
        <f t="shared" si="77"/>
        <v>AE dialoghi di tempo fiducia e cura episodi 2-3-4</v>
      </c>
      <c r="E2888" s="10" t="str">
        <f>HYPERLINK("https://otsuka-europe-crm.veevavault.com/ui/#object/sent_email__v/VBL00000002O453", "SE-001432124")</f>
        <v>SE-001432124</v>
      </c>
      <c r="F2888" s="11"/>
      <c r="G2888" s="12">
        <v>0</v>
      </c>
      <c r="H2888" s="12">
        <v>0</v>
      </c>
      <c r="I2888" s="12">
        <v>0</v>
      </c>
      <c r="J2888" s="11"/>
      <c r="K2888" s="12">
        <v>0</v>
      </c>
      <c r="L2888" s="10" t="str">
        <f t="shared" si="78"/>
        <v>AE dialoghi di tempo fiducia e cura episodi 2-3-4</v>
      </c>
      <c r="M2888" s="10" t="str">
        <f t="shared" si="79"/>
        <v>nicoletta.vozza@crm.otsuka-europe.com</v>
      </c>
      <c r="N2888" s="13">
        <v>46181.337997685187</v>
      </c>
      <c r="O2888" s="14" t="str">
        <f>HYPERLINK("https://otsuka-europe-crm.veevavault.com/ui/#object/email_activity__v/V8C00000003P673", "EN-002090928")</f>
        <v>EN-002090928</v>
      </c>
    </row>
    <row r="2889" spans="1:15" ht="32" x14ac:dyDescent="0.2">
      <c r="A2889" s="7" t="str">
        <f>HYPERLINK("https://otsuka-europe-crm.veevavault.com/ui/#object/account__v/V4TZ06G6O71S9UY", "ALESSANDRO ANTONUCCI")</f>
        <v>ALESSANDRO ANTONUCCI</v>
      </c>
      <c r="B2889" s="7" t="str">
        <f t="shared" si="76"/>
        <v>IT</v>
      </c>
      <c r="C2889" s="8" t="s">
        <v>44</v>
      </c>
      <c r="D2889" s="9" t="str">
        <f t="shared" si="77"/>
        <v>AE dialoghi di tempo fiducia e cura episodi 2-3-4</v>
      </c>
      <c r="E2889" s="10" t="str">
        <f>HYPERLINK("https://otsuka-europe-crm.veevavault.com/ui/#object/sent_email__v/VBL00000002O454", "SE-001432125")</f>
        <v>SE-001432125</v>
      </c>
      <c r="F2889" s="11"/>
      <c r="G2889" s="12">
        <v>0</v>
      </c>
      <c r="H2889" s="12">
        <v>0</v>
      </c>
      <c r="I2889" s="12">
        <v>0</v>
      </c>
      <c r="J2889" s="11"/>
      <c r="K2889" s="12">
        <v>0</v>
      </c>
      <c r="L2889" s="10" t="str">
        <f t="shared" si="78"/>
        <v>AE dialoghi di tempo fiducia e cura episodi 2-3-4</v>
      </c>
      <c r="M2889" s="10" t="str">
        <f t="shared" si="79"/>
        <v>nicoletta.vozza@crm.otsuka-europe.com</v>
      </c>
      <c r="N2889" s="13">
        <v>46181.33803240741</v>
      </c>
      <c r="O2889" s="14" t="str">
        <f>HYPERLINK("https://otsuka-europe-crm.veevavault.com/ui/#object/email_activity__v/V8C00000003P599", "EN-002090854")</f>
        <v>EN-002090854</v>
      </c>
    </row>
    <row r="2890" spans="1:15" ht="32" x14ac:dyDescent="0.2">
      <c r="A2890" s="7" t="str">
        <f>HYPERLINK("https://otsuka-europe-crm.veevavault.com/ui/#object/account__v/V4TZ06G6O71SAX7", "ALESSANDRO CANTONI")</f>
        <v>ALESSANDRO CANTONI</v>
      </c>
      <c r="B2890" s="7" t="str">
        <f t="shared" si="76"/>
        <v>IT</v>
      </c>
      <c r="C2890" s="8" t="s">
        <v>44</v>
      </c>
      <c r="D2890" s="9" t="str">
        <f t="shared" si="77"/>
        <v>AE dialoghi di tempo fiducia e cura episodi 2-3-4</v>
      </c>
      <c r="E2890" s="10" t="str">
        <f>HYPERLINK("https://otsuka-europe-crm.veevavault.com/ui/#object/sent_email__v/VBL00000002O455", "SE-001432126")</f>
        <v>SE-001432126</v>
      </c>
      <c r="F2890" s="11"/>
      <c r="G2890" s="12">
        <v>0</v>
      </c>
      <c r="H2890" s="12">
        <v>0</v>
      </c>
      <c r="I2890" s="12">
        <v>0</v>
      </c>
      <c r="J2890" s="11"/>
      <c r="K2890" s="12">
        <v>0</v>
      </c>
      <c r="L2890" s="10" t="str">
        <f t="shared" si="78"/>
        <v>AE dialoghi di tempo fiducia e cura episodi 2-3-4</v>
      </c>
      <c r="M2890" s="10" t="str">
        <f t="shared" si="79"/>
        <v>nicoletta.vozza@crm.otsuka-europe.com</v>
      </c>
      <c r="N2890" s="13">
        <v>46181.337951388887</v>
      </c>
      <c r="O2890" s="14" t="str">
        <f>HYPERLINK("https://otsuka-europe-crm.veevavault.com/ui/#object/email_activity__v/V8C00000003O815", "EN-002090517")</f>
        <v>EN-002090517</v>
      </c>
    </row>
    <row r="2891" spans="1:15" ht="32" x14ac:dyDescent="0.2">
      <c r="A2891" s="7" t="str">
        <f>HYPERLINK("https://otsuka-europe-crm.veevavault.com/ui/#object/account__v/V4TZ06G6OBIM4ZT", "ALESSANDRO CERESA")</f>
        <v>ALESSANDRO CERESA</v>
      </c>
      <c r="B2891" s="7" t="str">
        <f t="shared" si="76"/>
        <v>IT</v>
      </c>
      <c r="C2891" s="8" t="s">
        <v>44</v>
      </c>
      <c r="D2891" s="9" t="str">
        <f t="shared" si="77"/>
        <v>AE dialoghi di tempo fiducia e cura episodi 2-3-4</v>
      </c>
      <c r="E2891" s="10" t="str">
        <f>HYPERLINK("https://otsuka-europe-crm.veevavault.com/ui/#object/sent_email__v/VBL00000002O456", "SE-001432127")</f>
        <v>SE-001432127</v>
      </c>
      <c r="F2891" s="11"/>
      <c r="G2891" s="12">
        <v>0</v>
      </c>
      <c r="H2891" s="12">
        <v>0</v>
      </c>
      <c r="I2891" s="12">
        <v>0</v>
      </c>
      <c r="J2891" s="11"/>
      <c r="K2891" s="12">
        <v>0</v>
      </c>
      <c r="L2891" s="10" t="str">
        <f t="shared" si="78"/>
        <v>AE dialoghi di tempo fiducia e cura episodi 2-3-4</v>
      </c>
      <c r="M2891" s="10" t="str">
        <f t="shared" si="79"/>
        <v>nicoletta.vozza@crm.otsuka-europe.com</v>
      </c>
      <c r="N2891" s="13">
        <v>46181.33797453704</v>
      </c>
      <c r="O2891" s="14" t="str">
        <f>HYPERLINK("https://otsuka-europe-crm.veevavault.com/ui/#object/email_activity__v/V8C00000003O560", "EN-002090116")</f>
        <v>EN-002090116</v>
      </c>
    </row>
    <row r="2892" spans="1:15" ht="32" x14ac:dyDescent="0.2">
      <c r="A2892" s="7" t="str">
        <f>HYPERLINK("https://otsuka-europe-crm.veevavault.com/ui/#object/account__v/V4TZ06G6O71SAC4", "ALESSANDRO DE RISIO")</f>
        <v>ALESSANDRO DE RISIO</v>
      </c>
      <c r="B2892" s="7" t="str">
        <f t="shared" si="76"/>
        <v>IT</v>
      </c>
      <c r="C2892" s="8" t="s">
        <v>44</v>
      </c>
      <c r="D2892" s="9" t="str">
        <f t="shared" si="77"/>
        <v>AE dialoghi di tempo fiducia e cura episodi 2-3-4</v>
      </c>
      <c r="E2892" s="10" t="str">
        <f>HYPERLINK("https://otsuka-europe-crm.veevavault.com/ui/#object/sent_email__v/VBL00000002O457", "SE-001432128")</f>
        <v>SE-001432128</v>
      </c>
      <c r="F2892" s="11"/>
      <c r="G2892" s="12">
        <v>0</v>
      </c>
      <c r="H2892" s="12">
        <v>0</v>
      </c>
      <c r="I2892" s="12">
        <v>0</v>
      </c>
      <c r="J2892" s="11"/>
      <c r="K2892" s="12">
        <v>0</v>
      </c>
      <c r="L2892" s="10" t="str">
        <f t="shared" si="78"/>
        <v>AE dialoghi di tempo fiducia e cura episodi 2-3-4</v>
      </c>
      <c r="M2892" s="10" t="str">
        <f t="shared" si="79"/>
        <v>nicoletta.vozza@crm.otsuka-europe.com</v>
      </c>
      <c r="N2892" s="13">
        <v>46181.33803240741</v>
      </c>
      <c r="O2892" s="14" t="str">
        <f>HYPERLINK("https://otsuka-europe-crm.veevavault.com/ui/#object/email_activity__v/V8C00000003O996", "EN-002090745")</f>
        <v>EN-002090745</v>
      </c>
    </row>
    <row r="2893" spans="1:15" ht="32" x14ac:dyDescent="0.2">
      <c r="A2893" s="7" t="str">
        <f>HYPERLINK("https://otsuka-europe-crm.veevavault.com/ui/#object/account__v/V4TZ06G6O71SAOO", "ALESSANDRO GALLUZZO")</f>
        <v>ALESSANDRO GALLUZZO</v>
      </c>
      <c r="B2893" s="7" t="str">
        <f t="shared" si="76"/>
        <v>IT</v>
      </c>
      <c r="C2893" s="8" t="s">
        <v>44</v>
      </c>
      <c r="D2893" s="9" t="str">
        <f t="shared" si="77"/>
        <v>AE dialoghi di tempo fiducia e cura episodi 2-3-4</v>
      </c>
      <c r="E2893" s="10" t="str">
        <f>HYPERLINK("https://otsuka-europe-crm.veevavault.com/ui/#object/sent_email__v/VBL00000002O458", "SE-001432129")</f>
        <v>SE-001432129</v>
      </c>
      <c r="F2893" s="11"/>
      <c r="G2893" s="12">
        <v>0</v>
      </c>
      <c r="H2893" s="12">
        <v>0</v>
      </c>
      <c r="I2893" s="12">
        <v>0</v>
      </c>
      <c r="J2893" s="11"/>
      <c r="K2893" s="12">
        <v>0</v>
      </c>
      <c r="L2893" s="10" t="str">
        <f t="shared" si="78"/>
        <v>AE dialoghi di tempo fiducia e cura episodi 2-3-4</v>
      </c>
      <c r="M2893" s="10" t="str">
        <f t="shared" si="79"/>
        <v>nicoletta.vozza@crm.otsuka-europe.com</v>
      </c>
      <c r="N2893" s="13">
        <v>46181.337997685187</v>
      </c>
      <c r="O2893" s="14" t="str">
        <f>HYPERLINK("https://otsuka-europe-crm.veevavault.com/ui/#object/email_activity__v/V8C00000003O918", "EN-002090578")</f>
        <v>EN-002090578</v>
      </c>
    </row>
    <row r="2894" spans="1:15" ht="32" x14ac:dyDescent="0.2">
      <c r="A2894" s="7" t="str">
        <f>HYPERLINK("https://otsuka-europe-crm.veevavault.com/ui/#object/account__v/V4TZ06G6O71SB6D", "ALESSANDRO LEZZA")</f>
        <v>ALESSANDRO LEZZA</v>
      </c>
      <c r="B2894" s="7" t="str">
        <f t="shared" si="76"/>
        <v>IT</v>
      </c>
      <c r="C2894" s="8" t="s">
        <v>44</v>
      </c>
      <c r="D2894" s="9" t="str">
        <f t="shared" si="77"/>
        <v>AE dialoghi di tempo fiducia e cura episodi 2-3-4</v>
      </c>
      <c r="E2894" s="10" t="str">
        <f>HYPERLINK("https://otsuka-europe-crm.veevavault.com/ui/#object/sent_email__v/VBL00000002O459", "SE-001432130")</f>
        <v>SE-001432130</v>
      </c>
      <c r="F2894" s="11"/>
      <c r="G2894" s="12">
        <v>0</v>
      </c>
      <c r="H2894" s="12">
        <v>0</v>
      </c>
      <c r="I2894" s="12">
        <v>0</v>
      </c>
      <c r="J2894" s="11"/>
      <c r="K2894" s="12">
        <v>0</v>
      </c>
      <c r="L2894" s="10" t="str">
        <f t="shared" si="78"/>
        <v>AE dialoghi di tempo fiducia e cura episodi 2-3-4</v>
      </c>
      <c r="M2894" s="10" t="str">
        <f t="shared" si="79"/>
        <v>nicoletta.vozza@crm.otsuka-europe.com</v>
      </c>
      <c r="N2894" s="13">
        <v>46181.33797453704</v>
      </c>
      <c r="O2894" s="14" t="str">
        <f>HYPERLINK("https://otsuka-europe-crm.veevavault.com/ui/#object/email_activity__v/V8C00000003P285", "EN-002089921")</f>
        <v>EN-002089921</v>
      </c>
    </row>
    <row r="2895" spans="1:15" ht="32" x14ac:dyDescent="0.2">
      <c r="A2895" s="7" t="str">
        <f>HYPERLINK("https://otsuka-europe-crm.veevavault.com/ui/#object/account__v/V4TZ025E881NWR5", "ALESSANDRO LISCO")</f>
        <v>ALESSANDRO LISCO</v>
      </c>
      <c r="B2895" s="7" t="str">
        <f t="shared" si="76"/>
        <v>IT</v>
      </c>
      <c r="C2895" s="8" t="s">
        <v>44</v>
      </c>
      <c r="D2895" s="9" t="str">
        <f t="shared" si="77"/>
        <v>AE dialoghi di tempo fiducia e cura episodi 2-3-4</v>
      </c>
      <c r="E2895" s="10" t="str">
        <f>HYPERLINK("https://otsuka-europe-crm.veevavault.com/ui/#object/sent_email__v/VBL00000002O460", "SE-001432131")</f>
        <v>SE-001432131</v>
      </c>
      <c r="F2895" s="11"/>
      <c r="G2895" s="12">
        <v>0</v>
      </c>
      <c r="H2895" s="12">
        <v>0</v>
      </c>
      <c r="I2895" s="12">
        <v>0</v>
      </c>
      <c r="J2895" s="11"/>
      <c r="K2895" s="12">
        <v>0</v>
      </c>
      <c r="L2895" s="10" t="str">
        <f t="shared" si="78"/>
        <v>AE dialoghi di tempo fiducia e cura episodi 2-3-4</v>
      </c>
      <c r="M2895" s="10" t="str">
        <f t="shared" si="79"/>
        <v>nicoletta.vozza@crm.otsuka-europe.com</v>
      </c>
      <c r="N2895" s="13">
        <v>46181.338055555556</v>
      </c>
      <c r="O2895" s="14" t="str">
        <f>HYPERLINK("https://otsuka-europe-crm.veevavault.com/ui/#object/email_activity__v/V8C00000003O898", "EN-002090501")</f>
        <v>EN-002090501</v>
      </c>
    </row>
    <row r="2896" spans="1:15" ht="32" x14ac:dyDescent="0.2">
      <c r="A2896" s="7" t="str">
        <f>HYPERLINK("https://otsuka-europe-crm.veevavault.com/ui/#object/account__v/V4TZ025E87THZT5", "ALESSANDRO MARTORANA")</f>
        <v>ALESSANDRO MARTORANA</v>
      </c>
      <c r="B2896" s="7" t="str">
        <f t="shared" si="76"/>
        <v>IT</v>
      </c>
      <c r="C2896" s="8" t="s">
        <v>44</v>
      </c>
      <c r="D2896" s="9" t="str">
        <f t="shared" si="77"/>
        <v>AE dialoghi di tempo fiducia e cura episodi 2-3-4</v>
      </c>
      <c r="E2896" s="10" t="str">
        <f>HYPERLINK("https://otsuka-europe-crm.veevavault.com/ui/#object/sent_email__v/VBL00000002O461", "SE-001432132")</f>
        <v>SE-001432132</v>
      </c>
      <c r="F2896" s="11"/>
      <c r="G2896" s="12">
        <v>0</v>
      </c>
      <c r="H2896" s="12">
        <v>0</v>
      </c>
      <c r="I2896" s="12">
        <v>0</v>
      </c>
      <c r="J2896" s="11"/>
      <c r="K2896" s="12">
        <v>0</v>
      </c>
      <c r="L2896" s="10" t="str">
        <f t="shared" si="78"/>
        <v>AE dialoghi di tempo fiducia e cura episodi 2-3-4</v>
      </c>
      <c r="M2896" s="10" t="str">
        <f t="shared" si="79"/>
        <v>nicoletta.vozza@crm.otsuka-europe.com</v>
      </c>
      <c r="N2896" s="13">
        <v>46181.338067129633</v>
      </c>
      <c r="O2896" s="14" t="str">
        <f>HYPERLINK("https://otsuka-europe-crm.veevavault.com/ui/#object/email_activity__v/V8C00000003O496", "EN-002090052")</f>
        <v>EN-002090052</v>
      </c>
    </row>
    <row r="2897" spans="1:15" ht="32" x14ac:dyDescent="0.2">
      <c r="A2897" s="7" t="str">
        <f>HYPERLINK("https://otsuka-europe-crm.veevavault.com/ui/#object/account__v/V4TZ06G6O71TLBO", "ALESSANDRO MAZZETTA")</f>
        <v>ALESSANDRO MAZZETTA</v>
      </c>
      <c r="B2897" s="7" t="str">
        <f t="shared" si="76"/>
        <v>IT</v>
      </c>
      <c r="C2897" s="8" t="s">
        <v>44</v>
      </c>
      <c r="D2897" s="9" t="str">
        <f t="shared" si="77"/>
        <v>AE dialoghi di tempo fiducia e cura episodi 2-3-4</v>
      </c>
      <c r="E2897" s="10" t="str">
        <f>HYPERLINK("https://otsuka-europe-crm.veevavault.com/ui/#object/sent_email__v/VBL00000002O462", "SE-001432133")</f>
        <v>SE-001432133</v>
      </c>
      <c r="F2897" s="11"/>
      <c r="G2897" s="12">
        <v>0</v>
      </c>
      <c r="H2897" s="12">
        <v>0</v>
      </c>
      <c r="I2897" s="12">
        <v>0</v>
      </c>
      <c r="J2897" s="11"/>
      <c r="K2897" s="12">
        <v>0</v>
      </c>
      <c r="L2897" s="10" t="str">
        <f t="shared" si="78"/>
        <v>AE dialoghi di tempo fiducia e cura episodi 2-3-4</v>
      </c>
      <c r="M2897" s="10" t="str">
        <f t="shared" si="79"/>
        <v>nicoletta.vozza@crm.otsuka-europe.com</v>
      </c>
      <c r="N2897" s="13">
        <v>46181.338067129633</v>
      </c>
      <c r="O2897" s="14" t="str">
        <f>HYPERLINK("https://otsuka-europe-crm.veevavault.com/ui/#object/email_activity__v/V8C00000003Q062", "EN-002091127")</f>
        <v>EN-002091127</v>
      </c>
    </row>
    <row r="2898" spans="1:15" ht="32" x14ac:dyDescent="0.2">
      <c r="A2898" s="7" t="str">
        <f>HYPERLINK("https://otsuka-europe-crm.veevavault.com/ui/#object/account__v/V4TZ06G6O71SACF", "ALESSANDRO MINUTILLO")</f>
        <v>ALESSANDRO MINUTILLO</v>
      </c>
      <c r="B2898" s="7" t="str">
        <f t="shared" si="76"/>
        <v>IT</v>
      </c>
      <c r="C2898" s="8" t="s">
        <v>44</v>
      </c>
      <c r="D2898" s="9" t="str">
        <f t="shared" si="77"/>
        <v>AE dialoghi di tempo fiducia e cura episodi 2-3-4</v>
      </c>
      <c r="E2898" s="10" t="str">
        <f>HYPERLINK("https://otsuka-europe-crm.veevavault.com/ui/#object/sent_email__v/VBL00000002O463", "SE-001432134")</f>
        <v>SE-001432134</v>
      </c>
      <c r="F2898" s="11"/>
      <c r="G2898" s="12">
        <v>0</v>
      </c>
      <c r="H2898" s="12">
        <v>0</v>
      </c>
      <c r="I2898" s="12">
        <v>0</v>
      </c>
      <c r="J2898" s="11"/>
      <c r="K2898" s="12">
        <v>0</v>
      </c>
      <c r="L2898" s="10" t="str">
        <f t="shared" si="78"/>
        <v>AE dialoghi di tempo fiducia e cura episodi 2-3-4</v>
      </c>
      <c r="M2898" s="10" t="str">
        <f t="shared" si="79"/>
        <v>nicoletta.vozza@crm.otsuka-europe.com</v>
      </c>
      <c r="N2898" s="13">
        <v>46181.338020833333</v>
      </c>
      <c r="O2898" s="14" t="str">
        <f>HYPERLINK("https://otsuka-europe-crm.veevavault.com/ui/#object/email_activity__v/V8C00000003O925", "EN-002090585")</f>
        <v>EN-002090585</v>
      </c>
    </row>
    <row r="2899" spans="1:15" ht="32" x14ac:dyDescent="0.2">
      <c r="A2899" s="7" t="str">
        <f>HYPERLINK("https://otsuka-europe-crm.veevavault.com/ui/#object/account__v/V4TZ06G6O7VSULC", "ALESSANDRO MORETTI")</f>
        <v>ALESSANDRO MORETTI</v>
      </c>
      <c r="B2899" s="7" t="str">
        <f t="shared" si="76"/>
        <v>IT</v>
      </c>
      <c r="C2899" s="8" t="s">
        <v>44</v>
      </c>
      <c r="D2899" s="9" t="str">
        <f t="shared" si="77"/>
        <v>AE dialoghi di tempo fiducia e cura episodi 2-3-4</v>
      </c>
      <c r="E2899" s="10" t="str">
        <f>HYPERLINK("https://otsuka-europe-crm.veevavault.com/ui/#object/sent_email__v/VBL00000002O464", "SE-001432135")</f>
        <v>SE-001432135</v>
      </c>
      <c r="F2899" s="11"/>
      <c r="G2899" s="12">
        <v>0</v>
      </c>
      <c r="H2899" s="12">
        <v>0</v>
      </c>
      <c r="I2899" s="12">
        <v>0</v>
      </c>
      <c r="J2899" s="11"/>
      <c r="K2899" s="12">
        <v>0</v>
      </c>
      <c r="L2899" s="10" t="str">
        <f t="shared" si="78"/>
        <v>AE dialoghi di tempo fiducia e cura episodi 2-3-4</v>
      </c>
      <c r="M2899" s="10" t="str">
        <f t="shared" si="79"/>
        <v>nicoletta.vozza@crm.otsuka-europe.com</v>
      </c>
      <c r="N2899" s="13">
        <v>46181.337951388887</v>
      </c>
      <c r="O2899" s="14" t="str">
        <f>HYPERLINK("https://otsuka-europe-crm.veevavault.com/ui/#object/email_activity__v/V8C00000003O810", "EN-002090512")</f>
        <v>EN-002090512</v>
      </c>
    </row>
    <row r="2900" spans="1:15" ht="32" x14ac:dyDescent="0.2">
      <c r="A2900" s="7" t="str">
        <f>HYPERLINK("https://otsuka-europe-crm.veevavault.com/ui/#object/account__v/V4TZ06G6O71SBPK", "ALESSANDRO OGGIONI")</f>
        <v>ALESSANDRO OGGIONI</v>
      </c>
      <c r="B2900" s="7" t="str">
        <f t="shared" si="76"/>
        <v>IT</v>
      </c>
      <c r="C2900" s="8" t="s">
        <v>44</v>
      </c>
      <c r="D2900" s="9" t="str">
        <f t="shared" si="77"/>
        <v>AE dialoghi di tempo fiducia e cura episodi 2-3-4</v>
      </c>
      <c r="E2900" s="10" t="str">
        <f>HYPERLINK("https://otsuka-europe-crm.veevavault.com/ui/#object/sent_email__v/VBL00000002O465", "SE-001432136")</f>
        <v>SE-001432136</v>
      </c>
      <c r="F2900" s="11"/>
      <c r="G2900" s="12">
        <v>0</v>
      </c>
      <c r="H2900" s="12">
        <v>0</v>
      </c>
      <c r="I2900" s="12">
        <v>0</v>
      </c>
      <c r="J2900" s="11"/>
      <c r="K2900" s="12">
        <v>0</v>
      </c>
      <c r="L2900" s="10" t="str">
        <f t="shared" si="78"/>
        <v>AE dialoghi di tempo fiducia e cura episodi 2-3-4</v>
      </c>
      <c r="M2900" s="10" t="str">
        <f t="shared" si="79"/>
        <v>nicoletta.vozza@crm.otsuka-europe.com</v>
      </c>
      <c r="N2900" s="13">
        <v>46181.338055555556</v>
      </c>
      <c r="O2900" s="14" t="str">
        <f>HYPERLINK("https://otsuka-europe-crm.veevavault.com/ui/#object/email_activity__v/V8C00000003Q134", "EN-002091217")</f>
        <v>EN-002091217</v>
      </c>
    </row>
    <row r="2901" spans="1:15" ht="32" x14ac:dyDescent="0.2">
      <c r="A2901" s="7" t="str">
        <f>HYPERLINK("https://otsuka-europe-crm.veevavault.com/ui/#object/account__v/V4TZ06G6O71SCFS", "ALESSANDRO SPERINDEO")</f>
        <v>ALESSANDRO SPERINDEO</v>
      </c>
      <c r="B2901" s="7" t="str">
        <f t="shared" si="76"/>
        <v>IT</v>
      </c>
      <c r="C2901" s="8" t="s">
        <v>44</v>
      </c>
      <c r="D2901" s="9" t="str">
        <f t="shared" si="77"/>
        <v>AE dialoghi di tempo fiducia e cura episodi 2-3-4</v>
      </c>
      <c r="E2901" s="10" t="str">
        <f>HYPERLINK("https://otsuka-europe-crm.veevavault.com/ui/#object/sent_email__v/VBL00000002O466", "SE-001432137")</f>
        <v>SE-001432137</v>
      </c>
      <c r="F2901" s="11"/>
      <c r="G2901" s="12">
        <v>0</v>
      </c>
      <c r="H2901" s="12">
        <v>0</v>
      </c>
      <c r="I2901" s="12">
        <v>0</v>
      </c>
      <c r="J2901" s="11"/>
      <c r="K2901" s="12">
        <v>0</v>
      </c>
      <c r="L2901" s="10" t="str">
        <f t="shared" si="78"/>
        <v>AE dialoghi di tempo fiducia e cura episodi 2-3-4</v>
      </c>
      <c r="M2901" s="10" t="str">
        <f t="shared" si="79"/>
        <v>nicoletta.vozza@crm.otsuka-europe.com</v>
      </c>
      <c r="N2901" s="13">
        <v>46181.338055555556</v>
      </c>
      <c r="O2901" s="14" t="str">
        <f>HYPERLINK("https://otsuka-europe-crm.veevavault.com/ui/#object/email_activity__v/V8C00000003O893", "EN-002090496")</f>
        <v>EN-002090496</v>
      </c>
    </row>
    <row r="2902" spans="1:15" ht="32" x14ac:dyDescent="0.2">
      <c r="A2902" s="7" t="str">
        <f>HYPERLINK("https://otsuka-europe-crm.veevavault.com/ui/#object/account__v/V4TZ06G6O71SCHK", "ALESSANDRO SVETTINI")</f>
        <v>ALESSANDRO SVETTINI</v>
      </c>
      <c r="B2902" s="7" t="str">
        <f t="shared" si="76"/>
        <v>IT</v>
      </c>
      <c r="C2902" s="8" t="s">
        <v>44</v>
      </c>
      <c r="D2902" s="9" t="str">
        <f t="shared" si="77"/>
        <v>AE dialoghi di tempo fiducia e cura episodi 2-3-4</v>
      </c>
      <c r="E2902" s="10" t="str">
        <f>HYPERLINK("https://otsuka-europe-crm.veevavault.com/ui/#object/sent_email__v/VBL00000002O467", "SE-001432138")</f>
        <v>SE-001432138</v>
      </c>
      <c r="F2902" s="11"/>
      <c r="G2902" s="12">
        <v>0</v>
      </c>
      <c r="H2902" s="12">
        <v>0</v>
      </c>
      <c r="I2902" s="12">
        <v>0</v>
      </c>
      <c r="J2902" s="11"/>
      <c r="K2902" s="12">
        <v>0</v>
      </c>
      <c r="L2902" s="10" t="str">
        <f t="shared" si="78"/>
        <v>AE dialoghi di tempo fiducia e cura episodi 2-3-4</v>
      </c>
      <c r="M2902" s="10" t="str">
        <f t="shared" si="79"/>
        <v>nicoletta.vozza@crm.otsuka-europe.com</v>
      </c>
      <c r="N2902" s="13">
        <v>46181.33797453704</v>
      </c>
      <c r="O2902" s="14" t="str">
        <f>HYPERLINK("https://otsuka-europe-crm.veevavault.com/ui/#object/email_activity__v/V8C00000003O311", "EN-002089788")</f>
        <v>EN-002089788</v>
      </c>
    </row>
    <row r="2903" spans="1:15" ht="32" x14ac:dyDescent="0.2">
      <c r="A2903" s="7" t="str">
        <f>HYPERLINK("https://otsuka-europe-crm.veevavault.com/ui/#object/account__v/V4TZ04ASGAVAYL3", "ALESSANDRO UBALDO VALLARINO")</f>
        <v>ALESSANDRO UBALDO VALLARINO</v>
      </c>
      <c r="B2903" s="7" t="str">
        <f t="shared" si="76"/>
        <v>IT</v>
      </c>
      <c r="C2903" s="8" t="s">
        <v>44</v>
      </c>
      <c r="D2903" s="9" t="str">
        <f t="shared" si="77"/>
        <v>AE dialoghi di tempo fiducia e cura episodi 2-3-4</v>
      </c>
      <c r="E2903" s="10" t="str">
        <f>HYPERLINK("https://otsuka-europe-crm.veevavault.com/ui/#object/sent_email__v/VBL00000002O468", "SE-001432139")</f>
        <v>SE-001432139</v>
      </c>
      <c r="F2903" s="11"/>
      <c r="G2903" s="12">
        <v>0</v>
      </c>
      <c r="H2903" s="12">
        <v>0</v>
      </c>
      <c r="I2903" s="12">
        <v>0</v>
      </c>
      <c r="J2903" s="11"/>
      <c r="K2903" s="12">
        <v>0</v>
      </c>
      <c r="L2903" s="10" t="str">
        <f t="shared" si="78"/>
        <v>AE dialoghi di tempo fiducia e cura episodi 2-3-4</v>
      </c>
      <c r="M2903" s="10" t="str">
        <f t="shared" si="79"/>
        <v>nicoletta.vozza@crm.otsuka-europe.com</v>
      </c>
      <c r="N2903" s="13">
        <v>46181.338067129633</v>
      </c>
      <c r="O2903" s="14" t="str">
        <f>HYPERLINK("https://otsuka-europe-crm.veevavault.com/ui/#object/email_activity__v/V8C00000003P818", "EN-002091116")</f>
        <v>EN-002091116</v>
      </c>
    </row>
    <row r="2904" spans="1:15" ht="32" x14ac:dyDescent="0.2">
      <c r="A2904" s="7" t="str">
        <f>HYPERLINK("https://otsuka-europe-crm.veevavault.com/ui/#object/account__v/V4TZ06G6O71S9P9", "ALESSIA ANTONELLA MERELLI")</f>
        <v>ALESSIA ANTONELLA MERELLI</v>
      </c>
      <c r="B2904" s="7" t="str">
        <f t="shared" si="76"/>
        <v>IT</v>
      </c>
      <c r="C2904" s="8" t="s">
        <v>44</v>
      </c>
      <c r="D2904" s="9" t="str">
        <f t="shared" si="77"/>
        <v>AE dialoghi di tempo fiducia e cura episodi 2-3-4</v>
      </c>
      <c r="E2904" s="10" t="str">
        <f>HYPERLINK("https://otsuka-europe-crm.veevavault.com/ui/#object/sent_email__v/VBL00000002O469", "SE-001432140")</f>
        <v>SE-001432140</v>
      </c>
      <c r="F2904" s="11"/>
      <c r="G2904" s="12">
        <v>0</v>
      </c>
      <c r="H2904" s="12">
        <v>0</v>
      </c>
      <c r="I2904" s="12">
        <v>0</v>
      </c>
      <c r="J2904" s="11"/>
      <c r="K2904" s="12">
        <v>0</v>
      </c>
      <c r="L2904" s="10" t="str">
        <f t="shared" si="78"/>
        <v>AE dialoghi di tempo fiducia e cura episodi 2-3-4</v>
      </c>
      <c r="M2904" s="10" t="str">
        <f t="shared" si="79"/>
        <v>nicoletta.vozza@crm.otsuka-europe.com</v>
      </c>
      <c r="N2904" s="13">
        <v>46181.338101851848</v>
      </c>
      <c r="O2904" s="14" t="str">
        <f>HYPERLINK("https://otsuka-europe-crm.veevavault.com/ui/#object/email_activity__v/V8C00000003P844", "EN-002091203")</f>
        <v>EN-002091203</v>
      </c>
    </row>
    <row r="2905" spans="1:15" ht="32" x14ac:dyDescent="0.2">
      <c r="A2905" s="7" t="str">
        <f>HYPERLINK("https://otsuka-europe-crm.veevavault.com/ui/#object/account__v/V4TZ04ASG8EU0VH", "ALESSIA DRAGANI")</f>
        <v>ALESSIA DRAGANI</v>
      </c>
      <c r="B2905" s="7" t="str">
        <f t="shared" si="76"/>
        <v>IT</v>
      </c>
      <c r="C2905" s="8" t="s">
        <v>44</v>
      </c>
      <c r="D2905" s="9" t="str">
        <f t="shared" si="77"/>
        <v>AE dialoghi di tempo fiducia e cura episodi 2-3-4</v>
      </c>
      <c r="E2905" s="10" t="str">
        <f>HYPERLINK("https://otsuka-europe-crm.veevavault.com/ui/#object/sent_email__v/VBL00000002O470", "SE-001432141")</f>
        <v>SE-001432141</v>
      </c>
      <c r="F2905" s="11"/>
      <c r="G2905" s="12">
        <v>0</v>
      </c>
      <c r="H2905" s="12">
        <v>0</v>
      </c>
      <c r="I2905" s="12">
        <v>0</v>
      </c>
      <c r="J2905" s="11"/>
      <c r="K2905" s="12">
        <v>0</v>
      </c>
      <c r="L2905" s="10" t="str">
        <f t="shared" si="78"/>
        <v>AE dialoghi di tempo fiducia e cura episodi 2-3-4</v>
      </c>
      <c r="M2905" s="10" t="str">
        <f t="shared" si="79"/>
        <v>nicoletta.vozza@crm.otsuka-europe.com</v>
      </c>
      <c r="N2905" s="13">
        <v>46181.338078703702</v>
      </c>
      <c r="O2905" s="14" t="str">
        <f>HYPERLINK("https://otsuka-europe-crm.veevavault.com/ui/#object/email_activity__v/V8C00000003O844", "EN-002090546")</f>
        <v>EN-002090546</v>
      </c>
    </row>
    <row r="2906" spans="1:15" ht="16" x14ac:dyDescent="0.2">
      <c r="A2906" s="17" t="str">
        <f>HYPERLINK("https://otsuka-europe-crm.veevavault.com/ui/#object/account__v/V4TZ06G6O71S9TB", "ALESSIA GENTILOTTI")</f>
        <v>ALESSIA GENTILOTTI</v>
      </c>
      <c r="B2906" s="17" t="str">
        <f t="shared" si="76"/>
        <v>IT</v>
      </c>
      <c r="C2906" s="20" t="s">
        <v>44</v>
      </c>
      <c r="D2906" s="21" t="str">
        <f t="shared" si="77"/>
        <v>AE dialoghi di tempo fiducia e cura episodi 2-3-4</v>
      </c>
      <c r="E2906" s="22" t="str">
        <f>HYPERLINK("https://otsuka-europe-crm.veevavault.com/ui/#object/sent_email__v/VBL00000002O471", "SE-001432142")</f>
        <v>SE-001432142</v>
      </c>
      <c r="F2906" s="23">
        <v>46187.928124999999</v>
      </c>
      <c r="G2906" s="24">
        <v>1</v>
      </c>
      <c r="H2906" s="24">
        <v>1</v>
      </c>
      <c r="I2906" s="24">
        <v>0</v>
      </c>
      <c r="J2906" s="25"/>
      <c r="K2906" s="24">
        <v>0</v>
      </c>
      <c r="L2906" s="22" t="str">
        <f t="shared" si="78"/>
        <v>AE dialoghi di tempo fiducia e cura episodi 2-3-4</v>
      </c>
      <c r="M2906" s="22" t="str">
        <f t="shared" si="79"/>
        <v>nicoletta.vozza@crm.otsuka-europe.com</v>
      </c>
      <c r="N2906" s="23">
        <v>46181.338009259256</v>
      </c>
      <c r="O2906" s="14" t="str">
        <f>HYPERLINK("https://otsuka-europe-crm.veevavault.com/ui/#object/email_activity__v/V8C00000003P671", "EN-002090926")</f>
        <v>EN-002090926</v>
      </c>
    </row>
    <row r="2907" spans="1:15" ht="16" x14ac:dyDescent="0.2">
      <c r="A2907" s="19"/>
      <c r="B2907" s="19"/>
      <c r="C2907" s="19"/>
      <c r="D2907" s="19"/>
      <c r="E2907" s="19"/>
      <c r="F2907" s="19"/>
      <c r="G2907" s="19"/>
      <c r="H2907" s="19"/>
      <c r="I2907" s="19"/>
      <c r="J2907" s="19"/>
      <c r="K2907" s="19"/>
      <c r="L2907" s="19"/>
      <c r="M2907" s="19"/>
      <c r="N2907" s="19"/>
      <c r="O2907" s="14" t="str">
        <f>HYPERLINK("https://otsuka-europe-crm.veevavault.com/ui/#object/email_activity__v/V8C00000003V477", "EN-002095735")</f>
        <v>EN-002095735</v>
      </c>
    </row>
    <row r="2908" spans="1:15" ht="32" x14ac:dyDescent="0.2">
      <c r="A2908" s="7" t="str">
        <f>HYPERLINK("https://otsuka-europe-crm.veevavault.com/ui/#object/account__v/V4TZ06G6O71S9T1", "ALESSIA GOFFREDI")</f>
        <v>ALESSIA GOFFREDI</v>
      </c>
      <c r="B2908" s="7" t="str">
        <f>HYPERLINK("https://otsuka-europe-crm.veevavault.com/ui/#object/vcountry__v/VENZ000004SONFQ", "IT")</f>
        <v>IT</v>
      </c>
      <c r="C2908" s="8" t="s">
        <v>44</v>
      </c>
      <c r="D2908" s="9" t="str">
        <f>HYPERLINK("https://otsuka-europe-crm.veevavault.com/ui/#object/approved_document__v/V5O000000018003", "AE dialoghi di tempo fiducia e cura episodi 2-3-4")</f>
        <v>AE dialoghi di tempo fiducia e cura episodi 2-3-4</v>
      </c>
      <c r="E2908" s="10" t="str">
        <f>HYPERLINK("https://otsuka-europe-crm.veevavault.com/ui/#object/sent_email__v/VBL00000002O472", "SE-001432143")</f>
        <v>SE-001432143</v>
      </c>
      <c r="F2908" s="11"/>
      <c r="G2908" s="12">
        <v>0</v>
      </c>
      <c r="H2908" s="12">
        <v>0</v>
      </c>
      <c r="I2908" s="12">
        <v>0</v>
      </c>
      <c r="J2908" s="11"/>
      <c r="K2908" s="12">
        <v>0</v>
      </c>
      <c r="L2908" s="10" t="str">
        <f>HYPERLINK("https://otsuka-europe-crm.veevavault.com/ui/#object/approved_document__v/V5O000000018003", "AE dialoghi di tempo fiducia e cura episodi 2-3-4")</f>
        <v>AE dialoghi di tempo fiducia e cura episodi 2-3-4</v>
      </c>
      <c r="M2908" s="10" t="str">
        <f>HYPERLINK("mailto:nicoletta.vozza@crm.otsuka-europe.com", "nicoletta.vozza@crm.otsuka-europe.com")</f>
        <v>nicoletta.vozza@crm.otsuka-europe.com</v>
      </c>
      <c r="N2908" s="13">
        <v>46181.33797453704</v>
      </c>
      <c r="O2908" s="14" t="str">
        <f>HYPERLINK("https://otsuka-europe-crm.veevavault.com/ui/#object/email_activity__v/V8C00000003P401", "EN-002090407")</f>
        <v>EN-002090407</v>
      </c>
    </row>
    <row r="2909" spans="1:15" ht="32" x14ac:dyDescent="0.2">
      <c r="A2909" s="7" t="str">
        <f>HYPERLINK("https://otsuka-europe-crm.veevavault.com/ui/#object/account__v/V4TZ06G6O71S9DD", "ALESSIA GUICCIARDI")</f>
        <v>ALESSIA GUICCIARDI</v>
      </c>
      <c r="B2909" s="7" t="str">
        <f>HYPERLINK("https://otsuka-europe-crm.veevavault.com/ui/#object/vcountry__v/VENZ000004SONFQ", "IT")</f>
        <v>IT</v>
      </c>
      <c r="C2909" s="8" t="s">
        <v>44</v>
      </c>
      <c r="D2909" s="9" t="str">
        <f>HYPERLINK("https://otsuka-europe-crm.veevavault.com/ui/#object/approved_document__v/V5O000000018003", "AE dialoghi di tempo fiducia e cura episodi 2-3-4")</f>
        <v>AE dialoghi di tempo fiducia e cura episodi 2-3-4</v>
      </c>
      <c r="E2909" s="10" t="str">
        <f>HYPERLINK("https://otsuka-europe-crm.veevavault.com/ui/#object/sent_email__v/VBL00000002O473", "SE-001432144")</f>
        <v>SE-001432144</v>
      </c>
      <c r="F2909" s="11"/>
      <c r="G2909" s="12">
        <v>0</v>
      </c>
      <c r="H2909" s="12">
        <v>0</v>
      </c>
      <c r="I2909" s="12">
        <v>0</v>
      </c>
      <c r="J2909" s="11"/>
      <c r="K2909" s="12">
        <v>0</v>
      </c>
      <c r="L2909" s="10" t="str">
        <f>HYPERLINK("https://otsuka-europe-crm.veevavault.com/ui/#object/approved_document__v/V5O000000018003", "AE dialoghi di tempo fiducia e cura episodi 2-3-4")</f>
        <v>AE dialoghi di tempo fiducia e cura episodi 2-3-4</v>
      </c>
      <c r="M2909" s="10" t="str">
        <f>HYPERLINK("mailto:nicoletta.vozza@crm.otsuka-europe.com", "nicoletta.vozza@crm.otsuka-europe.com")</f>
        <v>nicoletta.vozza@crm.otsuka-europe.com</v>
      </c>
      <c r="N2909" s="13">
        <v>46181.337951388887</v>
      </c>
      <c r="O2909" s="14" t="str">
        <f>HYPERLINK("https://otsuka-europe-crm.veevavault.com/ui/#object/email_activity__v/V8C00000003O402", "EN-002089958")</f>
        <v>EN-002089958</v>
      </c>
    </row>
    <row r="2910" spans="1:15" ht="16" x14ac:dyDescent="0.2">
      <c r="A2910" s="17" t="str">
        <f>HYPERLINK("https://otsuka-europe-crm.veevavault.com/ui/#object/account__v/V4TZ06G6ODNLUC4", "ALESSIA IANNUCCELLI")</f>
        <v>ALESSIA IANNUCCELLI</v>
      </c>
      <c r="B2910" s="17" t="str">
        <f>HYPERLINK("https://otsuka-europe-crm.veevavault.com/ui/#object/vcountry__v/VENZ000004SONFQ", "IT")</f>
        <v>IT</v>
      </c>
      <c r="C2910" s="20" t="s">
        <v>44</v>
      </c>
      <c r="D2910" s="21" t="str">
        <f>HYPERLINK("https://otsuka-europe-crm.veevavault.com/ui/#object/approved_document__v/V5O000000018003", "AE dialoghi di tempo fiducia e cura episodi 2-3-4")</f>
        <v>AE dialoghi di tempo fiducia e cura episodi 2-3-4</v>
      </c>
      <c r="E2910" s="22" t="str">
        <f>HYPERLINK("https://otsuka-europe-crm.veevavault.com/ui/#object/sent_email__v/VBL00000002O474", "SE-001432145")</f>
        <v>SE-001432145</v>
      </c>
      <c r="F2910" s="25"/>
      <c r="G2910" s="24">
        <v>0</v>
      </c>
      <c r="H2910" s="24">
        <v>0</v>
      </c>
      <c r="I2910" s="24">
        <v>0</v>
      </c>
      <c r="J2910" s="25"/>
      <c r="K2910" s="24">
        <v>0</v>
      </c>
      <c r="L2910" s="22" t="str">
        <f>HYPERLINK("https://otsuka-europe-crm.veevavault.com/ui/#object/approved_document__v/V5O000000018003", "AE dialoghi di tempo fiducia e cura episodi 2-3-4")</f>
        <v>AE dialoghi di tempo fiducia e cura episodi 2-3-4</v>
      </c>
      <c r="M2910" s="22" t="str">
        <f>HYPERLINK("mailto:nicoletta.vozza@crm.otsuka-europe.com", "nicoletta.vozza@crm.otsuka-europe.com")</f>
        <v>nicoletta.vozza@crm.otsuka-europe.com</v>
      </c>
      <c r="N2910" s="23">
        <v>46181.337997685187</v>
      </c>
      <c r="O2910" s="14" t="str">
        <f>HYPERLINK("https://otsuka-europe-crm.veevavault.com/ui/#object/email_activity__v/V8C00000003O321", "EN-002089798")</f>
        <v>EN-002089798</v>
      </c>
    </row>
    <row r="2911" spans="1:15" ht="16" x14ac:dyDescent="0.2">
      <c r="A2911" s="19"/>
      <c r="B2911" s="19"/>
      <c r="C2911" s="19"/>
      <c r="D2911" s="19"/>
      <c r="E2911" s="19"/>
      <c r="F2911" s="19"/>
      <c r="G2911" s="19"/>
      <c r="H2911" s="19"/>
      <c r="I2911" s="19"/>
      <c r="J2911" s="19"/>
      <c r="K2911" s="19"/>
      <c r="L2911" s="19"/>
      <c r="M2911" s="19"/>
      <c r="N2911" s="19"/>
      <c r="O2911" s="14" t="str">
        <f>HYPERLINK("https://otsuka-europe-crm.veevavault.com/ui/#object/email_activity__v/V8C00000003Q652", "EN-002092128")</f>
        <v>EN-002092128</v>
      </c>
    </row>
    <row r="2912" spans="1:15" ht="32" x14ac:dyDescent="0.2">
      <c r="A2912" s="7" t="str">
        <f>HYPERLINK("https://otsuka-europe-crm.veevavault.com/ui/#object/account__v/V4TZ06G6O71YTZ8", "ALESSIA METELLI")</f>
        <v>ALESSIA METELLI</v>
      </c>
      <c r="B2912" s="7" t="str">
        <f>HYPERLINK("https://otsuka-europe-crm.veevavault.com/ui/#object/vcountry__v/VENZ000004SONFQ", "IT")</f>
        <v>IT</v>
      </c>
      <c r="C2912" s="8" t="s">
        <v>44</v>
      </c>
      <c r="D2912" s="9" t="str">
        <f>HYPERLINK("https://otsuka-europe-crm.veevavault.com/ui/#object/approved_document__v/V5O000000018003", "AE dialoghi di tempo fiducia e cura episodi 2-3-4")</f>
        <v>AE dialoghi di tempo fiducia e cura episodi 2-3-4</v>
      </c>
      <c r="E2912" s="10" t="str">
        <f>HYPERLINK("https://otsuka-europe-crm.veevavault.com/ui/#object/sent_email__v/VBL00000002O475", "SE-001432146")</f>
        <v>SE-001432146</v>
      </c>
      <c r="F2912" s="11"/>
      <c r="G2912" s="12">
        <v>0</v>
      </c>
      <c r="H2912" s="12">
        <v>0</v>
      </c>
      <c r="I2912" s="12">
        <v>0</v>
      </c>
      <c r="J2912" s="11"/>
      <c r="K2912" s="12">
        <v>0</v>
      </c>
      <c r="L2912" s="10" t="str">
        <f>HYPERLINK("https://otsuka-europe-crm.veevavault.com/ui/#object/approved_document__v/V5O000000018003", "AE dialoghi di tempo fiducia e cura episodi 2-3-4")</f>
        <v>AE dialoghi di tempo fiducia e cura episodi 2-3-4</v>
      </c>
      <c r="M2912" s="10" t="str">
        <f>HYPERLINK("mailto:nicoletta.vozza@crm.otsuka-europe.com", "nicoletta.vozza@crm.otsuka-europe.com")</f>
        <v>nicoletta.vozza@crm.otsuka-europe.com</v>
      </c>
      <c r="N2912" s="13">
        <v>46181.33797453704</v>
      </c>
      <c r="O2912" s="14" t="str">
        <f>HYPERLINK("https://otsuka-europe-crm.veevavault.com/ui/#object/email_activity__v/V8C00000003P151", "EN-002089551")</f>
        <v>EN-002089551</v>
      </c>
    </row>
    <row r="2913" spans="1:15" ht="32" x14ac:dyDescent="0.2">
      <c r="A2913" s="7" t="str">
        <f>HYPERLINK("https://otsuka-europe-crm.veevavault.com/ui/#object/account__v/V4TZ06G6O71SBJI", "ALESSIA MIRIGLIANI")</f>
        <v>ALESSIA MIRIGLIANI</v>
      </c>
      <c r="B2913" s="7" t="str">
        <f>HYPERLINK("https://otsuka-europe-crm.veevavault.com/ui/#object/vcountry__v/VENZ000004SONFQ", "IT")</f>
        <v>IT</v>
      </c>
      <c r="C2913" s="8" t="s">
        <v>44</v>
      </c>
      <c r="D2913" s="9" t="str">
        <f>HYPERLINK("https://otsuka-europe-crm.veevavault.com/ui/#object/approved_document__v/V5O000000018003", "AE dialoghi di tempo fiducia e cura episodi 2-3-4")</f>
        <v>AE dialoghi di tempo fiducia e cura episodi 2-3-4</v>
      </c>
      <c r="E2913" s="10" t="str">
        <f>HYPERLINK("https://otsuka-europe-crm.veevavault.com/ui/#object/sent_email__v/VBL00000002O476", "SE-001432147")</f>
        <v>SE-001432147</v>
      </c>
      <c r="F2913" s="11"/>
      <c r="G2913" s="12">
        <v>0</v>
      </c>
      <c r="H2913" s="12">
        <v>0</v>
      </c>
      <c r="I2913" s="12">
        <v>0</v>
      </c>
      <c r="J2913" s="11"/>
      <c r="K2913" s="12">
        <v>0</v>
      </c>
      <c r="L2913" s="10" t="str">
        <f>HYPERLINK("https://otsuka-europe-crm.veevavault.com/ui/#object/approved_document__v/V5O000000018003", "AE dialoghi di tempo fiducia e cura episodi 2-3-4")</f>
        <v>AE dialoghi di tempo fiducia e cura episodi 2-3-4</v>
      </c>
      <c r="M2913" s="10" t="str">
        <f>HYPERLINK("mailto:nicoletta.vozza@crm.otsuka-europe.com", "nicoletta.vozza@crm.otsuka-europe.com")</f>
        <v>nicoletta.vozza@crm.otsuka-europe.com</v>
      </c>
      <c r="N2913" s="13">
        <v>46181.33797453704</v>
      </c>
      <c r="O2913" s="14" t="str">
        <f>HYPERLINK("https://otsuka-europe-crm.veevavault.com/ui/#object/email_activity__v/V8C00000003P425", "EN-002090676")</f>
        <v>EN-002090676</v>
      </c>
    </row>
    <row r="2914" spans="1:15" ht="32" x14ac:dyDescent="0.2">
      <c r="A2914" s="7" t="str">
        <f>HYPERLINK("https://otsuka-europe-crm.veevavault.com/ui/#object/account__v/V4TZ06G6O71S9RG", "ALESSIA MUSCARELLA")</f>
        <v>ALESSIA MUSCARELLA</v>
      </c>
      <c r="B2914" s="7" t="str">
        <f>HYPERLINK("https://otsuka-europe-crm.veevavault.com/ui/#object/vcountry__v/VENZ000004SONFQ", "IT")</f>
        <v>IT</v>
      </c>
      <c r="C2914" s="8" t="s">
        <v>44</v>
      </c>
      <c r="D2914" s="9" t="str">
        <f>HYPERLINK("https://otsuka-europe-crm.veevavault.com/ui/#object/approved_document__v/V5O000000018003", "AE dialoghi di tempo fiducia e cura episodi 2-3-4")</f>
        <v>AE dialoghi di tempo fiducia e cura episodi 2-3-4</v>
      </c>
      <c r="E2914" s="10" t="str">
        <f>HYPERLINK("https://otsuka-europe-crm.veevavault.com/ui/#object/sent_email__v/VBL00000002O477", "SE-001432148")</f>
        <v>SE-001432148</v>
      </c>
      <c r="F2914" s="11"/>
      <c r="G2914" s="12">
        <v>0</v>
      </c>
      <c r="H2914" s="12">
        <v>0</v>
      </c>
      <c r="I2914" s="12">
        <v>0</v>
      </c>
      <c r="J2914" s="11"/>
      <c r="K2914" s="12">
        <v>0</v>
      </c>
      <c r="L2914" s="10" t="str">
        <f>HYPERLINK("https://otsuka-europe-crm.veevavault.com/ui/#object/approved_document__v/V5O000000018003", "AE dialoghi di tempo fiducia e cura episodi 2-3-4")</f>
        <v>AE dialoghi di tempo fiducia e cura episodi 2-3-4</v>
      </c>
      <c r="M2914" s="10" t="str">
        <f>HYPERLINK("mailto:nicoletta.vozza@crm.otsuka-europe.com", "nicoletta.vozza@crm.otsuka-europe.com")</f>
        <v>nicoletta.vozza@crm.otsuka-europe.com</v>
      </c>
      <c r="N2914" s="13">
        <v>46181.338055555556</v>
      </c>
      <c r="O2914" s="14" t="str">
        <f>HYPERLINK("https://otsuka-europe-crm.veevavault.com/ui/#object/email_activity__v/V8C00000003O490", "EN-002090046")</f>
        <v>EN-002090046</v>
      </c>
    </row>
    <row r="2915" spans="1:15" ht="16" x14ac:dyDescent="0.2">
      <c r="A2915" s="17" t="str">
        <f>HYPERLINK("https://otsuka-europe-crm.veevavault.com/ui/#object/account__v/V4TZ06G6O94QV1C", "ALESSIA RICCI")</f>
        <v>ALESSIA RICCI</v>
      </c>
      <c r="B2915" s="17" t="str">
        <f>HYPERLINK("https://otsuka-europe-crm.veevavault.com/ui/#object/vcountry__v/VENZ000004SONFQ", "IT")</f>
        <v>IT</v>
      </c>
      <c r="C2915" s="20" t="s">
        <v>44</v>
      </c>
      <c r="D2915" s="21" t="str">
        <f>HYPERLINK("https://otsuka-europe-crm.veevavault.com/ui/#object/approved_document__v/V5O000000018003", "AE dialoghi di tempo fiducia e cura episodi 2-3-4")</f>
        <v>AE dialoghi di tempo fiducia e cura episodi 2-3-4</v>
      </c>
      <c r="E2915" s="22" t="str">
        <f>HYPERLINK("https://otsuka-europe-crm.veevavault.com/ui/#object/sent_email__v/VBL00000002O478", "SE-001432149")</f>
        <v>SE-001432149</v>
      </c>
      <c r="F2915" s="25"/>
      <c r="G2915" s="24">
        <v>0</v>
      </c>
      <c r="H2915" s="24">
        <v>0</v>
      </c>
      <c r="I2915" s="24">
        <v>0</v>
      </c>
      <c r="J2915" s="25"/>
      <c r="K2915" s="24">
        <v>0</v>
      </c>
      <c r="L2915" s="22" t="str">
        <f>HYPERLINK("https://otsuka-europe-crm.veevavault.com/ui/#object/approved_document__v/V5O000000018003", "AE dialoghi di tempo fiducia e cura episodi 2-3-4")</f>
        <v>AE dialoghi di tempo fiducia e cura episodi 2-3-4</v>
      </c>
      <c r="M2915" s="22" t="str">
        <f>HYPERLINK("mailto:nicoletta.vozza@crm.otsuka-europe.com", "nicoletta.vozza@crm.otsuka-europe.com")</f>
        <v>nicoletta.vozza@crm.otsuka-europe.com</v>
      </c>
      <c r="N2915" s="23">
        <v>46181.33797453704</v>
      </c>
      <c r="O2915" s="14" t="str">
        <f>HYPERLINK("https://otsuka-europe-crm.veevavault.com/ui/#object/email_activity__v/V8C00000003P152", "EN-002089552")</f>
        <v>EN-002089552</v>
      </c>
    </row>
    <row r="2916" spans="1:15" ht="16" x14ac:dyDescent="0.2">
      <c r="A2916" s="19"/>
      <c r="B2916" s="19"/>
      <c r="C2916" s="19"/>
      <c r="D2916" s="19"/>
      <c r="E2916" s="19"/>
      <c r="F2916" s="19"/>
      <c r="G2916" s="19"/>
      <c r="H2916" s="19"/>
      <c r="I2916" s="19"/>
      <c r="J2916" s="19"/>
      <c r="K2916" s="19"/>
      <c r="L2916" s="19"/>
      <c r="M2916" s="19"/>
      <c r="N2916" s="19"/>
      <c r="O2916" s="14" t="str">
        <f>HYPERLINK("https://otsuka-europe-crm.veevavault.com/ui/#object/email_activity__v/V8C00000003Q611", "EN-002092039")</f>
        <v>EN-002092039</v>
      </c>
    </row>
    <row r="2917" spans="1:15" ht="32" x14ac:dyDescent="0.2">
      <c r="A2917" s="7" t="str">
        <f>HYPERLINK("https://otsuka-europe-crm.veevavault.com/ui/#object/account__v/V4TZ06G6O71SCSD", "ALESSIA ZUCCARO")</f>
        <v>ALESSIA ZUCCARO</v>
      </c>
      <c r="B2917" s="7" t="str">
        <f>HYPERLINK("https://otsuka-europe-crm.veevavault.com/ui/#object/vcountry__v/VENZ000004SONFQ", "IT")</f>
        <v>IT</v>
      </c>
      <c r="C2917" s="8" t="s">
        <v>44</v>
      </c>
      <c r="D2917" s="9" t="str">
        <f>HYPERLINK("https://otsuka-europe-crm.veevavault.com/ui/#object/approved_document__v/V5O000000018003", "AE dialoghi di tempo fiducia e cura episodi 2-3-4")</f>
        <v>AE dialoghi di tempo fiducia e cura episodi 2-3-4</v>
      </c>
      <c r="E2917" s="10" t="str">
        <f>HYPERLINK("https://otsuka-europe-crm.veevavault.com/ui/#object/sent_email__v/VBL00000002O479", "SE-001432150")</f>
        <v>SE-001432150</v>
      </c>
      <c r="F2917" s="11"/>
      <c r="G2917" s="12">
        <v>0</v>
      </c>
      <c r="H2917" s="12">
        <v>0</v>
      </c>
      <c r="I2917" s="12">
        <v>0</v>
      </c>
      <c r="J2917" s="11"/>
      <c r="K2917" s="12">
        <v>0</v>
      </c>
      <c r="L2917" s="10" t="str">
        <f>HYPERLINK("https://otsuka-europe-crm.veevavault.com/ui/#object/approved_document__v/V5O000000018003", "AE dialoghi di tempo fiducia e cura episodi 2-3-4")</f>
        <v>AE dialoghi di tempo fiducia e cura episodi 2-3-4</v>
      </c>
      <c r="M2917" s="10" t="str">
        <f>HYPERLINK("mailto:nicoletta.vozza@crm.otsuka-europe.com", "nicoletta.vozza@crm.otsuka-europe.com")</f>
        <v>nicoletta.vozza@crm.otsuka-europe.com</v>
      </c>
      <c r="N2917" s="13">
        <v>46181.33803240741</v>
      </c>
      <c r="O2917" s="14" t="str">
        <f>HYPERLINK("https://otsuka-europe-crm.veevavault.com/ui/#object/email_activity__v/V8C00000003O585", "EN-002090141")</f>
        <v>EN-002090141</v>
      </c>
    </row>
    <row r="2918" spans="1:15" ht="32" x14ac:dyDescent="0.2">
      <c r="A2918" s="7" t="str">
        <f>HYPERLINK("https://otsuka-europe-crm.veevavault.com/ui/#object/account__v/V4TZ025E86IIJ4Y", "ALESSIO BONUCCI")</f>
        <v>ALESSIO BONUCCI</v>
      </c>
      <c r="B2918" s="7" t="str">
        <f>HYPERLINK("https://otsuka-europe-crm.veevavault.com/ui/#object/vcountry__v/VENZ000004SONFQ", "IT")</f>
        <v>IT</v>
      </c>
      <c r="C2918" s="8" t="s">
        <v>44</v>
      </c>
      <c r="D2918" s="9" t="str">
        <f>HYPERLINK("https://otsuka-europe-crm.veevavault.com/ui/#object/approved_document__v/V5O000000018003", "AE dialoghi di tempo fiducia e cura episodi 2-3-4")</f>
        <v>AE dialoghi di tempo fiducia e cura episodi 2-3-4</v>
      </c>
      <c r="E2918" s="10" t="str">
        <f>HYPERLINK("https://otsuka-europe-crm.veevavault.com/ui/#object/sent_email__v/VBL00000002O480", "SE-001432151")</f>
        <v>SE-001432151</v>
      </c>
      <c r="F2918" s="11"/>
      <c r="G2918" s="12">
        <v>0</v>
      </c>
      <c r="H2918" s="12">
        <v>0</v>
      </c>
      <c r="I2918" s="12">
        <v>0</v>
      </c>
      <c r="J2918" s="11"/>
      <c r="K2918" s="12">
        <v>0</v>
      </c>
      <c r="L2918" s="10" t="str">
        <f>HYPERLINK("https://otsuka-europe-crm.veevavault.com/ui/#object/approved_document__v/V5O000000018003", "AE dialoghi di tempo fiducia e cura episodi 2-3-4")</f>
        <v>AE dialoghi di tempo fiducia e cura episodi 2-3-4</v>
      </c>
      <c r="M2918" s="10" t="str">
        <f>HYPERLINK("mailto:nicoletta.vozza@crm.otsuka-europe.com", "nicoletta.vozza@crm.otsuka-europe.com")</f>
        <v>nicoletta.vozza@crm.otsuka-europe.com</v>
      </c>
      <c r="N2918" s="13">
        <v>46181.337997685187</v>
      </c>
      <c r="O2918" s="14" t="str">
        <f>HYPERLINK("https://otsuka-europe-crm.veevavault.com/ui/#object/email_activity__v/V8C00000003O746", "EN-002090302")</f>
        <v>EN-002090302</v>
      </c>
    </row>
    <row r="2919" spans="1:15" ht="32" x14ac:dyDescent="0.2">
      <c r="A2919" s="7" t="str">
        <f>HYPERLINK("https://otsuka-europe-crm.veevavault.com/ui/#object/account__v/V4TZ06G6O71S9HO", "ALESSIO CHIANDETTI")</f>
        <v>ALESSIO CHIANDETTI</v>
      </c>
      <c r="B2919" s="7" t="str">
        <f>HYPERLINK("https://otsuka-europe-crm.veevavault.com/ui/#object/vcountry__v/VENZ000004SONFQ", "IT")</f>
        <v>IT</v>
      </c>
      <c r="C2919" s="8" t="s">
        <v>44</v>
      </c>
      <c r="D2919" s="9" t="str">
        <f>HYPERLINK("https://otsuka-europe-crm.veevavault.com/ui/#object/approved_document__v/V5O000000018003", "AE dialoghi di tempo fiducia e cura episodi 2-3-4")</f>
        <v>AE dialoghi di tempo fiducia e cura episodi 2-3-4</v>
      </c>
      <c r="E2919" s="10" t="str">
        <f>HYPERLINK("https://otsuka-europe-crm.veevavault.com/ui/#object/sent_email__v/VBL00000002O481", "SE-001432152")</f>
        <v>SE-001432152</v>
      </c>
      <c r="F2919" s="11"/>
      <c r="G2919" s="12">
        <v>0</v>
      </c>
      <c r="H2919" s="12">
        <v>0</v>
      </c>
      <c r="I2919" s="12">
        <v>0</v>
      </c>
      <c r="J2919" s="11"/>
      <c r="K2919" s="12">
        <v>0</v>
      </c>
      <c r="L2919" s="10" t="str">
        <f>HYPERLINK("https://otsuka-europe-crm.veevavault.com/ui/#object/approved_document__v/V5O000000018003", "AE dialoghi di tempo fiducia e cura episodi 2-3-4")</f>
        <v>AE dialoghi di tempo fiducia e cura episodi 2-3-4</v>
      </c>
      <c r="M2919" s="10" t="str">
        <f>HYPERLINK("mailto:nicoletta.vozza@crm.otsuka-europe.com", "nicoletta.vozza@crm.otsuka-europe.com")</f>
        <v>nicoletta.vozza@crm.otsuka-europe.com</v>
      </c>
      <c r="N2919" s="13">
        <v>46181.338067129633</v>
      </c>
      <c r="O2919" s="14" t="str">
        <f>HYPERLINK("https://otsuka-europe-crm.veevavault.com/ui/#object/email_activity__v/V8C00000003O797", "EN-002090457")</f>
        <v>EN-002090457</v>
      </c>
    </row>
    <row r="2920" spans="1:15" ht="16" x14ac:dyDescent="0.2">
      <c r="A2920" s="17" t="str">
        <f>HYPERLINK("https://otsuka-europe-crm.veevavault.com/ui/#object/account__v/V4TZ04ASGAPEVCA", "ALESSIO FALINI")</f>
        <v>ALESSIO FALINI</v>
      </c>
      <c r="B2920" s="17" t="str">
        <f>HYPERLINK("https://otsuka-europe-crm.veevavault.com/ui/#object/vcountry__v/VENZ000004SONFQ", "IT")</f>
        <v>IT</v>
      </c>
      <c r="C2920" s="20" t="s">
        <v>44</v>
      </c>
      <c r="D2920" s="21" t="str">
        <f>HYPERLINK("https://otsuka-europe-crm.veevavault.com/ui/#object/approved_document__v/V5O000000018003", "AE dialoghi di tempo fiducia e cura episodi 2-3-4")</f>
        <v>AE dialoghi di tempo fiducia e cura episodi 2-3-4</v>
      </c>
      <c r="E2920" s="22" t="str">
        <f>HYPERLINK("https://otsuka-europe-crm.veevavault.com/ui/#object/sent_email__v/VBL00000002O482", "SE-001432153")</f>
        <v>SE-001432153</v>
      </c>
      <c r="F2920" s="25"/>
      <c r="G2920" s="24">
        <v>0</v>
      </c>
      <c r="H2920" s="24">
        <v>0</v>
      </c>
      <c r="I2920" s="24">
        <v>0</v>
      </c>
      <c r="J2920" s="25"/>
      <c r="K2920" s="24">
        <v>0</v>
      </c>
      <c r="L2920" s="22" t="str">
        <f>HYPERLINK("https://otsuka-europe-crm.veevavault.com/ui/#object/approved_document__v/V5O000000018003", "AE dialoghi di tempo fiducia e cura episodi 2-3-4")</f>
        <v>AE dialoghi di tempo fiducia e cura episodi 2-3-4</v>
      </c>
      <c r="M2920" s="22" t="str">
        <f>HYPERLINK("mailto:nicoletta.vozza@crm.otsuka-europe.com", "nicoletta.vozza@crm.otsuka-europe.com")</f>
        <v>nicoletta.vozza@crm.otsuka-europe.com</v>
      </c>
      <c r="N2920" s="23">
        <v>46181.33797453704</v>
      </c>
      <c r="O2920" s="14" t="str">
        <f>HYPERLINK("https://otsuka-europe-crm.veevavault.com/ui/#object/email_activity__v/V8C00000003O610", "EN-002090166")</f>
        <v>EN-002090166</v>
      </c>
    </row>
    <row r="2921" spans="1:15" ht="16" x14ac:dyDescent="0.2">
      <c r="A2921" s="19"/>
      <c r="B2921" s="19"/>
      <c r="C2921" s="19"/>
      <c r="D2921" s="19"/>
      <c r="E2921" s="19"/>
      <c r="F2921" s="19"/>
      <c r="G2921" s="19"/>
      <c r="H2921" s="19"/>
      <c r="I2921" s="19"/>
      <c r="J2921" s="19"/>
      <c r="K2921" s="19"/>
      <c r="L2921" s="19"/>
      <c r="M2921" s="19"/>
      <c r="N2921" s="19"/>
      <c r="O2921" s="14" t="str">
        <f>HYPERLINK("https://otsuka-europe-crm.veevavault.com/ui/#object/email_activity__v/V8C00000003Q675", "EN-002092192")</f>
        <v>EN-002092192</v>
      </c>
    </row>
    <row r="2922" spans="1:15" ht="32" x14ac:dyDescent="0.2">
      <c r="A2922" s="7" t="str">
        <f>HYPERLINK("https://otsuka-europe-crm.veevavault.com/ui/#object/account__v/V4TZ06G6OBU8V6P", "ALESSIO GIAMPA'")</f>
        <v>ALESSIO GIAMPA'</v>
      </c>
      <c r="B2922" s="7" t="str">
        <f>HYPERLINK("https://otsuka-europe-crm.veevavault.com/ui/#object/vcountry__v/VENZ000004SONFQ", "IT")</f>
        <v>IT</v>
      </c>
      <c r="C2922" s="8" t="s">
        <v>44</v>
      </c>
      <c r="D2922" s="9" t="str">
        <f>HYPERLINK("https://otsuka-europe-crm.veevavault.com/ui/#object/approved_document__v/V5O000000018003", "AE dialoghi di tempo fiducia e cura episodi 2-3-4")</f>
        <v>AE dialoghi di tempo fiducia e cura episodi 2-3-4</v>
      </c>
      <c r="E2922" s="10" t="str">
        <f>HYPERLINK("https://otsuka-europe-crm.veevavault.com/ui/#object/sent_email__v/VBL00000002O483", "SE-001432154")</f>
        <v>SE-001432154</v>
      </c>
      <c r="F2922" s="11"/>
      <c r="G2922" s="12">
        <v>0</v>
      </c>
      <c r="H2922" s="12">
        <v>0</v>
      </c>
      <c r="I2922" s="12">
        <v>0</v>
      </c>
      <c r="J2922" s="11"/>
      <c r="K2922" s="12">
        <v>0</v>
      </c>
      <c r="L2922" s="10" t="str">
        <f>HYPERLINK("https://otsuka-europe-crm.veevavault.com/ui/#object/approved_document__v/V5O000000018003", "AE dialoghi di tempo fiducia e cura episodi 2-3-4")</f>
        <v>AE dialoghi di tempo fiducia e cura episodi 2-3-4</v>
      </c>
      <c r="M2922" s="10" t="str">
        <f>HYPERLINK("mailto:nicoletta.vozza@crm.otsuka-europe.com", "nicoletta.vozza@crm.otsuka-europe.com")</f>
        <v>nicoletta.vozza@crm.otsuka-europe.com</v>
      </c>
      <c r="N2922" s="13">
        <v>46181.337962962964</v>
      </c>
      <c r="O2922" s="14" t="str">
        <f>HYPERLINK("https://otsuka-europe-crm.veevavault.com/ui/#object/email_activity__v/V8C00000003P393", "EN-002090399")</f>
        <v>EN-002090399</v>
      </c>
    </row>
    <row r="2923" spans="1:15" ht="16" x14ac:dyDescent="0.2">
      <c r="A2923" s="17" t="str">
        <f>HYPERLINK("https://otsuka-europe-crm.veevavault.com/ui/#object/account__v/V4TZ06G6OCBHA74", "ALESSIO PICELLO")</f>
        <v>ALESSIO PICELLO</v>
      </c>
      <c r="B2923" s="17" t="str">
        <f>HYPERLINK("https://otsuka-europe-crm.veevavault.com/ui/#object/vcountry__v/VENZ000004SONFQ", "IT")</f>
        <v>IT</v>
      </c>
      <c r="C2923" s="20" t="s">
        <v>44</v>
      </c>
      <c r="D2923" s="21" t="str">
        <f>HYPERLINK("https://otsuka-europe-crm.veevavault.com/ui/#object/approved_document__v/V5O000000018003", "AE dialoghi di tempo fiducia e cura episodi 2-3-4")</f>
        <v>AE dialoghi di tempo fiducia e cura episodi 2-3-4</v>
      </c>
      <c r="E2923" s="22" t="str">
        <f>HYPERLINK("https://otsuka-europe-crm.veevavault.com/ui/#object/sent_email__v/VBL00000002O484", "SE-001432155")</f>
        <v>SE-001432155</v>
      </c>
      <c r="F2923" s="25"/>
      <c r="G2923" s="24">
        <v>0</v>
      </c>
      <c r="H2923" s="24">
        <v>0</v>
      </c>
      <c r="I2923" s="24">
        <v>0</v>
      </c>
      <c r="J2923" s="25"/>
      <c r="K2923" s="24">
        <v>0</v>
      </c>
      <c r="L2923" s="22" t="str">
        <f>HYPERLINK("https://otsuka-europe-crm.veevavault.com/ui/#object/approved_document__v/V5O000000018003", "AE dialoghi di tempo fiducia e cura episodi 2-3-4")</f>
        <v>AE dialoghi di tempo fiducia e cura episodi 2-3-4</v>
      </c>
      <c r="M2923" s="22" t="str">
        <f>HYPERLINK("mailto:nicoletta.vozza@crm.otsuka-europe.com", "nicoletta.vozza@crm.otsuka-europe.com")</f>
        <v>nicoletta.vozza@crm.otsuka-europe.com</v>
      </c>
      <c r="N2923" s="23">
        <v>46181.337997685187</v>
      </c>
      <c r="O2923" s="14" t="str">
        <f>HYPERLINK("https://otsuka-europe-crm.veevavault.com/ui/#object/email_activity__v/V8C00000003P458", "EN-002090692")</f>
        <v>EN-002090692</v>
      </c>
    </row>
    <row r="2924" spans="1:15" ht="16" x14ac:dyDescent="0.2">
      <c r="A2924" s="19"/>
      <c r="B2924" s="19"/>
      <c r="C2924" s="19"/>
      <c r="D2924" s="19"/>
      <c r="E2924" s="19"/>
      <c r="F2924" s="19"/>
      <c r="G2924" s="19"/>
      <c r="H2924" s="19"/>
      <c r="I2924" s="19"/>
      <c r="J2924" s="19"/>
      <c r="K2924" s="19"/>
      <c r="L2924" s="19"/>
      <c r="M2924" s="19"/>
      <c r="N2924" s="19"/>
      <c r="O2924" s="14" t="str">
        <f>HYPERLINK("https://otsuka-europe-crm.veevavault.com/ui/#object/email_activity__v/V8C00000003T317", "EN-002094209")</f>
        <v>EN-002094209</v>
      </c>
    </row>
    <row r="2925" spans="1:15" ht="32" x14ac:dyDescent="0.2">
      <c r="A2925" s="7" t="str">
        <f>HYPERLINK("https://otsuka-europe-crm.veevavault.com/ui/#object/account__v/V4TZ06G6O71SCQ8", "ALESSIO VINCENTI")</f>
        <v>ALESSIO VINCENTI</v>
      </c>
      <c r="B2925" s="7" t="str">
        <f>HYPERLINK("https://otsuka-europe-crm.veevavault.com/ui/#object/vcountry__v/VENZ000004SONFQ", "IT")</f>
        <v>IT</v>
      </c>
      <c r="C2925" s="8" t="s">
        <v>44</v>
      </c>
      <c r="D2925" s="9" t="str">
        <f>HYPERLINK("https://otsuka-europe-crm.veevavault.com/ui/#object/approved_document__v/V5O000000018003", "AE dialoghi di tempo fiducia e cura episodi 2-3-4")</f>
        <v>AE dialoghi di tempo fiducia e cura episodi 2-3-4</v>
      </c>
      <c r="E2925" s="10" t="str">
        <f>HYPERLINK("https://otsuka-europe-crm.veevavault.com/ui/#object/sent_email__v/VBL00000002O485", "SE-001432156")</f>
        <v>SE-001432156</v>
      </c>
      <c r="F2925" s="11"/>
      <c r="G2925" s="12">
        <v>0</v>
      </c>
      <c r="H2925" s="12">
        <v>0</v>
      </c>
      <c r="I2925" s="12">
        <v>0</v>
      </c>
      <c r="J2925" s="11"/>
      <c r="K2925" s="12">
        <v>0</v>
      </c>
      <c r="L2925" s="10" t="str">
        <f>HYPERLINK("https://otsuka-europe-crm.veevavault.com/ui/#object/approved_document__v/V5O000000018003", "AE dialoghi di tempo fiducia e cura episodi 2-3-4")</f>
        <v>AE dialoghi di tempo fiducia e cura episodi 2-3-4</v>
      </c>
      <c r="M2925" s="10" t="str">
        <f>HYPERLINK("mailto:nicoletta.vozza@crm.otsuka-europe.com", "nicoletta.vozza@crm.otsuka-europe.com")</f>
        <v>nicoletta.vozza@crm.otsuka-europe.com</v>
      </c>
      <c r="N2925" s="13">
        <v>46181.338078703702</v>
      </c>
      <c r="O2925" s="14" t="str">
        <f>HYPERLINK("https://otsuka-europe-crm.veevavault.com/ui/#object/email_activity__v/V8C00000003P476", "EN-002090660")</f>
        <v>EN-002090660</v>
      </c>
    </row>
    <row r="2926" spans="1:15" ht="32" x14ac:dyDescent="0.2">
      <c r="A2926" s="7" t="str">
        <f>HYPERLINK("https://otsuka-europe-crm.veevavault.com/ui/#object/account__v/V4TZ025E883ZIUY", "ALEXI DI CRISTOFARO")</f>
        <v>ALEXI DI CRISTOFARO</v>
      </c>
      <c r="B2926" s="7" t="str">
        <f>HYPERLINK("https://otsuka-europe-crm.veevavault.com/ui/#object/vcountry__v/VENZ000004SONFQ", "IT")</f>
        <v>IT</v>
      </c>
      <c r="C2926" s="8" t="s">
        <v>44</v>
      </c>
      <c r="D2926" s="9" t="str">
        <f>HYPERLINK("https://otsuka-europe-crm.veevavault.com/ui/#object/approved_document__v/V5O000000018003", "AE dialoghi di tempo fiducia e cura episodi 2-3-4")</f>
        <v>AE dialoghi di tempo fiducia e cura episodi 2-3-4</v>
      </c>
      <c r="E2926" s="10" t="str">
        <f>HYPERLINK("https://otsuka-europe-crm.veevavault.com/ui/#object/sent_email__v/VBL00000002O486", "SE-001432157")</f>
        <v>SE-001432157</v>
      </c>
      <c r="F2926" s="11"/>
      <c r="G2926" s="12">
        <v>0</v>
      </c>
      <c r="H2926" s="12">
        <v>0</v>
      </c>
      <c r="I2926" s="12">
        <v>0</v>
      </c>
      <c r="J2926" s="11"/>
      <c r="K2926" s="12">
        <v>0</v>
      </c>
      <c r="L2926" s="10" t="str">
        <f>HYPERLINK("https://otsuka-europe-crm.veevavault.com/ui/#object/approved_document__v/V5O000000018003", "AE dialoghi di tempo fiducia e cura episodi 2-3-4")</f>
        <v>AE dialoghi di tempo fiducia e cura episodi 2-3-4</v>
      </c>
      <c r="M2926" s="10" t="str">
        <f>HYPERLINK("mailto:nicoletta.vozza@crm.otsuka-europe.com", "nicoletta.vozza@crm.otsuka-europe.com")</f>
        <v>nicoletta.vozza@crm.otsuka-europe.com</v>
      </c>
      <c r="N2926" s="13">
        <v>46181.338020833333</v>
      </c>
      <c r="O2926" s="14" t="str">
        <f>HYPERLINK("https://otsuka-europe-crm.veevavault.com/ui/#object/email_activity__v/V8C00000003O779", "EN-002090439")</f>
        <v>EN-002090439</v>
      </c>
    </row>
    <row r="2927" spans="1:15" ht="16" x14ac:dyDescent="0.2">
      <c r="A2927" s="17" t="str">
        <f>HYPERLINK("https://otsuka-europe-crm.veevavault.com/ui/#object/account__v/V4TZ06G6O71SBU6", "ALFONSO PAPA")</f>
        <v>ALFONSO PAPA</v>
      </c>
      <c r="B2927" s="17" t="str">
        <f>HYPERLINK("https://otsuka-europe-crm.veevavault.com/ui/#object/vcountry__v/VENZ000004SONFQ", "IT")</f>
        <v>IT</v>
      </c>
      <c r="C2927" s="20" t="s">
        <v>44</v>
      </c>
      <c r="D2927" s="21" t="str">
        <f>HYPERLINK("https://otsuka-europe-crm.veevavault.com/ui/#object/approved_document__v/V5O000000018003", "AE dialoghi di tempo fiducia e cura episodi 2-3-4")</f>
        <v>AE dialoghi di tempo fiducia e cura episodi 2-3-4</v>
      </c>
      <c r="E2927" s="22" t="str">
        <f>HYPERLINK("https://otsuka-europe-crm.veevavault.com/ui/#object/sent_email__v/VBL00000002O487", "SE-001432158")</f>
        <v>SE-001432158</v>
      </c>
      <c r="F2927" s="23">
        <v>46181.356886574074</v>
      </c>
      <c r="G2927" s="24">
        <v>1</v>
      </c>
      <c r="H2927" s="24">
        <v>1</v>
      </c>
      <c r="I2927" s="24">
        <v>0</v>
      </c>
      <c r="J2927" s="25"/>
      <c r="K2927" s="24">
        <v>0</v>
      </c>
      <c r="L2927" s="22" t="str">
        <f>HYPERLINK("https://otsuka-europe-crm.veevavault.com/ui/#object/approved_document__v/V5O000000018003", "AE dialoghi di tempo fiducia e cura episodi 2-3-4")</f>
        <v>AE dialoghi di tempo fiducia e cura episodi 2-3-4</v>
      </c>
      <c r="M2927" s="22" t="str">
        <f>HYPERLINK("mailto:nicoletta.vozza@crm.otsuka-europe.com", "nicoletta.vozza@crm.otsuka-europe.com")</f>
        <v>nicoletta.vozza@crm.otsuka-europe.com</v>
      </c>
      <c r="N2927" s="23">
        <v>46181.33803240741</v>
      </c>
      <c r="O2927" s="14" t="str">
        <f>HYPERLINK("https://otsuka-europe-crm.veevavault.com/ui/#object/email_activity__v/V8C00000003P708", "EN-002090963")</f>
        <v>EN-002090963</v>
      </c>
    </row>
    <row r="2928" spans="1:15" ht="16" x14ac:dyDescent="0.2">
      <c r="A2928" s="19"/>
      <c r="B2928" s="19"/>
      <c r="C2928" s="19"/>
      <c r="D2928" s="19"/>
      <c r="E2928" s="19"/>
      <c r="F2928" s="19"/>
      <c r="G2928" s="19"/>
      <c r="H2928" s="19"/>
      <c r="I2928" s="19"/>
      <c r="J2928" s="19"/>
      <c r="K2928" s="19"/>
      <c r="L2928" s="19"/>
      <c r="M2928" s="19"/>
      <c r="N2928" s="19"/>
      <c r="O2928" s="14" t="str">
        <f>HYPERLINK("https://otsuka-europe-crm.veevavault.com/ui/#object/email_activity__v/V8C00000003Q333", "EN-002091496")</f>
        <v>EN-002091496</v>
      </c>
    </row>
    <row r="2929" spans="1:15" ht="32" x14ac:dyDescent="0.2">
      <c r="A2929" s="7" t="str">
        <f>HYPERLINK("https://otsuka-europe-crm.veevavault.com/ui/#object/account__v/V4TZ06G6O71SCM0", "ALFONSO TROISI")</f>
        <v>ALFONSO TROISI</v>
      </c>
      <c r="B2929" s="7" t="str">
        <f>HYPERLINK("https://otsuka-europe-crm.veevavault.com/ui/#object/vcountry__v/VENZ000004SONFQ", "IT")</f>
        <v>IT</v>
      </c>
      <c r="C2929" s="8" t="s">
        <v>44</v>
      </c>
      <c r="D2929" s="9" t="str">
        <f>HYPERLINK("https://otsuka-europe-crm.veevavault.com/ui/#object/approved_document__v/V5O000000018003", "AE dialoghi di tempo fiducia e cura episodi 2-3-4")</f>
        <v>AE dialoghi di tempo fiducia e cura episodi 2-3-4</v>
      </c>
      <c r="E2929" s="10" t="str">
        <f>HYPERLINK("https://otsuka-europe-crm.veevavault.com/ui/#object/sent_email__v/VBL00000002O488", "SE-001432159")</f>
        <v>SE-001432159</v>
      </c>
      <c r="F2929" s="11"/>
      <c r="G2929" s="12">
        <v>0</v>
      </c>
      <c r="H2929" s="12">
        <v>0</v>
      </c>
      <c r="I2929" s="12">
        <v>0</v>
      </c>
      <c r="J2929" s="11"/>
      <c r="K2929" s="12">
        <v>0</v>
      </c>
      <c r="L2929" s="10" t="str">
        <f>HYPERLINK("https://otsuka-europe-crm.veevavault.com/ui/#object/approved_document__v/V5O000000018003", "AE dialoghi di tempo fiducia e cura episodi 2-3-4")</f>
        <v>AE dialoghi di tempo fiducia e cura episodi 2-3-4</v>
      </c>
      <c r="M2929" s="10" t="str">
        <f>HYPERLINK("mailto:nicoletta.vozza@crm.otsuka-europe.com", "nicoletta.vozza@crm.otsuka-europe.com")</f>
        <v>nicoletta.vozza@crm.otsuka-europe.com</v>
      </c>
      <c r="N2929" s="13">
        <v>46181.338020833333</v>
      </c>
      <c r="O2929" s="14" t="str">
        <f>HYPERLINK("https://otsuka-europe-crm.veevavault.com/ui/#object/email_activity__v/V8C00000003P366", "EN-002090372")</f>
        <v>EN-002090372</v>
      </c>
    </row>
    <row r="2930" spans="1:15" ht="16" x14ac:dyDescent="0.2">
      <c r="A2930" s="17" t="str">
        <f>HYPERLINK("https://otsuka-europe-crm.veevavault.com/ui/#object/account__v/V4TZ025E87GEXBK", "ALFREDO BELLO")</f>
        <v>ALFREDO BELLO</v>
      </c>
      <c r="B2930" s="17" t="str">
        <f>HYPERLINK("https://otsuka-europe-crm.veevavault.com/ui/#object/vcountry__v/VENZ000004SONFQ", "IT")</f>
        <v>IT</v>
      </c>
      <c r="C2930" s="20" t="s">
        <v>44</v>
      </c>
      <c r="D2930" s="21" t="str">
        <f>HYPERLINK("https://otsuka-europe-crm.veevavault.com/ui/#object/approved_document__v/V5O000000018003", "AE dialoghi di tempo fiducia e cura episodi 2-3-4")</f>
        <v>AE dialoghi di tempo fiducia e cura episodi 2-3-4</v>
      </c>
      <c r="E2930" s="22" t="str">
        <f>HYPERLINK("https://otsuka-europe-crm.veevavault.com/ui/#object/sent_email__v/VBL00000002O489", "SE-001432160")</f>
        <v>SE-001432160</v>
      </c>
      <c r="F2930" s="25"/>
      <c r="G2930" s="24">
        <v>0</v>
      </c>
      <c r="H2930" s="24">
        <v>0</v>
      </c>
      <c r="I2930" s="24">
        <v>0</v>
      </c>
      <c r="J2930" s="25"/>
      <c r="K2930" s="24">
        <v>0</v>
      </c>
      <c r="L2930" s="22" t="str">
        <f>HYPERLINK("https://otsuka-europe-crm.veevavault.com/ui/#object/approved_document__v/V5O000000018003", "AE dialoghi di tempo fiducia e cura episodi 2-3-4")</f>
        <v>AE dialoghi di tempo fiducia e cura episodi 2-3-4</v>
      </c>
      <c r="M2930" s="22" t="str">
        <f>HYPERLINK("mailto:nicoletta.vozza@crm.otsuka-europe.com", "nicoletta.vozza@crm.otsuka-europe.com")</f>
        <v>nicoletta.vozza@crm.otsuka-europe.com</v>
      </c>
      <c r="N2930" s="23">
        <v>46181.338113425925</v>
      </c>
      <c r="O2930" s="14" t="str">
        <f>HYPERLINK("https://otsuka-europe-crm.veevavault.com/ui/#object/email_activity__v/V8C00000003P780", "EN-002091078")</f>
        <v>EN-002091078</v>
      </c>
    </row>
    <row r="2931" spans="1:15" ht="16" x14ac:dyDescent="0.2">
      <c r="A2931" s="18"/>
      <c r="B2931" s="18"/>
      <c r="C2931" s="18"/>
      <c r="D2931" s="18"/>
      <c r="E2931" s="18"/>
      <c r="F2931" s="18"/>
      <c r="G2931" s="18"/>
      <c r="H2931" s="18"/>
      <c r="I2931" s="18"/>
      <c r="J2931" s="18"/>
      <c r="K2931" s="18"/>
      <c r="L2931" s="18"/>
      <c r="M2931" s="18"/>
      <c r="N2931" s="18"/>
      <c r="O2931" s="14" t="str">
        <f>HYPERLINK("https://otsuka-europe-crm.veevavault.com/ui/#object/email_activity__v/V8C00000003R182", "EN-002092028")</f>
        <v>EN-002092028</v>
      </c>
    </row>
    <row r="2932" spans="1:15" ht="16" x14ac:dyDescent="0.2">
      <c r="A2932" s="19"/>
      <c r="B2932" s="19"/>
      <c r="C2932" s="19"/>
      <c r="D2932" s="19"/>
      <c r="E2932" s="19"/>
      <c r="F2932" s="19"/>
      <c r="G2932" s="19"/>
      <c r="H2932" s="19"/>
      <c r="I2932" s="19"/>
      <c r="J2932" s="19"/>
      <c r="K2932" s="19"/>
      <c r="L2932" s="19"/>
      <c r="M2932" s="19"/>
      <c r="N2932" s="19"/>
      <c r="O2932" s="14" t="str">
        <f>HYPERLINK("https://otsuka-europe-crm.veevavault.com/ui/#object/email_activity__v/V8C00000003Z497", "EN-002099683")</f>
        <v>EN-002099683</v>
      </c>
    </row>
    <row r="2933" spans="1:15" ht="32" x14ac:dyDescent="0.2">
      <c r="A2933" s="7" t="str">
        <f>HYPERLINK("https://otsuka-europe-crm.veevavault.com/ui/#object/account__v/V4TZ025E82UNUYV", "ALFREDO MARIA RAIMONDI")</f>
        <v>ALFREDO MARIA RAIMONDI</v>
      </c>
      <c r="B2933" s="7" t="str">
        <f>HYPERLINK("https://otsuka-europe-crm.veevavault.com/ui/#object/vcountry__v/VENZ000004SONFQ", "IT")</f>
        <v>IT</v>
      </c>
      <c r="C2933" s="8" t="s">
        <v>44</v>
      </c>
      <c r="D2933" s="9" t="str">
        <f>HYPERLINK("https://otsuka-europe-crm.veevavault.com/ui/#object/approved_document__v/V5O000000018003", "AE dialoghi di tempo fiducia e cura episodi 2-3-4")</f>
        <v>AE dialoghi di tempo fiducia e cura episodi 2-3-4</v>
      </c>
      <c r="E2933" s="10" t="str">
        <f>HYPERLINK("https://otsuka-europe-crm.veevavault.com/ui/#object/sent_email__v/VBL00000002O490", "SE-001432161")</f>
        <v>SE-001432161</v>
      </c>
      <c r="F2933" s="11"/>
      <c r="G2933" s="12">
        <v>0</v>
      </c>
      <c r="H2933" s="12">
        <v>0</v>
      </c>
      <c r="I2933" s="12">
        <v>0</v>
      </c>
      <c r="J2933" s="11"/>
      <c r="K2933" s="12">
        <v>0</v>
      </c>
      <c r="L2933" s="10" t="str">
        <f>HYPERLINK("https://otsuka-europe-crm.veevavault.com/ui/#object/approved_document__v/V5O000000018003", "AE dialoghi di tempo fiducia e cura episodi 2-3-4")</f>
        <v>AE dialoghi di tempo fiducia e cura episodi 2-3-4</v>
      </c>
      <c r="M2933" s="10" t="str">
        <f>HYPERLINK("mailto:nicoletta.vozza@crm.otsuka-europe.com", "nicoletta.vozza@crm.otsuka-europe.com")</f>
        <v>nicoletta.vozza@crm.otsuka-europe.com</v>
      </c>
      <c r="N2933" s="13">
        <v>46181.337997685187</v>
      </c>
      <c r="O2933" s="14" t="str">
        <f>HYPERLINK("https://otsuka-europe-crm.veevavault.com/ui/#object/email_activity__v/V8C00000003P583", "EN-002090838")</f>
        <v>EN-002090838</v>
      </c>
    </row>
    <row r="2934" spans="1:15" ht="32" x14ac:dyDescent="0.2">
      <c r="A2934" s="7" t="str">
        <f>HYPERLINK("https://otsuka-europe-crm.veevavault.com/ui/#object/account__v/V4TZ06G6O71SCFV", "ALFREDO SGARAMELLA")</f>
        <v>ALFREDO SGARAMELLA</v>
      </c>
      <c r="B2934" s="7" t="str">
        <f>HYPERLINK("https://otsuka-europe-crm.veevavault.com/ui/#object/vcountry__v/VENZ000004SONFQ", "IT")</f>
        <v>IT</v>
      </c>
      <c r="C2934" s="8" t="s">
        <v>44</v>
      </c>
      <c r="D2934" s="9" t="str">
        <f>HYPERLINK("https://otsuka-europe-crm.veevavault.com/ui/#object/approved_document__v/V5O000000018003", "AE dialoghi di tempo fiducia e cura episodi 2-3-4")</f>
        <v>AE dialoghi di tempo fiducia e cura episodi 2-3-4</v>
      </c>
      <c r="E2934" s="10" t="str">
        <f>HYPERLINK("https://otsuka-europe-crm.veevavault.com/ui/#object/sent_email__v/VBL00000002O491", "SE-001432162")</f>
        <v>SE-001432162</v>
      </c>
      <c r="F2934" s="11"/>
      <c r="G2934" s="12">
        <v>0</v>
      </c>
      <c r="H2934" s="12">
        <v>0</v>
      </c>
      <c r="I2934" s="12">
        <v>0</v>
      </c>
      <c r="J2934" s="11"/>
      <c r="K2934" s="12">
        <v>0</v>
      </c>
      <c r="L2934" s="10" t="str">
        <f>HYPERLINK("https://otsuka-europe-crm.veevavault.com/ui/#object/approved_document__v/V5O000000018003", "AE dialoghi di tempo fiducia e cura episodi 2-3-4")</f>
        <v>AE dialoghi di tempo fiducia e cura episodi 2-3-4</v>
      </c>
      <c r="M2934" s="10" t="str">
        <f>HYPERLINK("mailto:nicoletta.vozza@crm.otsuka-europe.com", "nicoletta.vozza@crm.otsuka-europe.com")</f>
        <v>nicoletta.vozza@crm.otsuka-europe.com</v>
      </c>
      <c r="N2934" s="13">
        <v>46181.338020833333</v>
      </c>
      <c r="O2934" s="14" t="str">
        <f>HYPERLINK("https://otsuka-europe-crm.veevavault.com/ui/#object/email_activity__v/V8C00000003O517", "EN-002090073")</f>
        <v>EN-002090073</v>
      </c>
    </row>
    <row r="2935" spans="1:15" ht="16" x14ac:dyDescent="0.2">
      <c r="A2935" s="17" t="str">
        <f>HYPERLINK("https://otsuka-europe-crm.veevavault.com/ui/#object/account__v/V4TZ06G6O71S9FS", "ALICE BROGLI")</f>
        <v>ALICE BROGLI</v>
      </c>
      <c r="B2935" s="17" t="str">
        <f>HYPERLINK("https://otsuka-europe-crm.veevavault.com/ui/#object/vcountry__v/VENZ000004SONFQ", "IT")</f>
        <v>IT</v>
      </c>
      <c r="C2935" s="20" t="s">
        <v>44</v>
      </c>
      <c r="D2935" s="21" t="str">
        <f>HYPERLINK("https://otsuka-europe-crm.veevavault.com/ui/#object/approved_document__v/V5O000000018003", "AE dialoghi di tempo fiducia e cura episodi 2-3-4")</f>
        <v>AE dialoghi di tempo fiducia e cura episodi 2-3-4</v>
      </c>
      <c r="E2935" s="22" t="str">
        <f>HYPERLINK("https://otsuka-europe-crm.veevavault.com/ui/#object/sent_email__v/VBL00000002O492", "SE-001432163")</f>
        <v>SE-001432163</v>
      </c>
      <c r="F2935" s="23">
        <v>46182.674872685187</v>
      </c>
      <c r="G2935" s="24">
        <v>1</v>
      </c>
      <c r="H2935" s="24">
        <v>3</v>
      </c>
      <c r="I2935" s="24">
        <v>0</v>
      </c>
      <c r="J2935" s="25"/>
      <c r="K2935" s="24">
        <v>0</v>
      </c>
      <c r="L2935" s="22" t="str">
        <f>HYPERLINK("https://otsuka-europe-crm.veevavault.com/ui/#object/approved_document__v/V5O000000018003", "AE dialoghi di tempo fiducia e cura episodi 2-3-4")</f>
        <v>AE dialoghi di tempo fiducia e cura episodi 2-3-4</v>
      </c>
      <c r="M2935" s="22" t="str">
        <f>HYPERLINK("mailto:nicoletta.vozza@crm.otsuka-europe.com", "nicoletta.vozza@crm.otsuka-europe.com")</f>
        <v>nicoletta.vozza@crm.otsuka-europe.com</v>
      </c>
      <c r="N2935" s="23">
        <v>46181.338020833333</v>
      </c>
      <c r="O2935" s="14" t="str">
        <f>HYPERLINK("https://otsuka-europe-crm.veevavault.com/ui/#object/email_activity__v/V8C00000003P235", "EN-002089681")</f>
        <v>EN-002089681</v>
      </c>
    </row>
    <row r="2936" spans="1:15" ht="16" x14ac:dyDescent="0.2">
      <c r="A2936" s="18"/>
      <c r="B2936" s="18"/>
      <c r="C2936" s="18"/>
      <c r="D2936" s="18"/>
      <c r="E2936" s="18"/>
      <c r="F2936" s="18"/>
      <c r="G2936" s="18"/>
      <c r="H2936" s="18"/>
      <c r="I2936" s="18"/>
      <c r="J2936" s="18"/>
      <c r="K2936" s="18"/>
      <c r="L2936" s="18"/>
      <c r="M2936" s="18"/>
      <c r="N2936" s="18"/>
      <c r="O2936" s="14" t="str">
        <f>HYPERLINK("https://otsuka-europe-crm.veevavault.com/ui/#object/email_activity__v/V8C00000003Q181", "EN-002091282")</f>
        <v>EN-002091282</v>
      </c>
    </row>
    <row r="2937" spans="1:15" ht="16" x14ac:dyDescent="0.2">
      <c r="A2937" s="18"/>
      <c r="B2937" s="18"/>
      <c r="C2937" s="18"/>
      <c r="D2937" s="18"/>
      <c r="E2937" s="18"/>
      <c r="F2937" s="18"/>
      <c r="G2937" s="18"/>
      <c r="H2937" s="18"/>
      <c r="I2937" s="18"/>
      <c r="J2937" s="18"/>
      <c r="K2937" s="18"/>
      <c r="L2937" s="18"/>
      <c r="M2937" s="18"/>
      <c r="N2937" s="18"/>
      <c r="O2937" s="14" t="str">
        <f>HYPERLINK("https://otsuka-europe-crm.veevavault.com/ui/#object/email_activity__v/V8C00000003Q313", "EN-002091469")</f>
        <v>EN-002091469</v>
      </c>
    </row>
    <row r="2938" spans="1:15" ht="16" x14ac:dyDescent="0.2">
      <c r="A2938" s="19"/>
      <c r="B2938" s="19"/>
      <c r="C2938" s="19"/>
      <c r="D2938" s="19"/>
      <c r="E2938" s="19"/>
      <c r="F2938" s="19"/>
      <c r="G2938" s="19"/>
      <c r="H2938" s="19"/>
      <c r="I2938" s="19"/>
      <c r="J2938" s="19"/>
      <c r="K2938" s="19"/>
      <c r="L2938" s="19"/>
      <c r="M2938" s="19"/>
      <c r="N2938" s="19"/>
      <c r="O2938" s="14" t="str">
        <f>HYPERLINK("https://otsuka-europe-crm.veevavault.com/ui/#object/email_activity__v/V8C00000003R853", "EN-002093285")</f>
        <v>EN-002093285</v>
      </c>
    </row>
    <row r="2939" spans="1:15" ht="32" x14ac:dyDescent="0.2">
      <c r="A2939" s="7" t="str">
        <f>HYPERLINK("https://otsuka-europe-crm.veevavault.com/ui/#object/account__v/V4TZ06G6O71SAT1", "ALICE CHIARLE")</f>
        <v>ALICE CHIARLE</v>
      </c>
      <c r="B2939" s="7" t="str">
        <f>HYPERLINK("https://otsuka-europe-crm.veevavault.com/ui/#object/vcountry__v/VENZ000004SONFQ", "IT")</f>
        <v>IT</v>
      </c>
      <c r="C2939" s="8" t="s">
        <v>44</v>
      </c>
      <c r="D2939" s="9" t="str">
        <f>HYPERLINK("https://otsuka-europe-crm.veevavault.com/ui/#object/approved_document__v/V5O000000018003", "AE dialoghi di tempo fiducia e cura episodi 2-3-4")</f>
        <v>AE dialoghi di tempo fiducia e cura episodi 2-3-4</v>
      </c>
      <c r="E2939" s="10" t="str">
        <f>HYPERLINK("https://otsuka-europe-crm.veevavault.com/ui/#object/sent_email__v/VBL00000002O493", "SE-001432164")</f>
        <v>SE-001432164</v>
      </c>
      <c r="F2939" s="11"/>
      <c r="G2939" s="12">
        <v>0</v>
      </c>
      <c r="H2939" s="12">
        <v>0</v>
      </c>
      <c r="I2939" s="12">
        <v>0</v>
      </c>
      <c r="J2939" s="11"/>
      <c r="K2939" s="12">
        <v>0</v>
      </c>
      <c r="L2939" s="10" t="str">
        <f>HYPERLINK("https://otsuka-europe-crm.veevavault.com/ui/#object/approved_document__v/V5O000000018003", "AE dialoghi di tempo fiducia e cura episodi 2-3-4")</f>
        <v>AE dialoghi di tempo fiducia e cura episodi 2-3-4</v>
      </c>
      <c r="M2939" s="10" t="str">
        <f>HYPERLINK("mailto:nicoletta.vozza@crm.otsuka-europe.com", "nicoletta.vozza@crm.otsuka-europe.com")</f>
        <v>nicoletta.vozza@crm.otsuka-europe.com</v>
      </c>
      <c r="N2939" s="13">
        <v>46181.338078703702</v>
      </c>
      <c r="O2939" s="14" t="str">
        <f>HYPERLINK("https://otsuka-europe-crm.veevavault.com/ui/#object/email_activity__v/V8C00000003O604", "EN-002090160")</f>
        <v>EN-002090160</v>
      </c>
    </row>
    <row r="2940" spans="1:15" ht="32" x14ac:dyDescent="0.2">
      <c r="A2940" s="7" t="str">
        <f>HYPERLINK("https://otsuka-europe-crm.veevavault.com/ui/#object/account__v/V4TZ06G6O9KGF3X", "ALICE DELL'ERBA")</f>
        <v>ALICE DELL'ERBA</v>
      </c>
      <c r="B2940" s="7" t="str">
        <f>HYPERLINK("https://otsuka-europe-crm.veevavault.com/ui/#object/vcountry__v/VENZ000004SONFQ", "IT")</f>
        <v>IT</v>
      </c>
      <c r="C2940" s="8" t="s">
        <v>44</v>
      </c>
      <c r="D2940" s="9" t="str">
        <f>HYPERLINK("https://otsuka-europe-crm.veevavault.com/ui/#object/approved_document__v/V5O000000018003", "AE dialoghi di tempo fiducia e cura episodi 2-3-4")</f>
        <v>AE dialoghi di tempo fiducia e cura episodi 2-3-4</v>
      </c>
      <c r="E2940" s="10" t="str">
        <f>HYPERLINK("https://otsuka-europe-crm.veevavault.com/ui/#object/sent_email__v/VBL00000002O494", "SE-001432165")</f>
        <v>SE-001432165</v>
      </c>
      <c r="F2940" s="11"/>
      <c r="G2940" s="12">
        <v>0</v>
      </c>
      <c r="H2940" s="12">
        <v>0</v>
      </c>
      <c r="I2940" s="12">
        <v>0</v>
      </c>
      <c r="J2940" s="11"/>
      <c r="K2940" s="12">
        <v>0</v>
      </c>
      <c r="L2940" s="10" t="str">
        <f>HYPERLINK("https://otsuka-europe-crm.veevavault.com/ui/#object/approved_document__v/V5O000000018003", "AE dialoghi di tempo fiducia e cura episodi 2-3-4")</f>
        <v>AE dialoghi di tempo fiducia e cura episodi 2-3-4</v>
      </c>
      <c r="M2940" s="10" t="str">
        <f>HYPERLINK("mailto:nicoletta.vozza@crm.otsuka-europe.com", "nicoletta.vozza@crm.otsuka-europe.com")</f>
        <v>nicoletta.vozza@crm.otsuka-europe.com</v>
      </c>
      <c r="N2940" s="13">
        <v>46181.338055555556</v>
      </c>
      <c r="O2940" s="14" t="str">
        <f>HYPERLINK("https://otsuka-europe-crm.veevavault.com/ui/#object/email_activity__v/V8C00000003O486", "EN-002090042")</f>
        <v>EN-002090042</v>
      </c>
    </row>
    <row r="2941" spans="1:15" ht="32" x14ac:dyDescent="0.2">
      <c r="A2941" s="7" t="str">
        <f>HYPERLINK("https://otsuka-europe-crm.veevavault.com/ui/#object/account__v/V4TZ025E88MPJ7L", "ALICE FREDIANI")</f>
        <v>ALICE FREDIANI</v>
      </c>
      <c r="B2941" s="7" t="str">
        <f>HYPERLINK("https://otsuka-europe-crm.veevavault.com/ui/#object/vcountry__v/VENZ000004SONFQ", "IT")</f>
        <v>IT</v>
      </c>
      <c r="C2941" s="8" t="s">
        <v>44</v>
      </c>
      <c r="D2941" s="9" t="str">
        <f>HYPERLINK("https://otsuka-europe-crm.veevavault.com/ui/#object/approved_document__v/V5O000000018003", "AE dialoghi di tempo fiducia e cura episodi 2-3-4")</f>
        <v>AE dialoghi di tempo fiducia e cura episodi 2-3-4</v>
      </c>
      <c r="E2941" s="10" t="str">
        <f>HYPERLINK("https://otsuka-europe-crm.veevavault.com/ui/#object/sent_email__v/VBL00000002O495", "SE-001432166")</f>
        <v>SE-001432166</v>
      </c>
      <c r="F2941" s="11"/>
      <c r="G2941" s="12">
        <v>0</v>
      </c>
      <c r="H2941" s="12">
        <v>0</v>
      </c>
      <c r="I2941" s="12">
        <v>0</v>
      </c>
      <c r="J2941" s="11"/>
      <c r="K2941" s="12">
        <v>0</v>
      </c>
      <c r="L2941" s="10" t="str">
        <f>HYPERLINK("https://otsuka-europe-crm.veevavault.com/ui/#object/approved_document__v/V5O000000018003", "AE dialoghi di tempo fiducia e cura episodi 2-3-4")</f>
        <v>AE dialoghi di tempo fiducia e cura episodi 2-3-4</v>
      </c>
      <c r="M2941" s="10" t="str">
        <f>HYPERLINK("mailto:nicoletta.vozza@crm.otsuka-europe.com", "nicoletta.vozza@crm.otsuka-europe.com")</f>
        <v>nicoletta.vozza@crm.otsuka-europe.com</v>
      </c>
      <c r="N2941" s="13">
        <v>46181.337997685187</v>
      </c>
      <c r="O2941" s="14" t="str">
        <f>HYPERLINK("https://otsuka-europe-crm.veevavault.com/ui/#object/email_activity__v/V8C00000003O752", "EN-002090308")</f>
        <v>EN-002090308</v>
      </c>
    </row>
    <row r="2942" spans="1:15" ht="16" x14ac:dyDescent="0.2">
      <c r="A2942" s="17" t="str">
        <f>HYPERLINK("https://otsuka-europe-crm.veevavault.com/ui/#object/account__v/V4TZ025E86C0W3T", "ALICE GUASTAMACCHIA")</f>
        <v>ALICE GUASTAMACCHIA</v>
      </c>
      <c r="B2942" s="17" t="str">
        <f>HYPERLINK("https://otsuka-europe-crm.veevavault.com/ui/#object/vcountry__v/VENZ000004SONFQ", "IT")</f>
        <v>IT</v>
      </c>
      <c r="C2942" s="20" t="s">
        <v>44</v>
      </c>
      <c r="D2942" s="21" t="str">
        <f>HYPERLINK("https://otsuka-europe-crm.veevavault.com/ui/#object/approved_document__v/V5O000000018003", "AE dialoghi di tempo fiducia e cura episodi 2-3-4")</f>
        <v>AE dialoghi di tempo fiducia e cura episodi 2-3-4</v>
      </c>
      <c r="E2942" s="22" t="str">
        <f>HYPERLINK("https://otsuka-europe-crm.veevavault.com/ui/#object/sent_email__v/VBL00000002O496", "SE-001432167")</f>
        <v>SE-001432167</v>
      </c>
      <c r="F2942" s="23">
        <v>46182.982488425929</v>
      </c>
      <c r="G2942" s="24">
        <v>1</v>
      </c>
      <c r="H2942" s="24">
        <v>1</v>
      </c>
      <c r="I2942" s="24">
        <v>0</v>
      </c>
      <c r="J2942" s="25"/>
      <c r="K2942" s="24">
        <v>0</v>
      </c>
      <c r="L2942" s="22" t="str">
        <f>HYPERLINK("https://otsuka-europe-crm.veevavault.com/ui/#object/approved_document__v/V5O000000018003", "AE dialoghi di tempo fiducia e cura episodi 2-3-4")</f>
        <v>AE dialoghi di tempo fiducia e cura episodi 2-3-4</v>
      </c>
      <c r="M2942" s="22" t="str">
        <f>HYPERLINK("mailto:nicoletta.vozza@crm.otsuka-europe.com", "nicoletta.vozza@crm.otsuka-europe.com")</f>
        <v>nicoletta.vozza@crm.otsuka-europe.com</v>
      </c>
      <c r="N2942" s="23">
        <v>46181.338043981479</v>
      </c>
      <c r="O2942" s="14" t="str">
        <f>HYPERLINK("https://otsuka-europe-crm.veevavault.com/ui/#object/email_activity__v/V8C00000003O926", "EN-002090586")</f>
        <v>EN-002090586</v>
      </c>
    </row>
    <row r="2943" spans="1:15" ht="16" x14ac:dyDescent="0.2">
      <c r="A2943" s="19"/>
      <c r="B2943" s="19"/>
      <c r="C2943" s="19"/>
      <c r="D2943" s="19"/>
      <c r="E2943" s="19"/>
      <c r="F2943" s="19"/>
      <c r="G2943" s="19"/>
      <c r="H2943" s="19"/>
      <c r="I2943" s="19"/>
      <c r="J2943" s="19"/>
      <c r="K2943" s="19"/>
      <c r="L2943" s="19"/>
      <c r="M2943" s="19"/>
      <c r="N2943" s="19"/>
      <c r="O2943" s="14" t="str">
        <f>HYPERLINK("https://otsuka-europe-crm.veevavault.com/ui/#object/email_activity__v/V8C00000003S438", "EN-002093787")</f>
        <v>EN-002093787</v>
      </c>
    </row>
    <row r="2944" spans="1:15" ht="32" x14ac:dyDescent="0.2">
      <c r="A2944" s="7" t="str">
        <f>HYPERLINK("https://otsuka-europe-crm.veevavault.com/ui/#object/account__v/V4TZ025E83YB5AR", "ALICE TRABUCCO")</f>
        <v>ALICE TRABUCCO</v>
      </c>
      <c r="B2944" s="7" t="str">
        <f t="shared" ref="B2944:B2951" si="80">HYPERLINK("https://otsuka-europe-crm.veevavault.com/ui/#object/vcountry__v/VENZ000004SONFQ", "IT")</f>
        <v>IT</v>
      </c>
      <c r="C2944" s="8" t="s">
        <v>44</v>
      </c>
      <c r="D2944" s="9" t="str">
        <f t="shared" ref="D2944:D2951" si="81">HYPERLINK("https://otsuka-europe-crm.veevavault.com/ui/#object/approved_document__v/V5O000000018003", "AE dialoghi di tempo fiducia e cura episodi 2-3-4")</f>
        <v>AE dialoghi di tempo fiducia e cura episodi 2-3-4</v>
      </c>
      <c r="E2944" s="10" t="str">
        <f>HYPERLINK("https://otsuka-europe-crm.veevavault.com/ui/#object/sent_email__v/VBL00000002O497", "SE-001432168")</f>
        <v>SE-001432168</v>
      </c>
      <c r="F2944" s="11"/>
      <c r="G2944" s="12">
        <v>0</v>
      </c>
      <c r="H2944" s="12">
        <v>0</v>
      </c>
      <c r="I2944" s="12">
        <v>0</v>
      </c>
      <c r="J2944" s="11"/>
      <c r="K2944" s="12">
        <v>0</v>
      </c>
      <c r="L2944" s="10" t="str">
        <f t="shared" ref="L2944:L2951" si="82">HYPERLINK("https://otsuka-europe-crm.veevavault.com/ui/#object/approved_document__v/V5O000000018003", "AE dialoghi di tempo fiducia e cura episodi 2-3-4")</f>
        <v>AE dialoghi di tempo fiducia e cura episodi 2-3-4</v>
      </c>
      <c r="M2944" s="10" t="str">
        <f t="shared" ref="M2944:M2951" si="83">HYPERLINK("mailto:nicoletta.vozza@crm.otsuka-europe.com", "nicoletta.vozza@crm.otsuka-europe.com")</f>
        <v>nicoletta.vozza@crm.otsuka-europe.com</v>
      </c>
      <c r="N2944" s="13">
        <v>46181.338090277779</v>
      </c>
      <c r="O2944" s="14" t="str">
        <f>HYPERLINK("https://otsuka-europe-crm.veevavault.com/ui/#object/email_activity__v/V8C00000003O964", "EN-002090624")</f>
        <v>EN-002090624</v>
      </c>
    </row>
    <row r="2945" spans="1:15" ht="32" x14ac:dyDescent="0.2">
      <c r="A2945" s="7" t="str">
        <f>HYPERLINK("https://otsuka-europe-crm.veevavault.com/ui/#object/account__v/V4TZ06G6O71SCDA", "ALINA CIRILLO")</f>
        <v>ALINA CIRILLO</v>
      </c>
      <c r="B2945" s="7" t="str">
        <f t="shared" si="80"/>
        <v>IT</v>
      </c>
      <c r="C2945" s="8" t="s">
        <v>44</v>
      </c>
      <c r="D2945" s="9" t="str">
        <f t="shared" si="81"/>
        <v>AE dialoghi di tempo fiducia e cura episodi 2-3-4</v>
      </c>
      <c r="E2945" s="10" t="str">
        <f>HYPERLINK("https://otsuka-europe-crm.veevavault.com/ui/#object/sent_email__v/VBL00000002O498", "SE-001432169")</f>
        <v>SE-001432169</v>
      </c>
      <c r="F2945" s="11"/>
      <c r="G2945" s="12">
        <v>0</v>
      </c>
      <c r="H2945" s="12">
        <v>0</v>
      </c>
      <c r="I2945" s="12">
        <v>0</v>
      </c>
      <c r="J2945" s="11"/>
      <c r="K2945" s="12">
        <v>0</v>
      </c>
      <c r="L2945" s="10" t="str">
        <f t="shared" si="82"/>
        <v>AE dialoghi di tempo fiducia e cura episodi 2-3-4</v>
      </c>
      <c r="M2945" s="10" t="str">
        <f t="shared" si="83"/>
        <v>nicoletta.vozza@crm.otsuka-europe.com</v>
      </c>
      <c r="N2945" s="13">
        <v>46181.33798611111</v>
      </c>
      <c r="O2945" s="14" t="str">
        <f>HYPERLINK("https://otsuka-europe-crm.veevavault.com/ui/#object/email_activity__v/V8C00000003P286", "EN-002089922")</f>
        <v>EN-002089922</v>
      </c>
    </row>
    <row r="2946" spans="1:15" ht="32" x14ac:dyDescent="0.2">
      <c r="A2946" s="7" t="str">
        <f>HYPERLINK("https://otsuka-europe-crm.veevavault.com/ui/#object/account__v/V4TZ025E82Y3JLB", "AMBRA GALIA")</f>
        <v>AMBRA GALIA</v>
      </c>
      <c r="B2946" s="7" t="str">
        <f t="shared" si="80"/>
        <v>IT</v>
      </c>
      <c r="C2946" s="8" t="s">
        <v>44</v>
      </c>
      <c r="D2946" s="9" t="str">
        <f t="shared" si="81"/>
        <v>AE dialoghi di tempo fiducia e cura episodi 2-3-4</v>
      </c>
      <c r="E2946" s="10" t="str">
        <f>HYPERLINK("https://otsuka-europe-crm.veevavault.com/ui/#object/sent_email__v/VBL00000002O499", "SE-001432170")</f>
        <v>SE-001432170</v>
      </c>
      <c r="F2946" s="11"/>
      <c r="G2946" s="12">
        <v>0</v>
      </c>
      <c r="H2946" s="12">
        <v>0</v>
      </c>
      <c r="I2946" s="12">
        <v>0</v>
      </c>
      <c r="J2946" s="11"/>
      <c r="K2946" s="12">
        <v>0</v>
      </c>
      <c r="L2946" s="10" t="str">
        <f t="shared" si="82"/>
        <v>AE dialoghi di tempo fiducia e cura episodi 2-3-4</v>
      </c>
      <c r="M2946" s="10" t="str">
        <f t="shared" si="83"/>
        <v>nicoletta.vozza@crm.otsuka-europe.com</v>
      </c>
      <c r="N2946" s="13">
        <v>46181.337997685187</v>
      </c>
      <c r="O2946" s="14" t="str">
        <f>HYPERLINK("https://otsuka-europe-crm.veevavault.com/ui/#object/email_activity__v/V8C00000003O197", "EN-002089634")</f>
        <v>EN-002089634</v>
      </c>
    </row>
    <row r="2947" spans="1:15" ht="32" x14ac:dyDescent="0.2">
      <c r="A2947" s="7" t="str">
        <f>HYPERLINK("https://otsuka-europe-crm.veevavault.com/ui/#object/account__v/V4TZ06G6O71SB5W", "ANASTASIA LEO")</f>
        <v>ANASTASIA LEO</v>
      </c>
      <c r="B2947" s="7" t="str">
        <f t="shared" si="80"/>
        <v>IT</v>
      </c>
      <c r="C2947" s="8" t="s">
        <v>44</v>
      </c>
      <c r="D2947" s="9" t="str">
        <f t="shared" si="81"/>
        <v>AE dialoghi di tempo fiducia e cura episodi 2-3-4</v>
      </c>
      <c r="E2947" s="10" t="str">
        <f>HYPERLINK("https://otsuka-europe-crm.veevavault.com/ui/#object/sent_email__v/VBL00000002O500", "SE-001432171")</f>
        <v>SE-001432171</v>
      </c>
      <c r="F2947" s="11"/>
      <c r="G2947" s="12">
        <v>0</v>
      </c>
      <c r="H2947" s="12">
        <v>0</v>
      </c>
      <c r="I2947" s="12">
        <v>0</v>
      </c>
      <c r="J2947" s="11"/>
      <c r="K2947" s="12">
        <v>0</v>
      </c>
      <c r="L2947" s="10" t="str">
        <f t="shared" si="82"/>
        <v>AE dialoghi di tempo fiducia e cura episodi 2-3-4</v>
      </c>
      <c r="M2947" s="10" t="str">
        <f t="shared" si="83"/>
        <v>nicoletta.vozza@crm.otsuka-europe.com</v>
      </c>
      <c r="N2947" s="13">
        <v>46181.338113425925</v>
      </c>
      <c r="O2947" s="14" t="str">
        <f>HYPERLINK("https://otsuka-europe-crm.veevavault.com/ui/#object/email_activity__v/V8C00000003P892", "EN-002091421")</f>
        <v>EN-002091421</v>
      </c>
    </row>
    <row r="2948" spans="1:15" ht="32" x14ac:dyDescent="0.2">
      <c r="A2948" s="7" t="str">
        <f>HYPERLINK("https://otsuka-europe-crm.veevavault.com/ui/#object/account__v/V4TZ06G6O71S9W0", "ANDREA ADORNI")</f>
        <v>ANDREA ADORNI</v>
      </c>
      <c r="B2948" s="7" t="str">
        <f t="shared" si="80"/>
        <v>IT</v>
      </c>
      <c r="C2948" s="8" t="s">
        <v>44</v>
      </c>
      <c r="D2948" s="9" t="str">
        <f t="shared" si="81"/>
        <v>AE dialoghi di tempo fiducia e cura episodi 2-3-4</v>
      </c>
      <c r="E2948" s="10" t="str">
        <f>HYPERLINK("https://otsuka-europe-crm.veevavault.com/ui/#object/sent_email__v/VBL00000002O501", "SE-001432172")</f>
        <v>SE-001432172</v>
      </c>
      <c r="F2948" s="11"/>
      <c r="G2948" s="12">
        <v>0</v>
      </c>
      <c r="H2948" s="12">
        <v>0</v>
      </c>
      <c r="I2948" s="12">
        <v>0</v>
      </c>
      <c r="J2948" s="11"/>
      <c r="K2948" s="12">
        <v>0</v>
      </c>
      <c r="L2948" s="10" t="str">
        <f t="shared" si="82"/>
        <v>AE dialoghi di tempo fiducia e cura episodi 2-3-4</v>
      </c>
      <c r="M2948" s="10" t="str">
        <f t="shared" si="83"/>
        <v>nicoletta.vozza@crm.otsuka-europe.com</v>
      </c>
      <c r="N2948" s="13">
        <v>46181.338020833333</v>
      </c>
      <c r="O2948" s="14" t="str">
        <f>HYPERLINK("https://otsuka-europe-crm.veevavault.com/ui/#object/email_activity__v/V8C00000003P453", "EN-002090649")</f>
        <v>EN-002090649</v>
      </c>
    </row>
    <row r="2949" spans="1:15" ht="32" x14ac:dyDescent="0.2">
      <c r="A2949" s="7" t="str">
        <f>HYPERLINK("https://otsuka-europe-crm.veevavault.com/ui/#object/account__v/V4TZ06G6O71S9W2", "ANDREA AFFATICATI")</f>
        <v>ANDREA AFFATICATI</v>
      </c>
      <c r="B2949" s="7" t="str">
        <f t="shared" si="80"/>
        <v>IT</v>
      </c>
      <c r="C2949" s="8" t="s">
        <v>44</v>
      </c>
      <c r="D2949" s="9" t="str">
        <f t="shared" si="81"/>
        <v>AE dialoghi di tempo fiducia e cura episodi 2-3-4</v>
      </c>
      <c r="E2949" s="10" t="str">
        <f>HYPERLINK("https://otsuka-europe-crm.veevavault.com/ui/#object/sent_email__v/VBL00000002O502", "SE-001432173")</f>
        <v>SE-001432173</v>
      </c>
      <c r="F2949" s="11"/>
      <c r="G2949" s="12">
        <v>0</v>
      </c>
      <c r="H2949" s="12">
        <v>0</v>
      </c>
      <c r="I2949" s="12">
        <v>0</v>
      </c>
      <c r="J2949" s="11"/>
      <c r="K2949" s="12">
        <v>0</v>
      </c>
      <c r="L2949" s="10" t="str">
        <f t="shared" si="82"/>
        <v>AE dialoghi di tempo fiducia e cura episodi 2-3-4</v>
      </c>
      <c r="M2949" s="10" t="str">
        <f t="shared" si="83"/>
        <v>nicoletta.vozza@crm.otsuka-europe.com</v>
      </c>
      <c r="N2949" s="13">
        <v>46181.33798611111</v>
      </c>
      <c r="O2949" s="14" t="str">
        <f>HYPERLINK("https://otsuka-europe-crm.veevavault.com/ui/#object/email_activity__v/V8C00000003O409", "EN-002089965")</f>
        <v>EN-002089965</v>
      </c>
    </row>
    <row r="2950" spans="1:15" ht="32" x14ac:dyDescent="0.2">
      <c r="A2950" s="7" t="str">
        <f>HYPERLINK("https://otsuka-europe-crm.veevavault.com/ui/#object/account__v/V4TZ06G6O71S9W5", "ANDREA AGUGLIA")</f>
        <v>ANDREA AGUGLIA</v>
      </c>
      <c r="B2950" s="7" t="str">
        <f t="shared" si="80"/>
        <v>IT</v>
      </c>
      <c r="C2950" s="8" t="s">
        <v>44</v>
      </c>
      <c r="D2950" s="9" t="str">
        <f t="shared" si="81"/>
        <v>AE dialoghi di tempo fiducia e cura episodi 2-3-4</v>
      </c>
      <c r="E2950" s="10" t="str">
        <f>HYPERLINK("https://otsuka-europe-crm.veevavault.com/ui/#object/sent_email__v/VBL00000002O503", "SE-001432174")</f>
        <v>SE-001432174</v>
      </c>
      <c r="F2950" s="11"/>
      <c r="G2950" s="12">
        <v>0</v>
      </c>
      <c r="H2950" s="12">
        <v>0</v>
      </c>
      <c r="I2950" s="12">
        <v>0</v>
      </c>
      <c r="J2950" s="11"/>
      <c r="K2950" s="12">
        <v>0</v>
      </c>
      <c r="L2950" s="10" t="str">
        <f t="shared" si="82"/>
        <v>AE dialoghi di tempo fiducia e cura episodi 2-3-4</v>
      </c>
      <c r="M2950" s="10" t="str">
        <f t="shared" si="83"/>
        <v>nicoletta.vozza@crm.otsuka-europe.com</v>
      </c>
      <c r="N2950" s="13">
        <v>46181.338113425925</v>
      </c>
      <c r="O2950" s="14" t="str">
        <f>HYPERLINK("https://otsuka-europe-crm.veevavault.com/ui/#object/email_activity__v/V8C00000003Q169", "EN-002091255")</f>
        <v>EN-002091255</v>
      </c>
    </row>
    <row r="2951" spans="1:15" ht="16" x14ac:dyDescent="0.2">
      <c r="A2951" s="17" t="str">
        <f>HYPERLINK("https://otsuka-europe-crm.veevavault.com/ui/#object/account__v/V4TZ06G6O71S9GC", "ANDREA AMERIO")</f>
        <v>ANDREA AMERIO</v>
      </c>
      <c r="B2951" s="17" t="str">
        <f t="shared" si="80"/>
        <v>IT</v>
      </c>
      <c r="C2951" s="20" t="s">
        <v>44</v>
      </c>
      <c r="D2951" s="21" t="str">
        <f t="shared" si="81"/>
        <v>AE dialoghi di tempo fiducia e cura episodi 2-3-4</v>
      </c>
      <c r="E2951" s="22" t="str">
        <f>HYPERLINK("https://otsuka-europe-crm.veevavault.com/ui/#object/sent_email__v/VBL00000002O504", "SE-001432175")</f>
        <v>SE-001432175</v>
      </c>
      <c r="F2951" s="23">
        <v>46181.343009259261</v>
      </c>
      <c r="G2951" s="24">
        <v>1</v>
      </c>
      <c r="H2951" s="24">
        <v>1</v>
      </c>
      <c r="I2951" s="24">
        <v>0</v>
      </c>
      <c r="J2951" s="25"/>
      <c r="K2951" s="24">
        <v>0</v>
      </c>
      <c r="L2951" s="22" t="str">
        <f t="shared" si="82"/>
        <v>AE dialoghi di tempo fiducia e cura episodi 2-3-4</v>
      </c>
      <c r="M2951" s="22" t="str">
        <f t="shared" si="83"/>
        <v>nicoletta.vozza@crm.otsuka-europe.com</v>
      </c>
      <c r="N2951" s="23">
        <v>46181.337951388887</v>
      </c>
      <c r="O2951" s="14" t="str">
        <f>HYPERLINK("https://otsuka-europe-crm.veevavault.com/ui/#object/email_activity__v/V8C00000003O553", "EN-002090109")</f>
        <v>EN-002090109</v>
      </c>
    </row>
    <row r="2952" spans="1:15" ht="16" x14ac:dyDescent="0.2">
      <c r="A2952" s="19"/>
      <c r="B2952" s="19"/>
      <c r="C2952" s="19"/>
      <c r="D2952" s="19"/>
      <c r="E2952" s="19"/>
      <c r="F2952" s="19"/>
      <c r="G2952" s="19"/>
      <c r="H2952" s="19"/>
      <c r="I2952" s="19"/>
      <c r="J2952" s="19"/>
      <c r="K2952" s="19"/>
      <c r="L2952" s="19"/>
      <c r="M2952" s="19"/>
      <c r="N2952" s="19"/>
      <c r="O2952" s="14" t="str">
        <f>HYPERLINK("https://otsuka-europe-crm.veevavault.com/ui/#object/email_activity__v/V8C00000003Q293", "EN-002091430")</f>
        <v>EN-002091430</v>
      </c>
    </row>
    <row r="2953" spans="1:15" ht="32" x14ac:dyDescent="0.2">
      <c r="A2953" s="7" t="str">
        <f>HYPERLINK("https://otsuka-europe-crm.veevavault.com/ui/#object/account__v/V4TZ04ASGCYUKN0", "ANDREA ARDISSONE")</f>
        <v>ANDREA ARDISSONE</v>
      </c>
      <c r="B2953" s="7" t="str">
        <f>HYPERLINK("https://otsuka-europe-crm.veevavault.com/ui/#object/vcountry__v/VENZ000004SONFQ", "IT")</f>
        <v>IT</v>
      </c>
      <c r="C2953" s="8" t="s">
        <v>44</v>
      </c>
      <c r="D2953" s="9" t="str">
        <f>HYPERLINK("https://otsuka-europe-crm.veevavault.com/ui/#object/approved_document__v/V5O000000018003", "AE dialoghi di tempo fiducia e cura episodi 2-3-4")</f>
        <v>AE dialoghi di tempo fiducia e cura episodi 2-3-4</v>
      </c>
      <c r="E2953" s="10" t="str">
        <f>HYPERLINK("https://otsuka-europe-crm.veevavault.com/ui/#object/sent_email__v/VBL00000002O505", "SE-001432176")</f>
        <v>SE-001432176</v>
      </c>
      <c r="F2953" s="11"/>
      <c r="G2953" s="12">
        <v>0</v>
      </c>
      <c r="H2953" s="12">
        <v>0</v>
      </c>
      <c r="I2953" s="12">
        <v>0</v>
      </c>
      <c r="J2953" s="11"/>
      <c r="K2953" s="12">
        <v>0</v>
      </c>
      <c r="L2953" s="10" t="str">
        <f>HYPERLINK("https://otsuka-europe-crm.veevavault.com/ui/#object/approved_document__v/V5O000000018003", "AE dialoghi di tempo fiducia e cura episodi 2-3-4")</f>
        <v>AE dialoghi di tempo fiducia e cura episodi 2-3-4</v>
      </c>
      <c r="M2953" s="10" t="str">
        <f>HYPERLINK("mailto:nicoletta.vozza@crm.otsuka-europe.com", "nicoletta.vozza@crm.otsuka-europe.com")</f>
        <v>nicoletta.vozza@crm.otsuka-europe.com</v>
      </c>
      <c r="N2953" s="13">
        <v>46181.33798611111</v>
      </c>
      <c r="O2953" s="14" t="str">
        <f>HYPERLINK("https://otsuka-europe-crm.veevavault.com/ui/#object/email_activity__v/V8C00000003P161", "EN-002089561")</f>
        <v>EN-002089561</v>
      </c>
    </row>
    <row r="2954" spans="1:15" ht="16" x14ac:dyDescent="0.2">
      <c r="A2954" s="17" t="str">
        <f>HYPERLINK("https://otsuka-europe-crm.veevavault.com/ui/#object/account__v/V4TZ06G6O71S9Q9", "ANDREA BERTOLAZZI")</f>
        <v>ANDREA BERTOLAZZI</v>
      </c>
      <c r="B2954" s="17" t="str">
        <f>HYPERLINK("https://otsuka-europe-crm.veevavault.com/ui/#object/vcountry__v/VENZ000004SONFQ", "IT")</f>
        <v>IT</v>
      </c>
      <c r="C2954" s="20" t="s">
        <v>44</v>
      </c>
      <c r="D2954" s="21" t="str">
        <f>HYPERLINK("https://otsuka-europe-crm.veevavault.com/ui/#object/approved_document__v/V5O000000018003", "AE dialoghi di tempo fiducia e cura episodi 2-3-4")</f>
        <v>AE dialoghi di tempo fiducia e cura episodi 2-3-4</v>
      </c>
      <c r="E2954" s="22" t="str">
        <f>HYPERLINK("https://otsuka-europe-crm.veevavault.com/ui/#object/sent_email__v/VBL00000002O506", "SE-001432177")</f>
        <v>SE-001432177</v>
      </c>
      <c r="F2954" s="23">
        <v>46181.357986111114</v>
      </c>
      <c r="G2954" s="24">
        <v>1</v>
      </c>
      <c r="H2954" s="24">
        <v>7</v>
      </c>
      <c r="I2954" s="24">
        <v>0</v>
      </c>
      <c r="J2954" s="25"/>
      <c r="K2954" s="24">
        <v>0</v>
      </c>
      <c r="L2954" s="22" t="str">
        <f>HYPERLINK("https://otsuka-europe-crm.veevavault.com/ui/#object/approved_document__v/V5O000000018003", "AE dialoghi di tempo fiducia e cura episodi 2-3-4")</f>
        <v>AE dialoghi di tempo fiducia e cura episodi 2-3-4</v>
      </c>
      <c r="M2954" s="22" t="str">
        <f>HYPERLINK("mailto:nicoletta.vozza@crm.otsuka-europe.com", "nicoletta.vozza@crm.otsuka-europe.com")</f>
        <v>nicoletta.vozza@crm.otsuka-europe.com</v>
      </c>
      <c r="N2954" s="23">
        <v>46181.338020833333</v>
      </c>
      <c r="O2954" s="14" t="str">
        <f>HYPERLINK("https://otsuka-europe-crm.veevavault.com/ui/#object/email_activity__v/V8C00000003P697", "EN-002090952")</f>
        <v>EN-002090952</v>
      </c>
    </row>
    <row r="2955" spans="1:15" ht="16" x14ac:dyDescent="0.2">
      <c r="A2955" s="18"/>
      <c r="B2955" s="18"/>
      <c r="C2955" s="18"/>
      <c r="D2955" s="18"/>
      <c r="E2955" s="18"/>
      <c r="F2955" s="18"/>
      <c r="G2955" s="18"/>
      <c r="H2955" s="18"/>
      <c r="I2955" s="18"/>
      <c r="J2955" s="18"/>
      <c r="K2955" s="18"/>
      <c r="L2955" s="18"/>
      <c r="M2955" s="18"/>
      <c r="N2955" s="18"/>
      <c r="O2955" s="14" t="str">
        <f>HYPERLINK("https://otsuka-europe-crm.veevavault.com/ui/#object/email_activity__v/V8C00000003P889", "EN-002091413")</f>
        <v>EN-002091413</v>
      </c>
    </row>
    <row r="2956" spans="1:15" ht="16" x14ac:dyDescent="0.2">
      <c r="A2956" s="18"/>
      <c r="B2956" s="18"/>
      <c r="C2956" s="18"/>
      <c r="D2956" s="18"/>
      <c r="E2956" s="18"/>
      <c r="F2956" s="18"/>
      <c r="G2956" s="18"/>
      <c r="H2956" s="18"/>
      <c r="I2956" s="18"/>
      <c r="J2956" s="18"/>
      <c r="K2956" s="18"/>
      <c r="L2956" s="18"/>
      <c r="M2956" s="18"/>
      <c r="N2956" s="18"/>
      <c r="O2956" s="14" t="str">
        <f>HYPERLINK("https://otsuka-europe-crm.veevavault.com/ui/#object/email_activity__v/V8C00000003P890", "EN-002091418")</f>
        <v>EN-002091418</v>
      </c>
    </row>
    <row r="2957" spans="1:15" ht="16" x14ac:dyDescent="0.2">
      <c r="A2957" s="18"/>
      <c r="B2957" s="18"/>
      <c r="C2957" s="18"/>
      <c r="D2957" s="18"/>
      <c r="E2957" s="18"/>
      <c r="F2957" s="18"/>
      <c r="G2957" s="18"/>
      <c r="H2957" s="18"/>
      <c r="I2957" s="18"/>
      <c r="J2957" s="18"/>
      <c r="K2957" s="18"/>
      <c r="L2957" s="18"/>
      <c r="M2957" s="18"/>
      <c r="N2957" s="18"/>
      <c r="O2957" s="14" t="str">
        <f>HYPERLINK("https://otsuka-europe-crm.veevavault.com/ui/#object/email_activity__v/V8C00000003Q286", "EN-002091414")</f>
        <v>EN-002091414</v>
      </c>
    </row>
    <row r="2958" spans="1:15" ht="16" x14ac:dyDescent="0.2">
      <c r="A2958" s="18"/>
      <c r="B2958" s="18"/>
      <c r="C2958" s="18"/>
      <c r="D2958" s="18"/>
      <c r="E2958" s="18"/>
      <c r="F2958" s="18"/>
      <c r="G2958" s="18"/>
      <c r="H2958" s="18"/>
      <c r="I2958" s="18"/>
      <c r="J2958" s="18"/>
      <c r="K2958" s="18"/>
      <c r="L2958" s="18"/>
      <c r="M2958" s="18"/>
      <c r="N2958" s="18"/>
      <c r="O2958" s="14" t="str">
        <f>HYPERLINK("https://otsuka-europe-crm.veevavault.com/ui/#object/email_activity__v/V8C00000003Q287", "EN-002091415")</f>
        <v>EN-002091415</v>
      </c>
    </row>
    <row r="2959" spans="1:15" ht="16" x14ac:dyDescent="0.2">
      <c r="A2959" s="18"/>
      <c r="B2959" s="18"/>
      <c r="C2959" s="18"/>
      <c r="D2959" s="18"/>
      <c r="E2959" s="18"/>
      <c r="F2959" s="18"/>
      <c r="G2959" s="18"/>
      <c r="H2959" s="18"/>
      <c r="I2959" s="18"/>
      <c r="J2959" s="18"/>
      <c r="K2959" s="18"/>
      <c r="L2959" s="18"/>
      <c r="M2959" s="18"/>
      <c r="N2959" s="18"/>
      <c r="O2959" s="14" t="str">
        <f>HYPERLINK("https://otsuka-europe-crm.veevavault.com/ui/#object/email_activity__v/V8C00000003Q327", "EN-002091489")</f>
        <v>EN-002091489</v>
      </c>
    </row>
    <row r="2960" spans="1:15" ht="16" x14ac:dyDescent="0.2">
      <c r="A2960" s="18"/>
      <c r="B2960" s="18"/>
      <c r="C2960" s="18"/>
      <c r="D2960" s="18"/>
      <c r="E2960" s="18"/>
      <c r="F2960" s="18"/>
      <c r="G2960" s="18"/>
      <c r="H2960" s="18"/>
      <c r="I2960" s="18"/>
      <c r="J2960" s="18"/>
      <c r="K2960" s="18"/>
      <c r="L2960" s="18"/>
      <c r="M2960" s="18"/>
      <c r="N2960" s="18"/>
      <c r="O2960" s="14" t="str">
        <f>HYPERLINK("https://otsuka-europe-crm.veevavault.com/ui/#object/email_activity__v/V8C00000003Q330", "EN-002091493")</f>
        <v>EN-002091493</v>
      </c>
    </row>
    <row r="2961" spans="1:15" ht="16" x14ac:dyDescent="0.2">
      <c r="A2961" s="19"/>
      <c r="B2961" s="19"/>
      <c r="C2961" s="19"/>
      <c r="D2961" s="19"/>
      <c r="E2961" s="19"/>
      <c r="F2961" s="19"/>
      <c r="G2961" s="19"/>
      <c r="H2961" s="19"/>
      <c r="I2961" s="19"/>
      <c r="J2961" s="19"/>
      <c r="K2961" s="19"/>
      <c r="L2961" s="19"/>
      <c r="M2961" s="19"/>
      <c r="N2961" s="19"/>
      <c r="O2961" s="14" t="str">
        <f>HYPERLINK("https://otsuka-europe-crm.veevavault.com/ui/#object/email_activity__v/V8C00000003Q336", "EN-002091499")</f>
        <v>EN-002091499</v>
      </c>
    </row>
    <row r="2962" spans="1:15" ht="32" x14ac:dyDescent="0.2">
      <c r="A2962" s="7" t="str">
        <f>HYPERLINK("https://otsuka-europe-crm.veevavault.com/ui/#object/account__v/V4TZ06G6O71TLCZ", "ANDREA BUSCAJONI")</f>
        <v>ANDREA BUSCAJONI</v>
      </c>
      <c r="B2962" s="7" t="str">
        <f t="shared" ref="B2962:B2969" si="84">HYPERLINK("https://otsuka-europe-crm.veevavault.com/ui/#object/vcountry__v/VENZ000004SONFQ", "IT")</f>
        <v>IT</v>
      </c>
      <c r="C2962" s="8" t="s">
        <v>44</v>
      </c>
      <c r="D2962" s="9" t="str">
        <f t="shared" ref="D2962:D2969" si="85">HYPERLINK("https://otsuka-europe-crm.veevavault.com/ui/#object/approved_document__v/V5O000000018003", "AE dialoghi di tempo fiducia e cura episodi 2-3-4")</f>
        <v>AE dialoghi di tempo fiducia e cura episodi 2-3-4</v>
      </c>
      <c r="E2962" s="10" t="str">
        <f>HYPERLINK("https://otsuka-europe-crm.veevavault.com/ui/#object/sent_email__v/VBL00000002O507", "SE-001432178")</f>
        <v>SE-001432178</v>
      </c>
      <c r="F2962" s="11"/>
      <c r="G2962" s="12">
        <v>0</v>
      </c>
      <c r="H2962" s="12">
        <v>0</v>
      </c>
      <c r="I2962" s="12">
        <v>0</v>
      </c>
      <c r="J2962" s="11"/>
      <c r="K2962" s="12">
        <v>0</v>
      </c>
      <c r="L2962" s="10" t="str">
        <f t="shared" ref="L2962:L2969" si="86">HYPERLINK("https://otsuka-europe-crm.veevavault.com/ui/#object/approved_document__v/V5O000000018003", "AE dialoghi di tempo fiducia e cura episodi 2-3-4")</f>
        <v>AE dialoghi di tempo fiducia e cura episodi 2-3-4</v>
      </c>
      <c r="M2962" s="10" t="str">
        <f t="shared" ref="M2962:M2969" si="87">HYPERLINK("mailto:nicoletta.vozza@crm.otsuka-europe.com", "nicoletta.vozza@crm.otsuka-europe.com")</f>
        <v>nicoletta.vozza@crm.otsuka-europe.com</v>
      </c>
      <c r="N2962" s="13">
        <v>46181.337997685187</v>
      </c>
      <c r="O2962" s="14" t="str">
        <f>HYPERLINK("https://otsuka-europe-crm.veevavault.com/ui/#object/email_activity__v/V8C00000003P614", "EN-002090869")</f>
        <v>EN-002090869</v>
      </c>
    </row>
    <row r="2963" spans="1:15" ht="32" x14ac:dyDescent="0.2">
      <c r="A2963" s="7" t="str">
        <f>HYPERLINK("https://otsuka-europe-crm.veevavault.com/ui/#object/account__v/V4TZ06G6O71SC8R", "ANDREA CESARENI")</f>
        <v>ANDREA CESARENI</v>
      </c>
      <c r="B2963" s="7" t="str">
        <f t="shared" si="84"/>
        <v>IT</v>
      </c>
      <c r="C2963" s="8" t="s">
        <v>44</v>
      </c>
      <c r="D2963" s="9" t="str">
        <f t="shared" si="85"/>
        <v>AE dialoghi di tempo fiducia e cura episodi 2-3-4</v>
      </c>
      <c r="E2963" s="10" t="str">
        <f>HYPERLINK("https://otsuka-europe-crm.veevavault.com/ui/#object/sent_email__v/VBL00000002O508", "SE-001432179")</f>
        <v>SE-001432179</v>
      </c>
      <c r="F2963" s="11"/>
      <c r="G2963" s="12">
        <v>0</v>
      </c>
      <c r="H2963" s="12">
        <v>0</v>
      </c>
      <c r="I2963" s="12">
        <v>0</v>
      </c>
      <c r="J2963" s="11"/>
      <c r="K2963" s="12">
        <v>0</v>
      </c>
      <c r="L2963" s="10" t="str">
        <f t="shared" si="86"/>
        <v>AE dialoghi di tempo fiducia e cura episodi 2-3-4</v>
      </c>
      <c r="M2963" s="10" t="str">
        <f t="shared" si="87"/>
        <v>nicoletta.vozza@crm.otsuka-europe.com</v>
      </c>
      <c r="N2963" s="13">
        <v>46181.338020833333</v>
      </c>
      <c r="O2963" s="14" t="str">
        <f>HYPERLINK("https://otsuka-europe-crm.veevavault.com/ui/#object/email_activity__v/V8C00000003O790", "EN-002090450")</f>
        <v>EN-002090450</v>
      </c>
    </row>
    <row r="2964" spans="1:15" ht="32" x14ac:dyDescent="0.2">
      <c r="A2964" s="7" t="str">
        <f>HYPERLINK("https://otsuka-europe-crm.veevavault.com/ui/#object/account__v/V4TZ025E8361483", "ANDREA CITTADINI")</f>
        <v>ANDREA CITTADINI</v>
      </c>
      <c r="B2964" s="7" t="str">
        <f t="shared" si="84"/>
        <v>IT</v>
      </c>
      <c r="C2964" s="8" t="s">
        <v>44</v>
      </c>
      <c r="D2964" s="9" t="str">
        <f t="shared" si="85"/>
        <v>AE dialoghi di tempo fiducia e cura episodi 2-3-4</v>
      </c>
      <c r="E2964" s="10" t="str">
        <f>HYPERLINK("https://otsuka-europe-crm.veevavault.com/ui/#object/sent_email__v/VBL00000002O509", "SE-001432180")</f>
        <v>SE-001432180</v>
      </c>
      <c r="F2964" s="11"/>
      <c r="G2964" s="12">
        <v>0</v>
      </c>
      <c r="H2964" s="12">
        <v>0</v>
      </c>
      <c r="I2964" s="12">
        <v>0</v>
      </c>
      <c r="J2964" s="11"/>
      <c r="K2964" s="12">
        <v>0</v>
      </c>
      <c r="L2964" s="10" t="str">
        <f t="shared" si="86"/>
        <v>AE dialoghi di tempo fiducia e cura episodi 2-3-4</v>
      </c>
      <c r="M2964" s="10" t="str">
        <f t="shared" si="87"/>
        <v>nicoletta.vozza@crm.otsuka-europe.com</v>
      </c>
      <c r="N2964" s="13">
        <v>46181.337997685187</v>
      </c>
      <c r="O2964" s="14" t="str">
        <f>HYPERLINK("https://otsuka-europe-crm.veevavault.com/ui/#object/email_activity__v/V8C00000003P480", "EN-002090703")</f>
        <v>EN-002090703</v>
      </c>
    </row>
    <row r="2965" spans="1:15" ht="32" x14ac:dyDescent="0.2">
      <c r="A2965" s="7" t="str">
        <f>HYPERLINK("https://otsuka-europe-crm.veevavault.com/ui/#object/account__v/V4TZ04ASGB99CYE", "ANDREA CROVARI")</f>
        <v>ANDREA CROVARI</v>
      </c>
      <c r="B2965" s="7" t="str">
        <f t="shared" si="84"/>
        <v>IT</v>
      </c>
      <c r="C2965" s="8" t="s">
        <v>44</v>
      </c>
      <c r="D2965" s="9" t="str">
        <f t="shared" si="85"/>
        <v>AE dialoghi di tempo fiducia e cura episodi 2-3-4</v>
      </c>
      <c r="E2965" s="10" t="str">
        <f>HYPERLINK("https://otsuka-europe-crm.veevavault.com/ui/#object/sent_email__v/VBL00000002O510", "SE-001432181")</f>
        <v>SE-001432181</v>
      </c>
      <c r="F2965" s="11"/>
      <c r="G2965" s="12">
        <v>0</v>
      </c>
      <c r="H2965" s="12">
        <v>0</v>
      </c>
      <c r="I2965" s="12">
        <v>0</v>
      </c>
      <c r="J2965" s="11"/>
      <c r="K2965" s="12">
        <v>0</v>
      </c>
      <c r="L2965" s="10" t="str">
        <f t="shared" si="86"/>
        <v>AE dialoghi di tempo fiducia e cura episodi 2-3-4</v>
      </c>
      <c r="M2965" s="10" t="str">
        <f t="shared" si="87"/>
        <v>nicoletta.vozza@crm.otsuka-europe.com</v>
      </c>
      <c r="N2965" s="13">
        <v>46181.33797453704</v>
      </c>
      <c r="O2965" s="14" t="str">
        <f>HYPERLINK("https://otsuka-europe-crm.veevavault.com/ui/#object/email_activity__v/V8C00000003O820", "EN-002090522")</f>
        <v>EN-002090522</v>
      </c>
    </row>
    <row r="2966" spans="1:15" ht="32" x14ac:dyDescent="0.2">
      <c r="A2966" s="7" t="str">
        <f>HYPERLINK("https://otsuka-europe-crm.veevavault.com/ui/#object/account__v/V4TZ06G6O71SAEP", "ANDREA D'ALESSIO")</f>
        <v>ANDREA D'ALESSIO</v>
      </c>
      <c r="B2966" s="7" t="str">
        <f t="shared" si="84"/>
        <v>IT</v>
      </c>
      <c r="C2966" s="8" t="s">
        <v>44</v>
      </c>
      <c r="D2966" s="9" t="str">
        <f t="shared" si="85"/>
        <v>AE dialoghi di tempo fiducia e cura episodi 2-3-4</v>
      </c>
      <c r="E2966" s="10" t="str">
        <f>HYPERLINK("https://otsuka-europe-crm.veevavault.com/ui/#object/sent_email__v/VBL00000002O511", "SE-001432182")</f>
        <v>SE-001432182</v>
      </c>
      <c r="F2966" s="11"/>
      <c r="G2966" s="12">
        <v>0</v>
      </c>
      <c r="H2966" s="12">
        <v>0</v>
      </c>
      <c r="I2966" s="12">
        <v>0</v>
      </c>
      <c r="J2966" s="11"/>
      <c r="K2966" s="12">
        <v>0</v>
      </c>
      <c r="L2966" s="10" t="str">
        <f t="shared" si="86"/>
        <v>AE dialoghi di tempo fiducia e cura episodi 2-3-4</v>
      </c>
      <c r="M2966" s="10" t="str">
        <f t="shared" si="87"/>
        <v>nicoletta.vozza@crm.otsuka-europe.com</v>
      </c>
      <c r="N2966" s="13">
        <v>46181.338148148148</v>
      </c>
      <c r="O2966" s="14" t="str">
        <f>HYPERLINK("https://otsuka-europe-crm.veevavault.com/ui/#object/email_activity__v/V8C00000003P499", "EN-002090672")</f>
        <v>EN-002090672</v>
      </c>
    </row>
    <row r="2967" spans="1:15" ht="32" x14ac:dyDescent="0.2">
      <c r="A2967" s="7" t="str">
        <f>HYPERLINK("https://otsuka-europe-crm.veevavault.com/ui/#object/account__v/V4TZ06G6O71SAOA", "ANDREA DANIELI")</f>
        <v>ANDREA DANIELI</v>
      </c>
      <c r="B2967" s="7" t="str">
        <f t="shared" si="84"/>
        <v>IT</v>
      </c>
      <c r="C2967" s="8" t="s">
        <v>44</v>
      </c>
      <c r="D2967" s="9" t="str">
        <f t="shared" si="85"/>
        <v>AE dialoghi di tempo fiducia e cura episodi 2-3-4</v>
      </c>
      <c r="E2967" s="10" t="str">
        <f>HYPERLINK("https://otsuka-europe-crm.veevavault.com/ui/#object/sent_email__v/VBL00000002O512", "SE-001432183")</f>
        <v>SE-001432183</v>
      </c>
      <c r="F2967" s="11"/>
      <c r="G2967" s="12">
        <v>0</v>
      </c>
      <c r="H2967" s="12">
        <v>0</v>
      </c>
      <c r="I2967" s="12">
        <v>0</v>
      </c>
      <c r="J2967" s="11"/>
      <c r="K2967" s="12">
        <v>0</v>
      </c>
      <c r="L2967" s="10" t="str">
        <f t="shared" si="86"/>
        <v>AE dialoghi di tempo fiducia e cura episodi 2-3-4</v>
      </c>
      <c r="M2967" s="10" t="str">
        <f t="shared" si="87"/>
        <v>nicoletta.vozza@crm.otsuka-europe.com</v>
      </c>
      <c r="N2967" s="13">
        <v>46176.648958333331</v>
      </c>
      <c r="O2967" s="14" t="str">
        <f>HYPERLINK("https://otsuka-europe-crm.veevavault.com/ui/#object/email_activity__v/V8C00000003O976", "EN-002090725")</f>
        <v>EN-002090725</v>
      </c>
    </row>
    <row r="2968" spans="1:15" ht="32" x14ac:dyDescent="0.2">
      <c r="A2968" s="7" t="str">
        <f>HYPERLINK("https://otsuka-europe-crm.veevavault.com/ui/#object/account__v/V4TZ06G6O71VPOO", "ANDREA DIAMANTI")</f>
        <v>ANDREA DIAMANTI</v>
      </c>
      <c r="B2968" s="7" t="str">
        <f t="shared" si="84"/>
        <v>IT</v>
      </c>
      <c r="C2968" s="8" t="s">
        <v>44</v>
      </c>
      <c r="D2968" s="9" t="str">
        <f t="shared" si="85"/>
        <v>AE dialoghi di tempo fiducia e cura episodi 2-3-4</v>
      </c>
      <c r="E2968" s="10" t="str">
        <f>HYPERLINK("https://otsuka-europe-crm.veevavault.com/ui/#object/sent_email__v/VBL00000002O513", "SE-001432184")</f>
        <v>SE-001432184</v>
      </c>
      <c r="F2968" s="11"/>
      <c r="G2968" s="12">
        <v>0</v>
      </c>
      <c r="H2968" s="12">
        <v>0</v>
      </c>
      <c r="I2968" s="12">
        <v>0</v>
      </c>
      <c r="J2968" s="11"/>
      <c r="K2968" s="12">
        <v>0</v>
      </c>
      <c r="L2968" s="10" t="str">
        <f t="shared" si="86"/>
        <v>AE dialoghi di tempo fiducia e cura episodi 2-3-4</v>
      </c>
      <c r="M2968" s="10" t="str">
        <f t="shared" si="87"/>
        <v>nicoletta.vozza@crm.otsuka-europe.com</v>
      </c>
      <c r="N2968" s="13">
        <v>46181.337951388887</v>
      </c>
      <c r="O2968" s="14" t="str">
        <f>HYPERLINK("https://otsuka-europe-crm.veevavault.com/ui/#object/email_activity__v/V8C00000003O505", "EN-002090061")</f>
        <v>EN-002090061</v>
      </c>
    </row>
    <row r="2969" spans="1:15" ht="16" x14ac:dyDescent="0.2">
      <c r="A2969" s="17" t="str">
        <f>HYPERLINK("https://otsuka-europe-crm.veevavault.com/ui/#object/account__v/V4TZ04ASG6FT9JI", "ANDREA DISTEFANO")</f>
        <v>ANDREA DISTEFANO</v>
      </c>
      <c r="B2969" s="17" t="str">
        <f t="shared" si="84"/>
        <v>IT</v>
      </c>
      <c r="C2969" s="20" t="s">
        <v>44</v>
      </c>
      <c r="D2969" s="21" t="str">
        <f t="shared" si="85"/>
        <v>AE dialoghi di tempo fiducia e cura episodi 2-3-4</v>
      </c>
      <c r="E2969" s="22" t="str">
        <f>HYPERLINK("https://otsuka-europe-crm.veevavault.com/ui/#object/sent_email__v/VBL00000002O514", "SE-001432185")</f>
        <v>SE-001432185</v>
      </c>
      <c r="F2969" s="23">
        <v>46181.518935185188</v>
      </c>
      <c r="G2969" s="24">
        <v>1</v>
      </c>
      <c r="H2969" s="24">
        <v>2</v>
      </c>
      <c r="I2969" s="24">
        <v>1</v>
      </c>
      <c r="J2969" s="23">
        <v>46181.519259259258</v>
      </c>
      <c r="K2969" s="24">
        <v>1</v>
      </c>
      <c r="L2969" s="22" t="str">
        <f t="shared" si="86"/>
        <v>AE dialoghi di tempo fiducia e cura episodi 2-3-4</v>
      </c>
      <c r="M2969" s="22" t="str">
        <f t="shared" si="87"/>
        <v>nicoletta.vozza@crm.otsuka-europe.com</v>
      </c>
      <c r="N2969" s="23">
        <v>46181.338009259256</v>
      </c>
      <c r="O2969" s="14" t="str">
        <f>HYPERLINK("https://otsuka-europe-crm.veevavault.com/ui/#object/email_activity__v/V8C00000003O368", "EN-002089886")</f>
        <v>EN-002089886</v>
      </c>
    </row>
    <row r="2970" spans="1:15" ht="16" x14ac:dyDescent="0.2">
      <c r="A2970" s="18"/>
      <c r="B2970" s="18"/>
      <c r="C2970" s="18"/>
      <c r="D2970" s="18"/>
      <c r="E2970" s="18"/>
      <c r="F2970" s="18"/>
      <c r="G2970" s="18"/>
      <c r="H2970" s="18"/>
      <c r="I2970" s="18"/>
      <c r="J2970" s="18"/>
      <c r="K2970" s="18"/>
      <c r="L2970" s="18"/>
      <c r="M2970" s="18"/>
      <c r="N2970" s="18"/>
      <c r="O2970" s="14" t="str">
        <f>HYPERLINK("https://otsuka-europe-crm.veevavault.com/ui/#object/email_activity__v/V8C00000003R129", "EN-002091927")</f>
        <v>EN-002091927</v>
      </c>
    </row>
    <row r="2971" spans="1:15" ht="16" x14ac:dyDescent="0.2">
      <c r="A2971" s="18"/>
      <c r="B2971" s="18"/>
      <c r="C2971" s="18"/>
      <c r="D2971" s="18"/>
      <c r="E2971" s="18"/>
      <c r="F2971" s="18"/>
      <c r="G2971" s="18"/>
      <c r="H2971" s="18"/>
      <c r="I2971" s="18"/>
      <c r="J2971" s="18"/>
      <c r="K2971" s="18"/>
      <c r="L2971" s="18"/>
      <c r="M2971" s="18"/>
      <c r="N2971" s="18"/>
      <c r="O2971" s="14" t="str">
        <f>HYPERLINK("https://otsuka-europe-crm.veevavault.com/ui/#object/email_activity__v/V8C00000003R131", "EN-002091929")</f>
        <v>EN-002091929</v>
      </c>
    </row>
    <row r="2972" spans="1:15" ht="16" x14ac:dyDescent="0.2">
      <c r="A2972" s="19"/>
      <c r="B2972" s="19"/>
      <c r="C2972" s="19"/>
      <c r="D2972" s="19"/>
      <c r="E2972" s="19"/>
      <c r="F2972" s="19"/>
      <c r="G2972" s="19"/>
      <c r="H2972" s="19"/>
      <c r="I2972" s="19"/>
      <c r="J2972" s="19"/>
      <c r="K2972" s="19"/>
      <c r="L2972" s="19"/>
      <c r="M2972" s="19"/>
      <c r="N2972" s="19"/>
      <c r="O2972" s="14" t="str">
        <f>HYPERLINK("https://otsuka-europe-crm.veevavault.com/ui/#object/email_activity__v/V8C00000003R132", "EN-002091930")</f>
        <v>EN-002091930</v>
      </c>
    </row>
    <row r="2973" spans="1:15" ht="32" x14ac:dyDescent="0.2">
      <c r="A2973" s="7" t="str">
        <f>HYPERLINK("https://otsuka-europe-crm.veevavault.com/ui/#object/account__v/V4TZ04ASGFQ7ATW", "ANDREA ESCELSIOR")</f>
        <v>ANDREA ESCELSIOR</v>
      </c>
      <c r="B2973" s="7" t="str">
        <f>HYPERLINK("https://otsuka-europe-crm.veevavault.com/ui/#object/vcountry__v/VENZ000004SONFQ", "IT")</f>
        <v>IT</v>
      </c>
      <c r="C2973" s="8" t="s">
        <v>44</v>
      </c>
      <c r="D2973" s="9" t="str">
        <f>HYPERLINK("https://otsuka-europe-crm.veevavault.com/ui/#object/approved_document__v/V5O000000018003", "AE dialoghi di tempo fiducia e cura episodi 2-3-4")</f>
        <v>AE dialoghi di tempo fiducia e cura episodi 2-3-4</v>
      </c>
      <c r="E2973" s="10" t="str">
        <f>HYPERLINK("https://otsuka-europe-crm.veevavault.com/ui/#object/sent_email__v/VBL00000002O515", "SE-001432186")</f>
        <v>SE-001432186</v>
      </c>
      <c r="F2973" s="11"/>
      <c r="G2973" s="12">
        <v>0</v>
      </c>
      <c r="H2973" s="12">
        <v>0</v>
      </c>
      <c r="I2973" s="12">
        <v>0</v>
      </c>
      <c r="J2973" s="11"/>
      <c r="K2973" s="12">
        <v>0</v>
      </c>
      <c r="L2973" s="10" t="str">
        <f>HYPERLINK("https://otsuka-europe-crm.veevavault.com/ui/#object/approved_document__v/V5O000000018003", "AE dialoghi di tempo fiducia e cura episodi 2-3-4")</f>
        <v>AE dialoghi di tempo fiducia e cura episodi 2-3-4</v>
      </c>
      <c r="M2973" s="10" t="str">
        <f>HYPERLINK("mailto:nicoletta.vozza@crm.otsuka-europe.com", "nicoletta.vozza@crm.otsuka-europe.com")</f>
        <v>nicoletta.vozza@crm.otsuka-europe.com</v>
      </c>
      <c r="N2973" s="13">
        <v>46181.337997685187</v>
      </c>
      <c r="O2973" s="14" t="str">
        <f>HYPERLINK("https://otsuka-europe-crm.veevavault.com/ui/#object/email_activity__v/V8C00000003O375", "EN-002089893")</f>
        <v>EN-002089893</v>
      </c>
    </row>
    <row r="2974" spans="1:15" ht="32" x14ac:dyDescent="0.2">
      <c r="A2974" s="7" t="str">
        <f>HYPERLINK("https://otsuka-europe-crm.veevavault.com/ui/#object/account__v/V4TZ06G6O94QVBU", "ANDREA FUSCO")</f>
        <v>ANDREA FUSCO</v>
      </c>
      <c r="B2974" s="7" t="str">
        <f>HYPERLINK("https://otsuka-europe-crm.veevavault.com/ui/#object/vcountry__v/VENZ000004SONFQ", "IT")</f>
        <v>IT</v>
      </c>
      <c r="C2974" s="8" t="s">
        <v>44</v>
      </c>
      <c r="D2974" s="9" t="str">
        <f>HYPERLINK("https://otsuka-europe-crm.veevavault.com/ui/#object/approved_document__v/V5O000000018003", "AE dialoghi di tempo fiducia e cura episodi 2-3-4")</f>
        <v>AE dialoghi di tempo fiducia e cura episodi 2-3-4</v>
      </c>
      <c r="E2974" s="10" t="str">
        <f>HYPERLINK("https://otsuka-europe-crm.veevavault.com/ui/#object/sent_email__v/VBL00000002O516", "SE-001432187")</f>
        <v>SE-001432187</v>
      </c>
      <c r="F2974" s="11"/>
      <c r="G2974" s="12">
        <v>0</v>
      </c>
      <c r="H2974" s="12">
        <v>0</v>
      </c>
      <c r="I2974" s="12">
        <v>0</v>
      </c>
      <c r="J2974" s="11"/>
      <c r="K2974" s="12">
        <v>0</v>
      </c>
      <c r="L2974" s="10" t="str">
        <f>HYPERLINK("https://otsuka-europe-crm.veevavault.com/ui/#object/approved_document__v/V5O000000018003", "AE dialoghi di tempo fiducia e cura episodi 2-3-4")</f>
        <v>AE dialoghi di tempo fiducia e cura episodi 2-3-4</v>
      </c>
      <c r="M2974" s="10" t="str">
        <f>HYPERLINK("mailto:nicoletta.vozza@crm.otsuka-europe.com", "nicoletta.vozza@crm.otsuka-europe.com")</f>
        <v>nicoletta.vozza@crm.otsuka-europe.com</v>
      </c>
      <c r="N2974" s="13">
        <v>46181.338020833333</v>
      </c>
      <c r="O2974" s="14" t="str">
        <f>HYPERLINK("https://otsuka-europe-crm.veevavault.com/ui/#object/email_activity__v/V8C00000003P666", "EN-002090921")</f>
        <v>EN-002090921</v>
      </c>
    </row>
    <row r="2975" spans="1:15" ht="32" x14ac:dyDescent="0.2">
      <c r="A2975" s="7" t="str">
        <f>HYPERLINK("https://otsuka-europe-crm.veevavault.com/ui/#object/account__v/V4TZ04ASGAPBMZL", "ANDREA GAROZZO")</f>
        <v>ANDREA GAROZZO</v>
      </c>
      <c r="B2975" s="7" t="str">
        <f>HYPERLINK("https://otsuka-europe-crm.veevavault.com/ui/#object/vcountry__v/VENZ000004SONFQ", "IT")</f>
        <v>IT</v>
      </c>
      <c r="C2975" s="8" t="s">
        <v>44</v>
      </c>
      <c r="D2975" s="9" t="str">
        <f>HYPERLINK("https://otsuka-europe-crm.veevavault.com/ui/#object/approved_document__v/V5O000000018003", "AE dialoghi di tempo fiducia e cura episodi 2-3-4")</f>
        <v>AE dialoghi di tempo fiducia e cura episodi 2-3-4</v>
      </c>
      <c r="E2975" s="10" t="str">
        <f>HYPERLINK("https://otsuka-europe-crm.veevavault.com/ui/#object/sent_email__v/VBL00000002O517", "SE-001432188")</f>
        <v>SE-001432188</v>
      </c>
      <c r="F2975" s="11"/>
      <c r="G2975" s="12">
        <v>0</v>
      </c>
      <c r="H2975" s="12">
        <v>0</v>
      </c>
      <c r="I2975" s="12">
        <v>0</v>
      </c>
      <c r="J2975" s="11"/>
      <c r="K2975" s="12">
        <v>0</v>
      </c>
      <c r="L2975" s="10" t="str">
        <f>HYPERLINK("https://otsuka-europe-crm.veevavault.com/ui/#object/approved_document__v/V5O000000018003", "AE dialoghi di tempo fiducia e cura episodi 2-3-4")</f>
        <v>AE dialoghi di tempo fiducia e cura episodi 2-3-4</v>
      </c>
      <c r="M2975" s="10" t="str">
        <f>HYPERLINK("mailto:nicoletta.vozza@crm.otsuka-europe.com", "nicoletta.vozza@crm.otsuka-europe.com")</f>
        <v>nicoletta.vozza@crm.otsuka-europe.com</v>
      </c>
      <c r="N2975" s="13">
        <v>46181.338078703702</v>
      </c>
      <c r="O2975" s="14" t="str">
        <f>HYPERLINK("https://otsuka-europe-crm.veevavault.com/ui/#object/email_activity__v/V8C00000003P602", "EN-002090857")</f>
        <v>EN-002090857</v>
      </c>
    </row>
    <row r="2976" spans="1:15" ht="32" x14ac:dyDescent="0.2">
      <c r="A2976" s="7" t="str">
        <f>HYPERLINK("https://otsuka-europe-crm.veevavault.com/ui/#object/account__v/V4TZ06G6O71SAUS", "ANDREA GIAMBARTOLOMEI")</f>
        <v>ANDREA GIAMBARTOLOMEI</v>
      </c>
      <c r="B2976" s="7" t="str">
        <f>HYPERLINK("https://otsuka-europe-crm.veevavault.com/ui/#object/vcountry__v/VENZ000004SONFQ", "IT")</f>
        <v>IT</v>
      </c>
      <c r="C2976" s="8" t="s">
        <v>44</v>
      </c>
      <c r="D2976" s="9" t="str">
        <f>HYPERLINK("https://otsuka-europe-crm.veevavault.com/ui/#object/approved_document__v/V5O000000018003", "AE dialoghi di tempo fiducia e cura episodi 2-3-4")</f>
        <v>AE dialoghi di tempo fiducia e cura episodi 2-3-4</v>
      </c>
      <c r="E2976" s="10" t="str">
        <f>HYPERLINK("https://otsuka-europe-crm.veevavault.com/ui/#object/sent_email__v/VBL00000002O518", "SE-001432189")</f>
        <v>SE-001432189</v>
      </c>
      <c r="F2976" s="11"/>
      <c r="G2976" s="12">
        <v>0</v>
      </c>
      <c r="H2976" s="12">
        <v>0</v>
      </c>
      <c r="I2976" s="12">
        <v>0</v>
      </c>
      <c r="J2976" s="11"/>
      <c r="K2976" s="12">
        <v>0</v>
      </c>
      <c r="L2976" s="10" t="str">
        <f>HYPERLINK("https://otsuka-europe-crm.veevavault.com/ui/#object/approved_document__v/V5O000000018003", "AE dialoghi di tempo fiducia e cura episodi 2-3-4")</f>
        <v>AE dialoghi di tempo fiducia e cura episodi 2-3-4</v>
      </c>
      <c r="M2976" s="10" t="str">
        <f>HYPERLINK("mailto:nicoletta.vozza@crm.otsuka-europe.com", "nicoletta.vozza@crm.otsuka-europe.com")</f>
        <v>nicoletta.vozza@crm.otsuka-europe.com</v>
      </c>
      <c r="N2976" s="13">
        <v>46181.33798611111</v>
      </c>
      <c r="O2976" s="14" t="str">
        <f>HYPERLINK("https://otsuka-europe-crm.veevavault.com/ui/#object/email_activity__v/V8C00000003O415", "EN-002089971")</f>
        <v>EN-002089971</v>
      </c>
    </row>
    <row r="2977" spans="1:15" ht="16" x14ac:dyDescent="0.2">
      <c r="A2977" s="17" t="str">
        <f>HYPERLINK("https://otsuka-europe-crm.veevavault.com/ui/#object/account__v/V4TZ06G6O71SAQK", "ANDREA GORI")</f>
        <v>ANDREA GORI</v>
      </c>
      <c r="B2977" s="17" t="str">
        <f>HYPERLINK("https://otsuka-europe-crm.veevavault.com/ui/#object/vcountry__v/VENZ000004SONFQ", "IT")</f>
        <v>IT</v>
      </c>
      <c r="C2977" s="20" t="s">
        <v>44</v>
      </c>
      <c r="D2977" s="21" t="str">
        <f>HYPERLINK("https://otsuka-europe-crm.veevavault.com/ui/#object/approved_document__v/V5O000000018003", "AE dialoghi di tempo fiducia e cura episodi 2-3-4")</f>
        <v>AE dialoghi di tempo fiducia e cura episodi 2-3-4</v>
      </c>
      <c r="E2977" s="22" t="str">
        <f>HYPERLINK("https://otsuka-europe-crm.veevavault.com/ui/#object/sent_email__v/VBL00000002O519", "SE-001432190")</f>
        <v>SE-001432190</v>
      </c>
      <c r="F2977" s="23">
        <v>46193.274363425924</v>
      </c>
      <c r="G2977" s="24">
        <v>1</v>
      </c>
      <c r="H2977" s="24">
        <v>1</v>
      </c>
      <c r="I2977" s="24">
        <v>0</v>
      </c>
      <c r="J2977" s="25"/>
      <c r="K2977" s="24">
        <v>0</v>
      </c>
      <c r="L2977" s="22" t="str">
        <f>HYPERLINK("https://otsuka-europe-crm.veevavault.com/ui/#object/approved_document__v/V5O000000018003", "AE dialoghi di tempo fiducia e cura episodi 2-3-4")</f>
        <v>AE dialoghi di tempo fiducia e cura episodi 2-3-4</v>
      </c>
      <c r="M2977" s="22" t="str">
        <f>HYPERLINK("mailto:nicoletta.vozza@crm.otsuka-europe.com", "nicoletta.vozza@crm.otsuka-europe.com")</f>
        <v>nicoletta.vozza@crm.otsuka-europe.com</v>
      </c>
      <c r="N2977" s="23">
        <v>46181.337997685187</v>
      </c>
      <c r="O2977" s="14" t="str">
        <f>HYPERLINK("https://otsuka-europe-crm.veevavault.com/ui/#object/email_activity__v/V8C00000003P571", "EN-002090826")</f>
        <v>EN-002090826</v>
      </c>
    </row>
    <row r="2978" spans="1:15" ht="16" x14ac:dyDescent="0.2">
      <c r="A2978" s="19"/>
      <c r="B2978" s="19"/>
      <c r="C2978" s="19"/>
      <c r="D2978" s="19"/>
      <c r="E2978" s="19"/>
      <c r="F2978" s="19"/>
      <c r="G2978" s="19"/>
      <c r="H2978" s="19"/>
      <c r="I2978" s="19"/>
      <c r="J2978" s="19"/>
      <c r="K2978" s="19"/>
      <c r="L2978" s="19"/>
      <c r="M2978" s="19"/>
      <c r="N2978" s="19"/>
      <c r="O2978" s="14" t="str">
        <f>HYPERLINK("https://otsuka-europe-crm.veevavault.com/ui/#object/email_activity__v/V8C000000040096", "EN-002098874")</f>
        <v>EN-002098874</v>
      </c>
    </row>
    <row r="2979" spans="1:15" ht="32" x14ac:dyDescent="0.2">
      <c r="A2979" s="7" t="str">
        <f>HYPERLINK("https://otsuka-europe-crm.veevavault.com/ui/#object/account__v/V4TZ06G6O71TFVL", "ANDREA LASSINI")</f>
        <v>ANDREA LASSINI</v>
      </c>
      <c r="B2979" s="7" t="str">
        <f t="shared" ref="B2979:B2989" si="88">HYPERLINK("https://otsuka-europe-crm.veevavault.com/ui/#object/vcountry__v/VENZ000004SONFQ", "IT")</f>
        <v>IT</v>
      </c>
      <c r="C2979" s="8" t="s">
        <v>44</v>
      </c>
      <c r="D2979" s="9" t="str">
        <f t="shared" ref="D2979:D2989" si="89">HYPERLINK("https://otsuka-europe-crm.veevavault.com/ui/#object/approved_document__v/V5O000000018003", "AE dialoghi di tempo fiducia e cura episodi 2-3-4")</f>
        <v>AE dialoghi di tempo fiducia e cura episodi 2-3-4</v>
      </c>
      <c r="E2979" s="10" t="str">
        <f>HYPERLINK("https://otsuka-europe-crm.veevavault.com/ui/#object/sent_email__v/VBL00000002O520", "SE-001432191")</f>
        <v>SE-001432191</v>
      </c>
      <c r="F2979" s="11"/>
      <c r="G2979" s="12">
        <v>0</v>
      </c>
      <c r="H2979" s="12">
        <v>0</v>
      </c>
      <c r="I2979" s="12">
        <v>0</v>
      </c>
      <c r="J2979" s="11"/>
      <c r="K2979" s="12">
        <v>0</v>
      </c>
      <c r="L2979" s="10" t="str">
        <f t="shared" ref="L2979:L2989" si="90">HYPERLINK("https://otsuka-europe-crm.veevavault.com/ui/#object/approved_document__v/V5O000000018003", "AE dialoghi di tempo fiducia e cura episodi 2-3-4")</f>
        <v>AE dialoghi di tempo fiducia e cura episodi 2-3-4</v>
      </c>
      <c r="M2979" s="10" t="str">
        <f t="shared" ref="M2979:M2989" si="91">HYPERLINK("mailto:nicoletta.vozza@crm.otsuka-europe.com", "nicoletta.vozza@crm.otsuka-europe.com")</f>
        <v>nicoletta.vozza@crm.otsuka-europe.com</v>
      </c>
      <c r="N2979" s="13">
        <v>46181.338020833333</v>
      </c>
      <c r="O2979" s="14" t="str">
        <f>HYPERLINK("https://otsuka-europe-crm.veevavault.com/ui/#object/email_activity__v/V8C00000003P590", "EN-002090845")</f>
        <v>EN-002090845</v>
      </c>
    </row>
    <row r="2980" spans="1:15" ht="32" x14ac:dyDescent="0.2">
      <c r="A2980" s="7" t="str">
        <f>HYPERLINK("https://otsuka-europe-crm.veevavault.com/ui/#object/account__v/V4TZ06G6O71SBE3", "ANDREA MANARA")</f>
        <v>ANDREA MANARA</v>
      </c>
      <c r="B2980" s="7" t="str">
        <f t="shared" si="88"/>
        <v>IT</v>
      </c>
      <c r="C2980" s="8" t="s">
        <v>44</v>
      </c>
      <c r="D2980" s="9" t="str">
        <f t="shared" si="89"/>
        <v>AE dialoghi di tempo fiducia e cura episodi 2-3-4</v>
      </c>
      <c r="E2980" s="10" t="str">
        <f>HYPERLINK("https://otsuka-europe-crm.veevavault.com/ui/#object/sent_email__v/VBL00000002O521", "SE-001432192")</f>
        <v>SE-001432192</v>
      </c>
      <c r="F2980" s="11"/>
      <c r="G2980" s="12">
        <v>0</v>
      </c>
      <c r="H2980" s="12">
        <v>0</v>
      </c>
      <c r="I2980" s="12">
        <v>0</v>
      </c>
      <c r="J2980" s="11"/>
      <c r="K2980" s="12">
        <v>0</v>
      </c>
      <c r="L2980" s="10" t="str">
        <f t="shared" si="90"/>
        <v>AE dialoghi di tempo fiducia e cura episodi 2-3-4</v>
      </c>
      <c r="M2980" s="10" t="str">
        <f t="shared" si="91"/>
        <v>nicoletta.vozza@crm.otsuka-europe.com</v>
      </c>
      <c r="N2980" s="13">
        <v>46181.337997685187</v>
      </c>
      <c r="O2980" s="14" t="str">
        <f>HYPERLINK("https://otsuka-europe-crm.veevavault.com/ui/#object/email_activity__v/V8C00000003O978", "EN-002090727")</f>
        <v>EN-002090727</v>
      </c>
    </row>
    <row r="2981" spans="1:15" ht="32" x14ac:dyDescent="0.2">
      <c r="A2981" s="7" t="str">
        <f>HYPERLINK("https://otsuka-europe-crm.veevavault.com/ui/#object/account__v/V4TZ06G6O71SBJJ", "ANDREA MATERZANINI")</f>
        <v>ANDREA MATERZANINI</v>
      </c>
      <c r="B2981" s="7" t="str">
        <f t="shared" si="88"/>
        <v>IT</v>
      </c>
      <c r="C2981" s="8" t="s">
        <v>44</v>
      </c>
      <c r="D2981" s="9" t="str">
        <f t="shared" si="89"/>
        <v>AE dialoghi di tempo fiducia e cura episodi 2-3-4</v>
      </c>
      <c r="E2981" s="10" t="str">
        <f>HYPERLINK("https://otsuka-europe-crm.veevavault.com/ui/#object/sent_email__v/VBL00000002O522", "SE-001432193")</f>
        <v>SE-001432193</v>
      </c>
      <c r="F2981" s="11"/>
      <c r="G2981" s="12">
        <v>0</v>
      </c>
      <c r="H2981" s="12">
        <v>0</v>
      </c>
      <c r="I2981" s="12">
        <v>0</v>
      </c>
      <c r="J2981" s="11"/>
      <c r="K2981" s="12">
        <v>0</v>
      </c>
      <c r="L2981" s="10" t="str">
        <f t="shared" si="90"/>
        <v>AE dialoghi di tempo fiducia e cura episodi 2-3-4</v>
      </c>
      <c r="M2981" s="10" t="str">
        <f t="shared" si="91"/>
        <v>nicoletta.vozza@crm.otsuka-europe.com</v>
      </c>
      <c r="N2981" s="13">
        <v>46181.338020833333</v>
      </c>
      <c r="O2981" s="14" t="str">
        <f>HYPERLINK("https://otsuka-europe-crm.veevavault.com/ui/#object/email_activity__v/V8C00000003Q079", "EN-002091144")</f>
        <v>EN-002091144</v>
      </c>
    </row>
    <row r="2982" spans="1:15" ht="32" x14ac:dyDescent="0.2">
      <c r="A2982" s="7" t="str">
        <f>HYPERLINK("https://otsuka-europe-crm.veevavault.com/ui/#object/account__v/V4TZ06G6O71SBK9", "ANDREA MONACI")</f>
        <v>ANDREA MONACI</v>
      </c>
      <c r="B2982" s="7" t="str">
        <f t="shared" si="88"/>
        <v>IT</v>
      </c>
      <c r="C2982" s="8" t="s">
        <v>44</v>
      </c>
      <c r="D2982" s="9" t="str">
        <f t="shared" si="89"/>
        <v>AE dialoghi di tempo fiducia e cura episodi 2-3-4</v>
      </c>
      <c r="E2982" s="10" t="str">
        <f>HYPERLINK("https://otsuka-europe-crm.veevavault.com/ui/#object/sent_email__v/VBL00000002O523", "SE-001432194")</f>
        <v>SE-001432194</v>
      </c>
      <c r="F2982" s="11"/>
      <c r="G2982" s="12">
        <v>0</v>
      </c>
      <c r="H2982" s="12">
        <v>0</v>
      </c>
      <c r="I2982" s="12">
        <v>0</v>
      </c>
      <c r="J2982" s="11"/>
      <c r="K2982" s="12">
        <v>0</v>
      </c>
      <c r="L2982" s="10" t="str">
        <f t="shared" si="90"/>
        <v>AE dialoghi di tempo fiducia e cura episodi 2-3-4</v>
      </c>
      <c r="M2982" s="10" t="str">
        <f t="shared" si="91"/>
        <v>nicoletta.vozza@crm.otsuka-europe.com</v>
      </c>
      <c r="N2982" s="13">
        <v>46181.337997685187</v>
      </c>
      <c r="O2982" s="14" t="str">
        <f>HYPERLINK("https://otsuka-europe-crm.veevavault.com/ui/#object/email_activity__v/V8C00000003Q266", "EN-002091384")</f>
        <v>EN-002091384</v>
      </c>
    </row>
    <row r="2983" spans="1:15" ht="32" x14ac:dyDescent="0.2">
      <c r="A2983" s="7" t="str">
        <f>HYPERLINK("https://otsuka-europe-crm.veevavault.com/ui/#object/account__v/V4TZ06G6O71SBR9", "ANDREA PERGAMI")</f>
        <v>ANDREA PERGAMI</v>
      </c>
      <c r="B2983" s="7" t="str">
        <f t="shared" si="88"/>
        <v>IT</v>
      </c>
      <c r="C2983" s="8" t="s">
        <v>44</v>
      </c>
      <c r="D2983" s="9" t="str">
        <f t="shared" si="89"/>
        <v>AE dialoghi di tempo fiducia e cura episodi 2-3-4</v>
      </c>
      <c r="E2983" s="10" t="str">
        <f>HYPERLINK("https://otsuka-europe-crm.veevavault.com/ui/#object/sent_email__v/VBL00000002O524", "SE-001432195")</f>
        <v>SE-001432195</v>
      </c>
      <c r="F2983" s="11"/>
      <c r="G2983" s="12">
        <v>0</v>
      </c>
      <c r="H2983" s="12">
        <v>0</v>
      </c>
      <c r="I2983" s="12">
        <v>0</v>
      </c>
      <c r="J2983" s="11"/>
      <c r="K2983" s="12">
        <v>0</v>
      </c>
      <c r="L2983" s="10" t="str">
        <f t="shared" si="90"/>
        <v>AE dialoghi di tempo fiducia e cura episodi 2-3-4</v>
      </c>
      <c r="M2983" s="10" t="str">
        <f t="shared" si="91"/>
        <v>nicoletta.vozza@crm.otsuka-europe.com</v>
      </c>
      <c r="N2983" s="13">
        <v>46181.338020833333</v>
      </c>
      <c r="O2983" s="14" t="str">
        <f>HYPERLINK("https://otsuka-europe-crm.veevavault.com/ui/#object/email_activity__v/V8C00000003P346", "EN-002090352")</f>
        <v>EN-002090352</v>
      </c>
    </row>
    <row r="2984" spans="1:15" ht="32" x14ac:dyDescent="0.2">
      <c r="A2984" s="7" t="str">
        <f>HYPERLINK("https://otsuka-europe-crm.veevavault.com/ui/#object/account__v/V4TZ06G6O9VG6C5", "ANDREA POLIDORO")</f>
        <v>ANDREA POLIDORO</v>
      </c>
      <c r="B2984" s="7" t="str">
        <f t="shared" si="88"/>
        <v>IT</v>
      </c>
      <c r="C2984" s="8" t="s">
        <v>44</v>
      </c>
      <c r="D2984" s="9" t="str">
        <f t="shared" si="89"/>
        <v>AE dialoghi di tempo fiducia e cura episodi 2-3-4</v>
      </c>
      <c r="E2984" s="10" t="str">
        <f>HYPERLINK("https://otsuka-europe-crm.veevavault.com/ui/#object/sent_email__v/VBL00000002O525", "SE-001432196")</f>
        <v>SE-001432196</v>
      </c>
      <c r="F2984" s="11"/>
      <c r="G2984" s="12">
        <v>0</v>
      </c>
      <c r="H2984" s="12">
        <v>0</v>
      </c>
      <c r="I2984" s="12">
        <v>0</v>
      </c>
      <c r="J2984" s="11"/>
      <c r="K2984" s="12">
        <v>0</v>
      </c>
      <c r="L2984" s="10" t="str">
        <f t="shared" si="90"/>
        <v>AE dialoghi di tempo fiducia e cura episodi 2-3-4</v>
      </c>
      <c r="M2984" s="10" t="str">
        <f t="shared" si="91"/>
        <v>nicoletta.vozza@crm.otsuka-europe.com</v>
      </c>
      <c r="N2984" s="13">
        <v>46181.337997685187</v>
      </c>
      <c r="O2984" s="14" t="str">
        <f>HYPERLINK("https://otsuka-europe-crm.veevavault.com/ui/#object/email_activity__v/V8C00000003P863", "EN-002091285")</f>
        <v>EN-002091285</v>
      </c>
    </row>
    <row r="2985" spans="1:15" ht="32" x14ac:dyDescent="0.2">
      <c r="A2985" s="7" t="str">
        <f>HYPERLINK("https://otsuka-europe-crm.veevavault.com/ui/#object/account__v/V4TZ025E892NIHB", "ANDREA PROVETTINI")</f>
        <v>ANDREA PROVETTINI</v>
      </c>
      <c r="B2985" s="7" t="str">
        <f t="shared" si="88"/>
        <v>IT</v>
      </c>
      <c r="C2985" s="8" t="s">
        <v>44</v>
      </c>
      <c r="D2985" s="9" t="str">
        <f t="shared" si="89"/>
        <v>AE dialoghi di tempo fiducia e cura episodi 2-3-4</v>
      </c>
      <c r="E2985" s="10" t="str">
        <f>HYPERLINK("https://otsuka-europe-crm.veevavault.com/ui/#object/sent_email__v/VBL00000002O526", "SE-001432197")</f>
        <v>SE-001432197</v>
      </c>
      <c r="F2985" s="11"/>
      <c r="G2985" s="12">
        <v>0</v>
      </c>
      <c r="H2985" s="12">
        <v>0</v>
      </c>
      <c r="I2985" s="12">
        <v>0</v>
      </c>
      <c r="J2985" s="11"/>
      <c r="K2985" s="12">
        <v>0</v>
      </c>
      <c r="L2985" s="10" t="str">
        <f t="shared" si="90"/>
        <v>AE dialoghi di tempo fiducia e cura episodi 2-3-4</v>
      </c>
      <c r="M2985" s="10" t="str">
        <f t="shared" si="91"/>
        <v>nicoletta.vozza@crm.otsuka-europe.com</v>
      </c>
      <c r="N2985" s="13">
        <v>46181.337997685187</v>
      </c>
      <c r="O2985" s="14" t="str">
        <f>HYPERLINK("https://otsuka-europe-crm.veevavault.com/ui/#object/email_activity__v/V8C00000003O520", "EN-002090076")</f>
        <v>EN-002090076</v>
      </c>
    </row>
    <row r="2986" spans="1:15" ht="32" x14ac:dyDescent="0.2">
      <c r="A2986" s="7" t="str">
        <f>HYPERLINK("https://otsuka-europe-crm.veevavault.com/ui/#object/account__v/V4TZ025E8878OZP", "ANDREA SCALZO")</f>
        <v>ANDREA SCALZO</v>
      </c>
      <c r="B2986" s="7" t="str">
        <f t="shared" si="88"/>
        <v>IT</v>
      </c>
      <c r="C2986" s="8" t="s">
        <v>44</v>
      </c>
      <c r="D2986" s="9" t="str">
        <f t="shared" si="89"/>
        <v>AE dialoghi di tempo fiducia e cura episodi 2-3-4</v>
      </c>
      <c r="E2986" s="10" t="str">
        <f>HYPERLINK("https://otsuka-europe-crm.veevavault.com/ui/#object/sent_email__v/VBL00000002O527", "SE-001432198")</f>
        <v>SE-001432198</v>
      </c>
      <c r="F2986" s="11"/>
      <c r="G2986" s="12">
        <v>0</v>
      </c>
      <c r="H2986" s="12">
        <v>0</v>
      </c>
      <c r="I2986" s="12">
        <v>0</v>
      </c>
      <c r="J2986" s="11"/>
      <c r="K2986" s="12">
        <v>0</v>
      </c>
      <c r="L2986" s="10" t="str">
        <f t="shared" si="90"/>
        <v>AE dialoghi di tempo fiducia e cura episodi 2-3-4</v>
      </c>
      <c r="M2986" s="10" t="str">
        <f t="shared" si="91"/>
        <v>nicoletta.vozza@crm.otsuka-europe.com</v>
      </c>
      <c r="N2986" s="13">
        <v>46181.33798611111</v>
      </c>
      <c r="O2986" s="14" t="str">
        <f>HYPERLINK("https://otsuka-europe-crm.veevavault.com/ui/#object/email_activity__v/V8C00000003P278", "EN-002089856")</f>
        <v>EN-002089856</v>
      </c>
    </row>
    <row r="2987" spans="1:15" ht="32" x14ac:dyDescent="0.2">
      <c r="A2987" s="7" t="str">
        <f>HYPERLINK("https://otsuka-europe-crm.veevavault.com/ui/#object/account__v/V4TZ06G6O71SAC6", "ANDREA SOLFANELLI")</f>
        <v>ANDREA SOLFANELLI</v>
      </c>
      <c r="B2987" s="7" t="str">
        <f t="shared" si="88"/>
        <v>IT</v>
      </c>
      <c r="C2987" s="8" t="s">
        <v>44</v>
      </c>
      <c r="D2987" s="9" t="str">
        <f t="shared" si="89"/>
        <v>AE dialoghi di tempo fiducia e cura episodi 2-3-4</v>
      </c>
      <c r="E2987" s="10" t="str">
        <f>HYPERLINK("https://otsuka-europe-crm.veevavault.com/ui/#object/sent_email__v/VBL00000002O528", "SE-001432199")</f>
        <v>SE-001432199</v>
      </c>
      <c r="F2987" s="11"/>
      <c r="G2987" s="12">
        <v>0</v>
      </c>
      <c r="H2987" s="12">
        <v>0</v>
      </c>
      <c r="I2987" s="12">
        <v>0</v>
      </c>
      <c r="J2987" s="11"/>
      <c r="K2987" s="12">
        <v>0</v>
      </c>
      <c r="L2987" s="10" t="str">
        <f t="shared" si="90"/>
        <v>AE dialoghi di tempo fiducia e cura episodi 2-3-4</v>
      </c>
      <c r="M2987" s="10" t="str">
        <f t="shared" si="91"/>
        <v>nicoletta.vozza@crm.otsuka-europe.com</v>
      </c>
      <c r="N2987" s="13">
        <v>46181.338090277779</v>
      </c>
      <c r="O2987" s="14" t="str">
        <f>HYPERLINK("https://otsuka-europe-crm.veevavault.com/ui/#object/email_activity__v/V8C00000003P638", "EN-002090893")</f>
        <v>EN-002090893</v>
      </c>
    </row>
    <row r="2988" spans="1:15" ht="32" x14ac:dyDescent="0.2">
      <c r="A2988" s="7" t="str">
        <f>HYPERLINK("https://otsuka-europe-crm.veevavault.com/ui/#object/account__v/V4TZ04ASGB4NYEC", "ANDREA SPANO'")</f>
        <v>ANDREA SPANO'</v>
      </c>
      <c r="B2988" s="7" t="str">
        <f t="shared" si="88"/>
        <v>IT</v>
      </c>
      <c r="C2988" s="8" t="s">
        <v>44</v>
      </c>
      <c r="D2988" s="9" t="str">
        <f t="shared" si="89"/>
        <v>AE dialoghi di tempo fiducia e cura episodi 2-3-4</v>
      </c>
      <c r="E2988" s="10" t="str">
        <f>HYPERLINK("https://otsuka-europe-crm.veevavault.com/ui/#object/sent_email__v/VBL00000002O529", "SE-001432200")</f>
        <v>SE-001432200</v>
      </c>
      <c r="F2988" s="11"/>
      <c r="G2988" s="12">
        <v>0</v>
      </c>
      <c r="H2988" s="12">
        <v>0</v>
      </c>
      <c r="I2988" s="12">
        <v>0</v>
      </c>
      <c r="J2988" s="11"/>
      <c r="K2988" s="12">
        <v>0</v>
      </c>
      <c r="L2988" s="10" t="str">
        <f t="shared" si="90"/>
        <v>AE dialoghi di tempo fiducia e cura episodi 2-3-4</v>
      </c>
      <c r="M2988" s="10" t="str">
        <f t="shared" si="91"/>
        <v>nicoletta.vozza@crm.otsuka-europe.com</v>
      </c>
      <c r="N2988" s="13">
        <v>46181.338101851848</v>
      </c>
      <c r="O2988" s="14" t="str">
        <f>HYPERLINK("https://otsuka-europe-crm.veevavault.com/ui/#object/email_activity__v/V8C00000003Q053", "EN-002091019")</f>
        <v>EN-002091019</v>
      </c>
    </row>
    <row r="2989" spans="1:15" ht="16" x14ac:dyDescent="0.2">
      <c r="A2989" s="17" t="str">
        <f>HYPERLINK("https://otsuka-europe-crm.veevavault.com/ui/#object/account__v/V4TZ04ASG6OVWQY", "ANDREA STEVEN BARBETTI")</f>
        <v>ANDREA STEVEN BARBETTI</v>
      </c>
      <c r="B2989" s="17" t="str">
        <f t="shared" si="88"/>
        <v>IT</v>
      </c>
      <c r="C2989" s="20" t="s">
        <v>44</v>
      </c>
      <c r="D2989" s="21" t="str">
        <f t="shared" si="89"/>
        <v>AE dialoghi di tempo fiducia e cura episodi 2-3-4</v>
      </c>
      <c r="E2989" s="22" t="str">
        <f>HYPERLINK("https://otsuka-europe-crm.veevavault.com/ui/#object/sent_email__v/VBL00000002O530", "SE-001432201")</f>
        <v>SE-001432201</v>
      </c>
      <c r="F2989" s="23">
        <v>46187.685312499998</v>
      </c>
      <c r="G2989" s="24">
        <v>1</v>
      </c>
      <c r="H2989" s="24">
        <v>3</v>
      </c>
      <c r="I2989" s="24">
        <v>0</v>
      </c>
      <c r="J2989" s="25"/>
      <c r="K2989" s="24">
        <v>0</v>
      </c>
      <c r="L2989" s="22" t="str">
        <f t="shared" si="90"/>
        <v>AE dialoghi di tempo fiducia e cura episodi 2-3-4</v>
      </c>
      <c r="M2989" s="22" t="str">
        <f t="shared" si="91"/>
        <v>nicoletta.vozza@crm.otsuka-europe.com</v>
      </c>
      <c r="N2989" s="23">
        <v>46181.338078703702</v>
      </c>
      <c r="O2989" s="14" t="str">
        <f>HYPERLINK("https://otsuka-europe-crm.veevavault.com/ui/#object/email_activity__v/V8C00000003P742", "EN-002091040")</f>
        <v>EN-002091040</v>
      </c>
    </row>
    <row r="2990" spans="1:15" ht="16" x14ac:dyDescent="0.2">
      <c r="A2990" s="18"/>
      <c r="B2990" s="18"/>
      <c r="C2990" s="18"/>
      <c r="D2990" s="18"/>
      <c r="E2990" s="18"/>
      <c r="F2990" s="18"/>
      <c r="G2990" s="18"/>
      <c r="H2990" s="18"/>
      <c r="I2990" s="18"/>
      <c r="J2990" s="18"/>
      <c r="K2990" s="18"/>
      <c r="L2990" s="18"/>
      <c r="M2990" s="18"/>
      <c r="N2990" s="18"/>
      <c r="O2990" s="14" t="str">
        <f>HYPERLINK("https://otsuka-europe-crm.veevavault.com/ui/#object/email_activity__v/V8C00000003R298", "EN-002092231")</f>
        <v>EN-002092231</v>
      </c>
    </row>
    <row r="2991" spans="1:15" ht="16" x14ac:dyDescent="0.2">
      <c r="A2991" s="18"/>
      <c r="B2991" s="18"/>
      <c r="C2991" s="18"/>
      <c r="D2991" s="18"/>
      <c r="E2991" s="18"/>
      <c r="F2991" s="18"/>
      <c r="G2991" s="18"/>
      <c r="H2991" s="18"/>
      <c r="I2991" s="18"/>
      <c r="J2991" s="18"/>
      <c r="K2991" s="18"/>
      <c r="L2991" s="18"/>
      <c r="M2991" s="18"/>
      <c r="N2991" s="18"/>
      <c r="O2991" s="14" t="str">
        <f>HYPERLINK("https://otsuka-europe-crm.veevavault.com/ui/#object/email_activity__v/V8C00000003T106", "EN-002093771")</f>
        <v>EN-002093771</v>
      </c>
    </row>
    <row r="2992" spans="1:15" ht="16" x14ac:dyDescent="0.2">
      <c r="A2992" s="19"/>
      <c r="B2992" s="19"/>
      <c r="C2992" s="19"/>
      <c r="D2992" s="19"/>
      <c r="E2992" s="19"/>
      <c r="F2992" s="19"/>
      <c r="G2992" s="19"/>
      <c r="H2992" s="19"/>
      <c r="I2992" s="19"/>
      <c r="J2992" s="19"/>
      <c r="K2992" s="19"/>
      <c r="L2992" s="19"/>
      <c r="M2992" s="19"/>
      <c r="N2992" s="19"/>
      <c r="O2992" s="14" t="str">
        <f>HYPERLINK("https://otsuka-europe-crm.veevavault.com/ui/#object/email_activity__v/V8C00000003U424", "EN-002095706")</f>
        <v>EN-002095706</v>
      </c>
    </row>
    <row r="2993" spans="1:15" ht="32" x14ac:dyDescent="0.2">
      <c r="A2993" s="7" t="str">
        <f>HYPERLINK("https://otsuka-europe-crm.veevavault.com/ui/#object/account__v/V4TZ06G6O71SCSL", "ANDREA ZOPPI")</f>
        <v>ANDREA ZOPPI</v>
      </c>
      <c r="B2993" s="7" t="str">
        <f>HYPERLINK("https://otsuka-europe-crm.veevavault.com/ui/#object/vcountry__v/VENZ000004SONFQ", "IT")</f>
        <v>IT</v>
      </c>
      <c r="C2993" s="8" t="s">
        <v>44</v>
      </c>
      <c r="D2993" s="9" t="str">
        <f>HYPERLINK("https://otsuka-europe-crm.veevavault.com/ui/#object/approved_document__v/V5O000000018003", "AE dialoghi di tempo fiducia e cura episodi 2-3-4")</f>
        <v>AE dialoghi di tempo fiducia e cura episodi 2-3-4</v>
      </c>
      <c r="E2993" s="10" t="str">
        <f>HYPERLINK("https://otsuka-europe-crm.veevavault.com/ui/#object/sent_email__v/VBL00000002O531", "SE-001432202")</f>
        <v>SE-001432202</v>
      </c>
      <c r="F2993" s="11"/>
      <c r="G2993" s="12">
        <v>0</v>
      </c>
      <c r="H2993" s="12">
        <v>0</v>
      </c>
      <c r="I2993" s="12">
        <v>0</v>
      </c>
      <c r="J2993" s="11"/>
      <c r="K2993" s="12">
        <v>0</v>
      </c>
      <c r="L2993" s="10" t="str">
        <f>HYPERLINK("https://otsuka-europe-crm.veevavault.com/ui/#object/approved_document__v/V5O000000018003", "AE dialoghi di tempo fiducia e cura episodi 2-3-4")</f>
        <v>AE dialoghi di tempo fiducia e cura episodi 2-3-4</v>
      </c>
      <c r="M2993" s="10" t="str">
        <f>HYPERLINK("mailto:nicoletta.vozza@crm.otsuka-europe.com", "nicoletta.vozza@crm.otsuka-europe.com")</f>
        <v>nicoletta.vozza@crm.otsuka-europe.com</v>
      </c>
      <c r="N2993" s="13">
        <v>46181.339097222219</v>
      </c>
      <c r="O2993" s="14" t="str">
        <f>HYPERLINK("https://otsuka-europe-crm.veevavault.com/ui/#object/email_activity__v/V8C00000003P869", "EN-002091352")</f>
        <v>EN-002091352</v>
      </c>
    </row>
    <row r="2994" spans="1:15" ht="32" x14ac:dyDescent="0.2">
      <c r="A2994" s="7" t="str">
        <f>HYPERLINK("https://otsuka-europe-crm.veevavault.com/ui/#object/account__v/V4TZ06G6O71SA63", "ANGELA BORZACCHIELLO")</f>
        <v>ANGELA BORZACCHIELLO</v>
      </c>
      <c r="B2994" s="7" t="str">
        <f>HYPERLINK("https://otsuka-europe-crm.veevavault.com/ui/#object/vcountry__v/VENZ000004SONFQ", "IT")</f>
        <v>IT</v>
      </c>
      <c r="C2994" s="8" t="s">
        <v>44</v>
      </c>
      <c r="D2994" s="9" t="str">
        <f>HYPERLINK("https://otsuka-europe-crm.veevavault.com/ui/#object/approved_document__v/V5O000000018003", "AE dialoghi di tempo fiducia e cura episodi 2-3-4")</f>
        <v>AE dialoghi di tempo fiducia e cura episodi 2-3-4</v>
      </c>
      <c r="E2994" s="10" t="str">
        <f>HYPERLINK("https://otsuka-europe-crm.veevavault.com/ui/#object/sent_email__v/VBL00000002O532", "SE-001432203")</f>
        <v>SE-001432203</v>
      </c>
      <c r="F2994" s="11"/>
      <c r="G2994" s="12">
        <v>0</v>
      </c>
      <c r="H2994" s="12">
        <v>0</v>
      </c>
      <c r="I2994" s="12">
        <v>0</v>
      </c>
      <c r="J2994" s="11"/>
      <c r="K2994" s="12">
        <v>0</v>
      </c>
      <c r="L2994" s="10" t="str">
        <f>HYPERLINK("https://otsuka-europe-crm.veevavault.com/ui/#object/approved_document__v/V5O000000018003", "AE dialoghi di tempo fiducia e cura episodi 2-3-4")</f>
        <v>AE dialoghi di tempo fiducia e cura episodi 2-3-4</v>
      </c>
      <c r="M2994" s="10" t="str">
        <f>HYPERLINK("mailto:nicoletta.vozza@crm.otsuka-europe.com", "nicoletta.vozza@crm.otsuka-europe.com")</f>
        <v>nicoletta.vozza@crm.otsuka-europe.com</v>
      </c>
      <c r="N2994" s="13">
        <v>46181.338009259256</v>
      </c>
      <c r="O2994" s="14" t="str">
        <f>HYPERLINK("https://otsuka-europe-crm.veevavault.com/ui/#object/email_activity__v/V8C00000003P573", "EN-002090828")</f>
        <v>EN-002090828</v>
      </c>
    </row>
    <row r="2995" spans="1:15" ht="32" x14ac:dyDescent="0.2">
      <c r="A2995" s="7" t="str">
        <f>HYPERLINK("https://otsuka-europe-crm.veevavault.com/ui/#object/account__v/V4TZ06G6O71S9VL", "ANGELA CALABRESE")</f>
        <v>ANGELA CALABRESE</v>
      </c>
      <c r="B2995" s="7" t="str">
        <f>HYPERLINK("https://otsuka-europe-crm.veevavault.com/ui/#object/vcountry__v/VENZ000004SONFQ", "IT")</f>
        <v>IT</v>
      </c>
      <c r="C2995" s="8" t="s">
        <v>44</v>
      </c>
      <c r="D2995" s="9" t="str">
        <f>HYPERLINK("https://otsuka-europe-crm.veevavault.com/ui/#object/approved_document__v/V5O000000018003", "AE dialoghi di tempo fiducia e cura episodi 2-3-4")</f>
        <v>AE dialoghi di tempo fiducia e cura episodi 2-3-4</v>
      </c>
      <c r="E2995" s="10" t="str">
        <f>HYPERLINK("https://otsuka-europe-crm.veevavault.com/ui/#object/sent_email__v/VBL00000002O533", "SE-001432204")</f>
        <v>SE-001432204</v>
      </c>
      <c r="F2995" s="11"/>
      <c r="G2995" s="12">
        <v>0</v>
      </c>
      <c r="H2995" s="12">
        <v>0</v>
      </c>
      <c r="I2995" s="12">
        <v>0</v>
      </c>
      <c r="J2995" s="11"/>
      <c r="K2995" s="12">
        <v>0</v>
      </c>
      <c r="L2995" s="10" t="str">
        <f>HYPERLINK("https://otsuka-europe-crm.veevavault.com/ui/#object/approved_document__v/V5O000000018003", "AE dialoghi di tempo fiducia e cura episodi 2-3-4")</f>
        <v>AE dialoghi di tempo fiducia e cura episodi 2-3-4</v>
      </c>
      <c r="M2995" s="10" t="str">
        <f>HYPERLINK("mailto:nicoletta.vozza@crm.otsuka-europe.com", "nicoletta.vozza@crm.otsuka-europe.com")</f>
        <v>nicoletta.vozza@crm.otsuka-europe.com</v>
      </c>
      <c r="N2995" s="13">
        <v>46181.338101851848</v>
      </c>
      <c r="O2995" s="14" t="str">
        <f>HYPERLINK("https://otsuka-europe-crm.veevavault.com/ui/#object/email_activity__v/V8C00000003P773", "EN-002091071")</f>
        <v>EN-002091071</v>
      </c>
    </row>
    <row r="2996" spans="1:15" ht="16" x14ac:dyDescent="0.2">
      <c r="A2996" s="17" t="str">
        <f>HYPERLINK("https://otsuka-europe-crm.veevavault.com/ui/#object/account__v/V4TZ06G6O71TLBD", "ANGELA CHIARA CECERE")</f>
        <v>ANGELA CHIARA CECERE</v>
      </c>
      <c r="B2996" s="17" t="str">
        <f>HYPERLINK("https://otsuka-europe-crm.veevavault.com/ui/#object/vcountry__v/VENZ000004SONFQ", "IT")</f>
        <v>IT</v>
      </c>
      <c r="C2996" s="20" t="s">
        <v>44</v>
      </c>
      <c r="D2996" s="21" t="str">
        <f>HYPERLINK("https://otsuka-europe-crm.veevavault.com/ui/#object/approved_document__v/V5O000000018003", "AE dialoghi di tempo fiducia e cura episodi 2-3-4")</f>
        <v>AE dialoghi di tempo fiducia e cura episodi 2-3-4</v>
      </c>
      <c r="E2996" s="22" t="str">
        <f>HYPERLINK("https://otsuka-europe-crm.veevavault.com/ui/#object/sent_email__v/VBL00000002O534", "SE-001432205")</f>
        <v>SE-001432205</v>
      </c>
      <c r="F2996" s="23">
        <v>46181.424363425926</v>
      </c>
      <c r="G2996" s="24">
        <v>1</v>
      </c>
      <c r="H2996" s="24">
        <v>1</v>
      </c>
      <c r="I2996" s="24">
        <v>0</v>
      </c>
      <c r="J2996" s="25"/>
      <c r="K2996" s="24">
        <v>0</v>
      </c>
      <c r="L2996" s="22" t="str">
        <f>HYPERLINK("https://otsuka-europe-crm.veevavault.com/ui/#object/approved_document__v/V5O000000018003", "AE dialoghi di tempo fiducia e cura episodi 2-3-4")</f>
        <v>AE dialoghi di tempo fiducia e cura episodi 2-3-4</v>
      </c>
      <c r="M2996" s="22" t="str">
        <f>HYPERLINK("mailto:nicoletta.vozza@crm.otsuka-europe.com", "nicoletta.vozza@crm.otsuka-europe.com")</f>
        <v>nicoletta.vozza@crm.otsuka-europe.com</v>
      </c>
      <c r="N2996" s="23">
        <v>46181.338101851848</v>
      </c>
      <c r="O2996" s="14" t="str">
        <f>HYPERLINK("https://otsuka-europe-crm.veevavault.com/ui/#object/email_activity__v/V8C00000003P772", "EN-002091070")</f>
        <v>EN-002091070</v>
      </c>
    </row>
    <row r="2997" spans="1:15" ht="16" x14ac:dyDescent="0.2">
      <c r="A2997" s="19"/>
      <c r="B2997" s="19"/>
      <c r="C2997" s="19"/>
      <c r="D2997" s="19"/>
      <c r="E2997" s="19"/>
      <c r="F2997" s="19"/>
      <c r="G2997" s="19"/>
      <c r="H2997" s="19"/>
      <c r="I2997" s="19"/>
      <c r="J2997" s="19"/>
      <c r="K2997" s="19"/>
      <c r="L2997" s="19"/>
      <c r="M2997" s="19"/>
      <c r="N2997" s="19"/>
      <c r="O2997" s="14" t="str">
        <f>HYPERLINK("https://otsuka-europe-crm.veevavault.com/ui/#object/email_activity__v/V8C00000003R074", "EN-002091807")</f>
        <v>EN-002091807</v>
      </c>
    </row>
    <row r="2998" spans="1:15" ht="32" x14ac:dyDescent="0.2">
      <c r="A2998" s="7" t="str">
        <f>HYPERLINK("https://otsuka-europe-crm.veevavault.com/ui/#object/account__v/V4TZ04ASGDOPZSN", "ANGELA LAGRUTTA")</f>
        <v>ANGELA LAGRUTTA</v>
      </c>
      <c r="B2998" s="7" t="str">
        <f>HYPERLINK("https://otsuka-europe-crm.veevavault.com/ui/#object/vcountry__v/VENZ000004SONFQ", "IT")</f>
        <v>IT</v>
      </c>
      <c r="C2998" s="8" t="s">
        <v>44</v>
      </c>
      <c r="D2998" s="9" t="str">
        <f>HYPERLINK("https://otsuka-europe-crm.veevavault.com/ui/#object/approved_document__v/V5O000000018003", "AE dialoghi di tempo fiducia e cura episodi 2-3-4")</f>
        <v>AE dialoghi di tempo fiducia e cura episodi 2-3-4</v>
      </c>
      <c r="E2998" s="10" t="str">
        <f>HYPERLINK("https://otsuka-europe-crm.veevavault.com/ui/#object/sent_email__v/VBL00000002O535", "SE-001432206")</f>
        <v>SE-001432206</v>
      </c>
      <c r="F2998" s="11"/>
      <c r="G2998" s="12">
        <v>0</v>
      </c>
      <c r="H2998" s="12">
        <v>0</v>
      </c>
      <c r="I2998" s="12">
        <v>0</v>
      </c>
      <c r="J2998" s="11"/>
      <c r="K2998" s="12">
        <v>0</v>
      </c>
      <c r="L2998" s="10" t="str">
        <f>HYPERLINK("https://otsuka-europe-crm.veevavault.com/ui/#object/approved_document__v/V5O000000018003", "AE dialoghi di tempo fiducia e cura episodi 2-3-4")</f>
        <v>AE dialoghi di tempo fiducia e cura episodi 2-3-4</v>
      </c>
      <c r="M2998" s="10" t="str">
        <f>HYPERLINK("mailto:nicoletta.vozza@crm.otsuka-europe.com", "nicoletta.vozza@crm.otsuka-europe.com")</f>
        <v>nicoletta.vozza@crm.otsuka-europe.com</v>
      </c>
      <c r="N2998" s="13">
        <v>46181.338020833333</v>
      </c>
      <c r="O2998" s="14" t="str">
        <f>HYPERLINK("https://otsuka-europe-crm.veevavault.com/ui/#object/email_activity__v/V8C00000003P789", "EN-002091087")</f>
        <v>EN-002091087</v>
      </c>
    </row>
    <row r="2999" spans="1:15" ht="32" x14ac:dyDescent="0.2">
      <c r="A2999" s="7" t="str">
        <f>HYPERLINK("https://otsuka-europe-crm.veevavault.com/ui/#object/account__v/V4TZ06G6O71SBLY", "ANGELA MARIA MULE'")</f>
        <v>ANGELA MARIA MULE'</v>
      </c>
      <c r="B2999" s="7" t="str">
        <f>HYPERLINK("https://otsuka-europe-crm.veevavault.com/ui/#object/vcountry__v/VENZ000004SONFQ", "IT")</f>
        <v>IT</v>
      </c>
      <c r="C2999" s="8" t="s">
        <v>44</v>
      </c>
      <c r="D2999" s="9" t="str">
        <f>HYPERLINK("https://otsuka-europe-crm.veevavault.com/ui/#object/approved_document__v/V5O000000018003", "AE dialoghi di tempo fiducia e cura episodi 2-3-4")</f>
        <v>AE dialoghi di tempo fiducia e cura episodi 2-3-4</v>
      </c>
      <c r="E2999" s="10" t="str">
        <f>HYPERLINK("https://otsuka-europe-crm.veevavault.com/ui/#object/sent_email__v/VBL00000002O536", "SE-001432207")</f>
        <v>SE-001432207</v>
      </c>
      <c r="F2999" s="11"/>
      <c r="G2999" s="12">
        <v>0</v>
      </c>
      <c r="H2999" s="12">
        <v>0</v>
      </c>
      <c r="I2999" s="12">
        <v>0</v>
      </c>
      <c r="J2999" s="11"/>
      <c r="K2999" s="12">
        <v>0</v>
      </c>
      <c r="L2999" s="10" t="str">
        <f>HYPERLINK("https://otsuka-europe-crm.veevavault.com/ui/#object/approved_document__v/V5O000000018003", "AE dialoghi di tempo fiducia e cura episodi 2-3-4")</f>
        <v>AE dialoghi di tempo fiducia e cura episodi 2-3-4</v>
      </c>
      <c r="M2999" s="10" t="str">
        <f>HYPERLINK("mailto:nicoletta.vozza@crm.otsuka-europe.com", "nicoletta.vozza@crm.otsuka-europe.com")</f>
        <v>nicoletta.vozza@crm.otsuka-europe.com</v>
      </c>
      <c r="N2999" s="13">
        <v>46181.33797453704</v>
      </c>
      <c r="O2999" s="14" t="str">
        <f>HYPERLINK("https://otsuka-europe-crm.veevavault.com/ui/#object/email_activity__v/V8C00000003O609", "EN-002090165")</f>
        <v>EN-002090165</v>
      </c>
    </row>
    <row r="3000" spans="1:15" ht="32" x14ac:dyDescent="0.2">
      <c r="A3000" s="7" t="str">
        <f>HYPERLINK("https://otsuka-europe-crm.veevavault.com/ui/#object/account__v/V4TZ025E86QQ210", "ANGELA VITANZA")</f>
        <v>ANGELA VITANZA</v>
      </c>
      <c r="B3000" s="7" t="str">
        <f>HYPERLINK("https://otsuka-europe-crm.veevavault.com/ui/#object/vcountry__v/VENZ000004SONFQ", "IT")</f>
        <v>IT</v>
      </c>
      <c r="C3000" s="8" t="s">
        <v>44</v>
      </c>
      <c r="D3000" s="9" t="str">
        <f>HYPERLINK("https://otsuka-europe-crm.veevavault.com/ui/#object/approved_document__v/V5O000000018003", "AE dialoghi di tempo fiducia e cura episodi 2-3-4")</f>
        <v>AE dialoghi di tempo fiducia e cura episodi 2-3-4</v>
      </c>
      <c r="E3000" s="10" t="str">
        <f>HYPERLINK("https://otsuka-europe-crm.veevavault.com/ui/#object/sent_email__v/VBL00000002O537", "SE-001432208")</f>
        <v>SE-001432208</v>
      </c>
      <c r="F3000" s="11"/>
      <c r="G3000" s="12">
        <v>0</v>
      </c>
      <c r="H3000" s="12">
        <v>0</v>
      </c>
      <c r="I3000" s="12">
        <v>0</v>
      </c>
      <c r="J3000" s="11"/>
      <c r="K3000" s="12">
        <v>0</v>
      </c>
      <c r="L3000" s="10" t="str">
        <f>HYPERLINK("https://otsuka-europe-crm.veevavault.com/ui/#object/approved_document__v/V5O000000018003", "AE dialoghi di tempo fiducia e cura episodi 2-3-4")</f>
        <v>AE dialoghi di tempo fiducia e cura episodi 2-3-4</v>
      </c>
      <c r="M3000" s="10" t="str">
        <f>HYPERLINK("mailto:nicoletta.vozza@crm.otsuka-europe.com", "nicoletta.vozza@crm.otsuka-europe.com")</f>
        <v>nicoletta.vozza@crm.otsuka-europe.com</v>
      </c>
      <c r="N3000" s="13">
        <v>46181.337905092594</v>
      </c>
      <c r="O3000" s="15"/>
    </row>
    <row r="3001" spans="1:15" ht="16" x14ac:dyDescent="0.2">
      <c r="A3001" s="17" t="str">
        <f>HYPERLINK("https://otsuka-europe-crm.veevavault.com/ui/#object/account__v/V4TZ025E86HK1E8", "ANGELICA AGORINI")</f>
        <v>ANGELICA AGORINI</v>
      </c>
      <c r="B3001" s="17" t="str">
        <f>HYPERLINK("https://otsuka-europe-crm.veevavault.com/ui/#object/vcountry__v/VENZ000004SONFQ", "IT")</f>
        <v>IT</v>
      </c>
      <c r="C3001" s="20" t="s">
        <v>44</v>
      </c>
      <c r="D3001" s="21" t="str">
        <f>HYPERLINK("https://otsuka-europe-crm.veevavault.com/ui/#object/approved_document__v/V5O000000018003", "AE dialoghi di tempo fiducia e cura episodi 2-3-4")</f>
        <v>AE dialoghi di tempo fiducia e cura episodi 2-3-4</v>
      </c>
      <c r="E3001" s="22" t="str">
        <f>HYPERLINK("https://otsuka-europe-crm.veevavault.com/ui/#object/sent_email__v/VBL00000002O538", "SE-001432209")</f>
        <v>SE-001432209</v>
      </c>
      <c r="F3001" s="23">
        <v>46181.554988425924</v>
      </c>
      <c r="G3001" s="24">
        <v>1</v>
      </c>
      <c r="H3001" s="24">
        <v>1</v>
      </c>
      <c r="I3001" s="24">
        <v>0</v>
      </c>
      <c r="J3001" s="25"/>
      <c r="K3001" s="24">
        <v>0</v>
      </c>
      <c r="L3001" s="22" t="str">
        <f>HYPERLINK("https://otsuka-europe-crm.veevavault.com/ui/#object/approved_document__v/V5O000000018003", "AE dialoghi di tempo fiducia e cura episodi 2-3-4")</f>
        <v>AE dialoghi di tempo fiducia e cura episodi 2-3-4</v>
      </c>
      <c r="M3001" s="22" t="str">
        <f>HYPERLINK("mailto:nicoletta.vozza@crm.otsuka-europe.com", "nicoletta.vozza@crm.otsuka-europe.com")</f>
        <v>nicoletta.vozza@crm.otsuka-europe.com</v>
      </c>
      <c r="N3001" s="23">
        <v>46181.338020833333</v>
      </c>
      <c r="O3001" s="14" t="str">
        <f>HYPERLINK("https://otsuka-europe-crm.veevavault.com/ui/#object/email_activity__v/V8C00000003O788", "EN-002090448")</f>
        <v>EN-002090448</v>
      </c>
    </row>
    <row r="3002" spans="1:15" ht="16" x14ac:dyDescent="0.2">
      <c r="A3002" s="19"/>
      <c r="B3002" s="19"/>
      <c r="C3002" s="19"/>
      <c r="D3002" s="19"/>
      <c r="E3002" s="19"/>
      <c r="F3002" s="19"/>
      <c r="G3002" s="19"/>
      <c r="H3002" s="19"/>
      <c r="I3002" s="19"/>
      <c r="J3002" s="19"/>
      <c r="K3002" s="19"/>
      <c r="L3002" s="19"/>
      <c r="M3002" s="19"/>
      <c r="N3002" s="19"/>
      <c r="O3002" s="14" t="str">
        <f>HYPERLINK("https://otsuka-europe-crm.veevavault.com/ui/#object/email_activity__v/V8C00000003R143", "EN-002091948")</f>
        <v>EN-002091948</v>
      </c>
    </row>
    <row r="3003" spans="1:15" ht="16" x14ac:dyDescent="0.2">
      <c r="A3003" s="17" t="str">
        <f>HYPERLINK("https://otsuka-europe-crm.veevavault.com/ui/#object/account__v/V4TZ025E87YWHO0", "ANGELO ARDIZZONE")</f>
        <v>ANGELO ARDIZZONE</v>
      </c>
      <c r="B3003" s="17" t="str">
        <f>HYPERLINK("https://otsuka-europe-crm.veevavault.com/ui/#object/vcountry__v/VENZ000004SONFQ", "IT")</f>
        <v>IT</v>
      </c>
      <c r="C3003" s="20" t="s">
        <v>44</v>
      </c>
      <c r="D3003" s="21" t="str">
        <f>HYPERLINK("https://otsuka-europe-crm.veevavault.com/ui/#object/approved_document__v/V5O000000018003", "AE dialoghi di tempo fiducia e cura episodi 2-3-4")</f>
        <v>AE dialoghi di tempo fiducia e cura episodi 2-3-4</v>
      </c>
      <c r="E3003" s="22" t="str">
        <f>HYPERLINK("https://otsuka-europe-crm.veevavault.com/ui/#object/sent_email__v/VBL00000002O539", "SE-001432210")</f>
        <v>SE-001432210</v>
      </c>
      <c r="F3003" s="23">
        <v>46181.360856481479</v>
      </c>
      <c r="G3003" s="24">
        <v>1</v>
      </c>
      <c r="H3003" s="24">
        <v>1</v>
      </c>
      <c r="I3003" s="24">
        <v>1</v>
      </c>
      <c r="J3003" s="23">
        <v>46181.360868055555</v>
      </c>
      <c r="K3003" s="24">
        <v>2</v>
      </c>
      <c r="L3003" s="22" t="str">
        <f>HYPERLINK("https://otsuka-europe-crm.veevavault.com/ui/#object/approved_document__v/V5O000000018003", "AE dialoghi di tempo fiducia e cura episodi 2-3-4")</f>
        <v>AE dialoghi di tempo fiducia e cura episodi 2-3-4</v>
      </c>
      <c r="M3003" s="22" t="str">
        <f>HYPERLINK("mailto:nicoletta.vozza@crm.otsuka-europe.com", "nicoletta.vozza@crm.otsuka-europe.com")</f>
        <v>nicoletta.vozza@crm.otsuka-europe.com</v>
      </c>
      <c r="N3003" s="23">
        <v>46181.338055555556</v>
      </c>
      <c r="O3003" s="14" t="str">
        <f>HYPERLINK("https://otsuka-europe-crm.veevavault.com/ui/#object/email_activity__v/V8C00000003O795", "EN-002090455")</f>
        <v>EN-002090455</v>
      </c>
    </row>
    <row r="3004" spans="1:15" ht="16" x14ac:dyDescent="0.2">
      <c r="A3004" s="18"/>
      <c r="B3004" s="18"/>
      <c r="C3004" s="18"/>
      <c r="D3004" s="18"/>
      <c r="E3004" s="18"/>
      <c r="F3004" s="18"/>
      <c r="G3004" s="18"/>
      <c r="H3004" s="18"/>
      <c r="I3004" s="18"/>
      <c r="J3004" s="18"/>
      <c r="K3004" s="18"/>
      <c r="L3004" s="18"/>
      <c r="M3004" s="18"/>
      <c r="N3004" s="18"/>
      <c r="O3004" s="14" t="str">
        <f>HYPERLINK("https://otsuka-europe-crm.veevavault.com/ui/#object/email_activity__v/V8C00000003P931", "EN-002091508")</f>
        <v>EN-002091508</v>
      </c>
    </row>
    <row r="3005" spans="1:15" ht="16" x14ac:dyDescent="0.2">
      <c r="A3005" s="18"/>
      <c r="B3005" s="18"/>
      <c r="C3005" s="18"/>
      <c r="D3005" s="18"/>
      <c r="E3005" s="18"/>
      <c r="F3005" s="18"/>
      <c r="G3005" s="18"/>
      <c r="H3005" s="18"/>
      <c r="I3005" s="18"/>
      <c r="J3005" s="18"/>
      <c r="K3005" s="18"/>
      <c r="L3005" s="18"/>
      <c r="M3005" s="18"/>
      <c r="N3005" s="18"/>
      <c r="O3005" s="14" t="str">
        <f>HYPERLINK("https://otsuka-europe-crm.veevavault.com/ui/#object/email_activity__v/V8C00000003P932", "EN-002091507")</f>
        <v>EN-002091507</v>
      </c>
    </row>
    <row r="3006" spans="1:15" ht="16" x14ac:dyDescent="0.2">
      <c r="A3006" s="19"/>
      <c r="B3006" s="19"/>
      <c r="C3006" s="19"/>
      <c r="D3006" s="19"/>
      <c r="E3006" s="19"/>
      <c r="F3006" s="19"/>
      <c r="G3006" s="19"/>
      <c r="H3006" s="19"/>
      <c r="I3006" s="19"/>
      <c r="J3006" s="19"/>
      <c r="K3006" s="19"/>
      <c r="L3006" s="19"/>
      <c r="M3006" s="19"/>
      <c r="N3006" s="19"/>
      <c r="O3006" s="14" t="str">
        <f>HYPERLINK("https://otsuka-europe-crm.veevavault.com/ui/#object/email_activity__v/V8C00000003P933", "EN-002091509")</f>
        <v>EN-002091509</v>
      </c>
    </row>
    <row r="3007" spans="1:15" ht="32" x14ac:dyDescent="0.2">
      <c r="A3007" s="7" t="str">
        <f>HYPERLINK("https://otsuka-europe-crm.veevavault.com/ui/#object/account__v/V4TZ06G6O71SA6M", "ANGELO BREGA")</f>
        <v>ANGELO BREGA</v>
      </c>
      <c r="B3007" s="7" t="str">
        <f>HYPERLINK("https://otsuka-europe-crm.veevavault.com/ui/#object/vcountry__v/VENZ000004SONFQ", "IT")</f>
        <v>IT</v>
      </c>
      <c r="C3007" s="8" t="s">
        <v>44</v>
      </c>
      <c r="D3007" s="9" t="str">
        <f>HYPERLINK("https://otsuka-europe-crm.veevavault.com/ui/#object/approved_document__v/V5O000000018003", "AE dialoghi di tempo fiducia e cura episodi 2-3-4")</f>
        <v>AE dialoghi di tempo fiducia e cura episodi 2-3-4</v>
      </c>
      <c r="E3007" s="10" t="str">
        <f>HYPERLINK("https://otsuka-europe-crm.veevavault.com/ui/#object/sent_email__v/VBL00000002O540", "SE-001432211")</f>
        <v>SE-001432211</v>
      </c>
      <c r="F3007" s="11"/>
      <c r="G3007" s="12">
        <v>0</v>
      </c>
      <c r="H3007" s="12">
        <v>0</v>
      </c>
      <c r="I3007" s="12">
        <v>0</v>
      </c>
      <c r="J3007" s="11"/>
      <c r="K3007" s="12">
        <v>0</v>
      </c>
      <c r="L3007" s="10" t="str">
        <f>HYPERLINK("https://otsuka-europe-crm.veevavault.com/ui/#object/approved_document__v/V5O000000018003", "AE dialoghi di tempo fiducia e cura episodi 2-3-4")</f>
        <v>AE dialoghi di tempo fiducia e cura episodi 2-3-4</v>
      </c>
      <c r="M3007" s="10" t="str">
        <f>HYPERLINK("mailto:nicoletta.vozza@crm.otsuka-europe.com", "nicoletta.vozza@crm.otsuka-europe.com")</f>
        <v>nicoletta.vozza@crm.otsuka-europe.com</v>
      </c>
      <c r="N3007" s="13">
        <v>46181.337997685187</v>
      </c>
      <c r="O3007" s="14" t="str">
        <f>HYPERLINK("https://otsuka-europe-crm.veevavault.com/ui/#object/email_activity__v/V8C00000003Q078", "EN-002091143")</f>
        <v>EN-002091143</v>
      </c>
    </row>
    <row r="3008" spans="1:15" ht="16" x14ac:dyDescent="0.2">
      <c r="A3008" s="17" t="str">
        <f>HYPERLINK("https://otsuka-europe-crm.veevavault.com/ui/#object/account__v/V4TZ04ASG7NFQAS", "ANGELO BRUSCHI")</f>
        <v>ANGELO BRUSCHI</v>
      </c>
      <c r="B3008" s="17" t="str">
        <f>HYPERLINK("https://otsuka-europe-crm.veevavault.com/ui/#object/vcountry__v/VENZ000004SONFQ", "IT")</f>
        <v>IT</v>
      </c>
      <c r="C3008" s="20" t="s">
        <v>44</v>
      </c>
      <c r="D3008" s="21" t="str">
        <f>HYPERLINK("https://otsuka-europe-crm.veevavault.com/ui/#object/approved_document__v/V5O000000018003", "AE dialoghi di tempo fiducia e cura episodi 2-3-4")</f>
        <v>AE dialoghi di tempo fiducia e cura episodi 2-3-4</v>
      </c>
      <c r="E3008" s="22" t="str">
        <f>HYPERLINK("https://otsuka-europe-crm.veevavault.com/ui/#object/sent_email__v/VBL00000002O541", "SE-001432212")</f>
        <v>SE-001432212</v>
      </c>
      <c r="F3008" s="25"/>
      <c r="G3008" s="24">
        <v>0</v>
      </c>
      <c r="H3008" s="24">
        <v>0</v>
      </c>
      <c r="I3008" s="24">
        <v>0</v>
      </c>
      <c r="J3008" s="25"/>
      <c r="K3008" s="24">
        <v>0</v>
      </c>
      <c r="L3008" s="22" t="str">
        <f>HYPERLINK("https://otsuka-europe-crm.veevavault.com/ui/#object/approved_document__v/V5O000000018003", "AE dialoghi di tempo fiducia e cura episodi 2-3-4")</f>
        <v>AE dialoghi di tempo fiducia e cura episodi 2-3-4</v>
      </c>
      <c r="M3008" s="22" t="str">
        <f>HYPERLINK("mailto:nicoletta.vozza@crm.otsuka-europe.com", "nicoletta.vozza@crm.otsuka-europe.com")</f>
        <v>nicoletta.vozza@crm.otsuka-europe.com</v>
      </c>
      <c r="N3008" s="23">
        <v>46181.338067129633</v>
      </c>
      <c r="O3008" s="14" t="str">
        <f>HYPERLINK("https://otsuka-europe-crm.veevavault.com/ui/#object/email_activity__v/V8C00000003P726", "EN-002090981")</f>
        <v>EN-002090981</v>
      </c>
    </row>
    <row r="3009" spans="1:15" ht="16" x14ac:dyDescent="0.2">
      <c r="A3009" s="18"/>
      <c r="B3009" s="18"/>
      <c r="C3009" s="18"/>
      <c r="D3009" s="18"/>
      <c r="E3009" s="18"/>
      <c r="F3009" s="18"/>
      <c r="G3009" s="18"/>
      <c r="H3009" s="18"/>
      <c r="I3009" s="18"/>
      <c r="J3009" s="18"/>
      <c r="K3009" s="18"/>
      <c r="L3009" s="18"/>
      <c r="M3009" s="18"/>
      <c r="N3009" s="18"/>
      <c r="O3009" s="14" t="str">
        <f>HYPERLINK("https://otsuka-europe-crm.veevavault.com/ui/#object/email_activity__v/V8C00000003R296", "EN-002092228")</f>
        <v>EN-002092228</v>
      </c>
    </row>
    <row r="3010" spans="1:15" ht="16" x14ac:dyDescent="0.2">
      <c r="A3010" s="19"/>
      <c r="B3010" s="19"/>
      <c r="C3010" s="19"/>
      <c r="D3010" s="19"/>
      <c r="E3010" s="19"/>
      <c r="F3010" s="19"/>
      <c r="G3010" s="19"/>
      <c r="H3010" s="19"/>
      <c r="I3010" s="19"/>
      <c r="J3010" s="19"/>
      <c r="K3010" s="19"/>
      <c r="L3010" s="19"/>
      <c r="M3010" s="19"/>
      <c r="N3010" s="19"/>
      <c r="O3010" s="14" t="str">
        <f>HYPERLINK("https://otsuka-europe-crm.veevavault.com/ui/#object/email_activity__v/V8C000000040105", "EN-002098890")</f>
        <v>EN-002098890</v>
      </c>
    </row>
    <row r="3011" spans="1:15" ht="32" x14ac:dyDescent="0.2">
      <c r="A3011" s="7" t="str">
        <f>HYPERLINK("https://otsuka-europe-crm.veevavault.com/ui/#object/account__v/V4TZ06G6O71SAWU", "ANGELO CAMPANA")</f>
        <v>ANGELO CAMPANA</v>
      </c>
      <c r="B3011" s="7" t="str">
        <f t="shared" ref="B3011:B3044" si="92">HYPERLINK("https://otsuka-europe-crm.veevavault.com/ui/#object/vcountry__v/VENZ000004SONFQ", "IT")</f>
        <v>IT</v>
      </c>
      <c r="C3011" s="8" t="s">
        <v>44</v>
      </c>
      <c r="D3011" s="9" t="str">
        <f t="shared" ref="D3011:D3044" si="93">HYPERLINK("https://otsuka-europe-crm.veevavault.com/ui/#object/approved_document__v/V5O000000018003", "AE dialoghi di tempo fiducia e cura episodi 2-3-4")</f>
        <v>AE dialoghi di tempo fiducia e cura episodi 2-3-4</v>
      </c>
      <c r="E3011" s="10" t="str">
        <f>HYPERLINK("https://otsuka-europe-crm.veevavault.com/ui/#object/sent_email__v/VBL00000002O542", "SE-001432213")</f>
        <v>SE-001432213</v>
      </c>
      <c r="F3011" s="11"/>
      <c r="G3011" s="12">
        <v>0</v>
      </c>
      <c r="H3011" s="12">
        <v>0</v>
      </c>
      <c r="I3011" s="12">
        <v>0</v>
      </c>
      <c r="J3011" s="11"/>
      <c r="K3011" s="12">
        <v>0</v>
      </c>
      <c r="L3011" s="10" t="str">
        <f t="shared" ref="L3011:L3044" si="94">HYPERLINK("https://otsuka-europe-crm.veevavault.com/ui/#object/approved_document__v/V5O000000018003", "AE dialoghi di tempo fiducia e cura episodi 2-3-4")</f>
        <v>AE dialoghi di tempo fiducia e cura episodi 2-3-4</v>
      </c>
      <c r="M3011" s="10" t="str">
        <f t="shared" ref="M3011:M3044" si="95">HYPERLINK("mailto:nicoletta.vozza@crm.otsuka-europe.com", "nicoletta.vozza@crm.otsuka-europe.com")</f>
        <v>nicoletta.vozza@crm.otsuka-europe.com</v>
      </c>
      <c r="N3011" s="13">
        <v>46181.338055555556</v>
      </c>
      <c r="O3011" s="14" t="str">
        <f>HYPERLINK("https://otsuka-europe-crm.veevavault.com/ui/#object/email_activity__v/V8C00000003O845", "EN-002090547")</f>
        <v>EN-002090547</v>
      </c>
    </row>
    <row r="3012" spans="1:15" ht="32" x14ac:dyDescent="0.2">
      <c r="A3012" s="7" t="str">
        <f>HYPERLINK("https://otsuka-europe-crm.veevavault.com/ui/#object/account__v/V4TZ06G6O71SB4S", "ANGELO CUCCINIELLO")</f>
        <v>ANGELO CUCCINIELLO</v>
      </c>
      <c r="B3012" s="7" t="str">
        <f t="shared" si="92"/>
        <v>IT</v>
      </c>
      <c r="C3012" s="8" t="s">
        <v>44</v>
      </c>
      <c r="D3012" s="9" t="str">
        <f t="shared" si="93"/>
        <v>AE dialoghi di tempo fiducia e cura episodi 2-3-4</v>
      </c>
      <c r="E3012" s="10" t="str">
        <f>HYPERLINK("https://otsuka-europe-crm.veevavault.com/ui/#object/sent_email__v/VBL00000002O543", "SE-001432214")</f>
        <v>SE-001432214</v>
      </c>
      <c r="F3012" s="11"/>
      <c r="G3012" s="12">
        <v>0</v>
      </c>
      <c r="H3012" s="12">
        <v>0</v>
      </c>
      <c r="I3012" s="12">
        <v>0</v>
      </c>
      <c r="J3012" s="11"/>
      <c r="K3012" s="12">
        <v>0</v>
      </c>
      <c r="L3012" s="10" t="str">
        <f t="shared" si="94"/>
        <v>AE dialoghi di tempo fiducia e cura episodi 2-3-4</v>
      </c>
      <c r="M3012" s="10" t="str">
        <f t="shared" si="95"/>
        <v>nicoletta.vozza@crm.otsuka-europe.com</v>
      </c>
      <c r="N3012" s="13">
        <v>46181.338055555556</v>
      </c>
      <c r="O3012" s="14" t="str">
        <f>HYPERLINK("https://otsuka-europe-crm.veevavault.com/ui/#object/email_activity__v/V8C00000003Q008", "EN-002090756")</f>
        <v>EN-002090756</v>
      </c>
    </row>
    <row r="3013" spans="1:15" ht="32" x14ac:dyDescent="0.2">
      <c r="A3013" s="7" t="str">
        <f>HYPERLINK("https://otsuka-europe-crm.veevavault.com/ui/#object/account__v/V4TZ06G6O71S9MY", "ANGELO NOTARISTEFANO")</f>
        <v>ANGELO NOTARISTEFANO</v>
      </c>
      <c r="B3013" s="7" t="str">
        <f t="shared" si="92"/>
        <v>IT</v>
      </c>
      <c r="C3013" s="8" t="s">
        <v>44</v>
      </c>
      <c r="D3013" s="9" t="str">
        <f t="shared" si="93"/>
        <v>AE dialoghi di tempo fiducia e cura episodi 2-3-4</v>
      </c>
      <c r="E3013" s="10" t="str">
        <f>HYPERLINK("https://otsuka-europe-crm.veevavault.com/ui/#object/sent_email__v/VBL00000002O544", "SE-001432215")</f>
        <v>SE-001432215</v>
      </c>
      <c r="F3013" s="11"/>
      <c r="G3013" s="12">
        <v>0</v>
      </c>
      <c r="H3013" s="12">
        <v>0</v>
      </c>
      <c r="I3013" s="12">
        <v>0</v>
      </c>
      <c r="J3013" s="11"/>
      <c r="K3013" s="12">
        <v>0</v>
      </c>
      <c r="L3013" s="10" t="str">
        <f t="shared" si="94"/>
        <v>AE dialoghi di tempo fiducia e cura episodi 2-3-4</v>
      </c>
      <c r="M3013" s="10" t="str">
        <f t="shared" si="95"/>
        <v>nicoletta.vozza@crm.otsuka-europe.com</v>
      </c>
      <c r="N3013" s="13">
        <v>46181.337997685187</v>
      </c>
      <c r="O3013" s="14" t="str">
        <f>HYPERLINK("https://otsuka-europe-crm.veevavault.com/ui/#object/email_activity__v/V8C00000003O519", "EN-002090075")</f>
        <v>EN-002090075</v>
      </c>
    </row>
    <row r="3014" spans="1:15" ht="32" x14ac:dyDescent="0.2">
      <c r="A3014" s="7" t="str">
        <f>HYPERLINK("https://otsuka-europe-crm.veevavault.com/ui/#object/account__v/V4TZ06G6O71SA2P", "ANNA BARLOCCO")</f>
        <v>ANNA BARLOCCO</v>
      </c>
      <c r="B3014" s="7" t="str">
        <f t="shared" si="92"/>
        <v>IT</v>
      </c>
      <c r="C3014" s="8" t="s">
        <v>44</v>
      </c>
      <c r="D3014" s="9" t="str">
        <f t="shared" si="93"/>
        <v>AE dialoghi di tempo fiducia e cura episodi 2-3-4</v>
      </c>
      <c r="E3014" s="10" t="str">
        <f>HYPERLINK("https://otsuka-europe-crm.veevavault.com/ui/#object/sent_email__v/VBL00000002O545", "SE-001432216")</f>
        <v>SE-001432216</v>
      </c>
      <c r="F3014" s="11"/>
      <c r="G3014" s="12">
        <v>0</v>
      </c>
      <c r="H3014" s="12">
        <v>0</v>
      </c>
      <c r="I3014" s="12">
        <v>0</v>
      </c>
      <c r="J3014" s="11"/>
      <c r="K3014" s="12">
        <v>0</v>
      </c>
      <c r="L3014" s="10" t="str">
        <f t="shared" si="94"/>
        <v>AE dialoghi di tempo fiducia e cura episodi 2-3-4</v>
      </c>
      <c r="M3014" s="10" t="str">
        <f t="shared" si="95"/>
        <v>nicoletta.vozza@crm.otsuka-europe.com</v>
      </c>
      <c r="N3014" s="13">
        <v>46181.33803240741</v>
      </c>
      <c r="O3014" s="14" t="str">
        <f>HYPERLINK("https://otsuka-europe-crm.veevavault.com/ui/#object/email_activity__v/V8C00000003P434", "EN-002090639")</f>
        <v>EN-002090639</v>
      </c>
    </row>
    <row r="3015" spans="1:15" ht="32" x14ac:dyDescent="0.2">
      <c r="A3015" s="7" t="str">
        <f>HYPERLINK("https://otsuka-europe-crm.veevavault.com/ui/#object/account__v/V4TZ06G6O71SA08", "ANNA BENATO")</f>
        <v>ANNA BENATO</v>
      </c>
      <c r="B3015" s="7" t="str">
        <f t="shared" si="92"/>
        <v>IT</v>
      </c>
      <c r="C3015" s="8" t="s">
        <v>44</v>
      </c>
      <c r="D3015" s="9" t="str">
        <f t="shared" si="93"/>
        <v>AE dialoghi di tempo fiducia e cura episodi 2-3-4</v>
      </c>
      <c r="E3015" s="10" t="str">
        <f>HYPERLINK("https://otsuka-europe-crm.veevavault.com/ui/#object/sent_email__v/VBL00000002O546", "SE-001432217")</f>
        <v>SE-001432217</v>
      </c>
      <c r="F3015" s="11"/>
      <c r="G3015" s="12">
        <v>0</v>
      </c>
      <c r="H3015" s="12">
        <v>0</v>
      </c>
      <c r="I3015" s="12">
        <v>0</v>
      </c>
      <c r="J3015" s="11"/>
      <c r="K3015" s="12">
        <v>0</v>
      </c>
      <c r="L3015" s="10" t="str">
        <f t="shared" si="94"/>
        <v>AE dialoghi di tempo fiducia e cura episodi 2-3-4</v>
      </c>
      <c r="M3015" s="10" t="str">
        <f t="shared" si="95"/>
        <v>nicoletta.vozza@crm.otsuka-europe.com</v>
      </c>
      <c r="N3015" s="13">
        <v>46181.337997685187</v>
      </c>
      <c r="O3015" s="14" t="str">
        <f>HYPERLINK("https://otsuka-europe-crm.veevavault.com/ui/#object/email_activity__v/V8C00000003O910", "EN-002090570")</f>
        <v>EN-002090570</v>
      </c>
    </row>
    <row r="3016" spans="1:15" ht="32" x14ac:dyDescent="0.2">
      <c r="A3016" s="7" t="str">
        <f>HYPERLINK("https://otsuka-europe-crm.veevavault.com/ui/#object/account__v/V4TZ04ASGBJSRS5", "ANNA CAMPESE")</f>
        <v>ANNA CAMPESE</v>
      </c>
      <c r="B3016" s="7" t="str">
        <f t="shared" si="92"/>
        <v>IT</v>
      </c>
      <c r="C3016" s="8" t="s">
        <v>44</v>
      </c>
      <c r="D3016" s="9" t="str">
        <f t="shared" si="93"/>
        <v>AE dialoghi di tempo fiducia e cura episodi 2-3-4</v>
      </c>
      <c r="E3016" s="10" t="str">
        <f>HYPERLINK("https://otsuka-europe-crm.veevavault.com/ui/#object/sent_email__v/VBL00000002O547", "SE-001432218")</f>
        <v>SE-001432218</v>
      </c>
      <c r="F3016" s="11"/>
      <c r="G3016" s="12">
        <v>0</v>
      </c>
      <c r="H3016" s="12">
        <v>0</v>
      </c>
      <c r="I3016" s="12">
        <v>0</v>
      </c>
      <c r="J3016" s="11"/>
      <c r="K3016" s="12">
        <v>0</v>
      </c>
      <c r="L3016" s="10" t="str">
        <f t="shared" si="94"/>
        <v>AE dialoghi di tempo fiducia e cura episodi 2-3-4</v>
      </c>
      <c r="M3016" s="10" t="str">
        <f t="shared" si="95"/>
        <v>nicoletta.vozza@crm.otsuka-europe.com</v>
      </c>
      <c r="N3016" s="13">
        <v>46181.338020833333</v>
      </c>
      <c r="O3016" s="14" t="str">
        <f>HYPERLINK("https://otsuka-europe-crm.veevavault.com/ui/#object/email_activity__v/V8C00000003P591", "EN-002090846")</f>
        <v>EN-002090846</v>
      </c>
    </row>
    <row r="3017" spans="1:15" ht="32" x14ac:dyDescent="0.2">
      <c r="A3017" s="7" t="str">
        <f>HYPERLINK("https://otsuka-europe-crm.veevavault.com/ui/#object/account__v/V4TZ06G6O71SCSN", "ANNA CATERINA OMBONI")</f>
        <v>ANNA CATERINA OMBONI</v>
      </c>
      <c r="B3017" s="7" t="str">
        <f t="shared" si="92"/>
        <v>IT</v>
      </c>
      <c r="C3017" s="8" t="s">
        <v>44</v>
      </c>
      <c r="D3017" s="9" t="str">
        <f t="shared" si="93"/>
        <v>AE dialoghi di tempo fiducia e cura episodi 2-3-4</v>
      </c>
      <c r="E3017" s="10" t="str">
        <f>HYPERLINK("https://otsuka-europe-crm.veevavault.com/ui/#object/sent_email__v/VBL00000002O548", "SE-001432219")</f>
        <v>SE-001432219</v>
      </c>
      <c r="F3017" s="11"/>
      <c r="G3017" s="12">
        <v>0</v>
      </c>
      <c r="H3017" s="12">
        <v>0</v>
      </c>
      <c r="I3017" s="12">
        <v>0</v>
      </c>
      <c r="J3017" s="11"/>
      <c r="K3017" s="12">
        <v>0</v>
      </c>
      <c r="L3017" s="10" t="str">
        <f t="shared" si="94"/>
        <v>AE dialoghi di tempo fiducia e cura episodi 2-3-4</v>
      </c>
      <c r="M3017" s="10" t="str">
        <f t="shared" si="95"/>
        <v>nicoletta.vozza@crm.otsuka-europe.com</v>
      </c>
      <c r="N3017" s="13">
        <v>46181.338055555556</v>
      </c>
      <c r="O3017" s="14" t="str">
        <f>HYPERLINK("https://otsuka-europe-crm.veevavault.com/ui/#object/email_activity__v/V8C00000003O580", "EN-002090136")</f>
        <v>EN-002090136</v>
      </c>
    </row>
    <row r="3018" spans="1:15" ht="32" x14ac:dyDescent="0.2">
      <c r="A3018" s="7" t="str">
        <f>HYPERLINK("https://otsuka-europe-crm.veevavault.com/ui/#object/account__v/V4TZ025E83VK3PN", "ANNA COLOMBO")</f>
        <v>ANNA COLOMBO</v>
      </c>
      <c r="B3018" s="7" t="str">
        <f t="shared" si="92"/>
        <v>IT</v>
      </c>
      <c r="C3018" s="8" t="s">
        <v>44</v>
      </c>
      <c r="D3018" s="9" t="str">
        <f t="shared" si="93"/>
        <v>AE dialoghi di tempo fiducia e cura episodi 2-3-4</v>
      </c>
      <c r="E3018" s="10" t="str">
        <f>HYPERLINK("https://otsuka-europe-crm.veevavault.com/ui/#object/sent_email__v/VBL00000002O549", "SE-001432220")</f>
        <v>SE-001432220</v>
      </c>
      <c r="F3018" s="11"/>
      <c r="G3018" s="12">
        <v>0</v>
      </c>
      <c r="H3018" s="12">
        <v>0</v>
      </c>
      <c r="I3018" s="12">
        <v>0</v>
      </c>
      <c r="J3018" s="11"/>
      <c r="K3018" s="12">
        <v>0</v>
      </c>
      <c r="L3018" s="10" t="str">
        <f t="shared" si="94"/>
        <v>AE dialoghi di tempo fiducia e cura episodi 2-3-4</v>
      </c>
      <c r="M3018" s="10" t="str">
        <f t="shared" si="95"/>
        <v>nicoletta.vozza@crm.otsuka-europe.com</v>
      </c>
      <c r="N3018" s="13">
        <v>46181.337962962964</v>
      </c>
      <c r="O3018" s="14" t="str">
        <f>HYPERLINK("https://otsuka-europe-crm.veevavault.com/ui/#object/email_activity__v/V8C00000003P218", "EN-002089664")</f>
        <v>EN-002089664</v>
      </c>
    </row>
    <row r="3019" spans="1:15" ht="32" x14ac:dyDescent="0.2">
      <c r="A3019" s="7" t="str">
        <f>HYPERLINK("https://otsuka-europe-crm.veevavault.com/ui/#object/account__v/V4TZ06G6O71SB4Z", "ANNA COMPARELLI")</f>
        <v>ANNA COMPARELLI</v>
      </c>
      <c r="B3019" s="7" t="str">
        <f t="shared" si="92"/>
        <v>IT</v>
      </c>
      <c r="C3019" s="8" t="s">
        <v>44</v>
      </c>
      <c r="D3019" s="9" t="str">
        <f t="shared" si="93"/>
        <v>AE dialoghi di tempo fiducia e cura episodi 2-3-4</v>
      </c>
      <c r="E3019" s="10" t="str">
        <f>HYPERLINK("https://otsuka-europe-crm.veevavault.com/ui/#object/sent_email__v/VBL00000002O550", "SE-001432221")</f>
        <v>SE-001432221</v>
      </c>
      <c r="F3019" s="11"/>
      <c r="G3019" s="12">
        <v>0</v>
      </c>
      <c r="H3019" s="12">
        <v>0</v>
      </c>
      <c r="I3019" s="12">
        <v>0</v>
      </c>
      <c r="J3019" s="11"/>
      <c r="K3019" s="12">
        <v>0</v>
      </c>
      <c r="L3019" s="10" t="str">
        <f t="shared" si="94"/>
        <v>AE dialoghi di tempo fiducia e cura episodi 2-3-4</v>
      </c>
      <c r="M3019" s="10" t="str">
        <f t="shared" si="95"/>
        <v>nicoletta.vozza@crm.otsuka-europe.com</v>
      </c>
      <c r="N3019" s="13">
        <v>46181.338043981479</v>
      </c>
      <c r="O3019" s="14" t="str">
        <f>HYPERLINK("https://otsuka-europe-crm.veevavault.com/ui/#object/email_activity__v/V8C00000003P791", "EN-002091089")</f>
        <v>EN-002091089</v>
      </c>
    </row>
    <row r="3020" spans="1:15" ht="32" x14ac:dyDescent="0.2">
      <c r="A3020" s="7" t="str">
        <f>HYPERLINK("https://otsuka-europe-crm.veevavault.com/ui/#object/account__v/V4TZ06G6O71SAMA", "ANNA COSTAGLIOLA")</f>
        <v>ANNA COSTAGLIOLA</v>
      </c>
      <c r="B3020" s="7" t="str">
        <f t="shared" si="92"/>
        <v>IT</v>
      </c>
      <c r="C3020" s="8" t="s">
        <v>44</v>
      </c>
      <c r="D3020" s="9" t="str">
        <f t="shared" si="93"/>
        <v>AE dialoghi di tempo fiducia e cura episodi 2-3-4</v>
      </c>
      <c r="E3020" s="10" t="str">
        <f>HYPERLINK("https://otsuka-europe-crm.veevavault.com/ui/#object/sent_email__v/VBL00000002O551", "SE-001432222")</f>
        <v>SE-001432222</v>
      </c>
      <c r="F3020" s="11"/>
      <c r="G3020" s="12">
        <v>0</v>
      </c>
      <c r="H3020" s="12">
        <v>0</v>
      </c>
      <c r="I3020" s="12">
        <v>0</v>
      </c>
      <c r="J3020" s="11"/>
      <c r="K3020" s="12">
        <v>0</v>
      </c>
      <c r="L3020" s="10" t="str">
        <f t="shared" si="94"/>
        <v>AE dialoghi di tempo fiducia e cura episodi 2-3-4</v>
      </c>
      <c r="M3020" s="10" t="str">
        <f t="shared" si="95"/>
        <v>nicoletta.vozza@crm.otsuka-europe.com</v>
      </c>
      <c r="N3020" s="13">
        <v>46181.33798611111</v>
      </c>
      <c r="O3020" s="14" t="str">
        <f>HYPERLINK("https://otsuka-europe-crm.veevavault.com/ui/#object/email_activity__v/V8C00000003O265", "EN-002089742")</f>
        <v>EN-002089742</v>
      </c>
    </row>
    <row r="3021" spans="1:15" ht="32" x14ac:dyDescent="0.2">
      <c r="A3021" s="7" t="str">
        <f>HYPERLINK("https://otsuka-europe-crm.veevavault.com/ui/#object/account__v/V4TZ06G6O71SAAK", "ANNA DEL MASTRO")</f>
        <v>ANNA DEL MASTRO</v>
      </c>
      <c r="B3021" s="7" t="str">
        <f t="shared" si="92"/>
        <v>IT</v>
      </c>
      <c r="C3021" s="8" t="s">
        <v>44</v>
      </c>
      <c r="D3021" s="9" t="str">
        <f t="shared" si="93"/>
        <v>AE dialoghi di tempo fiducia e cura episodi 2-3-4</v>
      </c>
      <c r="E3021" s="10" t="str">
        <f>HYPERLINK("https://otsuka-europe-crm.veevavault.com/ui/#object/sent_email__v/VBL00000002O552", "SE-001432223")</f>
        <v>SE-001432223</v>
      </c>
      <c r="F3021" s="11"/>
      <c r="G3021" s="12">
        <v>0</v>
      </c>
      <c r="H3021" s="12">
        <v>0</v>
      </c>
      <c r="I3021" s="12">
        <v>0</v>
      </c>
      <c r="J3021" s="11"/>
      <c r="K3021" s="12">
        <v>0</v>
      </c>
      <c r="L3021" s="10" t="str">
        <f t="shared" si="94"/>
        <v>AE dialoghi di tempo fiducia e cura episodi 2-3-4</v>
      </c>
      <c r="M3021" s="10" t="str">
        <f t="shared" si="95"/>
        <v>nicoletta.vozza@crm.otsuka-europe.com</v>
      </c>
      <c r="N3021" s="13">
        <v>46181.337997685187</v>
      </c>
      <c r="O3021" s="14" t="str">
        <f>HYPERLINK("https://otsuka-europe-crm.veevavault.com/ui/#object/email_activity__v/V8C00000003Q280", "EN-002091402")</f>
        <v>EN-002091402</v>
      </c>
    </row>
    <row r="3022" spans="1:15" ht="32" x14ac:dyDescent="0.2">
      <c r="A3022" s="7" t="str">
        <f>HYPERLINK("https://otsuka-europe-crm.veevavault.com/ui/#object/account__v/V4TZ06G6O71SAM2", "ANNA FORMATO")</f>
        <v>ANNA FORMATO</v>
      </c>
      <c r="B3022" s="7" t="str">
        <f t="shared" si="92"/>
        <v>IT</v>
      </c>
      <c r="C3022" s="8" t="s">
        <v>44</v>
      </c>
      <c r="D3022" s="9" t="str">
        <f t="shared" si="93"/>
        <v>AE dialoghi di tempo fiducia e cura episodi 2-3-4</v>
      </c>
      <c r="E3022" s="10" t="str">
        <f>HYPERLINK("https://otsuka-europe-crm.veevavault.com/ui/#object/sent_email__v/VBL00000002O553", "SE-001432224")</f>
        <v>SE-001432224</v>
      </c>
      <c r="F3022" s="11"/>
      <c r="G3022" s="12">
        <v>0</v>
      </c>
      <c r="H3022" s="12">
        <v>0</v>
      </c>
      <c r="I3022" s="12">
        <v>0</v>
      </c>
      <c r="J3022" s="11"/>
      <c r="K3022" s="12">
        <v>0</v>
      </c>
      <c r="L3022" s="10" t="str">
        <f t="shared" si="94"/>
        <v>AE dialoghi di tempo fiducia e cura episodi 2-3-4</v>
      </c>
      <c r="M3022" s="10" t="str">
        <f t="shared" si="95"/>
        <v>nicoletta.vozza@crm.otsuka-europe.com</v>
      </c>
      <c r="N3022" s="13">
        <v>46181.337962962964</v>
      </c>
      <c r="O3022" s="14" t="str">
        <f>HYPERLINK("https://otsuka-europe-crm.veevavault.com/ui/#object/email_activity__v/V8C00000003O166", "EN-002089603")</f>
        <v>EN-002089603</v>
      </c>
    </row>
    <row r="3023" spans="1:15" ht="32" x14ac:dyDescent="0.2">
      <c r="A3023" s="7" t="str">
        <f>HYPERLINK("https://otsuka-europe-crm.veevavault.com/ui/#object/account__v/V4TZ06G6O71SAOT", "ANNA GALLI")</f>
        <v>ANNA GALLI</v>
      </c>
      <c r="B3023" s="7" t="str">
        <f t="shared" si="92"/>
        <v>IT</v>
      </c>
      <c r="C3023" s="8" t="s">
        <v>44</v>
      </c>
      <c r="D3023" s="9" t="str">
        <f t="shared" si="93"/>
        <v>AE dialoghi di tempo fiducia e cura episodi 2-3-4</v>
      </c>
      <c r="E3023" s="10" t="str">
        <f>HYPERLINK("https://otsuka-europe-crm.veevavault.com/ui/#object/sent_email__v/VBL00000002O554", "SE-001432225")</f>
        <v>SE-001432225</v>
      </c>
      <c r="F3023" s="11"/>
      <c r="G3023" s="12">
        <v>0</v>
      </c>
      <c r="H3023" s="12">
        <v>0</v>
      </c>
      <c r="I3023" s="12">
        <v>0</v>
      </c>
      <c r="J3023" s="11"/>
      <c r="K3023" s="12">
        <v>0</v>
      </c>
      <c r="L3023" s="10" t="str">
        <f t="shared" si="94"/>
        <v>AE dialoghi di tempo fiducia e cura episodi 2-3-4</v>
      </c>
      <c r="M3023" s="10" t="str">
        <f t="shared" si="95"/>
        <v>nicoletta.vozza@crm.otsuka-europe.com</v>
      </c>
      <c r="N3023" s="13">
        <v>46181.337997685187</v>
      </c>
      <c r="O3023" s="14" t="str">
        <f>HYPERLINK("https://otsuka-europe-crm.veevavault.com/ui/#object/email_activity__v/V8C00000003Q210", "EN-002091316")</f>
        <v>EN-002091316</v>
      </c>
    </row>
    <row r="3024" spans="1:15" ht="32" x14ac:dyDescent="0.2">
      <c r="A3024" s="7" t="str">
        <f>HYPERLINK("https://otsuka-europe-crm.veevavault.com/ui/#object/account__v/V4TZ06G6O71SAYW", "ANNA LUISA CAPUANO")</f>
        <v>ANNA LUISA CAPUANO</v>
      </c>
      <c r="B3024" s="7" t="str">
        <f t="shared" si="92"/>
        <v>IT</v>
      </c>
      <c r="C3024" s="8" t="s">
        <v>44</v>
      </c>
      <c r="D3024" s="9" t="str">
        <f t="shared" si="93"/>
        <v>AE dialoghi di tempo fiducia e cura episodi 2-3-4</v>
      </c>
      <c r="E3024" s="10" t="str">
        <f>HYPERLINK("https://otsuka-europe-crm.veevavault.com/ui/#object/sent_email__v/VBL00000002O555", "SE-001432226")</f>
        <v>SE-001432226</v>
      </c>
      <c r="F3024" s="11"/>
      <c r="G3024" s="12">
        <v>0</v>
      </c>
      <c r="H3024" s="12">
        <v>0</v>
      </c>
      <c r="I3024" s="12">
        <v>0</v>
      </c>
      <c r="J3024" s="11"/>
      <c r="K3024" s="12">
        <v>0</v>
      </c>
      <c r="L3024" s="10" t="str">
        <f t="shared" si="94"/>
        <v>AE dialoghi di tempo fiducia e cura episodi 2-3-4</v>
      </c>
      <c r="M3024" s="10" t="str">
        <f t="shared" si="95"/>
        <v>nicoletta.vozza@crm.otsuka-europe.com</v>
      </c>
      <c r="N3024" s="13">
        <v>46181.338055555556</v>
      </c>
      <c r="O3024" s="14" t="str">
        <f>HYPERLINK("https://otsuka-europe-crm.veevavault.com/ui/#object/email_activity__v/V8C00000003O392", "EN-002089910")</f>
        <v>EN-002089910</v>
      </c>
    </row>
    <row r="3025" spans="1:15" ht="32" x14ac:dyDescent="0.2">
      <c r="A3025" s="7" t="str">
        <f>HYPERLINK("https://otsuka-europe-crm.veevavault.com/ui/#object/account__v/V4TZ06G6OBU9XML", "ANNA LUISA MANFREDINI")</f>
        <v>ANNA LUISA MANFREDINI</v>
      </c>
      <c r="B3025" s="7" t="str">
        <f t="shared" si="92"/>
        <v>IT</v>
      </c>
      <c r="C3025" s="8" t="s">
        <v>44</v>
      </c>
      <c r="D3025" s="9" t="str">
        <f t="shared" si="93"/>
        <v>AE dialoghi di tempo fiducia e cura episodi 2-3-4</v>
      </c>
      <c r="E3025" s="10" t="str">
        <f>HYPERLINK("https://otsuka-europe-crm.veevavault.com/ui/#object/sent_email__v/VBL00000002O556", "SE-001432227")</f>
        <v>SE-001432227</v>
      </c>
      <c r="F3025" s="11"/>
      <c r="G3025" s="12">
        <v>0</v>
      </c>
      <c r="H3025" s="12">
        <v>0</v>
      </c>
      <c r="I3025" s="12">
        <v>0</v>
      </c>
      <c r="J3025" s="11"/>
      <c r="K3025" s="12">
        <v>0</v>
      </c>
      <c r="L3025" s="10" t="str">
        <f t="shared" si="94"/>
        <v>AE dialoghi di tempo fiducia e cura episodi 2-3-4</v>
      </c>
      <c r="M3025" s="10" t="str">
        <f t="shared" si="95"/>
        <v>nicoletta.vozza@crm.otsuka-europe.com</v>
      </c>
      <c r="N3025" s="13">
        <v>46181.338043981479</v>
      </c>
      <c r="O3025" s="14" t="str">
        <f>HYPERLINK("https://otsuka-europe-crm.veevavault.com/ui/#object/email_activity__v/V8C00000003O998", "EN-002090747")</f>
        <v>EN-002090747</v>
      </c>
    </row>
    <row r="3026" spans="1:15" ht="32" x14ac:dyDescent="0.2">
      <c r="A3026" s="7" t="str">
        <f>HYPERLINK("https://otsuka-europe-crm.veevavault.com/ui/#object/account__v/V4TZ06G6O71SA71", "ANNA MARIA BRAMANTE")</f>
        <v>ANNA MARIA BRAMANTE</v>
      </c>
      <c r="B3026" s="7" t="str">
        <f t="shared" si="92"/>
        <v>IT</v>
      </c>
      <c r="C3026" s="8" t="s">
        <v>44</v>
      </c>
      <c r="D3026" s="9" t="str">
        <f t="shared" si="93"/>
        <v>AE dialoghi di tempo fiducia e cura episodi 2-3-4</v>
      </c>
      <c r="E3026" s="10" t="str">
        <f>HYPERLINK("https://otsuka-europe-crm.veevavault.com/ui/#object/sent_email__v/VBL00000002O557", "SE-001432228")</f>
        <v>SE-001432228</v>
      </c>
      <c r="F3026" s="11"/>
      <c r="G3026" s="12">
        <v>0</v>
      </c>
      <c r="H3026" s="12">
        <v>0</v>
      </c>
      <c r="I3026" s="12">
        <v>0</v>
      </c>
      <c r="J3026" s="11"/>
      <c r="K3026" s="12">
        <v>0</v>
      </c>
      <c r="L3026" s="10" t="str">
        <f t="shared" si="94"/>
        <v>AE dialoghi di tempo fiducia e cura episodi 2-3-4</v>
      </c>
      <c r="M3026" s="10" t="str">
        <f t="shared" si="95"/>
        <v>nicoletta.vozza@crm.otsuka-europe.com</v>
      </c>
      <c r="N3026" s="13">
        <v>46181.339085648149</v>
      </c>
      <c r="O3026" s="14" t="str">
        <f>HYPERLINK("https://otsuka-europe-crm.veevavault.com/ui/#object/email_activity__v/V8C00000003Q255", "EN-002091365")</f>
        <v>EN-002091365</v>
      </c>
    </row>
    <row r="3027" spans="1:15" ht="32" x14ac:dyDescent="0.2">
      <c r="A3027" s="7" t="str">
        <f>HYPERLINK("https://otsuka-europe-crm.veevavault.com/ui/#object/account__v/V4TZ06G6O71SAWV", "ANNA MARIA CAMPOSEO")</f>
        <v>ANNA MARIA CAMPOSEO</v>
      </c>
      <c r="B3027" s="7" t="str">
        <f t="shared" si="92"/>
        <v>IT</v>
      </c>
      <c r="C3027" s="8" t="s">
        <v>44</v>
      </c>
      <c r="D3027" s="9" t="str">
        <f t="shared" si="93"/>
        <v>AE dialoghi di tempo fiducia e cura episodi 2-3-4</v>
      </c>
      <c r="E3027" s="10" t="str">
        <f>HYPERLINK("https://otsuka-europe-crm.veevavault.com/ui/#object/sent_email__v/VBL00000002O558", "SE-001432229")</f>
        <v>SE-001432229</v>
      </c>
      <c r="F3027" s="11"/>
      <c r="G3027" s="12">
        <v>0</v>
      </c>
      <c r="H3027" s="12">
        <v>0</v>
      </c>
      <c r="I3027" s="12">
        <v>0</v>
      </c>
      <c r="J3027" s="11"/>
      <c r="K3027" s="12">
        <v>0</v>
      </c>
      <c r="L3027" s="10" t="str">
        <f t="shared" si="94"/>
        <v>AE dialoghi di tempo fiducia e cura episodi 2-3-4</v>
      </c>
      <c r="M3027" s="10" t="str">
        <f t="shared" si="95"/>
        <v>nicoletta.vozza@crm.otsuka-europe.com</v>
      </c>
      <c r="N3027" s="13">
        <v>46181.337951388887</v>
      </c>
      <c r="O3027" s="14" t="str">
        <f>HYPERLINK("https://otsuka-europe-crm.veevavault.com/ui/#object/email_activity__v/V8C00000003P194", "EN-002089594")</f>
        <v>EN-002089594</v>
      </c>
    </row>
    <row r="3028" spans="1:15" ht="32" x14ac:dyDescent="0.2">
      <c r="A3028" s="7" t="str">
        <f>HYPERLINK("https://otsuka-europe-crm.veevavault.com/ui/#object/account__v/V4TZ06G6O71TFOD", "ANNA MARIA DE CHIARA")</f>
        <v>ANNA MARIA DE CHIARA</v>
      </c>
      <c r="B3028" s="7" t="str">
        <f t="shared" si="92"/>
        <v>IT</v>
      </c>
      <c r="C3028" s="8" t="s">
        <v>44</v>
      </c>
      <c r="D3028" s="9" t="str">
        <f t="shared" si="93"/>
        <v>AE dialoghi di tempo fiducia e cura episodi 2-3-4</v>
      </c>
      <c r="E3028" s="10" t="str">
        <f>HYPERLINK("https://otsuka-europe-crm.veevavault.com/ui/#object/sent_email__v/VBL00000002O559", "SE-001432230")</f>
        <v>SE-001432230</v>
      </c>
      <c r="F3028" s="11"/>
      <c r="G3028" s="12">
        <v>0</v>
      </c>
      <c r="H3028" s="12">
        <v>0</v>
      </c>
      <c r="I3028" s="12">
        <v>0</v>
      </c>
      <c r="J3028" s="11"/>
      <c r="K3028" s="12">
        <v>0</v>
      </c>
      <c r="L3028" s="10" t="str">
        <f t="shared" si="94"/>
        <v>AE dialoghi di tempo fiducia e cura episodi 2-3-4</v>
      </c>
      <c r="M3028" s="10" t="str">
        <f t="shared" si="95"/>
        <v>nicoletta.vozza@crm.otsuka-europe.com</v>
      </c>
      <c r="N3028" s="13">
        <v>46181.33803240741</v>
      </c>
      <c r="O3028" s="14" t="str">
        <f>HYPERLINK("https://otsuka-europe-crm.veevavault.com/ui/#object/email_activity__v/V8C00000003O889", "EN-002090492")</f>
        <v>EN-002090492</v>
      </c>
    </row>
    <row r="3029" spans="1:15" ht="32" x14ac:dyDescent="0.2">
      <c r="A3029" s="7" t="str">
        <f>HYPERLINK("https://otsuka-europe-crm.veevavault.com/ui/#object/account__v/V4TZ06G6OCBIQLH", "ANNA MARIA FIOCCHI")</f>
        <v>ANNA MARIA FIOCCHI</v>
      </c>
      <c r="B3029" s="7" t="str">
        <f t="shared" si="92"/>
        <v>IT</v>
      </c>
      <c r="C3029" s="8" t="s">
        <v>44</v>
      </c>
      <c r="D3029" s="9" t="str">
        <f t="shared" si="93"/>
        <v>AE dialoghi di tempo fiducia e cura episodi 2-3-4</v>
      </c>
      <c r="E3029" s="10" t="str">
        <f>HYPERLINK("https://otsuka-europe-crm.veevavault.com/ui/#object/sent_email__v/VBL00000002O560", "SE-001432231")</f>
        <v>SE-001432231</v>
      </c>
      <c r="F3029" s="11"/>
      <c r="G3029" s="12">
        <v>0</v>
      </c>
      <c r="H3029" s="12">
        <v>0</v>
      </c>
      <c r="I3029" s="12">
        <v>0</v>
      </c>
      <c r="J3029" s="11"/>
      <c r="K3029" s="12">
        <v>0</v>
      </c>
      <c r="L3029" s="10" t="str">
        <f t="shared" si="94"/>
        <v>AE dialoghi di tempo fiducia e cura episodi 2-3-4</v>
      </c>
      <c r="M3029" s="10" t="str">
        <f t="shared" si="95"/>
        <v>nicoletta.vozza@crm.otsuka-europe.com</v>
      </c>
      <c r="N3029" s="13">
        <v>46181.338078703702</v>
      </c>
      <c r="O3029" s="14" t="str">
        <f>HYPERLINK("https://otsuka-europe-crm.veevavault.com/ui/#object/email_activity__v/V8C00000003P727", "EN-002090982")</f>
        <v>EN-002090982</v>
      </c>
    </row>
    <row r="3030" spans="1:15" ht="32" x14ac:dyDescent="0.2">
      <c r="A3030" s="7" t="str">
        <f>HYPERLINK("https://otsuka-europe-crm.veevavault.com/ui/#object/account__v/V4TZ025E85SB5Y5", "ANNA MARIA MARROCCELLA")</f>
        <v>ANNA MARIA MARROCCELLA</v>
      </c>
      <c r="B3030" s="7" t="str">
        <f t="shared" si="92"/>
        <v>IT</v>
      </c>
      <c r="C3030" s="8" t="s">
        <v>44</v>
      </c>
      <c r="D3030" s="9" t="str">
        <f t="shared" si="93"/>
        <v>AE dialoghi di tempo fiducia e cura episodi 2-3-4</v>
      </c>
      <c r="E3030" s="10" t="str">
        <f>HYPERLINK("https://otsuka-europe-crm.veevavault.com/ui/#object/sent_email__v/VBL00000002O561", "SE-001432232")</f>
        <v>SE-001432232</v>
      </c>
      <c r="F3030" s="11"/>
      <c r="G3030" s="12">
        <v>0</v>
      </c>
      <c r="H3030" s="12">
        <v>0</v>
      </c>
      <c r="I3030" s="12">
        <v>0</v>
      </c>
      <c r="J3030" s="11"/>
      <c r="K3030" s="12">
        <v>0</v>
      </c>
      <c r="L3030" s="10" t="str">
        <f t="shared" si="94"/>
        <v>AE dialoghi di tempo fiducia e cura episodi 2-3-4</v>
      </c>
      <c r="M3030" s="10" t="str">
        <f t="shared" si="95"/>
        <v>nicoletta.vozza@crm.otsuka-europe.com</v>
      </c>
      <c r="N3030" s="13">
        <v>46181.337997685187</v>
      </c>
      <c r="O3030" s="14" t="str">
        <f>HYPERLINK("https://otsuka-europe-crm.veevavault.com/ui/#object/email_activity__v/V8C00000003O977", "EN-002090726")</f>
        <v>EN-002090726</v>
      </c>
    </row>
    <row r="3031" spans="1:15" ht="32" x14ac:dyDescent="0.2">
      <c r="A3031" s="7" t="str">
        <f>HYPERLINK("https://otsuka-europe-crm.veevavault.com/ui/#object/account__v/V4TZ025E83FCJGE", "ANNA MARIA MONDIN")</f>
        <v>ANNA MARIA MONDIN</v>
      </c>
      <c r="B3031" s="7" t="str">
        <f t="shared" si="92"/>
        <v>IT</v>
      </c>
      <c r="C3031" s="8" t="s">
        <v>44</v>
      </c>
      <c r="D3031" s="9" t="str">
        <f t="shared" si="93"/>
        <v>AE dialoghi di tempo fiducia e cura episodi 2-3-4</v>
      </c>
      <c r="E3031" s="10" t="str">
        <f>HYPERLINK("https://otsuka-europe-crm.veevavault.com/ui/#object/sent_email__v/VBL00000002O562", "SE-001432233")</f>
        <v>SE-001432233</v>
      </c>
      <c r="F3031" s="11"/>
      <c r="G3031" s="12">
        <v>0</v>
      </c>
      <c r="H3031" s="12">
        <v>0</v>
      </c>
      <c r="I3031" s="12">
        <v>0</v>
      </c>
      <c r="J3031" s="11"/>
      <c r="K3031" s="12">
        <v>0</v>
      </c>
      <c r="L3031" s="10" t="str">
        <f t="shared" si="94"/>
        <v>AE dialoghi di tempo fiducia e cura episodi 2-3-4</v>
      </c>
      <c r="M3031" s="10" t="str">
        <f t="shared" si="95"/>
        <v>nicoletta.vozza@crm.otsuka-europe.com</v>
      </c>
      <c r="N3031" s="13">
        <v>46181.338020833333</v>
      </c>
      <c r="O3031" s="14" t="str">
        <f>HYPERLINK("https://otsuka-europe-crm.veevavault.com/ui/#object/email_activity__v/V8C00000003Q002", "EN-002090750")</f>
        <v>EN-002090750</v>
      </c>
    </row>
    <row r="3032" spans="1:15" ht="32" x14ac:dyDescent="0.2">
      <c r="A3032" s="7" t="str">
        <f>HYPERLINK("https://otsuka-europe-crm.veevavault.com/ui/#object/account__v/V4TZ06G6O71SBPG", "ANNA MARIA MORONI")</f>
        <v>ANNA MARIA MORONI</v>
      </c>
      <c r="B3032" s="7" t="str">
        <f t="shared" si="92"/>
        <v>IT</v>
      </c>
      <c r="C3032" s="8" t="s">
        <v>44</v>
      </c>
      <c r="D3032" s="9" t="str">
        <f t="shared" si="93"/>
        <v>AE dialoghi di tempo fiducia e cura episodi 2-3-4</v>
      </c>
      <c r="E3032" s="10" t="str">
        <f>HYPERLINK("https://otsuka-europe-crm.veevavault.com/ui/#object/sent_email__v/VBL00000002O563", "SE-001432234")</f>
        <v>SE-001432234</v>
      </c>
      <c r="F3032" s="11"/>
      <c r="G3032" s="12">
        <v>0</v>
      </c>
      <c r="H3032" s="12">
        <v>0</v>
      </c>
      <c r="I3032" s="12">
        <v>0</v>
      </c>
      <c r="J3032" s="11"/>
      <c r="K3032" s="12">
        <v>0</v>
      </c>
      <c r="L3032" s="10" t="str">
        <f t="shared" si="94"/>
        <v>AE dialoghi di tempo fiducia e cura episodi 2-3-4</v>
      </c>
      <c r="M3032" s="10" t="str">
        <f t="shared" si="95"/>
        <v>nicoletta.vozza@crm.otsuka-europe.com</v>
      </c>
      <c r="N3032" s="13">
        <v>46181.338067129633</v>
      </c>
      <c r="O3032" s="14" t="str">
        <f>HYPERLINK("https://otsuka-europe-crm.veevavault.com/ui/#object/email_activity__v/V8C00000003P817", "EN-002091115")</f>
        <v>EN-002091115</v>
      </c>
    </row>
    <row r="3033" spans="1:15" ht="32" x14ac:dyDescent="0.2">
      <c r="A3033" s="7" t="str">
        <f>HYPERLINK("https://otsuka-europe-crm.veevavault.com/ui/#object/account__v/V4TZ06G6OAAPD7M", "ANNA MARIA PAULIS")</f>
        <v>ANNA MARIA PAULIS</v>
      </c>
      <c r="B3033" s="7" t="str">
        <f t="shared" si="92"/>
        <v>IT</v>
      </c>
      <c r="C3033" s="8" t="s">
        <v>44</v>
      </c>
      <c r="D3033" s="9" t="str">
        <f t="shared" si="93"/>
        <v>AE dialoghi di tempo fiducia e cura episodi 2-3-4</v>
      </c>
      <c r="E3033" s="10" t="str">
        <f>HYPERLINK("https://otsuka-europe-crm.veevavault.com/ui/#object/sent_email__v/VBL00000002O564", "SE-001432235")</f>
        <v>SE-001432235</v>
      </c>
      <c r="F3033" s="11"/>
      <c r="G3033" s="12">
        <v>0</v>
      </c>
      <c r="H3033" s="12">
        <v>0</v>
      </c>
      <c r="I3033" s="12">
        <v>0</v>
      </c>
      <c r="J3033" s="11"/>
      <c r="K3033" s="12">
        <v>0</v>
      </c>
      <c r="L3033" s="10" t="str">
        <f t="shared" si="94"/>
        <v>AE dialoghi di tempo fiducia e cura episodi 2-3-4</v>
      </c>
      <c r="M3033" s="10" t="str">
        <f t="shared" si="95"/>
        <v>nicoletta.vozza@crm.otsuka-europe.com</v>
      </c>
      <c r="N3033" s="13">
        <v>46181.337997685187</v>
      </c>
      <c r="O3033" s="14" t="str">
        <f>HYPERLINK("https://otsuka-europe-crm.veevavault.com/ui/#object/email_activity__v/V8C00000003P597", "EN-002090852")</f>
        <v>EN-002090852</v>
      </c>
    </row>
    <row r="3034" spans="1:15" ht="32" x14ac:dyDescent="0.2">
      <c r="A3034" s="7" t="str">
        <f>HYPERLINK("https://otsuka-europe-crm.veevavault.com/ui/#object/account__v/V4TZ06G6O71SC29", "ANNA MARIA PORCELLI")</f>
        <v>ANNA MARIA PORCELLI</v>
      </c>
      <c r="B3034" s="7" t="str">
        <f t="shared" si="92"/>
        <v>IT</v>
      </c>
      <c r="C3034" s="8" t="s">
        <v>44</v>
      </c>
      <c r="D3034" s="9" t="str">
        <f t="shared" si="93"/>
        <v>AE dialoghi di tempo fiducia e cura episodi 2-3-4</v>
      </c>
      <c r="E3034" s="10" t="str">
        <f>HYPERLINK("https://otsuka-europe-crm.veevavault.com/ui/#object/sent_email__v/VBL00000002O565", "SE-001432236")</f>
        <v>SE-001432236</v>
      </c>
      <c r="F3034" s="11"/>
      <c r="G3034" s="12">
        <v>0</v>
      </c>
      <c r="H3034" s="12">
        <v>0</v>
      </c>
      <c r="I3034" s="12">
        <v>0</v>
      </c>
      <c r="J3034" s="11"/>
      <c r="K3034" s="12">
        <v>0</v>
      </c>
      <c r="L3034" s="10" t="str">
        <f t="shared" si="94"/>
        <v>AE dialoghi di tempo fiducia e cura episodi 2-3-4</v>
      </c>
      <c r="M3034" s="10" t="str">
        <f t="shared" si="95"/>
        <v>nicoletta.vozza@crm.otsuka-europe.com</v>
      </c>
      <c r="N3034" s="13">
        <v>46181.33798611111</v>
      </c>
      <c r="O3034" s="14" t="str">
        <f>HYPERLINK("https://otsuka-europe-crm.veevavault.com/ui/#object/email_activity__v/V8C00000003P876", "EN-002091375")</f>
        <v>EN-002091375</v>
      </c>
    </row>
    <row r="3035" spans="1:15" ht="32" x14ac:dyDescent="0.2">
      <c r="A3035" s="7" t="str">
        <f>HYPERLINK("https://otsuka-europe-crm.veevavault.com/ui/#object/account__v/V4TZ06G6O71SCEP", "ANNA MARIA SCOTTO")</f>
        <v>ANNA MARIA SCOTTO</v>
      </c>
      <c r="B3035" s="7" t="str">
        <f t="shared" si="92"/>
        <v>IT</v>
      </c>
      <c r="C3035" s="8" t="s">
        <v>44</v>
      </c>
      <c r="D3035" s="9" t="str">
        <f t="shared" si="93"/>
        <v>AE dialoghi di tempo fiducia e cura episodi 2-3-4</v>
      </c>
      <c r="E3035" s="10" t="str">
        <f>HYPERLINK("https://otsuka-europe-crm.veevavault.com/ui/#object/sent_email__v/VBL00000002O566", "SE-001432237")</f>
        <v>SE-001432237</v>
      </c>
      <c r="F3035" s="11"/>
      <c r="G3035" s="12">
        <v>0</v>
      </c>
      <c r="H3035" s="12">
        <v>0</v>
      </c>
      <c r="I3035" s="12">
        <v>0</v>
      </c>
      <c r="J3035" s="11"/>
      <c r="K3035" s="12">
        <v>0</v>
      </c>
      <c r="L3035" s="10" t="str">
        <f t="shared" si="94"/>
        <v>AE dialoghi di tempo fiducia e cura episodi 2-3-4</v>
      </c>
      <c r="M3035" s="10" t="str">
        <f t="shared" si="95"/>
        <v>nicoletta.vozza@crm.otsuka-europe.com</v>
      </c>
      <c r="N3035" s="13">
        <v>46181.337997685187</v>
      </c>
      <c r="O3035" s="14" t="str">
        <f>HYPERLINK("https://otsuka-europe-crm.veevavault.com/ui/#object/email_activity__v/V8C00000003P440", "EN-002090683")</f>
        <v>EN-002090683</v>
      </c>
    </row>
    <row r="3036" spans="1:15" ht="32" x14ac:dyDescent="0.2">
      <c r="A3036" s="7" t="str">
        <f>HYPERLINK("https://otsuka-europe-crm.veevavault.com/ui/#object/account__v/V4TZ04ASGB4URC5", "ANNA MONDIN")</f>
        <v>ANNA MONDIN</v>
      </c>
      <c r="B3036" s="7" t="str">
        <f t="shared" si="92"/>
        <v>IT</v>
      </c>
      <c r="C3036" s="8" t="s">
        <v>44</v>
      </c>
      <c r="D3036" s="9" t="str">
        <f t="shared" si="93"/>
        <v>AE dialoghi di tempo fiducia e cura episodi 2-3-4</v>
      </c>
      <c r="E3036" s="10" t="str">
        <f>HYPERLINK("https://otsuka-europe-crm.veevavault.com/ui/#object/sent_email__v/VBL00000002O567", "SE-001432238")</f>
        <v>SE-001432238</v>
      </c>
      <c r="F3036" s="11"/>
      <c r="G3036" s="12">
        <v>0</v>
      </c>
      <c r="H3036" s="12">
        <v>0</v>
      </c>
      <c r="I3036" s="12">
        <v>0</v>
      </c>
      <c r="J3036" s="11"/>
      <c r="K3036" s="12">
        <v>0</v>
      </c>
      <c r="L3036" s="10" t="str">
        <f t="shared" si="94"/>
        <v>AE dialoghi di tempo fiducia e cura episodi 2-3-4</v>
      </c>
      <c r="M3036" s="10" t="str">
        <f t="shared" si="95"/>
        <v>nicoletta.vozza@crm.otsuka-europe.com</v>
      </c>
      <c r="N3036" s="13">
        <v>46181.337916666664</v>
      </c>
      <c r="O3036" s="15"/>
    </row>
    <row r="3037" spans="1:15" ht="32" x14ac:dyDescent="0.2">
      <c r="A3037" s="7" t="str">
        <f>HYPERLINK("https://otsuka-europe-crm.veevavault.com/ui/#object/account__v/V4TZ06G6O71S9GZ", "ANNA NICOLI")</f>
        <v>ANNA NICOLI</v>
      </c>
      <c r="B3037" s="7" t="str">
        <f t="shared" si="92"/>
        <v>IT</v>
      </c>
      <c r="C3037" s="8" t="s">
        <v>44</v>
      </c>
      <c r="D3037" s="9" t="str">
        <f t="shared" si="93"/>
        <v>AE dialoghi di tempo fiducia e cura episodi 2-3-4</v>
      </c>
      <c r="E3037" s="10" t="str">
        <f>HYPERLINK("https://otsuka-europe-crm.veevavault.com/ui/#object/sent_email__v/VBL00000002O568", "SE-001432239")</f>
        <v>SE-001432239</v>
      </c>
      <c r="F3037" s="11"/>
      <c r="G3037" s="12">
        <v>0</v>
      </c>
      <c r="H3037" s="12">
        <v>0</v>
      </c>
      <c r="I3037" s="12">
        <v>0</v>
      </c>
      <c r="J3037" s="11"/>
      <c r="K3037" s="12">
        <v>0</v>
      </c>
      <c r="L3037" s="10" t="str">
        <f t="shared" si="94"/>
        <v>AE dialoghi di tempo fiducia e cura episodi 2-3-4</v>
      </c>
      <c r="M3037" s="10" t="str">
        <f t="shared" si="95"/>
        <v>nicoletta.vozza@crm.otsuka-europe.com</v>
      </c>
      <c r="N3037" s="13">
        <v>46181.338055555556</v>
      </c>
      <c r="O3037" s="14" t="str">
        <f>HYPERLINK("https://otsuka-europe-crm.veevavault.com/ui/#object/email_activity__v/V8C00000003O583", "EN-002090139")</f>
        <v>EN-002090139</v>
      </c>
    </row>
    <row r="3038" spans="1:15" ht="32" x14ac:dyDescent="0.2">
      <c r="A3038" s="7" t="str">
        <f>HYPERLINK("https://otsuka-europe-crm.veevavault.com/ui/#object/account__v/V4TZ06G6O71SCRU", "ANNA PAOLA ZANDRINO")</f>
        <v>ANNA PAOLA ZANDRINO</v>
      </c>
      <c r="B3038" s="7" t="str">
        <f t="shared" si="92"/>
        <v>IT</v>
      </c>
      <c r="C3038" s="8" t="s">
        <v>44</v>
      </c>
      <c r="D3038" s="9" t="str">
        <f t="shared" si="93"/>
        <v>AE dialoghi di tempo fiducia e cura episodi 2-3-4</v>
      </c>
      <c r="E3038" s="10" t="str">
        <f>HYPERLINK("https://otsuka-europe-crm.veevavault.com/ui/#object/sent_email__v/VBL00000002O569", "SE-001432240")</f>
        <v>SE-001432240</v>
      </c>
      <c r="F3038" s="11"/>
      <c r="G3038" s="12">
        <v>0</v>
      </c>
      <c r="H3038" s="12">
        <v>0</v>
      </c>
      <c r="I3038" s="12">
        <v>0</v>
      </c>
      <c r="J3038" s="11"/>
      <c r="K3038" s="12">
        <v>0</v>
      </c>
      <c r="L3038" s="10" t="str">
        <f t="shared" si="94"/>
        <v>AE dialoghi di tempo fiducia e cura episodi 2-3-4</v>
      </c>
      <c r="M3038" s="10" t="str">
        <f t="shared" si="95"/>
        <v>nicoletta.vozza@crm.otsuka-europe.com</v>
      </c>
      <c r="N3038" s="13">
        <v>46181.337997685187</v>
      </c>
      <c r="O3038" s="14" t="str">
        <f>HYPERLINK("https://otsuka-europe-crm.veevavault.com/ui/#object/email_activity__v/V8C00000003O322", "EN-002089799")</f>
        <v>EN-002089799</v>
      </c>
    </row>
    <row r="3039" spans="1:15" ht="32" x14ac:dyDescent="0.2">
      <c r="A3039" s="7" t="str">
        <f>HYPERLINK("https://otsuka-europe-crm.veevavault.com/ui/#object/account__v/V4TZ06G6O8ANIDV", "ANNA RADICE")</f>
        <v>ANNA RADICE</v>
      </c>
      <c r="B3039" s="7" t="str">
        <f t="shared" si="92"/>
        <v>IT</v>
      </c>
      <c r="C3039" s="8" t="s">
        <v>44</v>
      </c>
      <c r="D3039" s="9" t="str">
        <f t="shared" si="93"/>
        <v>AE dialoghi di tempo fiducia e cura episodi 2-3-4</v>
      </c>
      <c r="E3039" s="10" t="str">
        <f>HYPERLINK("https://otsuka-europe-crm.veevavault.com/ui/#object/sent_email__v/VBL00000002O570", "SE-001432241")</f>
        <v>SE-001432241</v>
      </c>
      <c r="F3039" s="11"/>
      <c r="G3039" s="12">
        <v>0</v>
      </c>
      <c r="H3039" s="12">
        <v>0</v>
      </c>
      <c r="I3039" s="12">
        <v>0</v>
      </c>
      <c r="J3039" s="11"/>
      <c r="K3039" s="12">
        <v>0</v>
      </c>
      <c r="L3039" s="10" t="str">
        <f t="shared" si="94"/>
        <v>AE dialoghi di tempo fiducia e cura episodi 2-3-4</v>
      </c>
      <c r="M3039" s="10" t="str">
        <f t="shared" si="95"/>
        <v>nicoletta.vozza@crm.otsuka-europe.com</v>
      </c>
      <c r="N3039" s="13">
        <v>46181.338020833333</v>
      </c>
      <c r="O3039" s="14" t="str">
        <f>HYPERLINK("https://otsuka-europe-crm.veevavault.com/ui/#object/email_activity__v/V8C00000003P486", "EN-002090706")</f>
        <v>EN-002090706</v>
      </c>
    </row>
    <row r="3040" spans="1:15" ht="32" x14ac:dyDescent="0.2">
      <c r="A3040" s="7" t="str">
        <f>HYPERLINK("https://otsuka-europe-crm.veevavault.com/ui/#object/account__v/V4TZ04ASGB4LHQP", "ANNA RITA TASSIELLO")</f>
        <v>ANNA RITA TASSIELLO</v>
      </c>
      <c r="B3040" s="7" t="str">
        <f t="shared" si="92"/>
        <v>IT</v>
      </c>
      <c r="C3040" s="8" t="s">
        <v>44</v>
      </c>
      <c r="D3040" s="9" t="str">
        <f t="shared" si="93"/>
        <v>AE dialoghi di tempo fiducia e cura episodi 2-3-4</v>
      </c>
      <c r="E3040" s="10" t="str">
        <f>HYPERLINK("https://otsuka-europe-crm.veevavault.com/ui/#object/sent_email__v/VBL00000002O571", "SE-001432242")</f>
        <v>SE-001432242</v>
      </c>
      <c r="F3040" s="11"/>
      <c r="G3040" s="12">
        <v>0</v>
      </c>
      <c r="H3040" s="12">
        <v>0</v>
      </c>
      <c r="I3040" s="12">
        <v>0</v>
      </c>
      <c r="J3040" s="11"/>
      <c r="K3040" s="12">
        <v>0</v>
      </c>
      <c r="L3040" s="10" t="str">
        <f t="shared" si="94"/>
        <v>AE dialoghi di tempo fiducia e cura episodi 2-3-4</v>
      </c>
      <c r="M3040" s="10" t="str">
        <f t="shared" si="95"/>
        <v>nicoletta.vozza@crm.otsuka-europe.com</v>
      </c>
      <c r="N3040" s="13">
        <v>46181.337997685187</v>
      </c>
      <c r="O3040" s="14" t="str">
        <f>HYPERLINK("https://otsuka-europe-crm.veevavault.com/ui/#object/email_activity__v/V8C00000003O256", "EN-002089733")</f>
        <v>EN-002089733</v>
      </c>
    </row>
    <row r="3041" spans="1:15" ht="32" x14ac:dyDescent="0.2">
      <c r="A3041" s="7" t="str">
        <f>HYPERLINK("https://otsuka-europe-crm.veevavault.com/ui/#object/account__v/V4TZ06G6O71SC74", "ANNA ROCCIOLA")</f>
        <v>ANNA ROCCIOLA</v>
      </c>
      <c r="B3041" s="7" t="str">
        <f t="shared" si="92"/>
        <v>IT</v>
      </c>
      <c r="C3041" s="8" t="s">
        <v>44</v>
      </c>
      <c r="D3041" s="9" t="str">
        <f t="shared" si="93"/>
        <v>AE dialoghi di tempo fiducia e cura episodi 2-3-4</v>
      </c>
      <c r="E3041" s="10" t="str">
        <f>HYPERLINK("https://otsuka-europe-crm.veevavault.com/ui/#object/sent_email__v/VBL00000002O572", "SE-001432243")</f>
        <v>SE-001432243</v>
      </c>
      <c r="F3041" s="11"/>
      <c r="G3041" s="12">
        <v>0</v>
      </c>
      <c r="H3041" s="12">
        <v>0</v>
      </c>
      <c r="I3041" s="12">
        <v>0</v>
      </c>
      <c r="J3041" s="11"/>
      <c r="K3041" s="12">
        <v>0</v>
      </c>
      <c r="L3041" s="10" t="str">
        <f t="shared" si="94"/>
        <v>AE dialoghi di tempo fiducia e cura episodi 2-3-4</v>
      </c>
      <c r="M3041" s="10" t="str">
        <f t="shared" si="95"/>
        <v>nicoletta.vozza@crm.otsuka-europe.com</v>
      </c>
      <c r="N3041" s="13">
        <v>46181.33803240741</v>
      </c>
      <c r="O3041" s="14" t="str">
        <f>HYPERLINK("https://otsuka-europe-crm.veevavault.com/ui/#object/email_activity__v/V8C00000003O877", "EN-002090480")</f>
        <v>EN-002090480</v>
      </c>
    </row>
    <row r="3042" spans="1:15" ht="32" x14ac:dyDescent="0.2">
      <c r="A3042" s="7" t="str">
        <f>HYPERLINK("https://otsuka-europe-crm.veevavault.com/ui/#object/account__v/V4TZ06G6O71SCE6", "ANNA ROSA SCARAMELLI")</f>
        <v>ANNA ROSA SCARAMELLI</v>
      </c>
      <c r="B3042" s="7" t="str">
        <f t="shared" si="92"/>
        <v>IT</v>
      </c>
      <c r="C3042" s="8" t="s">
        <v>44</v>
      </c>
      <c r="D3042" s="9" t="str">
        <f t="shared" si="93"/>
        <v>AE dialoghi di tempo fiducia e cura episodi 2-3-4</v>
      </c>
      <c r="E3042" s="10" t="str">
        <f>HYPERLINK("https://otsuka-europe-crm.veevavault.com/ui/#object/sent_email__v/VBL00000002O573", "SE-001432244")</f>
        <v>SE-001432244</v>
      </c>
      <c r="F3042" s="11"/>
      <c r="G3042" s="12">
        <v>0</v>
      </c>
      <c r="H3042" s="12">
        <v>0</v>
      </c>
      <c r="I3042" s="12">
        <v>0</v>
      </c>
      <c r="J3042" s="11"/>
      <c r="K3042" s="12">
        <v>0</v>
      </c>
      <c r="L3042" s="10" t="str">
        <f t="shared" si="94"/>
        <v>AE dialoghi di tempo fiducia e cura episodi 2-3-4</v>
      </c>
      <c r="M3042" s="10" t="str">
        <f t="shared" si="95"/>
        <v>nicoletta.vozza@crm.otsuka-europe.com</v>
      </c>
      <c r="N3042" s="13">
        <v>46181.337997685187</v>
      </c>
      <c r="O3042" s="14" t="str">
        <f>HYPERLINK("https://otsuka-europe-crm.veevavault.com/ui/#object/email_activity__v/V8C00000003O541", "EN-002090097")</f>
        <v>EN-002090097</v>
      </c>
    </row>
    <row r="3043" spans="1:15" ht="32" x14ac:dyDescent="0.2">
      <c r="A3043" s="7" t="str">
        <f>HYPERLINK("https://otsuka-europe-crm.veevavault.com/ui/#object/account__v/V4TZ06G6O71S9P0", "ANNA SASDELLI")</f>
        <v>ANNA SASDELLI</v>
      </c>
      <c r="B3043" s="7" t="str">
        <f t="shared" si="92"/>
        <v>IT</v>
      </c>
      <c r="C3043" s="8" t="s">
        <v>44</v>
      </c>
      <c r="D3043" s="9" t="str">
        <f t="shared" si="93"/>
        <v>AE dialoghi di tempo fiducia e cura episodi 2-3-4</v>
      </c>
      <c r="E3043" s="10" t="str">
        <f>HYPERLINK("https://otsuka-europe-crm.veevavault.com/ui/#object/sent_email__v/VBL00000002O574", "SE-001432245")</f>
        <v>SE-001432245</v>
      </c>
      <c r="F3043" s="11"/>
      <c r="G3043" s="12">
        <v>0</v>
      </c>
      <c r="H3043" s="12">
        <v>0</v>
      </c>
      <c r="I3043" s="12">
        <v>0</v>
      </c>
      <c r="J3043" s="11"/>
      <c r="K3043" s="12">
        <v>0</v>
      </c>
      <c r="L3043" s="10" t="str">
        <f t="shared" si="94"/>
        <v>AE dialoghi di tempo fiducia e cura episodi 2-3-4</v>
      </c>
      <c r="M3043" s="10" t="str">
        <f t="shared" si="95"/>
        <v>nicoletta.vozza@crm.otsuka-europe.com</v>
      </c>
      <c r="N3043" s="13">
        <v>46181.338090277779</v>
      </c>
      <c r="O3043" s="14" t="str">
        <f>HYPERLINK("https://otsuka-europe-crm.veevavault.com/ui/#object/email_activity__v/V8C00000003P846", "EN-002091233")</f>
        <v>EN-002091233</v>
      </c>
    </row>
    <row r="3044" spans="1:15" ht="16" x14ac:dyDescent="0.2">
      <c r="A3044" s="17" t="str">
        <f>HYPERLINK("https://otsuka-europe-crm.veevavault.com/ui/#object/account__v/V4TZ06G6O71SCKG", "ANNA TONNI")</f>
        <v>ANNA TONNI</v>
      </c>
      <c r="B3044" s="17" t="str">
        <f t="shared" si="92"/>
        <v>IT</v>
      </c>
      <c r="C3044" s="20" t="s">
        <v>44</v>
      </c>
      <c r="D3044" s="21" t="str">
        <f t="shared" si="93"/>
        <v>AE dialoghi di tempo fiducia e cura episodi 2-3-4</v>
      </c>
      <c r="E3044" s="22" t="str">
        <f>HYPERLINK("https://otsuka-europe-crm.veevavault.com/ui/#object/sent_email__v/VBL00000002O575", "SE-001432246")</f>
        <v>SE-001432246</v>
      </c>
      <c r="F3044" s="25"/>
      <c r="G3044" s="24">
        <v>0</v>
      </c>
      <c r="H3044" s="24">
        <v>0</v>
      </c>
      <c r="I3044" s="24">
        <v>0</v>
      </c>
      <c r="J3044" s="25"/>
      <c r="K3044" s="24">
        <v>0</v>
      </c>
      <c r="L3044" s="22" t="str">
        <f t="shared" si="94"/>
        <v>AE dialoghi di tempo fiducia e cura episodi 2-3-4</v>
      </c>
      <c r="M3044" s="22" t="str">
        <f t="shared" si="95"/>
        <v>nicoletta.vozza@crm.otsuka-europe.com</v>
      </c>
      <c r="N3044" s="23">
        <v>46181.33798611111</v>
      </c>
      <c r="O3044" s="14" t="str">
        <f>HYPERLINK("https://otsuka-europe-crm.veevavault.com/ui/#object/email_activity__v/V8C00000003P403", "EN-002090409")</f>
        <v>EN-002090409</v>
      </c>
    </row>
    <row r="3045" spans="1:15" ht="16" x14ac:dyDescent="0.2">
      <c r="A3045" s="19"/>
      <c r="B3045" s="19"/>
      <c r="C3045" s="19"/>
      <c r="D3045" s="19"/>
      <c r="E3045" s="19"/>
      <c r="F3045" s="19"/>
      <c r="G3045" s="19"/>
      <c r="H3045" s="19"/>
      <c r="I3045" s="19"/>
      <c r="J3045" s="19"/>
      <c r="K3045" s="19"/>
      <c r="L3045" s="19"/>
      <c r="M3045" s="19"/>
      <c r="N3045" s="19"/>
      <c r="O3045" s="14" t="str">
        <f>HYPERLINK("https://otsuka-europe-crm.veevavault.com/ui/#object/email_activity__v/V8C00000003R005", "EN-002091714")</f>
        <v>EN-002091714</v>
      </c>
    </row>
    <row r="3046" spans="1:15" ht="32" x14ac:dyDescent="0.2">
      <c r="A3046" s="7" t="str">
        <f>HYPERLINK("https://otsuka-europe-crm.veevavault.com/ui/#object/account__v/V4TZ06G6O71SCMY", "ANNA URBANI")</f>
        <v>ANNA URBANI</v>
      </c>
      <c r="B3046" s="7" t="str">
        <f t="shared" ref="B3046:B3051" si="96">HYPERLINK("https://otsuka-europe-crm.veevavault.com/ui/#object/vcountry__v/VENZ000004SONFQ", "IT")</f>
        <v>IT</v>
      </c>
      <c r="C3046" s="8" t="s">
        <v>44</v>
      </c>
      <c r="D3046" s="9" t="str">
        <f t="shared" ref="D3046:D3051" si="97">HYPERLINK("https://otsuka-europe-crm.veevavault.com/ui/#object/approved_document__v/V5O000000018003", "AE dialoghi di tempo fiducia e cura episodi 2-3-4")</f>
        <v>AE dialoghi di tempo fiducia e cura episodi 2-3-4</v>
      </c>
      <c r="E3046" s="10" t="str">
        <f>HYPERLINK("https://otsuka-europe-crm.veevavault.com/ui/#object/sent_email__v/VBL00000002O576", "SE-001432247")</f>
        <v>SE-001432247</v>
      </c>
      <c r="F3046" s="11"/>
      <c r="G3046" s="12">
        <v>0</v>
      </c>
      <c r="H3046" s="12">
        <v>0</v>
      </c>
      <c r="I3046" s="12">
        <v>0</v>
      </c>
      <c r="J3046" s="11"/>
      <c r="K3046" s="12">
        <v>0</v>
      </c>
      <c r="L3046" s="10" t="str">
        <f t="shared" ref="L3046:L3051" si="98">HYPERLINK("https://otsuka-europe-crm.veevavault.com/ui/#object/approved_document__v/V5O000000018003", "AE dialoghi di tempo fiducia e cura episodi 2-3-4")</f>
        <v>AE dialoghi di tempo fiducia e cura episodi 2-3-4</v>
      </c>
      <c r="M3046" s="10" t="str">
        <f t="shared" ref="M3046:M3051" si="99">HYPERLINK("mailto:nicoletta.vozza@crm.otsuka-europe.com", "nicoletta.vozza@crm.otsuka-europe.com")</f>
        <v>nicoletta.vozza@crm.otsuka-europe.com</v>
      </c>
      <c r="N3046" s="13">
        <v>46181.337997685187</v>
      </c>
      <c r="O3046" s="14" t="str">
        <f>HYPERLINK("https://otsuka-europe-crm.veevavault.com/ui/#object/email_activity__v/V8C00000003O991", "EN-002090740")</f>
        <v>EN-002090740</v>
      </c>
    </row>
    <row r="3047" spans="1:15" ht="32" x14ac:dyDescent="0.2">
      <c r="A3047" s="7" t="str">
        <f>HYPERLINK("https://otsuka-europe-crm.veevavault.com/ui/#object/account__v/V4TZ06G6O71SA5B", "ANNABELLA BONADONNA")</f>
        <v>ANNABELLA BONADONNA</v>
      </c>
      <c r="B3047" s="7" t="str">
        <f t="shared" si="96"/>
        <v>IT</v>
      </c>
      <c r="C3047" s="8" t="s">
        <v>44</v>
      </c>
      <c r="D3047" s="9" t="str">
        <f t="shared" si="97"/>
        <v>AE dialoghi di tempo fiducia e cura episodi 2-3-4</v>
      </c>
      <c r="E3047" s="10" t="str">
        <f>HYPERLINK("https://otsuka-europe-crm.veevavault.com/ui/#object/sent_email__v/VBL00000002O577", "SE-001432248")</f>
        <v>SE-001432248</v>
      </c>
      <c r="F3047" s="11"/>
      <c r="G3047" s="12">
        <v>0</v>
      </c>
      <c r="H3047" s="12">
        <v>0</v>
      </c>
      <c r="I3047" s="12">
        <v>0</v>
      </c>
      <c r="J3047" s="11"/>
      <c r="K3047" s="12">
        <v>0</v>
      </c>
      <c r="L3047" s="10" t="str">
        <f t="shared" si="98"/>
        <v>AE dialoghi di tempo fiducia e cura episodi 2-3-4</v>
      </c>
      <c r="M3047" s="10" t="str">
        <f t="shared" si="99"/>
        <v>nicoletta.vozza@crm.otsuka-europe.com</v>
      </c>
      <c r="N3047" s="13">
        <v>46181.337997685187</v>
      </c>
      <c r="O3047" s="14" t="str">
        <f>HYPERLINK("https://otsuka-europe-crm.veevavault.com/ui/#object/email_activity__v/V8C00000003P525", "EN-002090780")</f>
        <v>EN-002090780</v>
      </c>
    </row>
    <row r="3048" spans="1:15" ht="32" x14ac:dyDescent="0.2">
      <c r="A3048" s="7" t="str">
        <f>HYPERLINK("https://otsuka-europe-crm.veevavault.com/ui/#object/account__v/V4TZ04ASGAV79G4", "ANNALISA BERGAMINI")</f>
        <v>ANNALISA BERGAMINI</v>
      </c>
      <c r="B3048" s="7" t="str">
        <f t="shared" si="96"/>
        <v>IT</v>
      </c>
      <c r="C3048" s="8" t="s">
        <v>44</v>
      </c>
      <c r="D3048" s="9" t="str">
        <f t="shared" si="97"/>
        <v>AE dialoghi di tempo fiducia e cura episodi 2-3-4</v>
      </c>
      <c r="E3048" s="10" t="str">
        <f>HYPERLINK("https://otsuka-europe-crm.veevavault.com/ui/#object/sent_email__v/VBL00000002O578", "SE-001432249")</f>
        <v>SE-001432249</v>
      </c>
      <c r="F3048" s="11"/>
      <c r="G3048" s="12">
        <v>0</v>
      </c>
      <c r="H3048" s="12">
        <v>0</v>
      </c>
      <c r="I3048" s="12">
        <v>0</v>
      </c>
      <c r="J3048" s="11"/>
      <c r="K3048" s="12">
        <v>0</v>
      </c>
      <c r="L3048" s="10" t="str">
        <f t="shared" si="98"/>
        <v>AE dialoghi di tempo fiducia e cura episodi 2-3-4</v>
      </c>
      <c r="M3048" s="10" t="str">
        <f t="shared" si="99"/>
        <v>nicoletta.vozza@crm.otsuka-europe.com</v>
      </c>
      <c r="N3048" s="13">
        <v>46181.338055555556</v>
      </c>
      <c r="O3048" s="14" t="str">
        <f>HYPERLINK("https://otsuka-europe-crm.veevavault.com/ui/#object/email_activity__v/V8C00000003P759", "EN-002091057")</f>
        <v>EN-002091057</v>
      </c>
    </row>
    <row r="3049" spans="1:15" ht="32" x14ac:dyDescent="0.2">
      <c r="A3049" s="7" t="str">
        <f>HYPERLINK("https://otsuka-europe-crm.veevavault.com/ui/#object/account__v/V4TZ06G6O71S9LY", "ANNALISA BOLDRINI")</f>
        <v>ANNALISA BOLDRINI</v>
      </c>
      <c r="B3049" s="7" t="str">
        <f t="shared" si="96"/>
        <v>IT</v>
      </c>
      <c r="C3049" s="8" t="s">
        <v>44</v>
      </c>
      <c r="D3049" s="9" t="str">
        <f t="shared" si="97"/>
        <v>AE dialoghi di tempo fiducia e cura episodi 2-3-4</v>
      </c>
      <c r="E3049" s="10" t="str">
        <f>HYPERLINK("https://otsuka-europe-crm.veevavault.com/ui/#object/sent_email__v/VBL00000002O579", "SE-001432250")</f>
        <v>SE-001432250</v>
      </c>
      <c r="F3049" s="11"/>
      <c r="G3049" s="12">
        <v>0</v>
      </c>
      <c r="H3049" s="12">
        <v>0</v>
      </c>
      <c r="I3049" s="12">
        <v>0</v>
      </c>
      <c r="J3049" s="11"/>
      <c r="K3049" s="12">
        <v>0</v>
      </c>
      <c r="L3049" s="10" t="str">
        <f t="shared" si="98"/>
        <v>AE dialoghi di tempo fiducia e cura episodi 2-3-4</v>
      </c>
      <c r="M3049" s="10" t="str">
        <f t="shared" si="99"/>
        <v>nicoletta.vozza@crm.otsuka-europe.com</v>
      </c>
      <c r="N3049" s="13">
        <v>46181.337997685187</v>
      </c>
      <c r="O3049" s="14" t="str">
        <f>HYPERLINK("https://otsuka-europe-crm.veevavault.com/ui/#object/email_activity__v/V8C00000003O514", "EN-002090070")</f>
        <v>EN-002090070</v>
      </c>
    </row>
    <row r="3050" spans="1:15" ht="32" x14ac:dyDescent="0.2">
      <c r="A3050" s="7" t="str">
        <f>HYPERLINK("https://otsuka-europe-crm.veevavault.com/ui/#object/account__v/V4TZ06G6O71SAE8", "ANNALISA D'ANGELO")</f>
        <v>ANNALISA D'ANGELO</v>
      </c>
      <c r="B3050" s="7" t="str">
        <f t="shared" si="96"/>
        <v>IT</v>
      </c>
      <c r="C3050" s="8" t="s">
        <v>44</v>
      </c>
      <c r="D3050" s="9" t="str">
        <f t="shared" si="97"/>
        <v>AE dialoghi di tempo fiducia e cura episodi 2-3-4</v>
      </c>
      <c r="E3050" s="10" t="str">
        <f>HYPERLINK("https://otsuka-europe-crm.veevavault.com/ui/#object/sent_email__v/VBL00000002O580", "SE-001432251")</f>
        <v>SE-001432251</v>
      </c>
      <c r="F3050" s="11"/>
      <c r="G3050" s="12">
        <v>0</v>
      </c>
      <c r="H3050" s="12">
        <v>0</v>
      </c>
      <c r="I3050" s="12">
        <v>0</v>
      </c>
      <c r="J3050" s="11"/>
      <c r="K3050" s="12">
        <v>0</v>
      </c>
      <c r="L3050" s="10" t="str">
        <f t="shared" si="98"/>
        <v>AE dialoghi di tempo fiducia e cura episodi 2-3-4</v>
      </c>
      <c r="M3050" s="10" t="str">
        <f t="shared" si="99"/>
        <v>nicoletta.vozza@crm.otsuka-europe.com</v>
      </c>
      <c r="N3050" s="13">
        <v>46181.337962962964</v>
      </c>
      <c r="O3050" s="14" t="str">
        <f>HYPERLINK("https://otsuka-europe-crm.veevavault.com/ui/#object/email_activity__v/V8C00000003O301", "EN-002089778")</f>
        <v>EN-002089778</v>
      </c>
    </row>
    <row r="3051" spans="1:15" ht="16" x14ac:dyDescent="0.2">
      <c r="A3051" s="17" t="str">
        <f>HYPERLINK("https://otsuka-europe-crm.veevavault.com/ui/#object/account__v/V4TZ06G6O71SCAM", "ANNALISA SALE")</f>
        <v>ANNALISA SALE</v>
      </c>
      <c r="B3051" s="17" t="str">
        <f t="shared" si="96"/>
        <v>IT</v>
      </c>
      <c r="C3051" s="20" t="s">
        <v>44</v>
      </c>
      <c r="D3051" s="21" t="str">
        <f t="shared" si="97"/>
        <v>AE dialoghi di tempo fiducia e cura episodi 2-3-4</v>
      </c>
      <c r="E3051" s="22" t="str">
        <f>HYPERLINK("https://otsuka-europe-crm.veevavault.com/ui/#object/sent_email__v/VBL00000002O581", "SE-001432252")</f>
        <v>SE-001432252</v>
      </c>
      <c r="F3051" s="23">
        <v>46182.591828703706</v>
      </c>
      <c r="G3051" s="24">
        <v>1</v>
      </c>
      <c r="H3051" s="24">
        <v>2</v>
      </c>
      <c r="I3051" s="24">
        <v>0</v>
      </c>
      <c r="J3051" s="25"/>
      <c r="K3051" s="24">
        <v>0</v>
      </c>
      <c r="L3051" s="22" t="str">
        <f t="shared" si="98"/>
        <v>AE dialoghi di tempo fiducia e cura episodi 2-3-4</v>
      </c>
      <c r="M3051" s="22" t="str">
        <f t="shared" si="99"/>
        <v>nicoletta.vozza@crm.otsuka-europe.com</v>
      </c>
      <c r="N3051" s="23">
        <v>46181.338101851848</v>
      </c>
      <c r="O3051" s="14" t="str">
        <f>HYPERLINK("https://otsuka-europe-crm.veevavault.com/ui/#object/email_activity__v/V8C00000003P778", "EN-002091076")</f>
        <v>EN-002091076</v>
      </c>
    </row>
    <row r="3052" spans="1:15" ht="16" x14ac:dyDescent="0.2">
      <c r="A3052" s="18"/>
      <c r="B3052" s="18"/>
      <c r="C3052" s="18"/>
      <c r="D3052" s="18"/>
      <c r="E3052" s="18"/>
      <c r="F3052" s="18"/>
      <c r="G3052" s="18"/>
      <c r="H3052" s="18"/>
      <c r="I3052" s="18"/>
      <c r="J3052" s="18"/>
      <c r="K3052" s="18"/>
      <c r="L3052" s="18"/>
      <c r="M3052" s="18"/>
      <c r="N3052" s="18"/>
      <c r="O3052" s="14" t="str">
        <f>HYPERLINK("https://otsuka-europe-crm.veevavault.com/ui/#object/email_activity__v/V8C00000003R665", "EN-002092966")</f>
        <v>EN-002092966</v>
      </c>
    </row>
    <row r="3053" spans="1:15" ht="16" x14ac:dyDescent="0.2">
      <c r="A3053" s="19"/>
      <c r="B3053" s="19"/>
      <c r="C3053" s="19"/>
      <c r="D3053" s="19"/>
      <c r="E3053" s="19"/>
      <c r="F3053" s="19"/>
      <c r="G3053" s="19"/>
      <c r="H3053" s="19"/>
      <c r="I3053" s="19"/>
      <c r="J3053" s="19"/>
      <c r="K3053" s="19"/>
      <c r="L3053" s="19"/>
      <c r="M3053" s="19"/>
      <c r="N3053" s="19"/>
      <c r="O3053" s="14" t="str">
        <f>HYPERLINK("https://otsuka-europe-crm.veevavault.com/ui/#object/email_activity__v/V8C00000003S012", "EN-002092853")</f>
        <v>EN-002092853</v>
      </c>
    </row>
    <row r="3054" spans="1:15" ht="32" x14ac:dyDescent="0.2">
      <c r="A3054" s="7" t="str">
        <f>HYPERLINK("https://otsuka-europe-crm.veevavault.com/ui/#object/account__v/V4TZ06G6O71SB6T", "ANNAMARIA LAX")</f>
        <v>ANNAMARIA LAX</v>
      </c>
      <c r="B3054" s="7" t="str">
        <f>HYPERLINK("https://otsuka-europe-crm.veevavault.com/ui/#object/vcountry__v/VENZ000004SONFQ", "IT")</f>
        <v>IT</v>
      </c>
      <c r="C3054" s="8" t="s">
        <v>44</v>
      </c>
      <c r="D3054" s="9" t="str">
        <f>HYPERLINK("https://otsuka-europe-crm.veevavault.com/ui/#object/approved_document__v/V5O000000018003", "AE dialoghi di tempo fiducia e cura episodi 2-3-4")</f>
        <v>AE dialoghi di tempo fiducia e cura episodi 2-3-4</v>
      </c>
      <c r="E3054" s="10" t="str">
        <f>HYPERLINK("https://otsuka-europe-crm.veevavault.com/ui/#object/sent_email__v/VBL00000002O582", "SE-001432253")</f>
        <v>SE-001432253</v>
      </c>
      <c r="F3054" s="11"/>
      <c r="G3054" s="12">
        <v>0</v>
      </c>
      <c r="H3054" s="12">
        <v>0</v>
      </c>
      <c r="I3054" s="12">
        <v>0</v>
      </c>
      <c r="J3054" s="11"/>
      <c r="K3054" s="12">
        <v>0</v>
      </c>
      <c r="L3054" s="10" t="str">
        <f>HYPERLINK("https://otsuka-europe-crm.veevavault.com/ui/#object/approved_document__v/V5O000000018003", "AE dialoghi di tempo fiducia e cura episodi 2-3-4")</f>
        <v>AE dialoghi di tempo fiducia e cura episodi 2-3-4</v>
      </c>
      <c r="M3054" s="10" t="str">
        <f>HYPERLINK("mailto:nicoletta.vozza@crm.otsuka-europe.com", "nicoletta.vozza@crm.otsuka-europe.com")</f>
        <v>nicoletta.vozza@crm.otsuka-europe.com</v>
      </c>
      <c r="N3054" s="13">
        <v>46181.338020833333</v>
      </c>
      <c r="O3054" s="14" t="str">
        <f>HYPERLINK("https://otsuka-europe-crm.veevavault.com/ui/#object/email_activity__v/V8C00000003P364", "EN-002090370")</f>
        <v>EN-002090370</v>
      </c>
    </row>
    <row r="3055" spans="1:15" ht="16" x14ac:dyDescent="0.2">
      <c r="A3055" s="17" t="str">
        <f>HYPERLINK("https://otsuka-europe-crm.veevavault.com/ui/#object/account__v/V4TZ06G6O71S9KD", "ANNAMARIA MIRIAM STRANGIO")</f>
        <v>ANNAMARIA MIRIAM STRANGIO</v>
      </c>
      <c r="B3055" s="17" t="str">
        <f>HYPERLINK("https://otsuka-europe-crm.veevavault.com/ui/#object/vcountry__v/VENZ000004SONFQ", "IT")</f>
        <v>IT</v>
      </c>
      <c r="C3055" s="20" t="s">
        <v>44</v>
      </c>
      <c r="D3055" s="21" t="str">
        <f>HYPERLINK("https://otsuka-europe-crm.veevavault.com/ui/#object/approved_document__v/V5O000000018003", "AE dialoghi di tempo fiducia e cura episodi 2-3-4")</f>
        <v>AE dialoghi di tempo fiducia e cura episodi 2-3-4</v>
      </c>
      <c r="E3055" s="22" t="str">
        <f>HYPERLINK("https://otsuka-europe-crm.veevavault.com/ui/#object/sent_email__v/VBL00000002O583", "SE-001432254")</f>
        <v>SE-001432254</v>
      </c>
      <c r="F3055" s="23">
        <v>46204.324930555558</v>
      </c>
      <c r="G3055" s="24">
        <v>1</v>
      </c>
      <c r="H3055" s="24">
        <v>2</v>
      </c>
      <c r="I3055" s="24">
        <v>0</v>
      </c>
      <c r="J3055" s="25"/>
      <c r="K3055" s="24">
        <v>0</v>
      </c>
      <c r="L3055" s="22" t="str">
        <f>HYPERLINK("https://otsuka-europe-crm.veevavault.com/ui/#object/approved_document__v/V5O000000018003", "AE dialoghi di tempo fiducia e cura episodi 2-3-4")</f>
        <v>AE dialoghi di tempo fiducia e cura episodi 2-3-4</v>
      </c>
      <c r="M3055" s="22" t="str">
        <f>HYPERLINK("mailto:nicoletta.vozza@crm.otsuka-europe.com", "nicoletta.vozza@crm.otsuka-europe.com")</f>
        <v>nicoletta.vozza@crm.otsuka-europe.com</v>
      </c>
      <c r="N3055" s="23">
        <v>46181.338020833333</v>
      </c>
      <c r="O3055" s="14" t="str">
        <f>HYPERLINK("https://otsuka-europe-crm.veevavault.com/ui/#object/email_activity__v/V8C00000003P686", "EN-002090941")</f>
        <v>EN-002090941</v>
      </c>
    </row>
    <row r="3056" spans="1:15" ht="16" x14ac:dyDescent="0.2">
      <c r="A3056" s="18"/>
      <c r="B3056" s="18"/>
      <c r="C3056" s="18"/>
      <c r="D3056" s="18"/>
      <c r="E3056" s="18"/>
      <c r="F3056" s="18"/>
      <c r="G3056" s="18"/>
      <c r="H3056" s="18"/>
      <c r="I3056" s="18"/>
      <c r="J3056" s="18"/>
      <c r="K3056" s="18"/>
      <c r="L3056" s="18"/>
      <c r="M3056" s="18"/>
      <c r="N3056" s="18"/>
      <c r="O3056" s="14" t="str">
        <f>HYPERLINK("https://otsuka-europe-crm.veevavault.com/ui/#object/email_activity__v/V8C00000003Q288", "EN-002091416")</f>
        <v>EN-002091416</v>
      </c>
    </row>
    <row r="3057" spans="1:15" ht="16" x14ac:dyDescent="0.2">
      <c r="A3057" s="19"/>
      <c r="B3057" s="19"/>
      <c r="C3057" s="19"/>
      <c r="D3057" s="19"/>
      <c r="E3057" s="19"/>
      <c r="F3057" s="19"/>
      <c r="G3057" s="19"/>
      <c r="H3057" s="19"/>
      <c r="I3057" s="19"/>
      <c r="J3057" s="19"/>
      <c r="K3057" s="19"/>
      <c r="L3057" s="19"/>
      <c r="M3057" s="19"/>
      <c r="N3057" s="19"/>
      <c r="O3057" s="14" t="str">
        <f>HYPERLINK("https://otsuka-europe-crm.veevavault.com/ui/#object/email_activity__v/V8C000000042795", "EN-002101217")</f>
        <v>EN-002101217</v>
      </c>
    </row>
    <row r="3058" spans="1:15" ht="32" x14ac:dyDescent="0.2">
      <c r="A3058" s="7" t="str">
        <f>HYPERLINK("https://otsuka-europe-crm.veevavault.com/ui/#object/account__v/V4TZ04ASGAZXHVQ", "ANNAMARIA SCHEPIS")</f>
        <v>ANNAMARIA SCHEPIS</v>
      </c>
      <c r="B3058" s="7" t="str">
        <f t="shared" ref="B3058:B3064" si="100">HYPERLINK("https://otsuka-europe-crm.veevavault.com/ui/#object/vcountry__v/VENZ000004SONFQ", "IT")</f>
        <v>IT</v>
      </c>
      <c r="C3058" s="8" t="s">
        <v>44</v>
      </c>
      <c r="D3058" s="9" t="str">
        <f t="shared" ref="D3058:D3064" si="101">HYPERLINK("https://otsuka-europe-crm.veevavault.com/ui/#object/approved_document__v/V5O000000018003", "AE dialoghi di tempo fiducia e cura episodi 2-3-4")</f>
        <v>AE dialoghi di tempo fiducia e cura episodi 2-3-4</v>
      </c>
      <c r="E3058" s="10" t="str">
        <f>HYPERLINK("https://otsuka-europe-crm.veevavault.com/ui/#object/sent_email__v/VBL00000002O584", "SE-001432255")</f>
        <v>SE-001432255</v>
      </c>
      <c r="F3058" s="11"/>
      <c r="G3058" s="12">
        <v>0</v>
      </c>
      <c r="H3058" s="12">
        <v>0</v>
      </c>
      <c r="I3058" s="12">
        <v>0</v>
      </c>
      <c r="J3058" s="11"/>
      <c r="K3058" s="12">
        <v>0</v>
      </c>
      <c r="L3058" s="10" t="str">
        <f t="shared" ref="L3058:L3064" si="102">HYPERLINK("https://otsuka-europe-crm.veevavault.com/ui/#object/approved_document__v/V5O000000018003", "AE dialoghi di tempo fiducia e cura episodi 2-3-4")</f>
        <v>AE dialoghi di tempo fiducia e cura episodi 2-3-4</v>
      </c>
      <c r="M3058" s="10" t="str">
        <f t="shared" ref="M3058:M3064" si="103">HYPERLINK("mailto:nicoletta.vozza@crm.otsuka-europe.com", "nicoletta.vozza@crm.otsuka-europe.com")</f>
        <v>nicoletta.vozza@crm.otsuka-europe.com</v>
      </c>
      <c r="N3058" s="13">
        <v>46181.338009259256</v>
      </c>
      <c r="O3058" s="14" t="str">
        <f>HYPERLINK("https://otsuka-europe-crm.veevavault.com/ui/#object/email_activity__v/V8C00000003O936", "EN-002090596")</f>
        <v>EN-002090596</v>
      </c>
    </row>
    <row r="3059" spans="1:15" ht="32" x14ac:dyDescent="0.2">
      <c r="A3059" s="7" t="str">
        <f>HYPERLINK("https://otsuka-europe-crm.veevavault.com/ui/#object/account__v/V4TZ04ASGB4LWSO", "ANNAROSA BOMBI")</f>
        <v>ANNAROSA BOMBI</v>
      </c>
      <c r="B3059" s="7" t="str">
        <f t="shared" si="100"/>
        <v>IT</v>
      </c>
      <c r="C3059" s="8" t="s">
        <v>44</v>
      </c>
      <c r="D3059" s="9" t="str">
        <f t="shared" si="101"/>
        <v>AE dialoghi di tempo fiducia e cura episodi 2-3-4</v>
      </c>
      <c r="E3059" s="10" t="str">
        <f>HYPERLINK("https://otsuka-europe-crm.veevavault.com/ui/#object/sent_email__v/VBL00000002O585", "SE-001432256")</f>
        <v>SE-001432256</v>
      </c>
      <c r="F3059" s="11"/>
      <c r="G3059" s="12">
        <v>0</v>
      </c>
      <c r="H3059" s="12">
        <v>0</v>
      </c>
      <c r="I3059" s="12">
        <v>0</v>
      </c>
      <c r="J3059" s="11"/>
      <c r="K3059" s="12">
        <v>0</v>
      </c>
      <c r="L3059" s="10" t="str">
        <f t="shared" si="102"/>
        <v>AE dialoghi di tempo fiducia e cura episodi 2-3-4</v>
      </c>
      <c r="M3059" s="10" t="str">
        <f t="shared" si="103"/>
        <v>nicoletta.vozza@crm.otsuka-europe.com</v>
      </c>
      <c r="N3059" s="13">
        <v>46181.338020833333</v>
      </c>
      <c r="O3059" s="14" t="str">
        <f>HYPERLINK("https://otsuka-europe-crm.veevavault.com/ui/#object/email_activity__v/V8C00000003P724", "EN-002090979")</f>
        <v>EN-002090979</v>
      </c>
    </row>
    <row r="3060" spans="1:15" ht="32" x14ac:dyDescent="0.2">
      <c r="A3060" s="7" t="str">
        <f>HYPERLINK("https://otsuka-europe-crm.veevavault.com/ui/#object/account__v/V4TZ06G6O71SBC4", "ANNAROSA MANGIONE")</f>
        <v>ANNAROSA MANGIONE</v>
      </c>
      <c r="B3060" s="7" t="str">
        <f t="shared" si="100"/>
        <v>IT</v>
      </c>
      <c r="C3060" s="8" t="s">
        <v>44</v>
      </c>
      <c r="D3060" s="9" t="str">
        <f t="shared" si="101"/>
        <v>AE dialoghi di tempo fiducia e cura episodi 2-3-4</v>
      </c>
      <c r="E3060" s="10" t="str">
        <f>HYPERLINK("https://otsuka-europe-crm.veevavault.com/ui/#object/sent_email__v/VBL00000002O586", "SE-001432257")</f>
        <v>SE-001432257</v>
      </c>
      <c r="F3060" s="11"/>
      <c r="G3060" s="12">
        <v>0</v>
      </c>
      <c r="H3060" s="12">
        <v>0</v>
      </c>
      <c r="I3060" s="12">
        <v>0</v>
      </c>
      <c r="J3060" s="11"/>
      <c r="K3060" s="12">
        <v>0</v>
      </c>
      <c r="L3060" s="10" t="str">
        <f t="shared" si="102"/>
        <v>AE dialoghi di tempo fiducia e cura episodi 2-3-4</v>
      </c>
      <c r="M3060" s="10" t="str">
        <f t="shared" si="103"/>
        <v>nicoletta.vozza@crm.otsuka-europe.com</v>
      </c>
      <c r="N3060" s="13">
        <v>46181.338009259256</v>
      </c>
      <c r="O3060" s="14" t="str">
        <f>HYPERLINK("https://otsuka-europe-crm.veevavault.com/ui/#object/email_activity__v/V8C00000003P574", "EN-002090829")</f>
        <v>EN-002090829</v>
      </c>
    </row>
    <row r="3061" spans="1:15" ht="32" x14ac:dyDescent="0.2">
      <c r="A3061" s="7" t="str">
        <f>HYPERLINK("https://otsuka-europe-crm.veevavault.com/ui/#object/account__v/V4TZ06G6O71SB7K", "ANNE KATHRIN LOESER")</f>
        <v>ANNE KATHRIN LOESER</v>
      </c>
      <c r="B3061" s="7" t="str">
        <f t="shared" si="100"/>
        <v>IT</v>
      </c>
      <c r="C3061" s="8" t="s">
        <v>44</v>
      </c>
      <c r="D3061" s="9" t="str">
        <f t="shared" si="101"/>
        <v>AE dialoghi di tempo fiducia e cura episodi 2-3-4</v>
      </c>
      <c r="E3061" s="10" t="str">
        <f>HYPERLINK("https://otsuka-europe-crm.veevavault.com/ui/#object/sent_email__v/VBL00000002O587", "SE-001432258")</f>
        <v>SE-001432258</v>
      </c>
      <c r="F3061" s="11"/>
      <c r="G3061" s="12">
        <v>0</v>
      </c>
      <c r="H3061" s="12">
        <v>0</v>
      </c>
      <c r="I3061" s="12">
        <v>0</v>
      </c>
      <c r="J3061" s="11"/>
      <c r="K3061" s="12">
        <v>0</v>
      </c>
      <c r="L3061" s="10" t="str">
        <f t="shared" si="102"/>
        <v>AE dialoghi di tempo fiducia e cura episodi 2-3-4</v>
      </c>
      <c r="M3061" s="10" t="str">
        <f t="shared" si="103"/>
        <v>nicoletta.vozza@crm.otsuka-europe.com</v>
      </c>
      <c r="N3061" s="13">
        <v>46181.33798611111</v>
      </c>
      <c r="O3061" s="14" t="str">
        <f>HYPERLINK("https://otsuka-europe-crm.veevavault.com/ui/#object/email_activity__v/V8C00000003P321", "EN-002090327")</f>
        <v>EN-002090327</v>
      </c>
    </row>
    <row r="3062" spans="1:15" ht="32" x14ac:dyDescent="0.2">
      <c r="A3062" s="7" t="str">
        <f>HYPERLINK("https://otsuka-europe-crm.veevavault.com/ui/#object/account__v/V4TZ06G6O71TFOC", "ANNUNZIATA MENNELLA")</f>
        <v>ANNUNZIATA MENNELLA</v>
      </c>
      <c r="B3062" s="7" t="str">
        <f t="shared" si="100"/>
        <v>IT</v>
      </c>
      <c r="C3062" s="8" t="s">
        <v>44</v>
      </c>
      <c r="D3062" s="9" t="str">
        <f t="shared" si="101"/>
        <v>AE dialoghi di tempo fiducia e cura episodi 2-3-4</v>
      </c>
      <c r="E3062" s="10" t="str">
        <f>HYPERLINK("https://otsuka-europe-crm.veevavault.com/ui/#object/sent_email__v/VBL00000002O588", "SE-001432259")</f>
        <v>SE-001432259</v>
      </c>
      <c r="F3062" s="11"/>
      <c r="G3062" s="12">
        <v>0</v>
      </c>
      <c r="H3062" s="12">
        <v>0</v>
      </c>
      <c r="I3062" s="12">
        <v>0</v>
      </c>
      <c r="J3062" s="11"/>
      <c r="K3062" s="12">
        <v>0</v>
      </c>
      <c r="L3062" s="10" t="str">
        <f t="shared" si="102"/>
        <v>AE dialoghi di tempo fiducia e cura episodi 2-3-4</v>
      </c>
      <c r="M3062" s="10" t="str">
        <f t="shared" si="103"/>
        <v>nicoletta.vozza@crm.otsuka-europe.com</v>
      </c>
      <c r="N3062" s="13">
        <v>46181.338009259256</v>
      </c>
      <c r="O3062" s="14" t="str">
        <f>HYPERLINK("https://otsuka-europe-crm.veevavault.com/ui/#object/email_activity__v/V8C00000003P454", "EN-002090690")</f>
        <v>EN-002090690</v>
      </c>
    </row>
    <row r="3063" spans="1:15" ht="32" x14ac:dyDescent="0.2">
      <c r="A3063" s="7" t="str">
        <f>HYPERLINK("https://otsuka-europe-crm.veevavault.com/ui/#object/account__v/V4TZ06G6O71S9XE", "ANTONELLA AMATO DE SERPIS")</f>
        <v>ANTONELLA AMATO DE SERPIS</v>
      </c>
      <c r="B3063" s="7" t="str">
        <f t="shared" si="100"/>
        <v>IT</v>
      </c>
      <c r="C3063" s="8" t="s">
        <v>44</v>
      </c>
      <c r="D3063" s="9" t="str">
        <f t="shared" si="101"/>
        <v>AE dialoghi di tempo fiducia e cura episodi 2-3-4</v>
      </c>
      <c r="E3063" s="10" t="str">
        <f>HYPERLINK("https://otsuka-europe-crm.veevavault.com/ui/#object/sent_email__v/VBL00000002O589", "SE-001432260")</f>
        <v>SE-001432260</v>
      </c>
      <c r="F3063" s="11"/>
      <c r="G3063" s="12">
        <v>0</v>
      </c>
      <c r="H3063" s="12">
        <v>0</v>
      </c>
      <c r="I3063" s="12">
        <v>0</v>
      </c>
      <c r="J3063" s="11"/>
      <c r="K3063" s="12">
        <v>0</v>
      </c>
      <c r="L3063" s="10" t="str">
        <f t="shared" si="102"/>
        <v>AE dialoghi di tempo fiducia e cura episodi 2-3-4</v>
      </c>
      <c r="M3063" s="10" t="str">
        <f t="shared" si="103"/>
        <v>nicoletta.vozza@crm.otsuka-europe.com</v>
      </c>
      <c r="N3063" s="13">
        <v>46181.337997685187</v>
      </c>
      <c r="O3063" s="14" t="str">
        <f>HYPERLINK("https://otsuka-europe-crm.veevavault.com/ui/#object/email_activity__v/V8C00000003O939", "EN-002090599")</f>
        <v>EN-002090599</v>
      </c>
    </row>
    <row r="3064" spans="1:15" ht="16" x14ac:dyDescent="0.2">
      <c r="A3064" s="17" t="str">
        <f>HYPERLINK("https://otsuka-europe-crm.veevavault.com/ui/#object/account__v/V4TZ06G6O71TFPP", "ANTONELLA AMODIO")</f>
        <v>ANTONELLA AMODIO</v>
      </c>
      <c r="B3064" s="17" t="str">
        <f t="shared" si="100"/>
        <v>IT</v>
      </c>
      <c r="C3064" s="20" t="s">
        <v>44</v>
      </c>
      <c r="D3064" s="21" t="str">
        <f t="shared" si="101"/>
        <v>AE dialoghi di tempo fiducia e cura episodi 2-3-4</v>
      </c>
      <c r="E3064" s="22" t="str">
        <f>HYPERLINK("https://otsuka-europe-crm.veevavault.com/ui/#object/sent_email__v/VBL00000002O590", "SE-001432261")</f>
        <v>SE-001432261</v>
      </c>
      <c r="F3064" s="23">
        <v>46182.34584490741</v>
      </c>
      <c r="G3064" s="24">
        <v>1</v>
      </c>
      <c r="H3064" s="24">
        <v>1</v>
      </c>
      <c r="I3064" s="24">
        <v>0</v>
      </c>
      <c r="J3064" s="25"/>
      <c r="K3064" s="24">
        <v>0</v>
      </c>
      <c r="L3064" s="22" t="str">
        <f t="shared" si="102"/>
        <v>AE dialoghi di tempo fiducia e cura episodi 2-3-4</v>
      </c>
      <c r="M3064" s="22" t="str">
        <f t="shared" si="103"/>
        <v>nicoletta.vozza@crm.otsuka-europe.com</v>
      </c>
      <c r="N3064" s="23">
        <v>46181.338090277779</v>
      </c>
      <c r="O3064" s="14" t="str">
        <f>HYPERLINK("https://otsuka-europe-crm.veevavault.com/ui/#object/email_activity__v/V8C00000003P474", "EN-002090659")</f>
        <v>EN-002090659</v>
      </c>
    </row>
    <row r="3065" spans="1:15" ht="16" x14ac:dyDescent="0.2">
      <c r="A3065" s="19"/>
      <c r="B3065" s="19"/>
      <c r="C3065" s="19"/>
      <c r="D3065" s="19"/>
      <c r="E3065" s="19"/>
      <c r="F3065" s="19"/>
      <c r="G3065" s="19"/>
      <c r="H3065" s="19"/>
      <c r="I3065" s="19"/>
      <c r="J3065" s="19"/>
      <c r="K3065" s="19"/>
      <c r="L3065" s="19"/>
      <c r="M3065" s="19"/>
      <c r="N3065" s="19"/>
      <c r="O3065" s="14" t="str">
        <f>HYPERLINK("https://otsuka-europe-crm.veevavault.com/ui/#object/email_activity__v/V8C00000003R342", "EN-002092335")</f>
        <v>EN-002092335</v>
      </c>
    </row>
    <row r="3066" spans="1:15" ht="32" x14ac:dyDescent="0.2">
      <c r="A3066" s="7" t="str">
        <f>HYPERLINK("https://otsuka-europe-crm.veevavault.com/ui/#object/account__v/V4TZ06G6O71SA2F", "ANTONELLA BARLOCCO")</f>
        <v>ANTONELLA BARLOCCO</v>
      </c>
      <c r="B3066" s="7" t="str">
        <f>HYPERLINK("https://otsuka-europe-crm.veevavault.com/ui/#object/vcountry__v/VENZ000004SONFQ", "IT")</f>
        <v>IT</v>
      </c>
      <c r="C3066" s="8" t="s">
        <v>44</v>
      </c>
      <c r="D3066" s="9" t="str">
        <f>HYPERLINK("https://otsuka-europe-crm.veevavault.com/ui/#object/approved_document__v/V5O000000018003", "AE dialoghi di tempo fiducia e cura episodi 2-3-4")</f>
        <v>AE dialoghi di tempo fiducia e cura episodi 2-3-4</v>
      </c>
      <c r="E3066" s="10" t="str">
        <f>HYPERLINK("https://otsuka-europe-crm.veevavault.com/ui/#object/sent_email__v/VBL00000002O591", "SE-001432262")</f>
        <v>SE-001432262</v>
      </c>
      <c r="F3066" s="11"/>
      <c r="G3066" s="12">
        <v>0</v>
      </c>
      <c r="H3066" s="12">
        <v>0</v>
      </c>
      <c r="I3066" s="12">
        <v>0</v>
      </c>
      <c r="J3066" s="11"/>
      <c r="K3066" s="12">
        <v>0</v>
      </c>
      <c r="L3066" s="10" t="str">
        <f>HYPERLINK("https://otsuka-europe-crm.veevavault.com/ui/#object/approved_document__v/V5O000000018003", "AE dialoghi di tempo fiducia e cura episodi 2-3-4")</f>
        <v>AE dialoghi di tempo fiducia e cura episodi 2-3-4</v>
      </c>
      <c r="M3066" s="10" t="str">
        <f>HYPERLINK("mailto:nicoletta.vozza@crm.otsuka-europe.com", "nicoletta.vozza@crm.otsuka-europe.com")</f>
        <v>nicoletta.vozza@crm.otsuka-europe.com</v>
      </c>
      <c r="N3066" s="13">
        <v>46181.338009259256</v>
      </c>
      <c r="O3066" s="14" t="str">
        <f>HYPERLINK("https://otsuka-europe-crm.veevavault.com/ui/#object/email_activity__v/V8C00000003O707", "EN-002090263")</f>
        <v>EN-002090263</v>
      </c>
    </row>
    <row r="3067" spans="1:15" ht="32" x14ac:dyDescent="0.2">
      <c r="A3067" s="7" t="str">
        <f>HYPERLINK("https://otsuka-europe-crm.veevavault.com/ui/#object/account__v/V4TZ06G6O71SB0U", "ANTONELLA CASTALDO")</f>
        <v>ANTONELLA CASTALDO</v>
      </c>
      <c r="B3067" s="7" t="str">
        <f>HYPERLINK("https://otsuka-europe-crm.veevavault.com/ui/#object/vcountry__v/VENZ000004SONFQ", "IT")</f>
        <v>IT</v>
      </c>
      <c r="C3067" s="8" t="s">
        <v>44</v>
      </c>
      <c r="D3067" s="9" t="str">
        <f>HYPERLINK("https://otsuka-europe-crm.veevavault.com/ui/#object/approved_document__v/V5O000000018003", "AE dialoghi di tempo fiducia e cura episodi 2-3-4")</f>
        <v>AE dialoghi di tempo fiducia e cura episodi 2-3-4</v>
      </c>
      <c r="E3067" s="10" t="str">
        <f>HYPERLINK("https://otsuka-europe-crm.veevavault.com/ui/#object/sent_email__v/VBL00000002O592", "SE-001432263")</f>
        <v>SE-001432263</v>
      </c>
      <c r="F3067" s="11"/>
      <c r="G3067" s="12">
        <v>0</v>
      </c>
      <c r="H3067" s="12">
        <v>0</v>
      </c>
      <c r="I3067" s="12">
        <v>0</v>
      </c>
      <c r="J3067" s="11"/>
      <c r="K3067" s="12">
        <v>0</v>
      </c>
      <c r="L3067" s="10" t="str">
        <f>HYPERLINK("https://otsuka-europe-crm.veevavault.com/ui/#object/approved_document__v/V5O000000018003", "AE dialoghi di tempo fiducia e cura episodi 2-3-4")</f>
        <v>AE dialoghi di tempo fiducia e cura episodi 2-3-4</v>
      </c>
      <c r="M3067" s="10" t="str">
        <f>HYPERLINK("mailto:nicoletta.vozza@crm.otsuka-europe.com", "nicoletta.vozza@crm.otsuka-europe.com")</f>
        <v>nicoletta.vozza@crm.otsuka-europe.com</v>
      </c>
      <c r="N3067" s="13">
        <v>46181.33798611111</v>
      </c>
      <c r="O3067" s="14" t="str">
        <f>HYPERLINK("https://otsuka-europe-crm.veevavault.com/ui/#object/email_activity__v/V8C00000003O422", "EN-002089978")</f>
        <v>EN-002089978</v>
      </c>
    </row>
    <row r="3068" spans="1:15" ht="32" x14ac:dyDescent="0.2">
      <c r="A3068" s="7" t="str">
        <f>HYPERLINK("https://otsuka-europe-crm.veevavault.com/ui/#object/account__v/V4TZ06G6O71SAGU", "ANTONELLA DI PIETRO")</f>
        <v>ANTONELLA DI PIETRO</v>
      </c>
      <c r="B3068" s="7" t="str">
        <f>HYPERLINK("https://otsuka-europe-crm.veevavault.com/ui/#object/vcountry__v/VENZ000004SONFQ", "IT")</f>
        <v>IT</v>
      </c>
      <c r="C3068" s="8" t="s">
        <v>44</v>
      </c>
      <c r="D3068" s="9" t="str">
        <f>HYPERLINK("https://otsuka-europe-crm.veevavault.com/ui/#object/approved_document__v/V5O000000018003", "AE dialoghi di tempo fiducia e cura episodi 2-3-4")</f>
        <v>AE dialoghi di tempo fiducia e cura episodi 2-3-4</v>
      </c>
      <c r="E3068" s="10" t="str">
        <f>HYPERLINK("https://otsuka-europe-crm.veevavault.com/ui/#object/sent_email__v/VBL00000002O593", "SE-001432264")</f>
        <v>SE-001432264</v>
      </c>
      <c r="F3068" s="11"/>
      <c r="G3068" s="12">
        <v>0</v>
      </c>
      <c r="H3068" s="12">
        <v>0</v>
      </c>
      <c r="I3068" s="12">
        <v>0</v>
      </c>
      <c r="J3068" s="11"/>
      <c r="K3068" s="12">
        <v>0</v>
      </c>
      <c r="L3068" s="10" t="str">
        <f>HYPERLINK("https://otsuka-europe-crm.veevavault.com/ui/#object/approved_document__v/V5O000000018003", "AE dialoghi di tempo fiducia e cura episodi 2-3-4")</f>
        <v>AE dialoghi di tempo fiducia e cura episodi 2-3-4</v>
      </c>
      <c r="M3068" s="10" t="str">
        <f>HYPERLINK("mailto:nicoletta.vozza@crm.otsuka-europe.com", "nicoletta.vozza@crm.otsuka-europe.com")</f>
        <v>nicoletta.vozza@crm.otsuka-europe.com</v>
      </c>
      <c r="N3068" s="13">
        <v>46181.33803240741</v>
      </c>
      <c r="O3068" s="14" t="str">
        <f>HYPERLINK("https://otsuka-europe-crm.veevavault.com/ui/#object/email_activity__v/V8C00000003O447", "EN-002090003")</f>
        <v>EN-002090003</v>
      </c>
    </row>
    <row r="3069" spans="1:15" ht="16" x14ac:dyDescent="0.2">
      <c r="A3069" s="17" t="str">
        <f>HYPERLINK("https://otsuka-europe-crm.veevavault.com/ui/#object/account__v/V4TZ06G6OBS5G13", "ANTONELLA DIDONNA")</f>
        <v>ANTONELLA DIDONNA</v>
      </c>
      <c r="B3069" s="17" t="str">
        <f>HYPERLINK("https://otsuka-europe-crm.veevavault.com/ui/#object/vcountry__v/VENZ000004SONFQ", "IT")</f>
        <v>IT</v>
      </c>
      <c r="C3069" s="20" t="s">
        <v>44</v>
      </c>
      <c r="D3069" s="21" t="str">
        <f>HYPERLINK("https://otsuka-europe-crm.veevavault.com/ui/#object/approved_document__v/V5O000000018003", "AE dialoghi di tempo fiducia e cura episodi 2-3-4")</f>
        <v>AE dialoghi di tempo fiducia e cura episodi 2-3-4</v>
      </c>
      <c r="E3069" s="22" t="str">
        <f>HYPERLINK("https://otsuka-europe-crm.veevavault.com/ui/#object/sent_email__v/VBL00000002O594", "SE-001432265")</f>
        <v>SE-001432265</v>
      </c>
      <c r="F3069" s="25"/>
      <c r="G3069" s="24">
        <v>0</v>
      </c>
      <c r="H3069" s="24">
        <v>0</v>
      </c>
      <c r="I3069" s="24">
        <v>1</v>
      </c>
      <c r="J3069" s="23">
        <v>46181.764398148145</v>
      </c>
      <c r="K3069" s="24">
        <v>1</v>
      </c>
      <c r="L3069" s="22" t="str">
        <f>HYPERLINK("https://otsuka-europe-crm.veevavault.com/ui/#object/approved_document__v/V5O000000018003", "AE dialoghi di tempo fiducia e cura episodi 2-3-4")</f>
        <v>AE dialoghi di tempo fiducia e cura episodi 2-3-4</v>
      </c>
      <c r="M3069" s="22" t="str">
        <f>HYPERLINK("mailto:nicoletta.vozza@crm.otsuka-europe.com", "nicoletta.vozza@crm.otsuka-europe.com")</f>
        <v>nicoletta.vozza@crm.otsuka-europe.com</v>
      </c>
      <c r="N3069" s="23">
        <v>46181.338148148148</v>
      </c>
      <c r="O3069" s="14" t="str">
        <f>HYPERLINK("https://otsuka-europe-crm.veevavault.com/ui/#object/email_activity__v/V8C00000003Q158", "EN-002091244")</f>
        <v>EN-002091244</v>
      </c>
    </row>
    <row r="3070" spans="1:15" ht="16" x14ac:dyDescent="0.2">
      <c r="A3070" s="18"/>
      <c r="B3070" s="18"/>
      <c r="C3070" s="18"/>
      <c r="D3070" s="18"/>
      <c r="E3070" s="18"/>
      <c r="F3070" s="18"/>
      <c r="G3070" s="18"/>
      <c r="H3070" s="18"/>
      <c r="I3070" s="18"/>
      <c r="J3070" s="18"/>
      <c r="K3070" s="18"/>
      <c r="L3070" s="18"/>
      <c r="M3070" s="18"/>
      <c r="N3070" s="18"/>
      <c r="O3070" s="14" t="str">
        <f>HYPERLINK("https://otsuka-europe-crm.veevavault.com/ui/#object/email_activity__v/V8C00000003Q669", "EN-002092182")</f>
        <v>EN-002092182</v>
      </c>
    </row>
    <row r="3071" spans="1:15" ht="16" x14ac:dyDescent="0.2">
      <c r="A3071" s="19"/>
      <c r="B3071" s="19"/>
      <c r="C3071" s="19"/>
      <c r="D3071" s="19"/>
      <c r="E3071" s="19"/>
      <c r="F3071" s="19"/>
      <c r="G3071" s="19"/>
      <c r="H3071" s="19"/>
      <c r="I3071" s="19"/>
      <c r="J3071" s="19"/>
      <c r="K3071" s="19"/>
      <c r="L3071" s="19"/>
      <c r="M3071" s="19"/>
      <c r="N3071" s="19"/>
      <c r="O3071" s="14" t="str">
        <f>HYPERLINK("https://otsuka-europe-crm.veevavault.com/ui/#object/email_activity__v/V8C00000003R275", "EN-002092181")</f>
        <v>EN-002092181</v>
      </c>
    </row>
    <row r="3072" spans="1:15" ht="32" x14ac:dyDescent="0.2">
      <c r="A3072" s="7" t="str">
        <f>HYPERLINK("https://otsuka-europe-crm.veevavault.com/ui/#object/account__v/V4TZ04ASG6LG7CZ", "ANTONELLA ELIA")</f>
        <v>ANTONELLA ELIA</v>
      </c>
      <c r="B3072" s="7" t="str">
        <f t="shared" ref="B3072:B3077" si="104">HYPERLINK("https://otsuka-europe-crm.veevavault.com/ui/#object/vcountry__v/VENZ000004SONFQ", "IT")</f>
        <v>IT</v>
      </c>
      <c r="C3072" s="8" t="s">
        <v>44</v>
      </c>
      <c r="D3072" s="9" t="str">
        <f t="shared" ref="D3072:D3077" si="105">HYPERLINK("https://otsuka-europe-crm.veevavault.com/ui/#object/approved_document__v/V5O000000018003", "AE dialoghi di tempo fiducia e cura episodi 2-3-4")</f>
        <v>AE dialoghi di tempo fiducia e cura episodi 2-3-4</v>
      </c>
      <c r="E3072" s="10" t="str">
        <f>HYPERLINK("https://otsuka-europe-crm.veevavault.com/ui/#object/sent_email__v/VBL00000002O595", "SE-001432266")</f>
        <v>SE-001432266</v>
      </c>
      <c r="F3072" s="11"/>
      <c r="G3072" s="12">
        <v>0</v>
      </c>
      <c r="H3072" s="12">
        <v>0</v>
      </c>
      <c r="I3072" s="12">
        <v>0</v>
      </c>
      <c r="J3072" s="11"/>
      <c r="K3072" s="12">
        <v>0</v>
      </c>
      <c r="L3072" s="10" t="str">
        <f t="shared" ref="L3072:L3077" si="106">HYPERLINK("https://otsuka-europe-crm.veevavault.com/ui/#object/approved_document__v/V5O000000018003", "AE dialoghi di tempo fiducia e cura episodi 2-3-4")</f>
        <v>AE dialoghi di tempo fiducia e cura episodi 2-3-4</v>
      </c>
      <c r="M3072" s="10" t="str">
        <f t="shared" ref="M3072:M3077" si="107">HYPERLINK("mailto:nicoletta.vozza@crm.otsuka-europe.com", "nicoletta.vozza@crm.otsuka-europe.com")</f>
        <v>nicoletta.vozza@crm.otsuka-europe.com</v>
      </c>
      <c r="N3072" s="13">
        <v>46181.338020833333</v>
      </c>
      <c r="O3072" s="14" t="str">
        <f>HYPERLINK("https://otsuka-europe-crm.veevavault.com/ui/#object/email_activity__v/V8C00000003P338", "EN-002090344")</f>
        <v>EN-002090344</v>
      </c>
    </row>
    <row r="3073" spans="1:15" ht="32" x14ac:dyDescent="0.2">
      <c r="A3073" s="7" t="str">
        <f>HYPERLINK("https://otsuka-europe-crm.veevavault.com/ui/#object/account__v/V4TZ06G6O71SAW0", "ANTONELLA GIUFFRIDA")</f>
        <v>ANTONELLA GIUFFRIDA</v>
      </c>
      <c r="B3073" s="7" t="str">
        <f t="shared" si="104"/>
        <v>IT</v>
      </c>
      <c r="C3073" s="8" t="s">
        <v>44</v>
      </c>
      <c r="D3073" s="9" t="str">
        <f t="shared" si="105"/>
        <v>AE dialoghi di tempo fiducia e cura episodi 2-3-4</v>
      </c>
      <c r="E3073" s="10" t="str">
        <f>HYPERLINK("https://otsuka-europe-crm.veevavault.com/ui/#object/sent_email__v/VBL00000002O596", "SE-001432267")</f>
        <v>SE-001432267</v>
      </c>
      <c r="F3073" s="11"/>
      <c r="G3073" s="12">
        <v>0</v>
      </c>
      <c r="H3073" s="12">
        <v>0</v>
      </c>
      <c r="I3073" s="12">
        <v>0</v>
      </c>
      <c r="J3073" s="11"/>
      <c r="K3073" s="12">
        <v>0</v>
      </c>
      <c r="L3073" s="10" t="str">
        <f t="shared" si="106"/>
        <v>AE dialoghi di tempo fiducia e cura episodi 2-3-4</v>
      </c>
      <c r="M3073" s="10" t="str">
        <f t="shared" si="107"/>
        <v>nicoletta.vozza@crm.otsuka-europe.com</v>
      </c>
      <c r="N3073" s="13">
        <v>46181.338067129633</v>
      </c>
      <c r="O3073" s="14" t="str">
        <f>HYPERLINK("https://otsuka-europe-crm.veevavault.com/ui/#object/email_activity__v/V8C00000003Q099", "EN-002091164")</f>
        <v>EN-002091164</v>
      </c>
    </row>
    <row r="3074" spans="1:15" ht="32" x14ac:dyDescent="0.2">
      <c r="A3074" s="7" t="str">
        <f>HYPERLINK("https://otsuka-europe-crm.veevavault.com/ui/#object/account__v/V4TZ025E884D4O9", "ANTONELLA MARIA PIA DE NOVELLIS")</f>
        <v>ANTONELLA MARIA PIA DE NOVELLIS</v>
      </c>
      <c r="B3074" s="7" t="str">
        <f t="shared" si="104"/>
        <v>IT</v>
      </c>
      <c r="C3074" s="8" t="s">
        <v>44</v>
      </c>
      <c r="D3074" s="9" t="str">
        <f t="shared" si="105"/>
        <v>AE dialoghi di tempo fiducia e cura episodi 2-3-4</v>
      </c>
      <c r="E3074" s="10" t="str">
        <f>HYPERLINK("https://otsuka-europe-crm.veevavault.com/ui/#object/sent_email__v/VBL00000002O597", "SE-001432268")</f>
        <v>SE-001432268</v>
      </c>
      <c r="F3074" s="11"/>
      <c r="G3074" s="12">
        <v>0</v>
      </c>
      <c r="H3074" s="12">
        <v>0</v>
      </c>
      <c r="I3074" s="12">
        <v>0</v>
      </c>
      <c r="J3074" s="11"/>
      <c r="K3074" s="12">
        <v>0</v>
      </c>
      <c r="L3074" s="10" t="str">
        <f t="shared" si="106"/>
        <v>AE dialoghi di tempo fiducia e cura episodi 2-3-4</v>
      </c>
      <c r="M3074" s="10" t="str">
        <f t="shared" si="107"/>
        <v>nicoletta.vozza@crm.otsuka-europe.com</v>
      </c>
      <c r="N3074" s="13">
        <v>46181.337997685187</v>
      </c>
      <c r="O3074" s="14" t="str">
        <f>HYPERLINK("https://otsuka-europe-crm.veevavault.com/ui/#object/email_activity__v/V8C00000003P624", "EN-002090879")</f>
        <v>EN-002090879</v>
      </c>
    </row>
    <row r="3075" spans="1:15" ht="32" x14ac:dyDescent="0.2">
      <c r="A3075" s="7" t="str">
        <f>HYPERLINK("https://otsuka-europe-crm.veevavault.com/ui/#object/account__v/V4TZ06G6O71SBL7", "ANTONELLA MAURO")</f>
        <v>ANTONELLA MAURO</v>
      </c>
      <c r="B3075" s="7" t="str">
        <f t="shared" si="104"/>
        <v>IT</v>
      </c>
      <c r="C3075" s="8" t="s">
        <v>44</v>
      </c>
      <c r="D3075" s="9" t="str">
        <f t="shared" si="105"/>
        <v>AE dialoghi di tempo fiducia e cura episodi 2-3-4</v>
      </c>
      <c r="E3075" s="10" t="str">
        <f>HYPERLINK("https://otsuka-europe-crm.veevavault.com/ui/#object/sent_email__v/VBL00000002O598", "SE-001432269")</f>
        <v>SE-001432269</v>
      </c>
      <c r="F3075" s="11"/>
      <c r="G3075" s="12">
        <v>0</v>
      </c>
      <c r="H3075" s="12">
        <v>0</v>
      </c>
      <c r="I3075" s="12">
        <v>0</v>
      </c>
      <c r="J3075" s="11"/>
      <c r="K3075" s="12">
        <v>0</v>
      </c>
      <c r="L3075" s="10" t="str">
        <f t="shared" si="106"/>
        <v>AE dialoghi di tempo fiducia e cura episodi 2-3-4</v>
      </c>
      <c r="M3075" s="10" t="str">
        <f t="shared" si="107"/>
        <v>nicoletta.vozza@crm.otsuka-europe.com</v>
      </c>
      <c r="N3075" s="13">
        <v>46181.337997685187</v>
      </c>
      <c r="O3075" s="14" t="str">
        <f>HYPERLINK("https://otsuka-europe-crm.veevavault.com/ui/#object/email_activity__v/V8C00000003P874", "EN-002091373")</f>
        <v>EN-002091373</v>
      </c>
    </row>
    <row r="3076" spans="1:15" ht="32" x14ac:dyDescent="0.2">
      <c r="A3076" s="7" t="str">
        <f>HYPERLINK("https://otsuka-europe-crm.veevavault.com/ui/#object/account__v/V4TZ06G6O71SBPM", "ANTONELLA OCONE")</f>
        <v>ANTONELLA OCONE</v>
      </c>
      <c r="B3076" s="7" t="str">
        <f t="shared" si="104"/>
        <v>IT</v>
      </c>
      <c r="C3076" s="8" t="s">
        <v>44</v>
      </c>
      <c r="D3076" s="9" t="str">
        <f t="shared" si="105"/>
        <v>AE dialoghi di tempo fiducia e cura episodi 2-3-4</v>
      </c>
      <c r="E3076" s="10" t="str">
        <f>HYPERLINK("https://otsuka-europe-crm.veevavault.com/ui/#object/sent_email__v/VBL00000002O599", "SE-001432270")</f>
        <v>SE-001432270</v>
      </c>
      <c r="F3076" s="11"/>
      <c r="G3076" s="12">
        <v>0</v>
      </c>
      <c r="H3076" s="12">
        <v>0</v>
      </c>
      <c r="I3076" s="12">
        <v>0</v>
      </c>
      <c r="J3076" s="11"/>
      <c r="K3076" s="12">
        <v>0</v>
      </c>
      <c r="L3076" s="10" t="str">
        <f t="shared" si="106"/>
        <v>AE dialoghi di tempo fiducia e cura episodi 2-3-4</v>
      </c>
      <c r="M3076" s="10" t="str">
        <f t="shared" si="107"/>
        <v>nicoletta.vozza@crm.otsuka-europe.com</v>
      </c>
      <c r="N3076" s="13">
        <v>46181.33797453704</v>
      </c>
      <c r="O3076" s="14" t="str">
        <f>HYPERLINK("https://otsuka-europe-crm.veevavault.com/ui/#object/email_activity__v/V8C00000003O608", "EN-002090164")</f>
        <v>EN-002090164</v>
      </c>
    </row>
    <row r="3077" spans="1:15" ht="16" x14ac:dyDescent="0.2">
      <c r="A3077" s="17" t="str">
        <f>HYPERLINK("https://otsuka-europe-crm.veevavault.com/ui/#object/account__v/V4TZ06G6O71SBRC", "ANTONELLA PERINI")</f>
        <v>ANTONELLA PERINI</v>
      </c>
      <c r="B3077" s="17" t="str">
        <f t="shared" si="104"/>
        <v>IT</v>
      </c>
      <c r="C3077" s="20" t="s">
        <v>44</v>
      </c>
      <c r="D3077" s="21" t="str">
        <f t="shared" si="105"/>
        <v>AE dialoghi di tempo fiducia e cura episodi 2-3-4</v>
      </c>
      <c r="E3077" s="22" t="str">
        <f>HYPERLINK("https://otsuka-europe-crm.veevavault.com/ui/#object/sent_email__v/VBL00000002O600", "SE-001432271")</f>
        <v>SE-001432271</v>
      </c>
      <c r="F3077" s="23">
        <v>46181.574675925927</v>
      </c>
      <c r="G3077" s="24">
        <v>1</v>
      </c>
      <c r="H3077" s="24">
        <v>2</v>
      </c>
      <c r="I3077" s="24">
        <v>0</v>
      </c>
      <c r="J3077" s="25"/>
      <c r="K3077" s="24">
        <v>0</v>
      </c>
      <c r="L3077" s="22" t="str">
        <f t="shared" si="106"/>
        <v>AE dialoghi di tempo fiducia e cura episodi 2-3-4</v>
      </c>
      <c r="M3077" s="22" t="str">
        <f t="shared" si="107"/>
        <v>nicoletta.vozza@crm.otsuka-europe.com</v>
      </c>
      <c r="N3077" s="23">
        <v>46181.338078703702</v>
      </c>
      <c r="O3077" s="14" t="str">
        <f>HYPERLINK("https://otsuka-europe-crm.veevavault.com/ui/#object/email_activity__v/V8C00000003Q109", "EN-002091174")</f>
        <v>EN-002091174</v>
      </c>
    </row>
    <row r="3078" spans="1:15" ht="16" x14ac:dyDescent="0.2">
      <c r="A3078" s="18"/>
      <c r="B3078" s="18"/>
      <c r="C3078" s="18"/>
      <c r="D3078" s="18"/>
      <c r="E3078" s="18"/>
      <c r="F3078" s="18"/>
      <c r="G3078" s="18"/>
      <c r="H3078" s="18"/>
      <c r="I3078" s="18"/>
      <c r="J3078" s="18"/>
      <c r="K3078" s="18"/>
      <c r="L3078" s="18"/>
      <c r="M3078" s="18"/>
      <c r="N3078" s="18"/>
      <c r="O3078" s="14" t="str">
        <f>HYPERLINK("https://otsuka-europe-crm.veevavault.com/ui/#object/email_activity__v/V8C00000003R157", "EN-002091977")</f>
        <v>EN-002091977</v>
      </c>
    </row>
    <row r="3079" spans="1:15" ht="16" x14ac:dyDescent="0.2">
      <c r="A3079" s="19"/>
      <c r="B3079" s="19"/>
      <c r="C3079" s="19"/>
      <c r="D3079" s="19"/>
      <c r="E3079" s="19"/>
      <c r="F3079" s="19"/>
      <c r="G3079" s="19"/>
      <c r="H3079" s="19"/>
      <c r="I3079" s="19"/>
      <c r="J3079" s="19"/>
      <c r="K3079" s="19"/>
      <c r="L3079" s="19"/>
      <c r="M3079" s="19"/>
      <c r="N3079" s="19"/>
      <c r="O3079" s="14" t="str">
        <f>HYPERLINK("https://otsuka-europe-crm.veevavault.com/ui/#object/email_activity__v/V8C00000003R158", "EN-002091978")</f>
        <v>EN-002091978</v>
      </c>
    </row>
    <row r="3080" spans="1:15" ht="32" x14ac:dyDescent="0.2">
      <c r="A3080" s="7" t="str">
        <f>HYPERLINK("https://otsuka-europe-crm.veevavault.com/ui/#object/account__v/V4TZ025E87O1G9Q", "ANTONELLA POTENZA")</f>
        <v>ANTONELLA POTENZA</v>
      </c>
      <c r="B3080" s="7" t="str">
        <f>HYPERLINK("https://otsuka-europe-crm.veevavault.com/ui/#object/vcountry__v/VENZ000004SONFQ", "IT")</f>
        <v>IT</v>
      </c>
      <c r="C3080" s="8" t="s">
        <v>44</v>
      </c>
      <c r="D3080" s="9" t="str">
        <f>HYPERLINK("https://otsuka-europe-crm.veevavault.com/ui/#object/approved_document__v/V5O000000018003", "AE dialoghi di tempo fiducia e cura episodi 2-3-4")</f>
        <v>AE dialoghi di tempo fiducia e cura episodi 2-3-4</v>
      </c>
      <c r="E3080" s="10" t="str">
        <f>HYPERLINK("https://otsuka-europe-crm.veevavault.com/ui/#object/sent_email__v/VBL00000002O601", "SE-001432272")</f>
        <v>SE-001432272</v>
      </c>
      <c r="F3080" s="11"/>
      <c r="G3080" s="12">
        <v>0</v>
      </c>
      <c r="H3080" s="12">
        <v>0</v>
      </c>
      <c r="I3080" s="12">
        <v>0</v>
      </c>
      <c r="J3080" s="11"/>
      <c r="K3080" s="12">
        <v>0</v>
      </c>
      <c r="L3080" s="10" t="str">
        <f>HYPERLINK("https://otsuka-europe-crm.veevavault.com/ui/#object/approved_document__v/V5O000000018003", "AE dialoghi di tempo fiducia e cura episodi 2-3-4")</f>
        <v>AE dialoghi di tempo fiducia e cura episodi 2-3-4</v>
      </c>
      <c r="M3080" s="10" t="str">
        <f>HYPERLINK("mailto:nicoletta.vozza@crm.otsuka-europe.com", "nicoletta.vozza@crm.otsuka-europe.com")</f>
        <v>nicoletta.vozza@crm.otsuka-europe.com</v>
      </c>
      <c r="N3080" s="13">
        <v>46181.33803240741</v>
      </c>
      <c r="O3080" s="14" t="str">
        <f>HYPERLINK("https://otsuka-europe-crm.veevavault.com/ui/#object/email_activity__v/V8C00000003O524", "EN-002090080")</f>
        <v>EN-002090080</v>
      </c>
    </row>
    <row r="3081" spans="1:15" ht="32" x14ac:dyDescent="0.2">
      <c r="A3081" s="7" t="str">
        <f>HYPERLINK("https://otsuka-europe-crm.veevavault.com/ui/#object/account__v/V4TZ06G6O71SC8A", "ANTONELLA ROSI")</f>
        <v>ANTONELLA ROSI</v>
      </c>
      <c r="B3081" s="7" t="str">
        <f>HYPERLINK("https://otsuka-europe-crm.veevavault.com/ui/#object/vcountry__v/VENZ000004SONFQ", "IT")</f>
        <v>IT</v>
      </c>
      <c r="C3081" s="8" t="s">
        <v>44</v>
      </c>
      <c r="D3081" s="9" t="str">
        <f>HYPERLINK("https://otsuka-europe-crm.veevavault.com/ui/#object/approved_document__v/V5O000000018003", "AE dialoghi di tempo fiducia e cura episodi 2-3-4")</f>
        <v>AE dialoghi di tempo fiducia e cura episodi 2-3-4</v>
      </c>
      <c r="E3081" s="10" t="str">
        <f>HYPERLINK("https://otsuka-europe-crm.veevavault.com/ui/#object/sent_email__v/VBL00000002O602", "SE-001432273")</f>
        <v>SE-001432273</v>
      </c>
      <c r="F3081" s="11"/>
      <c r="G3081" s="12">
        <v>0</v>
      </c>
      <c r="H3081" s="12">
        <v>0</v>
      </c>
      <c r="I3081" s="12">
        <v>0</v>
      </c>
      <c r="J3081" s="11"/>
      <c r="K3081" s="12">
        <v>0</v>
      </c>
      <c r="L3081" s="10" t="str">
        <f>HYPERLINK("https://otsuka-europe-crm.veevavault.com/ui/#object/approved_document__v/V5O000000018003", "AE dialoghi di tempo fiducia e cura episodi 2-3-4")</f>
        <v>AE dialoghi di tempo fiducia e cura episodi 2-3-4</v>
      </c>
      <c r="M3081" s="10" t="str">
        <f>HYPERLINK("mailto:nicoletta.vozza@crm.otsuka-europe.com", "nicoletta.vozza@crm.otsuka-europe.com")</f>
        <v>nicoletta.vozza@crm.otsuka-europe.com</v>
      </c>
      <c r="N3081" s="13">
        <v>46181.33803240741</v>
      </c>
      <c r="O3081" s="14" t="str">
        <f>HYPERLINK("https://otsuka-europe-crm.veevavault.com/ui/#object/email_activity__v/V8C00000003O471", "EN-002090027")</f>
        <v>EN-002090027</v>
      </c>
    </row>
    <row r="3082" spans="1:15" ht="16" x14ac:dyDescent="0.2">
      <c r="A3082" s="17" t="str">
        <f>HYPERLINK("https://otsuka-europe-crm.veevavault.com/ui/#object/account__v/V4TZ06G6O71SCEO", "ANTONELLA SANTINA MARIA SCORZA")</f>
        <v>ANTONELLA SANTINA MARIA SCORZA</v>
      </c>
      <c r="B3082" s="17" t="str">
        <f>HYPERLINK("https://otsuka-europe-crm.veevavault.com/ui/#object/vcountry__v/VENZ000004SONFQ", "IT")</f>
        <v>IT</v>
      </c>
      <c r="C3082" s="20" t="s">
        <v>44</v>
      </c>
      <c r="D3082" s="21" t="str">
        <f>HYPERLINK("https://otsuka-europe-crm.veevavault.com/ui/#object/approved_document__v/V5O000000018003", "AE dialoghi di tempo fiducia e cura episodi 2-3-4")</f>
        <v>AE dialoghi di tempo fiducia e cura episodi 2-3-4</v>
      </c>
      <c r="E3082" s="22" t="str">
        <f>HYPERLINK("https://otsuka-europe-crm.veevavault.com/ui/#object/sent_email__v/VBL00000002O603", "SE-001432274")</f>
        <v>SE-001432274</v>
      </c>
      <c r="F3082" s="25"/>
      <c r="G3082" s="24">
        <v>0</v>
      </c>
      <c r="H3082" s="24">
        <v>0</v>
      </c>
      <c r="I3082" s="24">
        <v>0</v>
      </c>
      <c r="J3082" s="25"/>
      <c r="K3082" s="24">
        <v>0</v>
      </c>
      <c r="L3082" s="22" t="str">
        <f>HYPERLINK("https://otsuka-europe-crm.veevavault.com/ui/#object/approved_document__v/V5O000000018003", "AE dialoghi di tempo fiducia e cura episodi 2-3-4")</f>
        <v>AE dialoghi di tempo fiducia e cura episodi 2-3-4</v>
      </c>
      <c r="M3082" s="22" t="str">
        <f>HYPERLINK("mailto:nicoletta.vozza@crm.otsuka-europe.com", "nicoletta.vozza@crm.otsuka-europe.com")</f>
        <v>nicoletta.vozza@crm.otsuka-europe.com</v>
      </c>
      <c r="N3082" s="23">
        <v>46181.338020833333</v>
      </c>
      <c r="O3082" s="14" t="str">
        <f>HYPERLINK("https://otsuka-europe-crm.veevavault.com/ui/#object/email_activity__v/V8C00000003P695", "EN-002090950")</f>
        <v>EN-002090950</v>
      </c>
    </row>
    <row r="3083" spans="1:15" ht="16" x14ac:dyDescent="0.2">
      <c r="A3083" s="19"/>
      <c r="B3083" s="19"/>
      <c r="C3083" s="19"/>
      <c r="D3083" s="19"/>
      <c r="E3083" s="19"/>
      <c r="F3083" s="19"/>
      <c r="G3083" s="19"/>
      <c r="H3083" s="19"/>
      <c r="I3083" s="19"/>
      <c r="J3083" s="19"/>
      <c r="K3083" s="19"/>
      <c r="L3083" s="19"/>
      <c r="M3083" s="19"/>
      <c r="N3083" s="19"/>
      <c r="O3083" s="14" t="str">
        <f>HYPERLINK("https://otsuka-europe-crm.veevavault.com/ui/#object/email_activity__v/V8C00000003R317", "EN-002092265")</f>
        <v>EN-002092265</v>
      </c>
    </row>
    <row r="3084" spans="1:15" ht="32" x14ac:dyDescent="0.2">
      <c r="A3084" s="7" t="str">
        <f>HYPERLINK("https://otsuka-europe-crm.veevavault.com/ui/#object/account__v/V4TZ025E82XQJX8", "ANTONELLA VIRIGLIO")</f>
        <v>ANTONELLA VIRIGLIO</v>
      </c>
      <c r="B3084" s="7" t="str">
        <f t="shared" ref="B3084:B3095" si="108">HYPERLINK("https://otsuka-europe-crm.veevavault.com/ui/#object/vcountry__v/VENZ000004SONFQ", "IT")</f>
        <v>IT</v>
      </c>
      <c r="C3084" s="8" t="s">
        <v>44</v>
      </c>
      <c r="D3084" s="9" t="str">
        <f t="shared" ref="D3084:D3095" si="109">HYPERLINK("https://otsuka-europe-crm.veevavault.com/ui/#object/approved_document__v/V5O000000018003", "AE dialoghi di tempo fiducia e cura episodi 2-3-4")</f>
        <v>AE dialoghi di tempo fiducia e cura episodi 2-3-4</v>
      </c>
      <c r="E3084" s="10" t="str">
        <f>HYPERLINK("https://otsuka-europe-crm.veevavault.com/ui/#object/sent_email__v/VBL00000002O604", "SE-001432275")</f>
        <v>SE-001432275</v>
      </c>
      <c r="F3084" s="11"/>
      <c r="G3084" s="12">
        <v>0</v>
      </c>
      <c r="H3084" s="12">
        <v>0</v>
      </c>
      <c r="I3084" s="12">
        <v>0</v>
      </c>
      <c r="J3084" s="11"/>
      <c r="K3084" s="12">
        <v>0</v>
      </c>
      <c r="L3084" s="10" t="str">
        <f t="shared" ref="L3084:L3095" si="110">HYPERLINK("https://otsuka-europe-crm.veevavault.com/ui/#object/approved_document__v/V5O000000018003", "AE dialoghi di tempo fiducia e cura episodi 2-3-4")</f>
        <v>AE dialoghi di tempo fiducia e cura episodi 2-3-4</v>
      </c>
      <c r="M3084" s="10" t="str">
        <f t="shared" ref="M3084:M3095" si="111">HYPERLINK("mailto:nicoletta.vozza@crm.otsuka-europe.com", "nicoletta.vozza@crm.otsuka-europe.com")</f>
        <v>nicoletta.vozza@crm.otsuka-europe.com</v>
      </c>
      <c r="N3084" s="13">
        <v>46181.33803240741</v>
      </c>
      <c r="O3084" s="14" t="str">
        <f>HYPERLINK("https://otsuka-europe-crm.veevavault.com/ui/#object/email_activity__v/V8C00000003P418", "EN-002090424")</f>
        <v>EN-002090424</v>
      </c>
    </row>
    <row r="3085" spans="1:15" ht="32" x14ac:dyDescent="0.2">
      <c r="A3085" s="7" t="str">
        <f>HYPERLINK("https://otsuka-europe-crm.veevavault.com/ui/#object/account__v/V4TZ025E88YWACI", "ANTONIA IANNIELLO")</f>
        <v>ANTONIA IANNIELLO</v>
      </c>
      <c r="B3085" s="7" t="str">
        <f t="shared" si="108"/>
        <v>IT</v>
      </c>
      <c r="C3085" s="8" t="s">
        <v>44</v>
      </c>
      <c r="D3085" s="9" t="str">
        <f t="shared" si="109"/>
        <v>AE dialoghi di tempo fiducia e cura episodi 2-3-4</v>
      </c>
      <c r="E3085" s="10" t="str">
        <f>HYPERLINK("https://otsuka-europe-crm.veevavault.com/ui/#object/sent_email__v/VBL00000002O605", "SE-001432276")</f>
        <v>SE-001432276</v>
      </c>
      <c r="F3085" s="11"/>
      <c r="G3085" s="12">
        <v>0</v>
      </c>
      <c r="H3085" s="12">
        <v>0</v>
      </c>
      <c r="I3085" s="12">
        <v>0</v>
      </c>
      <c r="J3085" s="11"/>
      <c r="K3085" s="12">
        <v>0</v>
      </c>
      <c r="L3085" s="10" t="str">
        <f t="shared" si="110"/>
        <v>AE dialoghi di tempo fiducia e cura episodi 2-3-4</v>
      </c>
      <c r="M3085" s="10" t="str">
        <f t="shared" si="111"/>
        <v>nicoletta.vozza@crm.otsuka-europe.com</v>
      </c>
      <c r="N3085" s="13">
        <v>46181.338020833333</v>
      </c>
      <c r="O3085" s="14" t="str">
        <f>HYPERLINK("https://otsuka-europe-crm.veevavault.com/ui/#object/email_activity__v/V8C00000003O488", "EN-002090044")</f>
        <v>EN-002090044</v>
      </c>
    </row>
    <row r="3086" spans="1:15" ht="32" x14ac:dyDescent="0.2">
      <c r="A3086" s="7" t="str">
        <f>HYPERLINK("https://otsuka-europe-crm.veevavault.com/ui/#object/account__v/V4TZ06G6O71SB72", "ANTONIA IMPARATO")</f>
        <v>ANTONIA IMPARATO</v>
      </c>
      <c r="B3086" s="7" t="str">
        <f t="shared" si="108"/>
        <v>IT</v>
      </c>
      <c r="C3086" s="8" t="s">
        <v>44</v>
      </c>
      <c r="D3086" s="9" t="str">
        <f t="shared" si="109"/>
        <v>AE dialoghi di tempo fiducia e cura episodi 2-3-4</v>
      </c>
      <c r="E3086" s="10" t="str">
        <f>HYPERLINK("https://otsuka-europe-crm.veevavault.com/ui/#object/sent_email__v/VBL00000002O606", "SE-001432277")</f>
        <v>SE-001432277</v>
      </c>
      <c r="F3086" s="11"/>
      <c r="G3086" s="12">
        <v>0</v>
      </c>
      <c r="H3086" s="12">
        <v>0</v>
      </c>
      <c r="I3086" s="12">
        <v>0</v>
      </c>
      <c r="J3086" s="11"/>
      <c r="K3086" s="12">
        <v>0</v>
      </c>
      <c r="L3086" s="10" t="str">
        <f t="shared" si="110"/>
        <v>AE dialoghi di tempo fiducia e cura episodi 2-3-4</v>
      </c>
      <c r="M3086" s="10" t="str">
        <f t="shared" si="111"/>
        <v>nicoletta.vozza@crm.otsuka-europe.com</v>
      </c>
      <c r="N3086" s="13">
        <v>46181.337997685187</v>
      </c>
      <c r="O3086" s="14" t="str">
        <f>HYPERLINK("https://otsuka-europe-crm.veevavault.com/ui/#object/email_activity__v/V8C00000003Q626", "EN-002092076")</f>
        <v>EN-002092076</v>
      </c>
    </row>
    <row r="3087" spans="1:15" ht="32" x14ac:dyDescent="0.2">
      <c r="A3087" s="7" t="str">
        <f>HYPERLINK("https://otsuka-europe-crm.veevavault.com/ui/#object/account__v/V4TZ025E87ZDGGN", "ANTONIA IODICE")</f>
        <v>ANTONIA IODICE</v>
      </c>
      <c r="B3087" s="7" t="str">
        <f t="shared" si="108"/>
        <v>IT</v>
      </c>
      <c r="C3087" s="8" t="s">
        <v>44</v>
      </c>
      <c r="D3087" s="9" t="str">
        <f t="shared" si="109"/>
        <v>AE dialoghi di tempo fiducia e cura episodi 2-3-4</v>
      </c>
      <c r="E3087" s="10" t="str">
        <f>HYPERLINK("https://otsuka-europe-crm.veevavault.com/ui/#object/sent_email__v/VBL00000002O607", "SE-001432278")</f>
        <v>SE-001432278</v>
      </c>
      <c r="F3087" s="11"/>
      <c r="G3087" s="12">
        <v>0</v>
      </c>
      <c r="H3087" s="12">
        <v>0</v>
      </c>
      <c r="I3087" s="12">
        <v>0</v>
      </c>
      <c r="J3087" s="11"/>
      <c r="K3087" s="12">
        <v>0</v>
      </c>
      <c r="L3087" s="10" t="str">
        <f t="shared" si="110"/>
        <v>AE dialoghi di tempo fiducia e cura episodi 2-3-4</v>
      </c>
      <c r="M3087" s="10" t="str">
        <f t="shared" si="111"/>
        <v>nicoletta.vozza@crm.otsuka-europe.com</v>
      </c>
      <c r="N3087" s="13">
        <v>46181.337997685187</v>
      </c>
      <c r="O3087" s="14" t="str">
        <f>HYPERLINK("https://otsuka-europe-crm.veevavault.com/ui/#object/email_activity__v/V8C00000003O854", "EN-002090555")</f>
        <v>EN-002090555</v>
      </c>
    </row>
    <row r="3088" spans="1:15" ht="32" x14ac:dyDescent="0.2">
      <c r="A3088" s="7" t="str">
        <f>HYPERLINK("https://otsuka-europe-crm.veevavault.com/ui/#object/account__v/V4TZ06G6O71SB9U", "ANTONIA LOMBARDO")</f>
        <v>ANTONIA LOMBARDO</v>
      </c>
      <c r="B3088" s="7" t="str">
        <f t="shared" si="108"/>
        <v>IT</v>
      </c>
      <c r="C3088" s="8" t="s">
        <v>44</v>
      </c>
      <c r="D3088" s="9" t="str">
        <f t="shared" si="109"/>
        <v>AE dialoghi di tempo fiducia e cura episodi 2-3-4</v>
      </c>
      <c r="E3088" s="10" t="str">
        <f>HYPERLINK("https://otsuka-europe-crm.veevavault.com/ui/#object/sent_email__v/VBL00000002O608", "SE-001432279")</f>
        <v>SE-001432279</v>
      </c>
      <c r="F3088" s="11"/>
      <c r="G3088" s="12">
        <v>0</v>
      </c>
      <c r="H3088" s="12">
        <v>0</v>
      </c>
      <c r="I3088" s="12">
        <v>0</v>
      </c>
      <c r="J3088" s="11"/>
      <c r="K3088" s="12">
        <v>0</v>
      </c>
      <c r="L3088" s="10" t="str">
        <f t="shared" si="110"/>
        <v>AE dialoghi di tempo fiducia e cura episodi 2-3-4</v>
      </c>
      <c r="M3088" s="10" t="str">
        <f t="shared" si="111"/>
        <v>nicoletta.vozza@crm.otsuka-europe.com</v>
      </c>
      <c r="N3088" s="13">
        <v>46181.337997685187</v>
      </c>
      <c r="O3088" s="14" t="str">
        <f>HYPERLINK("https://otsuka-europe-crm.veevavault.com/ui/#object/email_activity__v/V8C00000003Q028", "EN-002090994")</f>
        <v>EN-002090994</v>
      </c>
    </row>
    <row r="3089" spans="1:15" ht="32" x14ac:dyDescent="0.2">
      <c r="A3089" s="7" t="str">
        <f>HYPERLINK("https://otsuka-europe-crm.veevavault.com/ui/#object/account__v/V4TZ06G6O71SCG9", "ANTONIA SPINELLI")</f>
        <v>ANTONIA SPINELLI</v>
      </c>
      <c r="B3089" s="7" t="str">
        <f t="shared" si="108"/>
        <v>IT</v>
      </c>
      <c r="C3089" s="8" t="s">
        <v>44</v>
      </c>
      <c r="D3089" s="9" t="str">
        <f t="shared" si="109"/>
        <v>AE dialoghi di tempo fiducia e cura episodi 2-3-4</v>
      </c>
      <c r="E3089" s="10" t="str">
        <f>HYPERLINK("https://otsuka-europe-crm.veevavault.com/ui/#object/sent_email__v/VBL00000002O609", "SE-001432280")</f>
        <v>SE-001432280</v>
      </c>
      <c r="F3089" s="11"/>
      <c r="G3089" s="12">
        <v>0</v>
      </c>
      <c r="H3089" s="12">
        <v>0</v>
      </c>
      <c r="I3089" s="12">
        <v>0</v>
      </c>
      <c r="J3089" s="11"/>
      <c r="K3089" s="12">
        <v>0</v>
      </c>
      <c r="L3089" s="10" t="str">
        <f t="shared" si="110"/>
        <v>AE dialoghi di tempo fiducia e cura episodi 2-3-4</v>
      </c>
      <c r="M3089" s="10" t="str">
        <f t="shared" si="111"/>
        <v>nicoletta.vozza@crm.otsuka-europe.com</v>
      </c>
      <c r="N3089" s="13">
        <v>46181.338055555556</v>
      </c>
      <c r="O3089" s="14" t="str">
        <f>HYPERLINK("https://otsuka-europe-crm.veevavault.com/ui/#object/email_activity__v/V8C00000003Q061", "EN-002091126")</f>
        <v>EN-002091126</v>
      </c>
    </row>
    <row r="3090" spans="1:15" ht="32" x14ac:dyDescent="0.2">
      <c r="A3090" s="7" t="str">
        <f>HYPERLINK("https://otsuka-europe-crm.veevavault.com/ui/#object/account__v/V4TZ06G6O71SAZZ", "ANTONIETTA CARNEVALI")</f>
        <v>ANTONIETTA CARNEVALI</v>
      </c>
      <c r="B3090" s="7" t="str">
        <f t="shared" si="108"/>
        <v>IT</v>
      </c>
      <c r="C3090" s="8" t="s">
        <v>44</v>
      </c>
      <c r="D3090" s="9" t="str">
        <f t="shared" si="109"/>
        <v>AE dialoghi di tempo fiducia e cura episodi 2-3-4</v>
      </c>
      <c r="E3090" s="10" t="str">
        <f>HYPERLINK("https://otsuka-europe-crm.veevavault.com/ui/#object/sent_email__v/VBL00000002O610", "SE-001432281")</f>
        <v>SE-001432281</v>
      </c>
      <c r="F3090" s="11"/>
      <c r="G3090" s="12">
        <v>0</v>
      </c>
      <c r="H3090" s="12">
        <v>0</v>
      </c>
      <c r="I3090" s="12">
        <v>0</v>
      </c>
      <c r="J3090" s="11"/>
      <c r="K3090" s="12">
        <v>0</v>
      </c>
      <c r="L3090" s="10" t="str">
        <f t="shared" si="110"/>
        <v>AE dialoghi di tempo fiducia e cura episodi 2-3-4</v>
      </c>
      <c r="M3090" s="10" t="str">
        <f t="shared" si="111"/>
        <v>nicoletta.vozza@crm.otsuka-europe.com</v>
      </c>
      <c r="N3090" s="13">
        <v>46181.338113425925</v>
      </c>
      <c r="O3090" s="14" t="str">
        <f>HYPERLINK("https://otsuka-europe-crm.veevavault.com/ui/#object/email_activity__v/V8C00000003P783", "EN-002091081")</f>
        <v>EN-002091081</v>
      </c>
    </row>
    <row r="3091" spans="1:15" ht="32" x14ac:dyDescent="0.2">
      <c r="A3091" s="7" t="str">
        <f>HYPERLINK("https://otsuka-europe-crm.veevavault.com/ui/#object/account__v/V4TZ06G6O71SC55", "ANTONIETTA ROCERETO")</f>
        <v>ANTONIETTA ROCERETO</v>
      </c>
      <c r="B3091" s="7" t="str">
        <f t="shared" si="108"/>
        <v>IT</v>
      </c>
      <c r="C3091" s="8" t="s">
        <v>44</v>
      </c>
      <c r="D3091" s="9" t="str">
        <f t="shared" si="109"/>
        <v>AE dialoghi di tempo fiducia e cura episodi 2-3-4</v>
      </c>
      <c r="E3091" s="10" t="str">
        <f>HYPERLINK("https://otsuka-europe-crm.veevavault.com/ui/#object/sent_email__v/VBL00000002O611", "SE-001432282")</f>
        <v>SE-001432282</v>
      </c>
      <c r="F3091" s="11"/>
      <c r="G3091" s="12">
        <v>0</v>
      </c>
      <c r="H3091" s="12">
        <v>0</v>
      </c>
      <c r="I3091" s="12">
        <v>0</v>
      </c>
      <c r="J3091" s="11"/>
      <c r="K3091" s="12">
        <v>0</v>
      </c>
      <c r="L3091" s="10" t="str">
        <f t="shared" si="110"/>
        <v>AE dialoghi di tempo fiducia e cura episodi 2-3-4</v>
      </c>
      <c r="M3091" s="10" t="str">
        <f t="shared" si="111"/>
        <v>nicoletta.vozza@crm.otsuka-europe.com</v>
      </c>
      <c r="N3091" s="13">
        <v>46181.338090277779</v>
      </c>
      <c r="O3091" s="14" t="str">
        <f>HYPERLINK("https://otsuka-europe-crm.veevavault.com/ui/#object/email_activity__v/V8C00000003O855", "EN-002090556")</f>
        <v>EN-002090556</v>
      </c>
    </row>
    <row r="3092" spans="1:15" ht="32" x14ac:dyDescent="0.2">
      <c r="A3092" s="7" t="str">
        <f>HYPERLINK("https://otsuka-europe-crm.veevavault.com/ui/#object/account__v/V4TZ06G6O71SCQH", "ANTONINO IACCARINO")</f>
        <v>ANTONINO IACCARINO</v>
      </c>
      <c r="B3092" s="7" t="str">
        <f t="shared" si="108"/>
        <v>IT</v>
      </c>
      <c r="C3092" s="8" t="s">
        <v>44</v>
      </c>
      <c r="D3092" s="9" t="str">
        <f t="shared" si="109"/>
        <v>AE dialoghi di tempo fiducia e cura episodi 2-3-4</v>
      </c>
      <c r="E3092" s="10" t="str">
        <f>HYPERLINK("https://otsuka-europe-crm.veevavault.com/ui/#object/sent_email__v/VBL00000002O612", "SE-001432283")</f>
        <v>SE-001432283</v>
      </c>
      <c r="F3092" s="11"/>
      <c r="G3092" s="12">
        <v>0</v>
      </c>
      <c r="H3092" s="12">
        <v>0</v>
      </c>
      <c r="I3092" s="12">
        <v>0</v>
      </c>
      <c r="J3092" s="11"/>
      <c r="K3092" s="12">
        <v>0</v>
      </c>
      <c r="L3092" s="10" t="str">
        <f t="shared" si="110"/>
        <v>AE dialoghi di tempo fiducia e cura episodi 2-3-4</v>
      </c>
      <c r="M3092" s="10" t="str">
        <f t="shared" si="111"/>
        <v>nicoletta.vozza@crm.otsuka-europe.com</v>
      </c>
      <c r="N3092" s="13">
        <v>46181.338090277779</v>
      </c>
      <c r="O3092" s="14" t="str">
        <f>HYPERLINK("https://otsuka-europe-crm.veevavault.com/ui/#object/email_activity__v/V8C00000003O545", "EN-002090101")</f>
        <v>EN-002090101</v>
      </c>
    </row>
    <row r="3093" spans="1:15" ht="32" x14ac:dyDescent="0.2">
      <c r="A3093" s="7" t="str">
        <f>HYPERLINK("https://otsuka-europe-crm.veevavault.com/ui/#object/account__v/V4TZ06G6O71SB5Y", "ANTONINO MARIA GUARDO")</f>
        <v>ANTONINO MARIA GUARDO</v>
      </c>
      <c r="B3093" s="7" t="str">
        <f t="shared" si="108"/>
        <v>IT</v>
      </c>
      <c r="C3093" s="8" t="s">
        <v>44</v>
      </c>
      <c r="D3093" s="9" t="str">
        <f t="shared" si="109"/>
        <v>AE dialoghi di tempo fiducia e cura episodi 2-3-4</v>
      </c>
      <c r="E3093" s="10" t="str">
        <f>HYPERLINK("https://otsuka-europe-crm.veevavault.com/ui/#object/sent_email__v/VBL00000002O613", "SE-001432284")</f>
        <v>SE-001432284</v>
      </c>
      <c r="F3093" s="11"/>
      <c r="G3093" s="12">
        <v>0</v>
      </c>
      <c r="H3093" s="12">
        <v>0</v>
      </c>
      <c r="I3093" s="12">
        <v>0</v>
      </c>
      <c r="J3093" s="11"/>
      <c r="K3093" s="12">
        <v>0</v>
      </c>
      <c r="L3093" s="10" t="str">
        <f t="shared" si="110"/>
        <v>AE dialoghi di tempo fiducia e cura episodi 2-3-4</v>
      </c>
      <c r="M3093" s="10" t="str">
        <f t="shared" si="111"/>
        <v>nicoletta.vozza@crm.otsuka-europe.com</v>
      </c>
      <c r="N3093" s="13">
        <v>46181.338090277779</v>
      </c>
      <c r="O3093" s="14" t="str">
        <f>HYPERLINK("https://otsuka-europe-crm.veevavault.com/ui/#object/email_activity__v/V8C00000003P838", "EN-002091197")</f>
        <v>EN-002091197</v>
      </c>
    </row>
    <row r="3094" spans="1:15" ht="32" x14ac:dyDescent="0.2">
      <c r="A3094" s="7" t="str">
        <f>HYPERLINK("https://otsuka-europe-crm.veevavault.com/ui/#object/account__v/V4TZ06G6O71SBBI", "ANTONINO MESSINA")</f>
        <v>ANTONINO MESSINA</v>
      </c>
      <c r="B3094" s="7" t="str">
        <f t="shared" si="108"/>
        <v>IT</v>
      </c>
      <c r="C3094" s="8" t="s">
        <v>44</v>
      </c>
      <c r="D3094" s="9" t="str">
        <f t="shared" si="109"/>
        <v>AE dialoghi di tempo fiducia e cura episodi 2-3-4</v>
      </c>
      <c r="E3094" s="10" t="str">
        <f>HYPERLINK("https://otsuka-europe-crm.veevavault.com/ui/#object/sent_email__v/VBL00000002O614", "SE-001432285")</f>
        <v>SE-001432285</v>
      </c>
      <c r="F3094" s="11"/>
      <c r="G3094" s="12">
        <v>0</v>
      </c>
      <c r="H3094" s="12">
        <v>0</v>
      </c>
      <c r="I3094" s="12">
        <v>0</v>
      </c>
      <c r="J3094" s="11"/>
      <c r="K3094" s="12">
        <v>0</v>
      </c>
      <c r="L3094" s="10" t="str">
        <f t="shared" si="110"/>
        <v>AE dialoghi di tempo fiducia e cura episodi 2-3-4</v>
      </c>
      <c r="M3094" s="10" t="str">
        <f t="shared" si="111"/>
        <v>nicoletta.vozza@crm.otsuka-europe.com</v>
      </c>
      <c r="N3094" s="13">
        <v>46181.33803240741</v>
      </c>
      <c r="O3094" s="14" t="str">
        <f>HYPERLINK("https://otsuka-europe-crm.veevavault.com/ui/#object/email_activity__v/V8C00000003P688", "EN-002090943")</f>
        <v>EN-002090943</v>
      </c>
    </row>
    <row r="3095" spans="1:15" ht="16" x14ac:dyDescent="0.2">
      <c r="A3095" s="17" t="str">
        <f>HYPERLINK("https://otsuka-europe-crm.veevavault.com/ui/#object/account__v/V4TZ06G6O71SBU0", "ANTONINO PANE")</f>
        <v>ANTONINO PANE</v>
      </c>
      <c r="B3095" s="17" t="str">
        <f t="shared" si="108"/>
        <v>IT</v>
      </c>
      <c r="C3095" s="20" t="s">
        <v>44</v>
      </c>
      <c r="D3095" s="21" t="str">
        <f t="shared" si="109"/>
        <v>AE dialoghi di tempo fiducia e cura episodi 2-3-4</v>
      </c>
      <c r="E3095" s="22" t="str">
        <f>HYPERLINK("https://otsuka-europe-crm.veevavault.com/ui/#object/sent_email__v/VBL00000002O615", "SE-001432286")</f>
        <v>SE-001432286</v>
      </c>
      <c r="F3095" s="23">
        <v>46182.663923611108</v>
      </c>
      <c r="G3095" s="24">
        <v>1</v>
      </c>
      <c r="H3095" s="24">
        <v>1</v>
      </c>
      <c r="I3095" s="24">
        <v>1</v>
      </c>
      <c r="J3095" s="23">
        <v>46182.664212962962</v>
      </c>
      <c r="K3095" s="24">
        <v>1</v>
      </c>
      <c r="L3095" s="22" t="str">
        <f t="shared" si="110"/>
        <v>AE dialoghi di tempo fiducia e cura episodi 2-3-4</v>
      </c>
      <c r="M3095" s="22" t="str">
        <f t="shared" si="111"/>
        <v>nicoletta.vozza@crm.otsuka-europe.com</v>
      </c>
      <c r="N3095" s="23">
        <v>46181.33798611111</v>
      </c>
      <c r="O3095" s="14" t="str">
        <f>HYPERLINK("https://otsuka-europe-crm.veevavault.com/ui/#object/email_activity__v/V8C00000003O290", "EN-002089767")</f>
        <v>EN-002089767</v>
      </c>
    </row>
    <row r="3096" spans="1:15" ht="16" x14ac:dyDescent="0.2">
      <c r="A3096" s="18"/>
      <c r="B3096" s="18"/>
      <c r="C3096" s="18"/>
      <c r="D3096" s="18"/>
      <c r="E3096" s="18"/>
      <c r="F3096" s="18"/>
      <c r="G3096" s="18"/>
      <c r="H3096" s="18"/>
      <c r="I3096" s="18"/>
      <c r="J3096" s="18"/>
      <c r="K3096" s="18"/>
      <c r="L3096" s="18"/>
      <c r="M3096" s="18"/>
      <c r="N3096" s="18"/>
      <c r="O3096" s="14" t="str">
        <f>HYPERLINK("https://otsuka-europe-crm.veevavault.com/ui/#object/email_activity__v/V8C00000003P919", "EN-002091477")</f>
        <v>EN-002091477</v>
      </c>
    </row>
    <row r="3097" spans="1:15" ht="16" x14ac:dyDescent="0.2">
      <c r="A3097" s="18"/>
      <c r="B3097" s="18"/>
      <c r="C3097" s="18"/>
      <c r="D3097" s="18"/>
      <c r="E3097" s="18"/>
      <c r="F3097" s="18"/>
      <c r="G3097" s="18"/>
      <c r="H3097" s="18"/>
      <c r="I3097" s="18"/>
      <c r="J3097" s="18"/>
      <c r="K3097" s="18"/>
      <c r="L3097" s="18"/>
      <c r="M3097" s="18"/>
      <c r="N3097" s="18"/>
      <c r="O3097" s="14" t="str">
        <f>HYPERLINK("https://otsuka-europe-crm.veevavault.com/ui/#object/email_activity__v/V8C00000003R835", "EN-002093261")</f>
        <v>EN-002093261</v>
      </c>
    </row>
    <row r="3098" spans="1:15" ht="16" x14ac:dyDescent="0.2">
      <c r="A3098" s="19"/>
      <c r="B3098" s="19"/>
      <c r="C3098" s="19"/>
      <c r="D3098" s="19"/>
      <c r="E3098" s="19"/>
      <c r="F3098" s="19"/>
      <c r="G3098" s="19"/>
      <c r="H3098" s="19"/>
      <c r="I3098" s="19"/>
      <c r="J3098" s="19"/>
      <c r="K3098" s="19"/>
      <c r="L3098" s="19"/>
      <c r="M3098" s="19"/>
      <c r="N3098" s="19"/>
      <c r="O3098" s="14" t="str">
        <f>HYPERLINK("https://otsuka-europe-crm.veevavault.com/ui/#object/email_activity__v/V8C00000003R839", "EN-002093265")</f>
        <v>EN-002093265</v>
      </c>
    </row>
    <row r="3099" spans="1:15" ht="16" x14ac:dyDescent="0.2">
      <c r="A3099" s="17" t="str">
        <f>HYPERLINK("https://otsuka-europe-crm.veevavault.com/ui/#object/account__v/V4TZ06G6O71SBYU", "ANTONINO PETRALIA")</f>
        <v>ANTONINO PETRALIA</v>
      </c>
      <c r="B3099" s="17" t="str">
        <f>HYPERLINK("https://otsuka-europe-crm.veevavault.com/ui/#object/vcountry__v/VENZ000004SONFQ", "IT")</f>
        <v>IT</v>
      </c>
      <c r="C3099" s="20" t="s">
        <v>44</v>
      </c>
      <c r="D3099" s="21" t="str">
        <f>HYPERLINK("https://otsuka-europe-crm.veevavault.com/ui/#object/approved_document__v/V5O000000018003", "AE dialoghi di tempo fiducia e cura episodi 2-3-4")</f>
        <v>AE dialoghi di tempo fiducia e cura episodi 2-3-4</v>
      </c>
      <c r="E3099" s="22" t="str">
        <f>HYPERLINK("https://otsuka-europe-crm.veevavault.com/ui/#object/sent_email__v/VBL00000002O616", "SE-001432287")</f>
        <v>SE-001432287</v>
      </c>
      <c r="F3099" s="25"/>
      <c r="G3099" s="24">
        <v>0</v>
      </c>
      <c r="H3099" s="24">
        <v>0</v>
      </c>
      <c r="I3099" s="24">
        <v>0</v>
      </c>
      <c r="J3099" s="25"/>
      <c r="K3099" s="24">
        <v>0</v>
      </c>
      <c r="L3099" s="22" t="str">
        <f>HYPERLINK("https://otsuka-europe-crm.veevavault.com/ui/#object/approved_document__v/V5O000000018003", "AE dialoghi di tempo fiducia e cura episodi 2-3-4")</f>
        <v>AE dialoghi di tempo fiducia e cura episodi 2-3-4</v>
      </c>
      <c r="M3099" s="22" t="str">
        <f>HYPERLINK("mailto:nicoletta.vozza@crm.otsuka-europe.com", "nicoletta.vozza@crm.otsuka-europe.com")</f>
        <v>nicoletta.vozza@crm.otsuka-europe.com</v>
      </c>
      <c r="N3099" s="23">
        <v>46181.338020833333</v>
      </c>
      <c r="O3099" s="14" t="str">
        <f>HYPERLINK("https://otsuka-europe-crm.veevavault.com/ui/#object/email_activity__v/V8C00000003P864", "EN-002091287")</f>
        <v>EN-002091287</v>
      </c>
    </row>
    <row r="3100" spans="1:15" ht="16" x14ac:dyDescent="0.2">
      <c r="A3100" s="18"/>
      <c r="B3100" s="18"/>
      <c r="C3100" s="18"/>
      <c r="D3100" s="18"/>
      <c r="E3100" s="18"/>
      <c r="F3100" s="18"/>
      <c r="G3100" s="18"/>
      <c r="H3100" s="18"/>
      <c r="I3100" s="18"/>
      <c r="J3100" s="18"/>
      <c r="K3100" s="18"/>
      <c r="L3100" s="18"/>
      <c r="M3100" s="18"/>
      <c r="N3100" s="18"/>
      <c r="O3100" s="14" t="str">
        <f>HYPERLINK("https://otsuka-europe-crm.veevavault.com/ui/#object/email_activity__v/V8C00000003Q184", "EN-002091286")</f>
        <v>EN-002091286</v>
      </c>
    </row>
    <row r="3101" spans="1:15" ht="16" x14ac:dyDescent="0.2">
      <c r="A3101" s="18"/>
      <c r="B3101" s="18"/>
      <c r="C3101" s="18"/>
      <c r="D3101" s="18"/>
      <c r="E3101" s="18"/>
      <c r="F3101" s="18"/>
      <c r="G3101" s="18"/>
      <c r="H3101" s="18"/>
      <c r="I3101" s="18"/>
      <c r="J3101" s="18"/>
      <c r="K3101" s="18"/>
      <c r="L3101" s="18"/>
      <c r="M3101" s="18"/>
      <c r="N3101" s="18"/>
      <c r="O3101" s="14" t="str">
        <f>HYPERLINK("https://otsuka-europe-crm.veevavault.com/ui/#object/email_activity__v/V8C00000003Q715", "EN-002092273")</f>
        <v>EN-002092273</v>
      </c>
    </row>
    <row r="3102" spans="1:15" ht="16" x14ac:dyDescent="0.2">
      <c r="A3102" s="18"/>
      <c r="B3102" s="18"/>
      <c r="C3102" s="18"/>
      <c r="D3102" s="18"/>
      <c r="E3102" s="18"/>
      <c r="F3102" s="18"/>
      <c r="G3102" s="18"/>
      <c r="H3102" s="18"/>
      <c r="I3102" s="18"/>
      <c r="J3102" s="18"/>
      <c r="K3102" s="18"/>
      <c r="L3102" s="18"/>
      <c r="M3102" s="18"/>
      <c r="N3102" s="18"/>
      <c r="O3102" s="14" t="str">
        <f>HYPERLINK("https://otsuka-europe-crm.veevavault.com/ui/#object/email_activity__v/V8C00000003U037", "EN-002094891")</f>
        <v>EN-002094891</v>
      </c>
    </row>
    <row r="3103" spans="1:15" ht="16" x14ac:dyDescent="0.2">
      <c r="A3103" s="19"/>
      <c r="B3103" s="19"/>
      <c r="C3103" s="19"/>
      <c r="D3103" s="19"/>
      <c r="E3103" s="19"/>
      <c r="F3103" s="19"/>
      <c r="G3103" s="19"/>
      <c r="H3103" s="19"/>
      <c r="I3103" s="19"/>
      <c r="J3103" s="19"/>
      <c r="K3103" s="19"/>
      <c r="L3103" s="19"/>
      <c r="M3103" s="19"/>
      <c r="N3103" s="19"/>
      <c r="O3103" s="14" t="str">
        <f>HYPERLINK("https://otsuka-europe-crm.veevavault.com/ui/#object/email_activity__v/V8C00000003W107", "EN-002096858")</f>
        <v>EN-002096858</v>
      </c>
    </row>
    <row r="3104" spans="1:15" ht="32" x14ac:dyDescent="0.2">
      <c r="A3104" s="7" t="str">
        <f>HYPERLINK("https://otsuka-europe-crm.veevavault.com/ui/#object/account__v/V4TZ04ASGBNF91Y", "ANTONINO SINAGRA")</f>
        <v>ANTONINO SINAGRA</v>
      </c>
      <c r="B3104" s="7" t="str">
        <f t="shared" ref="B3104:B3116" si="112">HYPERLINK("https://otsuka-europe-crm.veevavault.com/ui/#object/vcountry__v/VENZ000004SONFQ", "IT")</f>
        <v>IT</v>
      </c>
      <c r="C3104" s="8" t="s">
        <v>44</v>
      </c>
      <c r="D3104" s="9" t="str">
        <f t="shared" ref="D3104:D3116" si="113">HYPERLINK("https://otsuka-europe-crm.veevavault.com/ui/#object/approved_document__v/V5O000000018003", "AE dialoghi di tempo fiducia e cura episodi 2-3-4")</f>
        <v>AE dialoghi di tempo fiducia e cura episodi 2-3-4</v>
      </c>
      <c r="E3104" s="10" t="str">
        <f>HYPERLINK("https://otsuka-europe-crm.veevavault.com/ui/#object/sent_email__v/VBL00000002O617", "SE-001432288")</f>
        <v>SE-001432288</v>
      </c>
      <c r="F3104" s="11"/>
      <c r="G3104" s="12">
        <v>0</v>
      </c>
      <c r="H3104" s="12">
        <v>0</v>
      </c>
      <c r="I3104" s="12">
        <v>0</v>
      </c>
      <c r="J3104" s="11"/>
      <c r="K3104" s="12">
        <v>0</v>
      </c>
      <c r="L3104" s="10" t="str">
        <f t="shared" ref="L3104:L3116" si="114">HYPERLINK("https://otsuka-europe-crm.veevavault.com/ui/#object/approved_document__v/V5O000000018003", "AE dialoghi di tempo fiducia e cura episodi 2-3-4")</f>
        <v>AE dialoghi di tempo fiducia e cura episodi 2-3-4</v>
      </c>
      <c r="M3104" s="10" t="str">
        <f t="shared" ref="M3104:M3116" si="115">HYPERLINK("mailto:nicoletta.vozza@crm.otsuka-europe.com", "nicoletta.vozza@crm.otsuka-europe.com")</f>
        <v>nicoletta.vozza@crm.otsuka-europe.com</v>
      </c>
      <c r="N3104" s="13">
        <v>46181.337997685187</v>
      </c>
      <c r="O3104" s="14" t="str">
        <f>HYPERLINK("https://otsuka-europe-crm.veevavault.com/ui/#object/email_activity__v/V8C00000003O257", "EN-002089734")</f>
        <v>EN-002089734</v>
      </c>
    </row>
    <row r="3105" spans="1:15" ht="32" x14ac:dyDescent="0.2">
      <c r="A3105" s="7" t="str">
        <f>HYPERLINK("https://otsuka-europe-crm.veevavault.com/ui/#object/account__v/V4TZ04ASGB9MFJZ", "ANTONIO BISOGNO")</f>
        <v>ANTONIO BISOGNO</v>
      </c>
      <c r="B3105" s="7" t="str">
        <f t="shared" si="112"/>
        <v>IT</v>
      </c>
      <c r="C3105" s="8" t="s">
        <v>44</v>
      </c>
      <c r="D3105" s="9" t="str">
        <f t="shared" si="113"/>
        <v>AE dialoghi di tempo fiducia e cura episodi 2-3-4</v>
      </c>
      <c r="E3105" s="10" t="str">
        <f>HYPERLINK("https://otsuka-europe-crm.veevavault.com/ui/#object/sent_email__v/VBL00000002O618", "SE-001432289")</f>
        <v>SE-001432289</v>
      </c>
      <c r="F3105" s="11"/>
      <c r="G3105" s="12">
        <v>0</v>
      </c>
      <c r="H3105" s="12">
        <v>0</v>
      </c>
      <c r="I3105" s="12">
        <v>0</v>
      </c>
      <c r="J3105" s="11"/>
      <c r="K3105" s="12">
        <v>0</v>
      </c>
      <c r="L3105" s="10" t="str">
        <f t="shared" si="114"/>
        <v>AE dialoghi di tempo fiducia e cura episodi 2-3-4</v>
      </c>
      <c r="M3105" s="10" t="str">
        <f t="shared" si="115"/>
        <v>nicoletta.vozza@crm.otsuka-europe.com</v>
      </c>
      <c r="N3105" s="13">
        <v>46181.337997685187</v>
      </c>
      <c r="O3105" s="14" t="str">
        <f>HYPERLINK("https://otsuka-europe-crm.veevavault.com/ui/#object/email_activity__v/V8C00000003O630", "EN-002090186")</f>
        <v>EN-002090186</v>
      </c>
    </row>
    <row r="3106" spans="1:15" ht="32" x14ac:dyDescent="0.2">
      <c r="A3106" s="7" t="str">
        <f>HYPERLINK("https://otsuka-europe-crm.veevavault.com/ui/#object/account__v/V4TZ06G6O71SA6X", "ANTONIO BRAMANTE")</f>
        <v>ANTONIO BRAMANTE</v>
      </c>
      <c r="B3106" s="7" t="str">
        <f t="shared" si="112"/>
        <v>IT</v>
      </c>
      <c r="C3106" s="8" t="s">
        <v>44</v>
      </c>
      <c r="D3106" s="9" t="str">
        <f t="shared" si="113"/>
        <v>AE dialoghi di tempo fiducia e cura episodi 2-3-4</v>
      </c>
      <c r="E3106" s="10" t="str">
        <f>HYPERLINK("https://otsuka-europe-crm.veevavault.com/ui/#object/sent_email__v/VBL00000002O619", "SE-001432290")</f>
        <v>SE-001432290</v>
      </c>
      <c r="F3106" s="11"/>
      <c r="G3106" s="12">
        <v>0</v>
      </c>
      <c r="H3106" s="12">
        <v>0</v>
      </c>
      <c r="I3106" s="12">
        <v>0</v>
      </c>
      <c r="J3106" s="11"/>
      <c r="K3106" s="12">
        <v>0</v>
      </c>
      <c r="L3106" s="10" t="str">
        <f t="shared" si="114"/>
        <v>AE dialoghi di tempo fiducia e cura episodi 2-3-4</v>
      </c>
      <c r="M3106" s="10" t="str">
        <f t="shared" si="115"/>
        <v>nicoletta.vozza@crm.otsuka-europe.com</v>
      </c>
      <c r="N3106" s="13">
        <v>46181.33803240741</v>
      </c>
      <c r="O3106" s="14" t="str">
        <f>HYPERLINK("https://otsuka-europe-crm.veevavault.com/ui/#object/email_activity__v/V8C00000003O879", "EN-002090482")</f>
        <v>EN-002090482</v>
      </c>
    </row>
    <row r="3107" spans="1:15" ht="32" x14ac:dyDescent="0.2">
      <c r="A3107" s="7" t="str">
        <f>HYPERLINK("https://otsuka-europe-crm.veevavault.com/ui/#object/account__v/V4TZ04ASGC2CPBW", "ANTONIO BRUNO")</f>
        <v>ANTONIO BRUNO</v>
      </c>
      <c r="B3107" s="7" t="str">
        <f t="shared" si="112"/>
        <v>IT</v>
      </c>
      <c r="C3107" s="8" t="s">
        <v>44</v>
      </c>
      <c r="D3107" s="9" t="str">
        <f t="shared" si="113"/>
        <v>AE dialoghi di tempo fiducia e cura episodi 2-3-4</v>
      </c>
      <c r="E3107" s="10" t="str">
        <f>HYPERLINK("https://otsuka-europe-crm.veevavault.com/ui/#object/sent_email__v/VBL00000002O620", "SE-001432291")</f>
        <v>SE-001432291</v>
      </c>
      <c r="F3107" s="11"/>
      <c r="G3107" s="12">
        <v>0</v>
      </c>
      <c r="H3107" s="12">
        <v>0</v>
      </c>
      <c r="I3107" s="12">
        <v>0</v>
      </c>
      <c r="J3107" s="11"/>
      <c r="K3107" s="12">
        <v>0</v>
      </c>
      <c r="L3107" s="10" t="str">
        <f t="shared" si="114"/>
        <v>AE dialoghi di tempo fiducia e cura episodi 2-3-4</v>
      </c>
      <c r="M3107" s="10" t="str">
        <f t="shared" si="115"/>
        <v>nicoletta.vozza@crm.otsuka-europe.com</v>
      </c>
      <c r="N3107" s="13">
        <v>46181.338101851848</v>
      </c>
      <c r="O3107" s="14" t="str">
        <f>HYPERLINK("https://otsuka-europe-crm.veevavault.com/ui/#object/email_activity__v/V8C00000003O551", "EN-002090107")</f>
        <v>EN-002090107</v>
      </c>
    </row>
    <row r="3108" spans="1:15" ht="32" x14ac:dyDescent="0.2">
      <c r="A3108" s="7" t="str">
        <f>HYPERLINK("https://otsuka-europe-crm.veevavault.com/ui/#object/account__v/V4TZ06G6O71S9I3", "ANTONIO CALLARI")</f>
        <v>ANTONIO CALLARI</v>
      </c>
      <c r="B3108" s="7" t="str">
        <f t="shared" si="112"/>
        <v>IT</v>
      </c>
      <c r="C3108" s="8" t="s">
        <v>44</v>
      </c>
      <c r="D3108" s="9" t="str">
        <f t="shared" si="113"/>
        <v>AE dialoghi di tempo fiducia e cura episodi 2-3-4</v>
      </c>
      <c r="E3108" s="10" t="str">
        <f>HYPERLINK("https://otsuka-europe-crm.veevavault.com/ui/#object/sent_email__v/VBL00000002O621", "SE-001432292")</f>
        <v>SE-001432292</v>
      </c>
      <c r="F3108" s="11"/>
      <c r="G3108" s="12">
        <v>0</v>
      </c>
      <c r="H3108" s="12">
        <v>0</v>
      </c>
      <c r="I3108" s="12">
        <v>0</v>
      </c>
      <c r="J3108" s="11"/>
      <c r="K3108" s="12">
        <v>0</v>
      </c>
      <c r="L3108" s="10" t="str">
        <f t="shared" si="114"/>
        <v>AE dialoghi di tempo fiducia e cura episodi 2-3-4</v>
      </c>
      <c r="M3108" s="10" t="str">
        <f t="shared" si="115"/>
        <v>nicoletta.vozza@crm.otsuka-europe.com</v>
      </c>
      <c r="N3108" s="13">
        <v>46181.338043981479</v>
      </c>
      <c r="O3108" s="14" t="str">
        <f>HYPERLINK("https://otsuka-europe-crm.veevavault.com/ui/#object/email_activity__v/V8C00000003P302", "EN-002089938")</f>
        <v>EN-002089938</v>
      </c>
    </row>
    <row r="3109" spans="1:15" ht="32" x14ac:dyDescent="0.2">
      <c r="A3109" s="7" t="str">
        <f>HYPERLINK("https://otsuka-europe-crm.veevavault.com/ui/#object/account__v/V4TZ04ASGBNHTIF", "ANTONIO CARUSO")</f>
        <v>ANTONIO CARUSO</v>
      </c>
      <c r="B3109" s="7" t="str">
        <f t="shared" si="112"/>
        <v>IT</v>
      </c>
      <c r="C3109" s="8" t="s">
        <v>44</v>
      </c>
      <c r="D3109" s="9" t="str">
        <f t="shared" si="113"/>
        <v>AE dialoghi di tempo fiducia e cura episodi 2-3-4</v>
      </c>
      <c r="E3109" s="10" t="str">
        <f>HYPERLINK("https://otsuka-europe-crm.veevavault.com/ui/#object/sent_email__v/VBL00000002O622", "SE-001432293")</f>
        <v>SE-001432293</v>
      </c>
      <c r="F3109" s="11"/>
      <c r="G3109" s="12">
        <v>0</v>
      </c>
      <c r="H3109" s="12">
        <v>0</v>
      </c>
      <c r="I3109" s="12">
        <v>0</v>
      </c>
      <c r="J3109" s="11"/>
      <c r="K3109" s="12">
        <v>0</v>
      </c>
      <c r="L3109" s="10" t="str">
        <f t="shared" si="114"/>
        <v>AE dialoghi di tempo fiducia e cura episodi 2-3-4</v>
      </c>
      <c r="M3109" s="10" t="str">
        <f t="shared" si="115"/>
        <v>nicoletta.vozza@crm.otsuka-europe.com</v>
      </c>
      <c r="N3109" s="13">
        <v>46181.338101851848</v>
      </c>
      <c r="O3109" s="14" t="str">
        <f>HYPERLINK("https://otsuka-europe-crm.veevavault.com/ui/#object/email_activity__v/V8C00000003O961", "EN-002090621")</f>
        <v>EN-002090621</v>
      </c>
    </row>
    <row r="3110" spans="1:15" ht="32" x14ac:dyDescent="0.2">
      <c r="A3110" s="7" t="str">
        <f>HYPERLINK("https://otsuka-europe-crm.veevavault.com/ui/#object/account__v/V4TZ06G6O71SAI3", "ANTONIO D'AURIA")</f>
        <v>ANTONIO D'AURIA</v>
      </c>
      <c r="B3110" s="7" t="str">
        <f t="shared" si="112"/>
        <v>IT</v>
      </c>
      <c r="C3110" s="8" t="s">
        <v>44</v>
      </c>
      <c r="D3110" s="9" t="str">
        <f t="shared" si="113"/>
        <v>AE dialoghi di tempo fiducia e cura episodi 2-3-4</v>
      </c>
      <c r="E3110" s="10" t="str">
        <f>HYPERLINK("https://otsuka-europe-crm.veevavault.com/ui/#object/sent_email__v/VBL00000002O623", "SE-001432294")</f>
        <v>SE-001432294</v>
      </c>
      <c r="F3110" s="11"/>
      <c r="G3110" s="12">
        <v>0</v>
      </c>
      <c r="H3110" s="12">
        <v>0</v>
      </c>
      <c r="I3110" s="12">
        <v>0</v>
      </c>
      <c r="J3110" s="11"/>
      <c r="K3110" s="12">
        <v>0</v>
      </c>
      <c r="L3110" s="10" t="str">
        <f t="shared" si="114"/>
        <v>AE dialoghi di tempo fiducia e cura episodi 2-3-4</v>
      </c>
      <c r="M3110" s="10" t="str">
        <f t="shared" si="115"/>
        <v>nicoletta.vozza@crm.otsuka-europe.com</v>
      </c>
      <c r="N3110" s="13">
        <v>46181.338020833333</v>
      </c>
      <c r="O3110" s="14" t="str">
        <f>HYPERLINK("https://otsuka-europe-crm.veevavault.com/ui/#object/email_activity__v/V8C00000003O829", "EN-002090531")</f>
        <v>EN-002090531</v>
      </c>
    </row>
    <row r="3111" spans="1:15" ht="32" x14ac:dyDescent="0.2">
      <c r="A3111" s="7" t="str">
        <f>HYPERLINK("https://otsuka-europe-crm.veevavault.com/ui/#object/account__v/V4TZ06G6O71SAMU", "ANTONIO FUSCHINO")</f>
        <v>ANTONIO FUSCHINO</v>
      </c>
      <c r="B3111" s="7" t="str">
        <f t="shared" si="112"/>
        <v>IT</v>
      </c>
      <c r="C3111" s="8" t="s">
        <v>44</v>
      </c>
      <c r="D3111" s="9" t="str">
        <f t="shared" si="113"/>
        <v>AE dialoghi di tempo fiducia e cura episodi 2-3-4</v>
      </c>
      <c r="E3111" s="10" t="str">
        <f>HYPERLINK("https://otsuka-europe-crm.veevavault.com/ui/#object/sent_email__v/VBL00000002O624", "SE-001432295")</f>
        <v>SE-001432295</v>
      </c>
      <c r="F3111" s="11"/>
      <c r="G3111" s="12">
        <v>0</v>
      </c>
      <c r="H3111" s="12">
        <v>0</v>
      </c>
      <c r="I3111" s="12">
        <v>0</v>
      </c>
      <c r="J3111" s="11"/>
      <c r="K3111" s="12">
        <v>0</v>
      </c>
      <c r="L3111" s="10" t="str">
        <f t="shared" si="114"/>
        <v>AE dialoghi di tempo fiducia e cura episodi 2-3-4</v>
      </c>
      <c r="M3111" s="10" t="str">
        <f t="shared" si="115"/>
        <v>nicoletta.vozza@crm.otsuka-europe.com</v>
      </c>
      <c r="N3111" s="13">
        <v>46181.337997685187</v>
      </c>
      <c r="O3111" s="14" t="str">
        <f>HYPERLINK("https://otsuka-europe-crm.veevavault.com/ui/#object/email_activity__v/V8C00000003O358", "EN-002089876")</f>
        <v>EN-002089876</v>
      </c>
    </row>
    <row r="3112" spans="1:15" ht="32" x14ac:dyDescent="0.2">
      <c r="A3112" s="7" t="str">
        <f>HYPERLINK("https://otsuka-europe-crm.veevavault.com/ui/#object/account__v/V4TZ06G6O71SB0N", "ANTONIO FUSI")</f>
        <v>ANTONIO FUSI</v>
      </c>
      <c r="B3112" s="7" t="str">
        <f t="shared" si="112"/>
        <v>IT</v>
      </c>
      <c r="C3112" s="8" t="s">
        <v>44</v>
      </c>
      <c r="D3112" s="9" t="str">
        <f t="shared" si="113"/>
        <v>AE dialoghi di tempo fiducia e cura episodi 2-3-4</v>
      </c>
      <c r="E3112" s="10" t="str">
        <f>HYPERLINK("https://otsuka-europe-crm.veevavault.com/ui/#object/sent_email__v/VBL00000002O625", "SE-001432296")</f>
        <v>SE-001432296</v>
      </c>
      <c r="F3112" s="11"/>
      <c r="G3112" s="12">
        <v>0</v>
      </c>
      <c r="H3112" s="12">
        <v>0</v>
      </c>
      <c r="I3112" s="12">
        <v>0</v>
      </c>
      <c r="J3112" s="11"/>
      <c r="K3112" s="12">
        <v>0</v>
      </c>
      <c r="L3112" s="10" t="str">
        <f t="shared" si="114"/>
        <v>AE dialoghi di tempo fiducia e cura episodi 2-3-4</v>
      </c>
      <c r="M3112" s="10" t="str">
        <f t="shared" si="115"/>
        <v>nicoletta.vozza@crm.otsuka-europe.com</v>
      </c>
      <c r="N3112" s="13">
        <v>46181.338020833333</v>
      </c>
      <c r="O3112" s="14" t="str">
        <f>HYPERLINK("https://otsuka-europe-crm.veevavault.com/ui/#object/email_activity__v/V8C00000003O535", "EN-002090091")</f>
        <v>EN-002090091</v>
      </c>
    </row>
    <row r="3113" spans="1:15" ht="32" x14ac:dyDescent="0.2">
      <c r="A3113" s="7" t="str">
        <f>HYPERLINK("https://otsuka-europe-crm.veevavault.com/ui/#object/account__v/V4TZ04ASGC2BTR0", "ANTONIO LATTANZIO")</f>
        <v>ANTONIO LATTANZIO</v>
      </c>
      <c r="B3113" s="7" t="str">
        <f t="shared" si="112"/>
        <v>IT</v>
      </c>
      <c r="C3113" s="8" t="s">
        <v>44</v>
      </c>
      <c r="D3113" s="9" t="str">
        <f t="shared" si="113"/>
        <v>AE dialoghi di tempo fiducia e cura episodi 2-3-4</v>
      </c>
      <c r="E3113" s="10" t="str">
        <f>HYPERLINK("https://otsuka-europe-crm.veevavault.com/ui/#object/sent_email__v/VBL00000002O626", "SE-001432297")</f>
        <v>SE-001432297</v>
      </c>
      <c r="F3113" s="11"/>
      <c r="G3113" s="12">
        <v>0</v>
      </c>
      <c r="H3113" s="12">
        <v>0</v>
      </c>
      <c r="I3113" s="12">
        <v>0</v>
      </c>
      <c r="J3113" s="11"/>
      <c r="K3113" s="12">
        <v>0</v>
      </c>
      <c r="L3113" s="10" t="str">
        <f t="shared" si="114"/>
        <v>AE dialoghi di tempo fiducia e cura episodi 2-3-4</v>
      </c>
      <c r="M3113" s="10" t="str">
        <f t="shared" si="115"/>
        <v>nicoletta.vozza@crm.otsuka-europe.com</v>
      </c>
      <c r="N3113" s="13">
        <v>46181.338020833333</v>
      </c>
      <c r="O3113" s="14" t="str">
        <f>HYPERLINK("https://otsuka-europe-crm.veevavault.com/ui/#object/email_activity__v/V8C00000003P665", "EN-002090920")</f>
        <v>EN-002090920</v>
      </c>
    </row>
    <row r="3114" spans="1:15" ht="32" x14ac:dyDescent="0.2">
      <c r="A3114" s="7" t="str">
        <f>HYPERLINK("https://otsuka-europe-crm.veevavault.com/ui/#object/account__v/V4TZ06G6O71VPDU", "ANTONIO MININNI")</f>
        <v>ANTONIO MININNI</v>
      </c>
      <c r="B3114" s="7" t="str">
        <f t="shared" si="112"/>
        <v>IT</v>
      </c>
      <c r="C3114" s="8" t="s">
        <v>44</v>
      </c>
      <c r="D3114" s="9" t="str">
        <f t="shared" si="113"/>
        <v>AE dialoghi di tempo fiducia e cura episodi 2-3-4</v>
      </c>
      <c r="E3114" s="10" t="str">
        <f>HYPERLINK("https://otsuka-europe-crm.veevavault.com/ui/#object/sent_email__v/VBL00000002O627", "SE-001432298")</f>
        <v>SE-001432298</v>
      </c>
      <c r="F3114" s="11"/>
      <c r="G3114" s="12">
        <v>0</v>
      </c>
      <c r="H3114" s="12">
        <v>0</v>
      </c>
      <c r="I3114" s="12">
        <v>0</v>
      </c>
      <c r="J3114" s="11"/>
      <c r="K3114" s="12">
        <v>0</v>
      </c>
      <c r="L3114" s="10" t="str">
        <f t="shared" si="114"/>
        <v>AE dialoghi di tempo fiducia e cura episodi 2-3-4</v>
      </c>
      <c r="M3114" s="10" t="str">
        <f t="shared" si="115"/>
        <v>nicoletta.vozza@crm.otsuka-europe.com</v>
      </c>
      <c r="N3114" s="13">
        <v>46181.338020833333</v>
      </c>
      <c r="O3114" s="14" t="str">
        <f>HYPERLINK("https://otsuka-europe-crm.veevavault.com/ui/#object/email_activity__v/V8C00000003O634", "EN-002090190")</f>
        <v>EN-002090190</v>
      </c>
    </row>
    <row r="3115" spans="1:15" ht="32" x14ac:dyDescent="0.2">
      <c r="A3115" s="7" t="str">
        <f>HYPERLINK("https://otsuka-europe-crm.veevavault.com/ui/#object/account__v/V4TZ06G6O71SBQ7", "ANTONIO MUZIO")</f>
        <v>ANTONIO MUZIO</v>
      </c>
      <c r="B3115" s="7" t="str">
        <f t="shared" si="112"/>
        <v>IT</v>
      </c>
      <c r="C3115" s="8" t="s">
        <v>44</v>
      </c>
      <c r="D3115" s="9" t="str">
        <f t="shared" si="113"/>
        <v>AE dialoghi di tempo fiducia e cura episodi 2-3-4</v>
      </c>
      <c r="E3115" s="10" t="str">
        <f>HYPERLINK("https://otsuka-europe-crm.veevavault.com/ui/#object/sent_email__v/VBL00000002O628", "SE-001432299")</f>
        <v>SE-001432299</v>
      </c>
      <c r="F3115" s="11"/>
      <c r="G3115" s="12">
        <v>0</v>
      </c>
      <c r="H3115" s="12">
        <v>0</v>
      </c>
      <c r="I3115" s="12">
        <v>0</v>
      </c>
      <c r="J3115" s="11"/>
      <c r="K3115" s="12">
        <v>0</v>
      </c>
      <c r="L3115" s="10" t="str">
        <f t="shared" si="114"/>
        <v>AE dialoghi di tempo fiducia e cura episodi 2-3-4</v>
      </c>
      <c r="M3115" s="10" t="str">
        <f t="shared" si="115"/>
        <v>nicoletta.vozza@crm.otsuka-europe.com</v>
      </c>
      <c r="N3115" s="13">
        <v>46181.338009259256</v>
      </c>
      <c r="O3115" s="14" t="str">
        <f>HYPERLINK("https://otsuka-europe-crm.veevavault.com/ui/#object/email_activity__v/V8C00000003P330", "EN-002090336")</f>
        <v>EN-002090336</v>
      </c>
    </row>
    <row r="3116" spans="1:15" ht="16" x14ac:dyDescent="0.2">
      <c r="A3116" s="17" t="str">
        <f>HYPERLINK("https://otsuka-europe-crm.veevavault.com/ui/#object/account__v/V4TZ06G6O71SC13", "ANTONIO PINTO")</f>
        <v>ANTONIO PINTO</v>
      </c>
      <c r="B3116" s="17" t="str">
        <f t="shared" si="112"/>
        <v>IT</v>
      </c>
      <c r="C3116" s="20" t="s">
        <v>44</v>
      </c>
      <c r="D3116" s="21" t="str">
        <f t="shared" si="113"/>
        <v>AE dialoghi di tempo fiducia e cura episodi 2-3-4</v>
      </c>
      <c r="E3116" s="22" t="str">
        <f>HYPERLINK("https://otsuka-europe-crm.veevavault.com/ui/#object/sent_email__v/VBL00000002O629", "SE-001432300")</f>
        <v>SE-001432300</v>
      </c>
      <c r="F3116" s="25"/>
      <c r="G3116" s="24">
        <v>0</v>
      </c>
      <c r="H3116" s="24">
        <v>0</v>
      </c>
      <c r="I3116" s="24">
        <v>1</v>
      </c>
      <c r="J3116" s="23">
        <v>46181.955081018517</v>
      </c>
      <c r="K3116" s="24">
        <v>1</v>
      </c>
      <c r="L3116" s="22" t="str">
        <f t="shared" si="114"/>
        <v>AE dialoghi di tempo fiducia e cura episodi 2-3-4</v>
      </c>
      <c r="M3116" s="22" t="str">
        <f t="shared" si="115"/>
        <v>nicoletta.vozza@crm.otsuka-europe.com</v>
      </c>
      <c r="N3116" s="23">
        <v>46181.337997685187</v>
      </c>
      <c r="O3116" s="14" t="str">
        <f>HYPERLINK("https://otsuka-europe-crm.veevavault.com/ui/#object/email_activity__v/V8C00000003P284", "EN-002089920")</f>
        <v>EN-002089920</v>
      </c>
    </row>
    <row r="3117" spans="1:15" ht="16" x14ac:dyDescent="0.2">
      <c r="A3117" s="18"/>
      <c r="B3117" s="18"/>
      <c r="C3117" s="18"/>
      <c r="D3117" s="18"/>
      <c r="E3117" s="18"/>
      <c r="F3117" s="18"/>
      <c r="G3117" s="18"/>
      <c r="H3117" s="18"/>
      <c r="I3117" s="18"/>
      <c r="J3117" s="18"/>
      <c r="K3117" s="18"/>
      <c r="L3117" s="18"/>
      <c r="M3117" s="18"/>
      <c r="N3117" s="18"/>
      <c r="O3117" s="14" t="str">
        <f>HYPERLINK("https://otsuka-europe-crm.veevavault.com/ui/#object/email_activity__v/V8C00000003R044", "EN-002091771")</f>
        <v>EN-002091771</v>
      </c>
    </row>
    <row r="3118" spans="1:15" ht="16" x14ac:dyDescent="0.2">
      <c r="A3118" s="18"/>
      <c r="B3118" s="18"/>
      <c r="C3118" s="18"/>
      <c r="D3118" s="18"/>
      <c r="E3118" s="18"/>
      <c r="F3118" s="18"/>
      <c r="G3118" s="18"/>
      <c r="H3118" s="18"/>
      <c r="I3118" s="18"/>
      <c r="J3118" s="18"/>
      <c r="K3118" s="18"/>
      <c r="L3118" s="18"/>
      <c r="M3118" s="18"/>
      <c r="N3118" s="18"/>
      <c r="O3118" s="14" t="str">
        <f>HYPERLINK("https://otsuka-europe-crm.veevavault.com/ui/#object/email_activity__v/V8C00000003R323", "EN-002092283")</f>
        <v>EN-002092283</v>
      </c>
    </row>
    <row r="3119" spans="1:15" ht="16" x14ac:dyDescent="0.2">
      <c r="A3119" s="19"/>
      <c r="B3119" s="19"/>
      <c r="C3119" s="19"/>
      <c r="D3119" s="19"/>
      <c r="E3119" s="19"/>
      <c r="F3119" s="19"/>
      <c r="G3119" s="19"/>
      <c r="H3119" s="19"/>
      <c r="I3119" s="19"/>
      <c r="J3119" s="19"/>
      <c r="K3119" s="19"/>
      <c r="L3119" s="19"/>
      <c r="M3119" s="19"/>
      <c r="N3119" s="19"/>
      <c r="O3119" s="14" t="str">
        <f>HYPERLINK("https://otsuka-europe-crm.veevavault.com/ui/#object/email_activity__v/V8C000000041246", "EN-002100162")</f>
        <v>EN-002100162</v>
      </c>
    </row>
    <row r="3120" spans="1:15" ht="32" x14ac:dyDescent="0.2">
      <c r="A3120" s="7" t="str">
        <f>HYPERLINK("https://otsuka-europe-crm.veevavault.com/ui/#object/account__v/V4TZ06G6O71SC63", "ANTONIO RAFFAELE RUSSO")</f>
        <v>ANTONIO RAFFAELE RUSSO</v>
      </c>
      <c r="B3120" s="7" t="str">
        <f>HYPERLINK("https://otsuka-europe-crm.veevavault.com/ui/#object/vcountry__v/VENZ000004SONFQ", "IT")</f>
        <v>IT</v>
      </c>
      <c r="C3120" s="8" t="s">
        <v>44</v>
      </c>
      <c r="D3120" s="9" t="str">
        <f>HYPERLINK("https://otsuka-europe-crm.veevavault.com/ui/#object/approved_document__v/V5O000000018003", "AE dialoghi di tempo fiducia e cura episodi 2-3-4")</f>
        <v>AE dialoghi di tempo fiducia e cura episodi 2-3-4</v>
      </c>
      <c r="E3120" s="10" t="str">
        <f>HYPERLINK("https://otsuka-europe-crm.veevavault.com/ui/#object/sent_email__v/VBL00000002O630", "SE-001432301")</f>
        <v>SE-001432301</v>
      </c>
      <c r="F3120" s="11"/>
      <c r="G3120" s="12">
        <v>0</v>
      </c>
      <c r="H3120" s="12">
        <v>0</v>
      </c>
      <c r="I3120" s="12">
        <v>0</v>
      </c>
      <c r="J3120" s="11"/>
      <c r="K3120" s="12">
        <v>0</v>
      </c>
      <c r="L3120" s="10" t="str">
        <f>HYPERLINK("https://otsuka-europe-crm.veevavault.com/ui/#object/approved_document__v/V5O000000018003", "AE dialoghi di tempo fiducia e cura episodi 2-3-4")</f>
        <v>AE dialoghi di tempo fiducia e cura episodi 2-3-4</v>
      </c>
      <c r="M3120" s="10" t="str">
        <f>HYPERLINK("mailto:nicoletta.vozza@crm.otsuka-europe.com", "nicoletta.vozza@crm.otsuka-europe.com")</f>
        <v>nicoletta.vozza@crm.otsuka-europe.com</v>
      </c>
      <c r="N3120" s="13">
        <v>46181.337997685187</v>
      </c>
      <c r="O3120" s="14" t="str">
        <f>HYPERLINK("https://otsuka-europe-crm.veevavault.com/ui/#object/email_activity__v/V8C00000003O178", "EN-002089615")</f>
        <v>EN-002089615</v>
      </c>
    </row>
    <row r="3121" spans="1:15" ht="16" x14ac:dyDescent="0.2">
      <c r="A3121" s="17" t="str">
        <f>HYPERLINK("https://otsuka-europe-crm.veevavault.com/ui/#object/account__v/V4TZ06G6O71SC1U", "ANTONIO RAMPINO")</f>
        <v>ANTONIO RAMPINO</v>
      </c>
      <c r="B3121" s="17" t="str">
        <f>HYPERLINK("https://otsuka-europe-crm.veevavault.com/ui/#object/vcountry__v/VENZ000004SONFQ", "IT")</f>
        <v>IT</v>
      </c>
      <c r="C3121" s="20" t="s">
        <v>44</v>
      </c>
      <c r="D3121" s="21" t="str">
        <f>HYPERLINK("https://otsuka-europe-crm.veevavault.com/ui/#object/approved_document__v/V5O000000018003", "AE dialoghi di tempo fiducia e cura episodi 2-3-4")</f>
        <v>AE dialoghi di tempo fiducia e cura episodi 2-3-4</v>
      </c>
      <c r="E3121" s="22" t="str">
        <f>HYPERLINK("https://otsuka-europe-crm.veevavault.com/ui/#object/sent_email__v/VBL00000002O631", "SE-001432302")</f>
        <v>SE-001432302</v>
      </c>
      <c r="F3121" s="25"/>
      <c r="G3121" s="24">
        <v>0</v>
      </c>
      <c r="H3121" s="24">
        <v>0</v>
      </c>
      <c r="I3121" s="24">
        <v>0</v>
      </c>
      <c r="J3121" s="25"/>
      <c r="K3121" s="24">
        <v>0</v>
      </c>
      <c r="L3121" s="22" t="str">
        <f>HYPERLINK("https://otsuka-europe-crm.veevavault.com/ui/#object/approved_document__v/V5O000000018003", "AE dialoghi di tempo fiducia e cura episodi 2-3-4")</f>
        <v>AE dialoghi di tempo fiducia e cura episodi 2-3-4</v>
      </c>
      <c r="M3121" s="22" t="str">
        <f>HYPERLINK("mailto:nicoletta.vozza@crm.otsuka-europe.com", "nicoletta.vozza@crm.otsuka-europe.com")</f>
        <v>nicoletta.vozza@crm.otsuka-europe.com</v>
      </c>
      <c r="N3121" s="23">
        <v>46181.338020833333</v>
      </c>
      <c r="O3121" s="14" t="str">
        <f>HYPERLINK("https://otsuka-europe-crm.veevavault.com/ui/#object/email_activity__v/V8C00000003P865", "EN-002091291")</f>
        <v>EN-002091291</v>
      </c>
    </row>
    <row r="3122" spans="1:15" ht="16" x14ac:dyDescent="0.2">
      <c r="A3122" s="18"/>
      <c r="B3122" s="18"/>
      <c r="C3122" s="18"/>
      <c r="D3122" s="18"/>
      <c r="E3122" s="18"/>
      <c r="F3122" s="18"/>
      <c r="G3122" s="18"/>
      <c r="H3122" s="18"/>
      <c r="I3122" s="18"/>
      <c r="J3122" s="18"/>
      <c r="K3122" s="18"/>
      <c r="L3122" s="18"/>
      <c r="M3122" s="18"/>
      <c r="N3122" s="18"/>
      <c r="O3122" s="14" t="str">
        <f>HYPERLINK("https://otsuka-europe-crm.veevavault.com/ui/#object/email_activity__v/V8C00000003Q187", "EN-002091290")</f>
        <v>EN-002091290</v>
      </c>
    </row>
    <row r="3123" spans="1:15" ht="16" x14ac:dyDescent="0.2">
      <c r="A3123" s="18"/>
      <c r="B3123" s="18"/>
      <c r="C3123" s="18"/>
      <c r="D3123" s="18"/>
      <c r="E3123" s="18"/>
      <c r="F3123" s="18"/>
      <c r="G3123" s="18"/>
      <c r="H3123" s="18"/>
      <c r="I3123" s="18"/>
      <c r="J3123" s="18"/>
      <c r="K3123" s="18"/>
      <c r="L3123" s="18"/>
      <c r="M3123" s="18"/>
      <c r="N3123" s="18"/>
      <c r="O3123" s="14" t="str">
        <f>HYPERLINK("https://otsuka-europe-crm.veevavault.com/ui/#object/email_activity__v/V8C00000003U038", "EN-002094892")</f>
        <v>EN-002094892</v>
      </c>
    </row>
    <row r="3124" spans="1:15" ht="16" x14ac:dyDescent="0.2">
      <c r="A3124" s="19"/>
      <c r="B3124" s="19"/>
      <c r="C3124" s="19"/>
      <c r="D3124" s="19"/>
      <c r="E3124" s="19"/>
      <c r="F3124" s="19"/>
      <c r="G3124" s="19"/>
      <c r="H3124" s="19"/>
      <c r="I3124" s="19"/>
      <c r="J3124" s="19"/>
      <c r="K3124" s="19"/>
      <c r="L3124" s="19"/>
      <c r="M3124" s="19"/>
      <c r="N3124" s="19"/>
      <c r="O3124" s="14" t="str">
        <f>HYPERLINK("https://otsuka-europe-crm.veevavault.com/ui/#object/email_activity__v/V8C00000003W108", "EN-002096859")</f>
        <v>EN-002096859</v>
      </c>
    </row>
    <row r="3125" spans="1:15" ht="16" x14ac:dyDescent="0.2">
      <c r="A3125" s="17" t="str">
        <f>HYPERLINK("https://otsuka-europe-crm.veevavault.com/ui/#object/account__v/V4TZ06G6O71TLKK", "ANTONIO TUNDO")</f>
        <v>ANTONIO TUNDO</v>
      </c>
      <c r="B3125" s="17" t="str">
        <f>HYPERLINK("https://otsuka-europe-crm.veevavault.com/ui/#object/vcountry__v/VENZ000004SONFQ", "IT")</f>
        <v>IT</v>
      </c>
      <c r="C3125" s="20" t="s">
        <v>44</v>
      </c>
      <c r="D3125" s="21" t="str">
        <f>HYPERLINK("https://otsuka-europe-crm.veevavault.com/ui/#object/approved_document__v/V5O000000018003", "AE dialoghi di tempo fiducia e cura episodi 2-3-4")</f>
        <v>AE dialoghi di tempo fiducia e cura episodi 2-3-4</v>
      </c>
      <c r="E3125" s="22" t="str">
        <f>HYPERLINK("https://otsuka-europe-crm.veevavault.com/ui/#object/sent_email__v/VBL00000002O632", "SE-001432303")</f>
        <v>SE-001432303</v>
      </c>
      <c r="F3125" s="23">
        <v>46181.469571759262</v>
      </c>
      <c r="G3125" s="24">
        <v>1</v>
      </c>
      <c r="H3125" s="24">
        <v>1</v>
      </c>
      <c r="I3125" s="24">
        <v>0</v>
      </c>
      <c r="J3125" s="25"/>
      <c r="K3125" s="24">
        <v>0</v>
      </c>
      <c r="L3125" s="22" t="str">
        <f>HYPERLINK("https://otsuka-europe-crm.veevavault.com/ui/#object/approved_document__v/V5O000000018003", "AE dialoghi di tempo fiducia e cura episodi 2-3-4")</f>
        <v>AE dialoghi di tempo fiducia e cura episodi 2-3-4</v>
      </c>
      <c r="M3125" s="22" t="str">
        <f>HYPERLINK("mailto:nicoletta.vozza@crm.otsuka-europe.com", "nicoletta.vozza@crm.otsuka-europe.com")</f>
        <v>nicoletta.vozza@crm.otsuka-europe.com</v>
      </c>
      <c r="N3125" s="23">
        <v>46181.338020833333</v>
      </c>
      <c r="O3125" s="14" t="str">
        <f>HYPERLINK("https://otsuka-europe-crm.veevavault.com/ui/#object/email_activity__v/V8C00000003P477", "EN-002090702")</f>
        <v>EN-002090702</v>
      </c>
    </row>
    <row r="3126" spans="1:15" ht="16" x14ac:dyDescent="0.2">
      <c r="A3126" s="19"/>
      <c r="B3126" s="19"/>
      <c r="C3126" s="19"/>
      <c r="D3126" s="19"/>
      <c r="E3126" s="19"/>
      <c r="F3126" s="19"/>
      <c r="G3126" s="19"/>
      <c r="H3126" s="19"/>
      <c r="I3126" s="19"/>
      <c r="J3126" s="19"/>
      <c r="K3126" s="19"/>
      <c r="L3126" s="19"/>
      <c r="M3126" s="19"/>
      <c r="N3126" s="19"/>
      <c r="O3126" s="14" t="str">
        <f>HYPERLINK("https://otsuka-europe-crm.veevavault.com/ui/#object/email_activity__v/V8C00000003R111", "EN-002091892")</f>
        <v>EN-002091892</v>
      </c>
    </row>
    <row r="3127" spans="1:15" ht="32" x14ac:dyDescent="0.2">
      <c r="A3127" s="7" t="str">
        <f>HYPERLINK("https://otsuka-europe-crm.veevavault.com/ui/#object/account__v/V4TZ04ASG7RY4NZ", "ANTONIO VENTRIGLIO")</f>
        <v>ANTONIO VENTRIGLIO</v>
      </c>
      <c r="B3127" s="7" t="str">
        <f t="shared" ref="B3127:B3136" si="116">HYPERLINK("https://otsuka-europe-crm.veevavault.com/ui/#object/vcountry__v/VENZ000004SONFQ", "IT")</f>
        <v>IT</v>
      </c>
      <c r="C3127" s="8" t="s">
        <v>44</v>
      </c>
      <c r="D3127" s="9" t="str">
        <f t="shared" ref="D3127:D3136" si="117">HYPERLINK("https://otsuka-europe-crm.veevavault.com/ui/#object/approved_document__v/V5O000000018003", "AE dialoghi di tempo fiducia e cura episodi 2-3-4")</f>
        <v>AE dialoghi di tempo fiducia e cura episodi 2-3-4</v>
      </c>
      <c r="E3127" s="10" t="str">
        <f>HYPERLINK("https://otsuka-europe-crm.veevavault.com/ui/#object/sent_email__v/VBL00000002O633", "SE-001432304")</f>
        <v>SE-001432304</v>
      </c>
      <c r="F3127" s="11"/>
      <c r="G3127" s="12">
        <v>0</v>
      </c>
      <c r="H3127" s="12">
        <v>0</v>
      </c>
      <c r="I3127" s="12">
        <v>0</v>
      </c>
      <c r="J3127" s="11"/>
      <c r="K3127" s="12">
        <v>0</v>
      </c>
      <c r="L3127" s="10" t="str">
        <f t="shared" ref="L3127:L3136" si="118">HYPERLINK("https://otsuka-europe-crm.veevavault.com/ui/#object/approved_document__v/V5O000000018003", "AE dialoghi di tempo fiducia e cura episodi 2-3-4")</f>
        <v>AE dialoghi di tempo fiducia e cura episodi 2-3-4</v>
      </c>
      <c r="M3127" s="10" t="str">
        <f t="shared" ref="M3127:M3136" si="119">HYPERLINK("mailto:nicoletta.vozza@crm.otsuka-europe.com", "nicoletta.vozza@crm.otsuka-europe.com")</f>
        <v>nicoletta.vozza@crm.otsuka-europe.com</v>
      </c>
      <c r="N3127" s="13">
        <v>46181.33803240741</v>
      </c>
      <c r="O3127" s="14" t="str">
        <f>HYPERLINK("https://otsuka-europe-crm.veevavault.com/ui/#object/email_activity__v/V8C00000003Q003", "EN-002090751")</f>
        <v>EN-002090751</v>
      </c>
    </row>
    <row r="3128" spans="1:15" ht="32" x14ac:dyDescent="0.2">
      <c r="A3128" s="7" t="str">
        <f>HYPERLINK("https://otsuka-europe-crm.veevavault.com/ui/#object/account__v/V4TZ06G6O71SCQM", "ANTONIO VITA")</f>
        <v>ANTONIO VITA</v>
      </c>
      <c r="B3128" s="7" t="str">
        <f t="shared" si="116"/>
        <v>IT</v>
      </c>
      <c r="C3128" s="8" t="s">
        <v>44</v>
      </c>
      <c r="D3128" s="9" t="str">
        <f t="shared" si="117"/>
        <v>AE dialoghi di tempo fiducia e cura episodi 2-3-4</v>
      </c>
      <c r="E3128" s="10" t="str">
        <f>HYPERLINK("https://otsuka-europe-crm.veevavault.com/ui/#object/sent_email__v/VBL00000002O634", "SE-001432305")</f>
        <v>SE-001432305</v>
      </c>
      <c r="F3128" s="11"/>
      <c r="G3128" s="12">
        <v>0</v>
      </c>
      <c r="H3128" s="12">
        <v>0</v>
      </c>
      <c r="I3128" s="12">
        <v>0</v>
      </c>
      <c r="J3128" s="11"/>
      <c r="K3128" s="12">
        <v>0</v>
      </c>
      <c r="L3128" s="10" t="str">
        <f t="shared" si="118"/>
        <v>AE dialoghi di tempo fiducia e cura episodi 2-3-4</v>
      </c>
      <c r="M3128" s="10" t="str">
        <f t="shared" si="119"/>
        <v>nicoletta.vozza@crm.otsuka-europe.com</v>
      </c>
      <c r="N3128" s="13">
        <v>46181.338113425925</v>
      </c>
      <c r="O3128" s="14" t="str">
        <f>HYPERLINK("https://otsuka-europe-crm.veevavault.com/ui/#object/email_activity__v/V8C00000003P776", "EN-002091074")</f>
        <v>EN-002091074</v>
      </c>
    </row>
    <row r="3129" spans="1:15" ht="32" x14ac:dyDescent="0.2">
      <c r="A3129" s="7" t="str">
        <f>HYPERLINK("https://otsuka-europe-crm.veevavault.com/ui/#object/account__v/V4TZ06G6O71SBUE", "APOSTOLOS PAPAZACHARIAS")</f>
        <v>APOSTOLOS PAPAZACHARIAS</v>
      </c>
      <c r="B3129" s="7" t="str">
        <f t="shared" si="116"/>
        <v>IT</v>
      </c>
      <c r="C3129" s="8" t="s">
        <v>44</v>
      </c>
      <c r="D3129" s="9" t="str">
        <f t="shared" si="117"/>
        <v>AE dialoghi di tempo fiducia e cura episodi 2-3-4</v>
      </c>
      <c r="E3129" s="10" t="str">
        <f>HYPERLINK("https://otsuka-europe-crm.veevavault.com/ui/#object/sent_email__v/VBL00000002O635", "SE-001432306")</f>
        <v>SE-001432306</v>
      </c>
      <c r="F3129" s="11"/>
      <c r="G3129" s="12">
        <v>0</v>
      </c>
      <c r="H3129" s="12">
        <v>0</v>
      </c>
      <c r="I3129" s="12">
        <v>0</v>
      </c>
      <c r="J3129" s="11"/>
      <c r="K3129" s="12">
        <v>0</v>
      </c>
      <c r="L3129" s="10" t="str">
        <f t="shared" si="118"/>
        <v>AE dialoghi di tempo fiducia e cura episodi 2-3-4</v>
      </c>
      <c r="M3129" s="10" t="str">
        <f t="shared" si="119"/>
        <v>nicoletta.vozza@crm.otsuka-europe.com</v>
      </c>
      <c r="N3129" s="13">
        <v>46181.337951388887</v>
      </c>
      <c r="O3129" s="14" t="str">
        <f>HYPERLINK("https://otsuka-europe-crm.veevavault.com/ui/#object/email_activity__v/V8C00000003O156", "EN-002089538")</f>
        <v>EN-002089538</v>
      </c>
    </row>
    <row r="3130" spans="1:15" ht="32" x14ac:dyDescent="0.2">
      <c r="A3130" s="7" t="str">
        <f>HYPERLINK("https://otsuka-europe-crm.veevavault.com/ui/#object/account__v/V4TZ06G6O71SAD5", "ARGENTINA GUAGLIANONE")</f>
        <v>ARGENTINA GUAGLIANONE</v>
      </c>
      <c r="B3130" s="7" t="str">
        <f t="shared" si="116"/>
        <v>IT</v>
      </c>
      <c r="C3130" s="8" t="s">
        <v>44</v>
      </c>
      <c r="D3130" s="9" t="str">
        <f t="shared" si="117"/>
        <v>AE dialoghi di tempo fiducia e cura episodi 2-3-4</v>
      </c>
      <c r="E3130" s="10" t="str">
        <f>HYPERLINK("https://otsuka-europe-crm.veevavault.com/ui/#object/sent_email__v/VBL00000002O636", "SE-001432307")</f>
        <v>SE-001432307</v>
      </c>
      <c r="F3130" s="11"/>
      <c r="G3130" s="12">
        <v>0</v>
      </c>
      <c r="H3130" s="12">
        <v>0</v>
      </c>
      <c r="I3130" s="12">
        <v>0</v>
      </c>
      <c r="J3130" s="11"/>
      <c r="K3130" s="12">
        <v>0</v>
      </c>
      <c r="L3130" s="10" t="str">
        <f t="shared" si="118"/>
        <v>AE dialoghi di tempo fiducia e cura episodi 2-3-4</v>
      </c>
      <c r="M3130" s="10" t="str">
        <f t="shared" si="119"/>
        <v>nicoletta.vozza@crm.otsuka-europe.com</v>
      </c>
      <c r="N3130" s="13">
        <v>46181.338078703702</v>
      </c>
      <c r="O3130" s="14" t="str">
        <f>HYPERLINK("https://otsuka-europe-crm.veevavault.com/ui/#object/email_activity__v/V8C00000003Q033", "EN-002090999")</f>
        <v>EN-002090999</v>
      </c>
    </row>
    <row r="3131" spans="1:15" ht="32" x14ac:dyDescent="0.2">
      <c r="A3131" s="7" t="str">
        <f>HYPERLINK("https://otsuka-europe-crm.veevavault.com/ui/#object/account__v/V4TZ06G6O71SB6F", "ARIANNA LANDI")</f>
        <v>ARIANNA LANDI</v>
      </c>
      <c r="B3131" s="7" t="str">
        <f t="shared" si="116"/>
        <v>IT</v>
      </c>
      <c r="C3131" s="8" t="s">
        <v>44</v>
      </c>
      <c r="D3131" s="9" t="str">
        <f t="shared" si="117"/>
        <v>AE dialoghi di tempo fiducia e cura episodi 2-3-4</v>
      </c>
      <c r="E3131" s="10" t="str">
        <f>HYPERLINK("https://otsuka-europe-crm.veevavault.com/ui/#object/sent_email__v/VBL00000002O637", "SE-001432308")</f>
        <v>SE-001432308</v>
      </c>
      <c r="F3131" s="11"/>
      <c r="G3131" s="12">
        <v>0</v>
      </c>
      <c r="H3131" s="12">
        <v>0</v>
      </c>
      <c r="I3131" s="12">
        <v>0</v>
      </c>
      <c r="J3131" s="11"/>
      <c r="K3131" s="12">
        <v>0</v>
      </c>
      <c r="L3131" s="10" t="str">
        <f t="shared" si="118"/>
        <v>AE dialoghi di tempo fiducia e cura episodi 2-3-4</v>
      </c>
      <c r="M3131" s="10" t="str">
        <f t="shared" si="119"/>
        <v>nicoletta.vozza@crm.otsuka-europe.com</v>
      </c>
      <c r="N3131" s="13">
        <v>46181.338055555556</v>
      </c>
      <c r="O3131" s="14" t="str">
        <f>HYPERLINK("https://otsuka-europe-crm.veevavault.com/ui/#object/email_activity__v/V8C00000003P803", "EN-002091101")</f>
        <v>EN-002091101</v>
      </c>
    </row>
    <row r="3132" spans="1:15" ht="32" x14ac:dyDescent="0.2">
      <c r="A3132" s="7" t="str">
        <f>HYPERLINK("https://otsuka-europe-crm.veevavault.com/ui/#object/account__v/V4TZ025E878RX0D", "ARIANNA PASINO")</f>
        <v>ARIANNA PASINO</v>
      </c>
      <c r="B3132" s="7" t="str">
        <f t="shared" si="116"/>
        <v>IT</v>
      </c>
      <c r="C3132" s="8" t="s">
        <v>44</v>
      </c>
      <c r="D3132" s="9" t="str">
        <f t="shared" si="117"/>
        <v>AE dialoghi di tempo fiducia e cura episodi 2-3-4</v>
      </c>
      <c r="E3132" s="10" t="str">
        <f>HYPERLINK("https://otsuka-europe-crm.veevavault.com/ui/#object/sent_email__v/VBL00000002O638", "SE-001432309")</f>
        <v>SE-001432309</v>
      </c>
      <c r="F3132" s="11"/>
      <c r="G3132" s="12">
        <v>0</v>
      </c>
      <c r="H3132" s="12">
        <v>0</v>
      </c>
      <c r="I3132" s="12">
        <v>0</v>
      </c>
      <c r="J3132" s="11"/>
      <c r="K3132" s="12">
        <v>0</v>
      </c>
      <c r="L3132" s="10" t="str">
        <f t="shared" si="118"/>
        <v>AE dialoghi di tempo fiducia e cura episodi 2-3-4</v>
      </c>
      <c r="M3132" s="10" t="str">
        <f t="shared" si="119"/>
        <v>nicoletta.vozza@crm.otsuka-europe.com</v>
      </c>
      <c r="N3132" s="13">
        <v>46181.337951388887</v>
      </c>
      <c r="O3132" s="14" t="str">
        <f>HYPERLINK("https://otsuka-europe-crm.veevavault.com/ui/#object/email_activity__v/V8C00000003O261", "EN-002089738")</f>
        <v>EN-002089738</v>
      </c>
    </row>
    <row r="3133" spans="1:15" ht="32" x14ac:dyDescent="0.2">
      <c r="A3133" s="7" t="str">
        <f>HYPERLINK("https://otsuka-europe-crm.veevavault.com/ui/#object/account__v/V4TZ06G6O71SBPR", "ARMIDA MUCCI")</f>
        <v>ARMIDA MUCCI</v>
      </c>
      <c r="B3133" s="7" t="str">
        <f t="shared" si="116"/>
        <v>IT</v>
      </c>
      <c r="C3133" s="8" t="s">
        <v>44</v>
      </c>
      <c r="D3133" s="9" t="str">
        <f t="shared" si="117"/>
        <v>AE dialoghi di tempo fiducia e cura episodi 2-3-4</v>
      </c>
      <c r="E3133" s="10" t="str">
        <f>HYPERLINK("https://otsuka-europe-crm.veevavault.com/ui/#object/sent_email__v/VBL00000002O639", "SE-001432310")</f>
        <v>SE-001432310</v>
      </c>
      <c r="F3133" s="11"/>
      <c r="G3133" s="12">
        <v>0</v>
      </c>
      <c r="H3133" s="12">
        <v>0</v>
      </c>
      <c r="I3133" s="12">
        <v>0</v>
      </c>
      <c r="J3133" s="11"/>
      <c r="K3133" s="12">
        <v>0</v>
      </c>
      <c r="L3133" s="10" t="str">
        <f t="shared" si="118"/>
        <v>AE dialoghi di tempo fiducia e cura episodi 2-3-4</v>
      </c>
      <c r="M3133" s="10" t="str">
        <f t="shared" si="119"/>
        <v>nicoletta.vozza@crm.otsuka-europe.com</v>
      </c>
      <c r="N3133" s="13">
        <v>46181.338101851848</v>
      </c>
      <c r="O3133" s="14" t="str">
        <f>HYPERLINK("https://otsuka-europe-crm.veevavault.com/ui/#object/email_activity__v/V8C00000003O967", "EN-002090627")</f>
        <v>EN-002090627</v>
      </c>
    </row>
    <row r="3134" spans="1:15" ht="32" x14ac:dyDescent="0.2">
      <c r="A3134" s="7" t="str">
        <f>HYPERLINK("https://otsuka-europe-crm.veevavault.com/ui/#object/account__v/V4TZ06G6O71SAR4", "ASSUNTA DELLA CORTE")</f>
        <v>ASSUNTA DELLA CORTE</v>
      </c>
      <c r="B3134" s="7" t="str">
        <f t="shared" si="116"/>
        <v>IT</v>
      </c>
      <c r="C3134" s="8" t="s">
        <v>44</v>
      </c>
      <c r="D3134" s="9" t="str">
        <f t="shared" si="117"/>
        <v>AE dialoghi di tempo fiducia e cura episodi 2-3-4</v>
      </c>
      <c r="E3134" s="10" t="str">
        <f>HYPERLINK("https://otsuka-europe-crm.veevavault.com/ui/#object/sent_email__v/VBL00000002O640", "SE-001432311")</f>
        <v>SE-001432311</v>
      </c>
      <c r="F3134" s="11"/>
      <c r="G3134" s="12">
        <v>0</v>
      </c>
      <c r="H3134" s="12">
        <v>0</v>
      </c>
      <c r="I3134" s="12">
        <v>0</v>
      </c>
      <c r="J3134" s="11"/>
      <c r="K3134" s="12">
        <v>0</v>
      </c>
      <c r="L3134" s="10" t="str">
        <f t="shared" si="118"/>
        <v>AE dialoghi di tempo fiducia e cura episodi 2-3-4</v>
      </c>
      <c r="M3134" s="10" t="str">
        <f t="shared" si="119"/>
        <v>nicoletta.vozza@crm.otsuka-europe.com</v>
      </c>
      <c r="N3134" s="13">
        <v>46181.338043981479</v>
      </c>
      <c r="O3134" s="14" t="str">
        <f>HYPERLINK("https://otsuka-europe-crm.veevavault.com/ui/#object/email_activity__v/V8C00000003Q283", "EN-002091405")</f>
        <v>EN-002091405</v>
      </c>
    </row>
    <row r="3135" spans="1:15" ht="32" x14ac:dyDescent="0.2">
      <c r="A3135" s="7" t="str">
        <f>HYPERLINK("https://otsuka-europe-crm.veevavault.com/ui/#object/account__v/V4TZ06G6O71SBCS", "ASSUNTA MAGLIONE")</f>
        <v>ASSUNTA MAGLIONE</v>
      </c>
      <c r="B3135" s="7" t="str">
        <f t="shared" si="116"/>
        <v>IT</v>
      </c>
      <c r="C3135" s="8" t="s">
        <v>44</v>
      </c>
      <c r="D3135" s="9" t="str">
        <f t="shared" si="117"/>
        <v>AE dialoghi di tempo fiducia e cura episodi 2-3-4</v>
      </c>
      <c r="E3135" s="10" t="str">
        <f>HYPERLINK("https://otsuka-europe-crm.veevavault.com/ui/#object/sent_email__v/VBL00000002O641", "SE-001432312")</f>
        <v>SE-001432312</v>
      </c>
      <c r="F3135" s="11"/>
      <c r="G3135" s="12">
        <v>0</v>
      </c>
      <c r="H3135" s="12">
        <v>0</v>
      </c>
      <c r="I3135" s="12">
        <v>0</v>
      </c>
      <c r="J3135" s="11"/>
      <c r="K3135" s="12">
        <v>0</v>
      </c>
      <c r="L3135" s="10" t="str">
        <f t="shared" si="118"/>
        <v>AE dialoghi di tempo fiducia e cura episodi 2-3-4</v>
      </c>
      <c r="M3135" s="10" t="str">
        <f t="shared" si="119"/>
        <v>nicoletta.vozza@crm.otsuka-europe.com</v>
      </c>
      <c r="N3135" s="13">
        <v>46181.338090277779</v>
      </c>
      <c r="O3135" s="14" t="str">
        <f>HYPERLINK("https://otsuka-europe-crm.veevavault.com/ui/#object/email_activity__v/V8C00000003O957", "EN-002090617")</f>
        <v>EN-002090617</v>
      </c>
    </row>
    <row r="3136" spans="1:15" ht="16" x14ac:dyDescent="0.2">
      <c r="A3136" s="17" t="str">
        <f>HYPERLINK("https://otsuka-europe-crm.veevavault.com/ui/#object/account__v/V4TZ06G6O71SBZQ", "AURELIO PICCOLO")</f>
        <v>AURELIO PICCOLO</v>
      </c>
      <c r="B3136" s="17" t="str">
        <f t="shared" si="116"/>
        <v>IT</v>
      </c>
      <c r="C3136" s="20" t="s">
        <v>44</v>
      </c>
      <c r="D3136" s="21" t="str">
        <f t="shared" si="117"/>
        <v>AE dialoghi di tempo fiducia e cura episodi 2-3-4</v>
      </c>
      <c r="E3136" s="22" t="str">
        <f>HYPERLINK("https://otsuka-europe-crm.veevavault.com/ui/#object/sent_email__v/VBL00000002O642", "SE-001432313")</f>
        <v>SE-001432313</v>
      </c>
      <c r="F3136" s="25"/>
      <c r="G3136" s="24">
        <v>0</v>
      </c>
      <c r="H3136" s="24">
        <v>0</v>
      </c>
      <c r="I3136" s="24">
        <v>0</v>
      </c>
      <c r="J3136" s="25"/>
      <c r="K3136" s="24">
        <v>0</v>
      </c>
      <c r="L3136" s="22" t="str">
        <f t="shared" si="118"/>
        <v>AE dialoghi di tempo fiducia e cura episodi 2-3-4</v>
      </c>
      <c r="M3136" s="22" t="str">
        <f t="shared" si="119"/>
        <v>nicoletta.vozza@crm.otsuka-europe.com</v>
      </c>
      <c r="N3136" s="23">
        <v>46181.33797453704</v>
      </c>
      <c r="O3136" s="14" t="str">
        <f>HYPERLINK("https://otsuka-europe-crm.veevavault.com/ui/#object/email_activity__v/V8C00000003O221", "EN-002089698")</f>
        <v>EN-002089698</v>
      </c>
    </row>
    <row r="3137" spans="1:15" ht="16" x14ac:dyDescent="0.2">
      <c r="A3137" s="19"/>
      <c r="B3137" s="19"/>
      <c r="C3137" s="19"/>
      <c r="D3137" s="19"/>
      <c r="E3137" s="19"/>
      <c r="F3137" s="19"/>
      <c r="G3137" s="19"/>
      <c r="H3137" s="19"/>
      <c r="I3137" s="19"/>
      <c r="J3137" s="19"/>
      <c r="K3137" s="19"/>
      <c r="L3137" s="19"/>
      <c r="M3137" s="19"/>
      <c r="N3137" s="19"/>
      <c r="O3137" s="14" t="str">
        <f>HYPERLINK("https://otsuka-europe-crm.veevavault.com/ui/#object/email_activity__v/V8C00000003Q557", "EN-002091916")</f>
        <v>EN-002091916</v>
      </c>
    </row>
    <row r="3138" spans="1:15" ht="32" x14ac:dyDescent="0.2">
      <c r="A3138" s="7" t="str">
        <f>HYPERLINK("https://otsuka-europe-crm.veevavault.com/ui/#object/account__v/V4TZ025E834PPQP", "AURORA BONIFAZI")</f>
        <v>AURORA BONIFAZI</v>
      </c>
      <c r="B3138" s="7" t="str">
        <f t="shared" ref="B3138:B3154" si="120">HYPERLINK("https://otsuka-europe-crm.veevavault.com/ui/#object/vcountry__v/VENZ000004SONFQ", "IT")</f>
        <v>IT</v>
      </c>
      <c r="C3138" s="8" t="s">
        <v>44</v>
      </c>
      <c r="D3138" s="9" t="str">
        <f t="shared" ref="D3138:D3154" si="121">HYPERLINK("https://otsuka-europe-crm.veevavault.com/ui/#object/approved_document__v/V5O000000018003", "AE dialoghi di tempo fiducia e cura episodi 2-3-4")</f>
        <v>AE dialoghi di tempo fiducia e cura episodi 2-3-4</v>
      </c>
      <c r="E3138" s="10" t="str">
        <f>HYPERLINK("https://otsuka-europe-crm.veevavault.com/ui/#object/sent_email__v/VBL00000002O643", "SE-001432314")</f>
        <v>SE-001432314</v>
      </c>
      <c r="F3138" s="11"/>
      <c r="G3138" s="12">
        <v>0</v>
      </c>
      <c r="H3138" s="12">
        <v>0</v>
      </c>
      <c r="I3138" s="12">
        <v>0</v>
      </c>
      <c r="J3138" s="11"/>
      <c r="K3138" s="12">
        <v>0</v>
      </c>
      <c r="L3138" s="10" t="str">
        <f t="shared" ref="L3138:L3154" si="122">HYPERLINK("https://otsuka-europe-crm.veevavault.com/ui/#object/approved_document__v/V5O000000018003", "AE dialoghi di tempo fiducia e cura episodi 2-3-4")</f>
        <v>AE dialoghi di tempo fiducia e cura episodi 2-3-4</v>
      </c>
      <c r="M3138" s="10" t="str">
        <f t="shared" ref="M3138:M3154" si="123">HYPERLINK("mailto:nicoletta.vozza@crm.otsuka-europe.com", "nicoletta.vozza@crm.otsuka-europe.com")</f>
        <v>nicoletta.vozza@crm.otsuka-europe.com</v>
      </c>
      <c r="N3138" s="13">
        <v>46181.33798611111</v>
      </c>
      <c r="O3138" s="14" t="str">
        <f>HYPERLINK("https://otsuka-europe-crm.veevavault.com/ui/#object/email_activity__v/V8C00000003P213", "EN-002089659")</f>
        <v>EN-002089659</v>
      </c>
    </row>
    <row r="3139" spans="1:15" ht="32" x14ac:dyDescent="0.2">
      <c r="A3139" s="7" t="str">
        <f>HYPERLINK("https://otsuka-europe-crm.veevavault.com/ui/#object/account__v/V4TZ06G6O71SBUF", "BARBARA ALESSANDRA PAPINI")</f>
        <v>BARBARA ALESSANDRA PAPINI</v>
      </c>
      <c r="B3139" s="7" t="str">
        <f t="shared" si="120"/>
        <v>IT</v>
      </c>
      <c r="C3139" s="8" t="s">
        <v>44</v>
      </c>
      <c r="D3139" s="9" t="str">
        <f t="shared" si="121"/>
        <v>AE dialoghi di tempo fiducia e cura episodi 2-3-4</v>
      </c>
      <c r="E3139" s="10" t="str">
        <f>HYPERLINK("https://otsuka-europe-crm.veevavault.com/ui/#object/sent_email__v/VBL00000002O644", "SE-001432315")</f>
        <v>SE-001432315</v>
      </c>
      <c r="F3139" s="11"/>
      <c r="G3139" s="12">
        <v>0</v>
      </c>
      <c r="H3139" s="12">
        <v>0</v>
      </c>
      <c r="I3139" s="12">
        <v>0</v>
      </c>
      <c r="J3139" s="11"/>
      <c r="K3139" s="12">
        <v>0</v>
      </c>
      <c r="L3139" s="10" t="str">
        <f t="shared" si="122"/>
        <v>AE dialoghi di tempo fiducia e cura episodi 2-3-4</v>
      </c>
      <c r="M3139" s="10" t="str">
        <f t="shared" si="123"/>
        <v>nicoletta.vozza@crm.otsuka-europe.com</v>
      </c>
      <c r="N3139" s="13">
        <v>46181.337997685187</v>
      </c>
      <c r="O3139" s="14" t="str">
        <f>HYPERLINK("https://otsuka-europe-crm.veevavault.com/ui/#object/email_activity__v/V8C00000003O947", "EN-002090607")</f>
        <v>EN-002090607</v>
      </c>
    </row>
    <row r="3140" spans="1:15" ht="32" x14ac:dyDescent="0.2">
      <c r="A3140" s="7" t="str">
        <f>HYPERLINK("https://otsuka-europe-crm.veevavault.com/ui/#object/account__v/V4TZ06G6O71SB38", "BARBARA CORINTO")</f>
        <v>BARBARA CORINTO</v>
      </c>
      <c r="B3140" s="7" t="str">
        <f t="shared" si="120"/>
        <v>IT</v>
      </c>
      <c r="C3140" s="8" t="s">
        <v>44</v>
      </c>
      <c r="D3140" s="9" t="str">
        <f t="shared" si="121"/>
        <v>AE dialoghi di tempo fiducia e cura episodi 2-3-4</v>
      </c>
      <c r="E3140" s="10" t="str">
        <f>HYPERLINK("https://otsuka-europe-crm.veevavault.com/ui/#object/sent_email__v/VBL00000002O645", "SE-001432316")</f>
        <v>SE-001432316</v>
      </c>
      <c r="F3140" s="11"/>
      <c r="G3140" s="12">
        <v>0</v>
      </c>
      <c r="H3140" s="12">
        <v>0</v>
      </c>
      <c r="I3140" s="12">
        <v>0</v>
      </c>
      <c r="J3140" s="11"/>
      <c r="K3140" s="12">
        <v>0</v>
      </c>
      <c r="L3140" s="10" t="str">
        <f t="shared" si="122"/>
        <v>AE dialoghi di tempo fiducia e cura episodi 2-3-4</v>
      </c>
      <c r="M3140" s="10" t="str">
        <f t="shared" si="123"/>
        <v>nicoletta.vozza@crm.otsuka-europe.com</v>
      </c>
      <c r="N3140" s="13">
        <v>46181.338055555556</v>
      </c>
      <c r="O3140" s="14" t="str">
        <f>HYPERLINK("https://otsuka-europe-crm.veevavault.com/ui/#object/email_activity__v/V8C00000003P309", "EN-002089945")</f>
        <v>EN-002089945</v>
      </c>
    </row>
    <row r="3141" spans="1:15" ht="32" x14ac:dyDescent="0.2">
      <c r="A3141" s="7" t="str">
        <f>HYPERLINK("https://otsuka-europe-crm.veevavault.com/ui/#object/account__v/V4TZ06G6O71SAM0", "BARBARA FORNAS")</f>
        <v>BARBARA FORNAS</v>
      </c>
      <c r="B3141" s="7" t="str">
        <f t="shared" si="120"/>
        <v>IT</v>
      </c>
      <c r="C3141" s="8" t="s">
        <v>44</v>
      </c>
      <c r="D3141" s="9" t="str">
        <f t="shared" si="121"/>
        <v>AE dialoghi di tempo fiducia e cura episodi 2-3-4</v>
      </c>
      <c r="E3141" s="10" t="str">
        <f>HYPERLINK("https://otsuka-europe-crm.veevavault.com/ui/#object/sent_email__v/VBL00000002O646", "SE-001432317")</f>
        <v>SE-001432317</v>
      </c>
      <c r="F3141" s="11"/>
      <c r="G3141" s="12">
        <v>0</v>
      </c>
      <c r="H3141" s="12">
        <v>0</v>
      </c>
      <c r="I3141" s="12">
        <v>0</v>
      </c>
      <c r="J3141" s="11"/>
      <c r="K3141" s="12">
        <v>0</v>
      </c>
      <c r="L3141" s="10" t="str">
        <f t="shared" si="122"/>
        <v>AE dialoghi di tempo fiducia e cura episodi 2-3-4</v>
      </c>
      <c r="M3141" s="10" t="str">
        <f t="shared" si="123"/>
        <v>nicoletta.vozza@crm.otsuka-europe.com</v>
      </c>
      <c r="N3141" s="13">
        <v>46181.338009259256</v>
      </c>
      <c r="O3141" s="14" t="str">
        <f>HYPERLINK("https://otsuka-europe-crm.veevavault.com/ui/#object/email_activity__v/V8C00000003O747", "EN-002090303")</f>
        <v>EN-002090303</v>
      </c>
    </row>
    <row r="3142" spans="1:15" ht="32" x14ac:dyDescent="0.2">
      <c r="A3142" s="7" t="str">
        <f>HYPERLINK("https://otsuka-europe-crm.veevavault.com/ui/#object/account__v/V4TZ06G6OBUDCKT", "BARBARA FORONI")</f>
        <v>BARBARA FORONI</v>
      </c>
      <c r="B3142" s="7" t="str">
        <f t="shared" si="120"/>
        <v>IT</v>
      </c>
      <c r="C3142" s="8" t="s">
        <v>44</v>
      </c>
      <c r="D3142" s="9" t="str">
        <f t="shared" si="121"/>
        <v>AE dialoghi di tempo fiducia e cura episodi 2-3-4</v>
      </c>
      <c r="E3142" s="10" t="str">
        <f>HYPERLINK("https://otsuka-europe-crm.veevavault.com/ui/#object/sent_email__v/VBL00000002O647", "SE-001432318")</f>
        <v>SE-001432318</v>
      </c>
      <c r="F3142" s="11"/>
      <c r="G3142" s="12">
        <v>0</v>
      </c>
      <c r="H3142" s="12">
        <v>0</v>
      </c>
      <c r="I3142" s="12">
        <v>0</v>
      </c>
      <c r="J3142" s="11"/>
      <c r="K3142" s="12">
        <v>0</v>
      </c>
      <c r="L3142" s="10" t="str">
        <f t="shared" si="122"/>
        <v>AE dialoghi di tempo fiducia e cura episodi 2-3-4</v>
      </c>
      <c r="M3142" s="10" t="str">
        <f t="shared" si="123"/>
        <v>nicoletta.vozza@crm.otsuka-europe.com</v>
      </c>
      <c r="N3142" s="13">
        <v>46181.337951388887</v>
      </c>
      <c r="O3142" s="14" t="str">
        <f>HYPERLINK("https://otsuka-europe-crm.veevavault.com/ui/#object/email_activity__v/V8C00000003O165", "EN-002089602")</f>
        <v>EN-002089602</v>
      </c>
    </row>
    <row r="3143" spans="1:15" ht="32" x14ac:dyDescent="0.2">
      <c r="A3143" s="7" t="str">
        <f>HYPERLINK("https://otsuka-europe-crm.veevavault.com/ui/#object/account__v/V4TZ06G6O71TLFV", "BARBARA FUA'")</f>
        <v>BARBARA FUA'</v>
      </c>
      <c r="B3143" s="7" t="str">
        <f t="shared" si="120"/>
        <v>IT</v>
      </c>
      <c r="C3143" s="8" t="s">
        <v>44</v>
      </c>
      <c r="D3143" s="9" t="str">
        <f t="shared" si="121"/>
        <v>AE dialoghi di tempo fiducia e cura episodi 2-3-4</v>
      </c>
      <c r="E3143" s="10" t="str">
        <f>HYPERLINK("https://otsuka-europe-crm.veevavault.com/ui/#object/sent_email__v/VBL00000002O648", "SE-001432319")</f>
        <v>SE-001432319</v>
      </c>
      <c r="F3143" s="11"/>
      <c r="G3143" s="12">
        <v>0</v>
      </c>
      <c r="H3143" s="12">
        <v>0</v>
      </c>
      <c r="I3143" s="12">
        <v>0</v>
      </c>
      <c r="J3143" s="11"/>
      <c r="K3143" s="12">
        <v>0</v>
      </c>
      <c r="L3143" s="10" t="str">
        <f t="shared" si="122"/>
        <v>AE dialoghi di tempo fiducia e cura episodi 2-3-4</v>
      </c>
      <c r="M3143" s="10" t="str">
        <f t="shared" si="123"/>
        <v>nicoletta.vozza@crm.otsuka-europe.com</v>
      </c>
      <c r="N3143" s="13">
        <v>46181.338043981479</v>
      </c>
      <c r="O3143" s="14" t="str">
        <f>HYPERLINK("https://otsuka-europe-crm.veevavault.com/ui/#object/email_activity__v/V8C00000003O786", "EN-002090446")</f>
        <v>EN-002090446</v>
      </c>
    </row>
    <row r="3144" spans="1:15" ht="32" x14ac:dyDescent="0.2">
      <c r="A3144" s="7" t="str">
        <f>HYPERLINK("https://otsuka-europe-crm.veevavault.com/ui/#object/account__v/V4TZ06G6O71SAKM", "BARBARA MARIA BRIGIDA FALLICA")</f>
        <v>BARBARA MARIA BRIGIDA FALLICA</v>
      </c>
      <c r="B3144" s="7" t="str">
        <f t="shared" si="120"/>
        <v>IT</v>
      </c>
      <c r="C3144" s="8" t="s">
        <v>44</v>
      </c>
      <c r="D3144" s="9" t="str">
        <f t="shared" si="121"/>
        <v>AE dialoghi di tempo fiducia e cura episodi 2-3-4</v>
      </c>
      <c r="E3144" s="10" t="str">
        <f>HYPERLINK("https://otsuka-europe-crm.veevavault.com/ui/#object/sent_email__v/VBL00000002O649", "SE-001432320")</f>
        <v>SE-001432320</v>
      </c>
      <c r="F3144" s="11"/>
      <c r="G3144" s="12">
        <v>0</v>
      </c>
      <c r="H3144" s="12">
        <v>0</v>
      </c>
      <c r="I3144" s="12">
        <v>0</v>
      </c>
      <c r="J3144" s="11"/>
      <c r="K3144" s="12">
        <v>0</v>
      </c>
      <c r="L3144" s="10" t="str">
        <f t="shared" si="122"/>
        <v>AE dialoghi di tempo fiducia e cura episodi 2-3-4</v>
      </c>
      <c r="M3144" s="10" t="str">
        <f t="shared" si="123"/>
        <v>nicoletta.vozza@crm.otsuka-europe.com</v>
      </c>
      <c r="N3144" s="13">
        <v>46181.338090277779</v>
      </c>
      <c r="O3144" s="14" t="str">
        <f>HYPERLINK("https://otsuka-europe-crm.veevavault.com/ui/#object/email_activity__v/V8C00000003O852", "EN-002090553")</f>
        <v>EN-002090553</v>
      </c>
    </row>
    <row r="3145" spans="1:15" ht="32" x14ac:dyDescent="0.2">
      <c r="A3145" s="7" t="str">
        <f>HYPERLINK("https://otsuka-europe-crm.veevavault.com/ui/#object/account__v/V4TZ06G6O71SBOU", "BARBARA NICOTRA")</f>
        <v>BARBARA NICOTRA</v>
      </c>
      <c r="B3145" s="7" t="str">
        <f t="shared" si="120"/>
        <v>IT</v>
      </c>
      <c r="C3145" s="8" t="s">
        <v>44</v>
      </c>
      <c r="D3145" s="9" t="str">
        <f t="shared" si="121"/>
        <v>AE dialoghi di tempo fiducia e cura episodi 2-3-4</v>
      </c>
      <c r="E3145" s="10" t="str">
        <f>HYPERLINK("https://otsuka-europe-crm.veevavault.com/ui/#object/sent_email__v/VBL00000002O650", "SE-001432321")</f>
        <v>SE-001432321</v>
      </c>
      <c r="F3145" s="11"/>
      <c r="G3145" s="12">
        <v>0</v>
      </c>
      <c r="H3145" s="12">
        <v>0</v>
      </c>
      <c r="I3145" s="12">
        <v>0</v>
      </c>
      <c r="J3145" s="11"/>
      <c r="K3145" s="12">
        <v>0</v>
      </c>
      <c r="L3145" s="10" t="str">
        <f t="shared" si="122"/>
        <v>AE dialoghi di tempo fiducia e cura episodi 2-3-4</v>
      </c>
      <c r="M3145" s="10" t="str">
        <f t="shared" si="123"/>
        <v>nicoletta.vozza@crm.otsuka-europe.com</v>
      </c>
      <c r="N3145" s="13">
        <v>46181.337997685187</v>
      </c>
      <c r="O3145" s="14" t="str">
        <f>HYPERLINK("https://otsuka-europe-crm.veevavault.com/ui/#object/email_activity__v/V8C00000003O753", "EN-002090309")</f>
        <v>EN-002090309</v>
      </c>
    </row>
    <row r="3146" spans="1:15" ht="32" x14ac:dyDescent="0.2">
      <c r="A3146" s="7" t="str">
        <f>HYPERLINK("https://otsuka-europe-crm.veevavault.com/ui/#object/account__v/V4TZ06G6O71SCDG", "BARBARA SCARAMELLI")</f>
        <v>BARBARA SCARAMELLI</v>
      </c>
      <c r="B3146" s="7" t="str">
        <f t="shared" si="120"/>
        <v>IT</v>
      </c>
      <c r="C3146" s="8" t="s">
        <v>44</v>
      </c>
      <c r="D3146" s="9" t="str">
        <f t="shared" si="121"/>
        <v>AE dialoghi di tempo fiducia e cura episodi 2-3-4</v>
      </c>
      <c r="E3146" s="10" t="str">
        <f>HYPERLINK("https://otsuka-europe-crm.veevavault.com/ui/#object/sent_email__v/VBL00000002O651", "SE-001432322")</f>
        <v>SE-001432322</v>
      </c>
      <c r="F3146" s="11"/>
      <c r="G3146" s="12">
        <v>0</v>
      </c>
      <c r="H3146" s="12">
        <v>0</v>
      </c>
      <c r="I3146" s="12">
        <v>0</v>
      </c>
      <c r="J3146" s="11"/>
      <c r="K3146" s="12">
        <v>0</v>
      </c>
      <c r="L3146" s="10" t="str">
        <f t="shared" si="122"/>
        <v>AE dialoghi di tempo fiducia e cura episodi 2-3-4</v>
      </c>
      <c r="M3146" s="10" t="str">
        <f t="shared" si="123"/>
        <v>nicoletta.vozza@crm.otsuka-europe.com</v>
      </c>
      <c r="N3146" s="13">
        <v>46181.338090277779</v>
      </c>
      <c r="O3146" s="14" t="str">
        <f>HYPERLINK("https://otsuka-europe-crm.veevavault.com/ui/#object/email_activity__v/V8C00000003O499", "EN-002090055")</f>
        <v>EN-002090055</v>
      </c>
    </row>
    <row r="3147" spans="1:15" ht="32" x14ac:dyDescent="0.2">
      <c r="A3147" s="7" t="str">
        <f>HYPERLINK("https://otsuka-europe-crm.veevavault.com/ui/#object/account__v/V4TZ04ASG7A5G7N", "BEATRICE BENATTI")</f>
        <v>BEATRICE BENATTI</v>
      </c>
      <c r="B3147" s="7" t="str">
        <f t="shared" si="120"/>
        <v>IT</v>
      </c>
      <c r="C3147" s="8" t="s">
        <v>44</v>
      </c>
      <c r="D3147" s="9" t="str">
        <f t="shared" si="121"/>
        <v>AE dialoghi di tempo fiducia e cura episodi 2-3-4</v>
      </c>
      <c r="E3147" s="10" t="str">
        <f>HYPERLINK("https://otsuka-europe-crm.veevavault.com/ui/#object/sent_email__v/VBL00000002O652", "SE-001432323")</f>
        <v>SE-001432323</v>
      </c>
      <c r="F3147" s="11"/>
      <c r="G3147" s="12">
        <v>0</v>
      </c>
      <c r="H3147" s="12">
        <v>0</v>
      </c>
      <c r="I3147" s="12">
        <v>0</v>
      </c>
      <c r="J3147" s="11"/>
      <c r="K3147" s="12">
        <v>0</v>
      </c>
      <c r="L3147" s="10" t="str">
        <f t="shared" si="122"/>
        <v>AE dialoghi di tempo fiducia e cura episodi 2-3-4</v>
      </c>
      <c r="M3147" s="10" t="str">
        <f t="shared" si="123"/>
        <v>nicoletta.vozza@crm.otsuka-europe.com</v>
      </c>
      <c r="N3147" s="13">
        <v>46181.338020833333</v>
      </c>
      <c r="O3147" s="14" t="str">
        <f>HYPERLINK("https://otsuka-europe-crm.veevavault.com/ui/#object/email_activity__v/V8C00000003O727", "EN-002090283")</f>
        <v>EN-002090283</v>
      </c>
    </row>
    <row r="3148" spans="1:15" ht="32" x14ac:dyDescent="0.2">
      <c r="A3148" s="7" t="str">
        <f>HYPERLINK("https://otsuka-europe-crm.veevavault.com/ui/#object/account__v/V4TZ04ASGCYOIGH", "BEATRICE GOBBI")</f>
        <v>BEATRICE GOBBI</v>
      </c>
      <c r="B3148" s="7" t="str">
        <f t="shared" si="120"/>
        <v>IT</v>
      </c>
      <c r="C3148" s="8" t="s">
        <v>44</v>
      </c>
      <c r="D3148" s="9" t="str">
        <f t="shared" si="121"/>
        <v>AE dialoghi di tempo fiducia e cura episodi 2-3-4</v>
      </c>
      <c r="E3148" s="10" t="str">
        <f>HYPERLINK("https://otsuka-europe-crm.veevavault.com/ui/#object/sent_email__v/VBL00000002O653", "SE-001432324")</f>
        <v>SE-001432324</v>
      </c>
      <c r="F3148" s="11"/>
      <c r="G3148" s="12">
        <v>0</v>
      </c>
      <c r="H3148" s="12">
        <v>0</v>
      </c>
      <c r="I3148" s="12">
        <v>0</v>
      </c>
      <c r="J3148" s="11"/>
      <c r="K3148" s="12">
        <v>0</v>
      </c>
      <c r="L3148" s="10" t="str">
        <f t="shared" si="122"/>
        <v>AE dialoghi di tempo fiducia e cura episodi 2-3-4</v>
      </c>
      <c r="M3148" s="10" t="str">
        <f t="shared" si="123"/>
        <v>nicoletta.vozza@crm.otsuka-europe.com</v>
      </c>
      <c r="N3148" s="13">
        <v>46181.33871527778</v>
      </c>
      <c r="O3148" s="14" t="str">
        <f>HYPERLINK("https://otsuka-europe-crm.veevavault.com/ui/#object/email_activity__v/V8C00000003Q177", "EN-002091270")</f>
        <v>EN-002091270</v>
      </c>
    </row>
    <row r="3149" spans="1:15" ht="32" x14ac:dyDescent="0.2">
      <c r="A3149" s="7" t="str">
        <f>HYPERLINK("https://otsuka-europe-crm.veevavault.com/ui/#object/account__v/V4TZ06G6O71TFOG", "BEATRICE LAPOLLA")</f>
        <v>BEATRICE LAPOLLA</v>
      </c>
      <c r="B3149" s="7" t="str">
        <f t="shared" si="120"/>
        <v>IT</v>
      </c>
      <c r="C3149" s="8" t="s">
        <v>44</v>
      </c>
      <c r="D3149" s="9" t="str">
        <f t="shared" si="121"/>
        <v>AE dialoghi di tempo fiducia e cura episodi 2-3-4</v>
      </c>
      <c r="E3149" s="10" t="str">
        <f>HYPERLINK("https://otsuka-europe-crm.veevavault.com/ui/#object/sent_email__v/VBL00000002O654", "SE-001432325")</f>
        <v>SE-001432325</v>
      </c>
      <c r="F3149" s="11"/>
      <c r="G3149" s="12">
        <v>0</v>
      </c>
      <c r="H3149" s="12">
        <v>0</v>
      </c>
      <c r="I3149" s="12">
        <v>0</v>
      </c>
      <c r="J3149" s="11"/>
      <c r="K3149" s="12">
        <v>0</v>
      </c>
      <c r="L3149" s="10" t="str">
        <f t="shared" si="122"/>
        <v>AE dialoghi di tempo fiducia e cura episodi 2-3-4</v>
      </c>
      <c r="M3149" s="10" t="str">
        <f t="shared" si="123"/>
        <v>nicoletta.vozza@crm.otsuka-europe.com</v>
      </c>
      <c r="N3149" s="13">
        <v>46181.338020833333</v>
      </c>
      <c r="O3149" s="14" t="str">
        <f>HYPERLINK("https://otsuka-europe-crm.veevavault.com/ui/#object/email_activity__v/V8C00000003O724", "EN-002090280")</f>
        <v>EN-002090280</v>
      </c>
    </row>
    <row r="3150" spans="1:15" ht="32" x14ac:dyDescent="0.2">
      <c r="A3150" s="7" t="str">
        <f>HYPERLINK("https://otsuka-europe-crm.veevavault.com/ui/#object/account__v/V4TZ025E83FU1BE", "BENEDETTA MARIA GRANCINI")</f>
        <v>BENEDETTA MARIA GRANCINI</v>
      </c>
      <c r="B3150" s="7" t="str">
        <f t="shared" si="120"/>
        <v>IT</v>
      </c>
      <c r="C3150" s="8" t="s">
        <v>44</v>
      </c>
      <c r="D3150" s="9" t="str">
        <f t="shared" si="121"/>
        <v>AE dialoghi di tempo fiducia e cura episodi 2-3-4</v>
      </c>
      <c r="E3150" s="10" t="str">
        <f>HYPERLINK("https://otsuka-europe-crm.veevavault.com/ui/#object/sent_email__v/VBL00000002O655", "SE-001432326")</f>
        <v>SE-001432326</v>
      </c>
      <c r="F3150" s="11"/>
      <c r="G3150" s="12">
        <v>0</v>
      </c>
      <c r="H3150" s="12">
        <v>0</v>
      </c>
      <c r="I3150" s="12">
        <v>0</v>
      </c>
      <c r="J3150" s="11"/>
      <c r="K3150" s="12">
        <v>0</v>
      </c>
      <c r="L3150" s="10" t="str">
        <f t="shared" si="122"/>
        <v>AE dialoghi di tempo fiducia e cura episodi 2-3-4</v>
      </c>
      <c r="M3150" s="10" t="str">
        <f t="shared" si="123"/>
        <v>nicoletta.vozza@crm.otsuka-europe.com</v>
      </c>
      <c r="N3150" s="13">
        <v>46181.33803240741</v>
      </c>
      <c r="O3150" s="14" t="str">
        <f>HYPERLINK("https://otsuka-europe-crm.veevavault.com/ui/#object/email_activity__v/V8C00000003Q032", "EN-002090998")</f>
        <v>EN-002090998</v>
      </c>
    </row>
    <row r="3151" spans="1:15" ht="32" x14ac:dyDescent="0.2">
      <c r="A3151" s="7" t="str">
        <f>HYPERLINK("https://otsuka-europe-crm.veevavault.com/ui/#object/account__v/V4TZ06G6O71S9PU", "BENEDETTA OLIVIERI")</f>
        <v>BENEDETTA OLIVIERI</v>
      </c>
      <c r="B3151" s="7" t="str">
        <f t="shared" si="120"/>
        <v>IT</v>
      </c>
      <c r="C3151" s="8" t="s">
        <v>44</v>
      </c>
      <c r="D3151" s="9" t="str">
        <f t="shared" si="121"/>
        <v>AE dialoghi di tempo fiducia e cura episodi 2-3-4</v>
      </c>
      <c r="E3151" s="10" t="str">
        <f>HYPERLINK("https://otsuka-europe-crm.veevavault.com/ui/#object/sent_email__v/VBL00000002O656", "SE-001432327")</f>
        <v>SE-001432327</v>
      </c>
      <c r="F3151" s="11"/>
      <c r="G3151" s="12">
        <v>0</v>
      </c>
      <c r="H3151" s="12">
        <v>0</v>
      </c>
      <c r="I3151" s="12">
        <v>0</v>
      </c>
      <c r="J3151" s="11"/>
      <c r="K3151" s="12">
        <v>0</v>
      </c>
      <c r="L3151" s="10" t="str">
        <f t="shared" si="122"/>
        <v>AE dialoghi di tempo fiducia e cura episodi 2-3-4</v>
      </c>
      <c r="M3151" s="10" t="str">
        <f t="shared" si="123"/>
        <v>nicoletta.vozza@crm.otsuka-europe.com</v>
      </c>
      <c r="N3151" s="13">
        <v>46181.338101851848</v>
      </c>
      <c r="O3151" s="14" t="str">
        <f>HYPERLINK("https://otsuka-europe-crm.veevavault.com/ui/#object/email_activity__v/V8C00000003O858", "EN-002090558")</f>
        <v>EN-002090558</v>
      </c>
    </row>
    <row r="3152" spans="1:15" ht="32" x14ac:dyDescent="0.2">
      <c r="A3152" s="7" t="str">
        <f>HYPERLINK("https://otsuka-europe-crm.veevavault.com/ui/#object/account__v/V4TZ06G6O71SCGN", "BENEDETTA STEFANI")</f>
        <v>BENEDETTA STEFANI</v>
      </c>
      <c r="B3152" s="7" t="str">
        <f t="shared" si="120"/>
        <v>IT</v>
      </c>
      <c r="C3152" s="8" t="s">
        <v>44</v>
      </c>
      <c r="D3152" s="9" t="str">
        <f t="shared" si="121"/>
        <v>AE dialoghi di tempo fiducia e cura episodi 2-3-4</v>
      </c>
      <c r="E3152" s="10" t="str">
        <f>HYPERLINK("https://otsuka-europe-crm.veevavault.com/ui/#object/sent_email__v/VBL00000002O657", "SE-001432328")</f>
        <v>SE-001432328</v>
      </c>
      <c r="F3152" s="11"/>
      <c r="G3152" s="12">
        <v>0</v>
      </c>
      <c r="H3152" s="12">
        <v>0</v>
      </c>
      <c r="I3152" s="12">
        <v>0</v>
      </c>
      <c r="J3152" s="11"/>
      <c r="K3152" s="12">
        <v>0</v>
      </c>
      <c r="L3152" s="10" t="str">
        <f t="shared" si="122"/>
        <v>AE dialoghi di tempo fiducia e cura episodi 2-3-4</v>
      </c>
      <c r="M3152" s="10" t="str">
        <f t="shared" si="123"/>
        <v>nicoletta.vozza@crm.otsuka-europe.com</v>
      </c>
      <c r="N3152" s="13">
        <v>46181.338101851848</v>
      </c>
      <c r="O3152" s="14" t="str">
        <f>HYPERLINK("https://otsuka-europe-crm.veevavault.com/ui/#object/email_activity__v/V8C00000003Q072", "EN-002091137")</f>
        <v>EN-002091137</v>
      </c>
    </row>
    <row r="3153" spans="1:15" ht="32" x14ac:dyDescent="0.2">
      <c r="A3153" s="7" t="str">
        <f>HYPERLINK("https://otsuka-europe-crm.veevavault.com/ui/#object/account__v/V4TZ06G6OB4EWFI", "BENEDETTO DI MARCO")</f>
        <v>BENEDETTO DI MARCO</v>
      </c>
      <c r="B3153" s="7" t="str">
        <f t="shared" si="120"/>
        <v>IT</v>
      </c>
      <c r="C3153" s="8" t="s">
        <v>44</v>
      </c>
      <c r="D3153" s="9" t="str">
        <f t="shared" si="121"/>
        <v>AE dialoghi di tempo fiducia e cura episodi 2-3-4</v>
      </c>
      <c r="E3153" s="10" t="str">
        <f>HYPERLINK("https://otsuka-europe-crm.veevavault.com/ui/#object/sent_email__v/VBL00000002O658", "SE-001432329")</f>
        <v>SE-001432329</v>
      </c>
      <c r="F3153" s="11"/>
      <c r="G3153" s="12">
        <v>0</v>
      </c>
      <c r="H3153" s="12">
        <v>0</v>
      </c>
      <c r="I3153" s="12">
        <v>0</v>
      </c>
      <c r="J3153" s="11"/>
      <c r="K3153" s="12">
        <v>0</v>
      </c>
      <c r="L3153" s="10" t="str">
        <f t="shared" si="122"/>
        <v>AE dialoghi di tempo fiducia e cura episodi 2-3-4</v>
      </c>
      <c r="M3153" s="10" t="str">
        <f t="shared" si="123"/>
        <v>nicoletta.vozza@crm.otsuka-europe.com</v>
      </c>
      <c r="N3153" s="13">
        <v>46181.337997685187</v>
      </c>
      <c r="O3153" s="14" t="str">
        <f>HYPERLINK("https://otsuka-europe-crm.veevavault.com/ui/#object/email_activity__v/V8C00000003P588", "EN-002090843")</f>
        <v>EN-002090843</v>
      </c>
    </row>
    <row r="3154" spans="1:15" ht="16" x14ac:dyDescent="0.2">
      <c r="A3154" s="17" t="str">
        <f>HYPERLINK("https://otsuka-europe-crm.veevavault.com/ui/#object/account__v/V4TZ06G6O71SCFT", "BENEDETTO SPERANZA")</f>
        <v>BENEDETTO SPERANZA</v>
      </c>
      <c r="B3154" s="17" t="str">
        <f t="shared" si="120"/>
        <v>IT</v>
      </c>
      <c r="C3154" s="20" t="s">
        <v>44</v>
      </c>
      <c r="D3154" s="21" t="str">
        <f t="shared" si="121"/>
        <v>AE dialoghi di tempo fiducia e cura episodi 2-3-4</v>
      </c>
      <c r="E3154" s="22" t="str">
        <f>HYPERLINK("https://otsuka-europe-crm.veevavault.com/ui/#object/sent_email__v/VBL00000002O659", "SE-001432330")</f>
        <v>SE-001432330</v>
      </c>
      <c r="F3154" s="23">
        <v>46181.739861111113</v>
      </c>
      <c r="G3154" s="24">
        <v>1</v>
      </c>
      <c r="H3154" s="24">
        <v>2</v>
      </c>
      <c r="I3154" s="24">
        <v>0</v>
      </c>
      <c r="J3154" s="25"/>
      <c r="K3154" s="24">
        <v>0</v>
      </c>
      <c r="L3154" s="22" t="str">
        <f t="shared" si="122"/>
        <v>AE dialoghi di tempo fiducia e cura episodi 2-3-4</v>
      </c>
      <c r="M3154" s="22" t="str">
        <f t="shared" si="123"/>
        <v>nicoletta.vozza@crm.otsuka-europe.com</v>
      </c>
      <c r="N3154" s="23">
        <v>46181.338009259256</v>
      </c>
      <c r="O3154" s="14" t="str">
        <f>HYPERLINK("https://otsuka-europe-crm.veevavault.com/ui/#object/email_activity__v/V8C00000003P327", "EN-002090333")</f>
        <v>EN-002090333</v>
      </c>
    </row>
    <row r="3155" spans="1:15" ht="16" x14ac:dyDescent="0.2">
      <c r="A3155" s="18"/>
      <c r="B3155" s="18"/>
      <c r="C3155" s="18"/>
      <c r="D3155" s="18"/>
      <c r="E3155" s="18"/>
      <c r="F3155" s="18"/>
      <c r="G3155" s="18"/>
      <c r="H3155" s="18"/>
      <c r="I3155" s="18"/>
      <c r="J3155" s="18"/>
      <c r="K3155" s="18"/>
      <c r="L3155" s="18"/>
      <c r="M3155" s="18"/>
      <c r="N3155" s="18"/>
      <c r="O3155" s="14" t="str">
        <f>HYPERLINK("https://otsuka-europe-crm.veevavault.com/ui/#object/email_activity__v/V8C00000003P920", "EN-002091481")</f>
        <v>EN-002091481</v>
      </c>
    </row>
    <row r="3156" spans="1:15" ht="16" x14ac:dyDescent="0.2">
      <c r="A3156" s="19"/>
      <c r="B3156" s="19"/>
      <c r="C3156" s="19"/>
      <c r="D3156" s="19"/>
      <c r="E3156" s="19"/>
      <c r="F3156" s="19"/>
      <c r="G3156" s="19"/>
      <c r="H3156" s="19"/>
      <c r="I3156" s="19"/>
      <c r="J3156" s="19"/>
      <c r="K3156" s="19"/>
      <c r="L3156" s="19"/>
      <c r="M3156" s="19"/>
      <c r="N3156" s="19"/>
      <c r="O3156" s="14" t="str">
        <f>HYPERLINK("https://otsuka-europe-crm.veevavault.com/ui/#object/email_activity__v/V8C00000003Q659", "EN-002092149")</f>
        <v>EN-002092149</v>
      </c>
    </row>
    <row r="3157" spans="1:15" ht="32" x14ac:dyDescent="0.2">
      <c r="A3157" s="7" t="str">
        <f>HYPERLINK("https://otsuka-europe-crm.veevavault.com/ui/#object/account__v/V4TZ06G6O71SA09", "BENYAMIN DANIEL DANIEL")</f>
        <v>BENYAMIN DANIEL DANIEL</v>
      </c>
      <c r="B3157" s="7" t="str">
        <f>HYPERLINK("https://otsuka-europe-crm.veevavault.com/ui/#object/vcountry__v/VENZ000004SONFQ", "IT")</f>
        <v>IT</v>
      </c>
      <c r="C3157" s="8" t="s">
        <v>44</v>
      </c>
      <c r="D3157" s="9" t="str">
        <f>HYPERLINK("https://otsuka-europe-crm.veevavault.com/ui/#object/approved_document__v/V5O000000018003", "AE dialoghi di tempo fiducia e cura episodi 2-3-4")</f>
        <v>AE dialoghi di tempo fiducia e cura episodi 2-3-4</v>
      </c>
      <c r="E3157" s="10" t="str">
        <f>HYPERLINK("https://otsuka-europe-crm.veevavault.com/ui/#object/sent_email__v/VBL00000002O660", "SE-001432331")</f>
        <v>SE-001432331</v>
      </c>
      <c r="F3157" s="11"/>
      <c r="G3157" s="12">
        <v>0</v>
      </c>
      <c r="H3157" s="12">
        <v>0</v>
      </c>
      <c r="I3157" s="12">
        <v>0</v>
      </c>
      <c r="J3157" s="11"/>
      <c r="K3157" s="12">
        <v>0</v>
      </c>
      <c r="L3157" s="10" t="str">
        <f>HYPERLINK("https://otsuka-europe-crm.veevavault.com/ui/#object/approved_document__v/V5O000000018003", "AE dialoghi di tempo fiducia e cura episodi 2-3-4")</f>
        <v>AE dialoghi di tempo fiducia e cura episodi 2-3-4</v>
      </c>
      <c r="M3157" s="10" t="str">
        <f>HYPERLINK("mailto:nicoletta.vozza@crm.otsuka-europe.com", "nicoletta.vozza@crm.otsuka-europe.com")</f>
        <v>nicoletta.vozza@crm.otsuka-europe.com</v>
      </c>
      <c r="N3157" s="13">
        <v>46181.337997685187</v>
      </c>
      <c r="O3157" s="14" t="str">
        <f>HYPERLINK("https://otsuka-europe-crm.veevavault.com/ui/#object/email_activity__v/V8C00000003P287", "EN-002089923")</f>
        <v>EN-002089923</v>
      </c>
    </row>
    <row r="3158" spans="1:15" ht="32" x14ac:dyDescent="0.2">
      <c r="A3158" s="7" t="str">
        <f>HYPERLINK("https://otsuka-europe-crm.veevavault.com/ui/#object/account__v/V4TZ06G6O71VWBG", "BERNARDO DELL'OSSO")</f>
        <v>BERNARDO DELL'OSSO</v>
      </c>
      <c r="B3158" s="7" t="str">
        <f>HYPERLINK("https://otsuka-europe-crm.veevavault.com/ui/#object/vcountry__v/VENZ000004SONFQ", "IT")</f>
        <v>IT</v>
      </c>
      <c r="C3158" s="8" t="s">
        <v>44</v>
      </c>
      <c r="D3158" s="9" t="str">
        <f>HYPERLINK("https://otsuka-europe-crm.veevavault.com/ui/#object/approved_document__v/V5O000000018003", "AE dialoghi di tempo fiducia e cura episodi 2-3-4")</f>
        <v>AE dialoghi di tempo fiducia e cura episodi 2-3-4</v>
      </c>
      <c r="E3158" s="10" t="str">
        <f>HYPERLINK("https://otsuka-europe-crm.veevavault.com/ui/#object/sent_email__v/VBL00000002O661", "SE-001432332")</f>
        <v>SE-001432332</v>
      </c>
      <c r="F3158" s="11"/>
      <c r="G3158" s="12">
        <v>0</v>
      </c>
      <c r="H3158" s="12">
        <v>0</v>
      </c>
      <c r="I3158" s="12">
        <v>0</v>
      </c>
      <c r="J3158" s="11"/>
      <c r="K3158" s="12">
        <v>0</v>
      </c>
      <c r="L3158" s="10" t="str">
        <f>HYPERLINK("https://otsuka-europe-crm.veevavault.com/ui/#object/approved_document__v/V5O000000018003", "AE dialoghi di tempo fiducia e cura episodi 2-3-4")</f>
        <v>AE dialoghi di tempo fiducia e cura episodi 2-3-4</v>
      </c>
      <c r="M3158" s="10" t="str">
        <f>HYPERLINK("mailto:nicoletta.vozza@crm.otsuka-europe.com", "nicoletta.vozza@crm.otsuka-europe.com")</f>
        <v>nicoletta.vozza@crm.otsuka-europe.com</v>
      </c>
      <c r="N3158" s="13">
        <v>46181.338055555556</v>
      </c>
      <c r="O3158" s="14" t="str">
        <f>HYPERLINK("https://otsuka-europe-crm.veevavault.com/ui/#object/email_activity__v/V8C00000003O450", "EN-002090006")</f>
        <v>EN-002090006</v>
      </c>
    </row>
    <row r="3159" spans="1:15" ht="32" x14ac:dyDescent="0.2">
      <c r="A3159" s="7" t="str">
        <f>HYPERLINK("https://otsuka-europe-crm.veevavault.com/ui/#object/account__v/V4TZ025E83F566H", "BIANCA BACHI")</f>
        <v>BIANCA BACHI</v>
      </c>
      <c r="B3159" s="7" t="str">
        <f>HYPERLINK("https://otsuka-europe-crm.veevavault.com/ui/#object/vcountry__v/VENZ000004SONFQ", "IT")</f>
        <v>IT</v>
      </c>
      <c r="C3159" s="8" t="s">
        <v>44</v>
      </c>
      <c r="D3159" s="9" t="str">
        <f>HYPERLINK("https://otsuka-europe-crm.veevavault.com/ui/#object/approved_document__v/V5O000000018003", "AE dialoghi di tempo fiducia e cura episodi 2-3-4")</f>
        <v>AE dialoghi di tempo fiducia e cura episodi 2-3-4</v>
      </c>
      <c r="E3159" s="10" t="str">
        <f>HYPERLINK("https://otsuka-europe-crm.veevavault.com/ui/#object/sent_email__v/VBL00000002O662", "SE-001432333")</f>
        <v>SE-001432333</v>
      </c>
      <c r="F3159" s="11"/>
      <c r="G3159" s="12">
        <v>0</v>
      </c>
      <c r="H3159" s="12">
        <v>0</v>
      </c>
      <c r="I3159" s="12">
        <v>0</v>
      </c>
      <c r="J3159" s="11"/>
      <c r="K3159" s="12">
        <v>0</v>
      </c>
      <c r="L3159" s="10" t="str">
        <f>HYPERLINK("https://otsuka-europe-crm.veevavault.com/ui/#object/approved_document__v/V5O000000018003", "AE dialoghi di tempo fiducia e cura episodi 2-3-4")</f>
        <v>AE dialoghi di tempo fiducia e cura episodi 2-3-4</v>
      </c>
      <c r="M3159" s="10" t="str">
        <f>HYPERLINK("mailto:nicoletta.vozza@crm.otsuka-europe.com", "nicoletta.vozza@crm.otsuka-europe.com")</f>
        <v>nicoletta.vozza@crm.otsuka-europe.com</v>
      </c>
      <c r="N3159" s="13">
        <v>46181.337997685187</v>
      </c>
      <c r="O3159" s="14" t="str">
        <f>HYPERLINK("https://otsuka-europe-crm.veevavault.com/ui/#object/email_activity__v/V8C00000003O828", "EN-002090530")</f>
        <v>EN-002090530</v>
      </c>
    </row>
    <row r="3160" spans="1:15" ht="16" x14ac:dyDescent="0.2">
      <c r="A3160" s="17" t="str">
        <f>HYPERLINK("https://otsuka-europe-crm.veevavault.com/ui/#object/account__v/V4TZ06G6O71SA64", "BIANCA MARIA BORTOLOTTI")</f>
        <v>BIANCA MARIA BORTOLOTTI</v>
      </c>
      <c r="B3160" s="17" t="str">
        <f>HYPERLINK("https://otsuka-europe-crm.veevavault.com/ui/#object/vcountry__v/VENZ000004SONFQ", "IT")</f>
        <v>IT</v>
      </c>
      <c r="C3160" s="20" t="s">
        <v>44</v>
      </c>
      <c r="D3160" s="21" t="str">
        <f>HYPERLINK("https://otsuka-europe-crm.veevavault.com/ui/#object/approved_document__v/V5O000000018003", "AE dialoghi di tempo fiducia e cura episodi 2-3-4")</f>
        <v>AE dialoghi di tempo fiducia e cura episodi 2-3-4</v>
      </c>
      <c r="E3160" s="22" t="str">
        <f>HYPERLINK("https://otsuka-europe-crm.veevavault.com/ui/#object/sent_email__v/VBL00000002O663", "SE-001432334")</f>
        <v>SE-001432334</v>
      </c>
      <c r="F3160" s="25"/>
      <c r="G3160" s="24">
        <v>0</v>
      </c>
      <c r="H3160" s="24">
        <v>0</v>
      </c>
      <c r="I3160" s="24">
        <v>0</v>
      </c>
      <c r="J3160" s="25"/>
      <c r="K3160" s="24">
        <v>0</v>
      </c>
      <c r="L3160" s="22" t="str">
        <f>HYPERLINK("https://otsuka-europe-crm.veevavault.com/ui/#object/approved_document__v/V5O000000018003", "AE dialoghi di tempo fiducia e cura episodi 2-3-4")</f>
        <v>AE dialoghi di tempo fiducia e cura episodi 2-3-4</v>
      </c>
      <c r="M3160" s="22" t="str">
        <f>HYPERLINK("mailto:nicoletta.vozza@crm.otsuka-europe.com", "nicoletta.vozza@crm.otsuka-europe.com")</f>
        <v>nicoletta.vozza@crm.otsuka-europe.com</v>
      </c>
      <c r="N3160" s="23">
        <v>46181.338090277779</v>
      </c>
      <c r="O3160" s="14" t="str">
        <f>HYPERLINK("https://otsuka-europe-crm.veevavault.com/ui/#object/email_activity__v/V8C00000003P866", "EN-002091293")</f>
        <v>EN-002091293</v>
      </c>
    </row>
    <row r="3161" spans="1:15" ht="16" x14ac:dyDescent="0.2">
      <c r="A3161" s="18"/>
      <c r="B3161" s="18"/>
      <c r="C3161" s="18"/>
      <c r="D3161" s="18"/>
      <c r="E3161" s="18"/>
      <c r="F3161" s="18"/>
      <c r="G3161" s="18"/>
      <c r="H3161" s="18"/>
      <c r="I3161" s="18"/>
      <c r="J3161" s="18"/>
      <c r="K3161" s="18"/>
      <c r="L3161" s="18"/>
      <c r="M3161" s="18"/>
      <c r="N3161" s="18"/>
      <c r="O3161" s="14" t="str">
        <f>HYPERLINK("https://otsuka-europe-crm.veevavault.com/ui/#object/email_activity__v/V8C00000003Q188", "EN-002091292")</f>
        <v>EN-002091292</v>
      </c>
    </row>
    <row r="3162" spans="1:15" ht="16" x14ac:dyDescent="0.2">
      <c r="A3162" s="18"/>
      <c r="B3162" s="18"/>
      <c r="C3162" s="18"/>
      <c r="D3162" s="18"/>
      <c r="E3162" s="18"/>
      <c r="F3162" s="18"/>
      <c r="G3162" s="18"/>
      <c r="H3162" s="18"/>
      <c r="I3162" s="18"/>
      <c r="J3162" s="18"/>
      <c r="K3162" s="18"/>
      <c r="L3162" s="18"/>
      <c r="M3162" s="18"/>
      <c r="N3162" s="18"/>
      <c r="O3162" s="14" t="str">
        <f>HYPERLINK("https://otsuka-europe-crm.veevavault.com/ui/#object/email_activity__v/V8C00000003U039", "EN-002094893")</f>
        <v>EN-002094893</v>
      </c>
    </row>
    <row r="3163" spans="1:15" ht="16" x14ac:dyDescent="0.2">
      <c r="A3163" s="19"/>
      <c r="B3163" s="19"/>
      <c r="C3163" s="19"/>
      <c r="D3163" s="19"/>
      <c r="E3163" s="19"/>
      <c r="F3163" s="19"/>
      <c r="G3163" s="19"/>
      <c r="H3163" s="19"/>
      <c r="I3163" s="19"/>
      <c r="J3163" s="19"/>
      <c r="K3163" s="19"/>
      <c r="L3163" s="19"/>
      <c r="M3163" s="19"/>
      <c r="N3163" s="19"/>
      <c r="O3163" s="14" t="str">
        <f>HYPERLINK("https://otsuka-europe-crm.veevavault.com/ui/#object/email_activity__v/V8C00000003W109", "EN-002096860")</f>
        <v>EN-002096860</v>
      </c>
    </row>
    <row r="3164" spans="1:15" ht="32" x14ac:dyDescent="0.2">
      <c r="A3164" s="7" t="str">
        <f>HYPERLINK("https://otsuka-europe-crm.veevavault.com/ui/#object/account__v/V4TZ06G6OBU3V0X", "BIANCA MARIA CASTELLI")</f>
        <v>BIANCA MARIA CASTELLI</v>
      </c>
      <c r="B3164" s="7" t="str">
        <f t="shared" ref="B3164:B3172" si="124">HYPERLINK("https://otsuka-europe-crm.veevavault.com/ui/#object/vcountry__v/VENZ000004SONFQ", "IT")</f>
        <v>IT</v>
      </c>
      <c r="C3164" s="8" t="s">
        <v>44</v>
      </c>
      <c r="D3164" s="9" t="str">
        <f t="shared" ref="D3164:D3172" si="125">HYPERLINK("https://otsuka-europe-crm.veevavault.com/ui/#object/approved_document__v/V5O000000018003", "AE dialoghi di tempo fiducia e cura episodi 2-3-4")</f>
        <v>AE dialoghi di tempo fiducia e cura episodi 2-3-4</v>
      </c>
      <c r="E3164" s="10" t="str">
        <f>HYPERLINK("https://otsuka-europe-crm.veevavault.com/ui/#object/sent_email__v/VBL00000002O664", "SE-001432335")</f>
        <v>SE-001432335</v>
      </c>
      <c r="F3164" s="11"/>
      <c r="G3164" s="12">
        <v>0</v>
      </c>
      <c r="H3164" s="12">
        <v>0</v>
      </c>
      <c r="I3164" s="12">
        <v>0</v>
      </c>
      <c r="J3164" s="11"/>
      <c r="K3164" s="12">
        <v>0</v>
      </c>
      <c r="L3164" s="10" t="str">
        <f t="shared" ref="L3164:L3172" si="126">HYPERLINK("https://otsuka-europe-crm.veevavault.com/ui/#object/approved_document__v/V5O000000018003", "AE dialoghi di tempo fiducia e cura episodi 2-3-4")</f>
        <v>AE dialoghi di tempo fiducia e cura episodi 2-3-4</v>
      </c>
      <c r="M3164" s="10" t="str">
        <f t="shared" ref="M3164:M3172" si="127">HYPERLINK("mailto:nicoletta.vozza@crm.otsuka-europe.com", "nicoletta.vozza@crm.otsuka-europe.com")</f>
        <v>nicoletta.vozza@crm.otsuka-europe.com</v>
      </c>
      <c r="N3164" s="13">
        <v>46181.338078703702</v>
      </c>
      <c r="O3164" s="14" t="str">
        <f>HYPERLINK("https://otsuka-europe-crm.veevavault.com/ui/#object/email_activity__v/V8C00000003P824", "EN-002091122")</f>
        <v>EN-002091122</v>
      </c>
    </row>
    <row r="3165" spans="1:15" ht="32" x14ac:dyDescent="0.2">
      <c r="A3165" s="7" t="str">
        <f>HYPERLINK("https://otsuka-europe-crm.veevavault.com/ui/#object/account__v/V4TZ04ASGEHZYDG", "BRIGIDA RAFFAELLA ANTONELLA G SACCIA")</f>
        <v>BRIGIDA RAFFAELLA ANTONELLA G SACCIA</v>
      </c>
      <c r="B3165" s="7" t="str">
        <f t="shared" si="124"/>
        <v>IT</v>
      </c>
      <c r="C3165" s="8" t="s">
        <v>44</v>
      </c>
      <c r="D3165" s="9" t="str">
        <f t="shared" si="125"/>
        <v>AE dialoghi di tempo fiducia e cura episodi 2-3-4</v>
      </c>
      <c r="E3165" s="10" t="str">
        <f>HYPERLINK("https://otsuka-europe-crm.veevavault.com/ui/#object/sent_email__v/VBL00000002O665", "SE-001432336")</f>
        <v>SE-001432336</v>
      </c>
      <c r="F3165" s="11"/>
      <c r="G3165" s="12">
        <v>0</v>
      </c>
      <c r="H3165" s="12">
        <v>0</v>
      </c>
      <c r="I3165" s="12">
        <v>0</v>
      </c>
      <c r="J3165" s="11"/>
      <c r="K3165" s="12">
        <v>0</v>
      </c>
      <c r="L3165" s="10" t="str">
        <f t="shared" si="126"/>
        <v>AE dialoghi di tempo fiducia e cura episodi 2-3-4</v>
      </c>
      <c r="M3165" s="10" t="str">
        <f t="shared" si="127"/>
        <v>nicoletta.vozza@crm.otsuka-europe.com</v>
      </c>
      <c r="N3165" s="13">
        <v>46181.33803240741</v>
      </c>
      <c r="O3165" s="14" t="str">
        <f>HYPERLINK("https://otsuka-europe-crm.veevavault.com/ui/#object/email_activity__v/V8C00000003O482", "EN-002090038")</f>
        <v>EN-002090038</v>
      </c>
    </row>
    <row r="3166" spans="1:15" ht="32" x14ac:dyDescent="0.2">
      <c r="A3166" s="7" t="str">
        <f>HYPERLINK("https://otsuka-europe-crm.veevavault.com/ui/#object/account__v/V4TZ04ASGG00Z0R", "BRODINELA MARPEPA")</f>
        <v>BRODINELA MARPEPA</v>
      </c>
      <c r="B3166" s="7" t="str">
        <f t="shared" si="124"/>
        <v>IT</v>
      </c>
      <c r="C3166" s="8" t="s">
        <v>44</v>
      </c>
      <c r="D3166" s="9" t="str">
        <f t="shared" si="125"/>
        <v>AE dialoghi di tempo fiducia e cura episodi 2-3-4</v>
      </c>
      <c r="E3166" s="10" t="str">
        <f>HYPERLINK("https://otsuka-europe-crm.veevavault.com/ui/#object/sent_email__v/VBL00000002O666", "SE-001432337")</f>
        <v>SE-001432337</v>
      </c>
      <c r="F3166" s="11"/>
      <c r="G3166" s="12">
        <v>0</v>
      </c>
      <c r="H3166" s="12">
        <v>0</v>
      </c>
      <c r="I3166" s="12">
        <v>0</v>
      </c>
      <c r="J3166" s="11"/>
      <c r="K3166" s="12">
        <v>0</v>
      </c>
      <c r="L3166" s="10" t="str">
        <f t="shared" si="126"/>
        <v>AE dialoghi di tempo fiducia e cura episodi 2-3-4</v>
      </c>
      <c r="M3166" s="10" t="str">
        <f t="shared" si="127"/>
        <v>nicoletta.vozza@crm.otsuka-europe.com</v>
      </c>
      <c r="N3166" s="13">
        <v>46181.338020833333</v>
      </c>
      <c r="O3166" s="14" t="str">
        <f>HYPERLINK("https://otsuka-europe-crm.veevavault.com/ui/#object/email_activity__v/V8C00000003Q265", "EN-002091383")</f>
        <v>EN-002091383</v>
      </c>
    </row>
    <row r="3167" spans="1:15" ht="32" x14ac:dyDescent="0.2">
      <c r="A3167" s="7" t="str">
        <f>HYPERLINK("https://otsuka-europe-crm.veevavault.com/ui/#object/account__v/V4TZ06G6O71SAAN", "BRUNA DELL'ORSO")</f>
        <v>BRUNA DELL'ORSO</v>
      </c>
      <c r="B3167" s="7" t="str">
        <f t="shared" si="124"/>
        <v>IT</v>
      </c>
      <c r="C3167" s="8" t="s">
        <v>44</v>
      </c>
      <c r="D3167" s="9" t="str">
        <f t="shared" si="125"/>
        <v>AE dialoghi di tempo fiducia e cura episodi 2-3-4</v>
      </c>
      <c r="E3167" s="10" t="str">
        <f>HYPERLINK("https://otsuka-europe-crm.veevavault.com/ui/#object/sent_email__v/VBL00000002O667", "SE-001432338")</f>
        <v>SE-001432338</v>
      </c>
      <c r="F3167" s="11"/>
      <c r="G3167" s="12">
        <v>0</v>
      </c>
      <c r="H3167" s="12">
        <v>0</v>
      </c>
      <c r="I3167" s="12">
        <v>0</v>
      </c>
      <c r="J3167" s="11"/>
      <c r="K3167" s="12">
        <v>0</v>
      </c>
      <c r="L3167" s="10" t="str">
        <f t="shared" si="126"/>
        <v>AE dialoghi di tempo fiducia e cura episodi 2-3-4</v>
      </c>
      <c r="M3167" s="10" t="str">
        <f t="shared" si="127"/>
        <v>nicoletta.vozza@crm.otsuka-europe.com</v>
      </c>
      <c r="N3167" s="13">
        <v>46181.338055555556</v>
      </c>
      <c r="O3167" s="14" t="str">
        <f>HYPERLINK("https://otsuka-europe-crm.veevavault.com/ui/#object/email_activity__v/V8C00000003O890", "EN-002090493")</f>
        <v>EN-002090493</v>
      </c>
    </row>
    <row r="3168" spans="1:15" ht="32" x14ac:dyDescent="0.2">
      <c r="A3168" s="7" t="str">
        <f>HYPERLINK("https://otsuka-europe-crm.veevavault.com/ui/#object/account__v/V4TZ025E82TFIR2", "BRUNA FIORDALISI")</f>
        <v>BRUNA FIORDALISI</v>
      </c>
      <c r="B3168" s="7" t="str">
        <f t="shared" si="124"/>
        <v>IT</v>
      </c>
      <c r="C3168" s="8" t="s">
        <v>44</v>
      </c>
      <c r="D3168" s="9" t="str">
        <f t="shared" si="125"/>
        <v>AE dialoghi di tempo fiducia e cura episodi 2-3-4</v>
      </c>
      <c r="E3168" s="10" t="str">
        <f>HYPERLINK("https://otsuka-europe-crm.veevavault.com/ui/#object/sent_email__v/VBL00000002O668", "SE-001432339")</f>
        <v>SE-001432339</v>
      </c>
      <c r="F3168" s="11"/>
      <c r="G3168" s="12">
        <v>0</v>
      </c>
      <c r="H3168" s="12">
        <v>0</v>
      </c>
      <c r="I3168" s="12">
        <v>0</v>
      </c>
      <c r="J3168" s="11"/>
      <c r="K3168" s="12">
        <v>0</v>
      </c>
      <c r="L3168" s="10" t="str">
        <f t="shared" si="126"/>
        <v>AE dialoghi di tempo fiducia e cura episodi 2-3-4</v>
      </c>
      <c r="M3168" s="10" t="str">
        <f t="shared" si="127"/>
        <v>nicoletta.vozza@crm.otsuka-europe.com</v>
      </c>
      <c r="N3168" s="13">
        <v>46181.338020833333</v>
      </c>
      <c r="O3168" s="14" t="str">
        <f>HYPERLINK("https://otsuka-europe-crm.veevavault.com/ui/#object/email_activity__v/V8C00000003Q196", "EN-002091301")</f>
        <v>EN-002091301</v>
      </c>
    </row>
    <row r="3169" spans="1:15" ht="32" x14ac:dyDescent="0.2">
      <c r="A3169" s="7" t="str">
        <f>HYPERLINK("https://otsuka-europe-crm.veevavault.com/ui/#object/account__v/V4TZ06G6O71VPNF", "BRUNELLA DE STEFANO")</f>
        <v>BRUNELLA DE STEFANO</v>
      </c>
      <c r="B3169" s="7" t="str">
        <f t="shared" si="124"/>
        <v>IT</v>
      </c>
      <c r="C3169" s="8" t="s">
        <v>44</v>
      </c>
      <c r="D3169" s="9" t="str">
        <f t="shared" si="125"/>
        <v>AE dialoghi di tempo fiducia e cura episodi 2-3-4</v>
      </c>
      <c r="E3169" s="10" t="str">
        <f>HYPERLINK("https://otsuka-europe-crm.veevavault.com/ui/#object/sent_email__v/VBL00000002O669", "SE-001432340")</f>
        <v>SE-001432340</v>
      </c>
      <c r="F3169" s="11"/>
      <c r="G3169" s="12">
        <v>0</v>
      </c>
      <c r="H3169" s="12">
        <v>0</v>
      </c>
      <c r="I3169" s="12">
        <v>0</v>
      </c>
      <c r="J3169" s="11"/>
      <c r="K3169" s="12">
        <v>0</v>
      </c>
      <c r="L3169" s="10" t="str">
        <f t="shared" si="126"/>
        <v>AE dialoghi di tempo fiducia e cura episodi 2-3-4</v>
      </c>
      <c r="M3169" s="10" t="str">
        <f t="shared" si="127"/>
        <v>nicoletta.vozza@crm.otsuka-europe.com</v>
      </c>
      <c r="N3169" s="13">
        <v>46181.338078703702</v>
      </c>
      <c r="O3169" s="14" t="str">
        <f>HYPERLINK("https://otsuka-europe-crm.veevavault.com/ui/#object/email_activity__v/V8C00000003Q067", "EN-002091132")</f>
        <v>EN-002091132</v>
      </c>
    </row>
    <row r="3170" spans="1:15" ht="32" x14ac:dyDescent="0.2">
      <c r="A3170" s="7" t="str">
        <f>HYPERLINK("https://otsuka-europe-crm.veevavault.com/ui/#object/account__v/V4TZ06G6OBUACRC", "BRUNELLA VARETTO")</f>
        <v>BRUNELLA VARETTO</v>
      </c>
      <c r="B3170" s="7" t="str">
        <f t="shared" si="124"/>
        <v>IT</v>
      </c>
      <c r="C3170" s="8" t="s">
        <v>44</v>
      </c>
      <c r="D3170" s="9" t="str">
        <f t="shared" si="125"/>
        <v>AE dialoghi di tempo fiducia e cura episodi 2-3-4</v>
      </c>
      <c r="E3170" s="10" t="str">
        <f>HYPERLINK("https://otsuka-europe-crm.veevavault.com/ui/#object/sent_email__v/VBL00000002O670", "SE-001432341")</f>
        <v>SE-001432341</v>
      </c>
      <c r="F3170" s="11"/>
      <c r="G3170" s="12">
        <v>0</v>
      </c>
      <c r="H3170" s="12">
        <v>0</v>
      </c>
      <c r="I3170" s="12">
        <v>0</v>
      </c>
      <c r="J3170" s="11"/>
      <c r="K3170" s="12">
        <v>0</v>
      </c>
      <c r="L3170" s="10" t="str">
        <f t="shared" si="126"/>
        <v>AE dialoghi di tempo fiducia e cura episodi 2-3-4</v>
      </c>
      <c r="M3170" s="10" t="str">
        <f t="shared" si="127"/>
        <v>nicoletta.vozza@crm.otsuka-europe.com</v>
      </c>
      <c r="N3170" s="13">
        <v>46181.33803240741</v>
      </c>
      <c r="O3170" s="14" t="str">
        <f>HYPERLINK("https://otsuka-europe-crm.veevavault.com/ui/#object/email_activity__v/V8C00000003O379", "EN-002089897")</f>
        <v>EN-002089897</v>
      </c>
    </row>
    <row r="3171" spans="1:15" ht="32" x14ac:dyDescent="0.2">
      <c r="A3171" s="7" t="str">
        <f>HYPERLINK("https://otsuka-europe-crm.veevavault.com/ui/#object/account__v/V4TZ04ASG6FT62U", "BRUNO PALLOTTO")</f>
        <v>BRUNO PALLOTTO</v>
      </c>
      <c r="B3171" s="7" t="str">
        <f t="shared" si="124"/>
        <v>IT</v>
      </c>
      <c r="C3171" s="8" t="s">
        <v>44</v>
      </c>
      <c r="D3171" s="9" t="str">
        <f t="shared" si="125"/>
        <v>AE dialoghi di tempo fiducia e cura episodi 2-3-4</v>
      </c>
      <c r="E3171" s="10" t="str">
        <f>HYPERLINK("https://otsuka-europe-crm.veevavault.com/ui/#object/sent_email__v/VBL00000002O671", "SE-001432342")</f>
        <v>SE-001432342</v>
      </c>
      <c r="F3171" s="11"/>
      <c r="G3171" s="12">
        <v>0</v>
      </c>
      <c r="H3171" s="12">
        <v>0</v>
      </c>
      <c r="I3171" s="12">
        <v>0</v>
      </c>
      <c r="J3171" s="11"/>
      <c r="K3171" s="12">
        <v>0</v>
      </c>
      <c r="L3171" s="10" t="str">
        <f t="shared" si="126"/>
        <v>AE dialoghi di tempo fiducia e cura episodi 2-3-4</v>
      </c>
      <c r="M3171" s="10" t="str">
        <f t="shared" si="127"/>
        <v>nicoletta.vozza@crm.otsuka-europe.com</v>
      </c>
      <c r="N3171" s="13">
        <v>46181.33798611111</v>
      </c>
      <c r="O3171" s="14" t="str">
        <f>HYPERLINK("https://otsuka-europe-crm.veevavault.com/ui/#object/email_activity__v/V8C00000003O416", "EN-002089972")</f>
        <v>EN-002089972</v>
      </c>
    </row>
    <row r="3172" spans="1:15" ht="16" x14ac:dyDescent="0.2">
      <c r="A3172" s="17" t="str">
        <f>HYPERLINK("https://otsuka-europe-crm.veevavault.com/ui/#object/account__v/V4TZ06G6O71SCD7", "CALOGERO CIRAFISI")</f>
        <v>CALOGERO CIRAFISI</v>
      </c>
      <c r="B3172" s="17" t="str">
        <f t="shared" si="124"/>
        <v>IT</v>
      </c>
      <c r="C3172" s="20" t="s">
        <v>44</v>
      </c>
      <c r="D3172" s="21" t="str">
        <f t="shared" si="125"/>
        <v>AE dialoghi di tempo fiducia e cura episodi 2-3-4</v>
      </c>
      <c r="E3172" s="22" t="str">
        <f>HYPERLINK("https://otsuka-europe-crm.veevavault.com/ui/#object/sent_email__v/VBL00000002O672", "SE-001432343")</f>
        <v>SE-001432343</v>
      </c>
      <c r="F3172" s="23">
        <v>46181.338148148148</v>
      </c>
      <c r="G3172" s="24">
        <v>1</v>
      </c>
      <c r="H3172" s="24">
        <v>1</v>
      </c>
      <c r="I3172" s="24">
        <v>0</v>
      </c>
      <c r="J3172" s="25"/>
      <c r="K3172" s="24">
        <v>0</v>
      </c>
      <c r="L3172" s="22" t="str">
        <f t="shared" si="126"/>
        <v>AE dialoghi di tempo fiducia e cura episodi 2-3-4</v>
      </c>
      <c r="M3172" s="22" t="str">
        <f t="shared" si="127"/>
        <v>nicoletta.vozza@crm.otsuka-europe.com</v>
      </c>
      <c r="N3172" s="23">
        <v>46181.337997685187</v>
      </c>
      <c r="O3172" s="14" t="str">
        <f>HYPERLINK("https://otsuka-europe-crm.veevavault.com/ui/#object/email_activity__v/V8C00000003O618", "EN-002090174")</f>
        <v>EN-002090174</v>
      </c>
    </row>
    <row r="3173" spans="1:15" ht="16" x14ac:dyDescent="0.2">
      <c r="A3173" s="19"/>
      <c r="B3173" s="19"/>
      <c r="C3173" s="19"/>
      <c r="D3173" s="19"/>
      <c r="E3173" s="19"/>
      <c r="F3173" s="19"/>
      <c r="G3173" s="19"/>
      <c r="H3173" s="19"/>
      <c r="I3173" s="19"/>
      <c r="J3173" s="19"/>
      <c r="K3173" s="19"/>
      <c r="L3173" s="19"/>
      <c r="M3173" s="19"/>
      <c r="N3173" s="19"/>
      <c r="O3173" s="14" t="str">
        <f>HYPERLINK("https://otsuka-europe-crm.veevavault.com/ui/#object/email_activity__v/V8C00000003Q144", "EN-002091227")</f>
        <v>EN-002091227</v>
      </c>
    </row>
    <row r="3174" spans="1:15" ht="32" x14ac:dyDescent="0.2">
      <c r="A3174" s="7" t="str">
        <f>HYPERLINK("https://otsuka-europe-crm.veevavault.com/ui/#object/account__v/V4TZ06G6O71SATF", "CALOGERO GENNARO")</f>
        <v>CALOGERO GENNARO</v>
      </c>
      <c r="B3174" s="7" t="str">
        <f>HYPERLINK("https://otsuka-europe-crm.veevavault.com/ui/#object/vcountry__v/VENZ000004SONFQ", "IT")</f>
        <v>IT</v>
      </c>
      <c r="C3174" s="8" t="s">
        <v>44</v>
      </c>
      <c r="D3174" s="9" t="str">
        <f>HYPERLINK("https://otsuka-europe-crm.veevavault.com/ui/#object/approved_document__v/V5O000000018003", "AE dialoghi di tempo fiducia e cura episodi 2-3-4")</f>
        <v>AE dialoghi di tempo fiducia e cura episodi 2-3-4</v>
      </c>
      <c r="E3174" s="10" t="str">
        <f>HYPERLINK("https://otsuka-europe-crm.veevavault.com/ui/#object/sent_email__v/VBL00000002O673", "SE-001432344")</f>
        <v>SE-001432344</v>
      </c>
      <c r="F3174" s="11"/>
      <c r="G3174" s="12">
        <v>0</v>
      </c>
      <c r="H3174" s="12">
        <v>0</v>
      </c>
      <c r="I3174" s="12">
        <v>0</v>
      </c>
      <c r="J3174" s="11"/>
      <c r="K3174" s="12">
        <v>0</v>
      </c>
      <c r="L3174" s="10" t="str">
        <f>HYPERLINK("https://otsuka-europe-crm.veevavault.com/ui/#object/approved_document__v/V5O000000018003", "AE dialoghi di tempo fiducia e cura episodi 2-3-4")</f>
        <v>AE dialoghi di tempo fiducia e cura episodi 2-3-4</v>
      </c>
      <c r="M3174" s="10" t="str">
        <f>HYPERLINK("mailto:nicoletta.vozza@crm.otsuka-europe.com", "nicoletta.vozza@crm.otsuka-europe.com")</f>
        <v>nicoletta.vozza@crm.otsuka-europe.com</v>
      </c>
      <c r="N3174" s="13">
        <v>46181.338055555556</v>
      </c>
      <c r="O3174" s="14" t="str">
        <f>HYPERLINK("https://otsuka-europe-crm.veevavault.com/ui/#object/email_activity__v/V8C00000003P312", "EN-002089948")</f>
        <v>EN-002089948</v>
      </c>
    </row>
    <row r="3175" spans="1:15" ht="16" x14ac:dyDescent="0.2">
      <c r="A3175" s="17" t="str">
        <f>HYPERLINK("https://otsuka-europe-crm.veevavault.com/ui/#object/account__v/V4TZ06G6O71SBWC", "CALOGERO PIRITORE")</f>
        <v>CALOGERO PIRITORE</v>
      </c>
      <c r="B3175" s="17" t="str">
        <f>HYPERLINK("https://otsuka-europe-crm.veevavault.com/ui/#object/vcountry__v/VENZ000004SONFQ", "IT")</f>
        <v>IT</v>
      </c>
      <c r="C3175" s="20" t="s">
        <v>44</v>
      </c>
      <c r="D3175" s="21" t="str">
        <f>HYPERLINK("https://otsuka-europe-crm.veevavault.com/ui/#object/approved_document__v/V5O000000018003", "AE dialoghi di tempo fiducia e cura episodi 2-3-4")</f>
        <v>AE dialoghi di tempo fiducia e cura episodi 2-3-4</v>
      </c>
      <c r="E3175" s="22" t="str">
        <f>HYPERLINK("https://otsuka-europe-crm.veevavault.com/ui/#object/sent_email__v/VBL00000002O674", "SE-001432345")</f>
        <v>SE-001432345</v>
      </c>
      <c r="F3175" s="23">
        <v>46193.461944444447</v>
      </c>
      <c r="G3175" s="24">
        <v>1</v>
      </c>
      <c r="H3175" s="24">
        <v>3</v>
      </c>
      <c r="I3175" s="24">
        <v>0</v>
      </c>
      <c r="J3175" s="25"/>
      <c r="K3175" s="24">
        <v>0</v>
      </c>
      <c r="L3175" s="22" t="str">
        <f>HYPERLINK("https://otsuka-europe-crm.veevavault.com/ui/#object/approved_document__v/V5O000000018003", "AE dialoghi di tempo fiducia e cura episodi 2-3-4")</f>
        <v>AE dialoghi di tempo fiducia e cura episodi 2-3-4</v>
      </c>
      <c r="M3175" s="22" t="str">
        <f>HYPERLINK("mailto:nicoletta.vozza@crm.otsuka-europe.com", "nicoletta.vozza@crm.otsuka-europe.com")</f>
        <v>nicoletta.vozza@crm.otsuka-europe.com</v>
      </c>
      <c r="N3175" s="23">
        <v>46181.338055555556</v>
      </c>
      <c r="O3175" s="14" t="str">
        <f>HYPERLINK("https://otsuka-europe-crm.veevavault.com/ui/#object/email_activity__v/V8C00000003O532", "EN-002090088")</f>
        <v>EN-002090088</v>
      </c>
    </row>
    <row r="3176" spans="1:15" ht="16" x14ac:dyDescent="0.2">
      <c r="A3176" s="18"/>
      <c r="B3176" s="18"/>
      <c r="C3176" s="18"/>
      <c r="D3176" s="18"/>
      <c r="E3176" s="18"/>
      <c r="F3176" s="18"/>
      <c r="G3176" s="18"/>
      <c r="H3176" s="18"/>
      <c r="I3176" s="18"/>
      <c r="J3176" s="18"/>
      <c r="K3176" s="18"/>
      <c r="L3176" s="18"/>
      <c r="M3176" s="18"/>
      <c r="N3176" s="18"/>
      <c r="O3176" s="14" t="str">
        <f>HYPERLINK("https://otsuka-europe-crm.veevavault.com/ui/#object/email_activity__v/V8C00000003R343", "EN-002092336")</f>
        <v>EN-002092336</v>
      </c>
    </row>
    <row r="3177" spans="1:15" ht="16" x14ac:dyDescent="0.2">
      <c r="A3177" s="18"/>
      <c r="B3177" s="18"/>
      <c r="C3177" s="18"/>
      <c r="D3177" s="18"/>
      <c r="E3177" s="18"/>
      <c r="F3177" s="18"/>
      <c r="G3177" s="18"/>
      <c r="H3177" s="18"/>
      <c r="I3177" s="18"/>
      <c r="J3177" s="18"/>
      <c r="K3177" s="18"/>
      <c r="L3177" s="18"/>
      <c r="M3177" s="18"/>
      <c r="N3177" s="18"/>
      <c r="O3177" s="14" t="str">
        <f>HYPERLINK("https://otsuka-europe-crm.veevavault.com/ui/#object/email_activity__v/V8C00000003U416", "EN-002095690")</f>
        <v>EN-002095690</v>
      </c>
    </row>
    <row r="3178" spans="1:15" ht="16" x14ac:dyDescent="0.2">
      <c r="A3178" s="19"/>
      <c r="B3178" s="19"/>
      <c r="C3178" s="19"/>
      <c r="D3178" s="19"/>
      <c r="E3178" s="19"/>
      <c r="F3178" s="19"/>
      <c r="G3178" s="19"/>
      <c r="H3178" s="19"/>
      <c r="I3178" s="19"/>
      <c r="J3178" s="19"/>
      <c r="K3178" s="19"/>
      <c r="L3178" s="19"/>
      <c r="M3178" s="19"/>
      <c r="N3178" s="19"/>
      <c r="O3178" s="14" t="str">
        <f>HYPERLINK("https://otsuka-europe-crm.veevavault.com/ui/#object/email_activity__v/V8C000000040102", "EN-002098881")</f>
        <v>EN-002098881</v>
      </c>
    </row>
    <row r="3179" spans="1:15" ht="32" x14ac:dyDescent="0.2">
      <c r="A3179" s="7" t="str">
        <f>HYPERLINK("https://otsuka-europe-crm.veevavault.com/ui/#object/account__v/V4TZ06G6O71SC67", "CALOGERO RUSSO")</f>
        <v>CALOGERO RUSSO</v>
      </c>
      <c r="B3179" s="7" t="str">
        <f t="shared" ref="B3179:B3214" si="128">HYPERLINK("https://otsuka-europe-crm.veevavault.com/ui/#object/vcountry__v/VENZ000004SONFQ", "IT")</f>
        <v>IT</v>
      </c>
      <c r="C3179" s="8" t="s">
        <v>44</v>
      </c>
      <c r="D3179" s="9" t="str">
        <f t="shared" ref="D3179:D3214" si="129">HYPERLINK("https://otsuka-europe-crm.veevavault.com/ui/#object/approved_document__v/V5O000000018003", "AE dialoghi di tempo fiducia e cura episodi 2-3-4")</f>
        <v>AE dialoghi di tempo fiducia e cura episodi 2-3-4</v>
      </c>
      <c r="E3179" s="10" t="str">
        <f>HYPERLINK("https://otsuka-europe-crm.veevavault.com/ui/#object/sent_email__v/VBL00000002O675", "SE-001432346")</f>
        <v>SE-001432346</v>
      </c>
      <c r="F3179" s="11"/>
      <c r="G3179" s="12">
        <v>0</v>
      </c>
      <c r="H3179" s="12">
        <v>0</v>
      </c>
      <c r="I3179" s="12">
        <v>0</v>
      </c>
      <c r="J3179" s="11"/>
      <c r="K3179" s="12">
        <v>0</v>
      </c>
      <c r="L3179" s="10" t="str">
        <f t="shared" ref="L3179:L3214" si="130">HYPERLINK("https://otsuka-europe-crm.veevavault.com/ui/#object/approved_document__v/V5O000000018003", "AE dialoghi di tempo fiducia e cura episodi 2-3-4")</f>
        <v>AE dialoghi di tempo fiducia e cura episodi 2-3-4</v>
      </c>
      <c r="M3179" s="10" t="str">
        <f t="shared" ref="M3179:M3214" si="131">HYPERLINK("mailto:nicoletta.vozza@crm.otsuka-europe.com", "nicoletta.vozza@crm.otsuka-europe.com")</f>
        <v>nicoletta.vozza@crm.otsuka-europe.com</v>
      </c>
      <c r="N3179" s="13">
        <v>46181.33803240741</v>
      </c>
      <c r="O3179" s="14" t="str">
        <f>HYPERLINK("https://otsuka-europe-crm.veevavault.com/ui/#object/email_activity__v/V8C00000003O874", "EN-002090477")</f>
        <v>EN-002090477</v>
      </c>
    </row>
    <row r="3180" spans="1:15" ht="32" x14ac:dyDescent="0.2">
      <c r="A3180" s="7" t="str">
        <f>HYPERLINK("https://otsuka-europe-crm.veevavault.com/ui/#object/account__v/V4TZ04ASG6TJTBY", "CALOGERO VIRZI'")</f>
        <v>CALOGERO VIRZI'</v>
      </c>
      <c r="B3180" s="7" t="str">
        <f t="shared" si="128"/>
        <v>IT</v>
      </c>
      <c r="C3180" s="8" t="s">
        <v>44</v>
      </c>
      <c r="D3180" s="9" t="str">
        <f t="shared" si="129"/>
        <v>AE dialoghi di tempo fiducia e cura episodi 2-3-4</v>
      </c>
      <c r="E3180" s="10" t="str">
        <f>HYPERLINK("https://otsuka-europe-crm.veevavault.com/ui/#object/sent_email__v/VBL00000002O676", "SE-001432347")</f>
        <v>SE-001432347</v>
      </c>
      <c r="F3180" s="11"/>
      <c r="G3180" s="12">
        <v>0</v>
      </c>
      <c r="H3180" s="12">
        <v>0</v>
      </c>
      <c r="I3180" s="12">
        <v>0</v>
      </c>
      <c r="J3180" s="11"/>
      <c r="K3180" s="12">
        <v>0</v>
      </c>
      <c r="L3180" s="10" t="str">
        <f t="shared" si="130"/>
        <v>AE dialoghi di tempo fiducia e cura episodi 2-3-4</v>
      </c>
      <c r="M3180" s="10" t="str">
        <f t="shared" si="131"/>
        <v>nicoletta.vozza@crm.otsuka-europe.com</v>
      </c>
      <c r="N3180" s="13">
        <v>46181.338101851848</v>
      </c>
      <c r="O3180" s="14" t="str">
        <f>HYPERLINK("https://otsuka-europe-crm.veevavault.com/ui/#object/email_activity__v/V8C00000003P608", "EN-002090863")</f>
        <v>EN-002090863</v>
      </c>
    </row>
    <row r="3181" spans="1:15" ht="32" x14ac:dyDescent="0.2">
      <c r="A3181" s="7" t="str">
        <f>HYPERLINK("https://otsuka-europe-crm.veevavault.com/ui/#object/account__v/V4TZ06G6O71S9GD", "CAMILLA ANTONUCCI")</f>
        <v>CAMILLA ANTONUCCI</v>
      </c>
      <c r="B3181" s="7" t="str">
        <f t="shared" si="128"/>
        <v>IT</v>
      </c>
      <c r="C3181" s="8" t="s">
        <v>44</v>
      </c>
      <c r="D3181" s="9" t="str">
        <f t="shared" si="129"/>
        <v>AE dialoghi di tempo fiducia e cura episodi 2-3-4</v>
      </c>
      <c r="E3181" s="10" t="str">
        <f>HYPERLINK("https://otsuka-europe-crm.veevavault.com/ui/#object/sent_email__v/VBL00000002O677", "SE-001432348")</f>
        <v>SE-001432348</v>
      </c>
      <c r="F3181" s="11"/>
      <c r="G3181" s="12">
        <v>0</v>
      </c>
      <c r="H3181" s="12">
        <v>0</v>
      </c>
      <c r="I3181" s="12">
        <v>0</v>
      </c>
      <c r="J3181" s="11"/>
      <c r="K3181" s="12">
        <v>0</v>
      </c>
      <c r="L3181" s="10" t="str">
        <f t="shared" si="130"/>
        <v>AE dialoghi di tempo fiducia e cura episodi 2-3-4</v>
      </c>
      <c r="M3181" s="10" t="str">
        <f t="shared" si="131"/>
        <v>nicoletta.vozza@crm.otsuka-europe.com</v>
      </c>
      <c r="N3181" s="13">
        <v>46181.33798611111</v>
      </c>
      <c r="O3181" s="14" t="str">
        <f>HYPERLINK("https://otsuka-europe-crm.veevavault.com/ui/#object/email_activity__v/V8C00000003O287", "EN-002089764")</f>
        <v>EN-002089764</v>
      </c>
    </row>
    <row r="3182" spans="1:15" ht="32" x14ac:dyDescent="0.2">
      <c r="A3182" s="7" t="str">
        <f>HYPERLINK("https://otsuka-europe-crm.veevavault.com/ui/#object/account__v/V4TZ06G6O71S9CW", "CAMILLA FINI")</f>
        <v>CAMILLA FINI</v>
      </c>
      <c r="B3182" s="7" t="str">
        <f t="shared" si="128"/>
        <v>IT</v>
      </c>
      <c r="C3182" s="8" t="s">
        <v>44</v>
      </c>
      <c r="D3182" s="9" t="str">
        <f t="shared" si="129"/>
        <v>AE dialoghi di tempo fiducia e cura episodi 2-3-4</v>
      </c>
      <c r="E3182" s="10" t="str">
        <f>HYPERLINK("https://otsuka-europe-crm.veevavault.com/ui/#object/sent_email__v/VBL00000002O678", "SE-001432349")</f>
        <v>SE-001432349</v>
      </c>
      <c r="F3182" s="11"/>
      <c r="G3182" s="12">
        <v>0</v>
      </c>
      <c r="H3182" s="12">
        <v>0</v>
      </c>
      <c r="I3182" s="12">
        <v>0</v>
      </c>
      <c r="J3182" s="11"/>
      <c r="K3182" s="12">
        <v>0</v>
      </c>
      <c r="L3182" s="10" t="str">
        <f t="shared" si="130"/>
        <v>AE dialoghi di tempo fiducia e cura episodi 2-3-4</v>
      </c>
      <c r="M3182" s="10" t="str">
        <f t="shared" si="131"/>
        <v>nicoletta.vozza@crm.otsuka-europe.com</v>
      </c>
      <c r="N3182" s="13">
        <v>46181.338090277779</v>
      </c>
      <c r="O3182" s="14" t="str">
        <f>HYPERLINK("https://otsuka-europe-crm.veevavault.com/ui/#object/email_activity__v/V8C00000003Q068", "EN-002091133")</f>
        <v>EN-002091133</v>
      </c>
    </row>
    <row r="3183" spans="1:15" ht="32" x14ac:dyDescent="0.2">
      <c r="A3183" s="7" t="str">
        <f>HYPERLINK("https://otsuka-europe-crm.veevavault.com/ui/#object/account__v/V4TZ06G6O71SATU", "CAMILLA GESI")</f>
        <v>CAMILLA GESI</v>
      </c>
      <c r="B3183" s="7" t="str">
        <f t="shared" si="128"/>
        <v>IT</v>
      </c>
      <c r="C3183" s="8" t="s">
        <v>44</v>
      </c>
      <c r="D3183" s="9" t="str">
        <f t="shared" si="129"/>
        <v>AE dialoghi di tempo fiducia e cura episodi 2-3-4</v>
      </c>
      <c r="E3183" s="10" t="str">
        <f>HYPERLINK("https://otsuka-europe-crm.veevavault.com/ui/#object/sent_email__v/VBL00000002O679", "SE-001432350")</f>
        <v>SE-001432350</v>
      </c>
      <c r="F3183" s="11"/>
      <c r="G3183" s="12">
        <v>0</v>
      </c>
      <c r="H3183" s="12">
        <v>0</v>
      </c>
      <c r="I3183" s="12">
        <v>0</v>
      </c>
      <c r="J3183" s="11"/>
      <c r="K3183" s="12">
        <v>0</v>
      </c>
      <c r="L3183" s="10" t="str">
        <f t="shared" si="130"/>
        <v>AE dialoghi di tempo fiducia e cura episodi 2-3-4</v>
      </c>
      <c r="M3183" s="10" t="str">
        <f t="shared" si="131"/>
        <v>nicoletta.vozza@crm.otsuka-europe.com</v>
      </c>
      <c r="N3183" s="13">
        <v>46181.33803240741</v>
      </c>
      <c r="O3183" s="14" t="str">
        <f>HYPERLINK("https://otsuka-europe-crm.veevavault.com/ui/#object/email_activity__v/V8C00000003O437", "EN-002089993")</f>
        <v>EN-002089993</v>
      </c>
    </row>
    <row r="3184" spans="1:15" ht="32" x14ac:dyDescent="0.2">
      <c r="A3184" s="7" t="str">
        <f>HYPERLINK("https://otsuka-europe-crm.veevavault.com/ui/#object/account__v/V4TZ025E88ELXJ0", "CAMILLA PROIETTI SEMPRONI")</f>
        <v>CAMILLA PROIETTI SEMPRONI</v>
      </c>
      <c r="B3184" s="7" t="str">
        <f t="shared" si="128"/>
        <v>IT</v>
      </c>
      <c r="C3184" s="8" t="s">
        <v>44</v>
      </c>
      <c r="D3184" s="9" t="str">
        <f t="shared" si="129"/>
        <v>AE dialoghi di tempo fiducia e cura episodi 2-3-4</v>
      </c>
      <c r="E3184" s="10" t="str">
        <f>HYPERLINK("https://otsuka-europe-crm.veevavault.com/ui/#object/sent_email__v/VBL00000002O680", "SE-001432351")</f>
        <v>SE-001432351</v>
      </c>
      <c r="F3184" s="11"/>
      <c r="G3184" s="12">
        <v>0</v>
      </c>
      <c r="H3184" s="12">
        <v>0</v>
      </c>
      <c r="I3184" s="12">
        <v>0</v>
      </c>
      <c r="J3184" s="11"/>
      <c r="K3184" s="12">
        <v>0</v>
      </c>
      <c r="L3184" s="10" t="str">
        <f t="shared" si="130"/>
        <v>AE dialoghi di tempo fiducia e cura episodi 2-3-4</v>
      </c>
      <c r="M3184" s="10" t="str">
        <f t="shared" si="131"/>
        <v>nicoletta.vozza@crm.otsuka-europe.com</v>
      </c>
      <c r="N3184" s="13">
        <v>46181.33797453704</v>
      </c>
      <c r="O3184" s="14" t="str">
        <f>HYPERLINK("https://otsuka-europe-crm.veevavault.com/ui/#object/email_activity__v/V8C00000003O821", "EN-002090523")</f>
        <v>EN-002090523</v>
      </c>
    </row>
    <row r="3185" spans="1:15" ht="32" x14ac:dyDescent="0.2">
      <c r="A3185" s="7" t="str">
        <f>HYPERLINK("https://otsuka-europe-crm.veevavault.com/ui/#object/account__v/V4TZ06G6O71SC40", "CAMILLA ROBONE")</f>
        <v>CAMILLA ROBONE</v>
      </c>
      <c r="B3185" s="7" t="str">
        <f t="shared" si="128"/>
        <v>IT</v>
      </c>
      <c r="C3185" s="8" t="s">
        <v>44</v>
      </c>
      <c r="D3185" s="9" t="str">
        <f t="shared" si="129"/>
        <v>AE dialoghi di tempo fiducia e cura episodi 2-3-4</v>
      </c>
      <c r="E3185" s="10" t="str">
        <f>HYPERLINK("https://otsuka-europe-crm.veevavault.com/ui/#object/sent_email__v/VBL00000002O681", "SE-001432352")</f>
        <v>SE-001432352</v>
      </c>
      <c r="F3185" s="11"/>
      <c r="G3185" s="12">
        <v>0</v>
      </c>
      <c r="H3185" s="12">
        <v>0</v>
      </c>
      <c r="I3185" s="12">
        <v>0</v>
      </c>
      <c r="J3185" s="11"/>
      <c r="K3185" s="12">
        <v>0</v>
      </c>
      <c r="L3185" s="10" t="str">
        <f t="shared" si="130"/>
        <v>AE dialoghi di tempo fiducia e cura episodi 2-3-4</v>
      </c>
      <c r="M3185" s="10" t="str">
        <f t="shared" si="131"/>
        <v>nicoletta.vozza@crm.otsuka-europe.com</v>
      </c>
      <c r="N3185" s="13">
        <v>46181.33798611111</v>
      </c>
      <c r="O3185" s="14" t="str">
        <f>HYPERLINK("https://otsuka-europe-crm.veevavault.com/ui/#object/email_activity__v/V8C00000003O870", "EN-002090473")</f>
        <v>EN-002090473</v>
      </c>
    </row>
    <row r="3186" spans="1:15" ht="32" x14ac:dyDescent="0.2">
      <c r="A3186" s="7" t="str">
        <f>HYPERLINK("https://otsuka-europe-crm.veevavault.com/ui/#object/account__v/V4TZ06G6O71SB94", "CARIS LOTTI")</f>
        <v>CARIS LOTTI</v>
      </c>
      <c r="B3186" s="7" t="str">
        <f t="shared" si="128"/>
        <v>IT</v>
      </c>
      <c r="C3186" s="8" t="s">
        <v>44</v>
      </c>
      <c r="D3186" s="9" t="str">
        <f t="shared" si="129"/>
        <v>AE dialoghi di tempo fiducia e cura episodi 2-3-4</v>
      </c>
      <c r="E3186" s="10" t="str">
        <f>HYPERLINK("https://otsuka-europe-crm.veevavault.com/ui/#object/sent_email__v/VBL00000002O682", "SE-001432353")</f>
        <v>SE-001432353</v>
      </c>
      <c r="F3186" s="11"/>
      <c r="G3186" s="12">
        <v>0</v>
      </c>
      <c r="H3186" s="12">
        <v>0</v>
      </c>
      <c r="I3186" s="12">
        <v>0</v>
      </c>
      <c r="J3186" s="11"/>
      <c r="K3186" s="12">
        <v>0</v>
      </c>
      <c r="L3186" s="10" t="str">
        <f t="shared" si="130"/>
        <v>AE dialoghi di tempo fiducia e cura episodi 2-3-4</v>
      </c>
      <c r="M3186" s="10" t="str">
        <f t="shared" si="131"/>
        <v>nicoletta.vozza@crm.otsuka-europe.com</v>
      </c>
      <c r="N3186" s="13">
        <v>46181.33803240741</v>
      </c>
      <c r="O3186" s="14" t="str">
        <f>HYPERLINK("https://otsuka-europe-crm.veevavault.com/ui/#object/email_activity__v/V8C00000003O438", "EN-002089994")</f>
        <v>EN-002089994</v>
      </c>
    </row>
    <row r="3187" spans="1:15" ht="32" x14ac:dyDescent="0.2">
      <c r="A3187" s="7" t="str">
        <f>HYPERLINK("https://otsuka-europe-crm.veevavault.com/ui/#object/account__v/V4TZ025E876XY5Y", "CARLA BENEDICTA ROMANO")</f>
        <v>CARLA BENEDICTA ROMANO</v>
      </c>
      <c r="B3187" s="7" t="str">
        <f t="shared" si="128"/>
        <v>IT</v>
      </c>
      <c r="C3187" s="8" t="s">
        <v>44</v>
      </c>
      <c r="D3187" s="9" t="str">
        <f t="shared" si="129"/>
        <v>AE dialoghi di tempo fiducia e cura episodi 2-3-4</v>
      </c>
      <c r="E3187" s="10" t="str">
        <f>HYPERLINK("https://otsuka-europe-crm.veevavault.com/ui/#object/sent_email__v/VBL00000002O683", "SE-001432354")</f>
        <v>SE-001432354</v>
      </c>
      <c r="F3187" s="11"/>
      <c r="G3187" s="12">
        <v>0</v>
      </c>
      <c r="H3187" s="12">
        <v>0</v>
      </c>
      <c r="I3187" s="12">
        <v>0</v>
      </c>
      <c r="J3187" s="11"/>
      <c r="K3187" s="12">
        <v>0</v>
      </c>
      <c r="L3187" s="10" t="str">
        <f t="shared" si="130"/>
        <v>AE dialoghi di tempo fiducia e cura episodi 2-3-4</v>
      </c>
      <c r="M3187" s="10" t="str">
        <f t="shared" si="131"/>
        <v>nicoletta.vozza@crm.otsuka-europe.com</v>
      </c>
      <c r="N3187" s="13">
        <v>46181.33803240741</v>
      </c>
      <c r="O3187" s="14" t="str">
        <f>HYPERLINK("https://otsuka-europe-crm.veevavault.com/ui/#object/email_activity__v/V8C00000003P360", "EN-002090366")</f>
        <v>EN-002090366</v>
      </c>
    </row>
    <row r="3188" spans="1:15" ht="32" x14ac:dyDescent="0.2">
      <c r="A3188" s="7" t="str">
        <f>HYPERLINK("https://otsuka-europe-crm.veevavault.com/ui/#object/account__v/V4TZ06G6O71TFR2", "CARLA BOCCIA")</f>
        <v>CARLA BOCCIA</v>
      </c>
      <c r="B3188" s="7" t="str">
        <f t="shared" si="128"/>
        <v>IT</v>
      </c>
      <c r="C3188" s="8" t="s">
        <v>44</v>
      </c>
      <c r="D3188" s="9" t="str">
        <f t="shared" si="129"/>
        <v>AE dialoghi di tempo fiducia e cura episodi 2-3-4</v>
      </c>
      <c r="E3188" s="10" t="str">
        <f>HYPERLINK("https://otsuka-europe-crm.veevavault.com/ui/#object/sent_email__v/VBL00000002O684", "SE-001432355")</f>
        <v>SE-001432355</v>
      </c>
      <c r="F3188" s="11"/>
      <c r="G3188" s="12">
        <v>0</v>
      </c>
      <c r="H3188" s="12">
        <v>0</v>
      </c>
      <c r="I3188" s="12">
        <v>0</v>
      </c>
      <c r="J3188" s="11"/>
      <c r="K3188" s="12">
        <v>0</v>
      </c>
      <c r="L3188" s="10" t="str">
        <f t="shared" si="130"/>
        <v>AE dialoghi di tempo fiducia e cura episodi 2-3-4</v>
      </c>
      <c r="M3188" s="10" t="str">
        <f t="shared" si="131"/>
        <v>nicoletta.vozza@crm.otsuka-europe.com</v>
      </c>
      <c r="N3188" s="13">
        <v>46181.338113425925</v>
      </c>
      <c r="O3188" s="14" t="str">
        <f>HYPERLINK("https://otsuka-europe-crm.veevavault.com/ui/#object/email_activity__v/V8C00000003P840", "EN-002091199")</f>
        <v>EN-002091199</v>
      </c>
    </row>
    <row r="3189" spans="1:15" ht="32" x14ac:dyDescent="0.2">
      <c r="A3189" s="7" t="str">
        <f>HYPERLINK("https://otsuka-europe-crm.veevavault.com/ui/#object/account__v/V4TZ06G6O71SAZO", "CARLA CARANTI")</f>
        <v>CARLA CARANTI</v>
      </c>
      <c r="B3189" s="7" t="str">
        <f t="shared" si="128"/>
        <v>IT</v>
      </c>
      <c r="C3189" s="8" t="s">
        <v>44</v>
      </c>
      <c r="D3189" s="9" t="str">
        <f t="shared" si="129"/>
        <v>AE dialoghi di tempo fiducia e cura episodi 2-3-4</v>
      </c>
      <c r="E3189" s="10" t="str">
        <f>HYPERLINK("https://otsuka-europe-crm.veevavault.com/ui/#object/sent_email__v/VBL00000002O685", "SE-001432356")</f>
        <v>SE-001432356</v>
      </c>
      <c r="F3189" s="11"/>
      <c r="G3189" s="12">
        <v>0</v>
      </c>
      <c r="H3189" s="12">
        <v>0</v>
      </c>
      <c r="I3189" s="12">
        <v>0</v>
      </c>
      <c r="J3189" s="11"/>
      <c r="K3189" s="12">
        <v>0</v>
      </c>
      <c r="L3189" s="10" t="str">
        <f t="shared" si="130"/>
        <v>AE dialoghi di tempo fiducia e cura episodi 2-3-4</v>
      </c>
      <c r="M3189" s="10" t="str">
        <f t="shared" si="131"/>
        <v>nicoletta.vozza@crm.otsuka-europe.com</v>
      </c>
      <c r="N3189" s="13">
        <v>46181.338078703702</v>
      </c>
      <c r="O3189" s="14" t="str">
        <f>HYPERLINK("https://otsuka-europe-crm.veevavault.com/ui/#object/email_activity__v/V8C00000003O544", "EN-002090100")</f>
        <v>EN-002090100</v>
      </c>
    </row>
    <row r="3190" spans="1:15" ht="32" x14ac:dyDescent="0.2">
      <c r="A3190" s="7" t="str">
        <f>HYPERLINK("https://otsuka-europe-crm.veevavault.com/ui/#object/account__v/V4TZ06G6O7VSSXG", "CARLA CHERUBINI")</f>
        <v>CARLA CHERUBINI</v>
      </c>
      <c r="B3190" s="7" t="str">
        <f t="shared" si="128"/>
        <v>IT</v>
      </c>
      <c r="C3190" s="8" t="s">
        <v>44</v>
      </c>
      <c r="D3190" s="9" t="str">
        <f t="shared" si="129"/>
        <v>AE dialoghi di tempo fiducia e cura episodi 2-3-4</v>
      </c>
      <c r="E3190" s="10" t="str">
        <f>HYPERLINK("https://otsuka-europe-crm.veevavault.com/ui/#object/sent_email__v/VBL00000002O686", "SE-001432357")</f>
        <v>SE-001432357</v>
      </c>
      <c r="F3190" s="11"/>
      <c r="G3190" s="12">
        <v>0</v>
      </c>
      <c r="H3190" s="12">
        <v>0</v>
      </c>
      <c r="I3190" s="12">
        <v>0</v>
      </c>
      <c r="J3190" s="11"/>
      <c r="K3190" s="12">
        <v>0</v>
      </c>
      <c r="L3190" s="10" t="str">
        <f t="shared" si="130"/>
        <v>AE dialoghi di tempo fiducia e cura episodi 2-3-4</v>
      </c>
      <c r="M3190" s="10" t="str">
        <f t="shared" si="131"/>
        <v>nicoletta.vozza@crm.otsuka-europe.com</v>
      </c>
      <c r="N3190" s="13">
        <v>46181.33797453704</v>
      </c>
      <c r="O3190" s="14" t="str">
        <f>HYPERLINK("https://otsuka-europe-crm.veevavault.com/ui/#object/email_activity__v/V8C00000003Q251", "EN-002091361")</f>
        <v>EN-002091361</v>
      </c>
    </row>
    <row r="3191" spans="1:15" ht="32" x14ac:dyDescent="0.2">
      <c r="A3191" s="7" t="str">
        <f>HYPERLINK("https://otsuka-europe-crm.veevavault.com/ui/#object/account__v/V4TZ06G6O71S9F3", "CARLA LUDOVICA TELESFORO")</f>
        <v>CARLA LUDOVICA TELESFORO</v>
      </c>
      <c r="B3191" s="7" t="str">
        <f t="shared" si="128"/>
        <v>IT</v>
      </c>
      <c r="C3191" s="8" t="s">
        <v>44</v>
      </c>
      <c r="D3191" s="9" t="str">
        <f t="shared" si="129"/>
        <v>AE dialoghi di tempo fiducia e cura episodi 2-3-4</v>
      </c>
      <c r="E3191" s="10" t="str">
        <f>HYPERLINK("https://otsuka-europe-crm.veevavault.com/ui/#object/sent_email__v/VBL00000002O687", "SE-001432358")</f>
        <v>SE-001432358</v>
      </c>
      <c r="F3191" s="11"/>
      <c r="G3191" s="12">
        <v>0</v>
      </c>
      <c r="H3191" s="12">
        <v>0</v>
      </c>
      <c r="I3191" s="12">
        <v>0</v>
      </c>
      <c r="J3191" s="11"/>
      <c r="K3191" s="12">
        <v>0</v>
      </c>
      <c r="L3191" s="10" t="str">
        <f t="shared" si="130"/>
        <v>AE dialoghi di tempo fiducia e cura episodi 2-3-4</v>
      </c>
      <c r="M3191" s="10" t="str">
        <f t="shared" si="131"/>
        <v>nicoletta.vozza@crm.otsuka-europe.com</v>
      </c>
      <c r="N3191" s="13">
        <v>46181.33803240741</v>
      </c>
      <c r="O3191" s="14" t="str">
        <f>HYPERLINK("https://otsuka-europe-crm.veevavault.com/ui/#object/email_activity__v/V8C00000003O442", "EN-002089998")</f>
        <v>EN-002089998</v>
      </c>
    </row>
    <row r="3192" spans="1:15" ht="32" x14ac:dyDescent="0.2">
      <c r="A3192" s="7" t="str">
        <f>HYPERLINK("https://otsuka-europe-crm.veevavault.com/ui/#object/account__v/V4TZ06G6OCEH62H", "CARLA MAURIZIA MEREU")</f>
        <v>CARLA MAURIZIA MEREU</v>
      </c>
      <c r="B3192" s="7" t="str">
        <f t="shared" si="128"/>
        <v>IT</v>
      </c>
      <c r="C3192" s="8" t="s">
        <v>44</v>
      </c>
      <c r="D3192" s="9" t="str">
        <f t="shared" si="129"/>
        <v>AE dialoghi di tempo fiducia e cura episodi 2-3-4</v>
      </c>
      <c r="E3192" s="10" t="str">
        <f>HYPERLINK("https://otsuka-europe-crm.veevavault.com/ui/#object/sent_email__v/VBL00000002O688", "SE-001432359")</f>
        <v>SE-001432359</v>
      </c>
      <c r="F3192" s="11"/>
      <c r="G3192" s="12">
        <v>0</v>
      </c>
      <c r="H3192" s="12">
        <v>0</v>
      </c>
      <c r="I3192" s="12">
        <v>0</v>
      </c>
      <c r="J3192" s="11"/>
      <c r="K3192" s="12">
        <v>0</v>
      </c>
      <c r="L3192" s="10" t="str">
        <f t="shared" si="130"/>
        <v>AE dialoghi di tempo fiducia e cura episodi 2-3-4</v>
      </c>
      <c r="M3192" s="10" t="str">
        <f t="shared" si="131"/>
        <v>nicoletta.vozza@crm.otsuka-europe.com</v>
      </c>
      <c r="N3192" s="13">
        <v>46181.337951388887</v>
      </c>
      <c r="O3192" s="14" t="str">
        <f>HYPERLINK("https://otsuka-europe-crm.veevavault.com/ui/#object/email_activity__v/V8C00000003O164", "EN-002089601")</f>
        <v>EN-002089601</v>
      </c>
    </row>
    <row r="3193" spans="1:15" ht="32" x14ac:dyDescent="0.2">
      <c r="A3193" s="7" t="str">
        <f>HYPERLINK("https://otsuka-europe-crm.veevavault.com/ui/#object/account__v/V4TZ06G6O71SBPA", "CARLA MORGANTI")</f>
        <v>CARLA MORGANTI</v>
      </c>
      <c r="B3193" s="7" t="str">
        <f t="shared" si="128"/>
        <v>IT</v>
      </c>
      <c r="C3193" s="8" t="s">
        <v>44</v>
      </c>
      <c r="D3193" s="9" t="str">
        <f t="shared" si="129"/>
        <v>AE dialoghi di tempo fiducia e cura episodi 2-3-4</v>
      </c>
      <c r="E3193" s="10" t="str">
        <f>HYPERLINK("https://otsuka-europe-crm.veevavault.com/ui/#object/sent_email__v/VBL00000002O689", "SE-001432360")</f>
        <v>SE-001432360</v>
      </c>
      <c r="F3193" s="11"/>
      <c r="G3193" s="12">
        <v>0</v>
      </c>
      <c r="H3193" s="12">
        <v>0</v>
      </c>
      <c r="I3193" s="12">
        <v>0</v>
      </c>
      <c r="J3193" s="11"/>
      <c r="K3193" s="12">
        <v>0</v>
      </c>
      <c r="L3193" s="10" t="str">
        <f t="shared" si="130"/>
        <v>AE dialoghi di tempo fiducia e cura episodi 2-3-4</v>
      </c>
      <c r="M3193" s="10" t="str">
        <f t="shared" si="131"/>
        <v>nicoletta.vozza@crm.otsuka-europe.com</v>
      </c>
      <c r="N3193" s="13">
        <v>46181.33797453704</v>
      </c>
      <c r="O3193" s="14" t="str">
        <f>HYPERLINK("https://otsuka-europe-crm.veevavault.com/ui/#object/email_activity__v/V8C00000003P256", "EN-002089834")</f>
        <v>EN-002089834</v>
      </c>
    </row>
    <row r="3194" spans="1:15" ht="32" x14ac:dyDescent="0.2">
      <c r="A3194" s="7" t="str">
        <f>HYPERLINK("https://otsuka-europe-crm.veevavault.com/ui/#object/account__v/V4TZ06G6O71SC08", "CARLA PIERINI")</f>
        <v>CARLA PIERINI</v>
      </c>
      <c r="B3194" s="7" t="str">
        <f t="shared" si="128"/>
        <v>IT</v>
      </c>
      <c r="C3194" s="8" t="s">
        <v>44</v>
      </c>
      <c r="D3194" s="9" t="str">
        <f t="shared" si="129"/>
        <v>AE dialoghi di tempo fiducia e cura episodi 2-3-4</v>
      </c>
      <c r="E3194" s="10" t="str">
        <f>HYPERLINK("https://otsuka-europe-crm.veevavault.com/ui/#object/sent_email__v/VBL00000002O690", "SE-001432361")</f>
        <v>SE-001432361</v>
      </c>
      <c r="F3194" s="11"/>
      <c r="G3194" s="12">
        <v>0</v>
      </c>
      <c r="H3194" s="12">
        <v>0</v>
      </c>
      <c r="I3194" s="12">
        <v>0</v>
      </c>
      <c r="J3194" s="11"/>
      <c r="K3194" s="12">
        <v>0</v>
      </c>
      <c r="L3194" s="10" t="str">
        <f t="shared" si="130"/>
        <v>AE dialoghi di tempo fiducia e cura episodi 2-3-4</v>
      </c>
      <c r="M3194" s="10" t="str">
        <f t="shared" si="131"/>
        <v>nicoletta.vozza@crm.otsuka-europe.com</v>
      </c>
      <c r="N3194" s="13">
        <v>46181.339097222219</v>
      </c>
      <c r="O3194" s="14" t="str">
        <f>HYPERLINK("https://otsuka-europe-crm.veevavault.com/ui/#object/email_activity__v/V8C00000003P871", "EN-002091354")</f>
        <v>EN-002091354</v>
      </c>
    </row>
    <row r="3195" spans="1:15" ht="32" x14ac:dyDescent="0.2">
      <c r="A3195" s="7" t="str">
        <f>HYPERLINK("https://otsuka-europe-crm.veevavault.com/ui/#object/account__v/V4TZ06G6O71SCIW", "CARLA TANZILLO")</f>
        <v>CARLA TANZILLO</v>
      </c>
      <c r="B3195" s="7" t="str">
        <f t="shared" si="128"/>
        <v>IT</v>
      </c>
      <c r="C3195" s="8" t="s">
        <v>44</v>
      </c>
      <c r="D3195" s="9" t="str">
        <f t="shared" si="129"/>
        <v>AE dialoghi di tempo fiducia e cura episodi 2-3-4</v>
      </c>
      <c r="E3195" s="10" t="str">
        <f>HYPERLINK("https://otsuka-europe-crm.veevavault.com/ui/#object/sent_email__v/VBL00000002O691", "SE-001432362")</f>
        <v>SE-001432362</v>
      </c>
      <c r="F3195" s="11"/>
      <c r="G3195" s="12">
        <v>0</v>
      </c>
      <c r="H3195" s="12">
        <v>0</v>
      </c>
      <c r="I3195" s="12">
        <v>0</v>
      </c>
      <c r="J3195" s="11"/>
      <c r="K3195" s="12">
        <v>0</v>
      </c>
      <c r="L3195" s="10" t="str">
        <f t="shared" si="130"/>
        <v>AE dialoghi di tempo fiducia e cura episodi 2-3-4</v>
      </c>
      <c r="M3195" s="10" t="str">
        <f t="shared" si="131"/>
        <v>nicoletta.vozza@crm.otsuka-europe.com</v>
      </c>
      <c r="N3195" s="13">
        <v>46181.337997685187</v>
      </c>
      <c r="O3195" s="14" t="str">
        <f>HYPERLINK("https://otsuka-europe-crm.veevavault.com/ui/#object/email_activity__v/V8C00000003O270", "EN-002089747")</f>
        <v>EN-002089747</v>
      </c>
    </row>
    <row r="3196" spans="1:15" ht="32" x14ac:dyDescent="0.2">
      <c r="A3196" s="7" t="str">
        <f>HYPERLINK("https://otsuka-europe-crm.veevavault.com/ui/#object/account__v/V4TZ06G6O71S9XC", "CARLO AMATI")</f>
        <v>CARLO AMATI</v>
      </c>
      <c r="B3196" s="7" t="str">
        <f t="shared" si="128"/>
        <v>IT</v>
      </c>
      <c r="C3196" s="8" t="s">
        <v>44</v>
      </c>
      <c r="D3196" s="9" t="str">
        <f t="shared" si="129"/>
        <v>AE dialoghi di tempo fiducia e cura episodi 2-3-4</v>
      </c>
      <c r="E3196" s="10" t="str">
        <f>HYPERLINK("https://otsuka-europe-crm.veevavault.com/ui/#object/sent_email__v/VBL00000002O692", "SE-001432363")</f>
        <v>SE-001432363</v>
      </c>
      <c r="F3196" s="11"/>
      <c r="G3196" s="12">
        <v>0</v>
      </c>
      <c r="H3196" s="12">
        <v>0</v>
      </c>
      <c r="I3196" s="12">
        <v>0</v>
      </c>
      <c r="J3196" s="11"/>
      <c r="K3196" s="12">
        <v>0</v>
      </c>
      <c r="L3196" s="10" t="str">
        <f t="shared" si="130"/>
        <v>AE dialoghi di tempo fiducia e cura episodi 2-3-4</v>
      </c>
      <c r="M3196" s="10" t="str">
        <f t="shared" si="131"/>
        <v>nicoletta.vozza@crm.otsuka-europe.com</v>
      </c>
      <c r="N3196" s="13">
        <v>46181.337939814817</v>
      </c>
      <c r="O3196" s="14" t="str">
        <f>HYPERLINK("https://otsuka-europe-crm.veevavault.com/ui/#object/email_activity__v/V8C00000003P196", "EN-002089596")</f>
        <v>EN-002089596</v>
      </c>
    </row>
    <row r="3197" spans="1:15" ht="32" x14ac:dyDescent="0.2">
      <c r="A3197" s="7" t="str">
        <f>HYPERLINK("https://otsuka-europe-crm.veevavault.com/ui/#object/account__v/V4TZ06G6O71SALL", "CARLO FIZZOTTI")</f>
        <v>CARLO FIZZOTTI</v>
      </c>
      <c r="B3197" s="7" t="str">
        <f t="shared" si="128"/>
        <v>IT</v>
      </c>
      <c r="C3197" s="8" t="s">
        <v>44</v>
      </c>
      <c r="D3197" s="9" t="str">
        <f t="shared" si="129"/>
        <v>AE dialoghi di tempo fiducia e cura episodi 2-3-4</v>
      </c>
      <c r="E3197" s="10" t="str">
        <f>HYPERLINK("https://otsuka-europe-crm.veevavault.com/ui/#object/sent_email__v/VBL00000002O693", "SE-001432364")</f>
        <v>SE-001432364</v>
      </c>
      <c r="F3197" s="11"/>
      <c r="G3197" s="12">
        <v>0</v>
      </c>
      <c r="H3197" s="12">
        <v>0</v>
      </c>
      <c r="I3197" s="12">
        <v>0</v>
      </c>
      <c r="J3197" s="11"/>
      <c r="K3197" s="12">
        <v>0</v>
      </c>
      <c r="L3197" s="10" t="str">
        <f t="shared" si="130"/>
        <v>AE dialoghi di tempo fiducia e cura episodi 2-3-4</v>
      </c>
      <c r="M3197" s="10" t="str">
        <f t="shared" si="131"/>
        <v>nicoletta.vozza@crm.otsuka-europe.com</v>
      </c>
      <c r="N3197" s="13">
        <v>46181.337951388887</v>
      </c>
      <c r="O3197" s="14" t="str">
        <f>HYPERLINK("https://otsuka-europe-crm.veevavault.com/ui/#object/email_activity__v/V8C00000003O555", "EN-002090111")</f>
        <v>EN-002090111</v>
      </c>
    </row>
    <row r="3198" spans="1:15" ht="32" x14ac:dyDescent="0.2">
      <c r="A3198" s="7" t="str">
        <f>HYPERLINK("https://otsuka-europe-crm.veevavault.com/ui/#object/account__v/V4TZ06G6O8SFPMW", "CARLO GIANFELICE")</f>
        <v>CARLO GIANFELICE</v>
      </c>
      <c r="B3198" s="7" t="str">
        <f t="shared" si="128"/>
        <v>IT</v>
      </c>
      <c r="C3198" s="8" t="s">
        <v>44</v>
      </c>
      <c r="D3198" s="9" t="str">
        <f t="shared" si="129"/>
        <v>AE dialoghi di tempo fiducia e cura episodi 2-3-4</v>
      </c>
      <c r="E3198" s="10" t="str">
        <f>HYPERLINK("https://otsuka-europe-crm.veevavault.com/ui/#object/sent_email__v/VBL00000002O694", "SE-001432365")</f>
        <v>SE-001432365</v>
      </c>
      <c r="F3198" s="11"/>
      <c r="G3198" s="12">
        <v>0</v>
      </c>
      <c r="H3198" s="12">
        <v>0</v>
      </c>
      <c r="I3198" s="12">
        <v>0</v>
      </c>
      <c r="J3198" s="11"/>
      <c r="K3198" s="12">
        <v>0</v>
      </c>
      <c r="L3198" s="10" t="str">
        <f t="shared" si="130"/>
        <v>AE dialoghi di tempo fiducia e cura episodi 2-3-4</v>
      </c>
      <c r="M3198" s="10" t="str">
        <f t="shared" si="131"/>
        <v>nicoletta.vozza@crm.otsuka-europe.com</v>
      </c>
      <c r="N3198" s="13">
        <v>46181.338078703702</v>
      </c>
      <c r="O3198" s="14" t="str">
        <f>HYPERLINK("https://otsuka-europe-crm.veevavault.com/ui/#object/email_activity__v/V8C00000003Q059", "EN-002091025")</f>
        <v>EN-002091025</v>
      </c>
    </row>
    <row r="3199" spans="1:15" ht="32" x14ac:dyDescent="0.2">
      <c r="A3199" s="7" t="str">
        <f>HYPERLINK("https://otsuka-europe-crm.veevavault.com/ui/#object/account__v/V4TZ06G6O71SBD3", "CARLO MACI")</f>
        <v>CARLO MACI</v>
      </c>
      <c r="B3199" s="7" t="str">
        <f t="shared" si="128"/>
        <v>IT</v>
      </c>
      <c r="C3199" s="8" t="s">
        <v>44</v>
      </c>
      <c r="D3199" s="9" t="str">
        <f t="shared" si="129"/>
        <v>AE dialoghi di tempo fiducia e cura episodi 2-3-4</v>
      </c>
      <c r="E3199" s="10" t="str">
        <f>HYPERLINK("https://otsuka-europe-crm.veevavault.com/ui/#object/sent_email__v/VBL00000002O695", "SE-001432366")</f>
        <v>SE-001432366</v>
      </c>
      <c r="F3199" s="11"/>
      <c r="G3199" s="12">
        <v>0</v>
      </c>
      <c r="H3199" s="12">
        <v>0</v>
      </c>
      <c r="I3199" s="12">
        <v>0</v>
      </c>
      <c r="J3199" s="11"/>
      <c r="K3199" s="12">
        <v>0</v>
      </c>
      <c r="L3199" s="10" t="str">
        <f t="shared" si="130"/>
        <v>AE dialoghi di tempo fiducia e cura episodi 2-3-4</v>
      </c>
      <c r="M3199" s="10" t="str">
        <f t="shared" si="131"/>
        <v>nicoletta.vozza@crm.otsuka-europe.com</v>
      </c>
      <c r="N3199" s="13">
        <v>46181.33803240741</v>
      </c>
      <c r="O3199" s="14" t="str">
        <f>HYPERLINK("https://otsuka-europe-crm.veevavault.com/ui/#object/email_activity__v/V8C00000003P348", "EN-002090354")</f>
        <v>EN-002090354</v>
      </c>
    </row>
    <row r="3200" spans="1:15" ht="32" x14ac:dyDescent="0.2">
      <c r="A3200" s="7" t="str">
        <f>HYPERLINK("https://otsuka-europe-crm.veevavault.com/ui/#object/account__v/V4TZ025E88SV1FT", "CARLO MARIANI")</f>
        <v>CARLO MARIANI</v>
      </c>
      <c r="B3200" s="7" t="str">
        <f t="shared" si="128"/>
        <v>IT</v>
      </c>
      <c r="C3200" s="8" t="s">
        <v>44</v>
      </c>
      <c r="D3200" s="9" t="str">
        <f t="shared" si="129"/>
        <v>AE dialoghi di tempo fiducia e cura episodi 2-3-4</v>
      </c>
      <c r="E3200" s="10" t="str">
        <f>HYPERLINK("https://otsuka-europe-crm.veevavault.com/ui/#object/sent_email__v/VBL00000002O696", "SE-001432367")</f>
        <v>SE-001432367</v>
      </c>
      <c r="F3200" s="11"/>
      <c r="G3200" s="12">
        <v>0</v>
      </c>
      <c r="H3200" s="12">
        <v>0</v>
      </c>
      <c r="I3200" s="12">
        <v>0</v>
      </c>
      <c r="J3200" s="11"/>
      <c r="K3200" s="12">
        <v>0</v>
      </c>
      <c r="L3200" s="10" t="str">
        <f t="shared" si="130"/>
        <v>AE dialoghi di tempo fiducia e cura episodi 2-3-4</v>
      </c>
      <c r="M3200" s="10" t="str">
        <f t="shared" si="131"/>
        <v>nicoletta.vozza@crm.otsuka-europe.com</v>
      </c>
      <c r="N3200" s="13">
        <v>46181.33797453704</v>
      </c>
      <c r="O3200" s="14" t="str">
        <f>HYPERLINK("https://otsuka-europe-crm.veevavault.com/ui/#object/email_activity__v/V8C00000003P222", "EN-002089668")</f>
        <v>EN-002089668</v>
      </c>
    </row>
    <row r="3201" spans="1:15" ht="32" x14ac:dyDescent="0.2">
      <c r="A3201" s="7" t="str">
        <f>HYPERLINK("https://otsuka-europe-crm.veevavault.com/ui/#object/account__v/V4TZ06G6O71SBN7", "CARLO MONTELEONE")</f>
        <v>CARLO MONTELEONE</v>
      </c>
      <c r="B3201" s="7" t="str">
        <f t="shared" si="128"/>
        <v>IT</v>
      </c>
      <c r="C3201" s="8" t="s">
        <v>44</v>
      </c>
      <c r="D3201" s="9" t="str">
        <f t="shared" si="129"/>
        <v>AE dialoghi di tempo fiducia e cura episodi 2-3-4</v>
      </c>
      <c r="E3201" s="10" t="str">
        <f>HYPERLINK("https://otsuka-europe-crm.veevavault.com/ui/#object/sent_email__v/VBL00000002O697", "SE-001432368")</f>
        <v>SE-001432368</v>
      </c>
      <c r="F3201" s="11"/>
      <c r="G3201" s="12">
        <v>0</v>
      </c>
      <c r="H3201" s="12">
        <v>0</v>
      </c>
      <c r="I3201" s="12">
        <v>0</v>
      </c>
      <c r="J3201" s="11"/>
      <c r="K3201" s="12">
        <v>0</v>
      </c>
      <c r="L3201" s="10" t="str">
        <f t="shared" si="130"/>
        <v>AE dialoghi di tempo fiducia e cura episodi 2-3-4</v>
      </c>
      <c r="M3201" s="10" t="str">
        <f t="shared" si="131"/>
        <v>nicoletta.vozza@crm.otsuka-europe.com</v>
      </c>
      <c r="N3201" s="13">
        <v>46181.338078703702</v>
      </c>
      <c r="O3201" s="14" t="str">
        <f>HYPERLINK("https://otsuka-europe-crm.veevavault.com/ui/#object/email_activity__v/V8C00000003Q131", "EN-002091214")</f>
        <v>EN-002091214</v>
      </c>
    </row>
    <row r="3202" spans="1:15" ht="32" x14ac:dyDescent="0.2">
      <c r="A3202" s="7" t="str">
        <f>HYPERLINK("https://otsuka-europe-crm.veevavault.com/ui/#object/account__v/V4TZ06G6O71S9CG", "CARLO MURATORE")</f>
        <v>CARLO MURATORE</v>
      </c>
      <c r="B3202" s="7" t="str">
        <f t="shared" si="128"/>
        <v>IT</v>
      </c>
      <c r="C3202" s="8" t="s">
        <v>44</v>
      </c>
      <c r="D3202" s="9" t="str">
        <f t="shared" si="129"/>
        <v>AE dialoghi di tempo fiducia e cura episodi 2-3-4</v>
      </c>
      <c r="E3202" s="10" t="str">
        <f>HYPERLINK("https://otsuka-europe-crm.veevavault.com/ui/#object/sent_email__v/VBL00000002O698", "SE-001432369")</f>
        <v>SE-001432369</v>
      </c>
      <c r="F3202" s="11"/>
      <c r="G3202" s="12">
        <v>0</v>
      </c>
      <c r="H3202" s="12">
        <v>0</v>
      </c>
      <c r="I3202" s="12">
        <v>0</v>
      </c>
      <c r="J3202" s="11"/>
      <c r="K3202" s="12">
        <v>0</v>
      </c>
      <c r="L3202" s="10" t="str">
        <f t="shared" si="130"/>
        <v>AE dialoghi di tempo fiducia e cura episodi 2-3-4</v>
      </c>
      <c r="M3202" s="10" t="str">
        <f t="shared" si="131"/>
        <v>nicoletta.vozza@crm.otsuka-europe.com</v>
      </c>
      <c r="N3202" s="13">
        <v>46181.337997685187</v>
      </c>
      <c r="O3202" s="14" t="str">
        <f>HYPERLINK("https://otsuka-europe-crm.veevavault.com/ui/#object/email_activity__v/V8C00000003O985", "EN-002090734")</f>
        <v>EN-002090734</v>
      </c>
    </row>
    <row r="3203" spans="1:15" ht="32" x14ac:dyDescent="0.2">
      <c r="A3203" s="7" t="str">
        <f>HYPERLINK("https://otsuka-europe-crm.veevavault.com/ui/#object/account__v/V4TZ06G6OBU8FCA", "CARLO OLIVIERI")</f>
        <v>CARLO OLIVIERI</v>
      </c>
      <c r="B3203" s="7" t="str">
        <f t="shared" si="128"/>
        <v>IT</v>
      </c>
      <c r="C3203" s="8" t="s">
        <v>44</v>
      </c>
      <c r="D3203" s="9" t="str">
        <f t="shared" si="129"/>
        <v>AE dialoghi di tempo fiducia e cura episodi 2-3-4</v>
      </c>
      <c r="E3203" s="10" t="str">
        <f>HYPERLINK("https://otsuka-europe-crm.veevavault.com/ui/#object/sent_email__v/VBL00000002O699", "SE-001432370")</f>
        <v>SE-001432370</v>
      </c>
      <c r="F3203" s="11"/>
      <c r="G3203" s="12">
        <v>0</v>
      </c>
      <c r="H3203" s="12">
        <v>0</v>
      </c>
      <c r="I3203" s="12">
        <v>0</v>
      </c>
      <c r="J3203" s="11"/>
      <c r="K3203" s="12">
        <v>0</v>
      </c>
      <c r="L3203" s="10" t="str">
        <f t="shared" si="130"/>
        <v>AE dialoghi di tempo fiducia e cura episodi 2-3-4</v>
      </c>
      <c r="M3203" s="10" t="str">
        <f t="shared" si="131"/>
        <v>nicoletta.vozza@crm.otsuka-europe.com</v>
      </c>
      <c r="N3203" s="13">
        <v>46181.33798611111</v>
      </c>
      <c r="O3203" s="14" t="str">
        <f>HYPERLINK("https://otsuka-europe-crm.veevavault.com/ui/#object/email_activity__v/V8C00000003O275", "EN-002089752")</f>
        <v>EN-002089752</v>
      </c>
    </row>
    <row r="3204" spans="1:15" ht="32" x14ac:dyDescent="0.2">
      <c r="A3204" s="7" t="str">
        <f>HYPERLINK("https://otsuka-europe-crm.veevavault.com/ui/#object/account__v/V4TZ06G6O71SBV1", "CARLO PASTORE")</f>
        <v>CARLO PASTORE</v>
      </c>
      <c r="B3204" s="7" t="str">
        <f t="shared" si="128"/>
        <v>IT</v>
      </c>
      <c r="C3204" s="8" t="s">
        <v>44</v>
      </c>
      <c r="D3204" s="9" t="str">
        <f t="shared" si="129"/>
        <v>AE dialoghi di tempo fiducia e cura episodi 2-3-4</v>
      </c>
      <c r="E3204" s="10" t="str">
        <f>HYPERLINK("https://otsuka-europe-crm.veevavault.com/ui/#object/sent_email__v/VBL00000002O700", "SE-001432371")</f>
        <v>SE-001432371</v>
      </c>
      <c r="F3204" s="11"/>
      <c r="G3204" s="12">
        <v>0</v>
      </c>
      <c r="H3204" s="12">
        <v>0</v>
      </c>
      <c r="I3204" s="12">
        <v>0</v>
      </c>
      <c r="J3204" s="11"/>
      <c r="K3204" s="12">
        <v>0</v>
      </c>
      <c r="L3204" s="10" t="str">
        <f t="shared" si="130"/>
        <v>AE dialoghi di tempo fiducia e cura episodi 2-3-4</v>
      </c>
      <c r="M3204" s="10" t="str">
        <f t="shared" si="131"/>
        <v>nicoletta.vozza@crm.otsuka-europe.com</v>
      </c>
      <c r="N3204" s="13">
        <v>46181.337916666664</v>
      </c>
      <c r="O3204" s="14" t="str">
        <f>HYPERLINK("https://otsuka-europe-crm.veevavault.com/ui/#object/email_activity__v/V8C00000003P191", "EN-002089591")</f>
        <v>EN-002089591</v>
      </c>
    </row>
    <row r="3205" spans="1:15" ht="32" x14ac:dyDescent="0.2">
      <c r="A3205" s="7" t="str">
        <f>HYPERLINK("https://otsuka-europe-crm.veevavault.com/ui/#object/account__v/V4TZ06G6O71SA12", "CARLOTTA BERRA")</f>
        <v>CARLOTTA BERRA</v>
      </c>
      <c r="B3205" s="7" t="str">
        <f t="shared" si="128"/>
        <v>IT</v>
      </c>
      <c r="C3205" s="8" t="s">
        <v>44</v>
      </c>
      <c r="D3205" s="9" t="str">
        <f t="shared" si="129"/>
        <v>AE dialoghi di tempo fiducia e cura episodi 2-3-4</v>
      </c>
      <c r="E3205" s="10" t="str">
        <f>HYPERLINK("https://otsuka-europe-crm.veevavault.com/ui/#object/sent_email__v/VBL00000002O701", "SE-001432372")</f>
        <v>SE-001432372</v>
      </c>
      <c r="F3205" s="11"/>
      <c r="G3205" s="12">
        <v>0</v>
      </c>
      <c r="H3205" s="12">
        <v>0</v>
      </c>
      <c r="I3205" s="12">
        <v>0</v>
      </c>
      <c r="J3205" s="11"/>
      <c r="K3205" s="12">
        <v>0</v>
      </c>
      <c r="L3205" s="10" t="str">
        <f t="shared" si="130"/>
        <v>AE dialoghi di tempo fiducia e cura episodi 2-3-4</v>
      </c>
      <c r="M3205" s="10" t="str">
        <f t="shared" si="131"/>
        <v>nicoletta.vozza@crm.otsuka-europe.com</v>
      </c>
      <c r="N3205" s="13">
        <v>46181.33798611111</v>
      </c>
      <c r="O3205" s="14" t="str">
        <f>HYPERLINK("https://otsuka-europe-crm.veevavault.com/ui/#object/email_activity__v/V8C00000003O732", "EN-002090288")</f>
        <v>EN-002090288</v>
      </c>
    </row>
    <row r="3206" spans="1:15" ht="32" x14ac:dyDescent="0.2">
      <c r="A3206" s="7" t="str">
        <f>HYPERLINK("https://otsuka-europe-crm.veevavault.com/ui/#object/account__v/V4TZ06G6O71SA70", "CARLOTTA BRAMANTE")</f>
        <v>CARLOTTA BRAMANTE</v>
      </c>
      <c r="B3206" s="7" t="str">
        <f t="shared" si="128"/>
        <v>IT</v>
      </c>
      <c r="C3206" s="8" t="s">
        <v>44</v>
      </c>
      <c r="D3206" s="9" t="str">
        <f t="shared" si="129"/>
        <v>AE dialoghi di tempo fiducia e cura episodi 2-3-4</v>
      </c>
      <c r="E3206" s="10" t="str">
        <f>HYPERLINK("https://otsuka-europe-crm.veevavault.com/ui/#object/sent_email__v/VBL00000002O702", "SE-001432373")</f>
        <v>SE-001432373</v>
      </c>
      <c r="F3206" s="11"/>
      <c r="G3206" s="12">
        <v>0</v>
      </c>
      <c r="H3206" s="12">
        <v>0</v>
      </c>
      <c r="I3206" s="12">
        <v>0</v>
      </c>
      <c r="J3206" s="11"/>
      <c r="K3206" s="12">
        <v>0</v>
      </c>
      <c r="L3206" s="10" t="str">
        <f t="shared" si="130"/>
        <v>AE dialoghi di tempo fiducia e cura episodi 2-3-4</v>
      </c>
      <c r="M3206" s="10" t="str">
        <f t="shared" si="131"/>
        <v>nicoletta.vozza@crm.otsuka-europe.com</v>
      </c>
      <c r="N3206" s="13">
        <v>46181.33798611111</v>
      </c>
      <c r="O3206" s="14" t="str">
        <f>HYPERLINK("https://otsuka-europe-crm.veevavault.com/ui/#object/email_activity__v/V8C00000003P555", "EN-002090810")</f>
        <v>EN-002090810</v>
      </c>
    </row>
    <row r="3207" spans="1:15" ht="32" x14ac:dyDescent="0.2">
      <c r="A3207" s="7" t="str">
        <f>HYPERLINK("https://otsuka-europe-crm.veevavault.com/ui/#object/account__v/V4TZ06G6O71SAB7", "CARMELA DELL'AVERSANO")</f>
        <v>CARMELA DELL'AVERSANO</v>
      </c>
      <c r="B3207" s="7" t="str">
        <f t="shared" si="128"/>
        <v>IT</v>
      </c>
      <c r="C3207" s="8" t="s">
        <v>44</v>
      </c>
      <c r="D3207" s="9" t="str">
        <f t="shared" si="129"/>
        <v>AE dialoghi di tempo fiducia e cura episodi 2-3-4</v>
      </c>
      <c r="E3207" s="10" t="str">
        <f>HYPERLINK("https://otsuka-europe-crm.veevavault.com/ui/#object/sent_email__v/VBL00000002O703", "SE-001432374")</f>
        <v>SE-001432374</v>
      </c>
      <c r="F3207" s="11"/>
      <c r="G3207" s="12">
        <v>0</v>
      </c>
      <c r="H3207" s="12">
        <v>0</v>
      </c>
      <c r="I3207" s="12">
        <v>0</v>
      </c>
      <c r="J3207" s="11"/>
      <c r="K3207" s="12">
        <v>0</v>
      </c>
      <c r="L3207" s="10" t="str">
        <f t="shared" si="130"/>
        <v>AE dialoghi di tempo fiducia e cura episodi 2-3-4</v>
      </c>
      <c r="M3207" s="10" t="str">
        <f t="shared" si="131"/>
        <v>nicoletta.vozza@crm.otsuka-europe.com</v>
      </c>
      <c r="N3207" s="13">
        <v>46181.33798611111</v>
      </c>
      <c r="O3207" s="14" t="str">
        <f>HYPERLINK("https://otsuka-europe-crm.veevavault.com/ui/#object/email_activity__v/V8C00000003O329", "EN-002089806")</f>
        <v>EN-002089806</v>
      </c>
    </row>
    <row r="3208" spans="1:15" ht="32" x14ac:dyDescent="0.2">
      <c r="A3208" s="7" t="str">
        <f>HYPERLINK("https://otsuka-europe-crm.veevavault.com/ui/#object/account__v/V4TZ025E87QEV1A", "CARMELA PALUMMO")</f>
        <v>CARMELA PALUMMO</v>
      </c>
      <c r="B3208" s="7" t="str">
        <f t="shared" si="128"/>
        <v>IT</v>
      </c>
      <c r="C3208" s="8" t="s">
        <v>44</v>
      </c>
      <c r="D3208" s="9" t="str">
        <f t="shared" si="129"/>
        <v>AE dialoghi di tempo fiducia e cura episodi 2-3-4</v>
      </c>
      <c r="E3208" s="10" t="str">
        <f>HYPERLINK("https://otsuka-europe-crm.veevavault.com/ui/#object/sent_email__v/VBL00000002O704", "SE-001432375")</f>
        <v>SE-001432375</v>
      </c>
      <c r="F3208" s="11"/>
      <c r="G3208" s="12">
        <v>0</v>
      </c>
      <c r="H3208" s="12">
        <v>0</v>
      </c>
      <c r="I3208" s="12">
        <v>0</v>
      </c>
      <c r="J3208" s="11"/>
      <c r="K3208" s="12">
        <v>0</v>
      </c>
      <c r="L3208" s="10" t="str">
        <f t="shared" si="130"/>
        <v>AE dialoghi di tempo fiducia e cura episodi 2-3-4</v>
      </c>
      <c r="M3208" s="10" t="str">
        <f t="shared" si="131"/>
        <v>nicoletta.vozza@crm.otsuka-europe.com</v>
      </c>
      <c r="N3208" s="13">
        <v>46181.337997685187</v>
      </c>
      <c r="O3208" s="14" t="str">
        <f>HYPERLINK("https://otsuka-europe-crm.veevavault.com/ui/#object/email_activity__v/V8C00000003O250", "EN-002089727")</f>
        <v>EN-002089727</v>
      </c>
    </row>
    <row r="3209" spans="1:15" ht="32" x14ac:dyDescent="0.2">
      <c r="A3209" s="7" t="str">
        <f>HYPERLINK("https://otsuka-europe-crm.veevavault.com/ui/#object/account__v/V4TZ06G6O71SCEQ", "CARMELA SCOLARO")</f>
        <v>CARMELA SCOLARO</v>
      </c>
      <c r="B3209" s="7" t="str">
        <f t="shared" si="128"/>
        <v>IT</v>
      </c>
      <c r="C3209" s="8" t="s">
        <v>44</v>
      </c>
      <c r="D3209" s="9" t="str">
        <f t="shared" si="129"/>
        <v>AE dialoghi di tempo fiducia e cura episodi 2-3-4</v>
      </c>
      <c r="E3209" s="10" t="str">
        <f>HYPERLINK("https://otsuka-europe-crm.veevavault.com/ui/#object/sent_email__v/VBL00000002O705", "SE-001432376")</f>
        <v>SE-001432376</v>
      </c>
      <c r="F3209" s="11"/>
      <c r="G3209" s="12">
        <v>0</v>
      </c>
      <c r="H3209" s="12">
        <v>0</v>
      </c>
      <c r="I3209" s="12">
        <v>0</v>
      </c>
      <c r="J3209" s="11"/>
      <c r="K3209" s="12">
        <v>0</v>
      </c>
      <c r="L3209" s="10" t="str">
        <f t="shared" si="130"/>
        <v>AE dialoghi di tempo fiducia e cura episodi 2-3-4</v>
      </c>
      <c r="M3209" s="10" t="str">
        <f t="shared" si="131"/>
        <v>nicoletta.vozza@crm.otsuka-europe.com</v>
      </c>
      <c r="N3209" s="13">
        <v>46181.337939814817</v>
      </c>
      <c r="O3209" s="14" t="str">
        <f>HYPERLINK("https://otsuka-europe-crm.veevavault.com/ui/#object/email_activity__v/V8C00000003O154", "EN-002089536")</f>
        <v>EN-002089536</v>
      </c>
    </row>
    <row r="3210" spans="1:15" ht="32" x14ac:dyDescent="0.2">
      <c r="A3210" s="7" t="str">
        <f>HYPERLINK("https://otsuka-europe-crm.veevavault.com/ui/#object/account__v/V4TZ06G6O71SAOH", "CARMELINA GALVANO RAMPELLO")</f>
        <v>CARMELINA GALVANO RAMPELLO</v>
      </c>
      <c r="B3210" s="7" t="str">
        <f t="shared" si="128"/>
        <v>IT</v>
      </c>
      <c r="C3210" s="8" t="s">
        <v>44</v>
      </c>
      <c r="D3210" s="9" t="str">
        <f t="shared" si="129"/>
        <v>AE dialoghi di tempo fiducia e cura episodi 2-3-4</v>
      </c>
      <c r="E3210" s="10" t="str">
        <f>HYPERLINK("https://otsuka-europe-crm.veevavault.com/ui/#object/sent_email__v/VBL00000002O706", "SE-001432377")</f>
        <v>SE-001432377</v>
      </c>
      <c r="F3210" s="11"/>
      <c r="G3210" s="12">
        <v>0</v>
      </c>
      <c r="H3210" s="12">
        <v>0</v>
      </c>
      <c r="I3210" s="12">
        <v>0</v>
      </c>
      <c r="J3210" s="11"/>
      <c r="K3210" s="12">
        <v>0</v>
      </c>
      <c r="L3210" s="10" t="str">
        <f t="shared" si="130"/>
        <v>AE dialoghi di tempo fiducia e cura episodi 2-3-4</v>
      </c>
      <c r="M3210" s="10" t="str">
        <f t="shared" si="131"/>
        <v>nicoletta.vozza@crm.otsuka-europe.com</v>
      </c>
      <c r="N3210" s="13">
        <v>46181.33792824074</v>
      </c>
      <c r="O3210" s="14" t="str">
        <f>HYPERLINK("https://otsuka-europe-crm.veevavault.com/ui/#object/email_activity__v/V8C00000003O398", "EN-002089954")</f>
        <v>EN-002089954</v>
      </c>
    </row>
    <row r="3211" spans="1:15" ht="32" x14ac:dyDescent="0.2">
      <c r="A3211" s="7" t="str">
        <f>HYPERLINK("https://otsuka-europe-crm.veevavault.com/ui/#object/account__v/V4TZ06G6O71SAFO", "CARMELO DI FAZIO")</f>
        <v>CARMELO DI FAZIO</v>
      </c>
      <c r="B3211" s="7" t="str">
        <f t="shared" si="128"/>
        <v>IT</v>
      </c>
      <c r="C3211" s="8" t="s">
        <v>44</v>
      </c>
      <c r="D3211" s="9" t="str">
        <f t="shared" si="129"/>
        <v>AE dialoghi di tempo fiducia e cura episodi 2-3-4</v>
      </c>
      <c r="E3211" s="10" t="str">
        <f>HYPERLINK("https://otsuka-europe-crm.veevavault.com/ui/#object/sent_email__v/VBL00000002O707", "SE-001432378")</f>
        <v>SE-001432378</v>
      </c>
      <c r="F3211" s="11"/>
      <c r="G3211" s="12">
        <v>0</v>
      </c>
      <c r="H3211" s="12">
        <v>0</v>
      </c>
      <c r="I3211" s="12">
        <v>0</v>
      </c>
      <c r="J3211" s="11"/>
      <c r="K3211" s="12">
        <v>0</v>
      </c>
      <c r="L3211" s="10" t="str">
        <f t="shared" si="130"/>
        <v>AE dialoghi di tempo fiducia e cura episodi 2-3-4</v>
      </c>
      <c r="M3211" s="10" t="str">
        <f t="shared" si="131"/>
        <v>nicoletta.vozza@crm.otsuka-europe.com</v>
      </c>
      <c r="N3211" s="13">
        <v>46181.338020833333</v>
      </c>
      <c r="O3211" s="14" t="str">
        <f>HYPERLINK("https://otsuka-europe-crm.veevavault.com/ui/#object/email_activity__v/V8C00000003P689", "EN-002090944")</f>
        <v>EN-002090944</v>
      </c>
    </row>
    <row r="3212" spans="1:15" ht="32" x14ac:dyDescent="0.2">
      <c r="A3212" s="7" t="str">
        <f>HYPERLINK("https://otsuka-europe-crm.veevavault.com/ui/#object/account__v/V4TZ06G6O71SAZG", "CARMELO FLORIO")</f>
        <v>CARMELO FLORIO</v>
      </c>
      <c r="B3212" s="7" t="str">
        <f t="shared" si="128"/>
        <v>IT</v>
      </c>
      <c r="C3212" s="8" t="s">
        <v>44</v>
      </c>
      <c r="D3212" s="9" t="str">
        <f t="shared" si="129"/>
        <v>AE dialoghi di tempo fiducia e cura episodi 2-3-4</v>
      </c>
      <c r="E3212" s="10" t="str">
        <f>HYPERLINK("https://otsuka-europe-crm.veevavault.com/ui/#object/sent_email__v/VBL00000002O708", "SE-001432379")</f>
        <v>SE-001432379</v>
      </c>
      <c r="F3212" s="11"/>
      <c r="G3212" s="12">
        <v>0</v>
      </c>
      <c r="H3212" s="12">
        <v>0</v>
      </c>
      <c r="I3212" s="12">
        <v>0</v>
      </c>
      <c r="J3212" s="11"/>
      <c r="K3212" s="12">
        <v>0</v>
      </c>
      <c r="L3212" s="10" t="str">
        <f t="shared" si="130"/>
        <v>AE dialoghi di tempo fiducia e cura episodi 2-3-4</v>
      </c>
      <c r="M3212" s="10" t="str">
        <f t="shared" si="131"/>
        <v>nicoletta.vozza@crm.otsuka-europe.com</v>
      </c>
      <c r="N3212" s="13">
        <v>46181.338055555556</v>
      </c>
      <c r="O3212" s="14" t="str">
        <f>HYPERLINK("https://otsuka-europe-crm.veevavault.com/ui/#object/email_activity__v/V8C00000003P754", "EN-002091052")</f>
        <v>EN-002091052</v>
      </c>
    </row>
    <row r="3213" spans="1:15" ht="32" x14ac:dyDescent="0.2">
      <c r="A3213" s="7" t="str">
        <f>HYPERLINK("https://otsuka-europe-crm.veevavault.com/ui/#object/account__v/V4TZ06G6O71SCRA", "CARMELO GIOACCHINO ZACCARIA")</f>
        <v>CARMELO GIOACCHINO ZACCARIA</v>
      </c>
      <c r="B3213" s="7" t="str">
        <f t="shared" si="128"/>
        <v>IT</v>
      </c>
      <c r="C3213" s="8" t="s">
        <v>44</v>
      </c>
      <c r="D3213" s="9" t="str">
        <f t="shared" si="129"/>
        <v>AE dialoghi di tempo fiducia e cura episodi 2-3-4</v>
      </c>
      <c r="E3213" s="10" t="str">
        <f>HYPERLINK("https://otsuka-europe-crm.veevavault.com/ui/#object/sent_email__v/VBL00000002O709", "SE-001432380")</f>
        <v>SE-001432380</v>
      </c>
      <c r="F3213" s="11"/>
      <c r="G3213" s="12">
        <v>0</v>
      </c>
      <c r="H3213" s="12">
        <v>0</v>
      </c>
      <c r="I3213" s="12">
        <v>0</v>
      </c>
      <c r="J3213" s="11"/>
      <c r="K3213" s="12">
        <v>0</v>
      </c>
      <c r="L3213" s="10" t="str">
        <f t="shared" si="130"/>
        <v>AE dialoghi di tempo fiducia e cura episodi 2-3-4</v>
      </c>
      <c r="M3213" s="10" t="str">
        <f t="shared" si="131"/>
        <v>nicoletta.vozza@crm.otsuka-europe.com</v>
      </c>
      <c r="N3213" s="13">
        <v>46181.337951388887</v>
      </c>
      <c r="O3213" s="14" t="str">
        <f>HYPERLINK("https://otsuka-europe-crm.veevavault.com/ui/#object/email_activity__v/V8C00000003O342", "EN-002089860")</f>
        <v>EN-002089860</v>
      </c>
    </row>
    <row r="3214" spans="1:15" ht="16" x14ac:dyDescent="0.2">
      <c r="A3214" s="17" t="str">
        <f>HYPERLINK("https://otsuka-europe-crm.veevavault.com/ui/#object/account__v/V4TZ06G6O71SBS2", "CARMELO PETROSINO")</f>
        <v>CARMELO PETROSINO</v>
      </c>
      <c r="B3214" s="17" t="str">
        <f t="shared" si="128"/>
        <v>IT</v>
      </c>
      <c r="C3214" s="20" t="s">
        <v>44</v>
      </c>
      <c r="D3214" s="21" t="str">
        <f t="shared" si="129"/>
        <v>AE dialoghi di tempo fiducia e cura episodi 2-3-4</v>
      </c>
      <c r="E3214" s="22" t="str">
        <f>HYPERLINK("https://otsuka-europe-crm.veevavault.com/ui/#object/sent_email__v/VBL00000002O710", "SE-001432381")</f>
        <v>SE-001432381</v>
      </c>
      <c r="F3214" s="23">
        <v>46181.343275462961</v>
      </c>
      <c r="G3214" s="24">
        <v>1</v>
      </c>
      <c r="H3214" s="24">
        <v>1</v>
      </c>
      <c r="I3214" s="24">
        <v>0</v>
      </c>
      <c r="J3214" s="25"/>
      <c r="K3214" s="24">
        <v>0</v>
      </c>
      <c r="L3214" s="22" t="str">
        <f t="shared" si="130"/>
        <v>AE dialoghi di tempo fiducia e cura episodi 2-3-4</v>
      </c>
      <c r="M3214" s="22" t="str">
        <f t="shared" si="131"/>
        <v>nicoletta.vozza@crm.otsuka-europe.com</v>
      </c>
      <c r="N3214" s="23">
        <v>46181.33797453704</v>
      </c>
      <c r="O3214" s="14" t="str">
        <f>HYPERLINK("https://otsuka-europe-crm.veevavault.com/ui/#object/email_activity__v/V8C00000003O224", "EN-002089701")</f>
        <v>EN-002089701</v>
      </c>
    </row>
    <row r="3215" spans="1:15" ht="16" x14ac:dyDescent="0.2">
      <c r="A3215" s="19"/>
      <c r="B3215" s="19"/>
      <c r="C3215" s="19"/>
      <c r="D3215" s="19"/>
      <c r="E3215" s="19"/>
      <c r="F3215" s="19"/>
      <c r="G3215" s="19"/>
      <c r="H3215" s="19"/>
      <c r="I3215" s="19"/>
      <c r="J3215" s="19"/>
      <c r="K3215" s="19"/>
      <c r="L3215" s="19"/>
      <c r="M3215" s="19"/>
      <c r="N3215" s="19"/>
      <c r="O3215" s="14" t="str">
        <f>HYPERLINK("https://otsuka-europe-crm.veevavault.com/ui/#object/email_activity__v/V8C00000003P899", "EN-002091431")</f>
        <v>EN-002091431</v>
      </c>
    </row>
    <row r="3216" spans="1:15" ht="32" x14ac:dyDescent="0.2">
      <c r="A3216" s="7" t="str">
        <f>HYPERLINK("https://otsuka-europe-crm.veevavault.com/ui/#object/account__v/V4TZ06G6O71SCRE", "CARMELO ZAFFORA")</f>
        <v>CARMELO ZAFFORA</v>
      </c>
      <c r="B3216" s="7" t="str">
        <f t="shared" ref="B3216:B3223" si="132">HYPERLINK("https://otsuka-europe-crm.veevavault.com/ui/#object/vcountry__v/VENZ000004SONFQ", "IT")</f>
        <v>IT</v>
      </c>
      <c r="C3216" s="8" t="s">
        <v>44</v>
      </c>
      <c r="D3216" s="9" t="str">
        <f t="shared" ref="D3216:D3223" si="133">HYPERLINK("https://otsuka-europe-crm.veevavault.com/ui/#object/approved_document__v/V5O000000018003", "AE dialoghi di tempo fiducia e cura episodi 2-3-4")</f>
        <v>AE dialoghi di tempo fiducia e cura episodi 2-3-4</v>
      </c>
      <c r="E3216" s="10" t="str">
        <f>HYPERLINK("https://otsuka-europe-crm.veevavault.com/ui/#object/sent_email__v/VBL00000002O711", "SE-001432382")</f>
        <v>SE-001432382</v>
      </c>
      <c r="F3216" s="11"/>
      <c r="G3216" s="12">
        <v>0</v>
      </c>
      <c r="H3216" s="12">
        <v>0</v>
      </c>
      <c r="I3216" s="12">
        <v>0</v>
      </c>
      <c r="J3216" s="11"/>
      <c r="K3216" s="12">
        <v>0</v>
      </c>
      <c r="L3216" s="10" t="str">
        <f t="shared" ref="L3216:L3223" si="134">HYPERLINK("https://otsuka-europe-crm.veevavault.com/ui/#object/approved_document__v/V5O000000018003", "AE dialoghi di tempo fiducia e cura episodi 2-3-4")</f>
        <v>AE dialoghi di tempo fiducia e cura episodi 2-3-4</v>
      </c>
      <c r="M3216" s="10" t="str">
        <f t="shared" ref="M3216:M3223" si="135">HYPERLINK("mailto:nicoletta.vozza@crm.otsuka-europe.com", "nicoletta.vozza@crm.otsuka-europe.com")</f>
        <v>nicoletta.vozza@crm.otsuka-europe.com</v>
      </c>
      <c r="N3216" s="13">
        <v>46181.337962962964</v>
      </c>
      <c r="O3216" s="14" t="str">
        <f>HYPERLINK("https://otsuka-europe-crm.veevavault.com/ui/#object/email_activity__v/V8C00000003P786", "EN-002091084")</f>
        <v>EN-002091084</v>
      </c>
    </row>
    <row r="3217" spans="1:15" ht="32" x14ac:dyDescent="0.2">
      <c r="A3217" s="7" t="str">
        <f>HYPERLINK("https://otsuka-europe-crm.veevavault.com/ui/#object/account__v/V4TZ06G6O71YUW5", "CARMEN CARUSO")</f>
        <v>CARMEN CARUSO</v>
      </c>
      <c r="B3217" s="7" t="str">
        <f t="shared" si="132"/>
        <v>IT</v>
      </c>
      <c r="C3217" s="8" t="s">
        <v>44</v>
      </c>
      <c r="D3217" s="9" t="str">
        <f t="shared" si="133"/>
        <v>AE dialoghi di tempo fiducia e cura episodi 2-3-4</v>
      </c>
      <c r="E3217" s="10" t="str">
        <f>HYPERLINK("https://otsuka-europe-crm.veevavault.com/ui/#object/sent_email__v/VBL00000002O712", "SE-001432383")</f>
        <v>SE-001432383</v>
      </c>
      <c r="F3217" s="11"/>
      <c r="G3217" s="12">
        <v>0</v>
      </c>
      <c r="H3217" s="12">
        <v>0</v>
      </c>
      <c r="I3217" s="12">
        <v>0</v>
      </c>
      <c r="J3217" s="11"/>
      <c r="K3217" s="12">
        <v>0</v>
      </c>
      <c r="L3217" s="10" t="str">
        <f t="shared" si="134"/>
        <v>AE dialoghi di tempo fiducia e cura episodi 2-3-4</v>
      </c>
      <c r="M3217" s="10" t="str">
        <f t="shared" si="135"/>
        <v>nicoletta.vozza@crm.otsuka-europe.com</v>
      </c>
      <c r="N3217" s="13">
        <v>46181.337939814817</v>
      </c>
      <c r="O3217" s="14" t="str">
        <f>HYPERLINK("https://otsuka-europe-crm.veevavault.com/ui/#object/email_activity__v/V8C00000003O804", "EN-002090506")</f>
        <v>EN-002090506</v>
      </c>
    </row>
    <row r="3218" spans="1:15" ht="32" x14ac:dyDescent="0.2">
      <c r="A3218" s="7" t="str">
        <f>HYPERLINK("https://otsuka-europe-crm.veevavault.com/ui/#object/account__v/V4TZ06G6O71SCCX", "CARMEN CIMMINO")</f>
        <v>CARMEN CIMMINO</v>
      </c>
      <c r="B3218" s="7" t="str">
        <f t="shared" si="132"/>
        <v>IT</v>
      </c>
      <c r="C3218" s="8" t="s">
        <v>44</v>
      </c>
      <c r="D3218" s="9" t="str">
        <f t="shared" si="133"/>
        <v>AE dialoghi di tempo fiducia e cura episodi 2-3-4</v>
      </c>
      <c r="E3218" s="10" t="str">
        <f>HYPERLINK("https://otsuka-europe-crm.veevavault.com/ui/#object/sent_email__v/VBL00000002O713", "SE-001432384")</f>
        <v>SE-001432384</v>
      </c>
      <c r="F3218" s="11"/>
      <c r="G3218" s="12">
        <v>0</v>
      </c>
      <c r="H3218" s="12">
        <v>0</v>
      </c>
      <c r="I3218" s="12">
        <v>0</v>
      </c>
      <c r="J3218" s="11"/>
      <c r="K3218" s="12">
        <v>0</v>
      </c>
      <c r="L3218" s="10" t="str">
        <f t="shared" si="134"/>
        <v>AE dialoghi di tempo fiducia e cura episodi 2-3-4</v>
      </c>
      <c r="M3218" s="10" t="str">
        <f t="shared" si="135"/>
        <v>nicoletta.vozza@crm.otsuka-europe.com</v>
      </c>
      <c r="N3218" s="13">
        <v>46181.33803240741</v>
      </c>
      <c r="O3218" s="14" t="str">
        <f>HYPERLINK("https://otsuka-europe-crm.veevavault.com/ui/#object/email_activity__v/V8C00000003O516", "EN-002090072")</f>
        <v>EN-002090072</v>
      </c>
    </row>
    <row r="3219" spans="1:15" ht="32" x14ac:dyDescent="0.2">
      <c r="A3219" s="7" t="str">
        <f>HYPERLINK("https://otsuka-europe-crm.veevavault.com/ui/#object/account__v/V4TZ06G6O71S9LC", "CARMEN CONCERTO")</f>
        <v>CARMEN CONCERTO</v>
      </c>
      <c r="B3219" s="7" t="str">
        <f t="shared" si="132"/>
        <v>IT</v>
      </c>
      <c r="C3219" s="8" t="s">
        <v>44</v>
      </c>
      <c r="D3219" s="9" t="str">
        <f t="shared" si="133"/>
        <v>AE dialoghi di tempo fiducia e cura episodi 2-3-4</v>
      </c>
      <c r="E3219" s="10" t="str">
        <f>HYPERLINK("https://otsuka-europe-crm.veevavault.com/ui/#object/sent_email__v/VBL00000002O714", "SE-001432385")</f>
        <v>SE-001432385</v>
      </c>
      <c r="F3219" s="11"/>
      <c r="G3219" s="12">
        <v>0</v>
      </c>
      <c r="H3219" s="12">
        <v>0</v>
      </c>
      <c r="I3219" s="12">
        <v>0</v>
      </c>
      <c r="J3219" s="11"/>
      <c r="K3219" s="12">
        <v>0</v>
      </c>
      <c r="L3219" s="10" t="str">
        <f t="shared" si="134"/>
        <v>AE dialoghi di tempo fiducia e cura episodi 2-3-4</v>
      </c>
      <c r="M3219" s="10" t="str">
        <f t="shared" si="135"/>
        <v>nicoletta.vozza@crm.otsuka-europe.com</v>
      </c>
      <c r="N3219" s="13">
        <v>46181.33792824074</v>
      </c>
      <c r="O3219" s="14" t="str">
        <f>HYPERLINK("https://otsuka-europe-crm.veevavault.com/ui/#object/email_activity__v/V8C00000003O397", "EN-002089953")</f>
        <v>EN-002089953</v>
      </c>
    </row>
    <row r="3220" spans="1:15" ht="32" x14ac:dyDescent="0.2">
      <c r="A3220" s="7" t="str">
        <f>HYPERLINK("https://otsuka-europe-crm.veevavault.com/ui/#object/account__v/V4TZ06G6O71SC9M", "CARMEN GIOVANNA CHANTAL RUSSO")</f>
        <v>CARMEN GIOVANNA CHANTAL RUSSO</v>
      </c>
      <c r="B3220" s="7" t="str">
        <f t="shared" si="132"/>
        <v>IT</v>
      </c>
      <c r="C3220" s="8" t="s">
        <v>44</v>
      </c>
      <c r="D3220" s="9" t="str">
        <f t="shared" si="133"/>
        <v>AE dialoghi di tempo fiducia e cura episodi 2-3-4</v>
      </c>
      <c r="E3220" s="10" t="str">
        <f>HYPERLINK("https://otsuka-europe-crm.veevavault.com/ui/#object/sent_email__v/VBL00000002O715", "SE-001432386")</f>
        <v>SE-001432386</v>
      </c>
      <c r="F3220" s="11"/>
      <c r="G3220" s="12">
        <v>0</v>
      </c>
      <c r="H3220" s="12">
        <v>0</v>
      </c>
      <c r="I3220" s="12">
        <v>0</v>
      </c>
      <c r="J3220" s="11"/>
      <c r="K3220" s="12">
        <v>0</v>
      </c>
      <c r="L3220" s="10" t="str">
        <f t="shared" si="134"/>
        <v>AE dialoghi di tempo fiducia e cura episodi 2-3-4</v>
      </c>
      <c r="M3220" s="10" t="str">
        <f t="shared" si="135"/>
        <v>nicoletta.vozza@crm.otsuka-europe.com</v>
      </c>
      <c r="N3220" s="13">
        <v>46181.338090277779</v>
      </c>
      <c r="O3220" s="14" t="str">
        <f>HYPERLINK("https://otsuka-europe-crm.veevavault.com/ui/#object/email_activity__v/V8C00000003Q142", "EN-002091225")</f>
        <v>EN-002091225</v>
      </c>
    </row>
    <row r="3221" spans="1:15" ht="32" x14ac:dyDescent="0.2">
      <c r="A3221" s="7" t="str">
        <f>HYPERLINK("https://otsuka-europe-crm.veevavault.com/ui/#object/account__v/V4TZ025E87J9B9Y", "CARMEN PICCIOCCHI")</f>
        <v>CARMEN PICCIOCCHI</v>
      </c>
      <c r="B3221" s="7" t="str">
        <f t="shared" si="132"/>
        <v>IT</v>
      </c>
      <c r="C3221" s="8" t="s">
        <v>44</v>
      </c>
      <c r="D3221" s="9" t="str">
        <f t="shared" si="133"/>
        <v>AE dialoghi di tempo fiducia e cura episodi 2-3-4</v>
      </c>
      <c r="E3221" s="10" t="str">
        <f>HYPERLINK("https://otsuka-europe-crm.veevavault.com/ui/#object/sent_email__v/VBL00000002O716", "SE-001432387")</f>
        <v>SE-001432387</v>
      </c>
      <c r="F3221" s="11"/>
      <c r="G3221" s="12">
        <v>0</v>
      </c>
      <c r="H3221" s="12">
        <v>0</v>
      </c>
      <c r="I3221" s="12">
        <v>0</v>
      </c>
      <c r="J3221" s="11"/>
      <c r="K3221" s="12">
        <v>0</v>
      </c>
      <c r="L3221" s="10" t="str">
        <f t="shared" si="134"/>
        <v>AE dialoghi di tempo fiducia e cura episodi 2-3-4</v>
      </c>
      <c r="M3221" s="10" t="str">
        <f t="shared" si="135"/>
        <v>nicoletta.vozza@crm.otsuka-europe.com</v>
      </c>
      <c r="N3221" s="13">
        <v>46181.337951388887</v>
      </c>
      <c r="O3221" s="14" t="str">
        <f>HYPERLINK("https://otsuka-europe-crm.veevavault.com/ui/#object/email_activity__v/V8C00000003O157", "EN-002089539")</f>
        <v>EN-002089539</v>
      </c>
    </row>
    <row r="3222" spans="1:15" ht="32" x14ac:dyDescent="0.2">
      <c r="A3222" s="7" t="str">
        <f>HYPERLINK("https://otsuka-europe-crm.veevavault.com/ui/#object/account__v/V4TZ06G6O71S9WU", "CARMINE ALFONSETTI")</f>
        <v>CARMINE ALFONSETTI</v>
      </c>
      <c r="B3222" s="7" t="str">
        <f t="shared" si="132"/>
        <v>IT</v>
      </c>
      <c r="C3222" s="8" t="s">
        <v>44</v>
      </c>
      <c r="D3222" s="9" t="str">
        <f t="shared" si="133"/>
        <v>AE dialoghi di tempo fiducia e cura episodi 2-3-4</v>
      </c>
      <c r="E3222" s="10" t="str">
        <f>HYPERLINK("https://otsuka-europe-crm.veevavault.com/ui/#object/sent_email__v/VBL00000002O717", "SE-001432388")</f>
        <v>SE-001432388</v>
      </c>
      <c r="F3222" s="11"/>
      <c r="G3222" s="12">
        <v>0</v>
      </c>
      <c r="H3222" s="12">
        <v>0</v>
      </c>
      <c r="I3222" s="12">
        <v>0</v>
      </c>
      <c r="J3222" s="11"/>
      <c r="K3222" s="12">
        <v>0</v>
      </c>
      <c r="L3222" s="10" t="str">
        <f t="shared" si="134"/>
        <v>AE dialoghi di tempo fiducia e cura episodi 2-3-4</v>
      </c>
      <c r="M3222" s="10" t="str">
        <f t="shared" si="135"/>
        <v>nicoletta.vozza@crm.otsuka-europe.com</v>
      </c>
      <c r="N3222" s="13">
        <v>46181.337951388887</v>
      </c>
      <c r="O3222" s="14" t="str">
        <f>HYPERLINK("https://otsuka-europe-crm.veevavault.com/ui/#object/email_activity__v/V8C00000003O262", "EN-002089739")</f>
        <v>EN-002089739</v>
      </c>
    </row>
    <row r="3223" spans="1:15" ht="16" x14ac:dyDescent="0.2">
      <c r="A3223" s="17" t="str">
        <f>HYPERLINK("https://otsuka-europe-crm.veevavault.com/ui/#object/account__v/V4TZ06G6O71SAL4", "CARMINE COPPOLA")</f>
        <v>CARMINE COPPOLA</v>
      </c>
      <c r="B3223" s="17" t="str">
        <f t="shared" si="132"/>
        <v>IT</v>
      </c>
      <c r="C3223" s="20" t="s">
        <v>44</v>
      </c>
      <c r="D3223" s="21" t="str">
        <f t="shared" si="133"/>
        <v>AE dialoghi di tempo fiducia e cura episodi 2-3-4</v>
      </c>
      <c r="E3223" s="22" t="str">
        <f>HYPERLINK("https://otsuka-europe-crm.veevavault.com/ui/#object/sent_email__v/VBL00000002O718", "SE-001432389")</f>
        <v>SE-001432389</v>
      </c>
      <c r="F3223" s="25"/>
      <c r="G3223" s="24">
        <v>0</v>
      </c>
      <c r="H3223" s="24">
        <v>0</v>
      </c>
      <c r="I3223" s="24">
        <v>0</v>
      </c>
      <c r="J3223" s="25"/>
      <c r="K3223" s="24">
        <v>0</v>
      </c>
      <c r="L3223" s="22" t="str">
        <f t="shared" si="134"/>
        <v>AE dialoghi di tempo fiducia e cura episodi 2-3-4</v>
      </c>
      <c r="M3223" s="22" t="str">
        <f t="shared" si="135"/>
        <v>nicoletta.vozza@crm.otsuka-europe.com</v>
      </c>
      <c r="N3223" s="23">
        <v>46181.33797453704</v>
      </c>
      <c r="O3223" s="14" t="str">
        <f>HYPERLINK("https://otsuka-europe-crm.veevavault.com/ui/#object/email_activity__v/V8C00000003P259", "EN-002089837")</f>
        <v>EN-002089837</v>
      </c>
    </row>
    <row r="3224" spans="1:15" ht="16" x14ac:dyDescent="0.2">
      <c r="A3224" s="19"/>
      <c r="B3224" s="19"/>
      <c r="C3224" s="19"/>
      <c r="D3224" s="19"/>
      <c r="E3224" s="19"/>
      <c r="F3224" s="19"/>
      <c r="G3224" s="19"/>
      <c r="H3224" s="19"/>
      <c r="I3224" s="19"/>
      <c r="J3224" s="19"/>
      <c r="K3224" s="19"/>
      <c r="L3224" s="19"/>
      <c r="M3224" s="19"/>
      <c r="N3224" s="19"/>
      <c r="O3224" s="14" t="str">
        <f>HYPERLINK("https://otsuka-europe-crm.veevavault.com/ui/#object/email_activity__v/V8C00000003Q710", "EN-002092264")</f>
        <v>EN-002092264</v>
      </c>
    </row>
    <row r="3225" spans="1:15" ht="16" x14ac:dyDescent="0.2">
      <c r="A3225" s="17" t="str">
        <f>HYPERLINK("https://otsuka-europe-crm.veevavault.com/ui/#object/account__v/V4TZ06G6O71SBNV", "CARMINE MOLLO")</f>
        <v>CARMINE MOLLO</v>
      </c>
      <c r="B3225" s="17" t="str">
        <f>HYPERLINK("https://otsuka-europe-crm.veevavault.com/ui/#object/vcountry__v/VENZ000004SONFQ", "IT")</f>
        <v>IT</v>
      </c>
      <c r="C3225" s="20" t="s">
        <v>44</v>
      </c>
      <c r="D3225" s="21" t="str">
        <f>HYPERLINK("https://otsuka-europe-crm.veevavault.com/ui/#object/approved_document__v/V5O000000018003", "AE dialoghi di tempo fiducia e cura episodi 2-3-4")</f>
        <v>AE dialoghi di tempo fiducia e cura episodi 2-3-4</v>
      </c>
      <c r="E3225" s="22" t="str">
        <f>HYPERLINK("https://otsuka-europe-crm.veevavault.com/ui/#object/sent_email__v/VBL00000002O719", "SE-001432390")</f>
        <v>SE-001432390</v>
      </c>
      <c r="F3225" s="25"/>
      <c r="G3225" s="24">
        <v>0</v>
      </c>
      <c r="H3225" s="24">
        <v>0</v>
      </c>
      <c r="I3225" s="24">
        <v>0</v>
      </c>
      <c r="J3225" s="25"/>
      <c r="K3225" s="24">
        <v>0</v>
      </c>
      <c r="L3225" s="22" t="str">
        <f>HYPERLINK("https://otsuka-europe-crm.veevavault.com/ui/#object/approved_document__v/V5O000000018003", "AE dialoghi di tempo fiducia e cura episodi 2-3-4")</f>
        <v>AE dialoghi di tempo fiducia e cura episodi 2-3-4</v>
      </c>
      <c r="M3225" s="22" t="str">
        <f>HYPERLINK("mailto:nicoletta.vozza@crm.otsuka-europe.com", "nicoletta.vozza@crm.otsuka-europe.com")</f>
        <v>nicoletta.vozza@crm.otsuka-europe.com</v>
      </c>
      <c r="N3225" s="23">
        <v>46181.338020833333</v>
      </c>
      <c r="O3225" s="14" t="str">
        <f>HYPERLINK("https://otsuka-europe-crm.veevavault.com/ui/#object/email_activity__v/V8C00000003P586", "EN-002090841")</f>
        <v>EN-002090841</v>
      </c>
    </row>
    <row r="3226" spans="1:15" ht="16" x14ac:dyDescent="0.2">
      <c r="A3226" s="19"/>
      <c r="B3226" s="19"/>
      <c r="C3226" s="19"/>
      <c r="D3226" s="19"/>
      <c r="E3226" s="19"/>
      <c r="F3226" s="19"/>
      <c r="G3226" s="19"/>
      <c r="H3226" s="19"/>
      <c r="I3226" s="19"/>
      <c r="J3226" s="19"/>
      <c r="K3226" s="19"/>
      <c r="L3226" s="19"/>
      <c r="M3226" s="19"/>
      <c r="N3226" s="19"/>
      <c r="O3226" s="14" t="str">
        <f>HYPERLINK("https://otsuka-europe-crm.veevavault.com/ui/#object/email_activity__v/V8C00000003P909", "EN-002091455")</f>
        <v>EN-002091455</v>
      </c>
    </row>
    <row r="3227" spans="1:15" ht="32" x14ac:dyDescent="0.2">
      <c r="A3227" s="7" t="str">
        <f>HYPERLINK("https://otsuka-europe-crm.veevavault.com/ui/#object/account__v/V4TZ06G6O71SBYS", "CARMINE PETIO")</f>
        <v>CARMINE PETIO</v>
      </c>
      <c r="B3227" s="7" t="str">
        <f>HYPERLINK("https://otsuka-europe-crm.veevavault.com/ui/#object/vcountry__v/VENZ000004SONFQ", "IT")</f>
        <v>IT</v>
      </c>
      <c r="C3227" s="8" t="s">
        <v>44</v>
      </c>
      <c r="D3227" s="9" t="str">
        <f>HYPERLINK("https://otsuka-europe-crm.veevavault.com/ui/#object/approved_document__v/V5O000000018003", "AE dialoghi di tempo fiducia e cura episodi 2-3-4")</f>
        <v>AE dialoghi di tempo fiducia e cura episodi 2-3-4</v>
      </c>
      <c r="E3227" s="10" t="str">
        <f>HYPERLINK("https://otsuka-europe-crm.veevavault.com/ui/#object/sent_email__v/VBL00000002O720", "SE-001432391")</f>
        <v>SE-001432391</v>
      </c>
      <c r="F3227" s="11"/>
      <c r="G3227" s="12">
        <v>0</v>
      </c>
      <c r="H3227" s="12">
        <v>0</v>
      </c>
      <c r="I3227" s="12">
        <v>0</v>
      </c>
      <c r="J3227" s="11"/>
      <c r="K3227" s="12">
        <v>0</v>
      </c>
      <c r="L3227" s="10" t="str">
        <f>HYPERLINK("https://otsuka-europe-crm.veevavault.com/ui/#object/approved_document__v/V5O000000018003", "AE dialoghi di tempo fiducia e cura episodi 2-3-4")</f>
        <v>AE dialoghi di tempo fiducia e cura episodi 2-3-4</v>
      </c>
      <c r="M3227" s="10" t="str">
        <f>HYPERLINK("mailto:nicoletta.vozza@crm.otsuka-europe.com", "nicoletta.vozza@crm.otsuka-europe.com")</f>
        <v>nicoletta.vozza@crm.otsuka-europe.com</v>
      </c>
      <c r="N3227" s="13">
        <v>46181.337997685187</v>
      </c>
      <c r="O3227" s="14" t="str">
        <f>HYPERLINK("https://otsuka-europe-crm.veevavault.com/ui/#object/email_activity__v/V8C00000003O895", "EN-002090498")</f>
        <v>EN-002090498</v>
      </c>
    </row>
    <row r="3228" spans="1:15" ht="32" x14ac:dyDescent="0.2">
      <c r="A3228" s="7" t="str">
        <f>HYPERLINK("https://otsuka-europe-crm.veevavault.com/ui/#object/account__v/V4TZ06G6O71SBZ4", "CARMINE PETROSINO")</f>
        <v>CARMINE PETROSINO</v>
      </c>
      <c r="B3228" s="7" t="str">
        <f>HYPERLINK("https://otsuka-europe-crm.veevavault.com/ui/#object/vcountry__v/VENZ000004SONFQ", "IT")</f>
        <v>IT</v>
      </c>
      <c r="C3228" s="8" t="s">
        <v>44</v>
      </c>
      <c r="D3228" s="9" t="str">
        <f>HYPERLINK("https://otsuka-europe-crm.veevavault.com/ui/#object/approved_document__v/V5O000000018003", "AE dialoghi di tempo fiducia e cura episodi 2-3-4")</f>
        <v>AE dialoghi di tempo fiducia e cura episodi 2-3-4</v>
      </c>
      <c r="E3228" s="10" t="str">
        <f>HYPERLINK("https://otsuka-europe-crm.veevavault.com/ui/#object/sent_email__v/VBL00000002O721", "SE-001432392")</f>
        <v>SE-001432392</v>
      </c>
      <c r="F3228" s="11"/>
      <c r="G3228" s="12">
        <v>0</v>
      </c>
      <c r="H3228" s="12">
        <v>0</v>
      </c>
      <c r="I3228" s="12">
        <v>0</v>
      </c>
      <c r="J3228" s="11"/>
      <c r="K3228" s="12">
        <v>0</v>
      </c>
      <c r="L3228" s="10" t="str">
        <f>HYPERLINK("https://otsuka-europe-crm.veevavault.com/ui/#object/approved_document__v/V5O000000018003", "AE dialoghi di tempo fiducia e cura episodi 2-3-4")</f>
        <v>AE dialoghi di tempo fiducia e cura episodi 2-3-4</v>
      </c>
      <c r="M3228" s="10" t="str">
        <f>HYPERLINK("mailto:nicoletta.vozza@crm.otsuka-europe.com", "nicoletta.vozza@crm.otsuka-europe.com")</f>
        <v>nicoletta.vozza@crm.otsuka-europe.com</v>
      </c>
      <c r="N3228" s="13">
        <v>46181.33898148148</v>
      </c>
      <c r="O3228" s="14" t="str">
        <f>HYPERLINK("https://otsuka-europe-crm.veevavault.com/ui/#object/email_activity__v/V8C00000003Q220", "EN-002091326")</f>
        <v>EN-002091326</v>
      </c>
    </row>
    <row r="3229" spans="1:15" ht="32" x14ac:dyDescent="0.2">
      <c r="A3229" s="7" t="str">
        <f>HYPERLINK("https://otsuka-europe-crm.veevavault.com/ui/#object/account__v/V4TZ06G6O71SAYP", "CAROLINA CAPPA")</f>
        <v>CAROLINA CAPPA</v>
      </c>
      <c r="B3229" s="7" t="str">
        <f>HYPERLINK("https://otsuka-europe-crm.veevavault.com/ui/#object/vcountry__v/VENZ000004SONFQ", "IT")</f>
        <v>IT</v>
      </c>
      <c r="C3229" s="8" t="s">
        <v>44</v>
      </c>
      <c r="D3229" s="9" t="str">
        <f>HYPERLINK("https://otsuka-europe-crm.veevavault.com/ui/#object/approved_document__v/V5O000000018003", "AE dialoghi di tempo fiducia e cura episodi 2-3-4")</f>
        <v>AE dialoghi di tempo fiducia e cura episodi 2-3-4</v>
      </c>
      <c r="E3229" s="10" t="str">
        <f>HYPERLINK("https://otsuka-europe-crm.veevavault.com/ui/#object/sent_email__v/VBL00000002O722", "SE-001432393")</f>
        <v>SE-001432393</v>
      </c>
      <c r="F3229" s="11"/>
      <c r="G3229" s="12">
        <v>0</v>
      </c>
      <c r="H3229" s="12">
        <v>0</v>
      </c>
      <c r="I3229" s="12">
        <v>0</v>
      </c>
      <c r="J3229" s="11"/>
      <c r="K3229" s="12">
        <v>0</v>
      </c>
      <c r="L3229" s="10" t="str">
        <f>HYPERLINK("https://otsuka-europe-crm.veevavault.com/ui/#object/approved_document__v/V5O000000018003", "AE dialoghi di tempo fiducia e cura episodi 2-3-4")</f>
        <v>AE dialoghi di tempo fiducia e cura episodi 2-3-4</v>
      </c>
      <c r="M3229" s="10" t="str">
        <f>HYPERLINK("mailto:nicoletta.vozza@crm.otsuka-europe.com", "nicoletta.vozza@crm.otsuka-europe.com")</f>
        <v>nicoletta.vozza@crm.otsuka-europe.com</v>
      </c>
      <c r="N3229" s="13">
        <v>46181.337939814817</v>
      </c>
      <c r="O3229" s="14" t="str">
        <f>HYPERLINK("https://otsuka-europe-crm.veevavault.com/ui/#object/email_activity__v/V8C00000003O805", "EN-002090507")</f>
        <v>EN-002090507</v>
      </c>
    </row>
    <row r="3230" spans="1:15" ht="16" x14ac:dyDescent="0.2">
      <c r="A3230" s="17" t="str">
        <f>HYPERLINK("https://otsuka-europe-crm.veevavault.com/ui/#object/account__v/V4TZ06G6O71SBSS", "CATELLO ORAZZO")</f>
        <v>CATELLO ORAZZO</v>
      </c>
      <c r="B3230" s="17" t="str">
        <f>HYPERLINK("https://otsuka-europe-crm.veevavault.com/ui/#object/vcountry__v/VENZ000004SONFQ", "IT")</f>
        <v>IT</v>
      </c>
      <c r="C3230" s="20" t="s">
        <v>44</v>
      </c>
      <c r="D3230" s="21" t="str">
        <f>HYPERLINK("https://otsuka-europe-crm.veevavault.com/ui/#object/approved_document__v/V5O000000018003", "AE dialoghi di tempo fiducia e cura episodi 2-3-4")</f>
        <v>AE dialoghi di tempo fiducia e cura episodi 2-3-4</v>
      </c>
      <c r="E3230" s="22" t="str">
        <f>HYPERLINK("https://otsuka-europe-crm.veevavault.com/ui/#object/sent_email__v/VBL00000002O723", "SE-001432394")</f>
        <v>SE-001432394</v>
      </c>
      <c r="F3230" s="25"/>
      <c r="G3230" s="24">
        <v>0</v>
      </c>
      <c r="H3230" s="24">
        <v>0</v>
      </c>
      <c r="I3230" s="24">
        <v>0</v>
      </c>
      <c r="J3230" s="25"/>
      <c r="K3230" s="24">
        <v>0</v>
      </c>
      <c r="L3230" s="22" t="str">
        <f>HYPERLINK("https://otsuka-europe-crm.veevavault.com/ui/#object/approved_document__v/V5O000000018003", "AE dialoghi di tempo fiducia e cura episodi 2-3-4")</f>
        <v>AE dialoghi di tempo fiducia e cura episodi 2-3-4</v>
      </c>
      <c r="M3230" s="22" t="str">
        <f>HYPERLINK("mailto:nicoletta.vozza@crm.otsuka-europe.com", "nicoletta.vozza@crm.otsuka-europe.com")</f>
        <v>nicoletta.vozza@crm.otsuka-europe.com</v>
      </c>
      <c r="N3230" s="23">
        <v>46181.337939814817</v>
      </c>
      <c r="O3230" s="14" t="str">
        <f>HYPERLINK("https://otsuka-europe-crm.veevavault.com/ui/#object/email_activity__v/V8C00000003O403", "EN-002089959")</f>
        <v>EN-002089959</v>
      </c>
    </row>
    <row r="3231" spans="1:15" ht="16" x14ac:dyDescent="0.2">
      <c r="A3231" s="18"/>
      <c r="B3231" s="18"/>
      <c r="C3231" s="18"/>
      <c r="D3231" s="18"/>
      <c r="E3231" s="18"/>
      <c r="F3231" s="18"/>
      <c r="G3231" s="18"/>
      <c r="H3231" s="18"/>
      <c r="I3231" s="18"/>
      <c r="J3231" s="18"/>
      <c r="K3231" s="18"/>
      <c r="L3231" s="18"/>
      <c r="M3231" s="18"/>
      <c r="N3231" s="18"/>
      <c r="O3231" s="14" t="str">
        <f>HYPERLINK("https://otsuka-europe-crm.veevavault.com/ui/#object/email_activity__v/V8C00000003Q559", "EN-002091922")</f>
        <v>EN-002091922</v>
      </c>
    </row>
    <row r="3232" spans="1:15" ht="16" x14ac:dyDescent="0.2">
      <c r="A3232" s="18"/>
      <c r="B3232" s="18"/>
      <c r="C3232" s="18"/>
      <c r="D3232" s="18"/>
      <c r="E3232" s="18"/>
      <c r="F3232" s="18"/>
      <c r="G3232" s="18"/>
      <c r="H3232" s="18"/>
      <c r="I3232" s="18"/>
      <c r="J3232" s="18"/>
      <c r="K3232" s="18"/>
      <c r="L3232" s="18"/>
      <c r="M3232" s="18"/>
      <c r="N3232" s="18"/>
      <c r="O3232" s="14" t="str">
        <f>HYPERLINK("https://otsuka-europe-crm.veevavault.com/ui/#object/email_activity__v/V8C00000003R233", "EN-002092122")</f>
        <v>EN-002092122</v>
      </c>
    </row>
    <row r="3233" spans="1:15" ht="16" x14ac:dyDescent="0.2">
      <c r="A3233" s="19"/>
      <c r="B3233" s="19"/>
      <c r="C3233" s="19"/>
      <c r="D3233" s="19"/>
      <c r="E3233" s="19"/>
      <c r="F3233" s="19"/>
      <c r="G3233" s="19"/>
      <c r="H3233" s="19"/>
      <c r="I3233" s="19"/>
      <c r="J3233" s="19"/>
      <c r="K3233" s="19"/>
      <c r="L3233" s="19"/>
      <c r="M3233" s="19"/>
      <c r="N3233" s="19"/>
      <c r="O3233" s="14" t="str">
        <f>HYPERLINK("https://otsuka-europe-crm.veevavault.com/ui/#object/email_activity__v/V8C00000003W313", "EN-002097344")</f>
        <v>EN-002097344</v>
      </c>
    </row>
    <row r="3234" spans="1:15" ht="32" x14ac:dyDescent="0.2">
      <c r="A3234" s="7" t="str">
        <f>HYPERLINK("https://otsuka-europe-crm.veevavault.com/ui/#object/account__v/V4TZ06G6O71SAA4", "CATENA CALIOTA")</f>
        <v>CATENA CALIOTA</v>
      </c>
      <c r="B3234" s="7" t="str">
        <f>HYPERLINK("https://otsuka-europe-crm.veevavault.com/ui/#object/vcountry__v/VENZ000004SONFQ", "IT")</f>
        <v>IT</v>
      </c>
      <c r="C3234" s="8" t="s">
        <v>44</v>
      </c>
      <c r="D3234" s="9" t="str">
        <f>HYPERLINK("https://otsuka-europe-crm.veevavault.com/ui/#object/approved_document__v/V5O000000018003", "AE dialoghi di tempo fiducia e cura episodi 2-3-4")</f>
        <v>AE dialoghi di tempo fiducia e cura episodi 2-3-4</v>
      </c>
      <c r="E3234" s="10" t="str">
        <f>HYPERLINK("https://otsuka-europe-crm.veevavault.com/ui/#object/sent_email__v/VBL00000002O724", "SE-001432395")</f>
        <v>SE-001432395</v>
      </c>
      <c r="F3234" s="11"/>
      <c r="G3234" s="12">
        <v>0</v>
      </c>
      <c r="H3234" s="12">
        <v>0</v>
      </c>
      <c r="I3234" s="12">
        <v>0</v>
      </c>
      <c r="J3234" s="11"/>
      <c r="K3234" s="12">
        <v>0</v>
      </c>
      <c r="L3234" s="10" t="str">
        <f>HYPERLINK("https://otsuka-europe-crm.veevavault.com/ui/#object/approved_document__v/V5O000000018003", "AE dialoghi di tempo fiducia e cura episodi 2-3-4")</f>
        <v>AE dialoghi di tempo fiducia e cura episodi 2-3-4</v>
      </c>
      <c r="M3234" s="10" t="str">
        <f>HYPERLINK("mailto:nicoletta.vozza@crm.otsuka-europe.com", "nicoletta.vozza@crm.otsuka-europe.com")</f>
        <v>nicoletta.vozza@crm.otsuka-europe.com</v>
      </c>
      <c r="N3234" s="13">
        <v>46181.337962962964</v>
      </c>
      <c r="O3234" s="14" t="str">
        <f>HYPERLINK("https://otsuka-europe-crm.veevavault.com/ui/#object/email_activity__v/V8C00000003O297", "EN-002089774")</f>
        <v>EN-002089774</v>
      </c>
    </row>
    <row r="3235" spans="1:15" ht="32" x14ac:dyDescent="0.2">
      <c r="A3235" s="7" t="str">
        <f>HYPERLINK("https://otsuka-europe-crm.veevavault.com/ui/#object/account__v/V4TZ06G6O71SCOX", "CATERINA ADELE VIGANO'")</f>
        <v>CATERINA ADELE VIGANO'</v>
      </c>
      <c r="B3235" s="7" t="str">
        <f>HYPERLINK("https://otsuka-europe-crm.veevavault.com/ui/#object/vcountry__v/VENZ000004SONFQ", "IT")</f>
        <v>IT</v>
      </c>
      <c r="C3235" s="8" t="s">
        <v>44</v>
      </c>
      <c r="D3235" s="9" t="str">
        <f>HYPERLINK("https://otsuka-europe-crm.veevavault.com/ui/#object/approved_document__v/V5O000000018003", "AE dialoghi di tempo fiducia e cura episodi 2-3-4")</f>
        <v>AE dialoghi di tempo fiducia e cura episodi 2-3-4</v>
      </c>
      <c r="E3235" s="10" t="str">
        <f>HYPERLINK("https://otsuka-europe-crm.veevavault.com/ui/#object/sent_email__v/VBL00000002O725", "SE-001432396")</f>
        <v>SE-001432396</v>
      </c>
      <c r="F3235" s="11"/>
      <c r="G3235" s="12">
        <v>0</v>
      </c>
      <c r="H3235" s="12">
        <v>0</v>
      </c>
      <c r="I3235" s="12">
        <v>0</v>
      </c>
      <c r="J3235" s="11"/>
      <c r="K3235" s="12">
        <v>0</v>
      </c>
      <c r="L3235" s="10" t="str">
        <f>HYPERLINK("https://otsuka-europe-crm.veevavault.com/ui/#object/approved_document__v/V5O000000018003", "AE dialoghi di tempo fiducia e cura episodi 2-3-4")</f>
        <v>AE dialoghi di tempo fiducia e cura episodi 2-3-4</v>
      </c>
      <c r="M3235" s="10" t="str">
        <f>HYPERLINK("mailto:nicoletta.vozza@crm.otsuka-europe.com", "nicoletta.vozza@crm.otsuka-europe.com")</f>
        <v>nicoletta.vozza@crm.otsuka-europe.com</v>
      </c>
      <c r="N3235" s="13">
        <v>46181.338067129633</v>
      </c>
      <c r="O3235" s="14" t="str">
        <f>HYPERLINK("https://otsuka-europe-crm.veevavault.com/ui/#object/email_activity__v/V8C00000003P766", "EN-002091064")</f>
        <v>EN-002091064</v>
      </c>
    </row>
    <row r="3236" spans="1:15" ht="16" x14ac:dyDescent="0.2">
      <c r="A3236" s="17" t="str">
        <f>HYPERLINK("https://otsuka-europe-crm.veevavault.com/ui/#object/account__v/V4TZ06G6O71SAQ5", "CATERINA GUIDI")</f>
        <v>CATERINA GUIDI</v>
      </c>
      <c r="B3236" s="17" t="str">
        <f>HYPERLINK("https://otsuka-europe-crm.veevavault.com/ui/#object/vcountry__v/VENZ000004SONFQ", "IT")</f>
        <v>IT</v>
      </c>
      <c r="C3236" s="20" t="s">
        <v>44</v>
      </c>
      <c r="D3236" s="21" t="str">
        <f>HYPERLINK("https://otsuka-europe-crm.veevavault.com/ui/#object/approved_document__v/V5O000000018003", "AE dialoghi di tempo fiducia e cura episodi 2-3-4")</f>
        <v>AE dialoghi di tempo fiducia e cura episodi 2-3-4</v>
      </c>
      <c r="E3236" s="22" t="str">
        <f>HYPERLINK("https://otsuka-europe-crm.veevavault.com/ui/#object/sent_email__v/VBL00000002O726", "SE-001432397")</f>
        <v>SE-001432397</v>
      </c>
      <c r="F3236" s="23">
        <v>46181.422962962963</v>
      </c>
      <c r="G3236" s="24">
        <v>1</v>
      </c>
      <c r="H3236" s="24">
        <v>1</v>
      </c>
      <c r="I3236" s="24">
        <v>0</v>
      </c>
      <c r="J3236" s="25"/>
      <c r="K3236" s="24">
        <v>0</v>
      </c>
      <c r="L3236" s="22" t="str">
        <f>HYPERLINK("https://otsuka-europe-crm.veevavault.com/ui/#object/approved_document__v/V5O000000018003", "AE dialoghi di tempo fiducia e cura episodi 2-3-4")</f>
        <v>AE dialoghi di tempo fiducia e cura episodi 2-3-4</v>
      </c>
      <c r="M3236" s="22" t="str">
        <f>HYPERLINK("mailto:nicoletta.vozza@crm.otsuka-europe.com", "nicoletta.vozza@crm.otsuka-europe.com")</f>
        <v>nicoletta.vozza@crm.otsuka-europe.com</v>
      </c>
      <c r="N3236" s="23">
        <v>46181.337951388887</v>
      </c>
      <c r="O3236" s="14" t="str">
        <f>HYPERLINK("https://otsuka-europe-crm.veevavault.com/ui/#object/email_activity__v/V8C00000003O814", "EN-002090516")</f>
        <v>EN-002090516</v>
      </c>
    </row>
    <row r="3237" spans="1:15" ht="16" x14ac:dyDescent="0.2">
      <c r="A3237" s="19"/>
      <c r="B3237" s="19"/>
      <c r="C3237" s="19"/>
      <c r="D3237" s="19"/>
      <c r="E3237" s="19"/>
      <c r="F3237" s="19"/>
      <c r="G3237" s="19"/>
      <c r="H3237" s="19"/>
      <c r="I3237" s="19"/>
      <c r="J3237" s="19"/>
      <c r="K3237" s="19"/>
      <c r="L3237" s="19"/>
      <c r="M3237" s="19"/>
      <c r="N3237" s="19"/>
      <c r="O3237" s="14" t="str">
        <f>HYPERLINK("https://otsuka-europe-crm.veevavault.com/ui/#object/email_activity__v/V8C00000003R060", "EN-002091793")</f>
        <v>EN-002091793</v>
      </c>
    </row>
    <row r="3238" spans="1:15" ht="16" x14ac:dyDescent="0.2">
      <c r="A3238" s="17" t="str">
        <f>HYPERLINK("https://otsuka-europe-crm.veevavault.com/ui/#object/account__v/V4TZ06G6O71SB8I", "CATERINA LOBACCARO")</f>
        <v>CATERINA LOBACCARO</v>
      </c>
      <c r="B3238" s="17" t="str">
        <f>HYPERLINK("https://otsuka-europe-crm.veevavault.com/ui/#object/vcountry__v/VENZ000004SONFQ", "IT")</f>
        <v>IT</v>
      </c>
      <c r="C3238" s="20" t="s">
        <v>44</v>
      </c>
      <c r="D3238" s="21" t="str">
        <f>HYPERLINK("https://otsuka-europe-crm.veevavault.com/ui/#object/approved_document__v/V5O000000018003", "AE dialoghi di tempo fiducia e cura episodi 2-3-4")</f>
        <v>AE dialoghi di tempo fiducia e cura episodi 2-3-4</v>
      </c>
      <c r="E3238" s="22" t="str">
        <f>HYPERLINK("https://otsuka-europe-crm.veevavault.com/ui/#object/sent_email__v/VBL00000002O727", "SE-001432398")</f>
        <v>SE-001432398</v>
      </c>
      <c r="F3238" s="23">
        <v>46181.356053240743</v>
      </c>
      <c r="G3238" s="24">
        <v>1</v>
      </c>
      <c r="H3238" s="24">
        <v>1</v>
      </c>
      <c r="I3238" s="24">
        <v>0</v>
      </c>
      <c r="J3238" s="25"/>
      <c r="K3238" s="24">
        <v>0</v>
      </c>
      <c r="L3238" s="22" t="str">
        <f>HYPERLINK("https://otsuka-europe-crm.veevavault.com/ui/#object/approved_document__v/V5O000000018003", "AE dialoghi di tempo fiducia e cura episodi 2-3-4")</f>
        <v>AE dialoghi di tempo fiducia e cura episodi 2-3-4</v>
      </c>
      <c r="M3238" s="22" t="str">
        <f>HYPERLINK("mailto:nicoletta.vozza@crm.otsuka-europe.com", "nicoletta.vozza@crm.otsuka-europe.com")</f>
        <v>nicoletta.vozza@crm.otsuka-europe.com</v>
      </c>
      <c r="N3238" s="23">
        <v>46181.338055555556</v>
      </c>
      <c r="O3238" s="14" t="str">
        <f>HYPERLINK("https://otsuka-europe-crm.veevavault.com/ui/#object/email_activity__v/V8C00000003Q011", "EN-002090759")</f>
        <v>EN-002090759</v>
      </c>
    </row>
    <row r="3239" spans="1:15" ht="16" x14ac:dyDescent="0.2">
      <c r="A3239" s="19"/>
      <c r="B3239" s="19"/>
      <c r="C3239" s="19"/>
      <c r="D3239" s="19"/>
      <c r="E3239" s="19"/>
      <c r="F3239" s="19"/>
      <c r="G3239" s="19"/>
      <c r="H3239" s="19"/>
      <c r="I3239" s="19"/>
      <c r="J3239" s="19"/>
      <c r="K3239" s="19"/>
      <c r="L3239" s="19"/>
      <c r="M3239" s="19"/>
      <c r="N3239" s="19"/>
      <c r="O3239" s="14" t="str">
        <f>HYPERLINK("https://otsuka-europe-crm.veevavault.com/ui/#object/email_activity__v/V8C00000003Q326", "EN-002091487")</f>
        <v>EN-002091487</v>
      </c>
    </row>
    <row r="3240" spans="1:15" ht="16" x14ac:dyDescent="0.2">
      <c r="A3240" s="17" t="str">
        <f>HYPERLINK("https://otsuka-europe-crm.veevavault.com/ui/#object/account__v/V4TZ06G6O71SCRT", "CATERINA ZANON")</f>
        <v>CATERINA ZANON</v>
      </c>
      <c r="B3240" s="17" t="str">
        <f>HYPERLINK("https://otsuka-europe-crm.veevavault.com/ui/#object/vcountry__v/VENZ000004SONFQ", "IT")</f>
        <v>IT</v>
      </c>
      <c r="C3240" s="20" t="s">
        <v>44</v>
      </c>
      <c r="D3240" s="21" t="str">
        <f>HYPERLINK("https://otsuka-europe-crm.veevavault.com/ui/#object/approved_document__v/V5O000000018003", "AE dialoghi di tempo fiducia e cura episodi 2-3-4")</f>
        <v>AE dialoghi di tempo fiducia e cura episodi 2-3-4</v>
      </c>
      <c r="E3240" s="22" t="str">
        <f>HYPERLINK("https://otsuka-europe-crm.veevavault.com/ui/#object/sent_email__v/VBL00000002O728", "SE-001432399")</f>
        <v>SE-001432399</v>
      </c>
      <c r="F3240" s="23">
        <v>46201.447997685187</v>
      </c>
      <c r="G3240" s="24">
        <v>1</v>
      </c>
      <c r="H3240" s="24">
        <v>2</v>
      </c>
      <c r="I3240" s="24">
        <v>0</v>
      </c>
      <c r="J3240" s="25"/>
      <c r="K3240" s="24">
        <v>0</v>
      </c>
      <c r="L3240" s="22" t="str">
        <f>HYPERLINK("https://otsuka-europe-crm.veevavault.com/ui/#object/approved_document__v/V5O000000018003", "AE dialoghi di tempo fiducia e cura episodi 2-3-4")</f>
        <v>AE dialoghi di tempo fiducia e cura episodi 2-3-4</v>
      </c>
      <c r="M3240" s="22" t="str">
        <f>HYPERLINK("mailto:nicoletta.vozza@crm.otsuka-europe.com", "nicoletta.vozza@crm.otsuka-europe.com")</f>
        <v>nicoletta.vozza@crm.otsuka-europe.com</v>
      </c>
      <c r="N3240" s="23">
        <v>46181.33792824074</v>
      </c>
      <c r="O3240" s="14" t="str">
        <f>HYPERLINK("https://otsuka-europe-crm.veevavault.com/ui/#object/email_activity__v/V8C00000003O143", "EN-002089525")</f>
        <v>EN-002089525</v>
      </c>
    </row>
    <row r="3241" spans="1:15" ht="16" x14ac:dyDescent="0.2">
      <c r="A3241" s="18"/>
      <c r="B3241" s="18"/>
      <c r="C3241" s="18"/>
      <c r="D3241" s="18"/>
      <c r="E3241" s="18"/>
      <c r="F3241" s="18"/>
      <c r="G3241" s="18"/>
      <c r="H3241" s="18"/>
      <c r="I3241" s="18"/>
      <c r="J3241" s="18"/>
      <c r="K3241" s="18"/>
      <c r="L3241" s="18"/>
      <c r="M3241" s="18"/>
      <c r="N3241" s="18"/>
      <c r="O3241" s="14" t="str">
        <f>HYPERLINK("https://otsuka-europe-crm.veevavault.com/ui/#object/email_activity__v/V8C00000003R579", "EN-002092813")</f>
        <v>EN-002092813</v>
      </c>
    </row>
    <row r="3242" spans="1:15" ht="16" x14ac:dyDescent="0.2">
      <c r="A3242" s="19"/>
      <c r="B3242" s="19"/>
      <c r="C3242" s="19"/>
      <c r="D3242" s="19"/>
      <c r="E3242" s="19"/>
      <c r="F3242" s="19"/>
      <c r="G3242" s="19"/>
      <c r="H3242" s="19"/>
      <c r="I3242" s="19"/>
      <c r="J3242" s="19"/>
      <c r="K3242" s="19"/>
      <c r="L3242" s="19"/>
      <c r="M3242" s="19"/>
      <c r="N3242" s="19"/>
      <c r="O3242" s="14" t="str">
        <f>HYPERLINK("https://otsuka-europe-crm.veevavault.com/ui/#object/email_activity__v/V8C000000041293", "EN-002100257")</f>
        <v>EN-002100257</v>
      </c>
    </row>
    <row r="3243" spans="1:15" ht="32" x14ac:dyDescent="0.2">
      <c r="A3243" s="7" t="str">
        <f>HYPERLINK("https://otsuka-europe-crm.veevavault.com/ui/#object/account__v/V4TZ06G6O71SASH", "CATIA GAETANA CHINI")</f>
        <v>CATIA GAETANA CHINI</v>
      </c>
      <c r="B3243" s="7" t="str">
        <f>HYPERLINK("https://otsuka-europe-crm.veevavault.com/ui/#object/vcountry__v/VENZ000004SONFQ", "IT")</f>
        <v>IT</v>
      </c>
      <c r="C3243" s="8" t="s">
        <v>44</v>
      </c>
      <c r="D3243" s="9" t="str">
        <f>HYPERLINK("https://otsuka-europe-crm.veevavault.com/ui/#object/approved_document__v/V5O000000018003", "AE dialoghi di tempo fiducia e cura episodi 2-3-4")</f>
        <v>AE dialoghi di tempo fiducia e cura episodi 2-3-4</v>
      </c>
      <c r="E3243" s="10" t="str">
        <f>HYPERLINK("https://otsuka-europe-crm.veevavault.com/ui/#object/sent_email__v/VBL00000002O729", "SE-001432400")</f>
        <v>SE-001432400</v>
      </c>
      <c r="F3243" s="11"/>
      <c r="G3243" s="12">
        <v>0</v>
      </c>
      <c r="H3243" s="12">
        <v>0</v>
      </c>
      <c r="I3243" s="12">
        <v>0</v>
      </c>
      <c r="J3243" s="11"/>
      <c r="K3243" s="12">
        <v>0</v>
      </c>
      <c r="L3243" s="10" t="str">
        <f>HYPERLINK("https://otsuka-europe-crm.veevavault.com/ui/#object/approved_document__v/V5O000000018003", "AE dialoghi di tempo fiducia e cura episodi 2-3-4")</f>
        <v>AE dialoghi di tempo fiducia e cura episodi 2-3-4</v>
      </c>
      <c r="M3243" s="10" t="str">
        <f>HYPERLINK("mailto:nicoletta.vozza@crm.otsuka-europe.com", "nicoletta.vozza@crm.otsuka-europe.com")</f>
        <v>nicoletta.vozza@crm.otsuka-europe.com</v>
      </c>
      <c r="N3243" s="13">
        <v>46181.337939814817</v>
      </c>
      <c r="O3243" s="14" t="str">
        <f>HYPERLINK("https://otsuka-europe-crm.veevavault.com/ui/#object/email_activity__v/V8C00000003P383", "EN-002090389")</f>
        <v>EN-002090389</v>
      </c>
    </row>
    <row r="3244" spans="1:15" ht="32" x14ac:dyDescent="0.2">
      <c r="A3244" s="7" t="str">
        <f>HYPERLINK("https://otsuka-europe-crm.veevavault.com/ui/#object/account__v/V4TZ06G6O71SBON", "CATIA NICOLI")</f>
        <v>CATIA NICOLI</v>
      </c>
      <c r="B3244" s="7" t="str">
        <f>HYPERLINK("https://otsuka-europe-crm.veevavault.com/ui/#object/vcountry__v/VENZ000004SONFQ", "IT")</f>
        <v>IT</v>
      </c>
      <c r="C3244" s="8" t="s">
        <v>44</v>
      </c>
      <c r="D3244" s="9" t="str">
        <f>HYPERLINK("https://otsuka-europe-crm.veevavault.com/ui/#object/approved_document__v/V5O000000018003", "AE dialoghi di tempo fiducia e cura episodi 2-3-4")</f>
        <v>AE dialoghi di tempo fiducia e cura episodi 2-3-4</v>
      </c>
      <c r="E3244" s="10" t="str">
        <f>HYPERLINK("https://otsuka-europe-crm.veevavault.com/ui/#object/sent_email__v/VBL00000002O730", "SE-001432401")</f>
        <v>SE-001432401</v>
      </c>
      <c r="F3244" s="11"/>
      <c r="G3244" s="12">
        <v>0</v>
      </c>
      <c r="H3244" s="12">
        <v>0</v>
      </c>
      <c r="I3244" s="12">
        <v>0</v>
      </c>
      <c r="J3244" s="11"/>
      <c r="K3244" s="12">
        <v>0</v>
      </c>
      <c r="L3244" s="10" t="str">
        <f>HYPERLINK("https://otsuka-europe-crm.veevavault.com/ui/#object/approved_document__v/V5O000000018003", "AE dialoghi di tempo fiducia e cura episodi 2-3-4")</f>
        <v>AE dialoghi di tempo fiducia e cura episodi 2-3-4</v>
      </c>
      <c r="M3244" s="10" t="str">
        <f>HYPERLINK("mailto:nicoletta.vozza@crm.otsuka-europe.com", "nicoletta.vozza@crm.otsuka-europe.com")</f>
        <v>nicoletta.vozza@crm.otsuka-europe.com</v>
      </c>
      <c r="N3244" s="13">
        <v>46181.33798611111</v>
      </c>
      <c r="O3244" s="14" t="str">
        <f>HYPERLINK("https://otsuka-europe-crm.veevavault.com/ui/#object/email_activity__v/V8C00000003O872", "EN-002090475")</f>
        <v>EN-002090475</v>
      </c>
    </row>
    <row r="3245" spans="1:15" ht="16" x14ac:dyDescent="0.2">
      <c r="A3245" s="17" t="str">
        <f>HYPERLINK("https://otsuka-europe-crm.veevavault.com/ui/#object/account__v/V4TZ04ASGB9MF8I", "CATIA ZUCCA")</f>
        <v>CATIA ZUCCA</v>
      </c>
      <c r="B3245" s="17" t="str">
        <f>HYPERLINK("https://otsuka-europe-crm.veevavault.com/ui/#object/vcountry__v/VENZ000004SONFQ", "IT")</f>
        <v>IT</v>
      </c>
      <c r="C3245" s="20" t="s">
        <v>44</v>
      </c>
      <c r="D3245" s="21" t="str">
        <f>HYPERLINK("https://otsuka-europe-crm.veevavault.com/ui/#object/approved_document__v/V5O000000018003", "AE dialoghi di tempo fiducia e cura episodi 2-3-4")</f>
        <v>AE dialoghi di tempo fiducia e cura episodi 2-3-4</v>
      </c>
      <c r="E3245" s="22" t="str">
        <f>HYPERLINK("https://otsuka-europe-crm.veevavault.com/ui/#object/sent_email__v/VBL00000002O731", "SE-001432402")</f>
        <v>SE-001432402</v>
      </c>
      <c r="F3245" s="23">
        <v>46181.354756944442</v>
      </c>
      <c r="G3245" s="24">
        <v>1</v>
      </c>
      <c r="H3245" s="24">
        <v>1</v>
      </c>
      <c r="I3245" s="24">
        <v>0</v>
      </c>
      <c r="J3245" s="25"/>
      <c r="K3245" s="24">
        <v>0</v>
      </c>
      <c r="L3245" s="22" t="str">
        <f>HYPERLINK("https://otsuka-europe-crm.veevavault.com/ui/#object/approved_document__v/V5O000000018003", "AE dialoghi di tempo fiducia e cura episodi 2-3-4")</f>
        <v>AE dialoghi di tempo fiducia e cura episodi 2-3-4</v>
      </c>
      <c r="M3245" s="22" t="str">
        <f>HYPERLINK("mailto:nicoletta.vozza@crm.otsuka-europe.com", "nicoletta.vozza@crm.otsuka-europe.com")</f>
        <v>nicoletta.vozza@crm.otsuka-europe.com</v>
      </c>
      <c r="N3245" s="23">
        <v>46181.33797453704</v>
      </c>
      <c r="O3245" s="14" t="str">
        <f>HYPERLINK("https://otsuka-europe-crm.veevavault.com/ui/#object/email_activity__v/V8C00000003P156", "EN-002089556")</f>
        <v>EN-002089556</v>
      </c>
    </row>
    <row r="3246" spans="1:15" ht="16" x14ac:dyDescent="0.2">
      <c r="A3246" s="19"/>
      <c r="B3246" s="19"/>
      <c r="C3246" s="19"/>
      <c r="D3246" s="19"/>
      <c r="E3246" s="19"/>
      <c r="F3246" s="19"/>
      <c r="G3246" s="19"/>
      <c r="H3246" s="19"/>
      <c r="I3246" s="19"/>
      <c r="J3246" s="19"/>
      <c r="K3246" s="19"/>
      <c r="L3246" s="19"/>
      <c r="M3246" s="19"/>
      <c r="N3246" s="19"/>
      <c r="O3246" s="14" t="str">
        <f>HYPERLINK("https://otsuka-europe-crm.veevavault.com/ui/#object/email_activity__v/V8C00000003Q324", "EN-002091485")</f>
        <v>EN-002091485</v>
      </c>
    </row>
    <row r="3247" spans="1:15" ht="32" x14ac:dyDescent="0.2">
      <c r="A3247" s="7" t="str">
        <f>HYPERLINK("https://otsuka-europe-crm.veevavault.com/ui/#object/account__v/V4TZ06G6O71S9T6", "CECILIA ARTONI")</f>
        <v>CECILIA ARTONI</v>
      </c>
      <c r="B3247" s="7" t="str">
        <f t="shared" ref="B3247:B3255" si="136">HYPERLINK("https://otsuka-europe-crm.veevavault.com/ui/#object/vcountry__v/VENZ000004SONFQ", "IT")</f>
        <v>IT</v>
      </c>
      <c r="C3247" s="8" t="s">
        <v>44</v>
      </c>
      <c r="D3247" s="9" t="str">
        <f t="shared" ref="D3247:D3255" si="137">HYPERLINK("https://otsuka-europe-crm.veevavault.com/ui/#object/approved_document__v/V5O000000018003", "AE dialoghi di tempo fiducia e cura episodi 2-3-4")</f>
        <v>AE dialoghi di tempo fiducia e cura episodi 2-3-4</v>
      </c>
      <c r="E3247" s="10" t="str">
        <f>HYPERLINK("https://otsuka-europe-crm.veevavault.com/ui/#object/sent_email__v/VBL00000002O732", "SE-001432403")</f>
        <v>SE-001432403</v>
      </c>
      <c r="F3247" s="11"/>
      <c r="G3247" s="12">
        <v>0</v>
      </c>
      <c r="H3247" s="12">
        <v>0</v>
      </c>
      <c r="I3247" s="12">
        <v>0</v>
      </c>
      <c r="J3247" s="11"/>
      <c r="K3247" s="12">
        <v>0</v>
      </c>
      <c r="L3247" s="10" t="str">
        <f t="shared" ref="L3247:L3255" si="138">HYPERLINK("https://otsuka-europe-crm.veevavault.com/ui/#object/approved_document__v/V5O000000018003", "AE dialoghi di tempo fiducia e cura episodi 2-3-4")</f>
        <v>AE dialoghi di tempo fiducia e cura episodi 2-3-4</v>
      </c>
      <c r="M3247" s="10" t="str">
        <f t="shared" ref="M3247:M3255" si="139">HYPERLINK("mailto:nicoletta.vozza@crm.otsuka-europe.com", "nicoletta.vozza@crm.otsuka-europe.com")</f>
        <v>nicoletta.vozza@crm.otsuka-europe.com</v>
      </c>
      <c r="N3247" s="13">
        <v>46181.337905092594</v>
      </c>
      <c r="O3247" s="15"/>
    </row>
    <row r="3248" spans="1:15" ht="32" x14ac:dyDescent="0.2">
      <c r="A3248" s="7" t="str">
        <f>HYPERLINK("https://otsuka-europe-crm.veevavault.com/ui/#object/account__v/V4TZ06G6O71SB0H", "CECILIA CARDONI")</f>
        <v>CECILIA CARDONI</v>
      </c>
      <c r="B3248" s="7" t="str">
        <f t="shared" si="136"/>
        <v>IT</v>
      </c>
      <c r="C3248" s="8" t="s">
        <v>44</v>
      </c>
      <c r="D3248" s="9" t="str">
        <f t="shared" si="137"/>
        <v>AE dialoghi di tempo fiducia e cura episodi 2-3-4</v>
      </c>
      <c r="E3248" s="10" t="str">
        <f>HYPERLINK("https://otsuka-europe-crm.veevavault.com/ui/#object/sent_email__v/VBL00000002O733", "SE-001432404")</f>
        <v>SE-001432404</v>
      </c>
      <c r="F3248" s="11"/>
      <c r="G3248" s="12">
        <v>0</v>
      </c>
      <c r="H3248" s="12">
        <v>0</v>
      </c>
      <c r="I3248" s="12">
        <v>0</v>
      </c>
      <c r="J3248" s="11"/>
      <c r="K3248" s="12">
        <v>0</v>
      </c>
      <c r="L3248" s="10" t="str">
        <f t="shared" si="138"/>
        <v>AE dialoghi di tempo fiducia e cura episodi 2-3-4</v>
      </c>
      <c r="M3248" s="10" t="str">
        <f t="shared" si="139"/>
        <v>nicoletta.vozza@crm.otsuka-europe.com</v>
      </c>
      <c r="N3248" s="13">
        <v>46181.339050925926</v>
      </c>
      <c r="O3248" s="14" t="str">
        <f>HYPERLINK("https://otsuka-europe-crm.veevavault.com/ui/#object/email_activity__v/V8C00000003Q203", "EN-002091309")</f>
        <v>EN-002091309</v>
      </c>
    </row>
    <row r="3249" spans="1:15" ht="32" x14ac:dyDescent="0.2">
      <c r="A3249" s="7" t="str">
        <f>HYPERLINK("https://otsuka-europe-crm.veevavault.com/ui/#object/account__v/V4TZ06G6O71SBEX", "CECILIA MARASCO")</f>
        <v>CECILIA MARASCO</v>
      </c>
      <c r="B3249" s="7" t="str">
        <f t="shared" si="136"/>
        <v>IT</v>
      </c>
      <c r="C3249" s="8" t="s">
        <v>44</v>
      </c>
      <c r="D3249" s="9" t="str">
        <f t="shared" si="137"/>
        <v>AE dialoghi di tempo fiducia e cura episodi 2-3-4</v>
      </c>
      <c r="E3249" s="10" t="str">
        <f>HYPERLINK("https://otsuka-europe-crm.veevavault.com/ui/#object/sent_email__v/VBL00000002O734", "SE-001432405")</f>
        <v>SE-001432405</v>
      </c>
      <c r="F3249" s="11"/>
      <c r="G3249" s="12">
        <v>0</v>
      </c>
      <c r="H3249" s="12">
        <v>0</v>
      </c>
      <c r="I3249" s="12">
        <v>0</v>
      </c>
      <c r="J3249" s="11"/>
      <c r="K3249" s="12">
        <v>0</v>
      </c>
      <c r="L3249" s="10" t="str">
        <f t="shared" si="138"/>
        <v>AE dialoghi di tempo fiducia e cura episodi 2-3-4</v>
      </c>
      <c r="M3249" s="10" t="str">
        <f t="shared" si="139"/>
        <v>nicoletta.vozza@crm.otsuka-europe.com</v>
      </c>
      <c r="N3249" s="13">
        <v>46181.338067129633</v>
      </c>
      <c r="O3249" s="14" t="str">
        <f>HYPERLINK("https://otsuka-europe-crm.veevavault.com/ui/#object/email_activity__v/V8C00000003O842", "EN-002090544")</f>
        <v>EN-002090544</v>
      </c>
    </row>
    <row r="3250" spans="1:15" ht="32" x14ac:dyDescent="0.2">
      <c r="A3250" s="7" t="str">
        <f>HYPERLINK("https://otsuka-europe-crm.veevavault.com/ui/#object/account__v/V4TZ06G6O71S9U7", "CECILIA MARIA ESPOSITO")</f>
        <v>CECILIA MARIA ESPOSITO</v>
      </c>
      <c r="B3250" s="7" t="str">
        <f t="shared" si="136"/>
        <v>IT</v>
      </c>
      <c r="C3250" s="8" t="s">
        <v>44</v>
      </c>
      <c r="D3250" s="9" t="str">
        <f t="shared" si="137"/>
        <v>AE dialoghi di tempo fiducia e cura episodi 2-3-4</v>
      </c>
      <c r="E3250" s="10" t="str">
        <f>HYPERLINK("https://otsuka-europe-crm.veevavault.com/ui/#object/sent_email__v/VBL00000002O735", "SE-001432406")</f>
        <v>SE-001432406</v>
      </c>
      <c r="F3250" s="11"/>
      <c r="G3250" s="12">
        <v>0</v>
      </c>
      <c r="H3250" s="12">
        <v>0</v>
      </c>
      <c r="I3250" s="12">
        <v>0</v>
      </c>
      <c r="J3250" s="11"/>
      <c r="K3250" s="12">
        <v>0</v>
      </c>
      <c r="L3250" s="10" t="str">
        <f t="shared" si="138"/>
        <v>AE dialoghi di tempo fiducia e cura episodi 2-3-4</v>
      </c>
      <c r="M3250" s="10" t="str">
        <f t="shared" si="139"/>
        <v>nicoletta.vozza@crm.otsuka-europe.com</v>
      </c>
      <c r="N3250" s="13">
        <v>46181.337951388887</v>
      </c>
      <c r="O3250" s="14" t="str">
        <f>HYPERLINK("https://otsuka-europe-crm.veevavault.com/ui/#object/email_activity__v/V8C00000003O181", "EN-002089618")</f>
        <v>EN-002089618</v>
      </c>
    </row>
    <row r="3251" spans="1:15" ht="32" x14ac:dyDescent="0.2">
      <c r="A3251" s="7" t="str">
        <f>HYPERLINK("https://otsuka-europe-crm.veevavault.com/ui/#object/account__v/V4TZ04ASG6LH69G", "CECILIA RICCARDI")</f>
        <v>CECILIA RICCARDI</v>
      </c>
      <c r="B3251" s="7" t="str">
        <f t="shared" si="136"/>
        <v>IT</v>
      </c>
      <c r="C3251" s="8" t="s">
        <v>44</v>
      </c>
      <c r="D3251" s="9" t="str">
        <f t="shared" si="137"/>
        <v>AE dialoghi di tempo fiducia e cura episodi 2-3-4</v>
      </c>
      <c r="E3251" s="10" t="str">
        <f>HYPERLINK("https://otsuka-europe-crm.veevavault.com/ui/#object/sent_email__v/VBL00000002O736", "SE-001432407")</f>
        <v>SE-001432407</v>
      </c>
      <c r="F3251" s="11"/>
      <c r="G3251" s="12">
        <v>0</v>
      </c>
      <c r="H3251" s="12">
        <v>0</v>
      </c>
      <c r="I3251" s="12">
        <v>0</v>
      </c>
      <c r="J3251" s="11"/>
      <c r="K3251" s="12">
        <v>0</v>
      </c>
      <c r="L3251" s="10" t="str">
        <f t="shared" si="138"/>
        <v>AE dialoghi di tempo fiducia e cura episodi 2-3-4</v>
      </c>
      <c r="M3251" s="10" t="str">
        <f t="shared" si="139"/>
        <v>nicoletta.vozza@crm.otsuka-europe.com</v>
      </c>
      <c r="N3251" s="13">
        <v>46181.338078703702</v>
      </c>
      <c r="O3251" s="14" t="str">
        <f>HYPERLINK("https://otsuka-europe-crm.veevavault.com/ui/#object/email_activity__v/V8C00000003P409", "EN-002090415")</f>
        <v>EN-002090415</v>
      </c>
    </row>
    <row r="3252" spans="1:15" ht="32" x14ac:dyDescent="0.2">
      <c r="A3252" s="7" t="str">
        <f>HYPERLINK("https://otsuka-europe-crm.veevavault.com/ui/#object/account__v/V4TZ06G6O71S9SO", "CECILIA ROSARIA MARGHERITA PRUNAS")</f>
        <v>CECILIA ROSARIA MARGHERITA PRUNAS</v>
      </c>
      <c r="B3252" s="7" t="str">
        <f t="shared" si="136"/>
        <v>IT</v>
      </c>
      <c r="C3252" s="8" t="s">
        <v>44</v>
      </c>
      <c r="D3252" s="9" t="str">
        <f t="shared" si="137"/>
        <v>AE dialoghi di tempo fiducia e cura episodi 2-3-4</v>
      </c>
      <c r="E3252" s="10" t="str">
        <f>HYPERLINK("https://otsuka-europe-crm.veevavault.com/ui/#object/sent_email__v/VBL00000002O737", "SE-001432408")</f>
        <v>SE-001432408</v>
      </c>
      <c r="F3252" s="11"/>
      <c r="G3252" s="12">
        <v>0</v>
      </c>
      <c r="H3252" s="12">
        <v>0</v>
      </c>
      <c r="I3252" s="12">
        <v>0</v>
      </c>
      <c r="J3252" s="11"/>
      <c r="K3252" s="12">
        <v>0</v>
      </c>
      <c r="L3252" s="10" t="str">
        <f t="shared" si="138"/>
        <v>AE dialoghi di tempo fiducia e cura episodi 2-3-4</v>
      </c>
      <c r="M3252" s="10" t="str">
        <f t="shared" si="139"/>
        <v>nicoletta.vozza@crm.otsuka-europe.com</v>
      </c>
      <c r="N3252" s="13">
        <v>46181.33797453704</v>
      </c>
      <c r="O3252" s="14" t="str">
        <f>HYPERLINK("https://otsuka-europe-crm.veevavault.com/ui/#object/email_activity__v/V8C00000003O173", "EN-002089610")</f>
        <v>EN-002089610</v>
      </c>
    </row>
    <row r="3253" spans="1:15" ht="32" x14ac:dyDescent="0.2">
      <c r="A3253" s="7" t="str">
        <f>HYPERLINK("https://otsuka-europe-crm.veevavault.com/ui/#object/account__v/V4TZ06G6O71SA7S", "CELESTINO BUFARINI")</f>
        <v>CELESTINO BUFARINI</v>
      </c>
      <c r="B3253" s="7" t="str">
        <f t="shared" si="136"/>
        <v>IT</v>
      </c>
      <c r="C3253" s="8" t="s">
        <v>44</v>
      </c>
      <c r="D3253" s="9" t="str">
        <f t="shared" si="137"/>
        <v>AE dialoghi di tempo fiducia e cura episodi 2-3-4</v>
      </c>
      <c r="E3253" s="10" t="str">
        <f>HYPERLINK("https://otsuka-europe-crm.veevavault.com/ui/#object/sent_email__v/VBL00000002O738", "SE-001432409")</f>
        <v>SE-001432409</v>
      </c>
      <c r="F3253" s="11"/>
      <c r="G3253" s="12">
        <v>0</v>
      </c>
      <c r="H3253" s="12">
        <v>0</v>
      </c>
      <c r="I3253" s="12">
        <v>0</v>
      </c>
      <c r="J3253" s="11"/>
      <c r="K3253" s="12">
        <v>0</v>
      </c>
      <c r="L3253" s="10" t="str">
        <f t="shared" si="138"/>
        <v>AE dialoghi di tempo fiducia e cura episodi 2-3-4</v>
      </c>
      <c r="M3253" s="10" t="str">
        <f t="shared" si="139"/>
        <v>nicoletta.vozza@crm.otsuka-europe.com</v>
      </c>
      <c r="N3253" s="13">
        <v>46181.339039351849</v>
      </c>
      <c r="O3253" s="14" t="str">
        <f>HYPERLINK("https://otsuka-europe-crm.veevavault.com/ui/#object/email_activity__v/V8C00000003Q234", "EN-002091340")</f>
        <v>EN-002091340</v>
      </c>
    </row>
    <row r="3254" spans="1:15" ht="32" x14ac:dyDescent="0.2">
      <c r="A3254" s="7" t="str">
        <f>HYPERLINK("https://otsuka-europe-crm.veevavault.com/ui/#object/account__v/V4TZ06G6O71S9NN", "CESARE GALIMBERTI")</f>
        <v>CESARE GALIMBERTI</v>
      </c>
      <c r="B3254" s="7" t="str">
        <f t="shared" si="136"/>
        <v>IT</v>
      </c>
      <c r="C3254" s="8" t="s">
        <v>44</v>
      </c>
      <c r="D3254" s="9" t="str">
        <f t="shared" si="137"/>
        <v>AE dialoghi di tempo fiducia e cura episodi 2-3-4</v>
      </c>
      <c r="E3254" s="10" t="str">
        <f>HYPERLINK("https://otsuka-europe-crm.veevavault.com/ui/#object/sent_email__v/VBL00000002O739", "SE-001432410")</f>
        <v>SE-001432410</v>
      </c>
      <c r="F3254" s="11"/>
      <c r="G3254" s="12">
        <v>0</v>
      </c>
      <c r="H3254" s="12">
        <v>0</v>
      </c>
      <c r="I3254" s="12">
        <v>0</v>
      </c>
      <c r="J3254" s="11"/>
      <c r="K3254" s="12">
        <v>0</v>
      </c>
      <c r="L3254" s="10" t="str">
        <f t="shared" si="138"/>
        <v>AE dialoghi di tempo fiducia e cura episodi 2-3-4</v>
      </c>
      <c r="M3254" s="10" t="str">
        <f t="shared" si="139"/>
        <v>nicoletta.vozza@crm.otsuka-europe.com</v>
      </c>
      <c r="N3254" s="13">
        <v>46181.33797453704</v>
      </c>
      <c r="O3254" s="14" t="str">
        <f>HYPERLINK("https://otsuka-europe-crm.veevavault.com/ui/#object/email_activity__v/V8C00000003O457", "EN-002090013")</f>
        <v>EN-002090013</v>
      </c>
    </row>
    <row r="3255" spans="1:15" ht="16" x14ac:dyDescent="0.2">
      <c r="A3255" s="17" t="str">
        <f>HYPERLINK("https://otsuka-europe-crm.veevavault.com/ui/#object/account__v/V4TZ06G6O71SB8J", "CESARINA LOBELLO")</f>
        <v>CESARINA LOBELLO</v>
      </c>
      <c r="B3255" s="17" t="str">
        <f t="shared" si="136"/>
        <v>IT</v>
      </c>
      <c r="C3255" s="20" t="s">
        <v>44</v>
      </c>
      <c r="D3255" s="21" t="str">
        <f t="shared" si="137"/>
        <v>AE dialoghi di tempo fiducia e cura episodi 2-3-4</v>
      </c>
      <c r="E3255" s="22" t="str">
        <f>HYPERLINK("https://otsuka-europe-crm.veevavault.com/ui/#object/sent_email__v/VBL00000002O740", "SE-001432411")</f>
        <v>SE-001432411</v>
      </c>
      <c r="F3255" s="25"/>
      <c r="G3255" s="24">
        <v>0</v>
      </c>
      <c r="H3255" s="24">
        <v>0</v>
      </c>
      <c r="I3255" s="24">
        <v>0</v>
      </c>
      <c r="J3255" s="25"/>
      <c r="K3255" s="24">
        <v>0</v>
      </c>
      <c r="L3255" s="22" t="str">
        <f t="shared" si="138"/>
        <v>AE dialoghi di tempo fiducia e cura episodi 2-3-4</v>
      </c>
      <c r="M3255" s="22" t="str">
        <f t="shared" si="139"/>
        <v>nicoletta.vozza@crm.otsuka-europe.com</v>
      </c>
      <c r="N3255" s="23">
        <v>46181.337951388887</v>
      </c>
      <c r="O3255" s="14" t="str">
        <f>HYPERLINK("https://otsuka-europe-crm.veevavault.com/ui/#object/email_activity__v/V8C00000003P238", "EN-002089816")</f>
        <v>EN-002089816</v>
      </c>
    </row>
    <row r="3256" spans="1:15" ht="16" x14ac:dyDescent="0.2">
      <c r="A3256" s="19"/>
      <c r="B3256" s="19"/>
      <c r="C3256" s="19"/>
      <c r="D3256" s="19"/>
      <c r="E3256" s="19"/>
      <c r="F3256" s="19"/>
      <c r="G3256" s="19"/>
      <c r="H3256" s="19"/>
      <c r="I3256" s="19"/>
      <c r="J3256" s="19"/>
      <c r="K3256" s="19"/>
      <c r="L3256" s="19"/>
      <c r="M3256" s="19"/>
      <c r="N3256" s="19"/>
      <c r="O3256" s="14" t="str">
        <f>HYPERLINK("https://otsuka-europe-crm.veevavault.com/ui/#object/email_activity__v/V8C00000003R134", "EN-002091932")</f>
        <v>EN-002091932</v>
      </c>
    </row>
    <row r="3257" spans="1:15" ht="32" x14ac:dyDescent="0.2">
      <c r="A3257" s="7" t="str">
        <f>HYPERLINK("https://otsuka-europe-crm.veevavault.com/ui/#object/account__v/V4TZ06G6O71SASI", "CESARIO SCHIRALDI")</f>
        <v>CESARIO SCHIRALDI</v>
      </c>
      <c r="B3257" s="7" t="str">
        <f>HYPERLINK("https://otsuka-europe-crm.veevavault.com/ui/#object/vcountry__v/VENZ000004SONFQ", "IT")</f>
        <v>IT</v>
      </c>
      <c r="C3257" s="8" t="s">
        <v>44</v>
      </c>
      <c r="D3257" s="9" t="str">
        <f>HYPERLINK("https://otsuka-europe-crm.veevavault.com/ui/#object/approved_document__v/V5O000000018003", "AE dialoghi di tempo fiducia e cura episodi 2-3-4")</f>
        <v>AE dialoghi di tempo fiducia e cura episodi 2-3-4</v>
      </c>
      <c r="E3257" s="10" t="str">
        <f>HYPERLINK("https://otsuka-europe-crm.veevavault.com/ui/#object/sent_email__v/VBL00000002O741", "SE-001432412")</f>
        <v>SE-001432412</v>
      </c>
      <c r="F3257" s="11"/>
      <c r="G3257" s="12">
        <v>0</v>
      </c>
      <c r="H3257" s="12">
        <v>0</v>
      </c>
      <c r="I3257" s="12">
        <v>0</v>
      </c>
      <c r="J3257" s="11"/>
      <c r="K3257" s="12">
        <v>0</v>
      </c>
      <c r="L3257" s="10" t="str">
        <f>HYPERLINK("https://otsuka-europe-crm.veevavault.com/ui/#object/approved_document__v/V5O000000018003", "AE dialoghi di tempo fiducia e cura episodi 2-3-4")</f>
        <v>AE dialoghi di tempo fiducia e cura episodi 2-3-4</v>
      </c>
      <c r="M3257" s="10" t="str">
        <f>HYPERLINK("mailto:nicoletta.vozza@crm.otsuka-europe.com", "nicoletta.vozza@crm.otsuka-europe.com")</f>
        <v>nicoletta.vozza@crm.otsuka-europe.com</v>
      </c>
      <c r="N3257" s="13">
        <v>46181.337951388887</v>
      </c>
      <c r="O3257" s="14" t="str">
        <f>HYPERLINK("https://otsuka-europe-crm.veevavault.com/ui/#object/email_activity__v/V8C00000003O339", "EN-002089857")</f>
        <v>EN-002089857</v>
      </c>
    </row>
    <row r="3258" spans="1:15" ht="32" x14ac:dyDescent="0.2">
      <c r="A3258" s="7" t="str">
        <f>HYPERLINK("https://otsuka-europe-crm.veevavault.com/ui/#object/account__v/V4TZ025E83LJLPC", "CHIARA ALESSANDRA CAPOGROSSO")</f>
        <v>CHIARA ALESSANDRA CAPOGROSSO</v>
      </c>
      <c r="B3258" s="7" t="str">
        <f>HYPERLINK("https://otsuka-europe-crm.veevavault.com/ui/#object/vcountry__v/VENZ000004SONFQ", "IT")</f>
        <v>IT</v>
      </c>
      <c r="C3258" s="8" t="s">
        <v>44</v>
      </c>
      <c r="D3258" s="9" t="str">
        <f>HYPERLINK("https://otsuka-europe-crm.veevavault.com/ui/#object/approved_document__v/V5O000000018003", "AE dialoghi di tempo fiducia e cura episodi 2-3-4")</f>
        <v>AE dialoghi di tempo fiducia e cura episodi 2-3-4</v>
      </c>
      <c r="E3258" s="10" t="str">
        <f>HYPERLINK("https://otsuka-europe-crm.veevavault.com/ui/#object/sent_email__v/VBL00000002O742", "SE-001432413")</f>
        <v>SE-001432413</v>
      </c>
      <c r="F3258" s="11"/>
      <c r="G3258" s="12">
        <v>0</v>
      </c>
      <c r="H3258" s="12">
        <v>0</v>
      </c>
      <c r="I3258" s="12">
        <v>0</v>
      </c>
      <c r="J3258" s="11"/>
      <c r="K3258" s="12">
        <v>0</v>
      </c>
      <c r="L3258" s="10" t="str">
        <f>HYPERLINK("https://otsuka-europe-crm.veevavault.com/ui/#object/approved_document__v/V5O000000018003", "AE dialoghi di tempo fiducia e cura episodi 2-3-4")</f>
        <v>AE dialoghi di tempo fiducia e cura episodi 2-3-4</v>
      </c>
      <c r="M3258" s="10" t="str">
        <f>HYPERLINK("mailto:nicoletta.vozza@crm.otsuka-europe.com", "nicoletta.vozza@crm.otsuka-europe.com")</f>
        <v>nicoletta.vozza@crm.otsuka-europe.com</v>
      </c>
      <c r="N3258" s="13">
        <v>46181.33798611111</v>
      </c>
      <c r="O3258" s="14" t="str">
        <f>HYPERLINK("https://otsuka-europe-crm.veevavault.com/ui/#object/email_activity__v/V8C00000003P512", "EN-002090767")</f>
        <v>EN-002090767</v>
      </c>
    </row>
    <row r="3259" spans="1:15" ht="16" x14ac:dyDescent="0.2">
      <c r="A3259" s="17" t="str">
        <f>HYPERLINK("https://otsuka-europe-crm.veevavault.com/ui/#object/account__v/V4TZ06G6O71SA7U", "CHIARA BUFALINO")</f>
        <v>CHIARA BUFALINO</v>
      </c>
      <c r="B3259" s="17" t="str">
        <f>HYPERLINK("https://otsuka-europe-crm.veevavault.com/ui/#object/vcountry__v/VENZ000004SONFQ", "IT")</f>
        <v>IT</v>
      </c>
      <c r="C3259" s="20" t="s">
        <v>44</v>
      </c>
      <c r="D3259" s="21" t="str">
        <f>HYPERLINK("https://otsuka-europe-crm.veevavault.com/ui/#object/approved_document__v/V5O000000018003", "AE dialoghi di tempo fiducia e cura episodi 2-3-4")</f>
        <v>AE dialoghi di tempo fiducia e cura episodi 2-3-4</v>
      </c>
      <c r="E3259" s="22" t="str">
        <f>HYPERLINK("https://otsuka-europe-crm.veevavault.com/ui/#object/sent_email__v/VBL00000002O743", "SE-001432414")</f>
        <v>SE-001432414</v>
      </c>
      <c r="F3259" s="25"/>
      <c r="G3259" s="24">
        <v>0</v>
      </c>
      <c r="H3259" s="24">
        <v>0</v>
      </c>
      <c r="I3259" s="24">
        <v>0</v>
      </c>
      <c r="J3259" s="25"/>
      <c r="K3259" s="24">
        <v>0</v>
      </c>
      <c r="L3259" s="22" t="str">
        <f>HYPERLINK("https://otsuka-europe-crm.veevavault.com/ui/#object/approved_document__v/V5O000000018003", "AE dialoghi di tempo fiducia e cura episodi 2-3-4")</f>
        <v>AE dialoghi di tempo fiducia e cura episodi 2-3-4</v>
      </c>
      <c r="M3259" s="22" t="str">
        <f>HYPERLINK("mailto:nicoletta.vozza@crm.otsuka-europe.com", "nicoletta.vozza@crm.otsuka-europe.com")</f>
        <v>nicoletta.vozza@crm.otsuka-europe.com</v>
      </c>
      <c r="N3259" s="23">
        <v>46181.337997685187</v>
      </c>
      <c r="O3259" s="14" t="str">
        <f>HYPERLINK("https://otsuka-europe-crm.veevavault.com/ui/#object/email_activity__v/V8C00000003O466", "EN-002090022")</f>
        <v>EN-002090022</v>
      </c>
    </row>
    <row r="3260" spans="1:15" ht="16" x14ac:dyDescent="0.2">
      <c r="A3260" s="18"/>
      <c r="B3260" s="18"/>
      <c r="C3260" s="18"/>
      <c r="D3260" s="18"/>
      <c r="E3260" s="18"/>
      <c r="F3260" s="18"/>
      <c r="G3260" s="18"/>
      <c r="H3260" s="18"/>
      <c r="I3260" s="18"/>
      <c r="J3260" s="18"/>
      <c r="K3260" s="18"/>
      <c r="L3260" s="18"/>
      <c r="M3260" s="18"/>
      <c r="N3260" s="18"/>
      <c r="O3260" s="14" t="str">
        <f>HYPERLINK("https://otsuka-europe-crm.veevavault.com/ui/#object/email_activity__v/V8C00000003T110", "EN-002093778")</f>
        <v>EN-002093778</v>
      </c>
    </row>
    <row r="3261" spans="1:15" ht="16" x14ac:dyDescent="0.2">
      <c r="A3261" s="19"/>
      <c r="B3261" s="19"/>
      <c r="C3261" s="19"/>
      <c r="D3261" s="19"/>
      <c r="E3261" s="19"/>
      <c r="F3261" s="19"/>
      <c r="G3261" s="19"/>
      <c r="H3261" s="19"/>
      <c r="I3261" s="19"/>
      <c r="J3261" s="19"/>
      <c r="K3261" s="19"/>
      <c r="L3261" s="19"/>
      <c r="M3261" s="19"/>
      <c r="N3261" s="19"/>
      <c r="O3261" s="14" t="str">
        <f>HYPERLINK("https://otsuka-europe-crm.veevavault.com/ui/#object/email_activity__v/V8C00000003V402", "EN-002095579")</f>
        <v>EN-002095579</v>
      </c>
    </row>
    <row r="3262" spans="1:15" ht="32" x14ac:dyDescent="0.2">
      <c r="A3262" s="7" t="str">
        <f>HYPERLINK("https://otsuka-europe-crm.veevavault.com/ui/#object/account__v/V4TZ06G6O71SAWP", "CHIARA CANDIRACCI")</f>
        <v>CHIARA CANDIRACCI</v>
      </c>
      <c r="B3262" s="7" t="str">
        <f>HYPERLINK("https://otsuka-europe-crm.veevavault.com/ui/#object/vcountry__v/VENZ000004SONFQ", "IT")</f>
        <v>IT</v>
      </c>
      <c r="C3262" s="8" t="s">
        <v>44</v>
      </c>
      <c r="D3262" s="9" t="str">
        <f>HYPERLINK("https://otsuka-europe-crm.veevavault.com/ui/#object/approved_document__v/V5O000000018003", "AE dialoghi di tempo fiducia e cura episodi 2-3-4")</f>
        <v>AE dialoghi di tempo fiducia e cura episodi 2-3-4</v>
      </c>
      <c r="E3262" s="10" t="str">
        <f>HYPERLINK("https://otsuka-europe-crm.veevavault.com/ui/#object/sent_email__v/VBL00000002O744", "SE-001432415")</f>
        <v>SE-001432415</v>
      </c>
      <c r="F3262" s="11"/>
      <c r="G3262" s="12">
        <v>0</v>
      </c>
      <c r="H3262" s="12">
        <v>0</v>
      </c>
      <c r="I3262" s="12">
        <v>0</v>
      </c>
      <c r="J3262" s="11"/>
      <c r="K3262" s="12">
        <v>0</v>
      </c>
      <c r="L3262" s="10" t="str">
        <f>HYPERLINK("https://otsuka-europe-crm.veevavault.com/ui/#object/approved_document__v/V5O000000018003", "AE dialoghi di tempo fiducia e cura episodi 2-3-4")</f>
        <v>AE dialoghi di tempo fiducia e cura episodi 2-3-4</v>
      </c>
      <c r="M3262" s="10" t="str">
        <f>HYPERLINK("mailto:nicoletta.vozza@crm.otsuka-europe.com", "nicoletta.vozza@crm.otsuka-europe.com")</f>
        <v>nicoletta.vozza@crm.otsuka-europe.com</v>
      </c>
      <c r="N3262" s="13">
        <v>46181.338993055557</v>
      </c>
      <c r="O3262" s="14" t="str">
        <f>HYPERLINK("https://otsuka-europe-crm.veevavault.com/ui/#object/email_activity__v/V8C00000003Q222", "EN-002091328")</f>
        <v>EN-002091328</v>
      </c>
    </row>
    <row r="3263" spans="1:15" ht="16" x14ac:dyDescent="0.2">
      <c r="A3263" s="17" t="str">
        <f>HYPERLINK("https://otsuka-europe-crm.veevavault.com/ui/#object/account__v/V4TZ06G6O71S9TF", "CHIARA CAPRI'")</f>
        <v>CHIARA CAPRI'</v>
      </c>
      <c r="B3263" s="17" t="str">
        <f>HYPERLINK("https://otsuka-europe-crm.veevavault.com/ui/#object/vcountry__v/VENZ000004SONFQ", "IT")</f>
        <v>IT</v>
      </c>
      <c r="C3263" s="20" t="s">
        <v>44</v>
      </c>
      <c r="D3263" s="21" t="str">
        <f>HYPERLINK("https://otsuka-europe-crm.veevavault.com/ui/#object/approved_document__v/V5O000000018003", "AE dialoghi di tempo fiducia e cura episodi 2-3-4")</f>
        <v>AE dialoghi di tempo fiducia e cura episodi 2-3-4</v>
      </c>
      <c r="E3263" s="22" t="str">
        <f>HYPERLINK("https://otsuka-europe-crm.veevavault.com/ui/#object/sent_email__v/VBL00000002O745", "SE-001432416")</f>
        <v>SE-001432416</v>
      </c>
      <c r="F3263" s="25"/>
      <c r="G3263" s="24">
        <v>0</v>
      </c>
      <c r="H3263" s="24">
        <v>0</v>
      </c>
      <c r="I3263" s="24">
        <v>0</v>
      </c>
      <c r="J3263" s="25"/>
      <c r="K3263" s="24">
        <v>0</v>
      </c>
      <c r="L3263" s="22" t="str">
        <f>HYPERLINK("https://otsuka-europe-crm.veevavault.com/ui/#object/approved_document__v/V5O000000018003", "AE dialoghi di tempo fiducia e cura episodi 2-3-4")</f>
        <v>AE dialoghi di tempo fiducia e cura episodi 2-3-4</v>
      </c>
      <c r="M3263" s="22" t="str">
        <f>HYPERLINK("mailto:nicoletta.vozza@crm.otsuka-europe.com", "nicoletta.vozza@crm.otsuka-europe.com")</f>
        <v>nicoletta.vozza@crm.otsuka-europe.com</v>
      </c>
      <c r="N3263" s="23">
        <v>46181.337916666664</v>
      </c>
      <c r="O3263" s="14" t="str">
        <f>HYPERLINK("https://otsuka-europe-crm.veevavault.com/ui/#object/email_activity__v/V8C00000003O138", "EN-002089520")</f>
        <v>EN-002089520</v>
      </c>
    </row>
    <row r="3264" spans="1:15" ht="16" x14ac:dyDescent="0.2">
      <c r="A3264" s="19"/>
      <c r="B3264" s="19"/>
      <c r="C3264" s="19"/>
      <c r="D3264" s="19"/>
      <c r="E3264" s="19"/>
      <c r="F3264" s="19"/>
      <c r="G3264" s="19"/>
      <c r="H3264" s="19"/>
      <c r="I3264" s="19"/>
      <c r="J3264" s="19"/>
      <c r="K3264" s="19"/>
      <c r="L3264" s="19"/>
      <c r="M3264" s="19"/>
      <c r="N3264" s="19"/>
      <c r="O3264" s="14" t="str">
        <f>HYPERLINK("https://otsuka-europe-crm.veevavault.com/ui/#object/email_activity__v/V8C00000003T567", "EN-002094754")</f>
        <v>EN-002094754</v>
      </c>
    </row>
    <row r="3265" spans="1:15" ht="16" x14ac:dyDescent="0.2">
      <c r="A3265" s="17" t="str">
        <f>HYPERLINK("https://otsuka-europe-crm.veevavault.com/ui/#object/account__v/V4TZ04ASGB9N2D4", "CHIARA CHETONI")</f>
        <v>CHIARA CHETONI</v>
      </c>
      <c r="B3265" s="17" t="str">
        <f>HYPERLINK("https://otsuka-europe-crm.veevavault.com/ui/#object/vcountry__v/VENZ000004SONFQ", "IT")</f>
        <v>IT</v>
      </c>
      <c r="C3265" s="20" t="s">
        <v>44</v>
      </c>
      <c r="D3265" s="21" t="str">
        <f>HYPERLINK("https://otsuka-europe-crm.veevavault.com/ui/#object/approved_document__v/V5O000000018003", "AE dialoghi di tempo fiducia e cura episodi 2-3-4")</f>
        <v>AE dialoghi di tempo fiducia e cura episodi 2-3-4</v>
      </c>
      <c r="E3265" s="22" t="str">
        <f>HYPERLINK("https://otsuka-europe-crm.veevavault.com/ui/#object/sent_email__v/VBL00000002O746", "SE-001432417")</f>
        <v>SE-001432417</v>
      </c>
      <c r="F3265" s="23">
        <v>46181.39162037037</v>
      </c>
      <c r="G3265" s="24">
        <v>1</v>
      </c>
      <c r="H3265" s="24">
        <v>1</v>
      </c>
      <c r="I3265" s="24">
        <v>0</v>
      </c>
      <c r="J3265" s="25"/>
      <c r="K3265" s="24">
        <v>0</v>
      </c>
      <c r="L3265" s="22" t="str">
        <f>HYPERLINK("https://otsuka-europe-crm.veevavault.com/ui/#object/approved_document__v/V5O000000018003", "AE dialoghi di tempo fiducia e cura episodi 2-3-4")</f>
        <v>AE dialoghi di tempo fiducia e cura episodi 2-3-4</v>
      </c>
      <c r="M3265" s="22" t="str">
        <f>HYPERLINK("mailto:nicoletta.vozza@crm.otsuka-europe.com", "nicoletta.vozza@crm.otsuka-europe.com")</f>
        <v>nicoletta.vozza@crm.otsuka-europe.com</v>
      </c>
      <c r="N3265" s="23">
        <v>46181.337939814817</v>
      </c>
      <c r="O3265" s="14" t="str">
        <f>HYPERLINK("https://otsuka-europe-crm.veevavault.com/ui/#object/email_activity__v/V8C00000003O808", "EN-002090510")</f>
        <v>EN-002090510</v>
      </c>
    </row>
    <row r="3266" spans="1:15" ht="16" x14ac:dyDescent="0.2">
      <c r="A3266" s="19"/>
      <c r="B3266" s="19"/>
      <c r="C3266" s="19"/>
      <c r="D3266" s="19"/>
      <c r="E3266" s="19"/>
      <c r="F3266" s="19"/>
      <c r="G3266" s="19"/>
      <c r="H3266" s="19"/>
      <c r="I3266" s="19"/>
      <c r="J3266" s="19"/>
      <c r="K3266" s="19"/>
      <c r="L3266" s="19"/>
      <c r="M3266" s="19"/>
      <c r="N3266" s="19"/>
      <c r="O3266" s="14" t="str">
        <f>HYPERLINK("https://otsuka-europe-crm.veevavault.com/ui/#object/email_activity__v/V8C00000003R010", "EN-002091731")</f>
        <v>EN-002091731</v>
      </c>
    </row>
    <row r="3267" spans="1:15" ht="32" x14ac:dyDescent="0.2">
      <c r="A3267" s="7" t="str">
        <f>HYPERLINK("https://otsuka-europe-crm.veevavault.com/ui/#object/account__v/V4TZ06G6O71SCCM", "CHIARA CICORELLA")</f>
        <v>CHIARA CICORELLA</v>
      </c>
      <c r="B3267" s="7" t="str">
        <f>HYPERLINK("https://otsuka-europe-crm.veevavault.com/ui/#object/vcountry__v/VENZ000004SONFQ", "IT")</f>
        <v>IT</v>
      </c>
      <c r="C3267" s="8" t="s">
        <v>44</v>
      </c>
      <c r="D3267" s="9" t="str">
        <f>HYPERLINK("https://otsuka-europe-crm.veevavault.com/ui/#object/approved_document__v/V5O000000018003", "AE dialoghi di tempo fiducia e cura episodi 2-3-4")</f>
        <v>AE dialoghi di tempo fiducia e cura episodi 2-3-4</v>
      </c>
      <c r="E3267" s="10" t="str">
        <f>HYPERLINK("https://otsuka-europe-crm.veevavault.com/ui/#object/sent_email__v/VBL00000002O747", "SE-001432418")</f>
        <v>SE-001432418</v>
      </c>
      <c r="F3267" s="11"/>
      <c r="G3267" s="12">
        <v>0</v>
      </c>
      <c r="H3267" s="12">
        <v>0</v>
      </c>
      <c r="I3267" s="12">
        <v>0</v>
      </c>
      <c r="J3267" s="11"/>
      <c r="K3267" s="12">
        <v>0</v>
      </c>
      <c r="L3267" s="10" t="str">
        <f>HYPERLINK("https://otsuka-europe-crm.veevavault.com/ui/#object/approved_document__v/V5O000000018003", "AE dialoghi di tempo fiducia e cura episodi 2-3-4")</f>
        <v>AE dialoghi di tempo fiducia e cura episodi 2-3-4</v>
      </c>
      <c r="M3267" s="10" t="str">
        <f>HYPERLINK("mailto:nicoletta.vozza@crm.otsuka-europe.com", "nicoletta.vozza@crm.otsuka-europe.com")</f>
        <v>nicoletta.vozza@crm.otsuka-europe.com</v>
      </c>
      <c r="N3267" s="13">
        <v>46181.337939814817</v>
      </c>
      <c r="O3267" s="14" t="str">
        <f>HYPERLINK("https://otsuka-europe-crm.veevavault.com/ui/#object/email_activity__v/V8C00000003O209", "EN-002089686")</f>
        <v>EN-002089686</v>
      </c>
    </row>
    <row r="3268" spans="1:15" ht="32" x14ac:dyDescent="0.2">
      <c r="A3268" s="7" t="str">
        <f>HYPERLINK("https://otsuka-europe-crm.veevavault.com/ui/#object/account__v/V4TZ04ASGC7D9F5", "CHIARA COCCIA")</f>
        <v>CHIARA COCCIA</v>
      </c>
      <c r="B3268" s="7" t="str">
        <f>HYPERLINK("https://otsuka-europe-crm.veevavault.com/ui/#object/vcountry__v/VENZ000004SONFQ", "IT")</f>
        <v>IT</v>
      </c>
      <c r="C3268" s="8" t="s">
        <v>44</v>
      </c>
      <c r="D3268" s="9" t="str">
        <f>HYPERLINK("https://otsuka-europe-crm.veevavault.com/ui/#object/approved_document__v/V5O000000018003", "AE dialoghi di tempo fiducia e cura episodi 2-3-4")</f>
        <v>AE dialoghi di tempo fiducia e cura episodi 2-3-4</v>
      </c>
      <c r="E3268" s="10" t="str">
        <f>HYPERLINK("https://otsuka-europe-crm.veevavault.com/ui/#object/sent_email__v/VBL00000002O748", "SE-001432419")</f>
        <v>SE-001432419</v>
      </c>
      <c r="F3268" s="11"/>
      <c r="G3268" s="12">
        <v>0</v>
      </c>
      <c r="H3268" s="12">
        <v>0</v>
      </c>
      <c r="I3268" s="12">
        <v>0</v>
      </c>
      <c r="J3268" s="11"/>
      <c r="K3268" s="12">
        <v>0</v>
      </c>
      <c r="L3268" s="10" t="str">
        <f>HYPERLINK("https://otsuka-europe-crm.veevavault.com/ui/#object/approved_document__v/V5O000000018003", "AE dialoghi di tempo fiducia e cura episodi 2-3-4")</f>
        <v>AE dialoghi di tempo fiducia e cura episodi 2-3-4</v>
      </c>
      <c r="M3268" s="10" t="str">
        <f>HYPERLINK("mailto:nicoletta.vozza@crm.otsuka-europe.com", "nicoletta.vozza@crm.otsuka-europe.com")</f>
        <v>nicoletta.vozza@crm.otsuka-europe.com</v>
      </c>
      <c r="N3268" s="13">
        <v>46181.337939814817</v>
      </c>
      <c r="O3268" s="14" t="str">
        <f>HYPERLINK("https://otsuka-europe-crm.veevavault.com/ui/#object/email_activity__v/V8C00000003Q297", "EN-002091439")</f>
        <v>EN-002091439</v>
      </c>
    </row>
    <row r="3269" spans="1:15" ht="32" x14ac:dyDescent="0.2">
      <c r="A3269" s="7" t="str">
        <f>HYPERLINK("https://otsuka-europe-crm.veevavault.com/ui/#object/account__v/V4TZ06G6O71S9DH", "CHIARA CUOMO")</f>
        <v>CHIARA CUOMO</v>
      </c>
      <c r="B3269" s="7" t="str">
        <f>HYPERLINK("https://otsuka-europe-crm.veevavault.com/ui/#object/vcountry__v/VENZ000004SONFQ", "IT")</f>
        <v>IT</v>
      </c>
      <c r="C3269" s="8" t="s">
        <v>44</v>
      </c>
      <c r="D3269" s="9" t="str">
        <f>HYPERLINK("https://otsuka-europe-crm.veevavault.com/ui/#object/approved_document__v/V5O000000018003", "AE dialoghi di tempo fiducia e cura episodi 2-3-4")</f>
        <v>AE dialoghi di tempo fiducia e cura episodi 2-3-4</v>
      </c>
      <c r="E3269" s="10" t="str">
        <f>HYPERLINK("https://otsuka-europe-crm.veevavault.com/ui/#object/sent_email__v/VBL00000002O749", "SE-001432420")</f>
        <v>SE-001432420</v>
      </c>
      <c r="F3269" s="11"/>
      <c r="G3269" s="12">
        <v>0</v>
      </c>
      <c r="H3269" s="12">
        <v>0</v>
      </c>
      <c r="I3269" s="12">
        <v>0</v>
      </c>
      <c r="J3269" s="11"/>
      <c r="K3269" s="12">
        <v>0</v>
      </c>
      <c r="L3269" s="10" t="str">
        <f>HYPERLINK("https://otsuka-europe-crm.veevavault.com/ui/#object/approved_document__v/V5O000000018003", "AE dialoghi di tempo fiducia e cura episodi 2-3-4")</f>
        <v>AE dialoghi di tempo fiducia e cura episodi 2-3-4</v>
      </c>
      <c r="M3269" s="10" t="str">
        <f>HYPERLINK("mailto:nicoletta.vozza@crm.otsuka-europe.com", "nicoletta.vozza@crm.otsuka-europe.com")</f>
        <v>nicoletta.vozza@crm.otsuka-europe.com</v>
      </c>
      <c r="N3269" s="13">
        <v>46181.338009259256</v>
      </c>
      <c r="O3269" s="14" t="str">
        <f>HYPERLINK("https://otsuka-europe-crm.veevavault.com/ui/#object/email_activity__v/V8C00000003O626", "EN-002090182")</f>
        <v>EN-002090182</v>
      </c>
    </row>
    <row r="3270" spans="1:15" ht="16" x14ac:dyDescent="0.2">
      <c r="A3270" s="17" t="str">
        <f>HYPERLINK("https://otsuka-europe-crm.veevavault.com/ui/#object/account__v/V4TZ04ASGC4KP1H", "CHIARA DE PANFILIS")</f>
        <v>CHIARA DE PANFILIS</v>
      </c>
      <c r="B3270" s="17" t="str">
        <f>HYPERLINK("https://otsuka-europe-crm.veevavault.com/ui/#object/vcountry__v/VENZ000004SONFQ", "IT")</f>
        <v>IT</v>
      </c>
      <c r="C3270" s="20" t="s">
        <v>44</v>
      </c>
      <c r="D3270" s="21" t="str">
        <f>HYPERLINK("https://otsuka-europe-crm.veevavault.com/ui/#object/approved_document__v/V5O000000018003", "AE dialoghi di tempo fiducia e cura episodi 2-3-4")</f>
        <v>AE dialoghi di tempo fiducia e cura episodi 2-3-4</v>
      </c>
      <c r="E3270" s="22" t="str">
        <f>HYPERLINK("https://otsuka-europe-crm.veevavault.com/ui/#object/sent_email__v/VBL00000002O750", "SE-001432421")</f>
        <v>SE-001432421</v>
      </c>
      <c r="F3270" s="23">
        <v>46182.440694444442</v>
      </c>
      <c r="G3270" s="24">
        <v>1</v>
      </c>
      <c r="H3270" s="24">
        <v>1</v>
      </c>
      <c r="I3270" s="24">
        <v>0</v>
      </c>
      <c r="J3270" s="25"/>
      <c r="K3270" s="24">
        <v>0</v>
      </c>
      <c r="L3270" s="22" t="str">
        <f>HYPERLINK("https://otsuka-europe-crm.veevavault.com/ui/#object/approved_document__v/V5O000000018003", "AE dialoghi di tempo fiducia e cura episodi 2-3-4")</f>
        <v>AE dialoghi di tempo fiducia e cura episodi 2-3-4</v>
      </c>
      <c r="M3270" s="22" t="str">
        <f>HYPERLINK("mailto:nicoletta.vozza@crm.otsuka-europe.com", "nicoletta.vozza@crm.otsuka-europe.com")</f>
        <v>nicoletta.vozza@crm.otsuka-europe.com</v>
      </c>
      <c r="N3270" s="23">
        <v>46181.33803240741</v>
      </c>
      <c r="O3270" s="14" t="str">
        <f>HYPERLINK("https://otsuka-europe-crm.veevavault.com/ui/#object/email_activity__v/V8C00000003P297", "EN-002089933")</f>
        <v>EN-002089933</v>
      </c>
    </row>
    <row r="3271" spans="1:15" ht="16" x14ac:dyDescent="0.2">
      <c r="A3271" s="19"/>
      <c r="B3271" s="19"/>
      <c r="C3271" s="19"/>
      <c r="D3271" s="19"/>
      <c r="E3271" s="19"/>
      <c r="F3271" s="19"/>
      <c r="G3271" s="19"/>
      <c r="H3271" s="19"/>
      <c r="I3271" s="19"/>
      <c r="J3271" s="19"/>
      <c r="K3271" s="19"/>
      <c r="L3271" s="19"/>
      <c r="M3271" s="19"/>
      <c r="N3271" s="19"/>
      <c r="O3271" s="14" t="str">
        <f>HYPERLINK("https://otsuka-europe-crm.veevavault.com/ui/#object/email_activity__v/V8C00000003Q995", "EN-002092810")</f>
        <v>EN-002092810</v>
      </c>
    </row>
    <row r="3272" spans="1:15" ht="32" x14ac:dyDescent="0.2">
      <c r="A3272" s="7" t="str">
        <f>HYPERLINK("https://otsuka-europe-crm.veevavault.com/ui/#object/account__v/V4TZ06G6O71S9BT", "CHIARA DI GENOVA")</f>
        <v>CHIARA DI GENOVA</v>
      </c>
      <c r="B3272" s="7" t="str">
        <f t="shared" ref="B3272:B3277" si="140">HYPERLINK("https://otsuka-europe-crm.veevavault.com/ui/#object/vcountry__v/VENZ000004SONFQ", "IT")</f>
        <v>IT</v>
      </c>
      <c r="C3272" s="8" t="s">
        <v>44</v>
      </c>
      <c r="D3272" s="9" t="str">
        <f t="shared" ref="D3272:D3277" si="141">HYPERLINK("https://otsuka-europe-crm.veevavault.com/ui/#object/approved_document__v/V5O000000018003", "AE dialoghi di tempo fiducia e cura episodi 2-3-4")</f>
        <v>AE dialoghi di tempo fiducia e cura episodi 2-3-4</v>
      </c>
      <c r="E3272" s="10" t="str">
        <f>HYPERLINK("https://otsuka-europe-crm.veevavault.com/ui/#object/sent_email__v/VBL00000002O751", "SE-001432422")</f>
        <v>SE-001432422</v>
      </c>
      <c r="F3272" s="11"/>
      <c r="G3272" s="12">
        <v>0</v>
      </c>
      <c r="H3272" s="12">
        <v>0</v>
      </c>
      <c r="I3272" s="12">
        <v>0</v>
      </c>
      <c r="J3272" s="11"/>
      <c r="K3272" s="12">
        <v>0</v>
      </c>
      <c r="L3272" s="10" t="str">
        <f t="shared" ref="L3272:L3277" si="142">HYPERLINK("https://otsuka-europe-crm.veevavault.com/ui/#object/approved_document__v/V5O000000018003", "AE dialoghi di tempo fiducia e cura episodi 2-3-4")</f>
        <v>AE dialoghi di tempo fiducia e cura episodi 2-3-4</v>
      </c>
      <c r="M3272" s="10" t="str">
        <f t="shared" ref="M3272:M3277" si="143">HYPERLINK("mailto:nicoletta.vozza@crm.otsuka-europe.com", "nicoletta.vozza@crm.otsuka-europe.com")</f>
        <v>nicoletta.vozza@crm.otsuka-europe.com</v>
      </c>
      <c r="N3272" s="13">
        <v>46181.33798611111</v>
      </c>
      <c r="O3272" s="14" t="str">
        <f>HYPERLINK("https://otsuka-europe-crm.veevavault.com/ui/#object/email_activity__v/V8C00000003P254", "EN-002089832")</f>
        <v>EN-002089832</v>
      </c>
    </row>
    <row r="3273" spans="1:15" ht="32" x14ac:dyDescent="0.2">
      <c r="A3273" s="7" t="str">
        <f>HYPERLINK("https://otsuka-europe-crm.veevavault.com/ui/#object/account__v/V4TZ04ASGB9K2HO", "CHIARA DI NICOLANTONIO")</f>
        <v>CHIARA DI NICOLANTONIO</v>
      </c>
      <c r="B3273" s="7" t="str">
        <f t="shared" si="140"/>
        <v>IT</v>
      </c>
      <c r="C3273" s="8" t="s">
        <v>44</v>
      </c>
      <c r="D3273" s="9" t="str">
        <f t="shared" si="141"/>
        <v>AE dialoghi di tempo fiducia e cura episodi 2-3-4</v>
      </c>
      <c r="E3273" s="10" t="str">
        <f>HYPERLINK("https://otsuka-europe-crm.veevavault.com/ui/#object/sent_email__v/VBL00000002O752", "SE-001432423")</f>
        <v>SE-001432423</v>
      </c>
      <c r="F3273" s="11"/>
      <c r="G3273" s="12">
        <v>0</v>
      </c>
      <c r="H3273" s="12">
        <v>0</v>
      </c>
      <c r="I3273" s="12">
        <v>0</v>
      </c>
      <c r="J3273" s="11"/>
      <c r="K3273" s="12">
        <v>0</v>
      </c>
      <c r="L3273" s="10" t="str">
        <f t="shared" si="142"/>
        <v>AE dialoghi di tempo fiducia e cura episodi 2-3-4</v>
      </c>
      <c r="M3273" s="10" t="str">
        <f t="shared" si="143"/>
        <v>nicoletta.vozza@crm.otsuka-europe.com</v>
      </c>
      <c r="N3273" s="13">
        <v>46181.337939814817</v>
      </c>
      <c r="O3273" s="14" t="str">
        <f>HYPERLINK("https://otsuka-europe-crm.veevavault.com/ui/#object/email_activity__v/V8C00000003P163", "EN-002089563")</f>
        <v>EN-002089563</v>
      </c>
    </row>
    <row r="3274" spans="1:15" ht="32" x14ac:dyDescent="0.2">
      <c r="A3274" s="7" t="str">
        <f>HYPERLINK("https://otsuka-europe-crm.veevavault.com/ui/#object/account__v/V4TZ025E8878XMX", "CHIARA DONDI")</f>
        <v>CHIARA DONDI</v>
      </c>
      <c r="B3274" s="7" t="str">
        <f t="shared" si="140"/>
        <v>IT</v>
      </c>
      <c r="C3274" s="8" t="s">
        <v>44</v>
      </c>
      <c r="D3274" s="9" t="str">
        <f t="shared" si="141"/>
        <v>AE dialoghi di tempo fiducia e cura episodi 2-3-4</v>
      </c>
      <c r="E3274" s="10" t="str">
        <f>HYPERLINK("https://otsuka-europe-crm.veevavault.com/ui/#object/sent_email__v/VBL00000002O753", "SE-001432424")</f>
        <v>SE-001432424</v>
      </c>
      <c r="F3274" s="11"/>
      <c r="G3274" s="12">
        <v>0</v>
      </c>
      <c r="H3274" s="12">
        <v>0</v>
      </c>
      <c r="I3274" s="12">
        <v>0</v>
      </c>
      <c r="J3274" s="11"/>
      <c r="K3274" s="12">
        <v>0</v>
      </c>
      <c r="L3274" s="10" t="str">
        <f t="shared" si="142"/>
        <v>AE dialoghi di tempo fiducia e cura episodi 2-3-4</v>
      </c>
      <c r="M3274" s="10" t="str">
        <f t="shared" si="143"/>
        <v>nicoletta.vozza@crm.otsuka-europe.com</v>
      </c>
      <c r="N3274" s="13">
        <v>46181.337997685187</v>
      </c>
      <c r="O3274" s="14" t="str">
        <f>HYPERLINK("https://otsuka-europe-crm.veevavault.com/ui/#object/email_activity__v/V8C00000003P561", "EN-002090816")</f>
        <v>EN-002090816</v>
      </c>
    </row>
    <row r="3275" spans="1:15" ht="32" x14ac:dyDescent="0.2">
      <c r="A3275" s="7" t="str">
        <f>HYPERLINK("https://otsuka-europe-crm.veevavault.com/ui/#object/account__v/V4TZ06G6OBS6TVN", "CHIARA DREI")</f>
        <v>CHIARA DREI</v>
      </c>
      <c r="B3275" s="7" t="str">
        <f t="shared" si="140"/>
        <v>IT</v>
      </c>
      <c r="C3275" s="8" t="s">
        <v>44</v>
      </c>
      <c r="D3275" s="9" t="str">
        <f t="shared" si="141"/>
        <v>AE dialoghi di tempo fiducia e cura episodi 2-3-4</v>
      </c>
      <c r="E3275" s="10" t="str">
        <f>HYPERLINK("https://otsuka-europe-crm.veevavault.com/ui/#object/sent_email__v/VBL00000002O754", "SE-001432425")</f>
        <v>SE-001432425</v>
      </c>
      <c r="F3275" s="11"/>
      <c r="G3275" s="12">
        <v>0</v>
      </c>
      <c r="H3275" s="12">
        <v>0</v>
      </c>
      <c r="I3275" s="12">
        <v>0</v>
      </c>
      <c r="J3275" s="11"/>
      <c r="K3275" s="12">
        <v>0</v>
      </c>
      <c r="L3275" s="10" t="str">
        <f t="shared" si="142"/>
        <v>AE dialoghi di tempo fiducia e cura episodi 2-3-4</v>
      </c>
      <c r="M3275" s="10" t="str">
        <f t="shared" si="143"/>
        <v>nicoletta.vozza@crm.otsuka-europe.com</v>
      </c>
      <c r="N3275" s="13">
        <v>46181.338090277779</v>
      </c>
      <c r="O3275" s="14" t="str">
        <f>HYPERLINK("https://otsuka-europe-crm.veevavault.com/ui/#object/email_activity__v/V8C00000003P767", "EN-002091065")</f>
        <v>EN-002091065</v>
      </c>
    </row>
    <row r="3276" spans="1:15" ht="32" x14ac:dyDescent="0.2">
      <c r="A3276" s="7" t="str">
        <f>HYPERLINK("https://otsuka-europe-crm.veevavault.com/ui/#object/account__v/V4TZ06G6O71SAIE", "CHIARA DUMINUCO")</f>
        <v>CHIARA DUMINUCO</v>
      </c>
      <c r="B3276" s="7" t="str">
        <f t="shared" si="140"/>
        <v>IT</v>
      </c>
      <c r="C3276" s="8" t="s">
        <v>44</v>
      </c>
      <c r="D3276" s="9" t="str">
        <f t="shared" si="141"/>
        <v>AE dialoghi di tempo fiducia e cura episodi 2-3-4</v>
      </c>
      <c r="E3276" s="10" t="str">
        <f>HYPERLINK("https://otsuka-europe-crm.veevavault.com/ui/#object/sent_email__v/VBL00000002O755", "SE-001432426")</f>
        <v>SE-001432426</v>
      </c>
      <c r="F3276" s="11"/>
      <c r="G3276" s="12">
        <v>0</v>
      </c>
      <c r="H3276" s="12">
        <v>0</v>
      </c>
      <c r="I3276" s="12">
        <v>0</v>
      </c>
      <c r="J3276" s="11"/>
      <c r="K3276" s="12">
        <v>0</v>
      </c>
      <c r="L3276" s="10" t="str">
        <f t="shared" si="142"/>
        <v>AE dialoghi di tempo fiducia e cura episodi 2-3-4</v>
      </c>
      <c r="M3276" s="10" t="str">
        <f t="shared" si="143"/>
        <v>nicoletta.vozza@crm.otsuka-europe.com</v>
      </c>
      <c r="N3276" s="13">
        <v>46181.33792824074</v>
      </c>
      <c r="O3276" s="14" t="str">
        <f>HYPERLINK("https://otsuka-europe-crm.veevavault.com/ui/#object/email_activity__v/V8C00000003O658", "EN-002090214")</f>
        <v>EN-002090214</v>
      </c>
    </row>
    <row r="3277" spans="1:15" ht="16" x14ac:dyDescent="0.2">
      <c r="A3277" s="17" t="str">
        <f>HYPERLINK("https://otsuka-europe-crm.veevavault.com/ui/#object/account__v/V4TZ06G6O71S9MT", "CHIARA GARON")</f>
        <v>CHIARA GARON</v>
      </c>
      <c r="B3277" s="17" t="str">
        <f t="shared" si="140"/>
        <v>IT</v>
      </c>
      <c r="C3277" s="20" t="s">
        <v>44</v>
      </c>
      <c r="D3277" s="21" t="str">
        <f t="shared" si="141"/>
        <v>AE dialoghi di tempo fiducia e cura episodi 2-3-4</v>
      </c>
      <c r="E3277" s="22" t="str">
        <f>HYPERLINK("https://otsuka-europe-crm.veevavault.com/ui/#object/sent_email__v/VBL00000002O756", "SE-001432427")</f>
        <v>SE-001432427</v>
      </c>
      <c r="F3277" s="23">
        <v>46181.852060185185</v>
      </c>
      <c r="G3277" s="24">
        <v>1</v>
      </c>
      <c r="H3277" s="24">
        <v>1</v>
      </c>
      <c r="I3277" s="24">
        <v>0</v>
      </c>
      <c r="J3277" s="25"/>
      <c r="K3277" s="24">
        <v>0</v>
      </c>
      <c r="L3277" s="22" t="str">
        <f t="shared" si="142"/>
        <v>AE dialoghi di tempo fiducia e cura episodi 2-3-4</v>
      </c>
      <c r="M3277" s="22" t="str">
        <f t="shared" si="143"/>
        <v>nicoletta.vozza@crm.otsuka-europe.com</v>
      </c>
      <c r="N3277" s="23">
        <v>46181.33792824074</v>
      </c>
      <c r="O3277" s="14" t="str">
        <f>HYPERLINK("https://otsuka-europe-crm.veevavault.com/ui/#object/email_activity__v/V8C00000003O141", "EN-002089523")</f>
        <v>EN-002089523</v>
      </c>
    </row>
    <row r="3278" spans="1:15" ht="16" x14ac:dyDescent="0.2">
      <c r="A3278" s="19"/>
      <c r="B3278" s="19"/>
      <c r="C3278" s="19"/>
      <c r="D3278" s="19"/>
      <c r="E3278" s="19"/>
      <c r="F3278" s="19"/>
      <c r="G3278" s="19"/>
      <c r="H3278" s="19"/>
      <c r="I3278" s="19"/>
      <c r="J3278" s="19"/>
      <c r="K3278" s="19"/>
      <c r="L3278" s="19"/>
      <c r="M3278" s="19"/>
      <c r="N3278" s="19"/>
      <c r="O3278" s="14" t="str">
        <f>HYPERLINK("https://otsuka-europe-crm.veevavault.com/ui/#object/email_activity__v/V8C00000003R297", "EN-002092230")</f>
        <v>EN-002092230</v>
      </c>
    </row>
    <row r="3279" spans="1:15" ht="32" x14ac:dyDescent="0.2">
      <c r="A3279" s="7" t="str">
        <f>HYPERLINK("https://otsuka-europe-crm.veevavault.com/ui/#object/account__v/V4TZ06G6O8TJRCR", "CHIARA IGNATTI")</f>
        <v>CHIARA IGNATTI</v>
      </c>
      <c r="B3279" s="7" t="str">
        <f>HYPERLINK("https://otsuka-europe-crm.veevavault.com/ui/#object/vcountry__v/VENZ000004SONFQ", "IT")</f>
        <v>IT</v>
      </c>
      <c r="C3279" s="8" t="s">
        <v>44</v>
      </c>
      <c r="D3279" s="9" t="str">
        <f>HYPERLINK("https://otsuka-europe-crm.veevavault.com/ui/#object/approved_document__v/V5O000000018003", "AE dialoghi di tempo fiducia e cura episodi 2-3-4")</f>
        <v>AE dialoghi di tempo fiducia e cura episodi 2-3-4</v>
      </c>
      <c r="E3279" s="10" t="str">
        <f>HYPERLINK("https://otsuka-europe-crm.veevavault.com/ui/#object/sent_email__v/VBL00000002O757", "SE-001432428")</f>
        <v>SE-001432428</v>
      </c>
      <c r="F3279" s="11"/>
      <c r="G3279" s="12">
        <v>0</v>
      </c>
      <c r="H3279" s="12">
        <v>0</v>
      </c>
      <c r="I3279" s="12">
        <v>0</v>
      </c>
      <c r="J3279" s="11"/>
      <c r="K3279" s="12">
        <v>0</v>
      </c>
      <c r="L3279" s="10" t="str">
        <f>HYPERLINK("https://otsuka-europe-crm.veevavault.com/ui/#object/approved_document__v/V5O000000018003", "AE dialoghi di tempo fiducia e cura episodi 2-3-4")</f>
        <v>AE dialoghi di tempo fiducia e cura episodi 2-3-4</v>
      </c>
      <c r="M3279" s="10" t="str">
        <f>HYPERLINK("mailto:nicoletta.vozza@crm.otsuka-europe.com", "nicoletta.vozza@crm.otsuka-europe.com")</f>
        <v>nicoletta.vozza@crm.otsuka-europe.com</v>
      </c>
      <c r="N3279" s="13">
        <v>46181.337962962964</v>
      </c>
      <c r="O3279" s="14" t="str">
        <f>HYPERLINK("https://otsuka-europe-crm.veevavault.com/ui/#object/email_activity__v/V8C00000003P320", "EN-002090326")</f>
        <v>EN-002090326</v>
      </c>
    </row>
    <row r="3280" spans="1:15" ht="32" x14ac:dyDescent="0.2">
      <c r="A3280" s="7" t="str">
        <f>HYPERLINK("https://otsuka-europe-crm.veevavault.com/ui/#object/account__v/V4TZ06G6O71SCSY", "CHIARA INSACCO")</f>
        <v>CHIARA INSACCO</v>
      </c>
      <c r="B3280" s="7" t="str">
        <f>HYPERLINK("https://otsuka-europe-crm.veevavault.com/ui/#object/vcountry__v/VENZ000004SONFQ", "IT")</f>
        <v>IT</v>
      </c>
      <c r="C3280" s="8" t="s">
        <v>44</v>
      </c>
      <c r="D3280" s="9" t="str">
        <f>HYPERLINK("https://otsuka-europe-crm.veevavault.com/ui/#object/approved_document__v/V5O000000018003", "AE dialoghi di tempo fiducia e cura episodi 2-3-4")</f>
        <v>AE dialoghi di tempo fiducia e cura episodi 2-3-4</v>
      </c>
      <c r="E3280" s="10" t="str">
        <f>HYPERLINK("https://otsuka-europe-crm.veevavault.com/ui/#object/sent_email__v/VBL00000002O758", "SE-001432429")</f>
        <v>SE-001432429</v>
      </c>
      <c r="F3280" s="11"/>
      <c r="G3280" s="12">
        <v>0</v>
      </c>
      <c r="H3280" s="12">
        <v>0</v>
      </c>
      <c r="I3280" s="12">
        <v>0</v>
      </c>
      <c r="J3280" s="11"/>
      <c r="K3280" s="12">
        <v>0</v>
      </c>
      <c r="L3280" s="10" t="str">
        <f>HYPERLINK("https://otsuka-europe-crm.veevavault.com/ui/#object/approved_document__v/V5O000000018003", "AE dialoghi di tempo fiducia e cura episodi 2-3-4")</f>
        <v>AE dialoghi di tempo fiducia e cura episodi 2-3-4</v>
      </c>
      <c r="M3280" s="10" t="str">
        <f>HYPERLINK("mailto:nicoletta.vozza@crm.otsuka-europe.com", "nicoletta.vozza@crm.otsuka-europe.com")</f>
        <v>nicoletta.vozza@crm.otsuka-europe.com</v>
      </c>
      <c r="N3280" s="13">
        <v>46181.33792824074</v>
      </c>
      <c r="O3280" s="14" t="str">
        <f>HYPERLINK("https://otsuka-europe-crm.veevavault.com/ui/#object/email_activity__v/V8C00000003O657", "EN-002090213")</f>
        <v>EN-002090213</v>
      </c>
    </row>
    <row r="3281" spans="1:15" ht="32" x14ac:dyDescent="0.2">
      <c r="A3281" s="7" t="str">
        <f>HYPERLINK("https://otsuka-europe-crm.veevavault.com/ui/#object/account__v/V4TZ06G6O71SBHU", "CHIARA MAZZA")</f>
        <v>CHIARA MAZZA</v>
      </c>
      <c r="B3281" s="7" t="str">
        <f>HYPERLINK("https://otsuka-europe-crm.veevavault.com/ui/#object/vcountry__v/VENZ000004SONFQ", "IT")</f>
        <v>IT</v>
      </c>
      <c r="C3281" s="8" t="s">
        <v>44</v>
      </c>
      <c r="D3281" s="9" t="str">
        <f>HYPERLINK("https://otsuka-europe-crm.veevavault.com/ui/#object/approved_document__v/V5O000000018003", "AE dialoghi di tempo fiducia e cura episodi 2-3-4")</f>
        <v>AE dialoghi di tempo fiducia e cura episodi 2-3-4</v>
      </c>
      <c r="E3281" s="10" t="str">
        <f>HYPERLINK("https://otsuka-europe-crm.veevavault.com/ui/#object/sent_email__v/VBL00000002O759", "SE-001432430")</f>
        <v>SE-001432430</v>
      </c>
      <c r="F3281" s="11"/>
      <c r="G3281" s="12">
        <v>0</v>
      </c>
      <c r="H3281" s="12">
        <v>0</v>
      </c>
      <c r="I3281" s="12">
        <v>0</v>
      </c>
      <c r="J3281" s="11"/>
      <c r="K3281" s="12">
        <v>0</v>
      </c>
      <c r="L3281" s="10" t="str">
        <f>HYPERLINK("https://otsuka-europe-crm.veevavault.com/ui/#object/approved_document__v/V5O000000018003", "AE dialoghi di tempo fiducia e cura episodi 2-3-4")</f>
        <v>AE dialoghi di tempo fiducia e cura episodi 2-3-4</v>
      </c>
      <c r="M3281" s="10" t="str">
        <f>HYPERLINK("mailto:nicoletta.vozza@crm.otsuka-europe.com", "nicoletta.vozza@crm.otsuka-europe.com")</f>
        <v>nicoletta.vozza@crm.otsuka-europe.com</v>
      </c>
      <c r="N3281" s="13">
        <v>46181.337962962964</v>
      </c>
      <c r="O3281" s="14" t="str">
        <f>HYPERLINK("https://otsuka-europe-crm.veevavault.com/ui/#object/email_activity__v/V8C00000003P397", "EN-002090403")</f>
        <v>EN-002090403</v>
      </c>
    </row>
    <row r="3282" spans="1:15" ht="16" x14ac:dyDescent="0.2">
      <c r="A3282" s="17" t="str">
        <f>HYPERLINK("https://otsuka-europe-crm.veevavault.com/ui/#object/account__v/V4TZ06G6O9VLUM6", "CHIARA MAZZA")</f>
        <v>CHIARA MAZZA</v>
      </c>
      <c r="B3282" s="17" t="str">
        <f>HYPERLINK("https://otsuka-europe-crm.veevavault.com/ui/#object/vcountry__v/VENZ000004SONFQ", "IT")</f>
        <v>IT</v>
      </c>
      <c r="C3282" s="20" t="s">
        <v>44</v>
      </c>
      <c r="D3282" s="21" t="str">
        <f>HYPERLINK("https://otsuka-europe-crm.veevavault.com/ui/#object/approved_document__v/V5O000000018003", "AE dialoghi di tempo fiducia e cura episodi 2-3-4")</f>
        <v>AE dialoghi di tempo fiducia e cura episodi 2-3-4</v>
      </c>
      <c r="E3282" s="22" t="str">
        <f>HYPERLINK("https://otsuka-europe-crm.veevavault.com/ui/#object/sent_email__v/VBL00000002O760", "SE-001432431")</f>
        <v>SE-001432431</v>
      </c>
      <c r="F3282" s="25"/>
      <c r="G3282" s="24">
        <v>0</v>
      </c>
      <c r="H3282" s="24">
        <v>0</v>
      </c>
      <c r="I3282" s="24">
        <v>0</v>
      </c>
      <c r="J3282" s="25"/>
      <c r="K3282" s="24">
        <v>0</v>
      </c>
      <c r="L3282" s="22" t="str">
        <f>HYPERLINK("https://otsuka-europe-crm.veevavault.com/ui/#object/approved_document__v/V5O000000018003", "AE dialoghi di tempo fiducia e cura episodi 2-3-4")</f>
        <v>AE dialoghi di tempo fiducia e cura episodi 2-3-4</v>
      </c>
      <c r="M3282" s="22" t="str">
        <f>HYPERLINK("mailto:nicoletta.vozza@crm.otsuka-europe.com", "nicoletta.vozza@crm.otsuka-europe.com")</f>
        <v>nicoletta.vozza@crm.otsuka-europe.com</v>
      </c>
      <c r="N3282" s="23">
        <v>46181.338067129633</v>
      </c>
      <c r="O3282" s="14" t="str">
        <f>HYPERLINK("https://otsuka-europe-crm.veevavault.com/ui/#object/email_activity__v/V8C00000003O652", "EN-002090208")</f>
        <v>EN-002090208</v>
      </c>
    </row>
    <row r="3283" spans="1:15" ht="16" x14ac:dyDescent="0.2">
      <c r="A3283" s="19"/>
      <c r="B3283" s="19"/>
      <c r="C3283" s="19"/>
      <c r="D3283" s="19"/>
      <c r="E3283" s="19"/>
      <c r="F3283" s="19"/>
      <c r="G3283" s="19"/>
      <c r="H3283" s="19"/>
      <c r="I3283" s="19"/>
      <c r="J3283" s="19"/>
      <c r="K3283" s="19"/>
      <c r="L3283" s="19"/>
      <c r="M3283" s="19"/>
      <c r="N3283" s="19"/>
      <c r="O3283" s="14" t="str">
        <f>HYPERLINK("https://otsuka-europe-crm.veevavault.com/ui/#object/email_activity__v/V8C00000003Q648", "EN-002092117")</f>
        <v>EN-002092117</v>
      </c>
    </row>
    <row r="3284" spans="1:15" ht="32" x14ac:dyDescent="0.2">
      <c r="A3284" s="7" t="str">
        <f>HYPERLINK("https://otsuka-europe-crm.veevavault.com/ui/#object/account__v/V4TZ06G6O8SHVP2", "CHIARA MONALDINI")</f>
        <v>CHIARA MONALDINI</v>
      </c>
      <c r="B3284" s="7" t="str">
        <f>HYPERLINK("https://otsuka-europe-crm.veevavault.com/ui/#object/vcountry__v/VENZ000004SONFQ", "IT")</f>
        <v>IT</v>
      </c>
      <c r="C3284" s="8" t="s">
        <v>44</v>
      </c>
      <c r="D3284" s="9" t="str">
        <f>HYPERLINK("https://otsuka-europe-crm.veevavault.com/ui/#object/approved_document__v/V5O000000018003", "AE dialoghi di tempo fiducia e cura episodi 2-3-4")</f>
        <v>AE dialoghi di tempo fiducia e cura episodi 2-3-4</v>
      </c>
      <c r="E3284" s="10" t="str">
        <f>HYPERLINK("https://otsuka-europe-crm.veevavault.com/ui/#object/sent_email__v/VBL00000002O761", "SE-001432432")</f>
        <v>SE-001432432</v>
      </c>
      <c r="F3284" s="11"/>
      <c r="G3284" s="12">
        <v>0</v>
      </c>
      <c r="H3284" s="12">
        <v>0</v>
      </c>
      <c r="I3284" s="12">
        <v>0</v>
      </c>
      <c r="J3284" s="11"/>
      <c r="K3284" s="12">
        <v>0</v>
      </c>
      <c r="L3284" s="10" t="str">
        <f>HYPERLINK("https://otsuka-europe-crm.veevavault.com/ui/#object/approved_document__v/V5O000000018003", "AE dialoghi di tempo fiducia e cura episodi 2-3-4")</f>
        <v>AE dialoghi di tempo fiducia e cura episodi 2-3-4</v>
      </c>
      <c r="M3284" s="10" t="str">
        <f>HYPERLINK("mailto:nicoletta.vozza@crm.otsuka-europe.com", "nicoletta.vozza@crm.otsuka-europe.com")</f>
        <v>nicoletta.vozza@crm.otsuka-europe.com</v>
      </c>
      <c r="N3284" s="13">
        <v>46181.338009259256</v>
      </c>
      <c r="O3284" s="14" t="str">
        <f>HYPERLINK("https://otsuka-europe-crm.veevavault.com/ui/#object/email_activity__v/V8C00000003O463", "EN-002090019")</f>
        <v>EN-002090019</v>
      </c>
    </row>
    <row r="3285" spans="1:15" ht="32" x14ac:dyDescent="0.2">
      <c r="A3285" s="7" t="str">
        <f>HYPERLINK("https://otsuka-europe-crm.veevavault.com/ui/#object/account__v/V4TZ025E85WHDIG", "CHIARA PARATI")</f>
        <v>CHIARA PARATI</v>
      </c>
      <c r="B3285" s="7" t="str">
        <f>HYPERLINK("https://otsuka-europe-crm.veevavault.com/ui/#object/vcountry__v/VENZ000004SONFQ", "IT")</f>
        <v>IT</v>
      </c>
      <c r="C3285" s="8" t="s">
        <v>44</v>
      </c>
      <c r="D3285" s="9" t="str">
        <f>HYPERLINK("https://otsuka-europe-crm.veevavault.com/ui/#object/approved_document__v/V5O000000018003", "AE dialoghi di tempo fiducia e cura episodi 2-3-4")</f>
        <v>AE dialoghi di tempo fiducia e cura episodi 2-3-4</v>
      </c>
      <c r="E3285" s="10" t="str">
        <f>HYPERLINK("https://otsuka-europe-crm.veevavault.com/ui/#object/sent_email__v/VBL00000002O762", "SE-001432433")</f>
        <v>SE-001432433</v>
      </c>
      <c r="F3285" s="11"/>
      <c r="G3285" s="12">
        <v>0</v>
      </c>
      <c r="H3285" s="12">
        <v>0</v>
      </c>
      <c r="I3285" s="12">
        <v>0</v>
      </c>
      <c r="J3285" s="11"/>
      <c r="K3285" s="12">
        <v>0</v>
      </c>
      <c r="L3285" s="10" t="str">
        <f>HYPERLINK("https://otsuka-europe-crm.veevavault.com/ui/#object/approved_document__v/V5O000000018003", "AE dialoghi di tempo fiducia e cura episodi 2-3-4")</f>
        <v>AE dialoghi di tempo fiducia e cura episodi 2-3-4</v>
      </c>
      <c r="M3285" s="10" t="str">
        <f>HYPERLINK("mailto:nicoletta.vozza@crm.otsuka-europe.com", "nicoletta.vozza@crm.otsuka-europe.com")</f>
        <v>nicoletta.vozza@crm.otsuka-europe.com</v>
      </c>
      <c r="N3285" s="13">
        <v>46181.33798611111</v>
      </c>
      <c r="O3285" s="14" t="str">
        <f>HYPERLINK("https://otsuka-europe-crm.veevavault.com/ui/#object/email_activity__v/V8C00000003O413", "EN-002089969")</f>
        <v>EN-002089969</v>
      </c>
    </row>
    <row r="3286" spans="1:15" ht="32" x14ac:dyDescent="0.2">
      <c r="A3286" s="7" t="str">
        <f>HYPERLINK("https://otsuka-europe-crm.veevavault.com/ui/#object/account__v/V4TZ06G6O71S9HL", "CHIARA PERNACI")</f>
        <v>CHIARA PERNACI</v>
      </c>
      <c r="B3286" s="7" t="str">
        <f>HYPERLINK("https://otsuka-europe-crm.veevavault.com/ui/#object/vcountry__v/VENZ000004SONFQ", "IT")</f>
        <v>IT</v>
      </c>
      <c r="C3286" s="8" t="s">
        <v>44</v>
      </c>
      <c r="D3286" s="9" t="str">
        <f>HYPERLINK("https://otsuka-europe-crm.veevavault.com/ui/#object/approved_document__v/V5O000000018003", "AE dialoghi di tempo fiducia e cura episodi 2-3-4")</f>
        <v>AE dialoghi di tempo fiducia e cura episodi 2-3-4</v>
      </c>
      <c r="E3286" s="10" t="str">
        <f>HYPERLINK("https://otsuka-europe-crm.veevavault.com/ui/#object/sent_email__v/VBL00000002O763", "SE-001432434")</f>
        <v>SE-001432434</v>
      </c>
      <c r="F3286" s="11"/>
      <c r="G3286" s="12">
        <v>0</v>
      </c>
      <c r="H3286" s="12">
        <v>0</v>
      </c>
      <c r="I3286" s="12">
        <v>0</v>
      </c>
      <c r="J3286" s="11"/>
      <c r="K3286" s="12">
        <v>0</v>
      </c>
      <c r="L3286" s="10" t="str">
        <f>HYPERLINK("https://otsuka-europe-crm.veevavault.com/ui/#object/approved_document__v/V5O000000018003", "AE dialoghi di tempo fiducia e cura episodi 2-3-4")</f>
        <v>AE dialoghi di tempo fiducia e cura episodi 2-3-4</v>
      </c>
      <c r="M3286" s="10" t="str">
        <f>HYPERLINK("mailto:nicoletta.vozza@crm.otsuka-europe.com", "nicoletta.vozza@crm.otsuka-europe.com")</f>
        <v>nicoletta.vozza@crm.otsuka-europe.com</v>
      </c>
      <c r="N3286" s="13">
        <v>46181.337962962964</v>
      </c>
      <c r="O3286" s="14" t="str">
        <f>HYPERLINK("https://otsuka-europe-crm.veevavault.com/ui/#object/email_activity__v/V8C00000003P174", "EN-002089574")</f>
        <v>EN-002089574</v>
      </c>
    </row>
    <row r="3287" spans="1:15" ht="32" x14ac:dyDescent="0.2">
      <c r="A3287" s="7" t="str">
        <f>HYPERLINK("https://otsuka-europe-crm.veevavault.com/ui/#object/account__v/V4TZ06G6O71S9IE", "CHIARA PIEMONTE")</f>
        <v>CHIARA PIEMONTE</v>
      </c>
      <c r="B3287" s="7" t="str">
        <f>HYPERLINK("https://otsuka-europe-crm.veevavault.com/ui/#object/vcountry__v/VENZ000004SONFQ", "IT")</f>
        <v>IT</v>
      </c>
      <c r="C3287" s="8" t="s">
        <v>44</v>
      </c>
      <c r="D3287" s="9" t="str">
        <f>HYPERLINK("https://otsuka-europe-crm.veevavault.com/ui/#object/approved_document__v/V5O000000018003", "AE dialoghi di tempo fiducia e cura episodi 2-3-4")</f>
        <v>AE dialoghi di tempo fiducia e cura episodi 2-3-4</v>
      </c>
      <c r="E3287" s="10" t="str">
        <f>HYPERLINK("https://otsuka-europe-crm.veevavault.com/ui/#object/sent_email__v/VBL00000002O764", "SE-001432435")</f>
        <v>SE-001432435</v>
      </c>
      <c r="F3287" s="11"/>
      <c r="G3287" s="12">
        <v>0</v>
      </c>
      <c r="H3287" s="12">
        <v>0</v>
      </c>
      <c r="I3287" s="12">
        <v>0</v>
      </c>
      <c r="J3287" s="11"/>
      <c r="K3287" s="12">
        <v>0</v>
      </c>
      <c r="L3287" s="10" t="str">
        <f>HYPERLINK("https://otsuka-europe-crm.veevavault.com/ui/#object/approved_document__v/V5O000000018003", "AE dialoghi di tempo fiducia e cura episodi 2-3-4")</f>
        <v>AE dialoghi di tempo fiducia e cura episodi 2-3-4</v>
      </c>
      <c r="M3287" s="10" t="str">
        <f>HYPERLINK("mailto:nicoletta.vozza@crm.otsuka-europe.com", "nicoletta.vozza@crm.otsuka-europe.com")</f>
        <v>nicoletta.vozza@crm.otsuka-europe.com</v>
      </c>
      <c r="N3287" s="13">
        <v>46181.337962962964</v>
      </c>
      <c r="O3287" s="14" t="str">
        <f>HYPERLINK("https://otsuka-europe-crm.veevavault.com/ui/#object/email_activity__v/V8C00000003O167", "EN-002089604")</f>
        <v>EN-002089604</v>
      </c>
    </row>
    <row r="3288" spans="1:15" ht="16" x14ac:dyDescent="0.2">
      <c r="A3288" s="17" t="str">
        <f>HYPERLINK("https://otsuka-europe-crm.veevavault.com/ui/#object/account__v/V4TZ06G6O71SBZG", "CHIARA PRIMATI")</f>
        <v>CHIARA PRIMATI</v>
      </c>
      <c r="B3288" s="17" t="str">
        <f>HYPERLINK("https://otsuka-europe-crm.veevavault.com/ui/#object/vcountry__v/VENZ000004SONFQ", "IT")</f>
        <v>IT</v>
      </c>
      <c r="C3288" s="20" t="s">
        <v>44</v>
      </c>
      <c r="D3288" s="21" t="str">
        <f>HYPERLINK("https://otsuka-europe-crm.veevavault.com/ui/#object/approved_document__v/V5O000000018003", "AE dialoghi di tempo fiducia e cura episodi 2-3-4")</f>
        <v>AE dialoghi di tempo fiducia e cura episodi 2-3-4</v>
      </c>
      <c r="E3288" s="22" t="str">
        <f>HYPERLINK("https://otsuka-europe-crm.veevavault.com/ui/#object/sent_email__v/VBL00000002O765", "SE-001432436")</f>
        <v>SE-001432436</v>
      </c>
      <c r="F3288" s="25"/>
      <c r="G3288" s="24">
        <v>0</v>
      </c>
      <c r="H3288" s="24">
        <v>0</v>
      </c>
      <c r="I3288" s="24">
        <v>0</v>
      </c>
      <c r="J3288" s="25"/>
      <c r="K3288" s="24">
        <v>0</v>
      </c>
      <c r="L3288" s="22" t="str">
        <f>HYPERLINK("https://otsuka-europe-crm.veevavault.com/ui/#object/approved_document__v/V5O000000018003", "AE dialoghi di tempo fiducia e cura episodi 2-3-4")</f>
        <v>AE dialoghi di tempo fiducia e cura episodi 2-3-4</v>
      </c>
      <c r="M3288" s="22" t="str">
        <f>HYPERLINK("mailto:nicoletta.vozza@crm.otsuka-europe.com", "nicoletta.vozza@crm.otsuka-europe.com")</f>
        <v>nicoletta.vozza@crm.otsuka-europe.com</v>
      </c>
      <c r="N3288" s="23">
        <v>46181.337951388887</v>
      </c>
      <c r="O3288" s="14" t="str">
        <f>HYPERLINK("https://otsuka-europe-crm.veevavault.com/ui/#object/email_activity__v/V8C00000003O300", "EN-002089777")</f>
        <v>EN-002089777</v>
      </c>
    </row>
    <row r="3289" spans="1:15" ht="16" x14ac:dyDescent="0.2">
      <c r="A3289" s="19"/>
      <c r="B3289" s="19"/>
      <c r="C3289" s="19"/>
      <c r="D3289" s="19"/>
      <c r="E3289" s="19"/>
      <c r="F3289" s="19"/>
      <c r="G3289" s="19"/>
      <c r="H3289" s="19"/>
      <c r="I3289" s="19"/>
      <c r="J3289" s="19"/>
      <c r="K3289" s="19"/>
      <c r="L3289" s="19"/>
      <c r="M3289" s="19"/>
      <c r="N3289" s="19"/>
      <c r="O3289" s="14" t="str">
        <f>HYPERLINK("https://otsuka-europe-crm.veevavault.com/ui/#object/email_activity__v/V8C00000003Z174", "EN-002098949")</f>
        <v>EN-002098949</v>
      </c>
    </row>
    <row r="3290" spans="1:15" ht="32" x14ac:dyDescent="0.2">
      <c r="A3290" s="7" t="str">
        <f>HYPERLINK("https://otsuka-europe-crm.veevavault.com/ui/#object/account__v/V4TZ06G6O71SC2S", "CHIARA RIBOLDI")</f>
        <v>CHIARA RIBOLDI</v>
      </c>
      <c r="B3290" s="7" t="str">
        <f>HYPERLINK("https://otsuka-europe-crm.veevavault.com/ui/#object/vcountry__v/VENZ000004SONFQ", "IT")</f>
        <v>IT</v>
      </c>
      <c r="C3290" s="8" t="s">
        <v>44</v>
      </c>
      <c r="D3290" s="9" t="str">
        <f>HYPERLINK("https://otsuka-europe-crm.veevavault.com/ui/#object/approved_document__v/V5O000000018003", "AE dialoghi di tempo fiducia e cura episodi 2-3-4")</f>
        <v>AE dialoghi di tempo fiducia e cura episodi 2-3-4</v>
      </c>
      <c r="E3290" s="10" t="str">
        <f>HYPERLINK("https://otsuka-europe-crm.veevavault.com/ui/#object/sent_email__v/VBL00000002O766", "SE-001432437")</f>
        <v>SE-001432437</v>
      </c>
      <c r="F3290" s="11"/>
      <c r="G3290" s="12">
        <v>0</v>
      </c>
      <c r="H3290" s="12">
        <v>0</v>
      </c>
      <c r="I3290" s="12">
        <v>0</v>
      </c>
      <c r="J3290" s="11"/>
      <c r="K3290" s="12">
        <v>0</v>
      </c>
      <c r="L3290" s="10" t="str">
        <f>HYPERLINK("https://otsuka-europe-crm.veevavault.com/ui/#object/approved_document__v/V5O000000018003", "AE dialoghi di tempo fiducia e cura episodi 2-3-4")</f>
        <v>AE dialoghi di tempo fiducia e cura episodi 2-3-4</v>
      </c>
      <c r="M3290" s="10" t="str">
        <f>HYPERLINK("mailto:nicoletta.vozza@crm.otsuka-europe.com", "nicoletta.vozza@crm.otsuka-europe.com")</f>
        <v>nicoletta.vozza@crm.otsuka-europe.com</v>
      </c>
      <c r="N3290" s="13">
        <v>46181.337997685187</v>
      </c>
      <c r="O3290" s="14" t="str">
        <f>HYPERLINK("https://otsuka-europe-crm.veevavault.com/ui/#object/email_activity__v/V8C00000003O510", "EN-002090066")</f>
        <v>EN-002090066</v>
      </c>
    </row>
    <row r="3291" spans="1:15" ht="32" x14ac:dyDescent="0.2">
      <c r="A3291" s="7" t="str">
        <f>HYPERLINK("https://otsuka-europe-crm.veevavault.com/ui/#object/account__v/V4TZ06G6O71SC6M", "CHIARA RIITANO")</f>
        <v>CHIARA RIITANO</v>
      </c>
      <c r="B3291" s="7" t="str">
        <f>HYPERLINK("https://otsuka-europe-crm.veevavault.com/ui/#object/vcountry__v/VENZ000004SONFQ", "IT")</f>
        <v>IT</v>
      </c>
      <c r="C3291" s="8" t="s">
        <v>44</v>
      </c>
      <c r="D3291" s="9" t="str">
        <f>HYPERLINK("https://otsuka-europe-crm.veevavault.com/ui/#object/approved_document__v/V5O000000018003", "AE dialoghi di tempo fiducia e cura episodi 2-3-4")</f>
        <v>AE dialoghi di tempo fiducia e cura episodi 2-3-4</v>
      </c>
      <c r="E3291" s="10" t="str">
        <f>HYPERLINK("https://otsuka-europe-crm.veevavault.com/ui/#object/sent_email__v/VBL00000002O767", "SE-001432438")</f>
        <v>SE-001432438</v>
      </c>
      <c r="F3291" s="11"/>
      <c r="G3291" s="12">
        <v>0</v>
      </c>
      <c r="H3291" s="12">
        <v>0</v>
      </c>
      <c r="I3291" s="12">
        <v>0</v>
      </c>
      <c r="J3291" s="11"/>
      <c r="K3291" s="12">
        <v>0</v>
      </c>
      <c r="L3291" s="10" t="str">
        <f>HYPERLINK("https://otsuka-europe-crm.veevavault.com/ui/#object/approved_document__v/V5O000000018003", "AE dialoghi di tempo fiducia e cura episodi 2-3-4")</f>
        <v>AE dialoghi di tempo fiducia e cura episodi 2-3-4</v>
      </c>
      <c r="M3291" s="10" t="str">
        <f>HYPERLINK("mailto:nicoletta.vozza@crm.otsuka-europe.com", "nicoletta.vozza@crm.otsuka-europe.com")</f>
        <v>nicoletta.vozza@crm.otsuka-europe.com</v>
      </c>
      <c r="N3291" s="13">
        <v>46181.338020833333</v>
      </c>
      <c r="O3291" s="14" t="str">
        <f>HYPERLINK("https://otsuka-europe-crm.veevavault.com/ui/#object/email_activity__v/V8C00000003O518", "EN-002090074")</f>
        <v>EN-002090074</v>
      </c>
    </row>
    <row r="3292" spans="1:15" ht="16" x14ac:dyDescent="0.2">
      <c r="A3292" s="17" t="str">
        <f>HYPERLINK("https://otsuka-europe-crm.veevavault.com/ui/#object/account__v/V4TZ06G6O71S9BL", "CHIARA ROVERA")</f>
        <v>CHIARA ROVERA</v>
      </c>
      <c r="B3292" s="17" t="str">
        <f>HYPERLINK("https://otsuka-europe-crm.veevavault.com/ui/#object/vcountry__v/VENZ000004SONFQ", "IT")</f>
        <v>IT</v>
      </c>
      <c r="C3292" s="20" t="s">
        <v>44</v>
      </c>
      <c r="D3292" s="21" t="str">
        <f>HYPERLINK("https://otsuka-europe-crm.veevavault.com/ui/#object/approved_document__v/V5O000000018003", "AE dialoghi di tempo fiducia e cura episodi 2-3-4")</f>
        <v>AE dialoghi di tempo fiducia e cura episodi 2-3-4</v>
      </c>
      <c r="E3292" s="22" t="str">
        <f>HYPERLINK("https://otsuka-europe-crm.veevavault.com/ui/#object/sent_email__v/VBL00000002O768", "SE-001432439")</f>
        <v>SE-001432439</v>
      </c>
      <c r="F3292" s="25"/>
      <c r="G3292" s="24">
        <v>0</v>
      </c>
      <c r="H3292" s="24">
        <v>0</v>
      </c>
      <c r="I3292" s="24">
        <v>0</v>
      </c>
      <c r="J3292" s="25"/>
      <c r="K3292" s="24">
        <v>0</v>
      </c>
      <c r="L3292" s="22" t="str">
        <f>HYPERLINK("https://otsuka-europe-crm.veevavault.com/ui/#object/approved_document__v/V5O000000018003", "AE dialoghi di tempo fiducia e cura episodi 2-3-4")</f>
        <v>AE dialoghi di tempo fiducia e cura episodi 2-3-4</v>
      </c>
      <c r="M3292" s="22" t="str">
        <f>HYPERLINK("mailto:nicoletta.vozza@crm.otsuka-europe.com", "nicoletta.vozza@crm.otsuka-europe.com")</f>
        <v>nicoletta.vozza@crm.otsuka-europe.com</v>
      </c>
      <c r="N3292" s="23">
        <v>46181.337939814817</v>
      </c>
      <c r="O3292" s="14" t="str">
        <f>HYPERLINK("https://otsuka-europe-crm.veevavault.com/ui/#object/email_activity__v/V8C00000003P192", "EN-002089592")</f>
        <v>EN-002089592</v>
      </c>
    </row>
    <row r="3293" spans="1:15" ht="16" x14ac:dyDescent="0.2">
      <c r="A3293" s="19"/>
      <c r="B3293" s="19"/>
      <c r="C3293" s="19"/>
      <c r="D3293" s="19"/>
      <c r="E3293" s="19"/>
      <c r="F3293" s="19"/>
      <c r="G3293" s="19"/>
      <c r="H3293" s="19"/>
      <c r="I3293" s="19"/>
      <c r="J3293" s="19"/>
      <c r="K3293" s="19"/>
      <c r="L3293" s="19"/>
      <c r="M3293" s="19"/>
      <c r="N3293" s="19"/>
      <c r="O3293" s="14" t="str">
        <f>HYPERLINK("https://otsuka-europe-crm.veevavault.com/ui/#object/email_activity__v/V8C00000003R009", "EN-002091720")</f>
        <v>EN-002091720</v>
      </c>
    </row>
    <row r="3294" spans="1:15" ht="32" x14ac:dyDescent="0.2">
      <c r="A3294" s="7" t="str">
        <f>HYPERLINK("https://otsuka-europe-crm.veevavault.com/ui/#object/account__v/V4TZ06G6O7WBW1I", "CHIARA RUFFINI")</f>
        <v>CHIARA RUFFINI</v>
      </c>
      <c r="B3294" s="7" t="str">
        <f>HYPERLINK("https://otsuka-europe-crm.veevavault.com/ui/#object/vcountry__v/VENZ000004SONFQ", "IT")</f>
        <v>IT</v>
      </c>
      <c r="C3294" s="8" t="s">
        <v>44</v>
      </c>
      <c r="D3294" s="9" t="str">
        <f>HYPERLINK("https://otsuka-europe-crm.veevavault.com/ui/#object/approved_document__v/V5O000000018003", "AE dialoghi di tempo fiducia e cura episodi 2-3-4")</f>
        <v>AE dialoghi di tempo fiducia e cura episodi 2-3-4</v>
      </c>
      <c r="E3294" s="10" t="str">
        <f>HYPERLINK("https://otsuka-europe-crm.veevavault.com/ui/#object/sent_email__v/VBL00000002O769", "SE-001432440")</f>
        <v>SE-001432440</v>
      </c>
      <c r="F3294" s="11"/>
      <c r="G3294" s="12">
        <v>0</v>
      </c>
      <c r="H3294" s="12">
        <v>0</v>
      </c>
      <c r="I3294" s="12">
        <v>0</v>
      </c>
      <c r="J3294" s="11"/>
      <c r="K3294" s="12">
        <v>0</v>
      </c>
      <c r="L3294" s="10" t="str">
        <f>HYPERLINK("https://otsuka-europe-crm.veevavault.com/ui/#object/approved_document__v/V5O000000018003", "AE dialoghi di tempo fiducia e cura episodi 2-3-4")</f>
        <v>AE dialoghi di tempo fiducia e cura episodi 2-3-4</v>
      </c>
      <c r="M3294" s="10" t="str">
        <f>HYPERLINK("mailto:nicoletta.vozza@crm.otsuka-europe.com", "nicoletta.vozza@crm.otsuka-europe.com")</f>
        <v>nicoletta.vozza@crm.otsuka-europe.com</v>
      </c>
      <c r="N3294" s="13">
        <v>46181.338055555556</v>
      </c>
      <c r="O3294" s="14" t="str">
        <f>HYPERLINK("https://otsuka-europe-crm.veevavault.com/ui/#object/email_activity__v/V8C00000003P307", "EN-002089943")</f>
        <v>EN-002089943</v>
      </c>
    </row>
    <row r="3295" spans="1:15" ht="32" x14ac:dyDescent="0.2">
      <c r="A3295" s="7" t="str">
        <f>HYPERLINK("https://otsuka-europe-crm.veevavault.com/ui/#object/account__v/V4TZ06G6O71SC9E", "CHIARA SANTOMASSIMO")</f>
        <v>CHIARA SANTOMASSIMO</v>
      </c>
      <c r="B3295" s="7" t="str">
        <f>HYPERLINK("https://otsuka-europe-crm.veevavault.com/ui/#object/vcountry__v/VENZ000004SONFQ", "IT")</f>
        <v>IT</v>
      </c>
      <c r="C3295" s="8" t="s">
        <v>44</v>
      </c>
      <c r="D3295" s="9" t="str">
        <f>HYPERLINK("https://otsuka-europe-crm.veevavault.com/ui/#object/approved_document__v/V5O000000018003", "AE dialoghi di tempo fiducia e cura episodi 2-3-4")</f>
        <v>AE dialoghi di tempo fiducia e cura episodi 2-3-4</v>
      </c>
      <c r="E3295" s="10" t="str">
        <f>HYPERLINK("https://otsuka-europe-crm.veevavault.com/ui/#object/sent_email__v/VBL00000002O770", "SE-001432441")</f>
        <v>SE-001432441</v>
      </c>
      <c r="F3295" s="11"/>
      <c r="G3295" s="12">
        <v>0</v>
      </c>
      <c r="H3295" s="12">
        <v>0</v>
      </c>
      <c r="I3295" s="12">
        <v>0</v>
      </c>
      <c r="J3295" s="11"/>
      <c r="K3295" s="12">
        <v>0</v>
      </c>
      <c r="L3295" s="10" t="str">
        <f>HYPERLINK("https://otsuka-europe-crm.veevavault.com/ui/#object/approved_document__v/V5O000000018003", "AE dialoghi di tempo fiducia e cura episodi 2-3-4")</f>
        <v>AE dialoghi di tempo fiducia e cura episodi 2-3-4</v>
      </c>
      <c r="M3295" s="10" t="str">
        <f>HYPERLINK("mailto:nicoletta.vozza@crm.otsuka-europe.com", "nicoletta.vozza@crm.otsuka-europe.com")</f>
        <v>nicoletta.vozza@crm.otsuka-europe.com</v>
      </c>
      <c r="N3295" s="13">
        <v>46181.337916666664</v>
      </c>
      <c r="O3295" s="15"/>
    </row>
    <row r="3296" spans="1:15" ht="16" x14ac:dyDescent="0.2">
      <c r="A3296" s="17" t="str">
        <f>HYPERLINK("https://otsuka-europe-crm.veevavault.com/ui/#object/account__v/V4TZ06G6O71S9DT", "CHIARA VIZZACCARO")</f>
        <v>CHIARA VIZZACCARO</v>
      </c>
      <c r="B3296" s="17" t="str">
        <f>HYPERLINK("https://otsuka-europe-crm.veevavault.com/ui/#object/vcountry__v/VENZ000004SONFQ", "IT")</f>
        <v>IT</v>
      </c>
      <c r="C3296" s="20" t="s">
        <v>44</v>
      </c>
      <c r="D3296" s="21" t="str">
        <f>HYPERLINK("https://otsuka-europe-crm.veevavault.com/ui/#object/approved_document__v/V5O000000018003", "AE dialoghi di tempo fiducia e cura episodi 2-3-4")</f>
        <v>AE dialoghi di tempo fiducia e cura episodi 2-3-4</v>
      </c>
      <c r="E3296" s="22" t="str">
        <f>HYPERLINK("https://otsuka-europe-crm.veevavault.com/ui/#object/sent_email__v/VBL00000002O771", "SE-001432442")</f>
        <v>SE-001432442</v>
      </c>
      <c r="F3296" s="23">
        <v>46201.323020833333</v>
      </c>
      <c r="G3296" s="24">
        <v>1</v>
      </c>
      <c r="H3296" s="24">
        <v>1</v>
      </c>
      <c r="I3296" s="24">
        <v>0</v>
      </c>
      <c r="J3296" s="25"/>
      <c r="K3296" s="24">
        <v>0</v>
      </c>
      <c r="L3296" s="22" t="str">
        <f>HYPERLINK("https://otsuka-europe-crm.veevavault.com/ui/#object/approved_document__v/V5O000000018003", "AE dialoghi di tempo fiducia e cura episodi 2-3-4")</f>
        <v>AE dialoghi di tempo fiducia e cura episodi 2-3-4</v>
      </c>
      <c r="M3296" s="22" t="str">
        <f>HYPERLINK("mailto:nicoletta.vozza@crm.otsuka-europe.com", "nicoletta.vozza@crm.otsuka-europe.com")</f>
        <v>nicoletta.vozza@crm.otsuka-europe.com</v>
      </c>
      <c r="N3296" s="23">
        <v>46181.337997685187</v>
      </c>
      <c r="O3296" s="14" t="str">
        <f>HYPERLINK("https://otsuka-europe-crm.veevavault.com/ui/#object/email_activity__v/V8C00000003O974", "EN-002090723")</f>
        <v>EN-002090723</v>
      </c>
    </row>
    <row r="3297" spans="1:15" ht="16" x14ac:dyDescent="0.2">
      <c r="A3297" s="18"/>
      <c r="B3297" s="18"/>
      <c r="C3297" s="18"/>
      <c r="D3297" s="18"/>
      <c r="E3297" s="18"/>
      <c r="F3297" s="18"/>
      <c r="G3297" s="18"/>
      <c r="H3297" s="18"/>
      <c r="I3297" s="18"/>
      <c r="J3297" s="18"/>
      <c r="K3297" s="18"/>
      <c r="L3297" s="18"/>
      <c r="M3297" s="18"/>
      <c r="N3297" s="18"/>
      <c r="O3297" s="14" t="str">
        <f>HYPERLINK("https://otsuka-europe-crm.veevavault.com/ui/#object/email_activity__v/V8C00000003R150", "EN-002091965")</f>
        <v>EN-002091965</v>
      </c>
    </row>
    <row r="3298" spans="1:15" ht="16" x14ac:dyDescent="0.2">
      <c r="A3298" s="19"/>
      <c r="B3298" s="19"/>
      <c r="C3298" s="19"/>
      <c r="D3298" s="19"/>
      <c r="E3298" s="19"/>
      <c r="F3298" s="19"/>
      <c r="G3298" s="19"/>
      <c r="H3298" s="19"/>
      <c r="I3298" s="19"/>
      <c r="J3298" s="19"/>
      <c r="K3298" s="19"/>
      <c r="L3298" s="19"/>
      <c r="M3298" s="19"/>
      <c r="N3298" s="19"/>
      <c r="O3298" s="14" t="str">
        <f>HYPERLINK("https://otsuka-europe-crm.veevavault.com/ui/#object/email_activity__v/V8C000000041288", "EN-002100250")</f>
        <v>EN-002100250</v>
      </c>
    </row>
    <row r="3299" spans="1:15" ht="32" x14ac:dyDescent="0.2">
      <c r="A3299" s="7" t="str">
        <f>HYPERLINK("https://otsuka-europe-crm.veevavault.com/ui/#object/account__v/V4TZ06G6O71SARI", "CHRISTIAN NICOLA GROPPI")</f>
        <v>CHRISTIAN NICOLA GROPPI</v>
      </c>
      <c r="B3299" s="7" t="str">
        <f>HYPERLINK("https://otsuka-europe-crm.veevavault.com/ui/#object/vcountry__v/VENZ000004SONFQ", "IT")</f>
        <v>IT</v>
      </c>
      <c r="C3299" s="8" t="s">
        <v>44</v>
      </c>
      <c r="D3299" s="9" t="str">
        <f>HYPERLINK("https://otsuka-europe-crm.veevavault.com/ui/#object/approved_document__v/V5O000000018003", "AE dialoghi di tempo fiducia e cura episodi 2-3-4")</f>
        <v>AE dialoghi di tempo fiducia e cura episodi 2-3-4</v>
      </c>
      <c r="E3299" s="10" t="str">
        <f>HYPERLINK("https://otsuka-europe-crm.veevavault.com/ui/#object/sent_email__v/VBL00000002O772", "SE-001432443")</f>
        <v>SE-001432443</v>
      </c>
      <c r="F3299" s="11"/>
      <c r="G3299" s="12">
        <v>0</v>
      </c>
      <c r="H3299" s="12">
        <v>0</v>
      </c>
      <c r="I3299" s="12">
        <v>0</v>
      </c>
      <c r="J3299" s="11"/>
      <c r="K3299" s="12">
        <v>0</v>
      </c>
      <c r="L3299" s="10" t="str">
        <f>HYPERLINK("https://otsuka-europe-crm.veevavault.com/ui/#object/approved_document__v/V5O000000018003", "AE dialoghi di tempo fiducia e cura episodi 2-3-4")</f>
        <v>AE dialoghi di tempo fiducia e cura episodi 2-3-4</v>
      </c>
      <c r="M3299" s="10" t="str">
        <f>HYPERLINK("mailto:nicoletta.vozza@crm.otsuka-europe.com", "nicoletta.vozza@crm.otsuka-europe.com")</f>
        <v>nicoletta.vozza@crm.otsuka-europe.com</v>
      </c>
      <c r="N3299" s="13">
        <v>46181.338020833333</v>
      </c>
      <c r="O3299" s="14" t="str">
        <f>HYPERLINK("https://otsuka-europe-crm.veevavault.com/ui/#object/email_activity__v/V8C00000003Q089", "EN-002091154")</f>
        <v>EN-002091154</v>
      </c>
    </row>
    <row r="3300" spans="1:15" ht="16" x14ac:dyDescent="0.2">
      <c r="A3300" s="17" t="str">
        <f>HYPERLINK("https://otsuka-europe-crm.veevavault.com/ui/#object/account__v/V4TZ06G6O71SA7J", "CINZIA BRUNO")</f>
        <v>CINZIA BRUNO</v>
      </c>
      <c r="B3300" s="17" t="str">
        <f>HYPERLINK("https://otsuka-europe-crm.veevavault.com/ui/#object/vcountry__v/VENZ000004SONFQ", "IT")</f>
        <v>IT</v>
      </c>
      <c r="C3300" s="20" t="s">
        <v>44</v>
      </c>
      <c r="D3300" s="21" t="str">
        <f>HYPERLINK("https://otsuka-europe-crm.veevavault.com/ui/#object/approved_document__v/V5O000000018003", "AE dialoghi di tempo fiducia e cura episodi 2-3-4")</f>
        <v>AE dialoghi di tempo fiducia e cura episodi 2-3-4</v>
      </c>
      <c r="E3300" s="22" t="str">
        <f>HYPERLINK("https://otsuka-europe-crm.veevavault.com/ui/#object/sent_email__v/VBL00000002O773", "SE-001432444")</f>
        <v>SE-001432444</v>
      </c>
      <c r="F3300" s="25"/>
      <c r="G3300" s="24">
        <v>0</v>
      </c>
      <c r="H3300" s="24">
        <v>0</v>
      </c>
      <c r="I3300" s="24">
        <v>0</v>
      </c>
      <c r="J3300" s="25"/>
      <c r="K3300" s="24">
        <v>0</v>
      </c>
      <c r="L3300" s="22" t="str">
        <f>HYPERLINK("https://otsuka-europe-crm.veevavault.com/ui/#object/approved_document__v/V5O000000018003", "AE dialoghi di tempo fiducia e cura episodi 2-3-4")</f>
        <v>AE dialoghi di tempo fiducia e cura episodi 2-3-4</v>
      </c>
      <c r="M3300" s="22" t="str">
        <f>HYPERLINK("mailto:nicoletta.vozza@crm.otsuka-europe.com", "nicoletta.vozza@crm.otsuka-europe.com")</f>
        <v>nicoletta.vozza@crm.otsuka-europe.com</v>
      </c>
      <c r="N3300" s="23">
        <v>46181.337962962964</v>
      </c>
      <c r="O3300" s="14" t="str">
        <f>HYPERLINK("https://otsuka-europe-crm.veevavault.com/ui/#object/email_activity__v/V8C00000003O182", "EN-002089619")</f>
        <v>EN-002089619</v>
      </c>
    </row>
    <row r="3301" spans="1:15" ht="16" x14ac:dyDescent="0.2">
      <c r="A3301" s="19"/>
      <c r="B3301" s="19"/>
      <c r="C3301" s="19"/>
      <c r="D3301" s="19"/>
      <c r="E3301" s="19"/>
      <c r="F3301" s="19"/>
      <c r="G3301" s="19"/>
      <c r="H3301" s="19"/>
      <c r="I3301" s="19"/>
      <c r="J3301" s="19"/>
      <c r="K3301" s="19"/>
      <c r="L3301" s="19"/>
      <c r="M3301" s="19"/>
      <c r="N3301" s="19"/>
      <c r="O3301" s="14" t="str">
        <f>HYPERLINK("https://otsuka-europe-crm.veevavault.com/ui/#object/email_activity__v/V8C00000003R200", "EN-002092053")</f>
        <v>EN-002092053</v>
      </c>
    </row>
    <row r="3302" spans="1:15" ht="32" x14ac:dyDescent="0.2">
      <c r="A3302" s="7" t="str">
        <f>HYPERLINK("https://otsuka-europe-crm.veevavault.com/ui/#object/account__v/V4TZ06G6O71SAOX", "CINZIA DE ANGELIS")</f>
        <v>CINZIA DE ANGELIS</v>
      </c>
      <c r="B3302" s="7" t="str">
        <f t="shared" ref="B3302:B3308" si="144">HYPERLINK("https://otsuka-europe-crm.veevavault.com/ui/#object/vcountry__v/VENZ000004SONFQ", "IT")</f>
        <v>IT</v>
      </c>
      <c r="C3302" s="8" t="s">
        <v>44</v>
      </c>
      <c r="D3302" s="9" t="str">
        <f t="shared" ref="D3302:D3308" si="145">HYPERLINK("https://otsuka-europe-crm.veevavault.com/ui/#object/approved_document__v/V5O000000018003", "AE dialoghi di tempo fiducia e cura episodi 2-3-4")</f>
        <v>AE dialoghi di tempo fiducia e cura episodi 2-3-4</v>
      </c>
      <c r="E3302" s="10" t="str">
        <f>HYPERLINK("https://otsuka-europe-crm.veevavault.com/ui/#object/sent_email__v/VBL00000002O774", "SE-001432445")</f>
        <v>SE-001432445</v>
      </c>
      <c r="F3302" s="11"/>
      <c r="G3302" s="12">
        <v>0</v>
      </c>
      <c r="H3302" s="12">
        <v>0</v>
      </c>
      <c r="I3302" s="12">
        <v>0</v>
      </c>
      <c r="J3302" s="11"/>
      <c r="K3302" s="12">
        <v>0</v>
      </c>
      <c r="L3302" s="10" t="str">
        <f t="shared" ref="L3302:L3308" si="146">HYPERLINK("https://otsuka-europe-crm.veevavault.com/ui/#object/approved_document__v/V5O000000018003", "AE dialoghi di tempo fiducia e cura episodi 2-3-4")</f>
        <v>AE dialoghi di tempo fiducia e cura episodi 2-3-4</v>
      </c>
      <c r="M3302" s="10" t="str">
        <f t="shared" ref="M3302:M3308" si="147">HYPERLINK("mailto:nicoletta.vozza@crm.otsuka-europe.com", "nicoletta.vozza@crm.otsuka-europe.com")</f>
        <v>nicoletta.vozza@crm.otsuka-europe.com</v>
      </c>
      <c r="N3302" s="13">
        <v>46181.33792824074</v>
      </c>
      <c r="O3302" s="14" t="str">
        <f>HYPERLINK("https://otsuka-europe-crm.veevavault.com/ui/#object/email_activity__v/V8C00000003P144", "EN-002089544")</f>
        <v>EN-002089544</v>
      </c>
    </row>
    <row r="3303" spans="1:15" ht="32" x14ac:dyDescent="0.2">
      <c r="A3303" s="7" t="str">
        <f>HYPERLINK("https://otsuka-europe-crm.veevavault.com/ui/#object/account__v/V4TZ06G6O71SAWG", "CINZIA GIUBBARELLI")</f>
        <v>CINZIA GIUBBARELLI</v>
      </c>
      <c r="B3303" s="7" t="str">
        <f t="shared" si="144"/>
        <v>IT</v>
      </c>
      <c r="C3303" s="8" t="s">
        <v>44</v>
      </c>
      <c r="D3303" s="9" t="str">
        <f t="shared" si="145"/>
        <v>AE dialoghi di tempo fiducia e cura episodi 2-3-4</v>
      </c>
      <c r="E3303" s="10" t="str">
        <f>HYPERLINK("https://otsuka-europe-crm.veevavault.com/ui/#object/sent_email__v/VBL00000002O775", "SE-001432446")</f>
        <v>SE-001432446</v>
      </c>
      <c r="F3303" s="11"/>
      <c r="G3303" s="12">
        <v>0</v>
      </c>
      <c r="H3303" s="12">
        <v>0</v>
      </c>
      <c r="I3303" s="12">
        <v>0</v>
      </c>
      <c r="J3303" s="11"/>
      <c r="K3303" s="12">
        <v>0</v>
      </c>
      <c r="L3303" s="10" t="str">
        <f t="shared" si="146"/>
        <v>AE dialoghi di tempo fiducia e cura episodi 2-3-4</v>
      </c>
      <c r="M3303" s="10" t="str">
        <f t="shared" si="147"/>
        <v>nicoletta.vozza@crm.otsuka-europe.com</v>
      </c>
      <c r="N3303" s="13">
        <v>46181.338020833333</v>
      </c>
      <c r="O3303" s="14" t="str">
        <f>HYPERLINK("https://otsuka-europe-crm.veevavault.com/ui/#object/email_activity__v/V8C00000003P443", "EN-002090644")</f>
        <v>EN-002090644</v>
      </c>
    </row>
    <row r="3304" spans="1:15" ht="32" x14ac:dyDescent="0.2">
      <c r="A3304" s="7" t="str">
        <f>HYPERLINK("https://otsuka-europe-crm.veevavault.com/ui/#object/account__v/V4TZ06G6O71SBPH", "CINZIA NIOLU")</f>
        <v>CINZIA NIOLU</v>
      </c>
      <c r="B3304" s="7" t="str">
        <f t="shared" si="144"/>
        <v>IT</v>
      </c>
      <c r="C3304" s="8" t="s">
        <v>44</v>
      </c>
      <c r="D3304" s="9" t="str">
        <f t="shared" si="145"/>
        <v>AE dialoghi di tempo fiducia e cura episodi 2-3-4</v>
      </c>
      <c r="E3304" s="10" t="str">
        <f>HYPERLINK("https://otsuka-europe-crm.veevavault.com/ui/#object/sent_email__v/VBL00000002O776", "SE-001432447")</f>
        <v>SE-001432447</v>
      </c>
      <c r="F3304" s="11"/>
      <c r="G3304" s="12">
        <v>0</v>
      </c>
      <c r="H3304" s="12">
        <v>0</v>
      </c>
      <c r="I3304" s="12">
        <v>0</v>
      </c>
      <c r="J3304" s="11"/>
      <c r="K3304" s="12">
        <v>0</v>
      </c>
      <c r="L3304" s="10" t="str">
        <f t="shared" si="146"/>
        <v>AE dialoghi di tempo fiducia e cura episodi 2-3-4</v>
      </c>
      <c r="M3304" s="10" t="str">
        <f t="shared" si="147"/>
        <v>nicoletta.vozza@crm.otsuka-europe.com</v>
      </c>
      <c r="N3304" s="13">
        <v>46181.338020833333</v>
      </c>
      <c r="O3304" s="14" t="str">
        <f>HYPERLINK("https://otsuka-europe-crm.veevavault.com/ui/#object/email_activity__v/V8C00000003O839", "EN-002090541")</f>
        <v>EN-002090541</v>
      </c>
    </row>
    <row r="3305" spans="1:15" ht="32" x14ac:dyDescent="0.2">
      <c r="A3305" s="7" t="str">
        <f>HYPERLINK("https://otsuka-europe-crm.veevavault.com/ui/#object/account__v/V4TZ06G6O71S9C3", "CINZIA SOBRERO")</f>
        <v>CINZIA SOBRERO</v>
      </c>
      <c r="B3305" s="7" t="str">
        <f t="shared" si="144"/>
        <v>IT</v>
      </c>
      <c r="C3305" s="8" t="s">
        <v>44</v>
      </c>
      <c r="D3305" s="9" t="str">
        <f t="shared" si="145"/>
        <v>AE dialoghi di tempo fiducia e cura episodi 2-3-4</v>
      </c>
      <c r="E3305" s="10" t="str">
        <f>HYPERLINK("https://otsuka-europe-crm.veevavault.com/ui/#object/sent_email__v/VBL00000002O777", "SE-001432448")</f>
        <v>SE-001432448</v>
      </c>
      <c r="F3305" s="11"/>
      <c r="G3305" s="12">
        <v>0</v>
      </c>
      <c r="H3305" s="12">
        <v>0</v>
      </c>
      <c r="I3305" s="12">
        <v>0</v>
      </c>
      <c r="J3305" s="11"/>
      <c r="K3305" s="12">
        <v>0</v>
      </c>
      <c r="L3305" s="10" t="str">
        <f t="shared" si="146"/>
        <v>AE dialoghi di tempo fiducia e cura episodi 2-3-4</v>
      </c>
      <c r="M3305" s="10" t="str">
        <f t="shared" si="147"/>
        <v>nicoletta.vozza@crm.otsuka-europe.com</v>
      </c>
      <c r="N3305" s="13">
        <v>46181.338020833333</v>
      </c>
      <c r="O3305" s="14" t="str">
        <f>HYPERLINK("https://otsuka-europe-crm.veevavault.com/ui/#object/email_activity__v/V8C00000003O475", "EN-002090031")</f>
        <v>EN-002090031</v>
      </c>
    </row>
    <row r="3306" spans="1:15" ht="32" x14ac:dyDescent="0.2">
      <c r="A3306" s="7" t="str">
        <f>HYPERLINK("https://otsuka-europe-crm.veevavault.com/ui/#object/account__v/V4TZ025E8878L7K", "CINZIA VENEZIANO")</f>
        <v>CINZIA VENEZIANO</v>
      </c>
      <c r="B3306" s="7" t="str">
        <f t="shared" si="144"/>
        <v>IT</v>
      </c>
      <c r="C3306" s="8" t="s">
        <v>44</v>
      </c>
      <c r="D3306" s="9" t="str">
        <f t="shared" si="145"/>
        <v>AE dialoghi di tempo fiducia e cura episodi 2-3-4</v>
      </c>
      <c r="E3306" s="10" t="str">
        <f>HYPERLINK("https://otsuka-europe-crm.veevavault.com/ui/#object/sent_email__v/VBL00000002O778", "SE-001432449")</f>
        <v>SE-001432449</v>
      </c>
      <c r="F3306" s="11"/>
      <c r="G3306" s="12">
        <v>0</v>
      </c>
      <c r="H3306" s="12">
        <v>0</v>
      </c>
      <c r="I3306" s="12">
        <v>0</v>
      </c>
      <c r="J3306" s="11"/>
      <c r="K3306" s="12">
        <v>0</v>
      </c>
      <c r="L3306" s="10" t="str">
        <f t="shared" si="146"/>
        <v>AE dialoghi di tempo fiducia e cura episodi 2-3-4</v>
      </c>
      <c r="M3306" s="10" t="str">
        <f t="shared" si="147"/>
        <v>nicoletta.vozza@crm.otsuka-europe.com</v>
      </c>
      <c r="N3306" s="13">
        <v>46181.338020833333</v>
      </c>
      <c r="O3306" s="14" t="str">
        <f>HYPERLINK("https://otsuka-europe-crm.veevavault.com/ui/#object/email_activity__v/V8C00000003O590", "EN-002090146")</f>
        <v>EN-002090146</v>
      </c>
    </row>
    <row r="3307" spans="1:15" ht="32" x14ac:dyDescent="0.2">
      <c r="A3307" s="7" t="str">
        <f>HYPERLINK("https://otsuka-europe-crm.veevavault.com/ui/#object/account__v/V4TZ06G6O71SA44", "CLAUDIA BATTISTA")</f>
        <v>CLAUDIA BATTISTA</v>
      </c>
      <c r="B3307" s="7" t="str">
        <f t="shared" si="144"/>
        <v>IT</v>
      </c>
      <c r="C3307" s="8" t="s">
        <v>44</v>
      </c>
      <c r="D3307" s="9" t="str">
        <f t="shared" si="145"/>
        <v>AE dialoghi di tempo fiducia e cura episodi 2-3-4</v>
      </c>
      <c r="E3307" s="10" t="str">
        <f>HYPERLINK("https://otsuka-europe-crm.veevavault.com/ui/#object/sent_email__v/VBL00000002O779", "SE-001432450")</f>
        <v>SE-001432450</v>
      </c>
      <c r="F3307" s="11"/>
      <c r="G3307" s="12">
        <v>0</v>
      </c>
      <c r="H3307" s="12">
        <v>0</v>
      </c>
      <c r="I3307" s="12">
        <v>0</v>
      </c>
      <c r="J3307" s="11"/>
      <c r="K3307" s="12">
        <v>0</v>
      </c>
      <c r="L3307" s="10" t="str">
        <f t="shared" si="146"/>
        <v>AE dialoghi di tempo fiducia e cura episodi 2-3-4</v>
      </c>
      <c r="M3307" s="10" t="str">
        <f t="shared" si="147"/>
        <v>nicoletta.vozza@crm.otsuka-europe.com</v>
      </c>
      <c r="N3307" s="13">
        <v>46181.33798611111</v>
      </c>
      <c r="O3307" s="14" t="str">
        <f>HYPERLINK("https://otsuka-europe-crm.veevavault.com/ui/#object/email_activity__v/V8C00000003O216", "EN-002089693")</f>
        <v>EN-002089693</v>
      </c>
    </row>
    <row r="3308" spans="1:15" ht="16" x14ac:dyDescent="0.2">
      <c r="A3308" s="17" t="str">
        <f>HYPERLINK("https://otsuka-europe-crm.veevavault.com/ui/#object/account__v/V4TZ06G6O71SB2T", "CLAUDIA COMAZZETTO")</f>
        <v>CLAUDIA COMAZZETTO</v>
      </c>
      <c r="B3308" s="17" t="str">
        <f t="shared" si="144"/>
        <v>IT</v>
      </c>
      <c r="C3308" s="20" t="s">
        <v>44</v>
      </c>
      <c r="D3308" s="21" t="str">
        <f t="shared" si="145"/>
        <v>AE dialoghi di tempo fiducia e cura episodi 2-3-4</v>
      </c>
      <c r="E3308" s="22" t="str">
        <f>HYPERLINK("https://otsuka-europe-crm.veevavault.com/ui/#object/sent_email__v/VBL00000002O780", "SE-001432451")</f>
        <v>SE-001432451</v>
      </c>
      <c r="F3308" s="23">
        <v>46181.443854166668</v>
      </c>
      <c r="G3308" s="24">
        <v>1</v>
      </c>
      <c r="H3308" s="24">
        <v>2</v>
      </c>
      <c r="I3308" s="24">
        <v>0</v>
      </c>
      <c r="J3308" s="25"/>
      <c r="K3308" s="24">
        <v>0</v>
      </c>
      <c r="L3308" s="22" t="str">
        <f t="shared" si="146"/>
        <v>AE dialoghi di tempo fiducia e cura episodi 2-3-4</v>
      </c>
      <c r="M3308" s="22" t="str">
        <f t="shared" si="147"/>
        <v>nicoletta.vozza@crm.otsuka-europe.com</v>
      </c>
      <c r="N3308" s="23">
        <v>46181.337962962964</v>
      </c>
      <c r="O3308" s="14" t="str">
        <f>HYPERLINK("https://otsuka-europe-crm.veevavault.com/ui/#object/email_activity__v/V8C00000003O193", "EN-002089630")</f>
        <v>EN-002089630</v>
      </c>
    </row>
    <row r="3309" spans="1:15" ht="16" x14ac:dyDescent="0.2">
      <c r="A3309" s="18"/>
      <c r="B3309" s="18"/>
      <c r="C3309" s="18"/>
      <c r="D3309" s="18"/>
      <c r="E3309" s="18"/>
      <c r="F3309" s="18"/>
      <c r="G3309" s="18"/>
      <c r="H3309" s="18"/>
      <c r="I3309" s="18"/>
      <c r="J3309" s="18"/>
      <c r="K3309" s="18"/>
      <c r="L3309" s="18"/>
      <c r="M3309" s="18"/>
      <c r="N3309" s="18"/>
      <c r="O3309" s="14" t="str">
        <f>HYPERLINK("https://otsuka-europe-crm.veevavault.com/ui/#object/email_activity__v/V8C00000003Q508", "EN-002091828")</f>
        <v>EN-002091828</v>
      </c>
    </row>
    <row r="3310" spans="1:15" ht="16" x14ac:dyDescent="0.2">
      <c r="A3310" s="19"/>
      <c r="B3310" s="19"/>
      <c r="C3310" s="19"/>
      <c r="D3310" s="19"/>
      <c r="E3310" s="19"/>
      <c r="F3310" s="19"/>
      <c r="G3310" s="19"/>
      <c r="H3310" s="19"/>
      <c r="I3310" s="19"/>
      <c r="J3310" s="19"/>
      <c r="K3310" s="19"/>
      <c r="L3310" s="19"/>
      <c r="M3310" s="19"/>
      <c r="N3310" s="19"/>
      <c r="O3310" s="14" t="str">
        <f>HYPERLINK("https://otsuka-europe-crm.veevavault.com/ui/#object/email_activity__v/V8C00000003R082", "EN-002091827")</f>
        <v>EN-002091827</v>
      </c>
    </row>
    <row r="3311" spans="1:15" ht="32" x14ac:dyDescent="0.2">
      <c r="A3311" s="7" t="str">
        <f>HYPERLINK("https://otsuka-europe-crm.veevavault.com/ui/#object/account__v/V4TZ06G6O71TLGU", "CLAUDIA COMINELLI")</f>
        <v>CLAUDIA COMINELLI</v>
      </c>
      <c r="B3311" s="7" t="str">
        <f t="shared" ref="B3311:B3316" si="148">HYPERLINK("https://otsuka-europe-crm.veevavault.com/ui/#object/vcountry__v/VENZ000004SONFQ", "IT")</f>
        <v>IT</v>
      </c>
      <c r="C3311" s="8" t="s">
        <v>44</v>
      </c>
      <c r="D3311" s="9" t="str">
        <f t="shared" ref="D3311:D3316" si="149">HYPERLINK("https://otsuka-europe-crm.veevavault.com/ui/#object/approved_document__v/V5O000000018003", "AE dialoghi di tempo fiducia e cura episodi 2-3-4")</f>
        <v>AE dialoghi di tempo fiducia e cura episodi 2-3-4</v>
      </c>
      <c r="E3311" s="10" t="str">
        <f>HYPERLINK("https://otsuka-europe-crm.veevavault.com/ui/#object/sent_email__v/VBL00000002O781", "SE-001432452")</f>
        <v>SE-001432452</v>
      </c>
      <c r="F3311" s="11"/>
      <c r="G3311" s="12">
        <v>0</v>
      </c>
      <c r="H3311" s="12">
        <v>0</v>
      </c>
      <c r="I3311" s="12">
        <v>0</v>
      </c>
      <c r="J3311" s="11"/>
      <c r="K3311" s="12">
        <v>0</v>
      </c>
      <c r="L3311" s="10" t="str">
        <f t="shared" ref="L3311:L3316" si="150">HYPERLINK("https://otsuka-europe-crm.veevavault.com/ui/#object/approved_document__v/V5O000000018003", "AE dialoghi di tempo fiducia e cura episodi 2-3-4")</f>
        <v>AE dialoghi di tempo fiducia e cura episodi 2-3-4</v>
      </c>
      <c r="M3311" s="10" t="str">
        <f t="shared" ref="M3311:M3316" si="151">HYPERLINK("mailto:nicoletta.vozza@crm.otsuka-europe.com", "nicoletta.vozza@crm.otsuka-europe.com")</f>
        <v>nicoletta.vozza@crm.otsuka-europe.com</v>
      </c>
      <c r="N3311" s="13">
        <v>46181.33798611111</v>
      </c>
      <c r="O3311" s="14" t="str">
        <f>HYPERLINK("https://otsuka-europe-crm.veevavault.com/ui/#object/email_activity__v/V8C00000003O410", "EN-002089966")</f>
        <v>EN-002089966</v>
      </c>
    </row>
    <row r="3312" spans="1:15" ht="32" x14ac:dyDescent="0.2">
      <c r="A3312" s="7" t="str">
        <f>HYPERLINK("https://otsuka-europe-crm.veevavault.com/ui/#object/account__v/V4TZ025E82TRHMC", "CLAUDIA COPPOLA")</f>
        <v>CLAUDIA COPPOLA</v>
      </c>
      <c r="B3312" s="7" t="str">
        <f t="shared" si="148"/>
        <v>IT</v>
      </c>
      <c r="C3312" s="8" t="s">
        <v>44</v>
      </c>
      <c r="D3312" s="9" t="str">
        <f t="shared" si="149"/>
        <v>AE dialoghi di tempo fiducia e cura episodi 2-3-4</v>
      </c>
      <c r="E3312" s="10" t="str">
        <f>HYPERLINK("https://otsuka-europe-crm.veevavault.com/ui/#object/sent_email__v/VBL00000002O782", "SE-001432453")</f>
        <v>SE-001432453</v>
      </c>
      <c r="F3312" s="11"/>
      <c r="G3312" s="12">
        <v>0</v>
      </c>
      <c r="H3312" s="12">
        <v>0</v>
      </c>
      <c r="I3312" s="12">
        <v>0</v>
      </c>
      <c r="J3312" s="11"/>
      <c r="K3312" s="12">
        <v>0</v>
      </c>
      <c r="L3312" s="10" t="str">
        <f t="shared" si="150"/>
        <v>AE dialoghi di tempo fiducia e cura episodi 2-3-4</v>
      </c>
      <c r="M3312" s="10" t="str">
        <f t="shared" si="151"/>
        <v>nicoletta.vozza@crm.otsuka-europe.com</v>
      </c>
      <c r="N3312" s="13">
        <v>46181.337939814817</v>
      </c>
      <c r="O3312" s="14" t="str">
        <f>HYPERLINK("https://otsuka-europe-crm.veevavault.com/ui/#object/email_activity__v/V8C00000003O149", "EN-002089531")</f>
        <v>EN-002089531</v>
      </c>
    </row>
    <row r="3313" spans="1:15" ht="32" x14ac:dyDescent="0.2">
      <c r="A3313" s="7" t="str">
        <f>HYPERLINK("https://otsuka-europe-crm.veevavault.com/ui/#object/account__v/V4TZ06G6O71S9RH", "CLAUDIA CUMERLATO MELTER")</f>
        <v>CLAUDIA CUMERLATO MELTER</v>
      </c>
      <c r="B3313" s="7" t="str">
        <f t="shared" si="148"/>
        <v>IT</v>
      </c>
      <c r="C3313" s="8" t="s">
        <v>44</v>
      </c>
      <c r="D3313" s="9" t="str">
        <f t="shared" si="149"/>
        <v>AE dialoghi di tempo fiducia e cura episodi 2-3-4</v>
      </c>
      <c r="E3313" s="10" t="str">
        <f>HYPERLINK("https://otsuka-europe-crm.veevavault.com/ui/#object/sent_email__v/VBL00000002O783", "SE-001432454")</f>
        <v>SE-001432454</v>
      </c>
      <c r="F3313" s="11"/>
      <c r="G3313" s="12">
        <v>0</v>
      </c>
      <c r="H3313" s="12">
        <v>0</v>
      </c>
      <c r="I3313" s="12">
        <v>0</v>
      </c>
      <c r="J3313" s="11"/>
      <c r="K3313" s="12">
        <v>0</v>
      </c>
      <c r="L3313" s="10" t="str">
        <f t="shared" si="150"/>
        <v>AE dialoghi di tempo fiducia e cura episodi 2-3-4</v>
      </c>
      <c r="M3313" s="10" t="str">
        <f t="shared" si="151"/>
        <v>nicoletta.vozza@crm.otsuka-europe.com</v>
      </c>
      <c r="N3313" s="13">
        <v>46181.338090277779</v>
      </c>
      <c r="O3313" s="14" t="str">
        <f>HYPERLINK("https://otsuka-europe-crm.veevavault.com/ui/#object/email_activity__v/V8C00000003O802", "EN-002090462")</f>
        <v>EN-002090462</v>
      </c>
    </row>
    <row r="3314" spans="1:15" ht="32" x14ac:dyDescent="0.2">
      <c r="A3314" s="7" t="str">
        <f>HYPERLINK("https://otsuka-europe-crm.veevavault.com/ui/#object/account__v/V4TZ06G6O71S9SX", "CLAUDIA DARIO")</f>
        <v>CLAUDIA DARIO</v>
      </c>
      <c r="B3314" s="7" t="str">
        <f t="shared" si="148"/>
        <v>IT</v>
      </c>
      <c r="C3314" s="8" t="s">
        <v>44</v>
      </c>
      <c r="D3314" s="9" t="str">
        <f t="shared" si="149"/>
        <v>AE dialoghi di tempo fiducia e cura episodi 2-3-4</v>
      </c>
      <c r="E3314" s="10" t="str">
        <f>HYPERLINK("https://otsuka-europe-crm.veevavault.com/ui/#object/sent_email__v/VBL00000002O784", "SE-001432455")</f>
        <v>SE-001432455</v>
      </c>
      <c r="F3314" s="11"/>
      <c r="G3314" s="12">
        <v>0</v>
      </c>
      <c r="H3314" s="12">
        <v>0</v>
      </c>
      <c r="I3314" s="12">
        <v>0</v>
      </c>
      <c r="J3314" s="11"/>
      <c r="K3314" s="12">
        <v>0</v>
      </c>
      <c r="L3314" s="10" t="str">
        <f t="shared" si="150"/>
        <v>AE dialoghi di tempo fiducia e cura episodi 2-3-4</v>
      </c>
      <c r="M3314" s="10" t="str">
        <f t="shared" si="151"/>
        <v>nicoletta.vozza@crm.otsuka-europe.com</v>
      </c>
      <c r="N3314" s="13">
        <v>46181.338090277779</v>
      </c>
      <c r="O3314" s="14" t="str">
        <f>HYPERLINK("https://otsuka-europe-crm.veevavault.com/ui/#object/email_activity__v/V8C00000003O692", "EN-002090248")</f>
        <v>EN-002090248</v>
      </c>
    </row>
    <row r="3315" spans="1:15" ht="32" x14ac:dyDescent="0.2">
      <c r="A3315" s="7" t="str">
        <f>HYPERLINK("https://otsuka-europe-crm.veevavault.com/ui/#object/account__v/V4TZ06G6O71SABM", "CLAUDIA DE MARINO")</f>
        <v>CLAUDIA DE MARINO</v>
      </c>
      <c r="B3315" s="7" t="str">
        <f t="shared" si="148"/>
        <v>IT</v>
      </c>
      <c r="C3315" s="8" t="s">
        <v>44</v>
      </c>
      <c r="D3315" s="9" t="str">
        <f t="shared" si="149"/>
        <v>AE dialoghi di tempo fiducia e cura episodi 2-3-4</v>
      </c>
      <c r="E3315" s="10" t="str">
        <f>HYPERLINK("https://otsuka-europe-crm.veevavault.com/ui/#object/sent_email__v/VBL00000002O785", "SE-001432456")</f>
        <v>SE-001432456</v>
      </c>
      <c r="F3315" s="11"/>
      <c r="G3315" s="12">
        <v>0</v>
      </c>
      <c r="H3315" s="12">
        <v>0</v>
      </c>
      <c r="I3315" s="12">
        <v>0</v>
      </c>
      <c r="J3315" s="11"/>
      <c r="K3315" s="12">
        <v>0</v>
      </c>
      <c r="L3315" s="10" t="str">
        <f t="shared" si="150"/>
        <v>AE dialoghi di tempo fiducia e cura episodi 2-3-4</v>
      </c>
      <c r="M3315" s="10" t="str">
        <f t="shared" si="151"/>
        <v>nicoletta.vozza@crm.otsuka-europe.com</v>
      </c>
      <c r="N3315" s="13">
        <v>46181.338055555556</v>
      </c>
      <c r="O3315" s="14" t="str">
        <f>HYPERLINK("https://otsuka-europe-crm.veevavault.com/ui/#object/email_activity__v/V8C00000003O448", "EN-002090004")</f>
        <v>EN-002090004</v>
      </c>
    </row>
    <row r="3316" spans="1:15" ht="16" x14ac:dyDescent="0.2">
      <c r="A3316" s="17" t="str">
        <f>HYPERLINK("https://otsuka-europe-crm.veevavault.com/ui/#object/account__v/V4TZ025E899FP55", "CLAUDIA FORLANI")</f>
        <v>CLAUDIA FORLANI</v>
      </c>
      <c r="B3316" s="17" t="str">
        <f t="shared" si="148"/>
        <v>IT</v>
      </c>
      <c r="C3316" s="20" t="s">
        <v>44</v>
      </c>
      <c r="D3316" s="21" t="str">
        <f t="shared" si="149"/>
        <v>AE dialoghi di tempo fiducia e cura episodi 2-3-4</v>
      </c>
      <c r="E3316" s="22" t="str">
        <f>HYPERLINK("https://otsuka-europe-crm.veevavault.com/ui/#object/sent_email__v/VBL00000002O786", "SE-001432457")</f>
        <v>SE-001432457</v>
      </c>
      <c r="F3316" s="25"/>
      <c r="G3316" s="24">
        <v>0</v>
      </c>
      <c r="H3316" s="24">
        <v>0</v>
      </c>
      <c r="I3316" s="24">
        <v>0</v>
      </c>
      <c r="J3316" s="25"/>
      <c r="K3316" s="24">
        <v>0</v>
      </c>
      <c r="L3316" s="22" t="str">
        <f t="shared" si="150"/>
        <v>AE dialoghi di tempo fiducia e cura episodi 2-3-4</v>
      </c>
      <c r="M3316" s="22" t="str">
        <f t="shared" si="151"/>
        <v>nicoletta.vozza@crm.otsuka-europe.com</v>
      </c>
      <c r="N3316" s="23">
        <v>46181.338055555556</v>
      </c>
      <c r="O3316" s="14" t="str">
        <f>HYPERLINK("https://otsuka-europe-crm.veevavault.com/ui/#object/email_activity__v/V8C00000003P862", "EN-002091281")</f>
        <v>EN-002091281</v>
      </c>
    </row>
    <row r="3317" spans="1:15" ht="16" x14ac:dyDescent="0.2">
      <c r="A3317" s="18"/>
      <c r="B3317" s="18"/>
      <c r="C3317" s="18"/>
      <c r="D3317" s="18"/>
      <c r="E3317" s="18"/>
      <c r="F3317" s="18"/>
      <c r="G3317" s="18"/>
      <c r="H3317" s="18"/>
      <c r="I3317" s="18"/>
      <c r="J3317" s="18"/>
      <c r="K3317" s="18"/>
      <c r="L3317" s="18"/>
      <c r="M3317" s="18"/>
      <c r="N3317" s="18"/>
      <c r="O3317" s="14" t="str">
        <f>HYPERLINK("https://otsuka-europe-crm.veevavault.com/ui/#object/email_activity__v/V8C00000003Q180", "EN-002091279")</f>
        <v>EN-002091279</v>
      </c>
    </row>
    <row r="3318" spans="1:15" ht="16" x14ac:dyDescent="0.2">
      <c r="A3318" s="18"/>
      <c r="B3318" s="18"/>
      <c r="C3318" s="18"/>
      <c r="D3318" s="18"/>
      <c r="E3318" s="18"/>
      <c r="F3318" s="18"/>
      <c r="G3318" s="18"/>
      <c r="H3318" s="18"/>
      <c r="I3318" s="18"/>
      <c r="J3318" s="18"/>
      <c r="K3318" s="18"/>
      <c r="L3318" s="18"/>
      <c r="M3318" s="18"/>
      <c r="N3318" s="18"/>
      <c r="O3318" s="14" t="str">
        <f>HYPERLINK("https://otsuka-europe-crm.veevavault.com/ui/#object/email_activity__v/V8C00000003U036", "EN-002094890")</f>
        <v>EN-002094890</v>
      </c>
    </row>
    <row r="3319" spans="1:15" ht="16" x14ac:dyDescent="0.2">
      <c r="A3319" s="19"/>
      <c r="B3319" s="19"/>
      <c r="C3319" s="19"/>
      <c r="D3319" s="19"/>
      <c r="E3319" s="19"/>
      <c r="F3319" s="19"/>
      <c r="G3319" s="19"/>
      <c r="H3319" s="19"/>
      <c r="I3319" s="19"/>
      <c r="J3319" s="19"/>
      <c r="K3319" s="19"/>
      <c r="L3319" s="19"/>
      <c r="M3319" s="19"/>
      <c r="N3319" s="19"/>
      <c r="O3319" s="14" t="str">
        <f>HYPERLINK("https://otsuka-europe-crm.veevavault.com/ui/#object/email_activity__v/V8C00000003W106", "EN-002096857")</f>
        <v>EN-002096857</v>
      </c>
    </row>
    <row r="3320" spans="1:15" ht="32" x14ac:dyDescent="0.2">
      <c r="A3320" s="7" t="str">
        <f>HYPERLINK("https://otsuka-europe-crm.veevavault.com/ui/#object/account__v/V4TZ06G6O71SAMQ", "CLAUDIA FRUTTERO")</f>
        <v>CLAUDIA FRUTTERO</v>
      </c>
      <c r="B3320" s="7" t="str">
        <f t="shared" ref="B3320:B3330" si="152">HYPERLINK("https://otsuka-europe-crm.veevavault.com/ui/#object/vcountry__v/VENZ000004SONFQ", "IT")</f>
        <v>IT</v>
      </c>
      <c r="C3320" s="8" t="s">
        <v>44</v>
      </c>
      <c r="D3320" s="9" t="str">
        <f t="shared" ref="D3320:D3330" si="153">HYPERLINK("https://otsuka-europe-crm.veevavault.com/ui/#object/approved_document__v/V5O000000018003", "AE dialoghi di tempo fiducia e cura episodi 2-3-4")</f>
        <v>AE dialoghi di tempo fiducia e cura episodi 2-3-4</v>
      </c>
      <c r="E3320" s="10" t="str">
        <f>HYPERLINK("https://otsuka-europe-crm.veevavault.com/ui/#object/sent_email__v/VBL00000002O787", "SE-001432458")</f>
        <v>SE-001432458</v>
      </c>
      <c r="F3320" s="11"/>
      <c r="G3320" s="12">
        <v>0</v>
      </c>
      <c r="H3320" s="12">
        <v>0</v>
      </c>
      <c r="I3320" s="12">
        <v>0</v>
      </c>
      <c r="J3320" s="11"/>
      <c r="K3320" s="12">
        <v>0</v>
      </c>
      <c r="L3320" s="10" t="str">
        <f t="shared" ref="L3320:L3330" si="154">HYPERLINK("https://otsuka-europe-crm.veevavault.com/ui/#object/approved_document__v/V5O000000018003", "AE dialoghi di tempo fiducia e cura episodi 2-3-4")</f>
        <v>AE dialoghi di tempo fiducia e cura episodi 2-3-4</v>
      </c>
      <c r="M3320" s="10" t="str">
        <f t="shared" ref="M3320:M3330" si="155">HYPERLINK("mailto:nicoletta.vozza@crm.otsuka-europe.com", "nicoletta.vozza@crm.otsuka-europe.com")</f>
        <v>nicoletta.vozza@crm.otsuka-europe.com</v>
      </c>
      <c r="N3320" s="13">
        <v>46181.338055555556</v>
      </c>
      <c r="O3320" s="14" t="str">
        <f>HYPERLINK("https://otsuka-europe-crm.veevavault.com/ui/#object/email_activity__v/V8C00000003O951", "EN-002090611")</f>
        <v>EN-002090611</v>
      </c>
    </row>
    <row r="3321" spans="1:15" ht="32" x14ac:dyDescent="0.2">
      <c r="A3321" s="7" t="str">
        <f>HYPERLINK("https://otsuka-europe-crm.veevavault.com/ui/#object/account__v/V4TZ06G6O71SA3C", "CLAUDIA GIRAUDO")</f>
        <v>CLAUDIA GIRAUDO</v>
      </c>
      <c r="B3321" s="7" t="str">
        <f t="shared" si="152"/>
        <v>IT</v>
      </c>
      <c r="C3321" s="8" t="s">
        <v>44</v>
      </c>
      <c r="D3321" s="9" t="str">
        <f t="shared" si="153"/>
        <v>AE dialoghi di tempo fiducia e cura episodi 2-3-4</v>
      </c>
      <c r="E3321" s="10" t="str">
        <f>HYPERLINK("https://otsuka-europe-crm.veevavault.com/ui/#object/sent_email__v/VBL00000002O788", "SE-001432459")</f>
        <v>SE-001432459</v>
      </c>
      <c r="F3321" s="11"/>
      <c r="G3321" s="12">
        <v>0</v>
      </c>
      <c r="H3321" s="12">
        <v>0</v>
      </c>
      <c r="I3321" s="12">
        <v>0</v>
      </c>
      <c r="J3321" s="11"/>
      <c r="K3321" s="12">
        <v>0</v>
      </c>
      <c r="L3321" s="10" t="str">
        <f t="shared" si="154"/>
        <v>AE dialoghi di tempo fiducia e cura episodi 2-3-4</v>
      </c>
      <c r="M3321" s="10" t="str">
        <f t="shared" si="155"/>
        <v>nicoletta.vozza@crm.otsuka-europe.com</v>
      </c>
      <c r="N3321" s="13">
        <v>46181.337962962964</v>
      </c>
      <c r="O3321" s="14" t="str">
        <f>HYPERLINK("https://otsuka-europe-crm.veevavault.com/ui/#object/email_activity__v/V8C00000003O453", "EN-002090009")</f>
        <v>EN-002090009</v>
      </c>
    </row>
    <row r="3322" spans="1:15" ht="32" x14ac:dyDescent="0.2">
      <c r="A3322" s="7" t="str">
        <f>HYPERLINK("https://otsuka-europe-crm.veevavault.com/ui/#object/account__v/V4TZ04ASG7L7PJ0", "CLAUDIA MAIORANO")</f>
        <v>CLAUDIA MAIORANO</v>
      </c>
      <c r="B3322" s="7" t="str">
        <f t="shared" si="152"/>
        <v>IT</v>
      </c>
      <c r="C3322" s="8" t="s">
        <v>44</v>
      </c>
      <c r="D3322" s="9" t="str">
        <f t="shared" si="153"/>
        <v>AE dialoghi di tempo fiducia e cura episodi 2-3-4</v>
      </c>
      <c r="E3322" s="10" t="str">
        <f>HYPERLINK("https://otsuka-europe-crm.veevavault.com/ui/#object/sent_email__v/VBL00000002O789", "SE-001432460")</f>
        <v>SE-001432460</v>
      </c>
      <c r="F3322" s="11"/>
      <c r="G3322" s="12">
        <v>0</v>
      </c>
      <c r="H3322" s="12">
        <v>0</v>
      </c>
      <c r="I3322" s="12">
        <v>0</v>
      </c>
      <c r="J3322" s="11"/>
      <c r="K3322" s="12">
        <v>0</v>
      </c>
      <c r="L3322" s="10" t="str">
        <f t="shared" si="154"/>
        <v>AE dialoghi di tempo fiducia e cura episodi 2-3-4</v>
      </c>
      <c r="M3322" s="10" t="str">
        <f t="shared" si="155"/>
        <v>nicoletta.vozza@crm.otsuka-europe.com</v>
      </c>
      <c r="N3322" s="13">
        <v>46181.338020833333</v>
      </c>
      <c r="O3322" s="14" t="str">
        <f>HYPERLINK("https://otsuka-europe-crm.veevavault.com/ui/#object/email_activity__v/V8C00000003P353", "EN-002090359")</f>
        <v>EN-002090359</v>
      </c>
    </row>
    <row r="3323" spans="1:15" ht="32" x14ac:dyDescent="0.2">
      <c r="A3323" s="7" t="str">
        <f>HYPERLINK("https://otsuka-europe-crm.veevavault.com/ui/#object/account__v/V4TZ04ASGDOWW1K", "CLAUDIA MASSARELLI")</f>
        <v>CLAUDIA MASSARELLI</v>
      </c>
      <c r="B3323" s="7" t="str">
        <f t="shared" si="152"/>
        <v>IT</v>
      </c>
      <c r="C3323" s="8" t="s">
        <v>44</v>
      </c>
      <c r="D3323" s="9" t="str">
        <f t="shared" si="153"/>
        <v>AE dialoghi di tempo fiducia e cura episodi 2-3-4</v>
      </c>
      <c r="E3323" s="10" t="str">
        <f>HYPERLINK("https://otsuka-europe-crm.veevavault.com/ui/#object/sent_email__v/VBL00000002O790", "SE-001432461")</f>
        <v>SE-001432461</v>
      </c>
      <c r="F3323" s="11"/>
      <c r="G3323" s="12">
        <v>0</v>
      </c>
      <c r="H3323" s="12">
        <v>0</v>
      </c>
      <c r="I3323" s="12">
        <v>0</v>
      </c>
      <c r="J3323" s="11"/>
      <c r="K3323" s="12">
        <v>0</v>
      </c>
      <c r="L3323" s="10" t="str">
        <f t="shared" si="154"/>
        <v>AE dialoghi di tempo fiducia e cura episodi 2-3-4</v>
      </c>
      <c r="M3323" s="10" t="str">
        <f t="shared" si="155"/>
        <v>nicoletta.vozza@crm.otsuka-europe.com</v>
      </c>
      <c r="N3323" s="13">
        <v>46181.338020833333</v>
      </c>
      <c r="O3323" s="14" t="str">
        <f>HYPERLINK("https://otsuka-europe-crm.veevavault.com/ui/#object/email_activity__v/V8C00000003P290", "EN-002089926")</f>
        <v>EN-002089926</v>
      </c>
    </row>
    <row r="3324" spans="1:15" ht="32" x14ac:dyDescent="0.2">
      <c r="A3324" s="7" t="str">
        <f>HYPERLINK("https://otsuka-europe-crm.veevavault.com/ui/#object/account__v/V4TZ06G6O71SC3Q", "CLAUDIA RIZZOLIO")</f>
        <v>CLAUDIA RIZZOLIO</v>
      </c>
      <c r="B3324" s="7" t="str">
        <f t="shared" si="152"/>
        <v>IT</v>
      </c>
      <c r="C3324" s="8" t="s">
        <v>44</v>
      </c>
      <c r="D3324" s="9" t="str">
        <f t="shared" si="153"/>
        <v>AE dialoghi di tempo fiducia e cura episodi 2-3-4</v>
      </c>
      <c r="E3324" s="10" t="str">
        <f>HYPERLINK("https://otsuka-europe-crm.veevavault.com/ui/#object/sent_email__v/VBL00000002O791", "SE-001432462")</f>
        <v>SE-001432462</v>
      </c>
      <c r="F3324" s="11"/>
      <c r="G3324" s="12">
        <v>0</v>
      </c>
      <c r="H3324" s="12">
        <v>0</v>
      </c>
      <c r="I3324" s="12">
        <v>0</v>
      </c>
      <c r="J3324" s="11"/>
      <c r="K3324" s="12">
        <v>0</v>
      </c>
      <c r="L3324" s="10" t="str">
        <f t="shared" si="154"/>
        <v>AE dialoghi di tempo fiducia e cura episodi 2-3-4</v>
      </c>
      <c r="M3324" s="10" t="str">
        <f t="shared" si="155"/>
        <v>nicoletta.vozza@crm.otsuka-europe.com</v>
      </c>
      <c r="N3324" s="13">
        <v>46181.33798611111</v>
      </c>
      <c r="O3324" s="14" t="str">
        <f>HYPERLINK("https://otsuka-europe-crm.veevavault.com/ui/#object/email_activity__v/V8C00000003P279", "EN-002089915")</f>
        <v>EN-002089915</v>
      </c>
    </row>
    <row r="3325" spans="1:15" ht="32" x14ac:dyDescent="0.2">
      <c r="A3325" s="7" t="str">
        <f>HYPERLINK("https://otsuka-europe-crm.veevavault.com/ui/#object/account__v/V4TZ06G6O71SCLH", "CLAUDIA TRAVERSA")</f>
        <v>CLAUDIA TRAVERSA</v>
      </c>
      <c r="B3325" s="7" t="str">
        <f t="shared" si="152"/>
        <v>IT</v>
      </c>
      <c r="C3325" s="8" t="s">
        <v>44</v>
      </c>
      <c r="D3325" s="9" t="str">
        <f t="shared" si="153"/>
        <v>AE dialoghi di tempo fiducia e cura episodi 2-3-4</v>
      </c>
      <c r="E3325" s="10" t="str">
        <f>HYPERLINK("https://otsuka-europe-crm.veevavault.com/ui/#object/sent_email__v/VBL00000002O792", "SE-001432463")</f>
        <v>SE-001432463</v>
      </c>
      <c r="F3325" s="11"/>
      <c r="G3325" s="12">
        <v>0</v>
      </c>
      <c r="H3325" s="12">
        <v>0</v>
      </c>
      <c r="I3325" s="12">
        <v>0</v>
      </c>
      <c r="J3325" s="11"/>
      <c r="K3325" s="12">
        <v>0</v>
      </c>
      <c r="L3325" s="10" t="str">
        <f t="shared" si="154"/>
        <v>AE dialoghi di tempo fiducia e cura episodi 2-3-4</v>
      </c>
      <c r="M3325" s="10" t="str">
        <f t="shared" si="155"/>
        <v>nicoletta.vozza@crm.otsuka-europe.com</v>
      </c>
      <c r="N3325" s="13">
        <v>46181.338125000002</v>
      </c>
      <c r="O3325" s="14" t="str">
        <f>HYPERLINK("https://otsuka-europe-crm.veevavault.com/ui/#object/email_activity__v/V8C00000003P643", "EN-002090898")</f>
        <v>EN-002090898</v>
      </c>
    </row>
    <row r="3326" spans="1:15" ht="32" x14ac:dyDescent="0.2">
      <c r="A3326" s="7" t="str">
        <f>HYPERLINK("https://otsuka-europe-crm.veevavault.com/ui/#object/account__v/V4TZ025E85H4QDF", "CLAUDIA TUCCI")</f>
        <v>CLAUDIA TUCCI</v>
      </c>
      <c r="B3326" s="7" t="str">
        <f t="shared" si="152"/>
        <v>IT</v>
      </c>
      <c r="C3326" s="8" t="s">
        <v>44</v>
      </c>
      <c r="D3326" s="9" t="str">
        <f t="shared" si="153"/>
        <v>AE dialoghi di tempo fiducia e cura episodi 2-3-4</v>
      </c>
      <c r="E3326" s="10" t="str">
        <f>HYPERLINK("https://otsuka-europe-crm.veevavault.com/ui/#object/sent_email__v/VBL00000002O793", "SE-001432464")</f>
        <v>SE-001432464</v>
      </c>
      <c r="F3326" s="11"/>
      <c r="G3326" s="12">
        <v>0</v>
      </c>
      <c r="H3326" s="12">
        <v>0</v>
      </c>
      <c r="I3326" s="12">
        <v>0</v>
      </c>
      <c r="J3326" s="11"/>
      <c r="K3326" s="12">
        <v>0</v>
      </c>
      <c r="L3326" s="10" t="str">
        <f t="shared" si="154"/>
        <v>AE dialoghi di tempo fiducia e cura episodi 2-3-4</v>
      </c>
      <c r="M3326" s="10" t="str">
        <f t="shared" si="155"/>
        <v>nicoletta.vozza@crm.otsuka-europe.com</v>
      </c>
      <c r="N3326" s="13">
        <v>46181.337951388887</v>
      </c>
      <c r="O3326" s="14" t="str">
        <f>HYPERLINK("https://otsuka-europe-crm.veevavault.com/ui/#object/email_activity__v/V8C00000003O341", "EN-002089859")</f>
        <v>EN-002089859</v>
      </c>
    </row>
    <row r="3327" spans="1:15" ht="32" x14ac:dyDescent="0.2">
      <c r="A3327" s="7" t="str">
        <f>HYPERLINK("https://otsuka-europe-crm.veevavault.com/ui/#object/account__v/V4TZ06G6O71SA5V", "CLAUDIO CARLO ANGELO BORGHI")</f>
        <v>CLAUDIO CARLO ANGELO BORGHI</v>
      </c>
      <c r="B3327" s="7" t="str">
        <f t="shared" si="152"/>
        <v>IT</v>
      </c>
      <c r="C3327" s="8" t="s">
        <v>44</v>
      </c>
      <c r="D3327" s="9" t="str">
        <f t="shared" si="153"/>
        <v>AE dialoghi di tempo fiducia e cura episodi 2-3-4</v>
      </c>
      <c r="E3327" s="10" t="str">
        <f>HYPERLINK("https://otsuka-europe-crm.veevavault.com/ui/#object/sent_email__v/VBL00000002O794", "SE-001432465")</f>
        <v>SE-001432465</v>
      </c>
      <c r="F3327" s="11"/>
      <c r="G3327" s="12">
        <v>0</v>
      </c>
      <c r="H3327" s="12">
        <v>0</v>
      </c>
      <c r="I3327" s="12">
        <v>0</v>
      </c>
      <c r="J3327" s="11"/>
      <c r="K3327" s="12">
        <v>0</v>
      </c>
      <c r="L3327" s="10" t="str">
        <f t="shared" si="154"/>
        <v>AE dialoghi di tempo fiducia e cura episodi 2-3-4</v>
      </c>
      <c r="M3327" s="10" t="str">
        <f t="shared" si="155"/>
        <v>nicoletta.vozza@crm.otsuka-europe.com</v>
      </c>
      <c r="N3327" s="13">
        <v>46181.338055555556</v>
      </c>
      <c r="O3327" s="14" t="str">
        <f>HYPERLINK("https://otsuka-europe-crm.veevavault.com/ui/#object/email_activity__v/V8C00000003O495", "EN-002090051")</f>
        <v>EN-002090051</v>
      </c>
    </row>
    <row r="3328" spans="1:15" ht="32" x14ac:dyDescent="0.2">
      <c r="A3328" s="7" t="str">
        <f>HYPERLINK("https://otsuka-europe-crm.veevavault.com/ui/#object/account__v/V4TZ06G6OCBH2NA", "CLAUDIO CRESCINI")</f>
        <v>CLAUDIO CRESCINI</v>
      </c>
      <c r="B3328" s="7" t="str">
        <f t="shared" si="152"/>
        <v>IT</v>
      </c>
      <c r="C3328" s="8" t="s">
        <v>44</v>
      </c>
      <c r="D3328" s="9" t="str">
        <f t="shared" si="153"/>
        <v>AE dialoghi di tempo fiducia e cura episodi 2-3-4</v>
      </c>
      <c r="E3328" s="10" t="str">
        <f>HYPERLINK("https://otsuka-europe-crm.veevavault.com/ui/#object/sent_email__v/VBL00000002O795", "SE-001432466")</f>
        <v>SE-001432466</v>
      </c>
      <c r="F3328" s="11"/>
      <c r="G3328" s="12">
        <v>0</v>
      </c>
      <c r="H3328" s="12">
        <v>0</v>
      </c>
      <c r="I3328" s="12">
        <v>0</v>
      </c>
      <c r="J3328" s="11"/>
      <c r="K3328" s="12">
        <v>0</v>
      </c>
      <c r="L3328" s="10" t="str">
        <f t="shared" si="154"/>
        <v>AE dialoghi di tempo fiducia e cura episodi 2-3-4</v>
      </c>
      <c r="M3328" s="10" t="str">
        <f t="shared" si="155"/>
        <v>nicoletta.vozza@crm.otsuka-europe.com</v>
      </c>
      <c r="N3328" s="13">
        <v>46181.339050925926</v>
      </c>
      <c r="O3328" s="14" t="str">
        <f>HYPERLINK("https://otsuka-europe-crm.veevavault.com/ui/#object/email_activity__v/V8C00000003Q193", "EN-002091298")</f>
        <v>EN-002091298</v>
      </c>
    </row>
    <row r="3329" spans="1:15" ht="32" x14ac:dyDescent="0.2">
      <c r="A3329" s="7" t="str">
        <f>HYPERLINK("https://otsuka-europe-crm.veevavault.com/ui/#object/account__v/V4TZ025E87NR57B", "CLAUDIO LIGUORI")</f>
        <v>CLAUDIO LIGUORI</v>
      </c>
      <c r="B3329" s="7" t="str">
        <f t="shared" si="152"/>
        <v>IT</v>
      </c>
      <c r="C3329" s="8" t="s">
        <v>44</v>
      </c>
      <c r="D3329" s="9" t="str">
        <f t="shared" si="153"/>
        <v>AE dialoghi di tempo fiducia e cura episodi 2-3-4</v>
      </c>
      <c r="E3329" s="10" t="str">
        <f>HYPERLINK("https://otsuka-europe-crm.veevavault.com/ui/#object/sent_email__v/VBL00000002O796", "SE-001432467")</f>
        <v>SE-001432467</v>
      </c>
      <c r="F3329" s="11"/>
      <c r="G3329" s="12">
        <v>0</v>
      </c>
      <c r="H3329" s="12">
        <v>0</v>
      </c>
      <c r="I3329" s="12">
        <v>0</v>
      </c>
      <c r="J3329" s="11"/>
      <c r="K3329" s="12">
        <v>0</v>
      </c>
      <c r="L3329" s="10" t="str">
        <f t="shared" si="154"/>
        <v>AE dialoghi di tempo fiducia e cura episodi 2-3-4</v>
      </c>
      <c r="M3329" s="10" t="str">
        <f t="shared" si="155"/>
        <v>nicoletta.vozza@crm.otsuka-europe.com</v>
      </c>
      <c r="N3329" s="13">
        <v>46181.337939814817</v>
      </c>
      <c r="O3329" s="14" t="str">
        <f>HYPERLINK("https://otsuka-europe-crm.veevavault.com/ui/#object/email_activity__v/V8C00000003O150", "EN-002089532")</f>
        <v>EN-002089532</v>
      </c>
    </row>
    <row r="3330" spans="1:15" ht="16" x14ac:dyDescent="0.2">
      <c r="A3330" s="17" t="str">
        <f>HYPERLINK("https://otsuka-europe-crm.veevavault.com/ui/#object/account__v/V4TZ06G6O71SBLB", "CLAUDIO MENCACCI")</f>
        <v>CLAUDIO MENCACCI</v>
      </c>
      <c r="B3330" s="17" t="str">
        <f t="shared" si="152"/>
        <v>IT</v>
      </c>
      <c r="C3330" s="20" t="s">
        <v>44</v>
      </c>
      <c r="D3330" s="21" t="str">
        <f t="shared" si="153"/>
        <v>AE dialoghi di tempo fiducia e cura episodi 2-3-4</v>
      </c>
      <c r="E3330" s="22" t="str">
        <f>HYPERLINK("https://otsuka-europe-crm.veevavault.com/ui/#object/sent_email__v/VBL00000002O797", "SE-001432468")</f>
        <v>SE-001432468</v>
      </c>
      <c r="F3330" s="23">
        <v>46182.295520833337</v>
      </c>
      <c r="G3330" s="24">
        <v>1</v>
      </c>
      <c r="H3330" s="24">
        <v>1</v>
      </c>
      <c r="I3330" s="24">
        <v>0</v>
      </c>
      <c r="J3330" s="25"/>
      <c r="K3330" s="24">
        <v>0</v>
      </c>
      <c r="L3330" s="22" t="str">
        <f t="shared" si="154"/>
        <v>AE dialoghi di tempo fiducia e cura episodi 2-3-4</v>
      </c>
      <c r="M3330" s="22" t="str">
        <f t="shared" si="155"/>
        <v>nicoletta.vozza@crm.otsuka-europe.com</v>
      </c>
      <c r="N3330" s="23">
        <v>46181.337916666664</v>
      </c>
      <c r="O3330" s="14" t="str">
        <f>HYPERLINK("https://otsuka-europe-crm.veevavault.com/ui/#object/email_activity__v/V8C00000003O139", "EN-002089521")</f>
        <v>EN-002089521</v>
      </c>
    </row>
    <row r="3331" spans="1:15" ht="16" x14ac:dyDescent="0.2">
      <c r="A3331" s="18"/>
      <c r="B3331" s="18"/>
      <c r="C3331" s="18"/>
      <c r="D3331" s="18"/>
      <c r="E3331" s="18"/>
      <c r="F3331" s="18"/>
      <c r="G3331" s="18"/>
      <c r="H3331" s="18"/>
      <c r="I3331" s="18"/>
      <c r="J3331" s="18"/>
      <c r="K3331" s="18"/>
      <c r="L3331" s="18"/>
      <c r="M3331" s="18"/>
      <c r="N3331" s="18"/>
      <c r="O3331" s="14" t="str">
        <f>HYPERLINK("https://otsuka-europe-crm.veevavault.com/ui/#object/email_activity__v/V8C00000003R334", "EN-002092318")</f>
        <v>EN-002092318</v>
      </c>
    </row>
    <row r="3332" spans="1:15" ht="16" x14ac:dyDescent="0.2">
      <c r="A3332" s="19"/>
      <c r="B3332" s="19"/>
      <c r="C3332" s="19"/>
      <c r="D3332" s="19"/>
      <c r="E3332" s="19"/>
      <c r="F3332" s="19"/>
      <c r="G3332" s="19"/>
      <c r="H3332" s="19"/>
      <c r="I3332" s="19"/>
      <c r="J3332" s="19"/>
      <c r="K3332" s="19"/>
      <c r="L3332" s="19"/>
      <c r="M3332" s="19"/>
      <c r="N3332" s="19"/>
      <c r="O3332" s="14" t="str">
        <f>HYPERLINK("https://otsuka-europe-crm.veevavault.com/ui/#object/email_activity__v/V8C00000003R338", "EN-002092322")</f>
        <v>EN-002092322</v>
      </c>
    </row>
    <row r="3333" spans="1:15" ht="32" x14ac:dyDescent="0.2">
      <c r="A3333" s="7" t="str">
        <f>HYPERLINK("https://otsuka-europe-crm.veevavault.com/ui/#object/account__v/V4TZ06G6O71SACL", "CLAUDIO MICHELE VITUCCI")</f>
        <v>CLAUDIO MICHELE VITUCCI</v>
      </c>
      <c r="B3333" s="7" t="str">
        <f t="shared" ref="B3333:B3340" si="156">HYPERLINK("https://otsuka-europe-crm.veevavault.com/ui/#object/vcountry__v/VENZ000004SONFQ", "IT")</f>
        <v>IT</v>
      </c>
      <c r="C3333" s="8" t="s">
        <v>44</v>
      </c>
      <c r="D3333" s="9" t="str">
        <f t="shared" ref="D3333:D3340" si="157">HYPERLINK("https://otsuka-europe-crm.veevavault.com/ui/#object/approved_document__v/V5O000000018003", "AE dialoghi di tempo fiducia e cura episodi 2-3-4")</f>
        <v>AE dialoghi di tempo fiducia e cura episodi 2-3-4</v>
      </c>
      <c r="E3333" s="10" t="str">
        <f>HYPERLINK("https://otsuka-europe-crm.veevavault.com/ui/#object/sent_email__v/VBL00000002O798", "SE-001432469")</f>
        <v>SE-001432469</v>
      </c>
      <c r="F3333" s="11"/>
      <c r="G3333" s="12">
        <v>0</v>
      </c>
      <c r="H3333" s="12">
        <v>0</v>
      </c>
      <c r="I3333" s="12">
        <v>0</v>
      </c>
      <c r="J3333" s="11"/>
      <c r="K3333" s="12">
        <v>0</v>
      </c>
      <c r="L3333" s="10" t="str">
        <f t="shared" ref="L3333:L3340" si="158">HYPERLINK("https://otsuka-europe-crm.veevavault.com/ui/#object/approved_document__v/V5O000000018003", "AE dialoghi di tempo fiducia e cura episodi 2-3-4")</f>
        <v>AE dialoghi di tempo fiducia e cura episodi 2-3-4</v>
      </c>
      <c r="M3333" s="10" t="str">
        <f t="shared" ref="M3333:M3340" si="159">HYPERLINK("mailto:nicoletta.vozza@crm.otsuka-europe.com", "nicoletta.vozza@crm.otsuka-europe.com")</f>
        <v>nicoletta.vozza@crm.otsuka-europe.com</v>
      </c>
      <c r="N3333" s="13">
        <v>46181.337962962964</v>
      </c>
      <c r="O3333" s="14" t="str">
        <f>HYPERLINK("https://otsuka-europe-crm.veevavault.com/ui/#object/email_activity__v/V8C00000003O168", "EN-002089605")</f>
        <v>EN-002089605</v>
      </c>
    </row>
    <row r="3334" spans="1:15" ht="32" x14ac:dyDescent="0.2">
      <c r="A3334" s="7" t="str">
        <f>HYPERLINK("https://otsuka-europe-crm.veevavault.com/ui/#object/account__v/V4TZ06G6O71SBK5", "CLAUDIO MONACI")</f>
        <v>CLAUDIO MONACI</v>
      </c>
      <c r="B3334" s="7" t="str">
        <f t="shared" si="156"/>
        <v>IT</v>
      </c>
      <c r="C3334" s="8" t="s">
        <v>44</v>
      </c>
      <c r="D3334" s="9" t="str">
        <f t="shared" si="157"/>
        <v>AE dialoghi di tempo fiducia e cura episodi 2-3-4</v>
      </c>
      <c r="E3334" s="10" t="str">
        <f>HYPERLINK("https://otsuka-europe-crm.veevavault.com/ui/#object/sent_email__v/VBL00000002O799", "SE-001432470")</f>
        <v>SE-001432470</v>
      </c>
      <c r="F3334" s="11"/>
      <c r="G3334" s="12">
        <v>0</v>
      </c>
      <c r="H3334" s="12">
        <v>0</v>
      </c>
      <c r="I3334" s="12">
        <v>0</v>
      </c>
      <c r="J3334" s="11"/>
      <c r="K3334" s="12">
        <v>0</v>
      </c>
      <c r="L3334" s="10" t="str">
        <f t="shared" si="158"/>
        <v>AE dialoghi di tempo fiducia e cura episodi 2-3-4</v>
      </c>
      <c r="M3334" s="10" t="str">
        <f t="shared" si="159"/>
        <v>nicoletta.vozza@crm.otsuka-europe.com</v>
      </c>
      <c r="N3334" s="13">
        <v>46181.337997685187</v>
      </c>
      <c r="O3334" s="14" t="str">
        <f>HYPERLINK("https://otsuka-europe-crm.veevavault.com/ui/#object/email_activity__v/V8C00000003O979", "EN-002090728")</f>
        <v>EN-002090728</v>
      </c>
    </row>
    <row r="3335" spans="1:15" ht="32" x14ac:dyDescent="0.2">
      <c r="A3335" s="7" t="str">
        <f>HYPERLINK("https://otsuka-europe-crm.veevavault.com/ui/#object/account__v/V4TZ06G6O71SCF0", "CLAUDIO SCUPPA")</f>
        <v>CLAUDIO SCUPPA</v>
      </c>
      <c r="B3335" s="7" t="str">
        <f t="shared" si="156"/>
        <v>IT</v>
      </c>
      <c r="C3335" s="8" t="s">
        <v>44</v>
      </c>
      <c r="D3335" s="9" t="str">
        <f t="shared" si="157"/>
        <v>AE dialoghi di tempo fiducia e cura episodi 2-3-4</v>
      </c>
      <c r="E3335" s="10" t="str">
        <f>HYPERLINK("https://otsuka-europe-crm.veevavault.com/ui/#object/sent_email__v/VBL00000002O800", "SE-001432471")</f>
        <v>SE-001432471</v>
      </c>
      <c r="F3335" s="11"/>
      <c r="G3335" s="12">
        <v>0</v>
      </c>
      <c r="H3335" s="12">
        <v>0</v>
      </c>
      <c r="I3335" s="12">
        <v>0</v>
      </c>
      <c r="J3335" s="11"/>
      <c r="K3335" s="12">
        <v>0</v>
      </c>
      <c r="L3335" s="10" t="str">
        <f t="shared" si="158"/>
        <v>AE dialoghi di tempo fiducia e cura episodi 2-3-4</v>
      </c>
      <c r="M3335" s="10" t="str">
        <f t="shared" si="159"/>
        <v>nicoletta.vozza@crm.otsuka-europe.com</v>
      </c>
      <c r="N3335" s="13">
        <v>46181.33797453704</v>
      </c>
      <c r="O3335" s="14" t="str">
        <f>HYPERLINK("https://otsuka-europe-crm.veevavault.com/ui/#object/email_activity__v/V8C00000003O562", "EN-002090118")</f>
        <v>EN-002090118</v>
      </c>
    </row>
    <row r="3336" spans="1:15" ht="32" x14ac:dyDescent="0.2">
      <c r="A3336" s="7" t="str">
        <f>HYPERLINK("https://otsuka-europe-crm.veevavault.com/ui/#object/account__v/V4TZ06G6O71SCIN", "CLAUDIO TENUZZO")</f>
        <v>CLAUDIO TENUZZO</v>
      </c>
      <c r="B3336" s="7" t="str">
        <f t="shared" si="156"/>
        <v>IT</v>
      </c>
      <c r="C3336" s="8" t="s">
        <v>44</v>
      </c>
      <c r="D3336" s="9" t="str">
        <f t="shared" si="157"/>
        <v>AE dialoghi di tempo fiducia e cura episodi 2-3-4</v>
      </c>
      <c r="E3336" s="10" t="str">
        <f>HYPERLINK("https://otsuka-europe-crm.veevavault.com/ui/#object/sent_email__v/VBL00000002O801", "SE-001432472")</f>
        <v>SE-001432472</v>
      </c>
      <c r="F3336" s="11"/>
      <c r="G3336" s="12">
        <v>0</v>
      </c>
      <c r="H3336" s="12">
        <v>0</v>
      </c>
      <c r="I3336" s="12">
        <v>0</v>
      </c>
      <c r="J3336" s="11"/>
      <c r="K3336" s="12">
        <v>0</v>
      </c>
      <c r="L3336" s="10" t="str">
        <f t="shared" si="158"/>
        <v>AE dialoghi di tempo fiducia e cura episodi 2-3-4</v>
      </c>
      <c r="M3336" s="10" t="str">
        <f t="shared" si="159"/>
        <v>nicoletta.vozza@crm.otsuka-europe.com</v>
      </c>
      <c r="N3336" s="13">
        <v>46181.338043981479</v>
      </c>
      <c r="O3336" s="14" t="str">
        <f>HYPERLINK("https://otsuka-europe-crm.veevavault.com/ui/#object/email_activity__v/V8C00000003P792", "EN-002091090")</f>
        <v>EN-002091090</v>
      </c>
    </row>
    <row r="3337" spans="1:15" ht="32" x14ac:dyDescent="0.2">
      <c r="A3337" s="7" t="str">
        <f>HYPERLINK("https://otsuka-europe-crm.veevavault.com/ui/#object/account__v/V4TZ06G6O71SACW", "CLAUDIO VERZURA")</f>
        <v>CLAUDIO VERZURA</v>
      </c>
      <c r="B3337" s="7" t="str">
        <f t="shared" si="156"/>
        <v>IT</v>
      </c>
      <c r="C3337" s="8" t="s">
        <v>44</v>
      </c>
      <c r="D3337" s="9" t="str">
        <f t="shared" si="157"/>
        <v>AE dialoghi di tempo fiducia e cura episodi 2-3-4</v>
      </c>
      <c r="E3337" s="10" t="str">
        <f>HYPERLINK("https://otsuka-europe-crm.veevavault.com/ui/#object/sent_email__v/VBL00000002O802", "SE-001432473")</f>
        <v>SE-001432473</v>
      </c>
      <c r="F3337" s="11"/>
      <c r="G3337" s="12">
        <v>0</v>
      </c>
      <c r="H3337" s="12">
        <v>0</v>
      </c>
      <c r="I3337" s="12">
        <v>0</v>
      </c>
      <c r="J3337" s="11"/>
      <c r="K3337" s="12">
        <v>0</v>
      </c>
      <c r="L3337" s="10" t="str">
        <f t="shared" si="158"/>
        <v>AE dialoghi di tempo fiducia e cura episodi 2-3-4</v>
      </c>
      <c r="M3337" s="10" t="str">
        <f t="shared" si="159"/>
        <v>nicoletta.vozza@crm.otsuka-europe.com</v>
      </c>
      <c r="N3337" s="13">
        <v>46181.337997685187</v>
      </c>
      <c r="O3337" s="14" t="str">
        <f>HYPERLINK("https://otsuka-europe-crm.veevavault.com/ui/#object/email_activity__v/V8C00000003P226", "EN-002089672")</f>
        <v>EN-002089672</v>
      </c>
    </row>
    <row r="3338" spans="1:15" ht="32" x14ac:dyDescent="0.2">
      <c r="A3338" s="7" t="str">
        <f>HYPERLINK("https://otsuka-europe-crm.veevavault.com/ui/#object/account__v/V4TZ04ASGBC8CIO", "CLEMENTE CEDRO")</f>
        <v>CLEMENTE CEDRO</v>
      </c>
      <c r="B3338" s="7" t="str">
        <f t="shared" si="156"/>
        <v>IT</v>
      </c>
      <c r="C3338" s="8" t="s">
        <v>44</v>
      </c>
      <c r="D3338" s="9" t="str">
        <f t="shared" si="157"/>
        <v>AE dialoghi di tempo fiducia e cura episodi 2-3-4</v>
      </c>
      <c r="E3338" s="10" t="str">
        <f>HYPERLINK("https://otsuka-europe-crm.veevavault.com/ui/#object/sent_email__v/VBL00000002O803", "SE-001432474")</f>
        <v>SE-001432474</v>
      </c>
      <c r="F3338" s="11"/>
      <c r="G3338" s="12">
        <v>0</v>
      </c>
      <c r="H3338" s="12">
        <v>0</v>
      </c>
      <c r="I3338" s="12">
        <v>0</v>
      </c>
      <c r="J3338" s="11"/>
      <c r="K3338" s="12">
        <v>0</v>
      </c>
      <c r="L3338" s="10" t="str">
        <f t="shared" si="158"/>
        <v>AE dialoghi di tempo fiducia e cura episodi 2-3-4</v>
      </c>
      <c r="M3338" s="10" t="str">
        <f t="shared" si="159"/>
        <v>nicoletta.vozza@crm.otsuka-europe.com</v>
      </c>
      <c r="N3338" s="13">
        <v>46181.33798611111</v>
      </c>
      <c r="O3338" s="14" t="str">
        <f>HYPERLINK("https://otsuka-europe-crm.veevavault.com/ui/#object/email_activity__v/V8C00000003O421", "EN-002089977")</f>
        <v>EN-002089977</v>
      </c>
    </row>
    <row r="3339" spans="1:15" ht="32" x14ac:dyDescent="0.2">
      <c r="A3339" s="7" t="str">
        <f>HYPERLINK("https://otsuka-europe-crm.veevavault.com/ui/#object/account__v/V4TZ06G6O71SBM8", "CLIO MUSTACATU")</f>
        <v>CLIO MUSTACATU</v>
      </c>
      <c r="B3339" s="7" t="str">
        <f t="shared" si="156"/>
        <v>IT</v>
      </c>
      <c r="C3339" s="8" t="s">
        <v>44</v>
      </c>
      <c r="D3339" s="9" t="str">
        <f t="shared" si="157"/>
        <v>AE dialoghi di tempo fiducia e cura episodi 2-3-4</v>
      </c>
      <c r="E3339" s="10" t="str">
        <f>HYPERLINK("https://otsuka-europe-crm.veevavault.com/ui/#object/sent_email__v/VBL00000002O804", "SE-001432475")</f>
        <v>SE-001432475</v>
      </c>
      <c r="F3339" s="11"/>
      <c r="G3339" s="12">
        <v>0</v>
      </c>
      <c r="H3339" s="12">
        <v>0</v>
      </c>
      <c r="I3339" s="12">
        <v>0</v>
      </c>
      <c r="J3339" s="11"/>
      <c r="K3339" s="12">
        <v>0</v>
      </c>
      <c r="L3339" s="10" t="str">
        <f t="shared" si="158"/>
        <v>AE dialoghi di tempo fiducia e cura episodi 2-3-4</v>
      </c>
      <c r="M3339" s="10" t="str">
        <f t="shared" si="159"/>
        <v>nicoletta.vozza@crm.otsuka-europe.com</v>
      </c>
      <c r="N3339" s="13">
        <v>46181.33803240741</v>
      </c>
      <c r="O3339" s="14" t="str">
        <f>HYPERLINK("https://otsuka-europe-crm.veevavault.com/ui/#object/email_activity__v/V8C00000003Q030", "EN-002090996")</f>
        <v>EN-002090996</v>
      </c>
    </row>
    <row r="3340" spans="1:15" ht="16" x14ac:dyDescent="0.2">
      <c r="A3340" s="17" t="str">
        <f>HYPERLINK("https://otsuka-europe-crm.veevavault.com/ui/#object/account__v/V4TZ025E85XEMQE", "CONCETTA BRONTE")</f>
        <v>CONCETTA BRONTE</v>
      </c>
      <c r="B3340" s="17" t="str">
        <f t="shared" si="156"/>
        <v>IT</v>
      </c>
      <c r="C3340" s="20" t="s">
        <v>44</v>
      </c>
      <c r="D3340" s="21" t="str">
        <f t="shared" si="157"/>
        <v>AE dialoghi di tempo fiducia e cura episodi 2-3-4</v>
      </c>
      <c r="E3340" s="22" t="str">
        <f>HYPERLINK("https://otsuka-europe-crm.veevavault.com/ui/#object/sent_email__v/VBL00000002O805", "SE-001432476")</f>
        <v>SE-001432476</v>
      </c>
      <c r="F3340" s="23">
        <v>46182.686585648145</v>
      </c>
      <c r="G3340" s="24">
        <v>1</v>
      </c>
      <c r="H3340" s="24">
        <v>1</v>
      </c>
      <c r="I3340" s="24">
        <v>0</v>
      </c>
      <c r="J3340" s="25"/>
      <c r="K3340" s="24">
        <v>0</v>
      </c>
      <c r="L3340" s="22" t="str">
        <f t="shared" si="158"/>
        <v>AE dialoghi di tempo fiducia e cura episodi 2-3-4</v>
      </c>
      <c r="M3340" s="22" t="str">
        <f t="shared" si="159"/>
        <v>nicoletta.vozza@crm.otsuka-europe.com</v>
      </c>
      <c r="N3340" s="23">
        <v>46181.338067129633</v>
      </c>
      <c r="O3340" s="14" t="str">
        <f>HYPERLINK("https://otsuka-europe-crm.veevavault.com/ui/#object/email_activity__v/V8C00000003O900", "EN-002090503")</f>
        <v>EN-002090503</v>
      </c>
    </row>
    <row r="3341" spans="1:15" ht="16" x14ac:dyDescent="0.2">
      <c r="A3341" s="19"/>
      <c r="B3341" s="19"/>
      <c r="C3341" s="19"/>
      <c r="D3341" s="19"/>
      <c r="E3341" s="19"/>
      <c r="F3341" s="19"/>
      <c r="G3341" s="19"/>
      <c r="H3341" s="19"/>
      <c r="I3341" s="19"/>
      <c r="J3341" s="19"/>
      <c r="K3341" s="19"/>
      <c r="L3341" s="19"/>
      <c r="M3341" s="19"/>
      <c r="N3341" s="19"/>
      <c r="O3341" s="14" t="str">
        <f>HYPERLINK("https://otsuka-europe-crm.veevavault.com/ui/#object/email_activity__v/V8C00000003S213", "EN-002093315")</f>
        <v>EN-002093315</v>
      </c>
    </row>
    <row r="3342" spans="1:15" ht="32" x14ac:dyDescent="0.2">
      <c r="A3342" s="7" t="str">
        <f>HYPERLINK("https://otsuka-europe-crm.veevavault.com/ui/#object/account__v/V4TZ04ASGC4GOBQ", "CONCETTA MARIA TERESA SPADARO")</f>
        <v>CONCETTA MARIA TERESA SPADARO</v>
      </c>
      <c r="B3342" s="7" t="str">
        <f t="shared" ref="B3342:B3351" si="160">HYPERLINK("https://otsuka-europe-crm.veevavault.com/ui/#object/vcountry__v/VENZ000004SONFQ", "IT")</f>
        <v>IT</v>
      </c>
      <c r="C3342" s="8" t="s">
        <v>44</v>
      </c>
      <c r="D3342" s="9" t="str">
        <f t="shared" ref="D3342:D3351" si="161">HYPERLINK("https://otsuka-europe-crm.veevavault.com/ui/#object/approved_document__v/V5O000000018003", "AE dialoghi di tempo fiducia e cura episodi 2-3-4")</f>
        <v>AE dialoghi di tempo fiducia e cura episodi 2-3-4</v>
      </c>
      <c r="E3342" s="10" t="str">
        <f>HYPERLINK("https://otsuka-europe-crm.veevavault.com/ui/#object/sent_email__v/VBL00000002O806", "SE-001432477")</f>
        <v>SE-001432477</v>
      </c>
      <c r="F3342" s="11"/>
      <c r="G3342" s="12">
        <v>0</v>
      </c>
      <c r="H3342" s="12">
        <v>0</v>
      </c>
      <c r="I3342" s="12">
        <v>0</v>
      </c>
      <c r="J3342" s="11"/>
      <c r="K3342" s="12">
        <v>0</v>
      </c>
      <c r="L3342" s="10" t="str">
        <f t="shared" ref="L3342:L3351" si="162">HYPERLINK("https://otsuka-europe-crm.veevavault.com/ui/#object/approved_document__v/V5O000000018003", "AE dialoghi di tempo fiducia e cura episodi 2-3-4")</f>
        <v>AE dialoghi di tempo fiducia e cura episodi 2-3-4</v>
      </c>
      <c r="M3342" s="10" t="str">
        <f t="shared" ref="M3342:M3351" si="163">HYPERLINK("mailto:nicoletta.vozza@crm.otsuka-europe.com", "nicoletta.vozza@crm.otsuka-europe.com")</f>
        <v>nicoletta.vozza@crm.otsuka-europe.com</v>
      </c>
      <c r="N3342" s="13">
        <v>46181.338043981479</v>
      </c>
      <c r="O3342" s="14" t="str">
        <f>HYPERLINK("https://otsuka-europe-crm.veevavault.com/ui/#object/email_activity__v/V8C00000003O337", "EN-002089814")</f>
        <v>EN-002089814</v>
      </c>
    </row>
    <row r="3343" spans="1:15" ht="32" x14ac:dyDescent="0.2">
      <c r="A3343" s="7" t="str">
        <f>HYPERLINK("https://otsuka-europe-crm.veevavault.com/ui/#object/account__v/V4TZ06G6O71S9RL", "CORINNA PANCHERI")</f>
        <v>CORINNA PANCHERI</v>
      </c>
      <c r="B3343" s="7" t="str">
        <f t="shared" si="160"/>
        <v>IT</v>
      </c>
      <c r="C3343" s="8" t="s">
        <v>44</v>
      </c>
      <c r="D3343" s="9" t="str">
        <f t="shared" si="161"/>
        <v>AE dialoghi di tempo fiducia e cura episodi 2-3-4</v>
      </c>
      <c r="E3343" s="10" t="str">
        <f>HYPERLINK("https://otsuka-europe-crm.veevavault.com/ui/#object/sent_email__v/VBL00000002O807", "SE-001432478")</f>
        <v>SE-001432478</v>
      </c>
      <c r="F3343" s="11"/>
      <c r="G3343" s="12">
        <v>0</v>
      </c>
      <c r="H3343" s="12">
        <v>0</v>
      </c>
      <c r="I3343" s="12">
        <v>0</v>
      </c>
      <c r="J3343" s="11"/>
      <c r="K3343" s="12">
        <v>0</v>
      </c>
      <c r="L3343" s="10" t="str">
        <f t="shared" si="162"/>
        <v>AE dialoghi di tempo fiducia e cura episodi 2-3-4</v>
      </c>
      <c r="M3343" s="10" t="str">
        <f t="shared" si="163"/>
        <v>nicoletta.vozza@crm.otsuka-europe.com</v>
      </c>
      <c r="N3343" s="13">
        <v>46181.33798611111</v>
      </c>
      <c r="O3343" s="14" t="str">
        <f>HYPERLINK("https://otsuka-europe-crm.veevavault.com/ui/#object/email_activity__v/V8C00000003O567", "EN-002090123")</f>
        <v>EN-002090123</v>
      </c>
    </row>
    <row r="3344" spans="1:15" ht="32" x14ac:dyDescent="0.2">
      <c r="A3344" s="7" t="str">
        <f>HYPERLINK("https://otsuka-europe-crm.veevavault.com/ui/#object/account__v/V4TZ06G6O71VPGH", "CORINNA REGGIANINI")</f>
        <v>CORINNA REGGIANINI</v>
      </c>
      <c r="B3344" s="7" t="str">
        <f t="shared" si="160"/>
        <v>IT</v>
      </c>
      <c r="C3344" s="8" t="s">
        <v>44</v>
      </c>
      <c r="D3344" s="9" t="str">
        <f t="shared" si="161"/>
        <v>AE dialoghi di tempo fiducia e cura episodi 2-3-4</v>
      </c>
      <c r="E3344" s="10" t="str">
        <f>HYPERLINK("https://otsuka-europe-crm.veevavault.com/ui/#object/sent_email__v/VBL00000002O808", "SE-001432479")</f>
        <v>SE-001432479</v>
      </c>
      <c r="F3344" s="11"/>
      <c r="G3344" s="12">
        <v>0</v>
      </c>
      <c r="H3344" s="12">
        <v>0</v>
      </c>
      <c r="I3344" s="12">
        <v>0</v>
      </c>
      <c r="J3344" s="11"/>
      <c r="K3344" s="12">
        <v>0</v>
      </c>
      <c r="L3344" s="10" t="str">
        <f t="shared" si="162"/>
        <v>AE dialoghi di tempo fiducia e cura episodi 2-3-4</v>
      </c>
      <c r="M3344" s="10" t="str">
        <f t="shared" si="163"/>
        <v>nicoletta.vozza@crm.otsuka-europe.com</v>
      </c>
      <c r="N3344" s="13">
        <v>46181.338067129633</v>
      </c>
      <c r="O3344" s="14" t="str">
        <f>HYPERLINK("https://otsuka-europe-crm.veevavault.com/ui/#object/email_activity__v/V8C00000003O794", "EN-002090454")</f>
        <v>EN-002090454</v>
      </c>
    </row>
    <row r="3345" spans="1:15" ht="32" x14ac:dyDescent="0.2">
      <c r="A3345" s="7" t="str">
        <f>HYPERLINK("https://otsuka-europe-crm.veevavault.com/ui/#object/account__v/V4TZ06G6O71S9YX", "COSETTA ASTORRI")</f>
        <v>COSETTA ASTORRI</v>
      </c>
      <c r="B3345" s="7" t="str">
        <f t="shared" si="160"/>
        <v>IT</v>
      </c>
      <c r="C3345" s="8" t="s">
        <v>44</v>
      </c>
      <c r="D3345" s="9" t="str">
        <f t="shared" si="161"/>
        <v>AE dialoghi di tempo fiducia e cura episodi 2-3-4</v>
      </c>
      <c r="E3345" s="10" t="str">
        <f>HYPERLINK("https://otsuka-europe-crm.veevavault.com/ui/#object/sent_email__v/VBL00000002O809", "SE-001432480")</f>
        <v>SE-001432480</v>
      </c>
      <c r="F3345" s="11"/>
      <c r="G3345" s="12">
        <v>0</v>
      </c>
      <c r="H3345" s="12">
        <v>0</v>
      </c>
      <c r="I3345" s="12">
        <v>0</v>
      </c>
      <c r="J3345" s="11"/>
      <c r="K3345" s="12">
        <v>0</v>
      </c>
      <c r="L3345" s="10" t="str">
        <f t="shared" si="162"/>
        <v>AE dialoghi di tempo fiducia e cura episodi 2-3-4</v>
      </c>
      <c r="M3345" s="10" t="str">
        <f t="shared" si="163"/>
        <v>nicoletta.vozza@crm.otsuka-europe.com</v>
      </c>
      <c r="N3345" s="13">
        <v>46181.33798611111</v>
      </c>
      <c r="O3345" s="14" t="str">
        <f>HYPERLINK("https://otsuka-europe-crm.veevavault.com/ui/#object/email_activity__v/V8C00000003P217", "EN-002089663")</f>
        <v>EN-002089663</v>
      </c>
    </row>
    <row r="3346" spans="1:15" ht="32" x14ac:dyDescent="0.2">
      <c r="A3346" s="7" t="str">
        <f>HYPERLINK("https://otsuka-europe-crm.veevavault.com/ui/#object/account__v/V4TZ06G6O71TL3B", "COSIMO ARGENTIERI")</f>
        <v>COSIMO ARGENTIERI</v>
      </c>
      <c r="B3346" s="7" t="str">
        <f t="shared" si="160"/>
        <v>IT</v>
      </c>
      <c r="C3346" s="8" t="s">
        <v>44</v>
      </c>
      <c r="D3346" s="9" t="str">
        <f t="shared" si="161"/>
        <v>AE dialoghi di tempo fiducia e cura episodi 2-3-4</v>
      </c>
      <c r="E3346" s="10" t="str">
        <f>HYPERLINK("https://otsuka-europe-crm.veevavault.com/ui/#object/sent_email__v/VBL00000002O810", "SE-001432481")</f>
        <v>SE-001432481</v>
      </c>
      <c r="F3346" s="11"/>
      <c r="G3346" s="12">
        <v>0</v>
      </c>
      <c r="H3346" s="12">
        <v>0</v>
      </c>
      <c r="I3346" s="12">
        <v>0</v>
      </c>
      <c r="J3346" s="11"/>
      <c r="K3346" s="12">
        <v>0</v>
      </c>
      <c r="L3346" s="10" t="str">
        <f t="shared" si="162"/>
        <v>AE dialoghi di tempo fiducia e cura episodi 2-3-4</v>
      </c>
      <c r="M3346" s="10" t="str">
        <f t="shared" si="163"/>
        <v>nicoletta.vozza@crm.otsuka-europe.com</v>
      </c>
      <c r="N3346" s="13">
        <v>46181.338020833333</v>
      </c>
      <c r="O3346" s="14" t="str">
        <f>HYPERLINK("https://otsuka-europe-crm.veevavault.com/ui/#object/email_activity__v/V8C00000003Q091", "EN-002091156")</f>
        <v>EN-002091156</v>
      </c>
    </row>
    <row r="3347" spans="1:15" ht="32" x14ac:dyDescent="0.2">
      <c r="A3347" s="7" t="str">
        <f>HYPERLINK("https://otsuka-europe-crm.veevavault.com/ui/#object/account__v/V4TZ025E85EEAME", "COSTANZA GIACOMINI")</f>
        <v>COSTANZA GIACOMINI</v>
      </c>
      <c r="B3347" s="7" t="str">
        <f t="shared" si="160"/>
        <v>IT</v>
      </c>
      <c r="C3347" s="8" t="s">
        <v>44</v>
      </c>
      <c r="D3347" s="9" t="str">
        <f t="shared" si="161"/>
        <v>AE dialoghi di tempo fiducia e cura episodi 2-3-4</v>
      </c>
      <c r="E3347" s="10" t="str">
        <f>HYPERLINK("https://otsuka-europe-crm.veevavault.com/ui/#object/sent_email__v/VBL00000002O811", "SE-001432482")</f>
        <v>SE-001432482</v>
      </c>
      <c r="F3347" s="11"/>
      <c r="G3347" s="12">
        <v>0</v>
      </c>
      <c r="H3347" s="12">
        <v>0</v>
      </c>
      <c r="I3347" s="12">
        <v>0</v>
      </c>
      <c r="J3347" s="11"/>
      <c r="K3347" s="12">
        <v>0</v>
      </c>
      <c r="L3347" s="10" t="str">
        <f t="shared" si="162"/>
        <v>AE dialoghi di tempo fiducia e cura episodi 2-3-4</v>
      </c>
      <c r="M3347" s="10" t="str">
        <f t="shared" si="163"/>
        <v>nicoletta.vozza@crm.otsuka-europe.com</v>
      </c>
      <c r="N3347" s="13">
        <v>46181.338020833333</v>
      </c>
      <c r="O3347" s="14" t="str">
        <f>HYPERLINK("https://otsuka-europe-crm.veevavault.com/ui/#object/email_activity__v/V8C00000003P788", "EN-002091086")</f>
        <v>EN-002091086</v>
      </c>
    </row>
    <row r="3348" spans="1:15" ht="32" x14ac:dyDescent="0.2">
      <c r="A3348" s="7" t="str">
        <f>HYPERLINK("https://otsuka-europe-crm.veevavault.com/ui/#object/account__v/V4TZ06G6O71SC4K", "CRISTIAN ROSARIO ROMANO")</f>
        <v>CRISTIAN ROSARIO ROMANO</v>
      </c>
      <c r="B3348" s="7" t="str">
        <f t="shared" si="160"/>
        <v>IT</v>
      </c>
      <c r="C3348" s="8" t="s">
        <v>44</v>
      </c>
      <c r="D3348" s="9" t="str">
        <f t="shared" si="161"/>
        <v>AE dialoghi di tempo fiducia e cura episodi 2-3-4</v>
      </c>
      <c r="E3348" s="10" t="str">
        <f>HYPERLINK("https://otsuka-europe-crm.veevavault.com/ui/#object/sent_email__v/VBL00000002O812", "SE-001432483")</f>
        <v>SE-001432483</v>
      </c>
      <c r="F3348" s="11"/>
      <c r="G3348" s="12">
        <v>0</v>
      </c>
      <c r="H3348" s="12">
        <v>0</v>
      </c>
      <c r="I3348" s="12">
        <v>0</v>
      </c>
      <c r="J3348" s="11"/>
      <c r="K3348" s="12">
        <v>0</v>
      </c>
      <c r="L3348" s="10" t="str">
        <f t="shared" si="162"/>
        <v>AE dialoghi di tempo fiducia e cura episodi 2-3-4</v>
      </c>
      <c r="M3348" s="10" t="str">
        <f t="shared" si="163"/>
        <v>nicoletta.vozza@crm.otsuka-europe.com</v>
      </c>
      <c r="N3348" s="13">
        <v>46181.337997685187</v>
      </c>
      <c r="O3348" s="14" t="str">
        <f>HYPERLINK("https://otsuka-europe-crm.veevavault.com/ui/#object/email_activity__v/V8C00000003O688", "EN-002090244")</f>
        <v>EN-002090244</v>
      </c>
    </row>
    <row r="3349" spans="1:15" ht="32" x14ac:dyDescent="0.2">
      <c r="A3349" s="7" t="str">
        <f>HYPERLINK("https://otsuka-europe-crm.veevavault.com/ui/#object/account__v/V4TZ04ASGDUJUZA", "CRISTIANA BAIOCCO")</f>
        <v>CRISTIANA BAIOCCO</v>
      </c>
      <c r="B3349" s="7" t="str">
        <f t="shared" si="160"/>
        <v>IT</v>
      </c>
      <c r="C3349" s="8" t="s">
        <v>44</v>
      </c>
      <c r="D3349" s="9" t="str">
        <f t="shared" si="161"/>
        <v>AE dialoghi di tempo fiducia e cura episodi 2-3-4</v>
      </c>
      <c r="E3349" s="10" t="str">
        <f>HYPERLINK("https://otsuka-europe-crm.veevavault.com/ui/#object/sent_email__v/VBL00000002O813", "SE-001432484")</f>
        <v>SE-001432484</v>
      </c>
      <c r="F3349" s="11"/>
      <c r="G3349" s="12">
        <v>0</v>
      </c>
      <c r="H3349" s="12">
        <v>0</v>
      </c>
      <c r="I3349" s="12">
        <v>0</v>
      </c>
      <c r="J3349" s="11"/>
      <c r="K3349" s="12">
        <v>0</v>
      </c>
      <c r="L3349" s="10" t="str">
        <f t="shared" si="162"/>
        <v>AE dialoghi di tempo fiducia e cura episodi 2-3-4</v>
      </c>
      <c r="M3349" s="10" t="str">
        <f t="shared" si="163"/>
        <v>nicoletta.vozza@crm.otsuka-europe.com</v>
      </c>
      <c r="N3349" s="13">
        <v>46181.338101851848</v>
      </c>
      <c r="O3349" s="14" t="str">
        <f>HYPERLINK("https://otsuka-europe-crm.veevavault.com/ui/#object/email_activity__v/V8C00000003Q209", "EN-002091315")</f>
        <v>EN-002091315</v>
      </c>
    </row>
    <row r="3350" spans="1:15" ht="32" x14ac:dyDescent="0.2">
      <c r="A3350" s="7" t="str">
        <f>HYPERLINK("https://otsuka-europe-crm.veevavault.com/ui/#object/account__v/V4TZ06G6O71S9NF", "CRISTIANA GAGLIARDONE")</f>
        <v>CRISTIANA GAGLIARDONE</v>
      </c>
      <c r="B3350" s="7" t="str">
        <f t="shared" si="160"/>
        <v>IT</v>
      </c>
      <c r="C3350" s="8" t="s">
        <v>44</v>
      </c>
      <c r="D3350" s="9" t="str">
        <f t="shared" si="161"/>
        <v>AE dialoghi di tempo fiducia e cura episodi 2-3-4</v>
      </c>
      <c r="E3350" s="10" t="str">
        <f>HYPERLINK("https://otsuka-europe-crm.veevavault.com/ui/#object/sent_email__v/VBL00000002O814", "SE-001432485")</f>
        <v>SE-001432485</v>
      </c>
      <c r="F3350" s="11"/>
      <c r="G3350" s="12">
        <v>0</v>
      </c>
      <c r="H3350" s="12">
        <v>0</v>
      </c>
      <c r="I3350" s="12">
        <v>0</v>
      </c>
      <c r="J3350" s="11"/>
      <c r="K3350" s="12">
        <v>0</v>
      </c>
      <c r="L3350" s="10" t="str">
        <f t="shared" si="162"/>
        <v>AE dialoghi di tempo fiducia e cura episodi 2-3-4</v>
      </c>
      <c r="M3350" s="10" t="str">
        <f t="shared" si="163"/>
        <v>nicoletta.vozza@crm.otsuka-europe.com</v>
      </c>
      <c r="N3350" s="13">
        <v>46181.338101851848</v>
      </c>
      <c r="O3350" s="14" t="str">
        <f>HYPERLINK("https://otsuka-europe-crm.veevavault.com/ui/#object/email_activity__v/V8C00000003P826", "EN-002091124")</f>
        <v>EN-002091124</v>
      </c>
    </row>
    <row r="3351" spans="1:15" ht="16" x14ac:dyDescent="0.2">
      <c r="A3351" s="17" t="str">
        <f>HYPERLINK("https://otsuka-europe-crm.veevavault.com/ui/#object/account__v/V4TZ06G6O71SBN9", "CRISTIANA MONTEMAGNI")</f>
        <v>CRISTIANA MONTEMAGNI</v>
      </c>
      <c r="B3351" s="17" t="str">
        <f t="shared" si="160"/>
        <v>IT</v>
      </c>
      <c r="C3351" s="20" t="s">
        <v>44</v>
      </c>
      <c r="D3351" s="21" t="str">
        <f t="shared" si="161"/>
        <v>AE dialoghi di tempo fiducia e cura episodi 2-3-4</v>
      </c>
      <c r="E3351" s="22" t="str">
        <f>HYPERLINK("https://otsuka-europe-crm.veevavault.com/ui/#object/sent_email__v/VBL00000002O815", "SE-001432486")</f>
        <v>SE-001432486</v>
      </c>
      <c r="F3351" s="23">
        <v>46181.463738425926</v>
      </c>
      <c r="G3351" s="24">
        <v>1</v>
      </c>
      <c r="H3351" s="24">
        <v>1</v>
      </c>
      <c r="I3351" s="24">
        <v>0</v>
      </c>
      <c r="J3351" s="25"/>
      <c r="K3351" s="24">
        <v>0</v>
      </c>
      <c r="L3351" s="22" t="str">
        <f t="shared" si="162"/>
        <v>AE dialoghi di tempo fiducia e cura episodi 2-3-4</v>
      </c>
      <c r="M3351" s="22" t="str">
        <f t="shared" si="163"/>
        <v>nicoletta.vozza@crm.otsuka-europe.com</v>
      </c>
      <c r="N3351" s="23">
        <v>46181.337997685187</v>
      </c>
      <c r="O3351" s="14" t="str">
        <f>HYPERLINK("https://otsuka-europe-crm.veevavault.com/ui/#object/email_activity__v/V8C00000003O373", "EN-002089891")</f>
        <v>EN-002089891</v>
      </c>
    </row>
    <row r="3352" spans="1:15" ht="16" x14ac:dyDescent="0.2">
      <c r="A3352" s="19"/>
      <c r="B3352" s="19"/>
      <c r="C3352" s="19"/>
      <c r="D3352" s="19"/>
      <c r="E3352" s="19"/>
      <c r="F3352" s="19"/>
      <c r="G3352" s="19"/>
      <c r="H3352" s="19"/>
      <c r="I3352" s="19"/>
      <c r="J3352" s="19"/>
      <c r="K3352" s="19"/>
      <c r="L3352" s="19"/>
      <c r="M3352" s="19"/>
      <c r="N3352" s="19"/>
      <c r="O3352" s="14" t="str">
        <f>HYPERLINK("https://otsuka-europe-crm.veevavault.com/ui/#object/email_activity__v/V8C00000003Q532", "EN-002091875")</f>
        <v>EN-002091875</v>
      </c>
    </row>
    <row r="3353" spans="1:15" ht="32" x14ac:dyDescent="0.2">
      <c r="A3353" s="7" t="str">
        <f>HYPERLINK("https://otsuka-europe-crm.veevavault.com/ui/#object/account__v/V4TZ06G6O71SBKK", "CRISTIANA MORERA")</f>
        <v>CRISTIANA MORERA</v>
      </c>
      <c r="B3353" s="7" t="str">
        <f>HYPERLINK("https://otsuka-europe-crm.veevavault.com/ui/#object/vcountry__v/VENZ000004SONFQ", "IT")</f>
        <v>IT</v>
      </c>
      <c r="C3353" s="8" t="s">
        <v>44</v>
      </c>
      <c r="D3353" s="9" t="str">
        <f>HYPERLINK("https://otsuka-europe-crm.veevavault.com/ui/#object/approved_document__v/V5O000000018003", "AE dialoghi di tempo fiducia e cura episodi 2-3-4")</f>
        <v>AE dialoghi di tempo fiducia e cura episodi 2-3-4</v>
      </c>
      <c r="E3353" s="10" t="str">
        <f>HYPERLINK("https://otsuka-europe-crm.veevavault.com/ui/#object/sent_email__v/VBL00000002O816", "SE-001432487")</f>
        <v>SE-001432487</v>
      </c>
      <c r="F3353" s="11"/>
      <c r="G3353" s="12">
        <v>0</v>
      </c>
      <c r="H3353" s="12">
        <v>0</v>
      </c>
      <c r="I3353" s="12">
        <v>0</v>
      </c>
      <c r="J3353" s="11"/>
      <c r="K3353" s="12">
        <v>0</v>
      </c>
      <c r="L3353" s="10" t="str">
        <f>HYPERLINK("https://otsuka-europe-crm.veevavault.com/ui/#object/approved_document__v/V5O000000018003", "AE dialoghi di tempo fiducia e cura episodi 2-3-4")</f>
        <v>AE dialoghi di tempo fiducia e cura episodi 2-3-4</v>
      </c>
      <c r="M3353" s="10" t="str">
        <f>HYPERLINK("mailto:nicoletta.vozza@crm.otsuka-europe.com", "nicoletta.vozza@crm.otsuka-europe.com")</f>
        <v>nicoletta.vozza@crm.otsuka-europe.com</v>
      </c>
      <c r="N3353" s="13">
        <v>46181.337997685187</v>
      </c>
      <c r="O3353" s="14" t="str">
        <f>HYPERLINK("https://otsuka-europe-crm.veevavault.com/ui/#object/email_activity__v/V8C00000003P621", "EN-002090876")</f>
        <v>EN-002090876</v>
      </c>
    </row>
    <row r="3354" spans="1:15" ht="32" x14ac:dyDescent="0.2">
      <c r="A3354" s="7" t="str">
        <f>HYPERLINK("https://otsuka-europe-crm.veevavault.com/ui/#object/account__v/V4TZ06G6O71SAQ2", "CRISTIANO GAZZANI")</f>
        <v>CRISTIANO GAZZANI</v>
      </c>
      <c r="B3354" s="7" t="str">
        <f>HYPERLINK("https://otsuka-europe-crm.veevavault.com/ui/#object/vcountry__v/VENZ000004SONFQ", "IT")</f>
        <v>IT</v>
      </c>
      <c r="C3354" s="8" t="s">
        <v>44</v>
      </c>
      <c r="D3354" s="9" t="str">
        <f>HYPERLINK("https://otsuka-europe-crm.veevavault.com/ui/#object/approved_document__v/V5O000000018003", "AE dialoghi di tempo fiducia e cura episodi 2-3-4")</f>
        <v>AE dialoghi di tempo fiducia e cura episodi 2-3-4</v>
      </c>
      <c r="E3354" s="10" t="str">
        <f>HYPERLINK("https://otsuka-europe-crm.veevavault.com/ui/#object/sent_email__v/VBL00000002O817", "SE-001432488")</f>
        <v>SE-001432488</v>
      </c>
      <c r="F3354" s="11"/>
      <c r="G3354" s="12">
        <v>0</v>
      </c>
      <c r="H3354" s="12">
        <v>0</v>
      </c>
      <c r="I3354" s="12">
        <v>0</v>
      </c>
      <c r="J3354" s="11"/>
      <c r="K3354" s="12">
        <v>0</v>
      </c>
      <c r="L3354" s="10" t="str">
        <f>HYPERLINK("https://otsuka-europe-crm.veevavault.com/ui/#object/approved_document__v/V5O000000018003", "AE dialoghi di tempo fiducia e cura episodi 2-3-4")</f>
        <v>AE dialoghi di tempo fiducia e cura episodi 2-3-4</v>
      </c>
      <c r="M3354" s="10" t="str">
        <f>HYPERLINK("mailto:nicoletta.vozza@crm.otsuka-europe.com", "nicoletta.vozza@crm.otsuka-europe.com")</f>
        <v>nicoletta.vozza@crm.otsuka-europe.com</v>
      </c>
      <c r="N3354" s="13">
        <v>46181.33798611111</v>
      </c>
      <c r="O3354" s="14" t="str">
        <f>HYPERLINK("https://otsuka-europe-crm.veevavault.com/ui/#object/email_activity__v/V8C00000003P323", "EN-002090329")</f>
        <v>EN-002090329</v>
      </c>
    </row>
    <row r="3355" spans="1:15" ht="32" x14ac:dyDescent="0.2">
      <c r="A3355" s="7" t="str">
        <f>HYPERLINK("https://otsuka-europe-crm.veevavault.com/ui/#object/account__v/V4TZ06G6O71SBFO", "CRISTIANO MARCHESE")</f>
        <v>CRISTIANO MARCHESE</v>
      </c>
      <c r="B3355" s="7" t="str">
        <f>HYPERLINK("https://otsuka-europe-crm.veevavault.com/ui/#object/vcountry__v/VENZ000004SONFQ", "IT")</f>
        <v>IT</v>
      </c>
      <c r="C3355" s="8" t="s">
        <v>44</v>
      </c>
      <c r="D3355" s="9" t="str">
        <f>HYPERLINK("https://otsuka-europe-crm.veevavault.com/ui/#object/approved_document__v/V5O000000018003", "AE dialoghi di tempo fiducia e cura episodi 2-3-4")</f>
        <v>AE dialoghi di tempo fiducia e cura episodi 2-3-4</v>
      </c>
      <c r="E3355" s="10" t="str">
        <f>HYPERLINK("https://otsuka-europe-crm.veevavault.com/ui/#object/sent_email__v/VBL00000002O818", "SE-001432489")</f>
        <v>SE-001432489</v>
      </c>
      <c r="F3355" s="11"/>
      <c r="G3355" s="12">
        <v>0</v>
      </c>
      <c r="H3355" s="12">
        <v>0</v>
      </c>
      <c r="I3355" s="12">
        <v>0</v>
      </c>
      <c r="J3355" s="11"/>
      <c r="K3355" s="12">
        <v>0</v>
      </c>
      <c r="L3355" s="10" t="str">
        <f>HYPERLINK("https://otsuka-europe-crm.veevavault.com/ui/#object/approved_document__v/V5O000000018003", "AE dialoghi di tempo fiducia e cura episodi 2-3-4")</f>
        <v>AE dialoghi di tempo fiducia e cura episodi 2-3-4</v>
      </c>
      <c r="M3355" s="10" t="str">
        <f>HYPERLINK("mailto:nicoletta.vozza@crm.otsuka-europe.com", "nicoletta.vozza@crm.otsuka-europe.com")</f>
        <v>nicoletta.vozza@crm.otsuka-europe.com</v>
      </c>
      <c r="N3355" s="13">
        <v>46181.33798611111</v>
      </c>
      <c r="O3355" s="14" t="str">
        <f>HYPERLINK("https://otsuka-europe-crm.veevavault.com/ui/#object/email_activity__v/V8C00000003O736", "EN-002090292")</f>
        <v>EN-002090292</v>
      </c>
    </row>
    <row r="3356" spans="1:15" ht="32" x14ac:dyDescent="0.2">
      <c r="A3356" s="7" t="str">
        <f>HYPERLINK("https://otsuka-europe-crm.veevavault.com/ui/#object/account__v/V4TZ06G6OBUDCTF", "CRISTINA AMODEO")</f>
        <v>CRISTINA AMODEO</v>
      </c>
      <c r="B3356" s="7" t="str">
        <f>HYPERLINK("https://otsuka-europe-crm.veevavault.com/ui/#object/vcountry__v/VENZ000004SONFQ", "IT")</f>
        <v>IT</v>
      </c>
      <c r="C3356" s="8" t="s">
        <v>44</v>
      </c>
      <c r="D3356" s="9" t="str">
        <f>HYPERLINK("https://otsuka-europe-crm.veevavault.com/ui/#object/approved_document__v/V5O000000018003", "AE dialoghi di tempo fiducia e cura episodi 2-3-4")</f>
        <v>AE dialoghi di tempo fiducia e cura episodi 2-3-4</v>
      </c>
      <c r="E3356" s="10" t="str">
        <f>HYPERLINK("https://otsuka-europe-crm.veevavault.com/ui/#object/sent_email__v/VBL00000002O819", "SE-001432490")</f>
        <v>SE-001432490</v>
      </c>
      <c r="F3356" s="11"/>
      <c r="G3356" s="12">
        <v>0</v>
      </c>
      <c r="H3356" s="12">
        <v>0</v>
      </c>
      <c r="I3356" s="12">
        <v>0</v>
      </c>
      <c r="J3356" s="11"/>
      <c r="K3356" s="12">
        <v>0</v>
      </c>
      <c r="L3356" s="10" t="str">
        <f>HYPERLINK("https://otsuka-europe-crm.veevavault.com/ui/#object/approved_document__v/V5O000000018003", "AE dialoghi di tempo fiducia e cura episodi 2-3-4")</f>
        <v>AE dialoghi di tempo fiducia e cura episodi 2-3-4</v>
      </c>
      <c r="M3356" s="10" t="str">
        <f>HYPERLINK("mailto:nicoletta.vozza@crm.otsuka-europe.com", "nicoletta.vozza@crm.otsuka-europe.com")</f>
        <v>nicoletta.vozza@crm.otsuka-europe.com</v>
      </c>
      <c r="N3356" s="13">
        <v>46181.337962962964</v>
      </c>
      <c r="O3356" s="14" t="str">
        <f>HYPERLINK("https://otsuka-europe-crm.veevavault.com/ui/#object/email_activity__v/V8C00000003Q256", "EN-002091366")</f>
        <v>EN-002091366</v>
      </c>
    </row>
    <row r="3357" spans="1:15" ht="16" x14ac:dyDescent="0.2">
      <c r="A3357" s="17" t="str">
        <f>HYPERLINK("https://otsuka-europe-crm.veevavault.com/ui/#object/account__v/V4TZ06G6O71S9ZT", "CRISTINA BELSITO")</f>
        <v>CRISTINA BELSITO</v>
      </c>
      <c r="B3357" s="17" t="str">
        <f>HYPERLINK("https://otsuka-europe-crm.veevavault.com/ui/#object/vcountry__v/VENZ000004SONFQ", "IT")</f>
        <v>IT</v>
      </c>
      <c r="C3357" s="20" t="s">
        <v>44</v>
      </c>
      <c r="D3357" s="21" t="str">
        <f>HYPERLINK("https://otsuka-europe-crm.veevavault.com/ui/#object/approved_document__v/V5O000000018003", "AE dialoghi di tempo fiducia e cura episodi 2-3-4")</f>
        <v>AE dialoghi di tempo fiducia e cura episodi 2-3-4</v>
      </c>
      <c r="E3357" s="22" t="str">
        <f>HYPERLINK("https://otsuka-europe-crm.veevavault.com/ui/#object/sent_email__v/VBL00000002O820", "SE-001432491")</f>
        <v>SE-001432491</v>
      </c>
      <c r="F3357" s="25"/>
      <c r="G3357" s="24">
        <v>0</v>
      </c>
      <c r="H3357" s="24">
        <v>0</v>
      </c>
      <c r="I3357" s="24">
        <v>0</v>
      </c>
      <c r="J3357" s="25"/>
      <c r="K3357" s="24">
        <v>0</v>
      </c>
      <c r="L3357" s="22" t="str">
        <f>HYPERLINK("https://otsuka-europe-crm.veevavault.com/ui/#object/approved_document__v/V5O000000018003", "AE dialoghi di tempo fiducia e cura episodi 2-3-4")</f>
        <v>AE dialoghi di tempo fiducia e cura episodi 2-3-4</v>
      </c>
      <c r="M3357" s="22" t="str">
        <f>HYPERLINK("mailto:nicoletta.vozza@crm.otsuka-europe.com", "nicoletta.vozza@crm.otsuka-europe.com")</f>
        <v>nicoletta.vozza@crm.otsuka-europe.com</v>
      </c>
      <c r="N3357" s="23">
        <v>46181.338067129633</v>
      </c>
      <c r="O3357" s="14" t="str">
        <f>HYPERLINK("https://otsuka-europe-crm.veevavault.com/ui/#object/email_activity__v/V8C00000003O730", "EN-002090286")</f>
        <v>EN-002090286</v>
      </c>
    </row>
    <row r="3358" spans="1:15" ht="16" x14ac:dyDescent="0.2">
      <c r="A3358" s="19"/>
      <c r="B3358" s="19"/>
      <c r="C3358" s="19"/>
      <c r="D3358" s="19"/>
      <c r="E3358" s="19"/>
      <c r="F3358" s="19"/>
      <c r="G3358" s="19"/>
      <c r="H3358" s="19"/>
      <c r="I3358" s="19"/>
      <c r="J3358" s="19"/>
      <c r="K3358" s="19"/>
      <c r="L3358" s="19"/>
      <c r="M3358" s="19"/>
      <c r="N3358" s="19"/>
      <c r="O3358" s="14" t="str">
        <f>HYPERLINK("https://otsuka-europe-crm.veevavault.com/ui/#object/email_activity__v/V8C00000003Q510", "EN-002091830")</f>
        <v>EN-002091830</v>
      </c>
    </row>
    <row r="3359" spans="1:15" ht="32" x14ac:dyDescent="0.2">
      <c r="A3359" s="7" t="str">
        <f>HYPERLINK("https://otsuka-europe-crm.veevavault.com/ui/#object/account__v/V4TZ025E83ZRYOQ", "CRISTINA BORELLINI")</f>
        <v>CRISTINA BORELLINI</v>
      </c>
      <c r="B3359" s="7" t="str">
        <f t="shared" ref="B3359:B3371" si="164">HYPERLINK("https://otsuka-europe-crm.veevavault.com/ui/#object/vcountry__v/VENZ000004SONFQ", "IT")</f>
        <v>IT</v>
      </c>
      <c r="C3359" s="8" t="s">
        <v>44</v>
      </c>
      <c r="D3359" s="9" t="str">
        <f t="shared" ref="D3359:D3371" si="165">HYPERLINK("https://otsuka-europe-crm.veevavault.com/ui/#object/approved_document__v/V5O000000018003", "AE dialoghi di tempo fiducia e cura episodi 2-3-4")</f>
        <v>AE dialoghi di tempo fiducia e cura episodi 2-3-4</v>
      </c>
      <c r="E3359" s="10" t="str">
        <f>HYPERLINK("https://otsuka-europe-crm.veevavault.com/ui/#object/sent_email__v/VBL00000002O821", "SE-001432492")</f>
        <v>SE-001432492</v>
      </c>
      <c r="F3359" s="11"/>
      <c r="G3359" s="12">
        <v>0</v>
      </c>
      <c r="H3359" s="12">
        <v>0</v>
      </c>
      <c r="I3359" s="12">
        <v>0</v>
      </c>
      <c r="J3359" s="11"/>
      <c r="K3359" s="12">
        <v>0</v>
      </c>
      <c r="L3359" s="10" t="str">
        <f t="shared" ref="L3359:L3371" si="166">HYPERLINK("https://otsuka-europe-crm.veevavault.com/ui/#object/approved_document__v/V5O000000018003", "AE dialoghi di tempo fiducia e cura episodi 2-3-4")</f>
        <v>AE dialoghi di tempo fiducia e cura episodi 2-3-4</v>
      </c>
      <c r="M3359" s="10" t="str">
        <f t="shared" ref="M3359:M3371" si="167">HYPERLINK("mailto:nicoletta.vozza@crm.otsuka-europe.com", "nicoletta.vozza@crm.otsuka-europe.com")</f>
        <v>nicoletta.vozza@crm.otsuka-europe.com</v>
      </c>
      <c r="N3359" s="13">
        <v>46181.338009259256</v>
      </c>
      <c r="O3359" s="14" t="str">
        <f>HYPERLINK("https://otsuka-europe-crm.veevavault.com/ui/#object/email_activity__v/V8C00000003P263", "EN-002089841")</f>
        <v>EN-002089841</v>
      </c>
    </row>
    <row r="3360" spans="1:15" ht="32" x14ac:dyDescent="0.2">
      <c r="A3360" s="7" t="str">
        <f>HYPERLINK("https://otsuka-europe-crm.veevavault.com/ui/#object/account__v/V4TZ06G6O71SAYG", "CRISTINA CAMILLERI")</f>
        <v>CRISTINA CAMILLERI</v>
      </c>
      <c r="B3360" s="7" t="str">
        <f t="shared" si="164"/>
        <v>IT</v>
      </c>
      <c r="C3360" s="8" t="s">
        <v>44</v>
      </c>
      <c r="D3360" s="9" t="str">
        <f t="shared" si="165"/>
        <v>AE dialoghi di tempo fiducia e cura episodi 2-3-4</v>
      </c>
      <c r="E3360" s="10" t="str">
        <f>HYPERLINK("https://otsuka-europe-crm.veevavault.com/ui/#object/sent_email__v/VBL00000002O822", "SE-001432493")</f>
        <v>SE-001432493</v>
      </c>
      <c r="F3360" s="11"/>
      <c r="G3360" s="12">
        <v>0</v>
      </c>
      <c r="H3360" s="12">
        <v>0</v>
      </c>
      <c r="I3360" s="12">
        <v>0</v>
      </c>
      <c r="J3360" s="11"/>
      <c r="K3360" s="12">
        <v>0</v>
      </c>
      <c r="L3360" s="10" t="str">
        <f t="shared" si="166"/>
        <v>AE dialoghi di tempo fiducia e cura episodi 2-3-4</v>
      </c>
      <c r="M3360" s="10" t="str">
        <f t="shared" si="167"/>
        <v>nicoletta.vozza@crm.otsuka-europe.com</v>
      </c>
      <c r="N3360" s="13">
        <v>46181.338020833333</v>
      </c>
      <c r="O3360" s="14" t="str">
        <f>HYPERLINK("https://otsuka-europe-crm.veevavault.com/ui/#object/email_activity__v/V8C00000003Q022", "EN-002090988")</f>
        <v>EN-002090988</v>
      </c>
    </row>
    <row r="3361" spans="1:15" ht="32" x14ac:dyDescent="0.2">
      <c r="A3361" s="7" t="str">
        <f>HYPERLINK("https://otsuka-europe-crm.veevavault.com/ui/#object/account__v/V4TZ06G6O71SCI0", "CRISTINA CIARAFONI")</f>
        <v>CRISTINA CIARAFONI</v>
      </c>
      <c r="B3361" s="7" t="str">
        <f t="shared" si="164"/>
        <v>IT</v>
      </c>
      <c r="C3361" s="8" t="s">
        <v>44</v>
      </c>
      <c r="D3361" s="9" t="str">
        <f t="shared" si="165"/>
        <v>AE dialoghi di tempo fiducia e cura episodi 2-3-4</v>
      </c>
      <c r="E3361" s="10" t="str">
        <f>HYPERLINK("https://otsuka-europe-crm.veevavault.com/ui/#object/sent_email__v/VBL00000002O823", "SE-001432494")</f>
        <v>SE-001432494</v>
      </c>
      <c r="F3361" s="11"/>
      <c r="G3361" s="12">
        <v>0</v>
      </c>
      <c r="H3361" s="12">
        <v>0</v>
      </c>
      <c r="I3361" s="12">
        <v>0</v>
      </c>
      <c r="J3361" s="11"/>
      <c r="K3361" s="12">
        <v>0</v>
      </c>
      <c r="L3361" s="10" t="str">
        <f t="shared" si="166"/>
        <v>AE dialoghi di tempo fiducia e cura episodi 2-3-4</v>
      </c>
      <c r="M3361" s="10" t="str">
        <f t="shared" si="167"/>
        <v>nicoletta.vozza@crm.otsuka-europe.com</v>
      </c>
      <c r="N3361" s="13">
        <v>46181.338055555556</v>
      </c>
      <c r="O3361" s="14" t="str">
        <f>HYPERLINK("https://otsuka-europe-crm.veevavault.com/ui/#object/email_activity__v/V8C00000003Q205", "EN-002091311")</f>
        <v>EN-002091311</v>
      </c>
    </row>
    <row r="3362" spans="1:15" ht="32" x14ac:dyDescent="0.2">
      <c r="A3362" s="7" t="str">
        <f>HYPERLINK("https://otsuka-europe-crm.veevavault.com/ui/#object/account__v/V4TZ06G6OCBIPV7", "CRISTINA D'ONOFRIO")</f>
        <v>CRISTINA D'ONOFRIO</v>
      </c>
      <c r="B3362" s="7" t="str">
        <f t="shared" si="164"/>
        <v>IT</v>
      </c>
      <c r="C3362" s="8" t="s">
        <v>44</v>
      </c>
      <c r="D3362" s="9" t="str">
        <f t="shared" si="165"/>
        <v>AE dialoghi di tempo fiducia e cura episodi 2-3-4</v>
      </c>
      <c r="E3362" s="10" t="str">
        <f>HYPERLINK("https://otsuka-europe-crm.veevavault.com/ui/#object/sent_email__v/VBL00000002O824", "SE-001432495")</f>
        <v>SE-001432495</v>
      </c>
      <c r="F3362" s="11"/>
      <c r="G3362" s="12">
        <v>0</v>
      </c>
      <c r="H3362" s="12">
        <v>0</v>
      </c>
      <c r="I3362" s="12">
        <v>0</v>
      </c>
      <c r="J3362" s="11"/>
      <c r="K3362" s="12">
        <v>0</v>
      </c>
      <c r="L3362" s="10" t="str">
        <f t="shared" si="166"/>
        <v>AE dialoghi di tempo fiducia e cura episodi 2-3-4</v>
      </c>
      <c r="M3362" s="10" t="str">
        <f t="shared" si="167"/>
        <v>nicoletta.vozza@crm.otsuka-europe.com</v>
      </c>
      <c r="N3362" s="13">
        <v>46181.33797453704</v>
      </c>
      <c r="O3362" s="14" t="str">
        <f>HYPERLINK("https://otsuka-europe-crm.veevavault.com/ui/#object/email_activity__v/V8C00000003O903", "EN-002090563")</f>
        <v>EN-002090563</v>
      </c>
    </row>
    <row r="3363" spans="1:15" ht="32" x14ac:dyDescent="0.2">
      <c r="A3363" s="7" t="str">
        <f>HYPERLINK("https://otsuka-europe-crm.veevavault.com/ui/#object/account__v/V4TZ06G6O71SAAL", "CRISTINA DE LORENZO")</f>
        <v>CRISTINA DE LORENZO</v>
      </c>
      <c r="B3363" s="7" t="str">
        <f t="shared" si="164"/>
        <v>IT</v>
      </c>
      <c r="C3363" s="8" t="s">
        <v>44</v>
      </c>
      <c r="D3363" s="9" t="str">
        <f t="shared" si="165"/>
        <v>AE dialoghi di tempo fiducia e cura episodi 2-3-4</v>
      </c>
      <c r="E3363" s="10" t="str">
        <f>HYPERLINK("https://otsuka-europe-crm.veevavault.com/ui/#object/sent_email__v/VBL00000002O825", "SE-001432496")</f>
        <v>SE-001432496</v>
      </c>
      <c r="F3363" s="11"/>
      <c r="G3363" s="12">
        <v>0</v>
      </c>
      <c r="H3363" s="12">
        <v>0</v>
      </c>
      <c r="I3363" s="12">
        <v>0</v>
      </c>
      <c r="J3363" s="11"/>
      <c r="K3363" s="12">
        <v>0</v>
      </c>
      <c r="L3363" s="10" t="str">
        <f t="shared" si="166"/>
        <v>AE dialoghi di tempo fiducia e cura episodi 2-3-4</v>
      </c>
      <c r="M3363" s="10" t="str">
        <f t="shared" si="167"/>
        <v>nicoletta.vozza@crm.otsuka-europe.com</v>
      </c>
      <c r="N3363" s="13">
        <v>46181.33797453704</v>
      </c>
      <c r="O3363" s="14" t="str">
        <f>HYPERLINK("https://otsuka-europe-crm.veevavault.com/ui/#object/email_activity__v/V8C00000003O566", "EN-002090122")</f>
        <v>EN-002090122</v>
      </c>
    </row>
    <row r="3364" spans="1:15" ht="32" x14ac:dyDescent="0.2">
      <c r="A3364" s="7" t="str">
        <f>HYPERLINK("https://otsuka-europe-crm.veevavault.com/ui/#object/account__v/V4TZ06G6O8KYML0", "CRISTINA DI VITTORIO")</f>
        <v>CRISTINA DI VITTORIO</v>
      </c>
      <c r="B3364" s="7" t="str">
        <f t="shared" si="164"/>
        <v>IT</v>
      </c>
      <c r="C3364" s="8" t="s">
        <v>44</v>
      </c>
      <c r="D3364" s="9" t="str">
        <f t="shared" si="165"/>
        <v>AE dialoghi di tempo fiducia e cura episodi 2-3-4</v>
      </c>
      <c r="E3364" s="10" t="str">
        <f>HYPERLINK("https://otsuka-europe-crm.veevavault.com/ui/#object/sent_email__v/VBL00000002O826", "SE-001432497")</f>
        <v>SE-001432497</v>
      </c>
      <c r="F3364" s="11"/>
      <c r="G3364" s="12">
        <v>0</v>
      </c>
      <c r="H3364" s="12">
        <v>0</v>
      </c>
      <c r="I3364" s="12">
        <v>0</v>
      </c>
      <c r="J3364" s="11"/>
      <c r="K3364" s="12">
        <v>0</v>
      </c>
      <c r="L3364" s="10" t="str">
        <f t="shared" si="166"/>
        <v>AE dialoghi di tempo fiducia e cura episodi 2-3-4</v>
      </c>
      <c r="M3364" s="10" t="str">
        <f t="shared" si="167"/>
        <v>nicoletta.vozza@crm.otsuka-europe.com</v>
      </c>
      <c r="N3364" s="13">
        <v>46181.337997685187</v>
      </c>
      <c r="O3364" s="14" t="str">
        <f>HYPERLINK("https://otsuka-europe-crm.veevavault.com/ui/#object/email_activity__v/V8C00000003O513", "EN-002090069")</f>
        <v>EN-002090069</v>
      </c>
    </row>
    <row r="3365" spans="1:15" ht="32" x14ac:dyDescent="0.2">
      <c r="A3365" s="7" t="str">
        <f>HYPERLINK("https://otsuka-europe-crm.veevavault.com/ui/#object/account__v/V4TZ06G6O71SAHU", "CRISTINA DONATI")</f>
        <v>CRISTINA DONATI</v>
      </c>
      <c r="B3365" s="7" t="str">
        <f t="shared" si="164"/>
        <v>IT</v>
      </c>
      <c r="C3365" s="8" t="s">
        <v>44</v>
      </c>
      <c r="D3365" s="9" t="str">
        <f t="shared" si="165"/>
        <v>AE dialoghi di tempo fiducia e cura episodi 2-3-4</v>
      </c>
      <c r="E3365" s="10" t="str">
        <f>HYPERLINK("https://otsuka-europe-crm.veevavault.com/ui/#object/sent_email__v/VBL00000002O827", "SE-001432498")</f>
        <v>SE-001432498</v>
      </c>
      <c r="F3365" s="11"/>
      <c r="G3365" s="12">
        <v>0</v>
      </c>
      <c r="H3365" s="12">
        <v>0</v>
      </c>
      <c r="I3365" s="12">
        <v>0</v>
      </c>
      <c r="J3365" s="11"/>
      <c r="K3365" s="12">
        <v>0</v>
      </c>
      <c r="L3365" s="10" t="str">
        <f t="shared" si="166"/>
        <v>AE dialoghi di tempo fiducia e cura episodi 2-3-4</v>
      </c>
      <c r="M3365" s="10" t="str">
        <f t="shared" si="167"/>
        <v>nicoletta.vozza@crm.otsuka-europe.com</v>
      </c>
      <c r="N3365" s="13">
        <v>46181.33797453704</v>
      </c>
      <c r="O3365" s="14" t="str">
        <f>HYPERLINK("https://otsuka-europe-crm.veevavault.com/ui/#object/email_activity__v/V8C00000003O558", "EN-002090114")</f>
        <v>EN-002090114</v>
      </c>
    </row>
    <row r="3366" spans="1:15" ht="32" x14ac:dyDescent="0.2">
      <c r="A3366" s="7" t="str">
        <f>HYPERLINK("https://otsuka-europe-crm.veevavault.com/ui/#object/account__v/V4TZ04ASGFQ56Q5", "CRISTINA GALATI")</f>
        <v>CRISTINA GALATI</v>
      </c>
      <c r="B3366" s="7" t="str">
        <f t="shared" si="164"/>
        <v>IT</v>
      </c>
      <c r="C3366" s="8" t="s">
        <v>44</v>
      </c>
      <c r="D3366" s="9" t="str">
        <f t="shared" si="165"/>
        <v>AE dialoghi di tempo fiducia e cura episodi 2-3-4</v>
      </c>
      <c r="E3366" s="10" t="str">
        <f>HYPERLINK("https://otsuka-europe-crm.veevavault.com/ui/#object/sent_email__v/VBL00000002O828", "SE-001432499")</f>
        <v>SE-001432499</v>
      </c>
      <c r="F3366" s="11"/>
      <c r="G3366" s="12">
        <v>0</v>
      </c>
      <c r="H3366" s="12">
        <v>0</v>
      </c>
      <c r="I3366" s="12">
        <v>0</v>
      </c>
      <c r="J3366" s="11"/>
      <c r="K3366" s="12">
        <v>0</v>
      </c>
      <c r="L3366" s="10" t="str">
        <f t="shared" si="166"/>
        <v>AE dialoghi di tempo fiducia e cura episodi 2-3-4</v>
      </c>
      <c r="M3366" s="10" t="str">
        <f t="shared" si="167"/>
        <v>nicoletta.vozza@crm.otsuka-europe.com</v>
      </c>
      <c r="N3366" s="13">
        <v>46181.337997685187</v>
      </c>
      <c r="O3366" s="14" t="str">
        <f>HYPERLINK("https://otsuka-europe-crm.veevavault.com/ui/#object/email_activity__v/V8C00000003O508", "EN-002090064")</f>
        <v>EN-002090064</v>
      </c>
    </row>
    <row r="3367" spans="1:15" ht="32" x14ac:dyDescent="0.2">
      <c r="A3367" s="7" t="str">
        <f>HYPERLINK("https://otsuka-europe-crm.veevavault.com/ui/#object/account__v/V4TZ06G6O71SAQM", "CRISTINA GOZZINI")</f>
        <v>CRISTINA GOZZINI</v>
      </c>
      <c r="B3367" s="7" t="str">
        <f t="shared" si="164"/>
        <v>IT</v>
      </c>
      <c r="C3367" s="8" t="s">
        <v>44</v>
      </c>
      <c r="D3367" s="9" t="str">
        <f t="shared" si="165"/>
        <v>AE dialoghi di tempo fiducia e cura episodi 2-3-4</v>
      </c>
      <c r="E3367" s="10" t="str">
        <f>HYPERLINK("https://otsuka-europe-crm.veevavault.com/ui/#object/sent_email__v/VBL00000002O829", "SE-001432500")</f>
        <v>SE-001432500</v>
      </c>
      <c r="F3367" s="11"/>
      <c r="G3367" s="12">
        <v>0</v>
      </c>
      <c r="H3367" s="12">
        <v>0</v>
      </c>
      <c r="I3367" s="12">
        <v>0</v>
      </c>
      <c r="J3367" s="11"/>
      <c r="K3367" s="12">
        <v>0</v>
      </c>
      <c r="L3367" s="10" t="str">
        <f t="shared" si="166"/>
        <v>AE dialoghi di tempo fiducia e cura episodi 2-3-4</v>
      </c>
      <c r="M3367" s="10" t="str">
        <f t="shared" si="167"/>
        <v>nicoletta.vozza@crm.otsuka-europe.com</v>
      </c>
      <c r="N3367" s="13">
        <v>46181.338020833333</v>
      </c>
      <c r="O3367" s="14" t="str">
        <f>HYPERLINK("https://otsuka-europe-crm.veevavault.com/ui/#object/email_activity__v/V8C00000003O716", "EN-002090272")</f>
        <v>EN-002090272</v>
      </c>
    </row>
    <row r="3368" spans="1:15" ht="32" x14ac:dyDescent="0.2">
      <c r="A3368" s="7" t="str">
        <f>HYPERLINK("https://otsuka-europe-crm.veevavault.com/ui/#object/account__v/V4TZ06G6O71S9M4", "CRISTINA MARIA FRANCESCA URANI")</f>
        <v>CRISTINA MARIA FRANCESCA URANI</v>
      </c>
      <c r="B3368" s="7" t="str">
        <f t="shared" si="164"/>
        <v>IT</v>
      </c>
      <c r="C3368" s="8" t="s">
        <v>44</v>
      </c>
      <c r="D3368" s="9" t="str">
        <f t="shared" si="165"/>
        <v>AE dialoghi di tempo fiducia e cura episodi 2-3-4</v>
      </c>
      <c r="E3368" s="10" t="str">
        <f>HYPERLINK("https://otsuka-europe-crm.veevavault.com/ui/#object/sent_email__v/VBL00000002O830", "SE-001432501")</f>
        <v>SE-001432501</v>
      </c>
      <c r="F3368" s="11"/>
      <c r="G3368" s="12">
        <v>0</v>
      </c>
      <c r="H3368" s="12">
        <v>0</v>
      </c>
      <c r="I3368" s="12">
        <v>0</v>
      </c>
      <c r="J3368" s="11"/>
      <c r="K3368" s="12">
        <v>0</v>
      </c>
      <c r="L3368" s="10" t="str">
        <f t="shared" si="166"/>
        <v>AE dialoghi di tempo fiducia e cura episodi 2-3-4</v>
      </c>
      <c r="M3368" s="10" t="str">
        <f t="shared" si="167"/>
        <v>nicoletta.vozza@crm.otsuka-europe.com</v>
      </c>
      <c r="N3368" s="13">
        <v>46181.337916666664</v>
      </c>
      <c r="O3368" s="15"/>
    </row>
    <row r="3369" spans="1:15" ht="32" x14ac:dyDescent="0.2">
      <c r="A3369" s="7" t="str">
        <f>HYPERLINK("https://otsuka-europe-crm.veevavault.com/ui/#object/account__v/V4TZ06G6O71SC1M", "CRISTINA RAMBELLI")</f>
        <v>CRISTINA RAMBELLI</v>
      </c>
      <c r="B3369" s="7" t="str">
        <f t="shared" si="164"/>
        <v>IT</v>
      </c>
      <c r="C3369" s="8" t="s">
        <v>44</v>
      </c>
      <c r="D3369" s="9" t="str">
        <f t="shared" si="165"/>
        <v>AE dialoghi di tempo fiducia e cura episodi 2-3-4</v>
      </c>
      <c r="E3369" s="10" t="str">
        <f>HYPERLINK("https://otsuka-europe-crm.veevavault.com/ui/#object/sent_email__v/VBL00000002O831", "SE-001432502")</f>
        <v>SE-001432502</v>
      </c>
      <c r="F3369" s="11"/>
      <c r="G3369" s="12">
        <v>0</v>
      </c>
      <c r="H3369" s="12">
        <v>0</v>
      </c>
      <c r="I3369" s="12">
        <v>0</v>
      </c>
      <c r="J3369" s="11"/>
      <c r="K3369" s="12">
        <v>0</v>
      </c>
      <c r="L3369" s="10" t="str">
        <f t="shared" si="166"/>
        <v>AE dialoghi di tempo fiducia e cura episodi 2-3-4</v>
      </c>
      <c r="M3369" s="10" t="str">
        <f t="shared" si="167"/>
        <v>nicoletta.vozza@crm.otsuka-europe.com</v>
      </c>
      <c r="N3369" s="13">
        <v>46181.337997685187</v>
      </c>
      <c r="O3369" s="14" t="str">
        <f>HYPERLINK("https://otsuka-europe-crm.veevavault.com/ui/#object/email_activity__v/V8C00000003P659", "EN-002090914")</f>
        <v>EN-002090914</v>
      </c>
    </row>
    <row r="3370" spans="1:15" ht="32" x14ac:dyDescent="0.2">
      <c r="A3370" s="7" t="str">
        <f>HYPERLINK("https://otsuka-europe-crm.veevavault.com/ui/#object/account__v/V4TZ06G6O71S9UF", "CRISTINA ROMALDI")</f>
        <v>CRISTINA ROMALDI</v>
      </c>
      <c r="B3370" s="7" t="str">
        <f t="shared" si="164"/>
        <v>IT</v>
      </c>
      <c r="C3370" s="8" t="s">
        <v>44</v>
      </c>
      <c r="D3370" s="9" t="str">
        <f t="shared" si="165"/>
        <v>AE dialoghi di tempo fiducia e cura episodi 2-3-4</v>
      </c>
      <c r="E3370" s="10" t="str">
        <f>HYPERLINK("https://otsuka-europe-crm.veevavault.com/ui/#object/sent_email__v/VBL00000002O832", "SE-001432503")</f>
        <v>SE-001432503</v>
      </c>
      <c r="F3370" s="11"/>
      <c r="G3370" s="12">
        <v>0</v>
      </c>
      <c r="H3370" s="12">
        <v>0</v>
      </c>
      <c r="I3370" s="12">
        <v>0</v>
      </c>
      <c r="J3370" s="11"/>
      <c r="K3370" s="12">
        <v>0</v>
      </c>
      <c r="L3370" s="10" t="str">
        <f t="shared" si="166"/>
        <v>AE dialoghi di tempo fiducia e cura episodi 2-3-4</v>
      </c>
      <c r="M3370" s="10" t="str">
        <f t="shared" si="167"/>
        <v>nicoletta.vozza@crm.otsuka-europe.com</v>
      </c>
      <c r="N3370" s="13">
        <v>46181.338020833333</v>
      </c>
      <c r="O3370" s="14" t="str">
        <f>HYPERLINK("https://otsuka-europe-crm.veevavault.com/ui/#object/email_activity__v/V8C00000003O751", "EN-002090307")</f>
        <v>EN-002090307</v>
      </c>
    </row>
    <row r="3371" spans="1:15" ht="16" x14ac:dyDescent="0.2">
      <c r="A3371" s="17" t="str">
        <f>HYPERLINK("https://otsuka-europe-crm.veevavault.com/ui/#object/account__v/V4TZ06G6O80V418", "CRISTINA SANTIN")</f>
        <v>CRISTINA SANTIN</v>
      </c>
      <c r="B3371" s="17" t="str">
        <f t="shared" si="164"/>
        <v>IT</v>
      </c>
      <c r="C3371" s="20" t="s">
        <v>44</v>
      </c>
      <c r="D3371" s="21" t="str">
        <f t="shared" si="165"/>
        <v>AE dialoghi di tempo fiducia e cura episodi 2-3-4</v>
      </c>
      <c r="E3371" s="22" t="str">
        <f>HYPERLINK("https://otsuka-europe-crm.veevavault.com/ui/#object/sent_email__v/VBL00000002O833", "SE-001432504")</f>
        <v>SE-001432504</v>
      </c>
      <c r="F3371" s="23">
        <v>46181.374849537038</v>
      </c>
      <c r="G3371" s="24">
        <v>1</v>
      </c>
      <c r="H3371" s="24">
        <v>2</v>
      </c>
      <c r="I3371" s="24">
        <v>0</v>
      </c>
      <c r="J3371" s="25"/>
      <c r="K3371" s="24">
        <v>0</v>
      </c>
      <c r="L3371" s="22" t="str">
        <f t="shared" si="166"/>
        <v>AE dialoghi di tempo fiducia e cura episodi 2-3-4</v>
      </c>
      <c r="M3371" s="22" t="str">
        <f t="shared" si="167"/>
        <v>nicoletta.vozza@crm.otsuka-europe.com</v>
      </c>
      <c r="N3371" s="23">
        <v>46181.33803240741</v>
      </c>
      <c r="O3371" s="14" t="str">
        <f>HYPERLINK("https://otsuka-europe-crm.veevavault.com/ui/#object/email_activity__v/V8C00000003P699", "EN-002090954")</f>
        <v>EN-002090954</v>
      </c>
    </row>
    <row r="3372" spans="1:15" ht="16" x14ac:dyDescent="0.2">
      <c r="A3372" s="18"/>
      <c r="B3372" s="18"/>
      <c r="C3372" s="18"/>
      <c r="D3372" s="18"/>
      <c r="E3372" s="18"/>
      <c r="F3372" s="18"/>
      <c r="G3372" s="18"/>
      <c r="H3372" s="18"/>
      <c r="I3372" s="18"/>
      <c r="J3372" s="18"/>
      <c r="K3372" s="18"/>
      <c r="L3372" s="18"/>
      <c r="M3372" s="18"/>
      <c r="N3372" s="18"/>
      <c r="O3372" s="14" t="str">
        <f>HYPERLINK("https://otsuka-europe-crm.veevavault.com/ui/#object/email_activity__v/V8C00000003Q304", "EN-002091451")</f>
        <v>EN-002091451</v>
      </c>
    </row>
    <row r="3373" spans="1:15" ht="16" x14ac:dyDescent="0.2">
      <c r="A3373" s="19"/>
      <c r="B3373" s="19"/>
      <c r="C3373" s="19"/>
      <c r="D3373" s="19"/>
      <c r="E3373" s="19"/>
      <c r="F3373" s="19"/>
      <c r="G3373" s="19"/>
      <c r="H3373" s="19"/>
      <c r="I3373" s="19"/>
      <c r="J3373" s="19"/>
      <c r="K3373" s="19"/>
      <c r="L3373" s="19"/>
      <c r="M3373" s="19"/>
      <c r="N3373" s="19"/>
      <c r="O3373" s="14" t="str">
        <f>HYPERLINK("https://otsuka-europe-crm.veevavault.com/ui/#object/email_activity__v/V8C00000003Q348", "EN-002091527")</f>
        <v>EN-002091527</v>
      </c>
    </row>
    <row r="3374" spans="1:15" ht="32" x14ac:dyDescent="0.2">
      <c r="A3374" s="7" t="str">
        <f>HYPERLINK("https://otsuka-europe-crm.veevavault.com/ui/#object/account__v/V4TZ06G6O811TWC", "DAIANA ZULLO")</f>
        <v>DAIANA ZULLO</v>
      </c>
      <c r="B3374" s="7" t="str">
        <f t="shared" ref="B3374:B3385" si="168">HYPERLINK("https://otsuka-europe-crm.veevavault.com/ui/#object/vcountry__v/VENZ000004SONFQ", "IT")</f>
        <v>IT</v>
      </c>
      <c r="C3374" s="8" t="s">
        <v>44</v>
      </c>
      <c r="D3374" s="9" t="str">
        <f t="shared" ref="D3374:D3385" si="169">HYPERLINK("https://otsuka-europe-crm.veevavault.com/ui/#object/approved_document__v/V5O000000018003", "AE dialoghi di tempo fiducia e cura episodi 2-3-4")</f>
        <v>AE dialoghi di tempo fiducia e cura episodi 2-3-4</v>
      </c>
      <c r="E3374" s="10" t="str">
        <f>HYPERLINK("https://otsuka-europe-crm.veevavault.com/ui/#object/sent_email__v/VBL00000002O834", "SE-001432505")</f>
        <v>SE-001432505</v>
      </c>
      <c r="F3374" s="11"/>
      <c r="G3374" s="12">
        <v>0</v>
      </c>
      <c r="H3374" s="12">
        <v>0</v>
      </c>
      <c r="I3374" s="12">
        <v>0</v>
      </c>
      <c r="J3374" s="11"/>
      <c r="K3374" s="12">
        <v>0</v>
      </c>
      <c r="L3374" s="10" t="str">
        <f t="shared" ref="L3374:L3385" si="170">HYPERLINK("https://otsuka-europe-crm.veevavault.com/ui/#object/approved_document__v/V5O000000018003", "AE dialoghi di tempo fiducia e cura episodi 2-3-4")</f>
        <v>AE dialoghi di tempo fiducia e cura episodi 2-3-4</v>
      </c>
      <c r="M3374" s="10" t="str">
        <f t="shared" ref="M3374:M3385" si="171">HYPERLINK("mailto:nicoletta.vozza@crm.otsuka-europe.com", "nicoletta.vozza@crm.otsuka-europe.com")</f>
        <v>nicoletta.vozza@crm.otsuka-europe.com</v>
      </c>
      <c r="N3374" s="13">
        <v>46181.338067129633</v>
      </c>
      <c r="O3374" s="14" t="str">
        <f>HYPERLINK("https://otsuka-europe-crm.veevavault.com/ui/#object/email_activity__v/V8C00000003P835", "EN-002091194")</f>
        <v>EN-002091194</v>
      </c>
    </row>
    <row r="3375" spans="1:15" ht="32" x14ac:dyDescent="0.2">
      <c r="A3375" s="7" t="str">
        <f>HYPERLINK("https://otsuka-europe-crm.veevavault.com/ui/#object/account__v/V4TZ025E88SWQ5U", "DANIEL RUSSO")</f>
        <v>DANIEL RUSSO</v>
      </c>
      <c r="B3375" s="7" t="str">
        <f t="shared" si="168"/>
        <v>IT</v>
      </c>
      <c r="C3375" s="8" t="s">
        <v>44</v>
      </c>
      <c r="D3375" s="9" t="str">
        <f t="shared" si="169"/>
        <v>AE dialoghi di tempo fiducia e cura episodi 2-3-4</v>
      </c>
      <c r="E3375" s="10" t="str">
        <f>HYPERLINK("https://otsuka-europe-crm.veevavault.com/ui/#object/sent_email__v/VBL00000002O835", "SE-001432506")</f>
        <v>SE-001432506</v>
      </c>
      <c r="F3375" s="11"/>
      <c r="G3375" s="12">
        <v>0</v>
      </c>
      <c r="H3375" s="12">
        <v>0</v>
      </c>
      <c r="I3375" s="12">
        <v>0</v>
      </c>
      <c r="J3375" s="11"/>
      <c r="K3375" s="12">
        <v>0</v>
      </c>
      <c r="L3375" s="10" t="str">
        <f t="shared" si="170"/>
        <v>AE dialoghi di tempo fiducia e cura episodi 2-3-4</v>
      </c>
      <c r="M3375" s="10" t="str">
        <f t="shared" si="171"/>
        <v>nicoletta.vozza@crm.otsuka-europe.com</v>
      </c>
      <c r="N3375" s="13">
        <v>46181.338020833333</v>
      </c>
      <c r="O3375" s="14" t="str">
        <f>HYPERLINK("https://otsuka-europe-crm.veevavault.com/ui/#object/email_activity__v/V8C00000003P292", "EN-002089928")</f>
        <v>EN-002089928</v>
      </c>
    </row>
    <row r="3376" spans="1:15" ht="32" x14ac:dyDescent="0.2">
      <c r="A3376" s="7" t="str">
        <f>HYPERLINK("https://otsuka-europe-crm.veevavault.com/ui/#object/account__v/V4TZ06G6O71S9KS", "DANIELA AIELLO")</f>
        <v>DANIELA AIELLO</v>
      </c>
      <c r="B3376" s="7" t="str">
        <f t="shared" si="168"/>
        <v>IT</v>
      </c>
      <c r="C3376" s="8" t="s">
        <v>44</v>
      </c>
      <c r="D3376" s="9" t="str">
        <f t="shared" si="169"/>
        <v>AE dialoghi di tempo fiducia e cura episodi 2-3-4</v>
      </c>
      <c r="E3376" s="10" t="str">
        <f>HYPERLINK("https://otsuka-europe-crm.veevavault.com/ui/#object/sent_email__v/VBL00000002O836", "SE-001432507")</f>
        <v>SE-001432507</v>
      </c>
      <c r="F3376" s="11"/>
      <c r="G3376" s="12">
        <v>0</v>
      </c>
      <c r="H3376" s="12">
        <v>0</v>
      </c>
      <c r="I3376" s="12">
        <v>0</v>
      </c>
      <c r="J3376" s="11"/>
      <c r="K3376" s="12">
        <v>0</v>
      </c>
      <c r="L3376" s="10" t="str">
        <f t="shared" si="170"/>
        <v>AE dialoghi di tempo fiducia e cura episodi 2-3-4</v>
      </c>
      <c r="M3376" s="10" t="str">
        <f t="shared" si="171"/>
        <v>nicoletta.vozza@crm.otsuka-europe.com</v>
      </c>
      <c r="N3376" s="13">
        <v>46181.338020833333</v>
      </c>
      <c r="O3376" s="14" t="str">
        <f>HYPERLINK("https://otsuka-europe-crm.veevavault.com/ui/#object/email_activity__v/V8C00000003P693", "EN-002090948")</f>
        <v>EN-002090948</v>
      </c>
    </row>
    <row r="3377" spans="1:15" ht="32" x14ac:dyDescent="0.2">
      <c r="A3377" s="7" t="str">
        <f>HYPERLINK("https://otsuka-europe-crm.veevavault.com/ui/#object/account__v/V4TZ06G6O71TLB3", "DANIELA ALBANO")</f>
        <v>DANIELA ALBANO</v>
      </c>
      <c r="B3377" s="7" t="str">
        <f t="shared" si="168"/>
        <v>IT</v>
      </c>
      <c r="C3377" s="8" t="s">
        <v>44</v>
      </c>
      <c r="D3377" s="9" t="str">
        <f t="shared" si="169"/>
        <v>AE dialoghi di tempo fiducia e cura episodi 2-3-4</v>
      </c>
      <c r="E3377" s="10" t="str">
        <f>HYPERLINK("https://otsuka-europe-crm.veevavault.com/ui/#object/sent_email__v/VBL00000002O837", "SE-001432508")</f>
        <v>SE-001432508</v>
      </c>
      <c r="F3377" s="11"/>
      <c r="G3377" s="12">
        <v>0</v>
      </c>
      <c r="H3377" s="12">
        <v>0</v>
      </c>
      <c r="I3377" s="12">
        <v>0</v>
      </c>
      <c r="J3377" s="11"/>
      <c r="K3377" s="12">
        <v>0</v>
      </c>
      <c r="L3377" s="10" t="str">
        <f t="shared" si="170"/>
        <v>AE dialoghi di tempo fiducia e cura episodi 2-3-4</v>
      </c>
      <c r="M3377" s="10" t="str">
        <f t="shared" si="171"/>
        <v>nicoletta.vozza@crm.otsuka-europe.com</v>
      </c>
      <c r="N3377" s="13">
        <v>46181.33798611111</v>
      </c>
      <c r="O3377" s="14" t="str">
        <f>HYPERLINK("https://otsuka-europe-crm.veevavault.com/ui/#object/email_activity__v/V8C00000003O356", "EN-002089874")</f>
        <v>EN-002089874</v>
      </c>
    </row>
    <row r="3378" spans="1:15" ht="32" x14ac:dyDescent="0.2">
      <c r="A3378" s="7" t="str">
        <f>HYPERLINK("https://otsuka-europe-crm.veevavault.com/ui/#object/account__v/V4TZ06G6O71S9XJ", "DANIELA AMATO")</f>
        <v>DANIELA AMATO</v>
      </c>
      <c r="B3378" s="7" t="str">
        <f t="shared" si="168"/>
        <v>IT</v>
      </c>
      <c r="C3378" s="8" t="s">
        <v>44</v>
      </c>
      <c r="D3378" s="9" t="str">
        <f t="shared" si="169"/>
        <v>AE dialoghi di tempo fiducia e cura episodi 2-3-4</v>
      </c>
      <c r="E3378" s="10" t="str">
        <f>HYPERLINK("https://otsuka-europe-crm.veevavault.com/ui/#object/sent_email__v/VBL00000002O838", "SE-001432509")</f>
        <v>SE-001432509</v>
      </c>
      <c r="F3378" s="11"/>
      <c r="G3378" s="12">
        <v>0</v>
      </c>
      <c r="H3378" s="12">
        <v>0</v>
      </c>
      <c r="I3378" s="12">
        <v>0</v>
      </c>
      <c r="J3378" s="11"/>
      <c r="K3378" s="12">
        <v>0</v>
      </c>
      <c r="L3378" s="10" t="str">
        <f t="shared" si="170"/>
        <v>AE dialoghi di tempo fiducia e cura episodi 2-3-4</v>
      </c>
      <c r="M3378" s="10" t="str">
        <f t="shared" si="171"/>
        <v>nicoletta.vozza@crm.otsuka-europe.com</v>
      </c>
      <c r="N3378" s="13">
        <v>46181.337962962964</v>
      </c>
      <c r="O3378" s="14" t="str">
        <f>HYPERLINK("https://otsuka-europe-crm.veevavault.com/ui/#object/email_activity__v/V8C00000003P255", "EN-002089833")</f>
        <v>EN-002089833</v>
      </c>
    </row>
    <row r="3379" spans="1:15" ht="32" x14ac:dyDescent="0.2">
      <c r="A3379" s="7" t="str">
        <f>HYPERLINK("https://otsuka-europe-crm.veevavault.com/ui/#object/account__v/V4TZ06G6O71SAI4", "DANIELA DE ORSI")</f>
        <v>DANIELA DE ORSI</v>
      </c>
      <c r="B3379" s="7" t="str">
        <f t="shared" si="168"/>
        <v>IT</v>
      </c>
      <c r="C3379" s="8" t="s">
        <v>44</v>
      </c>
      <c r="D3379" s="9" t="str">
        <f t="shared" si="169"/>
        <v>AE dialoghi di tempo fiducia e cura episodi 2-3-4</v>
      </c>
      <c r="E3379" s="10" t="str">
        <f>HYPERLINK("https://otsuka-europe-crm.veevavault.com/ui/#object/sent_email__v/VBL00000002O839", "SE-001432510")</f>
        <v>SE-001432510</v>
      </c>
      <c r="F3379" s="11"/>
      <c r="G3379" s="12">
        <v>0</v>
      </c>
      <c r="H3379" s="12">
        <v>0</v>
      </c>
      <c r="I3379" s="12">
        <v>0</v>
      </c>
      <c r="J3379" s="11"/>
      <c r="K3379" s="12">
        <v>0</v>
      </c>
      <c r="L3379" s="10" t="str">
        <f t="shared" si="170"/>
        <v>AE dialoghi di tempo fiducia e cura episodi 2-3-4</v>
      </c>
      <c r="M3379" s="10" t="str">
        <f t="shared" si="171"/>
        <v>nicoletta.vozza@crm.otsuka-europe.com</v>
      </c>
      <c r="N3379" s="13">
        <v>46181.337997685187</v>
      </c>
      <c r="O3379" s="14" t="str">
        <f>HYPERLINK("https://otsuka-europe-crm.veevavault.com/ui/#object/email_activity__v/V8C00000003O204", "EN-002089641")</f>
        <v>EN-002089641</v>
      </c>
    </row>
    <row r="3380" spans="1:15" ht="32" x14ac:dyDescent="0.2">
      <c r="A3380" s="7" t="str">
        <f>HYPERLINK("https://otsuka-europe-crm.veevavault.com/ui/#object/account__v/V4TZ025E83THS8Z", "DANIELA DI COSIMO")</f>
        <v>DANIELA DI COSIMO</v>
      </c>
      <c r="B3380" s="7" t="str">
        <f t="shared" si="168"/>
        <v>IT</v>
      </c>
      <c r="C3380" s="8" t="s">
        <v>44</v>
      </c>
      <c r="D3380" s="9" t="str">
        <f t="shared" si="169"/>
        <v>AE dialoghi di tempo fiducia e cura episodi 2-3-4</v>
      </c>
      <c r="E3380" s="10" t="str">
        <f>HYPERLINK("https://otsuka-europe-crm.veevavault.com/ui/#object/sent_email__v/VBL00000002O840", "SE-001432511")</f>
        <v>SE-001432511</v>
      </c>
      <c r="F3380" s="11"/>
      <c r="G3380" s="12">
        <v>0</v>
      </c>
      <c r="H3380" s="12">
        <v>0</v>
      </c>
      <c r="I3380" s="12">
        <v>0</v>
      </c>
      <c r="J3380" s="11"/>
      <c r="K3380" s="12">
        <v>0</v>
      </c>
      <c r="L3380" s="10" t="str">
        <f t="shared" si="170"/>
        <v>AE dialoghi di tempo fiducia e cura episodi 2-3-4</v>
      </c>
      <c r="M3380" s="10" t="str">
        <f t="shared" si="171"/>
        <v>nicoletta.vozza@crm.otsuka-europe.com</v>
      </c>
      <c r="N3380" s="13">
        <v>46181.337939814817</v>
      </c>
      <c r="O3380" s="14" t="str">
        <f>HYPERLINK("https://otsuka-europe-crm.veevavault.com/ui/#object/email_activity__v/V8C00000003Q319", "EN-002091476")</f>
        <v>EN-002091476</v>
      </c>
    </row>
    <row r="3381" spans="1:15" ht="32" x14ac:dyDescent="0.2">
      <c r="A3381" s="7" t="str">
        <f>HYPERLINK("https://otsuka-europe-crm.veevavault.com/ui/#object/account__v/V4TZ06G6O71SATS", "DANIELA GERVINO")</f>
        <v>DANIELA GERVINO</v>
      </c>
      <c r="B3381" s="7" t="str">
        <f t="shared" si="168"/>
        <v>IT</v>
      </c>
      <c r="C3381" s="8" t="s">
        <v>44</v>
      </c>
      <c r="D3381" s="9" t="str">
        <f t="shared" si="169"/>
        <v>AE dialoghi di tempo fiducia e cura episodi 2-3-4</v>
      </c>
      <c r="E3381" s="10" t="str">
        <f>HYPERLINK("https://otsuka-europe-crm.veevavault.com/ui/#object/sent_email__v/VBL00000002O841", "SE-001432512")</f>
        <v>SE-001432512</v>
      </c>
      <c r="F3381" s="11"/>
      <c r="G3381" s="12">
        <v>0</v>
      </c>
      <c r="H3381" s="12">
        <v>0</v>
      </c>
      <c r="I3381" s="12">
        <v>0</v>
      </c>
      <c r="J3381" s="11"/>
      <c r="K3381" s="12">
        <v>0</v>
      </c>
      <c r="L3381" s="10" t="str">
        <f t="shared" si="170"/>
        <v>AE dialoghi di tempo fiducia e cura episodi 2-3-4</v>
      </c>
      <c r="M3381" s="10" t="str">
        <f t="shared" si="171"/>
        <v>nicoletta.vozza@crm.otsuka-europe.com</v>
      </c>
      <c r="N3381" s="13">
        <v>46181.338020833333</v>
      </c>
      <c r="O3381" s="14" t="str">
        <f>HYPERLINK("https://otsuka-europe-crm.veevavault.com/ui/#object/email_activity__v/V8C00000003O377", "EN-002089895")</f>
        <v>EN-002089895</v>
      </c>
    </row>
    <row r="3382" spans="1:15" ht="32" x14ac:dyDescent="0.2">
      <c r="A3382" s="7" t="str">
        <f>HYPERLINK("https://otsuka-europe-crm.veevavault.com/ui/#object/account__v/V4TZ06G6O71SCQD", "DANIELA IELO")</f>
        <v>DANIELA IELO</v>
      </c>
      <c r="B3382" s="7" t="str">
        <f t="shared" si="168"/>
        <v>IT</v>
      </c>
      <c r="C3382" s="8" t="s">
        <v>44</v>
      </c>
      <c r="D3382" s="9" t="str">
        <f t="shared" si="169"/>
        <v>AE dialoghi di tempo fiducia e cura episodi 2-3-4</v>
      </c>
      <c r="E3382" s="10" t="str">
        <f>HYPERLINK("https://otsuka-europe-crm.veevavault.com/ui/#object/sent_email__v/VBL00000002O842", "SE-001432513")</f>
        <v>SE-001432513</v>
      </c>
      <c r="F3382" s="11"/>
      <c r="G3382" s="12">
        <v>0</v>
      </c>
      <c r="H3382" s="12">
        <v>0</v>
      </c>
      <c r="I3382" s="12">
        <v>0</v>
      </c>
      <c r="J3382" s="11"/>
      <c r="K3382" s="12">
        <v>0</v>
      </c>
      <c r="L3382" s="10" t="str">
        <f t="shared" si="170"/>
        <v>AE dialoghi di tempo fiducia e cura episodi 2-3-4</v>
      </c>
      <c r="M3382" s="10" t="str">
        <f t="shared" si="171"/>
        <v>nicoletta.vozza@crm.otsuka-europe.com</v>
      </c>
      <c r="N3382" s="13">
        <v>46181.338020833333</v>
      </c>
      <c r="O3382" s="14" t="str">
        <f>HYPERLINK("https://otsuka-europe-crm.veevavault.com/ui/#object/email_activity__v/V8C00000003O959", "EN-002090619")</f>
        <v>EN-002090619</v>
      </c>
    </row>
    <row r="3383" spans="1:15" ht="32" x14ac:dyDescent="0.2">
      <c r="A3383" s="7" t="str">
        <f>HYPERLINK("https://otsuka-europe-crm.veevavault.com/ui/#object/account__v/V4TZ06G6O71SB75", "DANIELA LATINI")</f>
        <v>DANIELA LATINI</v>
      </c>
      <c r="B3383" s="7" t="str">
        <f t="shared" si="168"/>
        <v>IT</v>
      </c>
      <c r="C3383" s="8" t="s">
        <v>44</v>
      </c>
      <c r="D3383" s="9" t="str">
        <f t="shared" si="169"/>
        <v>AE dialoghi di tempo fiducia e cura episodi 2-3-4</v>
      </c>
      <c r="E3383" s="10" t="str">
        <f>HYPERLINK("https://otsuka-europe-crm.veevavault.com/ui/#object/sent_email__v/VBL00000002O843", "SE-001432514")</f>
        <v>SE-001432514</v>
      </c>
      <c r="F3383" s="11"/>
      <c r="G3383" s="12">
        <v>0</v>
      </c>
      <c r="H3383" s="12">
        <v>0</v>
      </c>
      <c r="I3383" s="12">
        <v>0</v>
      </c>
      <c r="J3383" s="11"/>
      <c r="K3383" s="12">
        <v>0</v>
      </c>
      <c r="L3383" s="10" t="str">
        <f t="shared" si="170"/>
        <v>AE dialoghi di tempo fiducia e cura episodi 2-3-4</v>
      </c>
      <c r="M3383" s="10" t="str">
        <f t="shared" si="171"/>
        <v>nicoletta.vozza@crm.otsuka-europe.com</v>
      </c>
      <c r="N3383" s="13">
        <v>46181.339050925926</v>
      </c>
      <c r="O3383" s="14" t="str">
        <f>HYPERLINK("https://otsuka-europe-crm.veevavault.com/ui/#object/email_activity__v/V8C00000003P875", "EN-002091374")</f>
        <v>EN-002091374</v>
      </c>
    </row>
    <row r="3384" spans="1:15" ht="32" x14ac:dyDescent="0.2">
      <c r="A3384" s="7" t="str">
        <f>HYPERLINK("https://otsuka-europe-crm.veevavault.com/ui/#object/account__v/V4TZ06G6O71SBDH", "DANIELA MALAGAMBA")</f>
        <v>DANIELA MALAGAMBA</v>
      </c>
      <c r="B3384" s="7" t="str">
        <f t="shared" si="168"/>
        <v>IT</v>
      </c>
      <c r="C3384" s="8" t="s">
        <v>44</v>
      </c>
      <c r="D3384" s="9" t="str">
        <f t="shared" si="169"/>
        <v>AE dialoghi di tempo fiducia e cura episodi 2-3-4</v>
      </c>
      <c r="E3384" s="10" t="str">
        <f>HYPERLINK("https://otsuka-europe-crm.veevavault.com/ui/#object/sent_email__v/VBL00000002O844", "SE-001432515")</f>
        <v>SE-001432515</v>
      </c>
      <c r="F3384" s="11"/>
      <c r="G3384" s="12">
        <v>0</v>
      </c>
      <c r="H3384" s="12">
        <v>0</v>
      </c>
      <c r="I3384" s="12">
        <v>0</v>
      </c>
      <c r="J3384" s="11"/>
      <c r="K3384" s="12">
        <v>0</v>
      </c>
      <c r="L3384" s="10" t="str">
        <f t="shared" si="170"/>
        <v>AE dialoghi di tempo fiducia e cura episodi 2-3-4</v>
      </c>
      <c r="M3384" s="10" t="str">
        <f t="shared" si="171"/>
        <v>nicoletta.vozza@crm.otsuka-europe.com</v>
      </c>
      <c r="N3384" s="13">
        <v>46181.338020833333</v>
      </c>
      <c r="O3384" s="14" t="str">
        <f>HYPERLINK("https://otsuka-europe-crm.veevavault.com/ui/#object/email_activity__v/V8C00000003O255", "EN-002089732")</f>
        <v>EN-002089732</v>
      </c>
    </row>
    <row r="3385" spans="1:15" ht="16" x14ac:dyDescent="0.2">
      <c r="A3385" s="17" t="str">
        <f>HYPERLINK("https://otsuka-europe-crm.veevavault.com/ui/#object/account__v/V4TZ06G6O71SBQ2", "DANIELA MARIA TERESA MUSSI")</f>
        <v>DANIELA MARIA TERESA MUSSI</v>
      </c>
      <c r="B3385" s="17" t="str">
        <f t="shared" si="168"/>
        <v>IT</v>
      </c>
      <c r="C3385" s="20" t="s">
        <v>44</v>
      </c>
      <c r="D3385" s="21" t="str">
        <f t="shared" si="169"/>
        <v>AE dialoghi di tempo fiducia e cura episodi 2-3-4</v>
      </c>
      <c r="E3385" s="22" t="str">
        <f>HYPERLINK("https://otsuka-europe-crm.veevavault.com/ui/#object/sent_email__v/VBL00000002O845", "SE-001432516")</f>
        <v>SE-001432516</v>
      </c>
      <c r="F3385" s="25"/>
      <c r="G3385" s="24">
        <v>0</v>
      </c>
      <c r="H3385" s="24">
        <v>0</v>
      </c>
      <c r="I3385" s="24">
        <v>0</v>
      </c>
      <c r="J3385" s="25"/>
      <c r="K3385" s="24">
        <v>0</v>
      </c>
      <c r="L3385" s="22" t="str">
        <f t="shared" si="170"/>
        <v>AE dialoghi di tempo fiducia e cura episodi 2-3-4</v>
      </c>
      <c r="M3385" s="22" t="str">
        <f t="shared" si="171"/>
        <v>nicoletta.vozza@crm.otsuka-europe.com</v>
      </c>
      <c r="N3385" s="23">
        <v>46181.33798611111</v>
      </c>
      <c r="O3385" s="14" t="str">
        <f>HYPERLINK("https://otsuka-europe-crm.veevavault.com/ui/#object/email_activity__v/V8C00000003O411", "EN-002089967")</f>
        <v>EN-002089967</v>
      </c>
    </row>
    <row r="3386" spans="1:15" ht="16" x14ac:dyDescent="0.2">
      <c r="A3386" s="19"/>
      <c r="B3386" s="19"/>
      <c r="C3386" s="19"/>
      <c r="D3386" s="19"/>
      <c r="E3386" s="19"/>
      <c r="F3386" s="19"/>
      <c r="G3386" s="19"/>
      <c r="H3386" s="19"/>
      <c r="I3386" s="19"/>
      <c r="J3386" s="19"/>
      <c r="K3386" s="19"/>
      <c r="L3386" s="19"/>
      <c r="M3386" s="19"/>
      <c r="N3386" s="19"/>
      <c r="O3386" s="14" t="str">
        <f>HYPERLINK("https://otsuka-europe-crm.veevavault.com/ui/#object/email_activity__v/V8C00000003Q695", "EN-002092229")</f>
        <v>EN-002092229</v>
      </c>
    </row>
    <row r="3387" spans="1:15" ht="32" x14ac:dyDescent="0.2">
      <c r="A3387" s="7" t="str">
        <f>HYPERLINK("https://otsuka-europe-crm.veevavault.com/ui/#object/account__v/V4TZ06G6O71SBPL", "DANIELA OGGIONI")</f>
        <v>DANIELA OGGIONI</v>
      </c>
      <c r="B3387" s="7" t="str">
        <f>HYPERLINK("https://otsuka-europe-crm.veevavault.com/ui/#object/vcountry__v/VENZ000004SONFQ", "IT")</f>
        <v>IT</v>
      </c>
      <c r="C3387" s="8" t="s">
        <v>44</v>
      </c>
      <c r="D3387" s="9" t="str">
        <f>HYPERLINK("https://otsuka-europe-crm.veevavault.com/ui/#object/approved_document__v/V5O000000018003", "AE dialoghi di tempo fiducia e cura episodi 2-3-4")</f>
        <v>AE dialoghi di tempo fiducia e cura episodi 2-3-4</v>
      </c>
      <c r="E3387" s="10" t="str">
        <f>HYPERLINK("https://otsuka-europe-crm.veevavault.com/ui/#object/sent_email__v/VBL00000002O846", "SE-001432517")</f>
        <v>SE-001432517</v>
      </c>
      <c r="F3387" s="11"/>
      <c r="G3387" s="12">
        <v>0</v>
      </c>
      <c r="H3387" s="12">
        <v>0</v>
      </c>
      <c r="I3387" s="12">
        <v>0</v>
      </c>
      <c r="J3387" s="11"/>
      <c r="K3387" s="12">
        <v>0</v>
      </c>
      <c r="L3387" s="10" t="str">
        <f>HYPERLINK("https://otsuka-europe-crm.veevavault.com/ui/#object/approved_document__v/V5O000000018003", "AE dialoghi di tempo fiducia e cura episodi 2-3-4")</f>
        <v>AE dialoghi di tempo fiducia e cura episodi 2-3-4</v>
      </c>
      <c r="M3387" s="10" t="str">
        <f>HYPERLINK("mailto:nicoletta.vozza@crm.otsuka-europe.com", "nicoletta.vozza@crm.otsuka-europe.com")</f>
        <v>nicoletta.vozza@crm.otsuka-europe.com</v>
      </c>
      <c r="N3387" s="13">
        <v>46181.338009259256</v>
      </c>
      <c r="O3387" s="14" t="str">
        <f>HYPERLINK("https://otsuka-europe-crm.veevavault.com/ui/#object/email_activity__v/V8C00000003O943", "EN-002090603")</f>
        <v>EN-002090603</v>
      </c>
    </row>
    <row r="3388" spans="1:15" ht="16" x14ac:dyDescent="0.2">
      <c r="A3388" s="17" t="str">
        <f>HYPERLINK("https://otsuka-europe-crm.veevavault.com/ui/#object/account__v/V4TZ06G6O71TFY8", "DANIELA RADIGHIERI")</f>
        <v>DANIELA RADIGHIERI</v>
      </c>
      <c r="B3388" s="17" t="str">
        <f>HYPERLINK("https://otsuka-europe-crm.veevavault.com/ui/#object/vcountry__v/VENZ000004SONFQ", "IT")</f>
        <v>IT</v>
      </c>
      <c r="C3388" s="20" t="s">
        <v>44</v>
      </c>
      <c r="D3388" s="21" t="str">
        <f>HYPERLINK("https://otsuka-europe-crm.veevavault.com/ui/#object/approved_document__v/V5O000000018003", "AE dialoghi di tempo fiducia e cura episodi 2-3-4")</f>
        <v>AE dialoghi di tempo fiducia e cura episodi 2-3-4</v>
      </c>
      <c r="E3388" s="22" t="str">
        <f>HYPERLINK("https://otsuka-europe-crm.veevavault.com/ui/#object/sent_email__v/VBL00000002O847", "SE-001432518")</f>
        <v>SE-001432518</v>
      </c>
      <c r="F3388" s="25"/>
      <c r="G3388" s="24">
        <v>0</v>
      </c>
      <c r="H3388" s="24">
        <v>0</v>
      </c>
      <c r="I3388" s="24">
        <v>0</v>
      </c>
      <c r="J3388" s="25"/>
      <c r="K3388" s="24">
        <v>0</v>
      </c>
      <c r="L3388" s="22" t="str">
        <f>HYPERLINK("https://otsuka-europe-crm.veevavault.com/ui/#object/approved_document__v/V5O000000018003", "AE dialoghi di tempo fiducia e cura episodi 2-3-4")</f>
        <v>AE dialoghi di tempo fiducia e cura episodi 2-3-4</v>
      </c>
      <c r="M3388" s="22" t="str">
        <f>HYPERLINK("mailto:nicoletta.vozza@crm.otsuka-europe.com", "nicoletta.vozza@crm.otsuka-europe.com")</f>
        <v>nicoletta.vozza@crm.otsuka-europe.com</v>
      </c>
      <c r="N3388" s="23">
        <v>46181.338043981479</v>
      </c>
      <c r="O3388" s="14" t="str">
        <f>HYPERLINK("https://otsuka-europe-crm.veevavault.com/ui/#object/email_activity__v/V8C00000003O537", "EN-002090093")</f>
        <v>EN-002090093</v>
      </c>
    </row>
    <row r="3389" spans="1:15" ht="16" x14ac:dyDescent="0.2">
      <c r="A3389" s="19"/>
      <c r="B3389" s="19"/>
      <c r="C3389" s="19"/>
      <c r="D3389" s="19"/>
      <c r="E3389" s="19"/>
      <c r="F3389" s="19"/>
      <c r="G3389" s="19"/>
      <c r="H3389" s="19"/>
      <c r="I3389" s="19"/>
      <c r="J3389" s="19"/>
      <c r="K3389" s="19"/>
      <c r="L3389" s="19"/>
      <c r="M3389" s="19"/>
      <c r="N3389" s="19"/>
      <c r="O3389" s="14" t="str">
        <f>HYPERLINK("https://otsuka-europe-crm.veevavault.com/ui/#object/email_activity__v/V8C00000003Q320", "EN-002091478")</f>
        <v>EN-002091478</v>
      </c>
    </row>
    <row r="3390" spans="1:15" ht="32" x14ac:dyDescent="0.2">
      <c r="A3390" s="7" t="str">
        <f>HYPERLINK("https://otsuka-europe-crm.veevavault.com/ui/#object/account__v/V4TZ06G6O71S9RX", "DANIELA SABBADINI")</f>
        <v>DANIELA SABBADINI</v>
      </c>
      <c r="B3390" s="7" t="str">
        <f t="shared" ref="B3390:B3395" si="172">HYPERLINK("https://otsuka-europe-crm.veevavault.com/ui/#object/vcountry__v/VENZ000004SONFQ", "IT")</f>
        <v>IT</v>
      </c>
      <c r="C3390" s="8" t="s">
        <v>44</v>
      </c>
      <c r="D3390" s="9" t="str">
        <f t="shared" ref="D3390:D3395" si="173">HYPERLINK("https://otsuka-europe-crm.veevavault.com/ui/#object/approved_document__v/V5O000000018003", "AE dialoghi di tempo fiducia e cura episodi 2-3-4")</f>
        <v>AE dialoghi di tempo fiducia e cura episodi 2-3-4</v>
      </c>
      <c r="E3390" s="10" t="str">
        <f>HYPERLINK("https://otsuka-europe-crm.veevavault.com/ui/#object/sent_email__v/VBL00000002O848", "SE-001432519")</f>
        <v>SE-001432519</v>
      </c>
      <c r="F3390" s="11"/>
      <c r="G3390" s="12">
        <v>0</v>
      </c>
      <c r="H3390" s="12">
        <v>0</v>
      </c>
      <c r="I3390" s="12">
        <v>0</v>
      </c>
      <c r="J3390" s="11"/>
      <c r="K3390" s="12">
        <v>0</v>
      </c>
      <c r="L3390" s="10" t="str">
        <f t="shared" ref="L3390:L3395" si="174">HYPERLINK("https://otsuka-europe-crm.veevavault.com/ui/#object/approved_document__v/V5O000000018003", "AE dialoghi di tempo fiducia e cura episodi 2-3-4")</f>
        <v>AE dialoghi di tempo fiducia e cura episodi 2-3-4</v>
      </c>
      <c r="M3390" s="10" t="str">
        <f t="shared" ref="M3390:M3395" si="175">HYPERLINK("mailto:nicoletta.vozza@crm.otsuka-europe.com", "nicoletta.vozza@crm.otsuka-europe.com")</f>
        <v>nicoletta.vozza@crm.otsuka-europe.com</v>
      </c>
      <c r="N3390" s="13">
        <v>46181.337997685187</v>
      </c>
      <c r="O3390" s="14" t="str">
        <f>HYPERLINK("https://otsuka-europe-crm.veevavault.com/ui/#object/email_activity__v/V8C00000003O484", "EN-002090040")</f>
        <v>EN-002090040</v>
      </c>
    </row>
    <row r="3391" spans="1:15" ht="32" x14ac:dyDescent="0.2">
      <c r="A3391" s="7" t="str">
        <f>HYPERLINK("https://otsuka-europe-crm.veevavault.com/ui/#object/account__v/V4TZ06G6O71SCFJ", "DANIELA SORRENTINO")</f>
        <v>DANIELA SORRENTINO</v>
      </c>
      <c r="B3391" s="7" t="str">
        <f t="shared" si="172"/>
        <v>IT</v>
      </c>
      <c r="C3391" s="8" t="s">
        <v>44</v>
      </c>
      <c r="D3391" s="9" t="str">
        <f t="shared" si="173"/>
        <v>AE dialoghi di tempo fiducia e cura episodi 2-3-4</v>
      </c>
      <c r="E3391" s="10" t="str">
        <f>HYPERLINK("https://otsuka-europe-crm.veevavault.com/ui/#object/sent_email__v/VBL00000002O849", "SE-001432520")</f>
        <v>SE-001432520</v>
      </c>
      <c r="F3391" s="11"/>
      <c r="G3391" s="12">
        <v>0</v>
      </c>
      <c r="H3391" s="12">
        <v>0</v>
      </c>
      <c r="I3391" s="12">
        <v>0</v>
      </c>
      <c r="J3391" s="11"/>
      <c r="K3391" s="12">
        <v>0</v>
      </c>
      <c r="L3391" s="10" t="str">
        <f t="shared" si="174"/>
        <v>AE dialoghi di tempo fiducia e cura episodi 2-3-4</v>
      </c>
      <c r="M3391" s="10" t="str">
        <f t="shared" si="175"/>
        <v>nicoletta.vozza@crm.otsuka-europe.com</v>
      </c>
      <c r="N3391" s="13">
        <v>46181.33797453704</v>
      </c>
      <c r="O3391" s="14" t="str">
        <f>HYPERLINK("https://otsuka-europe-crm.veevavault.com/ui/#object/email_activity__v/V8C00000003O817", "EN-002090519")</f>
        <v>EN-002090519</v>
      </c>
    </row>
    <row r="3392" spans="1:15" ht="32" x14ac:dyDescent="0.2">
      <c r="A3392" s="7" t="str">
        <f>HYPERLINK("https://otsuka-europe-crm.veevavault.com/ui/#object/account__v/V4TZ06G6O71SBPI", "DANIELE AUDISIO")</f>
        <v>DANIELE AUDISIO</v>
      </c>
      <c r="B3392" s="7" t="str">
        <f t="shared" si="172"/>
        <v>IT</v>
      </c>
      <c r="C3392" s="8" t="s">
        <v>44</v>
      </c>
      <c r="D3392" s="9" t="str">
        <f t="shared" si="173"/>
        <v>AE dialoghi di tempo fiducia e cura episodi 2-3-4</v>
      </c>
      <c r="E3392" s="10" t="str">
        <f>HYPERLINK("https://otsuka-europe-crm.veevavault.com/ui/#object/sent_email__v/VBL00000002O850", "SE-001432521")</f>
        <v>SE-001432521</v>
      </c>
      <c r="F3392" s="11"/>
      <c r="G3392" s="12">
        <v>0</v>
      </c>
      <c r="H3392" s="12">
        <v>0</v>
      </c>
      <c r="I3392" s="12">
        <v>0</v>
      </c>
      <c r="J3392" s="11"/>
      <c r="K3392" s="12">
        <v>0</v>
      </c>
      <c r="L3392" s="10" t="str">
        <f t="shared" si="174"/>
        <v>AE dialoghi di tempo fiducia e cura episodi 2-3-4</v>
      </c>
      <c r="M3392" s="10" t="str">
        <f t="shared" si="175"/>
        <v>nicoletta.vozza@crm.otsuka-europe.com</v>
      </c>
      <c r="N3392" s="13">
        <v>46181.337997685187</v>
      </c>
      <c r="O3392" s="14" t="str">
        <f>HYPERLINK("https://otsuka-europe-crm.veevavault.com/ui/#object/email_activity__v/V8C00000003P569", "EN-002090824")</f>
        <v>EN-002090824</v>
      </c>
    </row>
    <row r="3393" spans="1:15" ht="32" x14ac:dyDescent="0.2">
      <c r="A3393" s="7" t="str">
        <f>HYPERLINK("https://otsuka-europe-crm.veevavault.com/ui/#object/account__v/V4TZ04ASG76ICPM", "DANIELE CAVALERI")</f>
        <v>DANIELE CAVALERI</v>
      </c>
      <c r="B3393" s="7" t="str">
        <f t="shared" si="172"/>
        <v>IT</v>
      </c>
      <c r="C3393" s="8" t="s">
        <v>44</v>
      </c>
      <c r="D3393" s="9" t="str">
        <f t="shared" si="173"/>
        <v>AE dialoghi di tempo fiducia e cura episodi 2-3-4</v>
      </c>
      <c r="E3393" s="10" t="str">
        <f>HYPERLINK("https://otsuka-europe-crm.veevavault.com/ui/#object/sent_email__v/VBL00000002O851", "SE-001432522")</f>
        <v>SE-001432522</v>
      </c>
      <c r="F3393" s="11"/>
      <c r="G3393" s="12">
        <v>0</v>
      </c>
      <c r="H3393" s="12">
        <v>0</v>
      </c>
      <c r="I3393" s="12">
        <v>0</v>
      </c>
      <c r="J3393" s="11"/>
      <c r="K3393" s="12">
        <v>0</v>
      </c>
      <c r="L3393" s="10" t="str">
        <f t="shared" si="174"/>
        <v>AE dialoghi di tempo fiducia e cura episodi 2-3-4</v>
      </c>
      <c r="M3393" s="10" t="str">
        <f t="shared" si="175"/>
        <v>nicoletta.vozza@crm.otsuka-europe.com</v>
      </c>
      <c r="N3393" s="13">
        <v>46181.338067129633</v>
      </c>
      <c r="O3393" s="14" t="str">
        <f>HYPERLINK("https://otsuka-europe-crm.veevavault.com/ui/#object/email_activity__v/V8C00000003P372", "EN-002090378")</f>
        <v>EN-002090378</v>
      </c>
    </row>
    <row r="3394" spans="1:15" ht="32" x14ac:dyDescent="0.2">
      <c r="A3394" s="7" t="str">
        <f>HYPERLINK("https://otsuka-europe-crm.veevavault.com/ui/#object/account__v/V4TZ06G6O71SATE", "DANIELE GENNARO")</f>
        <v>DANIELE GENNARO</v>
      </c>
      <c r="B3394" s="7" t="str">
        <f t="shared" si="172"/>
        <v>IT</v>
      </c>
      <c r="C3394" s="8" t="s">
        <v>44</v>
      </c>
      <c r="D3394" s="9" t="str">
        <f t="shared" si="173"/>
        <v>AE dialoghi di tempo fiducia e cura episodi 2-3-4</v>
      </c>
      <c r="E3394" s="10" t="str">
        <f>HYPERLINK("https://otsuka-europe-crm.veevavault.com/ui/#object/sent_email__v/VBL00000002O852", "SE-001432523")</f>
        <v>SE-001432523</v>
      </c>
      <c r="F3394" s="11"/>
      <c r="G3394" s="12">
        <v>0</v>
      </c>
      <c r="H3394" s="12">
        <v>0</v>
      </c>
      <c r="I3394" s="12">
        <v>0</v>
      </c>
      <c r="J3394" s="11"/>
      <c r="K3394" s="12">
        <v>0</v>
      </c>
      <c r="L3394" s="10" t="str">
        <f t="shared" si="174"/>
        <v>AE dialoghi di tempo fiducia e cura episodi 2-3-4</v>
      </c>
      <c r="M3394" s="10" t="str">
        <f t="shared" si="175"/>
        <v>nicoletta.vozza@crm.otsuka-europe.com</v>
      </c>
      <c r="N3394" s="13">
        <v>46181.338101851848</v>
      </c>
      <c r="O3394" s="14" t="str">
        <f>HYPERLINK("https://otsuka-europe-crm.veevavault.com/ui/#object/email_activity__v/V8C00000003P544", "EN-002090799")</f>
        <v>EN-002090799</v>
      </c>
    </row>
    <row r="3395" spans="1:15" ht="16" x14ac:dyDescent="0.2">
      <c r="A3395" s="17" t="str">
        <f>HYPERLINK("https://otsuka-europe-crm.veevavault.com/ui/#object/account__v/V4TZ06G6O71TLIB", "DANIELE NACCA")</f>
        <v>DANIELE NACCA</v>
      </c>
      <c r="B3395" s="17" t="str">
        <f t="shared" si="172"/>
        <v>IT</v>
      </c>
      <c r="C3395" s="20" t="s">
        <v>44</v>
      </c>
      <c r="D3395" s="21" t="str">
        <f t="shared" si="173"/>
        <v>AE dialoghi di tempo fiducia e cura episodi 2-3-4</v>
      </c>
      <c r="E3395" s="22" t="str">
        <f>HYPERLINK("https://otsuka-europe-crm.veevavault.com/ui/#object/sent_email__v/VBL00000002O853", "SE-001432524")</f>
        <v>SE-001432524</v>
      </c>
      <c r="F3395" s="25"/>
      <c r="G3395" s="24">
        <v>0</v>
      </c>
      <c r="H3395" s="24">
        <v>0</v>
      </c>
      <c r="I3395" s="24">
        <v>0</v>
      </c>
      <c r="J3395" s="25"/>
      <c r="K3395" s="24">
        <v>0</v>
      </c>
      <c r="L3395" s="22" t="str">
        <f t="shared" si="174"/>
        <v>AE dialoghi di tempo fiducia e cura episodi 2-3-4</v>
      </c>
      <c r="M3395" s="22" t="str">
        <f t="shared" si="175"/>
        <v>nicoletta.vozza@crm.otsuka-europe.com</v>
      </c>
      <c r="N3395" s="23">
        <v>46181.337997685187</v>
      </c>
      <c r="O3395" s="14" t="str">
        <f>HYPERLINK("https://otsuka-europe-crm.veevavault.com/ui/#object/email_activity__v/V8C00000003O179", "EN-002089616")</f>
        <v>EN-002089616</v>
      </c>
    </row>
    <row r="3396" spans="1:15" ht="16" x14ac:dyDescent="0.2">
      <c r="A3396" s="18"/>
      <c r="B3396" s="18"/>
      <c r="C3396" s="18"/>
      <c r="D3396" s="18"/>
      <c r="E3396" s="18"/>
      <c r="F3396" s="18"/>
      <c r="G3396" s="18"/>
      <c r="H3396" s="18"/>
      <c r="I3396" s="18"/>
      <c r="J3396" s="18"/>
      <c r="K3396" s="18"/>
      <c r="L3396" s="18"/>
      <c r="M3396" s="18"/>
      <c r="N3396" s="18"/>
      <c r="O3396" s="14" t="str">
        <f>HYPERLINK("https://otsuka-europe-crm.veevavault.com/ui/#object/email_activity__v/V8C00000003Q548", "EN-002091903")</f>
        <v>EN-002091903</v>
      </c>
    </row>
    <row r="3397" spans="1:15" ht="16" x14ac:dyDescent="0.2">
      <c r="A3397" s="19"/>
      <c r="B3397" s="19"/>
      <c r="C3397" s="19"/>
      <c r="D3397" s="19"/>
      <c r="E3397" s="19"/>
      <c r="F3397" s="19"/>
      <c r="G3397" s="19"/>
      <c r="H3397" s="19"/>
      <c r="I3397" s="19"/>
      <c r="J3397" s="19"/>
      <c r="K3397" s="19"/>
      <c r="L3397" s="19"/>
      <c r="M3397" s="19"/>
      <c r="N3397" s="19"/>
      <c r="O3397" s="14" t="str">
        <f>HYPERLINK("https://otsuka-europe-crm.veevavault.com/ui/#object/email_activity__v/V8C00000003Q730", "EN-002092292")</f>
        <v>EN-002092292</v>
      </c>
    </row>
    <row r="3398" spans="1:15" ht="32" x14ac:dyDescent="0.2">
      <c r="A3398" s="7" t="str">
        <f>HYPERLINK("https://otsuka-europe-crm.veevavault.com/ui/#object/account__v/V4TZ06G6ODNO6NT", "DANIELE OLIVO")</f>
        <v>DANIELE OLIVO</v>
      </c>
      <c r="B3398" s="7" t="str">
        <f>HYPERLINK("https://otsuka-europe-crm.veevavault.com/ui/#object/vcountry__v/VENZ000004SONFQ", "IT")</f>
        <v>IT</v>
      </c>
      <c r="C3398" s="8" t="s">
        <v>44</v>
      </c>
      <c r="D3398" s="9" t="str">
        <f>HYPERLINK("https://otsuka-europe-crm.veevavault.com/ui/#object/approved_document__v/V5O000000018003", "AE dialoghi di tempo fiducia e cura episodi 2-3-4")</f>
        <v>AE dialoghi di tempo fiducia e cura episodi 2-3-4</v>
      </c>
      <c r="E3398" s="10" t="str">
        <f>HYPERLINK("https://otsuka-europe-crm.veevavault.com/ui/#object/sent_email__v/VBL00000002O854", "SE-001432525")</f>
        <v>SE-001432525</v>
      </c>
      <c r="F3398" s="11"/>
      <c r="G3398" s="12">
        <v>0</v>
      </c>
      <c r="H3398" s="12">
        <v>0</v>
      </c>
      <c r="I3398" s="12">
        <v>0</v>
      </c>
      <c r="J3398" s="11"/>
      <c r="K3398" s="12">
        <v>0</v>
      </c>
      <c r="L3398" s="10" t="str">
        <f>HYPERLINK("https://otsuka-europe-crm.veevavault.com/ui/#object/approved_document__v/V5O000000018003", "AE dialoghi di tempo fiducia e cura episodi 2-3-4")</f>
        <v>AE dialoghi di tempo fiducia e cura episodi 2-3-4</v>
      </c>
      <c r="M3398" s="10" t="str">
        <f>HYPERLINK("mailto:nicoletta.vozza@crm.otsuka-europe.com", "nicoletta.vozza@crm.otsuka-europe.com")</f>
        <v>nicoletta.vozza@crm.otsuka-europe.com</v>
      </c>
      <c r="N3398" s="13">
        <v>46181.33803240741</v>
      </c>
      <c r="O3398" s="14" t="str">
        <f>HYPERLINK("https://otsuka-europe-crm.veevavault.com/ui/#object/email_activity__v/V8C00000003O954", "EN-002090614")</f>
        <v>EN-002090614</v>
      </c>
    </row>
    <row r="3399" spans="1:15" ht="32" x14ac:dyDescent="0.2">
      <c r="A3399" s="7" t="str">
        <f>HYPERLINK("https://otsuka-europe-crm.veevavault.com/ui/#object/account__v/V4TZ06G6O7W1BCV", "DANIELE SERATA")</f>
        <v>DANIELE SERATA</v>
      </c>
      <c r="B3399" s="7" t="str">
        <f>HYPERLINK("https://otsuka-europe-crm.veevavault.com/ui/#object/vcountry__v/VENZ000004SONFQ", "IT")</f>
        <v>IT</v>
      </c>
      <c r="C3399" s="8" t="s">
        <v>44</v>
      </c>
      <c r="D3399" s="9" t="str">
        <f>HYPERLINK("https://otsuka-europe-crm.veevavault.com/ui/#object/approved_document__v/V5O000000018003", "AE dialoghi di tempo fiducia e cura episodi 2-3-4")</f>
        <v>AE dialoghi di tempo fiducia e cura episodi 2-3-4</v>
      </c>
      <c r="E3399" s="10" t="str">
        <f>HYPERLINK("https://otsuka-europe-crm.veevavault.com/ui/#object/sent_email__v/VBL00000002O855", "SE-001432526")</f>
        <v>SE-001432526</v>
      </c>
      <c r="F3399" s="11"/>
      <c r="G3399" s="12">
        <v>0</v>
      </c>
      <c r="H3399" s="12">
        <v>0</v>
      </c>
      <c r="I3399" s="12">
        <v>0</v>
      </c>
      <c r="J3399" s="11"/>
      <c r="K3399" s="12">
        <v>0</v>
      </c>
      <c r="L3399" s="10" t="str">
        <f>HYPERLINK("https://otsuka-europe-crm.veevavault.com/ui/#object/approved_document__v/V5O000000018003", "AE dialoghi di tempo fiducia e cura episodi 2-3-4")</f>
        <v>AE dialoghi di tempo fiducia e cura episodi 2-3-4</v>
      </c>
      <c r="M3399" s="10" t="str">
        <f>HYPERLINK("mailto:nicoletta.vozza@crm.otsuka-europe.com", "nicoletta.vozza@crm.otsuka-europe.com")</f>
        <v>nicoletta.vozza@crm.otsuka-europe.com</v>
      </c>
      <c r="N3399" s="13">
        <v>46181.33798611111</v>
      </c>
      <c r="O3399" s="14" t="str">
        <f>HYPERLINK("https://otsuka-europe-crm.veevavault.com/ui/#object/email_activity__v/V8C00000003P510", "EN-002090765")</f>
        <v>EN-002090765</v>
      </c>
    </row>
    <row r="3400" spans="1:15" ht="32" x14ac:dyDescent="0.2">
      <c r="A3400" s="7" t="str">
        <f>HYPERLINK("https://otsuka-europe-crm.veevavault.com/ui/#object/account__v/V4TZ06G6O71SCR5", "DANIELE VON MORGEN")</f>
        <v>DANIELE VON MORGEN</v>
      </c>
      <c r="B3400" s="7" t="str">
        <f>HYPERLINK("https://otsuka-europe-crm.veevavault.com/ui/#object/vcountry__v/VENZ000004SONFQ", "IT")</f>
        <v>IT</v>
      </c>
      <c r="C3400" s="8" t="s">
        <v>44</v>
      </c>
      <c r="D3400" s="9" t="str">
        <f>HYPERLINK("https://otsuka-europe-crm.veevavault.com/ui/#object/approved_document__v/V5O000000018003", "AE dialoghi di tempo fiducia e cura episodi 2-3-4")</f>
        <v>AE dialoghi di tempo fiducia e cura episodi 2-3-4</v>
      </c>
      <c r="E3400" s="10" t="str">
        <f>HYPERLINK("https://otsuka-europe-crm.veevavault.com/ui/#object/sent_email__v/VBL00000002O856", "SE-001432527")</f>
        <v>SE-001432527</v>
      </c>
      <c r="F3400" s="11"/>
      <c r="G3400" s="12">
        <v>0</v>
      </c>
      <c r="H3400" s="12">
        <v>0</v>
      </c>
      <c r="I3400" s="12">
        <v>0</v>
      </c>
      <c r="J3400" s="11"/>
      <c r="K3400" s="12">
        <v>0</v>
      </c>
      <c r="L3400" s="10" t="str">
        <f>HYPERLINK("https://otsuka-europe-crm.veevavault.com/ui/#object/approved_document__v/V5O000000018003", "AE dialoghi di tempo fiducia e cura episodi 2-3-4")</f>
        <v>AE dialoghi di tempo fiducia e cura episodi 2-3-4</v>
      </c>
      <c r="M3400" s="10" t="str">
        <f>HYPERLINK("mailto:nicoletta.vozza@crm.otsuka-europe.com", "nicoletta.vozza@crm.otsuka-europe.com")</f>
        <v>nicoletta.vozza@crm.otsuka-europe.com</v>
      </c>
      <c r="N3400" s="13">
        <v>46181.338090277779</v>
      </c>
      <c r="O3400" s="14" t="str">
        <f>HYPERLINK("https://otsuka-europe-crm.veevavault.com/ui/#object/email_activity__v/V8C00000003P771", "EN-002091069")</f>
        <v>EN-002091069</v>
      </c>
    </row>
    <row r="3401" spans="1:15" ht="16" x14ac:dyDescent="0.2">
      <c r="A3401" s="17" t="str">
        <f>HYPERLINK("https://otsuka-europe-crm.veevavault.com/ui/#object/account__v/V4TZ06G6O71SCRM", "DANIELE ZANELLO")</f>
        <v>DANIELE ZANELLO</v>
      </c>
      <c r="B3401" s="17" t="str">
        <f>HYPERLINK("https://otsuka-europe-crm.veevavault.com/ui/#object/vcountry__v/VENZ000004SONFQ", "IT")</f>
        <v>IT</v>
      </c>
      <c r="C3401" s="20" t="s">
        <v>44</v>
      </c>
      <c r="D3401" s="21" t="str">
        <f>HYPERLINK("https://otsuka-europe-crm.veevavault.com/ui/#object/approved_document__v/V5O000000018003", "AE dialoghi di tempo fiducia e cura episodi 2-3-4")</f>
        <v>AE dialoghi di tempo fiducia e cura episodi 2-3-4</v>
      </c>
      <c r="E3401" s="22" t="str">
        <f>HYPERLINK("https://otsuka-europe-crm.veevavault.com/ui/#object/sent_email__v/VBL00000002O857", "SE-001432528")</f>
        <v>SE-001432528</v>
      </c>
      <c r="F3401" s="25"/>
      <c r="G3401" s="24">
        <v>0</v>
      </c>
      <c r="H3401" s="24">
        <v>0</v>
      </c>
      <c r="I3401" s="24">
        <v>0</v>
      </c>
      <c r="J3401" s="25"/>
      <c r="K3401" s="24">
        <v>0</v>
      </c>
      <c r="L3401" s="22" t="str">
        <f>HYPERLINK("https://otsuka-europe-crm.veevavault.com/ui/#object/approved_document__v/V5O000000018003", "AE dialoghi di tempo fiducia e cura episodi 2-3-4")</f>
        <v>AE dialoghi di tempo fiducia e cura episodi 2-3-4</v>
      </c>
      <c r="M3401" s="22" t="str">
        <f>HYPERLINK("mailto:nicoletta.vozza@crm.otsuka-europe.com", "nicoletta.vozza@crm.otsuka-europe.com")</f>
        <v>nicoletta.vozza@crm.otsuka-europe.com</v>
      </c>
      <c r="N3401" s="23">
        <v>46181.337962962964</v>
      </c>
      <c r="O3401" s="14" t="str">
        <f>HYPERLINK("https://otsuka-europe-crm.veevavault.com/ui/#object/email_activity__v/V8C00000003O310", "EN-002089787")</f>
        <v>EN-002089787</v>
      </c>
    </row>
    <row r="3402" spans="1:15" ht="16" x14ac:dyDescent="0.2">
      <c r="A3402" s="19"/>
      <c r="B3402" s="19"/>
      <c r="C3402" s="19"/>
      <c r="D3402" s="19"/>
      <c r="E3402" s="19"/>
      <c r="F3402" s="19"/>
      <c r="G3402" s="19"/>
      <c r="H3402" s="19"/>
      <c r="I3402" s="19"/>
      <c r="J3402" s="19"/>
      <c r="K3402" s="19"/>
      <c r="L3402" s="19"/>
      <c r="M3402" s="19"/>
      <c r="N3402" s="19"/>
      <c r="O3402" s="14" t="str">
        <f>HYPERLINK("https://otsuka-europe-crm.veevavault.com/ui/#object/email_activity__v/V8C00000003P918", "EN-002091473")</f>
        <v>EN-002091473</v>
      </c>
    </row>
    <row r="3403" spans="1:15" ht="32" x14ac:dyDescent="0.2">
      <c r="A3403" s="7" t="str">
        <f>HYPERLINK("https://otsuka-europe-crm.veevavault.com/ui/#object/account__v/V4TZ06G6O71SA1F", "DANILO BETTONTE")</f>
        <v>DANILO BETTONTE</v>
      </c>
      <c r="B3403" s="7" t="str">
        <f>HYPERLINK("https://otsuka-europe-crm.veevavault.com/ui/#object/vcountry__v/VENZ000004SONFQ", "IT")</f>
        <v>IT</v>
      </c>
      <c r="C3403" s="8" t="s">
        <v>44</v>
      </c>
      <c r="D3403" s="9" t="str">
        <f>HYPERLINK("https://otsuka-europe-crm.veevavault.com/ui/#object/approved_document__v/V5O000000018003", "AE dialoghi di tempo fiducia e cura episodi 2-3-4")</f>
        <v>AE dialoghi di tempo fiducia e cura episodi 2-3-4</v>
      </c>
      <c r="E3403" s="10" t="str">
        <f>HYPERLINK("https://otsuka-europe-crm.veevavault.com/ui/#object/sent_email__v/VBL00000002O858", "SE-001432529")</f>
        <v>SE-001432529</v>
      </c>
      <c r="F3403" s="11"/>
      <c r="G3403" s="12">
        <v>0</v>
      </c>
      <c r="H3403" s="12">
        <v>0</v>
      </c>
      <c r="I3403" s="12">
        <v>0</v>
      </c>
      <c r="J3403" s="11"/>
      <c r="K3403" s="12">
        <v>0</v>
      </c>
      <c r="L3403" s="10" t="str">
        <f>HYPERLINK("https://otsuka-europe-crm.veevavault.com/ui/#object/approved_document__v/V5O000000018003", "AE dialoghi di tempo fiducia e cura episodi 2-3-4")</f>
        <v>AE dialoghi di tempo fiducia e cura episodi 2-3-4</v>
      </c>
      <c r="M3403" s="10" t="str">
        <f>HYPERLINK("mailto:nicoletta.vozza@crm.otsuka-europe.com", "nicoletta.vozza@crm.otsuka-europe.com")</f>
        <v>nicoletta.vozza@crm.otsuka-europe.com</v>
      </c>
      <c r="N3403" s="13">
        <v>46181.33803240741</v>
      </c>
      <c r="O3403" s="14" t="str">
        <f>HYPERLINK("https://otsuka-europe-crm.veevavault.com/ui/#object/email_activity__v/V8C00000003O887", "EN-002090490")</f>
        <v>EN-002090490</v>
      </c>
    </row>
    <row r="3404" spans="1:15" ht="32" x14ac:dyDescent="0.2">
      <c r="A3404" s="7" t="str">
        <f>HYPERLINK("https://otsuka-europe-crm.veevavault.com/ui/#object/account__v/V4TZ06G6O71SCJR", "DANILO TITTARELLI")</f>
        <v>DANILO TITTARELLI</v>
      </c>
      <c r="B3404" s="7" t="str">
        <f>HYPERLINK("https://otsuka-europe-crm.veevavault.com/ui/#object/vcountry__v/VENZ000004SONFQ", "IT")</f>
        <v>IT</v>
      </c>
      <c r="C3404" s="8" t="s">
        <v>44</v>
      </c>
      <c r="D3404" s="9" t="str">
        <f>HYPERLINK("https://otsuka-europe-crm.veevavault.com/ui/#object/approved_document__v/V5O000000018003", "AE dialoghi di tempo fiducia e cura episodi 2-3-4")</f>
        <v>AE dialoghi di tempo fiducia e cura episodi 2-3-4</v>
      </c>
      <c r="E3404" s="10" t="str">
        <f>HYPERLINK("https://otsuka-europe-crm.veevavault.com/ui/#object/sent_email__v/VBL00000002O859", "SE-001432530")</f>
        <v>SE-001432530</v>
      </c>
      <c r="F3404" s="11"/>
      <c r="G3404" s="12">
        <v>0</v>
      </c>
      <c r="H3404" s="12">
        <v>0</v>
      </c>
      <c r="I3404" s="12">
        <v>0</v>
      </c>
      <c r="J3404" s="11"/>
      <c r="K3404" s="12">
        <v>0</v>
      </c>
      <c r="L3404" s="10" t="str">
        <f>HYPERLINK("https://otsuka-europe-crm.veevavault.com/ui/#object/approved_document__v/V5O000000018003", "AE dialoghi di tempo fiducia e cura episodi 2-3-4")</f>
        <v>AE dialoghi di tempo fiducia e cura episodi 2-3-4</v>
      </c>
      <c r="M3404" s="10" t="str">
        <f>HYPERLINK("mailto:nicoletta.vozza@crm.otsuka-europe.com", "nicoletta.vozza@crm.otsuka-europe.com")</f>
        <v>nicoletta.vozza@crm.otsuka-europe.com</v>
      </c>
      <c r="N3404" s="13">
        <v>46181.338055555556</v>
      </c>
      <c r="O3404" s="14" t="str">
        <f>HYPERLINK("https://otsuka-europe-crm.veevavault.com/ui/#object/email_activity__v/V8C00000003P877", "EN-002091376")</f>
        <v>EN-002091376</v>
      </c>
    </row>
    <row r="3405" spans="1:15" ht="16" x14ac:dyDescent="0.2">
      <c r="A3405" s="17" t="str">
        <f>HYPERLINK("https://otsuka-europe-crm.veevavault.com/ui/#object/account__v/V4TZ06G6O71SA1E", "DARIA BETTONI")</f>
        <v>DARIA BETTONI</v>
      </c>
      <c r="B3405" s="17" t="str">
        <f>HYPERLINK("https://otsuka-europe-crm.veevavault.com/ui/#object/vcountry__v/VENZ000004SONFQ", "IT")</f>
        <v>IT</v>
      </c>
      <c r="C3405" s="20" t="s">
        <v>44</v>
      </c>
      <c r="D3405" s="21" t="str">
        <f>HYPERLINK("https://otsuka-europe-crm.veevavault.com/ui/#object/approved_document__v/V5O000000018003", "AE dialoghi di tempo fiducia e cura episodi 2-3-4")</f>
        <v>AE dialoghi di tempo fiducia e cura episodi 2-3-4</v>
      </c>
      <c r="E3405" s="22" t="str">
        <f>HYPERLINK("https://otsuka-europe-crm.veevavault.com/ui/#object/sent_email__v/VBL00000002O860", "SE-001432531")</f>
        <v>SE-001432531</v>
      </c>
      <c r="F3405" s="25"/>
      <c r="G3405" s="24">
        <v>0</v>
      </c>
      <c r="H3405" s="24">
        <v>0</v>
      </c>
      <c r="I3405" s="24">
        <v>0</v>
      </c>
      <c r="J3405" s="25"/>
      <c r="K3405" s="24">
        <v>0</v>
      </c>
      <c r="L3405" s="22" t="str">
        <f>HYPERLINK("https://otsuka-europe-crm.veevavault.com/ui/#object/approved_document__v/V5O000000018003", "AE dialoghi di tempo fiducia e cura episodi 2-3-4")</f>
        <v>AE dialoghi di tempo fiducia e cura episodi 2-3-4</v>
      </c>
      <c r="M3405" s="22" t="str">
        <f>HYPERLINK("mailto:nicoletta.vozza@crm.otsuka-europe.com", "nicoletta.vozza@crm.otsuka-europe.com")</f>
        <v>nicoletta.vozza@crm.otsuka-europe.com</v>
      </c>
      <c r="N3405" s="23">
        <v>46181.338067129633</v>
      </c>
      <c r="O3405" s="14" t="str">
        <f>HYPERLINK("https://otsuka-europe-crm.veevavault.com/ui/#object/email_activity__v/V8C00000003O596", "EN-002090152")</f>
        <v>EN-002090152</v>
      </c>
    </row>
    <row r="3406" spans="1:15" ht="16" x14ac:dyDescent="0.2">
      <c r="A3406" s="18"/>
      <c r="B3406" s="18"/>
      <c r="C3406" s="18"/>
      <c r="D3406" s="18"/>
      <c r="E3406" s="18"/>
      <c r="F3406" s="18"/>
      <c r="G3406" s="18"/>
      <c r="H3406" s="18"/>
      <c r="I3406" s="18"/>
      <c r="J3406" s="18"/>
      <c r="K3406" s="18"/>
      <c r="L3406" s="18"/>
      <c r="M3406" s="18"/>
      <c r="N3406" s="18"/>
      <c r="O3406" s="14" t="str">
        <f>HYPERLINK("https://otsuka-europe-crm.veevavault.com/ui/#object/email_activity__v/V8C00000003Q570", "EN-002091956")</f>
        <v>EN-002091956</v>
      </c>
    </row>
    <row r="3407" spans="1:15" ht="16" x14ac:dyDescent="0.2">
      <c r="A3407" s="19"/>
      <c r="B3407" s="19"/>
      <c r="C3407" s="19"/>
      <c r="D3407" s="19"/>
      <c r="E3407" s="19"/>
      <c r="F3407" s="19"/>
      <c r="G3407" s="19"/>
      <c r="H3407" s="19"/>
      <c r="I3407" s="19"/>
      <c r="J3407" s="19"/>
      <c r="K3407" s="19"/>
      <c r="L3407" s="19"/>
      <c r="M3407" s="19"/>
      <c r="N3407" s="19"/>
      <c r="O3407" s="14" t="str">
        <f>HYPERLINK("https://otsuka-europe-crm.veevavault.com/ui/#object/email_activity__v/V8C00000003R299", "EN-002092235")</f>
        <v>EN-002092235</v>
      </c>
    </row>
    <row r="3408" spans="1:15" ht="32" x14ac:dyDescent="0.2">
      <c r="A3408" s="7" t="str">
        <f>HYPERLINK("https://otsuka-europe-crm.veevavault.com/ui/#object/account__v/V4TZ06G6O71SCRD", "DARIA ZAMPOLLI")</f>
        <v>DARIA ZAMPOLLI</v>
      </c>
      <c r="B3408" s="7" t="str">
        <f t="shared" ref="B3408:B3416" si="176">HYPERLINK("https://otsuka-europe-crm.veevavault.com/ui/#object/vcountry__v/VENZ000004SONFQ", "IT")</f>
        <v>IT</v>
      </c>
      <c r="C3408" s="8" t="s">
        <v>44</v>
      </c>
      <c r="D3408" s="9" t="str">
        <f t="shared" ref="D3408:D3416" si="177">HYPERLINK("https://otsuka-europe-crm.veevavault.com/ui/#object/approved_document__v/V5O000000018003", "AE dialoghi di tempo fiducia e cura episodi 2-3-4")</f>
        <v>AE dialoghi di tempo fiducia e cura episodi 2-3-4</v>
      </c>
      <c r="E3408" s="10" t="str">
        <f>HYPERLINK("https://otsuka-europe-crm.veevavault.com/ui/#object/sent_email__v/VBL00000002O861", "SE-001432532")</f>
        <v>SE-001432532</v>
      </c>
      <c r="F3408" s="11"/>
      <c r="G3408" s="12">
        <v>0</v>
      </c>
      <c r="H3408" s="12">
        <v>0</v>
      </c>
      <c r="I3408" s="12">
        <v>0</v>
      </c>
      <c r="J3408" s="11"/>
      <c r="K3408" s="12">
        <v>0</v>
      </c>
      <c r="L3408" s="10" t="str">
        <f t="shared" ref="L3408:L3416" si="178">HYPERLINK("https://otsuka-europe-crm.veevavault.com/ui/#object/approved_document__v/V5O000000018003", "AE dialoghi di tempo fiducia e cura episodi 2-3-4")</f>
        <v>AE dialoghi di tempo fiducia e cura episodi 2-3-4</v>
      </c>
      <c r="M3408" s="10" t="str">
        <f t="shared" ref="M3408:M3416" si="179">HYPERLINK("mailto:nicoletta.vozza@crm.otsuka-europe.com", "nicoletta.vozza@crm.otsuka-europe.com")</f>
        <v>nicoletta.vozza@crm.otsuka-europe.com</v>
      </c>
      <c r="N3408" s="13">
        <v>46181.338067129633</v>
      </c>
      <c r="O3408" s="14" t="str">
        <f>HYPERLINK("https://otsuka-europe-crm.veevavault.com/ui/#object/email_activity__v/V8C00000003P373", "EN-002090379")</f>
        <v>EN-002090379</v>
      </c>
    </row>
    <row r="3409" spans="1:15" ht="32" x14ac:dyDescent="0.2">
      <c r="A3409" s="7" t="str">
        <f>HYPERLINK("https://otsuka-europe-crm.veevavault.com/ui/#object/account__v/V4TZ06G6O71S9CN", "DARIO CANNAVO'")</f>
        <v>DARIO CANNAVO'</v>
      </c>
      <c r="B3409" s="7" t="str">
        <f t="shared" si="176"/>
        <v>IT</v>
      </c>
      <c r="C3409" s="8" t="s">
        <v>44</v>
      </c>
      <c r="D3409" s="9" t="str">
        <f t="shared" si="177"/>
        <v>AE dialoghi di tempo fiducia e cura episodi 2-3-4</v>
      </c>
      <c r="E3409" s="10" t="str">
        <f>HYPERLINK("https://otsuka-europe-crm.veevavault.com/ui/#object/sent_email__v/VBL00000002O862", "SE-001432533")</f>
        <v>SE-001432533</v>
      </c>
      <c r="F3409" s="11"/>
      <c r="G3409" s="12">
        <v>0</v>
      </c>
      <c r="H3409" s="12">
        <v>0</v>
      </c>
      <c r="I3409" s="12">
        <v>0</v>
      </c>
      <c r="J3409" s="11"/>
      <c r="K3409" s="12">
        <v>0</v>
      </c>
      <c r="L3409" s="10" t="str">
        <f t="shared" si="178"/>
        <v>AE dialoghi di tempo fiducia e cura episodi 2-3-4</v>
      </c>
      <c r="M3409" s="10" t="str">
        <f t="shared" si="179"/>
        <v>nicoletta.vozza@crm.otsuka-europe.com</v>
      </c>
      <c r="N3409" s="13">
        <v>46181.337997685187</v>
      </c>
      <c r="O3409" s="14" t="str">
        <f>HYPERLINK("https://otsuka-europe-crm.veevavault.com/ui/#object/email_activity__v/V8C00000003O289", "EN-002089766")</f>
        <v>EN-002089766</v>
      </c>
    </row>
    <row r="3410" spans="1:15" ht="32" x14ac:dyDescent="0.2">
      <c r="A3410" s="7" t="str">
        <f>HYPERLINK("https://otsuka-europe-crm.veevavault.com/ui/#object/account__v/V4TZ06G6O71SB06", "DARIO CARRUS")</f>
        <v>DARIO CARRUS</v>
      </c>
      <c r="B3410" s="7" t="str">
        <f t="shared" si="176"/>
        <v>IT</v>
      </c>
      <c r="C3410" s="8" t="s">
        <v>44</v>
      </c>
      <c r="D3410" s="9" t="str">
        <f t="shared" si="177"/>
        <v>AE dialoghi di tempo fiducia e cura episodi 2-3-4</v>
      </c>
      <c r="E3410" s="10" t="str">
        <f>HYPERLINK("https://otsuka-europe-crm.veevavault.com/ui/#object/sent_email__v/VBL00000002O863", "SE-001432534")</f>
        <v>SE-001432534</v>
      </c>
      <c r="F3410" s="11"/>
      <c r="G3410" s="12">
        <v>0</v>
      </c>
      <c r="H3410" s="12">
        <v>0</v>
      </c>
      <c r="I3410" s="12">
        <v>0</v>
      </c>
      <c r="J3410" s="11"/>
      <c r="K3410" s="12">
        <v>0</v>
      </c>
      <c r="L3410" s="10" t="str">
        <f t="shared" si="178"/>
        <v>AE dialoghi di tempo fiducia e cura episodi 2-3-4</v>
      </c>
      <c r="M3410" s="10" t="str">
        <f t="shared" si="179"/>
        <v>nicoletta.vozza@crm.otsuka-europe.com</v>
      </c>
      <c r="N3410" s="13">
        <v>46181.337997685187</v>
      </c>
      <c r="O3410" s="14" t="str">
        <f>HYPERLINK("https://otsuka-europe-crm.veevavault.com/ui/#object/email_activity__v/V8C00000003O714", "EN-002090270")</f>
        <v>EN-002090270</v>
      </c>
    </row>
    <row r="3411" spans="1:15" ht="32" x14ac:dyDescent="0.2">
      <c r="A3411" s="7" t="str">
        <f>HYPERLINK("https://otsuka-europe-crm.veevavault.com/ui/#object/account__v/V4TZ06G6O71SB17", "DARIO CATANIA")</f>
        <v>DARIO CATANIA</v>
      </c>
      <c r="B3411" s="7" t="str">
        <f t="shared" si="176"/>
        <v>IT</v>
      </c>
      <c r="C3411" s="8" t="s">
        <v>44</v>
      </c>
      <c r="D3411" s="9" t="str">
        <f t="shared" si="177"/>
        <v>AE dialoghi di tempo fiducia e cura episodi 2-3-4</v>
      </c>
      <c r="E3411" s="10" t="str">
        <f>HYPERLINK("https://otsuka-europe-crm.veevavault.com/ui/#object/sent_email__v/VBL00000002O864", "SE-001432535")</f>
        <v>SE-001432535</v>
      </c>
      <c r="F3411" s="11"/>
      <c r="G3411" s="12">
        <v>0</v>
      </c>
      <c r="H3411" s="12">
        <v>0</v>
      </c>
      <c r="I3411" s="12">
        <v>0</v>
      </c>
      <c r="J3411" s="11"/>
      <c r="K3411" s="12">
        <v>0</v>
      </c>
      <c r="L3411" s="10" t="str">
        <f t="shared" si="178"/>
        <v>AE dialoghi di tempo fiducia e cura episodi 2-3-4</v>
      </c>
      <c r="M3411" s="10" t="str">
        <f t="shared" si="179"/>
        <v>nicoletta.vozza@crm.otsuka-europe.com</v>
      </c>
      <c r="N3411" s="13">
        <v>46181.337997685187</v>
      </c>
      <c r="O3411" s="14" t="str">
        <f>HYPERLINK("https://otsuka-europe-crm.veevavault.com/ui/#object/email_activity__v/V8C00000003P728", "EN-002091026")</f>
        <v>EN-002091026</v>
      </c>
    </row>
    <row r="3412" spans="1:15" ht="32" x14ac:dyDescent="0.2">
      <c r="A3412" s="7" t="str">
        <f>HYPERLINK("https://otsuka-europe-crm.veevavault.com/ui/#object/account__v/V4TZ06G6O71SAQB", "DARIO GOBBO")</f>
        <v>DARIO GOBBO</v>
      </c>
      <c r="B3412" s="7" t="str">
        <f t="shared" si="176"/>
        <v>IT</v>
      </c>
      <c r="C3412" s="8" t="s">
        <v>44</v>
      </c>
      <c r="D3412" s="9" t="str">
        <f t="shared" si="177"/>
        <v>AE dialoghi di tempo fiducia e cura episodi 2-3-4</v>
      </c>
      <c r="E3412" s="10" t="str">
        <f>HYPERLINK("https://otsuka-europe-crm.veevavault.com/ui/#object/sent_email__v/VBL00000002O865", "SE-001432536")</f>
        <v>SE-001432536</v>
      </c>
      <c r="F3412" s="11"/>
      <c r="G3412" s="12">
        <v>0</v>
      </c>
      <c r="H3412" s="12">
        <v>0</v>
      </c>
      <c r="I3412" s="12">
        <v>0</v>
      </c>
      <c r="J3412" s="11"/>
      <c r="K3412" s="12">
        <v>0</v>
      </c>
      <c r="L3412" s="10" t="str">
        <f t="shared" si="178"/>
        <v>AE dialoghi di tempo fiducia e cura episodi 2-3-4</v>
      </c>
      <c r="M3412" s="10" t="str">
        <f t="shared" si="179"/>
        <v>nicoletta.vozza@crm.otsuka-europe.com</v>
      </c>
      <c r="N3412" s="13">
        <v>46181.338020833333</v>
      </c>
      <c r="O3412" s="14" t="str">
        <f>HYPERLINK("https://otsuka-europe-crm.veevavault.com/ui/#object/email_activity__v/V8C00000003O434", "EN-002089990")</f>
        <v>EN-002089990</v>
      </c>
    </row>
    <row r="3413" spans="1:15" ht="32" x14ac:dyDescent="0.2">
      <c r="A3413" s="7" t="str">
        <f>HYPERLINK("https://otsuka-europe-crm.veevavault.com/ui/#object/account__v/V4TZ04ASGCI8OM0", "DARIO LIMONE")</f>
        <v>DARIO LIMONE</v>
      </c>
      <c r="B3413" s="7" t="str">
        <f t="shared" si="176"/>
        <v>IT</v>
      </c>
      <c r="C3413" s="8" t="s">
        <v>44</v>
      </c>
      <c r="D3413" s="9" t="str">
        <f t="shared" si="177"/>
        <v>AE dialoghi di tempo fiducia e cura episodi 2-3-4</v>
      </c>
      <c r="E3413" s="10" t="str">
        <f>HYPERLINK("https://otsuka-europe-crm.veevavault.com/ui/#object/sent_email__v/VBL00000002O866", "SE-001432537")</f>
        <v>SE-001432537</v>
      </c>
      <c r="F3413" s="11"/>
      <c r="G3413" s="12">
        <v>0</v>
      </c>
      <c r="H3413" s="12">
        <v>0</v>
      </c>
      <c r="I3413" s="12">
        <v>0</v>
      </c>
      <c r="J3413" s="11"/>
      <c r="K3413" s="12">
        <v>0</v>
      </c>
      <c r="L3413" s="10" t="str">
        <f t="shared" si="178"/>
        <v>AE dialoghi di tempo fiducia e cura episodi 2-3-4</v>
      </c>
      <c r="M3413" s="10" t="str">
        <f t="shared" si="179"/>
        <v>nicoletta.vozza@crm.otsuka-europe.com</v>
      </c>
      <c r="N3413" s="13">
        <v>46181.33797453704</v>
      </c>
      <c r="O3413" s="14" t="str">
        <f>HYPERLINK("https://otsuka-europe-crm.veevavault.com/ui/#object/email_activity__v/V8C00000003O242", "EN-002089719")</f>
        <v>EN-002089719</v>
      </c>
    </row>
    <row r="3414" spans="1:15" ht="32" x14ac:dyDescent="0.2">
      <c r="A3414" s="7" t="str">
        <f>HYPERLINK("https://otsuka-europe-crm.veevavault.com/ui/#object/account__v/V4TZ025E86SZAC3", "DARIO PALPELLA")</f>
        <v>DARIO PALPELLA</v>
      </c>
      <c r="B3414" s="7" t="str">
        <f t="shared" si="176"/>
        <v>IT</v>
      </c>
      <c r="C3414" s="8" t="s">
        <v>44</v>
      </c>
      <c r="D3414" s="9" t="str">
        <f t="shared" si="177"/>
        <v>AE dialoghi di tempo fiducia e cura episodi 2-3-4</v>
      </c>
      <c r="E3414" s="10" t="str">
        <f>HYPERLINK("https://otsuka-europe-crm.veevavault.com/ui/#object/sent_email__v/VBL00000002O867", "SE-001432538")</f>
        <v>SE-001432538</v>
      </c>
      <c r="F3414" s="11"/>
      <c r="G3414" s="12">
        <v>0</v>
      </c>
      <c r="H3414" s="12">
        <v>0</v>
      </c>
      <c r="I3414" s="12">
        <v>0</v>
      </c>
      <c r="J3414" s="11"/>
      <c r="K3414" s="12">
        <v>0</v>
      </c>
      <c r="L3414" s="10" t="str">
        <f t="shared" si="178"/>
        <v>AE dialoghi di tempo fiducia e cura episodi 2-3-4</v>
      </c>
      <c r="M3414" s="10" t="str">
        <f t="shared" si="179"/>
        <v>nicoletta.vozza@crm.otsuka-europe.com</v>
      </c>
      <c r="N3414" s="13">
        <v>46181.338055555556</v>
      </c>
      <c r="O3414" s="14" t="str">
        <f>HYPERLINK("https://otsuka-europe-crm.veevavault.com/ui/#object/email_activity__v/V8C00000003Q147", "EN-002091230")</f>
        <v>EN-002091230</v>
      </c>
    </row>
    <row r="3415" spans="1:15" ht="32" x14ac:dyDescent="0.2">
      <c r="A3415" s="7" t="str">
        <f>HYPERLINK("https://otsuka-europe-crm.veevavault.com/ui/#object/account__v/V4TZ06G6O9VDQZI", "DARIO SERRONE")</f>
        <v>DARIO SERRONE</v>
      </c>
      <c r="B3415" s="7" t="str">
        <f t="shared" si="176"/>
        <v>IT</v>
      </c>
      <c r="C3415" s="8" t="s">
        <v>44</v>
      </c>
      <c r="D3415" s="9" t="str">
        <f t="shared" si="177"/>
        <v>AE dialoghi di tempo fiducia e cura episodi 2-3-4</v>
      </c>
      <c r="E3415" s="10" t="str">
        <f>HYPERLINK("https://otsuka-europe-crm.veevavault.com/ui/#object/sent_email__v/VBL00000002O868", "SE-001432539")</f>
        <v>SE-001432539</v>
      </c>
      <c r="F3415" s="11"/>
      <c r="G3415" s="12">
        <v>0</v>
      </c>
      <c r="H3415" s="12">
        <v>0</v>
      </c>
      <c r="I3415" s="12">
        <v>0</v>
      </c>
      <c r="J3415" s="11"/>
      <c r="K3415" s="12">
        <v>0</v>
      </c>
      <c r="L3415" s="10" t="str">
        <f t="shared" si="178"/>
        <v>AE dialoghi di tempo fiducia e cura episodi 2-3-4</v>
      </c>
      <c r="M3415" s="10" t="str">
        <f t="shared" si="179"/>
        <v>nicoletta.vozza@crm.otsuka-europe.com</v>
      </c>
      <c r="N3415" s="13">
        <v>46181.337997685187</v>
      </c>
      <c r="O3415" s="14" t="str">
        <f>HYPERLINK("https://otsuka-europe-crm.veevavault.com/ui/#object/email_activity__v/V8C00000003O292", "EN-002089769")</f>
        <v>EN-002089769</v>
      </c>
    </row>
    <row r="3416" spans="1:15" ht="16" x14ac:dyDescent="0.2">
      <c r="A3416" s="17" t="str">
        <f>HYPERLINK("https://otsuka-europe-crm.veevavault.com/ui/#object/account__v/V4TZ04ASGCYYIBT", "DAVID BIGHI")</f>
        <v>DAVID BIGHI</v>
      </c>
      <c r="B3416" s="17" t="str">
        <f t="shared" si="176"/>
        <v>IT</v>
      </c>
      <c r="C3416" s="20" t="s">
        <v>44</v>
      </c>
      <c r="D3416" s="21" t="str">
        <f t="shared" si="177"/>
        <v>AE dialoghi di tempo fiducia e cura episodi 2-3-4</v>
      </c>
      <c r="E3416" s="22" t="str">
        <f>HYPERLINK("https://otsuka-europe-crm.veevavault.com/ui/#object/sent_email__v/VBL00000002O869", "SE-001432540")</f>
        <v>SE-001432540</v>
      </c>
      <c r="F3416" s="23">
        <v>46181.387164351851</v>
      </c>
      <c r="G3416" s="24">
        <v>1</v>
      </c>
      <c r="H3416" s="24">
        <v>1</v>
      </c>
      <c r="I3416" s="24">
        <v>0</v>
      </c>
      <c r="J3416" s="25"/>
      <c r="K3416" s="24">
        <v>0</v>
      </c>
      <c r="L3416" s="22" t="str">
        <f t="shared" si="178"/>
        <v>AE dialoghi di tempo fiducia e cura episodi 2-3-4</v>
      </c>
      <c r="M3416" s="22" t="str">
        <f t="shared" si="179"/>
        <v>nicoletta.vozza@crm.otsuka-europe.com</v>
      </c>
      <c r="N3416" s="23">
        <v>46181.337951388887</v>
      </c>
      <c r="O3416" s="14" t="str">
        <f>HYPERLINK("https://otsuka-europe-crm.veevavault.com/ui/#object/email_activity__v/V8C00000003O263", "EN-002089740")</f>
        <v>EN-002089740</v>
      </c>
    </row>
    <row r="3417" spans="1:15" ht="16" x14ac:dyDescent="0.2">
      <c r="A3417" s="19"/>
      <c r="B3417" s="19"/>
      <c r="C3417" s="19"/>
      <c r="D3417" s="19"/>
      <c r="E3417" s="19"/>
      <c r="F3417" s="19"/>
      <c r="G3417" s="19"/>
      <c r="H3417" s="19"/>
      <c r="I3417" s="19"/>
      <c r="J3417" s="19"/>
      <c r="K3417" s="19"/>
      <c r="L3417" s="19"/>
      <c r="M3417" s="19"/>
      <c r="N3417" s="19"/>
      <c r="O3417" s="14" t="str">
        <f>HYPERLINK("https://otsuka-europe-crm.veevavault.com/ui/#object/email_activity__v/V8C00000003Q475", "EN-002091722")</f>
        <v>EN-002091722</v>
      </c>
    </row>
    <row r="3418" spans="1:15" ht="32" x14ac:dyDescent="0.2">
      <c r="A3418" s="7" t="str">
        <f>HYPERLINK("https://otsuka-europe-crm.veevavault.com/ui/#object/account__v/V4TZ06G6O71S9HZ", "DAVID DE CORI")</f>
        <v>DAVID DE CORI</v>
      </c>
      <c r="B3418" s="7" t="str">
        <f>HYPERLINK("https://otsuka-europe-crm.veevavault.com/ui/#object/vcountry__v/VENZ000004SONFQ", "IT")</f>
        <v>IT</v>
      </c>
      <c r="C3418" s="8" t="s">
        <v>44</v>
      </c>
      <c r="D3418" s="9" t="str">
        <f>HYPERLINK("https://otsuka-europe-crm.veevavault.com/ui/#object/approved_document__v/V5O000000018003", "AE dialoghi di tempo fiducia e cura episodi 2-3-4")</f>
        <v>AE dialoghi di tempo fiducia e cura episodi 2-3-4</v>
      </c>
      <c r="E3418" s="10" t="str">
        <f>HYPERLINK("https://otsuka-europe-crm.veevavault.com/ui/#object/sent_email__v/VBL00000002O870", "SE-001432541")</f>
        <v>SE-001432541</v>
      </c>
      <c r="F3418" s="11"/>
      <c r="G3418" s="12">
        <v>0</v>
      </c>
      <c r="H3418" s="12">
        <v>0</v>
      </c>
      <c r="I3418" s="12">
        <v>0</v>
      </c>
      <c r="J3418" s="11"/>
      <c r="K3418" s="12">
        <v>0</v>
      </c>
      <c r="L3418" s="10" t="str">
        <f>HYPERLINK("https://otsuka-europe-crm.veevavault.com/ui/#object/approved_document__v/V5O000000018003", "AE dialoghi di tempo fiducia e cura episodi 2-3-4")</f>
        <v>AE dialoghi di tempo fiducia e cura episodi 2-3-4</v>
      </c>
      <c r="M3418" s="10" t="str">
        <f>HYPERLINK("mailto:nicoletta.vozza@crm.otsuka-europe.com", "nicoletta.vozza@crm.otsuka-europe.com")</f>
        <v>nicoletta.vozza@crm.otsuka-europe.com</v>
      </c>
      <c r="N3418" s="13">
        <v>46181.337997685187</v>
      </c>
      <c r="O3418" s="14" t="str">
        <f>HYPERLINK("https://otsuka-europe-crm.veevavault.com/ui/#object/email_activity__v/V8C00000003O515", "EN-002090071")</f>
        <v>EN-002090071</v>
      </c>
    </row>
    <row r="3419" spans="1:15" ht="32" x14ac:dyDescent="0.2">
      <c r="A3419" s="7" t="str">
        <f>HYPERLINK("https://otsuka-europe-crm.veevavault.com/ui/#object/account__v/V4TZ04ASG6LJNF0", "DAVIDE ELIA BERTANI")</f>
        <v>DAVIDE ELIA BERTANI</v>
      </c>
      <c r="B3419" s="7" t="str">
        <f>HYPERLINK("https://otsuka-europe-crm.veevavault.com/ui/#object/vcountry__v/VENZ000004SONFQ", "IT")</f>
        <v>IT</v>
      </c>
      <c r="C3419" s="8" t="s">
        <v>44</v>
      </c>
      <c r="D3419" s="9" t="str">
        <f>HYPERLINK("https://otsuka-europe-crm.veevavault.com/ui/#object/approved_document__v/V5O000000018003", "AE dialoghi di tempo fiducia e cura episodi 2-3-4")</f>
        <v>AE dialoghi di tempo fiducia e cura episodi 2-3-4</v>
      </c>
      <c r="E3419" s="10" t="str">
        <f>HYPERLINK("https://otsuka-europe-crm.veevavault.com/ui/#object/sent_email__v/VBL00000002O871", "SE-001432542")</f>
        <v>SE-001432542</v>
      </c>
      <c r="F3419" s="11"/>
      <c r="G3419" s="12">
        <v>0</v>
      </c>
      <c r="H3419" s="12">
        <v>0</v>
      </c>
      <c r="I3419" s="12">
        <v>0</v>
      </c>
      <c r="J3419" s="11"/>
      <c r="K3419" s="12">
        <v>0</v>
      </c>
      <c r="L3419" s="10" t="str">
        <f>HYPERLINK("https://otsuka-europe-crm.veevavault.com/ui/#object/approved_document__v/V5O000000018003", "AE dialoghi di tempo fiducia e cura episodi 2-3-4")</f>
        <v>AE dialoghi di tempo fiducia e cura episodi 2-3-4</v>
      </c>
      <c r="M3419" s="10" t="str">
        <f>HYPERLINK("mailto:nicoletta.vozza@crm.otsuka-europe.com", "nicoletta.vozza@crm.otsuka-europe.com")</f>
        <v>nicoletta.vozza@crm.otsuka-europe.com</v>
      </c>
      <c r="N3419" s="13">
        <v>46181.338067129633</v>
      </c>
      <c r="O3419" s="14" t="str">
        <f>HYPERLINK("https://otsuka-europe-crm.veevavault.com/ui/#object/email_activity__v/V8C00000003P543", "EN-002090798")</f>
        <v>EN-002090798</v>
      </c>
    </row>
    <row r="3420" spans="1:15" ht="16" x14ac:dyDescent="0.2">
      <c r="A3420" s="17" t="str">
        <f>HYPERLINK("https://otsuka-europe-crm.veevavault.com/ui/#object/account__v/V4TZ06G6O71SBD1", "DAVIDE MAGGIOLO")</f>
        <v>DAVIDE MAGGIOLO</v>
      </c>
      <c r="B3420" s="17" t="str">
        <f>HYPERLINK("https://otsuka-europe-crm.veevavault.com/ui/#object/vcountry__v/VENZ000004SONFQ", "IT")</f>
        <v>IT</v>
      </c>
      <c r="C3420" s="20" t="s">
        <v>44</v>
      </c>
      <c r="D3420" s="21" t="str">
        <f>HYPERLINK("https://otsuka-europe-crm.veevavault.com/ui/#object/approved_document__v/V5O000000018003", "AE dialoghi di tempo fiducia e cura episodi 2-3-4")</f>
        <v>AE dialoghi di tempo fiducia e cura episodi 2-3-4</v>
      </c>
      <c r="E3420" s="22" t="str">
        <f>HYPERLINK("https://otsuka-europe-crm.veevavault.com/ui/#object/sent_email__v/VBL00000002O872", "SE-001432543")</f>
        <v>SE-001432543</v>
      </c>
      <c r="F3420" s="23">
        <v>46191.590914351851</v>
      </c>
      <c r="G3420" s="24">
        <v>1</v>
      </c>
      <c r="H3420" s="24">
        <v>2</v>
      </c>
      <c r="I3420" s="24">
        <v>1</v>
      </c>
      <c r="J3420" s="23">
        <v>46191.591597222221</v>
      </c>
      <c r="K3420" s="24">
        <v>1</v>
      </c>
      <c r="L3420" s="22" t="str">
        <f>HYPERLINK("https://otsuka-europe-crm.veevavault.com/ui/#object/approved_document__v/V5O000000018003", "AE dialoghi di tempo fiducia e cura episodi 2-3-4")</f>
        <v>AE dialoghi di tempo fiducia e cura episodi 2-3-4</v>
      </c>
      <c r="M3420" s="22" t="str">
        <f>HYPERLINK("mailto:nicoletta.vozza@crm.otsuka-europe.com", "nicoletta.vozza@crm.otsuka-europe.com")</f>
        <v>nicoletta.vozza@crm.otsuka-europe.com</v>
      </c>
      <c r="N3420" s="23">
        <v>46181.337962962964</v>
      </c>
      <c r="O3420" s="14" t="str">
        <f>HYPERLINK("https://otsuka-europe-crm.veevavault.com/ui/#object/email_activity__v/V8C00000003P181", "EN-002089581")</f>
        <v>EN-002089581</v>
      </c>
    </row>
    <row r="3421" spans="1:15" ht="16" x14ac:dyDescent="0.2">
      <c r="A3421" s="18"/>
      <c r="B3421" s="18"/>
      <c r="C3421" s="18"/>
      <c r="D3421" s="18"/>
      <c r="E3421" s="18"/>
      <c r="F3421" s="18"/>
      <c r="G3421" s="18"/>
      <c r="H3421" s="18"/>
      <c r="I3421" s="18"/>
      <c r="J3421" s="18"/>
      <c r="K3421" s="18"/>
      <c r="L3421" s="18"/>
      <c r="M3421" s="18"/>
      <c r="N3421" s="18"/>
      <c r="O3421" s="14" t="str">
        <f>HYPERLINK("https://otsuka-europe-crm.veevavault.com/ui/#object/email_activity__v/V8C00000003R046", "EN-002091775")</f>
        <v>EN-002091775</v>
      </c>
    </row>
    <row r="3422" spans="1:15" ht="16" x14ac:dyDescent="0.2">
      <c r="A3422" s="18"/>
      <c r="B3422" s="18"/>
      <c r="C3422" s="18"/>
      <c r="D3422" s="18"/>
      <c r="E3422" s="18"/>
      <c r="F3422" s="18"/>
      <c r="G3422" s="18"/>
      <c r="H3422" s="18"/>
      <c r="I3422" s="18"/>
      <c r="J3422" s="18"/>
      <c r="K3422" s="18"/>
      <c r="L3422" s="18"/>
      <c r="M3422" s="18"/>
      <c r="N3422" s="18"/>
      <c r="O3422" s="14" t="str">
        <f>HYPERLINK("https://otsuka-europe-crm.veevavault.com/ui/#object/email_activity__v/V8C00000003Y009", "EN-002098614")</f>
        <v>EN-002098614</v>
      </c>
    </row>
    <row r="3423" spans="1:15" ht="16" x14ac:dyDescent="0.2">
      <c r="A3423" s="19"/>
      <c r="B3423" s="19"/>
      <c r="C3423" s="19"/>
      <c r="D3423" s="19"/>
      <c r="E3423" s="19"/>
      <c r="F3423" s="19"/>
      <c r="G3423" s="19"/>
      <c r="H3423" s="19"/>
      <c r="I3423" s="19"/>
      <c r="J3423" s="19"/>
      <c r="K3423" s="19"/>
      <c r="L3423" s="19"/>
      <c r="M3423" s="19"/>
      <c r="N3423" s="19"/>
      <c r="O3423" s="14" t="str">
        <f>HYPERLINK("https://otsuka-europe-crm.veevavault.com/ui/#object/email_activity__v/V8C00000003Y010", "EN-002098615")</f>
        <v>EN-002098615</v>
      </c>
    </row>
    <row r="3424" spans="1:15" ht="32" x14ac:dyDescent="0.2">
      <c r="A3424" s="7" t="str">
        <f>HYPERLINK("https://otsuka-europe-crm.veevavault.com/ui/#object/account__v/V4TZ06G6O71SBZ7", "DAVIDE PRESTIA")</f>
        <v>DAVIDE PRESTIA</v>
      </c>
      <c r="B3424" s="7" t="str">
        <f>HYPERLINK("https://otsuka-europe-crm.veevavault.com/ui/#object/vcountry__v/VENZ000004SONFQ", "IT")</f>
        <v>IT</v>
      </c>
      <c r="C3424" s="8" t="s">
        <v>44</v>
      </c>
      <c r="D3424" s="9" t="str">
        <f>HYPERLINK("https://otsuka-europe-crm.veevavault.com/ui/#object/approved_document__v/V5O000000018003", "AE dialoghi di tempo fiducia e cura episodi 2-3-4")</f>
        <v>AE dialoghi di tempo fiducia e cura episodi 2-3-4</v>
      </c>
      <c r="E3424" s="10" t="str">
        <f>HYPERLINK("https://otsuka-europe-crm.veevavault.com/ui/#object/sent_email__v/VBL00000002O873", "SE-001432544")</f>
        <v>SE-001432544</v>
      </c>
      <c r="F3424" s="11"/>
      <c r="G3424" s="12">
        <v>0</v>
      </c>
      <c r="H3424" s="12">
        <v>0</v>
      </c>
      <c r="I3424" s="12">
        <v>0</v>
      </c>
      <c r="J3424" s="11"/>
      <c r="K3424" s="12">
        <v>0</v>
      </c>
      <c r="L3424" s="10" t="str">
        <f>HYPERLINK("https://otsuka-europe-crm.veevavault.com/ui/#object/approved_document__v/V5O000000018003", "AE dialoghi di tempo fiducia e cura episodi 2-3-4")</f>
        <v>AE dialoghi di tempo fiducia e cura episodi 2-3-4</v>
      </c>
      <c r="M3424" s="10" t="str">
        <f>HYPERLINK("mailto:nicoletta.vozza@crm.otsuka-europe.com", "nicoletta.vozza@crm.otsuka-europe.com")</f>
        <v>nicoletta.vozza@crm.otsuka-europe.com</v>
      </c>
      <c r="N3424" s="13">
        <v>46181.338020833333</v>
      </c>
      <c r="O3424" s="14" t="str">
        <f>HYPERLINK("https://otsuka-europe-crm.veevavault.com/ui/#object/email_activity__v/V8C00000003P582", "EN-002090837")</f>
        <v>EN-002090837</v>
      </c>
    </row>
    <row r="3425" spans="1:15" ht="32" x14ac:dyDescent="0.2">
      <c r="A3425" s="7" t="str">
        <f>HYPERLINK("https://otsuka-europe-crm.veevavault.com/ui/#object/account__v/V4TZ04ASGBU4VK4", "DAVIDE ZENONI")</f>
        <v>DAVIDE ZENONI</v>
      </c>
      <c r="B3425" s="7" t="str">
        <f>HYPERLINK("https://otsuka-europe-crm.veevavault.com/ui/#object/vcountry__v/VENZ000004SONFQ", "IT")</f>
        <v>IT</v>
      </c>
      <c r="C3425" s="8" t="s">
        <v>44</v>
      </c>
      <c r="D3425" s="9" t="str">
        <f>HYPERLINK("https://otsuka-europe-crm.veevavault.com/ui/#object/approved_document__v/V5O000000018003", "AE dialoghi di tempo fiducia e cura episodi 2-3-4")</f>
        <v>AE dialoghi di tempo fiducia e cura episodi 2-3-4</v>
      </c>
      <c r="E3425" s="10" t="str">
        <f>HYPERLINK("https://otsuka-europe-crm.veevavault.com/ui/#object/sent_email__v/VBL00000002O874", "SE-001432545")</f>
        <v>SE-001432545</v>
      </c>
      <c r="F3425" s="11"/>
      <c r="G3425" s="12">
        <v>0</v>
      </c>
      <c r="H3425" s="12">
        <v>0</v>
      </c>
      <c r="I3425" s="12">
        <v>0</v>
      </c>
      <c r="J3425" s="11"/>
      <c r="K3425" s="12">
        <v>0</v>
      </c>
      <c r="L3425" s="10" t="str">
        <f>HYPERLINK("https://otsuka-europe-crm.veevavault.com/ui/#object/approved_document__v/V5O000000018003", "AE dialoghi di tempo fiducia e cura episodi 2-3-4")</f>
        <v>AE dialoghi di tempo fiducia e cura episodi 2-3-4</v>
      </c>
      <c r="M3425" s="10" t="str">
        <f>HYPERLINK("mailto:nicoletta.vozza@crm.otsuka-europe.com", "nicoletta.vozza@crm.otsuka-europe.com")</f>
        <v>nicoletta.vozza@crm.otsuka-europe.com</v>
      </c>
      <c r="N3425" s="13">
        <v>46181.337997685187</v>
      </c>
      <c r="O3425" s="14" t="str">
        <f>HYPERLINK("https://otsuka-europe-crm.veevavault.com/ui/#object/email_activity__v/V8C00000003O981", "EN-002090730")</f>
        <v>EN-002090730</v>
      </c>
    </row>
    <row r="3426" spans="1:15" ht="32" x14ac:dyDescent="0.2">
      <c r="A3426" s="7" t="str">
        <f>HYPERLINK("https://otsuka-europe-crm.veevavault.com/ui/#object/account__v/V4TZ025E83Z2M18", "DEBORA FONTANA")</f>
        <v>DEBORA FONTANA</v>
      </c>
      <c r="B3426" s="7" t="str">
        <f>HYPERLINK("https://otsuka-europe-crm.veevavault.com/ui/#object/vcountry__v/VENZ000004SONFQ", "IT")</f>
        <v>IT</v>
      </c>
      <c r="C3426" s="8" t="s">
        <v>44</v>
      </c>
      <c r="D3426" s="9" t="str">
        <f>HYPERLINK("https://otsuka-europe-crm.veevavault.com/ui/#object/approved_document__v/V5O000000018003", "AE dialoghi di tempo fiducia e cura episodi 2-3-4")</f>
        <v>AE dialoghi di tempo fiducia e cura episodi 2-3-4</v>
      </c>
      <c r="E3426" s="10" t="str">
        <f>HYPERLINK("https://otsuka-europe-crm.veevavault.com/ui/#object/sent_email__v/VBL00000002O875", "SE-001432546")</f>
        <v>SE-001432546</v>
      </c>
      <c r="F3426" s="11"/>
      <c r="G3426" s="12">
        <v>0</v>
      </c>
      <c r="H3426" s="12">
        <v>0</v>
      </c>
      <c r="I3426" s="12">
        <v>0</v>
      </c>
      <c r="J3426" s="11"/>
      <c r="K3426" s="12">
        <v>0</v>
      </c>
      <c r="L3426" s="10" t="str">
        <f>HYPERLINK("https://otsuka-europe-crm.veevavault.com/ui/#object/approved_document__v/V5O000000018003", "AE dialoghi di tempo fiducia e cura episodi 2-3-4")</f>
        <v>AE dialoghi di tempo fiducia e cura episodi 2-3-4</v>
      </c>
      <c r="M3426" s="10" t="str">
        <f>HYPERLINK("mailto:nicoletta.vozza@crm.otsuka-europe.com", "nicoletta.vozza@crm.otsuka-europe.com")</f>
        <v>nicoletta.vozza@crm.otsuka-europe.com</v>
      </c>
      <c r="N3426" s="13">
        <v>46181.337997685187</v>
      </c>
      <c r="O3426" s="14" t="str">
        <f>HYPERLINK("https://otsuka-europe-crm.veevavault.com/ui/#object/email_activity__v/V8C00000003P581", "EN-002090836")</f>
        <v>EN-002090836</v>
      </c>
    </row>
    <row r="3427" spans="1:15" ht="16" x14ac:dyDescent="0.2">
      <c r="A3427" s="17" t="str">
        <f>HYPERLINK("https://otsuka-europe-crm.veevavault.com/ui/#object/account__v/V4TZ06G6OBU9NGU", "DELFINA JANIRI")</f>
        <v>DELFINA JANIRI</v>
      </c>
      <c r="B3427" s="17" t="str">
        <f>HYPERLINK("https://otsuka-europe-crm.veevavault.com/ui/#object/vcountry__v/VENZ000004SONFQ", "IT")</f>
        <v>IT</v>
      </c>
      <c r="C3427" s="20" t="s">
        <v>44</v>
      </c>
      <c r="D3427" s="21" t="str">
        <f>HYPERLINK("https://otsuka-europe-crm.veevavault.com/ui/#object/approved_document__v/V5O000000018003", "AE dialoghi di tempo fiducia e cura episodi 2-3-4")</f>
        <v>AE dialoghi di tempo fiducia e cura episodi 2-3-4</v>
      </c>
      <c r="E3427" s="22" t="str">
        <f>HYPERLINK("https://otsuka-europe-crm.veevavault.com/ui/#object/sent_email__v/VBL00000002O876", "SE-001432547")</f>
        <v>SE-001432547</v>
      </c>
      <c r="F3427" s="23">
        <v>46181.338020833333</v>
      </c>
      <c r="G3427" s="24">
        <v>1</v>
      </c>
      <c r="H3427" s="24">
        <v>1</v>
      </c>
      <c r="I3427" s="24">
        <v>0</v>
      </c>
      <c r="J3427" s="25"/>
      <c r="K3427" s="24">
        <v>0</v>
      </c>
      <c r="L3427" s="22" t="str">
        <f>HYPERLINK("https://otsuka-europe-crm.veevavault.com/ui/#object/approved_document__v/V5O000000018003", "AE dialoghi di tempo fiducia e cura episodi 2-3-4")</f>
        <v>AE dialoghi di tempo fiducia e cura episodi 2-3-4</v>
      </c>
      <c r="M3427" s="22" t="str">
        <f>HYPERLINK("mailto:nicoletta.vozza@crm.otsuka-europe.com", "nicoletta.vozza@crm.otsuka-europe.com")</f>
        <v>nicoletta.vozza@crm.otsuka-europe.com</v>
      </c>
      <c r="N3427" s="23">
        <v>46181.337951388887</v>
      </c>
      <c r="O3427" s="14" t="str">
        <f>HYPERLINK("https://otsuka-europe-crm.veevavault.com/ui/#object/email_activity__v/V8C00000003O160", "EN-002089542")</f>
        <v>EN-002089542</v>
      </c>
    </row>
    <row r="3428" spans="1:15" ht="16" x14ac:dyDescent="0.2">
      <c r="A3428" s="19"/>
      <c r="B3428" s="19"/>
      <c r="C3428" s="19"/>
      <c r="D3428" s="19"/>
      <c r="E3428" s="19"/>
      <c r="F3428" s="19"/>
      <c r="G3428" s="19"/>
      <c r="H3428" s="19"/>
      <c r="I3428" s="19"/>
      <c r="J3428" s="19"/>
      <c r="K3428" s="19"/>
      <c r="L3428" s="19"/>
      <c r="M3428" s="19"/>
      <c r="N3428" s="19"/>
      <c r="O3428" s="14" t="str">
        <f>HYPERLINK("https://otsuka-europe-crm.veevavault.com/ui/#object/email_activity__v/V8C00000003O431", "EN-002089987")</f>
        <v>EN-002089987</v>
      </c>
    </row>
    <row r="3429" spans="1:15" ht="32" x14ac:dyDescent="0.2">
      <c r="A3429" s="7" t="str">
        <f>HYPERLINK("https://otsuka-europe-crm.veevavault.com/ui/#object/account__v/V4TZ04ASGCYSSU7", "DELIA SCATENI")</f>
        <v>DELIA SCATENI</v>
      </c>
      <c r="B3429" s="7" t="str">
        <f t="shared" ref="B3429:B3446" si="180">HYPERLINK("https://otsuka-europe-crm.veevavault.com/ui/#object/vcountry__v/VENZ000004SONFQ", "IT")</f>
        <v>IT</v>
      </c>
      <c r="C3429" s="8" t="s">
        <v>44</v>
      </c>
      <c r="D3429" s="9" t="str">
        <f t="shared" ref="D3429:D3446" si="181">HYPERLINK("https://otsuka-europe-crm.veevavault.com/ui/#object/approved_document__v/V5O000000018003", "AE dialoghi di tempo fiducia e cura episodi 2-3-4")</f>
        <v>AE dialoghi di tempo fiducia e cura episodi 2-3-4</v>
      </c>
      <c r="E3429" s="10" t="str">
        <f>HYPERLINK("https://otsuka-europe-crm.veevavault.com/ui/#object/sent_email__v/VBL00000002O877", "SE-001432548")</f>
        <v>SE-001432548</v>
      </c>
      <c r="F3429" s="11"/>
      <c r="G3429" s="12">
        <v>0</v>
      </c>
      <c r="H3429" s="12">
        <v>0</v>
      </c>
      <c r="I3429" s="12">
        <v>0</v>
      </c>
      <c r="J3429" s="11"/>
      <c r="K3429" s="12">
        <v>0</v>
      </c>
      <c r="L3429" s="10" t="str">
        <f t="shared" ref="L3429:L3446" si="182">HYPERLINK("https://otsuka-europe-crm.veevavault.com/ui/#object/approved_document__v/V5O000000018003", "AE dialoghi di tempo fiducia e cura episodi 2-3-4")</f>
        <v>AE dialoghi di tempo fiducia e cura episodi 2-3-4</v>
      </c>
      <c r="M3429" s="10" t="str">
        <f t="shared" ref="M3429:M3446" si="183">HYPERLINK("mailto:nicoletta.vozza@crm.otsuka-europe.com", "nicoletta.vozza@crm.otsuka-europe.com")</f>
        <v>nicoletta.vozza@crm.otsuka-europe.com</v>
      </c>
      <c r="N3429" s="13">
        <v>46181.338020833333</v>
      </c>
      <c r="O3429" s="14" t="str">
        <f>HYPERLINK("https://otsuka-europe-crm.veevavault.com/ui/#object/email_activity__v/V8C00000003Q021", "EN-002090987")</f>
        <v>EN-002090987</v>
      </c>
    </row>
    <row r="3430" spans="1:15" ht="32" x14ac:dyDescent="0.2">
      <c r="A3430" s="7" t="str">
        <f>HYPERLINK("https://otsuka-europe-crm.veevavault.com/ui/#object/account__v/V4TZ06G6O71SA5L", "DELORISE BOMPREZZI")</f>
        <v>DELORISE BOMPREZZI</v>
      </c>
      <c r="B3430" s="7" t="str">
        <f t="shared" si="180"/>
        <v>IT</v>
      </c>
      <c r="C3430" s="8" t="s">
        <v>44</v>
      </c>
      <c r="D3430" s="9" t="str">
        <f t="shared" si="181"/>
        <v>AE dialoghi di tempo fiducia e cura episodi 2-3-4</v>
      </c>
      <c r="E3430" s="10" t="str">
        <f>HYPERLINK("https://otsuka-europe-crm.veevavault.com/ui/#object/sent_email__v/VBL00000002O878", "SE-001432549")</f>
        <v>SE-001432549</v>
      </c>
      <c r="F3430" s="11"/>
      <c r="G3430" s="12">
        <v>0</v>
      </c>
      <c r="H3430" s="12">
        <v>0</v>
      </c>
      <c r="I3430" s="12">
        <v>0</v>
      </c>
      <c r="J3430" s="11"/>
      <c r="K3430" s="12">
        <v>0</v>
      </c>
      <c r="L3430" s="10" t="str">
        <f t="shared" si="182"/>
        <v>AE dialoghi di tempo fiducia e cura episodi 2-3-4</v>
      </c>
      <c r="M3430" s="10" t="str">
        <f t="shared" si="183"/>
        <v>nicoletta.vozza@crm.otsuka-europe.com</v>
      </c>
      <c r="N3430" s="13">
        <v>46181.338078703702</v>
      </c>
      <c r="O3430" s="14" t="str">
        <f>HYPERLINK("https://otsuka-europe-crm.veevavault.com/ui/#object/email_activity__v/V8C00000003O493", "EN-002090049")</f>
        <v>EN-002090049</v>
      </c>
    </row>
    <row r="3431" spans="1:15" ht="32" x14ac:dyDescent="0.2">
      <c r="A3431" s="7" t="str">
        <f>HYPERLINK("https://otsuka-europe-crm.veevavault.com/ui/#object/account__v/V4TZ06G6O71SCSA", "DENISE ZUBANI")</f>
        <v>DENISE ZUBANI</v>
      </c>
      <c r="B3431" s="7" t="str">
        <f t="shared" si="180"/>
        <v>IT</v>
      </c>
      <c r="C3431" s="8" t="s">
        <v>44</v>
      </c>
      <c r="D3431" s="9" t="str">
        <f t="shared" si="181"/>
        <v>AE dialoghi di tempo fiducia e cura episodi 2-3-4</v>
      </c>
      <c r="E3431" s="10" t="str">
        <f>HYPERLINK("https://otsuka-europe-crm.veevavault.com/ui/#object/sent_email__v/VBL00000002O879", "SE-001432550")</f>
        <v>SE-001432550</v>
      </c>
      <c r="F3431" s="11"/>
      <c r="G3431" s="12">
        <v>0</v>
      </c>
      <c r="H3431" s="12">
        <v>0</v>
      </c>
      <c r="I3431" s="12">
        <v>0</v>
      </c>
      <c r="J3431" s="11"/>
      <c r="K3431" s="12">
        <v>0</v>
      </c>
      <c r="L3431" s="10" t="str">
        <f t="shared" si="182"/>
        <v>AE dialoghi di tempo fiducia e cura episodi 2-3-4</v>
      </c>
      <c r="M3431" s="10" t="str">
        <f t="shared" si="183"/>
        <v>nicoletta.vozza@crm.otsuka-europe.com</v>
      </c>
      <c r="N3431" s="13">
        <v>46181.338043981479</v>
      </c>
      <c r="O3431" s="14" t="str">
        <f>HYPERLINK("https://otsuka-europe-crm.veevavault.com/ui/#object/email_activity__v/V8C00000003P341", "EN-002090347")</f>
        <v>EN-002090347</v>
      </c>
    </row>
    <row r="3432" spans="1:15" ht="32" x14ac:dyDescent="0.2">
      <c r="A3432" s="7" t="str">
        <f>HYPERLINK("https://otsuka-europe-crm.veevavault.com/ui/#object/account__v/V4TZ06G6O71SALJ", "DESIRE' FICILI")</f>
        <v>DESIRE' FICILI</v>
      </c>
      <c r="B3432" s="7" t="str">
        <f t="shared" si="180"/>
        <v>IT</v>
      </c>
      <c r="C3432" s="8" t="s">
        <v>44</v>
      </c>
      <c r="D3432" s="9" t="str">
        <f t="shared" si="181"/>
        <v>AE dialoghi di tempo fiducia e cura episodi 2-3-4</v>
      </c>
      <c r="E3432" s="10" t="str">
        <f>HYPERLINK("https://otsuka-europe-crm.veevavault.com/ui/#object/sent_email__v/VBL00000002O880", "SE-001432551")</f>
        <v>SE-001432551</v>
      </c>
      <c r="F3432" s="11"/>
      <c r="G3432" s="12">
        <v>0</v>
      </c>
      <c r="H3432" s="12">
        <v>0</v>
      </c>
      <c r="I3432" s="12">
        <v>0</v>
      </c>
      <c r="J3432" s="11"/>
      <c r="K3432" s="12">
        <v>0</v>
      </c>
      <c r="L3432" s="10" t="str">
        <f t="shared" si="182"/>
        <v>AE dialoghi di tempo fiducia e cura episodi 2-3-4</v>
      </c>
      <c r="M3432" s="10" t="str">
        <f t="shared" si="183"/>
        <v>nicoletta.vozza@crm.otsuka-europe.com</v>
      </c>
      <c r="N3432" s="13">
        <v>46181.338020833333</v>
      </c>
      <c r="O3432" s="14" t="str">
        <f>HYPERLINK("https://otsuka-europe-crm.veevavault.com/ui/#object/email_activity__v/V8C00000003O760", "EN-002090316")</f>
        <v>EN-002090316</v>
      </c>
    </row>
    <row r="3433" spans="1:15" ht="32" x14ac:dyDescent="0.2">
      <c r="A3433" s="7" t="str">
        <f>HYPERLINK("https://otsuka-europe-crm.veevavault.com/ui/#object/account__v/V4TZ04ASGG00Z89", "DIANA CORONA")</f>
        <v>DIANA CORONA</v>
      </c>
      <c r="B3433" s="7" t="str">
        <f t="shared" si="180"/>
        <v>IT</v>
      </c>
      <c r="C3433" s="8" t="s">
        <v>44</v>
      </c>
      <c r="D3433" s="9" t="str">
        <f t="shared" si="181"/>
        <v>AE dialoghi di tempo fiducia e cura episodi 2-3-4</v>
      </c>
      <c r="E3433" s="10" t="str">
        <f>HYPERLINK("https://otsuka-europe-crm.veevavault.com/ui/#object/sent_email__v/VBL00000002O881", "SE-001432552")</f>
        <v>SE-001432552</v>
      </c>
      <c r="F3433" s="11"/>
      <c r="G3433" s="12">
        <v>0</v>
      </c>
      <c r="H3433" s="12">
        <v>0</v>
      </c>
      <c r="I3433" s="12">
        <v>0</v>
      </c>
      <c r="J3433" s="11"/>
      <c r="K3433" s="12">
        <v>0</v>
      </c>
      <c r="L3433" s="10" t="str">
        <f t="shared" si="182"/>
        <v>AE dialoghi di tempo fiducia e cura episodi 2-3-4</v>
      </c>
      <c r="M3433" s="10" t="str">
        <f t="shared" si="183"/>
        <v>nicoletta.vozza@crm.otsuka-europe.com</v>
      </c>
      <c r="N3433" s="13">
        <v>46181.33798611111</v>
      </c>
      <c r="O3433" s="14" t="str">
        <f>HYPERLINK("https://otsuka-europe-crm.veevavault.com/ui/#object/email_activity__v/V8C00000003P557", "EN-002090812")</f>
        <v>EN-002090812</v>
      </c>
    </row>
    <row r="3434" spans="1:15" ht="32" x14ac:dyDescent="0.2">
      <c r="A3434" s="7" t="str">
        <f>HYPERLINK("https://otsuka-europe-crm.veevavault.com/ui/#object/account__v/V4TZ06G6OA5NU66", "DIANA DI PIETRO")</f>
        <v>DIANA DI PIETRO</v>
      </c>
      <c r="B3434" s="7" t="str">
        <f t="shared" si="180"/>
        <v>IT</v>
      </c>
      <c r="C3434" s="8" t="s">
        <v>44</v>
      </c>
      <c r="D3434" s="9" t="str">
        <f t="shared" si="181"/>
        <v>AE dialoghi di tempo fiducia e cura episodi 2-3-4</v>
      </c>
      <c r="E3434" s="10" t="str">
        <f>HYPERLINK("https://otsuka-europe-crm.veevavault.com/ui/#object/sent_email__v/VBL00000002O882", "SE-001432553")</f>
        <v>SE-001432553</v>
      </c>
      <c r="F3434" s="11"/>
      <c r="G3434" s="12">
        <v>0</v>
      </c>
      <c r="H3434" s="12">
        <v>0</v>
      </c>
      <c r="I3434" s="12">
        <v>0</v>
      </c>
      <c r="J3434" s="11"/>
      <c r="K3434" s="12">
        <v>0</v>
      </c>
      <c r="L3434" s="10" t="str">
        <f t="shared" si="182"/>
        <v>AE dialoghi di tempo fiducia e cura episodi 2-3-4</v>
      </c>
      <c r="M3434" s="10" t="str">
        <f t="shared" si="183"/>
        <v>nicoletta.vozza@crm.otsuka-europe.com</v>
      </c>
      <c r="N3434" s="13">
        <v>46181.337997685187</v>
      </c>
      <c r="O3434" s="14" t="str">
        <f>HYPERLINK("https://otsuka-europe-crm.veevavault.com/ui/#object/email_activity__v/V8C00000003Q018", "EN-002090984")</f>
        <v>EN-002090984</v>
      </c>
    </row>
    <row r="3435" spans="1:15" ht="32" x14ac:dyDescent="0.2">
      <c r="A3435" s="7" t="str">
        <f>HYPERLINK("https://otsuka-europe-crm.veevavault.com/ui/#object/account__v/V4TZ06G6O71SAOS", "DIANA GALLETTA")</f>
        <v>DIANA GALLETTA</v>
      </c>
      <c r="B3435" s="7" t="str">
        <f t="shared" si="180"/>
        <v>IT</v>
      </c>
      <c r="C3435" s="8" t="s">
        <v>44</v>
      </c>
      <c r="D3435" s="9" t="str">
        <f t="shared" si="181"/>
        <v>AE dialoghi di tempo fiducia e cura episodi 2-3-4</v>
      </c>
      <c r="E3435" s="10" t="str">
        <f>HYPERLINK("https://otsuka-europe-crm.veevavault.com/ui/#object/sent_email__v/VBL00000002O883", "SE-001432554")</f>
        <v>SE-001432554</v>
      </c>
      <c r="F3435" s="11"/>
      <c r="G3435" s="12">
        <v>0</v>
      </c>
      <c r="H3435" s="12">
        <v>0</v>
      </c>
      <c r="I3435" s="12">
        <v>0</v>
      </c>
      <c r="J3435" s="11"/>
      <c r="K3435" s="12">
        <v>0</v>
      </c>
      <c r="L3435" s="10" t="str">
        <f t="shared" si="182"/>
        <v>AE dialoghi di tempo fiducia e cura episodi 2-3-4</v>
      </c>
      <c r="M3435" s="10" t="str">
        <f t="shared" si="183"/>
        <v>nicoletta.vozza@crm.otsuka-europe.com</v>
      </c>
      <c r="N3435" s="13">
        <v>46181.337916666664</v>
      </c>
      <c r="O3435" s="15"/>
    </row>
    <row r="3436" spans="1:15" ht="32" x14ac:dyDescent="0.2">
      <c r="A3436" s="7" t="str">
        <f>HYPERLINK("https://otsuka-europe-crm.veevavault.com/ui/#object/account__v/V4TZ06G6O71SATW", "DIANA GENTILE")</f>
        <v>DIANA GENTILE</v>
      </c>
      <c r="B3436" s="7" t="str">
        <f t="shared" si="180"/>
        <v>IT</v>
      </c>
      <c r="C3436" s="8" t="s">
        <v>44</v>
      </c>
      <c r="D3436" s="9" t="str">
        <f t="shared" si="181"/>
        <v>AE dialoghi di tempo fiducia e cura episodi 2-3-4</v>
      </c>
      <c r="E3436" s="10" t="str">
        <f>HYPERLINK("https://otsuka-europe-crm.veevavault.com/ui/#object/sent_email__v/VBL00000002O884", "SE-001432555")</f>
        <v>SE-001432555</v>
      </c>
      <c r="F3436" s="11"/>
      <c r="G3436" s="12">
        <v>0</v>
      </c>
      <c r="H3436" s="12">
        <v>0</v>
      </c>
      <c r="I3436" s="12">
        <v>0</v>
      </c>
      <c r="J3436" s="11"/>
      <c r="K3436" s="12">
        <v>0</v>
      </c>
      <c r="L3436" s="10" t="str">
        <f t="shared" si="182"/>
        <v>AE dialoghi di tempo fiducia e cura episodi 2-3-4</v>
      </c>
      <c r="M3436" s="10" t="str">
        <f t="shared" si="183"/>
        <v>nicoletta.vozza@crm.otsuka-europe.com</v>
      </c>
      <c r="N3436" s="13">
        <v>46181.338020833333</v>
      </c>
      <c r="O3436" s="14" t="str">
        <f>HYPERLINK("https://otsuka-europe-crm.veevavault.com/ui/#object/email_activity__v/V8C00000003P782", "EN-002091080")</f>
        <v>EN-002091080</v>
      </c>
    </row>
    <row r="3437" spans="1:15" ht="32" x14ac:dyDescent="0.2">
      <c r="A3437" s="7" t="str">
        <f>HYPERLINK("https://otsuka-europe-crm.veevavault.com/ui/#object/account__v/V4TZ06G6O71S9P2", "DILETTA DI CESARE")</f>
        <v>DILETTA DI CESARE</v>
      </c>
      <c r="B3437" s="7" t="str">
        <f t="shared" si="180"/>
        <v>IT</v>
      </c>
      <c r="C3437" s="8" t="s">
        <v>44</v>
      </c>
      <c r="D3437" s="9" t="str">
        <f t="shared" si="181"/>
        <v>AE dialoghi di tempo fiducia e cura episodi 2-3-4</v>
      </c>
      <c r="E3437" s="10" t="str">
        <f>HYPERLINK("https://otsuka-europe-crm.veevavault.com/ui/#object/sent_email__v/VBL00000002O885", "SE-001432556")</f>
        <v>SE-001432556</v>
      </c>
      <c r="F3437" s="11"/>
      <c r="G3437" s="12">
        <v>0</v>
      </c>
      <c r="H3437" s="12">
        <v>0</v>
      </c>
      <c r="I3437" s="12">
        <v>0</v>
      </c>
      <c r="J3437" s="11"/>
      <c r="K3437" s="12">
        <v>0</v>
      </c>
      <c r="L3437" s="10" t="str">
        <f t="shared" si="182"/>
        <v>AE dialoghi di tempo fiducia e cura episodi 2-3-4</v>
      </c>
      <c r="M3437" s="10" t="str">
        <f t="shared" si="183"/>
        <v>nicoletta.vozza@crm.otsuka-europe.com</v>
      </c>
      <c r="N3437" s="13">
        <v>46181.33797453704</v>
      </c>
      <c r="O3437" s="14" t="str">
        <f>HYPERLINK("https://otsuka-europe-crm.veevavault.com/ui/#object/email_activity__v/V8C00000003O771", "EN-002090431")</f>
        <v>EN-002090431</v>
      </c>
    </row>
    <row r="3438" spans="1:15" ht="32" x14ac:dyDescent="0.2">
      <c r="A3438" s="7" t="str">
        <f>HYPERLINK("https://otsuka-europe-crm.veevavault.com/ui/#object/account__v/V4TZ04ASGB4KRE3", "DOMENICA CAMPOLO")</f>
        <v>DOMENICA CAMPOLO</v>
      </c>
      <c r="B3438" s="7" t="str">
        <f t="shared" si="180"/>
        <v>IT</v>
      </c>
      <c r="C3438" s="8" t="s">
        <v>44</v>
      </c>
      <c r="D3438" s="9" t="str">
        <f t="shared" si="181"/>
        <v>AE dialoghi di tempo fiducia e cura episodi 2-3-4</v>
      </c>
      <c r="E3438" s="10" t="str">
        <f>HYPERLINK("https://otsuka-europe-crm.veevavault.com/ui/#object/sent_email__v/VBL00000002O886", "SE-001432557")</f>
        <v>SE-001432557</v>
      </c>
      <c r="F3438" s="11"/>
      <c r="G3438" s="12">
        <v>0</v>
      </c>
      <c r="H3438" s="12">
        <v>0</v>
      </c>
      <c r="I3438" s="12">
        <v>0</v>
      </c>
      <c r="J3438" s="11"/>
      <c r="K3438" s="12">
        <v>0</v>
      </c>
      <c r="L3438" s="10" t="str">
        <f t="shared" si="182"/>
        <v>AE dialoghi di tempo fiducia e cura episodi 2-3-4</v>
      </c>
      <c r="M3438" s="10" t="str">
        <f t="shared" si="183"/>
        <v>nicoletta.vozza@crm.otsuka-europe.com</v>
      </c>
      <c r="N3438" s="13">
        <v>46181.337997685187</v>
      </c>
      <c r="O3438" s="14" t="str">
        <f>HYPERLINK("https://otsuka-europe-crm.veevavault.com/ui/#object/email_activity__v/V8C00000003P516", "EN-002090771")</f>
        <v>EN-002090771</v>
      </c>
    </row>
    <row r="3439" spans="1:15" ht="32" x14ac:dyDescent="0.2">
      <c r="A3439" s="7" t="str">
        <f>HYPERLINK("https://otsuka-europe-crm.veevavault.com/ui/#object/account__v/V4TZ04ASGB4KQDM", "DOMENICA GIUSEPPINA NUCIFORA")</f>
        <v>DOMENICA GIUSEPPINA NUCIFORA</v>
      </c>
      <c r="B3439" s="7" t="str">
        <f t="shared" si="180"/>
        <v>IT</v>
      </c>
      <c r="C3439" s="8" t="s">
        <v>44</v>
      </c>
      <c r="D3439" s="9" t="str">
        <f t="shared" si="181"/>
        <v>AE dialoghi di tempo fiducia e cura episodi 2-3-4</v>
      </c>
      <c r="E3439" s="10" t="str">
        <f>HYPERLINK("https://otsuka-europe-crm.veevavault.com/ui/#object/sent_email__v/VBL00000002O887", "SE-001432558")</f>
        <v>SE-001432558</v>
      </c>
      <c r="F3439" s="11"/>
      <c r="G3439" s="12">
        <v>0</v>
      </c>
      <c r="H3439" s="12">
        <v>0</v>
      </c>
      <c r="I3439" s="12">
        <v>0</v>
      </c>
      <c r="J3439" s="11"/>
      <c r="K3439" s="12">
        <v>0</v>
      </c>
      <c r="L3439" s="10" t="str">
        <f t="shared" si="182"/>
        <v>AE dialoghi di tempo fiducia e cura episodi 2-3-4</v>
      </c>
      <c r="M3439" s="10" t="str">
        <f t="shared" si="183"/>
        <v>nicoletta.vozza@crm.otsuka-europe.com</v>
      </c>
      <c r="N3439" s="13">
        <v>46181.338067129633</v>
      </c>
      <c r="O3439" s="14" t="str">
        <f>HYPERLINK("https://otsuka-europe-crm.veevavault.com/ui/#object/email_activity__v/V8C00000003P419", "EN-002090425")</f>
        <v>EN-002090425</v>
      </c>
    </row>
    <row r="3440" spans="1:15" ht="32" x14ac:dyDescent="0.2">
      <c r="A3440" s="7" t="str">
        <f>HYPERLINK("https://otsuka-europe-crm.veevavault.com/ui/#object/account__v/V4TZ06G6O71SCLN", "DOMENICA TRILLO'")</f>
        <v>DOMENICA TRILLO'</v>
      </c>
      <c r="B3440" s="7" t="str">
        <f t="shared" si="180"/>
        <v>IT</v>
      </c>
      <c r="C3440" s="8" t="s">
        <v>44</v>
      </c>
      <c r="D3440" s="9" t="str">
        <f t="shared" si="181"/>
        <v>AE dialoghi di tempo fiducia e cura episodi 2-3-4</v>
      </c>
      <c r="E3440" s="10" t="str">
        <f>HYPERLINK("https://otsuka-europe-crm.veevavault.com/ui/#object/sent_email__v/VBL00000002O888", "SE-001432559")</f>
        <v>SE-001432559</v>
      </c>
      <c r="F3440" s="11"/>
      <c r="G3440" s="12">
        <v>0</v>
      </c>
      <c r="H3440" s="12">
        <v>0</v>
      </c>
      <c r="I3440" s="12">
        <v>0</v>
      </c>
      <c r="J3440" s="11"/>
      <c r="K3440" s="12">
        <v>0</v>
      </c>
      <c r="L3440" s="10" t="str">
        <f t="shared" si="182"/>
        <v>AE dialoghi di tempo fiducia e cura episodi 2-3-4</v>
      </c>
      <c r="M3440" s="10" t="str">
        <f t="shared" si="183"/>
        <v>nicoletta.vozza@crm.otsuka-europe.com</v>
      </c>
      <c r="N3440" s="13">
        <v>46181.337997685187</v>
      </c>
      <c r="O3440" s="14" t="str">
        <f>HYPERLINK("https://otsuka-europe-crm.veevavault.com/ui/#object/email_activity__v/V8C00000003O568", "EN-002090124")</f>
        <v>EN-002090124</v>
      </c>
    </row>
    <row r="3441" spans="1:15" ht="32" x14ac:dyDescent="0.2">
      <c r="A3441" s="7" t="str">
        <f>HYPERLINK("https://otsuka-europe-crm.veevavault.com/ui/#object/account__v/V4TZ06G6OCESGCZ", "DOMENICO ACCORRA'")</f>
        <v>DOMENICO ACCORRA'</v>
      </c>
      <c r="B3441" s="7" t="str">
        <f t="shared" si="180"/>
        <v>IT</v>
      </c>
      <c r="C3441" s="8" t="s">
        <v>44</v>
      </c>
      <c r="D3441" s="9" t="str">
        <f t="shared" si="181"/>
        <v>AE dialoghi di tempo fiducia e cura episodi 2-3-4</v>
      </c>
      <c r="E3441" s="10" t="str">
        <f>HYPERLINK("https://otsuka-europe-crm.veevavault.com/ui/#object/sent_email__v/VBL00000002O889", "SE-001432560")</f>
        <v>SE-001432560</v>
      </c>
      <c r="F3441" s="11"/>
      <c r="G3441" s="12">
        <v>0</v>
      </c>
      <c r="H3441" s="12">
        <v>0</v>
      </c>
      <c r="I3441" s="12">
        <v>0</v>
      </c>
      <c r="J3441" s="11"/>
      <c r="K3441" s="12">
        <v>0</v>
      </c>
      <c r="L3441" s="10" t="str">
        <f t="shared" si="182"/>
        <v>AE dialoghi di tempo fiducia e cura episodi 2-3-4</v>
      </c>
      <c r="M3441" s="10" t="str">
        <f t="shared" si="183"/>
        <v>nicoletta.vozza@crm.otsuka-europe.com</v>
      </c>
      <c r="N3441" s="13">
        <v>46181.33798611111</v>
      </c>
      <c r="O3441" s="14" t="str">
        <f>HYPERLINK("https://otsuka-europe-crm.veevavault.com/ui/#object/email_activity__v/V8C00000003P252", "EN-002089830")</f>
        <v>EN-002089830</v>
      </c>
    </row>
    <row r="3442" spans="1:15" ht="32" x14ac:dyDescent="0.2">
      <c r="A3442" s="7" t="str">
        <f>HYPERLINK("https://otsuka-europe-crm.veevavault.com/ui/#object/account__v/V4TZ06G6O71SCI8", "DOMENICO ANTONIO SCIOTA")</f>
        <v>DOMENICO ANTONIO SCIOTA</v>
      </c>
      <c r="B3442" s="7" t="str">
        <f t="shared" si="180"/>
        <v>IT</v>
      </c>
      <c r="C3442" s="8" t="s">
        <v>44</v>
      </c>
      <c r="D3442" s="9" t="str">
        <f t="shared" si="181"/>
        <v>AE dialoghi di tempo fiducia e cura episodi 2-3-4</v>
      </c>
      <c r="E3442" s="10" t="str">
        <f>HYPERLINK("https://otsuka-europe-crm.veevavault.com/ui/#object/sent_email__v/VBL00000002O890", "SE-001432561")</f>
        <v>SE-001432561</v>
      </c>
      <c r="F3442" s="11"/>
      <c r="G3442" s="12">
        <v>0</v>
      </c>
      <c r="H3442" s="12">
        <v>0</v>
      </c>
      <c r="I3442" s="12">
        <v>0</v>
      </c>
      <c r="J3442" s="11"/>
      <c r="K3442" s="12">
        <v>0</v>
      </c>
      <c r="L3442" s="10" t="str">
        <f t="shared" si="182"/>
        <v>AE dialoghi di tempo fiducia e cura episodi 2-3-4</v>
      </c>
      <c r="M3442" s="10" t="str">
        <f t="shared" si="183"/>
        <v>nicoletta.vozza@crm.otsuka-europe.com</v>
      </c>
      <c r="N3442" s="13">
        <v>46181.338055555556</v>
      </c>
      <c r="O3442" s="14" t="str">
        <f>HYPERLINK("https://otsuka-europe-crm.veevavault.com/ui/#object/email_activity__v/V8C00000003P810", "EN-002091108")</f>
        <v>EN-002091108</v>
      </c>
    </row>
    <row r="3443" spans="1:15" ht="32" x14ac:dyDescent="0.2">
      <c r="A3443" s="7" t="str">
        <f>HYPERLINK("https://otsuka-europe-crm.veevavault.com/ui/#object/account__v/V4TZ04ASGAZXI1I", "DOMENICO ARENA")</f>
        <v>DOMENICO ARENA</v>
      </c>
      <c r="B3443" s="7" t="str">
        <f t="shared" si="180"/>
        <v>IT</v>
      </c>
      <c r="C3443" s="8" t="s">
        <v>44</v>
      </c>
      <c r="D3443" s="9" t="str">
        <f t="shared" si="181"/>
        <v>AE dialoghi di tempo fiducia e cura episodi 2-3-4</v>
      </c>
      <c r="E3443" s="10" t="str">
        <f>HYPERLINK("https://otsuka-europe-crm.veevavault.com/ui/#object/sent_email__v/VBL00000002O891", "SE-001432562")</f>
        <v>SE-001432562</v>
      </c>
      <c r="F3443" s="11"/>
      <c r="G3443" s="12">
        <v>0</v>
      </c>
      <c r="H3443" s="12">
        <v>0</v>
      </c>
      <c r="I3443" s="12">
        <v>0</v>
      </c>
      <c r="J3443" s="11"/>
      <c r="K3443" s="12">
        <v>0</v>
      </c>
      <c r="L3443" s="10" t="str">
        <f t="shared" si="182"/>
        <v>AE dialoghi di tempo fiducia e cura episodi 2-3-4</v>
      </c>
      <c r="M3443" s="10" t="str">
        <f t="shared" si="183"/>
        <v>nicoletta.vozza@crm.otsuka-europe.com</v>
      </c>
      <c r="N3443" s="13">
        <v>46181.337916666664</v>
      </c>
      <c r="O3443" s="15"/>
    </row>
    <row r="3444" spans="1:15" ht="32" x14ac:dyDescent="0.2">
      <c r="A3444" s="7" t="str">
        <f>HYPERLINK("https://otsuka-europe-crm.veevavault.com/ui/#object/account__v/V4TZ06G6O71SA3H", "DOMENICO BARBA")</f>
        <v>DOMENICO BARBA</v>
      </c>
      <c r="B3444" s="7" t="str">
        <f t="shared" si="180"/>
        <v>IT</v>
      </c>
      <c r="C3444" s="8" t="s">
        <v>44</v>
      </c>
      <c r="D3444" s="9" t="str">
        <f t="shared" si="181"/>
        <v>AE dialoghi di tempo fiducia e cura episodi 2-3-4</v>
      </c>
      <c r="E3444" s="10" t="str">
        <f>HYPERLINK("https://otsuka-europe-crm.veevavault.com/ui/#object/sent_email__v/VBL00000002O892", "SE-001432563")</f>
        <v>SE-001432563</v>
      </c>
      <c r="F3444" s="11"/>
      <c r="G3444" s="12">
        <v>0</v>
      </c>
      <c r="H3444" s="12">
        <v>0</v>
      </c>
      <c r="I3444" s="12">
        <v>0</v>
      </c>
      <c r="J3444" s="11"/>
      <c r="K3444" s="12">
        <v>0</v>
      </c>
      <c r="L3444" s="10" t="str">
        <f t="shared" si="182"/>
        <v>AE dialoghi di tempo fiducia e cura episodi 2-3-4</v>
      </c>
      <c r="M3444" s="10" t="str">
        <f t="shared" si="183"/>
        <v>nicoletta.vozza@crm.otsuka-europe.com</v>
      </c>
      <c r="N3444" s="13">
        <v>46181.338055555556</v>
      </c>
      <c r="O3444" s="14" t="str">
        <f>HYPERLINK("https://otsuka-europe-crm.veevavault.com/ui/#object/email_activity__v/V8C00000003P310", "EN-002089946")</f>
        <v>EN-002089946</v>
      </c>
    </row>
    <row r="3445" spans="1:15" ht="32" x14ac:dyDescent="0.2">
      <c r="A3445" s="7" t="str">
        <f>HYPERLINK("https://otsuka-europe-crm.veevavault.com/ui/#object/account__v/V4TZ025E83FWG9X", "DOMENICO GABRIELE VAZZANA")</f>
        <v>DOMENICO GABRIELE VAZZANA</v>
      </c>
      <c r="B3445" s="7" t="str">
        <f t="shared" si="180"/>
        <v>IT</v>
      </c>
      <c r="C3445" s="8" t="s">
        <v>44</v>
      </c>
      <c r="D3445" s="9" t="str">
        <f t="shared" si="181"/>
        <v>AE dialoghi di tempo fiducia e cura episodi 2-3-4</v>
      </c>
      <c r="E3445" s="10" t="str">
        <f>HYPERLINK("https://otsuka-europe-crm.veevavault.com/ui/#object/sent_email__v/VBL00000002O893", "SE-001432564")</f>
        <v>SE-001432564</v>
      </c>
      <c r="F3445" s="11"/>
      <c r="G3445" s="12">
        <v>0</v>
      </c>
      <c r="H3445" s="12">
        <v>0</v>
      </c>
      <c r="I3445" s="12">
        <v>0</v>
      </c>
      <c r="J3445" s="11"/>
      <c r="K3445" s="12">
        <v>0</v>
      </c>
      <c r="L3445" s="10" t="str">
        <f t="shared" si="182"/>
        <v>AE dialoghi di tempo fiducia e cura episodi 2-3-4</v>
      </c>
      <c r="M3445" s="10" t="str">
        <f t="shared" si="183"/>
        <v>nicoletta.vozza@crm.otsuka-europe.com</v>
      </c>
      <c r="N3445" s="13">
        <v>46181.338009259256</v>
      </c>
      <c r="O3445" s="14" t="str">
        <f>HYPERLINK("https://otsuka-europe-crm.veevavault.com/ui/#object/email_activity__v/V8C00000003O268", "EN-002089745")</f>
        <v>EN-002089745</v>
      </c>
    </row>
    <row r="3446" spans="1:15" ht="16" x14ac:dyDescent="0.2">
      <c r="A3446" s="17" t="str">
        <f>HYPERLINK("https://otsuka-europe-crm.veevavault.com/ui/#object/account__v/V4TZ04ASGC2CB92", "DOMENICO MALLAMACE")</f>
        <v>DOMENICO MALLAMACE</v>
      </c>
      <c r="B3446" s="17" t="str">
        <f t="shared" si="180"/>
        <v>IT</v>
      </c>
      <c r="C3446" s="20" t="s">
        <v>44</v>
      </c>
      <c r="D3446" s="21" t="str">
        <f t="shared" si="181"/>
        <v>AE dialoghi di tempo fiducia e cura episodi 2-3-4</v>
      </c>
      <c r="E3446" s="22" t="str">
        <f>HYPERLINK("https://otsuka-europe-crm.veevavault.com/ui/#object/sent_email__v/VBL00000002O894", "SE-001432565")</f>
        <v>SE-001432565</v>
      </c>
      <c r="F3446" s="25"/>
      <c r="G3446" s="24">
        <v>0</v>
      </c>
      <c r="H3446" s="24">
        <v>0</v>
      </c>
      <c r="I3446" s="24">
        <v>0</v>
      </c>
      <c r="J3446" s="25"/>
      <c r="K3446" s="24">
        <v>0</v>
      </c>
      <c r="L3446" s="22" t="str">
        <f t="shared" si="182"/>
        <v>AE dialoghi di tempo fiducia e cura episodi 2-3-4</v>
      </c>
      <c r="M3446" s="22" t="str">
        <f t="shared" si="183"/>
        <v>nicoletta.vozza@crm.otsuka-europe.com</v>
      </c>
      <c r="N3446" s="23">
        <v>46181.338067129633</v>
      </c>
      <c r="O3446" s="14" t="str">
        <f>HYPERLINK("https://otsuka-europe-crm.veevavault.com/ui/#object/email_activity__v/V8C00000003P861", "EN-002091280")</f>
        <v>EN-002091280</v>
      </c>
    </row>
    <row r="3447" spans="1:15" ht="16" x14ac:dyDescent="0.2">
      <c r="A3447" s="18"/>
      <c r="B3447" s="18"/>
      <c r="C3447" s="18"/>
      <c r="D3447" s="18"/>
      <c r="E3447" s="18"/>
      <c r="F3447" s="18"/>
      <c r="G3447" s="18"/>
      <c r="H3447" s="18"/>
      <c r="I3447" s="18"/>
      <c r="J3447" s="18"/>
      <c r="K3447" s="18"/>
      <c r="L3447" s="18"/>
      <c r="M3447" s="18"/>
      <c r="N3447" s="18"/>
      <c r="O3447" s="14" t="str">
        <f>HYPERLINK("https://otsuka-europe-crm.veevavault.com/ui/#object/email_activity__v/V8C00000003Q048", "EN-002091014")</f>
        <v>EN-002091014</v>
      </c>
    </row>
    <row r="3448" spans="1:15" ht="16" x14ac:dyDescent="0.2">
      <c r="A3448" s="19"/>
      <c r="B3448" s="19"/>
      <c r="C3448" s="19"/>
      <c r="D3448" s="19"/>
      <c r="E3448" s="19"/>
      <c r="F3448" s="19"/>
      <c r="G3448" s="19"/>
      <c r="H3448" s="19"/>
      <c r="I3448" s="19"/>
      <c r="J3448" s="19"/>
      <c r="K3448" s="19"/>
      <c r="L3448" s="19"/>
      <c r="M3448" s="19"/>
      <c r="N3448" s="19"/>
      <c r="O3448" s="14" t="str">
        <f>HYPERLINK("https://otsuka-europe-crm.veevavault.com/ui/#object/email_activity__v/V8C00000003W764", "EN-002098539")</f>
        <v>EN-002098539</v>
      </c>
    </row>
    <row r="3449" spans="1:15" ht="32" x14ac:dyDescent="0.2">
      <c r="A3449" s="7" t="str">
        <f>HYPERLINK("https://otsuka-europe-crm.veevavault.com/ui/#object/account__v/V4TZ06G6O71SC4D", "DOMENICO ROMANO")</f>
        <v>DOMENICO ROMANO</v>
      </c>
      <c r="B3449" s="7" t="str">
        <f t="shared" ref="B3449:B3473" si="184">HYPERLINK("https://otsuka-europe-crm.veevavault.com/ui/#object/vcountry__v/VENZ000004SONFQ", "IT")</f>
        <v>IT</v>
      </c>
      <c r="C3449" s="8" t="s">
        <v>44</v>
      </c>
      <c r="D3449" s="9" t="str">
        <f t="shared" ref="D3449:D3473" si="185">HYPERLINK("https://otsuka-europe-crm.veevavault.com/ui/#object/approved_document__v/V5O000000018003", "AE dialoghi di tempo fiducia e cura episodi 2-3-4")</f>
        <v>AE dialoghi di tempo fiducia e cura episodi 2-3-4</v>
      </c>
      <c r="E3449" s="10" t="str">
        <f>HYPERLINK("https://otsuka-europe-crm.veevavault.com/ui/#object/sent_email__v/VBL00000002O895", "SE-001432566")</f>
        <v>SE-001432566</v>
      </c>
      <c r="F3449" s="11"/>
      <c r="G3449" s="12">
        <v>0</v>
      </c>
      <c r="H3449" s="12">
        <v>0</v>
      </c>
      <c r="I3449" s="12">
        <v>0</v>
      </c>
      <c r="J3449" s="11"/>
      <c r="K3449" s="12">
        <v>0</v>
      </c>
      <c r="L3449" s="10" t="str">
        <f t="shared" ref="L3449:L3473" si="186">HYPERLINK("https://otsuka-europe-crm.veevavault.com/ui/#object/approved_document__v/V5O000000018003", "AE dialoghi di tempo fiducia e cura episodi 2-3-4")</f>
        <v>AE dialoghi di tempo fiducia e cura episodi 2-3-4</v>
      </c>
      <c r="M3449" s="10" t="str">
        <f t="shared" ref="M3449:M3473" si="187">HYPERLINK("mailto:nicoletta.vozza@crm.otsuka-europe.com", "nicoletta.vozza@crm.otsuka-europe.com")</f>
        <v>nicoletta.vozza@crm.otsuka-europe.com</v>
      </c>
      <c r="N3449" s="13">
        <v>46181.33803240741</v>
      </c>
      <c r="O3449" s="14" t="str">
        <f>HYPERLINK("https://otsuka-europe-crm.veevavault.com/ui/#object/email_activity__v/V8C00000003P629", "EN-002090884")</f>
        <v>EN-002090884</v>
      </c>
    </row>
    <row r="3450" spans="1:15" ht="32" x14ac:dyDescent="0.2">
      <c r="A3450" s="7" t="str">
        <f>HYPERLINK("https://otsuka-europe-crm.veevavault.com/ui/#object/account__v/V4TZ06G6OAJNK6H", "DOMENICO SCIORTINO")</f>
        <v>DOMENICO SCIORTINO</v>
      </c>
      <c r="B3450" s="7" t="str">
        <f t="shared" si="184"/>
        <v>IT</v>
      </c>
      <c r="C3450" s="8" t="s">
        <v>44</v>
      </c>
      <c r="D3450" s="9" t="str">
        <f t="shared" si="185"/>
        <v>AE dialoghi di tempo fiducia e cura episodi 2-3-4</v>
      </c>
      <c r="E3450" s="10" t="str">
        <f>HYPERLINK("https://otsuka-europe-crm.veevavault.com/ui/#object/sent_email__v/VBL00000002O896", "SE-001432567")</f>
        <v>SE-001432567</v>
      </c>
      <c r="F3450" s="11"/>
      <c r="G3450" s="12">
        <v>0</v>
      </c>
      <c r="H3450" s="12">
        <v>0</v>
      </c>
      <c r="I3450" s="12">
        <v>0</v>
      </c>
      <c r="J3450" s="11"/>
      <c r="K3450" s="12">
        <v>0</v>
      </c>
      <c r="L3450" s="10" t="str">
        <f t="shared" si="186"/>
        <v>AE dialoghi di tempo fiducia e cura episodi 2-3-4</v>
      </c>
      <c r="M3450" s="10" t="str">
        <f t="shared" si="187"/>
        <v>nicoletta.vozza@crm.otsuka-europe.com</v>
      </c>
      <c r="N3450" s="13">
        <v>46181.33803240741</v>
      </c>
      <c r="O3450" s="14" t="str">
        <f>HYPERLINK("https://otsuka-europe-crm.veevavault.com/ui/#object/email_activity__v/V8C00000003P667", "EN-002090922")</f>
        <v>EN-002090922</v>
      </c>
    </row>
    <row r="3451" spans="1:15" ht="32" x14ac:dyDescent="0.2">
      <c r="A3451" s="7" t="str">
        <f>HYPERLINK("https://otsuka-europe-crm.veevavault.com/ui/#object/account__v/V4TZ06G6O71SCF6", "DOMENICO SEMISA")</f>
        <v>DOMENICO SEMISA</v>
      </c>
      <c r="B3451" s="7" t="str">
        <f t="shared" si="184"/>
        <v>IT</v>
      </c>
      <c r="C3451" s="8" t="s">
        <v>44</v>
      </c>
      <c r="D3451" s="9" t="str">
        <f t="shared" si="185"/>
        <v>AE dialoghi di tempo fiducia e cura episodi 2-3-4</v>
      </c>
      <c r="E3451" s="10" t="str">
        <f>HYPERLINK("https://otsuka-europe-crm.veevavault.com/ui/#object/sent_email__v/VBL00000002O897", "SE-001432568")</f>
        <v>SE-001432568</v>
      </c>
      <c r="F3451" s="11"/>
      <c r="G3451" s="12">
        <v>0</v>
      </c>
      <c r="H3451" s="12">
        <v>0</v>
      </c>
      <c r="I3451" s="12">
        <v>0</v>
      </c>
      <c r="J3451" s="11"/>
      <c r="K3451" s="12">
        <v>0</v>
      </c>
      <c r="L3451" s="10" t="str">
        <f t="shared" si="186"/>
        <v>AE dialoghi di tempo fiducia e cura episodi 2-3-4</v>
      </c>
      <c r="M3451" s="10" t="str">
        <f t="shared" si="187"/>
        <v>nicoletta.vozza@crm.otsuka-europe.com</v>
      </c>
      <c r="N3451" s="13">
        <v>46181.337905092594</v>
      </c>
      <c r="O3451" s="15"/>
    </row>
    <row r="3452" spans="1:15" ht="32" x14ac:dyDescent="0.2">
      <c r="A3452" s="7" t="str">
        <f>HYPERLINK("https://otsuka-europe-crm.veevavault.com/ui/#object/account__v/V4TZ06G6OBUABZ7", "DOMENICO ZAMPOGNA")</f>
        <v>DOMENICO ZAMPOGNA</v>
      </c>
      <c r="B3452" s="7" t="str">
        <f t="shared" si="184"/>
        <v>IT</v>
      </c>
      <c r="C3452" s="8" t="s">
        <v>44</v>
      </c>
      <c r="D3452" s="9" t="str">
        <f t="shared" si="185"/>
        <v>AE dialoghi di tempo fiducia e cura episodi 2-3-4</v>
      </c>
      <c r="E3452" s="10" t="str">
        <f>HYPERLINK("https://otsuka-europe-crm.veevavault.com/ui/#object/sent_email__v/VBL00000002O898", "SE-001432569")</f>
        <v>SE-001432569</v>
      </c>
      <c r="F3452" s="11"/>
      <c r="G3452" s="12">
        <v>0</v>
      </c>
      <c r="H3452" s="12">
        <v>0</v>
      </c>
      <c r="I3452" s="12">
        <v>0</v>
      </c>
      <c r="J3452" s="11"/>
      <c r="K3452" s="12">
        <v>0</v>
      </c>
      <c r="L3452" s="10" t="str">
        <f t="shared" si="186"/>
        <v>AE dialoghi di tempo fiducia e cura episodi 2-3-4</v>
      </c>
      <c r="M3452" s="10" t="str">
        <f t="shared" si="187"/>
        <v>nicoletta.vozza@crm.otsuka-europe.com</v>
      </c>
      <c r="N3452" s="13">
        <v>46181.337997685187</v>
      </c>
      <c r="O3452" s="14" t="str">
        <f>HYPERLINK("https://otsuka-europe-crm.veevavault.com/ui/#object/email_activity__v/V8C00000003O617", "EN-002090173")</f>
        <v>EN-002090173</v>
      </c>
    </row>
    <row r="3453" spans="1:15" ht="32" x14ac:dyDescent="0.2">
      <c r="A3453" s="7" t="str">
        <f>HYPERLINK("https://otsuka-europe-crm.veevavault.com/ui/#object/account__v/V4TZ06G6O71SAWM", "DONATA CAIRA")</f>
        <v>DONATA CAIRA</v>
      </c>
      <c r="B3453" s="7" t="str">
        <f t="shared" si="184"/>
        <v>IT</v>
      </c>
      <c r="C3453" s="8" t="s">
        <v>44</v>
      </c>
      <c r="D3453" s="9" t="str">
        <f t="shared" si="185"/>
        <v>AE dialoghi di tempo fiducia e cura episodi 2-3-4</v>
      </c>
      <c r="E3453" s="10" t="str">
        <f>HYPERLINK("https://otsuka-europe-crm.veevavault.com/ui/#object/sent_email__v/VBL00000002O899", "SE-001432570")</f>
        <v>SE-001432570</v>
      </c>
      <c r="F3453" s="11"/>
      <c r="G3453" s="12">
        <v>0</v>
      </c>
      <c r="H3453" s="12">
        <v>0</v>
      </c>
      <c r="I3453" s="12">
        <v>0</v>
      </c>
      <c r="J3453" s="11"/>
      <c r="K3453" s="12">
        <v>0</v>
      </c>
      <c r="L3453" s="10" t="str">
        <f t="shared" si="186"/>
        <v>AE dialoghi di tempo fiducia e cura episodi 2-3-4</v>
      </c>
      <c r="M3453" s="10" t="str">
        <f t="shared" si="187"/>
        <v>nicoletta.vozza@crm.otsuka-europe.com</v>
      </c>
      <c r="N3453" s="13">
        <v>46181.338020833333</v>
      </c>
      <c r="O3453" s="14" t="str">
        <f>HYPERLINK("https://otsuka-europe-crm.veevavault.com/ui/#object/email_activity__v/V8C00000003P684", "EN-002090939")</f>
        <v>EN-002090939</v>
      </c>
    </row>
    <row r="3454" spans="1:15" ht="32" x14ac:dyDescent="0.2">
      <c r="A3454" s="7" t="str">
        <f>HYPERLINK("https://otsuka-europe-crm.veevavault.com/ui/#object/account__v/V4TZ06G6O71SBHB", "DONATELLA MARRAMA")</f>
        <v>DONATELLA MARRAMA</v>
      </c>
      <c r="B3454" s="7" t="str">
        <f t="shared" si="184"/>
        <v>IT</v>
      </c>
      <c r="C3454" s="8" t="s">
        <v>44</v>
      </c>
      <c r="D3454" s="9" t="str">
        <f t="shared" si="185"/>
        <v>AE dialoghi di tempo fiducia e cura episodi 2-3-4</v>
      </c>
      <c r="E3454" s="10" t="str">
        <f>HYPERLINK("https://otsuka-europe-crm.veevavault.com/ui/#object/sent_email__v/VBL00000002O900", "SE-001432571")</f>
        <v>SE-001432571</v>
      </c>
      <c r="F3454" s="11"/>
      <c r="G3454" s="12">
        <v>0</v>
      </c>
      <c r="H3454" s="12">
        <v>0</v>
      </c>
      <c r="I3454" s="12">
        <v>0</v>
      </c>
      <c r="J3454" s="11"/>
      <c r="K3454" s="12">
        <v>0</v>
      </c>
      <c r="L3454" s="10" t="str">
        <f t="shared" si="186"/>
        <v>AE dialoghi di tempo fiducia e cura episodi 2-3-4</v>
      </c>
      <c r="M3454" s="10" t="str">
        <f t="shared" si="187"/>
        <v>nicoletta.vozza@crm.otsuka-europe.com</v>
      </c>
      <c r="N3454" s="13">
        <v>46181.337997685187</v>
      </c>
      <c r="O3454" s="14" t="str">
        <f>HYPERLINK("https://otsuka-europe-crm.veevavault.com/ui/#object/email_activity__v/V8C00000003O703", "EN-002090259")</f>
        <v>EN-002090259</v>
      </c>
    </row>
    <row r="3455" spans="1:15" ht="32" x14ac:dyDescent="0.2">
      <c r="A3455" s="7" t="str">
        <f>HYPERLINK("https://otsuka-europe-crm.veevavault.com/ui/#object/account__v/V4TZ06G6O71SC2C", "DONATELLA RAMELLO")</f>
        <v>DONATELLA RAMELLO</v>
      </c>
      <c r="B3455" s="7" t="str">
        <f t="shared" si="184"/>
        <v>IT</v>
      </c>
      <c r="C3455" s="8" t="s">
        <v>44</v>
      </c>
      <c r="D3455" s="9" t="str">
        <f t="shared" si="185"/>
        <v>AE dialoghi di tempo fiducia e cura episodi 2-3-4</v>
      </c>
      <c r="E3455" s="10" t="str">
        <f>HYPERLINK("https://otsuka-europe-crm.veevavault.com/ui/#object/sent_email__v/VBL00000002O901", "SE-001432572")</f>
        <v>SE-001432572</v>
      </c>
      <c r="F3455" s="11"/>
      <c r="G3455" s="12">
        <v>0</v>
      </c>
      <c r="H3455" s="12">
        <v>0</v>
      </c>
      <c r="I3455" s="12">
        <v>0</v>
      </c>
      <c r="J3455" s="11"/>
      <c r="K3455" s="12">
        <v>0</v>
      </c>
      <c r="L3455" s="10" t="str">
        <f t="shared" si="186"/>
        <v>AE dialoghi di tempo fiducia e cura episodi 2-3-4</v>
      </c>
      <c r="M3455" s="10" t="str">
        <f t="shared" si="187"/>
        <v>nicoletta.vozza@crm.otsuka-europe.com</v>
      </c>
      <c r="N3455" s="13">
        <v>46181.337997685187</v>
      </c>
      <c r="O3455" s="14" t="str">
        <f>HYPERLINK("https://otsuka-europe-crm.veevavault.com/ui/#object/email_activity__v/V8C00000003P855", "EN-002091271")</f>
        <v>EN-002091271</v>
      </c>
    </row>
    <row r="3456" spans="1:15" ht="32" x14ac:dyDescent="0.2">
      <c r="A3456" s="7" t="str">
        <f>HYPERLINK("https://otsuka-europe-crm.veevavault.com/ui/#object/account__v/V4TZ06G6O71SBV2", "DONATO PACIELLO")</f>
        <v>DONATO PACIELLO</v>
      </c>
      <c r="B3456" s="7" t="str">
        <f t="shared" si="184"/>
        <v>IT</v>
      </c>
      <c r="C3456" s="8" t="s">
        <v>44</v>
      </c>
      <c r="D3456" s="9" t="str">
        <f t="shared" si="185"/>
        <v>AE dialoghi di tempo fiducia e cura episodi 2-3-4</v>
      </c>
      <c r="E3456" s="10" t="str">
        <f>HYPERLINK("https://otsuka-europe-crm.veevavault.com/ui/#object/sent_email__v/VBL00000002O902", "SE-001432573")</f>
        <v>SE-001432573</v>
      </c>
      <c r="F3456" s="11"/>
      <c r="G3456" s="12">
        <v>0</v>
      </c>
      <c r="H3456" s="12">
        <v>0</v>
      </c>
      <c r="I3456" s="12">
        <v>0</v>
      </c>
      <c r="J3456" s="11"/>
      <c r="K3456" s="12">
        <v>0</v>
      </c>
      <c r="L3456" s="10" t="str">
        <f t="shared" si="186"/>
        <v>AE dialoghi di tempo fiducia e cura episodi 2-3-4</v>
      </c>
      <c r="M3456" s="10" t="str">
        <f t="shared" si="187"/>
        <v>nicoletta.vozza@crm.otsuka-europe.com</v>
      </c>
      <c r="N3456" s="13">
        <v>46181.338055555556</v>
      </c>
      <c r="O3456" s="14" t="str">
        <f>HYPERLINK("https://otsuka-europe-crm.veevavault.com/ui/#object/email_activity__v/V8C00000003P784", "EN-002091082")</f>
        <v>EN-002091082</v>
      </c>
    </row>
    <row r="3457" spans="1:15" ht="32" x14ac:dyDescent="0.2">
      <c r="A3457" s="7" t="str">
        <f>HYPERLINK("https://otsuka-europe-crm.veevavault.com/ui/#object/account__v/V4TZ06G6O71SC69", "DORA RUSSO")</f>
        <v>DORA RUSSO</v>
      </c>
      <c r="B3457" s="7" t="str">
        <f t="shared" si="184"/>
        <v>IT</v>
      </c>
      <c r="C3457" s="8" t="s">
        <v>44</v>
      </c>
      <c r="D3457" s="9" t="str">
        <f t="shared" si="185"/>
        <v>AE dialoghi di tempo fiducia e cura episodi 2-3-4</v>
      </c>
      <c r="E3457" s="10" t="str">
        <f>HYPERLINK("https://otsuka-europe-crm.veevavault.com/ui/#object/sent_email__v/VBL00000002O903", "SE-001432574")</f>
        <v>SE-001432574</v>
      </c>
      <c r="F3457" s="11"/>
      <c r="G3457" s="12">
        <v>0</v>
      </c>
      <c r="H3457" s="12">
        <v>0</v>
      </c>
      <c r="I3457" s="12">
        <v>0</v>
      </c>
      <c r="J3457" s="11"/>
      <c r="K3457" s="12">
        <v>0</v>
      </c>
      <c r="L3457" s="10" t="str">
        <f t="shared" si="186"/>
        <v>AE dialoghi di tempo fiducia e cura episodi 2-3-4</v>
      </c>
      <c r="M3457" s="10" t="str">
        <f t="shared" si="187"/>
        <v>nicoletta.vozza@crm.otsuka-europe.com</v>
      </c>
      <c r="N3457" s="13">
        <v>46181.338020833333</v>
      </c>
      <c r="O3457" s="14" t="str">
        <f>HYPERLINK("https://otsuka-europe-crm.veevavault.com/ui/#object/email_activity__v/V8C00000003Q086", "EN-002091151")</f>
        <v>EN-002091151</v>
      </c>
    </row>
    <row r="3458" spans="1:15" ht="32" x14ac:dyDescent="0.2">
      <c r="A3458" s="7" t="str">
        <f>HYPERLINK("https://otsuka-europe-crm.veevavault.com/ui/#object/account__v/V4TZ025E88SZCX1", "EDOARDO BRUNO")</f>
        <v>EDOARDO BRUNO</v>
      </c>
      <c r="B3458" s="7" t="str">
        <f t="shared" si="184"/>
        <v>IT</v>
      </c>
      <c r="C3458" s="8" t="s">
        <v>44</v>
      </c>
      <c r="D3458" s="9" t="str">
        <f t="shared" si="185"/>
        <v>AE dialoghi di tempo fiducia e cura episodi 2-3-4</v>
      </c>
      <c r="E3458" s="10" t="str">
        <f>HYPERLINK("https://otsuka-europe-crm.veevavault.com/ui/#object/sent_email__v/VBL00000002O904", "SE-001432575")</f>
        <v>SE-001432575</v>
      </c>
      <c r="F3458" s="11"/>
      <c r="G3458" s="12">
        <v>0</v>
      </c>
      <c r="H3458" s="12">
        <v>0</v>
      </c>
      <c r="I3458" s="12">
        <v>0</v>
      </c>
      <c r="J3458" s="11"/>
      <c r="K3458" s="12">
        <v>0</v>
      </c>
      <c r="L3458" s="10" t="str">
        <f t="shared" si="186"/>
        <v>AE dialoghi di tempo fiducia e cura episodi 2-3-4</v>
      </c>
      <c r="M3458" s="10" t="str">
        <f t="shared" si="187"/>
        <v>nicoletta.vozza@crm.otsuka-europe.com</v>
      </c>
      <c r="N3458" s="13">
        <v>46181.338020833333</v>
      </c>
      <c r="O3458" s="14" t="str">
        <f>HYPERLINK("https://otsuka-europe-crm.veevavault.com/ui/#object/email_activity__v/V8C00000003Q087", "EN-002091152")</f>
        <v>EN-002091152</v>
      </c>
    </row>
    <row r="3459" spans="1:15" ht="32" x14ac:dyDescent="0.2">
      <c r="A3459" s="7" t="str">
        <f>HYPERLINK("https://otsuka-europe-crm.veevavault.com/ui/#object/account__v/V4TZ025E88CY4QX", "EDOARDO DE MICHELI")</f>
        <v>EDOARDO DE MICHELI</v>
      </c>
      <c r="B3459" s="7" t="str">
        <f t="shared" si="184"/>
        <v>IT</v>
      </c>
      <c r="C3459" s="8" t="s">
        <v>44</v>
      </c>
      <c r="D3459" s="9" t="str">
        <f t="shared" si="185"/>
        <v>AE dialoghi di tempo fiducia e cura episodi 2-3-4</v>
      </c>
      <c r="E3459" s="10" t="str">
        <f>HYPERLINK("https://otsuka-europe-crm.veevavault.com/ui/#object/sent_email__v/VBL00000002O905", "SE-001432576")</f>
        <v>SE-001432576</v>
      </c>
      <c r="F3459" s="11"/>
      <c r="G3459" s="12">
        <v>0</v>
      </c>
      <c r="H3459" s="12">
        <v>0</v>
      </c>
      <c r="I3459" s="12">
        <v>0</v>
      </c>
      <c r="J3459" s="11"/>
      <c r="K3459" s="12">
        <v>0</v>
      </c>
      <c r="L3459" s="10" t="str">
        <f t="shared" si="186"/>
        <v>AE dialoghi di tempo fiducia e cura episodi 2-3-4</v>
      </c>
      <c r="M3459" s="10" t="str">
        <f t="shared" si="187"/>
        <v>nicoletta.vozza@crm.otsuka-europe.com</v>
      </c>
      <c r="N3459" s="13">
        <v>46181.33797453704</v>
      </c>
      <c r="O3459" s="14" t="str">
        <f>HYPERLINK("https://otsuka-europe-crm.veevavault.com/ui/#object/email_activity__v/V8C00000003O200", "EN-002089637")</f>
        <v>EN-002089637</v>
      </c>
    </row>
    <row r="3460" spans="1:15" ht="32" x14ac:dyDescent="0.2">
      <c r="A3460" s="7" t="str">
        <f>HYPERLINK("https://otsuka-europe-crm.veevavault.com/ui/#object/account__v/V4TZ06G6O71S9FV", "ELDA ARDIZIO")</f>
        <v>ELDA ARDIZIO</v>
      </c>
      <c r="B3460" s="7" t="str">
        <f t="shared" si="184"/>
        <v>IT</v>
      </c>
      <c r="C3460" s="8" t="s">
        <v>44</v>
      </c>
      <c r="D3460" s="9" t="str">
        <f t="shared" si="185"/>
        <v>AE dialoghi di tempo fiducia e cura episodi 2-3-4</v>
      </c>
      <c r="E3460" s="10" t="str">
        <f>HYPERLINK("https://otsuka-europe-crm.veevavault.com/ui/#object/sent_email__v/VBL00000002O906", "SE-001432577")</f>
        <v>SE-001432577</v>
      </c>
      <c r="F3460" s="11"/>
      <c r="G3460" s="12">
        <v>0</v>
      </c>
      <c r="H3460" s="12">
        <v>0</v>
      </c>
      <c r="I3460" s="12">
        <v>0</v>
      </c>
      <c r="J3460" s="11"/>
      <c r="K3460" s="12">
        <v>0</v>
      </c>
      <c r="L3460" s="10" t="str">
        <f t="shared" si="186"/>
        <v>AE dialoghi di tempo fiducia e cura episodi 2-3-4</v>
      </c>
      <c r="M3460" s="10" t="str">
        <f t="shared" si="187"/>
        <v>nicoletta.vozza@crm.otsuka-europe.com</v>
      </c>
      <c r="N3460" s="13">
        <v>46181.338055555556</v>
      </c>
      <c r="O3460" s="14" t="str">
        <f>HYPERLINK("https://otsuka-europe-crm.veevavault.com/ui/#object/email_activity__v/V8C00000003Q093", "EN-002091158")</f>
        <v>EN-002091158</v>
      </c>
    </row>
    <row r="3461" spans="1:15" ht="32" x14ac:dyDescent="0.2">
      <c r="A3461" s="7" t="str">
        <f>HYPERLINK("https://otsuka-europe-crm.veevavault.com/ui/#object/account__v/V4TZ06G6O7VSRKF", "ELENA ANTONIOLI")</f>
        <v>ELENA ANTONIOLI</v>
      </c>
      <c r="B3461" s="7" t="str">
        <f t="shared" si="184"/>
        <v>IT</v>
      </c>
      <c r="C3461" s="8" t="s">
        <v>44</v>
      </c>
      <c r="D3461" s="9" t="str">
        <f t="shared" si="185"/>
        <v>AE dialoghi di tempo fiducia e cura episodi 2-3-4</v>
      </c>
      <c r="E3461" s="10" t="str">
        <f>HYPERLINK("https://otsuka-europe-crm.veevavault.com/ui/#object/sent_email__v/VBL00000002O907", "SE-001432578")</f>
        <v>SE-001432578</v>
      </c>
      <c r="F3461" s="11"/>
      <c r="G3461" s="12">
        <v>0</v>
      </c>
      <c r="H3461" s="12">
        <v>0</v>
      </c>
      <c r="I3461" s="12">
        <v>0</v>
      </c>
      <c r="J3461" s="11"/>
      <c r="K3461" s="12">
        <v>0</v>
      </c>
      <c r="L3461" s="10" t="str">
        <f t="shared" si="186"/>
        <v>AE dialoghi di tempo fiducia e cura episodi 2-3-4</v>
      </c>
      <c r="M3461" s="10" t="str">
        <f t="shared" si="187"/>
        <v>nicoletta.vozza@crm.otsuka-europe.com</v>
      </c>
      <c r="N3461" s="13">
        <v>46181.33797453704</v>
      </c>
      <c r="O3461" s="14" t="str">
        <f>HYPERLINK("https://otsuka-europe-crm.veevavault.com/ui/#object/email_activity__v/V8C00000003P399", "EN-002090405")</f>
        <v>EN-002090405</v>
      </c>
    </row>
    <row r="3462" spans="1:15" ht="32" x14ac:dyDescent="0.2">
      <c r="A3462" s="7" t="str">
        <f>HYPERLINK("https://otsuka-europe-crm.veevavault.com/ui/#object/account__v/V4TZ06G6O71S9NH", "ELENA BARLETTA")</f>
        <v>ELENA BARLETTA</v>
      </c>
      <c r="B3462" s="7" t="str">
        <f t="shared" si="184"/>
        <v>IT</v>
      </c>
      <c r="C3462" s="8" t="s">
        <v>44</v>
      </c>
      <c r="D3462" s="9" t="str">
        <f t="shared" si="185"/>
        <v>AE dialoghi di tempo fiducia e cura episodi 2-3-4</v>
      </c>
      <c r="E3462" s="10" t="str">
        <f>HYPERLINK("https://otsuka-europe-crm.veevavault.com/ui/#object/sent_email__v/VBL00000002O908", "SE-001432579")</f>
        <v>SE-001432579</v>
      </c>
      <c r="F3462" s="11"/>
      <c r="G3462" s="12">
        <v>0</v>
      </c>
      <c r="H3462" s="12">
        <v>0</v>
      </c>
      <c r="I3462" s="12">
        <v>0</v>
      </c>
      <c r="J3462" s="11"/>
      <c r="K3462" s="12">
        <v>0</v>
      </c>
      <c r="L3462" s="10" t="str">
        <f t="shared" si="186"/>
        <v>AE dialoghi di tempo fiducia e cura episodi 2-3-4</v>
      </c>
      <c r="M3462" s="10" t="str">
        <f t="shared" si="187"/>
        <v>nicoletta.vozza@crm.otsuka-europe.com</v>
      </c>
      <c r="N3462" s="13">
        <v>46181.337916666664</v>
      </c>
      <c r="O3462" s="15"/>
    </row>
    <row r="3463" spans="1:15" ht="32" x14ac:dyDescent="0.2">
      <c r="A3463" s="7" t="str">
        <f>HYPERLINK("https://otsuka-europe-crm.veevavault.com/ui/#object/account__v/V4TZ025E87812CH", "ELENA BESTOSO")</f>
        <v>ELENA BESTOSO</v>
      </c>
      <c r="B3463" s="7" t="str">
        <f t="shared" si="184"/>
        <v>IT</v>
      </c>
      <c r="C3463" s="8" t="s">
        <v>44</v>
      </c>
      <c r="D3463" s="9" t="str">
        <f t="shared" si="185"/>
        <v>AE dialoghi di tempo fiducia e cura episodi 2-3-4</v>
      </c>
      <c r="E3463" s="10" t="str">
        <f>HYPERLINK("https://otsuka-europe-crm.veevavault.com/ui/#object/sent_email__v/VBL00000002O909", "SE-001432580")</f>
        <v>SE-001432580</v>
      </c>
      <c r="F3463" s="11"/>
      <c r="G3463" s="12">
        <v>0</v>
      </c>
      <c r="H3463" s="12">
        <v>0</v>
      </c>
      <c r="I3463" s="12">
        <v>0</v>
      </c>
      <c r="J3463" s="11"/>
      <c r="K3463" s="12">
        <v>0</v>
      </c>
      <c r="L3463" s="10" t="str">
        <f t="shared" si="186"/>
        <v>AE dialoghi di tempo fiducia e cura episodi 2-3-4</v>
      </c>
      <c r="M3463" s="10" t="str">
        <f t="shared" si="187"/>
        <v>nicoletta.vozza@crm.otsuka-europe.com</v>
      </c>
      <c r="N3463" s="13">
        <v>46181.338009259256</v>
      </c>
      <c r="O3463" s="14" t="str">
        <f>HYPERLINK("https://otsuka-europe-crm.veevavault.com/ui/#object/email_activity__v/V8C00000003O933", "EN-002090593")</f>
        <v>EN-002090593</v>
      </c>
    </row>
    <row r="3464" spans="1:15" ht="32" x14ac:dyDescent="0.2">
      <c r="A3464" s="7" t="str">
        <f>HYPERLINK("https://otsuka-europe-crm.veevavault.com/ui/#object/account__v/V4TZ06G6O8TFN71", "ELENA BETTINI")</f>
        <v>ELENA BETTINI</v>
      </c>
      <c r="B3464" s="7" t="str">
        <f t="shared" si="184"/>
        <v>IT</v>
      </c>
      <c r="C3464" s="8" t="s">
        <v>44</v>
      </c>
      <c r="D3464" s="9" t="str">
        <f t="shared" si="185"/>
        <v>AE dialoghi di tempo fiducia e cura episodi 2-3-4</v>
      </c>
      <c r="E3464" s="10" t="str">
        <f>HYPERLINK("https://otsuka-europe-crm.veevavault.com/ui/#object/sent_email__v/VBL00000002O910", "SE-001432581")</f>
        <v>SE-001432581</v>
      </c>
      <c r="F3464" s="11"/>
      <c r="G3464" s="12">
        <v>0</v>
      </c>
      <c r="H3464" s="12">
        <v>0</v>
      </c>
      <c r="I3464" s="12">
        <v>0</v>
      </c>
      <c r="J3464" s="11"/>
      <c r="K3464" s="12">
        <v>0</v>
      </c>
      <c r="L3464" s="10" t="str">
        <f t="shared" si="186"/>
        <v>AE dialoghi di tempo fiducia e cura episodi 2-3-4</v>
      </c>
      <c r="M3464" s="10" t="str">
        <f t="shared" si="187"/>
        <v>nicoletta.vozza@crm.otsuka-europe.com</v>
      </c>
      <c r="N3464" s="13">
        <v>46181.338055555556</v>
      </c>
      <c r="O3464" s="14" t="str">
        <f>HYPERLINK("https://otsuka-europe-crm.veevavault.com/ui/#object/email_activity__v/V8C00000003Q122", "EN-002091205")</f>
        <v>EN-002091205</v>
      </c>
    </row>
    <row r="3465" spans="1:15" ht="32" x14ac:dyDescent="0.2">
      <c r="A3465" s="7" t="str">
        <f>HYPERLINK("https://otsuka-europe-crm.veevavault.com/ui/#object/account__v/V4TZ06G6O71SC10", "ELENA CATERINA PONZIO")</f>
        <v>ELENA CATERINA PONZIO</v>
      </c>
      <c r="B3465" s="7" t="str">
        <f t="shared" si="184"/>
        <v>IT</v>
      </c>
      <c r="C3465" s="8" t="s">
        <v>44</v>
      </c>
      <c r="D3465" s="9" t="str">
        <f t="shared" si="185"/>
        <v>AE dialoghi di tempo fiducia e cura episodi 2-3-4</v>
      </c>
      <c r="E3465" s="10" t="str">
        <f>HYPERLINK("https://otsuka-europe-crm.veevavault.com/ui/#object/sent_email__v/VBL00000002O911", "SE-001432582")</f>
        <v>SE-001432582</v>
      </c>
      <c r="F3465" s="11"/>
      <c r="G3465" s="12">
        <v>0</v>
      </c>
      <c r="H3465" s="12">
        <v>0</v>
      </c>
      <c r="I3465" s="12">
        <v>0</v>
      </c>
      <c r="J3465" s="11"/>
      <c r="K3465" s="12">
        <v>0</v>
      </c>
      <c r="L3465" s="10" t="str">
        <f t="shared" si="186"/>
        <v>AE dialoghi di tempo fiducia e cura episodi 2-3-4</v>
      </c>
      <c r="M3465" s="10" t="str">
        <f t="shared" si="187"/>
        <v>nicoletta.vozza@crm.otsuka-europe.com</v>
      </c>
      <c r="N3465" s="13">
        <v>46181.33803240741</v>
      </c>
      <c r="O3465" s="14" t="str">
        <f>HYPERLINK("https://otsuka-europe-crm.veevavault.com/ui/#object/email_activity__v/V8C00000003O789", "EN-002090449")</f>
        <v>EN-002090449</v>
      </c>
    </row>
    <row r="3466" spans="1:15" ht="32" x14ac:dyDescent="0.2">
      <c r="A3466" s="7" t="str">
        <f>HYPERLINK("https://otsuka-europe-crm.veevavault.com/ui/#object/account__v/V4TZ06G6O71SB28", "ELENA COCUZZA")</f>
        <v>ELENA COCUZZA</v>
      </c>
      <c r="B3466" s="7" t="str">
        <f t="shared" si="184"/>
        <v>IT</v>
      </c>
      <c r="C3466" s="8" t="s">
        <v>44</v>
      </c>
      <c r="D3466" s="9" t="str">
        <f t="shared" si="185"/>
        <v>AE dialoghi di tempo fiducia e cura episodi 2-3-4</v>
      </c>
      <c r="E3466" s="10" t="str">
        <f>HYPERLINK("https://otsuka-europe-crm.veevavault.com/ui/#object/sent_email__v/VBL00000002O912", "SE-001432583")</f>
        <v>SE-001432583</v>
      </c>
      <c r="F3466" s="11"/>
      <c r="G3466" s="12">
        <v>0</v>
      </c>
      <c r="H3466" s="12">
        <v>0</v>
      </c>
      <c r="I3466" s="12">
        <v>0</v>
      </c>
      <c r="J3466" s="11"/>
      <c r="K3466" s="12">
        <v>0</v>
      </c>
      <c r="L3466" s="10" t="str">
        <f t="shared" si="186"/>
        <v>AE dialoghi di tempo fiducia e cura episodi 2-3-4</v>
      </c>
      <c r="M3466" s="10" t="str">
        <f t="shared" si="187"/>
        <v>nicoletta.vozza@crm.otsuka-europe.com</v>
      </c>
      <c r="N3466" s="13">
        <v>46181.338090277779</v>
      </c>
      <c r="O3466" s="14" t="str">
        <f>HYPERLINK("https://otsuka-europe-crm.veevavault.com/ui/#object/email_activity__v/V8C00000003Q115", "EN-002091180")</f>
        <v>EN-002091180</v>
      </c>
    </row>
    <row r="3467" spans="1:15" ht="32" x14ac:dyDescent="0.2">
      <c r="A3467" s="7" t="str">
        <f>HYPERLINK("https://otsuka-europe-crm.veevavault.com/ui/#object/account__v/V4TZ025E88ZPU8K", "ELENA INVERNIZZI")</f>
        <v>ELENA INVERNIZZI</v>
      </c>
      <c r="B3467" s="7" t="str">
        <f t="shared" si="184"/>
        <v>IT</v>
      </c>
      <c r="C3467" s="8" t="s">
        <v>44</v>
      </c>
      <c r="D3467" s="9" t="str">
        <f t="shared" si="185"/>
        <v>AE dialoghi di tempo fiducia e cura episodi 2-3-4</v>
      </c>
      <c r="E3467" s="10" t="str">
        <f>HYPERLINK("https://otsuka-europe-crm.veevavault.com/ui/#object/sent_email__v/VBL00000002O913", "SE-001432584")</f>
        <v>SE-001432584</v>
      </c>
      <c r="F3467" s="11"/>
      <c r="G3467" s="12">
        <v>0</v>
      </c>
      <c r="H3467" s="12">
        <v>0</v>
      </c>
      <c r="I3467" s="12">
        <v>0</v>
      </c>
      <c r="J3467" s="11"/>
      <c r="K3467" s="12">
        <v>0</v>
      </c>
      <c r="L3467" s="10" t="str">
        <f t="shared" si="186"/>
        <v>AE dialoghi di tempo fiducia e cura episodi 2-3-4</v>
      </c>
      <c r="M3467" s="10" t="str">
        <f t="shared" si="187"/>
        <v>nicoletta.vozza@crm.otsuka-europe.com</v>
      </c>
      <c r="N3467" s="13">
        <v>46181.33798611111</v>
      </c>
      <c r="O3467" s="14" t="str">
        <f>HYPERLINK("https://otsuka-europe-crm.veevavault.com/ui/#object/email_activity__v/V8C00000003O228", "EN-002089705")</f>
        <v>EN-002089705</v>
      </c>
    </row>
    <row r="3468" spans="1:15" ht="32" x14ac:dyDescent="0.2">
      <c r="A3468" s="7" t="str">
        <f>HYPERLINK("https://otsuka-europe-crm.veevavault.com/ui/#object/account__v/V4TZ06G6O71SACB", "ELENA LAURA FISCELLA")</f>
        <v>ELENA LAURA FISCELLA</v>
      </c>
      <c r="B3468" s="7" t="str">
        <f t="shared" si="184"/>
        <v>IT</v>
      </c>
      <c r="C3468" s="8" t="s">
        <v>44</v>
      </c>
      <c r="D3468" s="9" t="str">
        <f t="shared" si="185"/>
        <v>AE dialoghi di tempo fiducia e cura episodi 2-3-4</v>
      </c>
      <c r="E3468" s="10" t="str">
        <f>HYPERLINK("https://otsuka-europe-crm.veevavault.com/ui/#object/sent_email__v/VBL00000002O914", "SE-001432585")</f>
        <v>SE-001432585</v>
      </c>
      <c r="F3468" s="11"/>
      <c r="G3468" s="12">
        <v>0</v>
      </c>
      <c r="H3468" s="12">
        <v>0</v>
      </c>
      <c r="I3468" s="12">
        <v>0</v>
      </c>
      <c r="J3468" s="11"/>
      <c r="K3468" s="12">
        <v>0</v>
      </c>
      <c r="L3468" s="10" t="str">
        <f t="shared" si="186"/>
        <v>AE dialoghi di tempo fiducia e cura episodi 2-3-4</v>
      </c>
      <c r="M3468" s="10" t="str">
        <f t="shared" si="187"/>
        <v>nicoletta.vozza@crm.otsuka-europe.com</v>
      </c>
      <c r="N3468" s="13">
        <v>46181.338009259256</v>
      </c>
      <c r="O3468" s="14" t="str">
        <f>HYPERLINK("https://otsuka-europe-crm.veevavault.com/ui/#object/email_activity__v/V8C00000003O269", "EN-002089746")</f>
        <v>EN-002089746</v>
      </c>
    </row>
    <row r="3469" spans="1:15" ht="32" x14ac:dyDescent="0.2">
      <c r="A3469" s="7" t="str">
        <f>HYPERLINK("https://otsuka-europe-crm.veevavault.com/ui/#object/account__v/V4TZ06G6O71SBS3", "ELENA MARIA PETRUZZELLI")</f>
        <v>ELENA MARIA PETRUZZELLI</v>
      </c>
      <c r="B3469" s="7" t="str">
        <f t="shared" si="184"/>
        <v>IT</v>
      </c>
      <c r="C3469" s="8" t="s">
        <v>44</v>
      </c>
      <c r="D3469" s="9" t="str">
        <f t="shared" si="185"/>
        <v>AE dialoghi di tempo fiducia e cura episodi 2-3-4</v>
      </c>
      <c r="E3469" s="10" t="str">
        <f>HYPERLINK("https://otsuka-europe-crm.veevavault.com/ui/#object/sent_email__v/VBL00000002O915", "SE-001432586")</f>
        <v>SE-001432586</v>
      </c>
      <c r="F3469" s="11"/>
      <c r="G3469" s="12">
        <v>0</v>
      </c>
      <c r="H3469" s="12">
        <v>0</v>
      </c>
      <c r="I3469" s="12">
        <v>0</v>
      </c>
      <c r="J3469" s="11"/>
      <c r="K3469" s="12">
        <v>0</v>
      </c>
      <c r="L3469" s="10" t="str">
        <f t="shared" si="186"/>
        <v>AE dialoghi di tempo fiducia e cura episodi 2-3-4</v>
      </c>
      <c r="M3469" s="10" t="str">
        <f t="shared" si="187"/>
        <v>nicoletta.vozza@crm.otsuka-europe.com</v>
      </c>
      <c r="N3469" s="13">
        <v>46181.33798611111</v>
      </c>
      <c r="O3469" s="14" t="str">
        <f>HYPERLINK("https://otsuka-europe-crm.veevavault.com/ui/#object/email_activity__v/V8C00000003P179", "EN-002089579")</f>
        <v>EN-002089579</v>
      </c>
    </row>
    <row r="3470" spans="1:15" ht="32" x14ac:dyDescent="0.2">
      <c r="A3470" s="7" t="str">
        <f>HYPERLINK("https://otsuka-europe-crm.veevavault.com/ui/#object/account__v/V4TZ025E84C94IN", "ELENA MENNINI")</f>
        <v>ELENA MENNINI</v>
      </c>
      <c r="B3470" s="7" t="str">
        <f t="shared" si="184"/>
        <v>IT</v>
      </c>
      <c r="C3470" s="8" t="s">
        <v>44</v>
      </c>
      <c r="D3470" s="9" t="str">
        <f t="shared" si="185"/>
        <v>AE dialoghi di tempo fiducia e cura episodi 2-3-4</v>
      </c>
      <c r="E3470" s="10" t="str">
        <f>HYPERLINK("https://otsuka-europe-crm.veevavault.com/ui/#object/sent_email__v/VBL00000002O916", "SE-001432587")</f>
        <v>SE-001432587</v>
      </c>
      <c r="F3470" s="11"/>
      <c r="G3470" s="12">
        <v>0</v>
      </c>
      <c r="H3470" s="12">
        <v>0</v>
      </c>
      <c r="I3470" s="12">
        <v>0</v>
      </c>
      <c r="J3470" s="11"/>
      <c r="K3470" s="12">
        <v>0</v>
      </c>
      <c r="L3470" s="10" t="str">
        <f t="shared" si="186"/>
        <v>AE dialoghi di tempo fiducia e cura episodi 2-3-4</v>
      </c>
      <c r="M3470" s="10" t="str">
        <f t="shared" si="187"/>
        <v>nicoletta.vozza@crm.otsuka-europe.com</v>
      </c>
      <c r="N3470" s="13">
        <v>46181.337997685187</v>
      </c>
      <c r="O3470" s="14" t="str">
        <f>HYPERLINK("https://otsuka-europe-crm.veevavault.com/ui/#object/email_activity__v/V8C00000003O206", "EN-002089643")</f>
        <v>EN-002089643</v>
      </c>
    </row>
    <row r="3471" spans="1:15" ht="32" x14ac:dyDescent="0.2">
      <c r="A3471" s="7" t="str">
        <f>HYPERLINK("https://otsuka-europe-crm.veevavault.com/ui/#object/account__v/V4TZ06G6O71SBL6", "ELENA MORRONE")</f>
        <v>ELENA MORRONE</v>
      </c>
      <c r="B3471" s="7" t="str">
        <f t="shared" si="184"/>
        <v>IT</v>
      </c>
      <c r="C3471" s="8" t="s">
        <v>44</v>
      </c>
      <c r="D3471" s="9" t="str">
        <f t="shared" si="185"/>
        <v>AE dialoghi di tempo fiducia e cura episodi 2-3-4</v>
      </c>
      <c r="E3471" s="10" t="str">
        <f>HYPERLINK("https://otsuka-europe-crm.veevavault.com/ui/#object/sent_email__v/VBL00000002O917", "SE-001432588")</f>
        <v>SE-001432588</v>
      </c>
      <c r="F3471" s="11"/>
      <c r="G3471" s="12">
        <v>0</v>
      </c>
      <c r="H3471" s="12">
        <v>0</v>
      </c>
      <c r="I3471" s="12">
        <v>0</v>
      </c>
      <c r="J3471" s="11"/>
      <c r="K3471" s="12">
        <v>0</v>
      </c>
      <c r="L3471" s="10" t="str">
        <f t="shared" si="186"/>
        <v>AE dialoghi di tempo fiducia e cura episodi 2-3-4</v>
      </c>
      <c r="M3471" s="10" t="str">
        <f t="shared" si="187"/>
        <v>nicoletta.vozza@crm.otsuka-europe.com</v>
      </c>
      <c r="N3471" s="13">
        <v>46181.338078703702</v>
      </c>
      <c r="O3471" s="14" t="str">
        <f>HYPERLINK("https://otsuka-europe-crm.veevavault.com/ui/#object/email_activity__v/V8C00000003O497", "EN-002090053")</f>
        <v>EN-002090053</v>
      </c>
    </row>
    <row r="3472" spans="1:15" ht="32" x14ac:dyDescent="0.2">
      <c r="A3472" s="7" t="str">
        <f>HYPERLINK("https://otsuka-europe-crm.veevavault.com/ui/#object/account__v/V4TZ06G6O71SBUB", "ELENA PAPPAGALLO")</f>
        <v>ELENA PAPPAGALLO</v>
      </c>
      <c r="B3472" s="7" t="str">
        <f t="shared" si="184"/>
        <v>IT</v>
      </c>
      <c r="C3472" s="8" t="s">
        <v>44</v>
      </c>
      <c r="D3472" s="9" t="str">
        <f t="shared" si="185"/>
        <v>AE dialoghi di tempo fiducia e cura episodi 2-3-4</v>
      </c>
      <c r="E3472" s="10" t="str">
        <f>HYPERLINK("https://otsuka-europe-crm.veevavault.com/ui/#object/sent_email__v/VBL00000002O918", "SE-001432589")</f>
        <v>SE-001432589</v>
      </c>
      <c r="F3472" s="11"/>
      <c r="G3472" s="12">
        <v>0</v>
      </c>
      <c r="H3472" s="12">
        <v>0</v>
      </c>
      <c r="I3472" s="12">
        <v>0</v>
      </c>
      <c r="J3472" s="11"/>
      <c r="K3472" s="12">
        <v>0</v>
      </c>
      <c r="L3472" s="10" t="str">
        <f t="shared" si="186"/>
        <v>AE dialoghi di tempo fiducia e cura episodi 2-3-4</v>
      </c>
      <c r="M3472" s="10" t="str">
        <f t="shared" si="187"/>
        <v>nicoletta.vozza@crm.otsuka-europe.com</v>
      </c>
      <c r="N3472" s="13">
        <v>46181.338078703702</v>
      </c>
      <c r="O3472" s="14" t="str">
        <f>HYPERLINK("https://otsuka-europe-crm.veevavault.com/ui/#object/email_activity__v/V8C00000003O800", "EN-002090460")</f>
        <v>EN-002090460</v>
      </c>
    </row>
    <row r="3473" spans="1:15" ht="16" x14ac:dyDescent="0.2">
      <c r="A3473" s="17" t="str">
        <f>HYPERLINK("https://otsuka-europe-crm.veevavault.com/ui/#object/account__v/V4TZ06G6O71S9T3", "ELENA TEOBALDI")</f>
        <v>ELENA TEOBALDI</v>
      </c>
      <c r="B3473" s="17" t="str">
        <f t="shared" si="184"/>
        <v>IT</v>
      </c>
      <c r="C3473" s="20" t="s">
        <v>44</v>
      </c>
      <c r="D3473" s="21" t="str">
        <f t="shared" si="185"/>
        <v>AE dialoghi di tempo fiducia e cura episodi 2-3-4</v>
      </c>
      <c r="E3473" s="22" t="str">
        <f>HYPERLINK("https://otsuka-europe-crm.veevavault.com/ui/#object/sent_email__v/VBL00000002O919", "SE-001432590")</f>
        <v>SE-001432590</v>
      </c>
      <c r="F3473" s="25"/>
      <c r="G3473" s="24">
        <v>0</v>
      </c>
      <c r="H3473" s="24">
        <v>0</v>
      </c>
      <c r="I3473" s="24">
        <v>0</v>
      </c>
      <c r="J3473" s="25"/>
      <c r="K3473" s="24">
        <v>0</v>
      </c>
      <c r="L3473" s="22" t="str">
        <f t="shared" si="186"/>
        <v>AE dialoghi di tempo fiducia e cura episodi 2-3-4</v>
      </c>
      <c r="M3473" s="22" t="str">
        <f t="shared" si="187"/>
        <v>nicoletta.vozza@crm.otsuka-europe.com</v>
      </c>
      <c r="N3473" s="23">
        <v>46181.337951388887</v>
      </c>
      <c r="O3473" s="14" t="str">
        <f>HYPERLINK("https://otsuka-europe-crm.veevavault.com/ui/#object/email_activity__v/V8C00000003P242", "EN-002089820")</f>
        <v>EN-002089820</v>
      </c>
    </row>
    <row r="3474" spans="1:15" ht="16" x14ac:dyDescent="0.2">
      <c r="A3474" s="18"/>
      <c r="B3474" s="18"/>
      <c r="C3474" s="18"/>
      <c r="D3474" s="18"/>
      <c r="E3474" s="18"/>
      <c r="F3474" s="18"/>
      <c r="G3474" s="18"/>
      <c r="H3474" s="18"/>
      <c r="I3474" s="18"/>
      <c r="J3474" s="18"/>
      <c r="K3474" s="18"/>
      <c r="L3474" s="18"/>
      <c r="M3474" s="18"/>
      <c r="N3474" s="18"/>
      <c r="O3474" s="14" t="str">
        <f>HYPERLINK("https://otsuka-europe-crm.veevavault.com/ui/#object/email_activity__v/V8C00000003Q279", "EN-002091398")</f>
        <v>EN-002091398</v>
      </c>
    </row>
    <row r="3475" spans="1:15" ht="16" x14ac:dyDescent="0.2">
      <c r="A3475" s="19"/>
      <c r="B3475" s="19"/>
      <c r="C3475" s="19"/>
      <c r="D3475" s="19"/>
      <c r="E3475" s="19"/>
      <c r="F3475" s="19"/>
      <c r="G3475" s="19"/>
      <c r="H3475" s="19"/>
      <c r="I3475" s="19"/>
      <c r="J3475" s="19"/>
      <c r="K3475" s="19"/>
      <c r="L3475" s="19"/>
      <c r="M3475" s="19"/>
      <c r="N3475" s="19"/>
      <c r="O3475" s="14" t="str">
        <f>HYPERLINK("https://otsuka-europe-crm.veevavault.com/ui/#object/email_activity__v/V8C00000003T087", "EN-002093741")</f>
        <v>EN-002093741</v>
      </c>
    </row>
    <row r="3476" spans="1:15" ht="16" x14ac:dyDescent="0.2">
      <c r="A3476" s="17" t="str">
        <f>HYPERLINK("https://otsuka-europe-crm.veevavault.com/ui/#object/account__v/V4TZ06G6O71SCQ3", "ELENA VIOLATO")</f>
        <v>ELENA VIOLATO</v>
      </c>
      <c r="B3476" s="17" t="str">
        <f>HYPERLINK("https://otsuka-europe-crm.veevavault.com/ui/#object/vcountry__v/VENZ000004SONFQ", "IT")</f>
        <v>IT</v>
      </c>
      <c r="C3476" s="20" t="s">
        <v>44</v>
      </c>
      <c r="D3476" s="21" t="str">
        <f>HYPERLINK("https://otsuka-europe-crm.veevavault.com/ui/#object/approved_document__v/V5O000000018003", "AE dialoghi di tempo fiducia e cura episodi 2-3-4")</f>
        <v>AE dialoghi di tempo fiducia e cura episodi 2-3-4</v>
      </c>
      <c r="E3476" s="22" t="str">
        <f>HYPERLINK("https://otsuka-europe-crm.veevavault.com/ui/#object/sent_email__v/VBL00000002O920", "SE-001432591")</f>
        <v>SE-001432591</v>
      </c>
      <c r="F3476" s="23">
        <v>46181.448414351849</v>
      </c>
      <c r="G3476" s="24">
        <v>1</v>
      </c>
      <c r="H3476" s="24">
        <v>2</v>
      </c>
      <c r="I3476" s="24">
        <v>0</v>
      </c>
      <c r="J3476" s="25"/>
      <c r="K3476" s="24">
        <v>0</v>
      </c>
      <c r="L3476" s="22" t="str">
        <f>HYPERLINK("https://otsuka-europe-crm.veevavault.com/ui/#object/approved_document__v/V5O000000018003", "AE dialoghi di tempo fiducia e cura episodi 2-3-4")</f>
        <v>AE dialoghi di tempo fiducia e cura episodi 2-3-4</v>
      </c>
      <c r="M3476" s="22" t="str">
        <f>HYPERLINK("mailto:nicoletta.vozza@crm.otsuka-europe.com", "nicoletta.vozza@crm.otsuka-europe.com")</f>
        <v>nicoletta.vozza@crm.otsuka-europe.com</v>
      </c>
      <c r="N3476" s="23">
        <v>46181.337997685187</v>
      </c>
      <c r="O3476" s="14" t="str">
        <f>HYPERLINK("https://otsuka-europe-crm.veevavault.com/ui/#object/email_activity__v/V8C00000003O326", "EN-002089803")</f>
        <v>EN-002089803</v>
      </c>
    </row>
    <row r="3477" spans="1:15" ht="16" x14ac:dyDescent="0.2">
      <c r="A3477" s="18"/>
      <c r="B3477" s="18"/>
      <c r="C3477" s="18"/>
      <c r="D3477" s="18"/>
      <c r="E3477" s="18"/>
      <c r="F3477" s="18"/>
      <c r="G3477" s="18"/>
      <c r="H3477" s="18"/>
      <c r="I3477" s="18"/>
      <c r="J3477" s="18"/>
      <c r="K3477" s="18"/>
      <c r="L3477" s="18"/>
      <c r="M3477" s="18"/>
      <c r="N3477" s="18"/>
      <c r="O3477" s="14" t="str">
        <f>HYPERLINK("https://otsuka-europe-crm.veevavault.com/ui/#object/email_activity__v/V8C00000003Q167", "EN-002091253")</f>
        <v>EN-002091253</v>
      </c>
    </row>
    <row r="3478" spans="1:15" ht="16" x14ac:dyDescent="0.2">
      <c r="A3478" s="19"/>
      <c r="B3478" s="19"/>
      <c r="C3478" s="19"/>
      <c r="D3478" s="19"/>
      <c r="E3478" s="19"/>
      <c r="F3478" s="19"/>
      <c r="G3478" s="19"/>
      <c r="H3478" s="19"/>
      <c r="I3478" s="19"/>
      <c r="J3478" s="19"/>
      <c r="K3478" s="19"/>
      <c r="L3478" s="19"/>
      <c r="M3478" s="19"/>
      <c r="N3478" s="19"/>
      <c r="O3478" s="14" t="str">
        <f>HYPERLINK("https://otsuka-europe-crm.veevavault.com/ui/#object/email_activity__v/V8C00000003Q518", "EN-002091840")</f>
        <v>EN-002091840</v>
      </c>
    </row>
    <row r="3479" spans="1:15" ht="32" x14ac:dyDescent="0.2">
      <c r="A3479" s="7" t="str">
        <f>HYPERLINK("https://otsuka-europe-crm.veevavault.com/ui/#object/account__v/V4TZ06G6O71S9FU", "ELEONORA ARCIDIACONO")</f>
        <v>ELEONORA ARCIDIACONO</v>
      </c>
      <c r="B3479" s="7" t="str">
        <f>HYPERLINK("https://otsuka-europe-crm.veevavault.com/ui/#object/vcountry__v/VENZ000004SONFQ", "IT")</f>
        <v>IT</v>
      </c>
      <c r="C3479" s="8" t="s">
        <v>44</v>
      </c>
      <c r="D3479" s="9" t="str">
        <f>HYPERLINK("https://otsuka-europe-crm.veevavault.com/ui/#object/approved_document__v/V5O000000018003", "AE dialoghi di tempo fiducia e cura episodi 2-3-4")</f>
        <v>AE dialoghi di tempo fiducia e cura episodi 2-3-4</v>
      </c>
      <c r="E3479" s="10" t="str">
        <f>HYPERLINK("https://otsuka-europe-crm.veevavault.com/ui/#object/sent_email__v/VBL00000002O921", "SE-001432592")</f>
        <v>SE-001432592</v>
      </c>
      <c r="F3479" s="11"/>
      <c r="G3479" s="12">
        <v>0</v>
      </c>
      <c r="H3479" s="12">
        <v>0</v>
      </c>
      <c r="I3479" s="12">
        <v>0</v>
      </c>
      <c r="J3479" s="11"/>
      <c r="K3479" s="12">
        <v>0</v>
      </c>
      <c r="L3479" s="10" t="str">
        <f>HYPERLINK("https://otsuka-europe-crm.veevavault.com/ui/#object/approved_document__v/V5O000000018003", "AE dialoghi di tempo fiducia e cura episodi 2-3-4")</f>
        <v>AE dialoghi di tempo fiducia e cura episodi 2-3-4</v>
      </c>
      <c r="M3479" s="10" t="str">
        <f>HYPERLINK("mailto:nicoletta.vozza@crm.otsuka-europe.com", "nicoletta.vozza@crm.otsuka-europe.com")</f>
        <v>nicoletta.vozza@crm.otsuka-europe.com</v>
      </c>
      <c r="N3479" s="13">
        <v>46181.338020833333</v>
      </c>
      <c r="O3479" s="14" t="str">
        <f>HYPERLINK("https://otsuka-europe-crm.veevavault.com/ui/#object/email_activity__v/V8C00000003O836", "EN-002090538")</f>
        <v>EN-002090538</v>
      </c>
    </row>
    <row r="3480" spans="1:15" ht="32" x14ac:dyDescent="0.2">
      <c r="A3480" s="7" t="str">
        <f>HYPERLINK("https://otsuka-europe-crm.veevavault.com/ui/#object/account__v/V4TZ025E8678CRJ", "ELEONORA FRIGATO")</f>
        <v>ELEONORA FRIGATO</v>
      </c>
      <c r="B3480" s="7" t="str">
        <f>HYPERLINK("https://otsuka-europe-crm.veevavault.com/ui/#object/vcountry__v/VENZ000004SONFQ", "IT")</f>
        <v>IT</v>
      </c>
      <c r="C3480" s="8" t="s">
        <v>44</v>
      </c>
      <c r="D3480" s="9" t="str">
        <f>HYPERLINK("https://otsuka-europe-crm.veevavault.com/ui/#object/approved_document__v/V5O000000018003", "AE dialoghi di tempo fiducia e cura episodi 2-3-4")</f>
        <v>AE dialoghi di tempo fiducia e cura episodi 2-3-4</v>
      </c>
      <c r="E3480" s="10" t="str">
        <f>HYPERLINK("https://otsuka-europe-crm.veevavault.com/ui/#object/sent_email__v/VBL00000002O922", "SE-001432593")</f>
        <v>SE-001432593</v>
      </c>
      <c r="F3480" s="11"/>
      <c r="G3480" s="12">
        <v>0</v>
      </c>
      <c r="H3480" s="12">
        <v>0</v>
      </c>
      <c r="I3480" s="12">
        <v>0</v>
      </c>
      <c r="J3480" s="11"/>
      <c r="K3480" s="12">
        <v>0</v>
      </c>
      <c r="L3480" s="10" t="str">
        <f>HYPERLINK("https://otsuka-europe-crm.veevavault.com/ui/#object/approved_document__v/V5O000000018003", "AE dialoghi di tempo fiducia e cura episodi 2-3-4")</f>
        <v>AE dialoghi di tempo fiducia e cura episodi 2-3-4</v>
      </c>
      <c r="M3480" s="10" t="str">
        <f>HYPERLINK("mailto:nicoletta.vozza@crm.otsuka-europe.com", "nicoletta.vozza@crm.otsuka-europe.com")</f>
        <v>nicoletta.vozza@crm.otsuka-europe.com</v>
      </c>
      <c r="N3480" s="13">
        <v>46181.337997685187</v>
      </c>
      <c r="O3480" s="14" t="str">
        <f>HYPERLINK("https://otsuka-europe-crm.veevavault.com/ui/#object/email_activity__v/V8C00000003O473", "EN-002090029")</f>
        <v>EN-002090029</v>
      </c>
    </row>
    <row r="3481" spans="1:15" ht="16" x14ac:dyDescent="0.2">
      <c r="A3481" s="17" t="str">
        <f>HYPERLINK("https://otsuka-europe-crm.veevavault.com/ui/#object/account__v/V4TZ06G6O71SBBD", "ELEONORA MERLOTTI")</f>
        <v>ELEONORA MERLOTTI</v>
      </c>
      <c r="B3481" s="17" t="str">
        <f>HYPERLINK("https://otsuka-europe-crm.veevavault.com/ui/#object/vcountry__v/VENZ000004SONFQ", "IT")</f>
        <v>IT</v>
      </c>
      <c r="C3481" s="20" t="s">
        <v>44</v>
      </c>
      <c r="D3481" s="21" t="str">
        <f>HYPERLINK("https://otsuka-europe-crm.veevavault.com/ui/#object/approved_document__v/V5O000000018003", "AE dialoghi di tempo fiducia e cura episodi 2-3-4")</f>
        <v>AE dialoghi di tempo fiducia e cura episodi 2-3-4</v>
      </c>
      <c r="E3481" s="22" t="str">
        <f>HYPERLINK("https://otsuka-europe-crm.veevavault.com/ui/#object/sent_email__v/VBL00000002O923", "SE-001432594")</f>
        <v>SE-001432594</v>
      </c>
      <c r="F3481" s="23">
        <v>46182.741863425923</v>
      </c>
      <c r="G3481" s="24">
        <v>1</v>
      </c>
      <c r="H3481" s="24">
        <v>1</v>
      </c>
      <c r="I3481" s="24">
        <v>0</v>
      </c>
      <c r="J3481" s="25"/>
      <c r="K3481" s="24">
        <v>0</v>
      </c>
      <c r="L3481" s="22" t="str">
        <f>HYPERLINK("https://otsuka-europe-crm.veevavault.com/ui/#object/approved_document__v/V5O000000018003", "AE dialoghi di tempo fiducia e cura episodi 2-3-4")</f>
        <v>AE dialoghi di tempo fiducia e cura episodi 2-3-4</v>
      </c>
      <c r="M3481" s="22" t="str">
        <f>HYPERLINK("mailto:nicoletta.vozza@crm.otsuka-europe.com", "nicoletta.vozza@crm.otsuka-europe.com")</f>
        <v>nicoletta.vozza@crm.otsuka-europe.com</v>
      </c>
      <c r="N3481" s="23">
        <v>46181.338078703702</v>
      </c>
      <c r="O3481" s="14" t="str">
        <f>HYPERLINK("https://otsuka-europe-crm.veevavault.com/ui/#object/email_activity__v/V8C00000003P740", "EN-002091038")</f>
        <v>EN-002091038</v>
      </c>
    </row>
    <row r="3482" spans="1:15" ht="16" x14ac:dyDescent="0.2">
      <c r="A3482" s="19"/>
      <c r="B3482" s="19"/>
      <c r="C3482" s="19"/>
      <c r="D3482" s="19"/>
      <c r="E3482" s="19"/>
      <c r="F3482" s="19"/>
      <c r="G3482" s="19"/>
      <c r="H3482" s="19"/>
      <c r="I3482" s="19"/>
      <c r="J3482" s="19"/>
      <c r="K3482" s="19"/>
      <c r="L3482" s="19"/>
      <c r="M3482" s="19"/>
      <c r="N3482" s="19"/>
      <c r="O3482" s="14" t="str">
        <f>HYPERLINK("https://otsuka-europe-crm.veevavault.com/ui/#object/email_activity__v/V8C00000003R887", "EN-002093371")</f>
        <v>EN-002093371</v>
      </c>
    </row>
    <row r="3483" spans="1:15" ht="32" x14ac:dyDescent="0.2">
      <c r="A3483" s="7" t="str">
        <f>HYPERLINK("https://otsuka-europe-crm.veevavault.com/ui/#object/account__v/V4TZ06G6OCEUU5W", "ELEONORA MILANO")</f>
        <v>ELEONORA MILANO</v>
      </c>
      <c r="B3483" s="7" t="str">
        <f>HYPERLINK("https://otsuka-europe-crm.veevavault.com/ui/#object/vcountry__v/VENZ000004SONFQ", "IT")</f>
        <v>IT</v>
      </c>
      <c r="C3483" s="8" t="s">
        <v>44</v>
      </c>
      <c r="D3483" s="9" t="str">
        <f>HYPERLINK("https://otsuka-europe-crm.veevavault.com/ui/#object/approved_document__v/V5O000000018003", "AE dialoghi di tempo fiducia e cura episodi 2-3-4")</f>
        <v>AE dialoghi di tempo fiducia e cura episodi 2-3-4</v>
      </c>
      <c r="E3483" s="10" t="str">
        <f>HYPERLINK("https://otsuka-europe-crm.veevavault.com/ui/#object/sent_email__v/VBL00000002O924", "SE-001432595")</f>
        <v>SE-001432595</v>
      </c>
      <c r="F3483" s="11"/>
      <c r="G3483" s="12">
        <v>0</v>
      </c>
      <c r="H3483" s="12">
        <v>0</v>
      </c>
      <c r="I3483" s="12">
        <v>0</v>
      </c>
      <c r="J3483" s="11"/>
      <c r="K3483" s="12">
        <v>0</v>
      </c>
      <c r="L3483" s="10" t="str">
        <f>HYPERLINK("https://otsuka-europe-crm.veevavault.com/ui/#object/approved_document__v/V5O000000018003", "AE dialoghi di tempo fiducia e cura episodi 2-3-4")</f>
        <v>AE dialoghi di tempo fiducia e cura episodi 2-3-4</v>
      </c>
      <c r="M3483" s="10" t="str">
        <f>HYPERLINK("mailto:nicoletta.vozza@crm.otsuka-europe.com", "nicoletta.vozza@crm.otsuka-europe.com")</f>
        <v>nicoletta.vozza@crm.otsuka-europe.com</v>
      </c>
      <c r="N3483" s="13">
        <v>46181.337939814817</v>
      </c>
      <c r="O3483" s="14" t="str">
        <f>HYPERLINK("https://otsuka-europe-crm.veevavault.com/ui/#object/email_activity__v/V8C00000003O148", "EN-002089530")</f>
        <v>EN-002089530</v>
      </c>
    </row>
    <row r="3484" spans="1:15" ht="32" x14ac:dyDescent="0.2">
      <c r="A3484" s="7" t="str">
        <f>HYPERLINK("https://otsuka-europe-crm.veevavault.com/ui/#object/account__v/V4TZ04ASGAZVMRB", "ELEONORA PICCOLI")</f>
        <v>ELEONORA PICCOLI</v>
      </c>
      <c r="B3484" s="7" t="str">
        <f>HYPERLINK("https://otsuka-europe-crm.veevavault.com/ui/#object/vcountry__v/VENZ000004SONFQ", "IT")</f>
        <v>IT</v>
      </c>
      <c r="C3484" s="8" t="s">
        <v>44</v>
      </c>
      <c r="D3484" s="9" t="str">
        <f>HYPERLINK("https://otsuka-europe-crm.veevavault.com/ui/#object/approved_document__v/V5O000000018003", "AE dialoghi di tempo fiducia e cura episodi 2-3-4")</f>
        <v>AE dialoghi di tempo fiducia e cura episodi 2-3-4</v>
      </c>
      <c r="E3484" s="10" t="str">
        <f>HYPERLINK("https://otsuka-europe-crm.veevavault.com/ui/#object/sent_email__v/VBL00000002O925", "SE-001432596")</f>
        <v>SE-001432596</v>
      </c>
      <c r="F3484" s="11"/>
      <c r="G3484" s="12">
        <v>0</v>
      </c>
      <c r="H3484" s="12">
        <v>0</v>
      </c>
      <c r="I3484" s="12">
        <v>0</v>
      </c>
      <c r="J3484" s="11"/>
      <c r="K3484" s="12">
        <v>0</v>
      </c>
      <c r="L3484" s="10" t="str">
        <f>HYPERLINK("https://otsuka-europe-crm.veevavault.com/ui/#object/approved_document__v/V5O000000018003", "AE dialoghi di tempo fiducia e cura episodi 2-3-4")</f>
        <v>AE dialoghi di tempo fiducia e cura episodi 2-3-4</v>
      </c>
      <c r="M3484" s="10" t="str">
        <f>HYPERLINK("mailto:nicoletta.vozza@crm.otsuka-europe.com", "nicoletta.vozza@crm.otsuka-europe.com")</f>
        <v>nicoletta.vozza@crm.otsuka-europe.com</v>
      </c>
      <c r="N3484" s="13">
        <v>46181.337962962964</v>
      </c>
      <c r="O3484" s="14" t="str">
        <f>HYPERLINK("https://otsuka-europe-crm.veevavault.com/ui/#object/email_activity__v/V8C00000003O314", "EN-002089791")</f>
        <v>EN-002089791</v>
      </c>
    </row>
    <row r="3485" spans="1:15" ht="16" x14ac:dyDescent="0.2">
      <c r="A3485" s="17" t="str">
        <f>HYPERLINK("https://otsuka-europe-crm.veevavault.com/ui/#object/account__v/V4TZ04ASGBJGRLB", "ELEONORA STELLA")</f>
        <v>ELEONORA STELLA</v>
      </c>
      <c r="B3485" s="17" t="str">
        <f>HYPERLINK("https://otsuka-europe-crm.veevavault.com/ui/#object/vcountry__v/VENZ000004SONFQ", "IT")</f>
        <v>IT</v>
      </c>
      <c r="C3485" s="20" t="s">
        <v>44</v>
      </c>
      <c r="D3485" s="21" t="str">
        <f>HYPERLINK("https://otsuka-europe-crm.veevavault.com/ui/#object/approved_document__v/V5O000000018003", "AE dialoghi di tempo fiducia e cura episodi 2-3-4")</f>
        <v>AE dialoghi di tempo fiducia e cura episodi 2-3-4</v>
      </c>
      <c r="E3485" s="22" t="str">
        <f>HYPERLINK("https://otsuka-europe-crm.veevavault.com/ui/#object/sent_email__v/VBL00000002O926", "SE-001432597")</f>
        <v>SE-001432597</v>
      </c>
      <c r="F3485" s="23">
        <v>46181.569849537038</v>
      </c>
      <c r="G3485" s="24">
        <v>1</v>
      </c>
      <c r="H3485" s="24">
        <v>1</v>
      </c>
      <c r="I3485" s="24">
        <v>0</v>
      </c>
      <c r="J3485" s="25"/>
      <c r="K3485" s="24">
        <v>0</v>
      </c>
      <c r="L3485" s="22" t="str">
        <f>HYPERLINK("https://otsuka-europe-crm.veevavault.com/ui/#object/approved_document__v/V5O000000018003", "AE dialoghi di tempo fiducia e cura episodi 2-3-4")</f>
        <v>AE dialoghi di tempo fiducia e cura episodi 2-3-4</v>
      </c>
      <c r="M3485" s="22" t="str">
        <f>HYPERLINK("mailto:nicoletta.vozza@crm.otsuka-europe.com", "nicoletta.vozza@crm.otsuka-europe.com")</f>
        <v>nicoletta.vozza@crm.otsuka-europe.com</v>
      </c>
      <c r="N3485" s="23">
        <v>46181.337997685187</v>
      </c>
      <c r="O3485" s="14" t="str">
        <f>HYPERLINK("https://otsuka-europe-crm.veevavault.com/ui/#object/email_activity__v/V8C00000003O831", "EN-002090533")</f>
        <v>EN-002090533</v>
      </c>
    </row>
    <row r="3486" spans="1:15" ht="16" x14ac:dyDescent="0.2">
      <c r="A3486" s="19"/>
      <c r="B3486" s="19"/>
      <c r="C3486" s="19"/>
      <c r="D3486" s="19"/>
      <c r="E3486" s="19"/>
      <c r="F3486" s="19"/>
      <c r="G3486" s="19"/>
      <c r="H3486" s="19"/>
      <c r="I3486" s="19"/>
      <c r="J3486" s="19"/>
      <c r="K3486" s="19"/>
      <c r="L3486" s="19"/>
      <c r="M3486" s="19"/>
      <c r="N3486" s="19"/>
      <c r="O3486" s="14" t="str">
        <f>HYPERLINK("https://otsuka-europe-crm.veevavault.com/ui/#object/email_activity__v/V8C00000003Q579", "EN-002091970")</f>
        <v>EN-002091970</v>
      </c>
    </row>
    <row r="3487" spans="1:15" ht="16" x14ac:dyDescent="0.2">
      <c r="A3487" s="17" t="str">
        <f>HYPERLINK("https://otsuka-europe-crm.veevavault.com/ui/#object/account__v/V4TZ06G6O71SB4L", "ELETTRA CULTRERA")</f>
        <v>ELETTRA CULTRERA</v>
      </c>
      <c r="B3487" s="17" t="str">
        <f>HYPERLINK("https://otsuka-europe-crm.veevavault.com/ui/#object/vcountry__v/VENZ000004SONFQ", "IT")</f>
        <v>IT</v>
      </c>
      <c r="C3487" s="20" t="s">
        <v>44</v>
      </c>
      <c r="D3487" s="21" t="str">
        <f>HYPERLINK("https://otsuka-europe-crm.veevavault.com/ui/#object/approved_document__v/V5O000000018003", "AE dialoghi di tempo fiducia e cura episodi 2-3-4")</f>
        <v>AE dialoghi di tempo fiducia e cura episodi 2-3-4</v>
      </c>
      <c r="E3487" s="22" t="str">
        <f>HYPERLINK("https://otsuka-europe-crm.veevavault.com/ui/#object/sent_email__v/VBL00000002O927", "SE-001432598")</f>
        <v>SE-001432598</v>
      </c>
      <c r="F3487" s="25"/>
      <c r="G3487" s="24">
        <v>0</v>
      </c>
      <c r="H3487" s="24">
        <v>0</v>
      </c>
      <c r="I3487" s="24">
        <v>0</v>
      </c>
      <c r="J3487" s="25"/>
      <c r="K3487" s="24">
        <v>0</v>
      </c>
      <c r="L3487" s="22" t="str">
        <f>HYPERLINK("https://otsuka-europe-crm.veevavault.com/ui/#object/approved_document__v/V5O000000018003", "AE dialoghi di tempo fiducia e cura episodi 2-3-4")</f>
        <v>AE dialoghi di tempo fiducia e cura episodi 2-3-4</v>
      </c>
      <c r="M3487" s="22" t="str">
        <f>HYPERLINK("mailto:nicoletta.vozza@crm.otsuka-europe.com", "nicoletta.vozza@crm.otsuka-europe.com")</f>
        <v>nicoletta.vozza@crm.otsuka-europe.com</v>
      </c>
      <c r="N3487" s="23">
        <v>46181.338020833333</v>
      </c>
      <c r="O3487" s="14" t="str">
        <f>HYPERLINK("https://otsuka-europe-crm.veevavault.com/ui/#object/email_activity__v/V8C00000003O757", "EN-002090313")</f>
        <v>EN-002090313</v>
      </c>
    </row>
    <row r="3488" spans="1:15" ht="16" x14ac:dyDescent="0.2">
      <c r="A3488" s="19"/>
      <c r="B3488" s="19"/>
      <c r="C3488" s="19"/>
      <c r="D3488" s="19"/>
      <c r="E3488" s="19"/>
      <c r="F3488" s="19"/>
      <c r="G3488" s="19"/>
      <c r="H3488" s="19"/>
      <c r="I3488" s="19"/>
      <c r="J3488" s="19"/>
      <c r="K3488" s="19"/>
      <c r="L3488" s="19"/>
      <c r="M3488" s="19"/>
      <c r="N3488" s="19"/>
      <c r="O3488" s="14" t="str">
        <f>HYPERLINK("https://otsuka-europe-crm.veevavault.com/ui/#object/email_activity__v/V8C00000003Q724", "EN-002092285")</f>
        <v>EN-002092285</v>
      </c>
    </row>
    <row r="3489" spans="1:15" ht="32" x14ac:dyDescent="0.2">
      <c r="A3489" s="7" t="str">
        <f>HYPERLINK("https://otsuka-europe-crm.veevavault.com/ui/#object/account__v/V4TZ06G6O71S9NK", "ELIANA BATTAGLIA")</f>
        <v>ELIANA BATTAGLIA</v>
      </c>
      <c r="B3489" s="7" t="str">
        <f t="shared" ref="B3489:B3497" si="188">HYPERLINK("https://otsuka-europe-crm.veevavault.com/ui/#object/vcountry__v/VENZ000004SONFQ", "IT")</f>
        <v>IT</v>
      </c>
      <c r="C3489" s="8" t="s">
        <v>44</v>
      </c>
      <c r="D3489" s="9" t="str">
        <f t="shared" ref="D3489:D3497" si="189">HYPERLINK("https://otsuka-europe-crm.veevavault.com/ui/#object/approved_document__v/V5O000000018003", "AE dialoghi di tempo fiducia e cura episodi 2-3-4")</f>
        <v>AE dialoghi di tempo fiducia e cura episodi 2-3-4</v>
      </c>
      <c r="E3489" s="10" t="str">
        <f>HYPERLINK("https://otsuka-europe-crm.veevavault.com/ui/#object/sent_email__v/VBL00000002O928", "SE-001432599")</f>
        <v>SE-001432599</v>
      </c>
      <c r="F3489" s="11"/>
      <c r="G3489" s="12">
        <v>0</v>
      </c>
      <c r="H3489" s="12">
        <v>0</v>
      </c>
      <c r="I3489" s="12">
        <v>0</v>
      </c>
      <c r="J3489" s="11"/>
      <c r="K3489" s="12">
        <v>0</v>
      </c>
      <c r="L3489" s="10" t="str">
        <f t="shared" ref="L3489:L3497" si="190">HYPERLINK("https://otsuka-europe-crm.veevavault.com/ui/#object/approved_document__v/V5O000000018003", "AE dialoghi di tempo fiducia e cura episodi 2-3-4")</f>
        <v>AE dialoghi di tempo fiducia e cura episodi 2-3-4</v>
      </c>
      <c r="M3489" s="10" t="str">
        <f t="shared" ref="M3489:M3497" si="191">HYPERLINK("mailto:nicoletta.vozza@crm.otsuka-europe.com", "nicoletta.vozza@crm.otsuka-europe.com")</f>
        <v>nicoletta.vozza@crm.otsuka-europe.com</v>
      </c>
      <c r="N3489" s="13">
        <v>46181.33797453704</v>
      </c>
      <c r="O3489" s="14" t="str">
        <f>HYPERLINK("https://otsuka-europe-crm.veevavault.com/ui/#object/email_activity__v/V8C00000003O459", "EN-002090015")</f>
        <v>EN-002090015</v>
      </c>
    </row>
    <row r="3490" spans="1:15" ht="32" x14ac:dyDescent="0.2">
      <c r="A3490" s="7" t="str">
        <f>HYPERLINK("https://otsuka-europe-crm.veevavault.com/ui/#object/account__v/V4TZ025E87P8A0E", "ELIANA CONTE")</f>
        <v>ELIANA CONTE</v>
      </c>
      <c r="B3490" s="7" t="str">
        <f t="shared" si="188"/>
        <v>IT</v>
      </c>
      <c r="C3490" s="8" t="s">
        <v>44</v>
      </c>
      <c r="D3490" s="9" t="str">
        <f t="shared" si="189"/>
        <v>AE dialoghi di tempo fiducia e cura episodi 2-3-4</v>
      </c>
      <c r="E3490" s="10" t="str">
        <f>HYPERLINK("https://otsuka-europe-crm.veevavault.com/ui/#object/sent_email__v/VBL00000002O929", "SE-001432600")</f>
        <v>SE-001432600</v>
      </c>
      <c r="F3490" s="11"/>
      <c r="G3490" s="12">
        <v>0</v>
      </c>
      <c r="H3490" s="12">
        <v>0</v>
      </c>
      <c r="I3490" s="12">
        <v>0</v>
      </c>
      <c r="J3490" s="11"/>
      <c r="K3490" s="12">
        <v>0</v>
      </c>
      <c r="L3490" s="10" t="str">
        <f t="shared" si="190"/>
        <v>AE dialoghi di tempo fiducia e cura episodi 2-3-4</v>
      </c>
      <c r="M3490" s="10" t="str">
        <f t="shared" si="191"/>
        <v>nicoletta.vozza@crm.otsuka-europe.com</v>
      </c>
      <c r="N3490" s="13">
        <v>46181.337997685187</v>
      </c>
      <c r="O3490" s="14" t="str">
        <f>HYPERLINK("https://otsuka-europe-crm.veevavault.com/ui/#object/email_activity__v/V8C00000003P655", "EN-002090910")</f>
        <v>EN-002090910</v>
      </c>
    </row>
    <row r="3491" spans="1:15" ht="32" x14ac:dyDescent="0.2">
      <c r="A3491" s="7" t="str">
        <f>HYPERLINK("https://otsuka-europe-crm.veevavault.com/ui/#object/account__v/V4TZ06G6O71SBWX", "ELIANA PIZZICHI")</f>
        <v>ELIANA PIZZICHI</v>
      </c>
      <c r="B3491" s="7" t="str">
        <f t="shared" si="188"/>
        <v>IT</v>
      </c>
      <c r="C3491" s="8" t="s">
        <v>44</v>
      </c>
      <c r="D3491" s="9" t="str">
        <f t="shared" si="189"/>
        <v>AE dialoghi di tempo fiducia e cura episodi 2-3-4</v>
      </c>
      <c r="E3491" s="10" t="str">
        <f>HYPERLINK("https://otsuka-europe-crm.veevavault.com/ui/#object/sent_email__v/VBL00000002O930", "SE-001432601")</f>
        <v>SE-001432601</v>
      </c>
      <c r="F3491" s="11"/>
      <c r="G3491" s="12">
        <v>0</v>
      </c>
      <c r="H3491" s="12">
        <v>0</v>
      </c>
      <c r="I3491" s="12">
        <v>0</v>
      </c>
      <c r="J3491" s="11"/>
      <c r="K3491" s="12">
        <v>0</v>
      </c>
      <c r="L3491" s="10" t="str">
        <f t="shared" si="190"/>
        <v>AE dialoghi di tempo fiducia e cura episodi 2-3-4</v>
      </c>
      <c r="M3491" s="10" t="str">
        <f t="shared" si="191"/>
        <v>nicoletta.vozza@crm.otsuka-europe.com</v>
      </c>
      <c r="N3491" s="13">
        <v>46181.338055555556</v>
      </c>
      <c r="O3491" s="14" t="str">
        <f>HYPERLINK("https://otsuka-europe-crm.veevavault.com/ui/#object/email_activity__v/V8C00000003P531", "EN-002090786")</f>
        <v>EN-002090786</v>
      </c>
    </row>
    <row r="3492" spans="1:15" ht="32" x14ac:dyDescent="0.2">
      <c r="A3492" s="7" t="str">
        <f>HYPERLINK("https://otsuka-europe-crm.veevavault.com/ui/#object/account__v/V4TZ025E89A101H", "ELIDE DI MARTINO")</f>
        <v>ELIDE DI MARTINO</v>
      </c>
      <c r="B3492" s="7" t="str">
        <f t="shared" si="188"/>
        <v>IT</v>
      </c>
      <c r="C3492" s="8" t="s">
        <v>44</v>
      </c>
      <c r="D3492" s="9" t="str">
        <f t="shared" si="189"/>
        <v>AE dialoghi di tempo fiducia e cura episodi 2-3-4</v>
      </c>
      <c r="E3492" s="10" t="str">
        <f>HYPERLINK("https://otsuka-europe-crm.veevavault.com/ui/#object/sent_email__v/VBL00000002O931", "SE-001432602")</f>
        <v>SE-001432602</v>
      </c>
      <c r="F3492" s="11"/>
      <c r="G3492" s="12">
        <v>0</v>
      </c>
      <c r="H3492" s="12">
        <v>0</v>
      </c>
      <c r="I3492" s="12">
        <v>0</v>
      </c>
      <c r="J3492" s="11"/>
      <c r="K3492" s="12">
        <v>0</v>
      </c>
      <c r="L3492" s="10" t="str">
        <f t="shared" si="190"/>
        <v>AE dialoghi di tempo fiducia e cura episodi 2-3-4</v>
      </c>
      <c r="M3492" s="10" t="str">
        <f t="shared" si="191"/>
        <v>nicoletta.vozza@crm.otsuka-europe.com</v>
      </c>
      <c r="N3492" s="13">
        <v>46181.337997685187</v>
      </c>
      <c r="O3492" s="14" t="str">
        <f>HYPERLINK("https://otsuka-europe-crm.veevavault.com/ui/#object/email_activity__v/V8C00000003O982", "EN-002090731")</f>
        <v>EN-002090731</v>
      </c>
    </row>
    <row r="3493" spans="1:15" ht="32" x14ac:dyDescent="0.2">
      <c r="A3493" s="7" t="str">
        <f>HYPERLINK("https://otsuka-europe-crm.veevavault.com/ui/#object/account__v/V4TZ025E87YYFKJ", "ELISA ANTONICELLI")</f>
        <v>ELISA ANTONICELLI</v>
      </c>
      <c r="B3493" s="7" t="str">
        <f t="shared" si="188"/>
        <v>IT</v>
      </c>
      <c r="C3493" s="8" t="s">
        <v>44</v>
      </c>
      <c r="D3493" s="9" t="str">
        <f t="shared" si="189"/>
        <v>AE dialoghi di tempo fiducia e cura episodi 2-3-4</v>
      </c>
      <c r="E3493" s="10" t="str">
        <f>HYPERLINK("https://otsuka-europe-crm.veevavault.com/ui/#object/sent_email__v/VBL00000002O932", "SE-001432603")</f>
        <v>SE-001432603</v>
      </c>
      <c r="F3493" s="11"/>
      <c r="G3493" s="12">
        <v>0</v>
      </c>
      <c r="H3493" s="12">
        <v>0</v>
      </c>
      <c r="I3493" s="12">
        <v>0</v>
      </c>
      <c r="J3493" s="11"/>
      <c r="K3493" s="12">
        <v>0</v>
      </c>
      <c r="L3493" s="10" t="str">
        <f t="shared" si="190"/>
        <v>AE dialoghi di tempo fiducia e cura episodi 2-3-4</v>
      </c>
      <c r="M3493" s="10" t="str">
        <f t="shared" si="191"/>
        <v>nicoletta.vozza@crm.otsuka-europe.com</v>
      </c>
      <c r="N3493" s="13">
        <v>46181.338055555556</v>
      </c>
      <c r="O3493" s="14" t="str">
        <f>HYPERLINK("https://otsuka-europe-crm.veevavault.com/ui/#object/email_activity__v/V8C00000003Q252", "EN-002091362")</f>
        <v>EN-002091362</v>
      </c>
    </row>
    <row r="3494" spans="1:15" ht="32" x14ac:dyDescent="0.2">
      <c r="A3494" s="7" t="str">
        <f>HYPERLINK("https://otsuka-europe-crm.veevavault.com/ui/#object/account__v/V4TZ06G6O71SB3Q", "ELISA COSTANZINI")</f>
        <v>ELISA COSTANZINI</v>
      </c>
      <c r="B3494" s="7" t="str">
        <f t="shared" si="188"/>
        <v>IT</v>
      </c>
      <c r="C3494" s="8" t="s">
        <v>44</v>
      </c>
      <c r="D3494" s="9" t="str">
        <f t="shared" si="189"/>
        <v>AE dialoghi di tempo fiducia e cura episodi 2-3-4</v>
      </c>
      <c r="E3494" s="10" t="str">
        <f>HYPERLINK("https://otsuka-europe-crm.veevavault.com/ui/#object/sent_email__v/VBL00000002O933", "SE-001432604")</f>
        <v>SE-001432604</v>
      </c>
      <c r="F3494" s="11"/>
      <c r="G3494" s="12">
        <v>0</v>
      </c>
      <c r="H3494" s="12">
        <v>0</v>
      </c>
      <c r="I3494" s="12">
        <v>0</v>
      </c>
      <c r="J3494" s="11"/>
      <c r="K3494" s="12">
        <v>0</v>
      </c>
      <c r="L3494" s="10" t="str">
        <f t="shared" si="190"/>
        <v>AE dialoghi di tempo fiducia e cura episodi 2-3-4</v>
      </c>
      <c r="M3494" s="10" t="str">
        <f t="shared" si="191"/>
        <v>nicoletta.vozza@crm.otsuka-europe.com</v>
      </c>
      <c r="N3494" s="13">
        <v>46181.337997685187</v>
      </c>
      <c r="O3494" s="14" t="str">
        <f>HYPERLINK("https://otsuka-europe-crm.veevavault.com/ui/#object/email_activity__v/V8C00000003P653", "EN-002090908")</f>
        <v>EN-002090908</v>
      </c>
    </row>
    <row r="3495" spans="1:15" ht="32" x14ac:dyDescent="0.2">
      <c r="A3495" s="7" t="str">
        <f>HYPERLINK("https://otsuka-europe-crm.veevavault.com/ui/#object/account__v/V4TZ025E82WR8H1", "ELISA DEL FAVERO")</f>
        <v>ELISA DEL FAVERO</v>
      </c>
      <c r="B3495" s="7" t="str">
        <f t="shared" si="188"/>
        <v>IT</v>
      </c>
      <c r="C3495" s="8" t="s">
        <v>44</v>
      </c>
      <c r="D3495" s="9" t="str">
        <f t="shared" si="189"/>
        <v>AE dialoghi di tempo fiducia e cura episodi 2-3-4</v>
      </c>
      <c r="E3495" s="10" t="str">
        <f>HYPERLINK("https://otsuka-europe-crm.veevavault.com/ui/#object/sent_email__v/VBL00000002O934", "SE-001432605")</f>
        <v>SE-001432605</v>
      </c>
      <c r="F3495" s="11"/>
      <c r="G3495" s="12">
        <v>0</v>
      </c>
      <c r="H3495" s="12">
        <v>0</v>
      </c>
      <c r="I3495" s="12">
        <v>0</v>
      </c>
      <c r="J3495" s="11"/>
      <c r="K3495" s="12">
        <v>0</v>
      </c>
      <c r="L3495" s="10" t="str">
        <f t="shared" si="190"/>
        <v>AE dialoghi di tempo fiducia e cura episodi 2-3-4</v>
      </c>
      <c r="M3495" s="10" t="str">
        <f t="shared" si="191"/>
        <v>nicoletta.vozza@crm.otsuka-europe.com</v>
      </c>
      <c r="N3495" s="13">
        <v>46181.33798611111</v>
      </c>
      <c r="O3495" s="14" t="str">
        <f>HYPERLINK("https://otsuka-europe-crm.veevavault.com/ui/#object/email_activity__v/V8C00000003P283", "EN-002089919")</f>
        <v>EN-002089919</v>
      </c>
    </row>
    <row r="3496" spans="1:15" ht="32" x14ac:dyDescent="0.2">
      <c r="A3496" s="7" t="str">
        <f>HYPERLINK("https://otsuka-europe-crm.veevavault.com/ui/#object/account__v/V4TZ06G6O8SEAHG", "ELISA DUGHIERO")</f>
        <v>ELISA DUGHIERO</v>
      </c>
      <c r="B3496" s="7" t="str">
        <f t="shared" si="188"/>
        <v>IT</v>
      </c>
      <c r="C3496" s="8" t="s">
        <v>44</v>
      </c>
      <c r="D3496" s="9" t="str">
        <f t="shared" si="189"/>
        <v>AE dialoghi di tempo fiducia e cura episodi 2-3-4</v>
      </c>
      <c r="E3496" s="10" t="str">
        <f>HYPERLINK("https://otsuka-europe-crm.veevavault.com/ui/#object/sent_email__v/VBL00000002O935", "SE-001432606")</f>
        <v>SE-001432606</v>
      </c>
      <c r="F3496" s="11"/>
      <c r="G3496" s="12">
        <v>0</v>
      </c>
      <c r="H3496" s="12">
        <v>0</v>
      </c>
      <c r="I3496" s="12">
        <v>0</v>
      </c>
      <c r="J3496" s="11"/>
      <c r="K3496" s="12">
        <v>0</v>
      </c>
      <c r="L3496" s="10" t="str">
        <f t="shared" si="190"/>
        <v>AE dialoghi di tempo fiducia e cura episodi 2-3-4</v>
      </c>
      <c r="M3496" s="10" t="str">
        <f t="shared" si="191"/>
        <v>nicoletta.vozza@crm.otsuka-europe.com</v>
      </c>
      <c r="N3496" s="13">
        <v>46181.338090277779</v>
      </c>
      <c r="O3496" s="14" t="str">
        <f>HYPERLINK("https://otsuka-europe-crm.veevavault.com/ui/#object/email_activity__v/V8C00000003Q014", "EN-002090762")</f>
        <v>EN-002090762</v>
      </c>
    </row>
    <row r="3497" spans="1:15" ht="16" x14ac:dyDescent="0.2">
      <c r="A3497" s="17" t="str">
        <f>HYPERLINK("https://otsuka-europe-crm.veevavault.com/ui/#object/account__v/V4TZ04ASG8F5PII", "ELISA FAVARO")</f>
        <v>ELISA FAVARO</v>
      </c>
      <c r="B3497" s="17" t="str">
        <f t="shared" si="188"/>
        <v>IT</v>
      </c>
      <c r="C3497" s="20" t="s">
        <v>44</v>
      </c>
      <c r="D3497" s="21" t="str">
        <f t="shared" si="189"/>
        <v>AE dialoghi di tempo fiducia e cura episodi 2-3-4</v>
      </c>
      <c r="E3497" s="22" t="str">
        <f>HYPERLINK("https://otsuka-europe-crm.veevavault.com/ui/#object/sent_email__v/VBL00000002O936", "SE-001432607")</f>
        <v>SE-001432607</v>
      </c>
      <c r="F3497" s="23">
        <v>46181.392002314817</v>
      </c>
      <c r="G3497" s="24">
        <v>1</v>
      </c>
      <c r="H3497" s="24">
        <v>1</v>
      </c>
      <c r="I3497" s="24">
        <v>0</v>
      </c>
      <c r="J3497" s="25"/>
      <c r="K3497" s="24">
        <v>0</v>
      </c>
      <c r="L3497" s="22" t="str">
        <f t="shared" si="190"/>
        <v>AE dialoghi di tempo fiducia e cura episodi 2-3-4</v>
      </c>
      <c r="M3497" s="22" t="str">
        <f t="shared" si="191"/>
        <v>nicoletta.vozza@crm.otsuka-europe.com</v>
      </c>
      <c r="N3497" s="23">
        <v>46181.338020833333</v>
      </c>
      <c r="O3497" s="14" t="str">
        <f>HYPERLINK("https://otsuka-europe-crm.veevavault.com/ui/#object/email_activity__v/V8C00000003O578", "EN-002090134")</f>
        <v>EN-002090134</v>
      </c>
    </row>
    <row r="3498" spans="1:15" ht="16" x14ac:dyDescent="0.2">
      <c r="A3498" s="19"/>
      <c r="B3498" s="19"/>
      <c r="C3498" s="19"/>
      <c r="D3498" s="19"/>
      <c r="E3498" s="19"/>
      <c r="F3498" s="19"/>
      <c r="G3498" s="19"/>
      <c r="H3498" s="19"/>
      <c r="I3498" s="19"/>
      <c r="J3498" s="19"/>
      <c r="K3498" s="19"/>
      <c r="L3498" s="19"/>
      <c r="M3498" s="19"/>
      <c r="N3498" s="19"/>
      <c r="O3498" s="14" t="str">
        <f>HYPERLINK("https://otsuka-europe-crm.veevavault.com/ui/#object/email_activity__v/V8C00000003Q486", "EN-002091735")</f>
        <v>EN-002091735</v>
      </c>
    </row>
    <row r="3499" spans="1:15" ht="32" x14ac:dyDescent="0.2">
      <c r="A3499" s="7" t="str">
        <f>HYPERLINK("https://otsuka-europe-crm.veevavault.com/ui/#object/account__v/V4TZ06G6O859QA8", "ELISA FONTANA")</f>
        <v>ELISA FONTANA</v>
      </c>
      <c r="B3499" s="7" t="str">
        <f>HYPERLINK("https://otsuka-europe-crm.veevavault.com/ui/#object/vcountry__v/VENZ000004SONFQ", "IT")</f>
        <v>IT</v>
      </c>
      <c r="C3499" s="8" t="s">
        <v>44</v>
      </c>
      <c r="D3499" s="9" t="str">
        <f>HYPERLINK("https://otsuka-europe-crm.veevavault.com/ui/#object/approved_document__v/V5O000000018003", "AE dialoghi di tempo fiducia e cura episodi 2-3-4")</f>
        <v>AE dialoghi di tempo fiducia e cura episodi 2-3-4</v>
      </c>
      <c r="E3499" s="10" t="str">
        <f>HYPERLINK("https://otsuka-europe-crm.veevavault.com/ui/#object/sent_email__v/VBL00000002O937", "SE-001432608")</f>
        <v>SE-001432608</v>
      </c>
      <c r="F3499" s="11"/>
      <c r="G3499" s="12">
        <v>0</v>
      </c>
      <c r="H3499" s="12">
        <v>0</v>
      </c>
      <c r="I3499" s="12">
        <v>0</v>
      </c>
      <c r="J3499" s="11"/>
      <c r="K3499" s="12">
        <v>0</v>
      </c>
      <c r="L3499" s="10" t="str">
        <f>HYPERLINK("https://otsuka-europe-crm.veevavault.com/ui/#object/approved_document__v/V5O000000018003", "AE dialoghi di tempo fiducia e cura episodi 2-3-4")</f>
        <v>AE dialoghi di tempo fiducia e cura episodi 2-3-4</v>
      </c>
      <c r="M3499" s="10" t="str">
        <f>HYPERLINK("mailto:nicoletta.vozza@crm.otsuka-europe.com", "nicoletta.vozza@crm.otsuka-europe.com")</f>
        <v>nicoletta.vozza@crm.otsuka-europe.com</v>
      </c>
      <c r="N3499" s="13">
        <v>46181.337962962964</v>
      </c>
      <c r="O3499" s="14" t="str">
        <f>HYPERLINK("https://otsuka-europe-crm.veevavault.com/ui/#object/email_activity__v/V8C00000003O330", "EN-002089807")</f>
        <v>EN-002089807</v>
      </c>
    </row>
    <row r="3500" spans="1:15" ht="32" x14ac:dyDescent="0.2">
      <c r="A3500" s="7" t="str">
        <f>HYPERLINK("https://otsuka-europe-crm.veevavault.com/ui/#object/account__v/V4TZ06G6O71X85T", "ELISA MORI")</f>
        <v>ELISA MORI</v>
      </c>
      <c r="B3500" s="7" t="str">
        <f>HYPERLINK("https://otsuka-europe-crm.veevavault.com/ui/#object/vcountry__v/VENZ000004SONFQ", "IT")</f>
        <v>IT</v>
      </c>
      <c r="C3500" s="8" t="s">
        <v>44</v>
      </c>
      <c r="D3500" s="9" t="str">
        <f>HYPERLINK("https://otsuka-europe-crm.veevavault.com/ui/#object/approved_document__v/V5O000000018003", "AE dialoghi di tempo fiducia e cura episodi 2-3-4")</f>
        <v>AE dialoghi di tempo fiducia e cura episodi 2-3-4</v>
      </c>
      <c r="E3500" s="10" t="str">
        <f>HYPERLINK("https://otsuka-europe-crm.veevavault.com/ui/#object/sent_email__v/VBL00000002O938", "SE-001432609")</f>
        <v>SE-001432609</v>
      </c>
      <c r="F3500" s="11"/>
      <c r="G3500" s="12">
        <v>0</v>
      </c>
      <c r="H3500" s="12">
        <v>0</v>
      </c>
      <c r="I3500" s="12">
        <v>0</v>
      </c>
      <c r="J3500" s="11"/>
      <c r="K3500" s="12">
        <v>0</v>
      </c>
      <c r="L3500" s="10" t="str">
        <f>HYPERLINK("https://otsuka-europe-crm.veevavault.com/ui/#object/approved_document__v/V5O000000018003", "AE dialoghi di tempo fiducia e cura episodi 2-3-4")</f>
        <v>AE dialoghi di tempo fiducia e cura episodi 2-3-4</v>
      </c>
      <c r="M3500" s="10" t="str">
        <f>HYPERLINK("mailto:nicoletta.vozza@crm.otsuka-europe.com", "nicoletta.vozza@crm.otsuka-europe.com")</f>
        <v>nicoletta.vozza@crm.otsuka-europe.com</v>
      </c>
      <c r="N3500" s="13">
        <v>46181.338055555556</v>
      </c>
      <c r="O3500" s="14" t="str">
        <f>HYPERLINK("https://otsuka-europe-crm.veevavault.com/ui/#object/email_activity__v/V8C00000003Q010", "EN-002090758")</f>
        <v>EN-002090758</v>
      </c>
    </row>
    <row r="3501" spans="1:15" ht="32" x14ac:dyDescent="0.2">
      <c r="A3501" s="7" t="str">
        <f>HYPERLINK("https://otsuka-europe-crm.veevavault.com/ui/#object/account__v/V4TZ06G6O71SC3K", "ELISA RIVOIRA")</f>
        <v>ELISA RIVOIRA</v>
      </c>
      <c r="B3501" s="7" t="str">
        <f>HYPERLINK("https://otsuka-europe-crm.veevavault.com/ui/#object/vcountry__v/VENZ000004SONFQ", "IT")</f>
        <v>IT</v>
      </c>
      <c r="C3501" s="8" t="s">
        <v>44</v>
      </c>
      <c r="D3501" s="9" t="str">
        <f>HYPERLINK("https://otsuka-europe-crm.veevavault.com/ui/#object/approved_document__v/V5O000000018003", "AE dialoghi di tempo fiducia e cura episodi 2-3-4")</f>
        <v>AE dialoghi di tempo fiducia e cura episodi 2-3-4</v>
      </c>
      <c r="E3501" s="10" t="str">
        <f>HYPERLINK("https://otsuka-europe-crm.veevavault.com/ui/#object/sent_email__v/VBL00000002O939", "SE-001432610")</f>
        <v>SE-001432610</v>
      </c>
      <c r="F3501" s="11"/>
      <c r="G3501" s="12">
        <v>0</v>
      </c>
      <c r="H3501" s="12">
        <v>0</v>
      </c>
      <c r="I3501" s="12">
        <v>0</v>
      </c>
      <c r="J3501" s="11"/>
      <c r="K3501" s="12">
        <v>0</v>
      </c>
      <c r="L3501" s="10" t="str">
        <f>HYPERLINK("https://otsuka-europe-crm.veevavault.com/ui/#object/approved_document__v/V5O000000018003", "AE dialoghi di tempo fiducia e cura episodi 2-3-4")</f>
        <v>AE dialoghi di tempo fiducia e cura episodi 2-3-4</v>
      </c>
      <c r="M3501" s="10" t="str">
        <f>HYPERLINK("mailto:nicoletta.vozza@crm.otsuka-europe.com", "nicoletta.vozza@crm.otsuka-europe.com")</f>
        <v>nicoletta.vozza@crm.otsuka-europe.com</v>
      </c>
      <c r="N3501" s="13">
        <v>46181.33798611111</v>
      </c>
      <c r="O3501" s="14" t="str">
        <f>HYPERLINK("https://otsuka-europe-crm.veevavault.com/ui/#object/email_activity__v/V8C00000003O353", "EN-002089871")</f>
        <v>EN-002089871</v>
      </c>
    </row>
    <row r="3502" spans="1:15" ht="16" x14ac:dyDescent="0.2">
      <c r="A3502" s="17" t="str">
        <f>HYPERLINK("https://otsuka-europe-crm.veevavault.com/ui/#object/account__v/V4TZ025E87SCKG5", "ELISA SCAVO")</f>
        <v>ELISA SCAVO</v>
      </c>
      <c r="B3502" s="17" t="str">
        <f>HYPERLINK("https://otsuka-europe-crm.veevavault.com/ui/#object/vcountry__v/VENZ000004SONFQ", "IT")</f>
        <v>IT</v>
      </c>
      <c r="C3502" s="20" t="s">
        <v>44</v>
      </c>
      <c r="D3502" s="21" t="str">
        <f>HYPERLINK("https://otsuka-europe-crm.veevavault.com/ui/#object/approved_document__v/V5O000000018003", "AE dialoghi di tempo fiducia e cura episodi 2-3-4")</f>
        <v>AE dialoghi di tempo fiducia e cura episodi 2-3-4</v>
      </c>
      <c r="E3502" s="22" t="str">
        <f>HYPERLINK("https://otsuka-europe-crm.veevavault.com/ui/#object/sent_email__v/VBL00000002O940", "SE-001432611")</f>
        <v>SE-001432611</v>
      </c>
      <c r="F3502" s="25"/>
      <c r="G3502" s="24">
        <v>0</v>
      </c>
      <c r="H3502" s="24">
        <v>0</v>
      </c>
      <c r="I3502" s="24">
        <v>0</v>
      </c>
      <c r="J3502" s="25"/>
      <c r="K3502" s="24">
        <v>0</v>
      </c>
      <c r="L3502" s="22" t="str">
        <f>HYPERLINK("https://otsuka-europe-crm.veevavault.com/ui/#object/approved_document__v/V5O000000018003", "AE dialoghi di tempo fiducia e cura episodi 2-3-4")</f>
        <v>AE dialoghi di tempo fiducia e cura episodi 2-3-4</v>
      </c>
      <c r="M3502" s="22" t="str">
        <f>HYPERLINK("mailto:nicoletta.vozza@crm.otsuka-europe.com", "nicoletta.vozza@crm.otsuka-europe.com")</f>
        <v>nicoletta.vozza@crm.otsuka-europe.com</v>
      </c>
      <c r="N3502" s="23">
        <v>46181.337997685187</v>
      </c>
      <c r="O3502" s="14" t="str">
        <f>HYPERLINK("https://otsuka-europe-crm.veevavault.com/ui/#object/email_activity__v/V8C00000003Q071", "EN-002091136")</f>
        <v>EN-002091136</v>
      </c>
    </row>
    <row r="3503" spans="1:15" ht="16" x14ac:dyDescent="0.2">
      <c r="A3503" s="19"/>
      <c r="B3503" s="19"/>
      <c r="C3503" s="19"/>
      <c r="D3503" s="19"/>
      <c r="E3503" s="19"/>
      <c r="F3503" s="19"/>
      <c r="G3503" s="19"/>
      <c r="H3503" s="19"/>
      <c r="I3503" s="19"/>
      <c r="J3503" s="19"/>
      <c r="K3503" s="19"/>
      <c r="L3503" s="19"/>
      <c r="M3503" s="19"/>
      <c r="N3503" s="19"/>
      <c r="O3503" s="14" t="str">
        <f>HYPERLINK("https://otsuka-europe-crm.veevavault.com/ui/#object/email_activity__v/V8C00000003S440", "EN-002093793")</f>
        <v>EN-002093793</v>
      </c>
    </row>
    <row r="3504" spans="1:15" ht="32" x14ac:dyDescent="0.2">
      <c r="A3504" s="7" t="str">
        <f>HYPERLINK("https://otsuka-europe-crm.veevavault.com/ui/#object/account__v/V4TZ06G6O71SC86", "ELISA SERENA")</f>
        <v>ELISA SERENA</v>
      </c>
      <c r="B3504" s="7" t="str">
        <f t="shared" ref="B3504:B3518" si="192">HYPERLINK("https://otsuka-europe-crm.veevavault.com/ui/#object/vcountry__v/VENZ000004SONFQ", "IT")</f>
        <v>IT</v>
      </c>
      <c r="C3504" s="8" t="s">
        <v>44</v>
      </c>
      <c r="D3504" s="9" t="str">
        <f t="shared" ref="D3504:D3518" si="193">HYPERLINK("https://otsuka-europe-crm.veevavault.com/ui/#object/approved_document__v/V5O000000018003", "AE dialoghi di tempo fiducia e cura episodi 2-3-4")</f>
        <v>AE dialoghi di tempo fiducia e cura episodi 2-3-4</v>
      </c>
      <c r="E3504" s="10" t="str">
        <f>HYPERLINK("https://otsuka-europe-crm.veevavault.com/ui/#object/sent_email__v/VBL00000002O941", "SE-001432612")</f>
        <v>SE-001432612</v>
      </c>
      <c r="F3504" s="11"/>
      <c r="G3504" s="12">
        <v>0</v>
      </c>
      <c r="H3504" s="12">
        <v>0</v>
      </c>
      <c r="I3504" s="12">
        <v>0</v>
      </c>
      <c r="J3504" s="11"/>
      <c r="K3504" s="12">
        <v>0</v>
      </c>
      <c r="L3504" s="10" t="str">
        <f t="shared" ref="L3504:L3518" si="194">HYPERLINK("https://otsuka-europe-crm.veevavault.com/ui/#object/approved_document__v/V5O000000018003", "AE dialoghi di tempo fiducia e cura episodi 2-3-4")</f>
        <v>AE dialoghi di tempo fiducia e cura episodi 2-3-4</v>
      </c>
      <c r="M3504" s="10" t="str">
        <f t="shared" ref="M3504:M3518" si="195">HYPERLINK("mailto:nicoletta.vozza@crm.otsuka-europe.com", "nicoletta.vozza@crm.otsuka-europe.com")</f>
        <v>nicoletta.vozza@crm.otsuka-europe.com</v>
      </c>
      <c r="N3504" s="13">
        <v>46181.33797453704</v>
      </c>
      <c r="O3504" s="14" t="str">
        <f>HYPERLINK("https://otsuka-europe-crm.veevavault.com/ui/#object/email_activity__v/V8C00000003P427", "EN-002090677")</f>
        <v>EN-002090677</v>
      </c>
    </row>
    <row r="3505" spans="1:15" ht="32" x14ac:dyDescent="0.2">
      <c r="A3505" s="7" t="str">
        <f>HYPERLINK("https://otsuka-europe-crm.veevavault.com/ui/#object/account__v/V4TZ06G6O71SCGL", "ELISA SIMONINI")</f>
        <v>ELISA SIMONINI</v>
      </c>
      <c r="B3505" s="7" t="str">
        <f t="shared" si="192"/>
        <v>IT</v>
      </c>
      <c r="C3505" s="8" t="s">
        <v>44</v>
      </c>
      <c r="D3505" s="9" t="str">
        <f t="shared" si="193"/>
        <v>AE dialoghi di tempo fiducia e cura episodi 2-3-4</v>
      </c>
      <c r="E3505" s="10" t="str">
        <f>HYPERLINK("https://otsuka-europe-crm.veevavault.com/ui/#object/sent_email__v/VBL00000002O942", "SE-001432613")</f>
        <v>SE-001432613</v>
      </c>
      <c r="F3505" s="11"/>
      <c r="G3505" s="12">
        <v>0</v>
      </c>
      <c r="H3505" s="12">
        <v>0</v>
      </c>
      <c r="I3505" s="12">
        <v>0</v>
      </c>
      <c r="J3505" s="11"/>
      <c r="K3505" s="12">
        <v>0</v>
      </c>
      <c r="L3505" s="10" t="str">
        <f t="shared" si="194"/>
        <v>AE dialoghi di tempo fiducia e cura episodi 2-3-4</v>
      </c>
      <c r="M3505" s="10" t="str">
        <f t="shared" si="195"/>
        <v>nicoletta.vozza@crm.otsuka-europe.com</v>
      </c>
      <c r="N3505" s="13">
        <v>46181.338009259256</v>
      </c>
      <c r="O3505" s="14" t="str">
        <f>HYPERLINK("https://otsuka-europe-crm.veevavault.com/ui/#object/email_activity__v/V8C00000003O744", "EN-002090300")</f>
        <v>EN-002090300</v>
      </c>
    </row>
    <row r="3506" spans="1:15" ht="32" x14ac:dyDescent="0.2">
      <c r="A3506" s="7" t="str">
        <f>HYPERLINK("https://otsuka-europe-crm.veevavault.com/ui/#object/account__v/V4TZ06G6O71S9K6", "ELISA TABAGLIO")</f>
        <v>ELISA TABAGLIO</v>
      </c>
      <c r="B3506" s="7" t="str">
        <f t="shared" si="192"/>
        <v>IT</v>
      </c>
      <c r="C3506" s="8" t="s">
        <v>44</v>
      </c>
      <c r="D3506" s="9" t="str">
        <f t="shared" si="193"/>
        <v>AE dialoghi di tempo fiducia e cura episodi 2-3-4</v>
      </c>
      <c r="E3506" s="10" t="str">
        <f>HYPERLINK("https://otsuka-europe-crm.veevavault.com/ui/#object/sent_email__v/VBL00000002O943", "SE-001432614")</f>
        <v>SE-001432614</v>
      </c>
      <c r="F3506" s="11"/>
      <c r="G3506" s="12">
        <v>0</v>
      </c>
      <c r="H3506" s="12">
        <v>0</v>
      </c>
      <c r="I3506" s="12">
        <v>0</v>
      </c>
      <c r="J3506" s="11"/>
      <c r="K3506" s="12">
        <v>0</v>
      </c>
      <c r="L3506" s="10" t="str">
        <f t="shared" si="194"/>
        <v>AE dialoghi di tempo fiducia e cura episodi 2-3-4</v>
      </c>
      <c r="M3506" s="10" t="str">
        <f t="shared" si="195"/>
        <v>nicoletta.vozza@crm.otsuka-europe.com</v>
      </c>
      <c r="N3506" s="13">
        <v>46181.338067129633</v>
      </c>
      <c r="O3506" s="14" t="str">
        <f>HYPERLINK("https://otsuka-europe-crm.veevavault.com/ui/#object/email_activity__v/V8C00000003Q055", "EN-002091021")</f>
        <v>EN-002091021</v>
      </c>
    </row>
    <row r="3507" spans="1:15" ht="32" x14ac:dyDescent="0.2">
      <c r="A3507" s="7" t="str">
        <f>HYPERLINK("https://otsuka-europe-crm.veevavault.com/ui/#object/account__v/V4TZ04ASGB4KPZM", "ELISABETTA ABENAVOLI")</f>
        <v>ELISABETTA ABENAVOLI</v>
      </c>
      <c r="B3507" s="7" t="str">
        <f t="shared" si="192"/>
        <v>IT</v>
      </c>
      <c r="C3507" s="8" t="s">
        <v>44</v>
      </c>
      <c r="D3507" s="9" t="str">
        <f t="shared" si="193"/>
        <v>AE dialoghi di tempo fiducia e cura episodi 2-3-4</v>
      </c>
      <c r="E3507" s="10" t="str">
        <f>HYPERLINK("https://otsuka-europe-crm.veevavault.com/ui/#object/sent_email__v/VBL00000002O944", "SE-001432615")</f>
        <v>SE-001432615</v>
      </c>
      <c r="F3507" s="11"/>
      <c r="G3507" s="12">
        <v>0</v>
      </c>
      <c r="H3507" s="12">
        <v>0</v>
      </c>
      <c r="I3507" s="12">
        <v>0</v>
      </c>
      <c r="J3507" s="11"/>
      <c r="K3507" s="12">
        <v>0</v>
      </c>
      <c r="L3507" s="10" t="str">
        <f t="shared" si="194"/>
        <v>AE dialoghi di tempo fiducia e cura episodi 2-3-4</v>
      </c>
      <c r="M3507" s="10" t="str">
        <f t="shared" si="195"/>
        <v>nicoletta.vozza@crm.otsuka-europe.com</v>
      </c>
      <c r="N3507" s="13">
        <v>46181.338125000002</v>
      </c>
      <c r="O3507" s="14" t="str">
        <f>HYPERLINK("https://otsuka-europe-crm.veevavault.com/ui/#object/email_activity__v/V8C00000003O549", "EN-002090105")</f>
        <v>EN-002090105</v>
      </c>
    </row>
    <row r="3508" spans="1:15" ht="32" x14ac:dyDescent="0.2">
      <c r="A3508" s="7" t="str">
        <f>HYPERLINK("https://otsuka-europe-crm.veevavault.com/ui/#object/account__v/V4TZ06G6O71SA7C", "ELISABETTA BRUSAMONTI")</f>
        <v>ELISABETTA BRUSAMONTI</v>
      </c>
      <c r="B3508" s="7" t="str">
        <f t="shared" si="192"/>
        <v>IT</v>
      </c>
      <c r="C3508" s="8" t="s">
        <v>44</v>
      </c>
      <c r="D3508" s="9" t="str">
        <f t="shared" si="193"/>
        <v>AE dialoghi di tempo fiducia e cura episodi 2-3-4</v>
      </c>
      <c r="E3508" s="10" t="str">
        <f>HYPERLINK("https://otsuka-europe-crm.veevavault.com/ui/#object/sent_email__v/VBL00000002O945", "SE-001432616")</f>
        <v>SE-001432616</v>
      </c>
      <c r="F3508" s="11"/>
      <c r="G3508" s="12">
        <v>0</v>
      </c>
      <c r="H3508" s="12">
        <v>0</v>
      </c>
      <c r="I3508" s="12">
        <v>0</v>
      </c>
      <c r="J3508" s="11"/>
      <c r="K3508" s="12">
        <v>0</v>
      </c>
      <c r="L3508" s="10" t="str">
        <f t="shared" si="194"/>
        <v>AE dialoghi di tempo fiducia e cura episodi 2-3-4</v>
      </c>
      <c r="M3508" s="10" t="str">
        <f t="shared" si="195"/>
        <v>nicoletta.vozza@crm.otsuka-europe.com</v>
      </c>
      <c r="N3508" s="13">
        <v>46181.338020833333</v>
      </c>
      <c r="O3508" s="14" t="str">
        <f>HYPERLINK("https://otsuka-europe-crm.veevavault.com/ui/#object/email_activity__v/V8C00000003O528", "EN-002090084")</f>
        <v>EN-002090084</v>
      </c>
    </row>
    <row r="3509" spans="1:15" ht="32" x14ac:dyDescent="0.2">
      <c r="A3509" s="7" t="str">
        <f>HYPERLINK("https://otsuka-europe-crm.veevavault.com/ui/#object/account__v/V4TZ06G6O71S9H0", "ELISABETTA CARPI")</f>
        <v>ELISABETTA CARPI</v>
      </c>
      <c r="B3509" s="7" t="str">
        <f t="shared" si="192"/>
        <v>IT</v>
      </c>
      <c r="C3509" s="8" t="s">
        <v>44</v>
      </c>
      <c r="D3509" s="9" t="str">
        <f t="shared" si="193"/>
        <v>AE dialoghi di tempo fiducia e cura episodi 2-3-4</v>
      </c>
      <c r="E3509" s="10" t="str">
        <f>HYPERLINK("https://otsuka-europe-crm.veevavault.com/ui/#object/sent_email__v/VBL00000002O946", "SE-001432617")</f>
        <v>SE-001432617</v>
      </c>
      <c r="F3509" s="11"/>
      <c r="G3509" s="12">
        <v>0</v>
      </c>
      <c r="H3509" s="12">
        <v>0</v>
      </c>
      <c r="I3509" s="12">
        <v>0</v>
      </c>
      <c r="J3509" s="11"/>
      <c r="K3509" s="12">
        <v>0</v>
      </c>
      <c r="L3509" s="10" t="str">
        <f t="shared" si="194"/>
        <v>AE dialoghi di tempo fiducia e cura episodi 2-3-4</v>
      </c>
      <c r="M3509" s="10" t="str">
        <f t="shared" si="195"/>
        <v>nicoletta.vozza@crm.otsuka-europe.com</v>
      </c>
      <c r="N3509" s="13">
        <v>46181.337997685187</v>
      </c>
      <c r="O3509" s="14" t="str">
        <f>HYPERLINK("https://otsuka-europe-crm.veevavault.com/ui/#object/email_activity__v/V8C00000003P685", "EN-002090940")</f>
        <v>EN-002090940</v>
      </c>
    </row>
    <row r="3510" spans="1:15" ht="32" x14ac:dyDescent="0.2">
      <c r="A3510" s="7" t="str">
        <f>HYPERLINK("https://otsuka-europe-crm.veevavault.com/ui/#object/account__v/V4TZ06G6O71SC3M", "ELISABETTA CATERINA RIVA")</f>
        <v>ELISABETTA CATERINA RIVA</v>
      </c>
      <c r="B3510" s="7" t="str">
        <f t="shared" si="192"/>
        <v>IT</v>
      </c>
      <c r="C3510" s="8" t="s">
        <v>44</v>
      </c>
      <c r="D3510" s="9" t="str">
        <f t="shared" si="193"/>
        <v>AE dialoghi di tempo fiducia e cura episodi 2-3-4</v>
      </c>
      <c r="E3510" s="10" t="str">
        <f>HYPERLINK("https://otsuka-europe-crm.veevavault.com/ui/#object/sent_email__v/VBL00000002O947", "SE-001432618")</f>
        <v>SE-001432618</v>
      </c>
      <c r="F3510" s="11"/>
      <c r="G3510" s="12">
        <v>0</v>
      </c>
      <c r="H3510" s="12">
        <v>0</v>
      </c>
      <c r="I3510" s="12">
        <v>0</v>
      </c>
      <c r="J3510" s="11"/>
      <c r="K3510" s="12">
        <v>0</v>
      </c>
      <c r="L3510" s="10" t="str">
        <f t="shared" si="194"/>
        <v>AE dialoghi di tempo fiducia e cura episodi 2-3-4</v>
      </c>
      <c r="M3510" s="10" t="str">
        <f t="shared" si="195"/>
        <v>nicoletta.vozza@crm.otsuka-europe.com</v>
      </c>
      <c r="N3510" s="13">
        <v>46181.338020833333</v>
      </c>
      <c r="O3510" s="14" t="str">
        <f>HYPERLINK("https://otsuka-europe-crm.veevavault.com/ui/#object/email_activity__v/V8C00000003P733", "EN-002091031")</f>
        <v>EN-002091031</v>
      </c>
    </row>
    <row r="3511" spans="1:15" ht="32" x14ac:dyDescent="0.2">
      <c r="A3511" s="7" t="str">
        <f>HYPERLINK("https://otsuka-europe-crm.veevavault.com/ui/#object/account__v/V4TZ06G6O71SAF7", "ELISABETTA DARU'")</f>
        <v>ELISABETTA DARU'</v>
      </c>
      <c r="B3511" s="7" t="str">
        <f t="shared" si="192"/>
        <v>IT</v>
      </c>
      <c r="C3511" s="8" t="s">
        <v>44</v>
      </c>
      <c r="D3511" s="9" t="str">
        <f t="shared" si="193"/>
        <v>AE dialoghi di tempo fiducia e cura episodi 2-3-4</v>
      </c>
      <c r="E3511" s="10" t="str">
        <f>HYPERLINK("https://otsuka-europe-crm.veevavault.com/ui/#object/sent_email__v/VBL00000002O948", "SE-001432619")</f>
        <v>SE-001432619</v>
      </c>
      <c r="F3511" s="11"/>
      <c r="G3511" s="12">
        <v>0</v>
      </c>
      <c r="H3511" s="12">
        <v>0</v>
      </c>
      <c r="I3511" s="12">
        <v>0</v>
      </c>
      <c r="J3511" s="11"/>
      <c r="K3511" s="12">
        <v>0</v>
      </c>
      <c r="L3511" s="10" t="str">
        <f t="shared" si="194"/>
        <v>AE dialoghi di tempo fiducia e cura episodi 2-3-4</v>
      </c>
      <c r="M3511" s="10" t="str">
        <f t="shared" si="195"/>
        <v>nicoletta.vozza@crm.otsuka-europe.com</v>
      </c>
      <c r="N3511" s="13">
        <v>46181.338020833333</v>
      </c>
      <c r="O3511" s="14" t="str">
        <f>HYPERLINK("https://otsuka-europe-crm.veevavault.com/ui/#object/email_activity__v/V8C00000003O948", "EN-002090608")</f>
        <v>EN-002090608</v>
      </c>
    </row>
    <row r="3512" spans="1:15" ht="32" x14ac:dyDescent="0.2">
      <c r="A3512" s="7" t="str">
        <f>HYPERLINK("https://otsuka-europe-crm.veevavault.com/ui/#object/account__v/V4TZ06G6O71SAK2", "ELISABETTA FANTINI")</f>
        <v>ELISABETTA FANTINI</v>
      </c>
      <c r="B3512" s="7" t="str">
        <f t="shared" si="192"/>
        <v>IT</v>
      </c>
      <c r="C3512" s="8" t="s">
        <v>44</v>
      </c>
      <c r="D3512" s="9" t="str">
        <f t="shared" si="193"/>
        <v>AE dialoghi di tempo fiducia e cura episodi 2-3-4</v>
      </c>
      <c r="E3512" s="10" t="str">
        <f>HYPERLINK("https://otsuka-europe-crm.veevavault.com/ui/#object/sent_email__v/VBL00000002O949", "SE-001432620")</f>
        <v>SE-001432620</v>
      </c>
      <c r="F3512" s="11"/>
      <c r="G3512" s="12">
        <v>0</v>
      </c>
      <c r="H3512" s="12">
        <v>0</v>
      </c>
      <c r="I3512" s="12">
        <v>0</v>
      </c>
      <c r="J3512" s="11"/>
      <c r="K3512" s="12">
        <v>0</v>
      </c>
      <c r="L3512" s="10" t="str">
        <f t="shared" si="194"/>
        <v>AE dialoghi di tempo fiducia e cura episodi 2-3-4</v>
      </c>
      <c r="M3512" s="10" t="str">
        <f t="shared" si="195"/>
        <v>nicoletta.vozza@crm.otsuka-europe.com</v>
      </c>
      <c r="N3512" s="13">
        <v>46181.33798611111</v>
      </c>
      <c r="O3512" s="14" t="str">
        <f>HYPERLINK("https://otsuka-europe-crm.veevavault.com/ui/#object/email_activity__v/V8C00000003O282", "EN-002089759")</f>
        <v>EN-002089759</v>
      </c>
    </row>
    <row r="3513" spans="1:15" ht="32" x14ac:dyDescent="0.2">
      <c r="A3513" s="7" t="str">
        <f>HYPERLINK("https://otsuka-europe-crm.veevavault.com/ui/#object/account__v/V4TZ06G6O71SAJQ", "ELISABETTA FERRANDES")</f>
        <v>ELISABETTA FERRANDES</v>
      </c>
      <c r="B3513" s="7" t="str">
        <f t="shared" si="192"/>
        <v>IT</v>
      </c>
      <c r="C3513" s="8" t="s">
        <v>44</v>
      </c>
      <c r="D3513" s="9" t="str">
        <f t="shared" si="193"/>
        <v>AE dialoghi di tempo fiducia e cura episodi 2-3-4</v>
      </c>
      <c r="E3513" s="10" t="str">
        <f>HYPERLINK("https://otsuka-europe-crm.veevavault.com/ui/#object/sent_email__v/VBL00000002O950", "SE-001432621")</f>
        <v>SE-001432621</v>
      </c>
      <c r="F3513" s="11"/>
      <c r="G3513" s="12">
        <v>0</v>
      </c>
      <c r="H3513" s="12">
        <v>0</v>
      </c>
      <c r="I3513" s="12">
        <v>0</v>
      </c>
      <c r="J3513" s="11"/>
      <c r="K3513" s="12">
        <v>0</v>
      </c>
      <c r="L3513" s="10" t="str">
        <f t="shared" si="194"/>
        <v>AE dialoghi di tempo fiducia e cura episodi 2-3-4</v>
      </c>
      <c r="M3513" s="10" t="str">
        <f t="shared" si="195"/>
        <v>nicoletta.vozza@crm.otsuka-europe.com</v>
      </c>
      <c r="N3513" s="13">
        <v>46181.338067129633</v>
      </c>
      <c r="O3513" s="14" t="str">
        <f>HYPERLINK("https://otsuka-europe-crm.veevavault.com/ui/#object/email_activity__v/V8C00000003P716", "EN-002090971")</f>
        <v>EN-002090971</v>
      </c>
    </row>
    <row r="3514" spans="1:15" ht="32" x14ac:dyDescent="0.2">
      <c r="A3514" s="7" t="str">
        <f>HYPERLINK("https://otsuka-europe-crm.veevavault.com/ui/#object/account__v/V4TZ06G6OCEGYJZ", "ELISABETTA FILOMENA BUONAGURO")</f>
        <v>ELISABETTA FILOMENA BUONAGURO</v>
      </c>
      <c r="B3514" s="7" t="str">
        <f t="shared" si="192"/>
        <v>IT</v>
      </c>
      <c r="C3514" s="8" t="s">
        <v>44</v>
      </c>
      <c r="D3514" s="9" t="str">
        <f t="shared" si="193"/>
        <v>AE dialoghi di tempo fiducia e cura episodi 2-3-4</v>
      </c>
      <c r="E3514" s="10" t="str">
        <f>HYPERLINK("https://otsuka-europe-crm.veevavault.com/ui/#object/sent_email__v/VBL00000002O951", "SE-001432622")</f>
        <v>SE-001432622</v>
      </c>
      <c r="F3514" s="11"/>
      <c r="G3514" s="12">
        <v>0</v>
      </c>
      <c r="H3514" s="12">
        <v>0</v>
      </c>
      <c r="I3514" s="12">
        <v>0</v>
      </c>
      <c r="J3514" s="11"/>
      <c r="K3514" s="12">
        <v>0</v>
      </c>
      <c r="L3514" s="10" t="str">
        <f t="shared" si="194"/>
        <v>AE dialoghi di tempo fiducia e cura episodi 2-3-4</v>
      </c>
      <c r="M3514" s="10" t="str">
        <f t="shared" si="195"/>
        <v>nicoletta.vozza@crm.otsuka-europe.com</v>
      </c>
      <c r="N3514" s="13">
        <v>46181.338043981479</v>
      </c>
      <c r="O3514" s="14" t="str">
        <f>HYPERLINK("https://otsuka-europe-crm.veevavault.com/ui/#object/email_activity__v/V8C00000003O921", "EN-002090581")</f>
        <v>EN-002090581</v>
      </c>
    </row>
    <row r="3515" spans="1:15" ht="32" x14ac:dyDescent="0.2">
      <c r="A3515" s="7" t="str">
        <f>HYPERLINK("https://otsuka-europe-crm.veevavault.com/ui/#object/account__v/V4TZ06G6O71SAN3", "ELISABETTA FUSCO")</f>
        <v>ELISABETTA FUSCO</v>
      </c>
      <c r="B3515" s="7" t="str">
        <f t="shared" si="192"/>
        <v>IT</v>
      </c>
      <c r="C3515" s="8" t="s">
        <v>44</v>
      </c>
      <c r="D3515" s="9" t="str">
        <f t="shared" si="193"/>
        <v>AE dialoghi di tempo fiducia e cura episodi 2-3-4</v>
      </c>
      <c r="E3515" s="10" t="str">
        <f>HYPERLINK("https://otsuka-europe-crm.veevavault.com/ui/#object/sent_email__v/VBL00000002O952", "SE-001432623")</f>
        <v>SE-001432623</v>
      </c>
      <c r="F3515" s="11"/>
      <c r="G3515" s="12">
        <v>0</v>
      </c>
      <c r="H3515" s="12">
        <v>0</v>
      </c>
      <c r="I3515" s="12">
        <v>0</v>
      </c>
      <c r="J3515" s="11"/>
      <c r="K3515" s="12">
        <v>0</v>
      </c>
      <c r="L3515" s="10" t="str">
        <f t="shared" si="194"/>
        <v>AE dialoghi di tempo fiducia e cura episodi 2-3-4</v>
      </c>
      <c r="M3515" s="10" t="str">
        <f t="shared" si="195"/>
        <v>nicoletta.vozza@crm.otsuka-europe.com</v>
      </c>
      <c r="N3515" s="13">
        <v>46181.33798611111</v>
      </c>
      <c r="O3515" s="14" t="str">
        <f>HYPERLINK("https://otsuka-europe-crm.veevavault.com/ui/#object/email_activity__v/V8C00000003O319", "EN-002089796")</f>
        <v>EN-002089796</v>
      </c>
    </row>
    <row r="3516" spans="1:15" ht="32" x14ac:dyDescent="0.2">
      <c r="A3516" s="7" t="str">
        <f>HYPERLINK("https://otsuka-europe-crm.veevavault.com/ui/#object/account__v/V4TZ06G6O71TFUR", "ELISABETTA GALLINGANI")</f>
        <v>ELISABETTA GALLINGANI</v>
      </c>
      <c r="B3516" s="7" t="str">
        <f t="shared" si="192"/>
        <v>IT</v>
      </c>
      <c r="C3516" s="8" t="s">
        <v>44</v>
      </c>
      <c r="D3516" s="9" t="str">
        <f t="shared" si="193"/>
        <v>AE dialoghi di tempo fiducia e cura episodi 2-3-4</v>
      </c>
      <c r="E3516" s="10" t="str">
        <f>HYPERLINK("https://otsuka-europe-crm.veevavault.com/ui/#object/sent_email__v/VBL00000002O953", "SE-001432624")</f>
        <v>SE-001432624</v>
      </c>
      <c r="F3516" s="11"/>
      <c r="G3516" s="12">
        <v>0</v>
      </c>
      <c r="H3516" s="12">
        <v>0</v>
      </c>
      <c r="I3516" s="12">
        <v>0</v>
      </c>
      <c r="J3516" s="11"/>
      <c r="K3516" s="12">
        <v>0</v>
      </c>
      <c r="L3516" s="10" t="str">
        <f t="shared" si="194"/>
        <v>AE dialoghi di tempo fiducia e cura episodi 2-3-4</v>
      </c>
      <c r="M3516" s="10" t="str">
        <f t="shared" si="195"/>
        <v>nicoletta.vozza@crm.otsuka-europe.com</v>
      </c>
      <c r="N3516" s="13">
        <v>46181.338067129633</v>
      </c>
      <c r="O3516" s="14" t="str">
        <f>HYPERLINK("https://otsuka-europe-crm.veevavault.com/ui/#object/email_activity__v/V8C00000003P837", "EN-002091196")</f>
        <v>EN-002091196</v>
      </c>
    </row>
    <row r="3517" spans="1:15" ht="32" x14ac:dyDescent="0.2">
      <c r="A3517" s="7" t="str">
        <f>HYPERLINK("https://otsuka-europe-crm.veevavault.com/ui/#object/account__v/V4TZ025E88663EP", "ELISABETTA ISMILDE FARINA")</f>
        <v>ELISABETTA ISMILDE FARINA</v>
      </c>
      <c r="B3517" s="7" t="str">
        <f t="shared" si="192"/>
        <v>IT</v>
      </c>
      <c r="C3517" s="8" t="s">
        <v>44</v>
      </c>
      <c r="D3517" s="9" t="str">
        <f t="shared" si="193"/>
        <v>AE dialoghi di tempo fiducia e cura episodi 2-3-4</v>
      </c>
      <c r="E3517" s="10" t="str">
        <f>HYPERLINK("https://otsuka-europe-crm.veevavault.com/ui/#object/sent_email__v/VBL00000002O954", "SE-001432625")</f>
        <v>SE-001432625</v>
      </c>
      <c r="F3517" s="11"/>
      <c r="G3517" s="12">
        <v>0</v>
      </c>
      <c r="H3517" s="12">
        <v>0</v>
      </c>
      <c r="I3517" s="12">
        <v>0</v>
      </c>
      <c r="J3517" s="11"/>
      <c r="K3517" s="12">
        <v>0</v>
      </c>
      <c r="L3517" s="10" t="str">
        <f t="shared" si="194"/>
        <v>AE dialoghi di tempo fiducia e cura episodi 2-3-4</v>
      </c>
      <c r="M3517" s="10" t="str">
        <f t="shared" si="195"/>
        <v>nicoletta.vozza@crm.otsuka-europe.com</v>
      </c>
      <c r="N3517" s="13">
        <v>46181.337997685187</v>
      </c>
      <c r="O3517" s="14" t="str">
        <f>HYPERLINK("https://otsuka-europe-crm.veevavault.com/ui/#object/email_activity__v/V8C00000003P687", "EN-002090942")</f>
        <v>EN-002090942</v>
      </c>
    </row>
    <row r="3518" spans="1:15" ht="16" x14ac:dyDescent="0.2">
      <c r="A3518" s="17" t="str">
        <f>HYPERLINK("https://otsuka-europe-crm.veevavault.com/ui/#object/account__v/V4TZ06G6O71SB7G", "ELISABETTA LAVORATO")</f>
        <v>ELISABETTA LAVORATO</v>
      </c>
      <c r="B3518" s="17" t="str">
        <f t="shared" si="192"/>
        <v>IT</v>
      </c>
      <c r="C3518" s="20" t="s">
        <v>44</v>
      </c>
      <c r="D3518" s="21" t="str">
        <f t="shared" si="193"/>
        <v>AE dialoghi di tempo fiducia e cura episodi 2-3-4</v>
      </c>
      <c r="E3518" s="22" t="str">
        <f>HYPERLINK("https://otsuka-europe-crm.veevavault.com/ui/#object/sent_email__v/VBL00000002O955", "SE-001432626")</f>
        <v>SE-001432626</v>
      </c>
      <c r="F3518" s="23">
        <v>46200.4140162037</v>
      </c>
      <c r="G3518" s="24">
        <v>1</v>
      </c>
      <c r="H3518" s="24">
        <v>2</v>
      </c>
      <c r="I3518" s="24">
        <v>0</v>
      </c>
      <c r="J3518" s="25"/>
      <c r="K3518" s="24">
        <v>0</v>
      </c>
      <c r="L3518" s="22" t="str">
        <f t="shared" si="194"/>
        <v>AE dialoghi di tempo fiducia e cura episodi 2-3-4</v>
      </c>
      <c r="M3518" s="22" t="str">
        <f t="shared" si="195"/>
        <v>nicoletta.vozza@crm.otsuka-europe.com</v>
      </c>
      <c r="N3518" s="23">
        <v>46181.338101851848</v>
      </c>
      <c r="O3518" s="14" t="str">
        <f>HYPERLINK("https://otsuka-europe-crm.veevavault.com/ui/#object/email_activity__v/V8C00000003O857", "EN-002090557")</f>
        <v>EN-002090557</v>
      </c>
    </row>
    <row r="3519" spans="1:15" ht="16" x14ac:dyDescent="0.2">
      <c r="A3519" s="18"/>
      <c r="B3519" s="18"/>
      <c r="C3519" s="18"/>
      <c r="D3519" s="18"/>
      <c r="E3519" s="18"/>
      <c r="F3519" s="18"/>
      <c r="G3519" s="18"/>
      <c r="H3519" s="18"/>
      <c r="I3519" s="18"/>
      <c r="J3519" s="18"/>
      <c r="K3519" s="18"/>
      <c r="L3519" s="18"/>
      <c r="M3519" s="18"/>
      <c r="N3519" s="18"/>
      <c r="O3519" s="14" t="str">
        <f>HYPERLINK("https://otsuka-europe-crm.veevavault.com/ui/#object/email_activity__v/V8C00000003Q694", "EN-002092227")</f>
        <v>EN-002092227</v>
      </c>
    </row>
    <row r="3520" spans="1:15" ht="16" x14ac:dyDescent="0.2">
      <c r="A3520" s="18"/>
      <c r="B3520" s="18"/>
      <c r="C3520" s="18"/>
      <c r="D3520" s="18"/>
      <c r="E3520" s="18"/>
      <c r="F3520" s="18"/>
      <c r="G3520" s="18"/>
      <c r="H3520" s="18"/>
      <c r="I3520" s="18"/>
      <c r="J3520" s="18"/>
      <c r="K3520" s="18"/>
      <c r="L3520" s="18"/>
      <c r="M3520" s="18"/>
      <c r="N3520" s="18"/>
      <c r="O3520" s="14" t="str">
        <f>HYPERLINK("https://otsuka-europe-crm.veevavault.com/ui/#object/email_activity__v/V8C00000003T473", "EN-002094566")</f>
        <v>EN-002094566</v>
      </c>
    </row>
    <row r="3521" spans="1:15" ht="16" x14ac:dyDescent="0.2">
      <c r="A3521" s="19"/>
      <c r="B3521" s="19"/>
      <c r="C3521" s="19"/>
      <c r="D3521" s="19"/>
      <c r="E3521" s="19"/>
      <c r="F3521" s="19"/>
      <c r="G3521" s="19"/>
      <c r="H3521" s="19"/>
      <c r="I3521" s="19"/>
      <c r="J3521" s="19"/>
      <c r="K3521" s="19"/>
      <c r="L3521" s="19"/>
      <c r="M3521" s="19"/>
      <c r="N3521" s="19"/>
      <c r="O3521" s="14" t="str">
        <f>HYPERLINK("https://otsuka-europe-crm.veevavault.com/ui/#object/email_activity__v/V8C000000042230", "EN-002100172")</f>
        <v>EN-002100172</v>
      </c>
    </row>
    <row r="3522" spans="1:15" ht="32" x14ac:dyDescent="0.2">
      <c r="A3522" s="7" t="str">
        <f>HYPERLINK("https://otsuka-europe-crm.veevavault.com/ui/#object/account__v/V4TZ06G6O71SBGJ", "ELISABETTA MASCAZZINI")</f>
        <v>ELISABETTA MASCAZZINI</v>
      </c>
      <c r="B3522" s="7" t="str">
        <f t="shared" ref="B3522:B3536" si="196">HYPERLINK("https://otsuka-europe-crm.veevavault.com/ui/#object/vcountry__v/VENZ000004SONFQ", "IT")</f>
        <v>IT</v>
      </c>
      <c r="C3522" s="8" t="s">
        <v>44</v>
      </c>
      <c r="D3522" s="9" t="str">
        <f t="shared" ref="D3522:D3536" si="197">HYPERLINK("https://otsuka-europe-crm.veevavault.com/ui/#object/approved_document__v/V5O000000018003", "AE dialoghi di tempo fiducia e cura episodi 2-3-4")</f>
        <v>AE dialoghi di tempo fiducia e cura episodi 2-3-4</v>
      </c>
      <c r="E3522" s="10" t="str">
        <f>HYPERLINK("https://otsuka-europe-crm.veevavault.com/ui/#object/sent_email__v/VBL00000002O956", "SE-001432627")</f>
        <v>SE-001432627</v>
      </c>
      <c r="F3522" s="11"/>
      <c r="G3522" s="12">
        <v>0</v>
      </c>
      <c r="H3522" s="12">
        <v>0</v>
      </c>
      <c r="I3522" s="12">
        <v>0</v>
      </c>
      <c r="J3522" s="11"/>
      <c r="K3522" s="12">
        <v>0</v>
      </c>
      <c r="L3522" s="10" t="str">
        <f t="shared" ref="L3522:L3536" si="198">HYPERLINK("https://otsuka-europe-crm.veevavault.com/ui/#object/approved_document__v/V5O000000018003", "AE dialoghi di tempo fiducia e cura episodi 2-3-4")</f>
        <v>AE dialoghi di tempo fiducia e cura episodi 2-3-4</v>
      </c>
      <c r="M3522" s="10" t="str">
        <f t="shared" ref="M3522:M3536" si="199">HYPERLINK("mailto:nicoletta.vozza@crm.otsuka-europe.com", "nicoletta.vozza@crm.otsuka-europe.com")</f>
        <v>nicoletta.vozza@crm.otsuka-europe.com</v>
      </c>
      <c r="N3522" s="13">
        <v>46181.33798611111</v>
      </c>
      <c r="O3522" s="14" t="str">
        <f>HYPERLINK("https://otsuka-europe-crm.veevavault.com/ui/#object/email_activity__v/V8C00000003O251", "EN-002089728")</f>
        <v>EN-002089728</v>
      </c>
    </row>
    <row r="3523" spans="1:15" ht="32" x14ac:dyDescent="0.2">
      <c r="A3523" s="7" t="str">
        <f>HYPERLINK("https://otsuka-europe-crm.veevavault.com/ui/#object/account__v/V4TZ04ASG9GYGMG", "ELISABETTA MIGLIORISI")</f>
        <v>ELISABETTA MIGLIORISI</v>
      </c>
      <c r="B3523" s="7" t="str">
        <f t="shared" si="196"/>
        <v>IT</v>
      </c>
      <c r="C3523" s="8" t="s">
        <v>44</v>
      </c>
      <c r="D3523" s="9" t="str">
        <f t="shared" si="197"/>
        <v>AE dialoghi di tempo fiducia e cura episodi 2-3-4</v>
      </c>
      <c r="E3523" s="10" t="str">
        <f>HYPERLINK("https://otsuka-europe-crm.veevavault.com/ui/#object/sent_email__v/VBL00000002O957", "SE-001432628")</f>
        <v>SE-001432628</v>
      </c>
      <c r="F3523" s="11"/>
      <c r="G3523" s="12">
        <v>0</v>
      </c>
      <c r="H3523" s="12">
        <v>0</v>
      </c>
      <c r="I3523" s="12">
        <v>0</v>
      </c>
      <c r="J3523" s="11"/>
      <c r="K3523" s="12">
        <v>0</v>
      </c>
      <c r="L3523" s="10" t="str">
        <f t="shared" si="198"/>
        <v>AE dialoghi di tempo fiducia e cura episodi 2-3-4</v>
      </c>
      <c r="M3523" s="10" t="str">
        <f t="shared" si="199"/>
        <v>nicoletta.vozza@crm.otsuka-europe.com</v>
      </c>
      <c r="N3523" s="13">
        <v>46181.338020833333</v>
      </c>
      <c r="O3523" s="14" t="str">
        <f>HYPERLINK("https://otsuka-europe-crm.veevavault.com/ui/#object/email_activity__v/V8C00000003O643", "EN-002090199")</f>
        <v>EN-002090199</v>
      </c>
    </row>
    <row r="3524" spans="1:15" ht="32" x14ac:dyDescent="0.2">
      <c r="A3524" s="7" t="str">
        <f>HYPERLINK("https://otsuka-europe-crm.veevavault.com/ui/#object/account__v/V4TZ06G6O71SBTD", "ELISABETTA PALTRINIERI")</f>
        <v>ELISABETTA PALTRINIERI</v>
      </c>
      <c r="B3524" s="7" t="str">
        <f t="shared" si="196"/>
        <v>IT</v>
      </c>
      <c r="C3524" s="8" t="s">
        <v>44</v>
      </c>
      <c r="D3524" s="9" t="str">
        <f t="shared" si="197"/>
        <v>AE dialoghi di tempo fiducia e cura episodi 2-3-4</v>
      </c>
      <c r="E3524" s="10" t="str">
        <f>HYPERLINK("https://otsuka-europe-crm.veevavault.com/ui/#object/sent_email__v/VBL00000002O958", "SE-001432629")</f>
        <v>SE-001432629</v>
      </c>
      <c r="F3524" s="11"/>
      <c r="G3524" s="12">
        <v>0</v>
      </c>
      <c r="H3524" s="12">
        <v>0</v>
      </c>
      <c r="I3524" s="12">
        <v>0</v>
      </c>
      <c r="J3524" s="11"/>
      <c r="K3524" s="12">
        <v>0</v>
      </c>
      <c r="L3524" s="10" t="str">
        <f t="shared" si="198"/>
        <v>AE dialoghi di tempo fiducia e cura episodi 2-3-4</v>
      </c>
      <c r="M3524" s="10" t="str">
        <f t="shared" si="199"/>
        <v>nicoletta.vozza@crm.otsuka-europe.com</v>
      </c>
      <c r="N3524" s="13">
        <v>46181.338090277779</v>
      </c>
      <c r="O3524" s="14" t="str">
        <f>HYPERLINK("https://otsuka-europe-crm.veevavault.com/ui/#object/email_activity__v/V8C00000003O648", "EN-002090204")</f>
        <v>EN-002090204</v>
      </c>
    </row>
    <row r="3525" spans="1:15" ht="32" x14ac:dyDescent="0.2">
      <c r="A3525" s="7" t="str">
        <f>HYPERLINK("https://otsuka-europe-crm.veevavault.com/ui/#object/account__v/V4TZ06G6O71SCBQ", "ELISABETTA SARZI AMADE'")</f>
        <v>ELISABETTA SARZI AMADE'</v>
      </c>
      <c r="B3525" s="7" t="str">
        <f t="shared" si="196"/>
        <v>IT</v>
      </c>
      <c r="C3525" s="8" t="s">
        <v>44</v>
      </c>
      <c r="D3525" s="9" t="str">
        <f t="shared" si="197"/>
        <v>AE dialoghi di tempo fiducia e cura episodi 2-3-4</v>
      </c>
      <c r="E3525" s="10" t="str">
        <f>HYPERLINK("https://otsuka-europe-crm.veevavault.com/ui/#object/sent_email__v/VBL00000002O959", "SE-001432630")</f>
        <v>SE-001432630</v>
      </c>
      <c r="F3525" s="11"/>
      <c r="G3525" s="12">
        <v>0</v>
      </c>
      <c r="H3525" s="12">
        <v>0</v>
      </c>
      <c r="I3525" s="12">
        <v>0</v>
      </c>
      <c r="J3525" s="11"/>
      <c r="K3525" s="12">
        <v>0</v>
      </c>
      <c r="L3525" s="10" t="str">
        <f t="shared" si="198"/>
        <v>AE dialoghi di tempo fiducia e cura episodi 2-3-4</v>
      </c>
      <c r="M3525" s="10" t="str">
        <f t="shared" si="199"/>
        <v>nicoletta.vozza@crm.otsuka-europe.com</v>
      </c>
      <c r="N3525" s="13">
        <v>46181.337962962964</v>
      </c>
      <c r="O3525" s="14" t="str">
        <f>HYPERLINK("https://otsuka-europe-crm.veevavault.com/ui/#object/email_activity__v/V8C00000003O172", "EN-002089609")</f>
        <v>EN-002089609</v>
      </c>
    </row>
    <row r="3526" spans="1:15" ht="32" x14ac:dyDescent="0.2">
      <c r="A3526" s="7" t="str">
        <f>HYPERLINK("https://otsuka-europe-crm.veevavault.com/ui/#object/account__v/V4TZ04ASGBX3TTB", "ELOISA MEZZATESTA")</f>
        <v>ELOISA MEZZATESTA</v>
      </c>
      <c r="B3526" s="7" t="str">
        <f t="shared" si="196"/>
        <v>IT</v>
      </c>
      <c r="C3526" s="8" t="s">
        <v>44</v>
      </c>
      <c r="D3526" s="9" t="str">
        <f t="shared" si="197"/>
        <v>AE dialoghi di tempo fiducia e cura episodi 2-3-4</v>
      </c>
      <c r="E3526" s="10" t="str">
        <f>HYPERLINK("https://otsuka-europe-crm.veevavault.com/ui/#object/sent_email__v/VBL00000002O960", "SE-001432631")</f>
        <v>SE-001432631</v>
      </c>
      <c r="F3526" s="11"/>
      <c r="G3526" s="12">
        <v>0</v>
      </c>
      <c r="H3526" s="12">
        <v>0</v>
      </c>
      <c r="I3526" s="12">
        <v>0</v>
      </c>
      <c r="J3526" s="11"/>
      <c r="K3526" s="12">
        <v>0</v>
      </c>
      <c r="L3526" s="10" t="str">
        <f t="shared" si="198"/>
        <v>AE dialoghi di tempo fiducia e cura episodi 2-3-4</v>
      </c>
      <c r="M3526" s="10" t="str">
        <f t="shared" si="199"/>
        <v>nicoletta.vozza@crm.otsuka-europe.com</v>
      </c>
      <c r="N3526" s="13">
        <v>46181.337916666664</v>
      </c>
      <c r="O3526" s="14" t="str">
        <f>HYPERLINK("https://otsuka-europe-crm.veevavault.com/ui/#object/email_activity__v/V8C00000003O656", "EN-002090212")</f>
        <v>EN-002090212</v>
      </c>
    </row>
    <row r="3527" spans="1:15" ht="32" x14ac:dyDescent="0.2">
      <c r="A3527" s="7" t="str">
        <f>HYPERLINK("https://otsuka-europe-crm.veevavault.com/ui/#object/account__v/V4TZ06G6O71SBJB", "EMANUELA CARLOTTA MINA")</f>
        <v>EMANUELA CARLOTTA MINA</v>
      </c>
      <c r="B3527" s="7" t="str">
        <f t="shared" si="196"/>
        <v>IT</v>
      </c>
      <c r="C3527" s="8" t="s">
        <v>44</v>
      </c>
      <c r="D3527" s="9" t="str">
        <f t="shared" si="197"/>
        <v>AE dialoghi di tempo fiducia e cura episodi 2-3-4</v>
      </c>
      <c r="E3527" s="10" t="str">
        <f>HYPERLINK("https://otsuka-europe-crm.veevavault.com/ui/#object/sent_email__v/VBL00000002O961", "SE-001432632")</f>
        <v>SE-001432632</v>
      </c>
      <c r="F3527" s="11"/>
      <c r="G3527" s="12">
        <v>0</v>
      </c>
      <c r="H3527" s="12">
        <v>0</v>
      </c>
      <c r="I3527" s="12">
        <v>0</v>
      </c>
      <c r="J3527" s="11"/>
      <c r="K3527" s="12">
        <v>0</v>
      </c>
      <c r="L3527" s="10" t="str">
        <f t="shared" si="198"/>
        <v>AE dialoghi di tempo fiducia e cura episodi 2-3-4</v>
      </c>
      <c r="M3527" s="10" t="str">
        <f t="shared" si="199"/>
        <v>nicoletta.vozza@crm.otsuka-europe.com</v>
      </c>
      <c r="N3527" s="13">
        <v>46181.338055555556</v>
      </c>
      <c r="O3527" s="14" t="str">
        <f>HYPERLINK("https://otsuka-europe-crm.veevavault.com/ui/#object/email_activity__v/V8C00000003P371", "EN-002090377")</f>
        <v>EN-002090377</v>
      </c>
    </row>
    <row r="3528" spans="1:15" ht="32" x14ac:dyDescent="0.2">
      <c r="A3528" s="7" t="str">
        <f>HYPERLINK("https://otsuka-europe-crm.veevavault.com/ui/#object/account__v/V4TZ06G6O71SAIF", "EMANUELA DURANTI")</f>
        <v>EMANUELA DURANTI</v>
      </c>
      <c r="B3528" s="7" t="str">
        <f t="shared" si="196"/>
        <v>IT</v>
      </c>
      <c r="C3528" s="8" t="s">
        <v>44</v>
      </c>
      <c r="D3528" s="9" t="str">
        <f t="shared" si="197"/>
        <v>AE dialoghi di tempo fiducia e cura episodi 2-3-4</v>
      </c>
      <c r="E3528" s="10" t="str">
        <f>HYPERLINK("https://otsuka-europe-crm.veevavault.com/ui/#object/sent_email__v/VBL00000002O962", "SE-001432633")</f>
        <v>SE-001432633</v>
      </c>
      <c r="F3528" s="11"/>
      <c r="G3528" s="12">
        <v>0</v>
      </c>
      <c r="H3528" s="12">
        <v>0</v>
      </c>
      <c r="I3528" s="12">
        <v>0</v>
      </c>
      <c r="J3528" s="11"/>
      <c r="K3528" s="12">
        <v>0</v>
      </c>
      <c r="L3528" s="10" t="str">
        <f t="shared" si="198"/>
        <v>AE dialoghi di tempo fiducia e cura episodi 2-3-4</v>
      </c>
      <c r="M3528" s="10" t="str">
        <f t="shared" si="199"/>
        <v>nicoletta.vozza@crm.otsuka-europe.com</v>
      </c>
      <c r="N3528" s="13">
        <v>46181.337962962964</v>
      </c>
      <c r="O3528" s="14" t="str">
        <f>HYPERLINK("https://otsuka-europe-crm.veevavault.com/ui/#object/email_activity__v/V8C00000003O317", "EN-002089794")</f>
        <v>EN-002089794</v>
      </c>
    </row>
    <row r="3529" spans="1:15" ht="32" x14ac:dyDescent="0.2">
      <c r="A3529" s="7" t="str">
        <f>HYPERLINK("https://otsuka-europe-crm.veevavault.com/ui/#object/account__v/V4TZ06G6O71SB7P", "EMANUELA LEUCI")</f>
        <v>EMANUELA LEUCI</v>
      </c>
      <c r="B3529" s="7" t="str">
        <f t="shared" si="196"/>
        <v>IT</v>
      </c>
      <c r="C3529" s="8" t="s">
        <v>44</v>
      </c>
      <c r="D3529" s="9" t="str">
        <f t="shared" si="197"/>
        <v>AE dialoghi di tempo fiducia e cura episodi 2-3-4</v>
      </c>
      <c r="E3529" s="10" t="str">
        <f>HYPERLINK("https://otsuka-europe-crm.veevavault.com/ui/#object/sent_email__v/VBL00000002O963", "SE-001432634")</f>
        <v>SE-001432634</v>
      </c>
      <c r="F3529" s="11"/>
      <c r="G3529" s="12">
        <v>0</v>
      </c>
      <c r="H3529" s="12">
        <v>0</v>
      </c>
      <c r="I3529" s="12">
        <v>0</v>
      </c>
      <c r="J3529" s="11"/>
      <c r="K3529" s="12">
        <v>0</v>
      </c>
      <c r="L3529" s="10" t="str">
        <f t="shared" si="198"/>
        <v>AE dialoghi di tempo fiducia e cura episodi 2-3-4</v>
      </c>
      <c r="M3529" s="10" t="str">
        <f t="shared" si="199"/>
        <v>nicoletta.vozza@crm.otsuka-europe.com</v>
      </c>
      <c r="N3529" s="13">
        <v>46181.337962962964</v>
      </c>
      <c r="O3529" s="14" t="str">
        <f>HYPERLINK("https://otsuka-europe-crm.veevavault.com/ui/#object/email_activity__v/V8C00000003P220", "EN-002089666")</f>
        <v>EN-002089666</v>
      </c>
    </row>
    <row r="3530" spans="1:15" ht="32" x14ac:dyDescent="0.2">
      <c r="A3530" s="7" t="str">
        <f>HYPERLINK("https://otsuka-europe-crm.veevavault.com/ui/#object/account__v/V4TZ025E82IWS6L", "EMANUELA LOI")</f>
        <v>EMANUELA LOI</v>
      </c>
      <c r="B3530" s="7" t="str">
        <f t="shared" si="196"/>
        <v>IT</v>
      </c>
      <c r="C3530" s="8" t="s">
        <v>44</v>
      </c>
      <c r="D3530" s="9" t="str">
        <f t="shared" si="197"/>
        <v>AE dialoghi di tempo fiducia e cura episodi 2-3-4</v>
      </c>
      <c r="E3530" s="10" t="str">
        <f>HYPERLINK("https://otsuka-europe-crm.veevavault.com/ui/#object/sent_email__v/VBL00000002O964", "SE-001432635")</f>
        <v>SE-001432635</v>
      </c>
      <c r="F3530" s="11"/>
      <c r="G3530" s="12">
        <v>0</v>
      </c>
      <c r="H3530" s="12">
        <v>0</v>
      </c>
      <c r="I3530" s="12">
        <v>0</v>
      </c>
      <c r="J3530" s="11"/>
      <c r="K3530" s="12">
        <v>0</v>
      </c>
      <c r="L3530" s="10" t="str">
        <f t="shared" si="198"/>
        <v>AE dialoghi di tempo fiducia e cura episodi 2-3-4</v>
      </c>
      <c r="M3530" s="10" t="str">
        <f t="shared" si="199"/>
        <v>nicoletta.vozza@crm.otsuka-europe.com</v>
      </c>
      <c r="N3530" s="13">
        <v>46181.338043981479</v>
      </c>
      <c r="O3530" s="14" t="str">
        <f>HYPERLINK("https://otsuka-europe-crm.veevavault.com/ui/#object/email_activity__v/V8C00000003P344", "EN-002090350")</f>
        <v>EN-002090350</v>
      </c>
    </row>
    <row r="3531" spans="1:15" ht="32" x14ac:dyDescent="0.2">
      <c r="A3531" s="7" t="str">
        <f>HYPERLINK("https://otsuka-europe-crm.veevavault.com/ui/#object/account__v/V4TZ06G6O71SBGX", "EMANUELA MASSONI")</f>
        <v>EMANUELA MASSONI</v>
      </c>
      <c r="B3531" s="7" t="str">
        <f t="shared" si="196"/>
        <v>IT</v>
      </c>
      <c r="C3531" s="8" t="s">
        <v>44</v>
      </c>
      <c r="D3531" s="9" t="str">
        <f t="shared" si="197"/>
        <v>AE dialoghi di tempo fiducia e cura episodi 2-3-4</v>
      </c>
      <c r="E3531" s="10" t="str">
        <f>HYPERLINK("https://otsuka-europe-crm.veevavault.com/ui/#object/sent_email__v/VBL00000002O965", "SE-001432636")</f>
        <v>SE-001432636</v>
      </c>
      <c r="F3531" s="11"/>
      <c r="G3531" s="12">
        <v>0</v>
      </c>
      <c r="H3531" s="12">
        <v>0</v>
      </c>
      <c r="I3531" s="12">
        <v>0</v>
      </c>
      <c r="J3531" s="11"/>
      <c r="K3531" s="12">
        <v>0</v>
      </c>
      <c r="L3531" s="10" t="str">
        <f t="shared" si="198"/>
        <v>AE dialoghi di tempo fiducia e cura episodi 2-3-4</v>
      </c>
      <c r="M3531" s="10" t="str">
        <f t="shared" si="199"/>
        <v>nicoletta.vozza@crm.otsuka-europe.com</v>
      </c>
      <c r="N3531" s="13">
        <v>46181.33803240741</v>
      </c>
      <c r="O3531" s="14" t="str">
        <f>HYPERLINK("https://otsuka-europe-crm.veevavault.com/ui/#object/email_activity__v/V8C00000003P473", "EN-002090700")</f>
        <v>EN-002090700</v>
      </c>
    </row>
    <row r="3532" spans="1:15" ht="32" x14ac:dyDescent="0.2">
      <c r="A3532" s="7" t="str">
        <f>HYPERLINK("https://otsuka-europe-crm.veevavault.com/ui/#object/account__v/V4TZ06G6O71S9LI", "EMANUELA PICCIRILLI")</f>
        <v>EMANUELA PICCIRILLI</v>
      </c>
      <c r="B3532" s="7" t="str">
        <f t="shared" si="196"/>
        <v>IT</v>
      </c>
      <c r="C3532" s="8" t="s">
        <v>44</v>
      </c>
      <c r="D3532" s="9" t="str">
        <f t="shared" si="197"/>
        <v>AE dialoghi di tempo fiducia e cura episodi 2-3-4</v>
      </c>
      <c r="E3532" s="10" t="str">
        <f>HYPERLINK("https://otsuka-europe-crm.veevavault.com/ui/#object/sent_email__v/VBL00000002O966", "SE-001432637")</f>
        <v>SE-001432637</v>
      </c>
      <c r="F3532" s="11"/>
      <c r="G3532" s="12">
        <v>0</v>
      </c>
      <c r="H3532" s="12">
        <v>0</v>
      </c>
      <c r="I3532" s="12">
        <v>0</v>
      </c>
      <c r="J3532" s="11"/>
      <c r="K3532" s="12">
        <v>0</v>
      </c>
      <c r="L3532" s="10" t="str">
        <f t="shared" si="198"/>
        <v>AE dialoghi di tempo fiducia e cura episodi 2-3-4</v>
      </c>
      <c r="M3532" s="10" t="str">
        <f t="shared" si="199"/>
        <v>nicoletta.vozza@crm.otsuka-europe.com</v>
      </c>
      <c r="N3532" s="13">
        <v>46181.33792824074</v>
      </c>
      <c r="O3532" s="14" t="str">
        <f>HYPERLINK("https://otsuka-europe-crm.veevavault.com/ui/#object/email_activity__v/V8C00000003P377", "EN-002090383")</f>
        <v>EN-002090383</v>
      </c>
    </row>
    <row r="3533" spans="1:15" ht="32" x14ac:dyDescent="0.2">
      <c r="A3533" s="7" t="str">
        <f>HYPERLINK("https://otsuka-europe-crm.veevavault.com/ui/#object/account__v/V4TZ06G6O8SHW70", "EMANUELA POPOLI")</f>
        <v>EMANUELA POPOLI</v>
      </c>
      <c r="B3533" s="7" t="str">
        <f t="shared" si="196"/>
        <v>IT</v>
      </c>
      <c r="C3533" s="8" t="s">
        <v>44</v>
      </c>
      <c r="D3533" s="9" t="str">
        <f t="shared" si="197"/>
        <v>AE dialoghi di tempo fiducia e cura episodi 2-3-4</v>
      </c>
      <c r="E3533" s="10" t="str">
        <f>HYPERLINK("https://otsuka-europe-crm.veevavault.com/ui/#object/sent_email__v/VBL00000002O967", "SE-001432638")</f>
        <v>SE-001432638</v>
      </c>
      <c r="F3533" s="11"/>
      <c r="G3533" s="12">
        <v>0</v>
      </c>
      <c r="H3533" s="12">
        <v>0</v>
      </c>
      <c r="I3533" s="12">
        <v>0</v>
      </c>
      <c r="J3533" s="11"/>
      <c r="K3533" s="12">
        <v>0</v>
      </c>
      <c r="L3533" s="10" t="str">
        <f t="shared" si="198"/>
        <v>AE dialoghi di tempo fiducia e cura episodi 2-3-4</v>
      </c>
      <c r="M3533" s="10" t="str">
        <f t="shared" si="199"/>
        <v>nicoletta.vozza@crm.otsuka-europe.com</v>
      </c>
      <c r="N3533" s="13">
        <v>46181.337997685187</v>
      </c>
      <c r="O3533" s="14" t="str">
        <f>HYPERLINK("https://otsuka-europe-crm.veevavault.com/ui/#object/email_activity__v/V8C00000003O830", "EN-002090532")</f>
        <v>EN-002090532</v>
      </c>
    </row>
    <row r="3534" spans="1:15" ht="32" x14ac:dyDescent="0.2">
      <c r="A3534" s="7" t="str">
        <f>HYPERLINK("https://otsuka-europe-crm.veevavault.com/ui/#object/account__v/V4TZ06G6O8THPVV", "EMANUELA RIVELA")</f>
        <v>EMANUELA RIVELA</v>
      </c>
      <c r="B3534" s="7" t="str">
        <f t="shared" si="196"/>
        <v>IT</v>
      </c>
      <c r="C3534" s="8" t="s">
        <v>44</v>
      </c>
      <c r="D3534" s="9" t="str">
        <f t="shared" si="197"/>
        <v>AE dialoghi di tempo fiducia e cura episodi 2-3-4</v>
      </c>
      <c r="E3534" s="10" t="str">
        <f>HYPERLINK("https://otsuka-europe-crm.veevavault.com/ui/#object/sent_email__v/VBL00000002O968", "SE-001432639")</f>
        <v>SE-001432639</v>
      </c>
      <c r="F3534" s="11"/>
      <c r="G3534" s="12">
        <v>0</v>
      </c>
      <c r="H3534" s="12">
        <v>0</v>
      </c>
      <c r="I3534" s="12">
        <v>0</v>
      </c>
      <c r="J3534" s="11"/>
      <c r="K3534" s="12">
        <v>0</v>
      </c>
      <c r="L3534" s="10" t="str">
        <f t="shared" si="198"/>
        <v>AE dialoghi di tempo fiducia e cura episodi 2-3-4</v>
      </c>
      <c r="M3534" s="10" t="str">
        <f t="shared" si="199"/>
        <v>nicoletta.vozza@crm.otsuka-europe.com</v>
      </c>
      <c r="N3534" s="13">
        <v>46181.337916666664</v>
      </c>
      <c r="O3534" s="15"/>
    </row>
    <row r="3535" spans="1:15" ht="32" x14ac:dyDescent="0.2">
      <c r="A3535" s="7" t="str">
        <f>HYPERLINK("https://otsuka-europe-crm.veevavault.com/ui/#object/account__v/V4TZ06G6O71SCAC", "EMANUELA SALME'")</f>
        <v>EMANUELA SALME'</v>
      </c>
      <c r="B3535" s="7" t="str">
        <f t="shared" si="196"/>
        <v>IT</v>
      </c>
      <c r="C3535" s="8" t="s">
        <v>44</v>
      </c>
      <c r="D3535" s="9" t="str">
        <f t="shared" si="197"/>
        <v>AE dialoghi di tempo fiducia e cura episodi 2-3-4</v>
      </c>
      <c r="E3535" s="10" t="str">
        <f>HYPERLINK("https://otsuka-europe-crm.veevavault.com/ui/#object/sent_email__v/VBL00000002O969", "SE-001432640")</f>
        <v>SE-001432640</v>
      </c>
      <c r="F3535" s="11"/>
      <c r="G3535" s="12">
        <v>0</v>
      </c>
      <c r="H3535" s="12">
        <v>0</v>
      </c>
      <c r="I3535" s="12">
        <v>0</v>
      </c>
      <c r="J3535" s="11"/>
      <c r="K3535" s="12">
        <v>0</v>
      </c>
      <c r="L3535" s="10" t="str">
        <f t="shared" si="198"/>
        <v>AE dialoghi di tempo fiducia e cura episodi 2-3-4</v>
      </c>
      <c r="M3535" s="10" t="str">
        <f t="shared" si="199"/>
        <v>nicoletta.vozza@crm.otsuka-europe.com</v>
      </c>
      <c r="N3535" s="13">
        <v>46181.338055555556</v>
      </c>
      <c r="O3535" s="14" t="str">
        <f>HYPERLINK("https://otsuka-europe-crm.veevavault.com/ui/#object/email_activity__v/V8C00000003P413", "EN-002090419")</f>
        <v>EN-002090419</v>
      </c>
    </row>
    <row r="3536" spans="1:15" ht="16" x14ac:dyDescent="0.2">
      <c r="A3536" s="17" t="str">
        <f>HYPERLINK("https://otsuka-europe-crm.veevavault.com/ui/#object/account__v/V4TZ06G6O71SCIP", "EMANUELA TERRASI")</f>
        <v>EMANUELA TERRASI</v>
      </c>
      <c r="B3536" s="17" t="str">
        <f t="shared" si="196"/>
        <v>IT</v>
      </c>
      <c r="C3536" s="20" t="s">
        <v>44</v>
      </c>
      <c r="D3536" s="21" t="str">
        <f t="shared" si="197"/>
        <v>AE dialoghi di tempo fiducia e cura episodi 2-3-4</v>
      </c>
      <c r="E3536" s="22" t="str">
        <f>HYPERLINK("https://otsuka-europe-crm.veevavault.com/ui/#object/sent_email__v/VBL00000002O970", "SE-001432641")</f>
        <v>SE-001432641</v>
      </c>
      <c r="F3536" s="23">
        <v>46181.37263888889</v>
      </c>
      <c r="G3536" s="24">
        <v>1</v>
      </c>
      <c r="H3536" s="24">
        <v>1</v>
      </c>
      <c r="I3536" s="24">
        <v>0</v>
      </c>
      <c r="J3536" s="25"/>
      <c r="K3536" s="24">
        <v>0</v>
      </c>
      <c r="L3536" s="22" t="str">
        <f t="shared" si="198"/>
        <v>AE dialoghi di tempo fiducia e cura episodi 2-3-4</v>
      </c>
      <c r="M3536" s="22" t="str">
        <f t="shared" si="199"/>
        <v>nicoletta.vozza@crm.otsuka-europe.com</v>
      </c>
      <c r="N3536" s="23">
        <v>46181.33798611111</v>
      </c>
      <c r="O3536" s="14" t="str">
        <f>HYPERLINK("https://otsuka-europe-crm.veevavault.com/ui/#object/email_activity__v/V8C00000003O741", "EN-002090297")</f>
        <v>EN-002090297</v>
      </c>
    </row>
    <row r="3537" spans="1:15" ht="16" x14ac:dyDescent="0.2">
      <c r="A3537" s="19"/>
      <c r="B3537" s="19"/>
      <c r="C3537" s="19"/>
      <c r="D3537" s="19"/>
      <c r="E3537" s="19"/>
      <c r="F3537" s="19"/>
      <c r="G3537" s="19"/>
      <c r="H3537" s="19"/>
      <c r="I3537" s="19"/>
      <c r="J3537" s="19"/>
      <c r="K3537" s="19"/>
      <c r="L3537" s="19"/>
      <c r="M3537" s="19"/>
      <c r="N3537" s="19"/>
      <c r="O3537" s="14" t="str">
        <f>HYPERLINK("https://otsuka-europe-crm.veevavault.com/ui/#object/email_activity__v/V8C00000003Q343", "EN-002091522")</f>
        <v>EN-002091522</v>
      </c>
    </row>
    <row r="3538" spans="1:15" ht="32" x14ac:dyDescent="0.2">
      <c r="A3538" s="7" t="str">
        <f>HYPERLINK("https://otsuka-europe-crm.veevavault.com/ui/#object/account__v/V4TZ06G6O71SB00", "EMANUELE CAROPPO")</f>
        <v>EMANUELE CAROPPO</v>
      </c>
      <c r="B3538" s="7" t="str">
        <f t="shared" ref="B3538:B3545" si="200">HYPERLINK("https://otsuka-europe-crm.veevavault.com/ui/#object/vcountry__v/VENZ000004SONFQ", "IT")</f>
        <v>IT</v>
      </c>
      <c r="C3538" s="8" t="s">
        <v>44</v>
      </c>
      <c r="D3538" s="9" t="str">
        <f t="shared" ref="D3538:D3545" si="201">HYPERLINK("https://otsuka-europe-crm.veevavault.com/ui/#object/approved_document__v/V5O000000018003", "AE dialoghi di tempo fiducia e cura episodi 2-3-4")</f>
        <v>AE dialoghi di tempo fiducia e cura episodi 2-3-4</v>
      </c>
      <c r="E3538" s="10" t="str">
        <f>HYPERLINK("https://otsuka-europe-crm.veevavault.com/ui/#object/sent_email__v/VBL00000002O971", "SE-001432642")</f>
        <v>SE-001432642</v>
      </c>
      <c r="F3538" s="11"/>
      <c r="G3538" s="12">
        <v>0</v>
      </c>
      <c r="H3538" s="12">
        <v>0</v>
      </c>
      <c r="I3538" s="12">
        <v>0</v>
      </c>
      <c r="J3538" s="11"/>
      <c r="K3538" s="12">
        <v>0</v>
      </c>
      <c r="L3538" s="10" t="str">
        <f t="shared" ref="L3538:L3545" si="202">HYPERLINK("https://otsuka-europe-crm.veevavault.com/ui/#object/approved_document__v/V5O000000018003", "AE dialoghi di tempo fiducia e cura episodi 2-3-4")</f>
        <v>AE dialoghi di tempo fiducia e cura episodi 2-3-4</v>
      </c>
      <c r="M3538" s="10" t="str">
        <f t="shared" ref="M3538:M3545" si="203">HYPERLINK("mailto:nicoletta.vozza@crm.otsuka-europe.com", "nicoletta.vozza@crm.otsuka-europe.com")</f>
        <v>nicoletta.vozza@crm.otsuka-europe.com</v>
      </c>
      <c r="N3538" s="13">
        <v>46181.338090277779</v>
      </c>
      <c r="O3538" s="14" t="str">
        <f>HYPERLINK("https://otsuka-europe-crm.veevavault.com/ui/#object/email_activity__v/V8C00000003P843", "EN-002091202")</f>
        <v>EN-002091202</v>
      </c>
    </row>
    <row r="3539" spans="1:15" ht="32" x14ac:dyDescent="0.2">
      <c r="A3539" s="7" t="str">
        <f>HYPERLINK("https://otsuka-europe-crm.veevavault.com/ui/#object/account__v/V4TZ06G6O71SB9K", "EMANUELE FRANCESCO LAURIA")</f>
        <v>EMANUELE FRANCESCO LAURIA</v>
      </c>
      <c r="B3539" s="7" t="str">
        <f t="shared" si="200"/>
        <v>IT</v>
      </c>
      <c r="C3539" s="8" t="s">
        <v>44</v>
      </c>
      <c r="D3539" s="9" t="str">
        <f t="shared" si="201"/>
        <v>AE dialoghi di tempo fiducia e cura episodi 2-3-4</v>
      </c>
      <c r="E3539" s="10" t="str">
        <f>HYPERLINK("https://otsuka-europe-crm.veevavault.com/ui/#object/sent_email__v/VBL00000002O972", "SE-001432643")</f>
        <v>SE-001432643</v>
      </c>
      <c r="F3539" s="11"/>
      <c r="G3539" s="12">
        <v>0</v>
      </c>
      <c r="H3539" s="12">
        <v>0</v>
      </c>
      <c r="I3539" s="12">
        <v>0</v>
      </c>
      <c r="J3539" s="11"/>
      <c r="K3539" s="12">
        <v>0</v>
      </c>
      <c r="L3539" s="10" t="str">
        <f t="shared" si="202"/>
        <v>AE dialoghi di tempo fiducia e cura episodi 2-3-4</v>
      </c>
      <c r="M3539" s="10" t="str">
        <f t="shared" si="203"/>
        <v>nicoletta.vozza@crm.otsuka-europe.com</v>
      </c>
      <c r="N3539" s="13">
        <v>46181.33797453704</v>
      </c>
      <c r="O3539" s="14" t="str">
        <f>HYPERLINK("https://otsuka-europe-crm.veevavault.com/ui/#object/email_activity__v/V8C00000003P225", "EN-002089671")</f>
        <v>EN-002089671</v>
      </c>
    </row>
    <row r="3540" spans="1:15" ht="32" x14ac:dyDescent="0.2">
      <c r="A3540" s="7" t="str">
        <f>HYPERLINK("https://otsuka-europe-crm.veevavault.com/ui/#object/account__v/V4TZ06G6O71SCLR", "EMANUELE TONIOLO")</f>
        <v>EMANUELE TONIOLO</v>
      </c>
      <c r="B3540" s="7" t="str">
        <f t="shared" si="200"/>
        <v>IT</v>
      </c>
      <c r="C3540" s="8" t="s">
        <v>44</v>
      </c>
      <c r="D3540" s="9" t="str">
        <f t="shared" si="201"/>
        <v>AE dialoghi di tempo fiducia e cura episodi 2-3-4</v>
      </c>
      <c r="E3540" s="10" t="str">
        <f>HYPERLINK("https://otsuka-europe-crm.veevavault.com/ui/#object/sent_email__v/VBL00000002O973", "SE-001432644")</f>
        <v>SE-001432644</v>
      </c>
      <c r="F3540" s="11"/>
      <c r="G3540" s="12">
        <v>0</v>
      </c>
      <c r="H3540" s="12">
        <v>0</v>
      </c>
      <c r="I3540" s="12">
        <v>0</v>
      </c>
      <c r="J3540" s="11"/>
      <c r="K3540" s="12">
        <v>0</v>
      </c>
      <c r="L3540" s="10" t="str">
        <f t="shared" si="202"/>
        <v>AE dialoghi di tempo fiducia e cura episodi 2-3-4</v>
      </c>
      <c r="M3540" s="10" t="str">
        <f t="shared" si="203"/>
        <v>nicoletta.vozza@crm.otsuka-europe.com</v>
      </c>
      <c r="N3540" s="13">
        <v>46181.338055555556</v>
      </c>
      <c r="O3540" s="14" t="str">
        <f>HYPERLINK("https://otsuka-europe-crm.veevavault.com/ui/#object/email_activity__v/V8C00000003P316", "EN-002089952")</f>
        <v>EN-002089952</v>
      </c>
    </row>
    <row r="3541" spans="1:15" ht="32" x14ac:dyDescent="0.2">
      <c r="A3541" s="7" t="str">
        <f>HYPERLINK("https://otsuka-europe-crm.veevavault.com/ui/#object/account__v/V4TZ06G6O71SA3B", "EMIDIO GIROLAMI")</f>
        <v>EMIDIO GIROLAMI</v>
      </c>
      <c r="B3541" s="7" t="str">
        <f t="shared" si="200"/>
        <v>IT</v>
      </c>
      <c r="C3541" s="8" t="s">
        <v>44</v>
      </c>
      <c r="D3541" s="9" t="str">
        <f t="shared" si="201"/>
        <v>AE dialoghi di tempo fiducia e cura episodi 2-3-4</v>
      </c>
      <c r="E3541" s="10" t="str">
        <f>HYPERLINK("https://otsuka-europe-crm.veevavault.com/ui/#object/sent_email__v/VBL00000002O974", "SE-001432645")</f>
        <v>SE-001432645</v>
      </c>
      <c r="F3541" s="11"/>
      <c r="G3541" s="12">
        <v>0</v>
      </c>
      <c r="H3541" s="12">
        <v>0</v>
      </c>
      <c r="I3541" s="12">
        <v>0</v>
      </c>
      <c r="J3541" s="11"/>
      <c r="K3541" s="12">
        <v>0</v>
      </c>
      <c r="L3541" s="10" t="str">
        <f t="shared" si="202"/>
        <v>AE dialoghi di tempo fiducia e cura episodi 2-3-4</v>
      </c>
      <c r="M3541" s="10" t="str">
        <f t="shared" si="203"/>
        <v>nicoletta.vozza@crm.otsuka-europe.com</v>
      </c>
      <c r="N3541" s="13">
        <v>46181.33798611111</v>
      </c>
      <c r="O3541" s="14" t="str">
        <f>HYPERLINK("https://otsuka-europe-crm.veevavault.com/ui/#object/email_activity__v/V8C00000003O871", "EN-002090474")</f>
        <v>EN-002090474</v>
      </c>
    </row>
    <row r="3542" spans="1:15" ht="32" x14ac:dyDescent="0.2">
      <c r="A3542" s="7" t="str">
        <f>HYPERLINK("https://otsuka-europe-crm.veevavault.com/ui/#object/account__v/V4TZ06G6O71S9VM", "EMILIA ALFONSI")</f>
        <v>EMILIA ALFONSI</v>
      </c>
      <c r="B3542" s="7" t="str">
        <f t="shared" si="200"/>
        <v>IT</v>
      </c>
      <c r="C3542" s="8" t="s">
        <v>44</v>
      </c>
      <c r="D3542" s="9" t="str">
        <f t="shared" si="201"/>
        <v>AE dialoghi di tempo fiducia e cura episodi 2-3-4</v>
      </c>
      <c r="E3542" s="10" t="str">
        <f>HYPERLINK("https://otsuka-europe-crm.veevavault.com/ui/#object/sent_email__v/VBL00000002O975", "SE-001432646")</f>
        <v>SE-001432646</v>
      </c>
      <c r="F3542" s="11"/>
      <c r="G3542" s="12">
        <v>0</v>
      </c>
      <c r="H3542" s="12">
        <v>0</v>
      </c>
      <c r="I3542" s="12">
        <v>0</v>
      </c>
      <c r="J3542" s="11"/>
      <c r="K3542" s="12">
        <v>0</v>
      </c>
      <c r="L3542" s="10" t="str">
        <f t="shared" si="202"/>
        <v>AE dialoghi di tempo fiducia e cura episodi 2-3-4</v>
      </c>
      <c r="M3542" s="10" t="str">
        <f t="shared" si="203"/>
        <v>nicoletta.vozza@crm.otsuka-europe.com</v>
      </c>
      <c r="N3542" s="13">
        <v>46181.337997685187</v>
      </c>
      <c r="O3542" s="14" t="str">
        <f>HYPERLINK("https://otsuka-europe-crm.veevavault.com/ui/#object/email_activity__v/V8C00000003Q189", "EN-002091294")</f>
        <v>EN-002091294</v>
      </c>
    </row>
    <row r="3543" spans="1:15" ht="32" x14ac:dyDescent="0.2">
      <c r="A3543" s="7" t="str">
        <f>HYPERLINK("https://otsuka-europe-crm.veevavault.com/ui/#object/account__v/V4TZ06G6O71S9YV", "EMILIA ASCOLI")</f>
        <v>EMILIA ASCOLI</v>
      </c>
      <c r="B3543" s="7" t="str">
        <f t="shared" si="200"/>
        <v>IT</v>
      </c>
      <c r="C3543" s="8" t="s">
        <v>44</v>
      </c>
      <c r="D3543" s="9" t="str">
        <f t="shared" si="201"/>
        <v>AE dialoghi di tempo fiducia e cura episodi 2-3-4</v>
      </c>
      <c r="E3543" s="10" t="str">
        <f>HYPERLINK("https://otsuka-europe-crm.veevavault.com/ui/#object/sent_email__v/VBL00000002O976", "SE-001432647")</f>
        <v>SE-001432647</v>
      </c>
      <c r="F3543" s="11"/>
      <c r="G3543" s="12">
        <v>0</v>
      </c>
      <c r="H3543" s="12">
        <v>0</v>
      </c>
      <c r="I3543" s="12">
        <v>0</v>
      </c>
      <c r="J3543" s="11"/>
      <c r="K3543" s="12">
        <v>0</v>
      </c>
      <c r="L3543" s="10" t="str">
        <f t="shared" si="202"/>
        <v>AE dialoghi di tempo fiducia e cura episodi 2-3-4</v>
      </c>
      <c r="M3543" s="10" t="str">
        <f t="shared" si="203"/>
        <v>nicoletta.vozza@crm.otsuka-europe.com</v>
      </c>
      <c r="N3543" s="13">
        <v>46181.337916666664</v>
      </c>
      <c r="O3543" s="15"/>
    </row>
    <row r="3544" spans="1:15" ht="32" x14ac:dyDescent="0.2">
      <c r="A3544" s="7" t="str">
        <f>HYPERLINK("https://otsuka-europe-crm.veevavault.com/ui/#object/account__v/V4TZ06G6O71SAOZ", "EMILIA DI BUONO")</f>
        <v>EMILIA DI BUONO</v>
      </c>
      <c r="B3544" s="7" t="str">
        <f t="shared" si="200"/>
        <v>IT</v>
      </c>
      <c r="C3544" s="8" t="s">
        <v>44</v>
      </c>
      <c r="D3544" s="9" t="str">
        <f t="shared" si="201"/>
        <v>AE dialoghi di tempo fiducia e cura episodi 2-3-4</v>
      </c>
      <c r="E3544" s="10" t="str">
        <f>HYPERLINK("https://otsuka-europe-crm.veevavault.com/ui/#object/sent_email__v/VBL00000002O977", "SE-001432648")</f>
        <v>SE-001432648</v>
      </c>
      <c r="F3544" s="11"/>
      <c r="G3544" s="12">
        <v>0</v>
      </c>
      <c r="H3544" s="12">
        <v>0</v>
      </c>
      <c r="I3544" s="12">
        <v>0</v>
      </c>
      <c r="J3544" s="11"/>
      <c r="K3544" s="12">
        <v>0</v>
      </c>
      <c r="L3544" s="10" t="str">
        <f t="shared" si="202"/>
        <v>AE dialoghi di tempo fiducia e cura episodi 2-3-4</v>
      </c>
      <c r="M3544" s="10" t="str">
        <f t="shared" si="203"/>
        <v>nicoletta.vozza@crm.otsuka-europe.com</v>
      </c>
      <c r="N3544" s="13">
        <v>46181.337962962964</v>
      </c>
      <c r="O3544" s="14" t="str">
        <f>HYPERLINK("https://otsuka-europe-crm.veevavault.com/ui/#object/email_activity__v/V8C00000003O455", "EN-002090011")</f>
        <v>EN-002090011</v>
      </c>
    </row>
    <row r="3545" spans="1:15" ht="16" x14ac:dyDescent="0.2">
      <c r="A3545" s="17" t="str">
        <f>HYPERLINK("https://otsuka-europe-crm.veevavault.com/ui/#object/account__v/V4TZ06G6O965YZE", "EMILIO DEL ZOTTI")</f>
        <v>EMILIO DEL ZOTTI</v>
      </c>
      <c r="B3545" s="17" t="str">
        <f t="shared" si="200"/>
        <v>IT</v>
      </c>
      <c r="C3545" s="20" t="s">
        <v>44</v>
      </c>
      <c r="D3545" s="21" t="str">
        <f t="shared" si="201"/>
        <v>AE dialoghi di tempo fiducia e cura episodi 2-3-4</v>
      </c>
      <c r="E3545" s="22" t="str">
        <f>HYPERLINK("https://otsuka-europe-crm.veevavault.com/ui/#object/sent_email__v/VBL00000002O978", "SE-001432649")</f>
        <v>SE-001432649</v>
      </c>
      <c r="F3545" s="23">
        <v>46182.325289351851</v>
      </c>
      <c r="G3545" s="24">
        <v>1</v>
      </c>
      <c r="H3545" s="24">
        <v>1</v>
      </c>
      <c r="I3545" s="24">
        <v>0</v>
      </c>
      <c r="J3545" s="25"/>
      <c r="K3545" s="24">
        <v>0</v>
      </c>
      <c r="L3545" s="22" t="str">
        <f t="shared" si="202"/>
        <v>AE dialoghi di tempo fiducia e cura episodi 2-3-4</v>
      </c>
      <c r="M3545" s="22" t="str">
        <f t="shared" si="203"/>
        <v>nicoletta.vozza@crm.otsuka-europe.com</v>
      </c>
      <c r="N3545" s="23">
        <v>46181.338067129633</v>
      </c>
      <c r="O3545" s="14" t="str">
        <f>HYPERLINK("https://otsuka-europe-crm.veevavault.com/ui/#object/email_activity__v/V8C00000003O602", "EN-002090158")</f>
        <v>EN-002090158</v>
      </c>
    </row>
    <row r="3546" spans="1:15" ht="16" x14ac:dyDescent="0.2">
      <c r="A3546" s="19"/>
      <c r="B3546" s="19"/>
      <c r="C3546" s="19"/>
      <c r="D3546" s="19"/>
      <c r="E3546" s="19"/>
      <c r="F3546" s="19"/>
      <c r="G3546" s="19"/>
      <c r="H3546" s="19"/>
      <c r="I3546" s="19"/>
      <c r="J3546" s="19"/>
      <c r="K3546" s="19"/>
      <c r="L3546" s="19"/>
      <c r="M3546" s="19"/>
      <c r="N3546" s="19"/>
      <c r="O3546" s="14" t="str">
        <f>HYPERLINK("https://otsuka-europe-crm.veevavault.com/ui/#object/email_activity__v/V8C00000003Q753", "EN-002092331")</f>
        <v>EN-002092331</v>
      </c>
    </row>
    <row r="3547" spans="1:15" ht="16" x14ac:dyDescent="0.2">
      <c r="A3547" s="17" t="str">
        <f>HYPERLINK("https://otsuka-europe-crm.veevavault.com/ui/#object/account__v/V4TZ06G6O71SA9J", "EMMA D'AIETTI")</f>
        <v>EMMA D'AIETTI</v>
      </c>
      <c r="B3547" s="17" t="str">
        <f>HYPERLINK("https://otsuka-europe-crm.veevavault.com/ui/#object/vcountry__v/VENZ000004SONFQ", "IT")</f>
        <v>IT</v>
      </c>
      <c r="C3547" s="20" t="s">
        <v>44</v>
      </c>
      <c r="D3547" s="21" t="str">
        <f>HYPERLINK("https://otsuka-europe-crm.veevavault.com/ui/#object/approved_document__v/V5O000000018003", "AE dialoghi di tempo fiducia e cura episodi 2-3-4")</f>
        <v>AE dialoghi di tempo fiducia e cura episodi 2-3-4</v>
      </c>
      <c r="E3547" s="22" t="str">
        <f>HYPERLINK("https://otsuka-europe-crm.veevavault.com/ui/#object/sent_email__v/VBL00000002O979", "SE-001432650")</f>
        <v>SE-001432650</v>
      </c>
      <c r="F3547" s="23">
        <v>46181.338101851848</v>
      </c>
      <c r="G3547" s="24">
        <v>1</v>
      </c>
      <c r="H3547" s="24">
        <v>1</v>
      </c>
      <c r="I3547" s="24">
        <v>0</v>
      </c>
      <c r="J3547" s="25"/>
      <c r="K3547" s="24">
        <v>0</v>
      </c>
      <c r="L3547" s="22" t="str">
        <f>HYPERLINK("https://otsuka-europe-crm.veevavault.com/ui/#object/approved_document__v/V5O000000018003", "AE dialoghi di tempo fiducia e cura episodi 2-3-4")</f>
        <v>AE dialoghi di tempo fiducia e cura episodi 2-3-4</v>
      </c>
      <c r="M3547" s="22" t="str">
        <f>HYPERLINK("mailto:nicoletta.vozza@crm.otsuka-europe.com", "nicoletta.vozza@crm.otsuka-europe.com")</f>
        <v>nicoletta.vozza@crm.otsuka-europe.com</v>
      </c>
      <c r="N3547" s="23">
        <v>46181.33798611111</v>
      </c>
      <c r="O3547" s="14" t="str">
        <f>HYPERLINK("https://otsuka-europe-crm.veevavault.com/ui/#object/email_activity__v/V8C00000003O355", "EN-002089873")</f>
        <v>EN-002089873</v>
      </c>
    </row>
    <row r="3548" spans="1:15" ht="16" x14ac:dyDescent="0.2">
      <c r="A3548" s="19"/>
      <c r="B3548" s="19"/>
      <c r="C3548" s="19"/>
      <c r="D3548" s="19"/>
      <c r="E3548" s="19"/>
      <c r="F3548" s="19"/>
      <c r="G3548" s="19"/>
      <c r="H3548" s="19"/>
      <c r="I3548" s="19"/>
      <c r="J3548" s="19"/>
      <c r="K3548" s="19"/>
      <c r="L3548" s="19"/>
      <c r="M3548" s="19"/>
      <c r="N3548" s="19"/>
      <c r="O3548" s="14" t="str">
        <f>HYPERLINK("https://otsuka-europe-crm.veevavault.com/ui/#object/email_activity__v/V8C00000003P509", "EN-002090721")</f>
        <v>EN-002090721</v>
      </c>
    </row>
    <row r="3549" spans="1:15" ht="32" x14ac:dyDescent="0.2">
      <c r="A3549" s="7" t="str">
        <f>HYPERLINK("https://otsuka-europe-crm.veevavault.com/ui/#object/account__v/V4TZ06G6O9VFVI2", "ENNIO FOPPIANI")</f>
        <v>ENNIO FOPPIANI</v>
      </c>
      <c r="B3549" s="7" t="str">
        <f t="shared" ref="B3549:B3556" si="204">HYPERLINK("https://otsuka-europe-crm.veevavault.com/ui/#object/vcountry__v/VENZ000004SONFQ", "IT")</f>
        <v>IT</v>
      </c>
      <c r="C3549" s="8" t="s">
        <v>44</v>
      </c>
      <c r="D3549" s="9" t="str">
        <f t="shared" ref="D3549:D3556" si="205">HYPERLINK("https://otsuka-europe-crm.veevavault.com/ui/#object/approved_document__v/V5O000000018003", "AE dialoghi di tempo fiducia e cura episodi 2-3-4")</f>
        <v>AE dialoghi di tempo fiducia e cura episodi 2-3-4</v>
      </c>
      <c r="E3549" s="10" t="str">
        <f>HYPERLINK("https://otsuka-europe-crm.veevavault.com/ui/#object/sent_email__v/VBL00000002O980", "SE-001432651")</f>
        <v>SE-001432651</v>
      </c>
      <c r="F3549" s="11"/>
      <c r="G3549" s="12">
        <v>0</v>
      </c>
      <c r="H3549" s="12">
        <v>0</v>
      </c>
      <c r="I3549" s="12">
        <v>0</v>
      </c>
      <c r="J3549" s="11"/>
      <c r="K3549" s="12">
        <v>0</v>
      </c>
      <c r="L3549" s="10" t="str">
        <f t="shared" ref="L3549:L3556" si="206">HYPERLINK("https://otsuka-europe-crm.veevavault.com/ui/#object/approved_document__v/V5O000000018003", "AE dialoghi di tempo fiducia e cura episodi 2-3-4")</f>
        <v>AE dialoghi di tempo fiducia e cura episodi 2-3-4</v>
      </c>
      <c r="M3549" s="10" t="str">
        <f t="shared" ref="M3549:M3556" si="207">HYPERLINK("mailto:nicoletta.vozza@crm.otsuka-europe.com", "nicoletta.vozza@crm.otsuka-europe.com")</f>
        <v>nicoletta.vozza@crm.otsuka-europe.com</v>
      </c>
      <c r="N3549" s="13">
        <v>46181.338043981479</v>
      </c>
      <c r="O3549" s="14" t="str">
        <f>HYPERLINK("https://otsuka-europe-crm.veevavault.com/ui/#object/email_activity__v/V8C00000003O999", "EN-002090748")</f>
        <v>EN-002090748</v>
      </c>
    </row>
    <row r="3550" spans="1:15" ht="32" x14ac:dyDescent="0.2">
      <c r="A3550" s="7" t="str">
        <f>HYPERLINK("https://otsuka-europe-crm.veevavault.com/ui/#object/account__v/V4TZ06G6O71SAF0", "ENRICA CASOLI")</f>
        <v>ENRICA CASOLI</v>
      </c>
      <c r="B3550" s="7" t="str">
        <f t="shared" si="204"/>
        <v>IT</v>
      </c>
      <c r="C3550" s="8" t="s">
        <v>44</v>
      </c>
      <c r="D3550" s="9" t="str">
        <f t="shared" si="205"/>
        <v>AE dialoghi di tempo fiducia e cura episodi 2-3-4</v>
      </c>
      <c r="E3550" s="10" t="str">
        <f>HYPERLINK("https://otsuka-europe-crm.veevavault.com/ui/#object/sent_email__v/VBL00000002O981", "SE-001432652")</f>
        <v>SE-001432652</v>
      </c>
      <c r="F3550" s="11"/>
      <c r="G3550" s="12">
        <v>0</v>
      </c>
      <c r="H3550" s="12">
        <v>0</v>
      </c>
      <c r="I3550" s="12">
        <v>0</v>
      </c>
      <c r="J3550" s="11"/>
      <c r="K3550" s="12">
        <v>0</v>
      </c>
      <c r="L3550" s="10" t="str">
        <f t="shared" si="206"/>
        <v>AE dialoghi di tempo fiducia e cura episodi 2-3-4</v>
      </c>
      <c r="M3550" s="10" t="str">
        <f t="shared" si="207"/>
        <v>nicoletta.vozza@crm.otsuka-europe.com</v>
      </c>
      <c r="N3550" s="13">
        <v>46181.338090277779</v>
      </c>
      <c r="O3550" s="14" t="str">
        <f>HYPERLINK("https://otsuka-europe-crm.veevavault.com/ui/#object/email_activity__v/V8C00000003Q272", "EN-002091390")</f>
        <v>EN-002091390</v>
      </c>
    </row>
    <row r="3551" spans="1:15" ht="32" x14ac:dyDescent="0.2">
      <c r="A3551" s="7" t="str">
        <f>HYPERLINK("https://otsuka-europe-crm.veevavault.com/ui/#object/account__v/V4TZ04ASG8DZITX", "ENRICA SALVADOR")</f>
        <v>ENRICA SALVADOR</v>
      </c>
      <c r="B3551" s="7" t="str">
        <f t="shared" si="204"/>
        <v>IT</v>
      </c>
      <c r="C3551" s="8" t="s">
        <v>44</v>
      </c>
      <c r="D3551" s="9" t="str">
        <f t="shared" si="205"/>
        <v>AE dialoghi di tempo fiducia e cura episodi 2-3-4</v>
      </c>
      <c r="E3551" s="10" t="str">
        <f>HYPERLINK("https://otsuka-europe-crm.veevavault.com/ui/#object/sent_email__v/VBL00000002O982", "SE-001432653")</f>
        <v>SE-001432653</v>
      </c>
      <c r="F3551" s="11"/>
      <c r="G3551" s="12">
        <v>0</v>
      </c>
      <c r="H3551" s="12">
        <v>0</v>
      </c>
      <c r="I3551" s="12">
        <v>0</v>
      </c>
      <c r="J3551" s="11"/>
      <c r="K3551" s="12">
        <v>0</v>
      </c>
      <c r="L3551" s="10" t="str">
        <f t="shared" si="206"/>
        <v>AE dialoghi di tempo fiducia e cura episodi 2-3-4</v>
      </c>
      <c r="M3551" s="10" t="str">
        <f t="shared" si="207"/>
        <v>nicoletta.vozza@crm.otsuka-europe.com</v>
      </c>
      <c r="N3551" s="13">
        <v>46181.33798611111</v>
      </c>
      <c r="O3551" s="14" t="str">
        <f>HYPERLINK("https://otsuka-europe-crm.veevavault.com/ui/#object/email_activity__v/V8C00000003P281", "EN-002089917")</f>
        <v>EN-002089917</v>
      </c>
    </row>
    <row r="3552" spans="1:15" ht="32" x14ac:dyDescent="0.2">
      <c r="A3552" s="7" t="str">
        <f>HYPERLINK("https://otsuka-europe-crm.veevavault.com/ui/#object/account__v/V4TZ06G6O71SACY", "ENRICO CAPRA")</f>
        <v>ENRICO CAPRA</v>
      </c>
      <c r="B3552" s="7" t="str">
        <f t="shared" si="204"/>
        <v>IT</v>
      </c>
      <c r="C3552" s="8" t="s">
        <v>44</v>
      </c>
      <c r="D3552" s="9" t="str">
        <f t="shared" si="205"/>
        <v>AE dialoghi di tempo fiducia e cura episodi 2-3-4</v>
      </c>
      <c r="E3552" s="10" t="str">
        <f>HYPERLINK("https://otsuka-europe-crm.veevavault.com/ui/#object/sent_email__v/VBL00000002O983", "SE-001432654")</f>
        <v>SE-001432654</v>
      </c>
      <c r="F3552" s="11"/>
      <c r="G3552" s="12">
        <v>0</v>
      </c>
      <c r="H3552" s="12">
        <v>0</v>
      </c>
      <c r="I3552" s="12">
        <v>0</v>
      </c>
      <c r="J3552" s="11"/>
      <c r="K3552" s="12">
        <v>0</v>
      </c>
      <c r="L3552" s="10" t="str">
        <f t="shared" si="206"/>
        <v>AE dialoghi di tempo fiducia e cura episodi 2-3-4</v>
      </c>
      <c r="M3552" s="10" t="str">
        <f t="shared" si="207"/>
        <v>nicoletta.vozza@crm.otsuka-europe.com</v>
      </c>
      <c r="N3552" s="13">
        <v>46181.338020833333</v>
      </c>
      <c r="O3552" s="14" t="str">
        <f>HYPERLINK("https://otsuka-europe-crm.veevavault.com/ui/#object/email_activity__v/V8C00000003O949", "EN-002090609")</f>
        <v>EN-002090609</v>
      </c>
    </row>
    <row r="3553" spans="1:15" ht="32" x14ac:dyDescent="0.2">
      <c r="A3553" s="7" t="str">
        <f>HYPERLINK("https://otsuka-europe-crm.veevavault.com/ui/#object/account__v/V4TZ025E881CGZN", "ENRICO CRISTOFORI")</f>
        <v>ENRICO CRISTOFORI</v>
      </c>
      <c r="B3553" s="7" t="str">
        <f t="shared" si="204"/>
        <v>IT</v>
      </c>
      <c r="C3553" s="8" t="s">
        <v>44</v>
      </c>
      <c r="D3553" s="9" t="str">
        <f t="shared" si="205"/>
        <v>AE dialoghi di tempo fiducia e cura episodi 2-3-4</v>
      </c>
      <c r="E3553" s="10" t="str">
        <f>HYPERLINK("https://otsuka-europe-crm.veevavault.com/ui/#object/sent_email__v/VBL00000002O984", "SE-001432655")</f>
        <v>SE-001432655</v>
      </c>
      <c r="F3553" s="11"/>
      <c r="G3553" s="12">
        <v>0</v>
      </c>
      <c r="H3553" s="12">
        <v>0</v>
      </c>
      <c r="I3553" s="12">
        <v>0</v>
      </c>
      <c r="J3553" s="11"/>
      <c r="K3553" s="12">
        <v>0</v>
      </c>
      <c r="L3553" s="10" t="str">
        <f t="shared" si="206"/>
        <v>AE dialoghi di tempo fiducia e cura episodi 2-3-4</v>
      </c>
      <c r="M3553" s="10" t="str">
        <f t="shared" si="207"/>
        <v>nicoletta.vozza@crm.otsuka-europe.com</v>
      </c>
      <c r="N3553" s="13">
        <v>46181.338113425925</v>
      </c>
      <c r="O3553" s="14" t="str">
        <f>HYPERLINK("https://otsuka-europe-crm.veevavault.com/ui/#object/email_activity__v/V8C00000003Q075", "EN-002091140")</f>
        <v>EN-002091140</v>
      </c>
    </row>
    <row r="3554" spans="1:15" ht="32" x14ac:dyDescent="0.2">
      <c r="A3554" s="7" t="str">
        <f>HYPERLINK("https://otsuka-europe-crm.veevavault.com/ui/#object/account__v/V4TZ06G6O71SAW2", "ENRICO GIUFFRA")</f>
        <v>ENRICO GIUFFRA</v>
      </c>
      <c r="B3554" s="7" t="str">
        <f t="shared" si="204"/>
        <v>IT</v>
      </c>
      <c r="C3554" s="8" t="s">
        <v>44</v>
      </c>
      <c r="D3554" s="9" t="str">
        <f t="shared" si="205"/>
        <v>AE dialoghi di tempo fiducia e cura episodi 2-3-4</v>
      </c>
      <c r="E3554" s="10" t="str">
        <f>HYPERLINK("https://otsuka-europe-crm.veevavault.com/ui/#object/sent_email__v/VBL00000002O985", "SE-001432656")</f>
        <v>SE-001432656</v>
      </c>
      <c r="F3554" s="11"/>
      <c r="G3554" s="12">
        <v>0</v>
      </c>
      <c r="H3554" s="12">
        <v>0</v>
      </c>
      <c r="I3554" s="12">
        <v>0</v>
      </c>
      <c r="J3554" s="11"/>
      <c r="K3554" s="12">
        <v>0</v>
      </c>
      <c r="L3554" s="10" t="str">
        <f t="shared" si="206"/>
        <v>AE dialoghi di tempo fiducia e cura episodi 2-3-4</v>
      </c>
      <c r="M3554" s="10" t="str">
        <f t="shared" si="207"/>
        <v>nicoletta.vozza@crm.otsuka-europe.com</v>
      </c>
      <c r="N3554" s="13">
        <v>46181.33798611111</v>
      </c>
      <c r="O3554" s="14" t="str">
        <f>HYPERLINK("https://otsuka-europe-crm.veevavault.com/ui/#object/email_activity__v/V8C00000003Q077", "EN-002091142")</f>
        <v>EN-002091142</v>
      </c>
    </row>
    <row r="3555" spans="1:15" ht="32" x14ac:dyDescent="0.2">
      <c r="A3555" s="7" t="str">
        <f>HYPERLINK("https://otsuka-europe-crm.veevavault.com/ui/#object/account__v/V4TZ06G6O71SB8E", "ENRICO LA DELFA")</f>
        <v>ENRICO LA DELFA</v>
      </c>
      <c r="B3555" s="7" t="str">
        <f t="shared" si="204"/>
        <v>IT</v>
      </c>
      <c r="C3555" s="8" t="s">
        <v>44</v>
      </c>
      <c r="D3555" s="9" t="str">
        <f t="shared" si="205"/>
        <v>AE dialoghi di tempo fiducia e cura episodi 2-3-4</v>
      </c>
      <c r="E3555" s="10" t="str">
        <f>HYPERLINK("https://otsuka-europe-crm.veevavault.com/ui/#object/sent_email__v/VBL00000002O986", "SE-001432657")</f>
        <v>SE-001432657</v>
      </c>
      <c r="F3555" s="11"/>
      <c r="G3555" s="12">
        <v>0</v>
      </c>
      <c r="H3555" s="12">
        <v>0</v>
      </c>
      <c r="I3555" s="12">
        <v>0</v>
      </c>
      <c r="J3555" s="11"/>
      <c r="K3555" s="12">
        <v>0</v>
      </c>
      <c r="L3555" s="10" t="str">
        <f t="shared" si="206"/>
        <v>AE dialoghi di tempo fiducia e cura episodi 2-3-4</v>
      </c>
      <c r="M3555" s="10" t="str">
        <f t="shared" si="207"/>
        <v>nicoletta.vozza@crm.otsuka-europe.com</v>
      </c>
      <c r="N3555" s="13">
        <v>46181.337939814817</v>
      </c>
      <c r="O3555" s="14" t="str">
        <f>HYPERLINK("https://otsuka-europe-crm.veevavault.com/ui/#object/email_activity__v/V8C00000003O809", "EN-002090511")</f>
        <v>EN-002090511</v>
      </c>
    </row>
    <row r="3556" spans="1:15" ht="16" x14ac:dyDescent="0.2">
      <c r="A3556" s="17" t="str">
        <f>HYPERLINK("https://otsuka-europe-crm.veevavault.com/ui/#object/account__v/V4TZ06G6O71SB46", "ENRICO ORAZIO GIULIANI")</f>
        <v>ENRICO ORAZIO GIULIANI</v>
      </c>
      <c r="B3556" s="17" t="str">
        <f t="shared" si="204"/>
        <v>IT</v>
      </c>
      <c r="C3556" s="20" t="s">
        <v>44</v>
      </c>
      <c r="D3556" s="21" t="str">
        <f t="shared" si="205"/>
        <v>AE dialoghi di tempo fiducia e cura episodi 2-3-4</v>
      </c>
      <c r="E3556" s="22" t="str">
        <f>HYPERLINK("https://otsuka-europe-crm.veevavault.com/ui/#object/sent_email__v/VBL00000002O987", "SE-001432658")</f>
        <v>SE-001432658</v>
      </c>
      <c r="F3556" s="23">
        <v>46181.422118055554</v>
      </c>
      <c r="G3556" s="24">
        <v>1</v>
      </c>
      <c r="H3556" s="24">
        <v>2</v>
      </c>
      <c r="I3556" s="24">
        <v>0</v>
      </c>
      <c r="J3556" s="25"/>
      <c r="K3556" s="24">
        <v>0</v>
      </c>
      <c r="L3556" s="22" t="str">
        <f t="shared" si="206"/>
        <v>AE dialoghi di tempo fiducia e cura episodi 2-3-4</v>
      </c>
      <c r="M3556" s="22" t="str">
        <f t="shared" si="207"/>
        <v>nicoletta.vozza@crm.otsuka-europe.com</v>
      </c>
      <c r="N3556" s="23">
        <v>46181.338055555556</v>
      </c>
      <c r="O3556" s="14" t="str">
        <f>HYPERLINK("https://otsuka-europe-crm.veevavault.com/ui/#object/email_activity__v/V8C00000003P808", "EN-002091106")</f>
        <v>EN-002091106</v>
      </c>
    </row>
    <row r="3557" spans="1:15" ht="16" x14ac:dyDescent="0.2">
      <c r="A3557" s="18"/>
      <c r="B3557" s="18"/>
      <c r="C3557" s="18"/>
      <c r="D3557" s="18"/>
      <c r="E3557" s="18"/>
      <c r="F3557" s="18"/>
      <c r="G3557" s="18"/>
      <c r="H3557" s="18"/>
      <c r="I3557" s="18"/>
      <c r="J3557" s="18"/>
      <c r="K3557" s="18"/>
      <c r="L3557" s="18"/>
      <c r="M3557" s="18"/>
      <c r="N3557" s="18"/>
      <c r="O3557" s="14" t="str">
        <f>HYPERLINK("https://otsuka-europe-crm.veevavault.com/ui/#object/email_activity__v/V8C00000003R056", "EN-002091789")</f>
        <v>EN-002091789</v>
      </c>
    </row>
    <row r="3558" spans="1:15" ht="16" x14ac:dyDescent="0.2">
      <c r="A3558" s="19"/>
      <c r="B3558" s="19"/>
      <c r="C3558" s="19"/>
      <c r="D3558" s="19"/>
      <c r="E3558" s="19"/>
      <c r="F3558" s="19"/>
      <c r="G3558" s="19"/>
      <c r="H3558" s="19"/>
      <c r="I3558" s="19"/>
      <c r="J3558" s="19"/>
      <c r="K3558" s="19"/>
      <c r="L3558" s="19"/>
      <c r="M3558" s="19"/>
      <c r="N3558" s="19"/>
      <c r="O3558" s="14" t="str">
        <f>HYPERLINK("https://otsuka-europe-crm.veevavault.com/ui/#object/email_activity__v/V8C00000003R057", "EN-002091790")</f>
        <v>EN-002091790</v>
      </c>
    </row>
    <row r="3559" spans="1:15" ht="32" x14ac:dyDescent="0.2">
      <c r="A3559" s="7" t="str">
        <f>HYPERLINK("https://otsuka-europe-crm.veevavault.com/ui/#object/account__v/V4TZ04ASG6LB3UI", "ENRICO RIBUOLI")</f>
        <v>ENRICO RIBUOLI</v>
      </c>
      <c r="B3559" s="7" t="str">
        <f t="shared" ref="B3559:B3565" si="208">HYPERLINK("https://otsuka-europe-crm.veevavault.com/ui/#object/vcountry__v/VENZ000004SONFQ", "IT")</f>
        <v>IT</v>
      </c>
      <c r="C3559" s="8" t="s">
        <v>44</v>
      </c>
      <c r="D3559" s="9" t="str">
        <f t="shared" ref="D3559:D3565" si="209">HYPERLINK("https://otsuka-europe-crm.veevavault.com/ui/#object/approved_document__v/V5O000000018003", "AE dialoghi di tempo fiducia e cura episodi 2-3-4")</f>
        <v>AE dialoghi di tempo fiducia e cura episodi 2-3-4</v>
      </c>
      <c r="E3559" s="10" t="str">
        <f>HYPERLINK("https://otsuka-europe-crm.veevavault.com/ui/#object/sent_email__v/VBL00000002O988", "SE-001432659")</f>
        <v>SE-001432659</v>
      </c>
      <c r="F3559" s="11"/>
      <c r="G3559" s="12">
        <v>0</v>
      </c>
      <c r="H3559" s="12">
        <v>0</v>
      </c>
      <c r="I3559" s="12">
        <v>0</v>
      </c>
      <c r="J3559" s="11"/>
      <c r="K3559" s="12">
        <v>0</v>
      </c>
      <c r="L3559" s="10" t="str">
        <f t="shared" ref="L3559:L3565" si="210">HYPERLINK("https://otsuka-europe-crm.veevavault.com/ui/#object/approved_document__v/V5O000000018003", "AE dialoghi di tempo fiducia e cura episodi 2-3-4")</f>
        <v>AE dialoghi di tempo fiducia e cura episodi 2-3-4</v>
      </c>
      <c r="M3559" s="10" t="str">
        <f t="shared" ref="M3559:M3565" si="211">HYPERLINK("mailto:nicoletta.vozza@crm.otsuka-europe.com", "nicoletta.vozza@crm.otsuka-europe.com")</f>
        <v>nicoletta.vozza@crm.otsuka-europe.com</v>
      </c>
      <c r="N3559" s="13">
        <v>46181.338043981479</v>
      </c>
      <c r="O3559" s="14" t="str">
        <f>HYPERLINK("https://otsuka-europe-crm.veevavault.com/ui/#object/email_activity__v/V8C00000003Q232", "EN-002091338")</f>
        <v>EN-002091338</v>
      </c>
    </row>
    <row r="3560" spans="1:15" ht="32" x14ac:dyDescent="0.2">
      <c r="A3560" s="7" t="str">
        <f>HYPERLINK("https://otsuka-europe-crm.veevavault.com/ui/#object/account__v/V4TZ06G6O71SC4Z", "ENRICO ROSSELLA")</f>
        <v>ENRICO ROSSELLA</v>
      </c>
      <c r="B3560" s="7" t="str">
        <f t="shared" si="208"/>
        <v>IT</v>
      </c>
      <c r="C3560" s="8" t="s">
        <v>44</v>
      </c>
      <c r="D3560" s="9" t="str">
        <f t="shared" si="209"/>
        <v>AE dialoghi di tempo fiducia e cura episodi 2-3-4</v>
      </c>
      <c r="E3560" s="10" t="str">
        <f>HYPERLINK("https://otsuka-europe-crm.veevavault.com/ui/#object/sent_email__v/VBL00000002O989", "SE-001432660")</f>
        <v>SE-001432660</v>
      </c>
      <c r="F3560" s="11"/>
      <c r="G3560" s="12">
        <v>0</v>
      </c>
      <c r="H3560" s="12">
        <v>0</v>
      </c>
      <c r="I3560" s="12">
        <v>0</v>
      </c>
      <c r="J3560" s="11"/>
      <c r="K3560" s="12">
        <v>0</v>
      </c>
      <c r="L3560" s="10" t="str">
        <f t="shared" si="210"/>
        <v>AE dialoghi di tempo fiducia e cura episodi 2-3-4</v>
      </c>
      <c r="M3560" s="10" t="str">
        <f t="shared" si="211"/>
        <v>nicoletta.vozza@crm.otsuka-europe.com</v>
      </c>
      <c r="N3560" s="13">
        <v>46181.338101851848</v>
      </c>
      <c r="O3560" s="14" t="str">
        <f>HYPERLINK("https://otsuka-europe-crm.veevavault.com/ui/#object/email_activity__v/V8C00000003Q166", "EN-002091252")</f>
        <v>EN-002091252</v>
      </c>
    </row>
    <row r="3561" spans="1:15" ht="32" x14ac:dyDescent="0.2">
      <c r="A3561" s="7" t="str">
        <f>HYPERLINK("https://otsuka-europe-crm.veevavault.com/ui/#object/account__v/V4TZ06G6O71SCIJ", "ENRICO TEDESCHINI")</f>
        <v>ENRICO TEDESCHINI</v>
      </c>
      <c r="B3561" s="7" t="str">
        <f t="shared" si="208"/>
        <v>IT</v>
      </c>
      <c r="C3561" s="8" t="s">
        <v>44</v>
      </c>
      <c r="D3561" s="9" t="str">
        <f t="shared" si="209"/>
        <v>AE dialoghi di tempo fiducia e cura episodi 2-3-4</v>
      </c>
      <c r="E3561" s="10" t="str">
        <f>HYPERLINK("https://otsuka-europe-crm.veevavault.com/ui/#object/sent_email__v/VBL00000002O990", "SE-001432661")</f>
        <v>SE-001432661</v>
      </c>
      <c r="F3561" s="11"/>
      <c r="G3561" s="12">
        <v>0</v>
      </c>
      <c r="H3561" s="12">
        <v>0</v>
      </c>
      <c r="I3561" s="12">
        <v>0</v>
      </c>
      <c r="J3561" s="11"/>
      <c r="K3561" s="12">
        <v>0</v>
      </c>
      <c r="L3561" s="10" t="str">
        <f t="shared" si="210"/>
        <v>AE dialoghi di tempo fiducia e cura episodi 2-3-4</v>
      </c>
      <c r="M3561" s="10" t="str">
        <f t="shared" si="211"/>
        <v>nicoletta.vozza@crm.otsuka-europe.com</v>
      </c>
      <c r="N3561" s="13">
        <v>46181.338113425925</v>
      </c>
      <c r="O3561" s="14" t="str">
        <f>HYPERLINK("https://otsuka-europe-crm.veevavault.com/ui/#object/email_activity__v/V8C00000003Q170", "EN-002091256")</f>
        <v>EN-002091256</v>
      </c>
    </row>
    <row r="3562" spans="1:15" ht="32" x14ac:dyDescent="0.2">
      <c r="A3562" s="7" t="str">
        <f>HYPERLINK("https://otsuka-europe-crm.veevavault.com/ui/#object/account__v/V4TZ06G6O71SCP1", "ENRICO VIGGIANO")</f>
        <v>ENRICO VIGGIANO</v>
      </c>
      <c r="B3562" s="7" t="str">
        <f t="shared" si="208"/>
        <v>IT</v>
      </c>
      <c r="C3562" s="8" t="s">
        <v>44</v>
      </c>
      <c r="D3562" s="9" t="str">
        <f t="shared" si="209"/>
        <v>AE dialoghi di tempo fiducia e cura episodi 2-3-4</v>
      </c>
      <c r="E3562" s="10" t="str">
        <f>HYPERLINK("https://otsuka-europe-crm.veevavault.com/ui/#object/sent_email__v/VBL00000002O991", "SE-001432662")</f>
        <v>SE-001432662</v>
      </c>
      <c r="F3562" s="11"/>
      <c r="G3562" s="12">
        <v>0</v>
      </c>
      <c r="H3562" s="12">
        <v>0</v>
      </c>
      <c r="I3562" s="12">
        <v>0</v>
      </c>
      <c r="J3562" s="11"/>
      <c r="K3562" s="12">
        <v>0</v>
      </c>
      <c r="L3562" s="10" t="str">
        <f t="shared" si="210"/>
        <v>AE dialoghi di tempo fiducia e cura episodi 2-3-4</v>
      </c>
      <c r="M3562" s="10" t="str">
        <f t="shared" si="211"/>
        <v>nicoletta.vozza@crm.otsuka-europe.com</v>
      </c>
      <c r="N3562" s="13">
        <v>46181.33792824074</v>
      </c>
      <c r="O3562" s="14" t="str">
        <f>HYPERLINK("https://otsuka-europe-crm.veevavault.com/ui/#object/email_activity__v/V8C00000003P904", "EN-002091444")</f>
        <v>EN-002091444</v>
      </c>
    </row>
    <row r="3563" spans="1:15" ht="32" x14ac:dyDescent="0.2">
      <c r="A3563" s="7" t="str">
        <f>HYPERLINK("https://otsuka-europe-crm.veevavault.com/ui/#object/account__v/V4TZ06G6O71TLD4", "ENRICO VOLTA")</f>
        <v>ENRICO VOLTA</v>
      </c>
      <c r="B3563" s="7" t="str">
        <f t="shared" si="208"/>
        <v>IT</v>
      </c>
      <c r="C3563" s="8" t="s">
        <v>44</v>
      </c>
      <c r="D3563" s="9" t="str">
        <f t="shared" si="209"/>
        <v>AE dialoghi di tempo fiducia e cura episodi 2-3-4</v>
      </c>
      <c r="E3563" s="10" t="str">
        <f>HYPERLINK("https://otsuka-europe-crm.veevavault.com/ui/#object/sent_email__v/VBL00000002O992", "SE-001432663")</f>
        <v>SE-001432663</v>
      </c>
      <c r="F3563" s="11"/>
      <c r="G3563" s="12">
        <v>0</v>
      </c>
      <c r="H3563" s="12">
        <v>0</v>
      </c>
      <c r="I3563" s="12">
        <v>0</v>
      </c>
      <c r="J3563" s="11"/>
      <c r="K3563" s="12">
        <v>0</v>
      </c>
      <c r="L3563" s="10" t="str">
        <f t="shared" si="210"/>
        <v>AE dialoghi di tempo fiducia e cura episodi 2-3-4</v>
      </c>
      <c r="M3563" s="10" t="str">
        <f t="shared" si="211"/>
        <v>nicoletta.vozza@crm.otsuka-europe.com</v>
      </c>
      <c r="N3563" s="13">
        <v>46181.338148148148</v>
      </c>
      <c r="O3563" s="14" t="str">
        <f>HYPERLINK("https://otsuka-europe-crm.veevavault.com/ui/#object/email_activity__v/V8C00000003Q159", "EN-002091245")</f>
        <v>EN-002091245</v>
      </c>
    </row>
    <row r="3564" spans="1:15" ht="32" x14ac:dyDescent="0.2">
      <c r="A3564" s="7" t="str">
        <f>HYPERLINK("https://otsuka-europe-crm.veevavault.com/ui/#object/account__v/V4TZ06G6O71SCRJ", "ENRICO ZANALDA")</f>
        <v>ENRICO ZANALDA</v>
      </c>
      <c r="B3564" s="7" t="str">
        <f t="shared" si="208"/>
        <v>IT</v>
      </c>
      <c r="C3564" s="8" t="s">
        <v>44</v>
      </c>
      <c r="D3564" s="9" t="str">
        <f t="shared" si="209"/>
        <v>AE dialoghi di tempo fiducia e cura episodi 2-3-4</v>
      </c>
      <c r="E3564" s="10" t="str">
        <f>HYPERLINK("https://otsuka-europe-crm.veevavault.com/ui/#object/sent_email__v/VBL00000002O993", "SE-001432664")</f>
        <v>SE-001432664</v>
      </c>
      <c r="F3564" s="11"/>
      <c r="G3564" s="12">
        <v>0</v>
      </c>
      <c r="H3564" s="12">
        <v>0</v>
      </c>
      <c r="I3564" s="12">
        <v>0</v>
      </c>
      <c r="J3564" s="11"/>
      <c r="K3564" s="12">
        <v>0</v>
      </c>
      <c r="L3564" s="10" t="str">
        <f t="shared" si="210"/>
        <v>AE dialoghi di tempo fiducia e cura episodi 2-3-4</v>
      </c>
      <c r="M3564" s="10" t="str">
        <f t="shared" si="211"/>
        <v>nicoletta.vozza@crm.otsuka-europe.com</v>
      </c>
      <c r="N3564" s="13">
        <v>46181.338020833333</v>
      </c>
      <c r="O3564" s="14" t="str">
        <f>HYPERLINK("https://otsuka-europe-crm.veevavault.com/ui/#object/email_activity__v/V8C00000003P367", "EN-002090373")</f>
        <v>EN-002090373</v>
      </c>
    </row>
    <row r="3565" spans="1:15" ht="16" x14ac:dyDescent="0.2">
      <c r="A3565" s="17" t="str">
        <f>HYPERLINK("https://otsuka-europe-crm.veevavault.com/ui/#object/account__v/V4TZ06G6O71SBSN", "ENZA PEZONE")</f>
        <v>ENZA PEZONE</v>
      </c>
      <c r="B3565" s="17" t="str">
        <f t="shared" si="208"/>
        <v>IT</v>
      </c>
      <c r="C3565" s="20" t="s">
        <v>44</v>
      </c>
      <c r="D3565" s="21" t="str">
        <f t="shared" si="209"/>
        <v>AE dialoghi di tempo fiducia e cura episodi 2-3-4</v>
      </c>
      <c r="E3565" s="22" t="str">
        <f>HYPERLINK("https://otsuka-europe-crm.veevavault.com/ui/#object/sent_email__v/VBL00000002O994", "SE-001432665")</f>
        <v>SE-001432665</v>
      </c>
      <c r="F3565" s="23">
        <v>46181.359618055554</v>
      </c>
      <c r="G3565" s="24">
        <v>1</v>
      </c>
      <c r="H3565" s="24">
        <v>1</v>
      </c>
      <c r="I3565" s="24">
        <v>0</v>
      </c>
      <c r="J3565" s="25"/>
      <c r="K3565" s="24">
        <v>0</v>
      </c>
      <c r="L3565" s="22" t="str">
        <f t="shared" si="210"/>
        <v>AE dialoghi di tempo fiducia e cura episodi 2-3-4</v>
      </c>
      <c r="M3565" s="22" t="str">
        <f t="shared" si="211"/>
        <v>nicoletta.vozza@crm.otsuka-europe.com</v>
      </c>
      <c r="N3565" s="23">
        <v>46181.337939814817</v>
      </c>
      <c r="O3565" s="14" t="str">
        <f>HYPERLINK("https://otsuka-europe-crm.veevavault.com/ui/#object/email_activity__v/V8C00000003P907", "EN-002091448")</f>
        <v>EN-002091448</v>
      </c>
    </row>
    <row r="3566" spans="1:15" ht="16" x14ac:dyDescent="0.2">
      <c r="A3566" s="19"/>
      <c r="B3566" s="19"/>
      <c r="C3566" s="19"/>
      <c r="D3566" s="19"/>
      <c r="E3566" s="19"/>
      <c r="F3566" s="19"/>
      <c r="G3566" s="19"/>
      <c r="H3566" s="19"/>
      <c r="I3566" s="19"/>
      <c r="J3566" s="19"/>
      <c r="K3566" s="19"/>
      <c r="L3566" s="19"/>
      <c r="M3566" s="19"/>
      <c r="N3566" s="19"/>
      <c r="O3566" s="14" t="str">
        <f>HYPERLINK("https://otsuka-europe-crm.veevavault.com/ui/#object/email_activity__v/V8C00000003P926", "EN-002091502")</f>
        <v>EN-002091502</v>
      </c>
    </row>
    <row r="3567" spans="1:15" ht="32" x14ac:dyDescent="0.2">
      <c r="A3567" s="7" t="str">
        <f>HYPERLINK("https://otsuka-europe-crm.veevavault.com/ui/#object/account__v/V4TZ025E82XQLXE", "ENZO CATENA")</f>
        <v>ENZO CATENA</v>
      </c>
      <c r="B3567" s="7" t="str">
        <f t="shared" ref="B3567:B3575" si="212">HYPERLINK("https://otsuka-europe-crm.veevavault.com/ui/#object/vcountry__v/VENZ000004SONFQ", "IT")</f>
        <v>IT</v>
      </c>
      <c r="C3567" s="8" t="s">
        <v>44</v>
      </c>
      <c r="D3567" s="9" t="str">
        <f t="shared" ref="D3567:D3575" si="213">HYPERLINK("https://otsuka-europe-crm.veevavault.com/ui/#object/approved_document__v/V5O000000018003", "AE dialoghi di tempo fiducia e cura episodi 2-3-4")</f>
        <v>AE dialoghi di tempo fiducia e cura episodi 2-3-4</v>
      </c>
      <c r="E3567" s="10" t="str">
        <f>HYPERLINK("https://otsuka-europe-crm.veevavault.com/ui/#object/sent_email__v/VBL00000002O995", "SE-001432666")</f>
        <v>SE-001432666</v>
      </c>
      <c r="F3567" s="11"/>
      <c r="G3567" s="12">
        <v>0</v>
      </c>
      <c r="H3567" s="12">
        <v>0</v>
      </c>
      <c r="I3567" s="12">
        <v>0</v>
      </c>
      <c r="J3567" s="11"/>
      <c r="K3567" s="12">
        <v>0</v>
      </c>
      <c r="L3567" s="10" t="str">
        <f t="shared" ref="L3567:L3575" si="214">HYPERLINK("https://otsuka-europe-crm.veevavault.com/ui/#object/approved_document__v/V5O000000018003", "AE dialoghi di tempo fiducia e cura episodi 2-3-4")</f>
        <v>AE dialoghi di tempo fiducia e cura episodi 2-3-4</v>
      </c>
      <c r="M3567" s="10" t="str">
        <f t="shared" ref="M3567:M3575" si="215">HYPERLINK("mailto:nicoletta.vozza@crm.otsuka-europe.com", "nicoletta.vozza@crm.otsuka-europe.com")</f>
        <v>nicoletta.vozza@crm.otsuka-europe.com</v>
      </c>
      <c r="N3567" s="13">
        <v>46181.338020833333</v>
      </c>
      <c r="O3567" s="14" t="str">
        <f>HYPERLINK("https://otsuka-europe-crm.veevavault.com/ui/#object/email_activity__v/V8C00000003Q017", "EN-002090983")</f>
        <v>EN-002090983</v>
      </c>
    </row>
    <row r="3568" spans="1:15" ht="32" x14ac:dyDescent="0.2">
      <c r="A3568" s="7" t="str">
        <f>HYPERLINK("https://otsuka-europe-crm.veevavault.com/ui/#object/account__v/V4TZ06G6O7W760E", "ENZO FORTUNA")</f>
        <v>ENZO FORTUNA</v>
      </c>
      <c r="B3568" s="7" t="str">
        <f t="shared" si="212"/>
        <v>IT</v>
      </c>
      <c r="C3568" s="8" t="s">
        <v>44</v>
      </c>
      <c r="D3568" s="9" t="str">
        <f t="shared" si="213"/>
        <v>AE dialoghi di tempo fiducia e cura episodi 2-3-4</v>
      </c>
      <c r="E3568" s="10" t="str">
        <f>HYPERLINK("https://otsuka-europe-crm.veevavault.com/ui/#object/sent_email__v/VBL00000002O996", "SE-001432667")</f>
        <v>SE-001432667</v>
      </c>
      <c r="F3568" s="11"/>
      <c r="G3568" s="12">
        <v>0</v>
      </c>
      <c r="H3568" s="12">
        <v>0</v>
      </c>
      <c r="I3568" s="12">
        <v>0</v>
      </c>
      <c r="J3568" s="11"/>
      <c r="K3568" s="12">
        <v>0</v>
      </c>
      <c r="L3568" s="10" t="str">
        <f t="shared" si="214"/>
        <v>AE dialoghi di tempo fiducia e cura episodi 2-3-4</v>
      </c>
      <c r="M3568" s="10" t="str">
        <f t="shared" si="215"/>
        <v>nicoletta.vozza@crm.otsuka-europe.com</v>
      </c>
      <c r="N3568" s="13">
        <v>46181.337997685187</v>
      </c>
      <c r="O3568" s="14" t="str">
        <f>HYPERLINK("https://otsuka-europe-crm.veevavault.com/ui/#object/email_activity__v/V8C00000003P630", "EN-002090885")</f>
        <v>EN-002090885</v>
      </c>
    </row>
    <row r="3569" spans="1:15" ht="32" x14ac:dyDescent="0.2">
      <c r="A3569" s="7" t="str">
        <f>HYPERLINK("https://otsuka-europe-crm.veevavault.com/ui/#object/account__v/V4TZ06G6O90JJD8", "ENZO IADISERNIA")</f>
        <v>ENZO IADISERNIA</v>
      </c>
      <c r="B3569" s="7" t="str">
        <f t="shared" si="212"/>
        <v>IT</v>
      </c>
      <c r="C3569" s="8" t="s">
        <v>44</v>
      </c>
      <c r="D3569" s="9" t="str">
        <f t="shared" si="213"/>
        <v>AE dialoghi di tempo fiducia e cura episodi 2-3-4</v>
      </c>
      <c r="E3569" s="10" t="str">
        <f>HYPERLINK("https://otsuka-europe-crm.veevavault.com/ui/#object/sent_email__v/VBL00000002O997", "SE-001432668")</f>
        <v>SE-001432668</v>
      </c>
      <c r="F3569" s="11"/>
      <c r="G3569" s="12">
        <v>0</v>
      </c>
      <c r="H3569" s="12">
        <v>0</v>
      </c>
      <c r="I3569" s="12">
        <v>0</v>
      </c>
      <c r="J3569" s="11"/>
      <c r="K3569" s="12">
        <v>0</v>
      </c>
      <c r="L3569" s="10" t="str">
        <f t="shared" si="214"/>
        <v>AE dialoghi di tempo fiducia e cura episodi 2-3-4</v>
      </c>
      <c r="M3569" s="10" t="str">
        <f t="shared" si="215"/>
        <v>nicoletta.vozza@crm.otsuka-europe.com</v>
      </c>
      <c r="N3569" s="13">
        <v>46181.337997685187</v>
      </c>
      <c r="O3569" s="14" t="str">
        <f>HYPERLINK("https://otsuka-europe-crm.veevavault.com/ui/#object/email_activity__v/V8C00000003P517", "EN-002090772")</f>
        <v>EN-002090772</v>
      </c>
    </row>
    <row r="3570" spans="1:15" ht="32" x14ac:dyDescent="0.2">
      <c r="A3570" s="7" t="str">
        <f>HYPERLINK("https://otsuka-europe-crm.veevavault.com/ui/#object/account__v/V4TZ06G6O71SCPO", "ENZO VESCOVINI")</f>
        <v>ENZO VESCOVINI</v>
      </c>
      <c r="B3570" s="7" t="str">
        <f t="shared" si="212"/>
        <v>IT</v>
      </c>
      <c r="C3570" s="8" t="s">
        <v>44</v>
      </c>
      <c r="D3570" s="9" t="str">
        <f t="shared" si="213"/>
        <v>AE dialoghi di tempo fiducia e cura episodi 2-3-4</v>
      </c>
      <c r="E3570" s="10" t="str">
        <f>HYPERLINK("https://otsuka-europe-crm.veevavault.com/ui/#object/sent_email__v/VBL00000002O998", "SE-001432669")</f>
        <v>SE-001432669</v>
      </c>
      <c r="F3570" s="11"/>
      <c r="G3570" s="12">
        <v>0</v>
      </c>
      <c r="H3570" s="12">
        <v>0</v>
      </c>
      <c r="I3570" s="12">
        <v>0</v>
      </c>
      <c r="J3570" s="11"/>
      <c r="K3570" s="12">
        <v>0</v>
      </c>
      <c r="L3570" s="10" t="str">
        <f t="shared" si="214"/>
        <v>AE dialoghi di tempo fiducia e cura episodi 2-3-4</v>
      </c>
      <c r="M3570" s="10" t="str">
        <f t="shared" si="215"/>
        <v>nicoletta.vozza@crm.otsuka-europe.com</v>
      </c>
      <c r="N3570" s="13">
        <v>46181.338078703702</v>
      </c>
      <c r="O3570" s="14" t="str">
        <f>HYPERLINK("https://otsuka-europe-crm.veevavault.com/ui/#object/email_activity__v/V8C00000003Q117", "EN-002091182")</f>
        <v>EN-002091182</v>
      </c>
    </row>
    <row r="3571" spans="1:15" ht="32" x14ac:dyDescent="0.2">
      <c r="A3571" s="7" t="str">
        <f>HYPERLINK("https://otsuka-europe-crm.veevavault.com/ui/#object/account__v/V4TZ025E82XQWT1", "ERMANNO VERGNANO")</f>
        <v>ERMANNO VERGNANO</v>
      </c>
      <c r="B3571" s="7" t="str">
        <f t="shared" si="212"/>
        <v>IT</v>
      </c>
      <c r="C3571" s="8" t="s">
        <v>44</v>
      </c>
      <c r="D3571" s="9" t="str">
        <f t="shared" si="213"/>
        <v>AE dialoghi di tempo fiducia e cura episodi 2-3-4</v>
      </c>
      <c r="E3571" s="10" t="str">
        <f>HYPERLINK("https://otsuka-europe-crm.veevavault.com/ui/#object/sent_email__v/VBL00000002O999", "SE-001432670")</f>
        <v>SE-001432670</v>
      </c>
      <c r="F3571" s="11"/>
      <c r="G3571" s="12">
        <v>0</v>
      </c>
      <c r="H3571" s="12">
        <v>0</v>
      </c>
      <c r="I3571" s="12">
        <v>0</v>
      </c>
      <c r="J3571" s="11"/>
      <c r="K3571" s="12">
        <v>0</v>
      </c>
      <c r="L3571" s="10" t="str">
        <f t="shared" si="214"/>
        <v>AE dialoghi di tempo fiducia e cura episodi 2-3-4</v>
      </c>
      <c r="M3571" s="10" t="str">
        <f t="shared" si="215"/>
        <v>nicoletta.vozza@crm.otsuka-europe.com</v>
      </c>
      <c r="N3571" s="13">
        <v>46181.338020833333</v>
      </c>
      <c r="O3571" s="14" t="str">
        <f>HYPERLINK("https://otsuka-europe-crm.veevavault.com/ui/#object/email_activity__v/V8C00000003P361", "EN-002090367")</f>
        <v>EN-002090367</v>
      </c>
    </row>
    <row r="3572" spans="1:15" ht="32" x14ac:dyDescent="0.2">
      <c r="A3572" s="7" t="str">
        <f>HYPERLINK("https://otsuka-europe-crm.veevavault.com/ui/#object/account__v/V4TZ06G6O71SBW0", "ERNESTA ESTER PASETTI")</f>
        <v>ERNESTA ESTER PASETTI</v>
      </c>
      <c r="B3572" s="7" t="str">
        <f t="shared" si="212"/>
        <v>IT</v>
      </c>
      <c r="C3572" s="8" t="s">
        <v>44</v>
      </c>
      <c r="D3572" s="9" t="str">
        <f t="shared" si="213"/>
        <v>AE dialoghi di tempo fiducia e cura episodi 2-3-4</v>
      </c>
      <c r="E3572" s="10" t="str">
        <f>HYPERLINK("https://otsuka-europe-crm.veevavault.com/ui/#object/sent_email__v/VBL00000002P001", "SE-001432671")</f>
        <v>SE-001432671</v>
      </c>
      <c r="F3572" s="11"/>
      <c r="G3572" s="12">
        <v>0</v>
      </c>
      <c r="H3572" s="12">
        <v>0</v>
      </c>
      <c r="I3572" s="12">
        <v>0</v>
      </c>
      <c r="J3572" s="11"/>
      <c r="K3572" s="12">
        <v>0</v>
      </c>
      <c r="L3572" s="10" t="str">
        <f t="shared" si="214"/>
        <v>AE dialoghi di tempo fiducia e cura episodi 2-3-4</v>
      </c>
      <c r="M3572" s="10" t="str">
        <f t="shared" si="215"/>
        <v>nicoletta.vozza@crm.otsuka-europe.com</v>
      </c>
      <c r="N3572" s="13">
        <v>46181.338055555556</v>
      </c>
      <c r="O3572" s="14" t="str">
        <f>HYPERLINK("https://otsuka-europe-crm.veevavault.com/ui/#object/email_activity__v/V8C00000003Q009", "EN-002090757")</f>
        <v>EN-002090757</v>
      </c>
    </row>
    <row r="3573" spans="1:15" ht="32" x14ac:dyDescent="0.2">
      <c r="A3573" s="7" t="str">
        <f>HYPERLINK("https://otsuka-europe-crm.veevavault.com/ui/#object/account__v/V4TZ06G6O71S9EN", "ESTER DI GIACOMO")</f>
        <v>ESTER DI GIACOMO</v>
      </c>
      <c r="B3573" s="7" t="str">
        <f t="shared" si="212"/>
        <v>IT</v>
      </c>
      <c r="C3573" s="8" t="s">
        <v>44</v>
      </c>
      <c r="D3573" s="9" t="str">
        <f t="shared" si="213"/>
        <v>AE dialoghi di tempo fiducia e cura episodi 2-3-4</v>
      </c>
      <c r="E3573" s="10" t="str">
        <f>HYPERLINK("https://otsuka-europe-crm.veevavault.com/ui/#object/sent_email__v/VBL00000002P002", "SE-001432672")</f>
        <v>SE-001432672</v>
      </c>
      <c r="F3573" s="11"/>
      <c r="G3573" s="12">
        <v>0</v>
      </c>
      <c r="H3573" s="12">
        <v>0</v>
      </c>
      <c r="I3573" s="12">
        <v>0</v>
      </c>
      <c r="J3573" s="11"/>
      <c r="K3573" s="12">
        <v>0</v>
      </c>
      <c r="L3573" s="10" t="str">
        <f t="shared" si="214"/>
        <v>AE dialoghi di tempo fiducia e cura episodi 2-3-4</v>
      </c>
      <c r="M3573" s="10" t="str">
        <f t="shared" si="215"/>
        <v>nicoletta.vozza@crm.otsuka-europe.com</v>
      </c>
      <c r="N3573" s="13">
        <v>46181.33798611111</v>
      </c>
      <c r="O3573" s="14" t="str">
        <f>HYPERLINK("https://otsuka-europe-crm.veevavault.com/ui/#object/email_activity__v/V8C00000003P215", "EN-002089661")</f>
        <v>EN-002089661</v>
      </c>
    </row>
    <row r="3574" spans="1:15" ht="32" x14ac:dyDescent="0.2">
      <c r="A3574" s="7" t="str">
        <f>HYPERLINK("https://otsuka-europe-crm.veevavault.com/ui/#object/account__v/V4TZ06G6O71SAEA", "ETTORE D'ANTONIO")</f>
        <v>ETTORE D'ANTONIO</v>
      </c>
      <c r="B3574" s="7" t="str">
        <f t="shared" si="212"/>
        <v>IT</v>
      </c>
      <c r="C3574" s="8" t="s">
        <v>44</v>
      </c>
      <c r="D3574" s="9" t="str">
        <f t="shared" si="213"/>
        <v>AE dialoghi di tempo fiducia e cura episodi 2-3-4</v>
      </c>
      <c r="E3574" s="10" t="str">
        <f>HYPERLINK("https://otsuka-europe-crm.veevavault.com/ui/#object/sent_email__v/VBL00000002P003", "SE-001432673")</f>
        <v>SE-001432673</v>
      </c>
      <c r="F3574" s="11"/>
      <c r="G3574" s="12">
        <v>0</v>
      </c>
      <c r="H3574" s="12">
        <v>0</v>
      </c>
      <c r="I3574" s="12">
        <v>0</v>
      </c>
      <c r="J3574" s="11"/>
      <c r="K3574" s="12">
        <v>0</v>
      </c>
      <c r="L3574" s="10" t="str">
        <f t="shared" si="214"/>
        <v>AE dialoghi di tempo fiducia e cura episodi 2-3-4</v>
      </c>
      <c r="M3574" s="10" t="str">
        <f t="shared" si="215"/>
        <v>nicoletta.vozza@crm.otsuka-europe.com</v>
      </c>
      <c r="N3574" s="13">
        <v>46181.338055555556</v>
      </c>
      <c r="O3574" s="14" t="str">
        <f>HYPERLINK("https://otsuka-europe-crm.veevavault.com/ui/#object/email_activity__v/V8C00000003O582", "EN-002090138")</f>
        <v>EN-002090138</v>
      </c>
    </row>
    <row r="3575" spans="1:15" ht="16" x14ac:dyDescent="0.2">
      <c r="A3575" s="17" t="str">
        <f>HYPERLINK("https://otsuka-europe-crm.veevavault.com/ui/#object/account__v/V4TZ06G6O71SB6B", "ETTORE LEZZA")</f>
        <v>ETTORE LEZZA</v>
      </c>
      <c r="B3575" s="17" t="str">
        <f t="shared" si="212"/>
        <v>IT</v>
      </c>
      <c r="C3575" s="20" t="s">
        <v>44</v>
      </c>
      <c r="D3575" s="21" t="str">
        <f t="shared" si="213"/>
        <v>AE dialoghi di tempo fiducia e cura episodi 2-3-4</v>
      </c>
      <c r="E3575" s="22" t="str">
        <f>HYPERLINK("https://otsuka-europe-crm.veevavault.com/ui/#object/sent_email__v/VBL00000002P004", "SE-001432674")</f>
        <v>SE-001432674</v>
      </c>
      <c r="F3575" s="23">
        <v>46181.422453703701</v>
      </c>
      <c r="G3575" s="24">
        <v>1</v>
      </c>
      <c r="H3575" s="24">
        <v>1</v>
      </c>
      <c r="I3575" s="24">
        <v>0</v>
      </c>
      <c r="J3575" s="25"/>
      <c r="K3575" s="24">
        <v>0</v>
      </c>
      <c r="L3575" s="22" t="str">
        <f t="shared" si="214"/>
        <v>AE dialoghi di tempo fiducia e cura episodi 2-3-4</v>
      </c>
      <c r="M3575" s="22" t="str">
        <f t="shared" si="215"/>
        <v>nicoletta.vozza@crm.otsuka-europe.com</v>
      </c>
      <c r="N3575" s="23">
        <v>46181.338043981479</v>
      </c>
      <c r="O3575" s="14" t="str">
        <f>HYPERLINK("https://otsuka-europe-crm.veevavault.com/ui/#object/email_activity__v/V8C00000003P315", "EN-002089951")</f>
        <v>EN-002089951</v>
      </c>
    </row>
    <row r="3576" spans="1:15" ht="16" x14ac:dyDescent="0.2">
      <c r="A3576" s="19"/>
      <c r="B3576" s="19"/>
      <c r="C3576" s="19"/>
      <c r="D3576" s="19"/>
      <c r="E3576" s="19"/>
      <c r="F3576" s="19"/>
      <c r="G3576" s="19"/>
      <c r="H3576" s="19"/>
      <c r="I3576" s="19"/>
      <c r="J3576" s="19"/>
      <c r="K3576" s="19"/>
      <c r="L3576" s="19"/>
      <c r="M3576" s="19"/>
      <c r="N3576" s="19"/>
      <c r="O3576" s="14" t="str">
        <f>HYPERLINK("https://otsuka-europe-crm.veevavault.com/ui/#object/email_activity__v/V8C00000003R058", "EN-002091791")</f>
        <v>EN-002091791</v>
      </c>
    </row>
    <row r="3577" spans="1:15" ht="32" x14ac:dyDescent="0.2">
      <c r="A3577" s="7" t="str">
        <f>HYPERLINK("https://otsuka-europe-crm.veevavault.com/ui/#object/account__v/V4TZ06G6O71SBH1", "EUGENIO MATTA")</f>
        <v>EUGENIO MATTA</v>
      </c>
      <c r="B3577" s="7" t="str">
        <f t="shared" ref="B3577:B3584" si="216">HYPERLINK("https://otsuka-europe-crm.veevavault.com/ui/#object/vcountry__v/VENZ000004SONFQ", "IT")</f>
        <v>IT</v>
      </c>
      <c r="C3577" s="8" t="s">
        <v>44</v>
      </c>
      <c r="D3577" s="9" t="str">
        <f t="shared" ref="D3577:D3584" si="217">HYPERLINK("https://otsuka-europe-crm.veevavault.com/ui/#object/approved_document__v/V5O000000018003", "AE dialoghi di tempo fiducia e cura episodi 2-3-4")</f>
        <v>AE dialoghi di tempo fiducia e cura episodi 2-3-4</v>
      </c>
      <c r="E3577" s="10" t="str">
        <f>HYPERLINK("https://otsuka-europe-crm.veevavault.com/ui/#object/sent_email__v/VBL00000002P005", "SE-001432675")</f>
        <v>SE-001432675</v>
      </c>
      <c r="F3577" s="11"/>
      <c r="G3577" s="12">
        <v>0</v>
      </c>
      <c r="H3577" s="12">
        <v>0</v>
      </c>
      <c r="I3577" s="12">
        <v>0</v>
      </c>
      <c r="J3577" s="11"/>
      <c r="K3577" s="12">
        <v>0</v>
      </c>
      <c r="L3577" s="10" t="str">
        <f t="shared" ref="L3577:L3584" si="218">HYPERLINK("https://otsuka-europe-crm.veevavault.com/ui/#object/approved_document__v/V5O000000018003", "AE dialoghi di tempo fiducia e cura episodi 2-3-4")</f>
        <v>AE dialoghi di tempo fiducia e cura episodi 2-3-4</v>
      </c>
      <c r="M3577" s="10" t="str">
        <f t="shared" ref="M3577:M3584" si="219">HYPERLINK("mailto:nicoletta.vozza@crm.otsuka-europe.com", "nicoletta.vozza@crm.otsuka-europe.com")</f>
        <v>nicoletta.vozza@crm.otsuka-europe.com</v>
      </c>
      <c r="N3577" s="13">
        <v>46181.33803240741</v>
      </c>
      <c r="O3577" s="14" t="str">
        <f>HYPERLINK("https://otsuka-europe-crm.veevavault.com/ui/#object/email_activity__v/V8C00000003P299", "EN-002089935")</f>
        <v>EN-002089935</v>
      </c>
    </row>
    <row r="3578" spans="1:15" ht="32" x14ac:dyDescent="0.2">
      <c r="A3578" s="7" t="str">
        <f>HYPERLINK("https://otsuka-europe-crm.veevavault.com/ui/#object/account__v/V4TZ06G6O71SC58", "EUGENIO ROSSI")</f>
        <v>EUGENIO ROSSI</v>
      </c>
      <c r="B3578" s="7" t="str">
        <f t="shared" si="216"/>
        <v>IT</v>
      </c>
      <c r="C3578" s="8" t="s">
        <v>44</v>
      </c>
      <c r="D3578" s="9" t="str">
        <f t="shared" si="217"/>
        <v>AE dialoghi di tempo fiducia e cura episodi 2-3-4</v>
      </c>
      <c r="E3578" s="10" t="str">
        <f>HYPERLINK("https://otsuka-europe-crm.veevavault.com/ui/#object/sent_email__v/VBL00000002P006", "SE-001432676")</f>
        <v>SE-001432676</v>
      </c>
      <c r="F3578" s="11"/>
      <c r="G3578" s="12">
        <v>0</v>
      </c>
      <c r="H3578" s="12">
        <v>0</v>
      </c>
      <c r="I3578" s="12">
        <v>0</v>
      </c>
      <c r="J3578" s="11"/>
      <c r="K3578" s="12">
        <v>0</v>
      </c>
      <c r="L3578" s="10" t="str">
        <f t="shared" si="218"/>
        <v>AE dialoghi di tempo fiducia e cura episodi 2-3-4</v>
      </c>
      <c r="M3578" s="10" t="str">
        <f t="shared" si="219"/>
        <v>nicoletta.vozza@crm.otsuka-europe.com</v>
      </c>
      <c r="N3578" s="13">
        <v>46181.338020833333</v>
      </c>
      <c r="O3578" s="14" t="str">
        <f>HYPERLINK("https://otsuka-europe-crm.veevavault.com/ui/#object/email_activity__v/V8C00000003P679", "EN-002090934")</f>
        <v>EN-002090934</v>
      </c>
    </row>
    <row r="3579" spans="1:15" ht="32" x14ac:dyDescent="0.2">
      <c r="A3579" s="7" t="str">
        <f>HYPERLINK("https://otsuka-europe-crm.veevavault.com/ui/#object/account__v/V4TZ06G6O90IS33", "EVA DENARO")</f>
        <v>EVA DENARO</v>
      </c>
      <c r="B3579" s="7" t="str">
        <f t="shared" si="216"/>
        <v>IT</v>
      </c>
      <c r="C3579" s="8" t="s">
        <v>44</v>
      </c>
      <c r="D3579" s="9" t="str">
        <f t="shared" si="217"/>
        <v>AE dialoghi di tempo fiducia e cura episodi 2-3-4</v>
      </c>
      <c r="E3579" s="10" t="str">
        <f>HYPERLINK("https://otsuka-europe-crm.veevavault.com/ui/#object/sent_email__v/VBL00000002P007", "SE-001432677")</f>
        <v>SE-001432677</v>
      </c>
      <c r="F3579" s="11"/>
      <c r="G3579" s="12">
        <v>0</v>
      </c>
      <c r="H3579" s="12">
        <v>0</v>
      </c>
      <c r="I3579" s="12">
        <v>0</v>
      </c>
      <c r="J3579" s="11"/>
      <c r="K3579" s="12">
        <v>0</v>
      </c>
      <c r="L3579" s="10" t="str">
        <f t="shared" si="218"/>
        <v>AE dialoghi di tempo fiducia e cura episodi 2-3-4</v>
      </c>
      <c r="M3579" s="10" t="str">
        <f t="shared" si="219"/>
        <v>nicoletta.vozza@crm.otsuka-europe.com</v>
      </c>
      <c r="N3579" s="13">
        <v>46181.338043981479</v>
      </c>
      <c r="O3579" s="14" t="str">
        <f>HYPERLINK("https://otsuka-europe-crm.veevavault.com/ui/#object/email_activity__v/V8C00000003O485", "EN-002090041")</f>
        <v>EN-002090041</v>
      </c>
    </row>
    <row r="3580" spans="1:15" ht="32" x14ac:dyDescent="0.2">
      <c r="A3580" s="7" t="str">
        <f>HYPERLINK("https://otsuka-europe-crm.veevavault.com/ui/#object/account__v/V4TZ06G6O71SALM", "EZIA FLACCO")</f>
        <v>EZIA FLACCO</v>
      </c>
      <c r="B3580" s="7" t="str">
        <f t="shared" si="216"/>
        <v>IT</v>
      </c>
      <c r="C3580" s="8" t="s">
        <v>44</v>
      </c>
      <c r="D3580" s="9" t="str">
        <f t="shared" si="217"/>
        <v>AE dialoghi di tempo fiducia e cura episodi 2-3-4</v>
      </c>
      <c r="E3580" s="10" t="str">
        <f>HYPERLINK("https://otsuka-europe-crm.veevavault.com/ui/#object/sent_email__v/VBL00000002P008", "SE-001432678")</f>
        <v>SE-001432678</v>
      </c>
      <c r="F3580" s="11"/>
      <c r="G3580" s="12">
        <v>0</v>
      </c>
      <c r="H3580" s="12">
        <v>0</v>
      </c>
      <c r="I3580" s="12">
        <v>0</v>
      </c>
      <c r="J3580" s="11"/>
      <c r="K3580" s="12">
        <v>0</v>
      </c>
      <c r="L3580" s="10" t="str">
        <f t="shared" si="218"/>
        <v>AE dialoghi di tempo fiducia e cura episodi 2-3-4</v>
      </c>
      <c r="M3580" s="10" t="str">
        <f t="shared" si="219"/>
        <v>nicoletta.vozza@crm.otsuka-europe.com</v>
      </c>
      <c r="N3580" s="13">
        <v>46181.338043981479</v>
      </c>
      <c r="O3580" s="14" t="str">
        <f>HYPERLINK("https://otsuka-europe-crm.veevavault.com/ui/#object/email_activity__v/V8C00000003O882", "EN-002090485")</f>
        <v>EN-002090485</v>
      </c>
    </row>
    <row r="3581" spans="1:15" ht="32" x14ac:dyDescent="0.2">
      <c r="A3581" s="7" t="str">
        <f>HYPERLINK("https://otsuka-europe-crm.veevavault.com/ui/#object/account__v/V4TZ06G6O71SB9C", "FABIO LUCCHI")</f>
        <v>FABIO LUCCHI</v>
      </c>
      <c r="B3581" s="7" t="str">
        <f t="shared" si="216"/>
        <v>IT</v>
      </c>
      <c r="C3581" s="8" t="s">
        <v>44</v>
      </c>
      <c r="D3581" s="9" t="str">
        <f t="shared" si="217"/>
        <v>AE dialoghi di tempo fiducia e cura episodi 2-3-4</v>
      </c>
      <c r="E3581" s="10" t="str">
        <f>HYPERLINK("https://otsuka-europe-crm.veevavault.com/ui/#object/sent_email__v/VBL00000002P009", "SE-001432679")</f>
        <v>SE-001432679</v>
      </c>
      <c r="F3581" s="11"/>
      <c r="G3581" s="12">
        <v>0</v>
      </c>
      <c r="H3581" s="12">
        <v>0</v>
      </c>
      <c r="I3581" s="12">
        <v>0</v>
      </c>
      <c r="J3581" s="11"/>
      <c r="K3581" s="12">
        <v>0</v>
      </c>
      <c r="L3581" s="10" t="str">
        <f t="shared" si="218"/>
        <v>AE dialoghi di tempo fiducia e cura episodi 2-3-4</v>
      </c>
      <c r="M3581" s="10" t="str">
        <f t="shared" si="219"/>
        <v>nicoletta.vozza@crm.otsuka-europe.com</v>
      </c>
      <c r="N3581" s="13">
        <v>46181.338090277779</v>
      </c>
      <c r="O3581" s="14" t="str">
        <f>HYPERLINK("https://otsuka-europe-crm.veevavault.com/ui/#object/email_activity__v/V8C00000003Q138", "EN-002091221")</f>
        <v>EN-002091221</v>
      </c>
    </row>
    <row r="3582" spans="1:15" ht="32" x14ac:dyDescent="0.2">
      <c r="A3582" s="7" t="str">
        <f>HYPERLINK("https://otsuka-europe-crm.veevavault.com/ui/#object/account__v/V4TZ06G6OB441G1", "FABIO MARENDA")</f>
        <v>FABIO MARENDA</v>
      </c>
      <c r="B3582" s="7" t="str">
        <f t="shared" si="216"/>
        <v>IT</v>
      </c>
      <c r="C3582" s="8" t="s">
        <v>44</v>
      </c>
      <c r="D3582" s="9" t="str">
        <f t="shared" si="217"/>
        <v>AE dialoghi di tempo fiducia e cura episodi 2-3-4</v>
      </c>
      <c r="E3582" s="10" t="str">
        <f>HYPERLINK("https://otsuka-europe-crm.veevavault.com/ui/#object/sent_email__v/VBL00000002P010", "SE-001432680")</f>
        <v>SE-001432680</v>
      </c>
      <c r="F3582" s="11"/>
      <c r="G3582" s="12">
        <v>0</v>
      </c>
      <c r="H3582" s="12">
        <v>0</v>
      </c>
      <c r="I3582" s="12">
        <v>0</v>
      </c>
      <c r="J3582" s="11"/>
      <c r="K3582" s="12">
        <v>0</v>
      </c>
      <c r="L3582" s="10" t="str">
        <f t="shared" si="218"/>
        <v>AE dialoghi di tempo fiducia e cura episodi 2-3-4</v>
      </c>
      <c r="M3582" s="10" t="str">
        <f t="shared" si="219"/>
        <v>nicoletta.vozza@crm.otsuka-europe.com</v>
      </c>
      <c r="N3582" s="13">
        <v>46181.338020833333</v>
      </c>
      <c r="O3582" s="14" t="str">
        <f>HYPERLINK("https://otsuka-europe-crm.veevavault.com/ui/#object/email_activity__v/V8C00000003O749", "EN-002090305")</f>
        <v>EN-002090305</v>
      </c>
    </row>
    <row r="3583" spans="1:15" ht="32" x14ac:dyDescent="0.2">
      <c r="A3583" s="7" t="str">
        <f>HYPERLINK("https://otsuka-europe-crm.veevavault.com/ui/#object/account__v/V4TZ04ASGB9K2BN", "FABIO MASSIMO MAURELLI")</f>
        <v>FABIO MASSIMO MAURELLI</v>
      </c>
      <c r="B3583" s="7" t="str">
        <f t="shared" si="216"/>
        <v>IT</v>
      </c>
      <c r="C3583" s="8" t="s">
        <v>44</v>
      </c>
      <c r="D3583" s="9" t="str">
        <f t="shared" si="217"/>
        <v>AE dialoghi di tempo fiducia e cura episodi 2-3-4</v>
      </c>
      <c r="E3583" s="10" t="str">
        <f>HYPERLINK("https://otsuka-europe-crm.veevavault.com/ui/#object/sent_email__v/VBL00000002P011", "SE-001432681")</f>
        <v>SE-001432681</v>
      </c>
      <c r="F3583" s="11"/>
      <c r="G3583" s="12">
        <v>0</v>
      </c>
      <c r="H3583" s="12">
        <v>0</v>
      </c>
      <c r="I3583" s="12">
        <v>0</v>
      </c>
      <c r="J3583" s="11"/>
      <c r="K3583" s="12">
        <v>0</v>
      </c>
      <c r="L3583" s="10" t="str">
        <f t="shared" si="218"/>
        <v>AE dialoghi di tempo fiducia e cura episodi 2-3-4</v>
      </c>
      <c r="M3583" s="10" t="str">
        <f t="shared" si="219"/>
        <v>nicoletta.vozza@crm.otsuka-europe.com</v>
      </c>
      <c r="N3583" s="13">
        <v>46181.33798611111</v>
      </c>
      <c r="O3583" s="14" t="str">
        <f>HYPERLINK("https://otsuka-europe-crm.veevavault.com/ui/#object/email_activity__v/V8C00000003O237", "EN-002089714")</f>
        <v>EN-002089714</v>
      </c>
    </row>
    <row r="3584" spans="1:15" ht="16" x14ac:dyDescent="0.2">
      <c r="A3584" s="17" t="str">
        <f>HYPERLINK("https://otsuka-europe-crm.veevavault.com/ui/#object/account__v/V4TZ06G6O71SCAO", "FABIO SALVATORE SALVAGGIO")</f>
        <v>FABIO SALVATORE SALVAGGIO</v>
      </c>
      <c r="B3584" s="17" t="str">
        <f t="shared" si="216"/>
        <v>IT</v>
      </c>
      <c r="C3584" s="20" t="s">
        <v>44</v>
      </c>
      <c r="D3584" s="21" t="str">
        <f t="shared" si="217"/>
        <v>AE dialoghi di tempo fiducia e cura episodi 2-3-4</v>
      </c>
      <c r="E3584" s="22" t="str">
        <f>HYPERLINK("https://otsuka-europe-crm.veevavault.com/ui/#object/sent_email__v/VBL00000002P012", "SE-001432682")</f>
        <v>SE-001432682</v>
      </c>
      <c r="F3584" s="25"/>
      <c r="G3584" s="24">
        <v>0</v>
      </c>
      <c r="H3584" s="24">
        <v>0</v>
      </c>
      <c r="I3584" s="24">
        <v>1</v>
      </c>
      <c r="J3584" s="23">
        <v>46181.515034722222</v>
      </c>
      <c r="K3584" s="24">
        <v>1</v>
      </c>
      <c r="L3584" s="22" t="str">
        <f t="shared" si="218"/>
        <v>AE dialoghi di tempo fiducia e cura episodi 2-3-4</v>
      </c>
      <c r="M3584" s="22" t="str">
        <f t="shared" si="219"/>
        <v>nicoletta.vozza@crm.otsuka-europe.com</v>
      </c>
      <c r="N3584" s="23">
        <v>46181.337997685187</v>
      </c>
      <c r="O3584" s="14" t="str">
        <f>HYPERLINK("https://otsuka-europe-crm.veevavault.com/ui/#object/email_activity__v/V8C00000003Q020", "EN-002090986")</f>
        <v>EN-002090986</v>
      </c>
    </row>
    <row r="3585" spans="1:15" ht="16" x14ac:dyDescent="0.2">
      <c r="A3585" s="18"/>
      <c r="B3585" s="18"/>
      <c r="C3585" s="18"/>
      <c r="D3585" s="18"/>
      <c r="E3585" s="18"/>
      <c r="F3585" s="18"/>
      <c r="G3585" s="18"/>
      <c r="H3585" s="18"/>
      <c r="I3585" s="18"/>
      <c r="J3585" s="18"/>
      <c r="K3585" s="18"/>
      <c r="L3585" s="18"/>
      <c r="M3585" s="18"/>
      <c r="N3585" s="18"/>
      <c r="O3585" s="14" t="str">
        <f>HYPERLINK("https://otsuka-europe-crm.veevavault.com/ui/#object/email_activity__v/V8C00000003R127", "EN-002091924")</f>
        <v>EN-002091924</v>
      </c>
    </row>
    <row r="3586" spans="1:15" ht="16" x14ac:dyDescent="0.2">
      <c r="A3586" s="19"/>
      <c r="B3586" s="19"/>
      <c r="C3586" s="19"/>
      <c r="D3586" s="19"/>
      <c r="E3586" s="19"/>
      <c r="F3586" s="19"/>
      <c r="G3586" s="19"/>
      <c r="H3586" s="19"/>
      <c r="I3586" s="19"/>
      <c r="J3586" s="19"/>
      <c r="K3586" s="19"/>
      <c r="L3586" s="19"/>
      <c r="M3586" s="19"/>
      <c r="N3586" s="19"/>
      <c r="O3586" s="14" t="str">
        <f>HYPERLINK("https://otsuka-europe-crm.veevavault.com/ui/#object/email_activity__v/V8C00000003R128", "EN-002091925")</f>
        <v>EN-002091925</v>
      </c>
    </row>
    <row r="3587" spans="1:15" ht="16" x14ac:dyDescent="0.2">
      <c r="A3587" s="17" t="str">
        <f>HYPERLINK("https://otsuka-europe-crm.veevavault.com/ui/#object/account__v/V4TZ06G6O71SCC3", "FABIO SAVORETTI")</f>
        <v>FABIO SAVORETTI</v>
      </c>
      <c r="B3587" s="17" t="str">
        <f>HYPERLINK("https://otsuka-europe-crm.veevavault.com/ui/#object/vcountry__v/VENZ000004SONFQ", "IT")</f>
        <v>IT</v>
      </c>
      <c r="C3587" s="20" t="s">
        <v>44</v>
      </c>
      <c r="D3587" s="21" t="str">
        <f>HYPERLINK("https://otsuka-europe-crm.veevavault.com/ui/#object/approved_document__v/V5O000000018003", "AE dialoghi di tempo fiducia e cura episodi 2-3-4")</f>
        <v>AE dialoghi di tempo fiducia e cura episodi 2-3-4</v>
      </c>
      <c r="E3587" s="22" t="str">
        <f>HYPERLINK("https://otsuka-europe-crm.veevavault.com/ui/#object/sent_email__v/VBL00000002P013", "SE-001432683")</f>
        <v>SE-001432683</v>
      </c>
      <c r="F3587" s="23">
        <v>46181.398344907408</v>
      </c>
      <c r="G3587" s="24">
        <v>1</v>
      </c>
      <c r="H3587" s="24">
        <v>1</v>
      </c>
      <c r="I3587" s="24">
        <v>1</v>
      </c>
      <c r="J3587" s="23">
        <v>46181.3983912037</v>
      </c>
      <c r="K3587" s="24">
        <v>2</v>
      </c>
      <c r="L3587" s="22" t="str">
        <f>HYPERLINK("https://otsuka-europe-crm.veevavault.com/ui/#object/approved_document__v/V5O000000018003", "AE dialoghi di tempo fiducia e cura episodi 2-3-4")</f>
        <v>AE dialoghi di tempo fiducia e cura episodi 2-3-4</v>
      </c>
      <c r="M3587" s="22" t="str">
        <f>HYPERLINK("mailto:nicoletta.vozza@crm.otsuka-europe.com", "nicoletta.vozza@crm.otsuka-europe.com")</f>
        <v>nicoletta.vozza@crm.otsuka-europe.com</v>
      </c>
      <c r="N3587" s="23">
        <v>46181.338009259256</v>
      </c>
      <c r="O3587" s="14" t="str">
        <f>HYPERLINK("https://otsuka-europe-crm.veevavault.com/ui/#object/email_activity__v/V8C00000003O464", "EN-002090020")</f>
        <v>EN-002090020</v>
      </c>
    </row>
    <row r="3588" spans="1:15" ht="16" x14ac:dyDescent="0.2">
      <c r="A3588" s="18"/>
      <c r="B3588" s="18"/>
      <c r="C3588" s="18"/>
      <c r="D3588" s="18"/>
      <c r="E3588" s="18"/>
      <c r="F3588" s="18"/>
      <c r="G3588" s="18"/>
      <c r="H3588" s="18"/>
      <c r="I3588" s="18"/>
      <c r="J3588" s="18"/>
      <c r="K3588" s="18"/>
      <c r="L3588" s="18"/>
      <c r="M3588" s="18"/>
      <c r="N3588" s="18"/>
      <c r="O3588" s="14" t="str">
        <f>HYPERLINK("https://otsuka-europe-crm.veevavault.com/ui/#object/email_activity__v/V8C00000003R022", "EN-002091748")</f>
        <v>EN-002091748</v>
      </c>
    </row>
    <row r="3589" spans="1:15" ht="16" x14ac:dyDescent="0.2">
      <c r="A3589" s="18"/>
      <c r="B3589" s="18"/>
      <c r="C3589" s="18"/>
      <c r="D3589" s="18"/>
      <c r="E3589" s="18"/>
      <c r="F3589" s="18"/>
      <c r="G3589" s="18"/>
      <c r="H3589" s="18"/>
      <c r="I3589" s="18"/>
      <c r="J3589" s="18"/>
      <c r="K3589" s="18"/>
      <c r="L3589" s="18"/>
      <c r="M3589" s="18"/>
      <c r="N3589" s="18"/>
      <c r="O3589" s="14" t="str">
        <f>HYPERLINK("https://otsuka-europe-crm.veevavault.com/ui/#object/email_activity__v/V8C00000003R023", "EN-002091747")</f>
        <v>EN-002091747</v>
      </c>
    </row>
    <row r="3590" spans="1:15" ht="16" x14ac:dyDescent="0.2">
      <c r="A3590" s="19"/>
      <c r="B3590" s="19"/>
      <c r="C3590" s="19"/>
      <c r="D3590" s="19"/>
      <c r="E3590" s="19"/>
      <c r="F3590" s="19"/>
      <c r="G3590" s="19"/>
      <c r="H3590" s="19"/>
      <c r="I3590" s="19"/>
      <c r="J3590" s="19"/>
      <c r="K3590" s="19"/>
      <c r="L3590" s="19"/>
      <c r="M3590" s="19"/>
      <c r="N3590" s="19"/>
      <c r="O3590" s="14" t="str">
        <f>HYPERLINK("https://otsuka-europe-crm.veevavault.com/ui/#object/email_activity__v/V8C00000003R024", "EN-002091749")</f>
        <v>EN-002091749</v>
      </c>
    </row>
    <row r="3591" spans="1:15" ht="32" x14ac:dyDescent="0.2">
      <c r="A3591" s="7" t="str">
        <f>HYPERLINK("https://otsuka-europe-crm.veevavault.com/ui/#object/account__v/V4TZ06G6O71SCIT", "FABIO TETI")</f>
        <v>FABIO TETI</v>
      </c>
      <c r="B3591" s="7" t="str">
        <f t="shared" ref="B3591:B3601" si="220">HYPERLINK("https://otsuka-europe-crm.veevavault.com/ui/#object/vcountry__v/VENZ000004SONFQ", "IT")</f>
        <v>IT</v>
      </c>
      <c r="C3591" s="8" t="s">
        <v>44</v>
      </c>
      <c r="D3591" s="9" t="str">
        <f t="shared" ref="D3591:D3601" si="221">HYPERLINK("https://otsuka-europe-crm.veevavault.com/ui/#object/approved_document__v/V5O000000018003", "AE dialoghi di tempo fiducia e cura episodi 2-3-4")</f>
        <v>AE dialoghi di tempo fiducia e cura episodi 2-3-4</v>
      </c>
      <c r="E3591" s="10" t="str">
        <f>HYPERLINK("https://otsuka-europe-crm.veevavault.com/ui/#object/sent_email__v/VBL00000002P014", "SE-001432684")</f>
        <v>SE-001432684</v>
      </c>
      <c r="F3591" s="11"/>
      <c r="G3591" s="12">
        <v>0</v>
      </c>
      <c r="H3591" s="12">
        <v>0</v>
      </c>
      <c r="I3591" s="12">
        <v>0</v>
      </c>
      <c r="J3591" s="11"/>
      <c r="K3591" s="12">
        <v>0</v>
      </c>
      <c r="L3591" s="10" t="str">
        <f t="shared" ref="L3591:L3601" si="222">HYPERLINK("https://otsuka-europe-crm.veevavault.com/ui/#object/approved_document__v/V5O000000018003", "AE dialoghi di tempo fiducia e cura episodi 2-3-4")</f>
        <v>AE dialoghi di tempo fiducia e cura episodi 2-3-4</v>
      </c>
      <c r="M3591" s="10" t="str">
        <f t="shared" ref="M3591:M3601" si="223">HYPERLINK("mailto:nicoletta.vozza@crm.otsuka-europe.com", "nicoletta.vozza@crm.otsuka-europe.com")</f>
        <v>nicoletta.vozza@crm.otsuka-europe.com</v>
      </c>
      <c r="N3591" s="13">
        <v>46181.33798611111</v>
      </c>
      <c r="O3591" s="14" t="str">
        <f>HYPERLINK("https://otsuka-europe-crm.veevavault.com/ui/#object/email_activity__v/V8C00000003O273", "EN-002089750")</f>
        <v>EN-002089750</v>
      </c>
    </row>
    <row r="3592" spans="1:15" ht="32" x14ac:dyDescent="0.2">
      <c r="A3592" s="7" t="str">
        <f>HYPERLINK("https://otsuka-europe-crm.veevavault.com/ui/#object/account__v/V4TZ06G6O71SAAS", "FABIOLA DELICATI")</f>
        <v>FABIOLA DELICATI</v>
      </c>
      <c r="B3592" s="7" t="str">
        <f t="shared" si="220"/>
        <v>IT</v>
      </c>
      <c r="C3592" s="8" t="s">
        <v>44</v>
      </c>
      <c r="D3592" s="9" t="str">
        <f t="shared" si="221"/>
        <v>AE dialoghi di tempo fiducia e cura episodi 2-3-4</v>
      </c>
      <c r="E3592" s="10" t="str">
        <f>HYPERLINK("https://otsuka-europe-crm.veevavault.com/ui/#object/sent_email__v/VBL00000002P015", "SE-001432685")</f>
        <v>SE-001432685</v>
      </c>
      <c r="F3592" s="11"/>
      <c r="G3592" s="12">
        <v>0</v>
      </c>
      <c r="H3592" s="12">
        <v>0</v>
      </c>
      <c r="I3592" s="12">
        <v>0</v>
      </c>
      <c r="J3592" s="11"/>
      <c r="K3592" s="12">
        <v>0</v>
      </c>
      <c r="L3592" s="10" t="str">
        <f t="shared" si="222"/>
        <v>AE dialoghi di tempo fiducia e cura episodi 2-3-4</v>
      </c>
      <c r="M3592" s="10" t="str">
        <f t="shared" si="223"/>
        <v>nicoletta.vozza@crm.otsuka-europe.com</v>
      </c>
      <c r="N3592" s="13">
        <v>46181.338009259256</v>
      </c>
      <c r="O3592" s="14" t="str">
        <f>HYPERLINK("https://otsuka-europe-crm.veevavault.com/ui/#object/email_activity__v/V8C00000003P568", "EN-002090823")</f>
        <v>EN-002090823</v>
      </c>
    </row>
    <row r="3593" spans="1:15" ht="32" x14ac:dyDescent="0.2">
      <c r="A3593" s="7" t="str">
        <f>HYPERLINK("https://otsuka-europe-crm.veevavault.com/ui/#object/account__v/V4TZ06G6O71SARF", "FABIOLA GRILLO")</f>
        <v>FABIOLA GRILLO</v>
      </c>
      <c r="B3593" s="7" t="str">
        <f t="shared" si="220"/>
        <v>IT</v>
      </c>
      <c r="C3593" s="8" t="s">
        <v>44</v>
      </c>
      <c r="D3593" s="9" t="str">
        <f t="shared" si="221"/>
        <v>AE dialoghi di tempo fiducia e cura episodi 2-3-4</v>
      </c>
      <c r="E3593" s="10" t="str">
        <f>HYPERLINK("https://otsuka-europe-crm.veevavault.com/ui/#object/sent_email__v/VBL00000002P016", "SE-001432686")</f>
        <v>SE-001432686</v>
      </c>
      <c r="F3593" s="11"/>
      <c r="G3593" s="12">
        <v>0</v>
      </c>
      <c r="H3593" s="12">
        <v>0</v>
      </c>
      <c r="I3593" s="12">
        <v>0</v>
      </c>
      <c r="J3593" s="11"/>
      <c r="K3593" s="12">
        <v>0</v>
      </c>
      <c r="L3593" s="10" t="str">
        <f t="shared" si="222"/>
        <v>AE dialoghi di tempo fiducia e cura episodi 2-3-4</v>
      </c>
      <c r="M3593" s="10" t="str">
        <f t="shared" si="223"/>
        <v>nicoletta.vozza@crm.otsuka-europe.com</v>
      </c>
      <c r="N3593" s="13">
        <v>46181.337997685187</v>
      </c>
      <c r="O3593" s="14" t="str">
        <f>HYPERLINK("https://otsuka-europe-crm.veevavault.com/ui/#object/email_activity__v/V8C00000003P472", "EN-002090699")</f>
        <v>EN-002090699</v>
      </c>
    </row>
    <row r="3594" spans="1:15" ht="32" x14ac:dyDescent="0.2">
      <c r="A3594" s="7" t="str">
        <f>HYPERLINK("https://otsuka-europe-crm.veevavault.com/ui/#object/account__v/V4TZ06G6OCESDUB", "FABIOLA LOCCI")</f>
        <v>FABIOLA LOCCI</v>
      </c>
      <c r="B3594" s="7" t="str">
        <f t="shared" si="220"/>
        <v>IT</v>
      </c>
      <c r="C3594" s="8" t="s">
        <v>44</v>
      </c>
      <c r="D3594" s="9" t="str">
        <f t="shared" si="221"/>
        <v>AE dialoghi di tempo fiducia e cura episodi 2-3-4</v>
      </c>
      <c r="E3594" s="10" t="str">
        <f>HYPERLINK("https://otsuka-europe-crm.veevavault.com/ui/#object/sent_email__v/VBL00000002P017", "SE-001432687")</f>
        <v>SE-001432687</v>
      </c>
      <c r="F3594" s="11"/>
      <c r="G3594" s="12">
        <v>0</v>
      </c>
      <c r="H3594" s="12">
        <v>0</v>
      </c>
      <c r="I3594" s="12">
        <v>0</v>
      </c>
      <c r="J3594" s="11"/>
      <c r="K3594" s="12">
        <v>0</v>
      </c>
      <c r="L3594" s="10" t="str">
        <f t="shared" si="222"/>
        <v>AE dialoghi di tempo fiducia e cura episodi 2-3-4</v>
      </c>
      <c r="M3594" s="10" t="str">
        <f t="shared" si="223"/>
        <v>nicoletta.vozza@crm.otsuka-europe.com</v>
      </c>
      <c r="N3594" s="13">
        <v>46181.33798611111</v>
      </c>
      <c r="O3594" s="14" t="str">
        <f>HYPERLINK("https://otsuka-europe-crm.veevavault.com/ui/#object/email_activity__v/V8C00000003O423", "EN-002089979")</f>
        <v>EN-002089979</v>
      </c>
    </row>
    <row r="3595" spans="1:15" ht="32" x14ac:dyDescent="0.2">
      <c r="A3595" s="7" t="str">
        <f>HYPERLINK("https://otsuka-europe-crm.veevavault.com/ui/#object/account__v/V4TZ06G6O71SCKA", "FABRIZIA TOMASI")</f>
        <v>FABRIZIA TOMASI</v>
      </c>
      <c r="B3595" s="7" t="str">
        <f t="shared" si="220"/>
        <v>IT</v>
      </c>
      <c r="C3595" s="8" t="s">
        <v>44</v>
      </c>
      <c r="D3595" s="9" t="str">
        <f t="shared" si="221"/>
        <v>AE dialoghi di tempo fiducia e cura episodi 2-3-4</v>
      </c>
      <c r="E3595" s="10" t="str">
        <f>HYPERLINK("https://otsuka-europe-crm.veevavault.com/ui/#object/sent_email__v/VBL00000002P018", "SE-001432688")</f>
        <v>SE-001432688</v>
      </c>
      <c r="F3595" s="11"/>
      <c r="G3595" s="12">
        <v>0</v>
      </c>
      <c r="H3595" s="12">
        <v>0</v>
      </c>
      <c r="I3595" s="12">
        <v>0</v>
      </c>
      <c r="J3595" s="11"/>
      <c r="K3595" s="12">
        <v>0</v>
      </c>
      <c r="L3595" s="10" t="str">
        <f t="shared" si="222"/>
        <v>AE dialoghi di tempo fiducia e cura episodi 2-3-4</v>
      </c>
      <c r="M3595" s="10" t="str">
        <f t="shared" si="223"/>
        <v>nicoletta.vozza@crm.otsuka-europe.com</v>
      </c>
      <c r="N3595" s="13">
        <v>46181.338101851848</v>
      </c>
      <c r="O3595" s="14" t="str">
        <f>HYPERLINK("https://otsuka-europe-crm.veevavault.com/ui/#object/email_activity__v/V8C00000003O860", "EN-002090559")</f>
        <v>EN-002090559</v>
      </c>
    </row>
    <row r="3596" spans="1:15" ht="32" x14ac:dyDescent="0.2">
      <c r="A3596" s="7" t="str">
        <f>HYPERLINK("https://otsuka-europe-crm.veevavault.com/ui/#object/account__v/V4TZ06G6O71SB48", "FABRIZIO CRAMAROSSA")</f>
        <v>FABRIZIO CRAMAROSSA</v>
      </c>
      <c r="B3596" s="7" t="str">
        <f t="shared" si="220"/>
        <v>IT</v>
      </c>
      <c r="C3596" s="8" t="s">
        <v>44</v>
      </c>
      <c r="D3596" s="9" t="str">
        <f t="shared" si="221"/>
        <v>AE dialoghi di tempo fiducia e cura episodi 2-3-4</v>
      </c>
      <c r="E3596" s="10" t="str">
        <f>HYPERLINK("https://otsuka-europe-crm.veevavault.com/ui/#object/sent_email__v/VBL00000002P019", "SE-001432689")</f>
        <v>SE-001432689</v>
      </c>
      <c r="F3596" s="11"/>
      <c r="G3596" s="12">
        <v>0</v>
      </c>
      <c r="H3596" s="12">
        <v>0</v>
      </c>
      <c r="I3596" s="12">
        <v>0</v>
      </c>
      <c r="J3596" s="11"/>
      <c r="K3596" s="12">
        <v>0</v>
      </c>
      <c r="L3596" s="10" t="str">
        <f t="shared" si="222"/>
        <v>AE dialoghi di tempo fiducia e cura episodi 2-3-4</v>
      </c>
      <c r="M3596" s="10" t="str">
        <f t="shared" si="223"/>
        <v>nicoletta.vozza@crm.otsuka-europe.com</v>
      </c>
      <c r="N3596" s="13">
        <v>46181.33797453704</v>
      </c>
      <c r="O3596" s="14" t="str">
        <f>HYPERLINK("https://otsuka-europe-crm.veevavault.com/ui/#object/email_activity__v/V8C00000003P268", "EN-002089846")</f>
        <v>EN-002089846</v>
      </c>
    </row>
    <row r="3597" spans="1:15" ht="32" x14ac:dyDescent="0.2">
      <c r="A3597" s="7" t="str">
        <f>HYPERLINK("https://otsuka-europe-crm.veevavault.com/ui/#object/account__v/V4TZ025E88Q9F57", "FABRIZIO PASTORINO")</f>
        <v>FABRIZIO PASTORINO</v>
      </c>
      <c r="B3597" s="7" t="str">
        <f t="shared" si="220"/>
        <v>IT</v>
      </c>
      <c r="C3597" s="8" t="s">
        <v>44</v>
      </c>
      <c r="D3597" s="9" t="str">
        <f t="shared" si="221"/>
        <v>AE dialoghi di tempo fiducia e cura episodi 2-3-4</v>
      </c>
      <c r="E3597" s="10" t="str">
        <f>HYPERLINK("https://otsuka-europe-crm.veevavault.com/ui/#object/sent_email__v/VBL00000002P020", "SE-001432690")</f>
        <v>SE-001432690</v>
      </c>
      <c r="F3597" s="11"/>
      <c r="G3597" s="12">
        <v>0</v>
      </c>
      <c r="H3597" s="12">
        <v>0</v>
      </c>
      <c r="I3597" s="12">
        <v>0</v>
      </c>
      <c r="J3597" s="11"/>
      <c r="K3597" s="12">
        <v>0</v>
      </c>
      <c r="L3597" s="10" t="str">
        <f t="shared" si="222"/>
        <v>AE dialoghi di tempo fiducia e cura episodi 2-3-4</v>
      </c>
      <c r="M3597" s="10" t="str">
        <f t="shared" si="223"/>
        <v>nicoletta.vozza@crm.otsuka-europe.com</v>
      </c>
      <c r="N3597" s="13">
        <v>46181.337997685187</v>
      </c>
      <c r="O3597" s="14" t="str">
        <f>HYPERLINK("https://otsuka-europe-crm.veevavault.com/ui/#object/email_activity__v/V8C00000003O323", "EN-002089800")</f>
        <v>EN-002089800</v>
      </c>
    </row>
    <row r="3598" spans="1:15" ht="32" x14ac:dyDescent="0.2">
      <c r="A3598" s="7" t="str">
        <f>HYPERLINK("https://otsuka-europe-crm.veevavault.com/ui/#object/account__v/V4TZ025E88V044M", "FAUSTA MAZZUCA")</f>
        <v>FAUSTA MAZZUCA</v>
      </c>
      <c r="B3598" s="7" t="str">
        <f t="shared" si="220"/>
        <v>IT</v>
      </c>
      <c r="C3598" s="8" t="s">
        <v>44</v>
      </c>
      <c r="D3598" s="9" t="str">
        <f t="shared" si="221"/>
        <v>AE dialoghi di tempo fiducia e cura episodi 2-3-4</v>
      </c>
      <c r="E3598" s="10" t="str">
        <f>HYPERLINK("https://otsuka-europe-crm.veevavault.com/ui/#object/sent_email__v/VBL00000002P021", "SE-001432691")</f>
        <v>SE-001432691</v>
      </c>
      <c r="F3598" s="11"/>
      <c r="G3598" s="12">
        <v>0</v>
      </c>
      <c r="H3598" s="12">
        <v>0</v>
      </c>
      <c r="I3598" s="12">
        <v>0</v>
      </c>
      <c r="J3598" s="11"/>
      <c r="K3598" s="12">
        <v>0</v>
      </c>
      <c r="L3598" s="10" t="str">
        <f t="shared" si="222"/>
        <v>AE dialoghi di tempo fiducia e cura episodi 2-3-4</v>
      </c>
      <c r="M3598" s="10" t="str">
        <f t="shared" si="223"/>
        <v>nicoletta.vozza@crm.otsuka-europe.com</v>
      </c>
      <c r="N3598" s="13">
        <v>46181.337997685187</v>
      </c>
      <c r="O3598" s="14" t="str">
        <f>HYPERLINK("https://otsuka-europe-crm.veevavault.com/ui/#object/email_activity__v/V8C00000003P288", "EN-002089924")</f>
        <v>EN-002089924</v>
      </c>
    </row>
    <row r="3599" spans="1:15" ht="32" x14ac:dyDescent="0.2">
      <c r="A3599" s="7" t="str">
        <f>HYPERLINK("https://otsuka-europe-crm.veevavault.com/ui/#object/account__v/V4TZ06G6O71S9TO", "FAUSTO ALDINI")</f>
        <v>FAUSTO ALDINI</v>
      </c>
      <c r="B3599" s="7" t="str">
        <f t="shared" si="220"/>
        <v>IT</v>
      </c>
      <c r="C3599" s="8" t="s">
        <v>44</v>
      </c>
      <c r="D3599" s="9" t="str">
        <f t="shared" si="221"/>
        <v>AE dialoghi di tempo fiducia e cura episodi 2-3-4</v>
      </c>
      <c r="E3599" s="10" t="str">
        <f>HYPERLINK("https://otsuka-europe-crm.veevavault.com/ui/#object/sent_email__v/VBL00000002P022", "SE-001432692")</f>
        <v>SE-001432692</v>
      </c>
      <c r="F3599" s="11"/>
      <c r="G3599" s="12">
        <v>0</v>
      </c>
      <c r="H3599" s="12">
        <v>0</v>
      </c>
      <c r="I3599" s="12">
        <v>0</v>
      </c>
      <c r="J3599" s="11"/>
      <c r="K3599" s="12">
        <v>0</v>
      </c>
      <c r="L3599" s="10" t="str">
        <f t="shared" si="222"/>
        <v>AE dialoghi di tempo fiducia e cura episodi 2-3-4</v>
      </c>
      <c r="M3599" s="10" t="str">
        <f t="shared" si="223"/>
        <v>nicoletta.vozza@crm.otsuka-europe.com</v>
      </c>
      <c r="N3599" s="13">
        <v>46181.337962962964</v>
      </c>
      <c r="O3599" s="14" t="str">
        <f>HYPERLINK("https://otsuka-europe-crm.veevavault.com/ui/#object/email_activity__v/V8C00000003O186", "EN-002089623")</f>
        <v>EN-002089623</v>
      </c>
    </row>
    <row r="3600" spans="1:15" ht="32" x14ac:dyDescent="0.2">
      <c r="A3600" s="7" t="str">
        <f>HYPERLINK("https://otsuka-europe-crm.veevavault.com/ui/#object/account__v/V4TZ06G6O71SA7D", "FAUSTO BRUNELLO")</f>
        <v>FAUSTO BRUNELLO</v>
      </c>
      <c r="B3600" s="7" t="str">
        <f t="shared" si="220"/>
        <v>IT</v>
      </c>
      <c r="C3600" s="8" t="s">
        <v>44</v>
      </c>
      <c r="D3600" s="9" t="str">
        <f t="shared" si="221"/>
        <v>AE dialoghi di tempo fiducia e cura episodi 2-3-4</v>
      </c>
      <c r="E3600" s="10" t="str">
        <f>HYPERLINK("https://otsuka-europe-crm.veevavault.com/ui/#object/sent_email__v/VBL00000002P023", "SE-001432693")</f>
        <v>SE-001432693</v>
      </c>
      <c r="F3600" s="11"/>
      <c r="G3600" s="12">
        <v>0</v>
      </c>
      <c r="H3600" s="12">
        <v>0</v>
      </c>
      <c r="I3600" s="12">
        <v>0</v>
      </c>
      <c r="J3600" s="11"/>
      <c r="K3600" s="12">
        <v>0</v>
      </c>
      <c r="L3600" s="10" t="str">
        <f t="shared" si="222"/>
        <v>AE dialoghi di tempo fiducia e cura episodi 2-3-4</v>
      </c>
      <c r="M3600" s="10" t="str">
        <f t="shared" si="223"/>
        <v>nicoletta.vozza@crm.otsuka-europe.com</v>
      </c>
      <c r="N3600" s="13">
        <v>46181.338009259256</v>
      </c>
      <c r="O3600" s="14" t="str">
        <f>HYPERLINK("https://otsuka-europe-crm.veevavault.com/ui/#object/email_activity__v/V8C00000003P675", "EN-002090930")</f>
        <v>EN-002090930</v>
      </c>
    </row>
    <row r="3601" spans="1:15" ht="16" x14ac:dyDescent="0.2">
      <c r="A3601" s="17" t="str">
        <f>HYPERLINK("https://otsuka-europe-crm.veevavault.com/ui/#object/account__v/V4TZ06G6O71SBJO", "FEDELE MAURANO")</f>
        <v>FEDELE MAURANO</v>
      </c>
      <c r="B3601" s="17" t="str">
        <f t="shared" si="220"/>
        <v>IT</v>
      </c>
      <c r="C3601" s="20" t="s">
        <v>44</v>
      </c>
      <c r="D3601" s="21" t="str">
        <f t="shared" si="221"/>
        <v>AE dialoghi di tempo fiducia e cura episodi 2-3-4</v>
      </c>
      <c r="E3601" s="22" t="str">
        <f>HYPERLINK("https://otsuka-europe-crm.veevavault.com/ui/#object/sent_email__v/VBL00000002P024", "SE-001432694")</f>
        <v>SE-001432694</v>
      </c>
      <c r="F3601" s="25"/>
      <c r="G3601" s="24">
        <v>0</v>
      </c>
      <c r="H3601" s="24">
        <v>0</v>
      </c>
      <c r="I3601" s="24">
        <v>0</v>
      </c>
      <c r="J3601" s="25"/>
      <c r="K3601" s="24">
        <v>0</v>
      </c>
      <c r="L3601" s="22" t="str">
        <f t="shared" si="222"/>
        <v>AE dialoghi di tempo fiducia e cura episodi 2-3-4</v>
      </c>
      <c r="M3601" s="22" t="str">
        <f t="shared" si="223"/>
        <v>nicoletta.vozza@crm.otsuka-europe.com</v>
      </c>
      <c r="N3601" s="23">
        <v>46181.338055555556</v>
      </c>
      <c r="O3601" s="14" t="str">
        <f>HYPERLINK("https://otsuka-europe-crm.veevavault.com/ui/#object/email_activity__v/V8C00000003O841", "EN-002090543")</f>
        <v>EN-002090543</v>
      </c>
    </row>
    <row r="3602" spans="1:15" ht="16" x14ac:dyDescent="0.2">
      <c r="A3602" s="19"/>
      <c r="B3602" s="19"/>
      <c r="C3602" s="19"/>
      <c r="D3602" s="19"/>
      <c r="E3602" s="19"/>
      <c r="F3602" s="19"/>
      <c r="G3602" s="19"/>
      <c r="H3602" s="19"/>
      <c r="I3602" s="19"/>
      <c r="J3602" s="19"/>
      <c r="K3602" s="19"/>
      <c r="L3602" s="19"/>
      <c r="M3602" s="19"/>
      <c r="N3602" s="19"/>
      <c r="O3602" s="14" t="str">
        <f>HYPERLINK("https://otsuka-europe-crm.veevavault.com/ui/#object/email_activity__v/V8C00000003Q237", "EN-002091343")</f>
        <v>EN-002091343</v>
      </c>
    </row>
    <row r="3603" spans="1:15" ht="32" x14ac:dyDescent="0.2">
      <c r="A3603" s="7" t="str">
        <f>HYPERLINK("https://otsuka-europe-crm.veevavault.com/ui/#object/account__v/V4TZ06G6O8SFPN6", "FEDERICA ALIOTTA")</f>
        <v>FEDERICA ALIOTTA</v>
      </c>
      <c r="B3603" s="7" t="str">
        <f t="shared" ref="B3603:B3618" si="224">HYPERLINK("https://otsuka-europe-crm.veevavault.com/ui/#object/vcountry__v/VENZ000004SONFQ", "IT")</f>
        <v>IT</v>
      </c>
      <c r="C3603" s="8" t="s">
        <v>44</v>
      </c>
      <c r="D3603" s="9" t="str">
        <f t="shared" ref="D3603:D3618" si="225">HYPERLINK("https://otsuka-europe-crm.veevavault.com/ui/#object/approved_document__v/V5O000000018003", "AE dialoghi di tempo fiducia e cura episodi 2-3-4")</f>
        <v>AE dialoghi di tempo fiducia e cura episodi 2-3-4</v>
      </c>
      <c r="E3603" s="10" t="str">
        <f>HYPERLINK("https://otsuka-europe-crm.veevavault.com/ui/#object/sent_email__v/VBL00000002P025", "SE-001432695")</f>
        <v>SE-001432695</v>
      </c>
      <c r="F3603" s="11"/>
      <c r="G3603" s="12">
        <v>0</v>
      </c>
      <c r="H3603" s="12">
        <v>0</v>
      </c>
      <c r="I3603" s="12">
        <v>0</v>
      </c>
      <c r="J3603" s="11"/>
      <c r="K3603" s="12">
        <v>0</v>
      </c>
      <c r="L3603" s="10" t="str">
        <f t="shared" ref="L3603:L3618" si="226">HYPERLINK("https://otsuka-europe-crm.veevavault.com/ui/#object/approved_document__v/V5O000000018003", "AE dialoghi di tempo fiducia e cura episodi 2-3-4")</f>
        <v>AE dialoghi di tempo fiducia e cura episodi 2-3-4</v>
      </c>
      <c r="M3603" s="10" t="str">
        <f t="shared" ref="M3603:M3618" si="227">HYPERLINK("mailto:nicoletta.vozza@crm.otsuka-europe.com", "nicoletta.vozza@crm.otsuka-europe.com")</f>
        <v>nicoletta.vozza@crm.otsuka-europe.com</v>
      </c>
      <c r="N3603" s="13">
        <v>46181.338020833333</v>
      </c>
      <c r="O3603" s="14" t="str">
        <f>HYPERLINK("https://otsuka-europe-crm.veevavault.com/ui/#object/email_activity__v/V8C00000003O249", "EN-002089726")</f>
        <v>EN-002089726</v>
      </c>
    </row>
    <row r="3604" spans="1:15" ht="32" x14ac:dyDescent="0.2">
      <c r="A3604" s="7" t="str">
        <f>HYPERLINK("https://otsuka-europe-crm.veevavault.com/ui/#object/account__v/V4TZ06G6O71SA73", "FEDERICA BRIANO")</f>
        <v>FEDERICA BRIANO</v>
      </c>
      <c r="B3604" s="7" t="str">
        <f t="shared" si="224"/>
        <v>IT</v>
      </c>
      <c r="C3604" s="8" t="s">
        <v>44</v>
      </c>
      <c r="D3604" s="9" t="str">
        <f t="shared" si="225"/>
        <v>AE dialoghi di tempo fiducia e cura episodi 2-3-4</v>
      </c>
      <c r="E3604" s="10" t="str">
        <f>HYPERLINK("https://otsuka-europe-crm.veevavault.com/ui/#object/sent_email__v/VBL00000002P026", "SE-001432696")</f>
        <v>SE-001432696</v>
      </c>
      <c r="F3604" s="11"/>
      <c r="G3604" s="12">
        <v>0</v>
      </c>
      <c r="H3604" s="12">
        <v>0</v>
      </c>
      <c r="I3604" s="12">
        <v>0</v>
      </c>
      <c r="J3604" s="11"/>
      <c r="K3604" s="12">
        <v>0</v>
      </c>
      <c r="L3604" s="10" t="str">
        <f t="shared" si="226"/>
        <v>AE dialoghi di tempo fiducia e cura episodi 2-3-4</v>
      </c>
      <c r="M3604" s="10" t="str">
        <f t="shared" si="227"/>
        <v>nicoletta.vozza@crm.otsuka-europe.com</v>
      </c>
      <c r="N3604" s="13">
        <v>46181.338043981479</v>
      </c>
      <c r="O3604" s="14" t="str">
        <f>HYPERLINK("https://otsuka-europe-crm.veevavault.com/ui/#object/email_activity__v/V8C00000003P635", "EN-002090890")</f>
        <v>EN-002090890</v>
      </c>
    </row>
    <row r="3605" spans="1:15" ht="32" x14ac:dyDescent="0.2">
      <c r="A3605" s="7" t="str">
        <f>HYPERLINK("https://otsuka-europe-crm.veevavault.com/ui/#object/account__v/V4TZ025E83XKPTZ", "FEDERICA CHIODERA")</f>
        <v>FEDERICA CHIODERA</v>
      </c>
      <c r="B3605" s="7" t="str">
        <f t="shared" si="224"/>
        <v>IT</v>
      </c>
      <c r="C3605" s="8" t="s">
        <v>44</v>
      </c>
      <c r="D3605" s="9" t="str">
        <f t="shared" si="225"/>
        <v>AE dialoghi di tempo fiducia e cura episodi 2-3-4</v>
      </c>
      <c r="E3605" s="10" t="str">
        <f>HYPERLINK("https://otsuka-europe-crm.veevavault.com/ui/#object/sent_email__v/VBL00000002P027", "SE-001432697")</f>
        <v>SE-001432697</v>
      </c>
      <c r="F3605" s="11"/>
      <c r="G3605" s="12">
        <v>0</v>
      </c>
      <c r="H3605" s="12">
        <v>0</v>
      </c>
      <c r="I3605" s="12">
        <v>0</v>
      </c>
      <c r="J3605" s="11"/>
      <c r="K3605" s="12">
        <v>0</v>
      </c>
      <c r="L3605" s="10" t="str">
        <f t="shared" si="226"/>
        <v>AE dialoghi di tempo fiducia e cura episodi 2-3-4</v>
      </c>
      <c r="M3605" s="10" t="str">
        <f t="shared" si="227"/>
        <v>nicoletta.vozza@crm.otsuka-europe.com</v>
      </c>
      <c r="N3605" s="13">
        <v>46181.338078703702</v>
      </c>
      <c r="O3605" s="14" t="str">
        <f>HYPERLINK("https://otsuka-europe-crm.veevavault.com/ui/#object/email_activity__v/V8C00000003P481", "EN-002090663")</f>
        <v>EN-002090663</v>
      </c>
    </row>
    <row r="3606" spans="1:15" ht="32" x14ac:dyDescent="0.2">
      <c r="A3606" s="7" t="str">
        <f>HYPERLINK("https://otsuka-europe-crm.veevavault.com/ui/#object/account__v/V4TZ025E84P9ONE", "FEDERICA CROCE")</f>
        <v>FEDERICA CROCE</v>
      </c>
      <c r="B3606" s="7" t="str">
        <f t="shared" si="224"/>
        <v>IT</v>
      </c>
      <c r="C3606" s="8" t="s">
        <v>44</v>
      </c>
      <c r="D3606" s="9" t="str">
        <f t="shared" si="225"/>
        <v>AE dialoghi di tempo fiducia e cura episodi 2-3-4</v>
      </c>
      <c r="E3606" s="10" t="str">
        <f>HYPERLINK("https://otsuka-europe-crm.veevavault.com/ui/#object/sent_email__v/VBL00000002P028", "SE-001432698")</f>
        <v>SE-001432698</v>
      </c>
      <c r="F3606" s="11"/>
      <c r="G3606" s="12">
        <v>0</v>
      </c>
      <c r="H3606" s="12">
        <v>0</v>
      </c>
      <c r="I3606" s="12">
        <v>0</v>
      </c>
      <c r="J3606" s="11"/>
      <c r="K3606" s="12">
        <v>0</v>
      </c>
      <c r="L3606" s="10" t="str">
        <f t="shared" si="226"/>
        <v>AE dialoghi di tempo fiducia e cura episodi 2-3-4</v>
      </c>
      <c r="M3606" s="10" t="str">
        <f t="shared" si="227"/>
        <v>nicoletta.vozza@crm.otsuka-europe.com</v>
      </c>
      <c r="N3606" s="13">
        <v>46181.337997685187</v>
      </c>
      <c r="O3606" s="14" t="str">
        <f>HYPERLINK("https://otsuka-europe-crm.veevavault.com/ui/#object/email_activity__v/V8C00000003O919", "EN-002090579")</f>
        <v>EN-002090579</v>
      </c>
    </row>
    <row r="3607" spans="1:15" ht="32" x14ac:dyDescent="0.2">
      <c r="A3607" s="7" t="str">
        <f>HYPERLINK("https://otsuka-europe-crm.veevavault.com/ui/#object/account__v/V4TZ06G6O9VMYJB", "FEDERICA FAVILLI")</f>
        <v>FEDERICA FAVILLI</v>
      </c>
      <c r="B3607" s="7" t="str">
        <f t="shared" si="224"/>
        <v>IT</v>
      </c>
      <c r="C3607" s="8" t="s">
        <v>44</v>
      </c>
      <c r="D3607" s="9" t="str">
        <f t="shared" si="225"/>
        <v>AE dialoghi di tempo fiducia e cura episodi 2-3-4</v>
      </c>
      <c r="E3607" s="10" t="str">
        <f>HYPERLINK("https://otsuka-europe-crm.veevavault.com/ui/#object/sent_email__v/VBL00000002P029", "SE-001432699")</f>
        <v>SE-001432699</v>
      </c>
      <c r="F3607" s="11"/>
      <c r="G3607" s="12">
        <v>0</v>
      </c>
      <c r="H3607" s="12">
        <v>0</v>
      </c>
      <c r="I3607" s="12">
        <v>0</v>
      </c>
      <c r="J3607" s="11"/>
      <c r="K3607" s="12">
        <v>0</v>
      </c>
      <c r="L3607" s="10" t="str">
        <f t="shared" si="226"/>
        <v>AE dialoghi di tempo fiducia e cura episodi 2-3-4</v>
      </c>
      <c r="M3607" s="10" t="str">
        <f t="shared" si="227"/>
        <v>nicoletta.vozza@crm.otsuka-europe.com</v>
      </c>
      <c r="N3607" s="13">
        <v>46181.337951388887</v>
      </c>
      <c r="O3607" s="14" t="str">
        <f>HYPERLINK("https://otsuka-europe-crm.veevavault.com/ui/#object/email_activity__v/V8C00000003O501", "EN-002090057")</f>
        <v>EN-002090057</v>
      </c>
    </row>
    <row r="3608" spans="1:15" ht="32" x14ac:dyDescent="0.2">
      <c r="A3608" s="7" t="str">
        <f>HYPERLINK("https://otsuka-europe-crm.veevavault.com/ui/#object/account__v/V4TZ025E83KHF0E", "FEDERICA GIOVANNA LUCIA MATALLO")</f>
        <v>FEDERICA GIOVANNA LUCIA MATALLO</v>
      </c>
      <c r="B3608" s="7" t="str">
        <f t="shared" si="224"/>
        <v>IT</v>
      </c>
      <c r="C3608" s="8" t="s">
        <v>44</v>
      </c>
      <c r="D3608" s="9" t="str">
        <f t="shared" si="225"/>
        <v>AE dialoghi di tempo fiducia e cura episodi 2-3-4</v>
      </c>
      <c r="E3608" s="10" t="str">
        <f>HYPERLINK("https://otsuka-europe-crm.veevavault.com/ui/#object/sent_email__v/VBL00000002P030", "SE-001432700")</f>
        <v>SE-001432700</v>
      </c>
      <c r="F3608" s="11"/>
      <c r="G3608" s="12">
        <v>0</v>
      </c>
      <c r="H3608" s="12">
        <v>0</v>
      </c>
      <c r="I3608" s="12">
        <v>0</v>
      </c>
      <c r="J3608" s="11"/>
      <c r="K3608" s="12">
        <v>0</v>
      </c>
      <c r="L3608" s="10" t="str">
        <f t="shared" si="226"/>
        <v>AE dialoghi di tempo fiducia e cura episodi 2-3-4</v>
      </c>
      <c r="M3608" s="10" t="str">
        <f t="shared" si="227"/>
        <v>nicoletta.vozza@crm.otsuka-europe.com</v>
      </c>
      <c r="N3608" s="13">
        <v>46181.337962962964</v>
      </c>
      <c r="O3608" s="14" t="str">
        <f>HYPERLINK("https://otsuka-europe-crm.veevavault.com/ui/#object/email_activity__v/V8C00000003P258", "EN-002089836")</f>
        <v>EN-002089836</v>
      </c>
    </row>
    <row r="3609" spans="1:15" ht="32" x14ac:dyDescent="0.2">
      <c r="A3609" s="7" t="str">
        <f>HYPERLINK("https://otsuka-europe-crm.veevavault.com/ui/#object/account__v/V4TZ06G6O71S9CO", "FEDERICA KUSMANN")</f>
        <v>FEDERICA KUSMANN</v>
      </c>
      <c r="B3609" s="7" t="str">
        <f t="shared" si="224"/>
        <v>IT</v>
      </c>
      <c r="C3609" s="8" t="s">
        <v>44</v>
      </c>
      <c r="D3609" s="9" t="str">
        <f t="shared" si="225"/>
        <v>AE dialoghi di tempo fiducia e cura episodi 2-3-4</v>
      </c>
      <c r="E3609" s="10" t="str">
        <f>HYPERLINK("https://otsuka-europe-crm.veevavault.com/ui/#object/sent_email__v/VBL00000002P031", "SE-001432701")</f>
        <v>SE-001432701</v>
      </c>
      <c r="F3609" s="11"/>
      <c r="G3609" s="12">
        <v>0</v>
      </c>
      <c r="H3609" s="12">
        <v>0</v>
      </c>
      <c r="I3609" s="12">
        <v>0</v>
      </c>
      <c r="J3609" s="11"/>
      <c r="K3609" s="12">
        <v>0</v>
      </c>
      <c r="L3609" s="10" t="str">
        <f t="shared" si="226"/>
        <v>AE dialoghi di tempo fiducia e cura episodi 2-3-4</v>
      </c>
      <c r="M3609" s="10" t="str">
        <f t="shared" si="227"/>
        <v>nicoletta.vozza@crm.otsuka-europe.com</v>
      </c>
      <c r="N3609" s="13">
        <v>46181.338020833333</v>
      </c>
      <c r="O3609" s="14" t="str">
        <f>HYPERLINK("https://otsuka-europe-crm.veevavault.com/ui/#object/email_activity__v/V8C00000003P447", "EN-002090646")</f>
        <v>EN-002090646</v>
      </c>
    </row>
    <row r="3610" spans="1:15" ht="32" x14ac:dyDescent="0.2">
      <c r="A3610" s="7" t="str">
        <f>HYPERLINK("https://otsuka-europe-crm.veevavault.com/ui/#object/account__v/V4TZ025E82ZXZKD", "FEDERICA PIAZZA")</f>
        <v>FEDERICA PIAZZA</v>
      </c>
      <c r="B3610" s="7" t="str">
        <f t="shared" si="224"/>
        <v>IT</v>
      </c>
      <c r="C3610" s="8" t="s">
        <v>44</v>
      </c>
      <c r="D3610" s="9" t="str">
        <f t="shared" si="225"/>
        <v>AE dialoghi di tempo fiducia e cura episodi 2-3-4</v>
      </c>
      <c r="E3610" s="10" t="str">
        <f>HYPERLINK("https://otsuka-europe-crm.veevavault.com/ui/#object/sent_email__v/VBL00000002P032", "SE-001432702")</f>
        <v>SE-001432702</v>
      </c>
      <c r="F3610" s="11"/>
      <c r="G3610" s="12">
        <v>0</v>
      </c>
      <c r="H3610" s="12">
        <v>0</v>
      </c>
      <c r="I3610" s="12">
        <v>0</v>
      </c>
      <c r="J3610" s="11"/>
      <c r="K3610" s="12">
        <v>0</v>
      </c>
      <c r="L3610" s="10" t="str">
        <f t="shared" si="226"/>
        <v>AE dialoghi di tempo fiducia e cura episodi 2-3-4</v>
      </c>
      <c r="M3610" s="10" t="str">
        <f t="shared" si="227"/>
        <v>nicoletta.vozza@crm.otsuka-europe.com</v>
      </c>
      <c r="N3610" s="13">
        <v>46181.338043981479</v>
      </c>
      <c r="O3610" s="14" t="str">
        <f>HYPERLINK("https://otsuka-europe-crm.veevavault.com/ui/#object/email_activity__v/V8C00000003O840", "EN-002090542")</f>
        <v>EN-002090542</v>
      </c>
    </row>
    <row r="3611" spans="1:15" ht="32" x14ac:dyDescent="0.2">
      <c r="A3611" s="7" t="str">
        <f>HYPERLINK("https://otsuka-europe-crm.veevavault.com/ui/#object/account__v/V4TZ06G6O71SBWQ", "FEDERICA PISTOIA")</f>
        <v>FEDERICA PISTOIA</v>
      </c>
      <c r="B3611" s="7" t="str">
        <f t="shared" si="224"/>
        <v>IT</v>
      </c>
      <c r="C3611" s="8" t="s">
        <v>44</v>
      </c>
      <c r="D3611" s="9" t="str">
        <f t="shared" si="225"/>
        <v>AE dialoghi di tempo fiducia e cura episodi 2-3-4</v>
      </c>
      <c r="E3611" s="10" t="str">
        <f>HYPERLINK("https://otsuka-europe-crm.veevavault.com/ui/#object/sent_email__v/VBL00000002P033", "SE-001432703")</f>
        <v>SE-001432703</v>
      </c>
      <c r="F3611" s="11"/>
      <c r="G3611" s="12">
        <v>0</v>
      </c>
      <c r="H3611" s="12">
        <v>0</v>
      </c>
      <c r="I3611" s="12">
        <v>0</v>
      </c>
      <c r="J3611" s="11"/>
      <c r="K3611" s="12">
        <v>0</v>
      </c>
      <c r="L3611" s="10" t="str">
        <f t="shared" si="226"/>
        <v>AE dialoghi di tempo fiducia e cura episodi 2-3-4</v>
      </c>
      <c r="M3611" s="10" t="str">
        <f t="shared" si="227"/>
        <v>nicoletta.vozza@crm.otsuka-europe.com</v>
      </c>
      <c r="N3611" s="13">
        <v>46181.338009259256</v>
      </c>
      <c r="O3611" s="14" t="str">
        <f>HYPERLINK("https://otsuka-europe-crm.veevavault.com/ui/#object/email_activity__v/V8C00000003O676", "EN-002090232")</f>
        <v>EN-002090232</v>
      </c>
    </row>
    <row r="3612" spans="1:15" ht="32" x14ac:dyDescent="0.2">
      <c r="A3612" s="7" t="str">
        <f>HYPERLINK("https://otsuka-europe-crm.veevavault.com/ui/#object/account__v/V4TZ06G6O71SACP", "FEDERICA PITTALUGA")</f>
        <v>FEDERICA PITTALUGA</v>
      </c>
      <c r="B3612" s="7" t="str">
        <f t="shared" si="224"/>
        <v>IT</v>
      </c>
      <c r="C3612" s="8" t="s">
        <v>44</v>
      </c>
      <c r="D3612" s="9" t="str">
        <f t="shared" si="225"/>
        <v>AE dialoghi di tempo fiducia e cura episodi 2-3-4</v>
      </c>
      <c r="E3612" s="10" t="str">
        <f>HYPERLINK("https://otsuka-europe-crm.veevavault.com/ui/#object/sent_email__v/VBL00000002P034", "SE-001432704")</f>
        <v>SE-001432704</v>
      </c>
      <c r="F3612" s="11"/>
      <c r="G3612" s="12">
        <v>0</v>
      </c>
      <c r="H3612" s="12">
        <v>0</v>
      </c>
      <c r="I3612" s="12">
        <v>0</v>
      </c>
      <c r="J3612" s="11"/>
      <c r="K3612" s="12">
        <v>0</v>
      </c>
      <c r="L3612" s="10" t="str">
        <f t="shared" si="226"/>
        <v>AE dialoghi di tempo fiducia e cura episodi 2-3-4</v>
      </c>
      <c r="M3612" s="10" t="str">
        <f t="shared" si="227"/>
        <v>nicoletta.vozza@crm.otsuka-europe.com</v>
      </c>
      <c r="N3612" s="13">
        <v>46181.338009259256</v>
      </c>
      <c r="O3612" s="14" t="str">
        <f>HYPERLINK("https://otsuka-europe-crm.veevavault.com/ui/#object/email_activity__v/V8C00000003O680", "EN-002090236")</f>
        <v>EN-002090236</v>
      </c>
    </row>
    <row r="3613" spans="1:15" ht="32" x14ac:dyDescent="0.2">
      <c r="A3613" s="7" t="str">
        <f>HYPERLINK("https://otsuka-europe-crm.veevavault.com/ui/#object/account__v/V4TZ025E82WRWBA", "FEDERICA QUARATO")</f>
        <v>FEDERICA QUARATO</v>
      </c>
      <c r="B3613" s="7" t="str">
        <f t="shared" si="224"/>
        <v>IT</v>
      </c>
      <c r="C3613" s="8" t="s">
        <v>44</v>
      </c>
      <c r="D3613" s="9" t="str">
        <f t="shared" si="225"/>
        <v>AE dialoghi di tempo fiducia e cura episodi 2-3-4</v>
      </c>
      <c r="E3613" s="10" t="str">
        <f>HYPERLINK("https://otsuka-europe-crm.veevavault.com/ui/#object/sent_email__v/VBL00000002P035", "SE-001432705")</f>
        <v>SE-001432705</v>
      </c>
      <c r="F3613" s="11"/>
      <c r="G3613" s="12">
        <v>0</v>
      </c>
      <c r="H3613" s="12">
        <v>0</v>
      </c>
      <c r="I3613" s="12">
        <v>0</v>
      </c>
      <c r="J3613" s="11"/>
      <c r="K3613" s="12">
        <v>0</v>
      </c>
      <c r="L3613" s="10" t="str">
        <f t="shared" si="226"/>
        <v>AE dialoghi di tempo fiducia e cura episodi 2-3-4</v>
      </c>
      <c r="M3613" s="10" t="str">
        <f t="shared" si="227"/>
        <v>nicoletta.vozza@crm.otsuka-europe.com</v>
      </c>
      <c r="N3613" s="13">
        <v>46181.338055555556</v>
      </c>
      <c r="O3613" s="14" t="str">
        <f>HYPERLINK("https://otsuka-europe-crm.veevavault.com/ui/#object/email_activity__v/V8C00000003Q094", "EN-002091159")</f>
        <v>EN-002091159</v>
      </c>
    </row>
    <row r="3614" spans="1:15" ht="32" x14ac:dyDescent="0.2">
      <c r="A3614" s="7" t="str">
        <f>HYPERLINK("https://otsuka-europe-crm.veevavault.com/ui/#object/account__v/V4TZ06G6O71SCFO", "FEDERICA SOSCIA")</f>
        <v>FEDERICA SOSCIA</v>
      </c>
      <c r="B3614" s="7" t="str">
        <f t="shared" si="224"/>
        <v>IT</v>
      </c>
      <c r="C3614" s="8" t="s">
        <v>44</v>
      </c>
      <c r="D3614" s="9" t="str">
        <f t="shared" si="225"/>
        <v>AE dialoghi di tempo fiducia e cura episodi 2-3-4</v>
      </c>
      <c r="E3614" s="10" t="str">
        <f>HYPERLINK("https://otsuka-europe-crm.veevavault.com/ui/#object/sent_email__v/VBL00000002P036", "SE-001432706")</f>
        <v>SE-001432706</v>
      </c>
      <c r="F3614" s="11"/>
      <c r="G3614" s="12">
        <v>0</v>
      </c>
      <c r="H3614" s="12">
        <v>0</v>
      </c>
      <c r="I3614" s="12">
        <v>0</v>
      </c>
      <c r="J3614" s="11"/>
      <c r="K3614" s="12">
        <v>0</v>
      </c>
      <c r="L3614" s="10" t="str">
        <f t="shared" si="226"/>
        <v>AE dialoghi di tempo fiducia e cura episodi 2-3-4</v>
      </c>
      <c r="M3614" s="10" t="str">
        <f t="shared" si="227"/>
        <v>nicoletta.vozza@crm.otsuka-europe.com</v>
      </c>
      <c r="N3614" s="13">
        <v>46181.337962962964</v>
      </c>
      <c r="O3614" s="14" t="str">
        <f>HYPERLINK("https://otsuka-europe-crm.veevavault.com/ui/#object/email_activity__v/V8C00000003P267", "EN-002089845")</f>
        <v>EN-002089845</v>
      </c>
    </row>
    <row r="3615" spans="1:15" ht="32" x14ac:dyDescent="0.2">
      <c r="A3615" s="7" t="str">
        <f>HYPERLINK("https://otsuka-europe-crm.veevavault.com/ui/#object/account__v/V4TZ06G6O71S9RJ", "FEDERICA SPILIMBERGO")</f>
        <v>FEDERICA SPILIMBERGO</v>
      </c>
      <c r="B3615" s="7" t="str">
        <f t="shared" si="224"/>
        <v>IT</v>
      </c>
      <c r="C3615" s="8" t="s">
        <v>44</v>
      </c>
      <c r="D3615" s="9" t="str">
        <f t="shared" si="225"/>
        <v>AE dialoghi di tempo fiducia e cura episodi 2-3-4</v>
      </c>
      <c r="E3615" s="10" t="str">
        <f>HYPERLINK("https://otsuka-europe-crm.veevavault.com/ui/#object/sent_email__v/VBL00000002P037", "SE-001432707")</f>
        <v>SE-001432707</v>
      </c>
      <c r="F3615" s="11"/>
      <c r="G3615" s="12">
        <v>0</v>
      </c>
      <c r="H3615" s="12">
        <v>0</v>
      </c>
      <c r="I3615" s="12">
        <v>0</v>
      </c>
      <c r="J3615" s="11"/>
      <c r="K3615" s="12">
        <v>0</v>
      </c>
      <c r="L3615" s="10" t="str">
        <f t="shared" si="226"/>
        <v>AE dialoghi di tempo fiducia e cura episodi 2-3-4</v>
      </c>
      <c r="M3615" s="10" t="str">
        <f t="shared" si="227"/>
        <v>nicoletta.vozza@crm.otsuka-europe.com</v>
      </c>
      <c r="N3615" s="13">
        <v>46181.338043981479</v>
      </c>
      <c r="O3615" s="14" t="str">
        <f>HYPERLINK("https://otsuka-europe-crm.veevavault.com/ui/#object/email_activity__v/V8C00000003P410", "EN-002090416")</f>
        <v>EN-002090416</v>
      </c>
    </row>
    <row r="3616" spans="1:15" ht="32" x14ac:dyDescent="0.2">
      <c r="A3616" s="7" t="str">
        <f>HYPERLINK("https://otsuka-europe-crm.veevavault.com/ui/#object/account__v/V4TZ06G6O71S9S1", "FEDERICO ANGELUCCI")</f>
        <v>FEDERICO ANGELUCCI</v>
      </c>
      <c r="B3616" s="7" t="str">
        <f t="shared" si="224"/>
        <v>IT</v>
      </c>
      <c r="C3616" s="8" t="s">
        <v>44</v>
      </c>
      <c r="D3616" s="9" t="str">
        <f t="shared" si="225"/>
        <v>AE dialoghi di tempo fiducia e cura episodi 2-3-4</v>
      </c>
      <c r="E3616" s="10" t="str">
        <f>HYPERLINK("https://otsuka-europe-crm.veevavault.com/ui/#object/sent_email__v/VBL00000002P038", "SE-001432708")</f>
        <v>SE-001432708</v>
      </c>
      <c r="F3616" s="11"/>
      <c r="G3616" s="12">
        <v>0</v>
      </c>
      <c r="H3616" s="12">
        <v>0</v>
      </c>
      <c r="I3616" s="12">
        <v>0</v>
      </c>
      <c r="J3616" s="11"/>
      <c r="K3616" s="12">
        <v>0</v>
      </c>
      <c r="L3616" s="10" t="str">
        <f t="shared" si="226"/>
        <v>AE dialoghi di tempo fiducia e cura episodi 2-3-4</v>
      </c>
      <c r="M3616" s="10" t="str">
        <f t="shared" si="227"/>
        <v>nicoletta.vozza@crm.otsuka-europe.com</v>
      </c>
      <c r="N3616" s="13">
        <v>46181.338020833333</v>
      </c>
      <c r="O3616" s="14" t="str">
        <f>HYPERLINK("https://otsuka-europe-crm.veevavault.com/ui/#object/email_activity__v/V8C00000003P520", "EN-002090775")</f>
        <v>EN-002090775</v>
      </c>
    </row>
    <row r="3617" spans="1:15" ht="32" x14ac:dyDescent="0.2">
      <c r="A3617" s="7" t="str">
        <f>HYPERLINK("https://otsuka-europe-crm.veevavault.com/ui/#object/account__v/V4TZ06G6O71S9S3", "FEDERICO BIONDINI")</f>
        <v>FEDERICO BIONDINI</v>
      </c>
      <c r="B3617" s="7" t="str">
        <f t="shared" si="224"/>
        <v>IT</v>
      </c>
      <c r="C3617" s="8" t="s">
        <v>44</v>
      </c>
      <c r="D3617" s="9" t="str">
        <f t="shared" si="225"/>
        <v>AE dialoghi di tempo fiducia e cura episodi 2-3-4</v>
      </c>
      <c r="E3617" s="10" t="str">
        <f>HYPERLINK("https://otsuka-europe-crm.veevavault.com/ui/#object/sent_email__v/VBL00000002P039", "SE-001432709")</f>
        <v>SE-001432709</v>
      </c>
      <c r="F3617" s="11"/>
      <c r="G3617" s="12">
        <v>0</v>
      </c>
      <c r="H3617" s="12">
        <v>0</v>
      </c>
      <c r="I3617" s="12">
        <v>0</v>
      </c>
      <c r="J3617" s="11"/>
      <c r="K3617" s="12">
        <v>0</v>
      </c>
      <c r="L3617" s="10" t="str">
        <f t="shared" si="226"/>
        <v>AE dialoghi di tempo fiducia e cura episodi 2-3-4</v>
      </c>
      <c r="M3617" s="10" t="str">
        <f t="shared" si="227"/>
        <v>nicoletta.vozza@crm.otsuka-europe.com</v>
      </c>
      <c r="N3617" s="13">
        <v>46181.337962962964</v>
      </c>
      <c r="O3617" s="14" t="str">
        <f>HYPERLINK("https://otsuka-europe-crm.veevavault.com/ui/#object/email_activity__v/V8C00000003P318", "EN-002090324")</f>
        <v>EN-002090324</v>
      </c>
    </row>
    <row r="3618" spans="1:15" ht="16" x14ac:dyDescent="0.2">
      <c r="A3618" s="17" t="str">
        <f>HYPERLINK("https://otsuka-europe-crm.veevavault.com/ui/#object/account__v/V4TZ06G6O71S9L5", "FEDERICO CHIERZI")</f>
        <v>FEDERICO CHIERZI</v>
      </c>
      <c r="B3618" s="17" t="str">
        <f t="shared" si="224"/>
        <v>IT</v>
      </c>
      <c r="C3618" s="20" t="s">
        <v>44</v>
      </c>
      <c r="D3618" s="21" t="str">
        <f t="shared" si="225"/>
        <v>AE dialoghi di tempo fiducia e cura episodi 2-3-4</v>
      </c>
      <c r="E3618" s="22" t="str">
        <f>HYPERLINK("https://otsuka-europe-crm.veevavault.com/ui/#object/sent_email__v/VBL00000002P040", "SE-001432710")</f>
        <v>SE-001432710</v>
      </c>
      <c r="F3618" s="23">
        <v>46185.266863425924</v>
      </c>
      <c r="G3618" s="24">
        <v>1</v>
      </c>
      <c r="H3618" s="24">
        <v>2</v>
      </c>
      <c r="I3618" s="24">
        <v>0</v>
      </c>
      <c r="J3618" s="25"/>
      <c r="K3618" s="24">
        <v>0</v>
      </c>
      <c r="L3618" s="22" t="str">
        <f t="shared" si="226"/>
        <v>AE dialoghi di tempo fiducia e cura episodi 2-3-4</v>
      </c>
      <c r="M3618" s="22" t="str">
        <f t="shared" si="227"/>
        <v>nicoletta.vozza@crm.otsuka-europe.com</v>
      </c>
      <c r="N3618" s="23">
        <v>46181.338020833333</v>
      </c>
      <c r="O3618" s="14" t="str">
        <f>HYPERLINK("https://otsuka-europe-crm.veevavault.com/ui/#object/email_activity__v/V8C00000003P779", "EN-002091077")</f>
        <v>EN-002091077</v>
      </c>
    </row>
    <row r="3619" spans="1:15" ht="16" x14ac:dyDescent="0.2">
      <c r="A3619" s="18"/>
      <c r="B3619" s="18"/>
      <c r="C3619" s="18"/>
      <c r="D3619" s="18"/>
      <c r="E3619" s="18"/>
      <c r="F3619" s="18"/>
      <c r="G3619" s="18"/>
      <c r="H3619" s="18"/>
      <c r="I3619" s="18"/>
      <c r="J3619" s="18"/>
      <c r="K3619" s="18"/>
      <c r="L3619" s="18"/>
      <c r="M3619" s="18"/>
      <c r="N3619" s="18"/>
      <c r="O3619" s="14" t="str">
        <f>HYPERLINK("https://otsuka-europe-crm.veevavault.com/ui/#object/email_activity__v/V8C00000003V039", "EN-002094905")</f>
        <v>EN-002094905</v>
      </c>
    </row>
    <row r="3620" spans="1:15" ht="16" x14ac:dyDescent="0.2">
      <c r="A3620" s="19"/>
      <c r="B3620" s="19"/>
      <c r="C3620" s="19"/>
      <c r="D3620" s="19"/>
      <c r="E3620" s="19"/>
      <c r="F3620" s="19"/>
      <c r="G3620" s="19"/>
      <c r="H3620" s="19"/>
      <c r="I3620" s="19"/>
      <c r="J3620" s="19"/>
      <c r="K3620" s="19"/>
      <c r="L3620" s="19"/>
      <c r="M3620" s="19"/>
      <c r="N3620" s="19"/>
      <c r="O3620" s="14" t="str">
        <f>HYPERLINK("https://otsuka-europe-crm.veevavault.com/ui/#object/email_activity__v/V8C00000003V040", "EN-002094904")</f>
        <v>EN-002094904</v>
      </c>
    </row>
    <row r="3621" spans="1:15" ht="32" x14ac:dyDescent="0.2">
      <c r="A3621" s="7" t="str">
        <f>HYPERLINK("https://otsuka-europe-crm.veevavault.com/ui/#object/account__v/V4TZ06G6OABA9MR", "FEDERICO FACCHINI")</f>
        <v>FEDERICO FACCHINI</v>
      </c>
      <c r="B3621" s="7" t="str">
        <f t="shared" ref="B3621:B3628" si="228">HYPERLINK("https://otsuka-europe-crm.veevavault.com/ui/#object/vcountry__v/VENZ000004SONFQ", "IT")</f>
        <v>IT</v>
      </c>
      <c r="C3621" s="8" t="s">
        <v>44</v>
      </c>
      <c r="D3621" s="9" t="str">
        <f t="shared" ref="D3621:D3628" si="229">HYPERLINK("https://otsuka-europe-crm.veevavault.com/ui/#object/approved_document__v/V5O000000018003", "AE dialoghi di tempo fiducia e cura episodi 2-3-4")</f>
        <v>AE dialoghi di tempo fiducia e cura episodi 2-3-4</v>
      </c>
      <c r="E3621" s="10" t="str">
        <f>HYPERLINK("https://otsuka-europe-crm.veevavault.com/ui/#object/sent_email__v/VBL00000002P041", "SE-001432711")</f>
        <v>SE-001432711</v>
      </c>
      <c r="F3621" s="11"/>
      <c r="G3621" s="12">
        <v>0</v>
      </c>
      <c r="H3621" s="12">
        <v>0</v>
      </c>
      <c r="I3621" s="12">
        <v>0</v>
      </c>
      <c r="J3621" s="11"/>
      <c r="K3621" s="12">
        <v>0</v>
      </c>
      <c r="L3621" s="10" t="str">
        <f t="shared" ref="L3621:L3628" si="230">HYPERLINK("https://otsuka-europe-crm.veevavault.com/ui/#object/approved_document__v/V5O000000018003", "AE dialoghi di tempo fiducia e cura episodi 2-3-4")</f>
        <v>AE dialoghi di tempo fiducia e cura episodi 2-3-4</v>
      </c>
      <c r="M3621" s="10" t="str">
        <f t="shared" ref="M3621:M3628" si="231">HYPERLINK("mailto:nicoletta.vozza@crm.otsuka-europe.com", "nicoletta.vozza@crm.otsuka-europe.com")</f>
        <v>nicoletta.vozza@crm.otsuka-europe.com</v>
      </c>
      <c r="N3621" s="13">
        <v>46181.33798611111</v>
      </c>
      <c r="O3621" s="14" t="str">
        <f>HYPERLINK("https://otsuka-europe-crm.veevavault.com/ui/#object/email_activity__v/V8C00000003P276", "EN-002089854")</f>
        <v>EN-002089854</v>
      </c>
    </row>
    <row r="3622" spans="1:15" ht="32" x14ac:dyDescent="0.2">
      <c r="A3622" s="7" t="str">
        <f>HYPERLINK("https://otsuka-europe-crm.veevavault.com/ui/#object/account__v/V4TZ06G6O71SAKD", "FEDERICO FAGIOLI")</f>
        <v>FEDERICO FAGIOLI</v>
      </c>
      <c r="B3622" s="7" t="str">
        <f t="shared" si="228"/>
        <v>IT</v>
      </c>
      <c r="C3622" s="8" t="s">
        <v>44</v>
      </c>
      <c r="D3622" s="9" t="str">
        <f t="shared" si="229"/>
        <v>AE dialoghi di tempo fiducia e cura episodi 2-3-4</v>
      </c>
      <c r="E3622" s="10" t="str">
        <f>HYPERLINK("https://otsuka-europe-crm.veevavault.com/ui/#object/sent_email__v/VBL00000002P042", "SE-001432712")</f>
        <v>SE-001432712</v>
      </c>
      <c r="F3622" s="11"/>
      <c r="G3622" s="12">
        <v>0</v>
      </c>
      <c r="H3622" s="12">
        <v>0</v>
      </c>
      <c r="I3622" s="12">
        <v>0</v>
      </c>
      <c r="J3622" s="11"/>
      <c r="K3622" s="12">
        <v>0</v>
      </c>
      <c r="L3622" s="10" t="str">
        <f t="shared" si="230"/>
        <v>AE dialoghi di tempo fiducia e cura episodi 2-3-4</v>
      </c>
      <c r="M3622" s="10" t="str">
        <f t="shared" si="231"/>
        <v>nicoletta.vozza@crm.otsuka-europe.com</v>
      </c>
      <c r="N3622" s="13">
        <v>46181.33798611111</v>
      </c>
      <c r="O3622" s="14" t="str">
        <f>HYPERLINK("https://otsuka-europe-crm.veevavault.com/ui/#object/email_activity__v/V8C00000003P271", "EN-002089849")</f>
        <v>EN-002089849</v>
      </c>
    </row>
    <row r="3623" spans="1:15" ht="32" x14ac:dyDescent="0.2">
      <c r="A3623" s="7" t="str">
        <f>HYPERLINK("https://otsuka-europe-crm.veevavault.com/ui/#object/account__v/V4TZ06G6O9VHCXX", "FEDERICO IRLANDO")</f>
        <v>FEDERICO IRLANDO</v>
      </c>
      <c r="B3623" s="7" t="str">
        <f t="shared" si="228"/>
        <v>IT</v>
      </c>
      <c r="C3623" s="8" t="s">
        <v>44</v>
      </c>
      <c r="D3623" s="9" t="str">
        <f t="shared" si="229"/>
        <v>AE dialoghi di tempo fiducia e cura episodi 2-3-4</v>
      </c>
      <c r="E3623" s="10" t="str">
        <f>HYPERLINK("https://otsuka-europe-crm.veevavault.com/ui/#object/sent_email__v/VBL00000002P043", "SE-001432713")</f>
        <v>SE-001432713</v>
      </c>
      <c r="F3623" s="11"/>
      <c r="G3623" s="12">
        <v>0</v>
      </c>
      <c r="H3623" s="12">
        <v>0</v>
      </c>
      <c r="I3623" s="12">
        <v>0</v>
      </c>
      <c r="J3623" s="11"/>
      <c r="K3623" s="12">
        <v>0</v>
      </c>
      <c r="L3623" s="10" t="str">
        <f t="shared" si="230"/>
        <v>AE dialoghi di tempo fiducia e cura episodi 2-3-4</v>
      </c>
      <c r="M3623" s="10" t="str">
        <f t="shared" si="231"/>
        <v>nicoletta.vozza@crm.otsuka-europe.com</v>
      </c>
      <c r="N3623" s="13">
        <v>46181.338113425925</v>
      </c>
      <c r="O3623" s="14" t="str">
        <f>HYPERLINK("https://otsuka-europe-crm.veevavault.com/ui/#object/email_activity__v/V8C00000003Q058", "EN-002091024")</f>
        <v>EN-002091024</v>
      </c>
    </row>
    <row r="3624" spans="1:15" ht="32" x14ac:dyDescent="0.2">
      <c r="A3624" s="7" t="str">
        <f>HYPERLINK("https://otsuka-europe-crm.veevavault.com/ui/#object/account__v/V4TZ025E83F631U", "FEDERICO MORETTI")</f>
        <v>FEDERICO MORETTI</v>
      </c>
      <c r="B3624" s="7" t="str">
        <f t="shared" si="228"/>
        <v>IT</v>
      </c>
      <c r="C3624" s="8" t="s">
        <v>44</v>
      </c>
      <c r="D3624" s="9" t="str">
        <f t="shared" si="229"/>
        <v>AE dialoghi di tempo fiducia e cura episodi 2-3-4</v>
      </c>
      <c r="E3624" s="10" t="str">
        <f>HYPERLINK("https://otsuka-europe-crm.veevavault.com/ui/#object/sent_email__v/VBL00000002P044", "SE-001432714")</f>
        <v>SE-001432714</v>
      </c>
      <c r="F3624" s="11"/>
      <c r="G3624" s="12">
        <v>0</v>
      </c>
      <c r="H3624" s="12">
        <v>0</v>
      </c>
      <c r="I3624" s="12">
        <v>0</v>
      </c>
      <c r="J3624" s="11"/>
      <c r="K3624" s="12">
        <v>0</v>
      </c>
      <c r="L3624" s="10" t="str">
        <f t="shared" si="230"/>
        <v>AE dialoghi di tempo fiducia e cura episodi 2-3-4</v>
      </c>
      <c r="M3624" s="10" t="str">
        <f t="shared" si="231"/>
        <v>nicoletta.vozza@crm.otsuka-europe.com</v>
      </c>
      <c r="N3624" s="13">
        <v>46181.338090277779</v>
      </c>
      <c r="O3624" s="14" t="str">
        <f>HYPERLINK("https://otsuka-europe-crm.veevavault.com/ui/#object/email_activity__v/V8C00000003P546", "EN-002090801")</f>
        <v>EN-002090801</v>
      </c>
    </row>
    <row r="3625" spans="1:15" ht="32" x14ac:dyDescent="0.2">
      <c r="A3625" s="7" t="str">
        <f>HYPERLINK("https://otsuka-europe-crm.veevavault.com/ui/#object/account__v/V4TZ04ASGB4N0PX", "FELICE MERCADANTE")</f>
        <v>FELICE MERCADANTE</v>
      </c>
      <c r="B3625" s="7" t="str">
        <f t="shared" si="228"/>
        <v>IT</v>
      </c>
      <c r="C3625" s="8" t="s">
        <v>44</v>
      </c>
      <c r="D3625" s="9" t="str">
        <f t="shared" si="229"/>
        <v>AE dialoghi di tempo fiducia e cura episodi 2-3-4</v>
      </c>
      <c r="E3625" s="10" t="str">
        <f>HYPERLINK("https://otsuka-europe-crm.veevavault.com/ui/#object/sent_email__v/VBL00000002P045", "SE-001432715")</f>
        <v>SE-001432715</v>
      </c>
      <c r="F3625" s="11"/>
      <c r="G3625" s="12">
        <v>0</v>
      </c>
      <c r="H3625" s="12">
        <v>0</v>
      </c>
      <c r="I3625" s="12">
        <v>0</v>
      </c>
      <c r="J3625" s="11"/>
      <c r="K3625" s="12">
        <v>0</v>
      </c>
      <c r="L3625" s="10" t="str">
        <f t="shared" si="230"/>
        <v>AE dialoghi di tempo fiducia e cura episodi 2-3-4</v>
      </c>
      <c r="M3625" s="10" t="str">
        <f t="shared" si="231"/>
        <v>nicoletta.vozza@crm.otsuka-europe.com</v>
      </c>
      <c r="N3625" s="13">
        <v>46181.338090277779</v>
      </c>
      <c r="O3625" s="14" t="str">
        <f>HYPERLINK("https://otsuka-europe-crm.veevavault.com/ui/#object/email_activity__v/V8C00000003P768", "EN-002091066")</f>
        <v>EN-002091066</v>
      </c>
    </row>
    <row r="3626" spans="1:15" ht="32" x14ac:dyDescent="0.2">
      <c r="A3626" s="7" t="str">
        <f>HYPERLINK("https://otsuka-europe-crm.veevavault.com/ui/#object/account__v/V4TZ06G6O71SBLI", "FELICIA MOCERINO")</f>
        <v>FELICIA MOCERINO</v>
      </c>
      <c r="B3626" s="7" t="str">
        <f t="shared" si="228"/>
        <v>IT</v>
      </c>
      <c r="C3626" s="8" t="s">
        <v>44</v>
      </c>
      <c r="D3626" s="9" t="str">
        <f t="shared" si="229"/>
        <v>AE dialoghi di tempo fiducia e cura episodi 2-3-4</v>
      </c>
      <c r="E3626" s="10" t="str">
        <f>HYPERLINK("https://otsuka-europe-crm.veevavault.com/ui/#object/sent_email__v/VBL00000002P046", "SE-001432716")</f>
        <v>SE-001432716</v>
      </c>
      <c r="F3626" s="11"/>
      <c r="G3626" s="12">
        <v>0</v>
      </c>
      <c r="H3626" s="12">
        <v>0</v>
      </c>
      <c r="I3626" s="12">
        <v>0</v>
      </c>
      <c r="J3626" s="11"/>
      <c r="K3626" s="12">
        <v>0</v>
      </c>
      <c r="L3626" s="10" t="str">
        <f t="shared" si="230"/>
        <v>AE dialoghi di tempo fiducia e cura episodi 2-3-4</v>
      </c>
      <c r="M3626" s="10" t="str">
        <f t="shared" si="231"/>
        <v>nicoletta.vozza@crm.otsuka-europe.com</v>
      </c>
      <c r="N3626" s="13">
        <v>46181.337962962964</v>
      </c>
      <c r="O3626" s="14" t="str">
        <f>HYPERLINK("https://otsuka-europe-crm.veevavault.com/ui/#object/email_activity__v/V8C00000003O859", "EN-002090466")</f>
        <v>EN-002090466</v>
      </c>
    </row>
    <row r="3627" spans="1:15" ht="32" x14ac:dyDescent="0.2">
      <c r="A3627" s="7" t="str">
        <f>HYPERLINK("https://otsuka-europe-crm.veevavault.com/ui/#object/account__v/V4TZ06G6O71S9FP", "FERDINANDO NICOLETTI")</f>
        <v>FERDINANDO NICOLETTI</v>
      </c>
      <c r="B3627" s="7" t="str">
        <f t="shared" si="228"/>
        <v>IT</v>
      </c>
      <c r="C3627" s="8" t="s">
        <v>44</v>
      </c>
      <c r="D3627" s="9" t="str">
        <f t="shared" si="229"/>
        <v>AE dialoghi di tempo fiducia e cura episodi 2-3-4</v>
      </c>
      <c r="E3627" s="10" t="str">
        <f>HYPERLINK("https://otsuka-europe-crm.veevavault.com/ui/#object/sent_email__v/VBL00000002P047", "SE-001432717")</f>
        <v>SE-001432717</v>
      </c>
      <c r="F3627" s="11"/>
      <c r="G3627" s="12">
        <v>0</v>
      </c>
      <c r="H3627" s="12">
        <v>0</v>
      </c>
      <c r="I3627" s="12">
        <v>0</v>
      </c>
      <c r="J3627" s="11"/>
      <c r="K3627" s="12">
        <v>0</v>
      </c>
      <c r="L3627" s="10" t="str">
        <f t="shared" si="230"/>
        <v>AE dialoghi di tempo fiducia e cura episodi 2-3-4</v>
      </c>
      <c r="M3627" s="10" t="str">
        <f t="shared" si="231"/>
        <v>nicoletta.vozza@crm.otsuka-europe.com</v>
      </c>
      <c r="N3627" s="13">
        <v>46181.337997685187</v>
      </c>
      <c r="O3627" s="14" t="str">
        <f>HYPERLINK("https://otsuka-europe-crm.veevavault.com/ui/#object/email_activity__v/V8C00000003O512", "EN-002090068")</f>
        <v>EN-002090068</v>
      </c>
    </row>
    <row r="3628" spans="1:15" ht="16" x14ac:dyDescent="0.2">
      <c r="A3628" s="17" t="str">
        <f>HYPERLINK("https://otsuka-europe-crm.veevavault.com/ui/#object/account__v/V4TZ06G6O71SCM2", "FERDINANDO TROINA")</f>
        <v>FERDINANDO TROINA</v>
      </c>
      <c r="B3628" s="17" t="str">
        <f t="shared" si="228"/>
        <v>IT</v>
      </c>
      <c r="C3628" s="20" t="s">
        <v>44</v>
      </c>
      <c r="D3628" s="21" t="str">
        <f t="shared" si="229"/>
        <v>AE dialoghi di tempo fiducia e cura episodi 2-3-4</v>
      </c>
      <c r="E3628" s="22" t="str">
        <f>HYPERLINK("https://otsuka-europe-crm.veevavault.com/ui/#object/sent_email__v/VBL00000002P048", "SE-001432718")</f>
        <v>SE-001432718</v>
      </c>
      <c r="F3628" s="25"/>
      <c r="G3628" s="24">
        <v>0</v>
      </c>
      <c r="H3628" s="24">
        <v>0</v>
      </c>
      <c r="I3628" s="24">
        <v>0</v>
      </c>
      <c r="J3628" s="25"/>
      <c r="K3628" s="24">
        <v>0</v>
      </c>
      <c r="L3628" s="22" t="str">
        <f t="shared" si="230"/>
        <v>AE dialoghi di tempo fiducia e cura episodi 2-3-4</v>
      </c>
      <c r="M3628" s="22" t="str">
        <f t="shared" si="231"/>
        <v>nicoletta.vozza@crm.otsuka-europe.com</v>
      </c>
      <c r="N3628" s="23">
        <v>46181.337997685187</v>
      </c>
      <c r="O3628" s="14" t="str">
        <f>HYPERLINK("https://otsuka-europe-crm.veevavault.com/ui/#object/email_activity__v/V8C00000003O328", "EN-002089805")</f>
        <v>EN-002089805</v>
      </c>
    </row>
    <row r="3629" spans="1:15" ht="16" x14ac:dyDescent="0.2">
      <c r="A3629" s="19"/>
      <c r="B3629" s="19"/>
      <c r="C3629" s="19"/>
      <c r="D3629" s="19"/>
      <c r="E3629" s="19"/>
      <c r="F3629" s="19"/>
      <c r="G3629" s="19"/>
      <c r="H3629" s="19"/>
      <c r="I3629" s="19"/>
      <c r="J3629" s="19"/>
      <c r="K3629" s="19"/>
      <c r="L3629" s="19"/>
      <c r="M3629" s="19"/>
      <c r="N3629" s="19"/>
      <c r="O3629" s="14" t="str">
        <f>HYPERLINK("https://otsuka-europe-crm.veevavault.com/ui/#object/email_activity__v/V8C00000003Q749", "EN-002092327")</f>
        <v>EN-002092327</v>
      </c>
    </row>
    <row r="3630" spans="1:15" ht="32" x14ac:dyDescent="0.2">
      <c r="A3630" s="7" t="str">
        <f>HYPERLINK("https://otsuka-europe-crm.veevavault.com/ui/#object/account__v/V4TZ06G6O71SCGP", "FERRUCCIO STANGA")</f>
        <v>FERRUCCIO STANGA</v>
      </c>
      <c r="B3630" s="7" t="str">
        <f>HYPERLINK("https://otsuka-europe-crm.veevavault.com/ui/#object/vcountry__v/VENZ000004SONFQ", "IT")</f>
        <v>IT</v>
      </c>
      <c r="C3630" s="8" t="s">
        <v>44</v>
      </c>
      <c r="D3630" s="9" t="str">
        <f>HYPERLINK("https://otsuka-europe-crm.veevavault.com/ui/#object/approved_document__v/V5O000000018003", "AE dialoghi di tempo fiducia e cura episodi 2-3-4")</f>
        <v>AE dialoghi di tempo fiducia e cura episodi 2-3-4</v>
      </c>
      <c r="E3630" s="10" t="str">
        <f>HYPERLINK("https://otsuka-europe-crm.veevavault.com/ui/#object/sent_email__v/VBL00000002P049", "SE-001432719")</f>
        <v>SE-001432719</v>
      </c>
      <c r="F3630" s="11"/>
      <c r="G3630" s="12">
        <v>0</v>
      </c>
      <c r="H3630" s="12">
        <v>0</v>
      </c>
      <c r="I3630" s="12">
        <v>0</v>
      </c>
      <c r="J3630" s="11"/>
      <c r="K3630" s="12">
        <v>0</v>
      </c>
      <c r="L3630" s="10" t="str">
        <f>HYPERLINK("https://otsuka-europe-crm.veevavault.com/ui/#object/approved_document__v/V5O000000018003", "AE dialoghi di tempo fiducia e cura episodi 2-3-4")</f>
        <v>AE dialoghi di tempo fiducia e cura episodi 2-3-4</v>
      </c>
      <c r="M3630" s="10" t="str">
        <f>HYPERLINK("mailto:nicoletta.vozza@crm.otsuka-europe.com", "nicoletta.vozza@crm.otsuka-europe.com")</f>
        <v>nicoletta.vozza@crm.otsuka-europe.com</v>
      </c>
      <c r="N3630" s="13">
        <v>46181.337997685187</v>
      </c>
      <c r="O3630" s="14" t="str">
        <f>HYPERLINK("https://otsuka-europe-crm.veevavault.com/ui/#object/email_activity__v/V8C00000003P587", "EN-002090842")</f>
        <v>EN-002090842</v>
      </c>
    </row>
    <row r="3631" spans="1:15" ht="32" x14ac:dyDescent="0.2">
      <c r="A3631" s="7" t="str">
        <f>HYPERLINK("https://otsuka-europe-crm.veevavault.com/ui/#object/account__v/V4TZ06G6O71SC4F", "FIAMMETTA ROMANI")</f>
        <v>FIAMMETTA ROMANI</v>
      </c>
      <c r="B3631" s="7" t="str">
        <f>HYPERLINK("https://otsuka-europe-crm.veevavault.com/ui/#object/vcountry__v/VENZ000004SONFQ", "IT")</f>
        <v>IT</v>
      </c>
      <c r="C3631" s="8" t="s">
        <v>44</v>
      </c>
      <c r="D3631" s="9" t="str">
        <f>HYPERLINK("https://otsuka-europe-crm.veevavault.com/ui/#object/approved_document__v/V5O000000018003", "AE dialoghi di tempo fiducia e cura episodi 2-3-4")</f>
        <v>AE dialoghi di tempo fiducia e cura episodi 2-3-4</v>
      </c>
      <c r="E3631" s="10" t="str">
        <f>HYPERLINK("https://otsuka-europe-crm.veevavault.com/ui/#object/sent_email__v/VBL00000002P050", "SE-001432720")</f>
        <v>SE-001432720</v>
      </c>
      <c r="F3631" s="11"/>
      <c r="G3631" s="12">
        <v>0</v>
      </c>
      <c r="H3631" s="12">
        <v>0</v>
      </c>
      <c r="I3631" s="12">
        <v>0</v>
      </c>
      <c r="J3631" s="11"/>
      <c r="K3631" s="12">
        <v>0</v>
      </c>
      <c r="L3631" s="10" t="str">
        <f>HYPERLINK("https://otsuka-europe-crm.veevavault.com/ui/#object/approved_document__v/V5O000000018003", "AE dialoghi di tempo fiducia e cura episodi 2-3-4")</f>
        <v>AE dialoghi di tempo fiducia e cura episodi 2-3-4</v>
      </c>
      <c r="M3631" s="10" t="str">
        <f>HYPERLINK("mailto:nicoletta.vozza@crm.otsuka-europe.com", "nicoletta.vozza@crm.otsuka-europe.com")</f>
        <v>nicoletta.vozza@crm.otsuka-europe.com</v>
      </c>
      <c r="N3631" s="13">
        <v>46181.33803240741</v>
      </c>
      <c r="O3631" s="14" t="str">
        <f>HYPERLINK("https://otsuka-europe-crm.veevavault.com/ui/#object/email_activity__v/V8C00000003O384", "EN-002089902")</f>
        <v>EN-002089902</v>
      </c>
    </row>
    <row r="3632" spans="1:15" ht="32" x14ac:dyDescent="0.2">
      <c r="A3632" s="7" t="str">
        <f>HYPERLINK("https://otsuka-europe-crm.veevavault.com/ui/#object/account__v/V4TZ04ASG6FT9KK", "FIAMMETTA ROSA MARIA INGA")</f>
        <v>FIAMMETTA ROSA MARIA INGA</v>
      </c>
      <c r="B3632" s="7" t="str">
        <f>HYPERLINK("https://otsuka-europe-crm.veevavault.com/ui/#object/vcountry__v/VENZ000004SONFQ", "IT")</f>
        <v>IT</v>
      </c>
      <c r="C3632" s="8" t="s">
        <v>44</v>
      </c>
      <c r="D3632" s="9" t="str">
        <f>HYPERLINK("https://otsuka-europe-crm.veevavault.com/ui/#object/approved_document__v/V5O000000018003", "AE dialoghi di tempo fiducia e cura episodi 2-3-4")</f>
        <v>AE dialoghi di tempo fiducia e cura episodi 2-3-4</v>
      </c>
      <c r="E3632" s="10" t="str">
        <f>HYPERLINK("https://otsuka-europe-crm.veevavault.com/ui/#object/sent_email__v/VBL00000002P051", "SE-001432721")</f>
        <v>SE-001432721</v>
      </c>
      <c r="F3632" s="11"/>
      <c r="G3632" s="12">
        <v>0</v>
      </c>
      <c r="H3632" s="12">
        <v>0</v>
      </c>
      <c r="I3632" s="12">
        <v>0</v>
      </c>
      <c r="J3632" s="11"/>
      <c r="K3632" s="12">
        <v>0</v>
      </c>
      <c r="L3632" s="10" t="str">
        <f>HYPERLINK("https://otsuka-europe-crm.veevavault.com/ui/#object/approved_document__v/V5O000000018003", "AE dialoghi di tempo fiducia e cura episodi 2-3-4")</f>
        <v>AE dialoghi di tempo fiducia e cura episodi 2-3-4</v>
      </c>
      <c r="M3632" s="10" t="str">
        <f>HYPERLINK("mailto:nicoletta.vozza@crm.otsuka-europe.com", "nicoletta.vozza@crm.otsuka-europe.com")</f>
        <v>nicoletta.vozza@crm.otsuka-europe.com</v>
      </c>
      <c r="N3632" s="13">
        <v>46181.337939814817</v>
      </c>
      <c r="O3632" s="14" t="str">
        <f>HYPERLINK("https://otsuka-europe-crm.veevavault.com/ui/#object/email_activity__v/V8C00000003O807", "EN-002090509")</f>
        <v>EN-002090509</v>
      </c>
    </row>
    <row r="3633" spans="1:15" ht="32" x14ac:dyDescent="0.2">
      <c r="A3633" s="7" t="str">
        <f>HYPERLINK("https://otsuka-europe-crm.veevavault.com/ui/#object/account__v/V4TZ06G6O71SCDD", "FILIBERTO SIRAVO")</f>
        <v>FILIBERTO SIRAVO</v>
      </c>
      <c r="B3633" s="7" t="str">
        <f>HYPERLINK("https://otsuka-europe-crm.veevavault.com/ui/#object/vcountry__v/VENZ000004SONFQ", "IT")</f>
        <v>IT</v>
      </c>
      <c r="C3633" s="8" t="s">
        <v>44</v>
      </c>
      <c r="D3633" s="9" t="str">
        <f>HYPERLINK("https://otsuka-europe-crm.veevavault.com/ui/#object/approved_document__v/V5O000000018003", "AE dialoghi di tempo fiducia e cura episodi 2-3-4")</f>
        <v>AE dialoghi di tempo fiducia e cura episodi 2-3-4</v>
      </c>
      <c r="E3633" s="10" t="str">
        <f>HYPERLINK("https://otsuka-europe-crm.veevavault.com/ui/#object/sent_email__v/VBL00000002P052", "SE-001432722")</f>
        <v>SE-001432722</v>
      </c>
      <c r="F3633" s="11"/>
      <c r="G3633" s="12">
        <v>0</v>
      </c>
      <c r="H3633" s="12">
        <v>0</v>
      </c>
      <c r="I3633" s="12">
        <v>0</v>
      </c>
      <c r="J3633" s="11"/>
      <c r="K3633" s="12">
        <v>0</v>
      </c>
      <c r="L3633" s="10" t="str">
        <f>HYPERLINK("https://otsuka-europe-crm.veevavault.com/ui/#object/approved_document__v/V5O000000018003", "AE dialoghi di tempo fiducia e cura episodi 2-3-4")</f>
        <v>AE dialoghi di tempo fiducia e cura episodi 2-3-4</v>
      </c>
      <c r="M3633" s="10" t="str">
        <f>HYPERLINK("mailto:nicoletta.vozza@crm.otsuka-europe.com", "nicoletta.vozza@crm.otsuka-europe.com")</f>
        <v>nicoletta.vozza@crm.otsuka-europe.com</v>
      </c>
      <c r="N3633" s="13">
        <v>46181.33798611111</v>
      </c>
      <c r="O3633" s="14" t="str">
        <f>HYPERLINK("https://otsuka-europe-crm.veevavault.com/ui/#object/email_activity__v/V8C00000003P741", "EN-002091039")</f>
        <v>EN-002091039</v>
      </c>
    </row>
    <row r="3634" spans="1:15" ht="16" x14ac:dyDescent="0.2">
      <c r="A3634" s="17" t="str">
        <f>HYPERLINK("https://otsuka-europe-crm.veevavault.com/ui/#object/account__v/V4TZ04ASGB9OGFB", "FILIPPO ANTONIO IOVINE")</f>
        <v>FILIPPO ANTONIO IOVINE</v>
      </c>
      <c r="B3634" s="17" t="str">
        <f>HYPERLINK("https://otsuka-europe-crm.veevavault.com/ui/#object/vcountry__v/VENZ000004SONFQ", "IT")</f>
        <v>IT</v>
      </c>
      <c r="C3634" s="20" t="s">
        <v>44</v>
      </c>
      <c r="D3634" s="21" t="str">
        <f>HYPERLINK("https://otsuka-europe-crm.veevavault.com/ui/#object/approved_document__v/V5O000000018003", "AE dialoghi di tempo fiducia e cura episodi 2-3-4")</f>
        <v>AE dialoghi di tempo fiducia e cura episodi 2-3-4</v>
      </c>
      <c r="E3634" s="22" t="str">
        <f>HYPERLINK("https://otsuka-europe-crm.veevavault.com/ui/#object/sent_email__v/VBL00000002P053", "SE-001432723")</f>
        <v>SE-001432723</v>
      </c>
      <c r="F3634" s="25"/>
      <c r="G3634" s="24">
        <v>0</v>
      </c>
      <c r="H3634" s="24">
        <v>0</v>
      </c>
      <c r="I3634" s="24">
        <v>0</v>
      </c>
      <c r="J3634" s="25"/>
      <c r="K3634" s="24">
        <v>0</v>
      </c>
      <c r="L3634" s="22" t="str">
        <f>HYPERLINK("https://otsuka-europe-crm.veevavault.com/ui/#object/approved_document__v/V5O000000018003", "AE dialoghi di tempo fiducia e cura episodi 2-3-4")</f>
        <v>AE dialoghi di tempo fiducia e cura episodi 2-3-4</v>
      </c>
      <c r="M3634" s="22" t="str">
        <f>HYPERLINK("mailto:nicoletta.vozza@crm.otsuka-europe.com", "nicoletta.vozza@crm.otsuka-europe.com")</f>
        <v>nicoletta.vozza@crm.otsuka-europe.com</v>
      </c>
      <c r="N3634" s="23">
        <v>46181.337962962964</v>
      </c>
      <c r="O3634" s="14" t="str">
        <f>HYPERLINK("https://otsuka-europe-crm.veevavault.com/ui/#object/email_activity__v/V8C00000003P198", "EN-002089644")</f>
        <v>EN-002089644</v>
      </c>
    </row>
    <row r="3635" spans="1:15" ht="16" x14ac:dyDescent="0.2">
      <c r="A3635" s="19"/>
      <c r="B3635" s="19"/>
      <c r="C3635" s="19"/>
      <c r="D3635" s="19"/>
      <c r="E3635" s="19"/>
      <c r="F3635" s="19"/>
      <c r="G3635" s="19"/>
      <c r="H3635" s="19"/>
      <c r="I3635" s="19"/>
      <c r="J3635" s="19"/>
      <c r="K3635" s="19"/>
      <c r="L3635" s="19"/>
      <c r="M3635" s="19"/>
      <c r="N3635" s="19"/>
      <c r="O3635" s="14" t="str">
        <f>HYPERLINK("https://otsuka-europe-crm.veevavault.com/ui/#object/email_activity__v/V8C00000003V280", "EN-002095338")</f>
        <v>EN-002095338</v>
      </c>
    </row>
    <row r="3636" spans="1:15" ht="32" x14ac:dyDescent="0.2">
      <c r="A3636" s="7" t="str">
        <f>HYPERLINK("https://otsuka-europe-crm.veevavault.com/ui/#object/account__v/V4TZ06G6O71SB05", "FILIPPO CARACI")</f>
        <v>FILIPPO CARACI</v>
      </c>
      <c r="B3636" s="7" t="str">
        <f>HYPERLINK("https://otsuka-europe-crm.veevavault.com/ui/#object/vcountry__v/VENZ000004SONFQ", "IT")</f>
        <v>IT</v>
      </c>
      <c r="C3636" s="8" t="s">
        <v>44</v>
      </c>
      <c r="D3636" s="9" t="str">
        <f>HYPERLINK("https://otsuka-europe-crm.veevavault.com/ui/#object/approved_document__v/V5O000000018003", "AE dialoghi di tempo fiducia e cura episodi 2-3-4")</f>
        <v>AE dialoghi di tempo fiducia e cura episodi 2-3-4</v>
      </c>
      <c r="E3636" s="10" t="str">
        <f>HYPERLINK("https://otsuka-europe-crm.veevavault.com/ui/#object/sent_email__v/VBL00000002P054", "SE-001432724")</f>
        <v>SE-001432724</v>
      </c>
      <c r="F3636" s="11"/>
      <c r="G3636" s="12">
        <v>0</v>
      </c>
      <c r="H3636" s="12">
        <v>0</v>
      </c>
      <c r="I3636" s="12">
        <v>0</v>
      </c>
      <c r="J3636" s="11"/>
      <c r="K3636" s="12">
        <v>0</v>
      </c>
      <c r="L3636" s="10" t="str">
        <f>HYPERLINK("https://otsuka-europe-crm.veevavault.com/ui/#object/approved_document__v/V5O000000018003", "AE dialoghi di tempo fiducia e cura episodi 2-3-4")</f>
        <v>AE dialoghi di tempo fiducia e cura episodi 2-3-4</v>
      </c>
      <c r="M3636" s="10" t="str">
        <f>HYPERLINK("mailto:nicoletta.vozza@crm.otsuka-europe.com", "nicoletta.vozza@crm.otsuka-europe.com")</f>
        <v>nicoletta.vozza@crm.otsuka-europe.com</v>
      </c>
      <c r="N3636" s="13">
        <v>46181.338043981479</v>
      </c>
      <c r="O3636" s="14" t="str">
        <f>HYPERLINK("https://otsuka-europe-crm.veevavault.com/ui/#object/email_activity__v/V8C00000003O394", "EN-002089912")</f>
        <v>EN-002089912</v>
      </c>
    </row>
    <row r="3637" spans="1:15" ht="32" x14ac:dyDescent="0.2">
      <c r="A3637" s="7" t="str">
        <f>HYPERLINK("https://otsuka-europe-crm.veevavault.com/ui/#object/account__v/V4TZ06G6O71SAI8", "FILIPPO DRAGOGNA")</f>
        <v>FILIPPO DRAGOGNA</v>
      </c>
      <c r="B3637" s="7" t="str">
        <f>HYPERLINK("https://otsuka-europe-crm.veevavault.com/ui/#object/vcountry__v/VENZ000004SONFQ", "IT")</f>
        <v>IT</v>
      </c>
      <c r="C3637" s="8" t="s">
        <v>44</v>
      </c>
      <c r="D3637" s="9" t="str">
        <f>HYPERLINK("https://otsuka-europe-crm.veevavault.com/ui/#object/approved_document__v/V5O000000018003", "AE dialoghi di tempo fiducia e cura episodi 2-3-4")</f>
        <v>AE dialoghi di tempo fiducia e cura episodi 2-3-4</v>
      </c>
      <c r="E3637" s="10" t="str">
        <f>HYPERLINK("https://otsuka-europe-crm.veevavault.com/ui/#object/sent_email__v/VBL00000002P055", "SE-001432725")</f>
        <v>SE-001432725</v>
      </c>
      <c r="F3637" s="11"/>
      <c r="G3637" s="12">
        <v>0</v>
      </c>
      <c r="H3637" s="12">
        <v>0</v>
      </c>
      <c r="I3637" s="12">
        <v>0</v>
      </c>
      <c r="J3637" s="11"/>
      <c r="K3637" s="12">
        <v>0</v>
      </c>
      <c r="L3637" s="10" t="str">
        <f>HYPERLINK("https://otsuka-europe-crm.veevavault.com/ui/#object/approved_document__v/V5O000000018003", "AE dialoghi di tempo fiducia e cura episodi 2-3-4")</f>
        <v>AE dialoghi di tempo fiducia e cura episodi 2-3-4</v>
      </c>
      <c r="M3637" s="10" t="str">
        <f>HYPERLINK("mailto:nicoletta.vozza@crm.otsuka-europe.com", "nicoletta.vozza@crm.otsuka-europe.com")</f>
        <v>nicoletta.vozza@crm.otsuka-europe.com</v>
      </c>
      <c r="N3637" s="13">
        <v>46181.337997685187</v>
      </c>
      <c r="O3637" s="14" t="str">
        <f>HYPERLINK("https://otsuka-europe-crm.veevavault.com/ui/#object/email_activity__v/V8C00000003O633", "EN-002090189")</f>
        <v>EN-002090189</v>
      </c>
    </row>
    <row r="3638" spans="1:15" ht="32" x14ac:dyDescent="0.2">
      <c r="A3638" s="7" t="str">
        <f>HYPERLINK("https://otsuka-europe-crm.veevavault.com/ui/#object/account__v/V4TZ025E88U5Y91", "FILIPPO MARIA MOSCATI")</f>
        <v>FILIPPO MARIA MOSCATI</v>
      </c>
      <c r="B3638" s="7" t="str">
        <f>HYPERLINK("https://otsuka-europe-crm.veevavault.com/ui/#object/vcountry__v/VENZ000004SONFQ", "IT")</f>
        <v>IT</v>
      </c>
      <c r="C3638" s="8" t="s">
        <v>44</v>
      </c>
      <c r="D3638" s="9" t="str">
        <f>HYPERLINK("https://otsuka-europe-crm.veevavault.com/ui/#object/approved_document__v/V5O000000018003", "AE dialoghi di tempo fiducia e cura episodi 2-3-4")</f>
        <v>AE dialoghi di tempo fiducia e cura episodi 2-3-4</v>
      </c>
      <c r="E3638" s="10" t="str">
        <f>HYPERLINK("https://otsuka-europe-crm.veevavault.com/ui/#object/sent_email__v/VBL00000002P056", "SE-001432726")</f>
        <v>SE-001432726</v>
      </c>
      <c r="F3638" s="11"/>
      <c r="G3638" s="12">
        <v>0</v>
      </c>
      <c r="H3638" s="12">
        <v>0</v>
      </c>
      <c r="I3638" s="12">
        <v>0</v>
      </c>
      <c r="J3638" s="11"/>
      <c r="K3638" s="12">
        <v>0</v>
      </c>
      <c r="L3638" s="10" t="str">
        <f>HYPERLINK("https://otsuka-europe-crm.veevavault.com/ui/#object/approved_document__v/V5O000000018003", "AE dialoghi di tempo fiducia e cura episodi 2-3-4")</f>
        <v>AE dialoghi di tempo fiducia e cura episodi 2-3-4</v>
      </c>
      <c r="M3638" s="10" t="str">
        <f>HYPERLINK("mailto:nicoletta.vozza@crm.otsuka-europe.com", "nicoletta.vozza@crm.otsuka-europe.com")</f>
        <v>nicoletta.vozza@crm.otsuka-europe.com</v>
      </c>
      <c r="N3638" s="13">
        <v>46181.337997685187</v>
      </c>
      <c r="O3638" s="14" t="str">
        <f>HYPERLINK("https://otsuka-europe-crm.veevavault.com/ui/#object/email_activity__v/V8C00000003P617", "EN-002090872")</f>
        <v>EN-002090872</v>
      </c>
    </row>
    <row r="3639" spans="1:15" ht="32" x14ac:dyDescent="0.2">
      <c r="A3639" s="7" t="str">
        <f>HYPERLINK("https://otsuka-europe-crm.veevavault.com/ui/#object/account__v/V4TZ06G6O71SBNH", "FILIPPO MIRODDI")</f>
        <v>FILIPPO MIRODDI</v>
      </c>
      <c r="B3639" s="7" t="str">
        <f>HYPERLINK("https://otsuka-europe-crm.veevavault.com/ui/#object/vcountry__v/VENZ000004SONFQ", "IT")</f>
        <v>IT</v>
      </c>
      <c r="C3639" s="8" t="s">
        <v>44</v>
      </c>
      <c r="D3639" s="9" t="str">
        <f>HYPERLINK("https://otsuka-europe-crm.veevavault.com/ui/#object/approved_document__v/V5O000000018003", "AE dialoghi di tempo fiducia e cura episodi 2-3-4")</f>
        <v>AE dialoghi di tempo fiducia e cura episodi 2-3-4</v>
      </c>
      <c r="E3639" s="10" t="str">
        <f>HYPERLINK("https://otsuka-europe-crm.veevavault.com/ui/#object/sent_email__v/VBL00000002P057", "SE-001432727")</f>
        <v>SE-001432727</v>
      </c>
      <c r="F3639" s="11"/>
      <c r="G3639" s="12">
        <v>0</v>
      </c>
      <c r="H3639" s="12">
        <v>0</v>
      </c>
      <c r="I3639" s="12">
        <v>0</v>
      </c>
      <c r="J3639" s="11"/>
      <c r="K3639" s="12">
        <v>0</v>
      </c>
      <c r="L3639" s="10" t="str">
        <f>HYPERLINK("https://otsuka-europe-crm.veevavault.com/ui/#object/approved_document__v/V5O000000018003", "AE dialoghi di tempo fiducia e cura episodi 2-3-4")</f>
        <v>AE dialoghi di tempo fiducia e cura episodi 2-3-4</v>
      </c>
      <c r="M3639" s="10" t="str">
        <f>HYPERLINK("mailto:nicoletta.vozza@crm.otsuka-europe.com", "nicoletta.vozza@crm.otsuka-europe.com")</f>
        <v>nicoletta.vozza@crm.otsuka-europe.com</v>
      </c>
      <c r="N3639" s="13">
        <v>46181.338101851848</v>
      </c>
      <c r="O3639" s="14" t="str">
        <f>HYPERLINK("https://otsuka-europe-crm.veevavault.com/ui/#object/email_activity__v/V8C00000003P542", "EN-002090797")</f>
        <v>EN-002090797</v>
      </c>
    </row>
    <row r="3640" spans="1:15" ht="16" x14ac:dyDescent="0.2">
      <c r="A3640" s="17" t="str">
        <f>HYPERLINK("https://otsuka-europe-crm.veevavault.com/ui/#object/account__v/V4TZ025E82UO8MH", "FILIPPO OGHERI")</f>
        <v>FILIPPO OGHERI</v>
      </c>
      <c r="B3640" s="17" t="str">
        <f>HYPERLINK("https://otsuka-europe-crm.veevavault.com/ui/#object/vcountry__v/VENZ000004SONFQ", "IT")</f>
        <v>IT</v>
      </c>
      <c r="C3640" s="20" t="s">
        <v>44</v>
      </c>
      <c r="D3640" s="21" t="str">
        <f>HYPERLINK("https://otsuka-europe-crm.veevavault.com/ui/#object/approved_document__v/V5O000000018003", "AE dialoghi di tempo fiducia e cura episodi 2-3-4")</f>
        <v>AE dialoghi di tempo fiducia e cura episodi 2-3-4</v>
      </c>
      <c r="E3640" s="22" t="str">
        <f>HYPERLINK("https://otsuka-europe-crm.veevavault.com/ui/#object/sent_email__v/VBL00000002P058", "SE-001432728")</f>
        <v>SE-001432728</v>
      </c>
      <c r="F3640" s="23">
        <v>46181.397534722222</v>
      </c>
      <c r="G3640" s="24">
        <v>1</v>
      </c>
      <c r="H3640" s="24">
        <v>3</v>
      </c>
      <c r="I3640" s="24">
        <v>0</v>
      </c>
      <c r="J3640" s="25"/>
      <c r="K3640" s="24">
        <v>0</v>
      </c>
      <c r="L3640" s="22" t="str">
        <f>HYPERLINK("https://otsuka-europe-crm.veevavault.com/ui/#object/approved_document__v/V5O000000018003", "AE dialoghi di tempo fiducia e cura episodi 2-3-4")</f>
        <v>AE dialoghi di tempo fiducia e cura episodi 2-3-4</v>
      </c>
      <c r="M3640" s="22" t="str">
        <f>HYPERLINK("mailto:nicoletta.vozza@crm.otsuka-europe.com", "nicoletta.vozza@crm.otsuka-europe.com")</f>
        <v>nicoletta.vozza@crm.otsuka-europe.com</v>
      </c>
      <c r="N3640" s="23">
        <v>46181.338043981479</v>
      </c>
      <c r="O3640" s="14" t="str">
        <f>HYPERLINK("https://otsuka-europe-crm.veevavault.com/ui/#object/email_activity__v/V8C00000003O489", "EN-002090045")</f>
        <v>EN-002090045</v>
      </c>
    </row>
    <row r="3641" spans="1:15" ht="16" x14ac:dyDescent="0.2">
      <c r="A3641" s="18"/>
      <c r="B3641" s="18"/>
      <c r="C3641" s="18"/>
      <c r="D3641" s="18"/>
      <c r="E3641" s="18"/>
      <c r="F3641" s="18"/>
      <c r="G3641" s="18"/>
      <c r="H3641" s="18"/>
      <c r="I3641" s="18"/>
      <c r="J3641" s="18"/>
      <c r="K3641" s="18"/>
      <c r="L3641" s="18"/>
      <c r="M3641" s="18"/>
      <c r="N3641" s="18"/>
      <c r="O3641" s="14" t="str">
        <f>HYPERLINK("https://otsuka-europe-crm.veevavault.com/ui/#object/email_activity__v/V8C00000003Q470", "EN-002091711")</f>
        <v>EN-002091711</v>
      </c>
    </row>
    <row r="3642" spans="1:15" ht="16" x14ac:dyDescent="0.2">
      <c r="A3642" s="18"/>
      <c r="B3642" s="18"/>
      <c r="C3642" s="18"/>
      <c r="D3642" s="18"/>
      <c r="E3642" s="18"/>
      <c r="F3642" s="18"/>
      <c r="G3642" s="18"/>
      <c r="H3642" s="18"/>
      <c r="I3642" s="18"/>
      <c r="J3642" s="18"/>
      <c r="K3642" s="18"/>
      <c r="L3642" s="18"/>
      <c r="M3642" s="18"/>
      <c r="N3642" s="18"/>
      <c r="O3642" s="14" t="str">
        <f>HYPERLINK("https://otsuka-europe-crm.veevavault.com/ui/#object/email_activity__v/V8C00000003Q471", "EN-002091712")</f>
        <v>EN-002091712</v>
      </c>
    </row>
    <row r="3643" spans="1:15" ht="16" x14ac:dyDescent="0.2">
      <c r="A3643" s="19"/>
      <c r="B3643" s="19"/>
      <c r="C3643" s="19"/>
      <c r="D3643" s="19"/>
      <c r="E3643" s="19"/>
      <c r="F3643" s="19"/>
      <c r="G3643" s="19"/>
      <c r="H3643" s="19"/>
      <c r="I3643" s="19"/>
      <c r="J3643" s="19"/>
      <c r="K3643" s="19"/>
      <c r="L3643" s="19"/>
      <c r="M3643" s="19"/>
      <c r="N3643" s="19"/>
      <c r="O3643" s="14" t="str">
        <f>HYPERLINK("https://otsuka-europe-crm.veevavault.com/ui/#object/email_activity__v/V8C00000003Q487", "EN-002091746")</f>
        <v>EN-002091746</v>
      </c>
    </row>
    <row r="3644" spans="1:15" ht="32" x14ac:dyDescent="0.2">
      <c r="A3644" s="7" t="str">
        <f>HYPERLINK("https://otsuka-europe-crm.veevavault.com/ui/#object/account__v/V4TZ06G6O71TFYI", "FILIPPO RIPA")</f>
        <v>FILIPPO RIPA</v>
      </c>
      <c r="B3644" s="7" t="str">
        <f t="shared" ref="B3644:B3650" si="232">HYPERLINK("https://otsuka-europe-crm.veevavault.com/ui/#object/vcountry__v/VENZ000004SONFQ", "IT")</f>
        <v>IT</v>
      </c>
      <c r="C3644" s="8" t="s">
        <v>44</v>
      </c>
      <c r="D3644" s="9" t="str">
        <f t="shared" ref="D3644:D3650" si="233">HYPERLINK("https://otsuka-europe-crm.veevavault.com/ui/#object/approved_document__v/V5O000000018003", "AE dialoghi di tempo fiducia e cura episodi 2-3-4")</f>
        <v>AE dialoghi di tempo fiducia e cura episodi 2-3-4</v>
      </c>
      <c r="E3644" s="10" t="str">
        <f>HYPERLINK("https://otsuka-europe-crm.veevavault.com/ui/#object/sent_email__v/VBL00000002P059", "SE-001432729")</f>
        <v>SE-001432729</v>
      </c>
      <c r="F3644" s="11"/>
      <c r="G3644" s="12">
        <v>0</v>
      </c>
      <c r="H3644" s="12">
        <v>0</v>
      </c>
      <c r="I3644" s="12">
        <v>0</v>
      </c>
      <c r="J3644" s="11"/>
      <c r="K3644" s="12">
        <v>0</v>
      </c>
      <c r="L3644" s="10" t="str">
        <f t="shared" ref="L3644:L3650" si="234">HYPERLINK("https://otsuka-europe-crm.veevavault.com/ui/#object/approved_document__v/V5O000000018003", "AE dialoghi di tempo fiducia e cura episodi 2-3-4")</f>
        <v>AE dialoghi di tempo fiducia e cura episodi 2-3-4</v>
      </c>
      <c r="M3644" s="10" t="str">
        <f t="shared" ref="M3644:M3650" si="235">HYPERLINK("mailto:nicoletta.vozza@crm.otsuka-europe.com", "nicoletta.vozza@crm.otsuka-europe.com")</f>
        <v>nicoletta.vozza@crm.otsuka-europe.com</v>
      </c>
      <c r="N3644" s="13">
        <v>46181.337962962964</v>
      </c>
      <c r="O3644" s="14" t="str">
        <f>HYPERLINK("https://otsuka-europe-crm.veevavault.com/ui/#object/email_activity__v/V8C00000003O302", "EN-002089779")</f>
        <v>EN-002089779</v>
      </c>
    </row>
    <row r="3645" spans="1:15" ht="32" x14ac:dyDescent="0.2">
      <c r="A3645" s="7" t="str">
        <f>HYPERLINK("https://otsuka-europe-crm.veevavault.com/ui/#object/account__v/V4TZ06G6O71S9O6", "FILIPPO RUGGERI")</f>
        <v>FILIPPO RUGGERI</v>
      </c>
      <c r="B3645" s="7" t="str">
        <f t="shared" si="232"/>
        <v>IT</v>
      </c>
      <c r="C3645" s="8" t="s">
        <v>44</v>
      </c>
      <c r="D3645" s="9" t="str">
        <f t="shared" si="233"/>
        <v>AE dialoghi di tempo fiducia e cura episodi 2-3-4</v>
      </c>
      <c r="E3645" s="10" t="str">
        <f>HYPERLINK("https://otsuka-europe-crm.veevavault.com/ui/#object/sent_email__v/VBL00000002P060", "SE-001432730")</f>
        <v>SE-001432730</v>
      </c>
      <c r="F3645" s="11"/>
      <c r="G3645" s="12">
        <v>0</v>
      </c>
      <c r="H3645" s="12">
        <v>0</v>
      </c>
      <c r="I3645" s="12">
        <v>0</v>
      </c>
      <c r="J3645" s="11"/>
      <c r="K3645" s="12">
        <v>0</v>
      </c>
      <c r="L3645" s="10" t="str">
        <f t="shared" si="234"/>
        <v>AE dialoghi di tempo fiducia e cura episodi 2-3-4</v>
      </c>
      <c r="M3645" s="10" t="str">
        <f t="shared" si="235"/>
        <v>nicoletta.vozza@crm.otsuka-europe.com</v>
      </c>
      <c r="N3645" s="13">
        <v>46181.338043981479</v>
      </c>
      <c r="O3645" s="14" t="str">
        <f>HYPERLINK("https://otsuka-europe-crm.veevavault.com/ui/#object/email_activity__v/V8C00000003P632", "EN-002090887")</f>
        <v>EN-002090887</v>
      </c>
    </row>
    <row r="3646" spans="1:15" ht="32" x14ac:dyDescent="0.2">
      <c r="A3646" s="7" t="str">
        <f>HYPERLINK("https://otsuka-europe-crm.veevavault.com/ui/#object/account__v/V4TZ06G6O71TLK4", "FILIPPO STRUMIA")</f>
        <v>FILIPPO STRUMIA</v>
      </c>
      <c r="B3646" s="7" t="str">
        <f t="shared" si="232"/>
        <v>IT</v>
      </c>
      <c r="C3646" s="8" t="s">
        <v>44</v>
      </c>
      <c r="D3646" s="9" t="str">
        <f t="shared" si="233"/>
        <v>AE dialoghi di tempo fiducia e cura episodi 2-3-4</v>
      </c>
      <c r="E3646" s="10" t="str">
        <f>HYPERLINK("https://otsuka-europe-crm.veevavault.com/ui/#object/sent_email__v/VBL00000002P061", "SE-001432731")</f>
        <v>SE-001432731</v>
      </c>
      <c r="F3646" s="11"/>
      <c r="G3646" s="12">
        <v>0</v>
      </c>
      <c r="H3646" s="12">
        <v>0</v>
      </c>
      <c r="I3646" s="12">
        <v>0</v>
      </c>
      <c r="J3646" s="11"/>
      <c r="K3646" s="12">
        <v>0</v>
      </c>
      <c r="L3646" s="10" t="str">
        <f t="shared" si="234"/>
        <v>AE dialoghi di tempo fiducia e cura episodi 2-3-4</v>
      </c>
      <c r="M3646" s="10" t="str">
        <f t="shared" si="235"/>
        <v>nicoletta.vozza@crm.otsuka-europe.com</v>
      </c>
      <c r="N3646" s="13">
        <v>46181.337962962964</v>
      </c>
      <c r="O3646" s="14" t="str">
        <f>HYPERLINK("https://otsuka-europe-crm.veevavault.com/ui/#object/email_activity__v/V8C00000003P388", "EN-002090394")</f>
        <v>EN-002090394</v>
      </c>
    </row>
    <row r="3647" spans="1:15" ht="32" x14ac:dyDescent="0.2">
      <c r="A3647" s="7" t="str">
        <f>HYPERLINK("https://otsuka-europe-crm.veevavault.com/ui/#object/account__v/V4TZ04ASGB4KRGY", "FILIPPO TATI'")</f>
        <v>FILIPPO TATI'</v>
      </c>
      <c r="B3647" s="7" t="str">
        <f t="shared" si="232"/>
        <v>IT</v>
      </c>
      <c r="C3647" s="8" t="s">
        <v>44</v>
      </c>
      <c r="D3647" s="9" t="str">
        <f t="shared" si="233"/>
        <v>AE dialoghi di tempo fiducia e cura episodi 2-3-4</v>
      </c>
      <c r="E3647" s="10" t="str">
        <f>HYPERLINK("https://otsuka-europe-crm.veevavault.com/ui/#object/sent_email__v/VBL00000002P062", "SE-001432732")</f>
        <v>SE-001432732</v>
      </c>
      <c r="F3647" s="11"/>
      <c r="G3647" s="12">
        <v>0</v>
      </c>
      <c r="H3647" s="12">
        <v>0</v>
      </c>
      <c r="I3647" s="12">
        <v>0</v>
      </c>
      <c r="J3647" s="11"/>
      <c r="K3647" s="12">
        <v>0</v>
      </c>
      <c r="L3647" s="10" t="str">
        <f t="shared" si="234"/>
        <v>AE dialoghi di tempo fiducia e cura episodi 2-3-4</v>
      </c>
      <c r="M3647" s="10" t="str">
        <f t="shared" si="235"/>
        <v>nicoletta.vozza@crm.otsuka-europe.com</v>
      </c>
      <c r="N3647" s="13">
        <v>46181.33798611111</v>
      </c>
      <c r="O3647" s="14" t="str">
        <f>HYPERLINK("https://otsuka-europe-crm.veevavault.com/ui/#object/email_activity__v/V8C00000003O280", "EN-002089757")</f>
        <v>EN-002089757</v>
      </c>
    </row>
    <row r="3648" spans="1:15" ht="32" x14ac:dyDescent="0.2">
      <c r="A3648" s="7" t="str">
        <f>HYPERLINK("https://otsuka-europe-crm.veevavault.com/ui/#object/account__v/V4TZ06G6O71SCN9", "FIORENTINO TROJANO")</f>
        <v>FIORENTINO TROJANO</v>
      </c>
      <c r="B3648" s="7" t="str">
        <f t="shared" si="232"/>
        <v>IT</v>
      </c>
      <c r="C3648" s="8" t="s">
        <v>44</v>
      </c>
      <c r="D3648" s="9" t="str">
        <f t="shared" si="233"/>
        <v>AE dialoghi di tempo fiducia e cura episodi 2-3-4</v>
      </c>
      <c r="E3648" s="10" t="str">
        <f>HYPERLINK("https://otsuka-europe-crm.veevavault.com/ui/#object/sent_email__v/VBL00000002P063", "SE-001432733")</f>
        <v>SE-001432733</v>
      </c>
      <c r="F3648" s="11"/>
      <c r="G3648" s="12">
        <v>0</v>
      </c>
      <c r="H3648" s="12">
        <v>0</v>
      </c>
      <c r="I3648" s="12">
        <v>0</v>
      </c>
      <c r="J3648" s="11"/>
      <c r="K3648" s="12">
        <v>0</v>
      </c>
      <c r="L3648" s="10" t="str">
        <f t="shared" si="234"/>
        <v>AE dialoghi di tempo fiducia e cura episodi 2-3-4</v>
      </c>
      <c r="M3648" s="10" t="str">
        <f t="shared" si="235"/>
        <v>nicoletta.vozza@crm.otsuka-europe.com</v>
      </c>
      <c r="N3648" s="13">
        <v>46181.337962962964</v>
      </c>
      <c r="O3648" s="14" t="str">
        <f>HYPERLINK("https://otsuka-europe-crm.veevavault.com/ui/#object/email_activity__v/V8C00000003P211", "EN-002089657")</f>
        <v>EN-002089657</v>
      </c>
    </row>
    <row r="3649" spans="1:15" ht="32" x14ac:dyDescent="0.2">
      <c r="A3649" s="7" t="str">
        <f>HYPERLINK("https://otsuka-europe-crm.veevavault.com/ui/#object/account__v/V4TZ06G6O71SANJ", "FIORENZA FIORINI")</f>
        <v>FIORENZA FIORINI</v>
      </c>
      <c r="B3649" s="7" t="str">
        <f t="shared" si="232"/>
        <v>IT</v>
      </c>
      <c r="C3649" s="8" t="s">
        <v>44</v>
      </c>
      <c r="D3649" s="9" t="str">
        <f t="shared" si="233"/>
        <v>AE dialoghi di tempo fiducia e cura episodi 2-3-4</v>
      </c>
      <c r="E3649" s="10" t="str">
        <f>HYPERLINK("https://otsuka-europe-crm.veevavault.com/ui/#object/sent_email__v/VBL00000002P064", "SE-001432734")</f>
        <v>SE-001432734</v>
      </c>
      <c r="F3649" s="11"/>
      <c r="G3649" s="12">
        <v>0</v>
      </c>
      <c r="H3649" s="12">
        <v>0</v>
      </c>
      <c r="I3649" s="12">
        <v>0</v>
      </c>
      <c r="J3649" s="11"/>
      <c r="K3649" s="12">
        <v>0</v>
      </c>
      <c r="L3649" s="10" t="str">
        <f t="shared" si="234"/>
        <v>AE dialoghi di tempo fiducia e cura episodi 2-3-4</v>
      </c>
      <c r="M3649" s="10" t="str">
        <f t="shared" si="235"/>
        <v>nicoletta.vozza@crm.otsuka-europe.com</v>
      </c>
      <c r="N3649" s="13">
        <v>46181.33798611111</v>
      </c>
      <c r="O3649" s="14" t="str">
        <f>HYPERLINK("https://otsuka-europe-crm.veevavault.com/ui/#object/email_activity__v/V8C00000003P257", "EN-002089835")</f>
        <v>EN-002089835</v>
      </c>
    </row>
    <row r="3650" spans="1:15" ht="16" x14ac:dyDescent="0.2">
      <c r="A3650" s="17" t="str">
        <f>HYPERLINK("https://otsuka-europe-crm.veevavault.com/ui/#object/account__v/V4TZ06G6O71S9TN", "FLAMINIA NARILLI")</f>
        <v>FLAMINIA NARILLI</v>
      </c>
      <c r="B3650" s="17" t="str">
        <f t="shared" si="232"/>
        <v>IT</v>
      </c>
      <c r="C3650" s="20" t="s">
        <v>44</v>
      </c>
      <c r="D3650" s="21" t="str">
        <f t="shared" si="233"/>
        <v>AE dialoghi di tempo fiducia e cura episodi 2-3-4</v>
      </c>
      <c r="E3650" s="22" t="str">
        <f>HYPERLINK("https://otsuka-europe-crm.veevavault.com/ui/#object/sent_email__v/VBL00000002P065", "SE-001432735")</f>
        <v>SE-001432735</v>
      </c>
      <c r="F3650" s="23">
        <v>46181.359189814815</v>
      </c>
      <c r="G3650" s="24">
        <v>1</v>
      </c>
      <c r="H3650" s="24">
        <v>1</v>
      </c>
      <c r="I3650" s="24">
        <v>0</v>
      </c>
      <c r="J3650" s="25"/>
      <c r="K3650" s="24">
        <v>0</v>
      </c>
      <c r="L3650" s="22" t="str">
        <f t="shared" si="234"/>
        <v>AE dialoghi di tempo fiducia e cura episodi 2-3-4</v>
      </c>
      <c r="M3650" s="22" t="str">
        <f t="shared" si="235"/>
        <v>nicoletta.vozza@crm.otsuka-europe.com</v>
      </c>
      <c r="N3650" s="23">
        <v>46181.337997685187</v>
      </c>
      <c r="O3650" s="14" t="str">
        <f>HYPERLINK("https://otsuka-europe-crm.veevavault.com/ui/#object/email_activity__v/V8C00000003O706", "EN-002090262")</f>
        <v>EN-002090262</v>
      </c>
    </row>
    <row r="3651" spans="1:15" ht="16" x14ac:dyDescent="0.2">
      <c r="A3651" s="18"/>
      <c r="B3651" s="18"/>
      <c r="C3651" s="18"/>
      <c r="D3651" s="18"/>
      <c r="E3651" s="18"/>
      <c r="F3651" s="18"/>
      <c r="G3651" s="18"/>
      <c r="H3651" s="18"/>
      <c r="I3651" s="18"/>
      <c r="J3651" s="18"/>
      <c r="K3651" s="18"/>
      <c r="L3651" s="18"/>
      <c r="M3651" s="18"/>
      <c r="N3651" s="18"/>
      <c r="O3651" s="14" t="str">
        <f>HYPERLINK("https://otsuka-europe-crm.veevavault.com/ui/#object/email_activity__v/V8C00000003P925", "EN-002091501")</f>
        <v>EN-002091501</v>
      </c>
    </row>
    <row r="3652" spans="1:15" ht="16" x14ac:dyDescent="0.2">
      <c r="A3652" s="19"/>
      <c r="B3652" s="19"/>
      <c r="C3652" s="19"/>
      <c r="D3652" s="19"/>
      <c r="E3652" s="19"/>
      <c r="F3652" s="19"/>
      <c r="G3652" s="19"/>
      <c r="H3652" s="19"/>
      <c r="I3652" s="19"/>
      <c r="J3652" s="19"/>
      <c r="K3652" s="19"/>
      <c r="L3652" s="19"/>
      <c r="M3652" s="19"/>
      <c r="N3652" s="19"/>
      <c r="O3652" s="14" t="str">
        <f>HYPERLINK("https://otsuka-europe-crm.veevavault.com/ui/#object/email_activity__v/V8C00000003Q609", "EN-002092031")</f>
        <v>EN-002092031</v>
      </c>
    </row>
    <row r="3653" spans="1:15" ht="32" x14ac:dyDescent="0.2">
      <c r="A3653" s="7" t="str">
        <f>HYPERLINK("https://otsuka-europe-crm.veevavault.com/ui/#object/account__v/V4TZ06G6O71SAGF", "FLAVIA DI MICHELE")</f>
        <v>FLAVIA DI MICHELE</v>
      </c>
      <c r="B3653" s="7" t="str">
        <f>HYPERLINK("https://otsuka-europe-crm.veevavault.com/ui/#object/vcountry__v/VENZ000004SONFQ", "IT")</f>
        <v>IT</v>
      </c>
      <c r="C3653" s="8" t="s">
        <v>44</v>
      </c>
      <c r="D3653" s="9" t="str">
        <f>HYPERLINK("https://otsuka-europe-crm.veevavault.com/ui/#object/approved_document__v/V5O000000018003", "AE dialoghi di tempo fiducia e cura episodi 2-3-4")</f>
        <v>AE dialoghi di tempo fiducia e cura episodi 2-3-4</v>
      </c>
      <c r="E3653" s="10" t="str">
        <f>HYPERLINK("https://otsuka-europe-crm.veevavault.com/ui/#object/sent_email__v/VBL00000002P066", "SE-001432736")</f>
        <v>SE-001432736</v>
      </c>
      <c r="F3653" s="11"/>
      <c r="G3653" s="12">
        <v>0</v>
      </c>
      <c r="H3653" s="12">
        <v>0</v>
      </c>
      <c r="I3653" s="12">
        <v>0</v>
      </c>
      <c r="J3653" s="11"/>
      <c r="K3653" s="12">
        <v>0</v>
      </c>
      <c r="L3653" s="10" t="str">
        <f>HYPERLINK("https://otsuka-europe-crm.veevavault.com/ui/#object/approved_document__v/V5O000000018003", "AE dialoghi di tempo fiducia e cura episodi 2-3-4")</f>
        <v>AE dialoghi di tempo fiducia e cura episodi 2-3-4</v>
      </c>
      <c r="M3653" s="10" t="str">
        <f>HYPERLINK("mailto:nicoletta.vozza@crm.otsuka-europe.com", "nicoletta.vozza@crm.otsuka-europe.com")</f>
        <v>nicoletta.vozza@crm.otsuka-europe.com</v>
      </c>
      <c r="N3653" s="13">
        <v>46181.337997685187</v>
      </c>
      <c r="O3653" s="14" t="str">
        <f>HYPERLINK("https://otsuka-europe-crm.veevavault.com/ui/#object/email_activity__v/V8C00000003O359", "EN-002089877")</f>
        <v>EN-002089877</v>
      </c>
    </row>
    <row r="3654" spans="1:15" ht="32" x14ac:dyDescent="0.2">
      <c r="A3654" s="7" t="str">
        <f>HYPERLINK("https://otsuka-europe-crm.veevavault.com/ui/#object/account__v/V4TZ06G6O71SAM1", "FLAVIA FORATO")</f>
        <v>FLAVIA FORATO</v>
      </c>
      <c r="B3654" s="7" t="str">
        <f>HYPERLINK("https://otsuka-europe-crm.veevavault.com/ui/#object/vcountry__v/VENZ000004SONFQ", "IT")</f>
        <v>IT</v>
      </c>
      <c r="C3654" s="8" t="s">
        <v>44</v>
      </c>
      <c r="D3654" s="9" t="str">
        <f>HYPERLINK("https://otsuka-europe-crm.veevavault.com/ui/#object/approved_document__v/V5O000000018003", "AE dialoghi di tempo fiducia e cura episodi 2-3-4")</f>
        <v>AE dialoghi di tempo fiducia e cura episodi 2-3-4</v>
      </c>
      <c r="E3654" s="10" t="str">
        <f>HYPERLINK("https://otsuka-europe-crm.veevavault.com/ui/#object/sent_email__v/VBL00000002P067", "SE-001432737")</f>
        <v>SE-001432737</v>
      </c>
      <c r="F3654" s="11"/>
      <c r="G3654" s="12">
        <v>0</v>
      </c>
      <c r="H3654" s="12">
        <v>0</v>
      </c>
      <c r="I3654" s="12">
        <v>0</v>
      </c>
      <c r="J3654" s="11"/>
      <c r="K3654" s="12">
        <v>0</v>
      </c>
      <c r="L3654" s="10" t="str">
        <f>HYPERLINK("https://otsuka-europe-crm.veevavault.com/ui/#object/approved_document__v/V5O000000018003", "AE dialoghi di tempo fiducia e cura episodi 2-3-4")</f>
        <v>AE dialoghi di tempo fiducia e cura episodi 2-3-4</v>
      </c>
      <c r="M3654" s="10" t="str">
        <f>HYPERLINK("mailto:nicoletta.vozza@crm.otsuka-europe.com", "nicoletta.vozza@crm.otsuka-europe.com")</f>
        <v>nicoletta.vozza@crm.otsuka-europe.com</v>
      </c>
      <c r="N3654" s="13">
        <v>46181.33803240741</v>
      </c>
      <c r="O3654" s="14" t="str">
        <f>HYPERLINK("https://otsuka-europe-crm.veevavault.com/ui/#object/email_activity__v/V8C00000003P681", "EN-002090936")</f>
        <v>EN-002090936</v>
      </c>
    </row>
    <row r="3655" spans="1:15" ht="16" x14ac:dyDescent="0.2">
      <c r="A3655" s="17" t="str">
        <f>HYPERLINK("https://otsuka-europe-crm.veevavault.com/ui/#object/account__v/V4TZ06G6OCEI0Q4", "FLAVIA GUALTIERI")</f>
        <v>FLAVIA GUALTIERI</v>
      </c>
      <c r="B3655" s="17" t="str">
        <f>HYPERLINK("https://otsuka-europe-crm.veevavault.com/ui/#object/vcountry__v/VENZ000004SONFQ", "IT")</f>
        <v>IT</v>
      </c>
      <c r="C3655" s="20" t="s">
        <v>44</v>
      </c>
      <c r="D3655" s="21" t="str">
        <f>HYPERLINK("https://otsuka-europe-crm.veevavault.com/ui/#object/approved_document__v/V5O000000018003", "AE dialoghi di tempo fiducia e cura episodi 2-3-4")</f>
        <v>AE dialoghi di tempo fiducia e cura episodi 2-3-4</v>
      </c>
      <c r="E3655" s="22" t="str">
        <f>HYPERLINK("https://otsuka-europe-crm.veevavault.com/ui/#object/sent_email__v/VBL00000002P068", "SE-001432738")</f>
        <v>SE-001432738</v>
      </c>
      <c r="F3655" s="25"/>
      <c r="G3655" s="24">
        <v>0</v>
      </c>
      <c r="H3655" s="24">
        <v>0</v>
      </c>
      <c r="I3655" s="24">
        <v>0</v>
      </c>
      <c r="J3655" s="25"/>
      <c r="K3655" s="24">
        <v>0</v>
      </c>
      <c r="L3655" s="22" t="str">
        <f>HYPERLINK("https://otsuka-europe-crm.veevavault.com/ui/#object/approved_document__v/V5O000000018003", "AE dialoghi di tempo fiducia e cura episodi 2-3-4")</f>
        <v>AE dialoghi di tempo fiducia e cura episodi 2-3-4</v>
      </c>
      <c r="M3655" s="22" t="str">
        <f>HYPERLINK("mailto:nicoletta.vozza@crm.otsuka-europe.com", "nicoletta.vozza@crm.otsuka-europe.com")</f>
        <v>nicoletta.vozza@crm.otsuka-europe.com</v>
      </c>
      <c r="N3655" s="23">
        <v>46181.337997685187</v>
      </c>
      <c r="O3655" s="14" t="str">
        <f>HYPERLINK("https://otsuka-europe-crm.veevavault.com/ui/#object/email_activity__v/V8C00000003O372", "EN-002089890")</f>
        <v>EN-002089890</v>
      </c>
    </row>
    <row r="3656" spans="1:15" ht="16" x14ac:dyDescent="0.2">
      <c r="A3656" s="19"/>
      <c r="B3656" s="19"/>
      <c r="C3656" s="19"/>
      <c r="D3656" s="19"/>
      <c r="E3656" s="19"/>
      <c r="F3656" s="19"/>
      <c r="G3656" s="19"/>
      <c r="H3656" s="19"/>
      <c r="I3656" s="19"/>
      <c r="J3656" s="19"/>
      <c r="K3656" s="19"/>
      <c r="L3656" s="19"/>
      <c r="M3656" s="19"/>
      <c r="N3656" s="19"/>
      <c r="O3656" s="14" t="str">
        <f>HYPERLINK("https://otsuka-europe-crm.veevavault.com/ui/#object/email_activity__v/V8C00000003Q725", "EN-002092287")</f>
        <v>EN-002092287</v>
      </c>
    </row>
    <row r="3657" spans="1:15" ht="32" x14ac:dyDescent="0.2">
      <c r="A3657" s="7" t="str">
        <f>HYPERLINK("https://otsuka-europe-crm.veevavault.com/ui/#object/account__v/V4TZ06G6O71SC52", "FLAVIA ROSSANO")</f>
        <v>FLAVIA ROSSANO</v>
      </c>
      <c r="B3657" s="7" t="str">
        <f t="shared" ref="B3657:B3664" si="236">HYPERLINK("https://otsuka-europe-crm.veevavault.com/ui/#object/vcountry__v/VENZ000004SONFQ", "IT")</f>
        <v>IT</v>
      </c>
      <c r="C3657" s="8" t="s">
        <v>44</v>
      </c>
      <c r="D3657" s="9" t="str">
        <f t="shared" ref="D3657:D3664" si="237">HYPERLINK("https://otsuka-europe-crm.veevavault.com/ui/#object/approved_document__v/V5O000000018003", "AE dialoghi di tempo fiducia e cura episodi 2-3-4")</f>
        <v>AE dialoghi di tempo fiducia e cura episodi 2-3-4</v>
      </c>
      <c r="E3657" s="10" t="str">
        <f>HYPERLINK("https://otsuka-europe-crm.veevavault.com/ui/#object/sent_email__v/VBL00000002P069", "SE-001432739")</f>
        <v>SE-001432739</v>
      </c>
      <c r="F3657" s="11"/>
      <c r="G3657" s="12">
        <v>0</v>
      </c>
      <c r="H3657" s="12">
        <v>0</v>
      </c>
      <c r="I3657" s="12">
        <v>0</v>
      </c>
      <c r="J3657" s="11"/>
      <c r="K3657" s="12">
        <v>0</v>
      </c>
      <c r="L3657" s="10" t="str">
        <f t="shared" ref="L3657:L3664" si="238">HYPERLINK("https://otsuka-europe-crm.veevavault.com/ui/#object/approved_document__v/V5O000000018003", "AE dialoghi di tempo fiducia e cura episodi 2-3-4")</f>
        <v>AE dialoghi di tempo fiducia e cura episodi 2-3-4</v>
      </c>
      <c r="M3657" s="10" t="str">
        <f t="shared" ref="M3657:M3664" si="239">HYPERLINK("mailto:nicoletta.vozza@crm.otsuka-europe.com", "nicoletta.vozza@crm.otsuka-europe.com")</f>
        <v>nicoletta.vozza@crm.otsuka-europe.com</v>
      </c>
      <c r="N3657" s="13">
        <v>46181.338078703702</v>
      </c>
      <c r="O3657" s="14" t="str">
        <f>HYPERLINK("https://otsuka-europe-crm.veevavault.com/ui/#object/email_activity__v/V8C00000003P763", "EN-002091061")</f>
        <v>EN-002091061</v>
      </c>
    </row>
    <row r="3658" spans="1:15" ht="32" x14ac:dyDescent="0.2">
      <c r="A3658" s="7" t="str">
        <f>HYPERLINK("https://otsuka-europe-crm.veevavault.com/ui/#object/account__v/V4TZ025E895SB1U", "FLAVIO CHERUBINI")</f>
        <v>FLAVIO CHERUBINI</v>
      </c>
      <c r="B3658" s="7" t="str">
        <f t="shared" si="236"/>
        <v>IT</v>
      </c>
      <c r="C3658" s="8" t="s">
        <v>44</v>
      </c>
      <c r="D3658" s="9" t="str">
        <f t="shared" si="237"/>
        <v>AE dialoghi di tempo fiducia e cura episodi 2-3-4</v>
      </c>
      <c r="E3658" s="10" t="str">
        <f>HYPERLINK("https://otsuka-europe-crm.veevavault.com/ui/#object/sent_email__v/VBL00000002P070", "SE-001432740")</f>
        <v>SE-001432740</v>
      </c>
      <c r="F3658" s="11"/>
      <c r="G3658" s="12">
        <v>0</v>
      </c>
      <c r="H3658" s="12">
        <v>0</v>
      </c>
      <c r="I3658" s="12">
        <v>0</v>
      </c>
      <c r="J3658" s="11"/>
      <c r="K3658" s="12">
        <v>0</v>
      </c>
      <c r="L3658" s="10" t="str">
        <f t="shared" si="238"/>
        <v>AE dialoghi di tempo fiducia e cura episodi 2-3-4</v>
      </c>
      <c r="M3658" s="10" t="str">
        <f t="shared" si="239"/>
        <v>nicoletta.vozza@crm.otsuka-europe.com</v>
      </c>
      <c r="N3658" s="13">
        <v>46181.338020833333</v>
      </c>
      <c r="O3658" s="14" t="str">
        <f>HYPERLINK("https://otsuka-europe-crm.veevavault.com/ui/#object/email_activity__v/V8C00000003Q085", "EN-002091150")</f>
        <v>EN-002091150</v>
      </c>
    </row>
    <row r="3659" spans="1:15" ht="32" x14ac:dyDescent="0.2">
      <c r="A3659" s="7" t="str">
        <f>HYPERLINK("https://otsuka-europe-crm.veevavault.com/ui/#object/account__v/V4TZ06G6O71SAFG", "FLAVIO DI BENEDETTO")</f>
        <v>FLAVIO DI BENEDETTO</v>
      </c>
      <c r="B3659" s="7" t="str">
        <f t="shared" si="236"/>
        <v>IT</v>
      </c>
      <c r="C3659" s="8" t="s">
        <v>44</v>
      </c>
      <c r="D3659" s="9" t="str">
        <f t="shared" si="237"/>
        <v>AE dialoghi di tempo fiducia e cura episodi 2-3-4</v>
      </c>
      <c r="E3659" s="10" t="str">
        <f>HYPERLINK("https://otsuka-europe-crm.veevavault.com/ui/#object/sent_email__v/VBL00000002P071", "SE-001432741")</f>
        <v>SE-001432741</v>
      </c>
      <c r="F3659" s="11"/>
      <c r="G3659" s="12">
        <v>0</v>
      </c>
      <c r="H3659" s="12">
        <v>0</v>
      </c>
      <c r="I3659" s="12">
        <v>0</v>
      </c>
      <c r="J3659" s="11"/>
      <c r="K3659" s="12">
        <v>0</v>
      </c>
      <c r="L3659" s="10" t="str">
        <f t="shared" si="238"/>
        <v>AE dialoghi di tempo fiducia e cura episodi 2-3-4</v>
      </c>
      <c r="M3659" s="10" t="str">
        <f t="shared" si="239"/>
        <v>nicoletta.vozza@crm.otsuka-europe.com</v>
      </c>
      <c r="N3659" s="13">
        <v>46181.338020833333</v>
      </c>
      <c r="O3659" s="14" t="str">
        <f>HYPERLINK("https://otsuka-europe-crm.veevavault.com/ui/#object/email_activity__v/V8C00000003O684", "EN-002090240")</f>
        <v>EN-002090240</v>
      </c>
    </row>
    <row r="3660" spans="1:15" ht="32" x14ac:dyDescent="0.2">
      <c r="A3660" s="7" t="str">
        <f>HYPERLINK("https://otsuka-europe-crm.veevavault.com/ui/#object/account__v/V4TZ06G6O71SCP0", "FLAVIO VISCHIA")</f>
        <v>FLAVIO VISCHIA</v>
      </c>
      <c r="B3660" s="7" t="str">
        <f t="shared" si="236"/>
        <v>IT</v>
      </c>
      <c r="C3660" s="8" t="s">
        <v>44</v>
      </c>
      <c r="D3660" s="9" t="str">
        <f t="shared" si="237"/>
        <v>AE dialoghi di tempo fiducia e cura episodi 2-3-4</v>
      </c>
      <c r="E3660" s="10" t="str">
        <f>HYPERLINK("https://otsuka-europe-crm.veevavault.com/ui/#object/sent_email__v/VBL00000002P072", "SE-001432742")</f>
        <v>SE-001432742</v>
      </c>
      <c r="F3660" s="11"/>
      <c r="G3660" s="12">
        <v>0</v>
      </c>
      <c r="H3660" s="12">
        <v>0</v>
      </c>
      <c r="I3660" s="12">
        <v>0</v>
      </c>
      <c r="J3660" s="11"/>
      <c r="K3660" s="12">
        <v>0</v>
      </c>
      <c r="L3660" s="10" t="str">
        <f t="shared" si="238"/>
        <v>AE dialoghi di tempo fiducia e cura episodi 2-3-4</v>
      </c>
      <c r="M3660" s="10" t="str">
        <f t="shared" si="239"/>
        <v>nicoletta.vozza@crm.otsuka-europe.com</v>
      </c>
      <c r="N3660" s="13">
        <v>46181.338078703702</v>
      </c>
      <c r="O3660" s="14" t="str">
        <f>HYPERLINK("https://otsuka-europe-crm.veevavault.com/ui/#object/email_activity__v/V8C00000003P606", "EN-002090861")</f>
        <v>EN-002090861</v>
      </c>
    </row>
    <row r="3661" spans="1:15" ht="32" x14ac:dyDescent="0.2">
      <c r="A3661" s="7" t="str">
        <f>HYPERLINK("https://otsuka-europe-crm.veevavault.com/ui/#object/account__v/V4TZ04ASGC2CR5Y", "FLORA BRUDAGLIO")</f>
        <v>FLORA BRUDAGLIO</v>
      </c>
      <c r="B3661" s="7" t="str">
        <f t="shared" si="236"/>
        <v>IT</v>
      </c>
      <c r="C3661" s="8" t="s">
        <v>44</v>
      </c>
      <c r="D3661" s="9" t="str">
        <f t="shared" si="237"/>
        <v>AE dialoghi di tempo fiducia e cura episodi 2-3-4</v>
      </c>
      <c r="E3661" s="10" t="str">
        <f>HYPERLINK("https://otsuka-europe-crm.veevavault.com/ui/#object/sent_email__v/VBL00000002P073", "SE-001432743")</f>
        <v>SE-001432743</v>
      </c>
      <c r="F3661" s="11"/>
      <c r="G3661" s="12">
        <v>0</v>
      </c>
      <c r="H3661" s="12">
        <v>0</v>
      </c>
      <c r="I3661" s="12">
        <v>0</v>
      </c>
      <c r="J3661" s="11"/>
      <c r="K3661" s="12">
        <v>0</v>
      </c>
      <c r="L3661" s="10" t="str">
        <f t="shared" si="238"/>
        <v>AE dialoghi di tempo fiducia e cura episodi 2-3-4</v>
      </c>
      <c r="M3661" s="10" t="str">
        <f t="shared" si="239"/>
        <v>nicoletta.vozza@crm.otsuka-europe.com</v>
      </c>
      <c r="N3661" s="13">
        <v>46181.338043981479</v>
      </c>
      <c r="O3661" s="14" t="str">
        <f>HYPERLINK("https://otsuka-europe-crm.veevavault.com/ui/#object/email_activity__v/V8C00000003Q246", "EN-002091356")</f>
        <v>EN-002091356</v>
      </c>
    </row>
    <row r="3662" spans="1:15" ht="32" x14ac:dyDescent="0.2">
      <c r="A3662" s="7" t="str">
        <f>HYPERLINK("https://otsuka-europe-crm.veevavault.com/ui/#object/account__v/V4TZ04ASGBNHPBI", "FLORIANA DI NARDO")</f>
        <v>FLORIANA DI NARDO</v>
      </c>
      <c r="B3662" s="7" t="str">
        <f t="shared" si="236"/>
        <v>IT</v>
      </c>
      <c r="C3662" s="8" t="s">
        <v>44</v>
      </c>
      <c r="D3662" s="9" t="str">
        <f t="shared" si="237"/>
        <v>AE dialoghi di tempo fiducia e cura episodi 2-3-4</v>
      </c>
      <c r="E3662" s="10" t="str">
        <f>HYPERLINK("https://otsuka-europe-crm.veevavault.com/ui/#object/sent_email__v/VBL00000002P074", "SE-001432744")</f>
        <v>SE-001432744</v>
      </c>
      <c r="F3662" s="11"/>
      <c r="G3662" s="12">
        <v>0</v>
      </c>
      <c r="H3662" s="12">
        <v>0</v>
      </c>
      <c r="I3662" s="12">
        <v>0</v>
      </c>
      <c r="J3662" s="11"/>
      <c r="K3662" s="12">
        <v>0</v>
      </c>
      <c r="L3662" s="10" t="str">
        <f t="shared" si="238"/>
        <v>AE dialoghi di tempo fiducia e cura episodi 2-3-4</v>
      </c>
      <c r="M3662" s="10" t="str">
        <f t="shared" si="239"/>
        <v>nicoletta.vozza@crm.otsuka-europe.com</v>
      </c>
      <c r="N3662" s="13">
        <v>46181.338009259256</v>
      </c>
      <c r="O3662" s="14" t="str">
        <f>HYPERLINK("https://otsuka-europe-crm.veevavault.com/ui/#object/email_activity__v/V8C00000003P674", "EN-002090929")</f>
        <v>EN-002090929</v>
      </c>
    </row>
    <row r="3663" spans="1:15" ht="32" x14ac:dyDescent="0.2">
      <c r="A3663" s="7" t="str">
        <f>HYPERLINK("https://otsuka-europe-crm.veevavault.com/ui/#object/account__v/V4TZ06G6O71SBUN", "FORTUNATO PARISI")</f>
        <v>FORTUNATO PARISI</v>
      </c>
      <c r="B3663" s="7" t="str">
        <f t="shared" si="236"/>
        <v>IT</v>
      </c>
      <c r="C3663" s="8" t="s">
        <v>44</v>
      </c>
      <c r="D3663" s="9" t="str">
        <f t="shared" si="237"/>
        <v>AE dialoghi di tempo fiducia e cura episodi 2-3-4</v>
      </c>
      <c r="E3663" s="10" t="str">
        <f>HYPERLINK("https://otsuka-europe-crm.veevavault.com/ui/#object/sent_email__v/VBL00000002P075", "SE-001432745")</f>
        <v>SE-001432745</v>
      </c>
      <c r="F3663" s="11"/>
      <c r="G3663" s="12">
        <v>0</v>
      </c>
      <c r="H3663" s="12">
        <v>0</v>
      </c>
      <c r="I3663" s="12">
        <v>0</v>
      </c>
      <c r="J3663" s="11"/>
      <c r="K3663" s="12">
        <v>0</v>
      </c>
      <c r="L3663" s="10" t="str">
        <f t="shared" si="238"/>
        <v>AE dialoghi di tempo fiducia e cura episodi 2-3-4</v>
      </c>
      <c r="M3663" s="10" t="str">
        <f t="shared" si="239"/>
        <v>nicoletta.vozza@crm.otsuka-europe.com</v>
      </c>
      <c r="N3663" s="13">
        <v>46181.337997685187</v>
      </c>
      <c r="O3663" s="14" t="str">
        <f>HYPERLINK("https://otsuka-europe-crm.veevavault.com/ui/#object/email_activity__v/V8C00000003O973", "EN-002090722")</f>
        <v>EN-002090722</v>
      </c>
    </row>
    <row r="3664" spans="1:15" ht="16" x14ac:dyDescent="0.2">
      <c r="A3664" s="17" t="str">
        <f>HYPERLINK("https://otsuka-europe-crm.veevavault.com/ui/#object/account__v/V4TZ06G6O8IP7NH", "FRANCA COSTANZO")</f>
        <v>FRANCA COSTANZO</v>
      </c>
      <c r="B3664" s="17" t="str">
        <f t="shared" si="236"/>
        <v>IT</v>
      </c>
      <c r="C3664" s="20" t="s">
        <v>44</v>
      </c>
      <c r="D3664" s="21" t="str">
        <f t="shared" si="237"/>
        <v>AE dialoghi di tempo fiducia e cura episodi 2-3-4</v>
      </c>
      <c r="E3664" s="22" t="str">
        <f>HYPERLINK("https://otsuka-europe-crm.veevavault.com/ui/#object/sent_email__v/VBL00000002P076", "SE-001432746")</f>
        <v>SE-001432746</v>
      </c>
      <c r="F3664" s="23">
        <v>46181.338101851848</v>
      </c>
      <c r="G3664" s="24">
        <v>1</v>
      </c>
      <c r="H3664" s="24">
        <v>1</v>
      </c>
      <c r="I3664" s="24">
        <v>0</v>
      </c>
      <c r="J3664" s="25"/>
      <c r="K3664" s="24">
        <v>0</v>
      </c>
      <c r="L3664" s="22" t="str">
        <f t="shared" si="238"/>
        <v>AE dialoghi di tempo fiducia e cura episodi 2-3-4</v>
      </c>
      <c r="M3664" s="22" t="str">
        <f t="shared" si="239"/>
        <v>nicoletta.vozza@crm.otsuka-europe.com</v>
      </c>
      <c r="N3664" s="23">
        <v>46181.33797453704</v>
      </c>
      <c r="O3664" s="14" t="str">
        <f>HYPERLINK("https://otsuka-europe-crm.veevavault.com/ui/#object/email_activity__v/V8C00000003O694", "EN-002090250")</f>
        <v>EN-002090250</v>
      </c>
    </row>
    <row r="3665" spans="1:15" ht="16" x14ac:dyDescent="0.2">
      <c r="A3665" s="19"/>
      <c r="B3665" s="19"/>
      <c r="C3665" s="19"/>
      <c r="D3665" s="19"/>
      <c r="E3665" s="19"/>
      <c r="F3665" s="19"/>
      <c r="G3665" s="19"/>
      <c r="H3665" s="19"/>
      <c r="I3665" s="19"/>
      <c r="J3665" s="19"/>
      <c r="K3665" s="19"/>
      <c r="L3665" s="19"/>
      <c r="M3665" s="19"/>
      <c r="N3665" s="19"/>
      <c r="O3665" s="14" t="str">
        <f>HYPERLINK("https://otsuka-europe-crm.veevavault.com/ui/#object/email_activity__v/V8C00000003P508", "EN-002090720")</f>
        <v>EN-002090720</v>
      </c>
    </row>
    <row r="3666" spans="1:15" ht="32" x14ac:dyDescent="0.2">
      <c r="A3666" s="7" t="str">
        <f>HYPERLINK("https://otsuka-europe-crm.veevavault.com/ui/#object/account__v/V4TZ06G6O71SB61", "FRANCA LEPRE")</f>
        <v>FRANCA LEPRE</v>
      </c>
      <c r="B3666" s="7" t="str">
        <f t="shared" ref="B3666:B3675" si="240">HYPERLINK("https://otsuka-europe-crm.veevavault.com/ui/#object/vcountry__v/VENZ000004SONFQ", "IT")</f>
        <v>IT</v>
      </c>
      <c r="C3666" s="8" t="s">
        <v>44</v>
      </c>
      <c r="D3666" s="9" t="str">
        <f t="shared" ref="D3666:D3675" si="241">HYPERLINK("https://otsuka-europe-crm.veevavault.com/ui/#object/approved_document__v/V5O000000018003", "AE dialoghi di tempo fiducia e cura episodi 2-3-4")</f>
        <v>AE dialoghi di tempo fiducia e cura episodi 2-3-4</v>
      </c>
      <c r="E3666" s="10" t="str">
        <f>HYPERLINK("https://otsuka-europe-crm.veevavault.com/ui/#object/sent_email__v/VBL00000002P077", "SE-001432747")</f>
        <v>SE-001432747</v>
      </c>
      <c r="F3666" s="11"/>
      <c r="G3666" s="12">
        <v>0</v>
      </c>
      <c r="H3666" s="12">
        <v>0</v>
      </c>
      <c r="I3666" s="12">
        <v>0</v>
      </c>
      <c r="J3666" s="11"/>
      <c r="K3666" s="12">
        <v>0</v>
      </c>
      <c r="L3666" s="10" t="str">
        <f t="shared" ref="L3666:L3675" si="242">HYPERLINK("https://otsuka-europe-crm.veevavault.com/ui/#object/approved_document__v/V5O000000018003", "AE dialoghi di tempo fiducia e cura episodi 2-3-4")</f>
        <v>AE dialoghi di tempo fiducia e cura episodi 2-3-4</v>
      </c>
      <c r="M3666" s="10" t="str">
        <f t="shared" ref="M3666:M3675" si="243">HYPERLINK("mailto:nicoletta.vozza@crm.otsuka-europe.com", "nicoletta.vozza@crm.otsuka-europe.com")</f>
        <v>nicoletta.vozza@crm.otsuka-europe.com</v>
      </c>
      <c r="N3666" s="13">
        <v>46181.33798611111</v>
      </c>
      <c r="O3666" s="14" t="str">
        <f>HYPERLINK("https://otsuka-europe-crm.veevavault.com/ui/#object/email_activity__v/V8C00000003Q300", "EN-002091442")</f>
        <v>EN-002091442</v>
      </c>
    </row>
    <row r="3667" spans="1:15" ht="32" x14ac:dyDescent="0.2">
      <c r="A3667" s="7" t="str">
        <f>HYPERLINK("https://otsuka-europe-crm.veevavault.com/ui/#object/account__v/V4TZ06G6O71SCRP", "FRANCA ZANELLI")</f>
        <v>FRANCA ZANELLI</v>
      </c>
      <c r="B3667" s="7" t="str">
        <f t="shared" si="240"/>
        <v>IT</v>
      </c>
      <c r="C3667" s="8" t="s">
        <v>44</v>
      </c>
      <c r="D3667" s="9" t="str">
        <f t="shared" si="241"/>
        <v>AE dialoghi di tempo fiducia e cura episodi 2-3-4</v>
      </c>
      <c r="E3667" s="10" t="str">
        <f>HYPERLINK("https://otsuka-europe-crm.veevavault.com/ui/#object/sent_email__v/VBL00000002P078", "SE-001432748")</f>
        <v>SE-001432748</v>
      </c>
      <c r="F3667" s="11"/>
      <c r="G3667" s="12">
        <v>0</v>
      </c>
      <c r="H3667" s="12">
        <v>0</v>
      </c>
      <c r="I3667" s="12">
        <v>0</v>
      </c>
      <c r="J3667" s="11"/>
      <c r="K3667" s="12">
        <v>0</v>
      </c>
      <c r="L3667" s="10" t="str">
        <f t="shared" si="242"/>
        <v>AE dialoghi di tempo fiducia e cura episodi 2-3-4</v>
      </c>
      <c r="M3667" s="10" t="str">
        <f t="shared" si="243"/>
        <v>nicoletta.vozza@crm.otsuka-europe.com</v>
      </c>
      <c r="N3667" s="13">
        <v>46181.338043981479</v>
      </c>
      <c r="O3667" s="14" t="str">
        <f>HYPERLINK("https://otsuka-europe-crm.veevavault.com/ui/#object/email_activity__v/V8C00000003Q092", "EN-002091157")</f>
        <v>EN-002091157</v>
      </c>
    </row>
    <row r="3668" spans="1:15" ht="32" x14ac:dyDescent="0.2">
      <c r="A3668" s="7" t="str">
        <f>HYPERLINK("https://otsuka-europe-crm.veevavault.com/ui/#object/account__v/V4TZ06G6O71SCAK", "FRANCAMARIA SALERNO")</f>
        <v>FRANCAMARIA SALERNO</v>
      </c>
      <c r="B3668" s="7" t="str">
        <f t="shared" si="240"/>
        <v>IT</v>
      </c>
      <c r="C3668" s="8" t="s">
        <v>44</v>
      </c>
      <c r="D3668" s="9" t="str">
        <f t="shared" si="241"/>
        <v>AE dialoghi di tempo fiducia e cura episodi 2-3-4</v>
      </c>
      <c r="E3668" s="10" t="str">
        <f>HYPERLINK("https://otsuka-europe-crm.veevavault.com/ui/#object/sent_email__v/VBL00000002P079", "SE-001432749")</f>
        <v>SE-001432749</v>
      </c>
      <c r="F3668" s="11"/>
      <c r="G3668" s="12">
        <v>0</v>
      </c>
      <c r="H3668" s="12">
        <v>0</v>
      </c>
      <c r="I3668" s="12">
        <v>0</v>
      </c>
      <c r="J3668" s="11"/>
      <c r="K3668" s="12">
        <v>0</v>
      </c>
      <c r="L3668" s="10" t="str">
        <f t="shared" si="242"/>
        <v>AE dialoghi di tempo fiducia e cura episodi 2-3-4</v>
      </c>
      <c r="M3668" s="10" t="str">
        <f t="shared" si="243"/>
        <v>nicoletta.vozza@crm.otsuka-europe.com</v>
      </c>
      <c r="N3668" s="13">
        <v>46181.33797453704</v>
      </c>
      <c r="O3668" s="14" t="str">
        <f>HYPERLINK("https://otsuka-europe-crm.veevavault.com/ui/#object/email_activity__v/V8C00000003O664", "EN-002090220")</f>
        <v>EN-002090220</v>
      </c>
    </row>
    <row r="3669" spans="1:15" ht="32" x14ac:dyDescent="0.2">
      <c r="A3669" s="7" t="str">
        <f>HYPERLINK("https://otsuka-europe-crm.veevavault.com/ui/#object/account__v/V4TZ06G6O71SCNC", "FRANCESCA ALESSANDRA VECCHI")</f>
        <v>FRANCESCA ALESSANDRA VECCHI</v>
      </c>
      <c r="B3669" s="7" t="str">
        <f t="shared" si="240"/>
        <v>IT</v>
      </c>
      <c r="C3669" s="8" t="s">
        <v>44</v>
      </c>
      <c r="D3669" s="9" t="str">
        <f t="shared" si="241"/>
        <v>AE dialoghi di tempo fiducia e cura episodi 2-3-4</v>
      </c>
      <c r="E3669" s="10" t="str">
        <f>HYPERLINK("https://otsuka-europe-crm.veevavault.com/ui/#object/sent_email__v/VBL00000002P080", "SE-001432750")</f>
        <v>SE-001432750</v>
      </c>
      <c r="F3669" s="11"/>
      <c r="G3669" s="12">
        <v>0</v>
      </c>
      <c r="H3669" s="12">
        <v>0</v>
      </c>
      <c r="I3669" s="12">
        <v>0</v>
      </c>
      <c r="J3669" s="11"/>
      <c r="K3669" s="12">
        <v>0</v>
      </c>
      <c r="L3669" s="10" t="str">
        <f t="shared" si="242"/>
        <v>AE dialoghi di tempo fiducia e cura episodi 2-3-4</v>
      </c>
      <c r="M3669" s="10" t="str">
        <f t="shared" si="243"/>
        <v>nicoletta.vozza@crm.otsuka-europe.com</v>
      </c>
      <c r="N3669" s="13">
        <v>46181.338020833333</v>
      </c>
      <c r="O3669" s="14" t="str">
        <f>HYPERLINK("https://otsuka-europe-crm.veevavault.com/ui/#object/email_activity__v/V8C00000003O639", "EN-002090195")</f>
        <v>EN-002090195</v>
      </c>
    </row>
    <row r="3670" spans="1:15" ht="32" x14ac:dyDescent="0.2">
      <c r="A3670" s="7" t="str">
        <f>HYPERLINK("https://otsuka-europe-crm.veevavault.com/ui/#object/account__v/V4TZ06G6O71S9F4", "FRANCESCA AMIDANI")</f>
        <v>FRANCESCA AMIDANI</v>
      </c>
      <c r="B3670" s="7" t="str">
        <f t="shared" si="240"/>
        <v>IT</v>
      </c>
      <c r="C3670" s="8" t="s">
        <v>44</v>
      </c>
      <c r="D3670" s="9" t="str">
        <f t="shared" si="241"/>
        <v>AE dialoghi di tempo fiducia e cura episodi 2-3-4</v>
      </c>
      <c r="E3670" s="10" t="str">
        <f>HYPERLINK("https://otsuka-europe-crm.veevavault.com/ui/#object/sent_email__v/VBL00000002P081", "SE-001432751")</f>
        <v>SE-001432751</v>
      </c>
      <c r="F3670" s="11"/>
      <c r="G3670" s="12">
        <v>0</v>
      </c>
      <c r="H3670" s="12">
        <v>0</v>
      </c>
      <c r="I3670" s="12">
        <v>0</v>
      </c>
      <c r="J3670" s="11"/>
      <c r="K3670" s="12">
        <v>0</v>
      </c>
      <c r="L3670" s="10" t="str">
        <f t="shared" si="242"/>
        <v>AE dialoghi di tempo fiducia e cura episodi 2-3-4</v>
      </c>
      <c r="M3670" s="10" t="str">
        <f t="shared" si="243"/>
        <v>nicoletta.vozza@crm.otsuka-europe.com</v>
      </c>
      <c r="N3670" s="13">
        <v>46181.337997685187</v>
      </c>
      <c r="O3670" s="14" t="str">
        <f>HYPERLINK("https://otsuka-europe-crm.veevavault.com/ui/#object/email_activity__v/V8C00000003P613", "EN-002090868")</f>
        <v>EN-002090868</v>
      </c>
    </row>
    <row r="3671" spans="1:15" ht="32" x14ac:dyDescent="0.2">
      <c r="A3671" s="7" t="str">
        <f>HYPERLINK("https://otsuka-europe-crm.veevavault.com/ui/#object/account__v/V4TZ06G6O71SBE7", "FRANCESCA ANGELA CAMILLA MAIO")</f>
        <v>FRANCESCA ANGELA CAMILLA MAIO</v>
      </c>
      <c r="B3671" s="7" t="str">
        <f t="shared" si="240"/>
        <v>IT</v>
      </c>
      <c r="C3671" s="8" t="s">
        <v>44</v>
      </c>
      <c r="D3671" s="9" t="str">
        <f t="shared" si="241"/>
        <v>AE dialoghi di tempo fiducia e cura episodi 2-3-4</v>
      </c>
      <c r="E3671" s="10" t="str">
        <f>HYPERLINK("https://otsuka-europe-crm.veevavault.com/ui/#object/sent_email__v/VBL00000002P082", "SE-001432752")</f>
        <v>SE-001432752</v>
      </c>
      <c r="F3671" s="11"/>
      <c r="G3671" s="12">
        <v>0</v>
      </c>
      <c r="H3671" s="12">
        <v>0</v>
      </c>
      <c r="I3671" s="12">
        <v>0</v>
      </c>
      <c r="J3671" s="11"/>
      <c r="K3671" s="12">
        <v>0</v>
      </c>
      <c r="L3671" s="10" t="str">
        <f t="shared" si="242"/>
        <v>AE dialoghi di tempo fiducia e cura episodi 2-3-4</v>
      </c>
      <c r="M3671" s="10" t="str">
        <f t="shared" si="243"/>
        <v>nicoletta.vozza@crm.otsuka-europe.com</v>
      </c>
      <c r="N3671" s="13">
        <v>46181.338078703702</v>
      </c>
      <c r="O3671" s="14" t="str">
        <f>HYPERLINK("https://otsuka-europe-crm.veevavault.com/ui/#object/email_activity__v/V8C00000003P641", "EN-002090896")</f>
        <v>EN-002090896</v>
      </c>
    </row>
    <row r="3672" spans="1:15" ht="32" x14ac:dyDescent="0.2">
      <c r="A3672" s="7" t="str">
        <f>HYPERLINK("https://otsuka-europe-crm.veevavault.com/ui/#object/account__v/V4TZ06G6O71S9PY", "FRANCESCA BAGGIO")</f>
        <v>FRANCESCA BAGGIO</v>
      </c>
      <c r="B3672" s="7" t="str">
        <f t="shared" si="240"/>
        <v>IT</v>
      </c>
      <c r="C3672" s="8" t="s">
        <v>44</v>
      </c>
      <c r="D3672" s="9" t="str">
        <f t="shared" si="241"/>
        <v>AE dialoghi di tempo fiducia e cura episodi 2-3-4</v>
      </c>
      <c r="E3672" s="10" t="str">
        <f>HYPERLINK("https://otsuka-europe-crm.veevavault.com/ui/#object/sent_email__v/VBL00000002P083", "SE-001432753")</f>
        <v>SE-001432753</v>
      </c>
      <c r="F3672" s="11"/>
      <c r="G3672" s="12">
        <v>0</v>
      </c>
      <c r="H3672" s="12">
        <v>0</v>
      </c>
      <c r="I3672" s="12">
        <v>0</v>
      </c>
      <c r="J3672" s="11"/>
      <c r="K3672" s="12">
        <v>0</v>
      </c>
      <c r="L3672" s="10" t="str">
        <f t="shared" si="242"/>
        <v>AE dialoghi di tempo fiducia e cura episodi 2-3-4</v>
      </c>
      <c r="M3672" s="10" t="str">
        <f t="shared" si="243"/>
        <v>nicoletta.vozza@crm.otsuka-europe.com</v>
      </c>
      <c r="N3672" s="13">
        <v>46181.338136574072</v>
      </c>
      <c r="O3672" s="14" t="str">
        <f>HYPERLINK("https://otsuka-europe-crm.veevavault.com/ui/#object/email_activity__v/V8C00000003P649", "EN-002090904")</f>
        <v>EN-002090904</v>
      </c>
    </row>
    <row r="3673" spans="1:15" ht="32" x14ac:dyDescent="0.2">
      <c r="A3673" s="7" t="str">
        <f>HYPERLINK("https://otsuka-europe-crm.veevavault.com/ui/#object/account__v/V4TZ04ASG8F360X", "FRANCESCA BATTISTELLA")</f>
        <v>FRANCESCA BATTISTELLA</v>
      </c>
      <c r="B3673" s="7" t="str">
        <f t="shared" si="240"/>
        <v>IT</v>
      </c>
      <c r="C3673" s="8" t="s">
        <v>44</v>
      </c>
      <c r="D3673" s="9" t="str">
        <f t="shared" si="241"/>
        <v>AE dialoghi di tempo fiducia e cura episodi 2-3-4</v>
      </c>
      <c r="E3673" s="10" t="str">
        <f>HYPERLINK("https://otsuka-europe-crm.veevavault.com/ui/#object/sent_email__v/VBL00000002P084", "SE-001432754")</f>
        <v>SE-001432754</v>
      </c>
      <c r="F3673" s="11"/>
      <c r="G3673" s="12">
        <v>0</v>
      </c>
      <c r="H3673" s="12">
        <v>0</v>
      </c>
      <c r="I3673" s="12">
        <v>0</v>
      </c>
      <c r="J3673" s="11"/>
      <c r="K3673" s="12">
        <v>0</v>
      </c>
      <c r="L3673" s="10" t="str">
        <f t="shared" si="242"/>
        <v>AE dialoghi di tempo fiducia e cura episodi 2-3-4</v>
      </c>
      <c r="M3673" s="10" t="str">
        <f t="shared" si="243"/>
        <v>nicoletta.vozza@crm.otsuka-europe.com</v>
      </c>
      <c r="N3673" s="13">
        <v>46181.338078703702</v>
      </c>
      <c r="O3673" s="14" t="str">
        <f>HYPERLINK("https://otsuka-europe-crm.veevavault.com/ui/#object/email_activity__v/V8C00000003P777", "EN-002091075")</f>
        <v>EN-002091075</v>
      </c>
    </row>
    <row r="3674" spans="1:15" ht="32" x14ac:dyDescent="0.2">
      <c r="A3674" s="7" t="str">
        <f>HYPERLINK("https://otsuka-europe-crm.veevavault.com/ui/#object/account__v/V4TZ06G6O71S9LA", "FRANCESCA BETTINI")</f>
        <v>FRANCESCA BETTINI</v>
      </c>
      <c r="B3674" s="7" t="str">
        <f t="shared" si="240"/>
        <v>IT</v>
      </c>
      <c r="C3674" s="8" t="s">
        <v>44</v>
      </c>
      <c r="D3674" s="9" t="str">
        <f t="shared" si="241"/>
        <v>AE dialoghi di tempo fiducia e cura episodi 2-3-4</v>
      </c>
      <c r="E3674" s="10" t="str">
        <f>HYPERLINK("https://otsuka-europe-crm.veevavault.com/ui/#object/sent_email__v/VBL00000002P085", "SE-001432755")</f>
        <v>SE-001432755</v>
      </c>
      <c r="F3674" s="11"/>
      <c r="G3674" s="12">
        <v>0</v>
      </c>
      <c r="H3674" s="12">
        <v>0</v>
      </c>
      <c r="I3674" s="12">
        <v>0</v>
      </c>
      <c r="J3674" s="11"/>
      <c r="K3674" s="12">
        <v>0</v>
      </c>
      <c r="L3674" s="10" t="str">
        <f t="shared" si="242"/>
        <v>AE dialoghi di tempo fiducia e cura episodi 2-3-4</v>
      </c>
      <c r="M3674" s="10" t="str">
        <f t="shared" si="243"/>
        <v>nicoletta.vozza@crm.otsuka-europe.com</v>
      </c>
      <c r="N3674" s="13">
        <v>46181.338055555556</v>
      </c>
      <c r="O3674" s="14" t="str">
        <f>HYPERLINK("https://otsuka-europe-crm.veevavault.com/ui/#object/email_activity__v/V8C00000003P799", "EN-002091097")</f>
        <v>EN-002091097</v>
      </c>
    </row>
    <row r="3675" spans="1:15" ht="16" x14ac:dyDescent="0.2">
      <c r="A3675" s="17" t="str">
        <f>HYPERLINK("https://otsuka-europe-crm.veevavault.com/ui/#object/account__v/V4TZ06G6O71SA5F", "FRANCESCA BONERA")</f>
        <v>FRANCESCA BONERA</v>
      </c>
      <c r="B3675" s="17" t="str">
        <f t="shared" si="240"/>
        <v>IT</v>
      </c>
      <c r="C3675" s="20" t="s">
        <v>44</v>
      </c>
      <c r="D3675" s="21" t="str">
        <f t="shared" si="241"/>
        <v>AE dialoghi di tempo fiducia e cura episodi 2-3-4</v>
      </c>
      <c r="E3675" s="22" t="str">
        <f>HYPERLINK("https://otsuka-europe-crm.veevavault.com/ui/#object/sent_email__v/VBL00000002P086", "SE-001432756")</f>
        <v>SE-001432756</v>
      </c>
      <c r="F3675" s="25"/>
      <c r="G3675" s="24">
        <v>0</v>
      </c>
      <c r="H3675" s="24">
        <v>0</v>
      </c>
      <c r="I3675" s="24">
        <v>0</v>
      </c>
      <c r="J3675" s="25"/>
      <c r="K3675" s="24">
        <v>0</v>
      </c>
      <c r="L3675" s="22" t="str">
        <f t="shared" si="242"/>
        <v>AE dialoghi di tempo fiducia e cura episodi 2-3-4</v>
      </c>
      <c r="M3675" s="22" t="str">
        <f t="shared" si="243"/>
        <v>nicoletta.vozza@crm.otsuka-europe.com</v>
      </c>
      <c r="N3675" s="23">
        <v>46181.338020833333</v>
      </c>
      <c r="O3675" s="14" t="str">
        <f>HYPERLINK("https://otsuka-europe-crm.veevavault.com/ui/#object/email_activity__v/V8C00000003O477", "EN-002090033")</f>
        <v>EN-002090033</v>
      </c>
    </row>
    <row r="3676" spans="1:15" ht="16" x14ac:dyDescent="0.2">
      <c r="A3676" s="19"/>
      <c r="B3676" s="19"/>
      <c r="C3676" s="19"/>
      <c r="D3676" s="19"/>
      <c r="E3676" s="19"/>
      <c r="F3676" s="19"/>
      <c r="G3676" s="19"/>
      <c r="H3676" s="19"/>
      <c r="I3676" s="19"/>
      <c r="J3676" s="19"/>
      <c r="K3676" s="19"/>
      <c r="L3676" s="19"/>
      <c r="M3676" s="19"/>
      <c r="N3676" s="19"/>
      <c r="O3676" s="14" t="str">
        <f>HYPERLINK("https://otsuka-europe-crm.veevavault.com/ui/#object/email_activity__v/V8C00000003Q737", "EN-002092301")</f>
        <v>EN-002092301</v>
      </c>
    </row>
    <row r="3677" spans="1:15" ht="32" x14ac:dyDescent="0.2">
      <c r="A3677" s="7" t="str">
        <f>HYPERLINK("https://otsuka-europe-crm.veevavault.com/ui/#object/account__v/V4TZ06G6O71S9MD", "FRANCESCA BOZZI")</f>
        <v>FRANCESCA BOZZI</v>
      </c>
      <c r="B3677" s="7" t="str">
        <f>HYPERLINK("https://otsuka-europe-crm.veevavault.com/ui/#object/vcountry__v/VENZ000004SONFQ", "IT")</f>
        <v>IT</v>
      </c>
      <c r="C3677" s="8" t="s">
        <v>44</v>
      </c>
      <c r="D3677" s="9" t="str">
        <f>HYPERLINK("https://otsuka-europe-crm.veevavault.com/ui/#object/approved_document__v/V5O000000018003", "AE dialoghi di tempo fiducia e cura episodi 2-3-4")</f>
        <v>AE dialoghi di tempo fiducia e cura episodi 2-3-4</v>
      </c>
      <c r="E3677" s="10" t="str">
        <f>HYPERLINK("https://otsuka-europe-crm.veevavault.com/ui/#object/sent_email__v/VBL00000002P087", "SE-001432757")</f>
        <v>SE-001432757</v>
      </c>
      <c r="F3677" s="11"/>
      <c r="G3677" s="12">
        <v>0</v>
      </c>
      <c r="H3677" s="12">
        <v>0</v>
      </c>
      <c r="I3677" s="12">
        <v>0</v>
      </c>
      <c r="J3677" s="11"/>
      <c r="K3677" s="12">
        <v>0</v>
      </c>
      <c r="L3677" s="10" t="str">
        <f>HYPERLINK("https://otsuka-europe-crm.veevavault.com/ui/#object/approved_document__v/V5O000000018003", "AE dialoghi di tempo fiducia e cura episodi 2-3-4")</f>
        <v>AE dialoghi di tempo fiducia e cura episodi 2-3-4</v>
      </c>
      <c r="M3677" s="10" t="str">
        <f>HYPERLINK("mailto:nicoletta.vozza@crm.otsuka-europe.com", "nicoletta.vozza@crm.otsuka-europe.com")</f>
        <v>nicoletta.vozza@crm.otsuka-europe.com</v>
      </c>
      <c r="N3677" s="13">
        <v>46181.338055555556</v>
      </c>
      <c r="O3677" s="14" t="str">
        <f>HYPERLINK("https://otsuka-europe-crm.veevavault.com/ui/#object/email_activity__v/V8C00000003P878", "EN-002091377")</f>
        <v>EN-002091377</v>
      </c>
    </row>
    <row r="3678" spans="1:15" ht="16" x14ac:dyDescent="0.2">
      <c r="A3678" s="17" t="str">
        <f>HYPERLINK("https://otsuka-europe-crm.veevavault.com/ui/#object/account__v/V4TZ06G6O71SAYK", "FRANCESCA CANNARSA")</f>
        <v>FRANCESCA CANNARSA</v>
      </c>
      <c r="B3678" s="17" t="str">
        <f>HYPERLINK("https://otsuka-europe-crm.veevavault.com/ui/#object/vcountry__v/VENZ000004SONFQ", "IT")</f>
        <v>IT</v>
      </c>
      <c r="C3678" s="20" t="s">
        <v>44</v>
      </c>
      <c r="D3678" s="21" t="str">
        <f>HYPERLINK("https://otsuka-europe-crm.veevavault.com/ui/#object/approved_document__v/V5O000000018003", "AE dialoghi di tempo fiducia e cura episodi 2-3-4")</f>
        <v>AE dialoghi di tempo fiducia e cura episodi 2-3-4</v>
      </c>
      <c r="E3678" s="22" t="str">
        <f>HYPERLINK("https://otsuka-europe-crm.veevavault.com/ui/#object/sent_email__v/VBL00000002P088", "SE-001432758")</f>
        <v>SE-001432758</v>
      </c>
      <c r="F3678" s="23">
        <v>46181.338136574072</v>
      </c>
      <c r="G3678" s="24">
        <v>1</v>
      </c>
      <c r="H3678" s="24">
        <v>1</v>
      </c>
      <c r="I3678" s="24">
        <v>0</v>
      </c>
      <c r="J3678" s="25"/>
      <c r="K3678" s="24">
        <v>0</v>
      </c>
      <c r="L3678" s="22" t="str">
        <f>HYPERLINK("https://otsuka-europe-crm.veevavault.com/ui/#object/approved_document__v/V5O000000018003", "AE dialoghi di tempo fiducia e cura episodi 2-3-4")</f>
        <v>AE dialoghi di tempo fiducia e cura episodi 2-3-4</v>
      </c>
      <c r="M3678" s="22" t="str">
        <f>HYPERLINK("mailto:nicoletta.vozza@crm.otsuka-europe.com", "nicoletta.vozza@crm.otsuka-europe.com")</f>
        <v>nicoletta.vozza@crm.otsuka-europe.com</v>
      </c>
      <c r="N3678" s="23">
        <v>46181.338020833333</v>
      </c>
      <c r="O3678" s="14" t="str">
        <f>HYPERLINK("https://otsuka-europe-crm.veevavault.com/ui/#object/email_activity__v/V8C00000003O483", "EN-002090039")</f>
        <v>EN-002090039</v>
      </c>
    </row>
    <row r="3679" spans="1:15" ht="16" x14ac:dyDescent="0.2">
      <c r="A3679" s="19"/>
      <c r="B3679" s="19"/>
      <c r="C3679" s="19"/>
      <c r="D3679" s="19"/>
      <c r="E3679" s="19"/>
      <c r="F3679" s="19"/>
      <c r="G3679" s="19"/>
      <c r="H3679" s="19"/>
      <c r="I3679" s="19"/>
      <c r="J3679" s="19"/>
      <c r="K3679" s="19"/>
      <c r="L3679" s="19"/>
      <c r="M3679" s="19"/>
      <c r="N3679" s="19"/>
      <c r="O3679" s="14" t="str">
        <f>HYPERLINK("https://otsuka-europe-crm.veevavault.com/ui/#object/email_activity__v/V8C00000003O766", "EN-002090322")</f>
        <v>EN-002090322</v>
      </c>
    </row>
    <row r="3680" spans="1:15" ht="32" x14ac:dyDescent="0.2">
      <c r="A3680" s="7" t="str">
        <f>HYPERLINK("https://otsuka-europe-crm.veevavault.com/ui/#object/account__v/V4TZ06G6O71SAZ6", "FRANCESCA CAPPELLA")</f>
        <v>FRANCESCA CAPPELLA</v>
      </c>
      <c r="B3680" s="7" t="str">
        <f>HYPERLINK("https://otsuka-europe-crm.veevavault.com/ui/#object/vcountry__v/VENZ000004SONFQ", "IT")</f>
        <v>IT</v>
      </c>
      <c r="C3680" s="8" t="s">
        <v>44</v>
      </c>
      <c r="D3680" s="9" t="str">
        <f>HYPERLINK("https://otsuka-europe-crm.veevavault.com/ui/#object/approved_document__v/V5O000000018003", "AE dialoghi di tempo fiducia e cura episodi 2-3-4")</f>
        <v>AE dialoghi di tempo fiducia e cura episodi 2-3-4</v>
      </c>
      <c r="E3680" s="10" t="str">
        <f>HYPERLINK("https://otsuka-europe-crm.veevavault.com/ui/#object/sent_email__v/VBL00000002P089", "SE-001432759")</f>
        <v>SE-001432759</v>
      </c>
      <c r="F3680" s="11"/>
      <c r="G3680" s="12">
        <v>0</v>
      </c>
      <c r="H3680" s="12">
        <v>0</v>
      </c>
      <c r="I3680" s="12">
        <v>0</v>
      </c>
      <c r="J3680" s="11"/>
      <c r="K3680" s="12">
        <v>0</v>
      </c>
      <c r="L3680" s="10" t="str">
        <f>HYPERLINK("https://otsuka-europe-crm.veevavault.com/ui/#object/approved_document__v/V5O000000018003", "AE dialoghi di tempo fiducia e cura episodi 2-3-4")</f>
        <v>AE dialoghi di tempo fiducia e cura episodi 2-3-4</v>
      </c>
      <c r="M3680" s="10" t="str">
        <f>HYPERLINK("mailto:nicoletta.vozza@crm.otsuka-europe.com", "nicoletta.vozza@crm.otsuka-europe.com")</f>
        <v>nicoletta.vozza@crm.otsuka-europe.com</v>
      </c>
      <c r="N3680" s="13">
        <v>46181.338009259256</v>
      </c>
      <c r="O3680" s="14" t="str">
        <f>HYPERLINK("https://otsuka-europe-crm.veevavault.com/ui/#object/email_activity__v/V8C00000003O672", "EN-002090228")</f>
        <v>EN-002090228</v>
      </c>
    </row>
    <row r="3681" spans="1:15" ht="32" x14ac:dyDescent="0.2">
      <c r="A3681" s="7" t="str">
        <f>HYPERLINK("https://otsuka-europe-crm.veevavault.com/ui/#object/account__v/V4TZ025E87UB43X", "FRANCESCA COLANGELO")</f>
        <v>FRANCESCA COLANGELO</v>
      </c>
      <c r="B3681" s="7" t="str">
        <f>HYPERLINK("https://otsuka-europe-crm.veevavault.com/ui/#object/vcountry__v/VENZ000004SONFQ", "IT")</f>
        <v>IT</v>
      </c>
      <c r="C3681" s="8" t="s">
        <v>44</v>
      </c>
      <c r="D3681" s="9" t="str">
        <f>HYPERLINK("https://otsuka-europe-crm.veevavault.com/ui/#object/approved_document__v/V5O000000018003", "AE dialoghi di tempo fiducia e cura episodi 2-3-4")</f>
        <v>AE dialoghi di tempo fiducia e cura episodi 2-3-4</v>
      </c>
      <c r="E3681" s="10" t="str">
        <f>HYPERLINK("https://otsuka-europe-crm.veevavault.com/ui/#object/sent_email__v/VBL00000002P090", "SE-001432760")</f>
        <v>SE-001432760</v>
      </c>
      <c r="F3681" s="11"/>
      <c r="G3681" s="12">
        <v>0</v>
      </c>
      <c r="H3681" s="12">
        <v>0</v>
      </c>
      <c r="I3681" s="12">
        <v>0</v>
      </c>
      <c r="J3681" s="11"/>
      <c r="K3681" s="12">
        <v>0</v>
      </c>
      <c r="L3681" s="10" t="str">
        <f>HYPERLINK("https://otsuka-europe-crm.veevavault.com/ui/#object/approved_document__v/V5O000000018003", "AE dialoghi di tempo fiducia e cura episodi 2-3-4")</f>
        <v>AE dialoghi di tempo fiducia e cura episodi 2-3-4</v>
      </c>
      <c r="M3681" s="10" t="str">
        <f>HYPERLINK("mailto:nicoletta.vozza@crm.otsuka-europe.com", "nicoletta.vozza@crm.otsuka-europe.com")</f>
        <v>nicoletta.vozza@crm.otsuka-europe.com</v>
      </c>
      <c r="N3681" s="13">
        <v>46181.337997685187</v>
      </c>
      <c r="O3681" s="14" t="str">
        <f>HYPERLINK("https://otsuka-europe-crm.veevavault.com/ui/#object/email_activity__v/V8C00000003O884", "EN-002090487")</f>
        <v>EN-002090487</v>
      </c>
    </row>
    <row r="3682" spans="1:15" ht="16" x14ac:dyDescent="0.2">
      <c r="A3682" s="17" t="str">
        <f>HYPERLINK("https://otsuka-europe-crm.veevavault.com/ui/#object/account__v/V4TZ06G6O71SB42", "FRANCESCA COZZOLINO")</f>
        <v>FRANCESCA COZZOLINO</v>
      </c>
      <c r="B3682" s="17" t="str">
        <f>HYPERLINK("https://otsuka-europe-crm.veevavault.com/ui/#object/vcountry__v/VENZ000004SONFQ", "IT")</f>
        <v>IT</v>
      </c>
      <c r="C3682" s="20" t="s">
        <v>44</v>
      </c>
      <c r="D3682" s="21" t="str">
        <f>HYPERLINK("https://otsuka-europe-crm.veevavault.com/ui/#object/approved_document__v/V5O000000018003", "AE dialoghi di tempo fiducia e cura episodi 2-3-4")</f>
        <v>AE dialoghi di tempo fiducia e cura episodi 2-3-4</v>
      </c>
      <c r="E3682" s="22" t="str">
        <f>HYPERLINK("https://otsuka-europe-crm.veevavault.com/ui/#object/sent_email__v/VBL00000002P091", "SE-001432761")</f>
        <v>SE-001432761</v>
      </c>
      <c r="F3682" s="25"/>
      <c r="G3682" s="24">
        <v>0</v>
      </c>
      <c r="H3682" s="24">
        <v>0</v>
      </c>
      <c r="I3682" s="24">
        <v>1</v>
      </c>
      <c r="J3682" s="23">
        <v>46181.568287037036</v>
      </c>
      <c r="K3682" s="24">
        <v>1</v>
      </c>
      <c r="L3682" s="22" t="str">
        <f>HYPERLINK("https://otsuka-europe-crm.veevavault.com/ui/#object/approved_document__v/V5O000000018003", "AE dialoghi di tempo fiducia e cura episodi 2-3-4")</f>
        <v>AE dialoghi di tempo fiducia e cura episodi 2-3-4</v>
      </c>
      <c r="M3682" s="22" t="str">
        <f>HYPERLINK("mailto:nicoletta.vozza@crm.otsuka-europe.com", "nicoletta.vozza@crm.otsuka-europe.com")</f>
        <v>nicoletta.vozza@crm.otsuka-europe.com</v>
      </c>
      <c r="N3682" s="23">
        <v>46181.338043981479</v>
      </c>
      <c r="O3682" s="14" t="str">
        <f>HYPERLINK("https://otsuka-europe-crm.veevavault.com/ui/#object/email_activity__v/V8C00000003O763", "EN-002090319")</f>
        <v>EN-002090319</v>
      </c>
    </row>
    <row r="3683" spans="1:15" ht="16" x14ac:dyDescent="0.2">
      <c r="A3683" s="18"/>
      <c r="B3683" s="18"/>
      <c r="C3683" s="18"/>
      <c r="D3683" s="18"/>
      <c r="E3683" s="18"/>
      <c r="F3683" s="18"/>
      <c r="G3683" s="18"/>
      <c r="H3683" s="18"/>
      <c r="I3683" s="18"/>
      <c r="J3683" s="18"/>
      <c r="K3683" s="18"/>
      <c r="L3683" s="18"/>
      <c r="M3683" s="18"/>
      <c r="N3683" s="18"/>
      <c r="O3683" s="14" t="str">
        <f>HYPERLINK("https://otsuka-europe-crm.veevavault.com/ui/#object/email_activity__v/V8C00000003Q578", "EN-002091967")</f>
        <v>EN-002091967</v>
      </c>
    </row>
    <row r="3684" spans="1:15" ht="16" x14ac:dyDescent="0.2">
      <c r="A3684" s="18"/>
      <c r="B3684" s="18"/>
      <c r="C3684" s="18"/>
      <c r="D3684" s="18"/>
      <c r="E3684" s="18"/>
      <c r="F3684" s="18"/>
      <c r="G3684" s="18"/>
      <c r="H3684" s="18"/>
      <c r="I3684" s="18"/>
      <c r="J3684" s="18"/>
      <c r="K3684" s="18"/>
      <c r="L3684" s="18"/>
      <c r="M3684" s="18"/>
      <c r="N3684" s="18"/>
      <c r="O3684" s="14" t="str">
        <f>HYPERLINK("https://otsuka-europe-crm.veevavault.com/ui/#object/email_activity__v/V8C00000003R151", "EN-002091966")</f>
        <v>EN-002091966</v>
      </c>
    </row>
    <row r="3685" spans="1:15" ht="16" x14ac:dyDescent="0.2">
      <c r="A3685" s="18"/>
      <c r="B3685" s="18"/>
      <c r="C3685" s="18"/>
      <c r="D3685" s="18"/>
      <c r="E3685" s="18"/>
      <c r="F3685" s="18"/>
      <c r="G3685" s="18"/>
      <c r="H3685" s="18"/>
      <c r="I3685" s="18"/>
      <c r="J3685" s="18"/>
      <c r="K3685" s="18"/>
      <c r="L3685" s="18"/>
      <c r="M3685" s="18"/>
      <c r="N3685" s="18"/>
      <c r="O3685" s="14" t="str">
        <f>HYPERLINK("https://otsuka-europe-crm.veevavault.com/ui/#object/email_activity__v/V8C00000003Z033", "EN-002098701")</f>
        <v>EN-002098701</v>
      </c>
    </row>
    <row r="3686" spans="1:15" ht="16" x14ac:dyDescent="0.2">
      <c r="A3686" s="18"/>
      <c r="B3686" s="18"/>
      <c r="C3686" s="18"/>
      <c r="D3686" s="18"/>
      <c r="E3686" s="18"/>
      <c r="F3686" s="18"/>
      <c r="G3686" s="18"/>
      <c r="H3686" s="18"/>
      <c r="I3686" s="18"/>
      <c r="J3686" s="18"/>
      <c r="K3686" s="18"/>
      <c r="L3686" s="18"/>
      <c r="M3686" s="18"/>
      <c r="N3686" s="18"/>
      <c r="O3686" s="14" t="str">
        <f>HYPERLINK("https://otsuka-europe-crm.veevavault.com/ui/#object/email_activity__v/V8C000000041266", "EN-002100204")</f>
        <v>EN-002100204</v>
      </c>
    </row>
    <row r="3687" spans="1:15" ht="16" x14ac:dyDescent="0.2">
      <c r="A3687" s="19"/>
      <c r="B3687" s="19"/>
      <c r="C3687" s="19"/>
      <c r="D3687" s="19"/>
      <c r="E3687" s="19"/>
      <c r="F3687" s="19"/>
      <c r="G3687" s="19"/>
      <c r="H3687" s="19"/>
      <c r="I3687" s="19"/>
      <c r="J3687" s="19"/>
      <c r="K3687" s="19"/>
      <c r="L3687" s="19"/>
      <c r="M3687" s="19"/>
      <c r="N3687" s="19"/>
      <c r="O3687" s="14" t="str">
        <f>HYPERLINK("https://otsuka-europe-crm.veevavault.com/ui/#object/email_activity__v/V8C000000042003", "EN-002099703")</f>
        <v>EN-002099703</v>
      </c>
    </row>
    <row r="3688" spans="1:15" ht="32" x14ac:dyDescent="0.2">
      <c r="A3688" s="7" t="str">
        <f>HYPERLINK("https://otsuka-europe-crm.veevavault.com/ui/#object/account__v/V4TZ06G6OCETKNU", "FRANCESCA D'ADDA")</f>
        <v>FRANCESCA D'ADDA</v>
      </c>
      <c r="B3688" s="7" t="str">
        <f t="shared" ref="B3688:B3695" si="244">HYPERLINK("https://otsuka-europe-crm.veevavault.com/ui/#object/vcountry__v/VENZ000004SONFQ", "IT")</f>
        <v>IT</v>
      </c>
      <c r="C3688" s="8" t="s">
        <v>44</v>
      </c>
      <c r="D3688" s="9" t="str">
        <f t="shared" ref="D3688:D3695" si="245">HYPERLINK("https://otsuka-europe-crm.veevavault.com/ui/#object/approved_document__v/V5O000000018003", "AE dialoghi di tempo fiducia e cura episodi 2-3-4")</f>
        <v>AE dialoghi di tempo fiducia e cura episodi 2-3-4</v>
      </c>
      <c r="E3688" s="10" t="str">
        <f>HYPERLINK("https://otsuka-europe-crm.veevavault.com/ui/#object/sent_email__v/VBL00000002P092", "SE-001432762")</f>
        <v>SE-001432762</v>
      </c>
      <c r="F3688" s="11"/>
      <c r="G3688" s="12">
        <v>0</v>
      </c>
      <c r="H3688" s="12">
        <v>0</v>
      </c>
      <c r="I3688" s="12">
        <v>0</v>
      </c>
      <c r="J3688" s="11"/>
      <c r="K3688" s="12">
        <v>0</v>
      </c>
      <c r="L3688" s="10" t="str">
        <f t="shared" ref="L3688:L3695" si="246">HYPERLINK("https://otsuka-europe-crm.veevavault.com/ui/#object/approved_document__v/V5O000000018003", "AE dialoghi di tempo fiducia e cura episodi 2-3-4")</f>
        <v>AE dialoghi di tempo fiducia e cura episodi 2-3-4</v>
      </c>
      <c r="M3688" s="10" t="str">
        <f t="shared" ref="M3688:M3695" si="247">HYPERLINK("mailto:nicoletta.vozza@crm.otsuka-europe.com", "nicoletta.vozza@crm.otsuka-europe.com")</f>
        <v>nicoletta.vozza@crm.otsuka-europe.com</v>
      </c>
      <c r="N3688" s="13">
        <v>46181.338055555556</v>
      </c>
      <c r="O3688" s="14" t="str">
        <f>HYPERLINK("https://otsuka-europe-crm.veevavault.com/ui/#object/email_activity__v/V8C00000003P495", "EN-002090670")</f>
        <v>EN-002090670</v>
      </c>
    </row>
    <row r="3689" spans="1:15" ht="32" x14ac:dyDescent="0.2">
      <c r="A3689" s="7" t="str">
        <f>HYPERLINK("https://otsuka-europe-crm.veevavault.com/ui/#object/account__v/V4TZ06G6O71SAEY", "FRANCESCA D'AMATO")</f>
        <v>FRANCESCA D'AMATO</v>
      </c>
      <c r="B3689" s="7" t="str">
        <f t="shared" si="244"/>
        <v>IT</v>
      </c>
      <c r="C3689" s="8" t="s">
        <v>44</v>
      </c>
      <c r="D3689" s="9" t="str">
        <f t="shared" si="245"/>
        <v>AE dialoghi di tempo fiducia e cura episodi 2-3-4</v>
      </c>
      <c r="E3689" s="10" t="str">
        <f>HYPERLINK("https://otsuka-europe-crm.veevavault.com/ui/#object/sent_email__v/VBL00000002P093", "SE-001432763")</f>
        <v>SE-001432763</v>
      </c>
      <c r="F3689" s="11"/>
      <c r="G3689" s="12">
        <v>0</v>
      </c>
      <c r="H3689" s="12">
        <v>0</v>
      </c>
      <c r="I3689" s="12">
        <v>0</v>
      </c>
      <c r="J3689" s="11"/>
      <c r="K3689" s="12">
        <v>0</v>
      </c>
      <c r="L3689" s="10" t="str">
        <f t="shared" si="246"/>
        <v>AE dialoghi di tempo fiducia e cura episodi 2-3-4</v>
      </c>
      <c r="M3689" s="10" t="str">
        <f t="shared" si="247"/>
        <v>nicoletta.vozza@crm.otsuka-europe.com</v>
      </c>
      <c r="N3689" s="13">
        <v>46181.338043981479</v>
      </c>
      <c r="O3689" s="14" t="str">
        <f>HYPERLINK("https://otsuka-europe-crm.veevavault.com/ui/#object/email_activity__v/V8C00000003Q005", "EN-002090753")</f>
        <v>EN-002090753</v>
      </c>
    </row>
    <row r="3690" spans="1:15" ht="32" x14ac:dyDescent="0.2">
      <c r="A3690" s="7" t="str">
        <f>HYPERLINK("https://otsuka-europe-crm.veevavault.com/ui/#object/account__v/V4TZ06G6O71SAFB", "FRANCESCA DASSIE'")</f>
        <v>FRANCESCA DASSIE'</v>
      </c>
      <c r="B3690" s="7" t="str">
        <f t="shared" si="244"/>
        <v>IT</v>
      </c>
      <c r="C3690" s="8" t="s">
        <v>44</v>
      </c>
      <c r="D3690" s="9" t="str">
        <f t="shared" si="245"/>
        <v>AE dialoghi di tempo fiducia e cura episodi 2-3-4</v>
      </c>
      <c r="E3690" s="10" t="str">
        <f>HYPERLINK("https://otsuka-europe-crm.veevavault.com/ui/#object/sent_email__v/VBL00000002P094", "SE-001432764")</f>
        <v>SE-001432764</v>
      </c>
      <c r="F3690" s="11"/>
      <c r="G3690" s="12">
        <v>0</v>
      </c>
      <c r="H3690" s="12">
        <v>0</v>
      </c>
      <c r="I3690" s="12">
        <v>0</v>
      </c>
      <c r="J3690" s="11"/>
      <c r="K3690" s="12">
        <v>0</v>
      </c>
      <c r="L3690" s="10" t="str">
        <f t="shared" si="246"/>
        <v>AE dialoghi di tempo fiducia e cura episodi 2-3-4</v>
      </c>
      <c r="M3690" s="10" t="str">
        <f t="shared" si="247"/>
        <v>nicoletta.vozza@crm.otsuka-europe.com</v>
      </c>
      <c r="N3690" s="13">
        <v>46181.338020833333</v>
      </c>
      <c r="O3690" s="14" t="str">
        <f>HYPERLINK("https://otsuka-europe-crm.veevavault.com/ui/#object/email_activity__v/V8C00000003O783", "EN-002090443")</f>
        <v>EN-002090443</v>
      </c>
    </row>
    <row r="3691" spans="1:15" ht="32" x14ac:dyDescent="0.2">
      <c r="A3691" s="7" t="str">
        <f>HYPERLINK("https://otsuka-europe-crm.veevavault.com/ui/#object/account__v/V4TZ06G6O71SAEK", "FRANCESCA DE COL")</f>
        <v>FRANCESCA DE COL</v>
      </c>
      <c r="B3691" s="7" t="str">
        <f t="shared" si="244"/>
        <v>IT</v>
      </c>
      <c r="C3691" s="8" t="s">
        <v>44</v>
      </c>
      <c r="D3691" s="9" t="str">
        <f t="shared" si="245"/>
        <v>AE dialoghi di tempo fiducia e cura episodi 2-3-4</v>
      </c>
      <c r="E3691" s="10" t="str">
        <f>HYPERLINK("https://otsuka-europe-crm.veevavault.com/ui/#object/sent_email__v/VBL00000002P095", "SE-001432765")</f>
        <v>SE-001432765</v>
      </c>
      <c r="F3691" s="11"/>
      <c r="G3691" s="12">
        <v>0</v>
      </c>
      <c r="H3691" s="12">
        <v>0</v>
      </c>
      <c r="I3691" s="12">
        <v>0</v>
      </c>
      <c r="J3691" s="11"/>
      <c r="K3691" s="12">
        <v>0</v>
      </c>
      <c r="L3691" s="10" t="str">
        <f t="shared" si="246"/>
        <v>AE dialoghi di tempo fiducia e cura episodi 2-3-4</v>
      </c>
      <c r="M3691" s="10" t="str">
        <f t="shared" si="247"/>
        <v>nicoletta.vozza@crm.otsuka-europe.com</v>
      </c>
      <c r="N3691" s="13">
        <v>46181.338090277779</v>
      </c>
      <c r="O3691" s="14" t="str">
        <f>HYPERLINK("https://otsuka-europe-crm.veevavault.com/ui/#object/email_activity__v/V8C00000003P827", "EN-002091186")</f>
        <v>EN-002091186</v>
      </c>
    </row>
    <row r="3692" spans="1:15" ht="32" x14ac:dyDescent="0.2">
      <c r="A3692" s="7" t="str">
        <f>HYPERLINK("https://otsuka-europe-crm.veevavault.com/ui/#object/account__v/V4TZ06G6O71SAKA", "FRANCESCA FAGIOLI")</f>
        <v>FRANCESCA FAGIOLI</v>
      </c>
      <c r="B3692" s="7" t="str">
        <f t="shared" si="244"/>
        <v>IT</v>
      </c>
      <c r="C3692" s="8" t="s">
        <v>44</v>
      </c>
      <c r="D3692" s="9" t="str">
        <f t="shared" si="245"/>
        <v>AE dialoghi di tempo fiducia e cura episodi 2-3-4</v>
      </c>
      <c r="E3692" s="10" t="str">
        <f>HYPERLINK("https://otsuka-europe-crm.veevavault.com/ui/#object/sent_email__v/VBL00000002P096", "SE-001432766")</f>
        <v>SE-001432766</v>
      </c>
      <c r="F3692" s="11"/>
      <c r="G3692" s="12">
        <v>0</v>
      </c>
      <c r="H3692" s="12">
        <v>0</v>
      </c>
      <c r="I3692" s="12">
        <v>0</v>
      </c>
      <c r="J3692" s="11"/>
      <c r="K3692" s="12">
        <v>0</v>
      </c>
      <c r="L3692" s="10" t="str">
        <f t="shared" si="246"/>
        <v>AE dialoghi di tempo fiducia e cura episodi 2-3-4</v>
      </c>
      <c r="M3692" s="10" t="str">
        <f t="shared" si="247"/>
        <v>nicoletta.vozza@crm.otsuka-europe.com</v>
      </c>
      <c r="N3692" s="13">
        <v>46181.338055555556</v>
      </c>
      <c r="O3692" s="14" t="str">
        <f>HYPERLINK("https://otsuka-europe-crm.veevavault.com/ui/#object/email_activity__v/V8C00000003P801", "EN-002091099")</f>
        <v>EN-002091099</v>
      </c>
    </row>
    <row r="3693" spans="1:15" ht="32" x14ac:dyDescent="0.2">
      <c r="A3693" s="7" t="str">
        <f>HYPERLINK("https://otsuka-europe-crm.veevavault.com/ui/#object/account__v/V4TZ06G6O71SAKZ", "FRANCESCA FATTORI")</f>
        <v>FRANCESCA FATTORI</v>
      </c>
      <c r="B3693" s="7" t="str">
        <f t="shared" si="244"/>
        <v>IT</v>
      </c>
      <c r="C3693" s="8" t="s">
        <v>44</v>
      </c>
      <c r="D3693" s="9" t="str">
        <f t="shared" si="245"/>
        <v>AE dialoghi di tempo fiducia e cura episodi 2-3-4</v>
      </c>
      <c r="E3693" s="10" t="str">
        <f>HYPERLINK("https://otsuka-europe-crm.veevavault.com/ui/#object/sent_email__v/VBL00000002P097", "SE-001432767")</f>
        <v>SE-001432767</v>
      </c>
      <c r="F3693" s="11"/>
      <c r="G3693" s="12">
        <v>0</v>
      </c>
      <c r="H3693" s="12">
        <v>0</v>
      </c>
      <c r="I3693" s="12">
        <v>0</v>
      </c>
      <c r="J3693" s="11"/>
      <c r="K3693" s="12">
        <v>0</v>
      </c>
      <c r="L3693" s="10" t="str">
        <f t="shared" si="246"/>
        <v>AE dialoghi di tempo fiducia e cura episodi 2-3-4</v>
      </c>
      <c r="M3693" s="10" t="str">
        <f t="shared" si="247"/>
        <v>nicoletta.vozza@crm.otsuka-europe.com</v>
      </c>
      <c r="N3693" s="13">
        <v>46181.337997685187</v>
      </c>
      <c r="O3693" s="14" t="str">
        <f>HYPERLINK("https://otsuka-europe-crm.veevavault.com/ui/#object/email_activity__v/V8C00000003Q224", "EN-002091330")</f>
        <v>EN-002091330</v>
      </c>
    </row>
    <row r="3694" spans="1:15" ht="32" x14ac:dyDescent="0.2">
      <c r="A3694" s="7" t="str">
        <f>HYPERLINK("https://otsuka-europe-crm.veevavault.com/ui/#object/account__v/V4TZ06G6O71SANP", "FRANCESCA FONTANA")</f>
        <v>FRANCESCA FONTANA</v>
      </c>
      <c r="B3694" s="7" t="str">
        <f t="shared" si="244"/>
        <v>IT</v>
      </c>
      <c r="C3694" s="8" t="s">
        <v>44</v>
      </c>
      <c r="D3694" s="9" t="str">
        <f t="shared" si="245"/>
        <v>AE dialoghi di tempo fiducia e cura episodi 2-3-4</v>
      </c>
      <c r="E3694" s="10" t="str">
        <f>HYPERLINK("https://otsuka-europe-crm.veevavault.com/ui/#object/sent_email__v/VBL00000002P098", "SE-001432768")</f>
        <v>SE-001432768</v>
      </c>
      <c r="F3694" s="11"/>
      <c r="G3694" s="12">
        <v>0</v>
      </c>
      <c r="H3694" s="12">
        <v>0</v>
      </c>
      <c r="I3694" s="12">
        <v>0</v>
      </c>
      <c r="J3694" s="11"/>
      <c r="K3694" s="12">
        <v>0</v>
      </c>
      <c r="L3694" s="10" t="str">
        <f t="shared" si="246"/>
        <v>AE dialoghi di tempo fiducia e cura episodi 2-3-4</v>
      </c>
      <c r="M3694" s="10" t="str">
        <f t="shared" si="247"/>
        <v>nicoletta.vozza@crm.otsuka-europe.com</v>
      </c>
      <c r="N3694" s="13">
        <v>46181.338078703702</v>
      </c>
      <c r="O3694" s="14" t="str">
        <f>HYPERLINK("https://otsuka-europe-crm.veevavault.com/ui/#object/email_activity__v/V8C00000003P541", "EN-002090796")</f>
        <v>EN-002090796</v>
      </c>
    </row>
    <row r="3695" spans="1:15" ht="16" x14ac:dyDescent="0.2">
      <c r="A3695" s="17" t="str">
        <f>HYPERLINK("https://otsuka-europe-crm.veevavault.com/ui/#object/account__v/V4TZ06G6O71SAZH", "FRANCESCA FONTANA")</f>
        <v>FRANCESCA FONTANA</v>
      </c>
      <c r="B3695" s="17" t="str">
        <f t="shared" si="244"/>
        <v>IT</v>
      </c>
      <c r="C3695" s="20" t="s">
        <v>44</v>
      </c>
      <c r="D3695" s="21" t="str">
        <f t="shared" si="245"/>
        <v>AE dialoghi di tempo fiducia e cura episodi 2-3-4</v>
      </c>
      <c r="E3695" s="22" t="str">
        <f>HYPERLINK("https://otsuka-europe-crm.veevavault.com/ui/#object/sent_email__v/VBL00000002P099", "SE-001432769")</f>
        <v>SE-001432769</v>
      </c>
      <c r="F3695" s="23">
        <v>46181.468182870369</v>
      </c>
      <c r="G3695" s="24">
        <v>1</v>
      </c>
      <c r="H3695" s="24">
        <v>2</v>
      </c>
      <c r="I3695" s="24">
        <v>0</v>
      </c>
      <c r="J3695" s="25"/>
      <c r="K3695" s="24">
        <v>0</v>
      </c>
      <c r="L3695" s="22" t="str">
        <f t="shared" si="246"/>
        <v>AE dialoghi di tempo fiducia e cura episodi 2-3-4</v>
      </c>
      <c r="M3695" s="22" t="str">
        <f t="shared" si="247"/>
        <v>nicoletta.vozza@crm.otsuka-europe.com</v>
      </c>
      <c r="N3695" s="23">
        <v>46181.33797453704</v>
      </c>
      <c r="O3695" s="14" t="str">
        <f>HYPERLINK("https://otsuka-europe-crm.veevavault.com/ui/#object/email_activity__v/V8C00000003P424", "EN-002090634")</f>
        <v>EN-002090634</v>
      </c>
    </row>
    <row r="3696" spans="1:15" ht="16" x14ac:dyDescent="0.2">
      <c r="A3696" s="18"/>
      <c r="B3696" s="18"/>
      <c r="C3696" s="18"/>
      <c r="D3696" s="18"/>
      <c r="E3696" s="18"/>
      <c r="F3696" s="18"/>
      <c r="G3696" s="18"/>
      <c r="H3696" s="18"/>
      <c r="I3696" s="18"/>
      <c r="J3696" s="18"/>
      <c r="K3696" s="18"/>
      <c r="L3696" s="18"/>
      <c r="M3696" s="18"/>
      <c r="N3696" s="18"/>
      <c r="O3696" s="14" t="str">
        <f>HYPERLINK("https://otsuka-europe-crm.veevavault.com/ui/#object/email_activity__v/V8C00000003P848", "EN-002091259")</f>
        <v>EN-002091259</v>
      </c>
    </row>
    <row r="3697" spans="1:15" ht="16" x14ac:dyDescent="0.2">
      <c r="A3697" s="19"/>
      <c r="B3697" s="19"/>
      <c r="C3697" s="19"/>
      <c r="D3697" s="19"/>
      <c r="E3697" s="19"/>
      <c r="F3697" s="19"/>
      <c r="G3697" s="19"/>
      <c r="H3697" s="19"/>
      <c r="I3697" s="19"/>
      <c r="J3697" s="19"/>
      <c r="K3697" s="19"/>
      <c r="L3697" s="19"/>
      <c r="M3697" s="19"/>
      <c r="N3697" s="19"/>
      <c r="O3697" s="14" t="str">
        <f>HYPERLINK("https://otsuka-europe-crm.veevavault.com/ui/#object/email_activity__v/V8C00000003R108", "EN-002091889")</f>
        <v>EN-002091889</v>
      </c>
    </row>
    <row r="3698" spans="1:15" ht="32" x14ac:dyDescent="0.2">
      <c r="A3698" s="7" t="str">
        <f>HYPERLINK("https://otsuka-europe-crm.veevavault.com/ui/#object/account__v/V4TZ06G6O71SAMB", "FRANCESCA FOSSATELLI")</f>
        <v>FRANCESCA FOSSATELLI</v>
      </c>
      <c r="B3698" s="7" t="str">
        <f t="shared" ref="B3698:B3705" si="248">HYPERLINK("https://otsuka-europe-crm.veevavault.com/ui/#object/vcountry__v/VENZ000004SONFQ", "IT")</f>
        <v>IT</v>
      </c>
      <c r="C3698" s="8" t="s">
        <v>44</v>
      </c>
      <c r="D3698" s="9" t="str">
        <f t="shared" ref="D3698:D3705" si="249">HYPERLINK("https://otsuka-europe-crm.veevavault.com/ui/#object/approved_document__v/V5O000000018003", "AE dialoghi di tempo fiducia e cura episodi 2-3-4")</f>
        <v>AE dialoghi di tempo fiducia e cura episodi 2-3-4</v>
      </c>
      <c r="E3698" s="10" t="str">
        <f>HYPERLINK("https://otsuka-europe-crm.veevavault.com/ui/#object/sent_email__v/VBL00000002P100", "SE-001432770")</f>
        <v>SE-001432770</v>
      </c>
      <c r="F3698" s="11"/>
      <c r="G3698" s="12">
        <v>0</v>
      </c>
      <c r="H3698" s="12">
        <v>0</v>
      </c>
      <c r="I3698" s="12">
        <v>0</v>
      </c>
      <c r="J3698" s="11"/>
      <c r="K3698" s="12">
        <v>0</v>
      </c>
      <c r="L3698" s="10" t="str">
        <f t="shared" ref="L3698:L3705" si="250">HYPERLINK("https://otsuka-europe-crm.veevavault.com/ui/#object/approved_document__v/V5O000000018003", "AE dialoghi di tempo fiducia e cura episodi 2-3-4")</f>
        <v>AE dialoghi di tempo fiducia e cura episodi 2-3-4</v>
      </c>
      <c r="M3698" s="10" t="str">
        <f t="shared" ref="M3698:M3705" si="251">HYPERLINK("mailto:nicoletta.vozza@crm.otsuka-europe.com", "nicoletta.vozza@crm.otsuka-europe.com")</f>
        <v>nicoletta.vozza@crm.otsuka-europe.com</v>
      </c>
      <c r="N3698" s="13">
        <v>46181.338067129633</v>
      </c>
      <c r="O3698" s="14" t="str">
        <f>HYPERLINK("https://otsuka-europe-crm.veevavault.com/ui/#object/email_activity__v/V8C00000003O601", "EN-002090157")</f>
        <v>EN-002090157</v>
      </c>
    </row>
    <row r="3699" spans="1:15" ht="32" x14ac:dyDescent="0.2">
      <c r="A3699" s="7" t="str">
        <f>HYPERLINK("https://otsuka-europe-crm.veevavault.com/ui/#object/account__v/V4TZ025E87UAFHT", "FRANCESCA GILIO")</f>
        <v>FRANCESCA GILIO</v>
      </c>
      <c r="B3699" s="7" t="str">
        <f t="shared" si="248"/>
        <v>IT</v>
      </c>
      <c r="C3699" s="8" t="s">
        <v>44</v>
      </c>
      <c r="D3699" s="9" t="str">
        <f t="shared" si="249"/>
        <v>AE dialoghi di tempo fiducia e cura episodi 2-3-4</v>
      </c>
      <c r="E3699" s="10" t="str">
        <f>HYPERLINK("https://otsuka-europe-crm.veevavault.com/ui/#object/sent_email__v/VBL00000002P101", "SE-001432771")</f>
        <v>SE-001432771</v>
      </c>
      <c r="F3699" s="11"/>
      <c r="G3699" s="12">
        <v>0</v>
      </c>
      <c r="H3699" s="12">
        <v>0</v>
      </c>
      <c r="I3699" s="12">
        <v>0</v>
      </c>
      <c r="J3699" s="11"/>
      <c r="K3699" s="12">
        <v>0</v>
      </c>
      <c r="L3699" s="10" t="str">
        <f t="shared" si="250"/>
        <v>AE dialoghi di tempo fiducia e cura episodi 2-3-4</v>
      </c>
      <c r="M3699" s="10" t="str">
        <f t="shared" si="251"/>
        <v>nicoletta.vozza@crm.otsuka-europe.com</v>
      </c>
      <c r="N3699" s="13">
        <v>46181.338067129633</v>
      </c>
      <c r="O3699" s="14" t="str">
        <f>HYPERLINK("https://otsuka-europe-crm.veevavault.com/ui/#object/email_activity__v/V8C00000003P821", "EN-002091119")</f>
        <v>EN-002091119</v>
      </c>
    </row>
    <row r="3700" spans="1:15" ht="32" x14ac:dyDescent="0.2">
      <c r="A3700" s="7" t="str">
        <f>HYPERLINK("https://otsuka-europe-crm.veevavault.com/ui/#object/account__v/V4TZ06G6O71TLBN", "FRANCESCA GIORDANO")</f>
        <v>FRANCESCA GIORDANO</v>
      </c>
      <c r="B3700" s="7" t="str">
        <f t="shared" si="248"/>
        <v>IT</v>
      </c>
      <c r="C3700" s="8" t="s">
        <v>44</v>
      </c>
      <c r="D3700" s="9" t="str">
        <f t="shared" si="249"/>
        <v>AE dialoghi di tempo fiducia e cura episodi 2-3-4</v>
      </c>
      <c r="E3700" s="10" t="str">
        <f>HYPERLINK("https://otsuka-europe-crm.veevavault.com/ui/#object/sent_email__v/VBL00000002P102", "SE-001432772")</f>
        <v>SE-001432772</v>
      </c>
      <c r="F3700" s="11"/>
      <c r="G3700" s="12">
        <v>0</v>
      </c>
      <c r="H3700" s="12">
        <v>0</v>
      </c>
      <c r="I3700" s="12">
        <v>0</v>
      </c>
      <c r="J3700" s="11"/>
      <c r="K3700" s="12">
        <v>0</v>
      </c>
      <c r="L3700" s="10" t="str">
        <f t="shared" si="250"/>
        <v>AE dialoghi di tempo fiducia e cura episodi 2-3-4</v>
      </c>
      <c r="M3700" s="10" t="str">
        <f t="shared" si="251"/>
        <v>nicoletta.vozza@crm.otsuka-europe.com</v>
      </c>
      <c r="N3700" s="13">
        <v>46181.338067129633</v>
      </c>
      <c r="O3700" s="14" t="str">
        <f>HYPERLINK("https://otsuka-europe-crm.veevavault.com/ui/#object/email_activity__v/V8C00000003P642", "EN-002090897")</f>
        <v>EN-002090897</v>
      </c>
    </row>
    <row r="3701" spans="1:15" ht="32" x14ac:dyDescent="0.2">
      <c r="A3701" s="7" t="str">
        <f>HYPERLINK("https://otsuka-europe-crm.veevavault.com/ui/#object/account__v/V4TZ04ASGAZQ39I", "FRANCESCA GIUSTOZZI")</f>
        <v>FRANCESCA GIUSTOZZI</v>
      </c>
      <c r="B3701" s="7" t="str">
        <f t="shared" si="248"/>
        <v>IT</v>
      </c>
      <c r="C3701" s="8" t="s">
        <v>44</v>
      </c>
      <c r="D3701" s="9" t="str">
        <f t="shared" si="249"/>
        <v>AE dialoghi di tempo fiducia e cura episodi 2-3-4</v>
      </c>
      <c r="E3701" s="10" t="str">
        <f>HYPERLINK("https://otsuka-europe-crm.veevavault.com/ui/#object/sent_email__v/VBL00000002P103", "SE-001432773")</f>
        <v>SE-001432773</v>
      </c>
      <c r="F3701" s="11"/>
      <c r="G3701" s="12">
        <v>0</v>
      </c>
      <c r="H3701" s="12">
        <v>0</v>
      </c>
      <c r="I3701" s="12">
        <v>0</v>
      </c>
      <c r="J3701" s="11"/>
      <c r="K3701" s="12">
        <v>0</v>
      </c>
      <c r="L3701" s="10" t="str">
        <f t="shared" si="250"/>
        <v>AE dialoghi di tempo fiducia e cura episodi 2-3-4</v>
      </c>
      <c r="M3701" s="10" t="str">
        <f t="shared" si="251"/>
        <v>nicoletta.vozza@crm.otsuka-europe.com</v>
      </c>
      <c r="N3701" s="13">
        <v>46181.337997685187</v>
      </c>
      <c r="O3701" s="14" t="str">
        <f>HYPERLINK("https://otsuka-europe-crm.veevavault.com/ui/#object/email_activity__v/V8C00000003Q244", "EN-002091350")</f>
        <v>EN-002091350</v>
      </c>
    </row>
    <row r="3702" spans="1:15" ht="32" x14ac:dyDescent="0.2">
      <c r="A3702" s="7" t="str">
        <f>HYPERLINK("https://otsuka-europe-crm.veevavault.com/ui/#object/account__v/V4TZ06G6O71SAQF", "FRANCESCA GOMEZ HOMEN")</f>
        <v>FRANCESCA GOMEZ HOMEN</v>
      </c>
      <c r="B3702" s="7" t="str">
        <f t="shared" si="248"/>
        <v>IT</v>
      </c>
      <c r="C3702" s="8" t="s">
        <v>44</v>
      </c>
      <c r="D3702" s="9" t="str">
        <f t="shared" si="249"/>
        <v>AE dialoghi di tempo fiducia e cura episodi 2-3-4</v>
      </c>
      <c r="E3702" s="10" t="str">
        <f>HYPERLINK("https://otsuka-europe-crm.veevavault.com/ui/#object/sent_email__v/VBL00000002P104", "SE-001432774")</f>
        <v>SE-001432774</v>
      </c>
      <c r="F3702" s="11"/>
      <c r="G3702" s="12">
        <v>0</v>
      </c>
      <c r="H3702" s="12">
        <v>0</v>
      </c>
      <c r="I3702" s="12">
        <v>0</v>
      </c>
      <c r="J3702" s="11"/>
      <c r="K3702" s="12">
        <v>0</v>
      </c>
      <c r="L3702" s="10" t="str">
        <f t="shared" si="250"/>
        <v>AE dialoghi di tempo fiducia e cura episodi 2-3-4</v>
      </c>
      <c r="M3702" s="10" t="str">
        <f t="shared" si="251"/>
        <v>nicoletta.vozza@crm.otsuka-europe.com</v>
      </c>
      <c r="N3702" s="13">
        <v>46181.337997685187</v>
      </c>
      <c r="O3702" s="14" t="str">
        <f>HYPERLINK("https://otsuka-europe-crm.veevavault.com/ui/#object/email_activity__v/V8C00000003O700", "EN-002090256")</f>
        <v>EN-002090256</v>
      </c>
    </row>
    <row r="3703" spans="1:15" ht="32" x14ac:dyDescent="0.2">
      <c r="A3703" s="7" t="str">
        <f>HYPERLINK("https://otsuka-europe-crm.veevavault.com/ui/#object/account__v/V4TZ06G6O71SAS3", "FRANCESCA GUZZETTA")</f>
        <v>FRANCESCA GUZZETTA</v>
      </c>
      <c r="B3703" s="7" t="str">
        <f t="shared" si="248"/>
        <v>IT</v>
      </c>
      <c r="C3703" s="8" t="s">
        <v>44</v>
      </c>
      <c r="D3703" s="9" t="str">
        <f t="shared" si="249"/>
        <v>AE dialoghi di tempo fiducia e cura episodi 2-3-4</v>
      </c>
      <c r="E3703" s="10" t="str">
        <f>HYPERLINK("https://otsuka-europe-crm.veevavault.com/ui/#object/sent_email__v/VBL00000002P105", "SE-001432775")</f>
        <v>SE-001432775</v>
      </c>
      <c r="F3703" s="11"/>
      <c r="G3703" s="12">
        <v>0</v>
      </c>
      <c r="H3703" s="12">
        <v>0</v>
      </c>
      <c r="I3703" s="12">
        <v>0</v>
      </c>
      <c r="J3703" s="11"/>
      <c r="K3703" s="12">
        <v>0</v>
      </c>
      <c r="L3703" s="10" t="str">
        <f t="shared" si="250"/>
        <v>AE dialoghi di tempo fiducia e cura episodi 2-3-4</v>
      </c>
      <c r="M3703" s="10" t="str">
        <f t="shared" si="251"/>
        <v>nicoletta.vozza@crm.otsuka-europe.com</v>
      </c>
      <c r="N3703" s="13">
        <v>46181.33803240741</v>
      </c>
      <c r="O3703" s="14" t="str">
        <f>HYPERLINK("https://otsuka-europe-crm.veevavault.com/ui/#object/email_activity__v/V8C00000003P698", "EN-002090953")</f>
        <v>EN-002090953</v>
      </c>
    </row>
    <row r="3704" spans="1:15" ht="32" x14ac:dyDescent="0.2">
      <c r="A3704" s="7" t="str">
        <f>HYPERLINK("https://otsuka-europe-crm.veevavault.com/ui/#object/account__v/V4TZ06G6O71SCSP", "FRANCESCA INDEMINI")</f>
        <v>FRANCESCA INDEMINI</v>
      </c>
      <c r="B3704" s="7" t="str">
        <f t="shared" si="248"/>
        <v>IT</v>
      </c>
      <c r="C3704" s="8" t="s">
        <v>44</v>
      </c>
      <c r="D3704" s="9" t="str">
        <f t="shared" si="249"/>
        <v>AE dialoghi di tempo fiducia e cura episodi 2-3-4</v>
      </c>
      <c r="E3704" s="10" t="str">
        <f>HYPERLINK("https://otsuka-europe-crm.veevavault.com/ui/#object/sent_email__v/VBL00000002P106", "SE-001432776")</f>
        <v>SE-001432776</v>
      </c>
      <c r="F3704" s="11"/>
      <c r="G3704" s="12">
        <v>0</v>
      </c>
      <c r="H3704" s="12">
        <v>0</v>
      </c>
      <c r="I3704" s="12">
        <v>0</v>
      </c>
      <c r="J3704" s="11"/>
      <c r="K3704" s="12">
        <v>0</v>
      </c>
      <c r="L3704" s="10" t="str">
        <f t="shared" si="250"/>
        <v>AE dialoghi di tempo fiducia e cura episodi 2-3-4</v>
      </c>
      <c r="M3704" s="10" t="str">
        <f t="shared" si="251"/>
        <v>nicoletta.vozza@crm.otsuka-europe.com</v>
      </c>
      <c r="N3704" s="13">
        <v>46181.33798611111</v>
      </c>
      <c r="O3704" s="14" t="str">
        <f>HYPERLINK("https://otsuka-europe-crm.veevavault.com/ui/#object/email_activity__v/V8C00000003O407", "EN-002089963")</f>
        <v>EN-002089963</v>
      </c>
    </row>
    <row r="3705" spans="1:15" ht="16" x14ac:dyDescent="0.2">
      <c r="A3705" s="17" t="str">
        <f>HYPERLINK("https://otsuka-europe-crm.veevavault.com/ui/#object/account__v/V4TZ06G6O71SCR1", "FRANCESCA IUPPA")</f>
        <v>FRANCESCA IUPPA</v>
      </c>
      <c r="B3705" s="17" t="str">
        <f t="shared" si="248"/>
        <v>IT</v>
      </c>
      <c r="C3705" s="20" t="s">
        <v>44</v>
      </c>
      <c r="D3705" s="21" t="str">
        <f t="shared" si="249"/>
        <v>AE dialoghi di tempo fiducia e cura episodi 2-3-4</v>
      </c>
      <c r="E3705" s="22" t="str">
        <f>HYPERLINK("https://otsuka-europe-crm.veevavault.com/ui/#object/sent_email__v/VBL00000002P107", "SE-001432777")</f>
        <v>SE-001432777</v>
      </c>
      <c r="F3705" s="25"/>
      <c r="G3705" s="24">
        <v>0</v>
      </c>
      <c r="H3705" s="24">
        <v>0</v>
      </c>
      <c r="I3705" s="24">
        <v>0</v>
      </c>
      <c r="J3705" s="25"/>
      <c r="K3705" s="24">
        <v>0</v>
      </c>
      <c r="L3705" s="22" t="str">
        <f t="shared" si="250"/>
        <v>AE dialoghi di tempo fiducia e cura episodi 2-3-4</v>
      </c>
      <c r="M3705" s="22" t="str">
        <f t="shared" si="251"/>
        <v>nicoletta.vozza@crm.otsuka-europe.com</v>
      </c>
      <c r="N3705" s="23">
        <v>46181.339062500003</v>
      </c>
      <c r="O3705" s="14" t="str">
        <f>HYPERLINK("https://otsuka-europe-crm.veevavault.com/ui/#object/email_activity__v/V8C00000003Q211", "EN-002091317")</f>
        <v>EN-002091317</v>
      </c>
    </row>
    <row r="3706" spans="1:15" ht="16" x14ac:dyDescent="0.2">
      <c r="A3706" s="19"/>
      <c r="B3706" s="19"/>
      <c r="C3706" s="19"/>
      <c r="D3706" s="19"/>
      <c r="E3706" s="19"/>
      <c r="F3706" s="19"/>
      <c r="G3706" s="19"/>
      <c r="H3706" s="19"/>
      <c r="I3706" s="19"/>
      <c r="J3706" s="19"/>
      <c r="K3706" s="19"/>
      <c r="L3706" s="19"/>
      <c r="M3706" s="19"/>
      <c r="N3706" s="19"/>
      <c r="O3706" s="14" t="str">
        <f>HYPERLINK("https://otsuka-europe-crm.veevavault.com/ui/#object/email_activity__v/V8C000000042274", "EN-002100258")</f>
        <v>EN-002100258</v>
      </c>
    </row>
    <row r="3707" spans="1:15" ht="32" x14ac:dyDescent="0.2">
      <c r="A3707" s="7" t="str">
        <f>HYPERLINK("https://otsuka-europe-crm.veevavault.com/ui/#object/account__v/V4TZ06G6O8AL1LA", "FRANCESCA LISE")</f>
        <v>FRANCESCA LISE</v>
      </c>
      <c r="B3707" s="7" t="str">
        <f>HYPERLINK("https://otsuka-europe-crm.veevavault.com/ui/#object/vcountry__v/VENZ000004SONFQ", "IT")</f>
        <v>IT</v>
      </c>
      <c r="C3707" s="8" t="s">
        <v>44</v>
      </c>
      <c r="D3707" s="9" t="str">
        <f>HYPERLINK("https://otsuka-europe-crm.veevavault.com/ui/#object/approved_document__v/V5O000000018003", "AE dialoghi di tempo fiducia e cura episodi 2-3-4")</f>
        <v>AE dialoghi di tempo fiducia e cura episodi 2-3-4</v>
      </c>
      <c r="E3707" s="10" t="str">
        <f>HYPERLINK("https://otsuka-europe-crm.veevavault.com/ui/#object/sent_email__v/VBL00000002P108", "SE-001432778")</f>
        <v>SE-001432778</v>
      </c>
      <c r="F3707" s="11"/>
      <c r="G3707" s="12">
        <v>0</v>
      </c>
      <c r="H3707" s="12">
        <v>0</v>
      </c>
      <c r="I3707" s="12">
        <v>0</v>
      </c>
      <c r="J3707" s="11"/>
      <c r="K3707" s="12">
        <v>0</v>
      </c>
      <c r="L3707" s="10" t="str">
        <f>HYPERLINK("https://otsuka-europe-crm.veevavault.com/ui/#object/approved_document__v/V5O000000018003", "AE dialoghi di tempo fiducia e cura episodi 2-3-4")</f>
        <v>AE dialoghi di tempo fiducia e cura episodi 2-3-4</v>
      </c>
      <c r="M3707" s="10" t="str">
        <f>HYPERLINK("mailto:nicoletta.vozza@crm.otsuka-europe.com", "nicoletta.vozza@crm.otsuka-europe.com")</f>
        <v>nicoletta.vozza@crm.otsuka-europe.com</v>
      </c>
      <c r="N3707" s="13">
        <v>46181.33798611111</v>
      </c>
      <c r="O3707" s="14" t="str">
        <f>HYPERLINK("https://otsuka-europe-crm.veevavault.com/ui/#object/email_activity__v/V8C00000003P182", "EN-002089582")</f>
        <v>EN-002089582</v>
      </c>
    </row>
    <row r="3708" spans="1:15" ht="32" x14ac:dyDescent="0.2">
      <c r="A3708" s="7" t="str">
        <f>HYPERLINK("https://otsuka-europe-crm.veevavault.com/ui/#object/account__v/V4TZ06G6ODNMWFD", "FRANCESCA MAGNANO SAN LIO")</f>
        <v>FRANCESCA MAGNANO SAN LIO</v>
      </c>
      <c r="B3708" s="7" t="str">
        <f>HYPERLINK("https://otsuka-europe-crm.veevavault.com/ui/#object/vcountry__v/VENZ000004SONFQ", "IT")</f>
        <v>IT</v>
      </c>
      <c r="C3708" s="8" t="s">
        <v>44</v>
      </c>
      <c r="D3708" s="9" t="str">
        <f>HYPERLINK("https://otsuka-europe-crm.veevavault.com/ui/#object/approved_document__v/V5O000000018003", "AE dialoghi di tempo fiducia e cura episodi 2-3-4")</f>
        <v>AE dialoghi di tempo fiducia e cura episodi 2-3-4</v>
      </c>
      <c r="E3708" s="10" t="str">
        <f>HYPERLINK("https://otsuka-europe-crm.veevavault.com/ui/#object/sent_email__v/VBL00000002P109", "SE-001432779")</f>
        <v>SE-001432779</v>
      </c>
      <c r="F3708" s="11"/>
      <c r="G3708" s="12">
        <v>0</v>
      </c>
      <c r="H3708" s="12">
        <v>0</v>
      </c>
      <c r="I3708" s="12">
        <v>0</v>
      </c>
      <c r="J3708" s="11"/>
      <c r="K3708" s="12">
        <v>0</v>
      </c>
      <c r="L3708" s="10" t="str">
        <f>HYPERLINK("https://otsuka-europe-crm.veevavault.com/ui/#object/approved_document__v/V5O000000018003", "AE dialoghi di tempo fiducia e cura episodi 2-3-4")</f>
        <v>AE dialoghi di tempo fiducia e cura episodi 2-3-4</v>
      </c>
      <c r="M3708" s="10" t="str">
        <f>HYPERLINK("mailto:nicoletta.vozza@crm.otsuka-europe.com", "nicoletta.vozza@crm.otsuka-europe.com")</f>
        <v>nicoletta.vozza@crm.otsuka-europe.com</v>
      </c>
      <c r="N3708" s="13">
        <v>46181.337962962964</v>
      </c>
      <c r="O3708" s="14" t="str">
        <f>HYPERLINK("https://otsuka-europe-crm.veevavault.com/ui/#object/email_activity__v/V8C00000003O194", "EN-002089631")</f>
        <v>EN-002089631</v>
      </c>
    </row>
    <row r="3709" spans="1:15" ht="32" x14ac:dyDescent="0.2">
      <c r="A3709" s="7" t="str">
        <f>HYPERLINK("https://otsuka-europe-crm.veevavault.com/ui/#object/account__v/V4TZ06G6O71SBDM", "FRANCESCA MALCHIODI")</f>
        <v>FRANCESCA MALCHIODI</v>
      </c>
      <c r="B3709" s="7" t="str">
        <f>HYPERLINK("https://otsuka-europe-crm.veevavault.com/ui/#object/vcountry__v/VENZ000004SONFQ", "IT")</f>
        <v>IT</v>
      </c>
      <c r="C3709" s="8" t="s">
        <v>44</v>
      </c>
      <c r="D3709" s="9" t="str">
        <f>HYPERLINK("https://otsuka-europe-crm.veevavault.com/ui/#object/approved_document__v/V5O000000018003", "AE dialoghi di tempo fiducia e cura episodi 2-3-4")</f>
        <v>AE dialoghi di tempo fiducia e cura episodi 2-3-4</v>
      </c>
      <c r="E3709" s="10" t="str">
        <f>HYPERLINK("https://otsuka-europe-crm.veevavault.com/ui/#object/sent_email__v/VBL00000002P110", "SE-001432780")</f>
        <v>SE-001432780</v>
      </c>
      <c r="F3709" s="11"/>
      <c r="G3709" s="12">
        <v>0</v>
      </c>
      <c r="H3709" s="12">
        <v>0</v>
      </c>
      <c r="I3709" s="12">
        <v>0</v>
      </c>
      <c r="J3709" s="11"/>
      <c r="K3709" s="12">
        <v>0</v>
      </c>
      <c r="L3709" s="10" t="str">
        <f>HYPERLINK("https://otsuka-europe-crm.veevavault.com/ui/#object/approved_document__v/V5O000000018003", "AE dialoghi di tempo fiducia e cura episodi 2-3-4")</f>
        <v>AE dialoghi di tempo fiducia e cura episodi 2-3-4</v>
      </c>
      <c r="M3709" s="10" t="str">
        <f>HYPERLINK("mailto:nicoletta.vozza@crm.otsuka-europe.com", "nicoletta.vozza@crm.otsuka-europe.com")</f>
        <v>nicoletta.vozza@crm.otsuka-europe.com</v>
      </c>
      <c r="N3709" s="13">
        <v>46181.337951388887</v>
      </c>
      <c r="O3709" s="14" t="str">
        <f>HYPERLINK("https://otsuka-europe-crm.veevavault.com/ui/#object/email_activity__v/V8C00000003O260", "EN-002089737")</f>
        <v>EN-002089737</v>
      </c>
    </row>
    <row r="3710" spans="1:15" ht="16" x14ac:dyDescent="0.2">
      <c r="A3710" s="17" t="str">
        <f>HYPERLINK("https://otsuka-europe-crm.veevavault.com/ui/#object/account__v/V4TZ04ASGDP36GG", "FRANCESCA MARIA CAMILLA MASELLI")</f>
        <v>FRANCESCA MARIA CAMILLA MASELLI</v>
      </c>
      <c r="B3710" s="17" t="str">
        <f>HYPERLINK("https://otsuka-europe-crm.veevavault.com/ui/#object/vcountry__v/VENZ000004SONFQ", "IT")</f>
        <v>IT</v>
      </c>
      <c r="C3710" s="20" t="s">
        <v>44</v>
      </c>
      <c r="D3710" s="21" t="str">
        <f>HYPERLINK("https://otsuka-europe-crm.veevavault.com/ui/#object/approved_document__v/V5O000000018003", "AE dialoghi di tempo fiducia e cura episodi 2-3-4")</f>
        <v>AE dialoghi di tempo fiducia e cura episodi 2-3-4</v>
      </c>
      <c r="E3710" s="22" t="str">
        <f>HYPERLINK("https://otsuka-europe-crm.veevavault.com/ui/#object/sent_email__v/VBL00000002P111", "SE-001432781")</f>
        <v>SE-001432781</v>
      </c>
      <c r="F3710" s="23">
        <v>46181.618113425924</v>
      </c>
      <c r="G3710" s="24">
        <v>1</v>
      </c>
      <c r="H3710" s="24">
        <v>1</v>
      </c>
      <c r="I3710" s="24">
        <v>0</v>
      </c>
      <c r="J3710" s="25"/>
      <c r="K3710" s="24">
        <v>0</v>
      </c>
      <c r="L3710" s="22" t="str">
        <f>HYPERLINK("https://otsuka-europe-crm.veevavault.com/ui/#object/approved_document__v/V5O000000018003", "AE dialoghi di tempo fiducia e cura episodi 2-3-4")</f>
        <v>AE dialoghi di tempo fiducia e cura episodi 2-3-4</v>
      </c>
      <c r="M3710" s="22" t="str">
        <f>HYPERLINK("mailto:nicoletta.vozza@crm.otsuka-europe.com", "nicoletta.vozza@crm.otsuka-europe.com")</f>
        <v>nicoletta.vozza@crm.otsuka-europe.com</v>
      </c>
      <c r="N3710" s="23">
        <v>46181.337951388887</v>
      </c>
      <c r="O3710" s="14" t="str">
        <f>HYPERLINK("https://otsuka-europe-crm.veevavault.com/ui/#object/email_activity__v/V8C00000003O552", "EN-002090108")</f>
        <v>EN-002090108</v>
      </c>
    </row>
    <row r="3711" spans="1:15" ht="16" x14ac:dyDescent="0.2">
      <c r="A3711" s="19"/>
      <c r="B3711" s="19"/>
      <c r="C3711" s="19"/>
      <c r="D3711" s="19"/>
      <c r="E3711" s="19"/>
      <c r="F3711" s="19"/>
      <c r="G3711" s="19"/>
      <c r="H3711" s="19"/>
      <c r="I3711" s="19"/>
      <c r="J3711" s="19"/>
      <c r="K3711" s="19"/>
      <c r="L3711" s="19"/>
      <c r="M3711" s="19"/>
      <c r="N3711" s="19"/>
      <c r="O3711" s="14" t="str">
        <f>HYPERLINK("https://otsuka-europe-crm.veevavault.com/ui/#object/email_activity__v/V8C00000003Q598", "EN-002092014")</f>
        <v>EN-002092014</v>
      </c>
    </row>
    <row r="3712" spans="1:15" ht="32" x14ac:dyDescent="0.2">
      <c r="A3712" s="7" t="str">
        <f>HYPERLINK("https://otsuka-europe-crm.veevavault.com/ui/#object/account__v/V4TZ06G6O71SBHZ", "FRANCESCA MASIER")</f>
        <v>FRANCESCA MASIER</v>
      </c>
      <c r="B3712" s="7" t="str">
        <f>HYPERLINK("https://otsuka-europe-crm.veevavault.com/ui/#object/vcountry__v/VENZ000004SONFQ", "IT")</f>
        <v>IT</v>
      </c>
      <c r="C3712" s="8" t="s">
        <v>44</v>
      </c>
      <c r="D3712" s="9" t="str">
        <f>HYPERLINK("https://otsuka-europe-crm.veevavault.com/ui/#object/approved_document__v/V5O000000018003", "AE dialoghi di tempo fiducia e cura episodi 2-3-4")</f>
        <v>AE dialoghi di tempo fiducia e cura episodi 2-3-4</v>
      </c>
      <c r="E3712" s="10" t="str">
        <f>HYPERLINK("https://otsuka-europe-crm.veevavault.com/ui/#object/sent_email__v/VBL00000002P112", "SE-001432782")</f>
        <v>SE-001432782</v>
      </c>
      <c r="F3712" s="11"/>
      <c r="G3712" s="12">
        <v>0</v>
      </c>
      <c r="H3712" s="12">
        <v>0</v>
      </c>
      <c r="I3712" s="12">
        <v>0</v>
      </c>
      <c r="J3712" s="11"/>
      <c r="K3712" s="12">
        <v>0</v>
      </c>
      <c r="L3712" s="10" t="str">
        <f>HYPERLINK("https://otsuka-europe-crm.veevavault.com/ui/#object/approved_document__v/V5O000000018003", "AE dialoghi di tempo fiducia e cura episodi 2-3-4")</f>
        <v>AE dialoghi di tempo fiducia e cura episodi 2-3-4</v>
      </c>
      <c r="M3712" s="10" t="str">
        <f>HYPERLINK("mailto:nicoletta.vozza@crm.otsuka-europe.com", "nicoletta.vozza@crm.otsuka-europe.com")</f>
        <v>nicoletta.vozza@crm.otsuka-europe.com</v>
      </c>
      <c r="N3712" s="13">
        <v>46181.337997685187</v>
      </c>
      <c r="O3712" s="14" t="str">
        <f>HYPERLINK("https://otsuka-europe-crm.veevavault.com/ui/#object/email_activity__v/V8C00000003P448", "EN-002090687")</f>
        <v>EN-002090687</v>
      </c>
    </row>
    <row r="3713" spans="1:15" ht="16" x14ac:dyDescent="0.2">
      <c r="A3713" s="17" t="str">
        <f>HYPERLINK("https://otsuka-europe-crm.veevavault.com/ui/#object/account__v/V4TZ06G6OBU9GUX", "FRANCESCA MORABITO")</f>
        <v>FRANCESCA MORABITO</v>
      </c>
      <c r="B3713" s="17" t="str">
        <f>HYPERLINK("https://otsuka-europe-crm.veevavault.com/ui/#object/vcountry__v/VENZ000004SONFQ", "IT")</f>
        <v>IT</v>
      </c>
      <c r="C3713" s="20" t="s">
        <v>44</v>
      </c>
      <c r="D3713" s="21" t="str">
        <f>HYPERLINK("https://otsuka-europe-crm.veevavault.com/ui/#object/approved_document__v/V5O000000018003", "AE dialoghi di tempo fiducia e cura episodi 2-3-4")</f>
        <v>AE dialoghi di tempo fiducia e cura episodi 2-3-4</v>
      </c>
      <c r="E3713" s="22" t="str">
        <f>HYPERLINK("https://otsuka-europe-crm.veevavault.com/ui/#object/sent_email__v/VBL00000002P113", "SE-001432783")</f>
        <v>SE-001432783</v>
      </c>
      <c r="F3713" s="23">
        <v>46181.436747685184</v>
      </c>
      <c r="G3713" s="24">
        <v>1</v>
      </c>
      <c r="H3713" s="24">
        <v>1</v>
      </c>
      <c r="I3713" s="24">
        <v>0</v>
      </c>
      <c r="J3713" s="25"/>
      <c r="K3713" s="24">
        <v>0</v>
      </c>
      <c r="L3713" s="22" t="str">
        <f>HYPERLINK("https://otsuka-europe-crm.veevavault.com/ui/#object/approved_document__v/V5O000000018003", "AE dialoghi di tempo fiducia e cura episodi 2-3-4")</f>
        <v>AE dialoghi di tempo fiducia e cura episodi 2-3-4</v>
      </c>
      <c r="M3713" s="22" t="str">
        <f>HYPERLINK("mailto:nicoletta.vozza@crm.otsuka-europe.com", "nicoletta.vozza@crm.otsuka-europe.com")</f>
        <v>nicoletta.vozza@crm.otsuka-europe.com</v>
      </c>
      <c r="N3713" s="23">
        <v>46181.337997685187</v>
      </c>
      <c r="O3713" s="14" t="str">
        <f>HYPERLINK("https://otsuka-europe-crm.veevavault.com/ui/#object/email_activity__v/V8C00000003O632", "EN-002090188")</f>
        <v>EN-002090188</v>
      </c>
    </row>
    <row r="3714" spans="1:15" ht="16" x14ac:dyDescent="0.2">
      <c r="A3714" s="18"/>
      <c r="B3714" s="18"/>
      <c r="C3714" s="18"/>
      <c r="D3714" s="18"/>
      <c r="E3714" s="18"/>
      <c r="F3714" s="18"/>
      <c r="G3714" s="18"/>
      <c r="H3714" s="18"/>
      <c r="I3714" s="18"/>
      <c r="J3714" s="18"/>
      <c r="K3714" s="18"/>
      <c r="L3714" s="18"/>
      <c r="M3714" s="18"/>
      <c r="N3714" s="18"/>
      <c r="O3714" s="14" t="str">
        <f>HYPERLINK("https://otsuka-europe-crm.veevavault.com/ui/#object/email_activity__v/V8C00000003P930", "EN-002091506")</f>
        <v>EN-002091506</v>
      </c>
    </row>
    <row r="3715" spans="1:15" ht="16" x14ac:dyDescent="0.2">
      <c r="A3715" s="19"/>
      <c r="B3715" s="19"/>
      <c r="C3715" s="19"/>
      <c r="D3715" s="19"/>
      <c r="E3715" s="19"/>
      <c r="F3715" s="19"/>
      <c r="G3715" s="19"/>
      <c r="H3715" s="19"/>
      <c r="I3715" s="19"/>
      <c r="J3715" s="19"/>
      <c r="K3715" s="19"/>
      <c r="L3715" s="19"/>
      <c r="M3715" s="19"/>
      <c r="N3715" s="19"/>
      <c r="O3715" s="14" t="str">
        <f>HYPERLINK("https://otsuka-europe-crm.veevavault.com/ui/#object/email_activity__v/V8C00000003Q504", "EN-002091822")</f>
        <v>EN-002091822</v>
      </c>
    </row>
    <row r="3716" spans="1:15" ht="32" x14ac:dyDescent="0.2">
      <c r="A3716" s="7" t="str">
        <f>HYPERLINK("https://otsuka-europe-crm.veevavault.com/ui/#object/account__v/V4TZ06G6OBU9IDT", "FRANCESCA NATALIA CORTESE")</f>
        <v>FRANCESCA NATALIA CORTESE</v>
      </c>
      <c r="B3716" s="7" t="str">
        <f t="shared" ref="B3716:B3725" si="252">HYPERLINK("https://otsuka-europe-crm.veevavault.com/ui/#object/vcountry__v/VENZ000004SONFQ", "IT")</f>
        <v>IT</v>
      </c>
      <c r="C3716" s="8" t="s">
        <v>44</v>
      </c>
      <c r="D3716" s="9" t="str">
        <f t="shared" ref="D3716:D3725" si="253">HYPERLINK("https://otsuka-europe-crm.veevavault.com/ui/#object/approved_document__v/V5O000000018003", "AE dialoghi di tempo fiducia e cura episodi 2-3-4")</f>
        <v>AE dialoghi di tempo fiducia e cura episodi 2-3-4</v>
      </c>
      <c r="E3716" s="10" t="str">
        <f>HYPERLINK("https://otsuka-europe-crm.veevavault.com/ui/#object/sent_email__v/VBL00000002P114", "SE-001432784")</f>
        <v>SE-001432784</v>
      </c>
      <c r="F3716" s="11"/>
      <c r="G3716" s="12">
        <v>0</v>
      </c>
      <c r="H3716" s="12">
        <v>0</v>
      </c>
      <c r="I3716" s="12">
        <v>0</v>
      </c>
      <c r="J3716" s="11"/>
      <c r="K3716" s="12">
        <v>0</v>
      </c>
      <c r="L3716" s="10" t="str">
        <f t="shared" ref="L3716:L3725" si="254">HYPERLINK("https://otsuka-europe-crm.veevavault.com/ui/#object/approved_document__v/V5O000000018003", "AE dialoghi di tempo fiducia e cura episodi 2-3-4")</f>
        <v>AE dialoghi di tempo fiducia e cura episodi 2-3-4</v>
      </c>
      <c r="M3716" s="10" t="str">
        <f t="shared" ref="M3716:M3725" si="255">HYPERLINK("mailto:nicoletta.vozza@crm.otsuka-europe.com", "nicoletta.vozza@crm.otsuka-europe.com")</f>
        <v>nicoletta.vozza@crm.otsuka-europe.com</v>
      </c>
      <c r="N3716" s="13">
        <v>46181.33798611111</v>
      </c>
      <c r="O3716" s="14" t="str">
        <f>HYPERLINK("https://otsuka-europe-crm.veevavault.com/ui/#object/email_activity__v/V8C00000003P511", "EN-002090766")</f>
        <v>EN-002090766</v>
      </c>
    </row>
    <row r="3717" spans="1:15" ht="32" x14ac:dyDescent="0.2">
      <c r="A3717" s="7" t="str">
        <f>HYPERLINK("https://otsuka-europe-crm.veevavault.com/ui/#object/account__v/V4TZ06G6O7VVS75", "FRANCESCA OLIVANI")</f>
        <v>FRANCESCA OLIVANI</v>
      </c>
      <c r="B3717" s="7" t="str">
        <f t="shared" si="252"/>
        <v>IT</v>
      </c>
      <c r="C3717" s="8" t="s">
        <v>44</v>
      </c>
      <c r="D3717" s="9" t="str">
        <f t="shared" si="253"/>
        <v>AE dialoghi di tempo fiducia e cura episodi 2-3-4</v>
      </c>
      <c r="E3717" s="10" t="str">
        <f>HYPERLINK("https://otsuka-europe-crm.veevavault.com/ui/#object/sent_email__v/VBL00000002P115", "SE-001432785")</f>
        <v>SE-001432785</v>
      </c>
      <c r="F3717" s="11"/>
      <c r="G3717" s="12">
        <v>0</v>
      </c>
      <c r="H3717" s="12">
        <v>0</v>
      </c>
      <c r="I3717" s="12">
        <v>0</v>
      </c>
      <c r="J3717" s="11"/>
      <c r="K3717" s="12">
        <v>0</v>
      </c>
      <c r="L3717" s="10" t="str">
        <f t="shared" si="254"/>
        <v>AE dialoghi di tempo fiducia e cura episodi 2-3-4</v>
      </c>
      <c r="M3717" s="10" t="str">
        <f t="shared" si="255"/>
        <v>nicoletta.vozza@crm.otsuka-europe.com</v>
      </c>
      <c r="N3717" s="13">
        <v>46181.337997685187</v>
      </c>
      <c r="O3717" s="14" t="str">
        <f>HYPERLINK("https://otsuka-europe-crm.veevavault.com/ui/#object/email_activity__v/V8C00000003Q037", "EN-002091003")</f>
        <v>EN-002091003</v>
      </c>
    </row>
    <row r="3718" spans="1:15" ht="32" x14ac:dyDescent="0.2">
      <c r="A3718" s="7" t="str">
        <f>HYPERLINK("https://otsuka-europe-crm.veevavault.com/ui/#object/account__v/V4TZ06G6O71SBSZ", "FRANCESCA PADREVECCHI")</f>
        <v>FRANCESCA PADREVECCHI</v>
      </c>
      <c r="B3718" s="7" t="str">
        <f t="shared" si="252"/>
        <v>IT</v>
      </c>
      <c r="C3718" s="8" t="s">
        <v>44</v>
      </c>
      <c r="D3718" s="9" t="str">
        <f t="shared" si="253"/>
        <v>AE dialoghi di tempo fiducia e cura episodi 2-3-4</v>
      </c>
      <c r="E3718" s="10" t="str">
        <f>HYPERLINK("https://otsuka-europe-crm.veevavault.com/ui/#object/sent_email__v/VBL00000002P116", "SE-001432786")</f>
        <v>SE-001432786</v>
      </c>
      <c r="F3718" s="11"/>
      <c r="G3718" s="12">
        <v>0</v>
      </c>
      <c r="H3718" s="12">
        <v>0</v>
      </c>
      <c r="I3718" s="12">
        <v>0</v>
      </c>
      <c r="J3718" s="11"/>
      <c r="K3718" s="12">
        <v>0</v>
      </c>
      <c r="L3718" s="10" t="str">
        <f t="shared" si="254"/>
        <v>AE dialoghi di tempo fiducia e cura episodi 2-3-4</v>
      </c>
      <c r="M3718" s="10" t="str">
        <f t="shared" si="255"/>
        <v>nicoletta.vozza@crm.otsuka-europe.com</v>
      </c>
      <c r="N3718" s="13">
        <v>46181.337962962964</v>
      </c>
      <c r="O3718" s="14" t="str">
        <f>HYPERLINK("https://otsuka-europe-crm.veevavault.com/ui/#object/email_activity__v/V8C00000003O556", "EN-002090112")</f>
        <v>EN-002090112</v>
      </c>
    </row>
    <row r="3719" spans="1:15" ht="32" x14ac:dyDescent="0.2">
      <c r="A3719" s="7" t="str">
        <f>HYPERLINK("https://otsuka-europe-crm.veevavault.com/ui/#object/account__v/V4TZ06G6O71S9HC", "FRANCESCA PAGLIA")</f>
        <v>FRANCESCA PAGLIA</v>
      </c>
      <c r="B3719" s="7" t="str">
        <f t="shared" si="252"/>
        <v>IT</v>
      </c>
      <c r="C3719" s="8" t="s">
        <v>44</v>
      </c>
      <c r="D3719" s="9" t="str">
        <f t="shared" si="253"/>
        <v>AE dialoghi di tempo fiducia e cura episodi 2-3-4</v>
      </c>
      <c r="E3719" s="10" t="str">
        <f>HYPERLINK("https://otsuka-europe-crm.veevavault.com/ui/#object/sent_email__v/VBL00000002P117", "SE-001432787")</f>
        <v>SE-001432787</v>
      </c>
      <c r="F3719" s="11"/>
      <c r="G3719" s="12">
        <v>0</v>
      </c>
      <c r="H3719" s="12">
        <v>0</v>
      </c>
      <c r="I3719" s="12">
        <v>0</v>
      </c>
      <c r="J3719" s="11"/>
      <c r="K3719" s="12">
        <v>0</v>
      </c>
      <c r="L3719" s="10" t="str">
        <f t="shared" si="254"/>
        <v>AE dialoghi di tempo fiducia e cura episodi 2-3-4</v>
      </c>
      <c r="M3719" s="10" t="str">
        <f t="shared" si="255"/>
        <v>nicoletta.vozza@crm.otsuka-europe.com</v>
      </c>
      <c r="N3719" s="13">
        <v>46181.337962962964</v>
      </c>
      <c r="O3719" s="14" t="str">
        <f>HYPERLINK("https://otsuka-europe-crm.veevavault.com/ui/#object/email_activity__v/V8C00000003P183", "EN-002089583")</f>
        <v>EN-002089583</v>
      </c>
    </row>
    <row r="3720" spans="1:15" ht="32" x14ac:dyDescent="0.2">
      <c r="A3720" s="7" t="str">
        <f>HYPERLINK("https://otsuka-europe-crm.veevavault.com/ui/#object/account__v/V4TZ04ASG6LSD9S", "FRANCESCA PANNOCCHIA")</f>
        <v>FRANCESCA PANNOCCHIA</v>
      </c>
      <c r="B3720" s="7" t="str">
        <f t="shared" si="252"/>
        <v>IT</v>
      </c>
      <c r="C3720" s="8" t="s">
        <v>44</v>
      </c>
      <c r="D3720" s="9" t="str">
        <f t="shared" si="253"/>
        <v>AE dialoghi di tempo fiducia e cura episodi 2-3-4</v>
      </c>
      <c r="E3720" s="10" t="str">
        <f>HYPERLINK("https://otsuka-europe-crm.veevavault.com/ui/#object/sent_email__v/VBL00000002P118", "SE-001432788")</f>
        <v>SE-001432788</v>
      </c>
      <c r="F3720" s="11"/>
      <c r="G3720" s="12">
        <v>0</v>
      </c>
      <c r="H3720" s="12">
        <v>0</v>
      </c>
      <c r="I3720" s="12">
        <v>0</v>
      </c>
      <c r="J3720" s="11"/>
      <c r="K3720" s="12">
        <v>0</v>
      </c>
      <c r="L3720" s="10" t="str">
        <f t="shared" si="254"/>
        <v>AE dialoghi di tempo fiducia e cura episodi 2-3-4</v>
      </c>
      <c r="M3720" s="10" t="str">
        <f t="shared" si="255"/>
        <v>nicoletta.vozza@crm.otsuka-europe.com</v>
      </c>
      <c r="N3720" s="13">
        <v>46181.338020833333</v>
      </c>
      <c r="O3720" s="14" t="str">
        <f>HYPERLINK("https://otsuka-europe-crm.veevavault.com/ui/#object/email_activity__v/V8C00000003O952", "EN-002090612")</f>
        <v>EN-002090612</v>
      </c>
    </row>
    <row r="3721" spans="1:15" ht="32" x14ac:dyDescent="0.2">
      <c r="A3721" s="7" t="str">
        <f>HYPERLINK("https://otsuka-europe-crm.veevavault.com/ui/#object/account__v/V4TZ06G6O71SBWO", "FRANCESCA PEDRAZZI")</f>
        <v>FRANCESCA PEDRAZZI</v>
      </c>
      <c r="B3721" s="7" t="str">
        <f t="shared" si="252"/>
        <v>IT</v>
      </c>
      <c r="C3721" s="8" t="s">
        <v>44</v>
      </c>
      <c r="D3721" s="9" t="str">
        <f t="shared" si="253"/>
        <v>AE dialoghi di tempo fiducia e cura episodi 2-3-4</v>
      </c>
      <c r="E3721" s="10" t="str">
        <f>HYPERLINK("https://otsuka-europe-crm.veevavault.com/ui/#object/sent_email__v/VBL00000002P119", "SE-001432789")</f>
        <v>SE-001432789</v>
      </c>
      <c r="F3721" s="11"/>
      <c r="G3721" s="12">
        <v>0</v>
      </c>
      <c r="H3721" s="12">
        <v>0</v>
      </c>
      <c r="I3721" s="12">
        <v>0</v>
      </c>
      <c r="J3721" s="11"/>
      <c r="K3721" s="12">
        <v>0</v>
      </c>
      <c r="L3721" s="10" t="str">
        <f t="shared" si="254"/>
        <v>AE dialoghi di tempo fiducia e cura episodi 2-3-4</v>
      </c>
      <c r="M3721" s="10" t="str">
        <f t="shared" si="255"/>
        <v>nicoletta.vozza@crm.otsuka-europe.com</v>
      </c>
      <c r="N3721" s="13">
        <v>46181.337997685187</v>
      </c>
      <c r="O3721" s="14" t="str">
        <f>HYPERLINK("https://otsuka-europe-crm.veevavault.com/ui/#object/email_activity__v/V8C00000003O941", "EN-002090601")</f>
        <v>EN-002090601</v>
      </c>
    </row>
    <row r="3722" spans="1:15" ht="32" x14ac:dyDescent="0.2">
      <c r="A3722" s="7" t="str">
        <f>HYPERLINK("https://otsuka-europe-crm.veevavault.com/ui/#object/account__v/V4TZ06G6O71SBRX", "FRANCESCA PESCOLLA")</f>
        <v>FRANCESCA PESCOLLA</v>
      </c>
      <c r="B3722" s="7" t="str">
        <f t="shared" si="252"/>
        <v>IT</v>
      </c>
      <c r="C3722" s="8" t="s">
        <v>44</v>
      </c>
      <c r="D3722" s="9" t="str">
        <f t="shared" si="253"/>
        <v>AE dialoghi di tempo fiducia e cura episodi 2-3-4</v>
      </c>
      <c r="E3722" s="10" t="str">
        <f>HYPERLINK("https://otsuka-europe-crm.veevavault.com/ui/#object/sent_email__v/VBL00000002P120", "SE-001432790")</f>
        <v>SE-001432790</v>
      </c>
      <c r="F3722" s="11"/>
      <c r="G3722" s="12">
        <v>0</v>
      </c>
      <c r="H3722" s="12">
        <v>0</v>
      </c>
      <c r="I3722" s="12">
        <v>0</v>
      </c>
      <c r="J3722" s="11"/>
      <c r="K3722" s="12">
        <v>0</v>
      </c>
      <c r="L3722" s="10" t="str">
        <f t="shared" si="254"/>
        <v>AE dialoghi di tempo fiducia e cura episodi 2-3-4</v>
      </c>
      <c r="M3722" s="10" t="str">
        <f t="shared" si="255"/>
        <v>nicoletta.vozza@crm.otsuka-europe.com</v>
      </c>
      <c r="N3722" s="13">
        <v>46181.33798611111</v>
      </c>
      <c r="O3722" s="14" t="str">
        <f>HYPERLINK("https://otsuka-europe-crm.veevavault.com/ui/#object/email_activity__v/V8C00000003Q253", "EN-002091363")</f>
        <v>EN-002091363</v>
      </c>
    </row>
    <row r="3723" spans="1:15" ht="32" x14ac:dyDescent="0.2">
      <c r="A3723" s="7" t="str">
        <f>HYPERLINK("https://otsuka-europe-crm.veevavault.com/ui/#object/account__v/V4TZ06G6O71S9CC", "FRANCESCA PODAVINI")</f>
        <v>FRANCESCA PODAVINI</v>
      </c>
      <c r="B3723" s="7" t="str">
        <f t="shared" si="252"/>
        <v>IT</v>
      </c>
      <c r="C3723" s="8" t="s">
        <v>44</v>
      </c>
      <c r="D3723" s="9" t="str">
        <f t="shared" si="253"/>
        <v>AE dialoghi di tempo fiducia e cura episodi 2-3-4</v>
      </c>
      <c r="E3723" s="10" t="str">
        <f>HYPERLINK("https://otsuka-europe-crm.veevavault.com/ui/#object/sent_email__v/VBL00000002P121", "SE-001432791")</f>
        <v>SE-001432791</v>
      </c>
      <c r="F3723" s="11"/>
      <c r="G3723" s="12">
        <v>0</v>
      </c>
      <c r="H3723" s="12">
        <v>0</v>
      </c>
      <c r="I3723" s="12">
        <v>0</v>
      </c>
      <c r="J3723" s="11"/>
      <c r="K3723" s="12">
        <v>0</v>
      </c>
      <c r="L3723" s="10" t="str">
        <f t="shared" si="254"/>
        <v>AE dialoghi di tempo fiducia e cura episodi 2-3-4</v>
      </c>
      <c r="M3723" s="10" t="str">
        <f t="shared" si="255"/>
        <v>nicoletta.vozza@crm.otsuka-europe.com</v>
      </c>
      <c r="N3723" s="13">
        <v>46181.337997685187</v>
      </c>
      <c r="O3723" s="14" t="str">
        <f>HYPERLINK("https://otsuka-europe-crm.veevavault.com/ui/#object/email_activity__v/V8C00000003O506", "EN-002090062")</f>
        <v>EN-002090062</v>
      </c>
    </row>
    <row r="3724" spans="1:15" ht="32" x14ac:dyDescent="0.2">
      <c r="A3724" s="7" t="str">
        <f>HYPERLINK("https://otsuka-europe-crm.veevavault.com/ui/#object/account__v/V4TZ06G6O71SBYQ", "FRANCESCA PORCARI")</f>
        <v>FRANCESCA PORCARI</v>
      </c>
      <c r="B3724" s="7" t="str">
        <f t="shared" si="252"/>
        <v>IT</v>
      </c>
      <c r="C3724" s="8" t="s">
        <v>44</v>
      </c>
      <c r="D3724" s="9" t="str">
        <f t="shared" si="253"/>
        <v>AE dialoghi di tempo fiducia e cura episodi 2-3-4</v>
      </c>
      <c r="E3724" s="10" t="str">
        <f>HYPERLINK("https://otsuka-europe-crm.veevavault.com/ui/#object/sent_email__v/VBL00000002P122", "SE-001432792")</f>
        <v>SE-001432792</v>
      </c>
      <c r="F3724" s="11"/>
      <c r="G3724" s="12">
        <v>0</v>
      </c>
      <c r="H3724" s="12">
        <v>0</v>
      </c>
      <c r="I3724" s="12">
        <v>0</v>
      </c>
      <c r="J3724" s="11"/>
      <c r="K3724" s="12">
        <v>0</v>
      </c>
      <c r="L3724" s="10" t="str">
        <f t="shared" si="254"/>
        <v>AE dialoghi di tempo fiducia e cura episodi 2-3-4</v>
      </c>
      <c r="M3724" s="10" t="str">
        <f t="shared" si="255"/>
        <v>nicoletta.vozza@crm.otsuka-europe.com</v>
      </c>
      <c r="N3724" s="13">
        <v>46181.338009259256</v>
      </c>
      <c r="O3724" s="14" t="str">
        <f>HYPERLINK("https://otsuka-europe-crm.veevavault.com/ui/#object/email_activity__v/V8C00000003O613", "EN-002090169")</f>
        <v>EN-002090169</v>
      </c>
    </row>
    <row r="3725" spans="1:15" ht="16" x14ac:dyDescent="0.2">
      <c r="A3725" s="17" t="str">
        <f>HYPERLINK("https://otsuka-europe-crm.veevavault.com/ui/#object/account__v/V4TZ06G6O71SBYO", "FRANCESCA PORTALEONE")</f>
        <v>FRANCESCA PORTALEONE</v>
      </c>
      <c r="B3725" s="17" t="str">
        <f t="shared" si="252"/>
        <v>IT</v>
      </c>
      <c r="C3725" s="20" t="s">
        <v>44</v>
      </c>
      <c r="D3725" s="21" t="str">
        <f t="shared" si="253"/>
        <v>AE dialoghi di tempo fiducia e cura episodi 2-3-4</v>
      </c>
      <c r="E3725" s="22" t="str">
        <f>HYPERLINK("https://otsuka-europe-crm.veevavault.com/ui/#object/sent_email__v/VBL00000002P123", "SE-001432793")</f>
        <v>SE-001432793</v>
      </c>
      <c r="F3725" s="25"/>
      <c r="G3725" s="24">
        <v>0</v>
      </c>
      <c r="H3725" s="24">
        <v>0</v>
      </c>
      <c r="I3725" s="24">
        <v>0</v>
      </c>
      <c r="J3725" s="25"/>
      <c r="K3725" s="24">
        <v>0</v>
      </c>
      <c r="L3725" s="22" t="str">
        <f t="shared" si="254"/>
        <v>AE dialoghi di tempo fiducia e cura episodi 2-3-4</v>
      </c>
      <c r="M3725" s="22" t="str">
        <f t="shared" si="255"/>
        <v>nicoletta.vozza@crm.otsuka-europe.com</v>
      </c>
      <c r="N3725" s="23">
        <v>46181.337916666664</v>
      </c>
      <c r="O3725" s="14" t="str">
        <f>HYPERLINK("https://otsuka-europe-crm.veevavault.com/ui/#object/email_activity__v/V8C00000003O140", "EN-002089522")</f>
        <v>EN-002089522</v>
      </c>
    </row>
    <row r="3726" spans="1:15" ht="16" x14ac:dyDescent="0.2">
      <c r="A3726" s="19"/>
      <c r="B3726" s="19"/>
      <c r="C3726" s="19"/>
      <c r="D3726" s="19"/>
      <c r="E3726" s="19"/>
      <c r="F3726" s="19"/>
      <c r="G3726" s="19"/>
      <c r="H3726" s="19"/>
      <c r="I3726" s="19"/>
      <c r="J3726" s="19"/>
      <c r="K3726" s="19"/>
      <c r="L3726" s="19"/>
      <c r="M3726" s="19"/>
      <c r="N3726" s="19"/>
      <c r="O3726" s="14" t="str">
        <f>HYPERLINK("https://otsuka-europe-crm.veevavault.com/ui/#object/email_activity__v/V8C00000003Q307", "EN-002091454")</f>
        <v>EN-002091454</v>
      </c>
    </row>
    <row r="3727" spans="1:15" ht="32" x14ac:dyDescent="0.2">
      <c r="A3727" s="7" t="str">
        <f>HYPERLINK("https://otsuka-europe-crm.veevavault.com/ui/#object/account__v/V4TZ06G6O71SC1F", "FRANCESCA REPETTI")</f>
        <v>FRANCESCA REPETTI</v>
      </c>
      <c r="B3727" s="7" t="str">
        <f>HYPERLINK("https://otsuka-europe-crm.veevavault.com/ui/#object/vcountry__v/VENZ000004SONFQ", "IT")</f>
        <v>IT</v>
      </c>
      <c r="C3727" s="8" t="s">
        <v>44</v>
      </c>
      <c r="D3727" s="9" t="str">
        <f>HYPERLINK("https://otsuka-europe-crm.veevavault.com/ui/#object/approved_document__v/V5O000000018003", "AE dialoghi di tempo fiducia e cura episodi 2-3-4")</f>
        <v>AE dialoghi di tempo fiducia e cura episodi 2-3-4</v>
      </c>
      <c r="E3727" s="10" t="str">
        <f>HYPERLINK("https://otsuka-europe-crm.veevavault.com/ui/#object/sent_email__v/VBL00000002P124", "SE-001432794")</f>
        <v>SE-001432794</v>
      </c>
      <c r="F3727" s="11"/>
      <c r="G3727" s="12">
        <v>0</v>
      </c>
      <c r="H3727" s="12">
        <v>0</v>
      </c>
      <c r="I3727" s="12">
        <v>0</v>
      </c>
      <c r="J3727" s="11"/>
      <c r="K3727" s="12">
        <v>0</v>
      </c>
      <c r="L3727" s="10" t="str">
        <f>HYPERLINK("https://otsuka-europe-crm.veevavault.com/ui/#object/approved_document__v/V5O000000018003", "AE dialoghi di tempo fiducia e cura episodi 2-3-4")</f>
        <v>AE dialoghi di tempo fiducia e cura episodi 2-3-4</v>
      </c>
      <c r="M3727" s="10" t="str">
        <f>HYPERLINK("mailto:nicoletta.vozza@crm.otsuka-europe.com", "nicoletta.vozza@crm.otsuka-europe.com")</f>
        <v>nicoletta.vozza@crm.otsuka-europe.com</v>
      </c>
      <c r="N3727" s="13">
        <v>46181.33797453704</v>
      </c>
      <c r="O3727" s="14" t="str">
        <f>HYPERLINK("https://otsuka-europe-crm.veevavault.com/ui/#object/email_activity__v/V8C00000003O666", "EN-002090222")</f>
        <v>EN-002090222</v>
      </c>
    </row>
    <row r="3728" spans="1:15" ht="16" x14ac:dyDescent="0.2">
      <c r="A3728" s="17" t="str">
        <f>HYPERLINK("https://otsuka-europe-crm.veevavault.com/ui/#object/account__v/V4TZ025E82UNSQB", "FRANCESCA ROMAGNOLO")</f>
        <v>FRANCESCA ROMAGNOLO</v>
      </c>
      <c r="B3728" s="17" t="str">
        <f>HYPERLINK("https://otsuka-europe-crm.veevavault.com/ui/#object/vcountry__v/VENZ000004SONFQ", "IT")</f>
        <v>IT</v>
      </c>
      <c r="C3728" s="20" t="s">
        <v>44</v>
      </c>
      <c r="D3728" s="21" t="str">
        <f>HYPERLINK("https://otsuka-europe-crm.veevavault.com/ui/#object/approved_document__v/V5O000000018003", "AE dialoghi di tempo fiducia e cura episodi 2-3-4")</f>
        <v>AE dialoghi di tempo fiducia e cura episodi 2-3-4</v>
      </c>
      <c r="E3728" s="22" t="str">
        <f>HYPERLINK("https://otsuka-europe-crm.veevavault.com/ui/#object/sent_email__v/VBL00000002P125", "SE-001432795")</f>
        <v>SE-001432795</v>
      </c>
      <c r="F3728" s="23">
        <v>46183.884606481479</v>
      </c>
      <c r="G3728" s="24">
        <v>1</v>
      </c>
      <c r="H3728" s="24">
        <v>2</v>
      </c>
      <c r="I3728" s="24">
        <v>0</v>
      </c>
      <c r="J3728" s="25"/>
      <c r="K3728" s="24">
        <v>0</v>
      </c>
      <c r="L3728" s="22" t="str">
        <f>HYPERLINK("https://otsuka-europe-crm.veevavault.com/ui/#object/approved_document__v/V5O000000018003", "AE dialoghi di tempo fiducia e cura episodi 2-3-4")</f>
        <v>AE dialoghi di tempo fiducia e cura episodi 2-3-4</v>
      </c>
      <c r="M3728" s="22" t="str">
        <f>HYPERLINK("mailto:nicoletta.vozza@crm.otsuka-europe.com", "nicoletta.vozza@crm.otsuka-europe.com")</f>
        <v>nicoletta.vozza@crm.otsuka-europe.com</v>
      </c>
      <c r="N3728" s="23">
        <v>46181.337962962964</v>
      </c>
      <c r="O3728" s="14" t="str">
        <f>HYPERLINK("https://otsuka-europe-crm.veevavault.com/ui/#object/email_activity__v/V8C00000003O864", "EN-002090468")</f>
        <v>EN-002090468</v>
      </c>
    </row>
    <row r="3729" spans="1:15" ht="16" x14ac:dyDescent="0.2">
      <c r="A3729" s="18"/>
      <c r="B3729" s="18"/>
      <c r="C3729" s="18"/>
      <c r="D3729" s="18"/>
      <c r="E3729" s="18"/>
      <c r="F3729" s="18"/>
      <c r="G3729" s="18"/>
      <c r="H3729" s="18"/>
      <c r="I3729" s="18"/>
      <c r="J3729" s="18"/>
      <c r="K3729" s="18"/>
      <c r="L3729" s="18"/>
      <c r="M3729" s="18"/>
      <c r="N3729" s="18"/>
      <c r="O3729" s="14" t="str">
        <f>HYPERLINK("https://otsuka-europe-crm.veevavault.com/ui/#object/email_activity__v/V8C00000003P936", "EN-002091512")</f>
        <v>EN-002091512</v>
      </c>
    </row>
    <row r="3730" spans="1:15" ht="16" x14ac:dyDescent="0.2">
      <c r="A3730" s="19"/>
      <c r="B3730" s="19"/>
      <c r="C3730" s="19"/>
      <c r="D3730" s="19"/>
      <c r="E3730" s="19"/>
      <c r="F3730" s="19"/>
      <c r="G3730" s="19"/>
      <c r="H3730" s="19"/>
      <c r="I3730" s="19"/>
      <c r="J3730" s="19"/>
      <c r="K3730" s="19"/>
      <c r="L3730" s="19"/>
      <c r="M3730" s="19"/>
      <c r="N3730" s="19"/>
      <c r="O3730" s="14" t="str">
        <f>HYPERLINK("https://otsuka-europe-crm.veevavault.com/ui/#object/email_activity__v/V8C00000003S789", "EN-002094430")</f>
        <v>EN-002094430</v>
      </c>
    </row>
    <row r="3731" spans="1:15" ht="32" x14ac:dyDescent="0.2">
      <c r="A3731" s="7" t="str">
        <f>HYPERLINK("https://otsuka-europe-crm.veevavault.com/ui/#object/account__v/V4TZ06G6O71TLK1", "FRANCESCA ROMANA CIPRIANI")</f>
        <v>FRANCESCA ROMANA CIPRIANI</v>
      </c>
      <c r="B3731" s="7" t="str">
        <f t="shared" ref="B3731:B3744" si="256">HYPERLINK("https://otsuka-europe-crm.veevavault.com/ui/#object/vcountry__v/VENZ000004SONFQ", "IT")</f>
        <v>IT</v>
      </c>
      <c r="C3731" s="8" t="s">
        <v>44</v>
      </c>
      <c r="D3731" s="9" t="str">
        <f t="shared" ref="D3731:D3744" si="257">HYPERLINK("https://otsuka-europe-crm.veevavault.com/ui/#object/approved_document__v/V5O000000018003", "AE dialoghi di tempo fiducia e cura episodi 2-3-4")</f>
        <v>AE dialoghi di tempo fiducia e cura episodi 2-3-4</v>
      </c>
      <c r="E3731" s="10" t="str">
        <f>HYPERLINK("https://otsuka-europe-crm.veevavault.com/ui/#object/sent_email__v/VBL00000002P126", "SE-001432796")</f>
        <v>SE-001432796</v>
      </c>
      <c r="F3731" s="11"/>
      <c r="G3731" s="12">
        <v>0</v>
      </c>
      <c r="H3731" s="12">
        <v>0</v>
      </c>
      <c r="I3731" s="12">
        <v>0</v>
      </c>
      <c r="J3731" s="11"/>
      <c r="K3731" s="12">
        <v>0</v>
      </c>
      <c r="L3731" s="10" t="str">
        <f t="shared" ref="L3731:L3744" si="258">HYPERLINK("https://otsuka-europe-crm.veevavault.com/ui/#object/approved_document__v/V5O000000018003", "AE dialoghi di tempo fiducia e cura episodi 2-3-4")</f>
        <v>AE dialoghi di tempo fiducia e cura episodi 2-3-4</v>
      </c>
      <c r="M3731" s="10" t="str">
        <f t="shared" ref="M3731:M3744" si="259">HYPERLINK("mailto:nicoletta.vozza@crm.otsuka-europe.com", "nicoletta.vozza@crm.otsuka-europe.com")</f>
        <v>nicoletta.vozza@crm.otsuka-europe.com</v>
      </c>
      <c r="N3731" s="13">
        <v>46181.338009259256</v>
      </c>
      <c r="O3731" s="14" t="str">
        <f>HYPERLINK("https://otsuka-europe-crm.veevavault.com/ui/#object/email_activity__v/V8C00000003O679", "EN-002090235")</f>
        <v>EN-002090235</v>
      </c>
    </row>
    <row r="3732" spans="1:15" ht="32" x14ac:dyDescent="0.2">
      <c r="A3732" s="7" t="str">
        <f>HYPERLINK("https://otsuka-europe-crm.veevavault.com/ui/#object/account__v/V4TZ04ASGEOMOES", "FRANCESCA RUZZI")</f>
        <v>FRANCESCA RUZZI</v>
      </c>
      <c r="B3732" s="7" t="str">
        <f t="shared" si="256"/>
        <v>IT</v>
      </c>
      <c r="C3732" s="8" t="s">
        <v>44</v>
      </c>
      <c r="D3732" s="9" t="str">
        <f t="shared" si="257"/>
        <v>AE dialoghi di tempo fiducia e cura episodi 2-3-4</v>
      </c>
      <c r="E3732" s="10" t="str">
        <f>HYPERLINK("https://otsuka-europe-crm.veevavault.com/ui/#object/sent_email__v/VBL00000002P127", "SE-001432797")</f>
        <v>SE-001432797</v>
      </c>
      <c r="F3732" s="11"/>
      <c r="G3732" s="12">
        <v>0</v>
      </c>
      <c r="H3732" s="12">
        <v>0</v>
      </c>
      <c r="I3732" s="12">
        <v>0</v>
      </c>
      <c r="J3732" s="11"/>
      <c r="K3732" s="12">
        <v>0</v>
      </c>
      <c r="L3732" s="10" t="str">
        <f t="shared" si="258"/>
        <v>AE dialoghi di tempo fiducia e cura episodi 2-3-4</v>
      </c>
      <c r="M3732" s="10" t="str">
        <f t="shared" si="259"/>
        <v>nicoletta.vozza@crm.otsuka-europe.com</v>
      </c>
      <c r="N3732" s="13">
        <v>46181.33798611111</v>
      </c>
      <c r="O3732" s="14" t="str">
        <f>HYPERLINK("https://otsuka-europe-crm.veevavault.com/ui/#object/email_activity__v/V8C00000003P216", "EN-002089662")</f>
        <v>EN-002089662</v>
      </c>
    </row>
    <row r="3733" spans="1:15" ht="32" x14ac:dyDescent="0.2">
      <c r="A3733" s="7" t="str">
        <f>HYPERLINK("https://otsuka-europe-crm.veevavault.com/ui/#object/account__v/V4TZ025E82ZY06L", "FRANCESCA SANTI")</f>
        <v>FRANCESCA SANTI</v>
      </c>
      <c r="B3733" s="7" t="str">
        <f t="shared" si="256"/>
        <v>IT</v>
      </c>
      <c r="C3733" s="8" t="s">
        <v>44</v>
      </c>
      <c r="D3733" s="9" t="str">
        <f t="shared" si="257"/>
        <v>AE dialoghi di tempo fiducia e cura episodi 2-3-4</v>
      </c>
      <c r="E3733" s="10" t="str">
        <f>HYPERLINK("https://otsuka-europe-crm.veevavault.com/ui/#object/sent_email__v/VBL00000002P128", "SE-001432798")</f>
        <v>SE-001432798</v>
      </c>
      <c r="F3733" s="11"/>
      <c r="G3733" s="12">
        <v>0</v>
      </c>
      <c r="H3733" s="12">
        <v>0</v>
      </c>
      <c r="I3733" s="12">
        <v>0</v>
      </c>
      <c r="J3733" s="11"/>
      <c r="K3733" s="12">
        <v>0</v>
      </c>
      <c r="L3733" s="10" t="str">
        <f t="shared" si="258"/>
        <v>AE dialoghi di tempo fiducia e cura episodi 2-3-4</v>
      </c>
      <c r="M3733" s="10" t="str">
        <f t="shared" si="259"/>
        <v>nicoletta.vozza@crm.otsuka-europe.com</v>
      </c>
      <c r="N3733" s="13">
        <v>46181.33797453704</v>
      </c>
      <c r="O3733" s="14" t="str">
        <f>HYPERLINK("https://otsuka-europe-crm.veevavault.com/ui/#object/email_activity__v/V8C00000003P398", "EN-002090404")</f>
        <v>EN-002090404</v>
      </c>
    </row>
    <row r="3734" spans="1:15" ht="32" x14ac:dyDescent="0.2">
      <c r="A3734" s="7" t="str">
        <f>HYPERLINK("https://otsuka-europe-crm.veevavault.com/ui/#object/account__v/V4TZ06G6O71S9HM", "FRANCESCA SCAGNELLI")</f>
        <v>FRANCESCA SCAGNELLI</v>
      </c>
      <c r="B3734" s="7" t="str">
        <f t="shared" si="256"/>
        <v>IT</v>
      </c>
      <c r="C3734" s="8" t="s">
        <v>44</v>
      </c>
      <c r="D3734" s="9" t="str">
        <f t="shared" si="257"/>
        <v>AE dialoghi di tempo fiducia e cura episodi 2-3-4</v>
      </c>
      <c r="E3734" s="10" t="str">
        <f>HYPERLINK("https://otsuka-europe-crm.veevavault.com/ui/#object/sent_email__v/VBL00000002P129", "SE-001432799")</f>
        <v>SE-001432799</v>
      </c>
      <c r="F3734" s="11"/>
      <c r="G3734" s="12">
        <v>0</v>
      </c>
      <c r="H3734" s="12">
        <v>0</v>
      </c>
      <c r="I3734" s="12">
        <v>0</v>
      </c>
      <c r="J3734" s="11"/>
      <c r="K3734" s="12">
        <v>0</v>
      </c>
      <c r="L3734" s="10" t="str">
        <f t="shared" si="258"/>
        <v>AE dialoghi di tempo fiducia e cura episodi 2-3-4</v>
      </c>
      <c r="M3734" s="10" t="str">
        <f t="shared" si="259"/>
        <v>nicoletta.vozza@crm.otsuka-europe.com</v>
      </c>
      <c r="N3734" s="13">
        <v>46181.338067129633</v>
      </c>
      <c r="O3734" s="14" t="str">
        <f>HYPERLINK("https://otsuka-europe-crm.veevavault.com/ui/#object/email_activity__v/V8C00000003O597", "EN-002090153")</f>
        <v>EN-002090153</v>
      </c>
    </row>
    <row r="3735" spans="1:15" ht="32" x14ac:dyDescent="0.2">
      <c r="A3735" s="7" t="str">
        <f>HYPERLINK("https://otsuka-europe-crm.veevavault.com/ui/#object/account__v/V4TZ025E85503JL", "FRANCESCA SEMERARO")</f>
        <v>FRANCESCA SEMERARO</v>
      </c>
      <c r="B3735" s="7" t="str">
        <f t="shared" si="256"/>
        <v>IT</v>
      </c>
      <c r="C3735" s="8" t="s">
        <v>44</v>
      </c>
      <c r="D3735" s="9" t="str">
        <f t="shared" si="257"/>
        <v>AE dialoghi di tempo fiducia e cura episodi 2-3-4</v>
      </c>
      <c r="E3735" s="10" t="str">
        <f>HYPERLINK("https://otsuka-europe-crm.veevavault.com/ui/#object/sent_email__v/VBL00000002P130", "SE-001432800")</f>
        <v>SE-001432800</v>
      </c>
      <c r="F3735" s="11"/>
      <c r="G3735" s="12">
        <v>0</v>
      </c>
      <c r="H3735" s="12">
        <v>0</v>
      </c>
      <c r="I3735" s="12">
        <v>0</v>
      </c>
      <c r="J3735" s="11"/>
      <c r="K3735" s="12">
        <v>0</v>
      </c>
      <c r="L3735" s="10" t="str">
        <f t="shared" si="258"/>
        <v>AE dialoghi di tempo fiducia e cura episodi 2-3-4</v>
      </c>
      <c r="M3735" s="10" t="str">
        <f t="shared" si="259"/>
        <v>nicoletta.vozza@crm.otsuka-europe.com</v>
      </c>
      <c r="N3735" s="13">
        <v>46181.33798611111</v>
      </c>
      <c r="O3735" s="14" t="str">
        <f>HYPERLINK("https://otsuka-europe-crm.veevavault.com/ui/#object/email_activity__v/V8C00000003O417", "EN-002089973")</f>
        <v>EN-002089973</v>
      </c>
    </row>
    <row r="3736" spans="1:15" ht="32" x14ac:dyDescent="0.2">
      <c r="A3736" s="7" t="str">
        <f>HYPERLINK("https://otsuka-europe-crm.veevavault.com/ui/#object/account__v/V4TZ06G6O71SBLX", "FRANCESCA SERENA MULE'")</f>
        <v>FRANCESCA SERENA MULE'</v>
      </c>
      <c r="B3736" s="7" t="str">
        <f t="shared" si="256"/>
        <v>IT</v>
      </c>
      <c r="C3736" s="8" t="s">
        <v>44</v>
      </c>
      <c r="D3736" s="9" t="str">
        <f t="shared" si="257"/>
        <v>AE dialoghi di tempo fiducia e cura episodi 2-3-4</v>
      </c>
      <c r="E3736" s="10" t="str">
        <f>HYPERLINK("https://otsuka-europe-crm.veevavault.com/ui/#object/sent_email__v/VBL00000002P131", "SE-001432801")</f>
        <v>SE-001432801</v>
      </c>
      <c r="F3736" s="11"/>
      <c r="G3736" s="12">
        <v>0</v>
      </c>
      <c r="H3736" s="12">
        <v>0</v>
      </c>
      <c r="I3736" s="12">
        <v>0</v>
      </c>
      <c r="J3736" s="11"/>
      <c r="K3736" s="12">
        <v>0</v>
      </c>
      <c r="L3736" s="10" t="str">
        <f t="shared" si="258"/>
        <v>AE dialoghi di tempo fiducia e cura episodi 2-3-4</v>
      </c>
      <c r="M3736" s="10" t="str">
        <f t="shared" si="259"/>
        <v>nicoletta.vozza@crm.otsuka-europe.com</v>
      </c>
      <c r="N3736" s="13">
        <v>46181.33797453704</v>
      </c>
      <c r="O3736" s="14" t="str">
        <f>HYPERLINK("https://otsuka-europe-crm.veevavault.com/ui/#object/email_activity__v/V8C00000003P155", "EN-002089555")</f>
        <v>EN-002089555</v>
      </c>
    </row>
    <row r="3737" spans="1:15" ht="32" x14ac:dyDescent="0.2">
      <c r="A3737" s="7" t="str">
        <f>HYPERLINK("https://otsuka-europe-crm.veevavault.com/ui/#object/account__v/V4TZ06G6O71SCCE", "FRANCESCA SIBILLA")</f>
        <v>FRANCESCA SIBILLA</v>
      </c>
      <c r="B3737" s="7" t="str">
        <f t="shared" si="256"/>
        <v>IT</v>
      </c>
      <c r="C3737" s="8" t="s">
        <v>44</v>
      </c>
      <c r="D3737" s="9" t="str">
        <f t="shared" si="257"/>
        <v>AE dialoghi di tempo fiducia e cura episodi 2-3-4</v>
      </c>
      <c r="E3737" s="10" t="str">
        <f>HYPERLINK("https://otsuka-europe-crm.veevavault.com/ui/#object/sent_email__v/VBL00000002P132", "SE-001432802")</f>
        <v>SE-001432802</v>
      </c>
      <c r="F3737" s="11"/>
      <c r="G3737" s="12">
        <v>0</v>
      </c>
      <c r="H3737" s="12">
        <v>0</v>
      </c>
      <c r="I3737" s="12">
        <v>0</v>
      </c>
      <c r="J3737" s="11"/>
      <c r="K3737" s="12">
        <v>0</v>
      </c>
      <c r="L3737" s="10" t="str">
        <f t="shared" si="258"/>
        <v>AE dialoghi di tempo fiducia e cura episodi 2-3-4</v>
      </c>
      <c r="M3737" s="10" t="str">
        <f t="shared" si="259"/>
        <v>nicoletta.vozza@crm.otsuka-europe.com</v>
      </c>
      <c r="N3737" s="13">
        <v>46181.33803240741</v>
      </c>
      <c r="O3737" s="14" t="str">
        <f>HYPERLINK("https://otsuka-europe-crm.veevavault.com/ui/#object/email_activity__v/V8C00000003O838", "EN-002090540")</f>
        <v>EN-002090540</v>
      </c>
    </row>
    <row r="3738" spans="1:15" ht="32" x14ac:dyDescent="0.2">
      <c r="A3738" s="7" t="str">
        <f>HYPERLINK("https://otsuka-europe-crm.veevavault.com/ui/#object/account__v/V4TZ06G6O71S9H6", "FRANCESCA SOLIA")</f>
        <v>FRANCESCA SOLIA</v>
      </c>
      <c r="B3738" s="7" t="str">
        <f t="shared" si="256"/>
        <v>IT</v>
      </c>
      <c r="C3738" s="8" t="s">
        <v>44</v>
      </c>
      <c r="D3738" s="9" t="str">
        <f t="shared" si="257"/>
        <v>AE dialoghi di tempo fiducia e cura episodi 2-3-4</v>
      </c>
      <c r="E3738" s="10" t="str">
        <f>HYPERLINK("https://otsuka-europe-crm.veevavault.com/ui/#object/sent_email__v/VBL00000002P133", "SE-001432803")</f>
        <v>SE-001432803</v>
      </c>
      <c r="F3738" s="11"/>
      <c r="G3738" s="12">
        <v>0</v>
      </c>
      <c r="H3738" s="12">
        <v>0</v>
      </c>
      <c r="I3738" s="12">
        <v>0</v>
      </c>
      <c r="J3738" s="11"/>
      <c r="K3738" s="12">
        <v>0</v>
      </c>
      <c r="L3738" s="10" t="str">
        <f t="shared" si="258"/>
        <v>AE dialoghi di tempo fiducia e cura episodi 2-3-4</v>
      </c>
      <c r="M3738" s="10" t="str">
        <f t="shared" si="259"/>
        <v>nicoletta.vozza@crm.otsuka-europe.com</v>
      </c>
      <c r="N3738" s="13">
        <v>46181.338055555556</v>
      </c>
      <c r="O3738" s="14" t="str">
        <f>HYPERLINK("https://otsuka-europe-crm.veevavault.com/ui/#object/email_activity__v/V8C00000003P757", "EN-002091055")</f>
        <v>EN-002091055</v>
      </c>
    </row>
    <row r="3739" spans="1:15" ht="32" x14ac:dyDescent="0.2">
      <c r="A3739" s="7" t="str">
        <f>HYPERLINK("https://otsuka-europe-crm.veevavault.com/ui/#object/account__v/V4TZ06G6O71SCFG", "FRANCESCA SONNANTE")</f>
        <v>FRANCESCA SONNANTE</v>
      </c>
      <c r="B3739" s="7" t="str">
        <f t="shared" si="256"/>
        <v>IT</v>
      </c>
      <c r="C3739" s="8" t="s">
        <v>44</v>
      </c>
      <c r="D3739" s="9" t="str">
        <f t="shared" si="257"/>
        <v>AE dialoghi di tempo fiducia e cura episodi 2-3-4</v>
      </c>
      <c r="E3739" s="10" t="str">
        <f>HYPERLINK("https://otsuka-europe-crm.veevavault.com/ui/#object/sent_email__v/VBL00000002P134", "SE-001432804")</f>
        <v>SE-001432804</v>
      </c>
      <c r="F3739" s="11"/>
      <c r="G3739" s="12">
        <v>0</v>
      </c>
      <c r="H3739" s="12">
        <v>0</v>
      </c>
      <c r="I3739" s="12">
        <v>0</v>
      </c>
      <c r="J3739" s="11"/>
      <c r="K3739" s="12">
        <v>0</v>
      </c>
      <c r="L3739" s="10" t="str">
        <f t="shared" si="258"/>
        <v>AE dialoghi di tempo fiducia e cura episodi 2-3-4</v>
      </c>
      <c r="M3739" s="10" t="str">
        <f t="shared" si="259"/>
        <v>nicoletta.vozza@crm.otsuka-europe.com</v>
      </c>
      <c r="N3739" s="13">
        <v>46181.338055555556</v>
      </c>
      <c r="O3739" s="14" t="str">
        <f>HYPERLINK("https://otsuka-europe-crm.veevavault.com/ui/#object/email_activity__v/V8C00000003O647", "EN-002090203")</f>
        <v>EN-002090203</v>
      </c>
    </row>
    <row r="3740" spans="1:15" ht="32" x14ac:dyDescent="0.2">
      <c r="A3740" s="7" t="str">
        <f>HYPERLINK("https://otsuka-europe-crm.veevavault.com/ui/#object/account__v/V4TZ04ASG9H8FRO", "FRANCESCA STEFANI")</f>
        <v>FRANCESCA STEFANI</v>
      </c>
      <c r="B3740" s="7" t="str">
        <f t="shared" si="256"/>
        <v>IT</v>
      </c>
      <c r="C3740" s="8" t="s">
        <v>44</v>
      </c>
      <c r="D3740" s="9" t="str">
        <f t="shared" si="257"/>
        <v>AE dialoghi di tempo fiducia e cura episodi 2-3-4</v>
      </c>
      <c r="E3740" s="10" t="str">
        <f>HYPERLINK("https://otsuka-europe-crm.veevavault.com/ui/#object/sent_email__v/VBL00000002P135", "SE-001432805")</f>
        <v>SE-001432805</v>
      </c>
      <c r="F3740" s="11"/>
      <c r="G3740" s="12">
        <v>0</v>
      </c>
      <c r="H3740" s="12">
        <v>0</v>
      </c>
      <c r="I3740" s="12">
        <v>0</v>
      </c>
      <c r="J3740" s="11"/>
      <c r="K3740" s="12">
        <v>0</v>
      </c>
      <c r="L3740" s="10" t="str">
        <f t="shared" si="258"/>
        <v>AE dialoghi di tempo fiducia e cura episodi 2-3-4</v>
      </c>
      <c r="M3740" s="10" t="str">
        <f t="shared" si="259"/>
        <v>nicoletta.vozza@crm.otsuka-europe.com</v>
      </c>
      <c r="N3740" s="13">
        <v>46181.337916666664</v>
      </c>
      <c r="O3740" s="15"/>
    </row>
    <row r="3741" spans="1:15" ht="32" x14ac:dyDescent="0.2">
      <c r="A3741" s="7" t="str">
        <f>HYPERLINK("https://otsuka-europe-crm.veevavault.com/ui/#object/account__v/V4TZ025E88SGXKD", "FRANCESCA VENTI")</f>
        <v>FRANCESCA VENTI</v>
      </c>
      <c r="B3741" s="7" t="str">
        <f t="shared" si="256"/>
        <v>IT</v>
      </c>
      <c r="C3741" s="8" t="s">
        <v>44</v>
      </c>
      <c r="D3741" s="9" t="str">
        <f t="shared" si="257"/>
        <v>AE dialoghi di tempo fiducia e cura episodi 2-3-4</v>
      </c>
      <c r="E3741" s="10" t="str">
        <f>HYPERLINK("https://otsuka-europe-crm.veevavault.com/ui/#object/sent_email__v/VBL00000002P136", "SE-001432806")</f>
        <v>SE-001432806</v>
      </c>
      <c r="F3741" s="11"/>
      <c r="G3741" s="12">
        <v>0</v>
      </c>
      <c r="H3741" s="12">
        <v>0</v>
      </c>
      <c r="I3741" s="12">
        <v>0</v>
      </c>
      <c r="J3741" s="11"/>
      <c r="K3741" s="12">
        <v>0</v>
      </c>
      <c r="L3741" s="10" t="str">
        <f t="shared" si="258"/>
        <v>AE dialoghi di tempo fiducia e cura episodi 2-3-4</v>
      </c>
      <c r="M3741" s="10" t="str">
        <f t="shared" si="259"/>
        <v>nicoletta.vozza@crm.otsuka-europe.com</v>
      </c>
      <c r="N3741" s="13">
        <v>46181.338020833333</v>
      </c>
      <c r="O3741" s="14" t="str">
        <f>HYPERLINK("https://otsuka-europe-crm.veevavault.com/ui/#object/email_activity__v/V8C00000003Q090", "EN-002091155")</f>
        <v>EN-002091155</v>
      </c>
    </row>
    <row r="3742" spans="1:15" ht="32" x14ac:dyDescent="0.2">
      <c r="A3742" s="7" t="str">
        <f>HYPERLINK("https://otsuka-europe-crm.veevavault.com/ui/#object/account__v/V4TZ06G6O71SCP5", "FRANCESCA VILLANTI")</f>
        <v>FRANCESCA VILLANTI</v>
      </c>
      <c r="B3742" s="7" t="str">
        <f t="shared" si="256"/>
        <v>IT</v>
      </c>
      <c r="C3742" s="8" t="s">
        <v>44</v>
      </c>
      <c r="D3742" s="9" t="str">
        <f t="shared" si="257"/>
        <v>AE dialoghi di tempo fiducia e cura episodi 2-3-4</v>
      </c>
      <c r="E3742" s="10" t="str">
        <f>HYPERLINK("https://otsuka-europe-crm.veevavault.com/ui/#object/sent_email__v/VBL00000002P137", "SE-001432807")</f>
        <v>SE-001432807</v>
      </c>
      <c r="F3742" s="11"/>
      <c r="G3742" s="12">
        <v>0</v>
      </c>
      <c r="H3742" s="12">
        <v>0</v>
      </c>
      <c r="I3742" s="12">
        <v>0</v>
      </c>
      <c r="J3742" s="11"/>
      <c r="K3742" s="12">
        <v>0</v>
      </c>
      <c r="L3742" s="10" t="str">
        <f t="shared" si="258"/>
        <v>AE dialoghi di tempo fiducia e cura episodi 2-3-4</v>
      </c>
      <c r="M3742" s="10" t="str">
        <f t="shared" si="259"/>
        <v>nicoletta.vozza@crm.otsuka-europe.com</v>
      </c>
      <c r="N3742" s="13">
        <v>46181.338020833333</v>
      </c>
      <c r="O3742" s="14" t="str">
        <f>HYPERLINK("https://otsuka-europe-crm.veevavault.com/ui/#object/email_activity__v/V8C00000003Q080", "EN-002091145")</f>
        <v>EN-002091145</v>
      </c>
    </row>
    <row r="3743" spans="1:15" ht="32" x14ac:dyDescent="0.2">
      <c r="A3743" s="7" t="str">
        <f>HYPERLINK("https://otsuka-europe-crm.veevavault.com/ui/#object/account__v/V4TZ04ASG703X17", "FRANCESCA ZERBIN")</f>
        <v>FRANCESCA ZERBIN</v>
      </c>
      <c r="B3743" s="7" t="str">
        <f t="shared" si="256"/>
        <v>IT</v>
      </c>
      <c r="C3743" s="8" t="s">
        <v>44</v>
      </c>
      <c r="D3743" s="9" t="str">
        <f t="shared" si="257"/>
        <v>AE dialoghi di tempo fiducia e cura episodi 2-3-4</v>
      </c>
      <c r="E3743" s="10" t="str">
        <f>HYPERLINK("https://otsuka-europe-crm.veevavault.com/ui/#object/sent_email__v/VBL00000002P138", "SE-001432808")</f>
        <v>SE-001432808</v>
      </c>
      <c r="F3743" s="11"/>
      <c r="G3743" s="12">
        <v>0</v>
      </c>
      <c r="H3743" s="12">
        <v>0</v>
      </c>
      <c r="I3743" s="12">
        <v>0</v>
      </c>
      <c r="J3743" s="11"/>
      <c r="K3743" s="12">
        <v>0</v>
      </c>
      <c r="L3743" s="10" t="str">
        <f t="shared" si="258"/>
        <v>AE dialoghi di tempo fiducia e cura episodi 2-3-4</v>
      </c>
      <c r="M3743" s="10" t="str">
        <f t="shared" si="259"/>
        <v>nicoletta.vozza@crm.otsuka-europe.com</v>
      </c>
      <c r="N3743" s="13">
        <v>46181.33798611111</v>
      </c>
      <c r="O3743" s="14" t="str">
        <f>HYPERLINK("https://otsuka-europe-crm.veevavault.com/ui/#object/email_activity__v/V8C00000003O176", "EN-002089613")</f>
        <v>EN-002089613</v>
      </c>
    </row>
    <row r="3744" spans="1:15" ht="16" x14ac:dyDescent="0.2">
      <c r="A3744" s="17" t="str">
        <f>HYPERLINK("https://otsuka-europe-crm.veevavault.com/ui/#object/account__v/V4TZ025E82VGDFM", "FRANCESCA ZINNO")</f>
        <v>FRANCESCA ZINNO</v>
      </c>
      <c r="B3744" s="17" t="str">
        <f t="shared" si="256"/>
        <v>IT</v>
      </c>
      <c r="C3744" s="20" t="s">
        <v>44</v>
      </c>
      <c r="D3744" s="21" t="str">
        <f t="shared" si="257"/>
        <v>AE dialoghi di tempo fiducia e cura episodi 2-3-4</v>
      </c>
      <c r="E3744" s="22" t="str">
        <f>HYPERLINK("https://otsuka-europe-crm.veevavault.com/ui/#object/sent_email__v/VBL00000002P139", "SE-001432809")</f>
        <v>SE-001432809</v>
      </c>
      <c r="F3744" s="25"/>
      <c r="G3744" s="24">
        <v>0</v>
      </c>
      <c r="H3744" s="24">
        <v>0</v>
      </c>
      <c r="I3744" s="24">
        <v>0</v>
      </c>
      <c r="J3744" s="25"/>
      <c r="K3744" s="24">
        <v>0</v>
      </c>
      <c r="L3744" s="22" t="str">
        <f t="shared" si="258"/>
        <v>AE dialoghi di tempo fiducia e cura episodi 2-3-4</v>
      </c>
      <c r="M3744" s="22" t="str">
        <f t="shared" si="259"/>
        <v>nicoletta.vozza@crm.otsuka-europe.com</v>
      </c>
      <c r="N3744" s="23">
        <v>46181.337962962964</v>
      </c>
      <c r="O3744" s="14" t="str">
        <f>HYPERLINK("https://otsuka-europe-crm.veevavault.com/ui/#object/email_activity__v/V8C00000003O195", "EN-002089632")</f>
        <v>EN-002089632</v>
      </c>
    </row>
    <row r="3745" spans="1:15" ht="16" x14ac:dyDescent="0.2">
      <c r="A3745" s="18"/>
      <c r="B3745" s="18"/>
      <c r="C3745" s="18"/>
      <c r="D3745" s="18"/>
      <c r="E3745" s="18"/>
      <c r="F3745" s="18"/>
      <c r="G3745" s="18"/>
      <c r="H3745" s="18"/>
      <c r="I3745" s="18"/>
      <c r="J3745" s="18"/>
      <c r="K3745" s="18"/>
      <c r="L3745" s="18"/>
      <c r="M3745" s="18"/>
      <c r="N3745" s="18"/>
      <c r="O3745" s="14" t="str">
        <f>HYPERLINK("https://otsuka-europe-crm.veevavault.com/ui/#object/email_activity__v/V8C00000003Q509", "EN-002091829")</f>
        <v>EN-002091829</v>
      </c>
    </row>
    <row r="3746" spans="1:15" ht="16" x14ac:dyDescent="0.2">
      <c r="A3746" s="18"/>
      <c r="B3746" s="18"/>
      <c r="C3746" s="18"/>
      <c r="D3746" s="18"/>
      <c r="E3746" s="18"/>
      <c r="F3746" s="18"/>
      <c r="G3746" s="18"/>
      <c r="H3746" s="18"/>
      <c r="I3746" s="18"/>
      <c r="J3746" s="18"/>
      <c r="K3746" s="18"/>
      <c r="L3746" s="18"/>
      <c r="M3746" s="18"/>
      <c r="N3746" s="18"/>
      <c r="O3746" s="14" t="str">
        <f>HYPERLINK("https://otsuka-europe-crm.veevavault.com/ui/#object/email_activity__v/V8C00000003W659", "EN-002098302")</f>
        <v>EN-002098302</v>
      </c>
    </row>
    <row r="3747" spans="1:15" ht="16" x14ac:dyDescent="0.2">
      <c r="A3747" s="19"/>
      <c r="B3747" s="19"/>
      <c r="C3747" s="19"/>
      <c r="D3747" s="19"/>
      <c r="E3747" s="19"/>
      <c r="F3747" s="19"/>
      <c r="G3747" s="19"/>
      <c r="H3747" s="19"/>
      <c r="I3747" s="19"/>
      <c r="J3747" s="19"/>
      <c r="K3747" s="19"/>
      <c r="L3747" s="19"/>
      <c r="M3747" s="19"/>
      <c r="N3747" s="19"/>
      <c r="O3747" s="14" t="str">
        <f>HYPERLINK("https://otsuka-europe-crm.veevavault.com/ui/#object/email_activity__v/V8C000000040447", "EN-002099474")</f>
        <v>EN-002099474</v>
      </c>
    </row>
    <row r="3748" spans="1:15" ht="32" x14ac:dyDescent="0.2">
      <c r="A3748" s="7" t="str">
        <f>HYPERLINK("https://otsuka-europe-crm.veevavault.com/ui/#object/account__v/V4TZ06G6O71SA5U", "FRANCESCO ALESSANDRO BORGIA")</f>
        <v>FRANCESCO ALESSANDRO BORGIA</v>
      </c>
      <c r="B3748" s="7" t="str">
        <f t="shared" ref="B3748:B3762" si="260">HYPERLINK("https://otsuka-europe-crm.veevavault.com/ui/#object/vcountry__v/VENZ000004SONFQ", "IT")</f>
        <v>IT</v>
      </c>
      <c r="C3748" s="8" t="s">
        <v>44</v>
      </c>
      <c r="D3748" s="9" t="str">
        <f t="shared" ref="D3748:D3762" si="261">HYPERLINK("https://otsuka-europe-crm.veevavault.com/ui/#object/approved_document__v/V5O000000018003", "AE dialoghi di tempo fiducia e cura episodi 2-3-4")</f>
        <v>AE dialoghi di tempo fiducia e cura episodi 2-3-4</v>
      </c>
      <c r="E3748" s="10" t="str">
        <f>HYPERLINK("https://otsuka-europe-crm.veevavault.com/ui/#object/sent_email__v/VBL00000002P140", "SE-001432810")</f>
        <v>SE-001432810</v>
      </c>
      <c r="F3748" s="11"/>
      <c r="G3748" s="12">
        <v>0</v>
      </c>
      <c r="H3748" s="12">
        <v>0</v>
      </c>
      <c r="I3748" s="12">
        <v>0</v>
      </c>
      <c r="J3748" s="11"/>
      <c r="K3748" s="12">
        <v>0</v>
      </c>
      <c r="L3748" s="10" t="str">
        <f t="shared" ref="L3748:L3762" si="262">HYPERLINK("https://otsuka-europe-crm.veevavault.com/ui/#object/approved_document__v/V5O000000018003", "AE dialoghi di tempo fiducia e cura episodi 2-3-4")</f>
        <v>AE dialoghi di tempo fiducia e cura episodi 2-3-4</v>
      </c>
      <c r="M3748" s="10" t="str">
        <f t="shared" ref="M3748:M3762" si="263">HYPERLINK("mailto:nicoletta.vozza@crm.otsuka-europe.com", "nicoletta.vozza@crm.otsuka-europe.com")</f>
        <v>nicoletta.vozza@crm.otsuka-europe.com</v>
      </c>
      <c r="N3748" s="13">
        <v>46181.337962962964</v>
      </c>
      <c r="O3748" s="14" t="str">
        <f>HYPERLINK("https://otsuka-europe-crm.veevavault.com/ui/#object/email_activity__v/V8C00000003P392", "EN-002090398")</f>
        <v>EN-002090398</v>
      </c>
    </row>
    <row r="3749" spans="1:15" ht="32" x14ac:dyDescent="0.2">
      <c r="A3749" s="7" t="str">
        <f>HYPERLINK("https://otsuka-europe-crm.veevavault.com/ui/#object/account__v/V4TZ06G6O71S9XR", "FRANCESCO ANELLI")</f>
        <v>FRANCESCO ANELLI</v>
      </c>
      <c r="B3749" s="7" t="str">
        <f t="shared" si="260"/>
        <v>IT</v>
      </c>
      <c r="C3749" s="8" t="s">
        <v>44</v>
      </c>
      <c r="D3749" s="9" t="str">
        <f t="shared" si="261"/>
        <v>AE dialoghi di tempo fiducia e cura episodi 2-3-4</v>
      </c>
      <c r="E3749" s="10" t="str">
        <f>HYPERLINK("https://otsuka-europe-crm.veevavault.com/ui/#object/sent_email__v/VBL00000002P141", "SE-001432811")</f>
        <v>SE-001432811</v>
      </c>
      <c r="F3749" s="11"/>
      <c r="G3749" s="12">
        <v>0</v>
      </c>
      <c r="H3749" s="12">
        <v>0</v>
      </c>
      <c r="I3749" s="12">
        <v>0</v>
      </c>
      <c r="J3749" s="11"/>
      <c r="K3749" s="12">
        <v>0</v>
      </c>
      <c r="L3749" s="10" t="str">
        <f t="shared" si="262"/>
        <v>AE dialoghi di tempo fiducia e cura episodi 2-3-4</v>
      </c>
      <c r="M3749" s="10" t="str">
        <f t="shared" si="263"/>
        <v>nicoletta.vozza@crm.otsuka-europe.com</v>
      </c>
      <c r="N3749" s="13">
        <v>46181.338020833333</v>
      </c>
      <c r="O3749" s="14" t="str">
        <f>HYPERLINK("https://otsuka-europe-crm.veevavault.com/ui/#object/email_activity__v/V8C00000003O759", "EN-002090315")</f>
        <v>EN-002090315</v>
      </c>
    </row>
    <row r="3750" spans="1:15" ht="32" x14ac:dyDescent="0.2">
      <c r="A3750" s="7" t="str">
        <f>HYPERLINK("https://otsuka-europe-crm.veevavault.com/ui/#object/account__v/V4TZ06G6O71S9R2", "FRANCESCO BARTOLI")</f>
        <v>FRANCESCO BARTOLI</v>
      </c>
      <c r="B3750" s="7" t="str">
        <f t="shared" si="260"/>
        <v>IT</v>
      </c>
      <c r="C3750" s="8" t="s">
        <v>44</v>
      </c>
      <c r="D3750" s="9" t="str">
        <f t="shared" si="261"/>
        <v>AE dialoghi di tempo fiducia e cura episodi 2-3-4</v>
      </c>
      <c r="E3750" s="10" t="str">
        <f>HYPERLINK("https://otsuka-europe-crm.veevavault.com/ui/#object/sent_email__v/VBL00000002P142", "SE-001432812")</f>
        <v>SE-001432812</v>
      </c>
      <c r="F3750" s="11"/>
      <c r="G3750" s="12">
        <v>0</v>
      </c>
      <c r="H3750" s="12">
        <v>0</v>
      </c>
      <c r="I3750" s="12">
        <v>0</v>
      </c>
      <c r="J3750" s="11"/>
      <c r="K3750" s="12">
        <v>0</v>
      </c>
      <c r="L3750" s="10" t="str">
        <f t="shared" si="262"/>
        <v>AE dialoghi di tempo fiducia e cura episodi 2-3-4</v>
      </c>
      <c r="M3750" s="10" t="str">
        <f t="shared" si="263"/>
        <v>nicoletta.vozza@crm.otsuka-europe.com</v>
      </c>
      <c r="N3750" s="13">
        <v>46181.33798611111</v>
      </c>
      <c r="O3750" s="14" t="str">
        <f>HYPERLINK("https://otsuka-europe-crm.veevavault.com/ui/#object/email_activity__v/V8C00000003O354", "EN-002089872")</f>
        <v>EN-002089872</v>
      </c>
    </row>
    <row r="3751" spans="1:15" ht="32" x14ac:dyDescent="0.2">
      <c r="A3751" s="7" t="str">
        <f>HYPERLINK("https://otsuka-europe-crm.veevavault.com/ui/#object/account__v/V4TZ06G6O71TFR1", "FRANCESCO BERTI CERONI")</f>
        <v>FRANCESCO BERTI CERONI</v>
      </c>
      <c r="B3751" s="7" t="str">
        <f t="shared" si="260"/>
        <v>IT</v>
      </c>
      <c r="C3751" s="8" t="s">
        <v>44</v>
      </c>
      <c r="D3751" s="9" t="str">
        <f t="shared" si="261"/>
        <v>AE dialoghi di tempo fiducia e cura episodi 2-3-4</v>
      </c>
      <c r="E3751" s="10" t="str">
        <f>HYPERLINK("https://otsuka-europe-crm.veevavault.com/ui/#object/sent_email__v/VBL00000002P143", "SE-001432813")</f>
        <v>SE-001432813</v>
      </c>
      <c r="F3751" s="11"/>
      <c r="G3751" s="12">
        <v>0</v>
      </c>
      <c r="H3751" s="12">
        <v>0</v>
      </c>
      <c r="I3751" s="12">
        <v>0</v>
      </c>
      <c r="J3751" s="11"/>
      <c r="K3751" s="12">
        <v>0</v>
      </c>
      <c r="L3751" s="10" t="str">
        <f t="shared" si="262"/>
        <v>AE dialoghi di tempo fiducia e cura episodi 2-3-4</v>
      </c>
      <c r="M3751" s="10" t="str">
        <f t="shared" si="263"/>
        <v>nicoletta.vozza@crm.otsuka-europe.com</v>
      </c>
      <c r="N3751" s="13">
        <v>46181.33797453704</v>
      </c>
      <c r="O3751" s="14" t="str">
        <f>HYPERLINK("https://otsuka-europe-crm.veevavault.com/ui/#object/email_activity__v/V8C00000003P828", "EN-002091187")</f>
        <v>EN-002091187</v>
      </c>
    </row>
    <row r="3752" spans="1:15" ht="32" x14ac:dyDescent="0.2">
      <c r="A3752" s="7" t="str">
        <f>HYPERLINK("https://otsuka-europe-crm.veevavault.com/ui/#object/account__v/V4TZ06G6O71SA4N", "FRANCESCO BLASI")</f>
        <v>FRANCESCO BLASI</v>
      </c>
      <c r="B3752" s="7" t="str">
        <f t="shared" si="260"/>
        <v>IT</v>
      </c>
      <c r="C3752" s="8" t="s">
        <v>44</v>
      </c>
      <c r="D3752" s="9" t="str">
        <f t="shared" si="261"/>
        <v>AE dialoghi di tempo fiducia e cura episodi 2-3-4</v>
      </c>
      <c r="E3752" s="10" t="str">
        <f>HYPERLINK("https://otsuka-europe-crm.veevavault.com/ui/#object/sent_email__v/VBL00000002P144", "SE-001432814")</f>
        <v>SE-001432814</v>
      </c>
      <c r="F3752" s="11"/>
      <c r="G3752" s="12">
        <v>0</v>
      </c>
      <c r="H3752" s="12">
        <v>0</v>
      </c>
      <c r="I3752" s="12">
        <v>0</v>
      </c>
      <c r="J3752" s="11"/>
      <c r="K3752" s="12">
        <v>0</v>
      </c>
      <c r="L3752" s="10" t="str">
        <f t="shared" si="262"/>
        <v>AE dialoghi di tempo fiducia e cura episodi 2-3-4</v>
      </c>
      <c r="M3752" s="10" t="str">
        <f t="shared" si="263"/>
        <v>nicoletta.vozza@crm.otsuka-europe.com</v>
      </c>
      <c r="N3752" s="13">
        <v>46181.338055555556</v>
      </c>
      <c r="O3752" s="14" t="str">
        <f>HYPERLINK("https://otsuka-europe-crm.veevavault.com/ui/#object/email_activity__v/V8C00000003O588", "EN-002090144")</f>
        <v>EN-002090144</v>
      </c>
    </row>
    <row r="3753" spans="1:15" ht="32" x14ac:dyDescent="0.2">
      <c r="A3753" s="7" t="str">
        <f>HYPERLINK("https://otsuka-europe-crm.veevavault.com/ui/#object/account__v/V4TZ04ASG9BBL55", "FRANCESCO BRANDO")</f>
        <v>FRANCESCO BRANDO</v>
      </c>
      <c r="B3753" s="7" t="str">
        <f t="shared" si="260"/>
        <v>IT</v>
      </c>
      <c r="C3753" s="8" t="s">
        <v>44</v>
      </c>
      <c r="D3753" s="9" t="str">
        <f t="shared" si="261"/>
        <v>AE dialoghi di tempo fiducia e cura episodi 2-3-4</v>
      </c>
      <c r="E3753" s="10" t="str">
        <f>HYPERLINK("https://otsuka-europe-crm.veevavault.com/ui/#object/sent_email__v/VBL00000002P145", "SE-001432815")</f>
        <v>SE-001432815</v>
      </c>
      <c r="F3753" s="11"/>
      <c r="G3753" s="12">
        <v>0</v>
      </c>
      <c r="H3753" s="12">
        <v>0</v>
      </c>
      <c r="I3753" s="12">
        <v>0</v>
      </c>
      <c r="J3753" s="11"/>
      <c r="K3753" s="12">
        <v>0</v>
      </c>
      <c r="L3753" s="10" t="str">
        <f t="shared" si="262"/>
        <v>AE dialoghi di tempo fiducia e cura episodi 2-3-4</v>
      </c>
      <c r="M3753" s="10" t="str">
        <f t="shared" si="263"/>
        <v>nicoletta.vozza@crm.otsuka-europe.com</v>
      </c>
      <c r="N3753" s="13">
        <v>46181.338067129633</v>
      </c>
      <c r="O3753" s="14" t="str">
        <f>HYPERLINK("https://otsuka-europe-crm.veevavault.com/ui/#object/email_activity__v/V8C00000003Q105", "EN-002091170")</f>
        <v>EN-002091170</v>
      </c>
    </row>
    <row r="3754" spans="1:15" ht="32" x14ac:dyDescent="0.2">
      <c r="A3754" s="7" t="str">
        <f>HYPERLINK("https://otsuka-europe-crm.veevavault.com/ui/#object/account__v/V4TZ06G6O71SA8W", "FRANCESCO BURLINI")</f>
        <v>FRANCESCO BURLINI</v>
      </c>
      <c r="B3754" s="7" t="str">
        <f t="shared" si="260"/>
        <v>IT</v>
      </c>
      <c r="C3754" s="8" t="s">
        <v>44</v>
      </c>
      <c r="D3754" s="9" t="str">
        <f t="shared" si="261"/>
        <v>AE dialoghi di tempo fiducia e cura episodi 2-3-4</v>
      </c>
      <c r="E3754" s="10" t="str">
        <f>HYPERLINK("https://otsuka-europe-crm.veevavault.com/ui/#object/sent_email__v/VBL00000002P146", "SE-001432816")</f>
        <v>SE-001432816</v>
      </c>
      <c r="F3754" s="11"/>
      <c r="G3754" s="12">
        <v>0</v>
      </c>
      <c r="H3754" s="12">
        <v>0</v>
      </c>
      <c r="I3754" s="12">
        <v>0</v>
      </c>
      <c r="J3754" s="11"/>
      <c r="K3754" s="12">
        <v>0</v>
      </c>
      <c r="L3754" s="10" t="str">
        <f t="shared" si="262"/>
        <v>AE dialoghi di tempo fiducia e cura episodi 2-3-4</v>
      </c>
      <c r="M3754" s="10" t="str">
        <f t="shared" si="263"/>
        <v>nicoletta.vozza@crm.otsuka-europe.com</v>
      </c>
      <c r="N3754" s="13">
        <v>46181.33797453704</v>
      </c>
      <c r="O3754" s="14" t="str">
        <f>HYPERLINK("https://otsuka-europe-crm.veevavault.com/ui/#object/email_activity__v/V8C00000003O563", "EN-002090119")</f>
        <v>EN-002090119</v>
      </c>
    </row>
    <row r="3755" spans="1:15" ht="32" x14ac:dyDescent="0.2">
      <c r="A3755" s="7" t="str">
        <f>HYPERLINK("https://otsuka-europe-crm.veevavault.com/ui/#object/account__v/V4TZ06G6O71SB2J", "FRANCESCO COLOSIMO")</f>
        <v>FRANCESCO COLOSIMO</v>
      </c>
      <c r="B3755" s="7" t="str">
        <f t="shared" si="260"/>
        <v>IT</v>
      </c>
      <c r="C3755" s="8" t="s">
        <v>44</v>
      </c>
      <c r="D3755" s="9" t="str">
        <f t="shared" si="261"/>
        <v>AE dialoghi di tempo fiducia e cura episodi 2-3-4</v>
      </c>
      <c r="E3755" s="10" t="str">
        <f>HYPERLINK("https://otsuka-europe-crm.veevavault.com/ui/#object/sent_email__v/VBL00000002P147", "SE-001432817")</f>
        <v>SE-001432817</v>
      </c>
      <c r="F3755" s="11"/>
      <c r="G3755" s="12">
        <v>0</v>
      </c>
      <c r="H3755" s="12">
        <v>0</v>
      </c>
      <c r="I3755" s="12">
        <v>0</v>
      </c>
      <c r="J3755" s="11"/>
      <c r="K3755" s="12">
        <v>0</v>
      </c>
      <c r="L3755" s="10" t="str">
        <f t="shared" si="262"/>
        <v>AE dialoghi di tempo fiducia e cura episodi 2-3-4</v>
      </c>
      <c r="M3755" s="10" t="str">
        <f t="shared" si="263"/>
        <v>nicoletta.vozza@crm.otsuka-europe.com</v>
      </c>
      <c r="N3755" s="13">
        <v>46181.33797453704</v>
      </c>
      <c r="O3755" s="14" t="str">
        <f>HYPERLINK("https://otsuka-europe-crm.veevavault.com/ui/#object/email_activity__v/V8C00000003O775", "EN-002090435")</f>
        <v>EN-002090435</v>
      </c>
    </row>
    <row r="3756" spans="1:15" ht="32" x14ac:dyDescent="0.2">
      <c r="A3756" s="7" t="str">
        <f>HYPERLINK("https://otsuka-europe-crm.veevavault.com/ui/#object/account__v/V4TZ06G6O71SAL0", "FRANCESCO CONTINO")</f>
        <v>FRANCESCO CONTINO</v>
      </c>
      <c r="B3756" s="7" t="str">
        <f t="shared" si="260"/>
        <v>IT</v>
      </c>
      <c r="C3756" s="8" t="s">
        <v>44</v>
      </c>
      <c r="D3756" s="9" t="str">
        <f t="shared" si="261"/>
        <v>AE dialoghi di tempo fiducia e cura episodi 2-3-4</v>
      </c>
      <c r="E3756" s="10" t="str">
        <f>HYPERLINK("https://otsuka-europe-crm.veevavault.com/ui/#object/sent_email__v/VBL00000002P148", "SE-001432818")</f>
        <v>SE-001432818</v>
      </c>
      <c r="F3756" s="11"/>
      <c r="G3756" s="12">
        <v>0</v>
      </c>
      <c r="H3756" s="12">
        <v>0</v>
      </c>
      <c r="I3756" s="12">
        <v>0</v>
      </c>
      <c r="J3756" s="11"/>
      <c r="K3756" s="12">
        <v>0</v>
      </c>
      <c r="L3756" s="10" t="str">
        <f t="shared" si="262"/>
        <v>AE dialoghi di tempo fiducia e cura episodi 2-3-4</v>
      </c>
      <c r="M3756" s="10" t="str">
        <f t="shared" si="263"/>
        <v>nicoletta.vozza@crm.otsuka-europe.com</v>
      </c>
      <c r="N3756" s="13">
        <v>46181.337939814817</v>
      </c>
      <c r="O3756" s="14" t="str">
        <f>HYPERLINK("https://otsuka-europe-crm.veevavault.com/ui/#object/email_activity__v/V8C00000003P382", "EN-002090388")</f>
        <v>EN-002090388</v>
      </c>
    </row>
    <row r="3757" spans="1:15" ht="32" x14ac:dyDescent="0.2">
      <c r="A3757" s="7" t="str">
        <f>HYPERLINK("https://otsuka-europe-crm.veevavault.com/ui/#object/account__v/V4TZ04ASGB9K1UI", "FRANCESCO CRO")</f>
        <v>FRANCESCO CRO</v>
      </c>
      <c r="B3757" s="7" t="str">
        <f t="shared" si="260"/>
        <v>IT</v>
      </c>
      <c r="C3757" s="8" t="s">
        <v>44</v>
      </c>
      <c r="D3757" s="9" t="str">
        <f t="shared" si="261"/>
        <v>AE dialoghi di tempo fiducia e cura episodi 2-3-4</v>
      </c>
      <c r="E3757" s="10" t="str">
        <f>HYPERLINK("https://otsuka-europe-crm.veevavault.com/ui/#object/sent_email__v/VBL00000002P149", "SE-001432819")</f>
        <v>SE-001432819</v>
      </c>
      <c r="F3757" s="11"/>
      <c r="G3757" s="12">
        <v>0</v>
      </c>
      <c r="H3757" s="12">
        <v>0</v>
      </c>
      <c r="I3757" s="12">
        <v>0</v>
      </c>
      <c r="J3757" s="11"/>
      <c r="K3757" s="12">
        <v>0</v>
      </c>
      <c r="L3757" s="10" t="str">
        <f t="shared" si="262"/>
        <v>AE dialoghi di tempo fiducia e cura episodi 2-3-4</v>
      </c>
      <c r="M3757" s="10" t="str">
        <f t="shared" si="263"/>
        <v>nicoletta.vozza@crm.otsuka-europe.com</v>
      </c>
      <c r="N3757" s="13">
        <v>46181.337997685187</v>
      </c>
      <c r="O3757" s="14" t="str">
        <f>HYPERLINK("https://otsuka-europe-crm.veevavault.com/ui/#object/email_activity__v/V8C00000003O637", "EN-002090193")</f>
        <v>EN-002090193</v>
      </c>
    </row>
    <row r="3758" spans="1:15" ht="32" x14ac:dyDescent="0.2">
      <c r="A3758" s="7" t="str">
        <f>HYPERLINK("https://otsuka-europe-crm.veevavault.com/ui/#object/account__v/V4TZ06G6O71SAEV", "FRANCESCO DAMIGELLA")</f>
        <v>FRANCESCO DAMIGELLA</v>
      </c>
      <c r="B3758" s="7" t="str">
        <f t="shared" si="260"/>
        <v>IT</v>
      </c>
      <c r="C3758" s="8" t="s">
        <v>44</v>
      </c>
      <c r="D3758" s="9" t="str">
        <f t="shared" si="261"/>
        <v>AE dialoghi di tempo fiducia e cura episodi 2-3-4</v>
      </c>
      <c r="E3758" s="10" t="str">
        <f>HYPERLINK("https://otsuka-europe-crm.veevavault.com/ui/#object/sent_email__v/VBL00000002P150", "SE-001432820")</f>
        <v>SE-001432820</v>
      </c>
      <c r="F3758" s="11"/>
      <c r="G3758" s="12">
        <v>0</v>
      </c>
      <c r="H3758" s="12">
        <v>0</v>
      </c>
      <c r="I3758" s="12">
        <v>0</v>
      </c>
      <c r="J3758" s="11"/>
      <c r="K3758" s="12">
        <v>0</v>
      </c>
      <c r="L3758" s="10" t="str">
        <f t="shared" si="262"/>
        <v>AE dialoghi di tempo fiducia e cura episodi 2-3-4</v>
      </c>
      <c r="M3758" s="10" t="str">
        <f t="shared" si="263"/>
        <v>nicoletta.vozza@crm.otsuka-europe.com</v>
      </c>
      <c r="N3758" s="13">
        <v>46181.33792824074</v>
      </c>
      <c r="O3758" s="14" t="str">
        <f>HYPERLINK("https://otsuka-europe-crm.veevavault.com/ui/#object/email_activity__v/V8C00000003O401", "EN-002089957")</f>
        <v>EN-002089957</v>
      </c>
    </row>
    <row r="3759" spans="1:15" ht="32" x14ac:dyDescent="0.2">
      <c r="A3759" s="7" t="str">
        <f>HYPERLINK("https://otsuka-europe-crm.veevavault.com/ui/#object/account__v/V4TZ06G6O71S9PO", "FRANCESCO FARINELLA")</f>
        <v>FRANCESCO FARINELLA</v>
      </c>
      <c r="B3759" s="7" t="str">
        <f t="shared" si="260"/>
        <v>IT</v>
      </c>
      <c r="C3759" s="8" t="s">
        <v>44</v>
      </c>
      <c r="D3759" s="9" t="str">
        <f t="shared" si="261"/>
        <v>AE dialoghi di tempo fiducia e cura episodi 2-3-4</v>
      </c>
      <c r="E3759" s="10" t="str">
        <f>HYPERLINK("https://otsuka-europe-crm.veevavault.com/ui/#object/sent_email__v/VBL00000002P151", "SE-001432821")</f>
        <v>SE-001432821</v>
      </c>
      <c r="F3759" s="11"/>
      <c r="G3759" s="12">
        <v>0</v>
      </c>
      <c r="H3759" s="12">
        <v>0</v>
      </c>
      <c r="I3759" s="12">
        <v>0</v>
      </c>
      <c r="J3759" s="11"/>
      <c r="K3759" s="12">
        <v>0</v>
      </c>
      <c r="L3759" s="10" t="str">
        <f t="shared" si="262"/>
        <v>AE dialoghi di tempo fiducia e cura episodi 2-3-4</v>
      </c>
      <c r="M3759" s="10" t="str">
        <f t="shared" si="263"/>
        <v>nicoletta.vozza@crm.otsuka-europe.com</v>
      </c>
      <c r="N3759" s="13">
        <v>46181.33803240741</v>
      </c>
      <c r="O3759" s="14" t="str">
        <f>HYPERLINK("https://otsuka-europe-crm.veevavault.com/ui/#object/email_activity__v/V8C00000003P627", "EN-002090882")</f>
        <v>EN-002090882</v>
      </c>
    </row>
    <row r="3760" spans="1:15" ht="32" x14ac:dyDescent="0.2">
      <c r="A3760" s="7" t="str">
        <f>HYPERLINK("https://otsuka-europe-crm.veevavault.com/ui/#object/account__v/V4TZ04ASGB9N2P4", "FRANCESCO GHEZZI")</f>
        <v>FRANCESCO GHEZZI</v>
      </c>
      <c r="B3760" s="7" t="str">
        <f t="shared" si="260"/>
        <v>IT</v>
      </c>
      <c r="C3760" s="8" t="s">
        <v>44</v>
      </c>
      <c r="D3760" s="9" t="str">
        <f t="shared" si="261"/>
        <v>AE dialoghi di tempo fiducia e cura episodi 2-3-4</v>
      </c>
      <c r="E3760" s="10" t="str">
        <f>HYPERLINK("https://otsuka-europe-crm.veevavault.com/ui/#object/sent_email__v/VBL00000002P152", "SE-001432822")</f>
        <v>SE-001432822</v>
      </c>
      <c r="F3760" s="11"/>
      <c r="G3760" s="12">
        <v>0</v>
      </c>
      <c r="H3760" s="12">
        <v>0</v>
      </c>
      <c r="I3760" s="12">
        <v>0</v>
      </c>
      <c r="J3760" s="11"/>
      <c r="K3760" s="12">
        <v>0</v>
      </c>
      <c r="L3760" s="10" t="str">
        <f t="shared" si="262"/>
        <v>AE dialoghi di tempo fiducia e cura episodi 2-3-4</v>
      </c>
      <c r="M3760" s="10" t="str">
        <f t="shared" si="263"/>
        <v>nicoletta.vozza@crm.otsuka-europe.com</v>
      </c>
      <c r="N3760" s="13">
        <v>46181.337962962964</v>
      </c>
      <c r="O3760" s="14" t="str">
        <f>HYPERLINK("https://otsuka-europe-crm.veevavault.com/ui/#object/email_activity__v/V8C00000003P204", "EN-002089650")</f>
        <v>EN-002089650</v>
      </c>
    </row>
    <row r="3761" spans="1:15" ht="32" x14ac:dyDescent="0.2">
      <c r="A3761" s="7" t="str">
        <f>HYPERLINK("https://otsuka-europe-crm.veevavault.com/ui/#object/account__v/V4TZ06G6OCEDS44", "FRANCESCO LUPO")</f>
        <v>FRANCESCO LUPO</v>
      </c>
      <c r="B3761" s="7" t="str">
        <f t="shared" si="260"/>
        <v>IT</v>
      </c>
      <c r="C3761" s="8" t="s">
        <v>44</v>
      </c>
      <c r="D3761" s="9" t="str">
        <f t="shared" si="261"/>
        <v>AE dialoghi di tempo fiducia e cura episodi 2-3-4</v>
      </c>
      <c r="E3761" s="10" t="str">
        <f>HYPERLINK("https://otsuka-europe-crm.veevavault.com/ui/#object/sent_email__v/VBL00000002P153", "SE-001432823")</f>
        <v>SE-001432823</v>
      </c>
      <c r="F3761" s="11"/>
      <c r="G3761" s="12">
        <v>0</v>
      </c>
      <c r="H3761" s="12">
        <v>0</v>
      </c>
      <c r="I3761" s="12">
        <v>0</v>
      </c>
      <c r="J3761" s="11"/>
      <c r="K3761" s="12">
        <v>0</v>
      </c>
      <c r="L3761" s="10" t="str">
        <f t="shared" si="262"/>
        <v>AE dialoghi di tempo fiducia e cura episodi 2-3-4</v>
      </c>
      <c r="M3761" s="10" t="str">
        <f t="shared" si="263"/>
        <v>nicoletta.vozza@crm.otsuka-europe.com</v>
      </c>
      <c r="N3761" s="13">
        <v>46181.337997685187</v>
      </c>
      <c r="O3761" s="14" t="str">
        <f>HYPERLINK("https://otsuka-europe-crm.veevavault.com/ui/#object/email_activity__v/V8C00000003P616", "EN-002090871")</f>
        <v>EN-002090871</v>
      </c>
    </row>
    <row r="3762" spans="1:15" ht="16" x14ac:dyDescent="0.2">
      <c r="A3762" s="17" t="str">
        <f>HYPERLINK("https://otsuka-europe-crm.veevavault.com/ui/#object/account__v/V4TZ06G6O71SAZ0", "FRANCESCO MARIA CAPUTO")</f>
        <v>FRANCESCO MARIA CAPUTO</v>
      </c>
      <c r="B3762" s="17" t="str">
        <f t="shared" si="260"/>
        <v>IT</v>
      </c>
      <c r="C3762" s="20" t="s">
        <v>44</v>
      </c>
      <c r="D3762" s="21" t="str">
        <f t="shared" si="261"/>
        <v>AE dialoghi di tempo fiducia e cura episodi 2-3-4</v>
      </c>
      <c r="E3762" s="22" t="str">
        <f>HYPERLINK("https://otsuka-europe-crm.veevavault.com/ui/#object/sent_email__v/VBL00000002P154", "SE-001432824")</f>
        <v>SE-001432824</v>
      </c>
      <c r="F3762" s="25"/>
      <c r="G3762" s="24">
        <v>0</v>
      </c>
      <c r="H3762" s="24">
        <v>0</v>
      </c>
      <c r="I3762" s="24">
        <v>1</v>
      </c>
      <c r="J3762" s="23">
        <v>46181.714201388888</v>
      </c>
      <c r="K3762" s="24">
        <v>2</v>
      </c>
      <c r="L3762" s="22" t="str">
        <f t="shared" si="262"/>
        <v>AE dialoghi di tempo fiducia e cura episodi 2-3-4</v>
      </c>
      <c r="M3762" s="22" t="str">
        <f t="shared" si="263"/>
        <v>nicoletta.vozza@crm.otsuka-europe.com</v>
      </c>
      <c r="N3762" s="23">
        <v>46181.337997685187</v>
      </c>
      <c r="O3762" s="14" t="str">
        <f>HYPERLINK("https://otsuka-europe-crm.veevavault.com/ui/#object/email_activity__v/V8C00000003P515", "EN-002090770")</f>
        <v>EN-002090770</v>
      </c>
    </row>
    <row r="3763" spans="1:15" ht="16" x14ac:dyDescent="0.2">
      <c r="A3763" s="18"/>
      <c r="B3763" s="18"/>
      <c r="C3763" s="18"/>
      <c r="D3763" s="18"/>
      <c r="E3763" s="18"/>
      <c r="F3763" s="18"/>
      <c r="G3763" s="18"/>
      <c r="H3763" s="18"/>
      <c r="I3763" s="18"/>
      <c r="J3763" s="18"/>
      <c r="K3763" s="18"/>
      <c r="L3763" s="18"/>
      <c r="M3763" s="18"/>
      <c r="N3763" s="18"/>
      <c r="O3763" s="14" t="str">
        <f>HYPERLINK("https://otsuka-europe-crm.veevavault.com/ui/#object/email_activity__v/V8C00000003Q649", "EN-002092118")</f>
        <v>EN-002092118</v>
      </c>
    </row>
    <row r="3764" spans="1:15" ht="16" x14ac:dyDescent="0.2">
      <c r="A3764" s="18"/>
      <c r="B3764" s="18"/>
      <c r="C3764" s="18"/>
      <c r="D3764" s="18"/>
      <c r="E3764" s="18"/>
      <c r="F3764" s="18"/>
      <c r="G3764" s="18"/>
      <c r="H3764" s="18"/>
      <c r="I3764" s="18"/>
      <c r="J3764" s="18"/>
      <c r="K3764" s="18"/>
      <c r="L3764" s="18"/>
      <c r="M3764" s="18"/>
      <c r="N3764" s="18"/>
      <c r="O3764" s="14" t="str">
        <f>HYPERLINK("https://otsuka-europe-crm.veevavault.com/ui/#object/email_activity__v/V8C00000003R230", "EN-002092115")</f>
        <v>EN-002092115</v>
      </c>
    </row>
    <row r="3765" spans="1:15" ht="16" x14ac:dyDescent="0.2">
      <c r="A3765" s="19"/>
      <c r="B3765" s="19"/>
      <c r="C3765" s="19"/>
      <c r="D3765" s="19"/>
      <c r="E3765" s="19"/>
      <c r="F3765" s="19"/>
      <c r="G3765" s="19"/>
      <c r="H3765" s="19"/>
      <c r="I3765" s="19"/>
      <c r="J3765" s="19"/>
      <c r="K3765" s="19"/>
      <c r="L3765" s="19"/>
      <c r="M3765" s="19"/>
      <c r="N3765" s="19"/>
      <c r="O3765" s="14" t="str">
        <f>HYPERLINK("https://otsuka-europe-crm.veevavault.com/ui/#object/email_activity__v/V8C00000003R231", "EN-002092116")</f>
        <v>EN-002092116</v>
      </c>
    </row>
    <row r="3766" spans="1:15" ht="32" x14ac:dyDescent="0.2">
      <c r="A3766" s="7" t="str">
        <f>HYPERLINK("https://otsuka-europe-crm.veevavault.com/ui/#object/account__v/V4TZ06G6O71S9G2", "FRANCESCO MARTINELLI")</f>
        <v>FRANCESCO MARTINELLI</v>
      </c>
      <c r="B3766" s="7" t="str">
        <f t="shared" ref="B3766:B3771" si="264">HYPERLINK("https://otsuka-europe-crm.veevavault.com/ui/#object/vcountry__v/VENZ000004SONFQ", "IT")</f>
        <v>IT</v>
      </c>
      <c r="C3766" s="8" t="s">
        <v>44</v>
      </c>
      <c r="D3766" s="9" t="str">
        <f t="shared" ref="D3766:D3771" si="265">HYPERLINK("https://otsuka-europe-crm.veevavault.com/ui/#object/approved_document__v/V5O000000018003", "AE dialoghi di tempo fiducia e cura episodi 2-3-4")</f>
        <v>AE dialoghi di tempo fiducia e cura episodi 2-3-4</v>
      </c>
      <c r="E3766" s="10" t="str">
        <f>HYPERLINK("https://otsuka-europe-crm.veevavault.com/ui/#object/sent_email__v/VBL00000002P155", "SE-001432825")</f>
        <v>SE-001432825</v>
      </c>
      <c r="F3766" s="11"/>
      <c r="G3766" s="12">
        <v>0</v>
      </c>
      <c r="H3766" s="12">
        <v>0</v>
      </c>
      <c r="I3766" s="12">
        <v>0</v>
      </c>
      <c r="J3766" s="11"/>
      <c r="K3766" s="12">
        <v>0</v>
      </c>
      <c r="L3766" s="10" t="str">
        <f t="shared" ref="L3766:L3771" si="266">HYPERLINK("https://otsuka-europe-crm.veevavault.com/ui/#object/approved_document__v/V5O000000018003", "AE dialoghi di tempo fiducia e cura episodi 2-3-4")</f>
        <v>AE dialoghi di tempo fiducia e cura episodi 2-3-4</v>
      </c>
      <c r="M3766" s="10" t="str">
        <f t="shared" ref="M3766:M3771" si="267">HYPERLINK("mailto:nicoletta.vozza@crm.otsuka-europe.com", "nicoletta.vozza@crm.otsuka-europe.com")</f>
        <v>nicoletta.vozza@crm.otsuka-europe.com</v>
      </c>
      <c r="N3766" s="13">
        <v>46181.337962962964</v>
      </c>
      <c r="O3766" s="14" t="str">
        <f>HYPERLINK("https://otsuka-europe-crm.veevavault.com/ui/#object/email_activity__v/V8C00000003O232", "EN-002089709")</f>
        <v>EN-002089709</v>
      </c>
    </row>
    <row r="3767" spans="1:15" ht="32" x14ac:dyDescent="0.2">
      <c r="A3767" s="7" t="str">
        <f>HYPERLINK("https://otsuka-europe-crm.veevavault.com/ui/#object/account__v/V4TZ06G6O71SBGN", "FRANCESCO MASSARI")</f>
        <v>FRANCESCO MASSARI</v>
      </c>
      <c r="B3767" s="7" t="str">
        <f t="shared" si="264"/>
        <v>IT</v>
      </c>
      <c r="C3767" s="8" t="s">
        <v>44</v>
      </c>
      <c r="D3767" s="9" t="str">
        <f t="shared" si="265"/>
        <v>AE dialoghi di tempo fiducia e cura episodi 2-3-4</v>
      </c>
      <c r="E3767" s="10" t="str">
        <f>HYPERLINK("https://otsuka-europe-crm.veevavault.com/ui/#object/sent_email__v/VBL00000002P156", "SE-001432826")</f>
        <v>SE-001432826</v>
      </c>
      <c r="F3767" s="11"/>
      <c r="G3767" s="12">
        <v>0</v>
      </c>
      <c r="H3767" s="12">
        <v>0</v>
      </c>
      <c r="I3767" s="12">
        <v>0</v>
      </c>
      <c r="J3767" s="11"/>
      <c r="K3767" s="12">
        <v>0</v>
      </c>
      <c r="L3767" s="10" t="str">
        <f t="shared" si="266"/>
        <v>AE dialoghi di tempo fiducia e cura episodi 2-3-4</v>
      </c>
      <c r="M3767" s="10" t="str">
        <f t="shared" si="267"/>
        <v>nicoletta.vozza@crm.otsuka-europe.com</v>
      </c>
      <c r="N3767" s="13">
        <v>46181.33798611111</v>
      </c>
      <c r="O3767" s="14" t="str">
        <f>HYPERLINK("https://otsuka-europe-crm.veevavault.com/ui/#object/email_activity__v/V8C00000003O742", "EN-002090298")</f>
        <v>EN-002090298</v>
      </c>
    </row>
    <row r="3768" spans="1:15" ht="32" x14ac:dyDescent="0.2">
      <c r="A3768" s="7" t="str">
        <f>HYPERLINK("https://otsuka-europe-crm.veevavault.com/ui/#object/account__v/V4TZ06G6O8A7WJF", "FRANCESCO MUCCI")</f>
        <v>FRANCESCO MUCCI</v>
      </c>
      <c r="B3768" s="7" t="str">
        <f t="shared" si="264"/>
        <v>IT</v>
      </c>
      <c r="C3768" s="8" t="s">
        <v>44</v>
      </c>
      <c r="D3768" s="9" t="str">
        <f t="shared" si="265"/>
        <v>AE dialoghi di tempo fiducia e cura episodi 2-3-4</v>
      </c>
      <c r="E3768" s="10" t="str">
        <f>HYPERLINK("https://otsuka-europe-crm.veevavault.com/ui/#object/sent_email__v/VBL00000002P157", "SE-001432827")</f>
        <v>SE-001432827</v>
      </c>
      <c r="F3768" s="11"/>
      <c r="G3768" s="12">
        <v>0</v>
      </c>
      <c r="H3768" s="12">
        <v>0</v>
      </c>
      <c r="I3768" s="12">
        <v>0</v>
      </c>
      <c r="J3768" s="11"/>
      <c r="K3768" s="12">
        <v>0</v>
      </c>
      <c r="L3768" s="10" t="str">
        <f t="shared" si="266"/>
        <v>AE dialoghi di tempo fiducia e cura episodi 2-3-4</v>
      </c>
      <c r="M3768" s="10" t="str">
        <f t="shared" si="267"/>
        <v>nicoletta.vozza@crm.otsuka-europe.com</v>
      </c>
      <c r="N3768" s="13">
        <v>46181.33797453704</v>
      </c>
      <c r="O3768" s="14" t="str">
        <f>HYPERLINK("https://otsuka-europe-crm.veevavault.com/ui/#object/email_activity__v/V8C00000003P260", "EN-002089838")</f>
        <v>EN-002089838</v>
      </c>
    </row>
    <row r="3769" spans="1:15" ht="32" x14ac:dyDescent="0.2">
      <c r="A3769" s="7" t="str">
        <f>HYPERLINK("https://otsuka-europe-crm.veevavault.com/ui/#object/account__v/V4TZ06G6O8IP7PY", "FRANCESCO NAPPI")</f>
        <v>FRANCESCO NAPPI</v>
      </c>
      <c r="B3769" s="7" t="str">
        <f t="shared" si="264"/>
        <v>IT</v>
      </c>
      <c r="C3769" s="8" t="s">
        <v>44</v>
      </c>
      <c r="D3769" s="9" t="str">
        <f t="shared" si="265"/>
        <v>AE dialoghi di tempo fiducia e cura episodi 2-3-4</v>
      </c>
      <c r="E3769" s="10" t="str">
        <f>HYPERLINK("https://otsuka-europe-crm.veevavault.com/ui/#object/sent_email__v/VBL00000002P158", "SE-001432828")</f>
        <v>SE-001432828</v>
      </c>
      <c r="F3769" s="11"/>
      <c r="G3769" s="12">
        <v>0</v>
      </c>
      <c r="H3769" s="12">
        <v>0</v>
      </c>
      <c r="I3769" s="12">
        <v>0</v>
      </c>
      <c r="J3769" s="11"/>
      <c r="K3769" s="12">
        <v>0</v>
      </c>
      <c r="L3769" s="10" t="str">
        <f t="shared" si="266"/>
        <v>AE dialoghi di tempo fiducia e cura episodi 2-3-4</v>
      </c>
      <c r="M3769" s="10" t="str">
        <f t="shared" si="267"/>
        <v>nicoletta.vozza@crm.otsuka-europe.com</v>
      </c>
      <c r="N3769" s="13">
        <v>46181.33798611111</v>
      </c>
      <c r="O3769" s="14" t="str">
        <f>HYPERLINK("https://otsuka-europe-crm.veevavault.com/ui/#object/email_activity__v/V8C00000003P322", "EN-002090328")</f>
        <v>EN-002090328</v>
      </c>
    </row>
    <row r="3770" spans="1:15" ht="32" x14ac:dyDescent="0.2">
      <c r="A3770" s="7" t="str">
        <f>HYPERLINK("https://otsuka-europe-crm.veevavault.com/ui/#object/account__v/V4TZ04ASGCYUKMZ", "FRANCESCO NERI")</f>
        <v>FRANCESCO NERI</v>
      </c>
      <c r="B3770" s="7" t="str">
        <f t="shared" si="264"/>
        <v>IT</v>
      </c>
      <c r="C3770" s="8" t="s">
        <v>44</v>
      </c>
      <c r="D3770" s="9" t="str">
        <f t="shared" si="265"/>
        <v>AE dialoghi di tempo fiducia e cura episodi 2-3-4</v>
      </c>
      <c r="E3770" s="10" t="str">
        <f>HYPERLINK("https://otsuka-europe-crm.veevavault.com/ui/#object/sent_email__v/VBL00000002P159", "SE-001432829")</f>
        <v>SE-001432829</v>
      </c>
      <c r="F3770" s="11"/>
      <c r="G3770" s="12">
        <v>0</v>
      </c>
      <c r="H3770" s="12">
        <v>0</v>
      </c>
      <c r="I3770" s="12">
        <v>0</v>
      </c>
      <c r="J3770" s="11"/>
      <c r="K3770" s="12">
        <v>0</v>
      </c>
      <c r="L3770" s="10" t="str">
        <f t="shared" si="266"/>
        <v>AE dialoghi di tempo fiducia e cura episodi 2-3-4</v>
      </c>
      <c r="M3770" s="10" t="str">
        <f t="shared" si="267"/>
        <v>nicoletta.vozza@crm.otsuka-europe.com</v>
      </c>
      <c r="N3770" s="13">
        <v>46181.338009259256</v>
      </c>
      <c r="O3770" s="14" t="str">
        <f>HYPERLINK("https://otsuka-europe-crm.veevavault.com/ui/#object/email_activity__v/V8C00000003P270", "EN-002089848")</f>
        <v>EN-002089848</v>
      </c>
    </row>
    <row r="3771" spans="1:15" ht="16" x14ac:dyDescent="0.2">
      <c r="A3771" s="17" t="str">
        <f>HYPERLINK("https://otsuka-europe-crm.veevavault.com/ui/#object/account__v/V4TZ06G6O71SAI6", "FRANCESCO PAOLO D'OSTUNI")</f>
        <v>FRANCESCO PAOLO D'OSTUNI</v>
      </c>
      <c r="B3771" s="17" t="str">
        <f t="shared" si="264"/>
        <v>IT</v>
      </c>
      <c r="C3771" s="20" t="s">
        <v>44</v>
      </c>
      <c r="D3771" s="21" t="str">
        <f t="shared" si="265"/>
        <v>AE dialoghi di tempo fiducia e cura episodi 2-3-4</v>
      </c>
      <c r="E3771" s="22" t="str">
        <f>HYPERLINK("https://otsuka-europe-crm.veevavault.com/ui/#object/sent_email__v/VBL00000002P160", "SE-001432830")</f>
        <v>SE-001432830</v>
      </c>
      <c r="F3771" s="25"/>
      <c r="G3771" s="24">
        <v>0</v>
      </c>
      <c r="H3771" s="24">
        <v>0</v>
      </c>
      <c r="I3771" s="24">
        <v>0</v>
      </c>
      <c r="J3771" s="25"/>
      <c r="K3771" s="24">
        <v>0</v>
      </c>
      <c r="L3771" s="22" t="str">
        <f t="shared" si="266"/>
        <v>AE dialoghi di tempo fiducia e cura episodi 2-3-4</v>
      </c>
      <c r="M3771" s="22" t="str">
        <f t="shared" si="267"/>
        <v>nicoletta.vozza@crm.otsuka-europe.com</v>
      </c>
      <c r="N3771" s="23">
        <v>46181.33797453704</v>
      </c>
      <c r="O3771" s="14" t="str">
        <f>HYPERLINK("https://otsuka-europe-crm.veevavault.com/ui/#object/email_activity__v/V8C00000003O773", "EN-002090433")</f>
        <v>EN-002090433</v>
      </c>
    </row>
    <row r="3772" spans="1:15" ht="16" x14ac:dyDescent="0.2">
      <c r="A3772" s="19"/>
      <c r="B3772" s="19"/>
      <c r="C3772" s="19"/>
      <c r="D3772" s="19"/>
      <c r="E3772" s="19"/>
      <c r="F3772" s="19"/>
      <c r="G3772" s="19"/>
      <c r="H3772" s="19"/>
      <c r="I3772" s="19"/>
      <c r="J3772" s="19"/>
      <c r="K3772" s="19"/>
      <c r="L3772" s="19"/>
      <c r="M3772" s="19"/>
      <c r="N3772" s="19"/>
      <c r="O3772" s="14" t="str">
        <f>HYPERLINK("https://otsuka-europe-crm.veevavault.com/ui/#object/email_activity__v/V8C00000003Q638", "EN-002092091")</f>
        <v>EN-002092091</v>
      </c>
    </row>
    <row r="3773" spans="1:15" ht="32" x14ac:dyDescent="0.2">
      <c r="A3773" s="7" t="str">
        <f>HYPERLINK("https://otsuka-europe-crm.veevavault.com/ui/#object/account__v/V4TZ04ASGB95T3C", "FRANCESCO PAOLO MACHI'")</f>
        <v>FRANCESCO PAOLO MACHI'</v>
      </c>
      <c r="B3773" s="7" t="str">
        <f>HYPERLINK("https://otsuka-europe-crm.veevavault.com/ui/#object/vcountry__v/VENZ000004SONFQ", "IT")</f>
        <v>IT</v>
      </c>
      <c r="C3773" s="8" t="s">
        <v>44</v>
      </c>
      <c r="D3773" s="9" t="str">
        <f>HYPERLINK("https://otsuka-europe-crm.veevavault.com/ui/#object/approved_document__v/V5O000000018003", "AE dialoghi di tempo fiducia e cura episodi 2-3-4")</f>
        <v>AE dialoghi di tempo fiducia e cura episodi 2-3-4</v>
      </c>
      <c r="E3773" s="10" t="str">
        <f>HYPERLINK("https://otsuka-europe-crm.veevavault.com/ui/#object/sent_email__v/VBL00000002P161", "SE-001432831")</f>
        <v>SE-001432831</v>
      </c>
      <c r="F3773" s="11"/>
      <c r="G3773" s="12">
        <v>0</v>
      </c>
      <c r="H3773" s="12">
        <v>0</v>
      </c>
      <c r="I3773" s="12">
        <v>0</v>
      </c>
      <c r="J3773" s="11"/>
      <c r="K3773" s="12">
        <v>0</v>
      </c>
      <c r="L3773" s="10" t="str">
        <f>HYPERLINK("https://otsuka-europe-crm.veevavault.com/ui/#object/approved_document__v/V5O000000018003", "AE dialoghi di tempo fiducia e cura episodi 2-3-4")</f>
        <v>AE dialoghi di tempo fiducia e cura episodi 2-3-4</v>
      </c>
      <c r="M3773" s="10" t="str">
        <f>HYPERLINK("mailto:nicoletta.vozza@crm.otsuka-europe.com", "nicoletta.vozza@crm.otsuka-europe.com")</f>
        <v>nicoletta.vozza@crm.otsuka-europe.com</v>
      </c>
      <c r="N3773" s="13">
        <v>46181.33797453704</v>
      </c>
      <c r="O3773" s="14" t="str">
        <f>HYPERLINK("https://otsuka-europe-crm.veevavault.com/ui/#object/email_activity__v/V8C00000003P147", "EN-002089547")</f>
        <v>EN-002089547</v>
      </c>
    </row>
    <row r="3774" spans="1:15" ht="32" x14ac:dyDescent="0.2">
      <c r="A3774" s="7" t="str">
        <f>HYPERLINK("https://otsuka-europe-crm.veevavault.com/ui/#object/account__v/V4TZ06G6O71SBRA", "FRANCESCO PERACCHIO")</f>
        <v>FRANCESCO PERACCHIO</v>
      </c>
      <c r="B3774" s="7" t="str">
        <f>HYPERLINK("https://otsuka-europe-crm.veevavault.com/ui/#object/vcountry__v/VENZ000004SONFQ", "IT")</f>
        <v>IT</v>
      </c>
      <c r="C3774" s="8" t="s">
        <v>44</v>
      </c>
      <c r="D3774" s="9" t="str">
        <f>HYPERLINK("https://otsuka-europe-crm.veevavault.com/ui/#object/approved_document__v/V5O000000018003", "AE dialoghi di tempo fiducia e cura episodi 2-3-4")</f>
        <v>AE dialoghi di tempo fiducia e cura episodi 2-3-4</v>
      </c>
      <c r="E3774" s="10" t="str">
        <f>HYPERLINK("https://otsuka-europe-crm.veevavault.com/ui/#object/sent_email__v/VBL00000002P162", "SE-001432832")</f>
        <v>SE-001432832</v>
      </c>
      <c r="F3774" s="11"/>
      <c r="G3774" s="12">
        <v>0</v>
      </c>
      <c r="H3774" s="12">
        <v>0</v>
      </c>
      <c r="I3774" s="12">
        <v>0</v>
      </c>
      <c r="J3774" s="11"/>
      <c r="K3774" s="12">
        <v>0</v>
      </c>
      <c r="L3774" s="10" t="str">
        <f>HYPERLINK("https://otsuka-europe-crm.veevavault.com/ui/#object/approved_document__v/V5O000000018003", "AE dialoghi di tempo fiducia e cura episodi 2-3-4")</f>
        <v>AE dialoghi di tempo fiducia e cura episodi 2-3-4</v>
      </c>
      <c r="M3774" s="10" t="str">
        <f>HYPERLINK("mailto:nicoletta.vozza@crm.otsuka-europe.com", "nicoletta.vozza@crm.otsuka-europe.com")</f>
        <v>nicoletta.vozza@crm.otsuka-europe.com</v>
      </c>
      <c r="N3774" s="13">
        <v>46181.33797453704</v>
      </c>
      <c r="O3774" s="14" t="str">
        <f>HYPERLINK("https://otsuka-europe-crm.veevavault.com/ui/#object/email_activity__v/V8C00000003O908", "EN-002090568")</f>
        <v>EN-002090568</v>
      </c>
    </row>
    <row r="3775" spans="1:15" ht="16" x14ac:dyDescent="0.2">
      <c r="A3775" s="17" t="str">
        <f>HYPERLINK("https://otsuka-europe-crm.veevavault.com/ui/#object/account__v/V4TZ06G6O71SBRJ", "FRANCESCO PERRIS")</f>
        <v>FRANCESCO PERRIS</v>
      </c>
      <c r="B3775" s="17" t="str">
        <f>HYPERLINK("https://otsuka-europe-crm.veevavault.com/ui/#object/vcountry__v/VENZ000004SONFQ", "IT")</f>
        <v>IT</v>
      </c>
      <c r="C3775" s="20" t="s">
        <v>44</v>
      </c>
      <c r="D3775" s="21" t="str">
        <f>HYPERLINK("https://otsuka-europe-crm.veevavault.com/ui/#object/approved_document__v/V5O000000018003", "AE dialoghi di tempo fiducia e cura episodi 2-3-4")</f>
        <v>AE dialoghi di tempo fiducia e cura episodi 2-3-4</v>
      </c>
      <c r="E3775" s="22" t="str">
        <f>HYPERLINK("https://otsuka-europe-crm.veevavault.com/ui/#object/sent_email__v/VBL00000002P163", "SE-001432833")</f>
        <v>SE-001432833</v>
      </c>
      <c r="F3775" s="25"/>
      <c r="G3775" s="24">
        <v>0</v>
      </c>
      <c r="H3775" s="24">
        <v>0</v>
      </c>
      <c r="I3775" s="24">
        <v>0</v>
      </c>
      <c r="J3775" s="25"/>
      <c r="K3775" s="24">
        <v>0</v>
      </c>
      <c r="L3775" s="22" t="str">
        <f>HYPERLINK("https://otsuka-europe-crm.veevavault.com/ui/#object/approved_document__v/V5O000000018003", "AE dialoghi di tempo fiducia e cura episodi 2-3-4")</f>
        <v>AE dialoghi di tempo fiducia e cura episodi 2-3-4</v>
      </c>
      <c r="M3775" s="22" t="str">
        <f>HYPERLINK("mailto:nicoletta.vozza@crm.otsuka-europe.com", "nicoletta.vozza@crm.otsuka-europe.com")</f>
        <v>nicoletta.vozza@crm.otsuka-europe.com</v>
      </c>
      <c r="N3775" s="23">
        <v>46181.337997685187</v>
      </c>
      <c r="O3775" s="14" t="str">
        <f>HYPERLINK("https://otsuka-europe-crm.veevavault.com/ui/#object/email_activity__v/V8C00000003O331", "EN-002089808")</f>
        <v>EN-002089808</v>
      </c>
    </row>
    <row r="3776" spans="1:15" ht="16" x14ac:dyDescent="0.2">
      <c r="A3776" s="18"/>
      <c r="B3776" s="18"/>
      <c r="C3776" s="18"/>
      <c r="D3776" s="18"/>
      <c r="E3776" s="18"/>
      <c r="F3776" s="18"/>
      <c r="G3776" s="18"/>
      <c r="H3776" s="18"/>
      <c r="I3776" s="18"/>
      <c r="J3776" s="18"/>
      <c r="K3776" s="18"/>
      <c r="L3776" s="18"/>
      <c r="M3776" s="18"/>
      <c r="N3776" s="18"/>
      <c r="O3776" s="14" t="str">
        <f>HYPERLINK("https://otsuka-europe-crm.veevavault.com/ui/#object/email_activity__v/V8C00000003T421", "EN-002094463")</f>
        <v>EN-002094463</v>
      </c>
    </row>
    <row r="3777" spans="1:15" ht="16" x14ac:dyDescent="0.2">
      <c r="A3777" s="19"/>
      <c r="B3777" s="19"/>
      <c r="C3777" s="19"/>
      <c r="D3777" s="19"/>
      <c r="E3777" s="19"/>
      <c r="F3777" s="19"/>
      <c r="G3777" s="19"/>
      <c r="H3777" s="19"/>
      <c r="I3777" s="19"/>
      <c r="J3777" s="19"/>
      <c r="K3777" s="19"/>
      <c r="L3777" s="19"/>
      <c r="M3777" s="19"/>
      <c r="N3777" s="19"/>
      <c r="O3777" s="14" t="str">
        <f>HYPERLINK("https://otsuka-europe-crm.veevavault.com/ui/#object/email_activity__v/V8C00000003U368", "EN-002095601")</f>
        <v>EN-002095601</v>
      </c>
    </row>
    <row r="3778" spans="1:15" ht="32" x14ac:dyDescent="0.2">
      <c r="A3778" s="7" t="str">
        <f>HYPERLINK("https://otsuka-europe-crm.veevavault.com/ui/#object/account__v/V4TZ06G6OB49GBC", "FRANCESCO POLVERELLI")</f>
        <v>FRANCESCO POLVERELLI</v>
      </c>
      <c r="B3778" s="7" t="str">
        <f t="shared" ref="B3778:B3791" si="268">HYPERLINK("https://otsuka-europe-crm.veevavault.com/ui/#object/vcountry__v/VENZ000004SONFQ", "IT")</f>
        <v>IT</v>
      </c>
      <c r="C3778" s="8" t="s">
        <v>44</v>
      </c>
      <c r="D3778" s="9" t="str">
        <f t="shared" ref="D3778:D3791" si="269">HYPERLINK("https://otsuka-europe-crm.veevavault.com/ui/#object/approved_document__v/V5O000000018003", "AE dialoghi di tempo fiducia e cura episodi 2-3-4")</f>
        <v>AE dialoghi di tempo fiducia e cura episodi 2-3-4</v>
      </c>
      <c r="E3778" s="10" t="str">
        <f>HYPERLINK("https://otsuka-europe-crm.veevavault.com/ui/#object/sent_email__v/VBL00000002P164", "SE-001432834")</f>
        <v>SE-001432834</v>
      </c>
      <c r="F3778" s="11"/>
      <c r="G3778" s="12">
        <v>0</v>
      </c>
      <c r="H3778" s="12">
        <v>0</v>
      </c>
      <c r="I3778" s="12">
        <v>0</v>
      </c>
      <c r="J3778" s="11"/>
      <c r="K3778" s="12">
        <v>0</v>
      </c>
      <c r="L3778" s="10" t="str">
        <f t="shared" ref="L3778:L3791" si="270">HYPERLINK("https://otsuka-europe-crm.veevavault.com/ui/#object/approved_document__v/V5O000000018003", "AE dialoghi di tempo fiducia e cura episodi 2-3-4")</f>
        <v>AE dialoghi di tempo fiducia e cura episodi 2-3-4</v>
      </c>
      <c r="M3778" s="10" t="str">
        <f t="shared" ref="M3778:M3791" si="271">HYPERLINK("mailto:nicoletta.vozza@crm.otsuka-europe.com", "nicoletta.vozza@crm.otsuka-europe.com")</f>
        <v>nicoletta.vozza@crm.otsuka-europe.com</v>
      </c>
      <c r="N3778" s="13">
        <v>46181.337962962964</v>
      </c>
      <c r="O3778" s="14" t="str">
        <f>HYPERLINK("https://otsuka-europe-crm.veevavault.com/ui/#object/email_activity__v/V8C00000003P389", "EN-002090395")</f>
        <v>EN-002090395</v>
      </c>
    </row>
    <row r="3779" spans="1:15" ht="32" x14ac:dyDescent="0.2">
      <c r="A3779" s="7" t="str">
        <f>HYPERLINK("https://otsuka-europe-crm.veevavault.com/ui/#object/account__v/V4TZ06G6O71S9U1", "FRANCESCO PROST")</f>
        <v>FRANCESCO PROST</v>
      </c>
      <c r="B3779" s="7" t="str">
        <f t="shared" si="268"/>
        <v>IT</v>
      </c>
      <c r="C3779" s="8" t="s">
        <v>44</v>
      </c>
      <c r="D3779" s="9" t="str">
        <f t="shared" si="269"/>
        <v>AE dialoghi di tempo fiducia e cura episodi 2-3-4</v>
      </c>
      <c r="E3779" s="10" t="str">
        <f>HYPERLINK("https://otsuka-europe-crm.veevavault.com/ui/#object/sent_email__v/VBL00000002P165", "SE-001432835")</f>
        <v>SE-001432835</v>
      </c>
      <c r="F3779" s="11"/>
      <c r="G3779" s="12">
        <v>0</v>
      </c>
      <c r="H3779" s="12">
        <v>0</v>
      </c>
      <c r="I3779" s="12">
        <v>0</v>
      </c>
      <c r="J3779" s="11"/>
      <c r="K3779" s="12">
        <v>0</v>
      </c>
      <c r="L3779" s="10" t="str">
        <f t="shared" si="270"/>
        <v>AE dialoghi di tempo fiducia e cura episodi 2-3-4</v>
      </c>
      <c r="M3779" s="10" t="str">
        <f t="shared" si="271"/>
        <v>nicoletta.vozza@crm.otsuka-europe.com</v>
      </c>
      <c r="N3779" s="13">
        <v>46181.337962962964</v>
      </c>
      <c r="O3779" s="14" t="str">
        <f>HYPERLINK("https://otsuka-europe-crm.veevavault.com/ui/#object/email_activity__v/V8C00000003P169", "EN-002089569")</f>
        <v>EN-002089569</v>
      </c>
    </row>
    <row r="3780" spans="1:15" ht="32" x14ac:dyDescent="0.2">
      <c r="A3780" s="7" t="str">
        <f>HYPERLINK("https://otsuka-europe-crm.veevavault.com/ui/#object/account__v/V4TZ06G6O71SC1I", "FRANCESCO RESTAINO")</f>
        <v>FRANCESCO RESTAINO</v>
      </c>
      <c r="B3780" s="7" t="str">
        <f t="shared" si="268"/>
        <v>IT</v>
      </c>
      <c r="C3780" s="8" t="s">
        <v>44</v>
      </c>
      <c r="D3780" s="9" t="str">
        <f t="shared" si="269"/>
        <v>AE dialoghi di tempo fiducia e cura episodi 2-3-4</v>
      </c>
      <c r="E3780" s="10" t="str">
        <f>HYPERLINK("https://otsuka-europe-crm.veevavault.com/ui/#object/sent_email__v/VBL00000002P166", "SE-001432836")</f>
        <v>SE-001432836</v>
      </c>
      <c r="F3780" s="11"/>
      <c r="G3780" s="12">
        <v>0</v>
      </c>
      <c r="H3780" s="12">
        <v>0</v>
      </c>
      <c r="I3780" s="12">
        <v>0</v>
      </c>
      <c r="J3780" s="11"/>
      <c r="K3780" s="12">
        <v>0</v>
      </c>
      <c r="L3780" s="10" t="str">
        <f t="shared" si="270"/>
        <v>AE dialoghi di tempo fiducia e cura episodi 2-3-4</v>
      </c>
      <c r="M3780" s="10" t="str">
        <f t="shared" si="271"/>
        <v>nicoletta.vozza@crm.otsuka-europe.com</v>
      </c>
      <c r="N3780" s="13">
        <v>46181.338067129633</v>
      </c>
      <c r="O3780" s="14" t="str">
        <f>HYPERLINK("https://otsuka-europe-crm.veevavault.com/ui/#object/email_activity__v/V8C00000003Q042", "EN-002091008")</f>
        <v>EN-002091008</v>
      </c>
    </row>
    <row r="3781" spans="1:15" ht="32" x14ac:dyDescent="0.2">
      <c r="A3781" s="7" t="str">
        <f>HYPERLINK("https://otsuka-europe-crm.veevavault.com/ui/#object/account__v/V4TZ025E8774DVR", "FRANCESCO RISPOLI")</f>
        <v>FRANCESCO RISPOLI</v>
      </c>
      <c r="B3781" s="7" t="str">
        <f t="shared" si="268"/>
        <v>IT</v>
      </c>
      <c r="C3781" s="8" t="s">
        <v>44</v>
      </c>
      <c r="D3781" s="9" t="str">
        <f t="shared" si="269"/>
        <v>AE dialoghi di tempo fiducia e cura episodi 2-3-4</v>
      </c>
      <c r="E3781" s="10" t="str">
        <f>HYPERLINK("https://otsuka-europe-crm.veevavault.com/ui/#object/sent_email__v/VBL00000002P167", "SE-001432837")</f>
        <v>SE-001432837</v>
      </c>
      <c r="F3781" s="11"/>
      <c r="G3781" s="12">
        <v>0</v>
      </c>
      <c r="H3781" s="12">
        <v>0</v>
      </c>
      <c r="I3781" s="12">
        <v>0</v>
      </c>
      <c r="J3781" s="11"/>
      <c r="K3781" s="12">
        <v>0</v>
      </c>
      <c r="L3781" s="10" t="str">
        <f t="shared" si="270"/>
        <v>AE dialoghi di tempo fiducia e cura episodi 2-3-4</v>
      </c>
      <c r="M3781" s="10" t="str">
        <f t="shared" si="271"/>
        <v>nicoletta.vozza@crm.otsuka-europe.com</v>
      </c>
      <c r="N3781" s="13">
        <v>46181.337951388887</v>
      </c>
      <c r="O3781" s="14" t="str">
        <f>HYPERLINK("https://otsuka-europe-crm.veevavault.com/ui/#object/email_activity__v/V8C00000003O295", "EN-002089772")</f>
        <v>EN-002089772</v>
      </c>
    </row>
    <row r="3782" spans="1:15" ht="32" x14ac:dyDescent="0.2">
      <c r="A3782" s="7" t="str">
        <f>HYPERLINK("https://otsuka-europe-crm.veevavault.com/ui/#object/account__v/V4TZ04ASGBC7YM0", "FRANCESCO RISSO")</f>
        <v>FRANCESCO RISSO</v>
      </c>
      <c r="B3782" s="7" t="str">
        <f t="shared" si="268"/>
        <v>IT</v>
      </c>
      <c r="C3782" s="8" t="s">
        <v>44</v>
      </c>
      <c r="D3782" s="9" t="str">
        <f t="shared" si="269"/>
        <v>AE dialoghi di tempo fiducia e cura episodi 2-3-4</v>
      </c>
      <c r="E3782" s="10" t="str">
        <f>HYPERLINK("https://otsuka-europe-crm.veevavault.com/ui/#object/sent_email__v/VBL00000002P168", "SE-001432838")</f>
        <v>SE-001432838</v>
      </c>
      <c r="F3782" s="11"/>
      <c r="G3782" s="12">
        <v>0</v>
      </c>
      <c r="H3782" s="12">
        <v>0</v>
      </c>
      <c r="I3782" s="12">
        <v>0</v>
      </c>
      <c r="J3782" s="11"/>
      <c r="K3782" s="12">
        <v>0</v>
      </c>
      <c r="L3782" s="10" t="str">
        <f t="shared" si="270"/>
        <v>AE dialoghi di tempo fiducia e cura episodi 2-3-4</v>
      </c>
      <c r="M3782" s="10" t="str">
        <f t="shared" si="271"/>
        <v>nicoletta.vozza@crm.otsuka-europe.com</v>
      </c>
      <c r="N3782" s="13">
        <v>46181.338067129633</v>
      </c>
      <c r="O3782" s="14" t="str">
        <f>HYPERLINK("https://otsuka-europe-crm.veevavault.com/ui/#object/email_activity__v/V8C00000003O929", "EN-002090589")</f>
        <v>EN-002090589</v>
      </c>
    </row>
    <row r="3783" spans="1:15" ht="32" x14ac:dyDescent="0.2">
      <c r="A3783" s="7" t="str">
        <f>HYPERLINK("https://otsuka-europe-crm.veevavault.com/ui/#object/account__v/V4TZ06G6O71SC7W", "FRANCESCO SERGI")</f>
        <v>FRANCESCO SERGI</v>
      </c>
      <c r="B3783" s="7" t="str">
        <f t="shared" si="268"/>
        <v>IT</v>
      </c>
      <c r="C3783" s="8" t="s">
        <v>44</v>
      </c>
      <c r="D3783" s="9" t="str">
        <f t="shared" si="269"/>
        <v>AE dialoghi di tempo fiducia e cura episodi 2-3-4</v>
      </c>
      <c r="E3783" s="10" t="str">
        <f>HYPERLINK("https://otsuka-europe-crm.veevavault.com/ui/#object/sent_email__v/VBL00000002P169", "SE-001432839")</f>
        <v>SE-001432839</v>
      </c>
      <c r="F3783" s="11"/>
      <c r="G3783" s="12">
        <v>0</v>
      </c>
      <c r="H3783" s="12">
        <v>0</v>
      </c>
      <c r="I3783" s="12">
        <v>0</v>
      </c>
      <c r="J3783" s="11"/>
      <c r="K3783" s="12">
        <v>0</v>
      </c>
      <c r="L3783" s="10" t="str">
        <f t="shared" si="270"/>
        <v>AE dialoghi di tempo fiducia e cura episodi 2-3-4</v>
      </c>
      <c r="M3783" s="10" t="str">
        <f t="shared" si="271"/>
        <v>nicoletta.vozza@crm.otsuka-europe.com</v>
      </c>
      <c r="N3783" s="13">
        <v>46181.338067129633</v>
      </c>
      <c r="O3783" s="14" t="str">
        <f>HYPERLINK("https://otsuka-europe-crm.veevavault.com/ui/#object/email_activity__v/V8C00000003P375", "EN-002090381")</f>
        <v>EN-002090381</v>
      </c>
    </row>
    <row r="3784" spans="1:15" ht="32" x14ac:dyDescent="0.2">
      <c r="A3784" s="7" t="str">
        <f>HYPERLINK("https://otsuka-europe-crm.veevavault.com/ui/#object/account__v/V4TZ06G6O71SCOF", "FRANCESCO VALORI")</f>
        <v>FRANCESCO VALORI</v>
      </c>
      <c r="B3784" s="7" t="str">
        <f t="shared" si="268"/>
        <v>IT</v>
      </c>
      <c r="C3784" s="8" t="s">
        <v>44</v>
      </c>
      <c r="D3784" s="9" t="str">
        <f t="shared" si="269"/>
        <v>AE dialoghi di tempo fiducia e cura episodi 2-3-4</v>
      </c>
      <c r="E3784" s="10" t="str">
        <f>HYPERLINK("https://otsuka-europe-crm.veevavault.com/ui/#object/sent_email__v/VBL00000002P170", "SE-001432840")</f>
        <v>SE-001432840</v>
      </c>
      <c r="F3784" s="11"/>
      <c r="G3784" s="12">
        <v>0</v>
      </c>
      <c r="H3784" s="12">
        <v>0</v>
      </c>
      <c r="I3784" s="12">
        <v>0</v>
      </c>
      <c r="J3784" s="11"/>
      <c r="K3784" s="12">
        <v>0</v>
      </c>
      <c r="L3784" s="10" t="str">
        <f t="shared" si="270"/>
        <v>AE dialoghi di tempo fiducia e cura episodi 2-3-4</v>
      </c>
      <c r="M3784" s="10" t="str">
        <f t="shared" si="271"/>
        <v>nicoletta.vozza@crm.otsuka-europe.com</v>
      </c>
      <c r="N3784" s="13">
        <v>46181.337997685187</v>
      </c>
      <c r="O3784" s="14" t="str">
        <f>HYPERLINK("https://otsuka-europe-crm.veevavault.com/ui/#object/email_activity__v/V8C00000003O986", "EN-002090735")</f>
        <v>EN-002090735</v>
      </c>
    </row>
    <row r="3785" spans="1:15" ht="32" x14ac:dyDescent="0.2">
      <c r="A3785" s="7" t="str">
        <f>HYPERLINK("https://otsuka-europe-crm.veevavault.com/ui/#object/account__v/V4TZ06G6O71SCQ9", "FRANCESCO VINCI")</f>
        <v>FRANCESCO VINCI</v>
      </c>
      <c r="B3785" s="7" t="str">
        <f t="shared" si="268"/>
        <v>IT</v>
      </c>
      <c r="C3785" s="8" t="s">
        <v>44</v>
      </c>
      <c r="D3785" s="9" t="str">
        <f t="shared" si="269"/>
        <v>AE dialoghi di tempo fiducia e cura episodi 2-3-4</v>
      </c>
      <c r="E3785" s="10" t="str">
        <f>HYPERLINK("https://otsuka-europe-crm.veevavault.com/ui/#object/sent_email__v/VBL00000002P171", "SE-001432841")</f>
        <v>SE-001432841</v>
      </c>
      <c r="F3785" s="11"/>
      <c r="G3785" s="12">
        <v>0</v>
      </c>
      <c r="H3785" s="12">
        <v>0</v>
      </c>
      <c r="I3785" s="12">
        <v>0</v>
      </c>
      <c r="J3785" s="11"/>
      <c r="K3785" s="12">
        <v>0</v>
      </c>
      <c r="L3785" s="10" t="str">
        <f t="shared" si="270"/>
        <v>AE dialoghi di tempo fiducia e cura episodi 2-3-4</v>
      </c>
      <c r="M3785" s="10" t="str">
        <f t="shared" si="271"/>
        <v>nicoletta.vozza@crm.otsuka-europe.com</v>
      </c>
      <c r="N3785" s="13">
        <v>46181.337962962964</v>
      </c>
      <c r="O3785" s="14" t="str">
        <f>HYPERLINK("https://otsuka-europe-crm.veevavault.com/ui/#object/email_activity__v/V8C00000003P170", "EN-002089570")</f>
        <v>EN-002089570</v>
      </c>
    </row>
    <row r="3786" spans="1:15" ht="32" x14ac:dyDescent="0.2">
      <c r="A3786" s="7" t="str">
        <f>HYPERLINK("https://otsuka-europe-crm.veevavault.com/ui/#object/account__v/V4TZ04ASGC2CCD7", "FRANCESCO XERRA")</f>
        <v>FRANCESCO XERRA</v>
      </c>
      <c r="B3786" s="7" t="str">
        <f t="shared" si="268"/>
        <v>IT</v>
      </c>
      <c r="C3786" s="8" t="s">
        <v>44</v>
      </c>
      <c r="D3786" s="9" t="str">
        <f t="shared" si="269"/>
        <v>AE dialoghi di tempo fiducia e cura episodi 2-3-4</v>
      </c>
      <c r="E3786" s="10" t="str">
        <f>HYPERLINK("https://otsuka-europe-crm.veevavault.com/ui/#object/sent_email__v/VBL00000002P172", "SE-001432842")</f>
        <v>SE-001432842</v>
      </c>
      <c r="F3786" s="11"/>
      <c r="G3786" s="12">
        <v>0</v>
      </c>
      <c r="H3786" s="12">
        <v>0</v>
      </c>
      <c r="I3786" s="12">
        <v>0</v>
      </c>
      <c r="J3786" s="11"/>
      <c r="K3786" s="12">
        <v>0</v>
      </c>
      <c r="L3786" s="10" t="str">
        <f t="shared" si="270"/>
        <v>AE dialoghi di tempo fiducia e cura episodi 2-3-4</v>
      </c>
      <c r="M3786" s="10" t="str">
        <f t="shared" si="271"/>
        <v>nicoletta.vozza@crm.otsuka-europe.com</v>
      </c>
      <c r="N3786" s="13">
        <v>46181.33798611111</v>
      </c>
      <c r="O3786" s="14" t="str">
        <f>HYPERLINK("https://otsuka-europe-crm.veevavault.com/ui/#object/email_activity__v/V8C00000003P551", "EN-002090806")</f>
        <v>EN-002090806</v>
      </c>
    </row>
    <row r="3787" spans="1:15" ht="32" x14ac:dyDescent="0.2">
      <c r="A3787" s="7" t="str">
        <f>HYPERLINK("https://otsuka-europe-crm.veevavault.com/ui/#object/account__v/V4TZ06G6OA5WSBH", "FULVIA GRIMALDI")</f>
        <v>FULVIA GRIMALDI</v>
      </c>
      <c r="B3787" s="7" t="str">
        <f t="shared" si="268"/>
        <v>IT</v>
      </c>
      <c r="C3787" s="8" t="s">
        <v>44</v>
      </c>
      <c r="D3787" s="9" t="str">
        <f t="shared" si="269"/>
        <v>AE dialoghi di tempo fiducia e cura episodi 2-3-4</v>
      </c>
      <c r="E3787" s="10" t="str">
        <f>HYPERLINK("https://otsuka-europe-crm.veevavault.com/ui/#object/sent_email__v/VBL00000002P173", "SE-001432843")</f>
        <v>SE-001432843</v>
      </c>
      <c r="F3787" s="11"/>
      <c r="G3787" s="12">
        <v>0</v>
      </c>
      <c r="H3787" s="12">
        <v>0</v>
      </c>
      <c r="I3787" s="12">
        <v>0</v>
      </c>
      <c r="J3787" s="11"/>
      <c r="K3787" s="12">
        <v>0</v>
      </c>
      <c r="L3787" s="10" t="str">
        <f t="shared" si="270"/>
        <v>AE dialoghi di tempo fiducia e cura episodi 2-3-4</v>
      </c>
      <c r="M3787" s="10" t="str">
        <f t="shared" si="271"/>
        <v>nicoletta.vozza@crm.otsuka-europe.com</v>
      </c>
      <c r="N3787" s="13">
        <v>46181.33798611111</v>
      </c>
      <c r="O3787" s="14" t="str">
        <f>HYPERLINK("https://otsuka-europe-crm.veevavault.com/ui/#object/email_activity__v/V8C00000003O735", "EN-002090291")</f>
        <v>EN-002090291</v>
      </c>
    </row>
    <row r="3788" spans="1:15" ht="32" x14ac:dyDescent="0.2">
      <c r="A3788" s="7" t="str">
        <f>HYPERLINK("https://otsuka-europe-crm.veevavault.com/ui/#object/account__v/V4TZ06G6O9MZDTE", "FULVIO FERRANTE")</f>
        <v>FULVIO FERRANTE</v>
      </c>
      <c r="B3788" s="7" t="str">
        <f t="shared" si="268"/>
        <v>IT</v>
      </c>
      <c r="C3788" s="8" t="s">
        <v>44</v>
      </c>
      <c r="D3788" s="9" t="str">
        <f t="shared" si="269"/>
        <v>AE dialoghi di tempo fiducia e cura episodi 2-3-4</v>
      </c>
      <c r="E3788" s="10" t="str">
        <f>HYPERLINK("https://otsuka-europe-crm.veevavault.com/ui/#object/sent_email__v/VBL00000002P174", "SE-001432844")</f>
        <v>SE-001432844</v>
      </c>
      <c r="F3788" s="11"/>
      <c r="G3788" s="12">
        <v>0</v>
      </c>
      <c r="H3788" s="12">
        <v>0</v>
      </c>
      <c r="I3788" s="12">
        <v>0</v>
      </c>
      <c r="J3788" s="11"/>
      <c r="K3788" s="12">
        <v>0</v>
      </c>
      <c r="L3788" s="10" t="str">
        <f t="shared" si="270"/>
        <v>AE dialoghi di tempo fiducia e cura episodi 2-3-4</v>
      </c>
      <c r="M3788" s="10" t="str">
        <f t="shared" si="271"/>
        <v>nicoletta.vozza@crm.otsuka-europe.com</v>
      </c>
      <c r="N3788" s="13">
        <v>46181.33798611111</v>
      </c>
      <c r="O3788" s="14" t="str">
        <f>HYPERLINK("https://otsuka-europe-crm.veevavault.com/ui/#object/email_activity__v/V8C00000003P553", "EN-002090808")</f>
        <v>EN-002090808</v>
      </c>
    </row>
    <row r="3789" spans="1:15" ht="32" x14ac:dyDescent="0.2">
      <c r="A3789" s="7" t="str">
        <f>HYPERLINK("https://otsuka-europe-crm.veevavault.com/ui/#object/account__v/V4TZ06G6O71SBSL", "FULVIO PESANDO")</f>
        <v>FULVIO PESANDO</v>
      </c>
      <c r="B3789" s="7" t="str">
        <f t="shared" si="268"/>
        <v>IT</v>
      </c>
      <c r="C3789" s="8" t="s">
        <v>44</v>
      </c>
      <c r="D3789" s="9" t="str">
        <f t="shared" si="269"/>
        <v>AE dialoghi di tempo fiducia e cura episodi 2-3-4</v>
      </c>
      <c r="E3789" s="10" t="str">
        <f>HYPERLINK("https://otsuka-europe-crm.veevavault.com/ui/#object/sent_email__v/VBL00000002P175", "SE-001432845")</f>
        <v>SE-001432845</v>
      </c>
      <c r="F3789" s="11"/>
      <c r="G3789" s="12">
        <v>0</v>
      </c>
      <c r="H3789" s="12">
        <v>0</v>
      </c>
      <c r="I3789" s="12">
        <v>0</v>
      </c>
      <c r="J3789" s="11"/>
      <c r="K3789" s="12">
        <v>0</v>
      </c>
      <c r="L3789" s="10" t="str">
        <f t="shared" si="270"/>
        <v>AE dialoghi di tempo fiducia e cura episodi 2-3-4</v>
      </c>
      <c r="M3789" s="10" t="str">
        <f t="shared" si="271"/>
        <v>nicoletta.vozza@crm.otsuka-europe.com</v>
      </c>
      <c r="N3789" s="13">
        <v>46181.337962962964</v>
      </c>
      <c r="O3789" s="14" t="str">
        <f>HYPERLINK("https://otsuka-europe-crm.veevavault.com/ui/#object/email_activity__v/V8C00000003O213", "EN-002089690")</f>
        <v>EN-002089690</v>
      </c>
    </row>
    <row r="3790" spans="1:15" ht="32" x14ac:dyDescent="0.2">
      <c r="A3790" s="7" t="str">
        <f>HYPERLINK("https://otsuka-europe-crm.veevavault.com/ui/#object/account__v/V4TZ06G6O71SC2L", "FULVIO RATTO")</f>
        <v>FULVIO RATTO</v>
      </c>
      <c r="B3790" s="7" t="str">
        <f t="shared" si="268"/>
        <v>IT</v>
      </c>
      <c r="C3790" s="8" t="s">
        <v>44</v>
      </c>
      <c r="D3790" s="9" t="str">
        <f t="shared" si="269"/>
        <v>AE dialoghi di tempo fiducia e cura episodi 2-3-4</v>
      </c>
      <c r="E3790" s="10" t="str">
        <f>HYPERLINK("https://otsuka-europe-crm.veevavault.com/ui/#object/sent_email__v/VBL00000002P176", "SE-001432846")</f>
        <v>SE-001432846</v>
      </c>
      <c r="F3790" s="11"/>
      <c r="G3790" s="12">
        <v>0</v>
      </c>
      <c r="H3790" s="12">
        <v>0</v>
      </c>
      <c r="I3790" s="12">
        <v>0</v>
      </c>
      <c r="J3790" s="11"/>
      <c r="K3790" s="12">
        <v>0</v>
      </c>
      <c r="L3790" s="10" t="str">
        <f t="shared" si="270"/>
        <v>AE dialoghi di tempo fiducia e cura episodi 2-3-4</v>
      </c>
      <c r="M3790" s="10" t="str">
        <f t="shared" si="271"/>
        <v>nicoletta.vozza@crm.otsuka-europe.com</v>
      </c>
      <c r="N3790" s="13">
        <v>46181.337951388887</v>
      </c>
      <c r="O3790" s="14" t="str">
        <f>HYPERLINK("https://otsuka-europe-crm.veevavault.com/ui/#object/email_activity__v/V8C00000003O405", "EN-002089961")</f>
        <v>EN-002089961</v>
      </c>
    </row>
    <row r="3791" spans="1:15" ht="16" x14ac:dyDescent="0.2">
      <c r="A3791" s="17" t="str">
        <f>HYPERLINK("https://otsuka-europe-crm.veevavault.com/ui/#object/account__v/V4TZ025E82ZX18B", "GABRIELE ARDUINO")</f>
        <v>GABRIELE ARDUINO</v>
      </c>
      <c r="B3791" s="17" t="str">
        <f t="shared" si="268"/>
        <v>IT</v>
      </c>
      <c r="C3791" s="20" t="s">
        <v>44</v>
      </c>
      <c r="D3791" s="21" t="str">
        <f t="shared" si="269"/>
        <v>AE dialoghi di tempo fiducia e cura episodi 2-3-4</v>
      </c>
      <c r="E3791" s="22" t="str">
        <f>HYPERLINK("https://otsuka-europe-crm.veevavault.com/ui/#object/sent_email__v/VBL00000002P177", "SE-001432847")</f>
        <v>SE-001432847</v>
      </c>
      <c r="F3791" s="23">
        <v>46181.679432870369</v>
      </c>
      <c r="G3791" s="24">
        <v>1</v>
      </c>
      <c r="H3791" s="24">
        <v>2</v>
      </c>
      <c r="I3791" s="24">
        <v>0</v>
      </c>
      <c r="J3791" s="25"/>
      <c r="K3791" s="24">
        <v>0</v>
      </c>
      <c r="L3791" s="22" t="str">
        <f t="shared" si="270"/>
        <v>AE dialoghi di tempo fiducia e cura episodi 2-3-4</v>
      </c>
      <c r="M3791" s="22" t="str">
        <f t="shared" si="271"/>
        <v>nicoletta.vozza@crm.otsuka-europe.com</v>
      </c>
      <c r="N3791" s="23">
        <v>46181.33797453704</v>
      </c>
      <c r="O3791" s="14" t="str">
        <f>HYPERLINK("https://otsuka-europe-crm.veevavault.com/ui/#object/email_activity__v/V8C00000003O264", "EN-002089741")</f>
        <v>EN-002089741</v>
      </c>
    </row>
    <row r="3792" spans="1:15" ht="16" x14ac:dyDescent="0.2">
      <c r="A3792" s="18"/>
      <c r="B3792" s="18"/>
      <c r="C3792" s="18"/>
      <c r="D3792" s="18"/>
      <c r="E3792" s="18"/>
      <c r="F3792" s="18"/>
      <c r="G3792" s="18"/>
      <c r="H3792" s="18"/>
      <c r="I3792" s="18"/>
      <c r="J3792" s="18"/>
      <c r="K3792" s="18"/>
      <c r="L3792" s="18"/>
      <c r="M3792" s="18"/>
      <c r="N3792" s="18"/>
      <c r="O3792" s="14" t="str">
        <f>HYPERLINK("https://otsuka-europe-crm.veevavault.com/ui/#object/email_activity__v/V8C00000003Q502", "EN-002091820")</f>
        <v>EN-002091820</v>
      </c>
    </row>
    <row r="3793" spans="1:15" ht="16" x14ac:dyDescent="0.2">
      <c r="A3793" s="19"/>
      <c r="B3793" s="19"/>
      <c r="C3793" s="19"/>
      <c r="D3793" s="19"/>
      <c r="E3793" s="19"/>
      <c r="F3793" s="19"/>
      <c r="G3793" s="19"/>
      <c r="H3793" s="19"/>
      <c r="I3793" s="19"/>
      <c r="J3793" s="19"/>
      <c r="K3793" s="19"/>
      <c r="L3793" s="19"/>
      <c r="M3793" s="19"/>
      <c r="N3793" s="19"/>
      <c r="O3793" s="14" t="str">
        <f>HYPERLINK("https://otsuka-europe-crm.veevavault.com/ui/#object/email_activity__v/V8C00000003Q630", "EN-002092082")</f>
        <v>EN-002092082</v>
      </c>
    </row>
    <row r="3794" spans="1:15" ht="16" x14ac:dyDescent="0.2">
      <c r="A3794" s="17" t="str">
        <f>HYPERLINK("https://otsuka-europe-crm.veevavault.com/ui/#object/account__v/V4TZ025E82F84PZ", "GABRIELE CAPPELLATO")</f>
        <v>GABRIELE CAPPELLATO</v>
      </c>
      <c r="B3794" s="17" t="str">
        <f>HYPERLINK("https://otsuka-europe-crm.veevavault.com/ui/#object/vcountry__v/VENZ000004SONFQ", "IT")</f>
        <v>IT</v>
      </c>
      <c r="C3794" s="20" t="s">
        <v>44</v>
      </c>
      <c r="D3794" s="21" t="str">
        <f>HYPERLINK("https://otsuka-europe-crm.veevavault.com/ui/#object/approved_document__v/V5O000000018003", "AE dialoghi di tempo fiducia e cura episodi 2-3-4")</f>
        <v>AE dialoghi di tempo fiducia e cura episodi 2-3-4</v>
      </c>
      <c r="E3794" s="22" t="str">
        <f>HYPERLINK("https://otsuka-europe-crm.veevavault.com/ui/#object/sent_email__v/VBL00000002P178", "SE-001432848")</f>
        <v>SE-001432848</v>
      </c>
      <c r="F3794" s="23">
        <v>46181.392118055555</v>
      </c>
      <c r="G3794" s="24">
        <v>1</v>
      </c>
      <c r="H3794" s="24">
        <v>2</v>
      </c>
      <c r="I3794" s="24">
        <v>0</v>
      </c>
      <c r="J3794" s="25"/>
      <c r="K3794" s="24">
        <v>0</v>
      </c>
      <c r="L3794" s="22" t="str">
        <f>HYPERLINK("https://otsuka-europe-crm.veevavault.com/ui/#object/approved_document__v/V5O000000018003", "AE dialoghi di tempo fiducia e cura episodi 2-3-4")</f>
        <v>AE dialoghi di tempo fiducia e cura episodi 2-3-4</v>
      </c>
      <c r="M3794" s="22" t="str">
        <f>HYPERLINK("mailto:nicoletta.vozza@crm.otsuka-europe.com", "nicoletta.vozza@crm.otsuka-europe.com")</f>
        <v>nicoletta.vozza@crm.otsuka-europe.com</v>
      </c>
      <c r="N3794" s="23">
        <v>46181.337951388887</v>
      </c>
      <c r="O3794" s="14" t="str">
        <f>HYPERLINK("https://otsuka-europe-crm.veevavault.com/ui/#object/email_activity__v/V8C00000003O340", "EN-002089858")</f>
        <v>EN-002089858</v>
      </c>
    </row>
    <row r="3795" spans="1:15" ht="16" x14ac:dyDescent="0.2">
      <c r="A3795" s="18"/>
      <c r="B3795" s="18"/>
      <c r="C3795" s="18"/>
      <c r="D3795" s="18"/>
      <c r="E3795" s="18"/>
      <c r="F3795" s="18"/>
      <c r="G3795" s="18"/>
      <c r="H3795" s="18"/>
      <c r="I3795" s="18"/>
      <c r="J3795" s="18"/>
      <c r="K3795" s="18"/>
      <c r="L3795" s="18"/>
      <c r="M3795" s="18"/>
      <c r="N3795" s="18"/>
      <c r="O3795" s="14" t="str">
        <f>HYPERLINK("https://otsuka-europe-crm.veevavault.com/ui/#object/email_activity__v/V8C00000003P358", "EN-002090364")</f>
        <v>EN-002090364</v>
      </c>
    </row>
    <row r="3796" spans="1:15" ht="16" x14ac:dyDescent="0.2">
      <c r="A3796" s="19"/>
      <c r="B3796" s="19"/>
      <c r="C3796" s="19"/>
      <c r="D3796" s="19"/>
      <c r="E3796" s="19"/>
      <c r="F3796" s="19"/>
      <c r="G3796" s="19"/>
      <c r="H3796" s="19"/>
      <c r="I3796" s="19"/>
      <c r="J3796" s="19"/>
      <c r="K3796" s="19"/>
      <c r="L3796" s="19"/>
      <c r="M3796" s="19"/>
      <c r="N3796" s="19"/>
      <c r="O3796" s="14" t="str">
        <f>HYPERLINK("https://otsuka-europe-crm.veevavault.com/ui/#object/email_activity__v/V8C00000003R013", "EN-002091737")</f>
        <v>EN-002091737</v>
      </c>
    </row>
    <row r="3797" spans="1:15" ht="32" x14ac:dyDescent="0.2">
      <c r="A3797" s="7" t="str">
        <f>HYPERLINK("https://otsuka-europe-crm.veevavault.com/ui/#object/account__v/V4TZ06G6O71SAO9", "GABRIELE DANIA")</f>
        <v>GABRIELE DANIA</v>
      </c>
      <c r="B3797" s="7" t="str">
        <f>HYPERLINK("https://otsuka-europe-crm.veevavault.com/ui/#object/vcountry__v/VENZ000004SONFQ", "IT")</f>
        <v>IT</v>
      </c>
      <c r="C3797" s="8" t="s">
        <v>44</v>
      </c>
      <c r="D3797" s="9" t="str">
        <f>HYPERLINK("https://otsuka-europe-crm.veevavault.com/ui/#object/approved_document__v/V5O000000018003", "AE dialoghi di tempo fiducia e cura episodi 2-3-4")</f>
        <v>AE dialoghi di tempo fiducia e cura episodi 2-3-4</v>
      </c>
      <c r="E3797" s="10" t="str">
        <f>HYPERLINK("https://otsuka-europe-crm.veevavault.com/ui/#object/sent_email__v/VBL00000002P179", "SE-001432849")</f>
        <v>SE-001432849</v>
      </c>
      <c r="F3797" s="11"/>
      <c r="G3797" s="12">
        <v>0</v>
      </c>
      <c r="H3797" s="12">
        <v>0</v>
      </c>
      <c r="I3797" s="12">
        <v>0</v>
      </c>
      <c r="J3797" s="11"/>
      <c r="K3797" s="12">
        <v>0</v>
      </c>
      <c r="L3797" s="10" t="str">
        <f>HYPERLINK("https://otsuka-europe-crm.veevavault.com/ui/#object/approved_document__v/V5O000000018003", "AE dialoghi di tempo fiducia e cura episodi 2-3-4")</f>
        <v>AE dialoghi di tempo fiducia e cura episodi 2-3-4</v>
      </c>
      <c r="M3797" s="10" t="str">
        <f>HYPERLINK("mailto:nicoletta.vozza@crm.otsuka-europe.com", "nicoletta.vozza@crm.otsuka-europe.com")</f>
        <v>nicoletta.vozza@crm.otsuka-europe.com</v>
      </c>
      <c r="N3797" s="13">
        <v>46181.337951388887</v>
      </c>
      <c r="O3797" s="14" t="str">
        <f>HYPERLINK("https://otsuka-europe-crm.veevavault.com/ui/#object/email_activity__v/V8C00000003O299", "EN-002089776")</f>
        <v>EN-002089776</v>
      </c>
    </row>
    <row r="3798" spans="1:15" ht="16" x14ac:dyDescent="0.2">
      <c r="A3798" s="17" t="str">
        <f>HYPERLINK("https://otsuka-europe-crm.veevavault.com/ui/#object/account__v/V4TZ025E85UMOQM", "GABRIELE DE AGAZIO")</f>
        <v>GABRIELE DE AGAZIO</v>
      </c>
      <c r="B3798" s="17" t="str">
        <f>HYPERLINK("https://otsuka-europe-crm.veevavault.com/ui/#object/vcountry__v/VENZ000004SONFQ", "IT")</f>
        <v>IT</v>
      </c>
      <c r="C3798" s="20" t="s">
        <v>44</v>
      </c>
      <c r="D3798" s="21" t="str">
        <f>HYPERLINK("https://otsuka-europe-crm.veevavault.com/ui/#object/approved_document__v/V5O000000018003", "AE dialoghi di tempo fiducia e cura episodi 2-3-4")</f>
        <v>AE dialoghi di tempo fiducia e cura episodi 2-3-4</v>
      </c>
      <c r="E3798" s="22" t="str">
        <f>HYPERLINK("https://otsuka-europe-crm.veevavault.com/ui/#object/sent_email__v/VBL00000002P180", "SE-001432850")</f>
        <v>SE-001432850</v>
      </c>
      <c r="F3798" s="23">
        <v>46181.433865740742</v>
      </c>
      <c r="G3798" s="24">
        <v>1</v>
      </c>
      <c r="H3798" s="24">
        <v>1</v>
      </c>
      <c r="I3798" s="24">
        <v>0</v>
      </c>
      <c r="J3798" s="25"/>
      <c r="K3798" s="24">
        <v>0</v>
      </c>
      <c r="L3798" s="22" t="str">
        <f>HYPERLINK("https://otsuka-europe-crm.veevavault.com/ui/#object/approved_document__v/V5O000000018003", "AE dialoghi di tempo fiducia e cura episodi 2-3-4")</f>
        <v>AE dialoghi di tempo fiducia e cura episodi 2-3-4</v>
      </c>
      <c r="M3798" s="22" t="str">
        <f>HYPERLINK("mailto:nicoletta.vozza@crm.otsuka-europe.com", "nicoletta.vozza@crm.otsuka-europe.com")</f>
        <v>nicoletta.vozza@crm.otsuka-europe.com</v>
      </c>
      <c r="N3798" s="23">
        <v>46181.337939814817</v>
      </c>
      <c r="O3798" s="14" t="str">
        <f>HYPERLINK("https://otsuka-europe-crm.veevavault.com/ui/#object/email_activity__v/V8C00000003P164", "EN-002089564")</f>
        <v>EN-002089564</v>
      </c>
    </row>
    <row r="3799" spans="1:15" ht="16" x14ac:dyDescent="0.2">
      <c r="A3799" s="19"/>
      <c r="B3799" s="19"/>
      <c r="C3799" s="19"/>
      <c r="D3799" s="19"/>
      <c r="E3799" s="19"/>
      <c r="F3799" s="19"/>
      <c r="G3799" s="19"/>
      <c r="H3799" s="19"/>
      <c r="I3799" s="19"/>
      <c r="J3799" s="19"/>
      <c r="K3799" s="19"/>
      <c r="L3799" s="19"/>
      <c r="M3799" s="19"/>
      <c r="N3799" s="19"/>
      <c r="O3799" s="14" t="str">
        <f>HYPERLINK("https://otsuka-europe-crm.veevavault.com/ui/#object/email_activity__v/V8C00000003Q498", "EN-002091816")</f>
        <v>EN-002091816</v>
      </c>
    </row>
    <row r="3800" spans="1:15" ht="32" x14ac:dyDescent="0.2">
      <c r="A3800" s="7" t="str">
        <f>HYPERLINK("https://otsuka-europe-crm.veevavault.com/ui/#object/account__v/V4TZ06G6O71S9PJ", "GABRIELE DI SALVO")</f>
        <v>GABRIELE DI SALVO</v>
      </c>
      <c r="B3800" s="7" t="str">
        <f t="shared" ref="B3800:B3809" si="272">HYPERLINK("https://otsuka-europe-crm.veevavault.com/ui/#object/vcountry__v/VENZ000004SONFQ", "IT")</f>
        <v>IT</v>
      </c>
      <c r="C3800" s="8" t="s">
        <v>44</v>
      </c>
      <c r="D3800" s="9" t="str">
        <f t="shared" ref="D3800:D3809" si="273">HYPERLINK("https://otsuka-europe-crm.veevavault.com/ui/#object/approved_document__v/V5O000000018003", "AE dialoghi di tempo fiducia e cura episodi 2-3-4")</f>
        <v>AE dialoghi di tempo fiducia e cura episodi 2-3-4</v>
      </c>
      <c r="E3800" s="10" t="str">
        <f>HYPERLINK("https://otsuka-europe-crm.veevavault.com/ui/#object/sent_email__v/VBL00000002P181", "SE-001432851")</f>
        <v>SE-001432851</v>
      </c>
      <c r="F3800" s="11"/>
      <c r="G3800" s="12">
        <v>0</v>
      </c>
      <c r="H3800" s="12">
        <v>0</v>
      </c>
      <c r="I3800" s="12">
        <v>0</v>
      </c>
      <c r="J3800" s="11"/>
      <c r="K3800" s="12">
        <v>0</v>
      </c>
      <c r="L3800" s="10" t="str">
        <f t="shared" ref="L3800:L3809" si="274">HYPERLINK("https://otsuka-europe-crm.veevavault.com/ui/#object/approved_document__v/V5O000000018003", "AE dialoghi di tempo fiducia e cura episodi 2-3-4")</f>
        <v>AE dialoghi di tempo fiducia e cura episodi 2-3-4</v>
      </c>
      <c r="M3800" s="10" t="str">
        <f t="shared" ref="M3800:M3809" si="275">HYPERLINK("mailto:nicoletta.vozza@crm.otsuka-europe.com", "nicoletta.vozza@crm.otsuka-europe.com")</f>
        <v>nicoletta.vozza@crm.otsuka-europe.com</v>
      </c>
      <c r="N3800" s="13">
        <v>46181.337951388887</v>
      </c>
      <c r="O3800" s="14" t="str">
        <f>HYPERLINK("https://otsuka-europe-crm.veevavault.com/ui/#object/email_activity__v/V8C00000003O557", "EN-002090113")</f>
        <v>EN-002090113</v>
      </c>
    </row>
    <row r="3801" spans="1:15" ht="32" x14ac:dyDescent="0.2">
      <c r="A3801" s="7" t="str">
        <f>HYPERLINK("https://otsuka-europe-crm.veevavault.com/ui/#object/account__v/V4TZ06G6O71SAVO", "GABRIELE GIORGETTI")</f>
        <v>GABRIELE GIORGETTI</v>
      </c>
      <c r="B3801" s="7" t="str">
        <f t="shared" si="272"/>
        <v>IT</v>
      </c>
      <c r="C3801" s="8" t="s">
        <v>44</v>
      </c>
      <c r="D3801" s="9" t="str">
        <f t="shared" si="273"/>
        <v>AE dialoghi di tempo fiducia e cura episodi 2-3-4</v>
      </c>
      <c r="E3801" s="10" t="str">
        <f>HYPERLINK("https://otsuka-europe-crm.veevavault.com/ui/#object/sent_email__v/VBL00000002P182", "SE-001432852")</f>
        <v>SE-001432852</v>
      </c>
      <c r="F3801" s="11"/>
      <c r="G3801" s="12">
        <v>0</v>
      </c>
      <c r="H3801" s="12">
        <v>0</v>
      </c>
      <c r="I3801" s="12">
        <v>0</v>
      </c>
      <c r="J3801" s="11"/>
      <c r="K3801" s="12">
        <v>0</v>
      </c>
      <c r="L3801" s="10" t="str">
        <f t="shared" si="274"/>
        <v>AE dialoghi di tempo fiducia e cura episodi 2-3-4</v>
      </c>
      <c r="M3801" s="10" t="str">
        <f t="shared" si="275"/>
        <v>nicoletta.vozza@crm.otsuka-europe.com</v>
      </c>
      <c r="N3801" s="13">
        <v>46181.339097222219</v>
      </c>
      <c r="O3801" s="14" t="str">
        <f>HYPERLINK("https://otsuka-europe-crm.veevavault.com/ui/#object/email_activity__v/V8C00000003Q258", "EN-002091368")</f>
        <v>EN-002091368</v>
      </c>
    </row>
    <row r="3802" spans="1:15" ht="32" x14ac:dyDescent="0.2">
      <c r="A3802" s="7" t="str">
        <f>HYPERLINK("https://otsuka-europe-crm.veevavault.com/ui/#object/account__v/V4TZ06G6O71SBUZ", "GABRIELE PANZA")</f>
        <v>GABRIELE PANZA</v>
      </c>
      <c r="B3802" s="7" t="str">
        <f t="shared" si="272"/>
        <v>IT</v>
      </c>
      <c r="C3802" s="8" t="s">
        <v>44</v>
      </c>
      <c r="D3802" s="9" t="str">
        <f t="shared" si="273"/>
        <v>AE dialoghi di tempo fiducia e cura episodi 2-3-4</v>
      </c>
      <c r="E3802" s="10" t="str">
        <f>HYPERLINK("https://otsuka-europe-crm.veevavault.com/ui/#object/sent_email__v/VBL00000002P183", "SE-001432853")</f>
        <v>SE-001432853</v>
      </c>
      <c r="F3802" s="11"/>
      <c r="G3802" s="12">
        <v>0</v>
      </c>
      <c r="H3802" s="12">
        <v>0</v>
      </c>
      <c r="I3802" s="12">
        <v>0</v>
      </c>
      <c r="J3802" s="11"/>
      <c r="K3802" s="12">
        <v>0</v>
      </c>
      <c r="L3802" s="10" t="str">
        <f t="shared" si="274"/>
        <v>AE dialoghi di tempo fiducia e cura episodi 2-3-4</v>
      </c>
      <c r="M3802" s="10" t="str">
        <f t="shared" si="275"/>
        <v>nicoletta.vozza@crm.otsuka-europe.com</v>
      </c>
      <c r="N3802" s="13">
        <v>46181.33797453704</v>
      </c>
      <c r="O3802" s="14" t="str">
        <f>HYPERLINK("https://otsuka-europe-crm.veevavault.com/ui/#object/email_activity__v/V8C00000003O460", "EN-002090016")</f>
        <v>EN-002090016</v>
      </c>
    </row>
    <row r="3803" spans="1:15" ht="32" x14ac:dyDescent="0.2">
      <c r="A3803" s="7" t="str">
        <f>HYPERLINK("https://otsuka-europe-crm.veevavault.com/ui/#object/account__v/V4TZ04ASGAOY0IV", "GABRIELE SIMONELLI")</f>
        <v>GABRIELE SIMONELLI</v>
      </c>
      <c r="B3803" s="7" t="str">
        <f t="shared" si="272"/>
        <v>IT</v>
      </c>
      <c r="C3803" s="8" t="s">
        <v>44</v>
      </c>
      <c r="D3803" s="9" t="str">
        <f t="shared" si="273"/>
        <v>AE dialoghi di tempo fiducia e cura episodi 2-3-4</v>
      </c>
      <c r="E3803" s="10" t="str">
        <f>HYPERLINK("https://otsuka-europe-crm.veevavault.com/ui/#object/sent_email__v/VBL00000002P184", "SE-001432854")</f>
        <v>SE-001432854</v>
      </c>
      <c r="F3803" s="11"/>
      <c r="G3803" s="12">
        <v>0</v>
      </c>
      <c r="H3803" s="12">
        <v>0</v>
      </c>
      <c r="I3803" s="12">
        <v>0</v>
      </c>
      <c r="J3803" s="11"/>
      <c r="K3803" s="12">
        <v>0</v>
      </c>
      <c r="L3803" s="10" t="str">
        <f t="shared" si="274"/>
        <v>AE dialoghi di tempo fiducia e cura episodi 2-3-4</v>
      </c>
      <c r="M3803" s="10" t="str">
        <f t="shared" si="275"/>
        <v>nicoletta.vozza@crm.otsuka-europe.com</v>
      </c>
      <c r="N3803" s="13">
        <v>46181.337905092594</v>
      </c>
      <c r="O3803" s="15"/>
    </row>
    <row r="3804" spans="1:15" ht="32" x14ac:dyDescent="0.2">
      <c r="A3804" s="7" t="str">
        <f>HYPERLINK("https://otsuka-europe-crm.veevavault.com/ui/#object/account__v/V4TZ06G6O71SBFN", "GABRIELLA MARTINI")</f>
        <v>GABRIELLA MARTINI</v>
      </c>
      <c r="B3804" s="7" t="str">
        <f t="shared" si="272"/>
        <v>IT</v>
      </c>
      <c r="C3804" s="8" t="s">
        <v>44</v>
      </c>
      <c r="D3804" s="9" t="str">
        <f t="shared" si="273"/>
        <v>AE dialoghi di tempo fiducia e cura episodi 2-3-4</v>
      </c>
      <c r="E3804" s="10" t="str">
        <f>HYPERLINK("https://otsuka-europe-crm.veevavault.com/ui/#object/sent_email__v/VBL00000002P185", "SE-001432855")</f>
        <v>SE-001432855</v>
      </c>
      <c r="F3804" s="11"/>
      <c r="G3804" s="12">
        <v>0</v>
      </c>
      <c r="H3804" s="12">
        <v>0</v>
      </c>
      <c r="I3804" s="12">
        <v>0</v>
      </c>
      <c r="J3804" s="11"/>
      <c r="K3804" s="12">
        <v>0</v>
      </c>
      <c r="L3804" s="10" t="str">
        <f t="shared" si="274"/>
        <v>AE dialoghi di tempo fiducia e cura episodi 2-3-4</v>
      </c>
      <c r="M3804" s="10" t="str">
        <f t="shared" si="275"/>
        <v>nicoletta.vozza@crm.otsuka-europe.com</v>
      </c>
      <c r="N3804" s="13">
        <v>46181.33803240741</v>
      </c>
      <c r="O3804" s="14" t="str">
        <f>HYPERLINK("https://otsuka-europe-crm.veevavault.com/ui/#object/email_activity__v/V8C00000003P622", "EN-002090877")</f>
        <v>EN-002090877</v>
      </c>
    </row>
    <row r="3805" spans="1:15" ht="32" x14ac:dyDescent="0.2">
      <c r="A3805" s="7" t="str">
        <f>HYPERLINK("https://otsuka-europe-crm.veevavault.com/ui/#object/account__v/V4TZ06G6O71SBK2", "GABRIELLA MOLINO")</f>
        <v>GABRIELLA MOLINO</v>
      </c>
      <c r="B3805" s="7" t="str">
        <f t="shared" si="272"/>
        <v>IT</v>
      </c>
      <c r="C3805" s="8" t="s">
        <v>44</v>
      </c>
      <c r="D3805" s="9" t="str">
        <f t="shared" si="273"/>
        <v>AE dialoghi di tempo fiducia e cura episodi 2-3-4</v>
      </c>
      <c r="E3805" s="10" t="str">
        <f>HYPERLINK("https://otsuka-europe-crm.veevavault.com/ui/#object/sent_email__v/VBL00000002P186", "SE-001432856")</f>
        <v>SE-001432856</v>
      </c>
      <c r="F3805" s="11"/>
      <c r="G3805" s="12">
        <v>0</v>
      </c>
      <c r="H3805" s="12">
        <v>0</v>
      </c>
      <c r="I3805" s="12">
        <v>0</v>
      </c>
      <c r="J3805" s="11"/>
      <c r="K3805" s="12">
        <v>0</v>
      </c>
      <c r="L3805" s="10" t="str">
        <f t="shared" si="274"/>
        <v>AE dialoghi di tempo fiducia e cura episodi 2-3-4</v>
      </c>
      <c r="M3805" s="10" t="str">
        <f t="shared" si="275"/>
        <v>nicoletta.vozza@crm.otsuka-europe.com</v>
      </c>
      <c r="N3805" s="13">
        <v>46181.337997685187</v>
      </c>
      <c r="O3805" s="14" t="str">
        <f>HYPERLINK("https://otsuka-europe-crm.veevavault.com/ui/#object/email_activity__v/V8C00000003O989", "EN-002090738")</f>
        <v>EN-002090738</v>
      </c>
    </row>
    <row r="3806" spans="1:15" ht="32" x14ac:dyDescent="0.2">
      <c r="A3806" s="7" t="str">
        <f>HYPERLINK("https://otsuka-europe-crm.veevavault.com/ui/#object/account__v/V4TZ06G6O71SBNT", "GABRIELLA NERONI MERCATI")</f>
        <v>GABRIELLA NERONI MERCATI</v>
      </c>
      <c r="B3806" s="7" t="str">
        <f t="shared" si="272"/>
        <v>IT</v>
      </c>
      <c r="C3806" s="8" t="s">
        <v>44</v>
      </c>
      <c r="D3806" s="9" t="str">
        <f t="shared" si="273"/>
        <v>AE dialoghi di tempo fiducia e cura episodi 2-3-4</v>
      </c>
      <c r="E3806" s="10" t="str">
        <f>HYPERLINK("https://otsuka-europe-crm.veevavault.com/ui/#object/sent_email__v/VBL00000002P187", "SE-001432857")</f>
        <v>SE-001432857</v>
      </c>
      <c r="F3806" s="11"/>
      <c r="G3806" s="12">
        <v>0</v>
      </c>
      <c r="H3806" s="12">
        <v>0</v>
      </c>
      <c r="I3806" s="12">
        <v>0</v>
      </c>
      <c r="J3806" s="11"/>
      <c r="K3806" s="12">
        <v>0</v>
      </c>
      <c r="L3806" s="10" t="str">
        <f t="shared" si="274"/>
        <v>AE dialoghi di tempo fiducia e cura episodi 2-3-4</v>
      </c>
      <c r="M3806" s="10" t="str">
        <f t="shared" si="275"/>
        <v>nicoletta.vozza@crm.otsuka-europe.com</v>
      </c>
      <c r="N3806" s="13">
        <v>46181.33797453704</v>
      </c>
      <c r="O3806" s="14" t="str">
        <f>HYPERLINK("https://otsuka-europe-crm.veevavault.com/ui/#object/email_activity__v/V8C00000003O818", "EN-002090520")</f>
        <v>EN-002090520</v>
      </c>
    </row>
    <row r="3807" spans="1:15" ht="32" x14ac:dyDescent="0.2">
      <c r="A3807" s="7" t="str">
        <f>HYPERLINK("https://otsuka-europe-crm.veevavault.com/ui/#object/account__v/V4TZ06G6O71SBTB", "GABRIELLA PACIARONI")</f>
        <v>GABRIELLA PACIARONI</v>
      </c>
      <c r="B3807" s="7" t="str">
        <f t="shared" si="272"/>
        <v>IT</v>
      </c>
      <c r="C3807" s="8" t="s">
        <v>44</v>
      </c>
      <c r="D3807" s="9" t="str">
        <f t="shared" si="273"/>
        <v>AE dialoghi di tempo fiducia e cura episodi 2-3-4</v>
      </c>
      <c r="E3807" s="10" t="str">
        <f>HYPERLINK("https://otsuka-europe-crm.veevavault.com/ui/#object/sent_email__v/VBL00000002P188", "SE-001432858")</f>
        <v>SE-001432858</v>
      </c>
      <c r="F3807" s="11"/>
      <c r="G3807" s="12">
        <v>0</v>
      </c>
      <c r="H3807" s="12">
        <v>0</v>
      </c>
      <c r="I3807" s="12">
        <v>0</v>
      </c>
      <c r="J3807" s="11"/>
      <c r="K3807" s="12">
        <v>0</v>
      </c>
      <c r="L3807" s="10" t="str">
        <f t="shared" si="274"/>
        <v>AE dialoghi di tempo fiducia e cura episodi 2-3-4</v>
      </c>
      <c r="M3807" s="10" t="str">
        <f t="shared" si="275"/>
        <v>nicoletta.vozza@crm.otsuka-europe.com</v>
      </c>
      <c r="N3807" s="13">
        <v>46181.338067129633</v>
      </c>
      <c r="O3807" s="14" t="str">
        <f>HYPERLINK("https://otsuka-europe-crm.veevavault.com/ui/#object/email_activity__v/V8C00000003Q226", "EN-002091332")</f>
        <v>EN-002091332</v>
      </c>
    </row>
    <row r="3808" spans="1:15" ht="32" x14ac:dyDescent="0.2">
      <c r="A3808" s="7" t="str">
        <f>HYPERLINK("https://otsuka-europe-crm.veevavault.com/ui/#object/account__v/V4TZ06G6O71TFLU", "GABRIELLA POLLUTRI")</f>
        <v>GABRIELLA POLLUTRI</v>
      </c>
      <c r="B3808" s="7" t="str">
        <f t="shared" si="272"/>
        <v>IT</v>
      </c>
      <c r="C3808" s="8" t="s">
        <v>44</v>
      </c>
      <c r="D3808" s="9" t="str">
        <f t="shared" si="273"/>
        <v>AE dialoghi di tempo fiducia e cura episodi 2-3-4</v>
      </c>
      <c r="E3808" s="10" t="str">
        <f>HYPERLINK("https://otsuka-europe-crm.veevavault.com/ui/#object/sent_email__v/VBL00000002P189", "SE-001432859")</f>
        <v>SE-001432859</v>
      </c>
      <c r="F3808" s="11"/>
      <c r="G3808" s="12">
        <v>0</v>
      </c>
      <c r="H3808" s="12">
        <v>0</v>
      </c>
      <c r="I3808" s="12">
        <v>0</v>
      </c>
      <c r="J3808" s="11"/>
      <c r="K3808" s="12">
        <v>0</v>
      </c>
      <c r="L3808" s="10" t="str">
        <f t="shared" si="274"/>
        <v>AE dialoghi di tempo fiducia e cura episodi 2-3-4</v>
      </c>
      <c r="M3808" s="10" t="str">
        <f t="shared" si="275"/>
        <v>nicoletta.vozza@crm.otsuka-europe.com</v>
      </c>
      <c r="N3808" s="13">
        <v>46181.338020833333</v>
      </c>
      <c r="O3808" s="14" t="str">
        <f>HYPERLINK("https://otsuka-europe-crm.veevavault.com/ui/#object/email_activity__v/V8C00000003O435", "EN-002089991")</f>
        <v>EN-002089991</v>
      </c>
    </row>
    <row r="3809" spans="1:15" ht="16" x14ac:dyDescent="0.2">
      <c r="A3809" s="17" t="str">
        <f>HYPERLINK("https://otsuka-europe-crm.veevavault.com/ui/#object/account__v/V4TZ06G6O71SCE8", "GABRIELLA SCARPELLINI")</f>
        <v>GABRIELLA SCARPELLINI</v>
      </c>
      <c r="B3809" s="17" t="str">
        <f t="shared" si="272"/>
        <v>IT</v>
      </c>
      <c r="C3809" s="20" t="s">
        <v>44</v>
      </c>
      <c r="D3809" s="21" t="str">
        <f t="shared" si="273"/>
        <v>AE dialoghi di tempo fiducia e cura episodi 2-3-4</v>
      </c>
      <c r="E3809" s="22" t="str">
        <f>HYPERLINK("https://otsuka-europe-crm.veevavault.com/ui/#object/sent_email__v/VBL00000002P190", "SE-001432860")</f>
        <v>SE-001432860</v>
      </c>
      <c r="F3809" s="25"/>
      <c r="G3809" s="24">
        <v>0</v>
      </c>
      <c r="H3809" s="24">
        <v>0</v>
      </c>
      <c r="I3809" s="24">
        <v>0</v>
      </c>
      <c r="J3809" s="25"/>
      <c r="K3809" s="24">
        <v>0</v>
      </c>
      <c r="L3809" s="22" t="str">
        <f t="shared" si="274"/>
        <v>AE dialoghi di tempo fiducia e cura episodi 2-3-4</v>
      </c>
      <c r="M3809" s="22" t="str">
        <f t="shared" si="275"/>
        <v>nicoletta.vozza@crm.otsuka-europe.com</v>
      </c>
      <c r="N3809" s="23">
        <v>46181.337939814817</v>
      </c>
      <c r="O3809" s="14" t="str">
        <f>HYPERLINK("https://otsuka-europe-crm.veevavault.com/ui/#object/email_activity__v/V8C00000003P378", "EN-002090384")</f>
        <v>EN-002090384</v>
      </c>
    </row>
    <row r="3810" spans="1:15" ht="16" x14ac:dyDescent="0.2">
      <c r="A3810" s="19"/>
      <c r="B3810" s="19"/>
      <c r="C3810" s="19"/>
      <c r="D3810" s="19"/>
      <c r="E3810" s="19"/>
      <c r="F3810" s="19"/>
      <c r="G3810" s="19"/>
      <c r="H3810" s="19"/>
      <c r="I3810" s="19"/>
      <c r="J3810" s="19"/>
      <c r="K3810" s="19"/>
      <c r="L3810" s="19"/>
      <c r="M3810" s="19"/>
      <c r="N3810" s="19"/>
      <c r="O3810" s="14" t="str">
        <f>HYPERLINK("https://otsuka-europe-crm.veevavault.com/ui/#object/email_activity__v/V8C00000003V450", "EN-002095673")</f>
        <v>EN-002095673</v>
      </c>
    </row>
    <row r="3811" spans="1:15" ht="32" x14ac:dyDescent="0.2">
      <c r="A3811" s="7" t="str">
        <f>HYPERLINK("https://otsuka-europe-crm.veevavault.com/ui/#object/account__v/V4TZ04ASGB4KRE2", "GABRIELLA TAMBURINO")</f>
        <v>GABRIELLA TAMBURINO</v>
      </c>
      <c r="B3811" s="7" t="str">
        <f>HYPERLINK("https://otsuka-europe-crm.veevavault.com/ui/#object/vcountry__v/VENZ000004SONFQ", "IT")</f>
        <v>IT</v>
      </c>
      <c r="C3811" s="8" t="s">
        <v>44</v>
      </c>
      <c r="D3811" s="9" t="str">
        <f>HYPERLINK("https://otsuka-europe-crm.veevavault.com/ui/#object/approved_document__v/V5O000000018003", "AE dialoghi di tempo fiducia e cura episodi 2-3-4")</f>
        <v>AE dialoghi di tempo fiducia e cura episodi 2-3-4</v>
      </c>
      <c r="E3811" s="10" t="str">
        <f>HYPERLINK("https://otsuka-europe-crm.veevavault.com/ui/#object/sent_email__v/VBL00000002P191", "SE-001432861")</f>
        <v>SE-001432861</v>
      </c>
      <c r="F3811" s="11"/>
      <c r="G3811" s="12">
        <v>0</v>
      </c>
      <c r="H3811" s="12">
        <v>0</v>
      </c>
      <c r="I3811" s="12">
        <v>0</v>
      </c>
      <c r="J3811" s="11"/>
      <c r="K3811" s="12">
        <v>0</v>
      </c>
      <c r="L3811" s="10" t="str">
        <f>HYPERLINK("https://otsuka-europe-crm.veevavault.com/ui/#object/approved_document__v/V5O000000018003", "AE dialoghi di tempo fiducia e cura episodi 2-3-4")</f>
        <v>AE dialoghi di tempo fiducia e cura episodi 2-3-4</v>
      </c>
      <c r="M3811" s="10" t="str">
        <f>HYPERLINK("mailto:nicoletta.vozza@crm.otsuka-europe.com", "nicoletta.vozza@crm.otsuka-europe.com")</f>
        <v>nicoletta.vozza@crm.otsuka-europe.com</v>
      </c>
      <c r="N3811" s="13">
        <v>46181.338090277779</v>
      </c>
      <c r="O3811" s="14" t="str">
        <f>HYPERLINK("https://otsuka-europe-crm.veevavault.com/ui/#object/email_activity__v/V8C00000003Q066", "EN-002091131")</f>
        <v>EN-002091131</v>
      </c>
    </row>
    <row r="3812" spans="1:15" ht="32" x14ac:dyDescent="0.2">
      <c r="A3812" s="7" t="str">
        <f>HYPERLINK("https://otsuka-europe-crm.veevavault.com/ui/#object/account__v/V4TZ06G6O71SAOY", "GAETANO DE ANGELIS")</f>
        <v>GAETANO DE ANGELIS</v>
      </c>
      <c r="B3812" s="7" t="str">
        <f>HYPERLINK("https://otsuka-europe-crm.veevavault.com/ui/#object/vcountry__v/VENZ000004SONFQ", "IT")</f>
        <v>IT</v>
      </c>
      <c r="C3812" s="8" t="s">
        <v>44</v>
      </c>
      <c r="D3812" s="9" t="str">
        <f>HYPERLINK("https://otsuka-europe-crm.veevavault.com/ui/#object/approved_document__v/V5O000000018003", "AE dialoghi di tempo fiducia e cura episodi 2-3-4")</f>
        <v>AE dialoghi di tempo fiducia e cura episodi 2-3-4</v>
      </c>
      <c r="E3812" s="10" t="str">
        <f>HYPERLINK("https://otsuka-europe-crm.veevavault.com/ui/#object/sent_email__v/VBL00000002P192", "SE-001432862")</f>
        <v>SE-001432862</v>
      </c>
      <c r="F3812" s="11"/>
      <c r="G3812" s="12">
        <v>0</v>
      </c>
      <c r="H3812" s="12">
        <v>0</v>
      </c>
      <c r="I3812" s="12">
        <v>0</v>
      </c>
      <c r="J3812" s="11"/>
      <c r="K3812" s="12">
        <v>0</v>
      </c>
      <c r="L3812" s="10" t="str">
        <f>HYPERLINK("https://otsuka-europe-crm.veevavault.com/ui/#object/approved_document__v/V5O000000018003", "AE dialoghi di tempo fiducia e cura episodi 2-3-4")</f>
        <v>AE dialoghi di tempo fiducia e cura episodi 2-3-4</v>
      </c>
      <c r="M3812" s="10" t="str">
        <f>HYPERLINK("mailto:nicoletta.vozza@crm.otsuka-europe.com", "nicoletta.vozza@crm.otsuka-europe.com")</f>
        <v>nicoletta.vozza@crm.otsuka-europe.com</v>
      </c>
      <c r="N3812" s="13">
        <v>46181.33797453704</v>
      </c>
      <c r="O3812" s="14" t="str">
        <f>HYPERLINK("https://otsuka-europe-crm.veevavault.com/ui/#object/email_activity__v/V8C00000003O662", "EN-002090218")</f>
        <v>EN-002090218</v>
      </c>
    </row>
    <row r="3813" spans="1:15" ht="32" x14ac:dyDescent="0.2">
      <c r="A3813" s="7" t="str">
        <f>HYPERLINK("https://otsuka-europe-crm.veevavault.com/ui/#object/account__v/V4TZ06G6O71SBO4", "GAETANO NAPPI")</f>
        <v>GAETANO NAPPI</v>
      </c>
      <c r="B3813" s="7" t="str">
        <f>HYPERLINK("https://otsuka-europe-crm.veevavault.com/ui/#object/vcountry__v/VENZ000004SONFQ", "IT")</f>
        <v>IT</v>
      </c>
      <c r="C3813" s="8" t="s">
        <v>44</v>
      </c>
      <c r="D3813" s="9" t="str">
        <f>HYPERLINK("https://otsuka-europe-crm.veevavault.com/ui/#object/approved_document__v/V5O000000018003", "AE dialoghi di tempo fiducia e cura episodi 2-3-4")</f>
        <v>AE dialoghi di tempo fiducia e cura episodi 2-3-4</v>
      </c>
      <c r="E3813" s="10" t="str">
        <f>HYPERLINK("https://otsuka-europe-crm.veevavault.com/ui/#object/sent_email__v/VBL00000002P193", "SE-001432863")</f>
        <v>SE-001432863</v>
      </c>
      <c r="F3813" s="11"/>
      <c r="G3813" s="12">
        <v>0</v>
      </c>
      <c r="H3813" s="12">
        <v>0</v>
      </c>
      <c r="I3813" s="12">
        <v>0</v>
      </c>
      <c r="J3813" s="11"/>
      <c r="K3813" s="12">
        <v>0</v>
      </c>
      <c r="L3813" s="10" t="str">
        <f>HYPERLINK("https://otsuka-europe-crm.veevavault.com/ui/#object/approved_document__v/V5O000000018003", "AE dialoghi di tempo fiducia e cura episodi 2-3-4")</f>
        <v>AE dialoghi di tempo fiducia e cura episodi 2-3-4</v>
      </c>
      <c r="M3813" s="10" t="str">
        <f>HYPERLINK("mailto:nicoletta.vozza@crm.otsuka-europe.com", "nicoletta.vozza@crm.otsuka-europe.com")</f>
        <v>nicoletta.vozza@crm.otsuka-europe.com</v>
      </c>
      <c r="N3813" s="13">
        <v>46181.338865740741</v>
      </c>
      <c r="O3813" s="14" t="str">
        <f>HYPERLINK("https://otsuka-europe-crm.veevavault.com/ui/#object/email_activity__v/V8C00000003Q186", "EN-002091289")</f>
        <v>EN-002091289</v>
      </c>
    </row>
    <row r="3814" spans="1:15" ht="32" x14ac:dyDescent="0.2">
      <c r="A3814" s="7" t="str">
        <f>HYPERLINK("https://otsuka-europe-crm.veevavault.com/ui/#object/account__v/V4TZ06G6O71SAIH", "GAIA MARIA DURANTI")</f>
        <v>GAIA MARIA DURANTI</v>
      </c>
      <c r="B3814" s="7" t="str">
        <f>HYPERLINK("https://otsuka-europe-crm.veevavault.com/ui/#object/vcountry__v/VENZ000004SONFQ", "IT")</f>
        <v>IT</v>
      </c>
      <c r="C3814" s="8" t="s">
        <v>44</v>
      </c>
      <c r="D3814" s="9" t="str">
        <f>HYPERLINK("https://otsuka-europe-crm.veevavault.com/ui/#object/approved_document__v/V5O000000018003", "AE dialoghi di tempo fiducia e cura episodi 2-3-4")</f>
        <v>AE dialoghi di tempo fiducia e cura episodi 2-3-4</v>
      </c>
      <c r="E3814" s="10" t="str">
        <f>HYPERLINK("https://otsuka-europe-crm.veevavault.com/ui/#object/sent_email__v/VBL00000002P194", "SE-001432864")</f>
        <v>SE-001432864</v>
      </c>
      <c r="F3814" s="11"/>
      <c r="G3814" s="12">
        <v>0</v>
      </c>
      <c r="H3814" s="12">
        <v>0</v>
      </c>
      <c r="I3814" s="12">
        <v>0</v>
      </c>
      <c r="J3814" s="11"/>
      <c r="K3814" s="12">
        <v>0</v>
      </c>
      <c r="L3814" s="10" t="str">
        <f>HYPERLINK("https://otsuka-europe-crm.veevavault.com/ui/#object/approved_document__v/V5O000000018003", "AE dialoghi di tempo fiducia e cura episodi 2-3-4")</f>
        <v>AE dialoghi di tempo fiducia e cura episodi 2-3-4</v>
      </c>
      <c r="M3814" s="10" t="str">
        <f>HYPERLINK("mailto:nicoletta.vozza@crm.otsuka-europe.com", "nicoletta.vozza@crm.otsuka-europe.com")</f>
        <v>nicoletta.vozza@crm.otsuka-europe.com</v>
      </c>
      <c r="N3814" s="13">
        <v>46181.337997685187</v>
      </c>
      <c r="O3814" s="14" t="str">
        <f>HYPERLINK("https://otsuka-europe-crm.veevavault.com/ui/#object/email_activity__v/V8C00000003P282", "EN-002089918")</f>
        <v>EN-002089918</v>
      </c>
    </row>
    <row r="3815" spans="1:15" ht="16" x14ac:dyDescent="0.2">
      <c r="A3815" s="17" t="str">
        <f>HYPERLINK("https://otsuka-europe-crm.veevavault.com/ui/#object/account__v/V4TZ06G6O71SBB6", "GAIA MENEGHEL")</f>
        <v>GAIA MENEGHEL</v>
      </c>
      <c r="B3815" s="17" t="str">
        <f>HYPERLINK("https://otsuka-europe-crm.veevavault.com/ui/#object/vcountry__v/VENZ000004SONFQ", "IT")</f>
        <v>IT</v>
      </c>
      <c r="C3815" s="20" t="s">
        <v>44</v>
      </c>
      <c r="D3815" s="21" t="str">
        <f>HYPERLINK("https://otsuka-europe-crm.veevavault.com/ui/#object/approved_document__v/V5O000000018003", "AE dialoghi di tempo fiducia e cura episodi 2-3-4")</f>
        <v>AE dialoghi di tempo fiducia e cura episodi 2-3-4</v>
      </c>
      <c r="E3815" s="22" t="str">
        <f>HYPERLINK("https://otsuka-europe-crm.veevavault.com/ui/#object/sent_email__v/VBL00000002P195", "SE-001432865")</f>
        <v>SE-001432865</v>
      </c>
      <c r="F3815" s="23">
        <v>46181.415162037039</v>
      </c>
      <c r="G3815" s="24">
        <v>1</v>
      </c>
      <c r="H3815" s="24">
        <v>1</v>
      </c>
      <c r="I3815" s="24">
        <v>0</v>
      </c>
      <c r="J3815" s="25"/>
      <c r="K3815" s="24">
        <v>0</v>
      </c>
      <c r="L3815" s="22" t="str">
        <f>HYPERLINK("https://otsuka-europe-crm.veevavault.com/ui/#object/approved_document__v/V5O000000018003", "AE dialoghi di tempo fiducia e cura episodi 2-3-4")</f>
        <v>AE dialoghi di tempo fiducia e cura episodi 2-3-4</v>
      </c>
      <c r="M3815" s="22" t="str">
        <f>HYPERLINK("mailto:nicoletta.vozza@crm.otsuka-europe.com", "nicoletta.vozza@crm.otsuka-europe.com")</f>
        <v>nicoletta.vozza@crm.otsuka-europe.com</v>
      </c>
      <c r="N3815" s="23">
        <v>46181.33797453704</v>
      </c>
      <c r="O3815" s="14" t="str">
        <f>HYPERLINK("https://otsuka-europe-crm.veevavault.com/ui/#object/email_activity__v/V8C00000003P150", "EN-002089550")</f>
        <v>EN-002089550</v>
      </c>
    </row>
    <row r="3816" spans="1:15" ht="16" x14ac:dyDescent="0.2">
      <c r="A3816" s="19"/>
      <c r="B3816" s="19"/>
      <c r="C3816" s="19"/>
      <c r="D3816" s="19"/>
      <c r="E3816" s="19"/>
      <c r="F3816" s="19"/>
      <c r="G3816" s="19"/>
      <c r="H3816" s="19"/>
      <c r="I3816" s="19"/>
      <c r="J3816" s="19"/>
      <c r="K3816" s="19"/>
      <c r="L3816" s="19"/>
      <c r="M3816" s="19"/>
      <c r="N3816" s="19"/>
      <c r="O3816" s="14" t="str">
        <f>HYPERLINK("https://otsuka-europe-crm.veevavault.com/ui/#object/email_activity__v/V8C00000003R049", "EN-002091778")</f>
        <v>EN-002091778</v>
      </c>
    </row>
    <row r="3817" spans="1:15" ht="16" x14ac:dyDescent="0.2">
      <c r="A3817" s="17" t="str">
        <f>HYPERLINK("https://otsuka-europe-crm.veevavault.com/ui/#object/account__v/V4TZ06G6O71S9RV", "GAIA NOVELLI")</f>
        <v>GAIA NOVELLI</v>
      </c>
      <c r="B3817" s="17" t="str">
        <f>HYPERLINK("https://otsuka-europe-crm.veevavault.com/ui/#object/vcountry__v/VENZ000004SONFQ", "IT")</f>
        <v>IT</v>
      </c>
      <c r="C3817" s="20" t="s">
        <v>44</v>
      </c>
      <c r="D3817" s="21" t="str">
        <f>HYPERLINK("https://otsuka-europe-crm.veevavault.com/ui/#object/approved_document__v/V5O000000018003", "AE dialoghi di tempo fiducia e cura episodi 2-3-4")</f>
        <v>AE dialoghi di tempo fiducia e cura episodi 2-3-4</v>
      </c>
      <c r="E3817" s="22" t="str">
        <f>HYPERLINK("https://otsuka-europe-crm.veevavault.com/ui/#object/sent_email__v/VBL00000002P196", "SE-001432866")</f>
        <v>SE-001432866</v>
      </c>
      <c r="F3817" s="25"/>
      <c r="G3817" s="24">
        <v>0</v>
      </c>
      <c r="H3817" s="24">
        <v>0</v>
      </c>
      <c r="I3817" s="24">
        <v>0</v>
      </c>
      <c r="J3817" s="25"/>
      <c r="K3817" s="24">
        <v>0</v>
      </c>
      <c r="L3817" s="22" t="str">
        <f>HYPERLINK("https://otsuka-europe-crm.veevavault.com/ui/#object/approved_document__v/V5O000000018003", "AE dialoghi di tempo fiducia e cura episodi 2-3-4")</f>
        <v>AE dialoghi di tempo fiducia e cura episodi 2-3-4</v>
      </c>
      <c r="M3817" s="22" t="str">
        <f>HYPERLINK("mailto:nicoletta.vozza@crm.otsuka-europe.com", "nicoletta.vozza@crm.otsuka-europe.com")</f>
        <v>nicoletta.vozza@crm.otsuka-europe.com</v>
      </c>
      <c r="N3817" s="23">
        <v>46181.338055555556</v>
      </c>
      <c r="O3817" s="14" t="str">
        <f>HYPERLINK("https://otsuka-europe-crm.veevavault.com/ui/#object/email_activity__v/V8C00000003O586", "EN-002090142")</f>
        <v>EN-002090142</v>
      </c>
    </row>
    <row r="3818" spans="1:15" ht="16" x14ac:dyDescent="0.2">
      <c r="A3818" s="19"/>
      <c r="B3818" s="19"/>
      <c r="C3818" s="19"/>
      <c r="D3818" s="19"/>
      <c r="E3818" s="19"/>
      <c r="F3818" s="19"/>
      <c r="G3818" s="19"/>
      <c r="H3818" s="19"/>
      <c r="I3818" s="19"/>
      <c r="J3818" s="19"/>
      <c r="K3818" s="19"/>
      <c r="L3818" s="19"/>
      <c r="M3818" s="19"/>
      <c r="N3818" s="19"/>
      <c r="O3818" s="14" t="str">
        <f>HYPERLINK("https://otsuka-europe-crm.veevavault.com/ui/#object/email_activity__v/V8C00000003Q726", "EN-002092288")</f>
        <v>EN-002092288</v>
      </c>
    </row>
    <row r="3819" spans="1:15" ht="32" x14ac:dyDescent="0.2">
      <c r="A3819" s="7" t="str">
        <f>HYPERLINK("https://otsuka-europe-crm.veevavault.com/ui/#object/account__v/V4TZ06G6O71SC5O", "GAIA RUBERTO")</f>
        <v>GAIA RUBERTO</v>
      </c>
      <c r="B3819" s="7" t="str">
        <f>HYPERLINK("https://otsuka-europe-crm.veevavault.com/ui/#object/vcountry__v/VENZ000004SONFQ", "IT")</f>
        <v>IT</v>
      </c>
      <c r="C3819" s="8" t="s">
        <v>44</v>
      </c>
      <c r="D3819" s="9" t="str">
        <f>HYPERLINK("https://otsuka-europe-crm.veevavault.com/ui/#object/approved_document__v/V5O000000018003", "AE dialoghi di tempo fiducia e cura episodi 2-3-4")</f>
        <v>AE dialoghi di tempo fiducia e cura episodi 2-3-4</v>
      </c>
      <c r="E3819" s="10" t="str">
        <f>HYPERLINK("https://otsuka-europe-crm.veevavault.com/ui/#object/sent_email__v/VBL00000002P197", "SE-001432867")</f>
        <v>SE-001432867</v>
      </c>
      <c r="F3819" s="11"/>
      <c r="G3819" s="12">
        <v>0</v>
      </c>
      <c r="H3819" s="12">
        <v>0</v>
      </c>
      <c r="I3819" s="12">
        <v>0</v>
      </c>
      <c r="J3819" s="11"/>
      <c r="K3819" s="12">
        <v>0</v>
      </c>
      <c r="L3819" s="10" t="str">
        <f>HYPERLINK("https://otsuka-europe-crm.veevavault.com/ui/#object/approved_document__v/V5O000000018003", "AE dialoghi di tempo fiducia e cura episodi 2-3-4")</f>
        <v>AE dialoghi di tempo fiducia e cura episodi 2-3-4</v>
      </c>
      <c r="M3819" s="10" t="str">
        <f>HYPERLINK("mailto:nicoletta.vozza@crm.otsuka-europe.com", "nicoletta.vozza@crm.otsuka-europe.com")</f>
        <v>nicoletta.vozza@crm.otsuka-europe.com</v>
      </c>
      <c r="N3819" s="13">
        <v>46181.338020833333</v>
      </c>
      <c r="O3819" s="14" t="str">
        <f>HYPERLINK("https://otsuka-europe-crm.veevavault.com/ui/#object/email_activity__v/V8C00000003P293", "EN-002089929")</f>
        <v>EN-002089929</v>
      </c>
    </row>
    <row r="3820" spans="1:15" ht="16" x14ac:dyDescent="0.2">
      <c r="A3820" s="17" t="str">
        <f>HYPERLINK("https://otsuka-europe-crm.veevavault.com/ui/#object/account__v/V4TZ06G6O71S9HQ", "GAIA SAMPOGNA")</f>
        <v>GAIA SAMPOGNA</v>
      </c>
      <c r="B3820" s="17" t="str">
        <f>HYPERLINK("https://otsuka-europe-crm.veevavault.com/ui/#object/vcountry__v/VENZ000004SONFQ", "IT")</f>
        <v>IT</v>
      </c>
      <c r="C3820" s="20" t="s">
        <v>44</v>
      </c>
      <c r="D3820" s="21" t="str">
        <f>HYPERLINK("https://otsuka-europe-crm.veevavault.com/ui/#object/approved_document__v/V5O000000018003", "AE dialoghi di tempo fiducia e cura episodi 2-3-4")</f>
        <v>AE dialoghi di tempo fiducia e cura episodi 2-3-4</v>
      </c>
      <c r="E3820" s="22" t="str">
        <f>HYPERLINK("https://otsuka-europe-crm.veevavault.com/ui/#object/sent_email__v/VBL00000002P198", "SE-001432868")</f>
        <v>SE-001432868</v>
      </c>
      <c r="F3820" s="23">
        <v>46181.401238425926</v>
      </c>
      <c r="G3820" s="24">
        <v>1</v>
      </c>
      <c r="H3820" s="24">
        <v>1</v>
      </c>
      <c r="I3820" s="24">
        <v>0</v>
      </c>
      <c r="J3820" s="25"/>
      <c r="K3820" s="24">
        <v>0</v>
      </c>
      <c r="L3820" s="22" t="str">
        <f>HYPERLINK("https://otsuka-europe-crm.veevavault.com/ui/#object/approved_document__v/V5O000000018003", "AE dialoghi di tempo fiducia e cura episodi 2-3-4")</f>
        <v>AE dialoghi di tempo fiducia e cura episodi 2-3-4</v>
      </c>
      <c r="M3820" s="22" t="str">
        <f>HYPERLINK("mailto:nicoletta.vozza@crm.otsuka-europe.com", "nicoletta.vozza@crm.otsuka-europe.com")</f>
        <v>nicoletta.vozza@crm.otsuka-europe.com</v>
      </c>
      <c r="N3820" s="23">
        <v>46181.338090277779</v>
      </c>
      <c r="O3820" s="14" t="str">
        <f>HYPERLINK("https://otsuka-europe-crm.veevavault.com/ui/#object/email_activity__v/V8C00000003Q136", "EN-002091219")</f>
        <v>EN-002091219</v>
      </c>
    </row>
    <row r="3821" spans="1:15" ht="16" x14ac:dyDescent="0.2">
      <c r="A3821" s="19"/>
      <c r="B3821" s="19"/>
      <c r="C3821" s="19"/>
      <c r="D3821" s="19"/>
      <c r="E3821" s="19"/>
      <c r="F3821" s="19"/>
      <c r="G3821" s="19"/>
      <c r="H3821" s="19"/>
      <c r="I3821" s="19"/>
      <c r="J3821" s="19"/>
      <c r="K3821" s="19"/>
      <c r="L3821" s="19"/>
      <c r="M3821" s="19"/>
      <c r="N3821" s="19"/>
      <c r="O3821" s="14" t="str">
        <f>HYPERLINK("https://otsuka-europe-crm.veevavault.com/ui/#object/email_activity__v/V8C00000003R030", "EN-002091755")</f>
        <v>EN-002091755</v>
      </c>
    </row>
    <row r="3822" spans="1:15" ht="32" x14ac:dyDescent="0.2">
      <c r="A3822" s="7" t="str">
        <f>HYPERLINK("https://otsuka-europe-crm.veevavault.com/ui/#object/account__v/V4TZ04ASGB4MZYB", "GASPARE GIUSEPPE MOTTA")</f>
        <v>GASPARE GIUSEPPE MOTTA</v>
      </c>
      <c r="B3822" s="7" t="str">
        <f>HYPERLINK("https://otsuka-europe-crm.veevavault.com/ui/#object/vcountry__v/VENZ000004SONFQ", "IT")</f>
        <v>IT</v>
      </c>
      <c r="C3822" s="8" t="s">
        <v>44</v>
      </c>
      <c r="D3822" s="9" t="str">
        <f>HYPERLINK("https://otsuka-europe-crm.veevavault.com/ui/#object/approved_document__v/V5O000000018003", "AE dialoghi di tempo fiducia e cura episodi 2-3-4")</f>
        <v>AE dialoghi di tempo fiducia e cura episodi 2-3-4</v>
      </c>
      <c r="E3822" s="10" t="str">
        <f>HYPERLINK("https://otsuka-europe-crm.veevavault.com/ui/#object/sent_email__v/VBL00000002P199", "SE-001432869")</f>
        <v>SE-001432869</v>
      </c>
      <c r="F3822" s="11"/>
      <c r="G3822" s="12">
        <v>0</v>
      </c>
      <c r="H3822" s="12">
        <v>0</v>
      </c>
      <c r="I3822" s="12">
        <v>0</v>
      </c>
      <c r="J3822" s="11"/>
      <c r="K3822" s="12">
        <v>0</v>
      </c>
      <c r="L3822" s="10" t="str">
        <f>HYPERLINK("https://otsuka-europe-crm.veevavault.com/ui/#object/approved_document__v/V5O000000018003", "AE dialoghi di tempo fiducia e cura episodi 2-3-4")</f>
        <v>AE dialoghi di tempo fiducia e cura episodi 2-3-4</v>
      </c>
      <c r="M3822" s="10" t="str">
        <f>HYPERLINK("mailto:nicoletta.vozza@crm.otsuka-europe.com", "nicoletta.vozza@crm.otsuka-europe.com")</f>
        <v>nicoletta.vozza@crm.otsuka-europe.com</v>
      </c>
      <c r="N3822" s="13">
        <v>46181.338055555556</v>
      </c>
      <c r="O3822" s="14" t="str">
        <f>HYPERLINK("https://otsuka-europe-crm.veevavault.com/ui/#object/email_activity__v/V8C00000003O927", "EN-002090587")</f>
        <v>EN-002090587</v>
      </c>
    </row>
    <row r="3823" spans="1:15" ht="16" x14ac:dyDescent="0.2">
      <c r="A3823" s="17" t="str">
        <f>HYPERLINK("https://otsuka-europe-crm.veevavault.com/ui/#object/account__v/V4TZ06G6O71S9OY", "GEMMA FERRANTE")</f>
        <v>GEMMA FERRANTE</v>
      </c>
      <c r="B3823" s="17" t="str">
        <f>HYPERLINK("https://otsuka-europe-crm.veevavault.com/ui/#object/vcountry__v/VENZ000004SONFQ", "IT")</f>
        <v>IT</v>
      </c>
      <c r="C3823" s="20" t="s">
        <v>44</v>
      </c>
      <c r="D3823" s="21" t="str">
        <f>HYPERLINK("https://otsuka-europe-crm.veevavault.com/ui/#object/approved_document__v/V5O000000018003", "AE dialoghi di tempo fiducia e cura episodi 2-3-4")</f>
        <v>AE dialoghi di tempo fiducia e cura episodi 2-3-4</v>
      </c>
      <c r="E3823" s="22" t="str">
        <f>HYPERLINK("https://otsuka-europe-crm.veevavault.com/ui/#object/sent_email__v/VBL00000002P200", "SE-001432870")</f>
        <v>SE-001432870</v>
      </c>
      <c r="F3823" s="25"/>
      <c r="G3823" s="24">
        <v>0</v>
      </c>
      <c r="H3823" s="24">
        <v>0</v>
      </c>
      <c r="I3823" s="24">
        <v>0</v>
      </c>
      <c r="J3823" s="25"/>
      <c r="K3823" s="24">
        <v>0</v>
      </c>
      <c r="L3823" s="22" t="str">
        <f>HYPERLINK("https://otsuka-europe-crm.veevavault.com/ui/#object/approved_document__v/V5O000000018003", "AE dialoghi di tempo fiducia e cura episodi 2-3-4")</f>
        <v>AE dialoghi di tempo fiducia e cura episodi 2-3-4</v>
      </c>
      <c r="M3823" s="22" t="str">
        <f>HYPERLINK("mailto:nicoletta.vozza@crm.otsuka-europe.com", "nicoletta.vozza@crm.otsuka-europe.com")</f>
        <v>nicoletta.vozza@crm.otsuka-europe.com</v>
      </c>
      <c r="N3823" s="23">
        <v>46181.337951388887</v>
      </c>
      <c r="O3823" s="14" t="str">
        <f>HYPERLINK("https://otsuka-europe-crm.veevavault.com/ui/#object/email_activity__v/V8C00000003P197", "EN-002089597")</f>
        <v>EN-002089597</v>
      </c>
    </row>
    <row r="3824" spans="1:15" ht="16" x14ac:dyDescent="0.2">
      <c r="A3824" s="18"/>
      <c r="B3824" s="18"/>
      <c r="C3824" s="18"/>
      <c r="D3824" s="18"/>
      <c r="E3824" s="18"/>
      <c r="F3824" s="18"/>
      <c r="G3824" s="18"/>
      <c r="H3824" s="18"/>
      <c r="I3824" s="18"/>
      <c r="J3824" s="18"/>
      <c r="K3824" s="18"/>
      <c r="L3824" s="18"/>
      <c r="M3824" s="18"/>
      <c r="N3824" s="18"/>
      <c r="O3824" s="14" t="str">
        <f>HYPERLINK("https://otsuka-europe-crm.veevavault.com/ui/#object/email_activity__v/V8C00000003R083", "EN-002091831")</f>
        <v>EN-002091831</v>
      </c>
    </row>
    <row r="3825" spans="1:15" ht="16" x14ac:dyDescent="0.2">
      <c r="A3825" s="19"/>
      <c r="B3825" s="19"/>
      <c r="C3825" s="19"/>
      <c r="D3825" s="19"/>
      <c r="E3825" s="19"/>
      <c r="F3825" s="19"/>
      <c r="G3825" s="19"/>
      <c r="H3825" s="19"/>
      <c r="I3825" s="19"/>
      <c r="J3825" s="19"/>
      <c r="K3825" s="19"/>
      <c r="L3825" s="19"/>
      <c r="M3825" s="19"/>
      <c r="N3825" s="19"/>
      <c r="O3825" s="14" t="str">
        <f>HYPERLINK("https://otsuka-europe-crm.veevavault.com/ui/#object/email_activity__v/V8C00000003U376", "EN-002095620")</f>
        <v>EN-002095620</v>
      </c>
    </row>
    <row r="3826" spans="1:15" ht="32" x14ac:dyDescent="0.2">
      <c r="A3826" s="7" t="str">
        <f>HYPERLINK("https://otsuka-europe-crm.veevavault.com/ui/#object/account__v/V4TZ025E880Y6IM", "GENNARO BARBATO")</f>
        <v>GENNARO BARBATO</v>
      </c>
      <c r="B3826" s="7" t="str">
        <f t="shared" ref="B3826:B3839" si="276">HYPERLINK("https://otsuka-europe-crm.veevavault.com/ui/#object/vcountry__v/VENZ000004SONFQ", "IT")</f>
        <v>IT</v>
      </c>
      <c r="C3826" s="8" t="s">
        <v>44</v>
      </c>
      <c r="D3826" s="9" t="str">
        <f t="shared" ref="D3826:D3839" si="277">HYPERLINK("https://otsuka-europe-crm.veevavault.com/ui/#object/approved_document__v/V5O000000018003", "AE dialoghi di tempo fiducia e cura episodi 2-3-4")</f>
        <v>AE dialoghi di tempo fiducia e cura episodi 2-3-4</v>
      </c>
      <c r="E3826" s="10" t="str">
        <f>HYPERLINK("https://otsuka-europe-crm.veevavault.com/ui/#object/sent_email__v/VBL00000002P201", "SE-001432871")</f>
        <v>SE-001432871</v>
      </c>
      <c r="F3826" s="11"/>
      <c r="G3826" s="12">
        <v>0</v>
      </c>
      <c r="H3826" s="12">
        <v>0</v>
      </c>
      <c r="I3826" s="12">
        <v>0</v>
      </c>
      <c r="J3826" s="11"/>
      <c r="K3826" s="12">
        <v>0</v>
      </c>
      <c r="L3826" s="10" t="str">
        <f t="shared" ref="L3826:L3839" si="278">HYPERLINK("https://otsuka-europe-crm.veevavault.com/ui/#object/approved_document__v/V5O000000018003", "AE dialoghi di tempo fiducia e cura episodi 2-3-4")</f>
        <v>AE dialoghi di tempo fiducia e cura episodi 2-3-4</v>
      </c>
      <c r="M3826" s="10" t="str">
        <f t="shared" ref="M3826:M3839" si="279">HYPERLINK("mailto:nicoletta.vozza@crm.otsuka-europe.com", "nicoletta.vozza@crm.otsuka-europe.com")</f>
        <v>nicoletta.vozza@crm.otsuka-europe.com</v>
      </c>
      <c r="N3826" s="13">
        <v>46181.33798611111</v>
      </c>
      <c r="O3826" s="14" t="str">
        <f>HYPERLINK("https://otsuka-europe-crm.veevavault.com/ui/#object/email_activity__v/V8C00000003O868", "EN-002090471")</f>
        <v>EN-002090471</v>
      </c>
    </row>
    <row r="3827" spans="1:15" ht="32" x14ac:dyDescent="0.2">
      <c r="A3827" s="7" t="str">
        <f>HYPERLINK("https://otsuka-europe-crm.veevavault.com/ui/#object/account__v/V4TZ06G6O71SAA1", "GENNARO DE FILIPPIS")</f>
        <v>GENNARO DE FILIPPIS</v>
      </c>
      <c r="B3827" s="7" t="str">
        <f t="shared" si="276"/>
        <v>IT</v>
      </c>
      <c r="C3827" s="8" t="s">
        <v>44</v>
      </c>
      <c r="D3827" s="9" t="str">
        <f t="shared" si="277"/>
        <v>AE dialoghi di tempo fiducia e cura episodi 2-3-4</v>
      </c>
      <c r="E3827" s="10" t="str">
        <f>HYPERLINK("https://otsuka-europe-crm.veevavault.com/ui/#object/sent_email__v/VBL00000002P202", "SE-001432872")</f>
        <v>SE-001432872</v>
      </c>
      <c r="F3827" s="11"/>
      <c r="G3827" s="12">
        <v>0</v>
      </c>
      <c r="H3827" s="12">
        <v>0</v>
      </c>
      <c r="I3827" s="12">
        <v>0</v>
      </c>
      <c r="J3827" s="11"/>
      <c r="K3827" s="12">
        <v>0</v>
      </c>
      <c r="L3827" s="10" t="str">
        <f t="shared" si="278"/>
        <v>AE dialoghi di tempo fiducia e cura episodi 2-3-4</v>
      </c>
      <c r="M3827" s="10" t="str">
        <f t="shared" si="279"/>
        <v>nicoletta.vozza@crm.otsuka-europe.com</v>
      </c>
      <c r="N3827" s="13">
        <v>46181.337939814817</v>
      </c>
      <c r="O3827" s="14" t="str">
        <f>HYPERLINK("https://otsuka-europe-crm.veevavault.com/ui/#object/email_activity__v/V8C00000003P162", "EN-002089562")</f>
        <v>EN-002089562</v>
      </c>
    </row>
    <row r="3828" spans="1:15" ht="32" x14ac:dyDescent="0.2">
      <c r="A3828" s="7" t="str">
        <f>HYPERLINK("https://otsuka-europe-crm.veevavault.com/ui/#object/account__v/V4TZ06G6O71SAAM", "GENNARO DE LUCA")</f>
        <v>GENNARO DE LUCA</v>
      </c>
      <c r="B3828" s="7" t="str">
        <f t="shared" si="276"/>
        <v>IT</v>
      </c>
      <c r="C3828" s="8" t="s">
        <v>44</v>
      </c>
      <c r="D3828" s="9" t="str">
        <f t="shared" si="277"/>
        <v>AE dialoghi di tempo fiducia e cura episodi 2-3-4</v>
      </c>
      <c r="E3828" s="10" t="str">
        <f>HYPERLINK("https://otsuka-europe-crm.veevavault.com/ui/#object/sent_email__v/VBL00000002P203", "SE-001432873")</f>
        <v>SE-001432873</v>
      </c>
      <c r="F3828" s="11"/>
      <c r="G3828" s="12">
        <v>0</v>
      </c>
      <c r="H3828" s="12">
        <v>0</v>
      </c>
      <c r="I3828" s="12">
        <v>0</v>
      </c>
      <c r="J3828" s="11"/>
      <c r="K3828" s="12">
        <v>0</v>
      </c>
      <c r="L3828" s="10" t="str">
        <f t="shared" si="278"/>
        <v>AE dialoghi di tempo fiducia e cura episodi 2-3-4</v>
      </c>
      <c r="M3828" s="10" t="str">
        <f t="shared" si="279"/>
        <v>nicoletta.vozza@crm.otsuka-europe.com</v>
      </c>
      <c r="N3828" s="13">
        <v>46181.337939814817</v>
      </c>
      <c r="O3828" s="14" t="str">
        <f>HYPERLINK("https://otsuka-europe-crm.veevavault.com/ui/#object/email_activity__v/V8C00000003O152", "EN-002089534")</f>
        <v>EN-002089534</v>
      </c>
    </row>
    <row r="3829" spans="1:15" ht="32" x14ac:dyDescent="0.2">
      <c r="A3829" s="7" t="str">
        <f>HYPERLINK("https://otsuka-europe-crm.veevavault.com/ui/#object/account__v/V4TZ06G6O71S9KZ", "GENNARO ESPOSITO")</f>
        <v>GENNARO ESPOSITO</v>
      </c>
      <c r="B3829" s="7" t="str">
        <f t="shared" si="276"/>
        <v>IT</v>
      </c>
      <c r="C3829" s="8" t="s">
        <v>44</v>
      </c>
      <c r="D3829" s="9" t="str">
        <f t="shared" si="277"/>
        <v>AE dialoghi di tempo fiducia e cura episodi 2-3-4</v>
      </c>
      <c r="E3829" s="10" t="str">
        <f>HYPERLINK("https://otsuka-europe-crm.veevavault.com/ui/#object/sent_email__v/VBL00000002P204", "SE-001432874")</f>
        <v>SE-001432874</v>
      </c>
      <c r="F3829" s="11"/>
      <c r="G3829" s="12">
        <v>0</v>
      </c>
      <c r="H3829" s="12">
        <v>0</v>
      </c>
      <c r="I3829" s="12">
        <v>0</v>
      </c>
      <c r="J3829" s="11"/>
      <c r="K3829" s="12">
        <v>0</v>
      </c>
      <c r="L3829" s="10" t="str">
        <f t="shared" si="278"/>
        <v>AE dialoghi di tempo fiducia e cura episodi 2-3-4</v>
      </c>
      <c r="M3829" s="10" t="str">
        <f t="shared" si="279"/>
        <v>nicoletta.vozza@crm.otsuka-europe.com</v>
      </c>
      <c r="N3829" s="13">
        <v>46181.338923611111</v>
      </c>
      <c r="O3829" s="14" t="str">
        <f>HYPERLINK("https://otsuka-europe-crm.veevavault.com/ui/#object/email_activity__v/V8C00000003Q185", "EN-002091288")</f>
        <v>EN-002091288</v>
      </c>
    </row>
    <row r="3830" spans="1:15" ht="32" x14ac:dyDescent="0.2">
      <c r="A3830" s="7" t="str">
        <f>HYPERLINK("https://otsuka-europe-crm.veevavault.com/ui/#object/account__v/V4TZ06G6O71SB5T", "GENNARO LEONE")</f>
        <v>GENNARO LEONE</v>
      </c>
      <c r="B3830" s="7" t="str">
        <f t="shared" si="276"/>
        <v>IT</v>
      </c>
      <c r="C3830" s="8" t="s">
        <v>44</v>
      </c>
      <c r="D3830" s="9" t="str">
        <f t="shared" si="277"/>
        <v>AE dialoghi di tempo fiducia e cura episodi 2-3-4</v>
      </c>
      <c r="E3830" s="10" t="str">
        <f>HYPERLINK("https://otsuka-europe-crm.veevavault.com/ui/#object/sent_email__v/VBL00000002P205", "SE-001432875")</f>
        <v>SE-001432875</v>
      </c>
      <c r="F3830" s="11"/>
      <c r="G3830" s="12">
        <v>0</v>
      </c>
      <c r="H3830" s="12">
        <v>0</v>
      </c>
      <c r="I3830" s="12">
        <v>0</v>
      </c>
      <c r="J3830" s="11"/>
      <c r="K3830" s="12">
        <v>0</v>
      </c>
      <c r="L3830" s="10" t="str">
        <f t="shared" si="278"/>
        <v>AE dialoghi di tempo fiducia e cura episodi 2-3-4</v>
      </c>
      <c r="M3830" s="10" t="str">
        <f t="shared" si="279"/>
        <v>nicoletta.vozza@crm.otsuka-europe.com</v>
      </c>
      <c r="N3830" s="13">
        <v>46181.337962962964</v>
      </c>
      <c r="O3830" s="14" t="str">
        <f>HYPERLINK("https://otsuka-europe-crm.veevavault.com/ui/#object/email_activity__v/V8C00000003P157", "EN-002089557")</f>
        <v>EN-002089557</v>
      </c>
    </row>
    <row r="3831" spans="1:15" ht="32" x14ac:dyDescent="0.2">
      <c r="A3831" s="7" t="str">
        <f>HYPERLINK("https://otsuka-europe-crm.veevavault.com/ui/#object/account__v/V4TZ06G6O71SB8Q", "GENNARO LOFFREDO")</f>
        <v>GENNARO LOFFREDO</v>
      </c>
      <c r="B3831" s="7" t="str">
        <f t="shared" si="276"/>
        <v>IT</v>
      </c>
      <c r="C3831" s="8" t="s">
        <v>44</v>
      </c>
      <c r="D3831" s="9" t="str">
        <f t="shared" si="277"/>
        <v>AE dialoghi di tempo fiducia e cura episodi 2-3-4</v>
      </c>
      <c r="E3831" s="10" t="str">
        <f>HYPERLINK("https://otsuka-europe-crm.veevavault.com/ui/#object/sent_email__v/VBL00000002P206", "SE-001432876")</f>
        <v>SE-001432876</v>
      </c>
      <c r="F3831" s="11"/>
      <c r="G3831" s="12">
        <v>0</v>
      </c>
      <c r="H3831" s="12">
        <v>0</v>
      </c>
      <c r="I3831" s="12">
        <v>0</v>
      </c>
      <c r="J3831" s="11"/>
      <c r="K3831" s="12">
        <v>0</v>
      </c>
      <c r="L3831" s="10" t="str">
        <f t="shared" si="278"/>
        <v>AE dialoghi di tempo fiducia e cura episodi 2-3-4</v>
      </c>
      <c r="M3831" s="10" t="str">
        <f t="shared" si="279"/>
        <v>nicoletta.vozza@crm.otsuka-europe.com</v>
      </c>
      <c r="N3831" s="13">
        <v>46181.337939814817</v>
      </c>
      <c r="O3831" s="14" t="str">
        <f>HYPERLINK("https://otsuka-europe-crm.veevavault.com/ui/#object/email_activity__v/V8C00000003O144", "EN-002089526")</f>
        <v>EN-002089526</v>
      </c>
    </row>
    <row r="3832" spans="1:15" ht="32" x14ac:dyDescent="0.2">
      <c r="A3832" s="7" t="str">
        <f>HYPERLINK("https://otsuka-europe-crm.veevavault.com/ui/#object/account__v/V4TZ06G6O71S9RN", "GENNARO PANNONE")</f>
        <v>GENNARO PANNONE</v>
      </c>
      <c r="B3832" s="7" t="str">
        <f t="shared" si="276"/>
        <v>IT</v>
      </c>
      <c r="C3832" s="8" t="s">
        <v>44</v>
      </c>
      <c r="D3832" s="9" t="str">
        <f t="shared" si="277"/>
        <v>AE dialoghi di tempo fiducia e cura episodi 2-3-4</v>
      </c>
      <c r="E3832" s="10" t="str">
        <f>HYPERLINK("https://otsuka-europe-crm.veevavault.com/ui/#object/sent_email__v/VBL00000002P207", "SE-001432877")</f>
        <v>SE-001432877</v>
      </c>
      <c r="F3832" s="11"/>
      <c r="G3832" s="12">
        <v>0</v>
      </c>
      <c r="H3832" s="12">
        <v>0</v>
      </c>
      <c r="I3832" s="12">
        <v>0</v>
      </c>
      <c r="J3832" s="11"/>
      <c r="K3832" s="12">
        <v>0</v>
      </c>
      <c r="L3832" s="10" t="str">
        <f t="shared" si="278"/>
        <v>AE dialoghi di tempo fiducia e cura episodi 2-3-4</v>
      </c>
      <c r="M3832" s="10" t="str">
        <f t="shared" si="279"/>
        <v>nicoletta.vozza@crm.otsuka-europe.com</v>
      </c>
      <c r="N3832" s="13">
        <v>46181.33803240741</v>
      </c>
      <c r="O3832" s="14" t="str">
        <f>HYPERLINK("https://otsuka-europe-crm.veevavault.com/ui/#object/email_activity__v/V8C00000003O923", "EN-002090583")</f>
        <v>EN-002090583</v>
      </c>
    </row>
    <row r="3833" spans="1:15" ht="32" x14ac:dyDescent="0.2">
      <c r="A3833" s="7" t="str">
        <f>HYPERLINK("https://otsuka-europe-crm.veevavault.com/ui/#object/account__v/V4TZ06G6O71SBUY", "GENNARO PANNONE")</f>
        <v>GENNARO PANNONE</v>
      </c>
      <c r="B3833" s="7" t="str">
        <f t="shared" si="276"/>
        <v>IT</v>
      </c>
      <c r="C3833" s="8" t="s">
        <v>44</v>
      </c>
      <c r="D3833" s="9" t="str">
        <f t="shared" si="277"/>
        <v>AE dialoghi di tempo fiducia e cura episodi 2-3-4</v>
      </c>
      <c r="E3833" s="10" t="str">
        <f>HYPERLINK("https://otsuka-europe-crm.veevavault.com/ui/#object/sent_email__v/VBL00000002P208", "SE-001432878")</f>
        <v>SE-001432878</v>
      </c>
      <c r="F3833" s="11"/>
      <c r="G3833" s="12">
        <v>0</v>
      </c>
      <c r="H3833" s="12">
        <v>0</v>
      </c>
      <c r="I3833" s="12">
        <v>0</v>
      </c>
      <c r="J3833" s="11"/>
      <c r="K3833" s="12">
        <v>0</v>
      </c>
      <c r="L3833" s="10" t="str">
        <f t="shared" si="278"/>
        <v>AE dialoghi di tempo fiducia e cura episodi 2-3-4</v>
      </c>
      <c r="M3833" s="10" t="str">
        <f t="shared" si="279"/>
        <v>nicoletta.vozza@crm.otsuka-europe.com</v>
      </c>
      <c r="N3833" s="13">
        <v>46181.337997685187</v>
      </c>
      <c r="O3833" s="14" t="str">
        <f>HYPERLINK("https://otsuka-europe-crm.veevavault.com/ui/#object/email_activity__v/V8C00000003O987", "EN-002090736")</f>
        <v>EN-002090736</v>
      </c>
    </row>
    <row r="3834" spans="1:15" ht="32" x14ac:dyDescent="0.2">
      <c r="A3834" s="7" t="str">
        <f>HYPERLINK("https://otsuka-europe-crm.veevavault.com/ui/#object/account__v/V4TZ06G6O71TFXX", "GENNARO PISANO")</f>
        <v>GENNARO PISANO</v>
      </c>
      <c r="B3834" s="7" t="str">
        <f t="shared" si="276"/>
        <v>IT</v>
      </c>
      <c r="C3834" s="8" t="s">
        <v>44</v>
      </c>
      <c r="D3834" s="9" t="str">
        <f t="shared" si="277"/>
        <v>AE dialoghi di tempo fiducia e cura episodi 2-3-4</v>
      </c>
      <c r="E3834" s="10" t="str">
        <f>HYPERLINK("https://otsuka-europe-crm.veevavault.com/ui/#object/sent_email__v/VBL00000002P209", "SE-001432879")</f>
        <v>SE-001432879</v>
      </c>
      <c r="F3834" s="11"/>
      <c r="G3834" s="12">
        <v>0</v>
      </c>
      <c r="H3834" s="12">
        <v>0</v>
      </c>
      <c r="I3834" s="12">
        <v>0</v>
      </c>
      <c r="J3834" s="11"/>
      <c r="K3834" s="12">
        <v>0</v>
      </c>
      <c r="L3834" s="10" t="str">
        <f t="shared" si="278"/>
        <v>AE dialoghi di tempo fiducia e cura episodi 2-3-4</v>
      </c>
      <c r="M3834" s="10" t="str">
        <f t="shared" si="279"/>
        <v>nicoletta.vozza@crm.otsuka-europe.com</v>
      </c>
      <c r="N3834" s="13">
        <v>46181.33798611111</v>
      </c>
      <c r="O3834" s="14" t="str">
        <f>HYPERLINK("https://otsuka-europe-crm.veevavault.com/ui/#object/email_activity__v/V8C00000003O234", "EN-002089711")</f>
        <v>EN-002089711</v>
      </c>
    </row>
    <row r="3835" spans="1:15" ht="32" x14ac:dyDescent="0.2">
      <c r="A3835" s="7" t="str">
        <f>HYPERLINK("https://otsuka-europe-crm.veevavault.com/ui/#object/account__v/V4TZ025E86LOGDF", "GENNARO ROMANO")</f>
        <v>GENNARO ROMANO</v>
      </c>
      <c r="B3835" s="7" t="str">
        <f t="shared" si="276"/>
        <v>IT</v>
      </c>
      <c r="C3835" s="8" t="s">
        <v>44</v>
      </c>
      <c r="D3835" s="9" t="str">
        <f t="shared" si="277"/>
        <v>AE dialoghi di tempo fiducia e cura episodi 2-3-4</v>
      </c>
      <c r="E3835" s="10" t="str">
        <f>HYPERLINK("https://otsuka-europe-crm.veevavault.com/ui/#object/sent_email__v/VBL00000002P210", "SE-001432880")</f>
        <v>SE-001432880</v>
      </c>
      <c r="F3835" s="11"/>
      <c r="G3835" s="12">
        <v>0</v>
      </c>
      <c r="H3835" s="12">
        <v>0</v>
      </c>
      <c r="I3835" s="12">
        <v>0</v>
      </c>
      <c r="J3835" s="11"/>
      <c r="K3835" s="12">
        <v>0</v>
      </c>
      <c r="L3835" s="10" t="str">
        <f t="shared" si="278"/>
        <v>AE dialoghi di tempo fiducia e cura episodi 2-3-4</v>
      </c>
      <c r="M3835" s="10" t="str">
        <f t="shared" si="279"/>
        <v>nicoletta.vozza@crm.otsuka-europe.com</v>
      </c>
      <c r="N3835" s="13">
        <v>46181.337997685187</v>
      </c>
      <c r="O3835" s="14" t="str">
        <f>HYPERLINK("https://otsuka-europe-crm.veevavault.com/ui/#object/email_activity__v/V8C00000003O279", "EN-002089756")</f>
        <v>EN-002089756</v>
      </c>
    </row>
    <row r="3836" spans="1:15" ht="32" x14ac:dyDescent="0.2">
      <c r="A3836" s="7" t="str">
        <f>HYPERLINK("https://otsuka-europe-crm.veevavault.com/ui/#object/account__v/V4TZ06G6O9MX1BT", "GERMANA MORETTI")</f>
        <v>GERMANA MORETTI</v>
      </c>
      <c r="B3836" s="7" t="str">
        <f t="shared" si="276"/>
        <v>IT</v>
      </c>
      <c r="C3836" s="8" t="s">
        <v>44</v>
      </c>
      <c r="D3836" s="9" t="str">
        <f t="shared" si="277"/>
        <v>AE dialoghi di tempo fiducia e cura episodi 2-3-4</v>
      </c>
      <c r="E3836" s="10" t="str">
        <f>HYPERLINK("https://otsuka-europe-crm.veevavault.com/ui/#object/sent_email__v/VBL00000002P211", "SE-001432881")</f>
        <v>SE-001432881</v>
      </c>
      <c r="F3836" s="11"/>
      <c r="G3836" s="12">
        <v>0</v>
      </c>
      <c r="H3836" s="12">
        <v>0</v>
      </c>
      <c r="I3836" s="12">
        <v>0</v>
      </c>
      <c r="J3836" s="11"/>
      <c r="K3836" s="12">
        <v>0</v>
      </c>
      <c r="L3836" s="10" t="str">
        <f t="shared" si="278"/>
        <v>AE dialoghi di tempo fiducia e cura episodi 2-3-4</v>
      </c>
      <c r="M3836" s="10" t="str">
        <f t="shared" si="279"/>
        <v>nicoletta.vozza@crm.otsuka-europe.com</v>
      </c>
      <c r="N3836" s="13">
        <v>46181.338101851848</v>
      </c>
      <c r="O3836" s="14" t="str">
        <f>HYPERLINK("https://otsuka-europe-crm.veevavault.com/ui/#object/email_activity__v/V8C00000003Q165", "EN-002091251")</f>
        <v>EN-002091251</v>
      </c>
    </row>
    <row r="3837" spans="1:15" ht="32" x14ac:dyDescent="0.2">
      <c r="A3837" s="7" t="str">
        <f>HYPERLINK("https://otsuka-europe-crm.veevavault.com/ui/#object/account__v/V4TZ06G6O71SC34", "GIACINTO RICCHETTI")</f>
        <v>GIACINTO RICCHETTI</v>
      </c>
      <c r="B3837" s="7" t="str">
        <f t="shared" si="276"/>
        <v>IT</v>
      </c>
      <c r="C3837" s="8" t="s">
        <v>44</v>
      </c>
      <c r="D3837" s="9" t="str">
        <f t="shared" si="277"/>
        <v>AE dialoghi di tempo fiducia e cura episodi 2-3-4</v>
      </c>
      <c r="E3837" s="10" t="str">
        <f>HYPERLINK("https://otsuka-europe-crm.veevavault.com/ui/#object/sent_email__v/VBL00000002P212", "SE-001432882")</f>
        <v>SE-001432882</v>
      </c>
      <c r="F3837" s="11"/>
      <c r="G3837" s="12">
        <v>0</v>
      </c>
      <c r="H3837" s="12">
        <v>0</v>
      </c>
      <c r="I3837" s="12">
        <v>0</v>
      </c>
      <c r="J3837" s="11"/>
      <c r="K3837" s="12">
        <v>0</v>
      </c>
      <c r="L3837" s="10" t="str">
        <f t="shared" si="278"/>
        <v>AE dialoghi di tempo fiducia e cura episodi 2-3-4</v>
      </c>
      <c r="M3837" s="10" t="str">
        <f t="shared" si="279"/>
        <v>nicoletta.vozza@crm.otsuka-europe.com</v>
      </c>
      <c r="N3837" s="13">
        <v>46181.338009259256</v>
      </c>
      <c r="O3837" s="14" t="str">
        <f>HYPERLINK("https://otsuka-europe-crm.veevavault.com/ui/#object/email_activity__v/V8C00000003O614", "EN-002090170")</f>
        <v>EN-002090170</v>
      </c>
    </row>
    <row r="3838" spans="1:15" ht="32" x14ac:dyDescent="0.2">
      <c r="A3838" s="7" t="str">
        <f>HYPERLINK("https://otsuka-europe-crm.veevavault.com/ui/#object/account__v/V4TZ06G6O71SAGO", "GIACOMO DINELLI")</f>
        <v>GIACOMO DINELLI</v>
      </c>
      <c r="B3838" s="7" t="str">
        <f t="shared" si="276"/>
        <v>IT</v>
      </c>
      <c r="C3838" s="8" t="s">
        <v>44</v>
      </c>
      <c r="D3838" s="9" t="str">
        <f t="shared" si="277"/>
        <v>AE dialoghi di tempo fiducia e cura episodi 2-3-4</v>
      </c>
      <c r="E3838" s="10" t="str">
        <f>HYPERLINK("https://otsuka-europe-crm.veevavault.com/ui/#object/sent_email__v/VBL00000002P213", "SE-001432883")</f>
        <v>SE-001432883</v>
      </c>
      <c r="F3838" s="11"/>
      <c r="G3838" s="12">
        <v>0</v>
      </c>
      <c r="H3838" s="12">
        <v>0</v>
      </c>
      <c r="I3838" s="12">
        <v>0</v>
      </c>
      <c r="J3838" s="11"/>
      <c r="K3838" s="12">
        <v>0</v>
      </c>
      <c r="L3838" s="10" t="str">
        <f t="shared" si="278"/>
        <v>AE dialoghi di tempo fiducia e cura episodi 2-3-4</v>
      </c>
      <c r="M3838" s="10" t="str">
        <f t="shared" si="279"/>
        <v>nicoletta.vozza@crm.otsuka-europe.com</v>
      </c>
      <c r="N3838" s="13">
        <v>46181.33798611111</v>
      </c>
      <c r="O3838" s="14" t="str">
        <f>HYPERLINK("https://otsuka-europe-crm.veevavault.com/ui/#object/email_activity__v/V8C00000003O420", "EN-002089976")</f>
        <v>EN-002089976</v>
      </c>
    </row>
    <row r="3839" spans="1:15" ht="16" x14ac:dyDescent="0.2">
      <c r="A3839" s="17" t="str">
        <f>HYPERLINK("https://otsuka-europe-crm.veevavault.com/ui/#object/account__v/V4TZ04ASGEIC1D9", "GIACOMO VITALE")</f>
        <v>GIACOMO VITALE</v>
      </c>
      <c r="B3839" s="17" t="str">
        <f t="shared" si="276"/>
        <v>IT</v>
      </c>
      <c r="C3839" s="20" t="s">
        <v>44</v>
      </c>
      <c r="D3839" s="21" t="str">
        <f t="shared" si="277"/>
        <v>AE dialoghi di tempo fiducia e cura episodi 2-3-4</v>
      </c>
      <c r="E3839" s="22" t="str">
        <f>HYPERLINK("https://otsuka-europe-crm.veevavault.com/ui/#object/sent_email__v/VBL00000002P214", "SE-001432884")</f>
        <v>SE-001432884</v>
      </c>
      <c r="F3839" s="23">
        <v>46181.536840277775</v>
      </c>
      <c r="G3839" s="24">
        <v>1</v>
      </c>
      <c r="H3839" s="24">
        <v>3</v>
      </c>
      <c r="I3839" s="24">
        <v>0</v>
      </c>
      <c r="J3839" s="25"/>
      <c r="K3839" s="24">
        <v>0</v>
      </c>
      <c r="L3839" s="22" t="str">
        <f t="shared" si="278"/>
        <v>AE dialoghi di tempo fiducia e cura episodi 2-3-4</v>
      </c>
      <c r="M3839" s="22" t="str">
        <f t="shared" si="279"/>
        <v>nicoletta.vozza@crm.otsuka-europe.com</v>
      </c>
      <c r="N3839" s="23">
        <v>46181.338020833333</v>
      </c>
      <c r="O3839" s="14" t="str">
        <f>HYPERLINK("https://otsuka-europe-crm.veevavault.com/ui/#object/email_activity__v/V8C00000003Q019", "EN-002090985")</f>
        <v>EN-002090985</v>
      </c>
    </row>
    <row r="3840" spans="1:15" ht="16" x14ac:dyDescent="0.2">
      <c r="A3840" s="18"/>
      <c r="B3840" s="18"/>
      <c r="C3840" s="18"/>
      <c r="D3840" s="18"/>
      <c r="E3840" s="18"/>
      <c r="F3840" s="18"/>
      <c r="G3840" s="18"/>
      <c r="H3840" s="18"/>
      <c r="I3840" s="18"/>
      <c r="J3840" s="18"/>
      <c r="K3840" s="18"/>
      <c r="L3840" s="18"/>
      <c r="M3840" s="18"/>
      <c r="N3840" s="18"/>
      <c r="O3840" s="14" t="str">
        <f>HYPERLINK("https://otsuka-europe-crm.veevavault.com/ui/#object/email_activity__v/V8C00000003Q558", "EN-002091920")</f>
        <v>EN-002091920</v>
      </c>
    </row>
    <row r="3841" spans="1:15" ht="16" x14ac:dyDescent="0.2">
      <c r="A3841" s="18"/>
      <c r="B3841" s="18"/>
      <c r="C3841" s="18"/>
      <c r="D3841" s="18"/>
      <c r="E3841" s="18"/>
      <c r="F3841" s="18"/>
      <c r="G3841" s="18"/>
      <c r="H3841" s="18"/>
      <c r="I3841" s="18"/>
      <c r="J3841" s="18"/>
      <c r="K3841" s="18"/>
      <c r="L3841" s="18"/>
      <c r="M3841" s="18"/>
      <c r="N3841" s="18"/>
      <c r="O3841" s="14" t="str">
        <f>HYPERLINK("https://otsuka-europe-crm.veevavault.com/ui/#object/email_activity__v/V8C00000003R140", "EN-002091940")</f>
        <v>EN-002091940</v>
      </c>
    </row>
    <row r="3842" spans="1:15" ht="16" x14ac:dyDescent="0.2">
      <c r="A3842" s="19"/>
      <c r="B3842" s="19"/>
      <c r="C3842" s="19"/>
      <c r="D3842" s="19"/>
      <c r="E3842" s="19"/>
      <c r="F3842" s="19"/>
      <c r="G3842" s="19"/>
      <c r="H3842" s="19"/>
      <c r="I3842" s="19"/>
      <c r="J3842" s="19"/>
      <c r="K3842" s="19"/>
      <c r="L3842" s="19"/>
      <c r="M3842" s="19"/>
      <c r="N3842" s="19"/>
      <c r="O3842" s="14" t="str">
        <f>HYPERLINK("https://otsuka-europe-crm.veevavault.com/ui/#object/email_activity__v/V8C00000003R141", "EN-002091941")</f>
        <v>EN-002091941</v>
      </c>
    </row>
    <row r="3843" spans="1:15" ht="16" x14ac:dyDescent="0.2">
      <c r="A3843" s="17" t="str">
        <f>HYPERLINK("https://otsuka-europe-crm.veevavault.com/ui/#object/account__v/V4TZ06G6O71SADS", "GIACOMO VITTORIO DESTE")</f>
        <v>GIACOMO VITTORIO DESTE</v>
      </c>
      <c r="B3843" s="17" t="str">
        <f>HYPERLINK("https://otsuka-europe-crm.veevavault.com/ui/#object/vcountry__v/VENZ000004SONFQ", "IT")</f>
        <v>IT</v>
      </c>
      <c r="C3843" s="20" t="s">
        <v>44</v>
      </c>
      <c r="D3843" s="21" t="str">
        <f>HYPERLINK("https://otsuka-europe-crm.veevavault.com/ui/#object/approved_document__v/V5O000000018003", "AE dialoghi di tempo fiducia e cura episodi 2-3-4")</f>
        <v>AE dialoghi di tempo fiducia e cura episodi 2-3-4</v>
      </c>
      <c r="E3843" s="22" t="str">
        <f>HYPERLINK("https://otsuka-europe-crm.veevavault.com/ui/#object/sent_email__v/VBL00000002P215", "SE-001432885")</f>
        <v>SE-001432885</v>
      </c>
      <c r="F3843" s="25"/>
      <c r="G3843" s="24">
        <v>0</v>
      </c>
      <c r="H3843" s="24">
        <v>0</v>
      </c>
      <c r="I3843" s="24">
        <v>0</v>
      </c>
      <c r="J3843" s="25"/>
      <c r="K3843" s="24">
        <v>0</v>
      </c>
      <c r="L3843" s="22" t="str">
        <f>HYPERLINK("https://otsuka-europe-crm.veevavault.com/ui/#object/approved_document__v/V5O000000018003", "AE dialoghi di tempo fiducia e cura episodi 2-3-4")</f>
        <v>AE dialoghi di tempo fiducia e cura episodi 2-3-4</v>
      </c>
      <c r="M3843" s="22" t="str">
        <f>HYPERLINK("mailto:nicoletta.vozza@crm.otsuka-europe.com", "nicoletta.vozza@crm.otsuka-europe.com")</f>
        <v>nicoletta.vozza@crm.otsuka-europe.com</v>
      </c>
      <c r="N3843" s="23">
        <v>46181.337997685187</v>
      </c>
      <c r="O3843" s="14" t="str">
        <f>HYPERLINK("https://otsuka-europe-crm.veevavault.com/ui/#object/email_activity__v/V8C00000003O792", "EN-002090452")</f>
        <v>EN-002090452</v>
      </c>
    </row>
    <row r="3844" spans="1:15" ht="16" x14ac:dyDescent="0.2">
      <c r="A3844" s="18"/>
      <c r="B3844" s="18"/>
      <c r="C3844" s="18"/>
      <c r="D3844" s="18"/>
      <c r="E3844" s="18"/>
      <c r="F3844" s="18"/>
      <c r="G3844" s="18"/>
      <c r="H3844" s="18"/>
      <c r="I3844" s="18"/>
      <c r="J3844" s="18"/>
      <c r="K3844" s="18"/>
      <c r="L3844" s="18"/>
      <c r="M3844" s="18"/>
      <c r="N3844" s="18"/>
      <c r="O3844" s="14" t="str">
        <f>HYPERLINK("https://otsuka-europe-crm.veevavault.com/ui/#object/email_activity__v/V8C00000003P916", "EN-002091467")</f>
        <v>EN-002091467</v>
      </c>
    </row>
    <row r="3845" spans="1:15" ht="16" x14ac:dyDescent="0.2">
      <c r="A3845" s="19"/>
      <c r="B3845" s="19"/>
      <c r="C3845" s="19"/>
      <c r="D3845" s="19"/>
      <c r="E3845" s="19"/>
      <c r="F3845" s="19"/>
      <c r="G3845" s="19"/>
      <c r="H3845" s="19"/>
      <c r="I3845" s="19"/>
      <c r="J3845" s="19"/>
      <c r="K3845" s="19"/>
      <c r="L3845" s="19"/>
      <c r="M3845" s="19"/>
      <c r="N3845" s="19"/>
      <c r="O3845" s="14" t="str">
        <f>HYPERLINK("https://otsuka-europe-crm.veevavault.com/ui/#object/email_activity__v/V8C00000003Y028", "EN-002098655")</f>
        <v>EN-002098655</v>
      </c>
    </row>
    <row r="3846" spans="1:15" ht="32" x14ac:dyDescent="0.2">
      <c r="A3846" s="7" t="str">
        <f>HYPERLINK("https://otsuka-europe-crm.veevavault.com/ui/#object/account__v/V4TZ06G6O71S9DE", "GIACOMO ZACCARIA")</f>
        <v>GIACOMO ZACCARIA</v>
      </c>
      <c r="B3846" s="7" t="str">
        <f t="shared" ref="B3846:B3851" si="280">HYPERLINK("https://otsuka-europe-crm.veevavault.com/ui/#object/vcountry__v/VENZ000004SONFQ", "IT")</f>
        <v>IT</v>
      </c>
      <c r="C3846" s="8" t="s">
        <v>44</v>
      </c>
      <c r="D3846" s="9" t="str">
        <f t="shared" ref="D3846:D3851" si="281">HYPERLINK("https://otsuka-europe-crm.veevavault.com/ui/#object/approved_document__v/V5O000000018003", "AE dialoghi di tempo fiducia e cura episodi 2-3-4")</f>
        <v>AE dialoghi di tempo fiducia e cura episodi 2-3-4</v>
      </c>
      <c r="E3846" s="10" t="str">
        <f>HYPERLINK("https://otsuka-europe-crm.veevavault.com/ui/#object/sent_email__v/VBL00000002P216", "SE-001432886")</f>
        <v>SE-001432886</v>
      </c>
      <c r="F3846" s="11"/>
      <c r="G3846" s="12">
        <v>0</v>
      </c>
      <c r="H3846" s="12">
        <v>0</v>
      </c>
      <c r="I3846" s="12">
        <v>0</v>
      </c>
      <c r="J3846" s="11"/>
      <c r="K3846" s="12">
        <v>0</v>
      </c>
      <c r="L3846" s="10" t="str">
        <f t="shared" ref="L3846:L3851" si="282">HYPERLINK("https://otsuka-europe-crm.veevavault.com/ui/#object/approved_document__v/V5O000000018003", "AE dialoghi di tempo fiducia e cura episodi 2-3-4")</f>
        <v>AE dialoghi di tempo fiducia e cura episodi 2-3-4</v>
      </c>
      <c r="M3846" s="10" t="str">
        <f t="shared" ref="M3846:M3851" si="283">HYPERLINK("mailto:nicoletta.vozza@crm.otsuka-europe.com", "nicoletta.vozza@crm.otsuka-europe.com")</f>
        <v>nicoletta.vozza@crm.otsuka-europe.com</v>
      </c>
      <c r="N3846" s="13">
        <v>46181.337997685187</v>
      </c>
      <c r="O3846" s="14" t="str">
        <f>HYPERLINK("https://otsuka-europe-crm.veevavault.com/ui/#object/email_activity__v/V8C00000003P433", "EN-002090680")</f>
        <v>EN-002090680</v>
      </c>
    </row>
    <row r="3847" spans="1:15" ht="32" x14ac:dyDescent="0.2">
      <c r="A3847" s="7" t="str">
        <f>HYPERLINK("https://otsuka-europe-crm.veevavault.com/ui/#object/account__v/V4TZ025E86CGV99", "GIADA LAURIA")</f>
        <v>GIADA LAURIA</v>
      </c>
      <c r="B3847" s="7" t="str">
        <f t="shared" si="280"/>
        <v>IT</v>
      </c>
      <c r="C3847" s="8" t="s">
        <v>44</v>
      </c>
      <c r="D3847" s="9" t="str">
        <f t="shared" si="281"/>
        <v>AE dialoghi di tempo fiducia e cura episodi 2-3-4</v>
      </c>
      <c r="E3847" s="10" t="str">
        <f>HYPERLINK("https://otsuka-europe-crm.veevavault.com/ui/#object/sent_email__v/VBL00000002P217", "SE-001432887")</f>
        <v>SE-001432887</v>
      </c>
      <c r="F3847" s="11"/>
      <c r="G3847" s="12">
        <v>0</v>
      </c>
      <c r="H3847" s="12">
        <v>0</v>
      </c>
      <c r="I3847" s="12">
        <v>0</v>
      </c>
      <c r="J3847" s="11"/>
      <c r="K3847" s="12">
        <v>0</v>
      </c>
      <c r="L3847" s="10" t="str">
        <f t="shared" si="282"/>
        <v>AE dialoghi di tempo fiducia e cura episodi 2-3-4</v>
      </c>
      <c r="M3847" s="10" t="str">
        <f t="shared" si="283"/>
        <v>nicoletta.vozza@crm.otsuka-europe.com</v>
      </c>
      <c r="N3847" s="13">
        <v>46181.337997685187</v>
      </c>
      <c r="O3847" s="14" t="str">
        <f>HYPERLINK("https://otsuka-europe-crm.veevavault.com/ui/#object/email_activity__v/V8C00000003O428", "EN-002089984")</f>
        <v>EN-002089984</v>
      </c>
    </row>
    <row r="3848" spans="1:15" ht="32" x14ac:dyDescent="0.2">
      <c r="A3848" s="7" t="str">
        <f>HYPERLINK("https://otsuka-europe-crm.veevavault.com/ui/#object/account__v/V4TZ06G6O71S9VJ", "GIADA PIVA")</f>
        <v>GIADA PIVA</v>
      </c>
      <c r="B3848" s="7" t="str">
        <f t="shared" si="280"/>
        <v>IT</v>
      </c>
      <c r="C3848" s="8" t="s">
        <v>44</v>
      </c>
      <c r="D3848" s="9" t="str">
        <f t="shared" si="281"/>
        <v>AE dialoghi di tempo fiducia e cura episodi 2-3-4</v>
      </c>
      <c r="E3848" s="10" t="str">
        <f>HYPERLINK("https://otsuka-europe-crm.veevavault.com/ui/#object/sent_email__v/VBL00000002P218", "SE-001432888")</f>
        <v>SE-001432888</v>
      </c>
      <c r="F3848" s="11"/>
      <c r="G3848" s="12">
        <v>0</v>
      </c>
      <c r="H3848" s="12">
        <v>0</v>
      </c>
      <c r="I3848" s="12">
        <v>0</v>
      </c>
      <c r="J3848" s="11"/>
      <c r="K3848" s="12">
        <v>0</v>
      </c>
      <c r="L3848" s="10" t="str">
        <f t="shared" si="282"/>
        <v>AE dialoghi di tempo fiducia e cura episodi 2-3-4</v>
      </c>
      <c r="M3848" s="10" t="str">
        <f t="shared" si="283"/>
        <v>nicoletta.vozza@crm.otsuka-europe.com</v>
      </c>
      <c r="N3848" s="13">
        <v>46181.33803240741</v>
      </c>
      <c r="O3848" s="14" t="str">
        <f>HYPERLINK("https://otsuka-europe-crm.veevavault.com/ui/#object/email_activity__v/V8C00000003P634", "EN-002090889")</f>
        <v>EN-002090889</v>
      </c>
    </row>
    <row r="3849" spans="1:15" ht="32" x14ac:dyDescent="0.2">
      <c r="A3849" s="7" t="str">
        <f>HYPERLINK("https://otsuka-europe-crm.veevavault.com/ui/#object/account__v/V4TZ04ASG6LH2N6", "GIAMPIERO MELI")</f>
        <v>GIAMPIERO MELI</v>
      </c>
      <c r="B3849" s="7" t="str">
        <f t="shared" si="280"/>
        <v>IT</v>
      </c>
      <c r="C3849" s="8" t="s">
        <v>44</v>
      </c>
      <c r="D3849" s="9" t="str">
        <f t="shared" si="281"/>
        <v>AE dialoghi di tempo fiducia e cura episodi 2-3-4</v>
      </c>
      <c r="E3849" s="10" t="str">
        <f>HYPERLINK("https://otsuka-europe-crm.veevavault.com/ui/#object/sent_email__v/VBL00000002P219", "SE-001432889")</f>
        <v>SE-001432889</v>
      </c>
      <c r="F3849" s="11"/>
      <c r="G3849" s="12">
        <v>0</v>
      </c>
      <c r="H3849" s="12">
        <v>0</v>
      </c>
      <c r="I3849" s="12">
        <v>0</v>
      </c>
      <c r="J3849" s="11"/>
      <c r="K3849" s="12">
        <v>0</v>
      </c>
      <c r="L3849" s="10" t="str">
        <f t="shared" si="282"/>
        <v>AE dialoghi di tempo fiducia e cura episodi 2-3-4</v>
      </c>
      <c r="M3849" s="10" t="str">
        <f t="shared" si="283"/>
        <v>nicoletta.vozza@crm.otsuka-europe.com</v>
      </c>
      <c r="N3849" s="13">
        <v>46181.338067129633</v>
      </c>
      <c r="O3849" s="14" t="str">
        <f>HYPERLINK("https://otsuka-europe-crm.veevavault.com/ui/#object/email_activity__v/V8C00000003O600", "EN-002090156")</f>
        <v>EN-002090156</v>
      </c>
    </row>
    <row r="3850" spans="1:15" ht="32" x14ac:dyDescent="0.2">
      <c r="A3850" s="7" t="str">
        <f>HYPERLINK("https://otsuka-europe-crm.veevavault.com/ui/#object/account__v/V4TZ06G6OCBP9D9", "GIAN LUCA GAVOTTI")</f>
        <v>GIAN LUCA GAVOTTI</v>
      </c>
      <c r="B3850" s="7" t="str">
        <f t="shared" si="280"/>
        <v>IT</v>
      </c>
      <c r="C3850" s="8" t="s">
        <v>44</v>
      </c>
      <c r="D3850" s="9" t="str">
        <f t="shared" si="281"/>
        <v>AE dialoghi di tempo fiducia e cura episodi 2-3-4</v>
      </c>
      <c r="E3850" s="10" t="str">
        <f>HYPERLINK("https://otsuka-europe-crm.veevavault.com/ui/#object/sent_email__v/VBL00000002P220", "SE-001432890")</f>
        <v>SE-001432890</v>
      </c>
      <c r="F3850" s="11"/>
      <c r="G3850" s="12">
        <v>0</v>
      </c>
      <c r="H3850" s="12">
        <v>0</v>
      </c>
      <c r="I3850" s="12">
        <v>0</v>
      </c>
      <c r="J3850" s="11"/>
      <c r="K3850" s="12">
        <v>0</v>
      </c>
      <c r="L3850" s="10" t="str">
        <f t="shared" si="282"/>
        <v>AE dialoghi di tempo fiducia e cura episodi 2-3-4</v>
      </c>
      <c r="M3850" s="10" t="str">
        <f t="shared" si="283"/>
        <v>nicoletta.vozza@crm.otsuka-europe.com</v>
      </c>
      <c r="N3850" s="13">
        <v>46181.337997685187</v>
      </c>
      <c r="O3850" s="14" t="str">
        <f>HYPERLINK("https://otsuka-europe-crm.veevavault.com/ui/#object/email_activity__v/V8C00000003O436", "EN-002089992")</f>
        <v>EN-002089992</v>
      </c>
    </row>
    <row r="3851" spans="1:15" ht="16" x14ac:dyDescent="0.2">
      <c r="A3851" s="17" t="str">
        <f>HYPERLINK("https://otsuka-europe-crm.veevavault.com/ui/#object/account__v/V4TZ06G6O71S9SV", "GIAN MARIO MANDOLINI")</f>
        <v>GIAN MARIO MANDOLINI</v>
      </c>
      <c r="B3851" s="17" t="str">
        <f t="shared" si="280"/>
        <v>IT</v>
      </c>
      <c r="C3851" s="20" t="s">
        <v>44</v>
      </c>
      <c r="D3851" s="21" t="str">
        <f t="shared" si="281"/>
        <v>AE dialoghi di tempo fiducia e cura episodi 2-3-4</v>
      </c>
      <c r="E3851" s="22" t="str">
        <f>HYPERLINK("https://otsuka-europe-crm.veevavault.com/ui/#object/sent_email__v/VBL00000002P221", "SE-001432891")</f>
        <v>SE-001432891</v>
      </c>
      <c r="F3851" s="23">
        <v>46181.343356481484</v>
      </c>
      <c r="G3851" s="24">
        <v>1</v>
      </c>
      <c r="H3851" s="24">
        <v>2</v>
      </c>
      <c r="I3851" s="24">
        <v>0</v>
      </c>
      <c r="J3851" s="25"/>
      <c r="K3851" s="24">
        <v>0</v>
      </c>
      <c r="L3851" s="22" t="str">
        <f t="shared" si="282"/>
        <v>AE dialoghi di tempo fiducia e cura episodi 2-3-4</v>
      </c>
      <c r="M3851" s="22" t="str">
        <f t="shared" si="283"/>
        <v>nicoletta.vozza@crm.otsuka-europe.com</v>
      </c>
      <c r="N3851" s="23">
        <v>46181.338101851848</v>
      </c>
      <c r="O3851" s="14" t="str">
        <f>HYPERLINK("https://otsuka-europe-crm.veevavault.com/ui/#object/email_activity__v/V8C00000003P607", "EN-002090862")</f>
        <v>EN-002090862</v>
      </c>
    </row>
    <row r="3852" spans="1:15" ht="16" x14ac:dyDescent="0.2">
      <c r="A3852" s="18"/>
      <c r="B3852" s="18"/>
      <c r="C3852" s="18"/>
      <c r="D3852" s="18"/>
      <c r="E3852" s="18"/>
      <c r="F3852" s="18"/>
      <c r="G3852" s="18"/>
      <c r="H3852" s="18"/>
      <c r="I3852" s="18"/>
      <c r="J3852" s="18"/>
      <c r="K3852" s="18"/>
      <c r="L3852" s="18"/>
      <c r="M3852" s="18"/>
      <c r="N3852" s="18"/>
      <c r="O3852" s="14" t="str">
        <f>HYPERLINK("https://otsuka-europe-crm.veevavault.com/ui/#object/email_activity__v/V8C00000003P900", "EN-002091433")</f>
        <v>EN-002091433</v>
      </c>
    </row>
    <row r="3853" spans="1:15" ht="16" x14ac:dyDescent="0.2">
      <c r="A3853" s="18"/>
      <c r="B3853" s="18"/>
      <c r="C3853" s="18"/>
      <c r="D3853" s="18"/>
      <c r="E3853" s="18"/>
      <c r="F3853" s="18"/>
      <c r="G3853" s="18"/>
      <c r="H3853" s="18"/>
      <c r="I3853" s="18"/>
      <c r="J3853" s="18"/>
      <c r="K3853" s="18"/>
      <c r="L3853" s="18"/>
      <c r="M3853" s="18"/>
      <c r="N3853" s="18"/>
      <c r="O3853" s="14" t="str">
        <f>HYPERLINK("https://otsuka-europe-crm.veevavault.com/ui/#object/email_activity__v/V8C00000003Q143", "EN-002091226")</f>
        <v>EN-002091226</v>
      </c>
    </row>
    <row r="3854" spans="1:15" ht="16" x14ac:dyDescent="0.2">
      <c r="A3854" s="19"/>
      <c r="B3854" s="19"/>
      <c r="C3854" s="19"/>
      <c r="D3854" s="19"/>
      <c r="E3854" s="19"/>
      <c r="F3854" s="19"/>
      <c r="G3854" s="19"/>
      <c r="H3854" s="19"/>
      <c r="I3854" s="19"/>
      <c r="J3854" s="19"/>
      <c r="K3854" s="19"/>
      <c r="L3854" s="19"/>
      <c r="M3854" s="19"/>
      <c r="N3854" s="19"/>
      <c r="O3854" s="14" t="str">
        <f>HYPERLINK("https://otsuka-europe-crm.veevavault.com/ui/#object/email_activity__v/V8C00000003T084", "EN-002093738")</f>
        <v>EN-002093738</v>
      </c>
    </row>
    <row r="3855" spans="1:15" ht="32" x14ac:dyDescent="0.2">
      <c r="A3855" s="7" t="str">
        <f>HYPERLINK("https://otsuka-europe-crm.veevavault.com/ui/#object/account__v/V4TZ06G6O80YQB4", "GIANCARLO ARMANNI")</f>
        <v>GIANCARLO ARMANNI</v>
      </c>
      <c r="B3855" s="7" t="str">
        <f>HYPERLINK("https://otsuka-europe-crm.veevavault.com/ui/#object/vcountry__v/VENZ000004SONFQ", "IT")</f>
        <v>IT</v>
      </c>
      <c r="C3855" s="8" t="s">
        <v>44</v>
      </c>
      <c r="D3855" s="9" t="str">
        <f>HYPERLINK("https://otsuka-europe-crm.veevavault.com/ui/#object/approved_document__v/V5O000000018003", "AE dialoghi di tempo fiducia e cura episodi 2-3-4")</f>
        <v>AE dialoghi di tempo fiducia e cura episodi 2-3-4</v>
      </c>
      <c r="E3855" s="10" t="str">
        <f>HYPERLINK("https://otsuka-europe-crm.veevavault.com/ui/#object/sent_email__v/VBL00000002P222", "SE-001432892")</f>
        <v>SE-001432892</v>
      </c>
      <c r="F3855" s="11"/>
      <c r="G3855" s="12">
        <v>0</v>
      </c>
      <c r="H3855" s="12">
        <v>0</v>
      </c>
      <c r="I3855" s="12">
        <v>0</v>
      </c>
      <c r="J3855" s="11"/>
      <c r="K3855" s="12">
        <v>0</v>
      </c>
      <c r="L3855" s="10" t="str">
        <f>HYPERLINK("https://otsuka-europe-crm.veevavault.com/ui/#object/approved_document__v/V5O000000018003", "AE dialoghi di tempo fiducia e cura episodi 2-3-4")</f>
        <v>AE dialoghi di tempo fiducia e cura episodi 2-3-4</v>
      </c>
      <c r="M3855" s="10" t="str">
        <f>HYPERLINK("mailto:nicoletta.vozza@crm.otsuka-europe.com", "nicoletta.vozza@crm.otsuka-europe.com")</f>
        <v>nicoletta.vozza@crm.otsuka-europe.com</v>
      </c>
      <c r="N3855" s="13">
        <v>46181.338020833333</v>
      </c>
      <c r="O3855" s="14" t="str">
        <f>HYPERLINK("https://otsuka-europe-crm.veevavault.com/ui/#object/email_activity__v/V8C00000003O469", "EN-002090025")</f>
        <v>EN-002090025</v>
      </c>
    </row>
    <row r="3856" spans="1:15" ht="32" x14ac:dyDescent="0.2">
      <c r="A3856" s="7" t="str">
        <f>HYPERLINK("https://otsuka-europe-crm.veevavault.com/ui/#object/account__v/V4TZ06G6O71SA7N", "GIANCARLO BREVIARIO")</f>
        <v>GIANCARLO BREVIARIO</v>
      </c>
      <c r="B3856" s="7" t="str">
        <f>HYPERLINK("https://otsuka-europe-crm.veevavault.com/ui/#object/vcountry__v/VENZ000004SONFQ", "IT")</f>
        <v>IT</v>
      </c>
      <c r="C3856" s="8" t="s">
        <v>44</v>
      </c>
      <c r="D3856" s="9" t="str">
        <f>HYPERLINK("https://otsuka-europe-crm.veevavault.com/ui/#object/approved_document__v/V5O000000018003", "AE dialoghi di tempo fiducia e cura episodi 2-3-4")</f>
        <v>AE dialoghi di tempo fiducia e cura episodi 2-3-4</v>
      </c>
      <c r="E3856" s="10" t="str">
        <f>HYPERLINK("https://otsuka-europe-crm.veevavault.com/ui/#object/sent_email__v/VBL00000002P223", "SE-001432893")</f>
        <v>SE-001432893</v>
      </c>
      <c r="F3856" s="11"/>
      <c r="G3856" s="12">
        <v>0</v>
      </c>
      <c r="H3856" s="12">
        <v>0</v>
      </c>
      <c r="I3856" s="12">
        <v>0</v>
      </c>
      <c r="J3856" s="11"/>
      <c r="K3856" s="12">
        <v>0</v>
      </c>
      <c r="L3856" s="10" t="str">
        <f>HYPERLINK("https://otsuka-europe-crm.veevavault.com/ui/#object/approved_document__v/V5O000000018003", "AE dialoghi di tempo fiducia e cura episodi 2-3-4")</f>
        <v>AE dialoghi di tempo fiducia e cura episodi 2-3-4</v>
      </c>
      <c r="M3856" s="10" t="str">
        <f>HYPERLINK("mailto:nicoletta.vozza@crm.otsuka-europe.com", "nicoletta.vozza@crm.otsuka-europe.com")</f>
        <v>nicoletta.vozza@crm.otsuka-europe.com</v>
      </c>
      <c r="N3856" s="13">
        <v>46181.338020833333</v>
      </c>
      <c r="O3856" s="14" t="str">
        <f>HYPERLINK("https://otsuka-europe-crm.veevavault.com/ui/#object/email_activity__v/V8C00000003Q023", "EN-002090989")</f>
        <v>EN-002090989</v>
      </c>
    </row>
    <row r="3857" spans="1:15" ht="32" x14ac:dyDescent="0.2">
      <c r="A3857" s="7" t="str">
        <f>HYPERLINK("https://otsuka-europe-crm.veevavault.com/ui/#object/account__v/V4TZ06G6O71SAU0", "GIANCARLO GIBERTONI")</f>
        <v>GIANCARLO GIBERTONI</v>
      </c>
      <c r="B3857" s="7" t="str">
        <f>HYPERLINK("https://otsuka-europe-crm.veevavault.com/ui/#object/vcountry__v/VENZ000004SONFQ", "IT")</f>
        <v>IT</v>
      </c>
      <c r="C3857" s="8" t="s">
        <v>44</v>
      </c>
      <c r="D3857" s="9" t="str">
        <f>HYPERLINK("https://otsuka-europe-crm.veevavault.com/ui/#object/approved_document__v/V5O000000018003", "AE dialoghi di tempo fiducia e cura episodi 2-3-4")</f>
        <v>AE dialoghi di tempo fiducia e cura episodi 2-3-4</v>
      </c>
      <c r="E3857" s="10" t="str">
        <f>HYPERLINK("https://otsuka-europe-crm.veevavault.com/ui/#object/sent_email__v/VBL00000002P224", "SE-001432894")</f>
        <v>SE-001432894</v>
      </c>
      <c r="F3857" s="11"/>
      <c r="G3857" s="12">
        <v>0</v>
      </c>
      <c r="H3857" s="12">
        <v>0</v>
      </c>
      <c r="I3857" s="12">
        <v>0</v>
      </c>
      <c r="J3857" s="11"/>
      <c r="K3857" s="12">
        <v>0</v>
      </c>
      <c r="L3857" s="10" t="str">
        <f>HYPERLINK("https://otsuka-europe-crm.veevavault.com/ui/#object/approved_document__v/V5O000000018003", "AE dialoghi di tempo fiducia e cura episodi 2-3-4")</f>
        <v>AE dialoghi di tempo fiducia e cura episodi 2-3-4</v>
      </c>
      <c r="M3857" s="10" t="str">
        <f>HYPERLINK("mailto:nicoletta.vozza@crm.otsuka-europe.com", "nicoletta.vozza@crm.otsuka-europe.com")</f>
        <v>nicoletta.vozza@crm.otsuka-europe.com</v>
      </c>
      <c r="N3857" s="13">
        <v>46181.338078703702</v>
      </c>
      <c r="O3857" s="14" t="str">
        <f>HYPERLINK("https://otsuka-europe-crm.veevavault.com/ui/#object/email_activity__v/V8C00000003P831", "EN-002091190")</f>
        <v>EN-002091190</v>
      </c>
    </row>
    <row r="3858" spans="1:15" ht="32" x14ac:dyDescent="0.2">
      <c r="A3858" s="7" t="str">
        <f>HYPERLINK("https://otsuka-europe-crm.veevavault.com/ui/#object/account__v/V4TZ06G6O71SBWN", "GIANCARLO PEANA")</f>
        <v>GIANCARLO PEANA</v>
      </c>
      <c r="B3858" s="7" t="str">
        <f>HYPERLINK("https://otsuka-europe-crm.veevavault.com/ui/#object/vcountry__v/VENZ000004SONFQ", "IT")</f>
        <v>IT</v>
      </c>
      <c r="C3858" s="8" t="s">
        <v>44</v>
      </c>
      <c r="D3858" s="9" t="str">
        <f>HYPERLINK("https://otsuka-europe-crm.veevavault.com/ui/#object/approved_document__v/V5O000000018003", "AE dialoghi di tempo fiducia e cura episodi 2-3-4")</f>
        <v>AE dialoghi di tempo fiducia e cura episodi 2-3-4</v>
      </c>
      <c r="E3858" s="10" t="str">
        <f>HYPERLINK("https://otsuka-europe-crm.veevavault.com/ui/#object/sent_email__v/VBL00000002P225", "SE-001432895")</f>
        <v>SE-001432895</v>
      </c>
      <c r="F3858" s="11"/>
      <c r="G3858" s="12">
        <v>0</v>
      </c>
      <c r="H3858" s="12">
        <v>0</v>
      </c>
      <c r="I3858" s="12">
        <v>0</v>
      </c>
      <c r="J3858" s="11"/>
      <c r="K3858" s="12">
        <v>0</v>
      </c>
      <c r="L3858" s="10" t="str">
        <f>HYPERLINK("https://otsuka-europe-crm.veevavault.com/ui/#object/approved_document__v/V5O000000018003", "AE dialoghi di tempo fiducia e cura episodi 2-3-4")</f>
        <v>AE dialoghi di tempo fiducia e cura episodi 2-3-4</v>
      </c>
      <c r="M3858" s="10" t="str">
        <f>HYPERLINK("mailto:nicoletta.vozza@crm.otsuka-europe.com", "nicoletta.vozza@crm.otsuka-europe.com")</f>
        <v>nicoletta.vozza@crm.otsuka-europe.com</v>
      </c>
      <c r="N3858" s="13">
        <v>46181.33798611111</v>
      </c>
      <c r="O3858" s="14" t="str">
        <f>HYPERLINK("https://otsuka-europe-crm.veevavault.com/ui/#object/email_activity__v/V8C00000003P228", "EN-002089674")</f>
        <v>EN-002089674</v>
      </c>
    </row>
    <row r="3859" spans="1:15" ht="16" x14ac:dyDescent="0.2">
      <c r="A3859" s="17" t="str">
        <f>HYPERLINK("https://otsuka-europe-crm.veevavault.com/ui/#object/account__v/V4TZ06G6O71SCMU", "GIANCARLO TRIBASTONE")</f>
        <v>GIANCARLO TRIBASTONE</v>
      </c>
      <c r="B3859" s="17" t="str">
        <f>HYPERLINK("https://otsuka-europe-crm.veevavault.com/ui/#object/vcountry__v/VENZ000004SONFQ", "IT")</f>
        <v>IT</v>
      </c>
      <c r="C3859" s="20" t="s">
        <v>44</v>
      </c>
      <c r="D3859" s="21" t="str">
        <f>HYPERLINK("https://otsuka-europe-crm.veevavault.com/ui/#object/approved_document__v/V5O000000018003", "AE dialoghi di tempo fiducia e cura episodi 2-3-4")</f>
        <v>AE dialoghi di tempo fiducia e cura episodi 2-3-4</v>
      </c>
      <c r="E3859" s="22" t="str">
        <f>HYPERLINK("https://otsuka-europe-crm.veevavault.com/ui/#object/sent_email__v/VBL00000002P226", "SE-001432896")</f>
        <v>SE-001432896</v>
      </c>
      <c r="F3859" s="23">
        <v>46181.353217592594</v>
      </c>
      <c r="G3859" s="24">
        <v>1</v>
      </c>
      <c r="H3859" s="24">
        <v>1</v>
      </c>
      <c r="I3859" s="24">
        <v>0</v>
      </c>
      <c r="J3859" s="25"/>
      <c r="K3859" s="24">
        <v>0</v>
      </c>
      <c r="L3859" s="22" t="str">
        <f>HYPERLINK("https://otsuka-europe-crm.veevavault.com/ui/#object/approved_document__v/V5O000000018003", "AE dialoghi di tempo fiducia e cura episodi 2-3-4")</f>
        <v>AE dialoghi di tempo fiducia e cura episodi 2-3-4</v>
      </c>
      <c r="M3859" s="22" t="str">
        <f>HYPERLINK("mailto:nicoletta.vozza@crm.otsuka-europe.com", "nicoletta.vozza@crm.otsuka-europe.com")</f>
        <v>nicoletta.vozza@crm.otsuka-europe.com</v>
      </c>
      <c r="N3859" s="23">
        <v>46181.338078703702</v>
      </c>
      <c r="O3859" s="14" t="str">
        <f>HYPERLINK("https://otsuka-europe-crm.veevavault.com/ui/#object/email_activity__v/V8C00000003O591", "EN-002090147")</f>
        <v>EN-002090147</v>
      </c>
    </row>
    <row r="3860" spans="1:15" ht="16" x14ac:dyDescent="0.2">
      <c r="A3860" s="19"/>
      <c r="B3860" s="19"/>
      <c r="C3860" s="19"/>
      <c r="D3860" s="19"/>
      <c r="E3860" s="19"/>
      <c r="F3860" s="19"/>
      <c r="G3860" s="19"/>
      <c r="H3860" s="19"/>
      <c r="I3860" s="19"/>
      <c r="J3860" s="19"/>
      <c r="K3860" s="19"/>
      <c r="L3860" s="19"/>
      <c r="M3860" s="19"/>
      <c r="N3860" s="19"/>
      <c r="O3860" s="14" t="str">
        <f>HYPERLINK("https://otsuka-europe-crm.veevavault.com/ui/#object/email_activity__v/V8C00000003Q322", "EN-002091480")</f>
        <v>EN-002091480</v>
      </c>
    </row>
    <row r="3861" spans="1:15" ht="32" x14ac:dyDescent="0.2">
      <c r="A3861" s="7" t="str">
        <f>HYPERLINK("https://otsuka-europe-crm.veevavault.com/ui/#object/account__v/V4TZ06G6O71SCQA", "GIANCARLO VINCI")</f>
        <v>GIANCARLO VINCI</v>
      </c>
      <c r="B3861" s="7" t="str">
        <f t="shared" ref="B3861:B3870" si="284">HYPERLINK("https://otsuka-europe-crm.veevavault.com/ui/#object/vcountry__v/VENZ000004SONFQ", "IT")</f>
        <v>IT</v>
      </c>
      <c r="C3861" s="8" t="s">
        <v>44</v>
      </c>
      <c r="D3861" s="9" t="str">
        <f t="shared" ref="D3861:D3870" si="285">HYPERLINK("https://otsuka-europe-crm.veevavault.com/ui/#object/approved_document__v/V5O000000018003", "AE dialoghi di tempo fiducia e cura episodi 2-3-4")</f>
        <v>AE dialoghi di tempo fiducia e cura episodi 2-3-4</v>
      </c>
      <c r="E3861" s="10" t="str">
        <f>HYPERLINK("https://otsuka-europe-crm.veevavault.com/ui/#object/sent_email__v/VBL00000002P227", "SE-001432897")</f>
        <v>SE-001432897</v>
      </c>
      <c r="F3861" s="11"/>
      <c r="G3861" s="12">
        <v>0</v>
      </c>
      <c r="H3861" s="12">
        <v>0</v>
      </c>
      <c r="I3861" s="12">
        <v>0</v>
      </c>
      <c r="J3861" s="11"/>
      <c r="K3861" s="12">
        <v>0</v>
      </c>
      <c r="L3861" s="10" t="str">
        <f t="shared" ref="L3861:L3870" si="286">HYPERLINK("https://otsuka-europe-crm.veevavault.com/ui/#object/approved_document__v/V5O000000018003", "AE dialoghi di tempo fiducia e cura episodi 2-3-4")</f>
        <v>AE dialoghi di tempo fiducia e cura episodi 2-3-4</v>
      </c>
      <c r="M3861" s="10" t="str">
        <f t="shared" ref="M3861:M3870" si="287">HYPERLINK("mailto:nicoletta.vozza@crm.otsuka-europe.com", "nicoletta.vozza@crm.otsuka-europe.com")</f>
        <v>nicoletta.vozza@crm.otsuka-europe.com</v>
      </c>
      <c r="N3861" s="13">
        <v>46181.337997685187</v>
      </c>
      <c r="O3861" s="14" t="str">
        <f>HYPERLINK("https://otsuka-europe-crm.veevavault.com/ui/#object/email_activity__v/V8C00000003O278", "EN-002089755")</f>
        <v>EN-002089755</v>
      </c>
    </row>
    <row r="3862" spans="1:15" ht="32" x14ac:dyDescent="0.2">
      <c r="A3862" s="7" t="str">
        <f>HYPERLINK("https://otsuka-europe-crm.veevavault.com/ui/#object/account__v/V4TZ06G6O71S9O7", "GIANDOMENICO SCHIENA")</f>
        <v>GIANDOMENICO SCHIENA</v>
      </c>
      <c r="B3862" s="7" t="str">
        <f t="shared" si="284"/>
        <v>IT</v>
      </c>
      <c r="C3862" s="8" t="s">
        <v>44</v>
      </c>
      <c r="D3862" s="9" t="str">
        <f t="shared" si="285"/>
        <v>AE dialoghi di tempo fiducia e cura episodi 2-3-4</v>
      </c>
      <c r="E3862" s="10" t="str">
        <f>HYPERLINK("https://otsuka-europe-crm.veevavault.com/ui/#object/sent_email__v/VBL00000002P228", "SE-001432898")</f>
        <v>SE-001432898</v>
      </c>
      <c r="F3862" s="11"/>
      <c r="G3862" s="12">
        <v>0</v>
      </c>
      <c r="H3862" s="12">
        <v>0</v>
      </c>
      <c r="I3862" s="12">
        <v>0</v>
      </c>
      <c r="J3862" s="11"/>
      <c r="K3862" s="12">
        <v>0</v>
      </c>
      <c r="L3862" s="10" t="str">
        <f t="shared" si="286"/>
        <v>AE dialoghi di tempo fiducia e cura episodi 2-3-4</v>
      </c>
      <c r="M3862" s="10" t="str">
        <f t="shared" si="287"/>
        <v>nicoletta.vozza@crm.otsuka-europe.com</v>
      </c>
      <c r="N3862" s="13">
        <v>46181.33803240741</v>
      </c>
      <c r="O3862" s="14" t="str">
        <f>HYPERLINK("https://otsuka-europe-crm.veevavault.com/ui/#object/email_activity__v/V8C00000003P793", "EN-002091091")</f>
        <v>EN-002091091</v>
      </c>
    </row>
    <row r="3863" spans="1:15" ht="32" x14ac:dyDescent="0.2">
      <c r="A3863" s="7" t="str">
        <f>HYPERLINK("https://otsuka-europe-crm.veevavault.com/ui/#object/account__v/V4TZ06G6O71SBCC", "GIANFRANCO LUCCI")</f>
        <v>GIANFRANCO LUCCI</v>
      </c>
      <c r="B3863" s="7" t="str">
        <f t="shared" si="284"/>
        <v>IT</v>
      </c>
      <c r="C3863" s="8" t="s">
        <v>44</v>
      </c>
      <c r="D3863" s="9" t="str">
        <f t="shared" si="285"/>
        <v>AE dialoghi di tempo fiducia e cura episodi 2-3-4</v>
      </c>
      <c r="E3863" s="10" t="str">
        <f>HYPERLINK("https://otsuka-europe-crm.veevavault.com/ui/#object/sent_email__v/VBL00000002P229", "SE-001432899")</f>
        <v>SE-001432899</v>
      </c>
      <c r="F3863" s="11"/>
      <c r="G3863" s="12">
        <v>0</v>
      </c>
      <c r="H3863" s="12">
        <v>0</v>
      </c>
      <c r="I3863" s="12">
        <v>0</v>
      </c>
      <c r="J3863" s="11"/>
      <c r="K3863" s="12">
        <v>0</v>
      </c>
      <c r="L3863" s="10" t="str">
        <f t="shared" si="286"/>
        <v>AE dialoghi di tempo fiducia e cura episodi 2-3-4</v>
      </c>
      <c r="M3863" s="10" t="str">
        <f t="shared" si="287"/>
        <v>nicoletta.vozza@crm.otsuka-europe.com</v>
      </c>
      <c r="N3863" s="13">
        <v>46181.338043981479</v>
      </c>
      <c r="O3863" s="14" t="str">
        <f>HYPERLINK("https://otsuka-europe-crm.veevavault.com/ui/#object/email_activity__v/V8C00000003P354", "EN-002090360")</f>
        <v>EN-002090360</v>
      </c>
    </row>
    <row r="3864" spans="1:15" ht="32" x14ac:dyDescent="0.2">
      <c r="A3864" s="7" t="str">
        <f>HYPERLINK("https://otsuka-europe-crm.veevavault.com/ui/#object/account__v/V4TZ06G6O71SC27", "GIANFRANCO PONTIGGIA")</f>
        <v>GIANFRANCO PONTIGGIA</v>
      </c>
      <c r="B3864" s="7" t="str">
        <f t="shared" si="284"/>
        <v>IT</v>
      </c>
      <c r="C3864" s="8" t="s">
        <v>44</v>
      </c>
      <c r="D3864" s="9" t="str">
        <f t="shared" si="285"/>
        <v>AE dialoghi di tempo fiducia e cura episodi 2-3-4</v>
      </c>
      <c r="E3864" s="10" t="str">
        <f>HYPERLINK("https://otsuka-europe-crm.veevavault.com/ui/#object/sent_email__v/VBL00000002P230", "SE-001432900")</f>
        <v>SE-001432900</v>
      </c>
      <c r="F3864" s="11"/>
      <c r="G3864" s="12">
        <v>0</v>
      </c>
      <c r="H3864" s="12">
        <v>0</v>
      </c>
      <c r="I3864" s="12">
        <v>0</v>
      </c>
      <c r="J3864" s="11"/>
      <c r="K3864" s="12">
        <v>0</v>
      </c>
      <c r="L3864" s="10" t="str">
        <f t="shared" si="286"/>
        <v>AE dialoghi di tempo fiducia e cura episodi 2-3-4</v>
      </c>
      <c r="M3864" s="10" t="str">
        <f t="shared" si="287"/>
        <v>nicoletta.vozza@crm.otsuka-europe.com</v>
      </c>
      <c r="N3864" s="13">
        <v>46181.337962962964</v>
      </c>
      <c r="O3864" s="14" t="str">
        <f>HYPERLINK("https://otsuka-europe-crm.veevavault.com/ui/#object/email_activity__v/V8C00000003O235", "EN-002089712")</f>
        <v>EN-002089712</v>
      </c>
    </row>
    <row r="3865" spans="1:15" ht="32" x14ac:dyDescent="0.2">
      <c r="A3865" s="7" t="str">
        <f>HYPERLINK("https://otsuka-europe-crm.veevavault.com/ui/#object/account__v/V4TZ06G6O71SCHG", "GIANFRANCO SORGE")</f>
        <v>GIANFRANCO SORGE</v>
      </c>
      <c r="B3865" s="7" t="str">
        <f t="shared" si="284"/>
        <v>IT</v>
      </c>
      <c r="C3865" s="8" t="s">
        <v>44</v>
      </c>
      <c r="D3865" s="9" t="str">
        <f t="shared" si="285"/>
        <v>AE dialoghi di tempo fiducia e cura episodi 2-3-4</v>
      </c>
      <c r="E3865" s="10" t="str">
        <f>HYPERLINK("https://otsuka-europe-crm.veevavault.com/ui/#object/sent_email__v/VBL00000002P231", "SE-001432901")</f>
        <v>SE-001432901</v>
      </c>
      <c r="F3865" s="11"/>
      <c r="G3865" s="12">
        <v>0</v>
      </c>
      <c r="H3865" s="12">
        <v>0</v>
      </c>
      <c r="I3865" s="12">
        <v>0</v>
      </c>
      <c r="J3865" s="11"/>
      <c r="K3865" s="12">
        <v>0</v>
      </c>
      <c r="L3865" s="10" t="str">
        <f t="shared" si="286"/>
        <v>AE dialoghi di tempo fiducia e cura episodi 2-3-4</v>
      </c>
      <c r="M3865" s="10" t="str">
        <f t="shared" si="287"/>
        <v>nicoletta.vozza@crm.otsuka-europe.com</v>
      </c>
      <c r="N3865" s="13">
        <v>46181.338055555556</v>
      </c>
      <c r="O3865" s="14" t="str">
        <f>HYPERLINK("https://otsuka-europe-crm.veevavault.com/ui/#object/email_activity__v/V8C00000003P809", "EN-002091107")</f>
        <v>EN-002091107</v>
      </c>
    </row>
    <row r="3866" spans="1:15" ht="32" x14ac:dyDescent="0.2">
      <c r="A3866" s="7" t="str">
        <f>HYPERLINK("https://otsuka-europe-crm.veevavault.com/ui/#object/account__v/V4TZ06G6O71SCJE", "GIANFRANCO TARUSCHIO")</f>
        <v>GIANFRANCO TARUSCHIO</v>
      </c>
      <c r="B3866" s="7" t="str">
        <f t="shared" si="284"/>
        <v>IT</v>
      </c>
      <c r="C3866" s="8" t="s">
        <v>44</v>
      </c>
      <c r="D3866" s="9" t="str">
        <f t="shared" si="285"/>
        <v>AE dialoghi di tempo fiducia e cura episodi 2-3-4</v>
      </c>
      <c r="E3866" s="10" t="str">
        <f>HYPERLINK("https://otsuka-europe-crm.veevavault.com/ui/#object/sent_email__v/VBL00000002P232", "SE-001432902")</f>
        <v>SE-001432902</v>
      </c>
      <c r="F3866" s="11"/>
      <c r="G3866" s="12">
        <v>0</v>
      </c>
      <c r="H3866" s="12">
        <v>0</v>
      </c>
      <c r="I3866" s="12">
        <v>0</v>
      </c>
      <c r="J3866" s="11"/>
      <c r="K3866" s="12">
        <v>0</v>
      </c>
      <c r="L3866" s="10" t="str">
        <f t="shared" si="286"/>
        <v>AE dialoghi di tempo fiducia e cura episodi 2-3-4</v>
      </c>
      <c r="M3866" s="10" t="str">
        <f t="shared" si="287"/>
        <v>nicoletta.vozza@crm.otsuka-europe.com</v>
      </c>
      <c r="N3866" s="13">
        <v>46181.33797453704</v>
      </c>
      <c r="O3866" s="14" t="str">
        <f>HYPERLINK("https://otsuka-europe-crm.veevavault.com/ui/#object/email_activity__v/V8C00000003O906", "EN-002090566")</f>
        <v>EN-002090566</v>
      </c>
    </row>
    <row r="3867" spans="1:15" ht="32" x14ac:dyDescent="0.2">
      <c r="A3867" s="7" t="str">
        <f>HYPERLINK("https://otsuka-europe-crm.veevavault.com/ui/#object/account__v/V4TZ06G6O71TLCY", "GIANLUCA DI MANNO")</f>
        <v>GIANLUCA DI MANNO</v>
      </c>
      <c r="B3867" s="7" t="str">
        <f t="shared" si="284"/>
        <v>IT</v>
      </c>
      <c r="C3867" s="8" t="s">
        <v>44</v>
      </c>
      <c r="D3867" s="9" t="str">
        <f t="shared" si="285"/>
        <v>AE dialoghi di tempo fiducia e cura episodi 2-3-4</v>
      </c>
      <c r="E3867" s="10" t="str">
        <f>HYPERLINK("https://otsuka-europe-crm.veevavault.com/ui/#object/sent_email__v/VBL00000002P233", "SE-001432903")</f>
        <v>SE-001432903</v>
      </c>
      <c r="F3867" s="11"/>
      <c r="G3867" s="12">
        <v>0</v>
      </c>
      <c r="H3867" s="12">
        <v>0</v>
      </c>
      <c r="I3867" s="12">
        <v>0</v>
      </c>
      <c r="J3867" s="11"/>
      <c r="K3867" s="12">
        <v>0</v>
      </c>
      <c r="L3867" s="10" t="str">
        <f t="shared" si="286"/>
        <v>AE dialoghi di tempo fiducia e cura episodi 2-3-4</v>
      </c>
      <c r="M3867" s="10" t="str">
        <f t="shared" si="287"/>
        <v>nicoletta.vozza@crm.otsuka-europe.com</v>
      </c>
      <c r="N3867" s="13">
        <v>46181.337997685187</v>
      </c>
      <c r="O3867" s="14" t="str">
        <f>HYPERLINK("https://otsuka-europe-crm.veevavault.com/ui/#object/email_activity__v/V8C00000003O509", "EN-002090065")</f>
        <v>EN-002090065</v>
      </c>
    </row>
    <row r="3868" spans="1:15" ht="32" x14ac:dyDescent="0.2">
      <c r="A3868" s="7" t="str">
        <f>HYPERLINK("https://otsuka-europe-crm.veevavault.com/ui/#object/account__v/V4TZ06G6O71S9IT", "GIANLUCA ERBA")</f>
        <v>GIANLUCA ERBA</v>
      </c>
      <c r="B3868" s="7" t="str">
        <f t="shared" si="284"/>
        <v>IT</v>
      </c>
      <c r="C3868" s="8" t="s">
        <v>44</v>
      </c>
      <c r="D3868" s="9" t="str">
        <f t="shared" si="285"/>
        <v>AE dialoghi di tempo fiducia e cura episodi 2-3-4</v>
      </c>
      <c r="E3868" s="10" t="str">
        <f>HYPERLINK("https://otsuka-europe-crm.veevavault.com/ui/#object/sent_email__v/VBL00000002P234", "SE-001432904")</f>
        <v>SE-001432904</v>
      </c>
      <c r="F3868" s="11"/>
      <c r="G3868" s="12">
        <v>0</v>
      </c>
      <c r="H3868" s="12">
        <v>0</v>
      </c>
      <c r="I3868" s="12">
        <v>0</v>
      </c>
      <c r="J3868" s="11"/>
      <c r="K3868" s="12">
        <v>0</v>
      </c>
      <c r="L3868" s="10" t="str">
        <f t="shared" si="286"/>
        <v>AE dialoghi di tempo fiducia e cura episodi 2-3-4</v>
      </c>
      <c r="M3868" s="10" t="str">
        <f t="shared" si="287"/>
        <v>nicoletta.vozza@crm.otsuka-europe.com</v>
      </c>
      <c r="N3868" s="13">
        <v>46181.33797453704</v>
      </c>
      <c r="O3868" s="14" t="str">
        <f>HYPERLINK("https://otsuka-europe-crm.veevavault.com/ui/#object/email_activity__v/V8C00000003P158", "EN-002089558")</f>
        <v>EN-002089558</v>
      </c>
    </row>
    <row r="3869" spans="1:15" ht="32" x14ac:dyDescent="0.2">
      <c r="A3869" s="7" t="str">
        <f>HYPERLINK("https://otsuka-europe-crm.veevavault.com/ui/#object/account__v/V4TZ025E87GA8F2", "GIANLUCA GASPARIN")</f>
        <v>GIANLUCA GASPARIN</v>
      </c>
      <c r="B3869" s="7" t="str">
        <f t="shared" si="284"/>
        <v>IT</v>
      </c>
      <c r="C3869" s="8" t="s">
        <v>44</v>
      </c>
      <c r="D3869" s="9" t="str">
        <f t="shared" si="285"/>
        <v>AE dialoghi di tempo fiducia e cura episodi 2-3-4</v>
      </c>
      <c r="E3869" s="10" t="str">
        <f>HYPERLINK("https://otsuka-europe-crm.veevavault.com/ui/#object/sent_email__v/VBL00000002P235", "SE-001432905")</f>
        <v>SE-001432905</v>
      </c>
      <c r="F3869" s="11"/>
      <c r="G3869" s="12">
        <v>0</v>
      </c>
      <c r="H3869" s="12">
        <v>0</v>
      </c>
      <c r="I3869" s="12">
        <v>0</v>
      </c>
      <c r="J3869" s="11"/>
      <c r="K3869" s="12">
        <v>0</v>
      </c>
      <c r="L3869" s="10" t="str">
        <f t="shared" si="286"/>
        <v>AE dialoghi di tempo fiducia e cura episodi 2-3-4</v>
      </c>
      <c r="M3869" s="10" t="str">
        <f t="shared" si="287"/>
        <v>nicoletta.vozza@crm.otsuka-europe.com</v>
      </c>
      <c r="N3869" s="13">
        <v>46181.337962962964</v>
      </c>
      <c r="O3869" s="14" t="str">
        <f>HYPERLINK("https://otsuka-europe-crm.veevavault.com/ui/#object/email_activity__v/V8C00000003O454", "EN-002090010")</f>
        <v>EN-002090010</v>
      </c>
    </row>
    <row r="3870" spans="1:15" ht="16" x14ac:dyDescent="0.2">
      <c r="A3870" s="17" t="str">
        <f>HYPERLINK("https://otsuka-europe-crm.veevavault.com/ui/#object/account__v/V4TZ06G6O71SBK6", "GIANLUCA MONACELLI")</f>
        <v>GIANLUCA MONACELLI</v>
      </c>
      <c r="B3870" s="17" t="str">
        <f t="shared" si="284"/>
        <v>IT</v>
      </c>
      <c r="C3870" s="20" t="s">
        <v>44</v>
      </c>
      <c r="D3870" s="21" t="str">
        <f t="shared" si="285"/>
        <v>AE dialoghi di tempo fiducia e cura episodi 2-3-4</v>
      </c>
      <c r="E3870" s="22" t="str">
        <f>HYPERLINK("https://otsuka-europe-crm.veevavault.com/ui/#object/sent_email__v/VBL00000002P236", "SE-001432906")</f>
        <v>SE-001432906</v>
      </c>
      <c r="F3870" s="25"/>
      <c r="G3870" s="24">
        <v>0</v>
      </c>
      <c r="H3870" s="24">
        <v>0</v>
      </c>
      <c r="I3870" s="24">
        <v>0</v>
      </c>
      <c r="J3870" s="25"/>
      <c r="K3870" s="24">
        <v>0</v>
      </c>
      <c r="L3870" s="22" t="str">
        <f t="shared" si="286"/>
        <v>AE dialoghi di tempo fiducia e cura episodi 2-3-4</v>
      </c>
      <c r="M3870" s="22" t="str">
        <f t="shared" si="287"/>
        <v>nicoletta.vozza@crm.otsuka-europe.com</v>
      </c>
      <c r="N3870" s="23">
        <v>46181.338067129633</v>
      </c>
      <c r="O3870" s="14" t="str">
        <f>HYPERLINK("https://otsuka-europe-crm.veevavault.com/ui/#object/email_activity__v/V8C00000003Q102", "EN-002091167")</f>
        <v>EN-002091167</v>
      </c>
    </row>
    <row r="3871" spans="1:15" ht="16" x14ac:dyDescent="0.2">
      <c r="A3871" s="19"/>
      <c r="B3871" s="19"/>
      <c r="C3871" s="19"/>
      <c r="D3871" s="19"/>
      <c r="E3871" s="19"/>
      <c r="F3871" s="19"/>
      <c r="G3871" s="19"/>
      <c r="H3871" s="19"/>
      <c r="I3871" s="19"/>
      <c r="J3871" s="19"/>
      <c r="K3871" s="19"/>
      <c r="L3871" s="19"/>
      <c r="M3871" s="19"/>
      <c r="N3871" s="19"/>
      <c r="O3871" s="14" t="str">
        <f>HYPERLINK("https://otsuka-europe-crm.veevavault.com/ui/#object/email_activity__v/V8C00000003S785", "EN-002094422")</f>
        <v>EN-002094422</v>
      </c>
    </row>
    <row r="3872" spans="1:15" ht="32" x14ac:dyDescent="0.2">
      <c r="A3872" s="7" t="str">
        <f>HYPERLINK("https://otsuka-europe-crm.veevavault.com/ui/#object/account__v/V4TZ06G6O71SBWZ", "GIANLUCA PICCININI")</f>
        <v>GIANLUCA PICCININI</v>
      </c>
      <c r="B3872" s="7" t="str">
        <f t="shared" ref="B3872:B3877" si="288">HYPERLINK("https://otsuka-europe-crm.veevavault.com/ui/#object/vcountry__v/VENZ000004SONFQ", "IT")</f>
        <v>IT</v>
      </c>
      <c r="C3872" s="8" t="s">
        <v>44</v>
      </c>
      <c r="D3872" s="9" t="str">
        <f t="shared" ref="D3872:D3877" si="289">HYPERLINK("https://otsuka-europe-crm.veevavault.com/ui/#object/approved_document__v/V5O000000018003", "AE dialoghi di tempo fiducia e cura episodi 2-3-4")</f>
        <v>AE dialoghi di tempo fiducia e cura episodi 2-3-4</v>
      </c>
      <c r="E3872" s="10" t="str">
        <f>HYPERLINK("https://otsuka-europe-crm.veevavault.com/ui/#object/sent_email__v/VBL00000002P237", "SE-001432907")</f>
        <v>SE-001432907</v>
      </c>
      <c r="F3872" s="11"/>
      <c r="G3872" s="12">
        <v>0</v>
      </c>
      <c r="H3872" s="12">
        <v>0</v>
      </c>
      <c r="I3872" s="12">
        <v>0</v>
      </c>
      <c r="J3872" s="11"/>
      <c r="K3872" s="12">
        <v>0</v>
      </c>
      <c r="L3872" s="10" t="str">
        <f t="shared" ref="L3872:L3877" si="290">HYPERLINK("https://otsuka-europe-crm.veevavault.com/ui/#object/approved_document__v/V5O000000018003", "AE dialoghi di tempo fiducia e cura episodi 2-3-4")</f>
        <v>AE dialoghi di tempo fiducia e cura episodi 2-3-4</v>
      </c>
      <c r="M3872" s="10" t="str">
        <f t="shared" ref="M3872:M3877" si="291">HYPERLINK("mailto:nicoletta.vozza@crm.otsuka-europe.com", "nicoletta.vozza@crm.otsuka-europe.com")</f>
        <v>nicoletta.vozza@crm.otsuka-europe.com</v>
      </c>
      <c r="N3872" s="13">
        <v>46181.33798611111</v>
      </c>
      <c r="O3872" s="14" t="str">
        <f>HYPERLINK("https://otsuka-europe-crm.veevavault.com/ui/#object/email_activity__v/V8C00000003P277", "EN-002089855")</f>
        <v>EN-002089855</v>
      </c>
    </row>
    <row r="3873" spans="1:15" ht="32" x14ac:dyDescent="0.2">
      <c r="A3873" s="7" t="str">
        <f>HYPERLINK("https://otsuka-europe-crm.veevavault.com/ui/#object/account__v/V4TZ06G6O71SC3Z", "GIANLUCA ROBERTO")</f>
        <v>GIANLUCA ROBERTO</v>
      </c>
      <c r="B3873" s="7" t="str">
        <f t="shared" si="288"/>
        <v>IT</v>
      </c>
      <c r="C3873" s="8" t="s">
        <v>44</v>
      </c>
      <c r="D3873" s="9" t="str">
        <f t="shared" si="289"/>
        <v>AE dialoghi di tempo fiducia e cura episodi 2-3-4</v>
      </c>
      <c r="E3873" s="10" t="str">
        <f>HYPERLINK("https://otsuka-europe-crm.veevavault.com/ui/#object/sent_email__v/VBL00000002P238", "SE-001432908")</f>
        <v>SE-001432908</v>
      </c>
      <c r="F3873" s="11"/>
      <c r="G3873" s="12">
        <v>0</v>
      </c>
      <c r="H3873" s="12">
        <v>0</v>
      </c>
      <c r="I3873" s="12">
        <v>0</v>
      </c>
      <c r="J3873" s="11"/>
      <c r="K3873" s="12">
        <v>0</v>
      </c>
      <c r="L3873" s="10" t="str">
        <f t="shared" si="290"/>
        <v>AE dialoghi di tempo fiducia e cura episodi 2-3-4</v>
      </c>
      <c r="M3873" s="10" t="str">
        <f t="shared" si="291"/>
        <v>nicoletta.vozza@crm.otsuka-europe.com</v>
      </c>
      <c r="N3873" s="13">
        <v>46181.33797453704</v>
      </c>
      <c r="O3873" s="14" t="str">
        <f>HYPERLINK("https://otsuka-europe-crm.veevavault.com/ui/#object/email_activity__v/V8C00000003O349", "EN-002089867")</f>
        <v>EN-002089867</v>
      </c>
    </row>
    <row r="3874" spans="1:15" ht="32" x14ac:dyDescent="0.2">
      <c r="A3874" s="7" t="str">
        <f>HYPERLINK("https://otsuka-europe-crm.veevavault.com/ui/#object/account__v/V4TZ06G6O71SC56", "GIANLUCA ROSSO")</f>
        <v>GIANLUCA ROSSO</v>
      </c>
      <c r="B3874" s="7" t="str">
        <f t="shared" si="288"/>
        <v>IT</v>
      </c>
      <c r="C3874" s="8" t="s">
        <v>44</v>
      </c>
      <c r="D3874" s="9" t="str">
        <f t="shared" si="289"/>
        <v>AE dialoghi di tempo fiducia e cura episodi 2-3-4</v>
      </c>
      <c r="E3874" s="10" t="str">
        <f>HYPERLINK("https://otsuka-europe-crm.veevavault.com/ui/#object/sent_email__v/VBL00000002P239", "SE-001432909")</f>
        <v>SE-001432909</v>
      </c>
      <c r="F3874" s="11"/>
      <c r="G3874" s="12">
        <v>0</v>
      </c>
      <c r="H3874" s="12">
        <v>0</v>
      </c>
      <c r="I3874" s="12">
        <v>0</v>
      </c>
      <c r="J3874" s="11"/>
      <c r="K3874" s="12">
        <v>0</v>
      </c>
      <c r="L3874" s="10" t="str">
        <f t="shared" si="290"/>
        <v>AE dialoghi di tempo fiducia e cura episodi 2-3-4</v>
      </c>
      <c r="M3874" s="10" t="str">
        <f t="shared" si="291"/>
        <v>nicoletta.vozza@crm.otsuka-europe.com</v>
      </c>
      <c r="N3874" s="13">
        <v>46181.338067129633</v>
      </c>
      <c r="O3874" s="14" t="str">
        <f>HYPERLINK("https://otsuka-europe-crm.veevavault.com/ui/#object/email_activity__v/V8C00000003P813", "EN-002091111")</f>
        <v>EN-002091111</v>
      </c>
    </row>
    <row r="3875" spans="1:15" ht="32" x14ac:dyDescent="0.2">
      <c r="A3875" s="7" t="str">
        <f>HYPERLINK("https://otsuka-europe-crm.veevavault.com/ui/#object/account__v/V4TZ06G6O71SARV", "GIANLUIGI DI CESARE")</f>
        <v>GIANLUIGI DI CESARE</v>
      </c>
      <c r="B3875" s="7" t="str">
        <f t="shared" si="288"/>
        <v>IT</v>
      </c>
      <c r="C3875" s="8" t="s">
        <v>44</v>
      </c>
      <c r="D3875" s="9" t="str">
        <f t="shared" si="289"/>
        <v>AE dialoghi di tempo fiducia e cura episodi 2-3-4</v>
      </c>
      <c r="E3875" s="10" t="str">
        <f>HYPERLINK("https://otsuka-europe-crm.veevavault.com/ui/#object/sent_email__v/VBL00000002P240", "SE-001432910")</f>
        <v>SE-001432910</v>
      </c>
      <c r="F3875" s="11"/>
      <c r="G3875" s="12">
        <v>0</v>
      </c>
      <c r="H3875" s="12">
        <v>0</v>
      </c>
      <c r="I3875" s="12">
        <v>0</v>
      </c>
      <c r="J3875" s="11"/>
      <c r="K3875" s="12">
        <v>0</v>
      </c>
      <c r="L3875" s="10" t="str">
        <f t="shared" si="290"/>
        <v>AE dialoghi di tempo fiducia e cura episodi 2-3-4</v>
      </c>
      <c r="M3875" s="10" t="str">
        <f t="shared" si="291"/>
        <v>nicoletta.vozza@crm.otsuka-europe.com</v>
      </c>
      <c r="N3875" s="13">
        <v>46181.337997685187</v>
      </c>
      <c r="O3875" s="14" t="str">
        <f>HYPERLINK("https://otsuka-europe-crm.veevavault.com/ui/#object/email_activity__v/V8C00000003P295", "EN-002089931")</f>
        <v>EN-002089931</v>
      </c>
    </row>
    <row r="3876" spans="1:15" ht="32" x14ac:dyDescent="0.2">
      <c r="A3876" s="7" t="str">
        <f>HYPERLINK("https://otsuka-europe-crm.veevavault.com/ui/#object/account__v/V4TZ06G6O71SBQN", "GIANLUIGI PECCHILLO")</f>
        <v>GIANLUIGI PECCHILLO</v>
      </c>
      <c r="B3876" s="7" t="str">
        <f t="shared" si="288"/>
        <v>IT</v>
      </c>
      <c r="C3876" s="8" t="s">
        <v>44</v>
      </c>
      <c r="D3876" s="9" t="str">
        <f t="shared" si="289"/>
        <v>AE dialoghi di tempo fiducia e cura episodi 2-3-4</v>
      </c>
      <c r="E3876" s="10" t="str">
        <f>HYPERLINK("https://otsuka-europe-crm.veevavault.com/ui/#object/sent_email__v/VBL00000002P241", "SE-001432911")</f>
        <v>SE-001432911</v>
      </c>
      <c r="F3876" s="11"/>
      <c r="G3876" s="12">
        <v>0</v>
      </c>
      <c r="H3876" s="12">
        <v>0</v>
      </c>
      <c r="I3876" s="12">
        <v>0</v>
      </c>
      <c r="J3876" s="11"/>
      <c r="K3876" s="12">
        <v>0</v>
      </c>
      <c r="L3876" s="10" t="str">
        <f t="shared" si="290"/>
        <v>AE dialoghi di tempo fiducia e cura episodi 2-3-4</v>
      </c>
      <c r="M3876" s="10" t="str">
        <f t="shared" si="291"/>
        <v>nicoletta.vozza@crm.otsuka-europe.com</v>
      </c>
      <c r="N3876" s="13">
        <v>46181.33803240741</v>
      </c>
      <c r="O3876" s="14" t="str">
        <f>HYPERLINK("https://otsuka-europe-crm.veevavault.com/ui/#object/email_activity__v/V8C00000003O479", "EN-002090035")</f>
        <v>EN-002090035</v>
      </c>
    </row>
    <row r="3877" spans="1:15" ht="16" x14ac:dyDescent="0.2">
      <c r="A3877" s="17" t="str">
        <f>HYPERLINK("https://otsuka-europe-crm.veevavault.com/ui/#object/account__v/V4TZ025E82U3AM3", "GIANMARCO DE FELICE")</f>
        <v>GIANMARCO DE FELICE</v>
      </c>
      <c r="B3877" s="17" t="str">
        <f t="shared" si="288"/>
        <v>IT</v>
      </c>
      <c r="C3877" s="20" t="s">
        <v>44</v>
      </c>
      <c r="D3877" s="21" t="str">
        <f t="shared" si="289"/>
        <v>AE dialoghi di tempo fiducia e cura episodi 2-3-4</v>
      </c>
      <c r="E3877" s="22" t="str">
        <f>HYPERLINK("https://otsuka-europe-crm.veevavault.com/ui/#object/sent_email__v/VBL00000002P242", "SE-001432912")</f>
        <v>SE-001432912</v>
      </c>
      <c r="F3877" s="25"/>
      <c r="G3877" s="24">
        <v>0</v>
      </c>
      <c r="H3877" s="24">
        <v>0</v>
      </c>
      <c r="I3877" s="24">
        <v>0</v>
      </c>
      <c r="J3877" s="25"/>
      <c r="K3877" s="24">
        <v>0</v>
      </c>
      <c r="L3877" s="22" t="str">
        <f t="shared" si="290"/>
        <v>AE dialoghi di tempo fiducia e cura episodi 2-3-4</v>
      </c>
      <c r="M3877" s="22" t="str">
        <f t="shared" si="291"/>
        <v>nicoletta.vozza@crm.otsuka-europe.com</v>
      </c>
      <c r="N3877" s="23">
        <v>46181.337962962964</v>
      </c>
      <c r="O3877" s="14" t="str">
        <f>HYPERLINK("https://otsuka-europe-crm.veevavault.com/ui/#object/email_activity__v/V8C00000003O866", "EN-002090469")</f>
        <v>EN-002090469</v>
      </c>
    </row>
    <row r="3878" spans="1:15" ht="16" x14ac:dyDescent="0.2">
      <c r="A3878" s="19"/>
      <c r="B3878" s="19"/>
      <c r="C3878" s="19"/>
      <c r="D3878" s="19"/>
      <c r="E3878" s="19"/>
      <c r="F3878" s="19"/>
      <c r="G3878" s="19"/>
      <c r="H3878" s="19"/>
      <c r="I3878" s="19"/>
      <c r="J3878" s="19"/>
      <c r="K3878" s="19"/>
      <c r="L3878" s="19"/>
      <c r="M3878" s="19"/>
      <c r="N3878" s="19"/>
      <c r="O3878" s="14" t="str">
        <f>HYPERLINK("https://otsuka-europe-crm.veevavault.com/ui/#object/email_activity__v/V8C00000003R033", "EN-002091758")</f>
        <v>EN-002091758</v>
      </c>
    </row>
    <row r="3879" spans="1:15" ht="32" x14ac:dyDescent="0.2">
      <c r="A3879" s="7" t="str">
        <f>HYPERLINK("https://otsuka-europe-crm.veevavault.com/ui/#object/account__v/V4TZ025E835SOO9", "GIANMARCO LATTE")</f>
        <v>GIANMARCO LATTE</v>
      </c>
      <c r="B3879" s="7" t="str">
        <f>HYPERLINK("https://otsuka-europe-crm.veevavault.com/ui/#object/vcountry__v/VENZ000004SONFQ", "IT")</f>
        <v>IT</v>
      </c>
      <c r="C3879" s="8" t="s">
        <v>44</v>
      </c>
      <c r="D3879" s="9" t="str">
        <f>HYPERLINK("https://otsuka-europe-crm.veevavault.com/ui/#object/approved_document__v/V5O000000018003", "AE dialoghi di tempo fiducia e cura episodi 2-3-4")</f>
        <v>AE dialoghi di tempo fiducia e cura episodi 2-3-4</v>
      </c>
      <c r="E3879" s="10" t="str">
        <f>HYPERLINK("https://otsuka-europe-crm.veevavault.com/ui/#object/sent_email__v/VBL00000002P243", "SE-001432913")</f>
        <v>SE-001432913</v>
      </c>
      <c r="F3879" s="11"/>
      <c r="G3879" s="12">
        <v>0</v>
      </c>
      <c r="H3879" s="12">
        <v>0</v>
      </c>
      <c r="I3879" s="12">
        <v>0</v>
      </c>
      <c r="J3879" s="11"/>
      <c r="K3879" s="12">
        <v>0</v>
      </c>
      <c r="L3879" s="10" t="str">
        <f>HYPERLINK("https://otsuka-europe-crm.veevavault.com/ui/#object/approved_document__v/V5O000000018003", "AE dialoghi di tempo fiducia e cura episodi 2-3-4")</f>
        <v>AE dialoghi di tempo fiducia e cura episodi 2-3-4</v>
      </c>
      <c r="M3879" s="10" t="str">
        <f>HYPERLINK("mailto:nicoletta.vozza@crm.otsuka-europe.com", "nicoletta.vozza@crm.otsuka-europe.com")</f>
        <v>nicoletta.vozza@crm.otsuka-europe.com</v>
      </c>
      <c r="N3879" s="13">
        <v>46181.338043981479</v>
      </c>
      <c r="O3879" s="14" t="str">
        <f>HYPERLINK("https://otsuka-europe-crm.veevavault.com/ui/#object/email_activity__v/V8C00000003O338", "EN-002089815")</f>
        <v>EN-002089815</v>
      </c>
    </row>
    <row r="3880" spans="1:15" ht="32" x14ac:dyDescent="0.2">
      <c r="A3880" s="7" t="str">
        <f>HYPERLINK("https://otsuka-europe-crm.veevavault.com/ui/#object/account__v/V4TZ06G6O71SB1L", "GIANMARIO CASAGRANDE")</f>
        <v>GIANMARIO CASAGRANDE</v>
      </c>
      <c r="B3880" s="7" t="str">
        <f>HYPERLINK("https://otsuka-europe-crm.veevavault.com/ui/#object/vcountry__v/VENZ000004SONFQ", "IT")</f>
        <v>IT</v>
      </c>
      <c r="C3880" s="8" t="s">
        <v>44</v>
      </c>
      <c r="D3880" s="9" t="str">
        <f>HYPERLINK("https://otsuka-europe-crm.veevavault.com/ui/#object/approved_document__v/V5O000000018003", "AE dialoghi di tempo fiducia e cura episodi 2-3-4")</f>
        <v>AE dialoghi di tempo fiducia e cura episodi 2-3-4</v>
      </c>
      <c r="E3880" s="10" t="str">
        <f>HYPERLINK("https://otsuka-europe-crm.veevavault.com/ui/#object/sent_email__v/VBL00000002P244", "SE-001432914")</f>
        <v>SE-001432914</v>
      </c>
      <c r="F3880" s="11"/>
      <c r="G3880" s="12">
        <v>0</v>
      </c>
      <c r="H3880" s="12">
        <v>0</v>
      </c>
      <c r="I3880" s="12">
        <v>0</v>
      </c>
      <c r="J3880" s="11"/>
      <c r="K3880" s="12">
        <v>0</v>
      </c>
      <c r="L3880" s="10" t="str">
        <f>HYPERLINK("https://otsuka-europe-crm.veevavault.com/ui/#object/approved_document__v/V5O000000018003", "AE dialoghi di tempo fiducia e cura episodi 2-3-4")</f>
        <v>AE dialoghi di tempo fiducia e cura episodi 2-3-4</v>
      </c>
      <c r="M3880" s="10" t="str">
        <f>HYPERLINK("mailto:nicoletta.vozza@crm.otsuka-europe.com", "nicoletta.vozza@crm.otsuka-europe.com")</f>
        <v>nicoletta.vozza@crm.otsuka-europe.com</v>
      </c>
      <c r="N3880" s="13">
        <v>46181.33797453704</v>
      </c>
      <c r="O3880" s="14" t="str">
        <f>HYPERLINK("https://otsuka-europe-crm.veevavault.com/ui/#object/email_activity__v/V8C00000003O456", "EN-002090012")</f>
        <v>EN-002090012</v>
      </c>
    </row>
    <row r="3881" spans="1:15" ht="32" x14ac:dyDescent="0.2">
      <c r="A3881" s="7" t="str">
        <f>HYPERLINK("https://otsuka-europe-crm.veevavault.com/ui/#object/account__v/V4TZ06G6O71SAFL", "GIANMATTEO CATANIA")</f>
        <v>GIANMATTEO CATANIA</v>
      </c>
      <c r="B3881" s="7" t="str">
        <f>HYPERLINK("https://otsuka-europe-crm.veevavault.com/ui/#object/vcountry__v/VENZ000004SONFQ", "IT")</f>
        <v>IT</v>
      </c>
      <c r="C3881" s="8" t="s">
        <v>44</v>
      </c>
      <c r="D3881" s="9" t="str">
        <f>HYPERLINK("https://otsuka-europe-crm.veevavault.com/ui/#object/approved_document__v/V5O000000018003", "AE dialoghi di tempo fiducia e cura episodi 2-3-4")</f>
        <v>AE dialoghi di tempo fiducia e cura episodi 2-3-4</v>
      </c>
      <c r="E3881" s="10" t="str">
        <f>HYPERLINK("https://otsuka-europe-crm.veevavault.com/ui/#object/sent_email__v/VBL00000002P245", "SE-001432915")</f>
        <v>SE-001432915</v>
      </c>
      <c r="F3881" s="11"/>
      <c r="G3881" s="12">
        <v>0</v>
      </c>
      <c r="H3881" s="12">
        <v>0</v>
      </c>
      <c r="I3881" s="12">
        <v>0</v>
      </c>
      <c r="J3881" s="11"/>
      <c r="K3881" s="12">
        <v>0</v>
      </c>
      <c r="L3881" s="10" t="str">
        <f>HYPERLINK("https://otsuka-europe-crm.veevavault.com/ui/#object/approved_document__v/V5O000000018003", "AE dialoghi di tempo fiducia e cura episodi 2-3-4")</f>
        <v>AE dialoghi di tempo fiducia e cura episodi 2-3-4</v>
      </c>
      <c r="M3881" s="10" t="str">
        <f>HYPERLINK("mailto:nicoletta.vozza@crm.otsuka-europe.com", "nicoletta.vozza@crm.otsuka-europe.com")</f>
        <v>nicoletta.vozza@crm.otsuka-europe.com</v>
      </c>
      <c r="N3881" s="13">
        <v>46181.337997685187</v>
      </c>
      <c r="O3881" s="14" t="str">
        <f>HYPERLINK("https://otsuka-europe-crm.veevavault.com/ui/#object/email_activity__v/V8C00000003O914", "EN-002090574")</f>
        <v>EN-002090574</v>
      </c>
    </row>
    <row r="3882" spans="1:15" ht="16" x14ac:dyDescent="0.2">
      <c r="A3882" s="17" t="str">
        <f>HYPERLINK("https://otsuka-europe-crm.veevavault.com/ui/#object/account__v/V4TZ06G6O71TL26", "GIANMATTEO RICCHI")</f>
        <v>GIANMATTEO RICCHI</v>
      </c>
      <c r="B3882" s="17" t="str">
        <f>HYPERLINK("https://otsuka-europe-crm.veevavault.com/ui/#object/vcountry__v/VENZ000004SONFQ", "IT")</f>
        <v>IT</v>
      </c>
      <c r="C3882" s="20" t="s">
        <v>44</v>
      </c>
      <c r="D3882" s="21" t="str">
        <f>HYPERLINK("https://otsuka-europe-crm.veevavault.com/ui/#object/approved_document__v/V5O000000018003", "AE dialoghi di tempo fiducia e cura episodi 2-3-4")</f>
        <v>AE dialoghi di tempo fiducia e cura episodi 2-3-4</v>
      </c>
      <c r="E3882" s="22" t="str">
        <f>HYPERLINK("https://otsuka-europe-crm.veevavault.com/ui/#object/sent_email__v/VBL00000002P246", "SE-001432916")</f>
        <v>SE-001432916</v>
      </c>
      <c r="F3882" s="23">
        <v>46182.280682870369</v>
      </c>
      <c r="G3882" s="24">
        <v>1</v>
      </c>
      <c r="H3882" s="24">
        <v>1</v>
      </c>
      <c r="I3882" s="24">
        <v>0</v>
      </c>
      <c r="J3882" s="25"/>
      <c r="K3882" s="24">
        <v>0</v>
      </c>
      <c r="L3882" s="22" t="str">
        <f>HYPERLINK("https://otsuka-europe-crm.veevavault.com/ui/#object/approved_document__v/V5O000000018003", "AE dialoghi di tempo fiducia e cura episodi 2-3-4")</f>
        <v>AE dialoghi di tempo fiducia e cura episodi 2-3-4</v>
      </c>
      <c r="M3882" s="22" t="str">
        <f>HYPERLINK("mailto:nicoletta.vozza@crm.otsuka-europe.com", "nicoletta.vozza@crm.otsuka-europe.com")</f>
        <v>nicoletta.vozza@crm.otsuka-europe.com</v>
      </c>
      <c r="N3882" s="23">
        <v>46181.338043981479</v>
      </c>
      <c r="O3882" s="14" t="str">
        <f>HYPERLINK("https://otsuka-europe-crm.veevavault.com/ui/#object/email_activity__v/V8C00000003O385", "EN-002089903")</f>
        <v>EN-002089903</v>
      </c>
    </row>
    <row r="3883" spans="1:15" ht="16" x14ac:dyDescent="0.2">
      <c r="A3883" s="19"/>
      <c r="B3883" s="19"/>
      <c r="C3883" s="19"/>
      <c r="D3883" s="19"/>
      <c r="E3883" s="19"/>
      <c r="F3883" s="19"/>
      <c r="G3883" s="19"/>
      <c r="H3883" s="19"/>
      <c r="I3883" s="19"/>
      <c r="J3883" s="19"/>
      <c r="K3883" s="19"/>
      <c r="L3883" s="19"/>
      <c r="M3883" s="19"/>
      <c r="N3883" s="19"/>
      <c r="O3883" s="14" t="str">
        <f>HYPERLINK("https://otsuka-europe-crm.veevavault.com/ui/#object/email_activity__v/V8C00000003Q746", "EN-002092317")</f>
        <v>EN-002092317</v>
      </c>
    </row>
    <row r="3884" spans="1:15" ht="32" x14ac:dyDescent="0.2">
      <c r="A3884" s="7" t="str">
        <f>HYPERLINK("https://otsuka-europe-crm.veevavault.com/ui/#object/account__v/V4TZ025E83WEAWJ", "GIANNA BERNASCONI")</f>
        <v>GIANNA BERNASCONI</v>
      </c>
      <c r="B3884" s="7" t="str">
        <f t="shared" ref="B3884:B3891" si="292">HYPERLINK("https://otsuka-europe-crm.veevavault.com/ui/#object/vcountry__v/VENZ000004SONFQ", "IT")</f>
        <v>IT</v>
      </c>
      <c r="C3884" s="8" t="s">
        <v>44</v>
      </c>
      <c r="D3884" s="9" t="str">
        <f t="shared" ref="D3884:D3891" si="293">HYPERLINK("https://otsuka-europe-crm.veevavault.com/ui/#object/approved_document__v/V5O000000018003", "AE dialoghi di tempo fiducia e cura episodi 2-3-4")</f>
        <v>AE dialoghi di tempo fiducia e cura episodi 2-3-4</v>
      </c>
      <c r="E3884" s="10" t="str">
        <f>HYPERLINK("https://otsuka-europe-crm.veevavault.com/ui/#object/sent_email__v/VBL00000002P247", "SE-001432917")</f>
        <v>SE-001432917</v>
      </c>
      <c r="F3884" s="11"/>
      <c r="G3884" s="12">
        <v>0</v>
      </c>
      <c r="H3884" s="12">
        <v>0</v>
      </c>
      <c r="I3884" s="12">
        <v>0</v>
      </c>
      <c r="J3884" s="11"/>
      <c r="K3884" s="12">
        <v>0</v>
      </c>
      <c r="L3884" s="10" t="str">
        <f t="shared" ref="L3884:L3891" si="294">HYPERLINK("https://otsuka-europe-crm.veevavault.com/ui/#object/approved_document__v/V5O000000018003", "AE dialoghi di tempo fiducia e cura episodi 2-3-4")</f>
        <v>AE dialoghi di tempo fiducia e cura episodi 2-3-4</v>
      </c>
      <c r="M3884" s="10" t="str">
        <f t="shared" ref="M3884:M3891" si="295">HYPERLINK("mailto:nicoletta.vozza@crm.otsuka-europe.com", "nicoletta.vozza@crm.otsuka-europe.com")</f>
        <v>nicoletta.vozza@crm.otsuka-europe.com</v>
      </c>
      <c r="N3884" s="13">
        <v>46181.338067129633</v>
      </c>
      <c r="O3884" s="14" t="str">
        <f>HYPERLINK("https://otsuka-europe-crm.veevavault.com/ui/#object/email_activity__v/V8C00000003P711", "EN-002090966")</f>
        <v>EN-002090966</v>
      </c>
    </row>
    <row r="3885" spans="1:15" ht="32" x14ac:dyDescent="0.2">
      <c r="A3885" s="7" t="str">
        <f>HYPERLINK("https://otsuka-europe-crm.veevavault.com/ui/#object/account__v/V4TZ06G6O94PBMT", "GIANNI CASTELLUCCI")</f>
        <v>GIANNI CASTELLUCCI</v>
      </c>
      <c r="B3885" s="7" t="str">
        <f t="shared" si="292"/>
        <v>IT</v>
      </c>
      <c r="C3885" s="8" t="s">
        <v>44</v>
      </c>
      <c r="D3885" s="9" t="str">
        <f t="shared" si="293"/>
        <v>AE dialoghi di tempo fiducia e cura episodi 2-3-4</v>
      </c>
      <c r="E3885" s="10" t="str">
        <f>HYPERLINK("https://otsuka-europe-crm.veevavault.com/ui/#object/sent_email__v/VBL00000002P248", "SE-001432918")</f>
        <v>SE-001432918</v>
      </c>
      <c r="F3885" s="11"/>
      <c r="G3885" s="12">
        <v>0</v>
      </c>
      <c r="H3885" s="12">
        <v>0</v>
      </c>
      <c r="I3885" s="12">
        <v>0</v>
      </c>
      <c r="J3885" s="11"/>
      <c r="K3885" s="12">
        <v>0</v>
      </c>
      <c r="L3885" s="10" t="str">
        <f t="shared" si="294"/>
        <v>AE dialoghi di tempo fiducia e cura episodi 2-3-4</v>
      </c>
      <c r="M3885" s="10" t="str">
        <f t="shared" si="295"/>
        <v>nicoletta.vozza@crm.otsuka-europe.com</v>
      </c>
      <c r="N3885" s="13">
        <v>46181.33803240741</v>
      </c>
      <c r="O3885" s="14" t="str">
        <f>HYPERLINK("https://otsuka-europe-crm.veevavault.com/ui/#object/email_activity__v/V8C00000003P626", "EN-002090881")</f>
        <v>EN-002090881</v>
      </c>
    </row>
    <row r="3886" spans="1:15" ht="32" x14ac:dyDescent="0.2">
      <c r="A3886" s="7" t="str">
        <f>HYPERLINK("https://otsuka-europe-crm.veevavault.com/ui/#object/account__v/V4TZ06G6O71SCMW", "GIANNINO ULIVI")</f>
        <v>GIANNINO ULIVI</v>
      </c>
      <c r="B3886" s="7" t="str">
        <f t="shared" si="292"/>
        <v>IT</v>
      </c>
      <c r="C3886" s="8" t="s">
        <v>44</v>
      </c>
      <c r="D3886" s="9" t="str">
        <f t="shared" si="293"/>
        <v>AE dialoghi di tempo fiducia e cura episodi 2-3-4</v>
      </c>
      <c r="E3886" s="10" t="str">
        <f>HYPERLINK("https://otsuka-europe-crm.veevavault.com/ui/#object/sent_email__v/VBL00000002P249", "SE-001432919")</f>
        <v>SE-001432919</v>
      </c>
      <c r="F3886" s="11"/>
      <c r="G3886" s="12">
        <v>0</v>
      </c>
      <c r="H3886" s="12">
        <v>0</v>
      </c>
      <c r="I3886" s="12">
        <v>0</v>
      </c>
      <c r="J3886" s="11"/>
      <c r="K3886" s="12">
        <v>0</v>
      </c>
      <c r="L3886" s="10" t="str">
        <f t="shared" si="294"/>
        <v>AE dialoghi di tempo fiducia e cura episodi 2-3-4</v>
      </c>
      <c r="M3886" s="10" t="str">
        <f t="shared" si="295"/>
        <v>nicoletta.vozza@crm.otsuka-europe.com</v>
      </c>
      <c r="N3886" s="13">
        <v>46181.337997685187</v>
      </c>
      <c r="O3886" s="14" t="str">
        <f>HYPERLINK("https://otsuka-europe-crm.veevavault.com/ui/#object/email_activity__v/V8C00000003O241", "EN-002089718")</f>
        <v>EN-002089718</v>
      </c>
    </row>
    <row r="3887" spans="1:15" ht="32" x14ac:dyDescent="0.2">
      <c r="A3887" s="7" t="str">
        <f>HYPERLINK("https://otsuka-europe-crm.veevavault.com/ui/#object/account__v/V4TZ06G6O71SC5X", "GIANPAOLO RUSSO")</f>
        <v>GIANPAOLO RUSSO</v>
      </c>
      <c r="B3887" s="7" t="str">
        <f t="shared" si="292"/>
        <v>IT</v>
      </c>
      <c r="C3887" s="8" t="s">
        <v>44</v>
      </c>
      <c r="D3887" s="9" t="str">
        <f t="shared" si="293"/>
        <v>AE dialoghi di tempo fiducia e cura episodi 2-3-4</v>
      </c>
      <c r="E3887" s="10" t="str">
        <f>HYPERLINK("https://otsuka-europe-crm.veevavault.com/ui/#object/sent_email__v/VBL00000002P250", "SE-001432920")</f>
        <v>SE-001432920</v>
      </c>
      <c r="F3887" s="11"/>
      <c r="G3887" s="12">
        <v>0</v>
      </c>
      <c r="H3887" s="12">
        <v>0</v>
      </c>
      <c r="I3887" s="12">
        <v>0</v>
      </c>
      <c r="J3887" s="11"/>
      <c r="K3887" s="12">
        <v>0</v>
      </c>
      <c r="L3887" s="10" t="str">
        <f t="shared" si="294"/>
        <v>AE dialoghi di tempo fiducia e cura episodi 2-3-4</v>
      </c>
      <c r="M3887" s="10" t="str">
        <f t="shared" si="295"/>
        <v>nicoletta.vozza@crm.otsuka-europe.com</v>
      </c>
      <c r="N3887" s="13">
        <v>46181.337997685187</v>
      </c>
      <c r="O3887" s="14" t="str">
        <f>HYPERLINK("https://otsuka-europe-crm.veevavault.com/ui/#object/email_activity__v/V8C00000003P662", "EN-002090917")</f>
        <v>EN-002090917</v>
      </c>
    </row>
    <row r="3888" spans="1:15" ht="32" x14ac:dyDescent="0.2">
      <c r="A3888" s="7" t="str">
        <f>HYPERLINK("https://otsuka-europe-crm.veevavault.com/ui/#object/account__v/V4TZ06G6O71SAGT", "GILBERTO DI PETTA")</f>
        <v>GILBERTO DI PETTA</v>
      </c>
      <c r="B3888" s="7" t="str">
        <f t="shared" si="292"/>
        <v>IT</v>
      </c>
      <c r="C3888" s="8" t="s">
        <v>44</v>
      </c>
      <c r="D3888" s="9" t="str">
        <f t="shared" si="293"/>
        <v>AE dialoghi di tempo fiducia e cura episodi 2-3-4</v>
      </c>
      <c r="E3888" s="10" t="str">
        <f>HYPERLINK("https://otsuka-europe-crm.veevavault.com/ui/#object/sent_email__v/VBL00000002P251", "SE-001432921")</f>
        <v>SE-001432921</v>
      </c>
      <c r="F3888" s="11"/>
      <c r="G3888" s="12">
        <v>0</v>
      </c>
      <c r="H3888" s="12">
        <v>0</v>
      </c>
      <c r="I3888" s="12">
        <v>0</v>
      </c>
      <c r="J3888" s="11"/>
      <c r="K3888" s="12">
        <v>0</v>
      </c>
      <c r="L3888" s="10" t="str">
        <f t="shared" si="294"/>
        <v>AE dialoghi di tempo fiducia e cura episodi 2-3-4</v>
      </c>
      <c r="M3888" s="10" t="str">
        <f t="shared" si="295"/>
        <v>nicoletta.vozza@crm.otsuka-europe.com</v>
      </c>
      <c r="N3888" s="13">
        <v>46181.337997685187</v>
      </c>
      <c r="O3888" s="14" t="str">
        <f>HYPERLINK("https://otsuka-europe-crm.veevavault.com/ui/#object/email_activity__v/V8C00000003P450", "EN-002090688")</f>
        <v>EN-002090688</v>
      </c>
    </row>
    <row r="3889" spans="1:15" ht="32" x14ac:dyDescent="0.2">
      <c r="A3889" s="7" t="str">
        <f>HYPERLINK("https://otsuka-europe-crm.veevavault.com/ui/#object/account__v/V4TZ06G6O71SB4U", "GILDA CONDEMI")</f>
        <v>GILDA CONDEMI</v>
      </c>
      <c r="B3889" s="7" t="str">
        <f t="shared" si="292"/>
        <v>IT</v>
      </c>
      <c r="C3889" s="8" t="s">
        <v>44</v>
      </c>
      <c r="D3889" s="9" t="str">
        <f t="shared" si="293"/>
        <v>AE dialoghi di tempo fiducia e cura episodi 2-3-4</v>
      </c>
      <c r="E3889" s="10" t="str">
        <f>HYPERLINK("https://otsuka-europe-crm.veevavault.com/ui/#object/sent_email__v/VBL00000002P252", "SE-001432922")</f>
        <v>SE-001432922</v>
      </c>
      <c r="F3889" s="11"/>
      <c r="G3889" s="12">
        <v>0</v>
      </c>
      <c r="H3889" s="12">
        <v>0</v>
      </c>
      <c r="I3889" s="12">
        <v>0</v>
      </c>
      <c r="J3889" s="11"/>
      <c r="K3889" s="12">
        <v>0</v>
      </c>
      <c r="L3889" s="10" t="str">
        <f t="shared" si="294"/>
        <v>AE dialoghi di tempo fiducia e cura episodi 2-3-4</v>
      </c>
      <c r="M3889" s="10" t="str">
        <f t="shared" si="295"/>
        <v>nicoletta.vozza@crm.otsuka-europe.com</v>
      </c>
      <c r="N3889" s="13">
        <v>46181.338090277779</v>
      </c>
      <c r="O3889" s="14" t="str">
        <f>HYPERLINK("https://otsuka-europe-crm.veevavault.com/ui/#object/email_activity__v/V8C00000003P539", "EN-002090794")</f>
        <v>EN-002090794</v>
      </c>
    </row>
    <row r="3890" spans="1:15" ht="32" x14ac:dyDescent="0.2">
      <c r="A3890" s="7" t="str">
        <f>HYPERLINK("https://otsuka-europe-crm.veevavault.com/ui/#object/account__v/V4TZ06G6O71S9RE", "GIORGIA DI MASSIMO")</f>
        <v>GIORGIA DI MASSIMO</v>
      </c>
      <c r="B3890" s="7" t="str">
        <f t="shared" si="292"/>
        <v>IT</v>
      </c>
      <c r="C3890" s="8" t="s">
        <v>44</v>
      </c>
      <c r="D3890" s="9" t="str">
        <f t="shared" si="293"/>
        <v>AE dialoghi di tempo fiducia e cura episodi 2-3-4</v>
      </c>
      <c r="E3890" s="10" t="str">
        <f>HYPERLINK("https://otsuka-europe-crm.veevavault.com/ui/#object/sent_email__v/VBL00000002P253", "SE-001432923")</f>
        <v>SE-001432923</v>
      </c>
      <c r="F3890" s="11"/>
      <c r="G3890" s="12">
        <v>0</v>
      </c>
      <c r="H3890" s="12">
        <v>0</v>
      </c>
      <c r="I3890" s="12">
        <v>0</v>
      </c>
      <c r="J3890" s="11"/>
      <c r="K3890" s="12">
        <v>0</v>
      </c>
      <c r="L3890" s="10" t="str">
        <f t="shared" si="294"/>
        <v>AE dialoghi di tempo fiducia e cura episodi 2-3-4</v>
      </c>
      <c r="M3890" s="10" t="str">
        <f t="shared" si="295"/>
        <v>nicoletta.vozza@crm.otsuka-europe.com</v>
      </c>
      <c r="N3890" s="13">
        <v>46181.338043981479</v>
      </c>
      <c r="O3890" s="14" t="str">
        <f>HYPERLINK("https://otsuka-europe-crm.veevavault.com/ui/#object/email_activity__v/V8C00000003Q235", "EN-002091341")</f>
        <v>EN-002091341</v>
      </c>
    </row>
    <row r="3891" spans="1:15" ht="16" x14ac:dyDescent="0.2">
      <c r="A3891" s="17" t="str">
        <f>HYPERLINK("https://otsuka-europe-crm.veevavault.com/ui/#object/account__v/V4TZ025E82NI313", "GIORGIA OCCHIALINI")</f>
        <v>GIORGIA OCCHIALINI</v>
      </c>
      <c r="B3891" s="17" t="str">
        <f t="shared" si="292"/>
        <v>IT</v>
      </c>
      <c r="C3891" s="20" t="s">
        <v>44</v>
      </c>
      <c r="D3891" s="21" t="str">
        <f t="shared" si="293"/>
        <v>AE dialoghi di tempo fiducia e cura episodi 2-3-4</v>
      </c>
      <c r="E3891" s="22" t="str">
        <f>HYPERLINK("https://otsuka-europe-crm.veevavault.com/ui/#object/sent_email__v/VBL00000002P254", "SE-001432924")</f>
        <v>SE-001432924</v>
      </c>
      <c r="F3891" s="25"/>
      <c r="G3891" s="24">
        <v>0</v>
      </c>
      <c r="H3891" s="24">
        <v>0</v>
      </c>
      <c r="I3891" s="24">
        <v>0</v>
      </c>
      <c r="J3891" s="25"/>
      <c r="K3891" s="24">
        <v>0</v>
      </c>
      <c r="L3891" s="22" t="str">
        <f t="shared" si="294"/>
        <v>AE dialoghi di tempo fiducia e cura episodi 2-3-4</v>
      </c>
      <c r="M3891" s="22" t="str">
        <f t="shared" si="295"/>
        <v>nicoletta.vozza@crm.otsuka-europe.com</v>
      </c>
      <c r="N3891" s="23">
        <v>46181.33798611111</v>
      </c>
      <c r="O3891" s="14" t="str">
        <f>HYPERLINK("https://otsuka-europe-crm.veevavault.com/ui/#object/email_activity__v/V8C00000003O272", "EN-002089749")</f>
        <v>EN-002089749</v>
      </c>
    </row>
    <row r="3892" spans="1:15" ht="16" x14ac:dyDescent="0.2">
      <c r="A3892" s="19"/>
      <c r="B3892" s="19"/>
      <c r="C3892" s="19"/>
      <c r="D3892" s="19"/>
      <c r="E3892" s="19"/>
      <c r="F3892" s="19"/>
      <c r="G3892" s="19"/>
      <c r="H3892" s="19"/>
      <c r="I3892" s="19"/>
      <c r="J3892" s="19"/>
      <c r="K3892" s="19"/>
      <c r="L3892" s="19"/>
      <c r="M3892" s="19"/>
      <c r="N3892" s="19"/>
      <c r="O3892" s="14" t="str">
        <f>HYPERLINK("https://otsuka-europe-crm.veevavault.com/ui/#object/email_activity__v/V8C00000003V474", "EN-002095726")</f>
        <v>EN-002095726</v>
      </c>
    </row>
    <row r="3893" spans="1:15" ht="32" x14ac:dyDescent="0.2">
      <c r="A3893" s="7" t="str">
        <f>HYPERLINK("https://otsuka-europe-crm.veevavault.com/ui/#object/account__v/V4TZ06G6O80YQBE", "GIORGIA RAZZI")</f>
        <v>GIORGIA RAZZI</v>
      </c>
      <c r="B3893" s="7" t="str">
        <f>HYPERLINK("https://otsuka-europe-crm.veevavault.com/ui/#object/vcountry__v/VENZ000004SONFQ", "IT")</f>
        <v>IT</v>
      </c>
      <c r="C3893" s="8" t="s">
        <v>44</v>
      </c>
      <c r="D3893" s="9" t="str">
        <f>HYPERLINK("https://otsuka-europe-crm.veevavault.com/ui/#object/approved_document__v/V5O000000018003", "AE dialoghi di tempo fiducia e cura episodi 2-3-4")</f>
        <v>AE dialoghi di tempo fiducia e cura episodi 2-3-4</v>
      </c>
      <c r="E3893" s="10" t="str">
        <f>HYPERLINK("https://otsuka-europe-crm.veevavault.com/ui/#object/sent_email__v/VBL00000002P255", "SE-001432925")</f>
        <v>SE-001432925</v>
      </c>
      <c r="F3893" s="11"/>
      <c r="G3893" s="12">
        <v>0</v>
      </c>
      <c r="H3893" s="12">
        <v>0</v>
      </c>
      <c r="I3893" s="12">
        <v>0</v>
      </c>
      <c r="J3893" s="11"/>
      <c r="K3893" s="12">
        <v>0</v>
      </c>
      <c r="L3893" s="10" t="str">
        <f>HYPERLINK("https://otsuka-europe-crm.veevavault.com/ui/#object/approved_document__v/V5O000000018003", "AE dialoghi di tempo fiducia e cura episodi 2-3-4")</f>
        <v>AE dialoghi di tempo fiducia e cura episodi 2-3-4</v>
      </c>
      <c r="M3893" s="10" t="str">
        <f>HYPERLINK("mailto:nicoletta.vozza@crm.otsuka-europe.com", "nicoletta.vozza@crm.otsuka-europe.com")</f>
        <v>nicoletta.vozza@crm.otsuka-europe.com</v>
      </c>
      <c r="N3893" s="13">
        <v>46181.337962962964</v>
      </c>
      <c r="O3893" s="14" t="str">
        <f>HYPERLINK("https://otsuka-europe-crm.veevavault.com/ui/#object/email_activity__v/V8C00000003P872", "EN-002091371")</f>
        <v>EN-002091371</v>
      </c>
    </row>
    <row r="3894" spans="1:15" ht="16" x14ac:dyDescent="0.2">
      <c r="A3894" s="17" t="str">
        <f>HYPERLINK("https://otsuka-europe-crm.veevavault.com/ui/#object/account__v/V4TZ06G6O71SA8R", "GIORGIO BIANCONI")</f>
        <v>GIORGIO BIANCONI</v>
      </c>
      <c r="B3894" s="17" t="str">
        <f>HYPERLINK("https://otsuka-europe-crm.veevavault.com/ui/#object/vcountry__v/VENZ000004SONFQ", "IT")</f>
        <v>IT</v>
      </c>
      <c r="C3894" s="20" t="s">
        <v>44</v>
      </c>
      <c r="D3894" s="21" t="str">
        <f>HYPERLINK("https://otsuka-europe-crm.veevavault.com/ui/#object/approved_document__v/V5O000000018003", "AE dialoghi di tempo fiducia e cura episodi 2-3-4")</f>
        <v>AE dialoghi di tempo fiducia e cura episodi 2-3-4</v>
      </c>
      <c r="E3894" s="22" t="str">
        <f>HYPERLINK("https://otsuka-europe-crm.veevavault.com/ui/#object/sent_email__v/VBL00000002P256", "SE-001432926")</f>
        <v>SE-001432926</v>
      </c>
      <c r="F3894" s="23">
        <v>46181.340057870373</v>
      </c>
      <c r="G3894" s="24">
        <v>1</v>
      </c>
      <c r="H3894" s="24">
        <v>1</v>
      </c>
      <c r="I3894" s="24">
        <v>1</v>
      </c>
      <c r="J3894" s="23">
        <v>46181.340057870373</v>
      </c>
      <c r="K3894" s="24">
        <v>1</v>
      </c>
      <c r="L3894" s="22" t="str">
        <f>HYPERLINK("https://otsuka-europe-crm.veevavault.com/ui/#object/approved_document__v/V5O000000018003", "AE dialoghi di tempo fiducia e cura episodi 2-3-4")</f>
        <v>AE dialoghi di tempo fiducia e cura episodi 2-3-4</v>
      </c>
      <c r="M3894" s="22" t="str">
        <f>HYPERLINK("mailto:nicoletta.vozza@crm.otsuka-europe.com", "nicoletta.vozza@crm.otsuka-europe.com")</f>
        <v>nicoletta.vozza@crm.otsuka-europe.com</v>
      </c>
      <c r="N3894" s="23">
        <v>46181.33803240741</v>
      </c>
      <c r="O3894" s="14" t="str">
        <f>HYPERLINK("https://otsuka-europe-crm.veevavault.com/ui/#object/email_activity__v/V8C00000003P449", "EN-002090647")</f>
        <v>EN-002090647</v>
      </c>
    </row>
    <row r="3895" spans="1:15" ht="16" x14ac:dyDescent="0.2">
      <c r="A3895" s="18"/>
      <c r="B3895" s="18"/>
      <c r="C3895" s="18"/>
      <c r="D3895" s="18"/>
      <c r="E3895" s="18"/>
      <c r="F3895" s="18"/>
      <c r="G3895" s="18"/>
      <c r="H3895" s="18"/>
      <c r="I3895" s="18"/>
      <c r="J3895" s="18"/>
      <c r="K3895" s="18"/>
      <c r="L3895" s="18"/>
      <c r="M3895" s="18"/>
      <c r="N3895" s="18"/>
      <c r="O3895" s="14" t="str">
        <f>HYPERLINK("https://otsuka-europe-crm.veevavault.com/ui/#object/email_activity__v/V8C00000003P886", "EN-002091410")</f>
        <v>EN-002091410</v>
      </c>
    </row>
    <row r="3896" spans="1:15" ht="16" x14ac:dyDescent="0.2">
      <c r="A3896" s="19"/>
      <c r="B3896" s="19"/>
      <c r="C3896" s="19"/>
      <c r="D3896" s="19"/>
      <c r="E3896" s="19"/>
      <c r="F3896" s="19"/>
      <c r="G3896" s="19"/>
      <c r="H3896" s="19"/>
      <c r="I3896" s="19"/>
      <c r="J3896" s="19"/>
      <c r="K3896" s="19"/>
      <c r="L3896" s="19"/>
      <c r="M3896" s="19"/>
      <c r="N3896" s="19"/>
      <c r="O3896" s="14" t="str">
        <f>HYPERLINK("https://otsuka-europe-crm.veevavault.com/ui/#object/email_activity__v/V8C00000003P887", "EN-002091409")</f>
        <v>EN-002091409</v>
      </c>
    </row>
    <row r="3897" spans="1:15" ht="16" x14ac:dyDescent="0.2">
      <c r="A3897" s="17" t="str">
        <f>HYPERLINK("https://otsuka-europe-crm.veevavault.com/ui/#object/account__v/V4TZ06G6O71TLFZ", "GIORGIO DE CESARE")</f>
        <v>GIORGIO DE CESARE</v>
      </c>
      <c r="B3897" s="17" t="str">
        <f>HYPERLINK("https://otsuka-europe-crm.veevavault.com/ui/#object/vcountry__v/VENZ000004SONFQ", "IT")</f>
        <v>IT</v>
      </c>
      <c r="C3897" s="20" t="s">
        <v>44</v>
      </c>
      <c r="D3897" s="21" t="str">
        <f>HYPERLINK("https://otsuka-europe-crm.veevavault.com/ui/#object/approved_document__v/V5O000000018003", "AE dialoghi di tempo fiducia e cura episodi 2-3-4")</f>
        <v>AE dialoghi di tempo fiducia e cura episodi 2-3-4</v>
      </c>
      <c r="E3897" s="22" t="str">
        <f>HYPERLINK("https://otsuka-europe-crm.veevavault.com/ui/#object/sent_email__v/VBL00000002P257", "SE-001432927")</f>
        <v>SE-001432927</v>
      </c>
      <c r="F3897" s="25"/>
      <c r="G3897" s="24">
        <v>0</v>
      </c>
      <c r="H3897" s="24">
        <v>0</v>
      </c>
      <c r="I3897" s="24">
        <v>0</v>
      </c>
      <c r="J3897" s="25"/>
      <c r="K3897" s="24">
        <v>0</v>
      </c>
      <c r="L3897" s="22" t="str">
        <f>HYPERLINK("https://otsuka-europe-crm.veevavault.com/ui/#object/approved_document__v/V5O000000018003", "AE dialoghi di tempo fiducia e cura episodi 2-3-4")</f>
        <v>AE dialoghi di tempo fiducia e cura episodi 2-3-4</v>
      </c>
      <c r="M3897" s="22" t="str">
        <f>HYPERLINK("mailto:nicoletta.vozza@crm.otsuka-europe.com", "nicoletta.vozza@crm.otsuka-europe.com")</f>
        <v>nicoletta.vozza@crm.otsuka-europe.com</v>
      </c>
      <c r="N3897" s="23">
        <v>46181.337997685187</v>
      </c>
      <c r="O3897" s="14" t="str">
        <f>HYPERLINK("https://otsuka-europe-crm.veevavault.com/ui/#object/email_activity__v/V8C00000003O629", "EN-002090185")</f>
        <v>EN-002090185</v>
      </c>
    </row>
    <row r="3898" spans="1:15" ht="16" x14ac:dyDescent="0.2">
      <c r="A3898" s="18"/>
      <c r="B3898" s="18"/>
      <c r="C3898" s="18"/>
      <c r="D3898" s="18"/>
      <c r="E3898" s="18"/>
      <c r="F3898" s="18"/>
      <c r="G3898" s="18"/>
      <c r="H3898" s="18"/>
      <c r="I3898" s="18"/>
      <c r="J3898" s="18"/>
      <c r="K3898" s="18"/>
      <c r="L3898" s="18"/>
      <c r="M3898" s="18"/>
      <c r="N3898" s="18"/>
      <c r="O3898" s="14" t="str">
        <f>HYPERLINK("https://otsuka-europe-crm.veevavault.com/ui/#object/email_activity__v/V8C00000003R874", "EN-002093338")</f>
        <v>EN-002093338</v>
      </c>
    </row>
    <row r="3899" spans="1:15" ht="16" x14ac:dyDescent="0.2">
      <c r="A3899" s="19"/>
      <c r="B3899" s="19"/>
      <c r="C3899" s="19"/>
      <c r="D3899" s="19"/>
      <c r="E3899" s="19"/>
      <c r="F3899" s="19"/>
      <c r="G3899" s="19"/>
      <c r="H3899" s="19"/>
      <c r="I3899" s="19"/>
      <c r="J3899" s="19"/>
      <c r="K3899" s="19"/>
      <c r="L3899" s="19"/>
      <c r="M3899" s="19"/>
      <c r="N3899" s="19"/>
      <c r="O3899" s="14" t="str">
        <f>HYPERLINK("https://otsuka-europe-crm.veevavault.com/ui/#object/email_activity__v/V8C00000003R889", "EN-002093377")</f>
        <v>EN-002093377</v>
      </c>
    </row>
    <row r="3900" spans="1:15" ht="32" x14ac:dyDescent="0.2">
      <c r="A3900" s="7" t="str">
        <f>HYPERLINK("https://otsuka-europe-crm.veevavault.com/ui/#object/account__v/V4TZ06G6O71SAG6", "GIORGIO DI LORENZO")</f>
        <v>GIORGIO DI LORENZO</v>
      </c>
      <c r="B3900" s="7" t="str">
        <f t="shared" ref="B3900:B3922" si="296">HYPERLINK("https://otsuka-europe-crm.veevavault.com/ui/#object/vcountry__v/VENZ000004SONFQ", "IT")</f>
        <v>IT</v>
      </c>
      <c r="C3900" s="8" t="s">
        <v>44</v>
      </c>
      <c r="D3900" s="9" t="str">
        <f t="shared" ref="D3900:D3922" si="297">HYPERLINK("https://otsuka-europe-crm.veevavault.com/ui/#object/approved_document__v/V5O000000018003", "AE dialoghi di tempo fiducia e cura episodi 2-3-4")</f>
        <v>AE dialoghi di tempo fiducia e cura episodi 2-3-4</v>
      </c>
      <c r="E3900" s="10" t="str">
        <f>HYPERLINK("https://otsuka-europe-crm.veevavault.com/ui/#object/sent_email__v/VBL00000002P258", "SE-001432928")</f>
        <v>SE-001432928</v>
      </c>
      <c r="F3900" s="11"/>
      <c r="G3900" s="12">
        <v>0</v>
      </c>
      <c r="H3900" s="12">
        <v>0</v>
      </c>
      <c r="I3900" s="12">
        <v>0</v>
      </c>
      <c r="J3900" s="11"/>
      <c r="K3900" s="12">
        <v>0</v>
      </c>
      <c r="L3900" s="10" t="str">
        <f t="shared" ref="L3900:L3922" si="298">HYPERLINK("https://otsuka-europe-crm.veevavault.com/ui/#object/approved_document__v/V5O000000018003", "AE dialoghi di tempo fiducia e cura episodi 2-3-4")</f>
        <v>AE dialoghi di tempo fiducia e cura episodi 2-3-4</v>
      </c>
      <c r="M3900" s="10" t="str">
        <f t="shared" ref="M3900:M3922" si="299">HYPERLINK("mailto:nicoletta.vozza@crm.otsuka-europe.com", "nicoletta.vozza@crm.otsuka-europe.com")</f>
        <v>nicoletta.vozza@crm.otsuka-europe.com</v>
      </c>
      <c r="N3900" s="13">
        <v>46181.337997685187</v>
      </c>
      <c r="O3900" s="14" t="str">
        <f>HYPERLINK("https://otsuka-europe-crm.veevavault.com/ui/#object/email_activity__v/V8C00000003O950", "EN-002090610")</f>
        <v>EN-002090610</v>
      </c>
    </row>
    <row r="3901" spans="1:15" ht="32" x14ac:dyDescent="0.2">
      <c r="A3901" s="7" t="str">
        <f>HYPERLINK("https://otsuka-europe-crm.veevavault.com/ui/#object/account__v/V4TZ06G6O71SAOG", "GIORGIO GALLINO")</f>
        <v>GIORGIO GALLINO</v>
      </c>
      <c r="B3901" s="7" t="str">
        <f t="shared" si="296"/>
        <v>IT</v>
      </c>
      <c r="C3901" s="8" t="s">
        <v>44</v>
      </c>
      <c r="D3901" s="9" t="str">
        <f t="shared" si="297"/>
        <v>AE dialoghi di tempo fiducia e cura episodi 2-3-4</v>
      </c>
      <c r="E3901" s="10" t="str">
        <f>HYPERLINK("https://otsuka-europe-crm.veevavault.com/ui/#object/sent_email__v/VBL00000002P259", "SE-001432929")</f>
        <v>SE-001432929</v>
      </c>
      <c r="F3901" s="11"/>
      <c r="G3901" s="12">
        <v>0</v>
      </c>
      <c r="H3901" s="12">
        <v>0</v>
      </c>
      <c r="I3901" s="12">
        <v>0</v>
      </c>
      <c r="J3901" s="11"/>
      <c r="K3901" s="12">
        <v>0</v>
      </c>
      <c r="L3901" s="10" t="str">
        <f t="shared" si="298"/>
        <v>AE dialoghi di tempo fiducia e cura episodi 2-3-4</v>
      </c>
      <c r="M3901" s="10" t="str">
        <f t="shared" si="299"/>
        <v>nicoletta.vozza@crm.otsuka-europe.com</v>
      </c>
      <c r="N3901" s="13">
        <v>46181.33797453704</v>
      </c>
      <c r="O3901" s="14" t="str">
        <f>HYPERLINK("https://otsuka-europe-crm.veevavault.com/ui/#object/email_activity__v/V8C00000003P402", "EN-002090408")</f>
        <v>EN-002090408</v>
      </c>
    </row>
    <row r="3902" spans="1:15" ht="32" x14ac:dyDescent="0.2">
      <c r="A3902" s="7" t="str">
        <f>HYPERLINK("https://otsuka-europe-crm.veevavault.com/ui/#object/account__v/V4TZ06G6O71SANV", "GIORGIO GUERANI")</f>
        <v>GIORGIO GUERANI</v>
      </c>
      <c r="B3902" s="7" t="str">
        <f t="shared" si="296"/>
        <v>IT</v>
      </c>
      <c r="C3902" s="8" t="s">
        <v>44</v>
      </c>
      <c r="D3902" s="9" t="str">
        <f t="shared" si="297"/>
        <v>AE dialoghi di tempo fiducia e cura episodi 2-3-4</v>
      </c>
      <c r="E3902" s="10" t="str">
        <f>HYPERLINK("https://otsuka-europe-crm.veevavault.com/ui/#object/sent_email__v/VBL00000002P260", "SE-001432930")</f>
        <v>SE-001432930</v>
      </c>
      <c r="F3902" s="11"/>
      <c r="G3902" s="12">
        <v>0</v>
      </c>
      <c r="H3902" s="12">
        <v>0</v>
      </c>
      <c r="I3902" s="12">
        <v>0</v>
      </c>
      <c r="J3902" s="11"/>
      <c r="K3902" s="12">
        <v>0</v>
      </c>
      <c r="L3902" s="10" t="str">
        <f t="shared" si="298"/>
        <v>AE dialoghi di tempo fiducia e cura episodi 2-3-4</v>
      </c>
      <c r="M3902" s="10" t="str">
        <f t="shared" si="299"/>
        <v>nicoletta.vozza@crm.otsuka-europe.com</v>
      </c>
      <c r="N3902" s="13">
        <v>46181.338067129633</v>
      </c>
      <c r="O3902" s="14" t="str">
        <f>HYPERLINK("https://otsuka-europe-crm.veevavault.com/ui/#object/email_activity__v/V8C00000003P816", "EN-002091114")</f>
        <v>EN-002091114</v>
      </c>
    </row>
    <row r="3903" spans="1:15" ht="32" x14ac:dyDescent="0.2">
      <c r="A3903" s="7" t="str">
        <f>HYPERLINK("https://otsuka-europe-crm.veevavault.com/ui/#object/account__v/V4TZ06G6O71SB7C", "GIORGIO LAVENI")</f>
        <v>GIORGIO LAVENI</v>
      </c>
      <c r="B3903" s="7" t="str">
        <f t="shared" si="296"/>
        <v>IT</v>
      </c>
      <c r="C3903" s="8" t="s">
        <v>44</v>
      </c>
      <c r="D3903" s="9" t="str">
        <f t="shared" si="297"/>
        <v>AE dialoghi di tempo fiducia e cura episodi 2-3-4</v>
      </c>
      <c r="E3903" s="10" t="str">
        <f>HYPERLINK("https://otsuka-europe-crm.veevavault.com/ui/#object/sent_email__v/VBL00000002P261", "SE-001432931")</f>
        <v>SE-001432931</v>
      </c>
      <c r="F3903" s="11"/>
      <c r="G3903" s="12">
        <v>0</v>
      </c>
      <c r="H3903" s="12">
        <v>0</v>
      </c>
      <c r="I3903" s="12">
        <v>0</v>
      </c>
      <c r="J3903" s="11"/>
      <c r="K3903" s="12">
        <v>0</v>
      </c>
      <c r="L3903" s="10" t="str">
        <f t="shared" si="298"/>
        <v>AE dialoghi di tempo fiducia e cura episodi 2-3-4</v>
      </c>
      <c r="M3903" s="10" t="str">
        <f t="shared" si="299"/>
        <v>nicoletta.vozza@crm.otsuka-europe.com</v>
      </c>
      <c r="N3903" s="13">
        <v>46181.338009259256</v>
      </c>
      <c r="O3903" s="14" t="str">
        <f>HYPERLINK("https://otsuka-europe-crm.veevavault.com/ui/#object/email_activity__v/V8C00000003P576", "EN-002090831")</f>
        <v>EN-002090831</v>
      </c>
    </row>
    <row r="3904" spans="1:15" ht="32" x14ac:dyDescent="0.2">
      <c r="A3904" s="7" t="str">
        <f>HYPERLINK("https://otsuka-europe-crm.veevavault.com/ui/#object/account__v/V4TZ025E83Y8TCI", "GIORGIO RINOSI")</f>
        <v>GIORGIO RINOSI</v>
      </c>
      <c r="B3904" s="7" t="str">
        <f t="shared" si="296"/>
        <v>IT</v>
      </c>
      <c r="C3904" s="8" t="s">
        <v>44</v>
      </c>
      <c r="D3904" s="9" t="str">
        <f t="shared" si="297"/>
        <v>AE dialoghi di tempo fiducia e cura episodi 2-3-4</v>
      </c>
      <c r="E3904" s="10" t="str">
        <f>HYPERLINK("https://otsuka-europe-crm.veevavault.com/ui/#object/sent_email__v/VBL00000002P262", "SE-001432932")</f>
        <v>SE-001432932</v>
      </c>
      <c r="F3904" s="11"/>
      <c r="G3904" s="12">
        <v>0</v>
      </c>
      <c r="H3904" s="12">
        <v>0</v>
      </c>
      <c r="I3904" s="12">
        <v>0</v>
      </c>
      <c r="J3904" s="11"/>
      <c r="K3904" s="12">
        <v>0</v>
      </c>
      <c r="L3904" s="10" t="str">
        <f t="shared" si="298"/>
        <v>AE dialoghi di tempo fiducia e cura episodi 2-3-4</v>
      </c>
      <c r="M3904" s="10" t="str">
        <f t="shared" si="299"/>
        <v>nicoletta.vozza@crm.otsuka-europe.com</v>
      </c>
      <c r="N3904" s="13">
        <v>46181.33803240741</v>
      </c>
      <c r="O3904" s="14" t="str">
        <f>HYPERLINK("https://otsuka-europe-crm.veevavault.com/ui/#object/email_activity__v/V8C00000003Q039", "EN-002091005")</f>
        <v>EN-002091005</v>
      </c>
    </row>
    <row r="3905" spans="1:15" ht="32" x14ac:dyDescent="0.2">
      <c r="A3905" s="7" t="str">
        <f>HYPERLINK("https://otsuka-europe-crm.veevavault.com/ui/#object/account__v/V4TZ04ASGAV85MH", "GIOVANNA ADELE MARIA VALVASSORI BOLGE'")</f>
        <v>GIOVANNA ADELE MARIA VALVASSORI BOLGE'</v>
      </c>
      <c r="B3905" s="7" t="str">
        <f t="shared" si="296"/>
        <v>IT</v>
      </c>
      <c r="C3905" s="8" t="s">
        <v>44</v>
      </c>
      <c r="D3905" s="9" t="str">
        <f t="shared" si="297"/>
        <v>AE dialoghi di tempo fiducia e cura episodi 2-3-4</v>
      </c>
      <c r="E3905" s="10" t="str">
        <f>HYPERLINK("https://otsuka-europe-crm.veevavault.com/ui/#object/sent_email__v/VBL00000002P263", "SE-001432933")</f>
        <v>SE-001432933</v>
      </c>
      <c r="F3905" s="11"/>
      <c r="G3905" s="12">
        <v>0</v>
      </c>
      <c r="H3905" s="12">
        <v>0</v>
      </c>
      <c r="I3905" s="12">
        <v>0</v>
      </c>
      <c r="J3905" s="11"/>
      <c r="K3905" s="12">
        <v>0</v>
      </c>
      <c r="L3905" s="10" t="str">
        <f t="shared" si="298"/>
        <v>AE dialoghi di tempo fiducia e cura episodi 2-3-4</v>
      </c>
      <c r="M3905" s="10" t="str">
        <f t="shared" si="299"/>
        <v>nicoletta.vozza@crm.otsuka-europe.com</v>
      </c>
      <c r="N3905" s="13">
        <v>46181.338101851848</v>
      </c>
      <c r="O3905" s="14" t="str">
        <f>HYPERLINK("https://otsuka-europe-crm.veevavault.com/ui/#object/email_activity__v/V8C00000003P640", "EN-002090895")</f>
        <v>EN-002090895</v>
      </c>
    </row>
    <row r="3906" spans="1:15" ht="32" x14ac:dyDescent="0.2">
      <c r="A3906" s="7" t="str">
        <f>HYPERLINK("https://otsuka-europe-crm.veevavault.com/ui/#object/account__v/V4TZ06G6O8L64M8", "GIOVANNA ALLEGRA DAL FERRO")</f>
        <v>GIOVANNA ALLEGRA DAL FERRO</v>
      </c>
      <c r="B3906" s="7" t="str">
        <f t="shared" si="296"/>
        <v>IT</v>
      </c>
      <c r="C3906" s="8" t="s">
        <v>44</v>
      </c>
      <c r="D3906" s="9" t="str">
        <f t="shared" si="297"/>
        <v>AE dialoghi di tempo fiducia e cura episodi 2-3-4</v>
      </c>
      <c r="E3906" s="10" t="str">
        <f>HYPERLINK("https://otsuka-europe-crm.veevavault.com/ui/#object/sent_email__v/VBL00000002P264", "SE-001432934")</f>
        <v>SE-001432934</v>
      </c>
      <c r="F3906" s="11"/>
      <c r="G3906" s="12">
        <v>0</v>
      </c>
      <c r="H3906" s="12">
        <v>0</v>
      </c>
      <c r="I3906" s="12">
        <v>0</v>
      </c>
      <c r="J3906" s="11"/>
      <c r="K3906" s="12">
        <v>0</v>
      </c>
      <c r="L3906" s="10" t="str">
        <f t="shared" si="298"/>
        <v>AE dialoghi di tempo fiducia e cura episodi 2-3-4</v>
      </c>
      <c r="M3906" s="10" t="str">
        <f t="shared" si="299"/>
        <v>nicoletta.vozza@crm.otsuka-europe.com</v>
      </c>
      <c r="N3906" s="13">
        <v>46181.338009259256</v>
      </c>
      <c r="O3906" s="14" t="str">
        <f>HYPERLINK("https://otsuka-europe-crm.veevavault.com/ui/#object/email_activity__v/V8C00000003O748", "EN-002090304")</f>
        <v>EN-002090304</v>
      </c>
    </row>
    <row r="3907" spans="1:15" ht="32" x14ac:dyDescent="0.2">
      <c r="A3907" s="7" t="str">
        <f>HYPERLINK("https://otsuka-europe-crm.veevavault.com/ui/#object/account__v/V4TZ06G6O71SA8I", "GIOVANNA BUFFA")</f>
        <v>GIOVANNA BUFFA</v>
      </c>
      <c r="B3907" s="7" t="str">
        <f t="shared" si="296"/>
        <v>IT</v>
      </c>
      <c r="C3907" s="8" t="s">
        <v>44</v>
      </c>
      <c r="D3907" s="9" t="str">
        <f t="shared" si="297"/>
        <v>AE dialoghi di tempo fiducia e cura episodi 2-3-4</v>
      </c>
      <c r="E3907" s="10" t="str">
        <f>HYPERLINK("https://otsuka-europe-crm.veevavault.com/ui/#object/sent_email__v/VBL00000002P265", "SE-001432935")</f>
        <v>SE-001432935</v>
      </c>
      <c r="F3907" s="11"/>
      <c r="G3907" s="12">
        <v>0</v>
      </c>
      <c r="H3907" s="12">
        <v>0</v>
      </c>
      <c r="I3907" s="12">
        <v>0</v>
      </c>
      <c r="J3907" s="11"/>
      <c r="K3907" s="12">
        <v>0</v>
      </c>
      <c r="L3907" s="10" t="str">
        <f t="shared" si="298"/>
        <v>AE dialoghi di tempo fiducia e cura episodi 2-3-4</v>
      </c>
      <c r="M3907" s="10" t="str">
        <f t="shared" si="299"/>
        <v>nicoletta.vozza@crm.otsuka-europe.com</v>
      </c>
      <c r="N3907" s="13">
        <v>46181.33803240741</v>
      </c>
      <c r="O3907" s="14" t="str">
        <f>HYPERLINK("https://otsuka-europe-crm.veevavault.com/ui/#object/email_activity__v/V8C00000003Q025", "EN-002090991")</f>
        <v>EN-002090991</v>
      </c>
    </row>
    <row r="3908" spans="1:15" ht="32" x14ac:dyDescent="0.2">
      <c r="A3908" s="7" t="str">
        <f>HYPERLINK("https://otsuka-europe-crm.veevavault.com/ui/#object/account__v/V4TZ06G6O71SA7X", "GIOVANNA BUGATTI")</f>
        <v>GIOVANNA BUGATTI</v>
      </c>
      <c r="B3908" s="7" t="str">
        <f t="shared" si="296"/>
        <v>IT</v>
      </c>
      <c r="C3908" s="8" t="s">
        <v>44</v>
      </c>
      <c r="D3908" s="9" t="str">
        <f t="shared" si="297"/>
        <v>AE dialoghi di tempo fiducia e cura episodi 2-3-4</v>
      </c>
      <c r="E3908" s="10" t="str">
        <f>HYPERLINK("https://otsuka-europe-crm.veevavault.com/ui/#object/sent_email__v/VBL00000002P266", "SE-001432936")</f>
        <v>SE-001432936</v>
      </c>
      <c r="F3908" s="11"/>
      <c r="G3908" s="12">
        <v>0</v>
      </c>
      <c r="H3908" s="12">
        <v>0</v>
      </c>
      <c r="I3908" s="12">
        <v>0</v>
      </c>
      <c r="J3908" s="11"/>
      <c r="K3908" s="12">
        <v>0</v>
      </c>
      <c r="L3908" s="10" t="str">
        <f t="shared" si="298"/>
        <v>AE dialoghi di tempo fiducia e cura episodi 2-3-4</v>
      </c>
      <c r="M3908" s="10" t="str">
        <f t="shared" si="299"/>
        <v>nicoletta.vozza@crm.otsuka-europe.com</v>
      </c>
      <c r="N3908" s="13">
        <v>46181.33797453704</v>
      </c>
      <c r="O3908" s="14" t="str">
        <f>HYPERLINK("https://otsuka-europe-crm.veevavault.com/ui/#object/email_activity__v/V8C00000003Q230", "EN-002091336")</f>
        <v>EN-002091336</v>
      </c>
    </row>
    <row r="3909" spans="1:15" ht="32" x14ac:dyDescent="0.2">
      <c r="A3909" s="7" t="str">
        <f>HYPERLINK("https://otsuka-europe-crm.veevavault.com/ui/#object/account__v/V4TZ025E894KOOI", "GIOVANNA CIRNIGLIARO")</f>
        <v>GIOVANNA CIRNIGLIARO</v>
      </c>
      <c r="B3909" s="7" t="str">
        <f t="shared" si="296"/>
        <v>IT</v>
      </c>
      <c r="C3909" s="8" t="s">
        <v>44</v>
      </c>
      <c r="D3909" s="9" t="str">
        <f t="shared" si="297"/>
        <v>AE dialoghi di tempo fiducia e cura episodi 2-3-4</v>
      </c>
      <c r="E3909" s="10" t="str">
        <f>HYPERLINK("https://otsuka-europe-crm.veevavault.com/ui/#object/sent_email__v/VBL00000002P267", "SE-001432937")</f>
        <v>SE-001432937</v>
      </c>
      <c r="F3909" s="11"/>
      <c r="G3909" s="12">
        <v>0</v>
      </c>
      <c r="H3909" s="12">
        <v>0</v>
      </c>
      <c r="I3909" s="12">
        <v>0</v>
      </c>
      <c r="J3909" s="11"/>
      <c r="K3909" s="12">
        <v>0</v>
      </c>
      <c r="L3909" s="10" t="str">
        <f t="shared" si="298"/>
        <v>AE dialoghi di tempo fiducia e cura episodi 2-3-4</v>
      </c>
      <c r="M3909" s="10" t="str">
        <f t="shared" si="299"/>
        <v>nicoletta.vozza@crm.otsuka-europe.com</v>
      </c>
      <c r="N3909" s="13">
        <v>46181.338020833333</v>
      </c>
      <c r="O3909" s="14" t="str">
        <f>HYPERLINK("https://otsuka-europe-crm.veevavault.com/ui/#object/email_activity__v/V8C00000003P522", "EN-002090777")</f>
        <v>EN-002090777</v>
      </c>
    </row>
    <row r="3910" spans="1:15" ht="32" x14ac:dyDescent="0.2">
      <c r="A3910" s="7" t="str">
        <f>HYPERLINK("https://otsuka-europe-crm.veevavault.com/ui/#object/account__v/V4TZ06G6O71SB2A", "GIOVANNA COCCHIARELLA")</f>
        <v>GIOVANNA COCCHIARELLA</v>
      </c>
      <c r="B3910" s="7" t="str">
        <f t="shared" si="296"/>
        <v>IT</v>
      </c>
      <c r="C3910" s="8" t="s">
        <v>44</v>
      </c>
      <c r="D3910" s="9" t="str">
        <f t="shared" si="297"/>
        <v>AE dialoghi di tempo fiducia e cura episodi 2-3-4</v>
      </c>
      <c r="E3910" s="10" t="str">
        <f>HYPERLINK("https://otsuka-europe-crm.veevavault.com/ui/#object/sent_email__v/VBL00000002P268", "SE-001432938")</f>
        <v>SE-001432938</v>
      </c>
      <c r="F3910" s="11"/>
      <c r="G3910" s="12">
        <v>0</v>
      </c>
      <c r="H3910" s="12">
        <v>0</v>
      </c>
      <c r="I3910" s="12">
        <v>0</v>
      </c>
      <c r="J3910" s="11"/>
      <c r="K3910" s="12">
        <v>0</v>
      </c>
      <c r="L3910" s="10" t="str">
        <f t="shared" si="298"/>
        <v>AE dialoghi di tempo fiducia e cura episodi 2-3-4</v>
      </c>
      <c r="M3910" s="10" t="str">
        <f t="shared" si="299"/>
        <v>nicoletta.vozza@crm.otsuka-europe.com</v>
      </c>
      <c r="N3910" s="13">
        <v>46181.33797453704</v>
      </c>
      <c r="O3910" s="14" t="str">
        <f>HYPERLINK("https://otsuka-europe-crm.veevavault.com/ui/#object/email_activity__v/V8C00000003Q176", "EN-002091269")</f>
        <v>EN-002091269</v>
      </c>
    </row>
    <row r="3911" spans="1:15" ht="32" x14ac:dyDescent="0.2">
      <c r="A3911" s="7" t="str">
        <f>HYPERLINK("https://otsuka-europe-crm.veevavault.com/ui/#object/account__v/V4TZ06G6O71SAIM", "GIOVANNA DIOTALLEVI")</f>
        <v>GIOVANNA DIOTALLEVI</v>
      </c>
      <c r="B3911" s="7" t="str">
        <f t="shared" si="296"/>
        <v>IT</v>
      </c>
      <c r="C3911" s="8" t="s">
        <v>44</v>
      </c>
      <c r="D3911" s="9" t="str">
        <f t="shared" si="297"/>
        <v>AE dialoghi di tempo fiducia e cura episodi 2-3-4</v>
      </c>
      <c r="E3911" s="10" t="str">
        <f>HYPERLINK("https://otsuka-europe-crm.veevavault.com/ui/#object/sent_email__v/VBL00000002P269", "SE-001432939")</f>
        <v>SE-001432939</v>
      </c>
      <c r="F3911" s="11"/>
      <c r="G3911" s="12">
        <v>0</v>
      </c>
      <c r="H3911" s="12">
        <v>0</v>
      </c>
      <c r="I3911" s="12">
        <v>0</v>
      </c>
      <c r="J3911" s="11"/>
      <c r="K3911" s="12">
        <v>0</v>
      </c>
      <c r="L3911" s="10" t="str">
        <f t="shared" si="298"/>
        <v>AE dialoghi di tempo fiducia e cura episodi 2-3-4</v>
      </c>
      <c r="M3911" s="10" t="str">
        <f t="shared" si="299"/>
        <v>nicoletta.vozza@crm.otsuka-europe.com</v>
      </c>
      <c r="N3911" s="13">
        <v>46181.338020833333</v>
      </c>
      <c r="O3911" s="14" t="str">
        <f>HYPERLINK("https://otsuka-europe-crm.veevavault.com/ui/#object/email_activity__v/V8C00000003Q274", "EN-002091392")</f>
        <v>EN-002091392</v>
      </c>
    </row>
    <row r="3912" spans="1:15" ht="32" x14ac:dyDescent="0.2">
      <c r="A3912" s="7" t="str">
        <f>HYPERLINK("https://otsuka-europe-crm.veevavault.com/ui/#object/account__v/V4TZ04ASGB9MZ51", "GIOVANNA PLATANIA")</f>
        <v>GIOVANNA PLATANIA</v>
      </c>
      <c r="B3912" s="7" t="str">
        <f t="shared" si="296"/>
        <v>IT</v>
      </c>
      <c r="C3912" s="8" t="s">
        <v>44</v>
      </c>
      <c r="D3912" s="9" t="str">
        <f t="shared" si="297"/>
        <v>AE dialoghi di tempo fiducia e cura episodi 2-3-4</v>
      </c>
      <c r="E3912" s="10" t="str">
        <f>HYPERLINK("https://otsuka-europe-crm.veevavault.com/ui/#object/sent_email__v/VBL00000002P270", "SE-001432940")</f>
        <v>SE-001432940</v>
      </c>
      <c r="F3912" s="11"/>
      <c r="G3912" s="12">
        <v>0</v>
      </c>
      <c r="H3912" s="12">
        <v>0</v>
      </c>
      <c r="I3912" s="12">
        <v>0</v>
      </c>
      <c r="J3912" s="11"/>
      <c r="K3912" s="12">
        <v>0</v>
      </c>
      <c r="L3912" s="10" t="str">
        <f t="shared" si="298"/>
        <v>AE dialoghi di tempo fiducia e cura episodi 2-3-4</v>
      </c>
      <c r="M3912" s="10" t="str">
        <f t="shared" si="299"/>
        <v>nicoletta.vozza@crm.otsuka-europe.com</v>
      </c>
      <c r="N3912" s="13">
        <v>46181.337997685187</v>
      </c>
      <c r="O3912" s="14" t="str">
        <f>HYPERLINK("https://otsuka-europe-crm.veevavault.com/ui/#object/email_activity__v/V8C00000003O177", "EN-002089614")</f>
        <v>EN-002089614</v>
      </c>
    </row>
    <row r="3913" spans="1:15" ht="32" x14ac:dyDescent="0.2">
      <c r="A3913" s="7" t="str">
        <f>HYPERLINK("https://otsuka-europe-crm.veevavault.com/ui/#object/account__v/V4TZ06G6O71SBZR", "GIOVANNA PRINCI")</f>
        <v>GIOVANNA PRINCI</v>
      </c>
      <c r="B3913" s="7" t="str">
        <f t="shared" si="296"/>
        <v>IT</v>
      </c>
      <c r="C3913" s="8" t="s">
        <v>44</v>
      </c>
      <c r="D3913" s="9" t="str">
        <f t="shared" si="297"/>
        <v>AE dialoghi di tempo fiducia e cura episodi 2-3-4</v>
      </c>
      <c r="E3913" s="10" t="str">
        <f>HYPERLINK("https://otsuka-europe-crm.veevavault.com/ui/#object/sent_email__v/VBL00000002P271", "SE-001432941")</f>
        <v>SE-001432941</v>
      </c>
      <c r="F3913" s="11"/>
      <c r="G3913" s="12">
        <v>0</v>
      </c>
      <c r="H3913" s="12">
        <v>0</v>
      </c>
      <c r="I3913" s="12">
        <v>0</v>
      </c>
      <c r="J3913" s="11"/>
      <c r="K3913" s="12">
        <v>0</v>
      </c>
      <c r="L3913" s="10" t="str">
        <f t="shared" si="298"/>
        <v>AE dialoghi di tempo fiducia e cura episodi 2-3-4</v>
      </c>
      <c r="M3913" s="10" t="str">
        <f t="shared" si="299"/>
        <v>nicoletta.vozza@crm.otsuka-europe.com</v>
      </c>
      <c r="N3913" s="13">
        <v>46181.338009259256</v>
      </c>
      <c r="O3913" s="14" t="str">
        <f>HYPERLINK("https://otsuka-europe-crm.veevavault.com/ui/#object/email_activity__v/V8C00000003O363", "EN-002089881")</f>
        <v>EN-002089881</v>
      </c>
    </row>
    <row r="3914" spans="1:15" ht="32" x14ac:dyDescent="0.2">
      <c r="A3914" s="7" t="str">
        <f>HYPERLINK("https://otsuka-europe-crm.veevavault.com/ui/#object/account__v/V4TZ06G6O71SC9Z", "GIOVANNA SAGU'")</f>
        <v>GIOVANNA SAGU'</v>
      </c>
      <c r="B3914" s="7" t="str">
        <f t="shared" si="296"/>
        <v>IT</v>
      </c>
      <c r="C3914" s="8" t="s">
        <v>44</v>
      </c>
      <c r="D3914" s="9" t="str">
        <f t="shared" si="297"/>
        <v>AE dialoghi di tempo fiducia e cura episodi 2-3-4</v>
      </c>
      <c r="E3914" s="10" t="str">
        <f>HYPERLINK("https://otsuka-europe-crm.veevavault.com/ui/#object/sent_email__v/VBL00000002P272", "SE-001432942")</f>
        <v>SE-001432942</v>
      </c>
      <c r="F3914" s="11"/>
      <c r="G3914" s="12">
        <v>0</v>
      </c>
      <c r="H3914" s="12">
        <v>0</v>
      </c>
      <c r="I3914" s="12">
        <v>0</v>
      </c>
      <c r="J3914" s="11"/>
      <c r="K3914" s="12">
        <v>0</v>
      </c>
      <c r="L3914" s="10" t="str">
        <f t="shared" si="298"/>
        <v>AE dialoghi di tempo fiducia e cura episodi 2-3-4</v>
      </c>
      <c r="M3914" s="10" t="str">
        <f t="shared" si="299"/>
        <v>nicoletta.vozza@crm.otsuka-europe.com</v>
      </c>
      <c r="N3914" s="13">
        <v>46181.337997685187</v>
      </c>
      <c r="O3914" s="14" t="str">
        <f>HYPERLINK("https://otsuka-europe-crm.veevavault.com/ui/#object/email_activity__v/V8C00000003O721", "EN-002090277")</f>
        <v>EN-002090277</v>
      </c>
    </row>
    <row r="3915" spans="1:15" ht="32" x14ac:dyDescent="0.2">
      <c r="A3915" s="7" t="str">
        <f>HYPERLINK("https://otsuka-europe-crm.veevavault.com/ui/#object/account__v/V4TZ06G6O71SCS3", "GIOVANNA ZISA")</f>
        <v>GIOVANNA ZISA</v>
      </c>
      <c r="B3915" s="7" t="str">
        <f t="shared" si="296"/>
        <v>IT</v>
      </c>
      <c r="C3915" s="8" t="s">
        <v>44</v>
      </c>
      <c r="D3915" s="9" t="str">
        <f t="shared" si="297"/>
        <v>AE dialoghi di tempo fiducia e cura episodi 2-3-4</v>
      </c>
      <c r="E3915" s="10" t="str">
        <f>HYPERLINK("https://otsuka-europe-crm.veevavault.com/ui/#object/sent_email__v/VBL00000002P273", "SE-001432943")</f>
        <v>SE-001432943</v>
      </c>
      <c r="F3915" s="11"/>
      <c r="G3915" s="12">
        <v>0</v>
      </c>
      <c r="H3915" s="12">
        <v>0</v>
      </c>
      <c r="I3915" s="12">
        <v>0</v>
      </c>
      <c r="J3915" s="11"/>
      <c r="K3915" s="12">
        <v>0</v>
      </c>
      <c r="L3915" s="10" t="str">
        <f t="shared" si="298"/>
        <v>AE dialoghi di tempo fiducia e cura episodi 2-3-4</v>
      </c>
      <c r="M3915" s="10" t="str">
        <f t="shared" si="299"/>
        <v>nicoletta.vozza@crm.otsuka-europe.com</v>
      </c>
      <c r="N3915" s="13">
        <v>46181.338020833333</v>
      </c>
      <c r="O3915" s="14" t="str">
        <f>HYPERLINK("https://otsuka-europe-crm.veevavault.com/ui/#object/email_activity__v/V8C00000003P600", "EN-002090855")</f>
        <v>EN-002090855</v>
      </c>
    </row>
    <row r="3916" spans="1:15" ht="32" x14ac:dyDescent="0.2">
      <c r="A3916" s="7" t="str">
        <f>HYPERLINK("https://otsuka-europe-crm.veevavault.com/ui/#object/account__v/V4TZ06G6O71S9XI", "GIOVANNI AMATI")</f>
        <v>GIOVANNI AMATI</v>
      </c>
      <c r="B3916" s="7" t="str">
        <f t="shared" si="296"/>
        <v>IT</v>
      </c>
      <c r="C3916" s="8" t="s">
        <v>44</v>
      </c>
      <c r="D3916" s="9" t="str">
        <f t="shared" si="297"/>
        <v>AE dialoghi di tempo fiducia e cura episodi 2-3-4</v>
      </c>
      <c r="E3916" s="10" t="str">
        <f>HYPERLINK("https://otsuka-europe-crm.veevavault.com/ui/#object/sent_email__v/VBL00000002P274", "SE-001432944")</f>
        <v>SE-001432944</v>
      </c>
      <c r="F3916" s="11"/>
      <c r="G3916" s="12">
        <v>0</v>
      </c>
      <c r="H3916" s="12">
        <v>0</v>
      </c>
      <c r="I3916" s="12">
        <v>0</v>
      </c>
      <c r="J3916" s="11"/>
      <c r="K3916" s="12">
        <v>0</v>
      </c>
      <c r="L3916" s="10" t="str">
        <f t="shared" si="298"/>
        <v>AE dialoghi di tempo fiducia e cura episodi 2-3-4</v>
      </c>
      <c r="M3916" s="10" t="str">
        <f t="shared" si="299"/>
        <v>nicoletta.vozza@crm.otsuka-europe.com</v>
      </c>
      <c r="N3916" s="13">
        <v>46181.337962962964</v>
      </c>
      <c r="O3916" s="14" t="str">
        <f>HYPERLINK("https://otsuka-europe-crm.veevavault.com/ui/#object/email_activity__v/V8C00000003O452", "EN-002090008")</f>
        <v>EN-002090008</v>
      </c>
    </row>
    <row r="3917" spans="1:15" ht="32" x14ac:dyDescent="0.2">
      <c r="A3917" s="7" t="str">
        <f>HYPERLINK("https://otsuka-europe-crm.veevavault.com/ui/#object/account__v/V4TZ06G6O71S9WJ", "GIOVANNI ANGELICI")</f>
        <v>GIOVANNI ANGELICI</v>
      </c>
      <c r="B3917" s="7" t="str">
        <f t="shared" si="296"/>
        <v>IT</v>
      </c>
      <c r="C3917" s="8" t="s">
        <v>44</v>
      </c>
      <c r="D3917" s="9" t="str">
        <f t="shared" si="297"/>
        <v>AE dialoghi di tempo fiducia e cura episodi 2-3-4</v>
      </c>
      <c r="E3917" s="10" t="str">
        <f>HYPERLINK("https://otsuka-europe-crm.veevavault.com/ui/#object/sent_email__v/VBL00000002P275", "SE-001432945")</f>
        <v>SE-001432945</v>
      </c>
      <c r="F3917" s="11"/>
      <c r="G3917" s="12">
        <v>0</v>
      </c>
      <c r="H3917" s="12">
        <v>0</v>
      </c>
      <c r="I3917" s="12">
        <v>0</v>
      </c>
      <c r="J3917" s="11"/>
      <c r="K3917" s="12">
        <v>0</v>
      </c>
      <c r="L3917" s="10" t="str">
        <f t="shared" si="298"/>
        <v>AE dialoghi di tempo fiducia e cura episodi 2-3-4</v>
      </c>
      <c r="M3917" s="10" t="str">
        <f t="shared" si="299"/>
        <v>nicoletta.vozza@crm.otsuka-europe.com</v>
      </c>
      <c r="N3917" s="13">
        <v>46181.338055555556</v>
      </c>
      <c r="O3917" s="14" t="str">
        <f>HYPERLINK("https://otsuka-europe-crm.veevavault.com/ui/#object/email_activity__v/V8C00000003P720", "EN-002090975")</f>
        <v>EN-002090975</v>
      </c>
    </row>
    <row r="3918" spans="1:15" ht="32" x14ac:dyDescent="0.2">
      <c r="A3918" s="7" t="str">
        <f>HYPERLINK("https://otsuka-europe-crm.veevavault.com/ui/#object/account__v/V4TZ06G6O71SCME", "GIOVANNI BATTISTA TURA")</f>
        <v>GIOVANNI BATTISTA TURA</v>
      </c>
      <c r="B3918" s="7" t="str">
        <f t="shared" si="296"/>
        <v>IT</v>
      </c>
      <c r="C3918" s="8" t="s">
        <v>44</v>
      </c>
      <c r="D3918" s="9" t="str">
        <f t="shared" si="297"/>
        <v>AE dialoghi di tempo fiducia e cura episodi 2-3-4</v>
      </c>
      <c r="E3918" s="10" t="str">
        <f>HYPERLINK("https://otsuka-europe-crm.veevavault.com/ui/#object/sent_email__v/VBL00000002P276", "SE-001432946")</f>
        <v>SE-001432946</v>
      </c>
      <c r="F3918" s="11"/>
      <c r="G3918" s="12">
        <v>0</v>
      </c>
      <c r="H3918" s="12">
        <v>0</v>
      </c>
      <c r="I3918" s="12">
        <v>0</v>
      </c>
      <c r="J3918" s="11"/>
      <c r="K3918" s="12">
        <v>0</v>
      </c>
      <c r="L3918" s="10" t="str">
        <f t="shared" si="298"/>
        <v>AE dialoghi di tempo fiducia e cura episodi 2-3-4</v>
      </c>
      <c r="M3918" s="10" t="str">
        <f t="shared" si="299"/>
        <v>nicoletta.vozza@crm.otsuka-europe.com</v>
      </c>
      <c r="N3918" s="13">
        <v>46181.338090277779</v>
      </c>
      <c r="O3918" s="14" t="str">
        <f>HYPERLINK("https://otsuka-europe-crm.veevavault.com/ui/#object/email_activity__v/V8C00000003Q132", "EN-002091215")</f>
        <v>EN-002091215</v>
      </c>
    </row>
    <row r="3919" spans="1:15" ht="32" x14ac:dyDescent="0.2">
      <c r="A3919" s="7" t="str">
        <f>HYPERLINK("https://otsuka-europe-crm.veevavault.com/ui/#object/account__v/V4TZ06G6O71SA4J", "GIOVANNI BIVONA")</f>
        <v>GIOVANNI BIVONA</v>
      </c>
      <c r="B3919" s="7" t="str">
        <f t="shared" si="296"/>
        <v>IT</v>
      </c>
      <c r="C3919" s="8" t="s">
        <v>44</v>
      </c>
      <c r="D3919" s="9" t="str">
        <f t="shared" si="297"/>
        <v>AE dialoghi di tempo fiducia e cura episodi 2-3-4</v>
      </c>
      <c r="E3919" s="10" t="str">
        <f>HYPERLINK("https://otsuka-europe-crm.veevavault.com/ui/#object/sent_email__v/VBL00000002P277", "SE-001432947")</f>
        <v>SE-001432947</v>
      </c>
      <c r="F3919" s="11"/>
      <c r="G3919" s="12">
        <v>0</v>
      </c>
      <c r="H3919" s="12">
        <v>0</v>
      </c>
      <c r="I3919" s="12">
        <v>0</v>
      </c>
      <c r="J3919" s="11"/>
      <c r="K3919" s="12">
        <v>0</v>
      </c>
      <c r="L3919" s="10" t="str">
        <f t="shared" si="298"/>
        <v>AE dialoghi di tempo fiducia e cura episodi 2-3-4</v>
      </c>
      <c r="M3919" s="10" t="str">
        <f t="shared" si="299"/>
        <v>nicoletta.vozza@crm.otsuka-europe.com</v>
      </c>
      <c r="N3919" s="13">
        <v>46181.338055555556</v>
      </c>
      <c r="O3919" s="14" t="str">
        <f>HYPERLINK("https://otsuka-europe-crm.veevavault.com/ui/#object/email_activity__v/V8C00000003P314", "EN-002089950")</f>
        <v>EN-002089950</v>
      </c>
    </row>
    <row r="3920" spans="1:15" ht="32" x14ac:dyDescent="0.2">
      <c r="A3920" s="7" t="str">
        <f>HYPERLINK("https://otsuka-europe-crm.veevavault.com/ui/#object/account__v/V4TZ06G6O71S9N2", "GIOVANNI BLENGINO")</f>
        <v>GIOVANNI BLENGINO</v>
      </c>
      <c r="B3920" s="7" t="str">
        <f t="shared" si="296"/>
        <v>IT</v>
      </c>
      <c r="C3920" s="8" t="s">
        <v>44</v>
      </c>
      <c r="D3920" s="9" t="str">
        <f t="shared" si="297"/>
        <v>AE dialoghi di tempo fiducia e cura episodi 2-3-4</v>
      </c>
      <c r="E3920" s="10" t="str">
        <f>HYPERLINK("https://otsuka-europe-crm.veevavault.com/ui/#object/sent_email__v/VBL00000002P278", "SE-001432948")</f>
        <v>SE-001432948</v>
      </c>
      <c r="F3920" s="11"/>
      <c r="G3920" s="12">
        <v>0</v>
      </c>
      <c r="H3920" s="12">
        <v>0</v>
      </c>
      <c r="I3920" s="12">
        <v>0</v>
      </c>
      <c r="J3920" s="11"/>
      <c r="K3920" s="12">
        <v>0</v>
      </c>
      <c r="L3920" s="10" t="str">
        <f t="shared" si="298"/>
        <v>AE dialoghi di tempo fiducia e cura episodi 2-3-4</v>
      </c>
      <c r="M3920" s="10" t="str">
        <f t="shared" si="299"/>
        <v>nicoletta.vozza@crm.otsuka-europe.com</v>
      </c>
      <c r="N3920" s="13">
        <v>46181.338078703702</v>
      </c>
      <c r="O3920" s="14" t="str">
        <f>HYPERLINK("https://otsuka-europe-crm.veevavault.com/ui/#object/email_activity__v/V8C00000003O799", "EN-002090459")</f>
        <v>EN-002090459</v>
      </c>
    </row>
    <row r="3921" spans="1:15" ht="32" x14ac:dyDescent="0.2">
      <c r="A3921" s="7" t="str">
        <f>HYPERLINK("https://otsuka-europe-crm.veevavault.com/ui/#object/account__v/V4TZ04ASGBJRUG2", "GIOVANNI CAPPELLO")</f>
        <v>GIOVANNI CAPPELLO</v>
      </c>
      <c r="B3921" s="7" t="str">
        <f t="shared" si="296"/>
        <v>IT</v>
      </c>
      <c r="C3921" s="8" t="s">
        <v>44</v>
      </c>
      <c r="D3921" s="9" t="str">
        <f t="shared" si="297"/>
        <v>AE dialoghi di tempo fiducia e cura episodi 2-3-4</v>
      </c>
      <c r="E3921" s="10" t="str">
        <f>HYPERLINK("https://otsuka-europe-crm.veevavault.com/ui/#object/sent_email__v/VBL00000002P279", "SE-001432949")</f>
        <v>SE-001432949</v>
      </c>
      <c r="F3921" s="11"/>
      <c r="G3921" s="12">
        <v>0</v>
      </c>
      <c r="H3921" s="12">
        <v>0</v>
      </c>
      <c r="I3921" s="12">
        <v>0</v>
      </c>
      <c r="J3921" s="11"/>
      <c r="K3921" s="12">
        <v>0</v>
      </c>
      <c r="L3921" s="10" t="str">
        <f t="shared" si="298"/>
        <v>AE dialoghi di tempo fiducia e cura episodi 2-3-4</v>
      </c>
      <c r="M3921" s="10" t="str">
        <f t="shared" si="299"/>
        <v>nicoletta.vozza@crm.otsuka-europe.com</v>
      </c>
      <c r="N3921" s="13">
        <v>46181.338067129633</v>
      </c>
      <c r="O3921" s="14" t="str">
        <f>HYPERLINK("https://otsuka-europe-crm.veevavault.com/ui/#object/email_activity__v/V8C00000003Q013", "EN-002090761")</f>
        <v>EN-002090761</v>
      </c>
    </row>
    <row r="3922" spans="1:15" ht="16" x14ac:dyDescent="0.2">
      <c r="A3922" s="17" t="str">
        <f>HYPERLINK("https://otsuka-europe-crm.veevavault.com/ui/#object/account__v/V4TZ06G6O71SB02", "GIOVANNI CARRIERI")</f>
        <v>GIOVANNI CARRIERI</v>
      </c>
      <c r="B3922" s="17" t="str">
        <f t="shared" si="296"/>
        <v>IT</v>
      </c>
      <c r="C3922" s="20" t="s">
        <v>44</v>
      </c>
      <c r="D3922" s="21" t="str">
        <f t="shared" si="297"/>
        <v>AE dialoghi di tempo fiducia e cura episodi 2-3-4</v>
      </c>
      <c r="E3922" s="22" t="str">
        <f>HYPERLINK("https://otsuka-europe-crm.veevavault.com/ui/#object/sent_email__v/VBL00000002P280", "SE-001432950")</f>
        <v>SE-001432950</v>
      </c>
      <c r="F3922" s="25"/>
      <c r="G3922" s="24">
        <v>0</v>
      </c>
      <c r="H3922" s="24">
        <v>0</v>
      </c>
      <c r="I3922" s="24">
        <v>0</v>
      </c>
      <c r="J3922" s="25"/>
      <c r="K3922" s="24">
        <v>0</v>
      </c>
      <c r="L3922" s="22" t="str">
        <f t="shared" si="298"/>
        <v>AE dialoghi di tempo fiducia e cura episodi 2-3-4</v>
      </c>
      <c r="M3922" s="22" t="str">
        <f t="shared" si="299"/>
        <v>nicoletta.vozza@crm.otsuka-europe.com</v>
      </c>
      <c r="N3922" s="23">
        <v>46181.338043981479</v>
      </c>
      <c r="O3922" s="14" t="str">
        <f>HYPERLINK("https://otsuka-europe-crm.veevavault.com/ui/#object/email_activity__v/V8C00000003O953", "EN-002090613")</f>
        <v>EN-002090613</v>
      </c>
    </row>
    <row r="3923" spans="1:15" ht="16" x14ac:dyDescent="0.2">
      <c r="A3923" s="18"/>
      <c r="B3923" s="18"/>
      <c r="C3923" s="18"/>
      <c r="D3923" s="18"/>
      <c r="E3923" s="18"/>
      <c r="F3923" s="18"/>
      <c r="G3923" s="18"/>
      <c r="H3923" s="18"/>
      <c r="I3923" s="18"/>
      <c r="J3923" s="18"/>
      <c r="K3923" s="18"/>
      <c r="L3923" s="18"/>
      <c r="M3923" s="18"/>
      <c r="N3923" s="18"/>
      <c r="O3923" s="14" t="str">
        <f>HYPERLINK("https://otsuka-europe-crm.veevavault.com/ui/#object/email_activity__v/V8C00000003V468", "EN-002095710")</f>
        <v>EN-002095710</v>
      </c>
    </row>
    <row r="3924" spans="1:15" ht="16" x14ac:dyDescent="0.2">
      <c r="A3924" s="19"/>
      <c r="B3924" s="19"/>
      <c r="C3924" s="19"/>
      <c r="D3924" s="19"/>
      <c r="E3924" s="19"/>
      <c r="F3924" s="19"/>
      <c r="G3924" s="19"/>
      <c r="H3924" s="19"/>
      <c r="I3924" s="19"/>
      <c r="J3924" s="19"/>
      <c r="K3924" s="19"/>
      <c r="L3924" s="19"/>
      <c r="M3924" s="19"/>
      <c r="N3924" s="19"/>
      <c r="O3924" s="14" t="str">
        <f>HYPERLINK("https://otsuka-europe-crm.veevavault.com/ui/#object/email_activity__v/V8C00000003Z131", "EN-002098898")</f>
        <v>EN-002098898</v>
      </c>
    </row>
    <row r="3925" spans="1:15" ht="16" x14ac:dyDescent="0.2">
      <c r="A3925" s="17" t="str">
        <f>HYPERLINK("https://otsuka-europe-crm.veevavault.com/ui/#object/account__v/V4TZ06G6O71SAKX", "GIOVANNI CESARE CONTE")</f>
        <v>GIOVANNI CESARE CONTE</v>
      </c>
      <c r="B3925" s="17" t="str">
        <f>HYPERLINK("https://otsuka-europe-crm.veevavault.com/ui/#object/vcountry__v/VENZ000004SONFQ", "IT")</f>
        <v>IT</v>
      </c>
      <c r="C3925" s="20" t="s">
        <v>44</v>
      </c>
      <c r="D3925" s="21" t="str">
        <f>HYPERLINK("https://otsuka-europe-crm.veevavault.com/ui/#object/approved_document__v/V5O000000018003", "AE dialoghi di tempo fiducia e cura episodi 2-3-4")</f>
        <v>AE dialoghi di tempo fiducia e cura episodi 2-3-4</v>
      </c>
      <c r="E3925" s="22" t="str">
        <f>HYPERLINK("https://otsuka-europe-crm.veevavault.com/ui/#object/sent_email__v/VBL00000002P281", "SE-001432951")</f>
        <v>SE-001432951</v>
      </c>
      <c r="F3925" s="25"/>
      <c r="G3925" s="24">
        <v>0</v>
      </c>
      <c r="H3925" s="24">
        <v>0</v>
      </c>
      <c r="I3925" s="24">
        <v>0</v>
      </c>
      <c r="J3925" s="25"/>
      <c r="K3925" s="24">
        <v>0</v>
      </c>
      <c r="L3925" s="22" t="str">
        <f>HYPERLINK("https://otsuka-europe-crm.veevavault.com/ui/#object/approved_document__v/V5O000000018003", "AE dialoghi di tempo fiducia e cura episodi 2-3-4")</f>
        <v>AE dialoghi di tempo fiducia e cura episodi 2-3-4</v>
      </c>
      <c r="M3925" s="22" t="str">
        <f>HYPERLINK("mailto:nicoletta.vozza@crm.otsuka-europe.com", "nicoletta.vozza@crm.otsuka-europe.com")</f>
        <v>nicoletta.vozza@crm.otsuka-europe.com</v>
      </c>
      <c r="N3925" s="23">
        <v>46181.33803240741</v>
      </c>
      <c r="O3925" s="14" t="str">
        <f>HYPERLINK("https://otsuka-europe-crm.veevavault.com/ui/#object/email_activity__v/V8C00000003O726", "EN-002090282")</f>
        <v>EN-002090282</v>
      </c>
    </row>
    <row r="3926" spans="1:15" ht="16" x14ac:dyDescent="0.2">
      <c r="A3926" s="19"/>
      <c r="B3926" s="19"/>
      <c r="C3926" s="19"/>
      <c r="D3926" s="19"/>
      <c r="E3926" s="19"/>
      <c r="F3926" s="19"/>
      <c r="G3926" s="19"/>
      <c r="H3926" s="19"/>
      <c r="I3926" s="19"/>
      <c r="J3926" s="19"/>
      <c r="K3926" s="19"/>
      <c r="L3926" s="19"/>
      <c r="M3926" s="19"/>
      <c r="N3926" s="19"/>
      <c r="O3926" s="14" t="str">
        <f>HYPERLINK("https://otsuka-europe-crm.veevavault.com/ui/#object/email_activity__v/V8C00000003P902", "EN-002091435")</f>
        <v>EN-002091435</v>
      </c>
    </row>
    <row r="3927" spans="1:15" ht="32" x14ac:dyDescent="0.2">
      <c r="A3927" s="7" t="str">
        <f>HYPERLINK("https://otsuka-europe-crm.veevavault.com/ui/#object/account__v/V4TZ06G6O71SAIY", "GIOVANNI FERRO")</f>
        <v>GIOVANNI FERRO</v>
      </c>
      <c r="B3927" s="7" t="str">
        <f>HYPERLINK("https://otsuka-europe-crm.veevavault.com/ui/#object/vcountry__v/VENZ000004SONFQ", "IT")</f>
        <v>IT</v>
      </c>
      <c r="C3927" s="8" t="s">
        <v>44</v>
      </c>
      <c r="D3927" s="9" t="str">
        <f>HYPERLINK("https://otsuka-europe-crm.veevavault.com/ui/#object/approved_document__v/V5O000000018003", "AE dialoghi di tempo fiducia e cura episodi 2-3-4")</f>
        <v>AE dialoghi di tempo fiducia e cura episodi 2-3-4</v>
      </c>
      <c r="E3927" s="10" t="str">
        <f>HYPERLINK("https://otsuka-europe-crm.veevavault.com/ui/#object/sent_email__v/VBL00000002P282", "SE-001432952")</f>
        <v>SE-001432952</v>
      </c>
      <c r="F3927" s="11"/>
      <c r="G3927" s="12">
        <v>0</v>
      </c>
      <c r="H3927" s="12">
        <v>0</v>
      </c>
      <c r="I3927" s="12">
        <v>0</v>
      </c>
      <c r="J3927" s="11"/>
      <c r="K3927" s="12">
        <v>0</v>
      </c>
      <c r="L3927" s="10" t="str">
        <f>HYPERLINK("https://otsuka-europe-crm.veevavault.com/ui/#object/approved_document__v/V5O000000018003", "AE dialoghi di tempo fiducia e cura episodi 2-3-4")</f>
        <v>AE dialoghi di tempo fiducia e cura episodi 2-3-4</v>
      </c>
      <c r="M3927" s="10" t="str">
        <f>HYPERLINK("mailto:nicoletta.vozza@crm.otsuka-europe.com", "nicoletta.vozza@crm.otsuka-europe.com")</f>
        <v>nicoletta.vozza@crm.otsuka-europe.com</v>
      </c>
      <c r="N3927" s="13">
        <v>46181.338078703702</v>
      </c>
      <c r="O3927" s="14" t="str">
        <f>HYPERLINK("https://otsuka-europe-crm.veevavault.com/ui/#object/email_activity__v/V8C00000003P535", "EN-002090790")</f>
        <v>EN-002090790</v>
      </c>
    </row>
    <row r="3928" spans="1:15" ht="32" x14ac:dyDescent="0.2">
      <c r="A3928" s="7" t="str">
        <f>HYPERLINK("https://otsuka-europe-crm.veevavault.com/ui/#object/account__v/V4TZ04ASGAZM97L", "GIOVANNI FRANCESCO FRIVOLI")</f>
        <v>GIOVANNI FRANCESCO FRIVOLI</v>
      </c>
      <c r="B3928" s="7" t="str">
        <f>HYPERLINK("https://otsuka-europe-crm.veevavault.com/ui/#object/vcountry__v/VENZ000004SONFQ", "IT")</f>
        <v>IT</v>
      </c>
      <c r="C3928" s="8" t="s">
        <v>44</v>
      </c>
      <c r="D3928" s="9" t="str">
        <f>HYPERLINK("https://otsuka-europe-crm.veevavault.com/ui/#object/approved_document__v/V5O000000018003", "AE dialoghi di tempo fiducia e cura episodi 2-3-4")</f>
        <v>AE dialoghi di tempo fiducia e cura episodi 2-3-4</v>
      </c>
      <c r="E3928" s="10" t="str">
        <f>HYPERLINK("https://otsuka-europe-crm.veevavault.com/ui/#object/sent_email__v/VBL00000002P283", "SE-001432953")</f>
        <v>SE-001432953</v>
      </c>
      <c r="F3928" s="11"/>
      <c r="G3928" s="12">
        <v>0</v>
      </c>
      <c r="H3928" s="12">
        <v>0</v>
      </c>
      <c r="I3928" s="12">
        <v>0</v>
      </c>
      <c r="J3928" s="11"/>
      <c r="K3928" s="12">
        <v>0</v>
      </c>
      <c r="L3928" s="10" t="str">
        <f>HYPERLINK("https://otsuka-europe-crm.veevavault.com/ui/#object/approved_document__v/V5O000000018003", "AE dialoghi di tempo fiducia e cura episodi 2-3-4")</f>
        <v>AE dialoghi di tempo fiducia e cura episodi 2-3-4</v>
      </c>
      <c r="M3928" s="10" t="str">
        <f>HYPERLINK("mailto:nicoletta.vozza@crm.otsuka-europe.com", "nicoletta.vozza@crm.otsuka-europe.com")</f>
        <v>nicoletta.vozza@crm.otsuka-europe.com</v>
      </c>
      <c r="N3928" s="13">
        <v>46181.338078703702</v>
      </c>
      <c r="O3928" s="14" t="str">
        <f>HYPERLINK("https://otsuka-europe-crm.veevavault.com/ui/#object/email_activity__v/V8C00000003O853", "EN-002090554")</f>
        <v>EN-002090554</v>
      </c>
    </row>
    <row r="3929" spans="1:15" ht="32" x14ac:dyDescent="0.2">
      <c r="A3929" s="7" t="str">
        <f>HYPERLINK("https://otsuka-europe-crm.veevavault.com/ui/#object/account__v/V4TZ06G6O71SAOF", "GIOVANNI GALLI")</f>
        <v>GIOVANNI GALLI</v>
      </c>
      <c r="B3929" s="7" t="str">
        <f>HYPERLINK("https://otsuka-europe-crm.veevavault.com/ui/#object/vcountry__v/VENZ000004SONFQ", "IT")</f>
        <v>IT</v>
      </c>
      <c r="C3929" s="8" t="s">
        <v>44</v>
      </c>
      <c r="D3929" s="9" t="str">
        <f>HYPERLINK("https://otsuka-europe-crm.veevavault.com/ui/#object/approved_document__v/V5O000000018003", "AE dialoghi di tempo fiducia e cura episodi 2-3-4")</f>
        <v>AE dialoghi di tempo fiducia e cura episodi 2-3-4</v>
      </c>
      <c r="E3929" s="10" t="str">
        <f>HYPERLINK("https://otsuka-europe-crm.veevavault.com/ui/#object/sent_email__v/VBL00000002P284", "SE-001432954")</f>
        <v>SE-001432954</v>
      </c>
      <c r="F3929" s="11"/>
      <c r="G3929" s="12">
        <v>0</v>
      </c>
      <c r="H3929" s="12">
        <v>0</v>
      </c>
      <c r="I3929" s="12">
        <v>0</v>
      </c>
      <c r="J3929" s="11"/>
      <c r="K3929" s="12">
        <v>0</v>
      </c>
      <c r="L3929" s="10" t="str">
        <f>HYPERLINK("https://otsuka-europe-crm.veevavault.com/ui/#object/approved_document__v/V5O000000018003", "AE dialoghi di tempo fiducia e cura episodi 2-3-4")</f>
        <v>AE dialoghi di tempo fiducia e cura episodi 2-3-4</v>
      </c>
      <c r="M3929" s="10" t="str">
        <f>HYPERLINK("mailto:nicoletta.vozza@crm.otsuka-europe.com", "nicoletta.vozza@crm.otsuka-europe.com")</f>
        <v>nicoletta.vozza@crm.otsuka-europe.com</v>
      </c>
      <c r="N3929" s="13">
        <v>46181.338009259256</v>
      </c>
      <c r="O3929" s="14" t="str">
        <f>HYPERLINK("https://otsuka-europe-crm.veevavault.com/ui/#object/email_activity__v/V8C00000003O711", "EN-002090267")</f>
        <v>EN-002090267</v>
      </c>
    </row>
    <row r="3930" spans="1:15" ht="16" x14ac:dyDescent="0.2">
      <c r="A3930" s="17" t="str">
        <f>HYPERLINK("https://otsuka-europe-crm.veevavault.com/ui/#object/account__v/V4TZ04ASGC4EM2O", "GIOVANNI GENOVESE")</f>
        <v>GIOVANNI GENOVESE</v>
      </c>
      <c r="B3930" s="17" t="str">
        <f>HYPERLINK("https://otsuka-europe-crm.veevavault.com/ui/#object/vcountry__v/VENZ000004SONFQ", "IT")</f>
        <v>IT</v>
      </c>
      <c r="C3930" s="20" t="s">
        <v>44</v>
      </c>
      <c r="D3930" s="21" t="str">
        <f>HYPERLINK("https://otsuka-europe-crm.veevavault.com/ui/#object/approved_document__v/V5O000000018003", "AE dialoghi di tempo fiducia e cura episodi 2-3-4")</f>
        <v>AE dialoghi di tempo fiducia e cura episodi 2-3-4</v>
      </c>
      <c r="E3930" s="22" t="str">
        <f>HYPERLINK("https://otsuka-europe-crm.veevavault.com/ui/#object/sent_email__v/VBL00000002P285", "SE-001432955")</f>
        <v>SE-001432955</v>
      </c>
      <c r="F3930" s="25"/>
      <c r="G3930" s="24">
        <v>0</v>
      </c>
      <c r="H3930" s="24">
        <v>0</v>
      </c>
      <c r="I3930" s="24">
        <v>0</v>
      </c>
      <c r="J3930" s="25"/>
      <c r="K3930" s="24">
        <v>0</v>
      </c>
      <c r="L3930" s="22" t="str">
        <f>HYPERLINK("https://otsuka-europe-crm.veevavault.com/ui/#object/approved_document__v/V5O000000018003", "AE dialoghi di tempo fiducia e cura episodi 2-3-4")</f>
        <v>AE dialoghi di tempo fiducia e cura episodi 2-3-4</v>
      </c>
      <c r="M3930" s="22" t="str">
        <f>HYPERLINK("mailto:nicoletta.vozza@crm.otsuka-europe.com", "nicoletta.vozza@crm.otsuka-europe.com")</f>
        <v>nicoletta.vozza@crm.otsuka-europe.com</v>
      </c>
      <c r="N3930" s="23">
        <v>46181.338055555556</v>
      </c>
      <c r="O3930" s="14" t="str">
        <f>HYPERLINK("https://otsuka-europe-crm.veevavault.com/ui/#object/email_activity__v/V8C00000003P469", "EN-002090657")</f>
        <v>EN-002090657</v>
      </c>
    </row>
    <row r="3931" spans="1:15" ht="16" x14ac:dyDescent="0.2">
      <c r="A3931" s="19"/>
      <c r="B3931" s="19"/>
      <c r="C3931" s="19"/>
      <c r="D3931" s="19"/>
      <c r="E3931" s="19"/>
      <c r="F3931" s="19"/>
      <c r="G3931" s="19"/>
      <c r="H3931" s="19"/>
      <c r="I3931" s="19"/>
      <c r="J3931" s="19"/>
      <c r="K3931" s="19"/>
      <c r="L3931" s="19"/>
      <c r="M3931" s="19"/>
      <c r="N3931" s="19"/>
      <c r="O3931" s="14" t="str">
        <f>HYPERLINK("https://otsuka-europe-crm.veevavault.com/ui/#object/email_activity__v/V8C00000003R289", "EN-002092218")</f>
        <v>EN-002092218</v>
      </c>
    </row>
    <row r="3932" spans="1:15" ht="32" x14ac:dyDescent="0.2">
      <c r="A3932" s="7" t="str">
        <f>HYPERLINK("https://otsuka-europe-crm.veevavault.com/ui/#object/account__v/V4TZ06G6O71SC01", "GIOVANNI IGNAZIO PIGNORIO")</f>
        <v>GIOVANNI IGNAZIO PIGNORIO</v>
      </c>
      <c r="B3932" s="7" t="str">
        <f>HYPERLINK("https://otsuka-europe-crm.veevavault.com/ui/#object/vcountry__v/VENZ000004SONFQ", "IT")</f>
        <v>IT</v>
      </c>
      <c r="C3932" s="8" t="s">
        <v>44</v>
      </c>
      <c r="D3932" s="9" t="str">
        <f>HYPERLINK("https://otsuka-europe-crm.veevavault.com/ui/#object/approved_document__v/V5O000000018003", "AE dialoghi di tempo fiducia e cura episodi 2-3-4")</f>
        <v>AE dialoghi di tempo fiducia e cura episodi 2-3-4</v>
      </c>
      <c r="E3932" s="10" t="str">
        <f>HYPERLINK("https://otsuka-europe-crm.veevavault.com/ui/#object/sent_email__v/VBL00000002P286", "SE-001432956")</f>
        <v>SE-001432956</v>
      </c>
      <c r="F3932" s="11"/>
      <c r="G3932" s="12">
        <v>0</v>
      </c>
      <c r="H3932" s="12">
        <v>0</v>
      </c>
      <c r="I3932" s="12">
        <v>0</v>
      </c>
      <c r="J3932" s="11"/>
      <c r="K3932" s="12">
        <v>0</v>
      </c>
      <c r="L3932" s="10" t="str">
        <f>HYPERLINK("https://otsuka-europe-crm.veevavault.com/ui/#object/approved_document__v/V5O000000018003", "AE dialoghi di tempo fiducia e cura episodi 2-3-4")</f>
        <v>AE dialoghi di tempo fiducia e cura episodi 2-3-4</v>
      </c>
      <c r="M3932" s="10" t="str">
        <f>HYPERLINK("mailto:nicoletta.vozza@crm.otsuka-europe.com", "nicoletta.vozza@crm.otsuka-europe.com")</f>
        <v>nicoletta.vozza@crm.otsuka-europe.com</v>
      </c>
      <c r="N3932" s="13">
        <v>46181.33798611111</v>
      </c>
      <c r="O3932" s="14" t="str">
        <f>HYPERLINK("https://otsuka-europe-crm.veevavault.com/ui/#object/email_activity__v/V8C00000003O291", "EN-002089768")</f>
        <v>EN-002089768</v>
      </c>
    </row>
    <row r="3933" spans="1:15" ht="32" x14ac:dyDescent="0.2">
      <c r="A3933" s="7" t="str">
        <f>HYPERLINK("https://otsuka-europe-crm.veevavault.com/ui/#object/account__v/V4TZ06G6O71SBE6", "GIOVANNI MAINARDI")</f>
        <v>GIOVANNI MAINARDI</v>
      </c>
      <c r="B3933" s="7" t="str">
        <f>HYPERLINK("https://otsuka-europe-crm.veevavault.com/ui/#object/vcountry__v/VENZ000004SONFQ", "IT")</f>
        <v>IT</v>
      </c>
      <c r="C3933" s="8" t="s">
        <v>44</v>
      </c>
      <c r="D3933" s="9" t="str">
        <f>HYPERLINK("https://otsuka-europe-crm.veevavault.com/ui/#object/approved_document__v/V5O000000018003", "AE dialoghi di tempo fiducia e cura episodi 2-3-4")</f>
        <v>AE dialoghi di tempo fiducia e cura episodi 2-3-4</v>
      </c>
      <c r="E3933" s="10" t="str">
        <f>HYPERLINK("https://otsuka-europe-crm.veevavault.com/ui/#object/sent_email__v/VBL00000002P287", "SE-001432957")</f>
        <v>SE-001432957</v>
      </c>
      <c r="F3933" s="11"/>
      <c r="G3933" s="12">
        <v>0</v>
      </c>
      <c r="H3933" s="12">
        <v>0</v>
      </c>
      <c r="I3933" s="12">
        <v>0</v>
      </c>
      <c r="J3933" s="11"/>
      <c r="K3933" s="12">
        <v>0</v>
      </c>
      <c r="L3933" s="10" t="str">
        <f>HYPERLINK("https://otsuka-europe-crm.veevavault.com/ui/#object/approved_document__v/V5O000000018003", "AE dialoghi di tempo fiducia e cura episodi 2-3-4")</f>
        <v>AE dialoghi di tempo fiducia e cura episodi 2-3-4</v>
      </c>
      <c r="M3933" s="10" t="str">
        <f>HYPERLINK("mailto:nicoletta.vozza@crm.otsuka-europe.com", "nicoletta.vozza@crm.otsuka-europe.com")</f>
        <v>nicoletta.vozza@crm.otsuka-europe.com</v>
      </c>
      <c r="N3933" s="13">
        <v>46181.33798611111</v>
      </c>
      <c r="O3933" s="14" t="str">
        <f>HYPERLINK("https://otsuka-europe-crm.veevavault.com/ui/#object/email_activity__v/V8C00000003Q282", "EN-002091404")</f>
        <v>EN-002091404</v>
      </c>
    </row>
    <row r="3934" spans="1:15" ht="32" x14ac:dyDescent="0.2">
      <c r="A3934" s="7" t="str">
        <f>HYPERLINK("https://otsuka-europe-crm.veevavault.com/ui/#object/account__v/V4TZ06G6O71SBER", "GIOVANNI MARESCA")</f>
        <v>GIOVANNI MARESCA</v>
      </c>
      <c r="B3934" s="7" t="str">
        <f>HYPERLINK("https://otsuka-europe-crm.veevavault.com/ui/#object/vcountry__v/VENZ000004SONFQ", "IT")</f>
        <v>IT</v>
      </c>
      <c r="C3934" s="8" t="s">
        <v>44</v>
      </c>
      <c r="D3934" s="9" t="str">
        <f>HYPERLINK("https://otsuka-europe-crm.veevavault.com/ui/#object/approved_document__v/V5O000000018003", "AE dialoghi di tempo fiducia e cura episodi 2-3-4")</f>
        <v>AE dialoghi di tempo fiducia e cura episodi 2-3-4</v>
      </c>
      <c r="E3934" s="10" t="str">
        <f>HYPERLINK("https://otsuka-europe-crm.veevavault.com/ui/#object/sent_email__v/VBL00000002P288", "SE-001432958")</f>
        <v>SE-001432958</v>
      </c>
      <c r="F3934" s="11"/>
      <c r="G3934" s="12">
        <v>0</v>
      </c>
      <c r="H3934" s="12">
        <v>0</v>
      </c>
      <c r="I3934" s="12">
        <v>0</v>
      </c>
      <c r="J3934" s="11"/>
      <c r="K3934" s="12">
        <v>0</v>
      </c>
      <c r="L3934" s="10" t="str">
        <f>HYPERLINK("https://otsuka-europe-crm.veevavault.com/ui/#object/approved_document__v/V5O000000018003", "AE dialoghi di tempo fiducia e cura episodi 2-3-4")</f>
        <v>AE dialoghi di tempo fiducia e cura episodi 2-3-4</v>
      </c>
      <c r="M3934" s="10" t="str">
        <f>HYPERLINK("mailto:nicoletta.vozza@crm.otsuka-europe.com", "nicoletta.vozza@crm.otsuka-europe.com")</f>
        <v>nicoletta.vozza@crm.otsuka-europe.com</v>
      </c>
      <c r="N3934" s="13">
        <v>46181.337997685187</v>
      </c>
      <c r="O3934" s="14" t="str">
        <f>HYPERLINK("https://otsuka-europe-crm.veevavault.com/ui/#object/email_activity__v/V8C00000003P881", "EN-002091399")</f>
        <v>EN-002091399</v>
      </c>
    </row>
    <row r="3935" spans="1:15" ht="16" x14ac:dyDescent="0.2">
      <c r="A3935" s="17" t="str">
        <f>HYPERLINK("https://otsuka-europe-crm.veevavault.com/ui/#object/account__v/V4TZ06G6O71TFPQ", "GIOVANNI MARIA CAVALLO")</f>
        <v>GIOVANNI MARIA CAVALLO</v>
      </c>
      <c r="B3935" s="17" t="str">
        <f>HYPERLINK("https://otsuka-europe-crm.veevavault.com/ui/#object/vcountry__v/VENZ000004SONFQ", "IT")</f>
        <v>IT</v>
      </c>
      <c r="C3935" s="20" t="s">
        <v>44</v>
      </c>
      <c r="D3935" s="21" t="str">
        <f>HYPERLINK("https://otsuka-europe-crm.veevavault.com/ui/#object/approved_document__v/V5O000000018003", "AE dialoghi di tempo fiducia e cura episodi 2-3-4")</f>
        <v>AE dialoghi di tempo fiducia e cura episodi 2-3-4</v>
      </c>
      <c r="E3935" s="22" t="str">
        <f>HYPERLINK("https://otsuka-europe-crm.veevavault.com/ui/#object/sent_email__v/VBL00000002P289", "SE-001432959")</f>
        <v>SE-001432959</v>
      </c>
      <c r="F3935" s="23">
        <v>46181.730081018519</v>
      </c>
      <c r="G3935" s="24">
        <v>1</v>
      </c>
      <c r="H3935" s="24">
        <v>3</v>
      </c>
      <c r="I3935" s="24">
        <v>0</v>
      </c>
      <c r="J3935" s="25"/>
      <c r="K3935" s="24">
        <v>0</v>
      </c>
      <c r="L3935" s="22" t="str">
        <f>HYPERLINK("https://otsuka-europe-crm.veevavault.com/ui/#object/approved_document__v/V5O000000018003", "AE dialoghi di tempo fiducia e cura episodi 2-3-4")</f>
        <v>AE dialoghi di tempo fiducia e cura episodi 2-3-4</v>
      </c>
      <c r="M3935" s="22" t="str">
        <f>HYPERLINK("mailto:nicoletta.vozza@crm.otsuka-europe.com", "nicoletta.vozza@crm.otsuka-europe.com")</f>
        <v>nicoletta.vozza@crm.otsuka-europe.com</v>
      </c>
      <c r="N3935" s="23">
        <v>46181.337997685187</v>
      </c>
      <c r="O3935" s="14" t="str">
        <f>HYPERLINK("https://otsuka-europe-crm.veevavault.com/ui/#object/email_activity__v/V8C00000003O683", "EN-002090239")</f>
        <v>EN-002090239</v>
      </c>
    </row>
    <row r="3936" spans="1:15" ht="16" x14ac:dyDescent="0.2">
      <c r="A3936" s="18"/>
      <c r="B3936" s="18"/>
      <c r="C3936" s="18"/>
      <c r="D3936" s="18"/>
      <c r="E3936" s="18"/>
      <c r="F3936" s="18"/>
      <c r="G3936" s="18"/>
      <c r="H3936" s="18"/>
      <c r="I3936" s="18"/>
      <c r="J3936" s="18"/>
      <c r="K3936" s="18"/>
      <c r="L3936" s="18"/>
      <c r="M3936" s="18"/>
      <c r="N3936" s="18"/>
      <c r="O3936" s="14" t="str">
        <f>HYPERLINK("https://otsuka-europe-crm.veevavault.com/ui/#object/email_activity__v/V8C00000003O917", "EN-002090577")</f>
        <v>EN-002090577</v>
      </c>
    </row>
    <row r="3937" spans="1:15" ht="16" x14ac:dyDescent="0.2">
      <c r="A3937" s="18"/>
      <c r="B3937" s="18"/>
      <c r="C3937" s="18"/>
      <c r="D3937" s="18"/>
      <c r="E3937" s="18"/>
      <c r="F3937" s="18"/>
      <c r="G3937" s="18"/>
      <c r="H3937" s="18"/>
      <c r="I3937" s="18"/>
      <c r="J3937" s="18"/>
      <c r="K3937" s="18"/>
      <c r="L3937" s="18"/>
      <c r="M3937" s="18"/>
      <c r="N3937" s="18"/>
      <c r="O3937" s="14" t="str">
        <f>HYPERLINK("https://otsuka-europe-crm.veevavault.com/ui/#object/email_activity__v/V8C00000003Q560", "EN-002091926")</f>
        <v>EN-002091926</v>
      </c>
    </row>
    <row r="3938" spans="1:15" ht="16" x14ac:dyDescent="0.2">
      <c r="A3938" s="19"/>
      <c r="B3938" s="19"/>
      <c r="C3938" s="19"/>
      <c r="D3938" s="19"/>
      <c r="E3938" s="19"/>
      <c r="F3938" s="19"/>
      <c r="G3938" s="19"/>
      <c r="H3938" s="19"/>
      <c r="I3938" s="19"/>
      <c r="J3938" s="19"/>
      <c r="K3938" s="19"/>
      <c r="L3938" s="19"/>
      <c r="M3938" s="19"/>
      <c r="N3938" s="19"/>
      <c r="O3938" s="14" t="str">
        <f>HYPERLINK("https://otsuka-europe-crm.veevavault.com/ui/#object/email_activity__v/V8C00000003R243", "EN-002092133")</f>
        <v>EN-002092133</v>
      </c>
    </row>
    <row r="3939" spans="1:15" ht="32" x14ac:dyDescent="0.2">
      <c r="A3939" s="7" t="str">
        <f>HYPERLINK("https://otsuka-europe-crm.veevavault.com/ui/#object/account__v/V4TZ06G6O71SBFD", "GIOVANNI MARIA MARINI")</f>
        <v>GIOVANNI MARIA MARINI</v>
      </c>
      <c r="B3939" s="7" t="str">
        <f>HYPERLINK("https://otsuka-europe-crm.veevavault.com/ui/#object/vcountry__v/VENZ000004SONFQ", "IT")</f>
        <v>IT</v>
      </c>
      <c r="C3939" s="8" t="s">
        <v>44</v>
      </c>
      <c r="D3939" s="9" t="str">
        <f>HYPERLINK("https://otsuka-europe-crm.veevavault.com/ui/#object/approved_document__v/V5O000000018003", "AE dialoghi di tempo fiducia e cura episodi 2-3-4")</f>
        <v>AE dialoghi di tempo fiducia e cura episodi 2-3-4</v>
      </c>
      <c r="E3939" s="10" t="str">
        <f>HYPERLINK("https://otsuka-europe-crm.veevavault.com/ui/#object/sent_email__v/VBL00000002P290", "SE-001432960")</f>
        <v>SE-001432960</v>
      </c>
      <c r="F3939" s="11"/>
      <c r="G3939" s="12">
        <v>0</v>
      </c>
      <c r="H3939" s="12">
        <v>0</v>
      </c>
      <c r="I3939" s="12">
        <v>0</v>
      </c>
      <c r="J3939" s="11"/>
      <c r="K3939" s="12">
        <v>0</v>
      </c>
      <c r="L3939" s="10" t="str">
        <f>HYPERLINK("https://otsuka-europe-crm.veevavault.com/ui/#object/approved_document__v/V5O000000018003", "AE dialoghi di tempo fiducia e cura episodi 2-3-4")</f>
        <v>AE dialoghi di tempo fiducia e cura episodi 2-3-4</v>
      </c>
      <c r="M3939" s="10" t="str">
        <f>HYPERLINK("mailto:nicoletta.vozza@crm.otsuka-europe.com", "nicoletta.vozza@crm.otsuka-europe.com")</f>
        <v>nicoletta.vozza@crm.otsuka-europe.com</v>
      </c>
      <c r="N3939" s="13">
        <v>46181.337997685187</v>
      </c>
      <c r="O3939" s="14" t="str">
        <f>HYPERLINK("https://otsuka-europe-crm.veevavault.com/ui/#object/email_activity__v/V8C00000003Q247", "EN-002091357")</f>
        <v>EN-002091357</v>
      </c>
    </row>
    <row r="3940" spans="1:15" ht="16" x14ac:dyDescent="0.2">
      <c r="A3940" s="17" t="str">
        <f>HYPERLINK("https://otsuka-europe-crm.veevavault.com/ui/#object/account__v/V4TZ06G6O71SBFT", "GIOVANNI MARTINOTTI")</f>
        <v>GIOVANNI MARTINOTTI</v>
      </c>
      <c r="B3940" s="17" t="str">
        <f>HYPERLINK("https://otsuka-europe-crm.veevavault.com/ui/#object/vcountry__v/VENZ000004SONFQ", "IT")</f>
        <v>IT</v>
      </c>
      <c r="C3940" s="20" t="s">
        <v>44</v>
      </c>
      <c r="D3940" s="21" t="str">
        <f>HYPERLINK("https://otsuka-europe-crm.veevavault.com/ui/#object/approved_document__v/V5O000000018003", "AE dialoghi di tempo fiducia e cura episodi 2-3-4")</f>
        <v>AE dialoghi di tempo fiducia e cura episodi 2-3-4</v>
      </c>
      <c r="E3940" s="22" t="str">
        <f>HYPERLINK("https://otsuka-europe-crm.veevavault.com/ui/#object/sent_email__v/VBL00000002P291", "SE-001432961")</f>
        <v>SE-001432961</v>
      </c>
      <c r="F3940" s="23">
        <v>46181.412002314813</v>
      </c>
      <c r="G3940" s="24">
        <v>1</v>
      </c>
      <c r="H3940" s="24">
        <v>2</v>
      </c>
      <c r="I3940" s="24">
        <v>0</v>
      </c>
      <c r="J3940" s="25"/>
      <c r="K3940" s="24">
        <v>0</v>
      </c>
      <c r="L3940" s="22" t="str">
        <f>HYPERLINK("https://otsuka-europe-crm.veevavault.com/ui/#object/approved_document__v/V5O000000018003", "AE dialoghi di tempo fiducia e cura episodi 2-3-4")</f>
        <v>AE dialoghi di tempo fiducia e cura episodi 2-3-4</v>
      </c>
      <c r="M3940" s="22" t="str">
        <f>HYPERLINK("mailto:nicoletta.vozza@crm.otsuka-europe.com", "nicoletta.vozza@crm.otsuka-europe.com")</f>
        <v>nicoletta.vozza@crm.otsuka-europe.com</v>
      </c>
      <c r="N3940" s="23">
        <v>46181.33803240741</v>
      </c>
      <c r="O3940" s="14" t="str">
        <f>HYPERLINK("https://otsuka-europe-crm.veevavault.com/ui/#object/email_activity__v/V8C00000003P342", "EN-002090348")</f>
        <v>EN-002090348</v>
      </c>
    </row>
    <row r="3941" spans="1:15" ht="16" x14ac:dyDescent="0.2">
      <c r="A3941" s="18"/>
      <c r="B3941" s="18"/>
      <c r="C3941" s="18"/>
      <c r="D3941" s="18"/>
      <c r="E3941" s="18"/>
      <c r="F3941" s="18"/>
      <c r="G3941" s="18"/>
      <c r="H3941" s="18"/>
      <c r="I3941" s="18"/>
      <c r="J3941" s="18"/>
      <c r="K3941" s="18"/>
      <c r="L3941" s="18"/>
      <c r="M3941" s="18"/>
      <c r="N3941" s="18"/>
      <c r="O3941" s="14" t="str">
        <f>HYPERLINK("https://otsuka-europe-crm.veevavault.com/ui/#object/email_activity__v/V8C00000003Q284", "EN-002091407")</f>
        <v>EN-002091407</v>
      </c>
    </row>
    <row r="3942" spans="1:15" ht="16" x14ac:dyDescent="0.2">
      <c r="A3942" s="19"/>
      <c r="B3942" s="19"/>
      <c r="C3942" s="19"/>
      <c r="D3942" s="19"/>
      <c r="E3942" s="19"/>
      <c r="F3942" s="19"/>
      <c r="G3942" s="19"/>
      <c r="H3942" s="19"/>
      <c r="I3942" s="19"/>
      <c r="J3942" s="19"/>
      <c r="K3942" s="19"/>
      <c r="L3942" s="19"/>
      <c r="M3942" s="19"/>
      <c r="N3942" s="19"/>
      <c r="O3942" s="14" t="str">
        <f>HYPERLINK("https://otsuka-europe-crm.veevavault.com/ui/#object/email_activity__v/V8C00000003Q491", "EN-002091774")</f>
        <v>EN-002091774</v>
      </c>
    </row>
    <row r="3943" spans="1:15" ht="32" x14ac:dyDescent="0.2">
      <c r="A3943" s="7" t="str">
        <f>HYPERLINK("https://otsuka-europe-crm.veevavault.com/ui/#object/account__v/V4TZ06G6O71SANO", "GIOVANNI MICHELE FONTANA")</f>
        <v>GIOVANNI MICHELE FONTANA</v>
      </c>
      <c r="B3943" s="7" t="str">
        <f>HYPERLINK("https://otsuka-europe-crm.veevavault.com/ui/#object/vcountry__v/VENZ000004SONFQ", "IT")</f>
        <v>IT</v>
      </c>
      <c r="C3943" s="8" t="s">
        <v>44</v>
      </c>
      <c r="D3943" s="9" t="str">
        <f>HYPERLINK("https://otsuka-europe-crm.veevavault.com/ui/#object/approved_document__v/V5O000000018003", "AE dialoghi di tempo fiducia e cura episodi 2-3-4")</f>
        <v>AE dialoghi di tempo fiducia e cura episodi 2-3-4</v>
      </c>
      <c r="E3943" s="10" t="str">
        <f>HYPERLINK("https://otsuka-europe-crm.veevavault.com/ui/#object/sent_email__v/VBL00000002P292", "SE-001432962")</f>
        <v>SE-001432962</v>
      </c>
      <c r="F3943" s="11"/>
      <c r="G3943" s="12">
        <v>0</v>
      </c>
      <c r="H3943" s="12">
        <v>0</v>
      </c>
      <c r="I3943" s="12">
        <v>0</v>
      </c>
      <c r="J3943" s="11"/>
      <c r="K3943" s="12">
        <v>0</v>
      </c>
      <c r="L3943" s="10" t="str">
        <f>HYPERLINK("https://otsuka-europe-crm.veevavault.com/ui/#object/approved_document__v/V5O000000018003", "AE dialoghi di tempo fiducia e cura episodi 2-3-4")</f>
        <v>AE dialoghi di tempo fiducia e cura episodi 2-3-4</v>
      </c>
      <c r="M3943" s="10" t="str">
        <f>HYPERLINK("mailto:nicoletta.vozza@crm.otsuka-europe.com", "nicoletta.vozza@crm.otsuka-europe.com")</f>
        <v>nicoletta.vozza@crm.otsuka-europe.com</v>
      </c>
      <c r="N3943" s="13">
        <v>46181.337997685187</v>
      </c>
      <c r="O3943" s="14" t="str">
        <f>HYPERLINK("https://otsuka-europe-crm.veevavault.com/ui/#object/email_activity__v/V8C00000003O361", "EN-002089879")</f>
        <v>EN-002089879</v>
      </c>
    </row>
    <row r="3944" spans="1:15" ht="32" x14ac:dyDescent="0.2">
      <c r="A3944" s="7" t="str">
        <f>HYPERLINK("https://otsuka-europe-crm.veevavault.com/ui/#object/account__v/V4TZ06G6O71SBMM", "GIOVANNI MILILLO")</f>
        <v>GIOVANNI MILILLO</v>
      </c>
      <c r="B3944" s="7" t="str">
        <f>HYPERLINK("https://otsuka-europe-crm.veevavault.com/ui/#object/vcountry__v/VENZ000004SONFQ", "IT")</f>
        <v>IT</v>
      </c>
      <c r="C3944" s="8" t="s">
        <v>44</v>
      </c>
      <c r="D3944" s="9" t="str">
        <f>HYPERLINK("https://otsuka-europe-crm.veevavault.com/ui/#object/approved_document__v/V5O000000018003", "AE dialoghi di tempo fiducia e cura episodi 2-3-4")</f>
        <v>AE dialoghi di tempo fiducia e cura episodi 2-3-4</v>
      </c>
      <c r="E3944" s="10" t="str">
        <f>HYPERLINK("https://otsuka-europe-crm.veevavault.com/ui/#object/sent_email__v/VBL00000002P293", "SE-001432963")</f>
        <v>SE-001432963</v>
      </c>
      <c r="F3944" s="11"/>
      <c r="G3944" s="12">
        <v>0</v>
      </c>
      <c r="H3944" s="12">
        <v>0</v>
      </c>
      <c r="I3944" s="12">
        <v>0</v>
      </c>
      <c r="J3944" s="11"/>
      <c r="K3944" s="12">
        <v>0</v>
      </c>
      <c r="L3944" s="10" t="str">
        <f>HYPERLINK("https://otsuka-europe-crm.veevavault.com/ui/#object/approved_document__v/V5O000000018003", "AE dialoghi di tempo fiducia e cura episodi 2-3-4")</f>
        <v>AE dialoghi di tempo fiducia e cura episodi 2-3-4</v>
      </c>
      <c r="M3944" s="10" t="str">
        <f>HYPERLINK("mailto:nicoletta.vozza@crm.otsuka-europe.com", "nicoletta.vozza@crm.otsuka-europe.com")</f>
        <v>nicoletta.vozza@crm.otsuka-europe.com</v>
      </c>
      <c r="N3944" s="13">
        <v>46181.33803240741</v>
      </c>
      <c r="O3944" s="14" t="str">
        <f>HYPERLINK("https://otsuka-europe-crm.veevavault.com/ui/#object/email_activity__v/V8C00000003P412", "EN-002090418")</f>
        <v>EN-002090418</v>
      </c>
    </row>
    <row r="3945" spans="1:15" ht="32" x14ac:dyDescent="0.2">
      <c r="A3945" s="7" t="str">
        <f>HYPERLINK("https://otsuka-europe-crm.veevavault.com/ui/#object/account__v/V4TZ025E85DJ6MZ", "GIOVANNI NERI")</f>
        <v>GIOVANNI NERI</v>
      </c>
      <c r="B3945" s="7" t="str">
        <f>HYPERLINK("https://otsuka-europe-crm.veevavault.com/ui/#object/vcountry__v/VENZ000004SONFQ", "IT")</f>
        <v>IT</v>
      </c>
      <c r="C3945" s="8" t="s">
        <v>44</v>
      </c>
      <c r="D3945" s="9" t="str">
        <f>HYPERLINK("https://otsuka-europe-crm.veevavault.com/ui/#object/approved_document__v/V5O000000018003", "AE dialoghi di tempo fiducia e cura episodi 2-3-4")</f>
        <v>AE dialoghi di tempo fiducia e cura episodi 2-3-4</v>
      </c>
      <c r="E3945" s="10" t="str">
        <f>HYPERLINK("https://otsuka-europe-crm.veevavault.com/ui/#object/sent_email__v/VBL00000002P294", "SE-001432964")</f>
        <v>SE-001432964</v>
      </c>
      <c r="F3945" s="11"/>
      <c r="G3945" s="12">
        <v>0</v>
      </c>
      <c r="H3945" s="12">
        <v>0</v>
      </c>
      <c r="I3945" s="12">
        <v>0</v>
      </c>
      <c r="J3945" s="11"/>
      <c r="K3945" s="12">
        <v>0</v>
      </c>
      <c r="L3945" s="10" t="str">
        <f>HYPERLINK("https://otsuka-europe-crm.veevavault.com/ui/#object/approved_document__v/V5O000000018003", "AE dialoghi di tempo fiducia e cura episodi 2-3-4")</f>
        <v>AE dialoghi di tempo fiducia e cura episodi 2-3-4</v>
      </c>
      <c r="M3945" s="10" t="str">
        <f>HYPERLINK("mailto:nicoletta.vozza@crm.otsuka-europe.com", "nicoletta.vozza@crm.otsuka-europe.com")</f>
        <v>nicoletta.vozza@crm.otsuka-europe.com</v>
      </c>
      <c r="N3945" s="13">
        <v>46181.338009259256</v>
      </c>
      <c r="O3945" s="14" t="str">
        <f>HYPERLINK("https://otsuka-europe-crm.veevavault.com/ui/#object/email_activity__v/V8C00000003O675", "EN-002090231")</f>
        <v>EN-002090231</v>
      </c>
    </row>
    <row r="3946" spans="1:15" ht="16" x14ac:dyDescent="0.2">
      <c r="A3946" s="17" t="str">
        <f>HYPERLINK("https://otsuka-europe-crm.veevavault.com/ui/#object/account__v/V4TZ06G6O71SBP2", "GIOVANNI NOLFE")</f>
        <v>GIOVANNI NOLFE</v>
      </c>
      <c r="B3946" s="17" t="str">
        <f>HYPERLINK("https://otsuka-europe-crm.veevavault.com/ui/#object/vcountry__v/VENZ000004SONFQ", "IT")</f>
        <v>IT</v>
      </c>
      <c r="C3946" s="20" t="s">
        <v>44</v>
      </c>
      <c r="D3946" s="21" t="str">
        <f>HYPERLINK("https://otsuka-europe-crm.veevavault.com/ui/#object/approved_document__v/V5O000000018003", "AE dialoghi di tempo fiducia e cura episodi 2-3-4")</f>
        <v>AE dialoghi di tempo fiducia e cura episodi 2-3-4</v>
      </c>
      <c r="E3946" s="22" t="str">
        <f>HYPERLINK("https://otsuka-europe-crm.veevavault.com/ui/#object/sent_email__v/VBL00000002P295", "SE-001432965")</f>
        <v>SE-001432965</v>
      </c>
      <c r="F3946" s="23">
        <v>46181.947812500002</v>
      </c>
      <c r="G3946" s="24">
        <v>1</v>
      </c>
      <c r="H3946" s="24">
        <v>1</v>
      </c>
      <c r="I3946" s="24">
        <v>0</v>
      </c>
      <c r="J3946" s="25"/>
      <c r="K3946" s="24">
        <v>0</v>
      </c>
      <c r="L3946" s="22" t="str">
        <f>HYPERLINK("https://otsuka-europe-crm.veevavault.com/ui/#object/approved_document__v/V5O000000018003", "AE dialoghi di tempo fiducia e cura episodi 2-3-4")</f>
        <v>AE dialoghi di tempo fiducia e cura episodi 2-3-4</v>
      </c>
      <c r="M3946" s="22" t="str">
        <f>HYPERLINK("mailto:nicoletta.vozza@crm.otsuka-europe.com", "nicoletta.vozza@crm.otsuka-europe.com")</f>
        <v>nicoletta.vozza@crm.otsuka-europe.com</v>
      </c>
      <c r="N3946" s="23">
        <v>46181.337997685187</v>
      </c>
      <c r="O3946" s="14" t="str">
        <f>HYPERLINK("https://otsuka-europe-crm.veevavault.com/ui/#object/email_activity__v/V8C00000003O433", "EN-002089989")</f>
        <v>EN-002089989</v>
      </c>
    </row>
    <row r="3947" spans="1:15" ht="16" x14ac:dyDescent="0.2">
      <c r="A3947" s="19"/>
      <c r="B3947" s="19"/>
      <c r="C3947" s="19"/>
      <c r="D3947" s="19"/>
      <c r="E3947" s="19"/>
      <c r="F3947" s="19"/>
      <c r="G3947" s="19"/>
      <c r="H3947" s="19"/>
      <c r="I3947" s="19"/>
      <c r="J3947" s="19"/>
      <c r="K3947" s="19"/>
      <c r="L3947" s="19"/>
      <c r="M3947" s="19"/>
      <c r="N3947" s="19"/>
      <c r="O3947" s="14" t="str">
        <f>HYPERLINK("https://otsuka-europe-crm.veevavault.com/ui/#object/email_activity__v/V8C00000003Q719", "EN-002092278")</f>
        <v>EN-002092278</v>
      </c>
    </row>
    <row r="3948" spans="1:15" ht="16" x14ac:dyDescent="0.2">
      <c r="A3948" s="17" t="str">
        <f>HYPERLINK("https://otsuka-europe-crm.veevavault.com/ui/#object/account__v/V4TZ06G6O71SBVR", "GIOVANNI PATTI")</f>
        <v>GIOVANNI PATTI</v>
      </c>
      <c r="B3948" s="17" t="str">
        <f>HYPERLINK("https://otsuka-europe-crm.veevavault.com/ui/#object/vcountry__v/VENZ000004SONFQ", "IT")</f>
        <v>IT</v>
      </c>
      <c r="C3948" s="20" t="s">
        <v>44</v>
      </c>
      <c r="D3948" s="21" t="str">
        <f>HYPERLINK("https://otsuka-europe-crm.veevavault.com/ui/#object/approved_document__v/V5O000000018003", "AE dialoghi di tempo fiducia e cura episodi 2-3-4")</f>
        <v>AE dialoghi di tempo fiducia e cura episodi 2-3-4</v>
      </c>
      <c r="E3948" s="22" t="str">
        <f>HYPERLINK("https://otsuka-europe-crm.veevavault.com/ui/#object/sent_email__v/VBL00000002P296", "SE-001432966")</f>
        <v>SE-001432966</v>
      </c>
      <c r="F3948" s="23">
        <v>46181.579351851855</v>
      </c>
      <c r="G3948" s="24">
        <v>1</v>
      </c>
      <c r="H3948" s="24">
        <v>2</v>
      </c>
      <c r="I3948" s="24">
        <v>0</v>
      </c>
      <c r="J3948" s="25"/>
      <c r="K3948" s="24">
        <v>0</v>
      </c>
      <c r="L3948" s="22" t="str">
        <f>HYPERLINK("https://otsuka-europe-crm.veevavault.com/ui/#object/approved_document__v/V5O000000018003", "AE dialoghi di tempo fiducia e cura episodi 2-3-4")</f>
        <v>AE dialoghi di tempo fiducia e cura episodi 2-3-4</v>
      </c>
      <c r="M3948" s="22" t="str">
        <f>HYPERLINK("mailto:nicoletta.vozza@crm.otsuka-europe.com", "nicoletta.vozza@crm.otsuka-europe.com")</f>
        <v>nicoletta.vozza@crm.otsuka-europe.com</v>
      </c>
      <c r="N3948" s="23">
        <v>46181.338020833333</v>
      </c>
      <c r="O3948" s="14" t="str">
        <f>HYPERLINK("https://otsuka-europe-crm.veevavault.com/ui/#object/email_activity__v/V8C00000003Q051", "EN-002091017")</f>
        <v>EN-002091017</v>
      </c>
    </row>
    <row r="3949" spans="1:15" ht="16" x14ac:dyDescent="0.2">
      <c r="A3949" s="18"/>
      <c r="B3949" s="18"/>
      <c r="C3949" s="18"/>
      <c r="D3949" s="18"/>
      <c r="E3949" s="18"/>
      <c r="F3949" s="18"/>
      <c r="G3949" s="18"/>
      <c r="H3949" s="18"/>
      <c r="I3949" s="18"/>
      <c r="J3949" s="18"/>
      <c r="K3949" s="18"/>
      <c r="L3949" s="18"/>
      <c r="M3949" s="18"/>
      <c r="N3949" s="18"/>
      <c r="O3949" s="14" t="str">
        <f>HYPERLINK("https://otsuka-europe-crm.veevavault.com/ui/#object/email_activity__v/V8C00000003R160", "EN-002091980")</f>
        <v>EN-002091980</v>
      </c>
    </row>
    <row r="3950" spans="1:15" ht="16" x14ac:dyDescent="0.2">
      <c r="A3950" s="19"/>
      <c r="B3950" s="19"/>
      <c r="C3950" s="19"/>
      <c r="D3950" s="19"/>
      <c r="E3950" s="19"/>
      <c r="F3950" s="19"/>
      <c r="G3950" s="19"/>
      <c r="H3950" s="19"/>
      <c r="I3950" s="19"/>
      <c r="J3950" s="19"/>
      <c r="K3950" s="19"/>
      <c r="L3950" s="19"/>
      <c r="M3950" s="19"/>
      <c r="N3950" s="19"/>
      <c r="O3950" s="14" t="str">
        <f>HYPERLINK("https://otsuka-europe-crm.veevavault.com/ui/#object/email_activity__v/V8C00000003R161", "EN-002091981")</f>
        <v>EN-002091981</v>
      </c>
    </row>
    <row r="3951" spans="1:15" ht="32" x14ac:dyDescent="0.2">
      <c r="A3951" s="7" t="str">
        <f>HYPERLINK("https://otsuka-europe-crm.veevavault.com/ui/#object/account__v/V4TZ04ASGB99BC7", "GIOVANNI ROAGNA")</f>
        <v>GIOVANNI ROAGNA</v>
      </c>
      <c r="B3951" s="7" t="str">
        <f>HYPERLINK("https://otsuka-europe-crm.veevavault.com/ui/#object/vcountry__v/VENZ000004SONFQ", "IT")</f>
        <v>IT</v>
      </c>
      <c r="C3951" s="8" t="s">
        <v>44</v>
      </c>
      <c r="D3951" s="9" t="str">
        <f>HYPERLINK("https://otsuka-europe-crm.veevavault.com/ui/#object/approved_document__v/V5O000000018003", "AE dialoghi di tempo fiducia e cura episodi 2-3-4")</f>
        <v>AE dialoghi di tempo fiducia e cura episodi 2-3-4</v>
      </c>
      <c r="E3951" s="10" t="str">
        <f>HYPERLINK("https://otsuka-europe-crm.veevavault.com/ui/#object/sent_email__v/VBL00000002P297", "SE-001432967")</f>
        <v>SE-001432967</v>
      </c>
      <c r="F3951" s="11"/>
      <c r="G3951" s="12">
        <v>0</v>
      </c>
      <c r="H3951" s="12">
        <v>0</v>
      </c>
      <c r="I3951" s="12">
        <v>0</v>
      </c>
      <c r="J3951" s="11"/>
      <c r="K3951" s="12">
        <v>0</v>
      </c>
      <c r="L3951" s="10" t="str">
        <f>HYPERLINK("https://otsuka-europe-crm.veevavault.com/ui/#object/approved_document__v/V5O000000018003", "AE dialoghi di tempo fiducia e cura episodi 2-3-4")</f>
        <v>AE dialoghi di tempo fiducia e cura episodi 2-3-4</v>
      </c>
      <c r="M3951" s="10" t="str">
        <f>HYPERLINK("mailto:nicoletta.vozza@crm.otsuka-europe.com", "nicoletta.vozza@crm.otsuka-europe.com")</f>
        <v>nicoletta.vozza@crm.otsuka-europe.com</v>
      </c>
      <c r="N3951" s="13">
        <v>46181.338067129633</v>
      </c>
      <c r="O3951" s="14" t="str">
        <f>HYPERLINK("https://otsuka-europe-crm.veevavault.com/ui/#object/email_activity__v/V8C00000003O605", "EN-002090161")</f>
        <v>EN-002090161</v>
      </c>
    </row>
    <row r="3952" spans="1:15" ht="16" x14ac:dyDescent="0.2">
      <c r="A3952" s="17" t="str">
        <f>HYPERLINK("https://otsuka-europe-crm.veevavault.com/ui/#object/account__v/V4TZ06G6O71SCCA", "GIOVANNI SANTONE")</f>
        <v>GIOVANNI SANTONE</v>
      </c>
      <c r="B3952" s="17" t="str">
        <f>HYPERLINK("https://otsuka-europe-crm.veevavault.com/ui/#object/vcountry__v/VENZ000004SONFQ", "IT")</f>
        <v>IT</v>
      </c>
      <c r="C3952" s="20" t="s">
        <v>44</v>
      </c>
      <c r="D3952" s="21" t="str">
        <f>HYPERLINK("https://otsuka-europe-crm.veevavault.com/ui/#object/approved_document__v/V5O000000018003", "AE dialoghi di tempo fiducia e cura episodi 2-3-4")</f>
        <v>AE dialoghi di tempo fiducia e cura episodi 2-3-4</v>
      </c>
      <c r="E3952" s="22" t="str">
        <f>HYPERLINK("https://otsuka-europe-crm.veevavault.com/ui/#object/sent_email__v/VBL00000002P298", "SE-001432968")</f>
        <v>SE-001432968</v>
      </c>
      <c r="F3952" s="23">
        <v>46181.3434837963</v>
      </c>
      <c r="G3952" s="24">
        <v>1</v>
      </c>
      <c r="H3952" s="24">
        <v>1</v>
      </c>
      <c r="I3952" s="24">
        <v>0</v>
      </c>
      <c r="J3952" s="25"/>
      <c r="K3952" s="24">
        <v>0</v>
      </c>
      <c r="L3952" s="22" t="str">
        <f>HYPERLINK("https://otsuka-europe-crm.veevavault.com/ui/#object/approved_document__v/V5O000000018003", "AE dialoghi di tempo fiducia e cura episodi 2-3-4")</f>
        <v>AE dialoghi di tempo fiducia e cura episodi 2-3-4</v>
      </c>
      <c r="M3952" s="22" t="str">
        <f>HYPERLINK("mailto:nicoletta.vozza@crm.otsuka-europe.com", "nicoletta.vozza@crm.otsuka-europe.com")</f>
        <v>nicoletta.vozza@crm.otsuka-europe.com</v>
      </c>
      <c r="N3952" s="23">
        <v>46181.338067129633</v>
      </c>
      <c r="O3952" s="14" t="str">
        <f>HYPERLINK("https://otsuka-europe-crm.veevavault.com/ui/#object/email_activity__v/V8C00000003O649", "EN-002090205")</f>
        <v>EN-002090205</v>
      </c>
    </row>
    <row r="3953" spans="1:15" ht="16" x14ac:dyDescent="0.2">
      <c r="A3953" s="19"/>
      <c r="B3953" s="19"/>
      <c r="C3953" s="19"/>
      <c r="D3953" s="19"/>
      <c r="E3953" s="19"/>
      <c r="F3953" s="19"/>
      <c r="G3953" s="19"/>
      <c r="H3953" s="19"/>
      <c r="I3953" s="19"/>
      <c r="J3953" s="19"/>
      <c r="K3953" s="19"/>
      <c r="L3953" s="19"/>
      <c r="M3953" s="19"/>
      <c r="N3953" s="19"/>
      <c r="O3953" s="14" t="str">
        <f>HYPERLINK("https://otsuka-europe-crm.veevavault.com/ui/#object/email_activity__v/V8C00000003P901", "EN-002091434")</f>
        <v>EN-002091434</v>
      </c>
    </row>
    <row r="3954" spans="1:15" ht="32" x14ac:dyDescent="0.2">
      <c r="A3954" s="7" t="str">
        <f>HYPERLINK("https://otsuka-europe-crm.veevavault.com/ui/#object/account__v/V4TZ06G6O71SCI3", "GIOVANNI SCIOLE'")</f>
        <v>GIOVANNI SCIOLE'</v>
      </c>
      <c r="B3954" s="7" t="str">
        <f>HYPERLINK("https://otsuka-europe-crm.veevavault.com/ui/#object/vcountry__v/VENZ000004SONFQ", "IT")</f>
        <v>IT</v>
      </c>
      <c r="C3954" s="8" t="s">
        <v>44</v>
      </c>
      <c r="D3954" s="9" t="str">
        <f>HYPERLINK("https://otsuka-europe-crm.veevavault.com/ui/#object/approved_document__v/V5O000000018003", "AE dialoghi di tempo fiducia e cura episodi 2-3-4")</f>
        <v>AE dialoghi di tempo fiducia e cura episodi 2-3-4</v>
      </c>
      <c r="E3954" s="10" t="str">
        <f>HYPERLINK("https://otsuka-europe-crm.veevavault.com/ui/#object/sent_email__v/VBL00000002P299", "SE-001432969")</f>
        <v>SE-001432969</v>
      </c>
      <c r="F3954" s="11"/>
      <c r="G3954" s="12">
        <v>0</v>
      </c>
      <c r="H3954" s="12">
        <v>0</v>
      </c>
      <c r="I3954" s="12">
        <v>0</v>
      </c>
      <c r="J3954" s="11"/>
      <c r="K3954" s="12">
        <v>0</v>
      </c>
      <c r="L3954" s="10" t="str">
        <f>HYPERLINK("https://otsuka-europe-crm.veevavault.com/ui/#object/approved_document__v/V5O000000018003", "AE dialoghi di tempo fiducia e cura episodi 2-3-4")</f>
        <v>AE dialoghi di tempo fiducia e cura episodi 2-3-4</v>
      </c>
      <c r="M3954" s="10" t="str">
        <f>HYPERLINK("mailto:nicoletta.vozza@crm.otsuka-europe.com", "nicoletta.vozza@crm.otsuka-europe.com")</f>
        <v>nicoletta.vozza@crm.otsuka-europe.com</v>
      </c>
      <c r="N3954" s="13">
        <v>46181.337997685187</v>
      </c>
      <c r="O3954" s="14" t="str">
        <f>HYPERLINK("https://otsuka-europe-crm.veevavault.com/ui/#object/email_activity__v/V8C00000003P475", "EN-002090701")</f>
        <v>EN-002090701</v>
      </c>
    </row>
    <row r="3955" spans="1:15" ht="32" x14ac:dyDescent="0.2">
      <c r="A3955" s="7" t="str">
        <f>HYPERLINK("https://otsuka-europe-crm.veevavault.com/ui/#object/account__v/V4TZ06G6O71SCCS", "GIOVANNI SILVESTRI")</f>
        <v>GIOVANNI SILVESTRI</v>
      </c>
      <c r="B3955" s="7" t="str">
        <f>HYPERLINK("https://otsuka-europe-crm.veevavault.com/ui/#object/vcountry__v/VENZ000004SONFQ", "IT")</f>
        <v>IT</v>
      </c>
      <c r="C3955" s="8" t="s">
        <v>44</v>
      </c>
      <c r="D3955" s="9" t="str">
        <f>HYPERLINK("https://otsuka-europe-crm.veevavault.com/ui/#object/approved_document__v/V5O000000018003", "AE dialoghi di tempo fiducia e cura episodi 2-3-4")</f>
        <v>AE dialoghi di tempo fiducia e cura episodi 2-3-4</v>
      </c>
      <c r="E3955" s="10" t="str">
        <f>HYPERLINK("https://otsuka-europe-crm.veevavault.com/ui/#object/sent_email__v/VBL00000002P300", "SE-001432970")</f>
        <v>SE-001432970</v>
      </c>
      <c r="F3955" s="11"/>
      <c r="G3955" s="12">
        <v>0</v>
      </c>
      <c r="H3955" s="12">
        <v>0</v>
      </c>
      <c r="I3955" s="12">
        <v>0</v>
      </c>
      <c r="J3955" s="11"/>
      <c r="K3955" s="12">
        <v>0</v>
      </c>
      <c r="L3955" s="10" t="str">
        <f>HYPERLINK("https://otsuka-europe-crm.veevavault.com/ui/#object/approved_document__v/V5O000000018003", "AE dialoghi di tempo fiducia e cura episodi 2-3-4")</f>
        <v>AE dialoghi di tempo fiducia e cura episodi 2-3-4</v>
      </c>
      <c r="M3955" s="10" t="str">
        <f>HYPERLINK("mailto:nicoletta.vozza@crm.otsuka-europe.com", "nicoletta.vozza@crm.otsuka-europe.com")</f>
        <v>nicoletta.vozza@crm.otsuka-europe.com</v>
      </c>
      <c r="N3955" s="13">
        <v>46181.338067129633</v>
      </c>
      <c r="O3955" s="14" t="str">
        <f>HYPERLINK("https://otsuka-europe-crm.veevavault.com/ui/#object/email_activity__v/V8C00000003O598", "EN-002090154")</f>
        <v>EN-002090154</v>
      </c>
    </row>
    <row r="3956" spans="1:15" ht="32" x14ac:dyDescent="0.2">
      <c r="A3956" s="7" t="str">
        <f>HYPERLINK("https://otsuka-europe-crm.veevavault.com/ui/#object/account__v/V4TZ04ASGDOYKPZ", "GIOVANNI SOLLIMA")</f>
        <v>GIOVANNI SOLLIMA</v>
      </c>
      <c r="B3956" s="7" t="str">
        <f>HYPERLINK("https://otsuka-europe-crm.veevavault.com/ui/#object/vcountry__v/VENZ000004SONFQ", "IT")</f>
        <v>IT</v>
      </c>
      <c r="C3956" s="8" t="s">
        <v>44</v>
      </c>
      <c r="D3956" s="9" t="str">
        <f>HYPERLINK("https://otsuka-europe-crm.veevavault.com/ui/#object/approved_document__v/V5O000000018003", "AE dialoghi di tempo fiducia e cura episodi 2-3-4")</f>
        <v>AE dialoghi di tempo fiducia e cura episodi 2-3-4</v>
      </c>
      <c r="E3956" s="10" t="str">
        <f>HYPERLINK("https://otsuka-europe-crm.veevavault.com/ui/#object/sent_email__v/VBL00000002P301", "SE-001432971")</f>
        <v>SE-001432971</v>
      </c>
      <c r="F3956" s="11"/>
      <c r="G3956" s="12">
        <v>0</v>
      </c>
      <c r="H3956" s="12">
        <v>0</v>
      </c>
      <c r="I3956" s="12">
        <v>0</v>
      </c>
      <c r="J3956" s="11"/>
      <c r="K3956" s="12">
        <v>0</v>
      </c>
      <c r="L3956" s="10" t="str">
        <f>HYPERLINK("https://otsuka-europe-crm.veevavault.com/ui/#object/approved_document__v/V5O000000018003", "AE dialoghi di tempo fiducia e cura episodi 2-3-4")</f>
        <v>AE dialoghi di tempo fiducia e cura episodi 2-3-4</v>
      </c>
      <c r="M3956" s="10" t="str">
        <f>HYPERLINK("mailto:nicoletta.vozza@crm.otsuka-europe.com", "nicoletta.vozza@crm.otsuka-europe.com")</f>
        <v>nicoletta.vozza@crm.otsuka-europe.com</v>
      </c>
      <c r="N3956" s="13">
        <v>46181.338067129633</v>
      </c>
      <c r="O3956" s="14" t="str">
        <f>HYPERLINK("https://otsuka-europe-crm.veevavault.com/ui/#object/email_activity__v/V8C00000003P814", "EN-002091112")</f>
        <v>EN-002091112</v>
      </c>
    </row>
    <row r="3957" spans="1:15" ht="16" x14ac:dyDescent="0.2">
      <c r="A3957" s="17" t="str">
        <f>HYPERLINK("https://otsuka-europe-crm.veevavault.com/ui/#object/account__v/V4TZ04ASGCDFXZW", "GIOVANNI SPAGNOLETTA")</f>
        <v>GIOVANNI SPAGNOLETTA</v>
      </c>
      <c r="B3957" s="17" t="str">
        <f>HYPERLINK("https://otsuka-europe-crm.veevavault.com/ui/#object/vcountry__v/VENZ000004SONFQ", "IT")</f>
        <v>IT</v>
      </c>
      <c r="C3957" s="20" t="s">
        <v>44</v>
      </c>
      <c r="D3957" s="21" t="str">
        <f>HYPERLINK("https://otsuka-europe-crm.veevavault.com/ui/#object/approved_document__v/V5O000000018003", "AE dialoghi di tempo fiducia e cura episodi 2-3-4")</f>
        <v>AE dialoghi di tempo fiducia e cura episodi 2-3-4</v>
      </c>
      <c r="E3957" s="22" t="str">
        <f>HYPERLINK("https://otsuka-europe-crm.veevavault.com/ui/#object/sent_email__v/VBL00000002P302", "SE-001432972")</f>
        <v>SE-001432972</v>
      </c>
      <c r="F3957" s="23">
        <v>46181.500821759262</v>
      </c>
      <c r="G3957" s="24">
        <v>1</v>
      </c>
      <c r="H3957" s="24">
        <v>2</v>
      </c>
      <c r="I3957" s="24">
        <v>0</v>
      </c>
      <c r="J3957" s="25"/>
      <c r="K3957" s="24">
        <v>0</v>
      </c>
      <c r="L3957" s="22" t="str">
        <f>HYPERLINK("https://otsuka-europe-crm.veevavault.com/ui/#object/approved_document__v/V5O000000018003", "AE dialoghi di tempo fiducia e cura episodi 2-3-4")</f>
        <v>AE dialoghi di tempo fiducia e cura episodi 2-3-4</v>
      </c>
      <c r="M3957" s="22" t="str">
        <f>HYPERLINK("mailto:nicoletta.vozza@crm.otsuka-europe.com", "nicoletta.vozza@crm.otsuka-europe.com")</f>
        <v>nicoletta.vozza@crm.otsuka-europe.com</v>
      </c>
      <c r="N3957" s="23">
        <v>46181.337962962964</v>
      </c>
      <c r="O3957" s="14" t="str">
        <f>HYPERLINK("https://otsuka-europe-crm.veevavault.com/ui/#object/email_activity__v/V8C00000003O856", "EN-002090465")</f>
        <v>EN-002090465</v>
      </c>
    </row>
    <row r="3958" spans="1:15" ht="16" x14ac:dyDescent="0.2">
      <c r="A3958" s="18"/>
      <c r="B3958" s="18"/>
      <c r="C3958" s="18"/>
      <c r="D3958" s="18"/>
      <c r="E3958" s="18"/>
      <c r="F3958" s="18"/>
      <c r="G3958" s="18"/>
      <c r="H3958" s="18"/>
      <c r="I3958" s="18"/>
      <c r="J3958" s="18"/>
      <c r="K3958" s="18"/>
      <c r="L3958" s="18"/>
      <c r="M3958" s="18"/>
      <c r="N3958" s="18"/>
      <c r="O3958" s="14" t="str">
        <f>HYPERLINK("https://otsuka-europe-crm.veevavault.com/ui/#object/email_activity__v/V8C00000003P273", "EN-002089851")</f>
        <v>EN-002089851</v>
      </c>
    </row>
    <row r="3959" spans="1:15" ht="16" x14ac:dyDescent="0.2">
      <c r="A3959" s="19"/>
      <c r="B3959" s="19"/>
      <c r="C3959" s="19"/>
      <c r="D3959" s="19"/>
      <c r="E3959" s="19"/>
      <c r="F3959" s="19"/>
      <c r="G3959" s="19"/>
      <c r="H3959" s="19"/>
      <c r="I3959" s="19"/>
      <c r="J3959" s="19"/>
      <c r="K3959" s="19"/>
      <c r="L3959" s="19"/>
      <c r="M3959" s="19"/>
      <c r="N3959" s="19"/>
      <c r="O3959" s="14" t="str">
        <f>HYPERLINK("https://otsuka-europe-crm.veevavault.com/ui/#object/email_activity__v/V8C00000003R124", "EN-002091919")</f>
        <v>EN-002091919</v>
      </c>
    </row>
    <row r="3960" spans="1:15" ht="32" x14ac:dyDescent="0.2">
      <c r="A3960" s="7" t="str">
        <f>HYPERLINK("https://otsuka-europe-crm.veevavault.com/ui/#object/account__v/V4TZ06G6O71SCI2", "GIoVANNI SPECiALE")</f>
        <v>GIoVANNI SPECiALE</v>
      </c>
      <c r="B3960" s="7" t="str">
        <f>HYPERLINK("https://otsuka-europe-crm.veevavault.com/ui/#object/vcountry__v/VENZ000004SONFQ", "IT")</f>
        <v>IT</v>
      </c>
      <c r="C3960" s="8" t="s">
        <v>44</v>
      </c>
      <c r="D3960" s="9" t="str">
        <f>HYPERLINK("https://otsuka-europe-crm.veevavault.com/ui/#object/approved_document__v/V5O000000018003", "AE dialoghi di tempo fiducia e cura episodi 2-3-4")</f>
        <v>AE dialoghi di tempo fiducia e cura episodi 2-3-4</v>
      </c>
      <c r="E3960" s="10" t="str">
        <f>HYPERLINK("https://otsuka-europe-crm.veevavault.com/ui/#object/sent_email__v/VBL00000002P303", "SE-001432973")</f>
        <v>SE-001432973</v>
      </c>
      <c r="F3960" s="11"/>
      <c r="G3960" s="12">
        <v>0</v>
      </c>
      <c r="H3960" s="12">
        <v>0</v>
      </c>
      <c r="I3960" s="12">
        <v>0</v>
      </c>
      <c r="J3960" s="11"/>
      <c r="K3960" s="12">
        <v>0</v>
      </c>
      <c r="L3960" s="10" t="str">
        <f>HYPERLINK("https://otsuka-europe-crm.veevavault.com/ui/#object/approved_document__v/V5O000000018003", "AE dialoghi di tempo fiducia e cura episodi 2-3-4")</f>
        <v>AE dialoghi di tempo fiducia e cura episodi 2-3-4</v>
      </c>
      <c r="M3960" s="10" t="str">
        <f>HYPERLINK("mailto:nicoletta.vozza@crm.otsuka-europe.com", "nicoletta.vozza@crm.otsuka-europe.com")</f>
        <v>nicoletta.vozza@crm.otsuka-europe.com</v>
      </c>
      <c r="N3960" s="13">
        <v>46181.338090277779</v>
      </c>
      <c r="O3960" s="14" t="str">
        <f>HYPERLINK("https://otsuka-europe-crm.veevavault.com/ui/#object/email_activity__v/V8C00000003P494", "EN-002090710")</f>
        <v>EN-002090710</v>
      </c>
    </row>
    <row r="3961" spans="1:15" ht="16" x14ac:dyDescent="0.2">
      <c r="A3961" s="17" t="str">
        <f>HYPERLINK("https://otsuka-europe-crm.veevavault.com/ui/#object/account__v/V4TZ06G6O71SCGC", "GIOVANNI SPIGA")</f>
        <v>GIOVANNI SPIGA</v>
      </c>
      <c r="B3961" s="17" t="str">
        <f>HYPERLINK("https://otsuka-europe-crm.veevavault.com/ui/#object/vcountry__v/VENZ000004SONFQ", "IT")</f>
        <v>IT</v>
      </c>
      <c r="C3961" s="20" t="s">
        <v>44</v>
      </c>
      <c r="D3961" s="21" t="str">
        <f>HYPERLINK("https://otsuka-europe-crm.veevavault.com/ui/#object/approved_document__v/V5O000000018003", "AE dialoghi di tempo fiducia e cura episodi 2-3-4")</f>
        <v>AE dialoghi di tempo fiducia e cura episodi 2-3-4</v>
      </c>
      <c r="E3961" s="22" t="str">
        <f>HYPERLINK("https://otsuka-europe-crm.veevavault.com/ui/#object/sent_email__v/VBL00000002P304", "SE-001432974")</f>
        <v>SE-001432974</v>
      </c>
      <c r="F3961" s="25"/>
      <c r="G3961" s="24">
        <v>0</v>
      </c>
      <c r="H3961" s="24">
        <v>0</v>
      </c>
      <c r="I3961" s="24">
        <v>0</v>
      </c>
      <c r="J3961" s="25"/>
      <c r="K3961" s="24">
        <v>0</v>
      </c>
      <c r="L3961" s="22" t="str">
        <f>HYPERLINK("https://otsuka-europe-crm.veevavault.com/ui/#object/approved_document__v/V5O000000018003", "AE dialoghi di tempo fiducia e cura episodi 2-3-4")</f>
        <v>AE dialoghi di tempo fiducia e cura episodi 2-3-4</v>
      </c>
      <c r="M3961" s="22" t="str">
        <f>HYPERLINK("mailto:nicoletta.vozza@crm.otsuka-europe.com", "nicoletta.vozza@crm.otsuka-europe.com")</f>
        <v>nicoletta.vozza@crm.otsuka-europe.com</v>
      </c>
      <c r="N3961" s="23">
        <v>46181.33803240741</v>
      </c>
      <c r="O3961" s="14" t="str">
        <f>HYPERLINK("https://otsuka-europe-crm.veevavault.com/ui/#object/email_activity__v/V8C00000003P867", "EN-002091306")</f>
        <v>EN-002091306</v>
      </c>
    </row>
    <row r="3962" spans="1:15" ht="16" x14ac:dyDescent="0.2">
      <c r="A3962" s="18"/>
      <c r="B3962" s="18"/>
      <c r="C3962" s="18"/>
      <c r="D3962" s="18"/>
      <c r="E3962" s="18"/>
      <c r="F3962" s="18"/>
      <c r="G3962" s="18"/>
      <c r="H3962" s="18"/>
      <c r="I3962" s="18"/>
      <c r="J3962" s="18"/>
      <c r="K3962" s="18"/>
      <c r="L3962" s="18"/>
      <c r="M3962" s="18"/>
      <c r="N3962" s="18"/>
      <c r="O3962" s="14" t="str">
        <f>HYPERLINK("https://otsuka-europe-crm.veevavault.com/ui/#object/email_activity__v/V8C00000003Q200", "EN-002091305")</f>
        <v>EN-002091305</v>
      </c>
    </row>
    <row r="3963" spans="1:15" ht="16" x14ac:dyDescent="0.2">
      <c r="A3963" s="18"/>
      <c r="B3963" s="18"/>
      <c r="C3963" s="18"/>
      <c r="D3963" s="18"/>
      <c r="E3963" s="18"/>
      <c r="F3963" s="18"/>
      <c r="G3963" s="18"/>
      <c r="H3963" s="18"/>
      <c r="I3963" s="18"/>
      <c r="J3963" s="18"/>
      <c r="K3963" s="18"/>
      <c r="L3963" s="18"/>
      <c r="M3963" s="18"/>
      <c r="N3963" s="18"/>
      <c r="O3963" s="14" t="str">
        <f>HYPERLINK("https://otsuka-europe-crm.veevavault.com/ui/#object/email_activity__v/V8C00000003U040", "EN-002094894")</f>
        <v>EN-002094894</v>
      </c>
    </row>
    <row r="3964" spans="1:15" ht="16" x14ac:dyDescent="0.2">
      <c r="A3964" s="18"/>
      <c r="B3964" s="18"/>
      <c r="C3964" s="18"/>
      <c r="D3964" s="18"/>
      <c r="E3964" s="18"/>
      <c r="F3964" s="18"/>
      <c r="G3964" s="18"/>
      <c r="H3964" s="18"/>
      <c r="I3964" s="18"/>
      <c r="J3964" s="18"/>
      <c r="K3964" s="18"/>
      <c r="L3964" s="18"/>
      <c r="M3964" s="18"/>
      <c r="N3964" s="18"/>
      <c r="O3964" s="14" t="str">
        <f>HYPERLINK("https://otsuka-europe-crm.veevavault.com/ui/#object/email_activity__v/V8C00000003U414", "EN-002095686")</f>
        <v>EN-002095686</v>
      </c>
    </row>
    <row r="3965" spans="1:15" ht="16" x14ac:dyDescent="0.2">
      <c r="A3965" s="19"/>
      <c r="B3965" s="19"/>
      <c r="C3965" s="19"/>
      <c r="D3965" s="19"/>
      <c r="E3965" s="19"/>
      <c r="F3965" s="19"/>
      <c r="G3965" s="19"/>
      <c r="H3965" s="19"/>
      <c r="I3965" s="19"/>
      <c r="J3965" s="19"/>
      <c r="K3965" s="19"/>
      <c r="L3965" s="19"/>
      <c r="M3965" s="19"/>
      <c r="N3965" s="19"/>
      <c r="O3965" s="14" t="str">
        <f>HYPERLINK("https://otsuka-europe-crm.veevavault.com/ui/#object/email_activity__v/V8C00000003W110", "EN-002096861")</f>
        <v>EN-002096861</v>
      </c>
    </row>
    <row r="3966" spans="1:15" ht="32" x14ac:dyDescent="0.2">
      <c r="A3966" s="7" t="str">
        <f>HYPERLINK("https://otsuka-europe-crm.veevavault.com/ui/#object/account__v/V4TZ06G6O71SCLE", "GIOVANNI TRASATTI")</f>
        <v>GIOVANNI TRASATTI</v>
      </c>
      <c r="B3966" s="7" t="str">
        <f t="shared" ref="B3966:B3976" si="300">HYPERLINK("https://otsuka-europe-crm.veevavault.com/ui/#object/vcountry__v/VENZ000004SONFQ", "IT")</f>
        <v>IT</v>
      </c>
      <c r="C3966" s="8" t="s">
        <v>44</v>
      </c>
      <c r="D3966" s="9" t="str">
        <f t="shared" ref="D3966:D3976" si="301">HYPERLINK("https://otsuka-europe-crm.veevavault.com/ui/#object/approved_document__v/V5O000000018003", "AE dialoghi di tempo fiducia e cura episodi 2-3-4")</f>
        <v>AE dialoghi di tempo fiducia e cura episodi 2-3-4</v>
      </c>
      <c r="E3966" s="10" t="str">
        <f>HYPERLINK("https://otsuka-europe-crm.veevavault.com/ui/#object/sent_email__v/VBL00000002P305", "SE-001432975")</f>
        <v>SE-001432975</v>
      </c>
      <c r="F3966" s="11"/>
      <c r="G3966" s="12">
        <v>0</v>
      </c>
      <c r="H3966" s="12">
        <v>0</v>
      </c>
      <c r="I3966" s="12">
        <v>0</v>
      </c>
      <c r="J3966" s="11"/>
      <c r="K3966" s="12">
        <v>0</v>
      </c>
      <c r="L3966" s="10" t="str">
        <f t="shared" ref="L3966:L3976" si="302">HYPERLINK("https://otsuka-europe-crm.veevavault.com/ui/#object/approved_document__v/V5O000000018003", "AE dialoghi di tempo fiducia e cura episodi 2-3-4")</f>
        <v>AE dialoghi di tempo fiducia e cura episodi 2-3-4</v>
      </c>
      <c r="M3966" s="10" t="str">
        <f t="shared" ref="M3966:M3976" si="303">HYPERLINK("mailto:nicoletta.vozza@crm.otsuka-europe.com", "nicoletta.vozza@crm.otsuka-europe.com")</f>
        <v>nicoletta.vozza@crm.otsuka-europe.com</v>
      </c>
      <c r="N3966" s="13">
        <v>46181.338043981479</v>
      </c>
      <c r="O3966" s="14" t="str">
        <f>HYPERLINK("https://otsuka-europe-crm.veevavault.com/ui/#object/email_activity__v/V8C00000003P753", "EN-002091051")</f>
        <v>EN-002091051</v>
      </c>
    </row>
    <row r="3967" spans="1:15" ht="32" x14ac:dyDescent="0.2">
      <c r="A3967" s="7" t="str">
        <f>HYPERLINK("https://otsuka-europe-crm.veevavault.com/ui/#object/account__v/V4TZ025E87MTWOE", "GIOVANNI ZACCARO")</f>
        <v>GIOVANNI ZACCARO</v>
      </c>
      <c r="B3967" s="7" t="str">
        <f t="shared" si="300"/>
        <v>IT</v>
      </c>
      <c r="C3967" s="8" t="s">
        <v>44</v>
      </c>
      <c r="D3967" s="9" t="str">
        <f t="shared" si="301"/>
        <v>AE dialoghi di tempo fiducia e cura episodi 2-3-4</v>
      </c>
      <c r="E3967" s="10" t="str">
        <f>HYPERLINK("https://otsuka-europe-crm.veevavault.com/ui/#object/sent_email__v/VBL00000002P306", "SE-001432976")</f>
        <v>SE-001432976</v>
      </c>
      <c r="F3967" s="11"/>
      <c r="G3967" s="12">
        <v>0</v>
      </c>
      <c r="H3967" s="12">
        <v>0</v>
      </c>
      <c r="I3967" s="12">
        <v>0</v>
      </c>
      <c r="J3967" s="11"/>
      <c r="K3967" s="12">
        <v>0</v>
      </c>
      <c r="L3967" s="10" t="str">
        <f t="shared" si="302"/>
        <v>AE dialoghi di tempo fiducia e cura episodi 2-3-4</v>
      </c>
      <c r="M3967" s="10" t="str">
        <f t="shared" si="303"/>
        <v>nicoletta.vozza@crm.otsuka-europe.com</v>
      </c>
      <c r="N3967" s="13">
        <v>46181.337997685187</v>
      </c>
      <c r="O3967" s="14" t="str">
        <f>HYPERLINK("https://otsuka-europe-crm.veevavault.com/ui/#object/email_activity__v/V8C00000003P704", "EN-002090959")</f>
        <v>EN-002090959</v>
      </c>
    </row>
    <row r="3968" spans="1:15" ht="32" x14ac:dyDescent="0.2">
      <c r="A3968" s="7" t="str">
        <f>HYPERLINK("https://otsuka-europe-crm.veevavault.com/ui/#object/account__v/V4TZ04ASGFQ5OR0", "GIUDITTA PORTERI")</f>
        <v>GIUDITTA PORTERI</v>
      </c>
      <c r="B3968" s="7" t="str">
        <f t="shared" si="300"/>
        <v>IT</v>
      </c>
      <c r="C3968" s="8" t="s">
        <v>44</v>
      </c>
      <c r="D3968" s="9" t="str">
        <f t="shared" si="301"/>
        <v>AE dialoghi di tempo fiducia e cura episodi 2-3-4</v>
      </c>
      <c r="E3968" s="10" t="str">
        <f>HYPERLINK("https://otsuka-europe-crm.veevavault.com/ui/#object/sent_email__v/VBL00000002P307", "SE-001432977")</f>
        <v>SE-001432977</v>
      </c>
      <c r="F3968" s="11"/>
      <c r="G3968" s="12">
        <v>0</v>
      </c>
      <c r="H3968" s="12">
        <v>0</v>
      </c>
      <c r="I3968" s="12">
        <v>0</v>
      </c>
      <c r="J3968" s="11"/>
      <c r="K3968" s="12">
        <v>0</v>
      </c>
      <c r="L3968" s="10" t="str">
        <f t="shared" si="302"/>
        <v>AE dialoghi di tempo fiducia e cura episodi 2-3-4</v>
      </c>
      <c r="M3968" s="10" t="str">
        <f t="shared" si="303"/>
        <v>nicoletta.vozza@crm.otsuka-europe.com</v>
      </c>
      <c r="N3968" s="13">
        <v>46181.33803240741</v>
      </c>
      <c r="O3968" s="14" t="str">
        <f>HYPERLINK("https://otsuka-europe-crm.veevavault.com/ui/#object/email_activity__v/V8C00000003O720", "EN-002090276")</f>
        <v>EN-002090276</v>
      </c>
    </row>
    <row r="3969" spans="1:15" ht="32" x14ac:dyDescent="0.2">
      <c r="A3969" s="7" t="str">
        <f>HYPERLINK("https://otsuka-europe-crm.veevavault.com/ui/#object/account__v/V4TZ06G6O71S9TA", "GIULIA AMATO")</f>
        <v>GIULIA AMATO</v>
      </c>
      <c r="B3969" s="7" t="str">
        <f t="shared" si="300"/>
        <v>IT</v>
      </c>
      <c r="C3969" s="8" t="s">
        <v>44</v>
      </c>
      <c r="D3969" s="9" t="str">
        <f t="shared" si="301"/>
        <v>AE dialoghi di tempo fiducia e cura episodi 2-3-4</v>
      </c>
      <c r="E3969" s="10" t="str">
        <f>HYPERLINK("https://otsuka-europe-crm.veevavault.com/ui/#object/sent_email__v/VBL00000002P308", "SE-001432978")</f>
        <v>SE-001432978</v>
      </c>
      <c r="F3969" s="11"/>
      <c r="G3969" s="12">
        <v>0</v>
      </c>
      <c r="H3969" s="12">
        <v>0</v>
      </c>
      <c r="I3969" s="12">
        <v>0</v>
      </c>
      <c r="J3969" s="11"/>
      <c r="K3969" s="12">
        <v>0</v>
      </c>
      <c r="L3969" s="10" t="str">
        <f t="shared" si="302"/>
        <v>AE dialoghi di tempo fiducia e cura episodi 2-3-4</v>
      </c>
      <c r="M3969" s="10" t="str">
        <f t="shared" si="303"/>
        <v>nicoletta.vozza@crm.otsuka-europe.com</v>
      </c>
      <c r="N3969" s="13">
        <v>46181.33798611111</v>
      </c>
      <c r="O3969" s="14" t="str">
        <f>HYPERLINK("https://otsuka-europe-crm.veevavault.com/ui/#object/email_activity__v/V8C00000003Q206", "EN-002091312")</f>
        <v>EN-002091312</v>
      </c>
    </row>
    <row r="3970" spans="1:15" ht="32" x14ac:dyDescent="0.2">
      <c r="A3970" s="7" t="str">
        <f>HYPERLINK("https://otsuka-europe-crm.veevavault.com/ui/#object/account__v/V4TZ025E84WA85T", "GIULIA BATTISTI")</f>
        <v>GIULIA BATTISTI</v>
      </c>
      <c r="B3970" s="7" t="str">
        <f t="shared" si="300"/>
        <v>IT</v>
      </c>
      <c r="C3970" s="8" t="s">
        <v>44</v>
      </c>
      <c r="D3970" s="9" t="str">
        <f t="shared" si="301"/>
        <v>AE dialoghi di tempo fiducia e cura episodi 2-3-4</v>
      </c>
      <c r="E3970" s="10" t="str">
        <f>HYPERLINK("https://otsuka-europe-crm.veevavault.com/ui/#object/sent_email__v/VBL00000002P309", "SE-001432979")</f>
        <v>SE-001432979</v>
      </c>
      <c r="F3970" s="11"/>
      <c r="G3970" s="12">
        <v>0</v>
      </c>
      <c r="H3970" s="12">
        <v>0</v>
      </c>
      <c r="I3970" s="12">
        <v>0</v>
      </c>
      <c r="J3970" s="11"/>
      <c r="K3970" s="12">
        <v>0</v>
      </c>
      <c r="L3970" s="10" t="str">
        <f t="shared" si="302"/>
        <v>AE dialoghi di tempo fiducia e cura episodi 2-3-4</v>
      </c>
      <c r="M3970" s="10" t="str">
        <f t="shared" si="303"/>
        <v>nicoletta.vozza@crm.otsuka-europe.com</v>
      </c>
      <c r="N3970" s="13">
        <v>46181.33803240741</v>
      </c>
      <c r="O3970" s="14" t="str">
        <f>HYPERLINK("https://otsuka-europe-crm.veevavault.com/ui/#object/email_activity__v/V8C00000003O758", "EN-002090314")</f>
        <v>EN-002090314</v>
      </c>
    </row>
    <row r="3971" spans="1:15" ht="32" x14ac:dyDescent="0.2">
      <c r="A3971" s="7" t="str">
        <f>HYPERLINK("https://otsuka-europe-crm.veevavault.com/ui/#object/account__v/V4TZ06G6O71S9EC", "GIULIA BRACCI")</f>
        <v>GIULIA BRACCI</v>
      </c>
      <c r="B3971" s="7" t="str">
        <f t="shared" si="300"/>
        <v>IT</v>
      </c>
      <c r="C3971" s="8" t="s">
        <v>44</v>
      </c>
      <c r="D3971" s="9" t="str">
        <f t="shared" si="301"/>
        <v>AE dialoghi di tempo fiducia e cura episodi 2-3-4</v>
      </c>
      <c r="E3971" s="10" t="str">
        <f>HYPERLINK("https://otsuka-europe-crm.veevavault.com/ui/#object/sent_email__v/VBL00000002P310", "SE-001432980")</f>
        <v>SE-001432980</v>
      </c>
      <c r="F3971" s="11"/>
      <c r="G3971" s="12">
        <v>0</v>
      </c>
      <c r="H3971" s="12">
        <v>0</v>
      </c>
      <c r="I3971" s="12">
        <v>0</v>
      </c>
      <c r="J3971" s="11"/>
      <c r="K3971" s="12">
        <v>0</v>
      </c>
      <c r="L3971" s="10" t="str">
        <f t="shared" si="302"/>
        <v>AE dialoghi di tempo fiducia e cura episodi 2-3-4</v>
      </c>
      <c r="M3971" s="10" t="str">
        <f t="shared" si="303"/>
        <v>nicoletta.vozza@crm.otsuka-europe.com</v>
      </c>
      <c r="N3971" s="13">
        <v>46181.338055555556</v>
      </c>
      <c r="O3971" s="14" t="str">
        <f>HYPERLINK("https://otsuka-europe-crm.veevavault.com/ui/#object/email_activity__v/V8C00000003O587", "EN-002090143")</f>
        <v>EN-002090143</v>
      </c>
    </row>
    <row r="3972" spans="1:15" ht="32" x14ac:dyDescent="0.2">
      <c r="A3972" s="7" t="str">
        <f>HYPERLINK("https://otsuka-europe-crm.veevavault.com/ui/#object/account__v/V4TZ06G6O71SB25", "GIULIA CARLA MARIA CLONFERO")</f>
        <v>GIULIA CARLA MARIA CLONFERO</v>
      </c>
      <c r="B3972" s="7" t="str">
        <f t="shared" si="300"/>
        <v>IT</v>
      </c>
      <c r="C3972" s="8" t="s">
        <v>44</v>
      </c>
      <c r="D3972" s="9" t="str">
        <f t="shared" si="301"/>
        <v>AE dialoghi di tempo fiducia e cura episodi 2-3-4</v>
      </c>
      <c r="E3972" s="10" t="str">
        <f>HYPERLINK("https://otsuka-europe-crm.veevavault.com/ui/#object/sent_email__v/VBL00000002P311", "SE-001432981")</f>
        <v>SE-001432981</v>
      </c>
      <c r="F3972" s="11"/>
      <c r="G3972" s="12">
        <v>0</v>
      </c>
      <c r="H3972" s="12">
        <v>0</v>
      </c>
      <c r="I3972" s="12">
        <v>0</v>
      </c>
      <c r="J3972" s="11"/>
      <c r="K3972" s="12">
        <v>0</v>
      </c>
      <c r="L3972" s="10" t="str">
        <f t="shared" si="302"/>
        <v>AE dialoghi di tempo fiducia e cura episodi 2-3-4</v>
      </c>
      <c r="M3972" s="10" t="str">
        <f t="shared" si="303"/>
        <v>nicoletta.vozza@crm.otsuka-europe.com</v>
      </c>
      <c r="N3972" s="13">
        <v>46181.33797453704</v>
      </c>
      <c r="O3972" s="14" t="str">
        <f>HYPERLINK("https://otsuka-europe-crm.veevavault.com/ui/#object/email_activity__v/V8C00000003O561", "EN-002090117")</f>
        <v>EN-002090117</v>
      </c>
    </row>
    <row r="3973" spans="1:15" ht="32" x14ac:dyDescent="0.2">
      <c r="A3973" s="7" t="str">
        <f>HYPERLINK("https://otsuka-europe-crm.veevavault.com/ui/#object/account__v/V4TZ025E88ZQL0L", "GIULIA CASATI")</f>
        <v>GIULIA CASATI</v>
      </c>
      <c r="B3973" s="7" t="str">
        <f t="shared" si="300"/>
        <v>IT</v>
      </c>
      <c r="C3973" s="8" t="s">
        <v>44</v>
      </c>
      <c r="D3973" s="9" t="str">
        <f t="shared" si="301"/>
        <v>AE dialoghi di tempo fiducia e cura episodi 2-3-4</v>
      </c>
      <c r="E3973" s="10" t="str">
        <f>HYPERLINK("https://otsuka-europe-crm.veevavault.com/ui/#object/sent_email__v/VBL00000002P312", "SE-001432982")</f>
        <v>SE-001432982</v>
      </c>
      <c r="F3973" s="11"/>
      <c r="G3973" s="12">
        <v>0</v>
      </c>
      <c r="H3973" s="12">
        <v>0</v>
      </c>
      <c r="I3973" s="12">
        <v>0</v>
      </c>
      <c r="J3973" s="11"/>
      <c r="K3973" s="12">
        <v>0</v>
      </c>
      <c r="L3973" s="10" t="str">
        <f t="shared" si="302"/>
        <v>AE dialoghi di tempo fiducia e cura episodi 2-3-4</v>
      </c>
      <c r="M3973" s="10" t="str">
        <f t="shared" si="303"/>
        <v>nicoletta.vozza@crm.otsuka-europe.com</v>
      </c>
      <c r="N3973" s="13">
        <v>46181.337997685187</v>
      </c>
      <c r="O3973" s="14" t="str">
        <f>HYPERLINK("https://otsuka-europe-crm.veevavault.com/ui/#object/email_activity__v/V8C00000003O912", "EN-002090572")</f>
        <v>EN-002090572</v>
      </c>
    </row>
    <row r="3974" spans="1:15" ht="32" x14ac:dyDescent="0.2">
      <c r="A3974" s="7" t="str">
        <f>HYPERLINK("https://otsuka-europe-crm.veevavault.com/ui/#object/account__v/V4TZ06G6O71SB44", "GIULIA CREMANTE")</f>
        <v>GIULIA CREMANTE</v>
      </c>
      <c r="B3974" s="7" t="str">
        <f t="shared" si="300"/>
        <v>IT</v>
      </c>
      <c r="C3974" s="8" t="s">
        <v>44</v>
      </c>
      <c r="D3974" s="9" t="str">
        <f t="shared" si="301"/>
        <v>AE dialoghi di tempo fiducia e cura episodi 2-3-4</v>
      </c>
      <c r="E3974" s="10" t="str">
        <f>HYPERLINK("https://otsuka-europe-crm.veevavault.com/ui/#object/sent_email__v/VBL00000002P313", "SE-001432983")</f>
        <v>SE-001432983</v>
      </c>
      <c r="F3974" s="11"/>
      <c r="G3974" s="12">
        <v>0</v>
      </c>
      <c r="H3974" s="12">
        <v>0</v>
      </c>
      <c r="I3974" s="12">
        <v>0</v>
      </c>
      <c r="J3974" s="11"/>
      <c r="K3974" s="12">
        <v>0</v>
      </c>
      <c r="L3974" s="10" t="str">
        <f t="shared" si="302"/>
        <v>AE dialoghi di tempo fiducia e cura episodi 2-3-4</v>
      </c>
      <c r="M3974" s="10" t="str">
        <f t="shared" si="303"/>
        <v>nicoletta.vozza@crm.otsuka-europe.com</v>
      </c>
      <c r="N3974" s="13">
        <v>46181.33803240741</v>
      </c>
      <c r="O3974" s="14" t="str">
        <f>HYPERLINK("https://otsuka-europe-crm.veevavault.com/ui/#object/email_activity__v/V8C00000003P619", "EN-002090874")</f>
        <v>EN-002090874</v>
      </c>
    </row>
    <row r="3975" spans="1:15" ht="32" x14ac:dyDescent="0.2">
      <c r="A3975" s="7" t="str">
        <f>HYPERLINK("https://otsuka-europe-crm.veevavault.com/ui/#object/account__v/V4TZ06G6O71S9F5", "GIULIA CUOGHI")</f>
        <v>GIULIA CUOGHI</v>
      </c>
      <c r="B3975" s="7" t="str">
        <f t="shared" si="300"/>
        <v>IT</v>
      </c>
      <c r="C3975" s="8" t="s">
        <v>44</v>
      </c>
      <c r="D3975" s="9" t="str">
        <f t="shared" si="301"/>
        <v>AE dialoghi di tempo fiducia e cura episodi 2-3-4</v>
      </c>
      <c r="E3975" s="10" t="str">
        <f>HYPERLINK("https://otsuka-europe-crm.veevavault.com/ui/#object/sent_email__v/VBL00000002P314", "SE-001432984")</f>
        <v>SE-001432984</v>
      </c>
      <c r="F3975" s="11"/>
      <c r="G3975" s="12">
        <v>0</v>
      </c>
      <c r="H3975" s="12">
        <v>0</v>
      </c>
      <c r="I3975" s="12">
        <v>0</v>
      </c>
      <c r="J3975" s="11"/>
      <c r="K3975" s="12">
        <v>0</v>
      </c>
      <c r="L3975" s="10" t="str">
        <f t="shared" si="302"/>
        <v>AE dialoghi di tempo fiducia e cura episodi 2-3-4</v>
      </c>
      <c r="M3975" s="10" t="str">
        <f t="shared" si="303"/>
        <v>nicoletta.vozza@crm.otsuka-europe.com</v>
      </c>
      <c r="N3975" s="13">
        <v>46181.338055555556</v>
      </c>
      <c r="O3975" s="14" t="str">
        <f>HYPERLINK("https://otsuka-europe-crm.veevavault.com/ui/#object/email_activity__v/V8C00000003P811", "EN-002091109")</f>
        <v>EN-002091109</v>
      </c>
    </row>
    <row r="3976" spans="1:15" ht="16" x14ac:dyDescent="0.2">
      <c r="A3976" s="17" t="str">
        <f>HYPERLINK("https://otsuka-europe-crm.veevavault.com/ui/#object/account__v/V4TZ025E86WORCM", "GIULIA DI GIROLAMO")</f>
        <v>GIULIA DI GIROLAMO</v>
      </c>
      <c r="B3976" s="17" t="str">
        <f t="shared" si="300"/>
        <v>IT</v>
      </c>
      <c r="C3976" s="20" t="s">
        <v>44</v>
      </c>
      <c r="D3976" s="21" t="str">
        <f t="shared" si="301"/>
        <v>AE dialoghi di tempo fiducia e cura episodi 2-3-4</v>
      </c>
      <c r="E3976" s="22" t="str">
        <f>HYPERLINK("https://otsuka-europe-crm.veevavault.com/ui/#object/sent_email__v/VBL00000002P315", "SE-001432985")</f>
        <v>SE-001432985</v>
      </c>
      <c r="F3976" s="23">
        <v>46181.390173611115</v>
      </c>
      <c r="G3976" s="24">
        <v>1</v>
      </c>
      <c r="H3976" s="24">
        <v>2</v>
      </c>
      <c r="I3976" s="24">
        <v>0</v>
      </c>
      <c r="J3976" s="25"/>
      <c r="K3976" s="24">
        <v>0</v>
      </c>
      <c r="L3976" s="22" t="str">
        <f t="shared" si="302"/>
        <v>AE dialoghi di tempo fiducia e cura episodi 2-3-4</v>
      </c>
      <c r="M3976" s="22" t="str">
        <f t="shared" si="303"/>
        <v>nicoletta.vozza@crm.otsuka-europe.com</v>
      </c>
      <c r="N3976" s="23">
        <v>46181.33798611111</v>
      </c>
      <c r="O3976" s="14" t="str">
        <f>HYPERLINK("https://otsuka-europe-crm.veevavault.com/ui/#object/email_activity__v/V8C00000003O222", "EN-002089699")</f>
        <v>EN-002089699</v>
      </c>
    </row>
    <row r="3977" spans="1:15" ht="16" x14ac:dyDescent="0.2">
      <c r="A3977" s="18"/>
      <c r="B3977" s="18"/>
      <c r="C3977" s="18"/>
      <c r="D3977" s="18"/>
      <c r="E3977" s="18"/>
      <c r="F3977" s="18"/>
      <c r="G3977" s="18"/>
      <c r="H3977" s="18"/>
      <c r="I3977" s="18"/>
      <c r="J3977" s="18"/>
      <c r="K3977" s="18"/>
      <c r="L3977" s="18"/>
      <c r="M3977" s="18"/>
      <c r="N3977" s="18"/>
      <c r="O3977" s="14" t="str">
        <f>HYPERLINK("https://otsuka-europe-crm.veevavault.com/ui/#object/email_activity__v/V8C00000003Q480", "EN-002091727")</f>
        <v>EN-002091727</v>
      </c>
    </row>
    <row r="3978" spans="1:15" ht="16" x14ac:dyDescent="0.2">
      <c r="A3978" s="19"/>
      <c r="B3978" s="19"/>
      <c r="C3978" s="19"/>
      <c r="D3978" s="19"/>
      <c r="E3978" s="19"/>
      <c r="F3978" s="19"/>
      <c r="G3978" s="19"/>
      <c r="H3978" s="19"/>
      <c r="I3978" s="19"/>
      <c r="J3978" s="19"/>
      <c r="K3978" s="19"/>
      <c r="L3978" s="19"/>
      <c r="M3978" s="19"/>
      <c r="N3978" s="19"/>
      <c r="O3978" s="14" t="str">
        <f>HYPERLINK("https://otsuka-europe-crm.veevavault.com/ui/#object/email_activity__v/V8C00000003Q481", "EN-002091728")</f>
        <v>EN-002091728</v>
      </c>
    </row>
    <row r="3979" spans="1:15" ht="32" x14ac:dyDescent="0.2">
      <c r="A3979" s="7" t="str">
        <f>HYPERLINK("https://otsuka-europe-crm.veevavault.com/ui/#object/account__v/V4TZ04ASG6SZLP8", "GIULIA GARGANO")</f>
        <v>GIULIA GARGANO</v>
      </c>
      <c r="B3979" s="7" t="str">
        <f t="shared" ref="B3979:B3984" si="304">HYPERLINK("https://otsuka-europe-crm.veevavault.com/ui/#object/vcountry__v/VENZ000004SONFQ", "IT")</f>
        <v>IT</v>
      </c>
      <c r="C3979" s="8" t="s">
        <v>44</v>
      </c>
      <c r="D3979" s="9" t="str">
        <f t="shared" ref="D3979:D3984" si="305">HYPERLINK("https://otsuka-europe-crm.veevavault.com/ui/#object/approved_document__v/V5O000000018003", "AE dialoghi di tempo fiducia e cura episodi 2-3-4")</f>
        <v>AE dialoghi di tempo fiducia e cura episodi 2-3-4</v>
      </c>
      <c r="E3979" s="10" t="str">
        <f>HYPERLINK("https://otsuka-europe-crm.veevavault.com/ui/#object/sent_email__v/VBL00000002P316", "SE-001432986")</f>
        <v>SE-001432986</v>
      </c>
      <c r="F3979" s="11"/>
      <c r="G3979" s="12">
        <v>0</v>
      </c>
      <c r="H3979" s="12">
        <v>0</v>
      </c>
      <c r="I3979" s="12">
        <v>0</v>
      </c>
      <c r="J3979" s="11"/>
      <c r="K3979" s="12">
        <v>0</v>
      </c>
      <c r="L3979" s="10" t="str">
        <f t="shared" ref="L3979:L3984" si="306">HYPERLINK("https://otsuka-europe-crm.veevavault.com/ui/#object/approved_document__v/V5O000000018003", "AE dialoghi di tempo fiducia e cura episodi 2-3-4")</f>
        <v>AE dialoghi di tempo fiducia e cura episodi 2-3-4</v>
      </c>
      <c r="M3979" s="10" t="str">
        <f t="shared" ref="M3979:M3984" si="307">HYPERLINK("mailto:nicoletta.vozza@crm.otsuka-europe.com", "nicoletta.vozza@crm.otsuka-europe.com")</f>
        <v>nicoletta.vozza@crm.otsuka-europe.com</v>
      </c>
      <c r="N3979" s="13">
        <v>46181.337997685187</v>
      </c>
      <c r="O3979" s="14" t="str">
        <f>HYPERLINK("https://otsuka-europe-crm.veevavault.com/ui/#object/email_activity__v/V8C00000003P570", "EN-002090825")</f>
        <v>EN-002090825</v>
      </c>
    </row>
    <row r="3980" spans="1:15" ht="32" x14ac:dyDescent="0.2">
      <c r="A3980" s="7" t="str">
        <f>HYPERLINK("https://otsuka-europe-crm.veevavault.com/ui/#object/account__v/V4TZ04ASG6LHJ2J", "GIULIA GIOVANNOLI")</f>
        <v>GIULIA GIOVANNOLI</v>
      </c>
      <c r="B3980" s="7" t="str">
        <f t="shared" si="304"/>
        <v>IT</v>
      </c>
      <c r="C3980" s="8" t="s">
        <v>44</v>
      </c>
      <c r="D3980" s="9" t="str">
        <f t="shared" si="305"/>
        <v>AE dialoghi di tempo fiducia e cura episodi 2-3-4</v>
      </c>
      <c r="E3980" s="10" t="str">
        <f>HYPERLINK("https://otsuka-europe-crm.veevavault.com/ui/#object/sent_email__v/VBL00000002P317", "SE-001432987")</f>
        <v>SE-001432987</v>
      </c>
      <c r="F3980" s="11"/>
      <c r="G3980" s="12">
        <v>0</v>
      </c>
      <c r="H3980" s="12">
        <v>0</v>
      </c>
      <c r="I3980" s="12">
        <v>0</v>
      </c>
      <c r="J3980" s="11"/>
      <c r="K3980" s="12">
        <v>0</v>
      </c>
      <c r="L3980" s="10" t="str">
        <f t="shared" si="306"/>
        <v>AE dialoghi di tempo fiducia e cura episodi 2-3-4</v>
      </c>
      <c r="M3980" s="10" t="str">
        <f t="shared" si="307"/>
        <v>nicoletta.vozza@crm.otsuka-europe.com</v>
      </c>
      <c r="N3980" s="13">
        <v>46181.338055555556</v>
      </c>
      <c r="O3980" s="14" t="str">
        <f>HYPERLINK("https://otsuka-europe-crm.veevavault.com/ui/#object/email_activity__v/V8C00000003P807", "EN-002091105")</f>
        <v>EN-002091105</v>
      </c>
    </row>
    <row r="3981" spans="1:15" ht="32" x14ac:dyDescent="0.2">
      <c r="A3981" s="7" t="str">
        <f>HYPERLINK("https://otsuka-europe-crm.veevavault.com/ui/#object/account__v/V4TZ06G6O71S9SQ", "GIULIA LANDI")</f>
        <v>GIULIA LANDI</v>
      </c>
      <c r="B3981" s="7" t="str">
        <f t="shared" si="304"/>
        <v>IT</v>
      </c>
      <c r="C3981" s="8" t="s">
        <v>44</v>
      </c>
      <c r="D3981" s="9" t="str">
        <f t="shared" si="305"/>
        <v>AE dialoghi di tempo fiducia e cura episodi 2-3-4</v>
      </c>
      <c r="E3981" s="10" t="str">
        <f>HYPERLINK("https://otsuka-europe-crm.veevavault.com/ui/#object/sent_email__v/VBL00000002P318", "SE-001432988")</f>
        <v>SE-001432988</v>
      </c>
      <c r="F3981" s="11"/>
      <c r="G3981" s="12">
        <v>0</v>
      </c>
      <c r="H3981" s="12">
        <v>0</v>
      </c>
      <c r="I3981" s="12">
        <v>0</v>
      </c>
      <c r="J3981" s="11"/>
      <c r="K3981" s="12">
        <v>0</v>
      </c>
      <c r="L3981" s="10" t="str">
        <f t="shared" si="306"/>
        <v>AE dialoghi di tempo fiducia e cura episodi 2-3-4</v>
      </c>
      <c r="M3981" s="10" t="str">
        <f t="shared" si="307"/>
        <v>nicoletta.vozza@crm.otsuka-europe.com</v>
      </c>
      <c r="N3981" s="13">
        <v>46181.33798611111</v>
      </c>
      <c r="O3981" s="14" t="str">
        <f>HYPERLINK("https://otsuka-europe-crm.veevavault.com/ui/#object/email_activity__v/V8C00000003O418", "EN-002089974")</f>
        <v>EN-002089974</v>
      </c>
    </row>
    <row r="3982" spans="1:15" ht="32" x14ac:dyDescent="0.2">
      <c r="A3982" s="7" t="str">
        <f>HYPERLINK("https://otsuka-europe-crm.veevavault.com/ui/#object/account__v/V4TZ04ASGB4N0RV", "GIULIA LANZA")</f>
        <v>GIULIA LANZA</v>
      </c>
      <c r="B3982" s="7" t="str">
        <f t="shared" si="304"/>
        <v>IT</v>
      </c>
      <c r="C3982" s="8" t="s">
        <v>44</v>
      </c>
      <c r="D3982" s="9" t="str">
        <f t="shared" si="305"/>
        <v>AE dialoghi di tempo fiducia e cura episodi 2-3-4</v>
      </c>
      <c r="E3982" s="10" t="str">
        <f>HYPERLINK("https://otsuka-europe-crm.veevavault.com/ui/#object/sent_email__v/VBL00000002P319", "SE-001432989")</f>
        <v>SE-001432989</v>
      </c>
      <c r="F3982" s="11"/>
      <c r="G3982" s="12">
        <v>0</v>
      </c>
      <c r="H3982" s="12">
        <v>0</v>
      </c>
      <c r="I3982" s="12">
        <v>0</v>
      </c>
      <c r="J3982" s="11"/>
      <c r="K3982" s="12">
        <v>0</v>
      </c>
      <c r="L3982" s="10" t="str">
        <f t="shared" si="306"/>
        <v>AE dialoghi di tempo fiducia e cura episodi 2-3-4</v>
      </c>
      <c r="M3982" s="10" t="str">
        <f t="shared" si="307"/>
        <v>nicoletta.vozza@crm.otsuka-europe.com</v>
      </c>
      <c r="N3982" s="13">
        <v>46181.33798611111</v>
      </c>
      <c r="O3982" s="14" t="str">
        <f>HYPERLINK("https://otsuka-europe-crm.veevavault.com/ui/#object/email_activity__v/V8C00000003P404", "EN-002090410")</f>
        <v>EN-002090410</v>
      </c>
    </row>
    <row r="3983" spans="1:15" ht="32" x14ac:dyDescent="0.2">
      <c r="A3983" s="7" t="str">
        <f>HYPERLINK("https://otsuka-europe-crm.veevavault.com/ui/#object/account__v/V4TZ06G6O71S9UP", "GIULIA LAZZARI")</f>
        <v>GIULIA LAZZARI</v>
      </c>
      <c r="B3983" s="7" t="str">
        <f t="shared" si="304"/>
        <v>IT</v>
      </c>
      <c r="C3983" s="8" t="s">
        <v>44</v>
      </c>
      <c r="D3983" s="9" t="str">
        <f t="shared" si="305"/>
        <v>AE dialoghi di tempo fiducia e cura episodi 2-3-4</v>
      </c>
      <c r="E3983" s="10" t="str">
        <f>HYPERLINK("https://otsuka-europe-crm.veevavault.com/ui/#object/sent_email__v/VBL00000002P320", "SE-001432990")</f>
        <v>SE-001432990</v>
      </c>
      <c r="F3983" s="11"/>
      <c r="G3983" s="12">
        <v>0</v>
      </c>
      <c r="H3983" s="12">
        <v>0</v>
      </c>
      <c r="I3983" s="12">
        <v>0</v>
      </c>
      <c r="J3983" s="11"/>
      <c r="K3983" s="12">
        <v>0</v>
      </c>
      <c r="L3983" s="10" t="str">
        <f t="shared" si="306"/>
        <v>AE dialoghi di tempo fiducia e cura episodi 2-3-4</v>
      </c>
      <c r="M3983" s="10" t="str">
        <f t="shared" si="307"/>
        <v>nicoletta.vozza@crm.otsuka-europe.com</v>
      </c>
      <c r="N3983" s="13">
        <v>46181.338055555556</v>
      </c>
      <c r="O3983" s="14" t="str">
        <f>HYPERLINK("https://otsuka-europe-crm.veevavault.com/ui/#object/email_activity__v/V8C00000003Q229", "EN-002091335")</f>
        <v>EN-002091335</v>
      </c>
    </row>
    <row r="3984" spans="1:15" ht="16" x14ac:dyDescent="0.2">
      <c r="A3984" s="17" t="str">
        <f>HYPERLINK("https://otsuka-europe-crm.veevavault.com/ui/#object/account__v/V4TZ04ASGB9N16K", "GIULIA MARIA TROILI")</f>
        <v>GIULIA MARIA TROILI</v>
      </c>
      <c r="B3984" s="17" t="str">
        <f t="shared" si="304"/>
        <v>IT</v>
      </c>
      <c r="C3984" s="20" t="s">
        <v>44</v>
      </c>
      <c r="D3984" s="21" t="str">
        <f t="shared" si="305"/>
        <v>AE dialoghi di tempo fiducia e cura episodi 2-3-4</v>
      </c>
      <c r="E3984" s="22" t="str">
        <f>HYPERLINK("https://otsuka-europe-crm.veevavault.com/ui/#object/sent_email__v/VBL00000002P321", "SE-001432991")</f>
        <v>SE-001432991</v>
      </c>
      <c r="F3984" s="25"/>
      <c r="G3984" s="24">
        <v>0</v>
      </c>
      <c r="H3984" s="24">
        <v>0</v>
      </c>
      <c r="I3984" s="24">
        <v>0</v>
      </c>
      <c r="J3984" s="25"/>
      <c r="K3984" s="24">
        <v>0</v>
      </c>
      <c r="L3984" s="22" t="str">
        <f t="shared" si="306"/>
        <v>AE dialoghi di tempo fiducia e cura episodi 2-3-4</v>
      </c>
      <c r="M3984" s="22" t="str">
        <f t="shared" si="307"/>
        <v>nicoletta.vozza@crm.otsuka-europe.com</v>
      </c>
      <c r="N3984" s="23">
        <v>46181.338055555556</v>
      </c>
      <c r="O3984" s="14" t="str">
        <f>HYPERLINK("https://otsuka-europe-crm.veevavault.com/ui/#object/email_activity__v/V8C00000003P755", "EN-002091053")</f>
        <v>EN-002091053</v>
      </c>
    </row>
    <row r="3985" spans="1:15" ht="16" x14ac:dyDescent="0.2">
      <c r="A3985" s="19"/>
      <c r="B3985" s="19"/>
      <c r="C3985" s="19"/>
      <c r="D3985" s="19"/>
      <c r="E3985" s="19"/>
      <c r="F3985" s="19"/>
      <c r="G3985" s="19"/>
      <c r="H3985" s="19"/>
      <c r="I3985" s="19"/>
      <c r="J3985" s="19"/>
      <c r="K3985" s="19"/>
      <c r="L3985" s="19"/>
      <c r="M3985" s="19"/>
      <c r="N3985" s="19"/>
      <c r="O3985" s="14" t="str">
        <f>HYPERLINK("https://otsuka-europe-crm.veevavault.com/ui/#object/email_activity__v/V8C00000003Q325", "EN-002091486")</f>
        <v>EN-002091486</v>
      </c>
    </row>
    <row r="3986" spans="1:15" ht="32" x14ac:dyDescent="0.2">
      <c r="A3986" s="7" t="str">
        <f>HYPERLINK("https://otsuka-europe-crm.veevavault.com/ui/#object/account__v/V4TZ025E894MTZU", "GIULIA MASTROENI")</f>
        <v>GIULIA MASTROENI</v>
      </c>
      <c r="B3986" s="7" t="str">
        <f t="shared" ref="B3986:B4000" si="308">HYPERLINK("https://otsuka-europe-crm.veevavault.com/ui/#object/vcountry__v/VENZ000004SONFQ", "IT")</f>
        <v>IT</v>
      </c>
      <c r="C3986" s="8" t="s">
        <v>44</v>
      </c>
      <c r="D3986" s="9" t="str">
        <f t="shared" ref="D3986:D4000" si="309">HYPERLINK("https://otsuka-europe-crm.veevavault.com/ui/#object/approved_document__v/V5O000000018003", "AE dialoghi di tempo fiducia e cura episodi 2-3-4")</f>
        <v>AE dialoghi di tempo fiducia e cura episodi 2-3-4</v>
      </c>
      <c r="E3986" s="10" t="str">
        <f>HYPERLINK("https://otsuka-europe-crm.veevavault.com/ui/#object/sent_email__v/VBL00000002P322", "SE-001432992")</f>
        <v>SE-001432992</v>
      </c>
      <c r="F3986" s="11"/>
      <c r="G3986" s="12">
        <v>0</v>
      </c>
      <c r="H3986" s="12">
        <v>0</v>
      </c>
      <c r="I3986" s="12">
        <v>0</v>
      </c>
      <c r="J3986" s="11"/>
      <c r="K3986" s="12">
        <v>0</v>
      </c>
      <c r="L3986" s="10" t="str">
        <f t="shared" ref="L3986:L4000" si="310">HYPERLINK("https://otsuka-europe-crm.veevavault.com/ui/#object/approved_document__v/V5O000000018003", "AE dialoghi di tempo fiducia e cura episodi 2-3-4")</f>
        <v>AE dialoghi di tempo fiducia e cura episodi 2-3-4</v>
      </c>
      <c r="M3986" s="10" t="str">
        <f t="shared" ref="M3986:M4000" si="311">HYPERLINK("mailto:nicoletta.vozza@crm.otsuka-europe.com", "nicoletta.vozza@crm.otsuka-europe.com")</f>
        <v>nicoletta.vozza@crm.otsuka-europe.com</v>
      </c>
      <c r="N3986" s="13">
        <v>46181.33798611111</v>
      </c>
      <c r="O3986" s="14" t="str">
        <f>HYPERLINK("https://otsuka-europe-crm.veevavault.com/ui/#object/email_activity__v/V8C00000003P550", "EN-002090805")</f>
        <v>EN-002090805</v>
      </c>
    </row>
    <row r="3987" spans="1:15" ht="32" x14ac:dyDescent="0.2">
      <c r="A3987" s="7" t="str">
        <f>HYPERLINK("https://otsuka-europe-crm.veevavault.com/ui/#object/account__v/V4TZ06G6O71S9M3", "GIULIA PICCININI")</f>
        <v>GIULIA PICCININI</v>
      </c>
      <c r="B3987" s="7" t="str">
        <f t="shared" si="308"/>
        <v>IT</v>
      </c>
      <c r="C3987" s="8" t="s">
        <v>44</v>
      </c>
      <c r="D3987" s="9" t="str">
        <f t="shared" si="309"/>
        <v>AE dialoghi di tempo fiducia e cura episodi 2-3-4</v>
      </c>
      <c r="E3987" s="10" t="str">
        <f>HYPERLINK("https://otsuka-europe-crm.veevavault.com/ui/#object/sent_email__v/VBL00000002P323", "SE-001432993")</f>
        <v>SE-001432993</v>
      </c>
      <c r="F3987" s="11"/>
      <c r="G3987" s="12">
        <v>0</v>
      </c>
      <c r="H3987" s="12">
        <v>0</v>
      </c>
      <c r="I3987" s="12">
        <v>0</v>
      </c>
      <c r="J3987" s="11"/>
      <c r="K3987" s="12">
        <v>0</v>
      </c>
      <c r="L3987" s="10" t="str">
        <f t="shared" si="310"/>
        <v>AE dialoghi di tempo fiducia e cura episodi 2-3-4</v>
      </c>
      <c r="M3987" s="10" t="str">
        <f t="shared" si="311"/>
        <v>nicoletta.vozza@crm.otsuka-europe.com</v>
      </c>
      <c r="N3987" s="13">
        <v>46181.338067129633</v>
      </c>
      <c r="O3987" s="14" t="str">
        <f>HYPERLINK("https://otsuka-europe-crm.veevavault.com/ui/#object/email_activity__v/V8C00000003Q041", "EN-002091007")</f>
        <v>EN-002091007</v>
      </c>
    </row>
    <row r="3988" spans="1:15" ht="32" x14ac:dyDescent="0.2">
      <c r="A3988" s="7" t="str">
        <f>HYPERLINK("https://otsuka-europe-crm.veevavault.com/ui/#object/account__v/V4TZ06G6O71SADJ", "GIULIA PIZZICONI")</f>
        <v>GIULIA PIZZICONI</v>
      </c>
      <c r="B3988" s="7" t="str">
        <f t="shared" si="308"/>
        <v>IT</v>
      </c>
      <c r="C3988" s="8" t="s">
        <v>44</v>
      </c>
      <c r="D3988" s="9" t="str">
        <f t="shared" si="309"/>
        <v>AE dialoghi di tempo fiducia e cura episodi 2-3-4</v>
      </c>
      <c r="E3988" s="10" t="str">
        <f>HYPERLINK("https://otsuka-europe-crm.veevavault.com/ui/#object/sent_email__v/VBL00000002P324", "SE-001432994")</f>
        <v>SE-001432994</v>
      </c>
      <c r="F3988" s="11"/>
      <c r="G3988" s="12">
        <v>0</v>
      </c>
      <c r="H3988" s="12">
        <v>0</v>
      </c>
      <c r="I3988" s="12">
        <v>0</v>
      </c>
      <c r="J3988" s="11"/>
      <c r="K3988" s="12">
        <v>0</v>
      </c>
      <c r="L3988" s="10" t="str">
        <f t="shared" si="310"/>
        <v>AE dialoghi di tempo fiducia e cura episodi 2-3-4</v>
      </c>
      <c r="M3988" s="10" t="str">
        <f t="shared" si="311"/>
        <v>nicoletta.vozza@crm.otsuka-europe.com</v>
      </c>
      <c r="N3988" s="13">
        <v>46181.337997685187</v>
      </c>
      <c r="O3988" s="14" t="str">
        <f>HYPERLINK("https://otsuka-europe-crm.veevavault.com/ui/#object/email_activity__v/V8C00000003Q268", "EN-002091386")</f>
        <v>EN-002091386</v>
      </c>
    </row>
    <row r="3989" spans="1:15" ht="32" x14ac:dyDescent="0.2">
      <c r="A3989" s="7" t="str">
        <f>HYPERLINK("https://otsuka-europe-crm.veevavault.com/ui/#object/account__v/V4TZ06G6O71TFOM", "GIULIA REALI")</f>
        <v>GIULIA REALI</v>
      </c>
      <c r="B3989" s="7" t="str">
        <f t="shared" si="308"/>
        <v>IT</v>
      </c>
      <c r="C3989" s="8" t="s">
        <v>44</v>
      </c>
      <c r="D3989" s="9" t="str">
        <f t="shared" si="309"/>
        <v>AE dialoghi di tempo fiducia e cura episodi 2-3-4</v>
      </c>
      <c r="E3989" s="10" t="str">
        <f>HYPERLINK("https://otsuka-europe-crm.veevavault.com/ui/#object/sent_email__v/VBL00000002P325", "SE-001432995")</f>
        <v>SE-001432995</v>
      </c>
      <c r="F3989" s="11"/>
      <c r="G3989" s="12">
        <v>0</v>
      </c>
      <c r="H3989" s="12">
        <v>0</v>
      </c>
      <c r="I3989" s="12">
        <v>0</v>
      </c>
      <c r="J3989" s="11"/>
      <c r="K3989" s="12">
        <v>0</v>
      </c>
      <c r="L3989" s="10" t="str">
        <f t="shared" si="310"/>
        <v>AE dialoghi di tempo fiducia e cura episodi 2-3-4</v>
      </c>
      <c r="M3989" s="10" t="str">
        <f t="shared" si="311"/>
        <v>nicoletta.vozza@crm.otsuka-europe.com</v>
      </c>
      <c r="N3989" s="13">
        <v>46181.33798611111</v>
      </c>
      <c r="O3989" s="14" t="str">
        <f>HYPERLINK("https://otsuka-europe-crm.veevavault.com/ui/#object/email_activity__v/V8C00000003Q262", "EN-002091380")</f>
        <v>EN-002091380</v>
      </c>
    </row>
    <row r="3990" spans="1:15" ht="32" x14ac:dyDescent="0.2">
      <c r="A3990" s="7" t="str">
        <f>HYPERLINK("https://otsuka-europe-crm.veevavault.com/ui/#object/account__v/V4TZ06G6O71SC36", "GIULIA RINALDI")</f>
        <v>GIULIA RINALDI</v>
      </c>
      <c r="B3990" s="7" t="str">
        <f t="shared" si="308"/>
        <v>IT</v>
      </c>
      <c r="C3990" s="8" t="s">
        <v>44</v>
      </c>
      <c r="D3990" s="9" t="str">
        <f t="shared" si="309"/>
        <v>AE dialoghi di tempo fiducia e cura episodi 2-3-4</v>
      </c>
      <c r="E3990" s="10" t="str">
        <f>HYPERLINK("https://otsuka-europe-crm.veevavault.com/ui/#object/sent_email__v/VBL00000002P326", "SE-001432996")</f>
        <v>SE-001432996</v>
      </c>
      <c r="F3990" s="11"/>
      <c r="G3990" s="12">
        <v>0</v>
      </c>
      <c r="H3990" s="12">
        <v>0</v>
      </c>
      <c r="I3990" s="12">
        <v>0</v>
      </c>
      <c r="J3990" s="11"/>
      <c r="K3990" s="12">
        <v>0</v>
      </c>
      <c r="L3990" s="10" t="str">
        <f t="shared" si="310"/>
        <v>AE dialoghi di tempo fiducia e cura episodi 2-3-4</v>
      </c>
      <c r="M3990" s="10" t="str">
        <f t="shared" si="311"/>
        <v>nicoletta.vozza@crm.otsuka-europe.com</v>
      </c>
      <c r="N3990" s="13">
        <v>46181.337951388887</v>
      </c>
      <c r="O3990" s="14" t="str">
        <f>HYPERLINK("https://otsuka-europe-crm.veevavault.com/ui/#object/email_activity__v/V8C00000003O343", "EN-002089861")</f>
        <v>EN-002089861</v>
      </c>
    </row>
    <row r="3991" spans="1:15" ht="32" x14ac:dyDescent="0.2">
      <c r="A3991" s="7" t="str">
        <f>HYPERLINK("https://otsuka-europe-crm.veevavault.com/ui/#object/account__v/V4TZ06G6O71S9UN", "GIULIA RIOLI")</f>
        <v>GIULIA RIOLI</v>
      </c>
      <c r="B3991" s="7" t="str">
        <f t="shared" si="308"/>
        <v>IT</v>
      </c>
      <c r="C3991" s="8" t="s">
        <v>44</v>
      </c>
      <c r="D3991" s="9" t="str">
        <f t="shared" si="309"/>
        <v>AE dialoghi di tempo fiducia e cura episodi 2-3-4</v>
      </c>
      <c r="E3991" s="10" t="str">
        <f>HYPERLINK("https://otsuka-europe-crm.veevavault.com/ui/#object/sent_email__v/VBL00000002P327", "SE-001432997")</f>
        <v>SE-001432997</v>
      </c>
      <c r="F3991" s="11"/>
      <c r="G3991" s="12">
        <v>0</v>
      </c>
      <c r="H3991" s="12">
        <v>0</v>
      </c>
      <c r="I3991" s="12">
        <v>0</v>
      </c>
      <c r="J3991" s="11"/>
      <c r="K3991" s="12">
        <v>0</v>
      </c>
      <c r="L3991" s="10" t="str">
        <f t="shared" si="310"/>
        <v>AE dialoghi di tempo fiducia e cura episodi 2-3-4</v>
      </c>
      <c r="M3991" s="10" t="str">
        <f t="shared" si="311"/>
        <v>nicoletta.vozza@crm.otsuka-europe.com</v>
      </c>
      <c r="N3991" s="13">
        <v>46181.337962962964</v>
      </c>
      <c r="O3991" s="14" t="str">
        <f>HYPERLINK("https://otsuka-europe-crm.veevavault.com/ui/#object/email_activity__v/V8C00000003P160", "EN-002089560")</f>
        <v>EN-002089560</v>
      </c>
    </row>
    <row r="3992" spans="1:15" ht="32" x14ac:dyDescent="0.2">
      <c r="A3992" s="7" t="str">
        <f>HYPERLINK("https://otsuka-europe-crm.veevavault.com/ui/#object/account__v/V4TZ06G6O71SCFC", "GIULIA SOLIGNANI")</f>
        <v>GIULIA SOLIGNANI</v>
      </c>
      <c r="B3992" s="7" t="str">
        <f t="shared" si="308"/>
        <v>IT</v>
      </c>
      <c r="C3992" s="8" t="s">
        <v>44</v>
      </c>
      <c r="D3992" s="9" t="str">
        <f t="shared" si="309"/>
        <v>AE dialoghi di tempo fiducia e cura episodi 2-3-4</v>
      </c>
      <c r="E3992" s="10" t="str">
        <f>HYPERLINK("https://otsuka-europe-crm.veevavault.com/ui/#object/sent_email__v/VBL00000002P328", "SE-001432998")</f>
        <v>SE-001432998</v>
      </c>
      <c r="F3992" s="11"/>
      <c r="G3992" s="12">
        <v>0</v>
      </c>
      <c r="H3992" s="12">
        <v>0</v>
      </c>
      <c r="I3992" s="12">
        <v>0</v>
      </c>
      <c r="J3992" s="11"/>
      <c r="K3992" s="12">
        <v>0</v>
      </c>
      <c r="L3992" s="10" t="str">
        <f t="shared" si="310"/>
        <v>AE dialoghi di tempo fiducia e cura episodi 2-3-4</v>
      </c>
      <c r="M3992" s="10" t="str">
        <f t="shared" si="311"/>
        <v>nicoletta.vozza@crm.otsuka-europe.com</v>
      </c>
      <c r="N3992" s="13">
        <v>46181.33797453704</v>
      </c>
      <c r="O3992" s="14" t="str">
        <f>HYPERLINK("https://otsuka-europe-crm.veevavault.com/ui/#object/email_activity__v/V8C00000003O667", "EN-002090223")</f>
        <v>EN-002090223</v>
      </c>
    </row>
    <row r="3993" spans="1:15" ht="32" x14ac:dyDescent="0.2">
      <c r="A3993" s="7" t="str">
        <f>HYPERLINK("https://otsuka-europe-crm.veevavault.com/ui/#object/account__v/V4TZ06G6O71S9US", "GIULIA SPIGA")</f>
        <v>GIULIA SPIGA</v>
      </c>
      <c r="B3993" s="7" t="str">
        <f t="shared" si="308"/>
        <v>IT</v>
      </c>
      <c r="C3993" s="8" t="s">
        <v>44</v>
      </c>
      <c r="D3993" s="9" t="str">
        <f t="shared" si="309"/>
        <v>AE dialoghi di tempo fiducia e cura episodi 2-3-4</v>
      </c>
      <c r="E3993" s="10" t="str">
        <f>HYPERLINK("https://otsuka-europe-crm.veevavault.com/ui/#object/sent_email__v/VBL00000002P329", "SE-001432999")</f>
        <v>SE-001432999</v>
      </c>
      <c r="F3993" s="11"/>
      <c r="G3993" s="12">
        <v>0</v>
      </c>
      <c r="H3993" s="12">
        <v>0</v>
      </c>
      <c r="I3993" s="12">
        <v>0</v>
      </c>
      <c r="J3993" s="11"/>
      <c r="K3993" s="12">
        <v>0</v>
      </c>
      <c r="L3993" s="10" t="str">
        <f t="shared" si="310"/>
        <v>AE dialoghi di tempo fiducia e cura episodi 2-3-4</v>
      </c>
      <c r="M3993" s="10" t="str">
        <f t="shared" si="311"/>
        <v>nicoletta.vozza@crm.otsuka-europe.com</v>
      </c>
      <c r="N3993" s="13">
        <v>46181.338090277779</v>
      </c>
      <c r="O3993" s="14" t="str">
        <f>HYPERLINK("https://otsuka-europe-crm.veevavault.com/ui/#object/email_activity__v/V8C00000003Q141", "EN-002091224")</f>
        <v>EN-002091224</v>
      </c>
    </row>
    <row r="3994" spans="1:15" ht="32" x14ac:dyDescent="0.2">
      <c r="A3994" s="7" t="str">
        <f>HYPERLINK("https://otsuka-europe-crm.veevavault.com/ui/#object/account__v/V4TZ06G6O71SASZ", "GIULIANA CHIAPPA")</f>
        <v>GIULIANA CHIAPPA</v>
      </c>
      <c r="B3994" s="7" t="str">
        <f t="shared" si="308"/>
        <v>IT</v>
      </c>
      <c r="C3994" s="8" t="s">
        <v>44</v>
      </c>
      <c r="D3994" s="9" t="str">
        <f t="shared" si="309"/>
        <v>AE dialoghi di tempo fiducia e cura episodi 2-3-4</v>
      </c>
      <c r="E3994" s="10" t="str">
        <f>HYPERLINK("https://otsuka-europe-crm.veevavault.com/ui/#object/sent_email__v/VBL00000002P330", "SE-001433000")</f>
        <v>SE-001433000</v>
      </c>
      <c r="F3994" s="11"/>
      <c r="G3994" s="12">
        <v>0</v>
      </c>
      <c r="H3994" s="12">
        <v>0</v>
      </c>
      <c r="I3994" s="12">
        <v>0</v>
      </c>
      <c r="J3994" s="11"/>
      <c r="K3994" s="12">
        <v>0</v>
      </c>
      <c r="L3994" s="10" t="str">
        <f t="shared" si="310"/>
        <v>AE dialoghi di tempo fiducia e cura episodi 2-3-4</v>
      </c>
      <c r="M3994" s="10" t="str">
        <f t="shared" si="311"/>
        <v>nicoletta.vozza@crm.otsuka-europe.com</v>
      </c>
      <c r="N3994" s="13">
        <v>46181.33803240741</v>
      </c>
      <c r="O3994" s="14" t="str">
        <f>HYPERLINK("https://otsuka-europe-crm.veevavault.com/ui/#object/email_activity__v/V8C00000003Q264", "EN-002091382")</f>
        <v>EN-002091382</v>
      </c>
    </row>
    <row r="3995" spans="1:15" ht="32" x14ac:dyDescent="0.2">
      <c r="A3995" s="7" t="str">
        <f>HYPERLINK("https://otsuka-europe-crm.veevavault.com/ui/#object/account__v/V4TZ06G6O71SBTQ", "GIULIANA PALMISANO")</f>
        <v>GIULIANA PALMISANO</v>
      </c>
      <c r="B3995" s="7" t="str">
        <f t="shared" si="308"/>
        <v>IT</v>
      </c>
      <c r="C3995" s="8" t="s">
        <v>44</v>
      </c>
      <c r="D3995" s="9" t="str">
        <f t="shared" si="309"/>
        <v>AE dialoghi di tempo fiducia e cura episodi 2-3-4</v>
      </c>
      <c r="E3995" s="10" t="str">
        <f>HYPERLINK("https://otsuka-europe-crm.veevavault.com/ui/#object/sent_email__v/VBL00000002P331", "SE-001433001")</f>
        <v>SE-001433001</v>
      </c>
      <c r="F3995" s="11"/>
      <c r="G3995" s="12">
        <v>0</v>
      </c>
      <c r="H3995" s="12">
        <v>0</v>
      </c>
      <c r="I3995" s="12">
        <v>0</v>
      </c>
      <c r="J3995" s="11"/>
      <c r="K3995" s="12">
        <v>0</v>
      </c>
      <c r="L3995" s="10" t="str">
        <f t="shared" si="310"/>
        <v>AE dialoghi di tempo fiducia e cura episodi 2-3-4</v>
      </c>
      <c r="M3995" s="10" t="str">
        <f t="shared" si="311"/>
        <v>nicoletta.vozza@crm.otsuka-europe.com</v>
      </c>
      <c r="N3995" s="13">
        <v>46181.33797453704</v>
      </c>
      <c r="O3995" s="14" t="str">
        <f>HYPERLINK("https://otsuka-europe-crm.veevavault.com/ui/#object/email_activity__v/V8C00000003O774", "EN-002090434")</f>
        <v>EN-002090434</v>
      </c>
    </row>
    <row r="3996" spans="1:15" ht="32" x14ac:dyDescent="0.2">
      <c r="A3996" s="7" t="str">
        <f>HYPERLINK("https://otsuka-europe-crm.veevavault.com/ui/#object/account__v/V4TZ06G6O71SA2I", "GIULIO BARZEGA")</f>
        <v>GIULIO BARZEGA</v>
      </c>
      <c r="B3996" s="7" t="str">
        <f t="shared" si="308"/>
        <v>IT</v>
      </c>
      <c r="C3996" s="8" t="s">
        <v>44</v>
      </c>
      <c r="D3996" s="9" t="str">
        <f t="shared" si="309"/>
        <v>AE dialoghi di tempo fiducia e cura episodi 2-3-4</v>
      </c>
      <c r="E3996" s="10" t="str">
        <f>HYPERLINK("https://otsuka-europe-crm.veevavault.com/ui/#object/sent_email__v/VBL00000002P332", "SE-001433002")</f>
        <v>SE-001433002</v>
      </c>
      <c r="F3996" s="11"/>
      <c r="G3996" s="12">
        <v>0</v>
      </c>
      <c r="H3996" s="12">
        <v>0</v>
      </c>
      <c r="I3996" s="12">
        <v>0</v>
      </c>
      <c r="J3996" s="11"/>
      <c r="K3996" s="12">
        <v>0</v>
      </c>
      <c r="L3996" s="10" t="str">
        <f t="shared" si="310"/>
        <v>AE dialoghi di tempo fiducia e cura episodi 2-3-4</v>
      </c>
      <c r="M3996" s="10" t="str">
        <f t="shared" si="311"/>
        <v>nicoletta.vozza@crm.otsuka-europe.com</v>
      </c>
      <c r="N3996" s="13">
        <v>46181.337997685187</v>
      </c>
      <c r="O3996" s="14" t="str">
        <f>HYPERLINK("https://otsuka-europe-crm.veevavault.com/ui/#object/email_activity__v/V8C00000003P446", "EN-002090686")</f>
        <v>EN-002090686</v>
      </c>
    </row>
    <row r="3997" spans="1:15" ht="32" x14ac:dyDescent="0.2">
      <c r="A3997" s="7" t="str">
        <f>HYPERLINK("https://otsuka-europe-crm.veevavault.com/ui/#object/account__v/V4TZ06G6O71S9FC", "GIULIO CABRI")</f>
        <v>GIULIO CABRI</v>
      </c>
      <c r="B3997" s="7" t="str">
        <f t="shared" si="308"/>
        <v>IT</v>
      </c>
      <c r="C3997" s="8" t="s">
        <v>44</v>
      </c>
      <c r="D3997" s="9" t="str">
        <f t="shared" si="309"/>
        <v>AE dialoghi di tempo fiducia e cura episodi 2-3-4</v>
      </c>
      <c r="E3997" s="10" t="str">
        <f>HYPERLINK("https://otsuka-europe-crm.veevavault.com/ui/#object/sent_email__v/VBL00000002P333", "SE-001433003")</f>
        <v>SE-001433003</v>
      </c>
      <c r="F3997" s="11"/>
      <c r="G3997" s="12">
        <v>0</v>
      </c>
      <c r="H3997" s="12">
        <v>0</v>
      </c>
      <c r="I3997" s="12">
        <v>0</v>
      </c>
      <c r="J3997" s="11"/>
      <c r="K3997" s="12">
        <v>0</v>
      </c>
      <c r="L3997" s="10" t="str">
        <f t="shared" si="310"/>
        <v>AE dialoghi di tempo fiducia e cura episodi 2-3-4</v>
      </c>
      <c r="M3997" s="10" t="str">
        <f t="shared" si="311"/>
        <v>nicoletta.vozza@crm.otsuka-europe.com</v>
      </c>
      <c r="N3997" s="13">
        <v>46181.337997685187</v>
      </c>
      <c r="O3997" s="14" t="str">
        <f>HYPERLINK("https://otsuka-europe-crm.veevavault.com/ui/#object/email_activity__v/V8C00000003P656", "EN-002090911")</f>
        <v>EN-002090911</v>
      </c>
    </row>
    <row r="3998" spans="1:15" ht="32" x14ac:dyDescent="0.2">
      <c r="A3998" s="7" t="str">
        <f>HYPERLINK("https://otsuka-europe-crm.veevavault.com/ui/#object/account__v/V4TZ06G6O71SANU", "GIULIO GAINELLI")</f>
        <v>GIULIO GAINELLI</v>
      </c>
      <c r="B3998" s="7" t="str">
        <f t="shared" si="308"/>
        <v>IT</v>
      </c>
      <c r="C3998" s="8" t="s">
        <v>44</v>
      </c>
      <c r="D3998" s="9" t="str">
        <f t="shared" si="309"/>
        <v>AE dialoghi di tempo fiducia e cura episodi 2-3-4</v>
      </c>
      <c r="E3998" s="10" t="str">
        <f>HYPERLINK("https://otsuka-europe-crm.veevavault.com/ui/#object/sent_email__v/VBL00000002P334", "SE-001433004")</f>
        <v>SE-001433004</v>
      </c>
      <c r="F3998" s="11"/>
      <c r="G3998" s="12">
        <v>0</v>
      </c>
      <c r="H3998" s="12">
        <v>0</v>
      </c>
      <c r="I3998" s="12">
        <v>0</v>
      </c>
      <c r="J3998" s="11"/>
      <c r="K3998" s="12">
        <v>0</v>
      </c>
      <c r="L3998" s="10" t="str">
        <f t="shared" si="310"/>
        <v>AE dialoghi di tempo fiducia e cura episodi 2-3-4</v>
      </c>
      <c r="M3998" s="10" t="str">
        <f t="shared" si="311"/>
        <v>nicoletta.vozza@crm.otsuka-europe.com</v>
      </c>
      <c r="N3998" s="13">
        <v>46181.338020833333</v>
      </c>
      <c r="O3998" s="14" t="str">
        <f>HYPERLINK("https://otsuka-europe-crm.veevavault.com/ui/#object/email_activity__v/V8C00000003P490", "EN-002090708")</f>
        <v>EN-002090708</v>
      </c>
    </row>
    <row r="3999" spans="1:15" ht="32" x14ac:dyDescent="0.2">
      <c r="A3999" s="7" t="str">
        <f>HYPERLINK("https://otsuka-europe-crm.veevavault.com/ui/#object/account__v/V4TZ06G6O8A6P0E", "GIULIO ROCCHI")</f>
        <v>GIULIO ROCCHI</v>
      </c>
      <c r="B3999" s="7" t="str">
        <f t="shared" si="308"/>
        <v>IT</v>
      </c>
      <c r="C3999" s="8" t="s">
        <v>44</v>
      </c>
      <c r="D3999" s="9" t="str">
        <f t="shared" si="309"/>
        <v>AE dialoghi di tempo fiducia e cura episodi 2-3-4</v>
      </c>
      <c r="E3999" s="10" t="str">
        <f>HYPERLINK("https://otsuka-europe-crm.veevavault.com/ui/#object/sent_email__v/VBL00000002P335", "SE-001433005")</f>
        <v>SE-001433005</v>
      </c>
      <c r="F3999" s="11"/>
      <c r="G3999" s="12">
        <v>0</v>
      </c>
      <c r="H3999" s="12">
        <v>0</v>
      </c>
      <c r="I3999" s="12">
        <v>0</v>
      </c>
      <c r="J3999" s="11"/>
      <c r="K3999" s="12">
        <v>0</v>
      </c>
      <c r="L3999" s="10" t="str">
        <f t="shared" si="310"/>
        <v>AE dialoghi di tempo fiducia e cura episodi 2-3-4</v>
      </c>
      <c r="M3999" s="10" t="str">
        <f t="shared" si="311"/>
        <v>nicoletta.vozza@crm.otsuka-europe.com</v>
      </c>
      <c r="N3999" s="13">
        <v>46181.338055555556</v>
      </c>
      <c r="O3999" s="14" t="str">
        <f>HYPERLINK("https://otsuka-europe-crm.veevavault.com/ui/#object/email_activity__v/V8C00000003O891", "EN-002090494")</f>
        <v>EN-002090494</v>
      </c>
    </row>
    <row r="4000" spans="1:15" ht="16" x14ac:dyDescent="0.2">
      <c r="A4000" s="17" t="str">
        <f>HYPERLINK("https://otsuka-europe-crm.veevavault.com/ui/#object/account__v/V4TZ06G6O71SAXX", "GIUSEPPA CALABRO'")</f>
        <v>GIUSEPPA CALABRO'</v>
      </c>
      <c r="B4000" s="17" t="str">
        <f t="shared" si="308"/>
        <v>IT</v>
      </c>
      <c r="C4000" s="20" t="s">
        <v>44</v>
      </c>
      <c r="D4000" s="21" t="str">
        <f t="shared" si="309"/>
        <v>AE dialoghi di tempo fiducia e cura episodi 2-3-4</v>
      </c>
      <c r="E4000" s="22" t="str">
        <f>HYPERLINK("https://otsuka-europe-crm.veevavault.com/ui/#object/sent_email__v/VBL00000002P336", "SE-001433006")</f>
        <v>SE-001433006</v>
      </c>
      <c r="F4000" s="23">
        <v>46181.373113425929</v>
      </c>
      <c r="G4000" s="24">
        <v>1</v>
      </c>
      <c r="H4000" s="24">
        <v>2</v>
      </c>
      <c r="I4000" s="24">
        <v>0</v>
      </c>
      <c r="J4000" s="25"/>
      <c r="K4000" s="24">
        <v>0</v>
      </c>
      <c r="L4000" s="22" t="str">
        <f t="shared" si="310"/>
        <v>AE dialoghi di tempo fiducia e cura episodi 2-3-4</v>
      </c>
      <c r="M4000" s="22" t="str">
        <f t="shared" si="311"/>
        <v>nicoletta.vozza@crm.otsuka-europe.com</v>
      </c>
      <c r="N4000" s="23">
        <v>46181.338078703702</v>
      </c>
      <c r="O4000" s="14" t="str">
        <f>HYPERLINK("https://otsuka-europe-crm.veevavault.com/ui/#object/email_activity__v/V8C00000003P601", "EN-002090856")</f>
        <v>EN-002090856</v>
      </c>
    </row>
    <row r="4001" spans="1:15" ht="16" x14ac:dyDescent="0.2">
      <c r="A4001" s="18"/>
      <c r="B4001" s="18"/>
      <c r="C4001" s="18"/>
      <c r="D4001" s="18"/>
      <c r="E4001" s="18"/>
      <c r="F4001" s="18"/>
      <c r="G4001" s="18"/>
      <c r="H4001" s="18"/>
      <c r="I4001" s="18"/>
      <c r="J4001" s="18"/>
      <c r="K4001" s="18"/>
      <c r="L4001" s="18"/>
      <c r="M4001" s="18"/>
      <c r="N4001" s="18"/>
      <c r="O4001" s="14" t="str">
        <f>HYPERLINK("https://otsuka-europe-crm.veevavault.com/ui/#object/email_activity__v/V8C00000003Q160", "EN-002091246")</f>
        <v>EN-002091246</v>
      </c>
    </row>
    <row r="4002" spans="1:15" ht="16" x14ac:dyDescent="0.2">
      <c r="A4002" s="19"/>
      <c r="B4002" s="19"/>
      <c r="C4002" s="19"/>
      <c r="D4002" s="19"/>
      <c r="E4002" s="19"/>
      <c r="F4002" s="19"/>
      <c r="G4002" s="19"/>
      <c r="H4002" s="19"/>
      <c r="I4002" s="19"/>
      <c r="J4002" s="19"/>
      <c r="K4002" s="19"/>
      <c r="L4002" s="19"/>
      <c r="M4002" s="19"/>
      <c r="N4002" s="19"/>
      <c r="O4002" s="14" t="str">
        <f>HYPERLINK("https://otsuka-europe-crm.veevavault.com/ui/#object/email_activity__v/V8C00000003Q345", "EN-002091524")</f>
        <v>EN-002091524</v>
      </c>
    </row>
    <row r="4003" spans="1:15" ht="32" x14ac:dyDescent="0.2">
      <c r="A4003" s="7" t="str">
        <f>HYPERLINK("https://otsuka-europe-crm.veevavault.com/ui/#object/account__v/V4TZ06G6O71SAXW", "GIUSEPPA CALORO")</f>
        <v>GIUSEPPA CALORO</v>
      </c>
      <c r="B4003" s="7" t="str">
        <f>HYPERLINK("https://otsuka-europe-crm.veevavault.com/ui/#object/vcountry__v/VENZ000004SONFQ", "IT")</f>
        <v>IT</v>
      </c>
      <c r="C4003" s="8" t="s">
        <v>44</v>
      </c>
      <c r="D4003" s="9" t="str">
        <f>HYPERLINK("https://otsuka-europe-crm.veevavault.com/ui/#object/approved_document__v/V5O000000018003", "AE dialoghi di tempo fiducia e cura episodi 2-3-4")</f>
        <v>AE dialoghi di tempo fiducia e cura episodi 2-3-4</v>
      </c>
      <c r="E4003" s="10" t="str">
        <f>HYPERLINK("https://otsuka-europe-crm.veevavault.com/ui/#object/sent_email__v/VBL00000002P337", "SE-001433007")</f>
        <v>SE-001433007</v>
      </c>
      <c r="F4003" s="11"/>
      <c r="G4003" s="12">
        <v>0</v>
      </c>
      <c r="H4003" s="12">
        <v>0</v>
      </c>
      <c r="I4003" s="12">
        <v>0</v>
      </c>
      <c r="J4003" s="11"/>
      <c r="K4003" s="12">
        <v>0</v>
      </c>
      <c r="L4003" s="10" t="str">
        <f>HYPERLINK("https://otsuka-europe-crm.veevavault.com/ui/#object/approved_document__v/V5O000000018003", "AE dialoghi di tempo fiducia e cura episodi 2-3-4")</f>
        <v>AE dialoghi di tempo fiducia e cura episodi 2-3-4</v>
      </c>
      <c r="M4003" s="10" t="str">
        <f>HYPERLINK("mailto:nicoletta.vozza@crm.otsuka-europe.com", "nicoletta.vozza@crm.otsuka-europe.com")</f>
        <v>nicoletta.vozza@crm.otsuka-europe.com</v>
      </c>
      <c r="N4003" s="13">
        <v>46181.338090277779</v>
      </c>
      <c r="O4003" s="14" t="str">
        <f>HYPERLINK("https://otsuka-europe-crm.veevavault.com/ui/#object/email_activity__v/V8C00000003P832", "EN-002091191")</f>
        <v>EN-002091191</v>
      </c>
    </row>
    <row r="4004" spans="1:15" ht="32" x14ac:dyDescent="0.2">
      <c r="A4004" s="7" t="str">
        <f>HYPERLINK("https://otsuka-europe-crm.veevavault.com/ui/#object/account__v/V4TZ06G6O71SC6V", "GIUSEPPA RIZZO")</f>
        <v>GIUSEPPA RIZZO</v>
      </c>
      <c r="B4004" s="7" t="str">
        <f>HYPERLINK("https://otsuka-europe-crm.veevavault.com/ui/#object/vcountry__v/VENZ000004SONFQ", "IT")</f>
        <v>IT</v>
      </c>
      <c r="C4004" s="8" t="s">
        <v>44</v>
      </c>
      <c r="D4004" s="9" t="str">
        <f>HYPERLINK("https://otsuka-europe-crm.veevavault.com/ui/#object/approved_document__v/V5O000000018003", "AE dialoghi di tempo fiducia e cura episodi 2-3-4")</f>
        <v>AE dialoghi di tempo fiducia e cura episodi 2-3-4</v>
      </c>
      <c r="E4004" s="10" t="str">
        <f>HYPERLINK("https://otsuka-europe-crm.veevavault.com/ui/#object/sent_email__v/VBL00000002P338", "SE-001433008")</f>
        <v>SE-001433008</v>
      </c>
      <c r="F4004" s="11"/>
      <c r="G4004" s="12">
        <v>0</v>
      </c>
      <c r="H4004" s="12">
        <v>0</v>
      </c>
      <c r="I4004" s="12">
        <v>0</v>
      </c>
      <c r="J4004" s="11"/>
      <c r="K4004" s="12">
        <v>0</v>
      </c>
      <c r="L4004" s="10" t="str">
        <f>HYPERLINK("https://otsuka-europe-crm.veevavault.com/ui/#object/approved_document__v/V5O000000018003", "AE dialoghi di tempo fiducia e cura episodi 2-3-4")</f>
        <v>AE dialoghi di tempo fiducia e cura episodi 2-3-4</v>
      </c>
      <c r="M4004" s="10" t="str">
        <f>HYPERLINK("mailto:nicoletta.vozza@crm.otsuka-europe.com", "nicoletta.vozza@crm.otsuka-europe.com")</f>
        <v>nicoletta.vozza@crm.otsuka-europe.com</v>
      </c>
      <c r="N4004" s="13">
        <v>46181.338055555556</v>
      </c>
      <c r="O4004" s="14" t="str">
        <f>HYPERLINK("https://otsuka-europe-crm.veevavault.com/ui/#object/email_activity__v/V8C00000003P802", "EN-002091100")</f>
        <v>EN-002091100</v>
      </c>
    </row>
    <row r="4005" spans="1:15" ht="32" x14ac:dyDescent="0.2">
      <c r="A4005" s="7" t="str">
        <f>HYPERLINK("https://otsuka-europe-crm.veevavault.com/ui/#object/account__v/V4TZ025E86JXWFX", "GIUSEPPE ALBANESI")</f>
        <v>GIUSEPPE ALBANESI</v>
      </c>
      <c r="B4005" s="7" t="str">
        <f>HYPERLINK("https://otsuka-europe-crm.veevavault.com/ui/#object/vcountry__v/VENZ000004SONFQ", "IT")</f>
        <v>IT</v>
      </c>
      <c r="C4005" s="8" t="s">
        <v>44</v>
      </c>
      <c r="D4005" s="9" t="str">
        <f>HYPERLINK("https://otsuka-europe-crm.veevavault.com/ui/#object/approved_document__v/V5O000000018003", "AE dialoghi di tempo fiducia e cura episodi 2-3-4")</f>
        <v>AE dialoghi di tempo fiducia e cura episodi 2-3-4</v>
      </c>
      <c r="E4005" s="10" t="str">
        <f>HYPERLINK("https://otsuka-europe-crm.veevavault.com/ui/#object/sent_email__v/VBL00000002P339", "SE-001433009")</f>
        <v>SE-001433009</v>
      </c>
      <c r="F4005" s="11"/>
      <c r="G4005" s="12">
        <v>0</v>
      </c>
      <c r="H4005" s="12">
        <v>0</v>
      </c>
      <c r="I4005" s="12">
        <v>0</v>
      </c>
      <c r="J4005" s="11"/>
      <c r="K4005" s="12">
        <v>0</v>
      </c>
      <c r="L4005" s="10" t="str">
        <f>HYPERLINK("https://otsuka-europe-crm.veevavault.com/ui/#object/approved_document__v/V5O000000018003", "AE dialoghi di tempo fiducia e cura episodi 2-3-4")</f>
        <v>AE dialoghi di tempo fiducia e cura episodi 2-3-4</v>
      </c>
      <c r="M4005" s="10" t="str">
        <f>HYPERLINK("mailto:nicoletta.vozza@crm.otsuka-europe.com", "nicoletta.vozza@crm.otsuka-europe.com")</f>
        <v>nicoletta.vozza@crm.otsuka-europe.com</v>
      </c>
      <c r="N4005" s="13">
        <v>46181.337997685187</v>
      </c>
      <c r="O4005" s="14" t="str">
        <f>HYPERLINK("https://otsuka-europe-crm.veevavault.com/ui/#object/email_activity__v/V8C00000003O432", "EN-002089988")</f>
        <v>EN-002089988</v>
      </c>
    </row>
    <row r="4006" spans="1:15" ht="32" x14ac:dyDescent="0.2">
      <c r="A4006" s="7" t="str">
        <f>HYPERLINK("https://otsuka-europe-crm.veevavault.com/ui/#object/account__v/V4TZ06G6O71SCSE", "GIUSEPPE ALDO ZISA")</f>
        <v>GIUSEPPE ALDO ZISA</v>
      </c>
      <c r="B4006" s="7" t="str">
        <f>HYPERLINK("https://otsuka-europe-crm.veevavault.com/ui/#object/vcountry__v/VENZ000004SONFQ", "IT")</f>
        <v>IT</v>
      </c>
      <c r="C4006" s="8" t="s">
        <v>44</v>
      </c>
      <c r="D4006" s="9" t="str">
        <f>HYPERLINK("https://otsuka-europe-crm.veevavault.com/ui/#object/approved_document__v/V5O000000018003", "AE dialoghi di tempo fiducia e cura episodi 2-3-4")</f>
        <v>AE dialoghi di tempo fiducia e cura episodi 2-3-4</v>
      </c>
      <c r="E4006" s="10" t="str">
        <f>HYPERLINK("https://otsuka-europe-crm.veevavault.com/ui/#object/sent_email__v/VBL00000002P340", "SE-001433010")</f>
        <v>SE-001433010</v>
      </c>
      <c r="F4006" s="11"/>
      <c r="G4006" s="12">
        <v>0</v>
      </c>
      <c r="H4006" s="12">
        <v>0</v>
      </c>
      <c r="I4006" s="12">
        <v>0</v>
      </c>
      <c r="J4006" s="11"/>
      <c r="K4006" s="12">
        <v>0</v>
      </c>
      <c r="L4006" s="10" t="str">
        <f>HYPERLINK("https://otsuka-europe-crm.veevavault.com/ui/#object/approved_document__v/V5O000000018003", "AE dialoghi di tempo fiducia e cura episodi 2-3-4")</f>
        <v>AE dialoghi di tempo fiducia e cura episodi 2-3-4</v>
      </c>
      <c r="M4006" s="10" t="str">
        <f>HYPERLINK("mailto:nicoletta.vozza@crm.otsuka-europe.com", "nicoletta.vozza@crm.otsuka-europe.com")</f>
        <v>nicoletta.vozza@crm.otsuka-europe.com</v>
      </c>
      <c r="N4006" s="13">
        <v>46181.338055555556</v>
      </c>
      <c r="O4006" s="14" t="str">
        <f>HYPERLINK("https://otsuka-europe-crm.veevavault.com/ui/#object/email_activity__v/V8C00000003Q007", "EN-002090755")</f>
        <v>EN-002090755</v>
      </c>
    </row>
    <row r="4007" spans="1:15" ht="16" x14ac:dyDescent="0.2">
      <c r="A4007" s="17" t="str">
        <f>HYPERLINK("https://otsuka-europe-crm.veevavault.com/ui/#object/account__v/V4TZ06G6O71SBQ9", "GIUSEPPE AURIEMMA")</f>
        <v>GIUSEPPE AURIEMMA</v>
      </c>
      <c r="B4007" s="17" t="str">
        <f>HYPERLINK("https://otsuka-europe-crm.veevavault.com/ui/#object/vcountry__v/VENZ000004SONFQ", "IT")</f>
        <v>IT</v>
      </c>
      <c r="C4007" s="20" t="s">
        <v>44</v>
      </c>
      <c r="D4007" s="21" t="str">
        <f>HYPERLINK("https://otsuka-europe-crm.veevavault.com/ui/#object/approved_document__v/V5O000000018003", "AE dialoghi di tempo fiducia e cura episodi 2-3-4")</f>
        <v>AE dialoghi di tempo fiducia e cura episodi 2-3-4</v>
      </c>
      <c r="E4007" s="22" t="str">
        <f>HYPERLINK("https://otsuka-europe-crm.veevavault.com/ui/#object/sent_email__v/VBL00000002P341", "SE-001433011")</f>
        <v>SE-001433011</v>
      </c>
      <c r="F4007" s="25"/>
      <c r="G4007" s="24">
        <v>0</v>
      </c>
      <c r="H4007" s="24">
        <v>0</v>
      </c>
      <c r="I4007" s="24">
        <v>0</v>
      </c>
      <c r="J4007" s="25"/>
      <c r="K4007" s="24">
        <v>0</v>
      </c>
      <c r="L4007" s="22" t="str">
        <f>HYPERLINK("https://otsuka-europe-crm.veevavault.com/ui/#object/approved_document__v/V5O000000018003", "AE dialoghi di tempo fiducia e cura episodi 2-3-4")</f>
        <v>AE dialoghi di tempo fiducia e cura episodi 2-3-4</v>
      </c>
      <c r="M4007" s="22" t="str">
        <f>HYPERLINK("mailto:nicoletta.vozza@crm.otsuka-europe.com", "nicoletta.vozza@crm.otsuka-europe.com")</f>
        <v>nicoletta.vozza@crm.otsuka-europe.com</v>
      </c>
      <c r="N4007" s="23">
        <v>46181.337962962964</v>
      </c>
      <c r="O4007" s="14" t="str">
        <f>HYPERLINK("https://otsuka-europe-crm.veevavault.com/ui/#object/email_activity__v/V8C00000003O303", "EN-002089780")</f>
        <v>EN-002089780</v>
      </c>
    </row>
    <row r="4008" spans="1:15" ht="16" x14ac:dyDescent="0.2">
      <c r="A4008" s="19"/>
      <c r="B4008" s="19"/>
      <c r="C4008" s="19"/>
      <c r="D4008" s="19"/>
      <c r="E4008" s="19"/>
      <c r="F4008" s="19"/>
      <c r="G4008" s="19"/>
      <c r="H4008" s="19"/>
      <c r="I4008" s="19"/>
      <c r="J4008" s="19"/>
      <c r="K4008" s="19"/>
      <c r="L4008" s="19"/>
      <c r="M4008" s="19"/>
      <c r="N4008" s="19"/>
      <c r="O4008" s="14" t="str">
        <f>HYPERLINK("https://otsuka-europe-crm.veevavault.com/ui/#object/email_activity__v/V8C00000003Q736", "EN-002092299")</f>
        <v>EN-002092299</v>
      </c>
    </row>
    <row r="4009" spans="1:15" ht="16" x14ac:dyDescent="0.2">
      <c r="A4009" s="17" t="str">
        <f>HYPERLINK("https://otsuka-europe-crm.veevavault.com/ui/#object/account__v/V4TZ04ASGC2BU8M", "GIUSEPPE BARRASSO")</f>
        <v>GIUSEPPE BARRASSO</v>
      </c>
      <c r="B4009" s="17" t="str">
        <f>HYPERLINK("https://otsuka-europe-crm.veevavault.com/ui/#object/vcountry__v/VENZ000004SONFQ", "IT")</f>
        <v>IT</v>
      </c>
      <c r="C4009" s="20" t="s">
        <v>44</v>
      </c>
      <c r="D4009" s="21" t="str">
        <f>HYPERLINK("https://otsuka-europe-crm.veevavault.com/ui/#object/approved_document__v/V5O000000018003", "AE dialoghi di tempo fiducia e cura episodi 2-3-4")</f>
        <v>AE dialoghi di tempo fiducia e cura episodi 2-3-4</v>
      </c>
      <c r="E4009" s="22" t="str">
        <f>HYPERLINK("https://otsuka-europe-crm.veevavault.com/ui/#object/sent_email__v/VBL00000002P342", "SE-001433012")</f>
        <v>SE-001433012</v>
      </c>
      <c r="F4009" s="23">
        <v>46182.841099537036</v>
      </c>
      <c r="G4009" s="24">
        <v>1</v>
      </c>
      <c r="H4009" s="24">
        <v>1</v>
      </c>
      <c r="I4009" s="24">
        <v>1</v>
      </c>
      <c r="J4009" s="23">
        <v>46182.841099537036</v>
      </c>
      <c r="K4009" s="24">
        <v>1</v>
      </c>
      <c r="L4009" s="22" t="str">
        <f>HYPERLINK("https://otsuka-europe-crm.veevavault.com/ui/#object/approved_document__v/V5O000000018003", "AE dialoghi di tempo fiducia e cura episodi 2-3-4")</f>
        <v>AE dialoghi di tempo fiducia e cura episodi 2-3-4</v>
      </c>
      <c r="M4009" s="22" t="str">
        <f>HYPERLINK("mailto:nicoletta.vozza@crm.otsuka-europe.com", "nicoletta.vozza@crm.otsuka-europe.com")</f>
        <v>nicoletta.vozza@crm.otsuka-europe.com</v>
      </c>
      <c r="N4009" s="23">
        <v>46181.337997685187</v>
      </c>
      <c r="O4009" s="14" t="str">
        <f>HYPERLINK("https://otsuka-europe-crm.veevavault.com/ui/#object/email_activity__v/V8C00000003Q260", "EN-002091370")</f>
        <v>EN-002091370</v>
      </c>
    </row>
    <row r="4010" spans="1:15" ht="16" x14ac:dyDescent="0.2">
      <c r="A4010" s="18"/>
      <c r="B4010" s="18"/>
      <c r="C4010" s="18"/>
      <c r="D4010" s="18"/>
      <c r="E4010" s="18"/>
      <c r="F4010" s="18"/>
      <c r="G4010" s="18"/>
      <c r="H4010" s="18"/>
      <c r="I4010" s="18"/>
      <c r="J4010" s="18"/>
      <c r="K4010" s="18"/>
      <c r="L4010" s="18"/>
      <c r="M4010" s="18"/>
      <c r="N4010" s="18"/>
      <c r="O4010" s="14" t="str">
        <f>HYPERLINK("https://otsuka-europe-crm.veevavault.com/ui/#object/email_activity__v/V8C00000003T053", "EN-002093675")</f>
        <v>EN-002093675</v>
      </c>
    </row>
    <row r="4011" spans="1:15" ht="16" x14ac:dyDescent="0.2">
      <c r="A4011" s="19"/>
      <c r="B4011" s="19"/>
      <c r="C4011" s="19"/>
      <c r="D4011" s="19"/>
      <c r="E4011" s="19"/>
      <c r="F4011" s="19"/>
      <c r="G4011" s="19"/>
      <c r="H4011" s="19"/>
      <c r="I4011" s="19"/>
      <c r="J4011" s="19"/>
      <c r="K4011" s="19"/>
      <c r="L4011" s="19"/>
      <c r="M4011" s="19"/>
      <c r="N4011" s="19"/>
      <c r="O4011" s="14" t="str">
        <f>HYPERLINK("https://otsuka-europe-crm.veevavault.com/ui/#object/email_activity__v/V8C00000003T054", "EN-002093674")</f>
        <v>EN-002093674</v>
      </c>
    </row>
    <row r="4012" spans="1:15" ht="32" x14ac:dyDescent="0.2">
      <c r="A4012" s="7" t="str">
        <f>HYPERLINK("https://otsuka-europe-crm.veevavault.com/ui/#object/account__v/V4TZ025E8955SXX", "GIUSEPPE BLANCO")</f>
        <v>GIUSEPPE BLANCO</v>
      </c>
      <c r="B4012" s="7" t="str">
        <f>HYPERLINK("https://otsuka-europe-crm.veevavault.com/ui/#object/vcountry__v/VENZ000004SONFQ", "IT")</f>
        <v>IT</v>
      </c>
      <c r="C4012" s="8" t="s">
        <v>44</v>
      </c>
      <c r="D4012" s="9" t="str">
        <f>HYPERLINK("https://otsuka-europe-crm.veevavault.com/ui/#object/approved_document__v/V5O000000018003", "AE dialoghi di tempo fiducia e cura episodi 2-3-4")</f>
        <v>AE dialoghi di tempo fiducia e cura episodi 2-3-4</v>
      </c>
      <c r="E4012" s="10" t="str">
        <f>HYPERLINK("https://otsuka-europe-crm.veevavault.com/ui/#object/sent_email__v/VBL00000002P343", "SE-001433013")</f>
        <v>SE-001433013</v>
      </c>
      <c r="F4012" s="11"/>
      <c r="G4012" s="12">
        <v>0</v>
      </c>
      <c r="H4012" s="12">
        <v>0</v>
      </c>
      <c r="I4012" s="12">
        <v>0</v>
      </c>
      <c r="J4012" s="11"/>
      <c r="K4012" s="12">
        <v>0</v>
      </c>
      <c r="L4012" s="10" t="str">
        <f>HYPERLINK("https://otsuka-europe-crm.veevavault.com/ui/#object/approved_document__v/V5O000000018003", "AE dialoghi di tempo fiducia e cura episodi 2-3-4")</f>
        <v>AE dialoghi di tempo fiducia e cura episodi 2-3-4</v>
      </c>
      <c r="M4012" s="10" t="str">
        <f>HYPERLINK("mailto:nicoletta.vozza@crm.otsuka-europe.com", "nicoletta.vozza@crm.otsuka-europe.com")</f>
        <v>nicoletta.vozza@crm.otsuka-europe.com</v>
      </c>
      <c r="N4012" s="13">
        <v>46181.338043981479</v>
      </c>
      <c r="O4012" s="14" t="str">
        <f>HYPERLINK("https://otsuka-europe-crm.veevavault.com/ui/#object/email_activity__v/V8C00000003P436", "EN-002090640")</f>
        <v>EN-002090640</v>
      </c>
    </row>
    <row r="4013" spans="1:15" ht="16" x14ac:dyDescent="0.2">
      <c r="A4013" s="17" t="str">
        <f>HYPERLINK("https://otsuka-europe-crm.veevavault.com/ui/#object/account__v/V4TZ06G6O71SA4P", "GIUSEPPE BLASI")</f>
        <v>GIUSEPPE BLASI</v>
      </c>
      <c r="B4013" s="17" t="str">
        <f>HYPERLINK("https://otsuka-europe-crm.veevavault.com/ui/#object/vcountry__v/VENZ000004SONFQ", "IT")</f>
        <v>IT</v>
      </c>
      <c r="C4013" s="20" t="s">
        <v>44</v>
      </c>
      <c r="D4013" s="21" t="str">
        <f>HYPERLINK("https://otsuka-europe-crm.veevavault.com/ui/#object/approved_document__v/V5O000000018003", "AE dialoghi di tempo fiducia e cura episodi 2-3-4")</f>
        <v>AE dialoghi di tempo fiducia e cura episodi 2-3-4</v>
      </c>
      <c r="E4013" s="22" t="str">
        <f>HYPERLINK("https://otsuka-europe-crm.veevavault.com/ui/#object/sent_email__v/VBL00000002P344", "SE-001433014")</f>
        <v>SE-001433014</v>
      </c>
      <c r="F4013" s="25"/>
      <c r="G4013" s="24">
        <v>0</v>
      </c>
      <c r="H4013" s="24">
        <v>0</v>
      </c>
      <c r="I4013" s="24">
        <v>0</v>
      </c>
      <c r="J4013" s="25"/>
      <c r="K4013" s="24">
        <v>0</v>
      </c>
      <c r="L4013" s="22" t="str">
        <f>HYPERLINK("https://otsuka-europe-crm.veevavault.com/ui/#object/approved_document__v/V5O000000018003", "AE dialoghi di tempo fiducia e cura episodi 2-3-4")</f>
        <v>AE dialoghi di tempo fiducia e cura episodi 2-3-4</v>
      </c>
      <c r="M4013" s="22" t="str">
        <f>HYPERLINK("mailto:nicoletta.vozza@crm.otsuka-europe.com", "nicoletta.vozza@crm.otsuka-europe.com")</f>
        <v>nicoletta.vozza@crm.otsuka-europe.com</v>
      </c>
      <c r="N4013" s="23">
        <v>46181.338101851848</v>
      </c>
      <c r="O4013" s="14" t="str">
        <f>HYPERLINK("https://otsuka-europe-crm.veevavault.com/ui/#object/email_activity__v/V8C00000003P830", "EN-002091189")</f>
        <v>EN-002091189</v>
      </c>
    </row>
    <row r="4014" spans="1:15" ht="16" x14ac:dyDescent="0.2">
      <c r="A4014" s="18"/>
      <c r="B4014" s="18"/>
      <c r="C4014" s="18"/>
      <c r="D4014" s="18"/>
      <c r="E4014" s="18"/>
      <c r="F4014" s="18"/>
      <c r="G4014" s="18"/>
      <c r="H4014" s="18"/>
      <c r="I4014" s="18"/>
      <c r="J4014" s="18"/>
      <c r="K4014" s="18"/>
      <c r="L4014" s="18"/>
      <c r="M4014" s="18"/>
      <c r="N4014" s="18"/>
      <c r="O4014" s="14" t="str">
        <f>HYPERLINK("https://otsuka-europe-crm.veevavault.com/ui/#object/email_activity__v/V8C00000003P935", "EN-002091511")</f>
        <v>EN-002091511</v>
      </c>
    </row>
    <row r="4015" spans="1:15" ht="16" x14ac:dyDescent="0.2">
      <c r="A4015" s="19"/>
      <c r="B4015" s="19"/>
      <c r="C4015" s="19"/>
      <c r="D4015" s="19"/>
      <c r="E4015" s="19"/>
      <c r="F4015" s="19"/>
      <c r="G4015" s="19"/>
      <c r="H4015" s="19"/>
      <c r="I4015" s="19"/>
      <c r="J4015" s="19"/>
      <c r="K4015" s="19"/>
      <c r="L4015" s="19"/>
      <c r="M4015" s="19"/>
      <c r="N4015" s="19"/>
      <c r="O4015" s="14" t="str">
        <f>HYPERLINK("https://otsuka-europe-crm.veevavault.com/ui/#object/email_activity__v/V8C00000003S062", "EN-002092962")</f>
        <v>EN-002092962</v>
      </c>
    </row>
    <row r="4016" spans="1:15" ht="32" x14ac:dyDescent="0.2">
      <c r="A4016" s="7" t="str">
        <f>HYPERLINK("https://otsuka-europe-crm.veevavault.com/ui/#object/account__v/V4TZ06G6O71SA5O", "GIUSEPPE BONAVOLONTA'")</f>
        <v>GIUSEPPE BONAVOLONTA'</v>
      </c>
      <c r="B4016" s="7" t="str">
        <f t="shared" ref="B4016:B4031" si="312">HYPERLINK("https://otsuka-europe-crm.veevavault.com/ui/#object/vcountry__v/VENZ000004SONFQ", "IT")</f>
        <v>IT</v>
      </c>
      <c r="C4016" s="8" t="s">
        <v>44</v>
      </c>
      <c r="D4016" s="9" t="str">
        <f t="shared" ref="D4016:D4031" si="313">HYPERLINK("https://otsuka-europe-crm.veevavault.com/ui/#object/approved_document__v/V5O000000018003", "AE dialoghi di tempo fiducia e cura episodi 2-3-4")</f>
        <v>AE dialoghi di tempo fiducia e cura episodi 2-3-4</v>
      </c>
      <c r="E4016" s="10" t="str">
        <f>HYPERLINK("https://otsuka-europe-crm.veevavault.com/ui/#object/sent_email__v/VBL00000002P345", "SE-001433015")</f>
        <v>SE-001433015</v>
      </c>
      <c r="F4016" s="11"/>
      <c r="G4016" s="12">
        <v>0</v>
      </c>
      <c r="H4016" s="12">
        <v>0</v>
      </c>
      <c r="I4016" s="12">
        <v>0</v>
      </c>
      <c r="J4016" s="11"/>
      <c r="K4016" s="12">
        <v>0</v>
      </c>
      <c r="L4016" s="10" t="str">
        <f t="shared" ref="L4016:L4031" si="314">HYPERLINK("https://otsuka-europe-crm.veevavault.com/ui/#object/approved_document__v/V5O000000018003", "AE dialoghi di tempo fiducia e cura episodi 2-3-4")</f>
        <v>AE dialoghi di tempo fiducia e cura episodi 2-3-4</v>
      </c>
      <c r="M4016" s="10" t="str">
        <f t="shared" ref="M4016:M4031" si="315">HYPERLINK("mailto:nicoletta.vozza@crm.otsuka-europe.com", "nicoletta.vozza@crm.otsuka-europe.com")</f>
        <v>nicoletta.vozza@crm.otsuka-europe.com</v>
      </c>
      <c r="N4016" s="13">
        <v>46181.33798611111</v>
      </c>
      <c r="O4016" s="14" t="str">
        <f>HYPERLINK("https://otsuka-europe-crm.veevavault.com/ui/#object/email_activity__v/V8C00000003O202", "EN-002089639")</f>
        <v>EN-002089639</v>
      </c>
    </row>
    <row r="4017" spans="1:15" ht="32" x14ac:dyDescent="0.2">
      <c r="A4017" s="7" t="str">
        <f>HYPERLINK("https://otsuka-europe-crm.veevavault.com/ui/#object/account__v/V4TZ025E85BG5V6", "GIUSEPPE CHIARIELLO")</f>
        <v>GIUSEPPE CHIARIELLO</v>
      </c>
      <c r="B4017" s="7" t="str">
        <f t="shared" si="312"/>
        <v>IT</v>
      </c>
      <c r="C4017" s="8" t="s">
        <v>44</v>
      </c>
      <c r="D4017" s="9" t="str">
        <f t="shared" si="313"/>
        <v>AE dialoghi di tempo fiducia e cura episodi 2-3-4</v>
      </c>
      <c r="E4017" s="10" t="str">
        <f>HYPERLINK("https://otsuka-europe-crm.veevavault.com/ui/#object/sent_email__v/VBL00000002P346", "SE-001433016")</f>
        <v>SE-001433016</v>
      </c>
      <c r="F4017" s="11"/>
      <c r="G4017" s="12">
        <v>0</v>
      </c>
      <c r="H4017" s="12">
        <v>0</v>
      </c>
      <c r="I4017" s="12">
        <v>0</v>
      </c>
      <c r="J4017" s="11"/>
      <c r="K4017" s="12">
        <v>0</v>
      </c>
      <c r="L4017" s="10" t="str">
        <f t="shared" si="314"/>
        <v>AE dialoghi di tempo fiducia e cura episodi 2-3-4</v>
      </c>
      <c r="M4017" s="10" t="str">
        <f t="shared" si="315"/>
        <v>nicoletta.vozza@crm.otsuka-europe.com</v>
      </c>
      <c r="N4017" s="13">
        <v>46181.337997685187</v>
      </c>
      <c r="O4017" s="14" t="str">
        <f>HYPERLINK("https://otsuka-europe-crm.veevavault.com/ui/#object/email_activity__v/V8C00000003P633", "EN-002090888")</f>
        <v>EN-002090888</v>
      </c>
    </row>
    <row r="4018" spans="1:15" ht="32" x14ac:dyDescent="0.2">
      <c r="A4018" s="7" t="str">
        <f>HYPERLINK("https://otsuka-europe-crm.veevavault.com/ui/#object/account__v/V4TZ06G6O71SAIS", "GIUSEPPE CIMMINO")</f>
        <v>GIUSEPPE CIMMINO</v>
      </c>
      <c r="B4018" s="7" t="str">
        <f t="shared" si="312"/>
        <v>IT</v>
      </c>
      <c r="C4018" s="8" t="s">
        <v>44</v>
      </c>
      <c r="D4018" s="9" t="str">
        <f t="shared" si="313"/>
        <v>AE dialoghi di tempo fiducia e cura episodi 2-3-4</v>
      </c>
      <c r="E4018" s="10" t="str">
        <f>HYPERLINK("https://otsuka-europe-crm.veevavault.com/ui/#object/sent_email__v/VBL00000002P347", "SE-001433017")</f>
        <v>SE-001433017</v>
      </c>
      <c r="F4018" s="11"/>
      <c r="G4018" s="12">
        <v>0</v>
      </c>
      <c r="H4018" s="12">
        <v>0</v>
      </c>
      <c r="I4018" s="12">
        <v>0</v>
      </c>
      <c r="J4018" s="11"/>
      <c r="K4018" s="12">
        <v>0</v>
      </c>
      <c r="L4018" s="10" t="str">
        <f t="shared" si="314"/>
        <v>AE dialoghi di tempo fiducia e cura episodi 2-3-4</v>
      </c>
      <c r="M4018" s="10" t="str">
        <f t="shared" si="315"/>
        <v>nicoletta.vozza@crm.otsuka-europe.com</v>
      </c>
      <c r="N4018" s="13">
        <v>46181.337997685187</v>
      </c>
      <c r="O4018" s="14" t="str">
        <f>HYPERLINK("https://otsuka-europe-crm.veevavault.com/ui/#object/email_activity__v/V8C00000003P623", "EN-002090878")</f>
        <v>EN-002090878</v>
      </c>
    </row>
    <row r="4019" spans="1:15" ht="32" x14ac:dyDescent="0.2">
      <c r="A4019" s="7" t="str">
        <f>HYPERLINK("https://otsuka-europe-crm.veevavault.com/ui/#object/account__v/V4TZ06G6O71SCI4", "GIUSEPPE CIOFFI")</f>
        <v>GIUSEPPE CIOFFI</v>
      </c>
      <c r="B4019" s="7" t="str">
        <f t="shared" si="312"/>
        <v>IT</v>
      </c>
      <c r="C4019" s="8" t="s">
        <v>44</v>
      </c>
      <c r="D4019" s="9" t="str">
        <f t="shared" si="313"/>
        <v>AE dialoghi di tempo fiducia e cura episodi 2-3-4</v>
      </c>
      <c r="E4019" s="10" t="str">
        <f>HYPERLINK("https://otsuka-europe-crm.veevavault.com/ui/#object/sent_email__v/VBL00000002P348", "SE-001433018")</f>
        <v>SE-001433018</v>
      </c>
      <c r="F4019" s="11"/>
      <c r="G4019" s="12">
        <v>0</v>
      </c>
      <c r="H4019" s="12">
        <v>0</v>
      </c>
      <c r="I4019" s="12">
        <v>0</v>
      </c>
      <c r="J4019" s="11"/>
      <c r="K4019" s="12">
        <v>0</v>
      </c>
      <c r="L4019" s="10" t="str">
        <f t="shared" si="314"/>
        <v>AE dialoghi di tempo fiducia e cura episodi 2-3-4</v>
      </c>
      <c r="M4019" s="10" t="str">
        <f t="shared" si="315"/>
        <v>nicoletta.vozza@crm.otsuka-europe.com</v>
      </c>
      <c r="N4019" s="13">
        <v>46181.33797453704</v>
      </c>
      <c r="O4019" s="14" t="str">
        <f>HYPERLINK("https://otsuka-europe-crm.veevavault.com/ui/#object/email_activity__v/V8C00000003P188", "EN-002089588")</f>
        <v>EN-002089588</v>
      </c>
    </row>
    <row r="4020" spans="1:15" ht="32" x14ac:dyDescent="0.2">
      <c r="A4020" s="7" t="str">
        <f>HYPERLINK("https://otsuka-europe-crm.veevavault.com/ui/#object/account__v/V4TZ06G6O71S9JZ", "GIUSEPPE COMITE")</f>
        <v>GIUSEPPE COMITE</v>
      </c>
      <c r="B4020" s="7" t="str">
        <f t="shared" si="312"/>
        <v>IT</v>
      </c>
      <c r="C4020" s="8" t="s">
        <v>44</v>
      </c>
      <c r="D4020" s="9" t="str">
        <f t="shared" si="313"/>
        <v>AE dialoghi di tempo fiducia e cura episodi 2-3-4</v>
      </c>
      <c r="E4020" s="10" t="str">
        <f>HYPERLINK("https://otsuka-europe-crm.veevavault.com/ui/#object/sent_email__v/VBL00000002P349", "SE-001433019")</f>
        <v>SE-001433019</v>
      </c>
      <c r="F4020" s="11"/>
      <c r="G4020" s="12">
        <v>0</v>
      </c>
      <c r="H4020" s="12">
        <v>0</v>
      </c>
      <c r="I4020" s="12">
        <v>0</v>
      </c>
      <c r="J4020" s="11"/>
      <c r="K4020" s="12">
        <v>0</v>
      </c>
      <c r="L4020" s="10" t="str">
        <f t="shared" si="314"/>
        <v>AE dialoghi di tempo fiducia e cura episodi 2-3-4</v>
      </c>
      <c r="M4020" s="10" t="str">
        <f t="shared" si="315"/>
        <v>nicoletta.vozza@crm.otsuka-europe.com</v>
      </c>
      <c r="N4020" s="13">
        <v>46181.338020833333</v>
      </c>
      <c r="O4020" s="14" t="str">
        <f>HYPERLINK("https://otsuka-europe-crm.veevavault.com/ui/#object/email_activity__v/V8C00000003P492", "EN-002090709")</f>
        <v>EN-002090709</v>
      </c>
    </row>
    <row r="4021" spans="1:15" ht="32" x14ac:dyDescent="0.2">
      <c r="A4021" s="7" t="str">
        <f>HYPERLINK("https://otsuka-europe-crm.veevavault.com/ui/#object/account__v/V4TZ04ASGAV2KZ2", "GIUSEPPE CONCETTO ARANCIO")</f>
        <v>GIUSEPPE CONCETTO ARANCIO</v>
      </c>
      <c r="B4021" s="7" t="str">
        <f t="shared" si="312"/>
        <v>IT</v>
      </c>
      <c r="C4021" s="8" t="s">
        <v>44</v>
      </c>
      <c r="D4021" s="9" t="str">
        <f t="shared" si="313"/>
        <v>AE dialoghi di tempo fiducia e cura episodi 2-3-4</v>
      </c>
      <c r="E4021" s="10" t="str">
        <f>HYPERLINK("https://otsuka-europe-crm.veevavault.com/ui/#object/sent_email__v/VBL00000002P350", "SE-001433020")</f>
        <v>SE-001433020</v>
      </c>
      <c r="F4021" s="11"/>
      <c r="G4021" s="12">
        <v>0</v>
      </c>
      <c r="H4021" s="12">
        <v>0</v>
      </c>
      <c r="I4021" s="12">
        <v>0</v>
      </c>
      <c r="J4021" s="11"/>
      <c r="K4021" s="12">
        <v>0</v>
      </c>
      <c r="L4021" s="10" t="str">
        <f t="shared" si="314"/>
        <v>AE dialoghi di tempo fiducia e cura episodi 2-3-4</v>
      </c>
      <c r="M4021" s="10" t="str">
        <f t="shared" si="315"/>
        <v>nicoletta.vozza@crm.otsuka-europe.com</v>
      </c>
      <c r="N4021" s="13">
        <v>46181.33803240741</v>
      </c>
      <c r="O4021" s="14" t="str">
        <f>HYPERLINK("https://otsuka-europe-crm.veevavault.com/ui/#object/email_activity__v/V8C00000003P730", "EN-002091028")</f>
        <v>EN-002091028</v>
      </c>
    </row>
    <row r="4022" spans="1:15" ht="32" x14ac:dyDescent="0.2">
      <c r="A4022" s="7" t="str">
        <f>HYPERLINK("https://otsuka-europe-crm.veevavault.com/ui/#object/account__v/V4TZ06G6O71SB51", "GIUSEPPE CONTE")</f>
        <v>GIUSEPPE CONTE</v>
      </c>
      <c r="B4022" s="7" t="str">
        <f t="shared" si="312"/>
        <v>IT</v>
      </c>
      <c r="C4022" s="8" t="s">
        <v>44</v>
      </c>
      <c r="D4022" s="9" t="str">
        <f t="shared" si="313"/>
        <v>AE dialoghi di tempo fiducia e cura episodi 2-3-4</v>
      </c>
      <c r="E4022" s="10" t="str">
        <f>HYPERLINK("https://otsuka-europe-crm.veevavault.com/ui/#object/sent_email__v/VBL00000002P351", "SE-001433021")</f>
        <v>SE-001433021</v>
      </c>
      <c r="F4022" s="11"/>
      <c r="G4022" s="12">
        <v>0</v>
      </c>
      <c r="H4022" s="12">
        <v>0</v>
      </c>
      <c r="I4022" s="12">
        <v>0</v>
      </c>
      <c r="J4022" s="11"/>
      <c r="K4022" s="12">
        <v>0</v>
      </c>
      <c r="L4022" s="10" t="str">
        <f t="shared" si="314"/>
        <v>AE dialoghi di tempo fiducia e cura episodi 2-3-4</v>
      </c>
      <c r="M4022" s="10" t="str">
        <f t="shared" si="315"/>
        <v>nicoletta.vozza@crm.otsuka-europe.com</v>
      </c>
      <c r="N4022" s="13">
        <v>46181.338020833333</v>
      </c>
      <c r="O4022" s="14" t="str">
        <f>HYPERLINK("https://otsuka-europe-crm.veevavault.com/ui/#object/email_activity__v/V8C00000003O645", "EN-002090201")</f>
        <v>EN-002090201</v>
      </c>
    </row>
    <row r="4023" spans="1:15" ht="32" x14ac:dyDescent="0.2">
      <c r="A4023" s="7" t="str">
        <f>HYPERLINK("https://otsuka-europe-crm.veevavault.com/ui/#object/account__v/V4TZ04ASGBJTVUW", "GIUSEPPE COSTA")</f>
        <v>GIUSEPPE COSTA</v>
      </c>
      <c r="B4023" s="7" t="str">
        <f t="shared" si="312"/>
        <v>IT</v>
      </c>
      <c r="C4023" s="8" t="s">
        <v>44</v>
      </c>
      <c r="D4023" s="9" t="str">
        <f t="shared" si="313"/>
        <v>AE dialoghi di tempo fiducia e cura episodi 2-3-4</v>
      </c>
      <c r="E4023" s="10" t="str">
        <f>HYPERLINK("https://otsuka-europe-crm.veevavault.com/ui/#object/sent_email__v/VBL00000002P352", "SE-001433022")</f>
        <v>SE-001433022</v>
      </c>
      <c r="F4023" s="11"/>
      <c r="G4023" s="12">
        <v>0</v>
      </c>
      <c r="H4023" s="12">
        <v>0</v>
      </c>
      <c r="I4023" s="12">
        <v>0</v>
      </c>
      <c r="J4023" s="11"/>
      <c r="K4023" s="12">
        <v>0</v>
      </c>
      <c r="L4023" s="10" t="str">
        <f t="shared" si="314"/>
        <v>AE dialoghi di tempo fiducia e cura episodi 2-3-4</v>
      </c>
      <c r="M4023" s="10" t="str">
        <f t="shared" si="315"/>
        <v>nicoletta.vozza@crm.otsuka-europe.com</v>
      </c>
      <c r="N4023" s="13">
        <v>46181.337997685187</v>
      </c>
      <c r="O4023" s="14" t="str">
        <f>HYPERLINK("https://otsuka-europe-crm.veevavault.com/ui/#object/email_activity__v/V8C00000003P678", "EN-002090933")</f>
        <v>EN-002090933</v>
      </c>
    </row>
    <row r="4024" spans="1:15" ht="32" x14ac:dyDescent="0.2">
      <c r="A4024" s="7" t="str">
        <f>HYPERLINK("https://otsuka-europe-crm.veevavault.com/ui/#object/account__v/V4TZ04ASGALJE74", "GIUSEPPE D'ANDREA")</f>
        <v>GIUSEPPE D'ANDREA</v>
      </c>
      <c r="B4024" s="7" t="str">
        <f t="shared" si="312"/>
        <v>IT</v>
      </c>
      <c r="C4024" s="8" t="s">
        <v>44</v>
      </c>
      <c r="D4024" s="9" t="str">
        <f t="shared" si="313"/>
        <v>AE dialoghi di tempo fiducia e cura episodi 2-3-4</v>
      </c>
      <c r="E4024" s="10" t="str">
        <f>HYPERLINK("https://otsuka-europe-crm.veevavault.com/ui/#object/sent_email__v/VBL00000002P353", "SE-001433023")</f>
        <v>SE-001433023</v>
      </c>
      <c r="F4024" s="11"/>
      <c r="G4024" s="12">
        <v>0</v>
      </c>
      <c r="H4024" s="12">
        <v>0</v>
      </c>
      <c r="I4024" s="12">
        <v>0</v>
      </c>
      <c r="J4024" s="11"/>
      <c r="K4024" s="12">
        <v>0</v>
      </c>
      <c r="L4024" s="10" t="str">
        <f t="shared" si="314"/>
        <v>AE dialoghi di tempo fiducia e cura episodi 2-3-4</v>
      </c>
      <c r="M4024" s="10" t="str">
        <f t="shared" si="315"/>
        <v>nicoletta.vozza@crm.otsuka-europe.com</v>
      </c>
      <c r="N4024" s="13">
        <v>46181.337997685187</v>
      </c>
      <c r="O4024" s="14" t="str">
        <f>HYPERLINK("https://otsuka-europe-crm.veevavault.com/ui/#object/email_activity__v/V8C00000003O822", "EN-002090524")</f>
        <v>EN-002090524</v>
      </c>
    </row>
    <row r="4025" spans="1:15" ht="32" x14ac:dyDescent="0.2">
      <c r="A4025" s="7" t="str">
        <f>HYPERLINK("https://otsuka-europe-crm.veevavault.com/ui/#object/account__v/V4TZ04ASGB9N2PK", "GIUSEPPE DIGLIONE")</f>
        <v>GIUSEPPE DIGLIONE</v>
      </c>
      <c r="B4025" s="7" t="str">
        <f t="shared" si="312"/>
        <v>IT</v>
      </c>
      <c r="C4025" s="8" t="s">
        <v>44</v>
      </c>
      <c r="D4025" s="9" t="str">
        <f t="shared" si="313"/>
        <v>AE dialoghi di tempo fiducia e cura episodi 2-3-4</v>
      </c>
      <c r="E4025" s="10" t="str">
        <f>HYPERLINK("https://otsuka-europe-crm.veevavault.com/ui/#object/sent_email__v/VBL00000002P354", "SE-001433024")</f>
        <v>SE-001433024</v>
      </c>
      <c r="F4025" s="11"/>
      <c r="G4025" s="12">
        <v>0</v>
      </c>
      <c r="H4025" s="12">
        <v>0</v>
      </c>
      <c r="I4025" s="12">
        <v>0</v>
      </c>
      <c r="J4025" s="11"/>
      <c r="K4025" s="12">
        <v>0</v>
      </c>
      <c r="L4025" s="10" t="str">
        <f t="shared" si="314"/>
        <v>AE dialoghi di tempo fiducia e cura episodi 2-3-4</v>
      </c>
      <c r="M4025" s="10" t="str">
        <f t="shared" si="315"/>
        <v>nicoletta.vozza@crm.otsuka-europe.com</v>
      </c>
      <c r="N4025" s="13">
        <v>46181.33798611111</v>
      </c>
      <c r="O4025" s="14" t="str">
        <f>HYPERLINK("https://otsuka-europe-crm.veevavault.com/ui/#object/email_activity__v/V8C00000003P324", "EN-002090330")</f>
        <v>EN-002090330</v>
      </c>
    </row>
    <row r="4026" spans="1:15" ht="32" x14ac:dyDescent="0.2">
      <c r="A4026" s="7" t="str">
        <f>HYPERLINK("https://otsuka-europe-crm.veevavault.com/ui/#object/account__v/V4TZ06G6O71SAIK", "GIUSEPPE DUCCI")</f>
        <v>GIUSEPPE DUCCI</v>
      </c>
      <c r="B4026" s="7" t="str">
        <f t="shared" si="312"/>
        <v>IT</v>
      </c>
      <c r="C4026" s="8" t="s">
        <v>44</v>
      </c>
      <c r="D4026" s="9" t="str">
        <f t="shared" si="313"/>
        <v>AE dialoghi di tempo fiducia e cura episodi 2-3-4</v>
      </c>
      <c r="E4026" s="10" t="str">
        <f>HYPERLINK("https://otsuka-europe-crm.veevavault.com/ui/#object/sent_email__v/VBL00000002P355", "SE-001433025")</f>
        <v>SE-001433025</v>
      </c>
      <c r="F4026" s="11"/>
      <c r="G4026" s="12">
        <v>0</v>
      </c>
      <c r="H4026" s="12">
        <v>0</v>
      </c>
      <c r="I4026" s="12">
        <v>0</v>
      </c>
      <c r="J4026" s="11"/>
      <c r="K4026" s="12">
        <v>0</v>
      </c>
      <c r="L4026" s="10" t="str">
        <f t="shared" si="314"/>
        <v>AE dialoghi di tempo fiducia e cura episodi 2-3-4</v>
      </c>
      <c r="M4026" s="10" t="str">
        <f t="shared" si="315"/>
        <v>nicoletta.vozza@crm.otsuka-europe.com</v>
      </c>
      <c r="N4026" s="13">
        <v>46181.338090277779</v>
      </c>
      <c r="O4026" s="14" t="str">
        <f>HYPERLINK("https://otsuka-europe-crm.veevavault.com/ui/#object/email_activity__v/V8C00000003O862", "EN-002090560")</f>
        <v>EN-002090560</v>
      </c>
    </row>
    <row r="4027" spans="1:15" ht="32" x14ac:dyDescent="0.2">
      <c r="A4027" s="7" t="str">
        <f>HYPERLINK("https://otsuka-europe-crm.veevavault.com/ui/#object/account__v/V4TZ04ASGB9N2MG", "GIUSEPPE FALESIEDI")</f>
        <v>GIUSEPPE FALESIEDI</v>
      </c>
      <c r="B4027" s="7" t="str">
        <f t="shared" si="312"/>
        <v>IT</v>
      </c>
      <c r="C4027" s="8" t="s">
        <v>44</v>
      </c>
      <c r="D4027" s="9" t="str">
        <f t="shared" si="313"/>
        <v>AE dialoghi di tempo fiducia e cura episodi 2-3-4</v>
      </c>
      <c r="E4027" s="10" t="str">
        <f>HYPERLINK("https://otsuka-europe-crm.veevavault.com/ui/#object/sent_email__v/VBL00000002P356", "SE-001433026")</f>
        <v>SE-001433026</v>
      </c>
      <c r="F4027" s="11"/>
      <c r="G4027" s="12">
        <v>0</v>
      </c>
      <c r="H4027" s="12">
        <v>0</v>
      </c>
      <c r="I4027" s="12">
        <v>0</v>
      </c>
      <c r="J4027" s="11"/>
      <c r="K4027" s="12">
        <v>0</v>
      </c>
      <c r="L4027" s="10" t="str">
        <f t="shared" si="314"/>
        <v>AE dialoghi di tempo fiducia e cura episodi 2-3-4</v>
      </c>
      <c r="M4027" s="10" t="str">
        <f t="shared" si="315"/>
        <v>nicoletta.vozza@crm.otsuka-europe.com</v>
      </c>
      <c r="N4027" s="13">
        <v>46181.337997685187</v>
      </c>
      <c r="O4027" s="14" t="str">
        <f>HYPERLINK("https://otsuka-europe-crm.veevavault.com/ui/#object/email_activity__v/V8C00000003P462", "EN-002090694")</f>
        <v>EN-002090694</v>
      </c>
    </row>
    <row r="4028" spans="1:15" ht="32" x14ac:dyDescent="0.2">
      <c r="A4028" s="7" t="str">
        <f>HYPERLINK("https://otsuka-europe-crm.veevavault.com/ui/#object/account__v/V4TZ06G6O71SAJ3", "GIUSEPPE FERTONANI AFFINI")</f>
        <v>GIUSEPPE FERTONANI AFFINI</v>
      </c>
      <c r="B4028" s="7" t="str">
        <f t="shared" si="312"/>
        <v>IT</v>
      </c>
      <c r="C4028" s="8" t="s">
        <v>44</v>
      </c>
      <c r="D4028" s="9" t="str">
        <f t="shared" si="313"/>
        <v>AE dialoghi di tempo fiducia e cura episodi 2-3-4</v>
      </c>
      <c r="E4028" s="10" t="str">
        <f>HYPERLINK("https://otsuka-europe-crm.veevavault.com/ui/#object/sent_email__v/VBL00000002P357", "SE-001433027")</f>
        <v>SE-001433027</v>
      </c>
      <c r="F4028" s="11"/>
      <c r="G4028" s="12">
        <v>0</v>
      </c>
      <c r="H4028" s="12">
        <v>0</v>
      </c>
      <c r="I4028" s="12">
        <v>0</v>
      </c>
      <c r="J4028" s="11"/>
      <c r="K4028" s="12">
        <v>0</v>
      </c>
      <c r="L4028" s="10" t="str">
        <f t="shared" si="314"/>
        <v>AE dialoghi di tempo fiducia e cura episodi 2-3-4</v>
      </c>
      <c r="M4028" s="10" t="str">
        <f t="shared" si="315"/>
        <v>nicoletta.vozza@crm.otsuka-europe.com</v>
      </c>
      <c r="N4028" s="13">
        <v>46181.337951388887</v>
      </c>
      <c r="O4028" s="14" t="str">
        <f>HYPERLINK("https://otsuka-europe-crm.veevavault.com/ui/#object/email_activity__v/V8C00000003P240", "EN-002089818")</f>
        <v>EN-002089818</v>
      </c>
    </row>
    <row r="4029" spans="1:15" ht="32" x14ac:dyDescent="0.2">
      <c r="A4029" s="7" t="str">
        <f>HYPERLINK("https://otsuka-europe-crm.veevavault.com/ui/#object/account__v/V4TZ06G6O71SCCD", "GIUSEPPE FRANCESCO SCIBILIA")</f>
        <v>GIUSEPPE FRANCESCO SCIBILIA</v>
      </c>
      <c r="B4029" s="7" t="str">
        <f t="shared" si="312"/>
        <v>IT</v>
      </c>
      <c r="C4029" s="8" t="s">
        <v>44</v>
      </c>
      <c r="D4029" s="9" t="str">
        <f t="shared" si="313"/>
        <v>AE dialoghi di tempo fiducia e cura episodi 2-3-4</v>
      </c>
      <c r="E4029" s="10" t="str">
        <f>HYPERLINK("https://otsuka-europe-crm.veevavault.com/ui/#object/sent_email__v/VBL00000002P358", "SE-001433028")</f>
        <v>SE-001433028</v>
      </c>
      <c r="F4029" s="11"/>
      <c r="G4029" s="12">
        <v>0</v>
      </c>
      <c r="H4029" s="12">
        <v>0</v>
      </c>
      <c r="I4029" s="12">
        <v>0</v>
      </c>
      <c r="J4029" s="11"/>
      <c r="K4029" s="12">
        <v>0</v>
      </c>
      <c r="L4029" s="10" t="str">
        <f t="shared" si="314"/>
        <v>AE dialoghi di tempo fiducia e cura episodi 2-3-4</v>
      </c>
      <c r="M4029" s="10" t="str">
        <f t="shared" si="315"/>
        <v>nicoletta.vozza@crm.otsuka-europe.com</v>
      </c>
      <c r="N4029" s="13">
        <v>46181.338020833333</v>
      </c>
      <c r="O4029" s="14" t="str">
        <f>HYPERLINK("https://otsuka-europe-crm.veevavault.com/ui/#object/email_activity__v/V8C00000003P677", "EN-002090932")</f>
        <v>EN-002090932</v>
      </c>
    </row>
    <row r="4030" spans="1:15" ht="32" x14ac:dyDescent="0.2">
      <c r="A4030" s="7" t="str">
        <f>HYPERLINK("https://otsuka-europe-crm.veevavault.com/ui/#object/account__v/V4TZ06G6O71SAV7", "GIUSEPPE GIAMUNDO")</f>
        <v>GIUSEPPE GIAMUNDO</v>
      </c>
      <c r="B4030" s="7" t="str">
        <f t="shared" si="312"/>
        <v>IT</v>
      </c>
      <c r="C4030" s="8" t="s">
        <v>44</v>
      </c>
      <c r="D4030" s="9" t="str">
        <f t="shared" si="313"/>
        <v>AE dialoghi di tempo fiducia e cura episodi 2-3-4</v>
      </c>
      <c r="E4030" s="10" t="str">
        <f>HYPERLINK("https://otsuka-europe-crm.veevavault.com/ui/#object/sent_email__v/VBL00000002P359", "SE-001433029")</f>
        <v>SE-001433029</v>
      </c>
      <c r="F4030" s="11"/>
      <c r="G4030" s="12">
        <v>0</v>
      </c>
      <c r="H4030" s="12">
        <v>0</v>
      </c>
      <c r="I4030" s="12">
        <v>0</v>
      </c>
      <c r="J4030" s="11"/>
      <c r="K4030" s="12">
        <v>0</v>
      </c>
      <c r="L4030" s="10" t="str">
        <f t="shared" si="314"/>
        <v>AE dialoghi di tempo fiducia e cura episodi 2-3-4</v>
      </c>
      <c r="M4030" s="10" t="str">
        <f t="shared" si="315"/>
        <v>nicoletta.vozza@crm.otsuka-europe.com</v>
      </c>
      <c r="N4030" s="13">
        <v>46181.338055555556</v>
      </c>
      <c r="O4030" s="14" t="str">
        <f>HYPERLINK("https://otsuka-europe-crm.veevavault.com/ui/#object/email_activity__v/V8C00000003Q097", "EN-002091162")</f>
        <v>EN-002091162</v>
      </c>
    </row>
    <row r="4031" spans="1:15" ht="16" x14ac:dyDescent="0.2">
      <c r="A4031" s="17" t="str">
        <f>HYPERLINK("https://otsuka-europe-crm.veevavault.com/ui/#object/account__v/V4TZ06G6O71SB73", "GIUSEPPE IMPERADORE")</f>
        <v>GIUSEPPE IMPERADORE</v>
      </c>
      <c r="B4031" s="17" t="str">
        <f t="shared" si="312"/>
        <v>IT</v>
      </c>
      <c r="C4031" s="20" t="s">
        <v>44</v>
      </c>
      <c r="D4031" s="21" t="str">
        <f t="shared" si="313"/>
        <v>AE dialoghi di tempo fiducia e cura episodi 2-3-4</v>
      </c>
      <c r="E4031" s="22" t="str">
        <f>HYPERLINK("https://otsuka-europe-crm.veevavault.com/ui/#object/sent_email__v/VBL00000002P360", "SE-001433030")</f>
        <v>SE-001433030</v>
      </c>
      <c r="F4031" s="23">
        <v>46181.342060185183</v>
      </c>
      <c r="G4031" s="24">
        <v>1</v>
      </c>
      <c r="H4031" s="24">
        <v>1</v>
      </c>
      <c r="I4031" s="24">
        <v>0</v>
      </c>
      <c r="J4031" s="25"/>
      <c r="K4031" s="24">
        <v>0</v>
      </c>
      <c r="L4031" s="22" t="str">
        <f t="shared" si="314"/>
        <v>AE dialoghi di tempo fiducia e cura episodi 2-3-4</v>
      </c>
      <c r="M4031" s="22" t="str">
        <f t="shared" si="315"/>
        <v>nicoletta.vozza@crm.otsuka-europe.com</v>
      </c>
      <c r="N4031" s="23">
        <v>46181.337997685187</v>
      </c>
      <c r="O4031" s="14" t="str">
        <f>HYPERLINK("https://otsuka-europe-crm.veevavault.com/ui/#object/email_activity__v/V8C00000003P519", "EN-002090774")</f>
        <v>EN-002090774</v>
      </c>
    </row>
    <row r="4032" spans="1:15" ht="16" x14ac:dyDescent="0.2">
      <c r="A4032" s="19"/>
      <c r="B4032" s="19"/>
      <c r="C4032" s="19"/>
      <c r="D4032" s="19"/>
      <c r="E4032" s="19"/>
      <c r="F4032" s="19"/>
      <c r="G4032" s="19"/>
      <c r="H4032" s="19"/>
      <c r="I4032" s="19"/>
      <c r="J4032" s="19"/>
      <c r="K4032" s="19"/>
      <c r="L4032" s="19"/>
      <c r="M4032" s="19"/>
      <c r="N4032" s="19"/>
      <c r="O4032" s="14" t="str">
        <f>HYPERLINK("https://otsuka-europe-crm.veevavault.com/ui/#object/email_activity__v/V8C00000003P894", "EN-002091424")</f>
        <v>EN-002091424</v>
      </c>
    </row>
    <row r="4033" spans="1:15" ht="32" x14ac:dyDescent="0.2">
      <c r="A4033" s="7" t="str">
        <f>HYPERLINK("https://otsuka-europe-crm.veevavault.com/ui/#object/account__v/V4TZ06G6O71S9M9", "GIUSEPPE LUCA REFFOLI")</f>
        <v>GIUSEPPE LUCA REFFOLI</v>
      </c>
      <c r="B4033" s="7" t="str">
        <f>HYPERLINK("https://otsuka-europe-crm.veevavault.com/ui/#object/vcountry__v/VENZ000004SONFQ", "IT")</f>
        <v>IT</v>
      </c>
      <c r="C4033" s="8" t="s">
        <v>44</v>
      </c>
      <c r="D4033" s="9" t="str">
        <f>HYPERLINK("https://otsuka-europe-crm.veevavault.com/ui/#object/approved_document__v/V5O000000018003", "AE dialoghi di tempo fiducia e cura episodi 2-3-4")</f>
        <v>AE dialoghi di tempo fiducia e cura episodi 2-3-4</v>
      </c>
      <c r="E4033" s="10" t="str">
        <f>HYPERLINK("https://otsuka-europe-crm.veevavault.com/ui/#object/sent_email__v/VBL00000002P361", "SE-001433031")</f>
        <v>SE-001433031</v>
      </c>
      <c r="F4033" s="11"/>
      <c r="G4033" s="12">
        <v>0</v>
      </c>
      <c r="H4033" s="12">
        <v>0</v>
      </c>
      <c r="I4033" s="12">
        <v>0</v>
      </c>
      <c r="J4033" s="11"/>
      <c r="K4033" s="12">
        <v>0</v>
      </c>
      <c r="L4033" s="10" t="str">
        <f>HYPERLINK("https://otsuka-europe-crm.veevavault.com/ui/#object/approved_document__v/V5O000000018003", "AE dialoghi di tempo fiducia e cura episodi 2-3-4")</f>
        <v>AE dialoghi di tempo fiducia e cura episodi 2-3-4</v>
      </c>
      <c r="M4033" s="10" t="str">
        <f>HYPERLINK("mailto:nicoletta.vozza@crm.otsuka-europe.com", "nicoletta.vozza@crm.otsuka-europe.com")</f>
        <v>nicoletta.vozza@crm.otsuka-europe.com</v>
      </c>
      <c r="N4033" s="13">
        <v>46181.338078703702</v>
      </c>
      <c r="O4033" s="14" t="str">
        <f>HYPERLINK("https://otsuka-europe-crm.veevavault.com/ui/#object/email_activity__v/V8C00000003O606", "EN-002090162")</f>
        <v>EN-002090162</v>
      </c>
    </row>
    <row r="4034" spans="1:15" ht="16" x14ac:dyDescent="0.2">
      <c r="A4034" s="17" t="str">
        <f>HYPERLINK("https://otsuka-europe-crm.veevavault.com/ui/#object/account__v/V4TZ06G6O71SB9H", "GIUSEPPE LUNARDO")</f>
        <v>GIUSEPPE LUNARDO</v>
      </c>
      <c r="B4034" s="17" t="str">
        <f>HYPERLINK("https://otsuka-europe-crm.veevavault.com/ui/#object/vcountry__v/VENZ000004SONFQ", "IT")</f>
        <v>IT</v>
      </c>
      <c r="C4034" s="20" t="s">
        <v>44</v>
      </c>
      <c r="D4034" s="21" t="str">
        <f>HYPERLINK("https://otsuka-europe-crm.veevavault.com/ui/#object/approved_document__v/V5O000000018003", "AE dialoghi di tempo fiducia e cura episodi 2-3-4")</f>
        <v>AE dialoghi di tempo fiducia e cura episodi 2-3-4</v>
      </c>
      <c r="E4034" s="22" t="str">
        <f>HYPERLINK("https://otsuka-europe-crm.veevavault.com/ui/#object/sent_email__v/VBL00000002P362", "SE-001433032")</f>
        <v>SE-001433032</v>
      </c>
      <c r="F4034" s="25"/>
      <c r="G4034" s="24">
        <v>0</v>
      </c>
      <c r="H4034" s="24">
        <v>0</v>
      </c>
      <c r="I4034" s="24">
        <v>0</v>
      </c>
      <c r="J4034" s="25"/>
      <c r="K4034" s="24">
        <v>0</v>
      </c>
      <c r="L4034" s="22" t="str">
        <f>HYPERLINK("https://otsuka-europe-crm.veevavault.com/ui/#object/approved_document__v/V5O000000018003", "AE dialoghi di tempo fiducia e cura episodi 2-3-4")</f>
        <v>AE dialoghi di tempo fiducia e cura episodi 2-3-4</v>
      </c>
      <c r="M4034" s="22" t="str">
        <f>HYPERLINK("mailto:nicoletta.vozza@crm.otsuka-europe.com", "nicoletta.vozza@crm.otsuka-europe.com")</f>
        <v>nicoletta.vozza@crm.otsuka-europe.com</v>
      </c>
      <c r="N4034" s="23">
        <v>46181.338020833333</v>
      </c>
      <c r="O4034" s="14" t="str">
        <f>HYPERLINK("https://otsuka-europe-crm.veevavault.com/ui/#object/email_activity__v/V8C00000003O388", "EN-002089906")</f>
        <v>EN-002089906</v>
      </c>
    </row>
    <row r="4035" spans="1:15" ht="16" x14ac:dyDescent="0.2">
      <c r="A4035" s="19"/>
      <c r="B4035" s="19"/>
      <c r="C4035" s="19"/>
      <c r="D4035" s="19"/>
      <c r="E4035" s="19"/>
      <c r="F4035" s="19"/>
      <c r="G4035" s="19"/>
      <c r="H4035" s="19"/>
      <c r="I4035" s="19"/>
      <c r="J4035" s="19"/>
      <c r="K4035" s="19"/>
      <c r="L4035" s="19"/>
      <c r="M4035" s="19"/>
      <c r="N4035" s="19"/>
      <c r="O4035" s="14" t="str">
        <f>HYPERLINK("https://otsuka-europe-crm.veevavault.com/ui/#object/email_activity__v/V8C00000003Q465", "EN-002091706")</f>
        <v>EN-002091706</v>
      </c>
    </row>
    <row r="4036" spans="1:15" ht="16" x14ac:dyDescent="0.2">
      <c r="A4036" s="17" t="str">
        <f>HYPERLINK("https://otsuka-europe-crm.veevavault.com/ui/#object/account__v/V4TZ06G6O71SBE5", "GIUSEPPE MAINA")</f>
        <v>GIUSEPPE MAINA</v>
      </c>
      <c r="B4036" s="17" t="str">
        <f>HYPERLINK("https://otsuka-europe-crm.veevavault.com/ui/#object/vcountry__v/VENZ000004SONFQ", "IT")</f>
        <v>IT</v>
      </c>
      <c r="C4036" s="20" t="s">
        <v>44</v>
      </c>
      <c r="D4036" s="21" t="str">
        <f>HYPERLINK("https://otsuka-europe-crm.veevavault.com/ui/#object/approved_document__v/V5O000000018003", "AE dialoghi di tempo fiducia e cura episodi 2-3-4")</f>
        <v>AE dialoghi di tempo fiducia e cura episodi 2-3-4</v>
      </c>
      <c r="E4036" s="22" t="str">
        <f>HYPERLINK("https://otsuka-europe-crm.veevavault.com/ui/#object/sent_email__v/VBL00000002P363", "SE-001433033")</f>
        <v>SE-001433033</v>
      </c>
      <c r="F4036" s="23">
        <v>46181.392071759263</v>
      </c>
      <c r="G4036" s="24">
        <v>1</v>
      </c>
      <c r="H4036" s="24">
        <v>1</v>
      </c>
      <c r="I4036" s="24">
        <v>0</v>
      </c>
      <c r="J4036" s="25"/>
      <c r="K4036" s="24">
        <v>0</v>
      </c>
      <c r="L4036" s="22" t="str">
        <f>HYPERLINK("https://otsuka-europe-crm.veevavault.com/ui/#object/approved_document__v/V5O000000018003", "AE dialoghi di tempo fiducia e cura episodi 2-3-4")</f>
        <v>AE dialoghi di tempo fiducia e cura episodi 2-3-4</v>
      </c>
      <c r="M4036" s="22" t="str">
        <f>HYPERLINK("mailto:nicoletta.vozza@crm.otsuka-europe.com", "nicoletta.vozza@crm.otsuka-europe.com")</f>
        <v>nicoletta.vozza@crm.otsuka-europe.com</v>
      </c>
      <c r="N4036" s="23">
        <v>46181.338055555556</v>
      </c>
      <c r="O4036" s="14" t="str">
        <f>HYPERLINK("https://otsuka-europe-crm.veevavault.com/ui/#object/email_activity__v/V8C00000003O892", "EN-002090495")</f>
        <v>EN-002090495</v>
      </c>
    </row>
    <row r="4037" spans="1:15" ht="16" x14ac:dyDescent="0.2">
      <c r="A4037" s="19"/>
      <c r="B4037" s="19"/>
      <c r="C4037" s="19"/>
      <c r="D4037" s="19"/>
      <c r="E4037" s="19"/>
      <c r="F4037" s="19"/>
      <c r="G4037" s="19"/>
      <c r="H4037" s="19"/>
      <c r="I4037" s="19"/>
      <c r="J4037" s="19"/>
      <c r="K4037" s="19"/>
      <c r="L4037" s="19"/>
      <c r="M4037" s="19"/>
      <c r="N4037" s="19"/>
      <c r="O4037" s="14" t="str">
        <f>HYPERLINK("https://otsuka-europe-crm.veevavault.com/ui/#object/email_activity__v/V8C00000003R012", "EN-002091736")</f>
        <v>EN-002091736</v>
      </c>
    </row>
    <row r="4038" spans="1:15" ht="32" x14ac:dyDescent="0.2">
      <c r="A4038" s="7" t="str">
        <f>HYPERLINK("https://otsuka-europe-crm.veevavault.com/ui/#object/account__v/V4TZ06G6O71S9SZ", "GIUSEPPE MARIA PLESCIA")</f>
        <v>GIUSEPPE MARIA PLESCIA</v>
      </c>
      <c r="B4038" s="7" t="str">
        <f>HYPERLINK("https://otsuka-europe-crm.veevavault.com/ui/#object/vcountry__v/VENZ000004SONFQ", "IT")</f>
        <v>IT</v>
      </c>
      <c r="C4038" s="8" t="s">
        <v>44</v>
      </c>
      <c r="D4038" s="9" t="str">
        <f>HYPERLINK("https://otsuka-europe-crm.veevavault.com/ui/#object/approved_document__v/V5O000000018003", "AE dialoghi di tempo fiducia e cura episodi 2-3-4")</f>
        <v>AE dialoghi di tempo fiducia e cura episodi 2-3-4</v>
      </c>
      <c r="E4038" s="10" t="str">
        <f>HYPERLINK("https://otsuka-europe-crm.veevavault.com/ui/#object/sent_email__v/VBL00000002P364", "SE-001433034")</f>
        <v>SE-001433034</v>
      </c>
      <c r="F4038" s="11"/>
      <c r="G4038" s="12">
        <v>0</v>
      </c>
      <c r="H4038" s="12">
        <v>0</v>
      </c>
      <c r="I4038" s="12">
        <v>0</v>
      </c>
      <c r="J4038" s="11"/>
      <c r="K4038" s="12">
        <v>0</v>
      </c>
      <c r="L4038" s="10" t="str">
        <f>HYPERLINK("https://otsuka-europe-crm.veevavault.com/ui/#object/approved_document__v/V5O000000018003", "AE dialoghi di tempo fiducia e cura episodi 2-3-4")</f>
        <v>AE dialoghi di tempo fiducia e cura episodi 2-3-4</v>
      </c>
      <c r="M4038" s="10" t="str">
        <f>HYPERLINK("mailto:nicoletta.vozza@crm.otsuka-europe.com", "nicoletta.vozza@crm.otsuka-europe.com")</f>
        <v>nicoletta.vozza@crm.otsuka-europe.com</v>
      </c>
      <c r="N4038" s="13">
        <v>46181.337997685187</v>
      </c>
      <c r="O4038" s="14" t="str">
        <f>HYPERLINK("https://otsuka-europe-crm.veevavault.com/ui/#object/email_activity__v/V8C00000003O944", "EN-002090604")</f>
        <v>EN-002090604</v>
      </c>
    </row>
    <row r="4039" spans="1:15" ht="16" x14ac:dyDescent="0.2">
      <c r="A4039" s="17" t="str">
        <f>HYPERLINK("https://otsuka-europe-crm.veevavault.com/ui/#object/account__v/V4TZ06G6O71SACQ", "GIUSEPPE MATTIA CARLUCCIO")</f>
        <v>GIUSEPPE MATTIA CARLUCCIO</v>
      </c>
      <c r="B4039" s="17" t="str">
        <f>HYPERLINK("https://otsuka-europe-crm.veevavault.com/ui/#object/vcountry__v/VENZ000004SONFQ", "IT")</f>
        <v>IT</v>
      </c>
      <c r="C4039" s="20" t="s">
        <v>44</v>
      </c>
      <c r="D4039" s="21" t="str">
        <f>HYPERLINK("https://otsuka-europe-crm.veevavault.com/ui/#object/approved_document__v/V5O000000018003", "AE dialoghi di tempo fiducia e cura episodi 2-3-4")</f>
        <v>AE dialoghi di tempo fiducia e cura episodi 2-3-4</v>
      </c>
      <c r="E4039" s="22" t="str">
        <f>HYPERLINK("https://otsuka-europe-crm.veevavault.com/ui/#object/sent_email__v/VBL00000002P365", "SE-001433035")</f>
        <v>SE-001433035</v>
      </c>
      <c r="F4039" s="25"/>
      <c r="G4039" s="24">
        <v>0</v>
      </c>
      <c r="H4039" s="24">
        <v>0</v>
      </c>
      <c r="I4039" s="24">
        <v>0</v>
      </c>
      <c r="J4039" s="25"/>
      <c r="K4039" s="24">
        <v>0</v>
      </c>
      <c r="L4039" s="22" t="str">
        <f>HYPERLINK("https://otsuka-europe-crm.veevavault.com/ui/#object/approved_document__v/V5O000000018003", "AE dialoghi di tempo fiducia e cura episodi 2-3-4")</f>
        <v>AE dialoghi di tempo fiducia e cura episodi 2-3-4</v>
      </c>
      <c r="M4039" s="22" t="str">
        <f>HYPERLINK("mailto:nicoletta.vozza@crm.otsuka-europe.com", "nicoletta.vozza@crm.otsuka-europe.com")</f>
        <v>nicoletta.vozza@crm.otsuka-europe.com</v>
      </c>
      <c r="N4039" s="23">
        <v>46181.338101851848</v>
      </c>
      <c r="O4039" s="14" t="str">
        <f>HYPERLINK("https://otsuka-europe-crm.veevavault.com/ui/#object/email_activity__v/V8C00000003P491", "EN-002090668")</f>
        <v>EN-002090668</v>
      </c>
    </row>
    <row r="4040" spans="1:15" ht="16" x14ac:dyDescent="0.2">
      <c r="A4040" s="19"/>
      <c r="B4040" s="19"/>
      <c r="C4040" s="19"/>
      <c r="D4040" s="19"/>
      <c r="E4040" s="19"/>
      <c r="F4040" s="19"/>
      <c r="G4040" s="19"/>
      <c r="H4040" s="19"/>
      <c r="I4040" s="19"/>
      <c r="J4040" s="19"/>
      <c r="K4040" s="19"/>
      <c r="L4040" s="19"/>
      <c r="M4040" s="19"/>
      <c r="N4040" s="19"/>
      <c r="O4040" s="14" t="str">
        <f>HYPERLINK("https://otsuka-europe-crm.veevavault.com/ui/#object/email_activity__v/V8C00000003Q323", "EN-002091482")</f>
        <v>EN-002091482</v>
      </c>
    </row>
    <row r="4041" spans="1:15" ht="32" x14ac:dyDescent="0.2">
      <c r="A4041" s="7" t="str">
        <f>HYPERLINK("https://otsuka-europe-crm.veevavault.com/ui/#object/account__v/V4TZ04ASGBCJB4Z", "GIUSEPPE MILONE")</f>
        <v>GIUSEPPE MILONE</v>
      </c>
      <c r="B4041" s="7" t="str">
        <f>HYPERLINK("https://otsuka-europe-crm.veevavault.com/ui/#object/vcountry__v/VENZ000004SONFQ", "IT")</f>
        <v>IT</v>
      </c>
      <c r="C4041" s="8" t="s">
        <v>44</v>
      </c>
      <c r="D4041" s="9" t="str">
        <f>HYPERLINK("https://otsuka-europe-crm.veevavault.com/ui/#object/approved_document__v/V5O000000018003", "AE dialoghi di tempo fiducia e cura episodi 2-3-4")</f>
        <v>AE dialoghi di tempo fiducia e cura episodi 2-3-4</v>
      </c>
      <c r="E4041" s="10" t="str">
        <f>HYPERLINK("https://otsuka-europe-crm.veevavault.com/ui/#object/sent_email__v/VBL00000002P366", "SE-001433036")</f>
        <v>SE-001433036</v>
      </c>
      <c r="F4041" s="11"/>
      <c r="G4041" s="12">
        <v>0</v>
      </c>
      <c r="H4041" s="12">
        <v>0</v>
      </c>
      <c r="I4041" s="12">
        <v>0</v>
      </c>
      <c r="J4041" s="11"/>
      <c r="K4041" s="12">
        <v>0</v>
      </c>
      <c r="L4041" s="10" t="str">
        <f>HYPERLINK("https://otsuka-europe-crm.veevavault.com/ui/#object/approved_document__v/V5O000000018003", "AE dialoghi di tempo fiducia e cura episodi 2-3-4")</f>
        <v>AE dialoghi di tempo fiducia e cura episodi 2-3-4</v>
      </c>
      <c r="M4041" s="10" t="str">
        <f>HYPERLINK("mailto:nicoletta.vozza@crm.otsuka-europe.com", "nicoletta.vozza@crm.otsuka-europe.com")</f>
        <v>nicoletta.vozza@crm.otsuka-europe.com</v>
      </c>
      <c r="N4041" s="13">
        <v>46181.337997685187</v>
      </c>
      <c r="O4041" s="14" t="str">
        <f>HYPERLINK("https://otsuka-europe-crm.veevavault.com/ui/#object/email_activity__v/V8C00000003P680", "EN-002090935")</f>
        <v>EN-002090935</v>
      </c>
    </row>
    <row r="4042" spans="1:15" ht="32" x14ac:dyDescent="0.2">
      <c r="A4042" s="7" t="str">
        <f>HYPERLINK("https://otsuka-europe-crm.veevavault.com/ui/#object/account__v/V4TZ06G6O71S9DL", "GIUSEPPE MINUTOLO")</f>
        <v>GIUSEPPE MINUTOLO</v>
      </c>
      <c r="B4042" s="7" t="str">
        <f>HYPERLINK("https://otsuka-europe-crm.veevavault.com/ui/#object/vcountry__v/VENZ000004SONFQ", "IT")</f>
        <v>IT</v>
      </c>
      <c r="C4042" s="8" t="s">
        <v>44</v>
      </c>
      <c r="D4042" s="9" t="str">
        <f>HYPERLINK("https://otsuka-europe-crm.veevavault.com/ui/#object/approved_document__v/V5O000000018003", "AE dialoghi di tempo fiducia e cura episodi 2-3-4")</f>
        <v>AE dialoghi di tempo fiducia e cura episodi 2-3-4</v>
      </c>
      <c r="E4042" s="10" t="str">
        <f>HYPERLINK("https://otsuka-europe-crm.veevavault.com/ui/#object/sent_email__v/VBL00000002P367", "SE-001433037")</f>
        <v>SE-001433037</v>
      </c>
      <c r="F4042" s="11"/>
      <c r="G4042" s="12">
        <v>0</v>
      </c>
      <c r="H4042" s="12">
        <v>0</v>
      </c>
      <c r="I4042" s="12">
        <v>0</v>
      </c>
      <c r="J4042" s="11"/>
      <c r="K4042" s="12">
        <v>0</v>
      </c>
      <c r="L4042" s="10" t="str">
        <f>HYPERLINK("https://otsuka-europe-crm.veevavault.com/ui/#object/approved_document__v/V5O000000018003", "AE dialoghi di tempo fiducia e cura episodi 2-3-4")</f>
        <v>AE dialoghi di tempo fiducia e cura episodi 2-3-4</v>
      </c>
      <c r="M4042" s="10" t="str">
        <f>HYPERLINK("mailto:nicoletta.vozza@crm.otsuka-europe.com", "nicoletta.vozza@crm.otsuka-europe.com")</f>
        <v>nicoletta.vozza@crm.otsuka-europe.com</v>
      </c>
      <c r="N4042" s="13">
        <v>46181.338078703702</v>
      </c>
      <c r="O4042" s="14" t="str">
        <f>HYPERLINK("https://otsuka-europe-crm.veevavault.com/ui/#object/email_activity__v/V8C00000003O691", "EN-002090247")</f>
        <v>EN-002090247</v>
      </c>
    </row>
    <row r="4043" spans="1:15" ht="32" x14ac:dyDescent="0.2">
      <c r="A4043" s="7" t="str">
        <f>HYPERLINK("https://otsuka-europe-crm.veevavault.com/ui/#object/account__v/V4TZ06G6O71SBKG", "GIUSEPPE MORANDO")</f>
        <v>GIUSEPPE MORANDO</v>
      </c>
      <c r="B4043" s="7" t="str">
        <f>HYPERLINK("https://otsuka-europe-crm.veevavault.com/ui/#object/vcountry__v/VENZ000004SONFQ", "IT")</f>
        <v>IT</v>
      </c>
      <c r="C4043" s="8" t="s">
        <v>44</v>
      </c>
      <c r="D4043" s="9" t="str">
        <f>HYPERLINK("https://otsuka-europe-crm.veevavault.com/ui/#object/approved_document__v/V5O000000018003", "AE dialoghi di tempo fiducia e cura episodi 2-3-4")</f>
        <v>AE dialoghi di tempo fiducia e cura episodi 2-3-4</v>
      </c>
      <c r="E4043" s="10" t="str">
        <f>HYPERLINK("https://otsuka-europe-crm.veevavault.com/ui/#object/sent_email__v/VBL00000002P368", "SE-001433038")</f>
        <v>SE-001433038</v>
      </c>
      <c r="F4043" s="11"/>
      <c r="G4043" s="12">
        <v>0</v>
      </c>
      <c r="H4043" s="12">
        <v>0</v>
      </c>
      <c r="I4043" s="12">
        <v>0</v>
      </c>
      <c r="J4043" s="11"/>
      <c r="K4043" s="12">
        <v>0</v>
      </c>
      <c r="L4043" s="10" t="str">
        <f>HYPERLINK("https://otsuka-europe-crm.veevavault.com/ui/#object/approved_document__v/V5O000000018003", "AE dialoghi di tempo fiducia e cura episodi 2-3-4")</f>
        <v>AE dialoghi di tempo fiducia e cura episodi 2-3-4</v>
      </c>
      <c r="M4043" s="10" t="str">
        <f>HYPERLINK("mailto:nicoletta.vozza@crm.otsuka-europe.com", "nicoletta.vozza@crm.otsuka-europe.com")</f>
        <v>nicoletta.vozza@crm.otsuka-europe.com</v>
      </c>
      <c r="N4043" s="13">
        <v>46181.338483796295</v>
      </c>
      <c r="O4043" s="14" t="str">
        <f>HYPERLINK("https://otsuka-europe-crm.veevavault.com/ui/#object/email_activity__v/V8C00000003Q175", "EN-002091265")</f>
        <v>EN-002091265</v>
      </c>
    </row>
    <row r="4044" spans="1:15" ht="16" x14ac:dyDescent="0.2">
      <c r="A4044" s="17" t="str">
        <f>HYPERLINK("https://otsuka-europe-crm.veevavault.com/ui/#object/account__v/V4TZ06G6O71SBOI", "GIUSEPPE NIBALI")</f>
        <v>GIUSEPPE NIBALI</v>
      </c>
      <c r="B4044" s="17" t="str">
        <f>HYPERLINK("https://otsuka-europe-crm.veevavault.com/ui/#object/vcountry__v/VENZ000004SONFQ", "IT")</f>
        <v>IT</v>
      </c>
      <c r="C4044" s="20" t="s">
        <v>44</v>
      </c>
      <c r="D4044" s="21" t="str">
        <f>HYPERLINK("https://otsuka-europe-crm.veevavault.com/ui/#object/approved_document__v/V5O000000018003", "AE dialoghi di tempo fiducia e cura episodi 2-3-4")</f>
        <v>AE dialoghi di tempo fiducia e cura episodi 2-3-4</v>
      </c>
      <c r="E4044" s="22" t="str">
        <f>HYPERLINK("https://otsuka-europe-crm.veevavault.com/ui/#object/sent_email__v/VBL00000002P369", "SE-001433039")</f>
        <v>SE-001433039</v>
      </c>
      <c r="F4044" s="25"/>
      <c r="G4044" s="24">
        <v>0</v>
      </c>
      <c r="H4044" s="24">
        <v>0</v>
      </c>
      <c r="I4044" s="24">
        <v>0</v>
      </c>
      <c r="J4044" s="25"/>
      <c r="K4044" s="24">
        <v>0</v>
      </c>
      <c r="L4044" s="22" t="str">
        <f>HYPERLINK("https://otsuka-europe-crm.veevavault.com/ui/#object/approved_document__v/V5O000000018003", "AE dialoghi di tempo fiducia e cura episodi 2-3-4")</f>
        <v>AE dialoghi di tempo fiducia e cura episodi 2-3-4</v>
      </c>
      <c r="M4044" s="22" t="str">
        <f>HYPERLINK("mailto:nicoletta.vozza@crm.otsuka-europe.com", "nicoletta.vozza@crm.otsuka-europe.com")</f>
        <v>nicoletta.vozza@crm.otsuka-europe.com</v>
      </c>
      <c r="N4044" s="23">
        <v>46181.337997685187</v>
      </c>
      <c r="O4044" s="14" t="str">
        <f>HYPERLINK("https://otsuka-europe-crm.veevavault.com/ui/#object/email_activity__v/V8C00000003O636", "EN-002090192")</f>
        <v>EN-002090192</v>
      </c>
    </row>
    <row r="4045" spans="1:15" ht="16" x14ac:dyDescent="0.2">
      <c r="A4045" s="18"/>
      <c r="B4045" s="18"/>
      <c r="C4045" s="18"/>
      <c r="D4045" s="18"/>
      <c r="E4045" s="18"/>
      <c r="F4045" s="18"/>
      <c r="G4045" s="18"/>
      <c r="H4045" s="18"/>
      <c r="I4045" s="18"/>
      <c r="J4045" s="18"/>
      <c r="K4045" s="18"/>
      <c r="L4045" s="18"/>
      <c r="M4045" s="18"/>
      <c r="N4045" s="18"/>
      <c r="O4045" s="14" t="str">
        <f>HYPERLINK("https://otsuka-europe-crm.veevavault.com/ui/#object/email_activity__v/V8C00000003R302", "EN-002092239")</f>
        <v>EN-002092239</v>
      </c>
    </row>
    <row r="4046" spans="1:15" ht="16" x14ac:dyDescent="0.2">
      <c r="A4046" s="18"/>
      <c r="B4046" s="18"/>
      <c r="C4046" s="18"/>
      <c r="D4046" s="18"/>
      <c r="E4046" s="18"/>
      <c r="F4046" s="18"/>
      <c r="G4046" s="18"/>
      <c r="H4046" s="18"/>
      <c r="I4046" s="18"/>
      <c r="J4046" s="18"/>
      <c r="K4046" s="18"/>
      <c r="L4046" s="18"/>
      <c r="M4046" s="18"/>
      <c r="N4046" s="18"/>
      <c r="O4046" s="14" t="str">
        <f>HYPERLINK("https://otsuka-europe-crm.veevavault.com/ui/#object/email_activity__v/V8C00000003U360", "EN-002095574")</f>
        <v>EN-002095574</v>
      </c>
    </row>
    <row r="4047" spans="1:15" ht="16" x14ac:dyDescent="0.2">
      <c r="A4047" s="19"/>
      <c r="B4047" s="19"/>
      <c r="C4047" s="19"/>
      <c r="D4047" s="19"/>
      <c r="E4047" s="19"/>
      <c r="F4047" s="19"/>
      <c r="G4047" s="19"/>
      <c r="H4047" s="19"/>
      <c r="I4047" s="19"/>
      <c r="J4047" s="19"/>
      <c r="K4047" s="19"/>
      <c r="L4047" s="19"/>
      <c r="M4047" s="19"/>
      <c r="N4047" s="19"/>
      <c r="O4047" s="14" t="str">
        <f>HYPERLINK("https://otsuka-europe-crm.veevavault.com/ui/#object/email_activity__v/V8C000000042238", "EN-002100188")</f>
        <v>EN-002100188</v>
      </c>
    </row>
    <row r="4048" spans="1:15" ht="32" x14ac:dyDescent="0.2">
      <c r="A4048" s="7" t="str">
        <f>HYPERLINK("https://otsuka-europe-crm.veevavault.com/ui/#object/account__v/V4TZ06G6O71SBVN", "GIUSEPPE PATARACCHIA")</f>
        <v>GIUSEPPE PATARACCHIA</v>
      </c>
      <c r="B4048" s="7" t="str">
        <f>HYPERLINK("https://otsuka-europe-crm.veevavault.com/ui/#object/vcountry__v/VENZ000004SONFQ", "IT")</f>
        <v>IT</v>
      </c>
      <c r="C4048" s="8" t="s">
        <v>44</v>
      </c>
      <c r="D4048" s="9" t="str">
        <f>HYPERLINK("https://otsuka-europe-crm.veevavault.com/ui/#object/approved_document__v/V5O000000018003", "AE dialoghi di tempo fiducia e cura episodi 2-3-4")</f>
        <v>AE dialoghi di tempo fiducia e cura episodi 2-3-4</v>
      </c>
      <c r="E4048" s="10" t="str">
        <f>HYPERLINK("https://otsuka-europe-crm.veevavault.com/ui/#object/sent_email__v/VBL00000002P370", "SE-001433040")</f>
        <v>SE-001433040</v>
      </c>
      <c r="F4048" s="11"/>
      <c r="G4048" s="12">
        <v>0</v>
      </c>
      <c r="H4048" s="12">
        <v>0</v>
      </c>
      <c r="I4048" s="12">
        <v>0</v>
      </c>
      <c r="J4048" s="11"/>
      <c r="K4048" s="12">
        <v>0</v>
      </c>
      <c r="L4048" s="10" t="str">
        <f>HYPERLINK("https://otsuka-europe-crm.veevavault.com/ui/#object/approved_document__v/V5O000000018003", "AE dialoghi di tempo fiducia e cura episodi 2-3-4")</f>
        <v>AE dialoghi di tempo fiducia e cura episodi 2-3-4</v>
      </c>
      <c r="M4048" s="10" t="str">
        <f>HYPERLINK("mailto:nicoletta.vozza@crm.otsuka-europe.com", "nicoletta.vozza@crm.otsuka-europe.com")</f>
        <v>nicoletta.vozza@crm.otsuka-europe.com</v>
      </c>
      <c r="N4048" s="13">
        <v>46181.339050925926</v>
      </c>
      <c r="O4048" s="14" t="str">
        <f>HYPERLINK("https://otsuka-europe-crm.veevavault.com/ui/#object/email_activity__v/V8C00000003P879", "EN-002091378")</f>
        <v>EN-002091378</v>
      </c>
    </row>
    <row r="4049" spans="1:15" ht="32" x14ac:dyDescent="0.2">
      <c r="A4049" s="7" t="str">
        <f>HYPERLINK("https://otsuka-europe-crm.veevavault.com/ui/#object/account__v/V4TZ06G6O71S9HY", "GIUSEPPE PECORARO")</f>
        <v>GIUSEPPE PECORARO</v>
      </c>
      <c r="B4049" s="7" t="str">
        <f>HYPERLINK("https://otsuka-europe-crm.veevavault.com/ui/#object/vcountry__v/VENZ000004SONFQ", "IT")</f>
        <v>IT</v>
      </c>
      <c r="C4049" s="8" t="s">
        <v>44</v>
      </c>
      <c r="D4049" s="9" t="str">
        <f>HYPERLINK("https://otsuka-europe-crm.veevavault.com/ui/#object/approved_document__v/V5O000000018003", "AE dialoghi di tempo fiducia e cura episodi 2-3-4")</f>
        <v>AE dialoghi di tempo fiducia e cura episodi 2-3-4</v>
      </c>
      <c r="E4049" s="10" t="str">
        <f>HYPERLINK("https://otsuka-europe-crm.veevavault.com/ui/#object/sent_email__v/VBL00000002P371", "SE-001433041")</f>
        <v>SE-001433041</v>
      </c>
      <c r="F4049" s="11"/>
      <c r="G4049" s="12">
        <v>0</v>
      </c>
      <c r="H4049" s="12">
        <v>0</v>
      </c>
      <c r="I4049" s="12">
        <v>0</v>
      </c>
      <c r="J4049" s="11"/>
      <c r="K4049" s="12">
        <v>0</v>
      </c>
      <c r="L4049" s="10" t="str">
        <f>HYPERLINK("https://otsuka-europe-crm.veevavault.com/ui/#object/approved_document__v/V5O000000018003", "AE dialoghi di tempo fiducia e cura episodi 2-3-4")</f>
        <v>AE dialoghi di tempo fiducia e cura episodi 2-3-4</v>
      </c>
      <c r="M4049" s="10" t="str">
        <f>HYPERLINK("mailto:nicoletta.vozza@crm.otsuka-europe.com", "nicoletta.vozza@crm.otsuka-europe.com")</f>
        <v>nicoletta.vozza@crm.otsuka-europe.com</v>
      </c>
      <c r="N4049" s="13">
        <v>46181.338020833333</v>
      </c>
      <c r="O4049" s="14" t="str">
        <f>HYPERLINK("https://otsuka-europe-crm.veevavault.com/ui/#object/email_activity__v/V8C00000003P272", "EN-002089850")</f>
        <v>EN-002089850</v>
      </c>
    </row>
    <row r="4050" spans="1:15" ht="16" x14ac:dyDescent="0.2">
      <c r="A4050" s="17" t="str">
        <f>HYPERLINK("https://otsuka-europe-crm.veevavault.com/ui/#object/account__v/V4TZ06G6O71SC4H", "GIUSEPPE ROMANO")</f>
        <v>GIUSEPPE ROMANO</v>
      </c>
      <c r="B4050" s="17" t="str">
        <f>HYPERLINK("https://otsuka-europe-crm.veevavault.com/ui/#object/vcountry__v/VENZ000004SONFQ", "IT")</f>
        <v>IT</v>
      </c>
      <c r="C4050" s="20" t="s">
        <v>44</v>
      </c>
      <c r="D4050" s="21" t="str">
        <f>HYPERLINK("https://otsuka-europe-crm.veevavault.com/ui/#object/approved_document__v/V5O000000018003", "AE dialoghi di tempo fiducia e cura episodi 2-3-4")</f>
        <v>AE dialoghi di tempo fiducia e cura episodi 2-3-4</v>
      </c>
      <c r="E4050" s="22" t="str">
        <f>HYPERLINK("https://otsuka-europe-crm.veevavault.com/ui/#object/sent_email__v/VBL00000002P372", "SE-001433042")</f>
        <v>SE-001433042</v>
      </c>
      <c r="F4050" s="23">
        <v>46181.369155092594</v>
      </c>
      <c r="G4050" s="24">
        <v>1</v>
      </c>
      <c r="H4050" s="24">
        <v>1</v>
      </c>
      <c r="I4050" s="24">
        <v>0</v>
      </c>
      <c r="J4050" s="25"/>
      <c r="K4050" s="24">
        <v>0</v>
      </c>
      <c r="L4050" s="22" t="str">
        <f>HYPERLINK("https://otsuka-europe-crm.veevavault.com/ui/#object/approved_document__v/V5O000000018003", "AE dialoghi di tempo fiducia e cura episodi 2-3-4")</f>
        <v>AE dialoghi di tempo fiducia e cura episodi 2-3-4</v>
      </c>
      <c r="M4050" s="22" t="str">
        <f>HYPERLINK("mailto:nicoletta.vozza@crm.otsuka-europe.com", "nicoletta.vozza@crm.otsuka-europe.com")</f>
        <v>nicoletta.vozza@crm.otsuka-europe.com</v>
      </c>
      <c r="N4050" s="23">
        <v>46181.337997685187</v>
      </c>
      <c r="O4050" s="14" t="str">
        <f>HYPERLINK("https://otsuka-europe-crm.veevavault.com/ui/#object/email_activity__v/V8C00000003P460", "EN-002090693")</f>
        <v>EN-002090693</v>
      </c>
    </row>
    <row r="4051" spans="1:15" ht="16" x14ac:dyDescent="0.2">
      <c r="A4051" s="19"/>
      <c r="B4051" s="19"/>
      <c r="C4051" s="19"/>
      <c r="D4051" s="19"/>
      <c r="E4051" s="19"/>
      <c r="F4051" s="19"/>
      <c r="G4051" s="19"/>
      <c r="H4051" s="19"/>
      <c r="I4051" s="19"/>
      <c r="J4051" s="19"/>
      <c r="K4051" s="19"/>
      <c r="L4051" s="19"/>
      <c r="M4051" s="19"/>
      <c r="N4051" s="19"/>
      <c r="O4051" s="14" t="str">
        <f>HYPERLINK("https://otsuka-europe-crm.veevavault.com/ui/#object/email_activity__v/V8C00000003P938", "EN-002091518")</f>
        <v>EN-002091518</v>
      </c>
    </row>
    <row r="4052" spans="1:15" ht="16" x14ac:dyDescent="0.2">
      <c r="A4052" s="17" t="str">
        <f>HYPERLINK("https://otsuka-europe-crm.veevavault.com/ui/#object/account__v/V4TZ06G6O71SC5L", "GIUSEPPE ROSELLI")</f>
        <v>GIUSEPPE ROSELLI</v>
      </c>
      <c r="B4052" s="17" t="str">
        <f>HYPERLINK("https://otsuka-europe-crm.veevavault.com/ui/#object/vcountry__v/VENZ000004SONFQ", "IT")</f>
        <v>IT</v>
      </c>
      <c r="C4052" s="20" t="s">
        <v>44</v>
      </c>
      <c r="D4052" s="21" t="str">
        <f>HYPERLINK("https://otsuka-europe-crm.veevavault.com/ui/#object/approved_document__v/V5O000000018003", "AE dialoghi di tempo fiducia e cura episodi 2-3-4")</f>
        <v>AE dialoghi di tempo fiducia e cura episodi 2-3-4</v>
      </c>
      <c r="E4052" s="22" t="str">
        <f>HYPERLINK("https://otsuka-europe-crm.veevavault.com/ui/#object/sent_email__v/VBL00000002P373", "SE-001433043")</f>
        <v>SE-001433043</v>
      </c>
      <c r="F4052" s="23">
        <v>46182.644201388888</v>
      </c>
      <c r="G4052" s="24">
        <v>1</v>
      </c>
      <c r="H4052" s="24">
        <v>1</v>
      </c>
      <c r="I4052" s="24">
        <v>0</v>
      </c>
      <c r="J4052" s="25"/>
      <c r="K4052" s="24">
        <v>0</v>
      </c>
      <c r="L4052" s="22" t="str">
        <f>HYPERLINK("https://otsuka-europe-crm.veevavault.com/ui/#object/approved_document__v/V5O000000018003", "AE dialoghi di tempo fiducia e cura episodi 2-3-4")</f>
        <v>AE dialoghi di tempo fiducia e cura episodi 2-3-4</v>
      </c>
      <c r="M4052" s="22" t="str">
        <f>HYPERLINK("mailto:nicoletta.vozza@crm.otsuka-europe.com", "nicoletta.vozza@crm.otsuka-europe.com")</f>
        <v>nicoletta.vozza@crm.otsuka-europe.com</v>
      </c>
      <c r="N4052" s="23">
        <v>46181.338113425925</v>
      </c>
      <c r="O4052" s="14" t="str">
        <f>HYPERLINK("https://otsuka-europe-crm.veevavault.com/ui/#object/email_activity__v/V8C00000003P842", "EN-002091201")</f>
        <v>EN-002091201</v>
      </c>
    </row>
    <row r="4053" spans="1:15" ht="16" x14ac:dyDescent="0.2">
      <c r="A4053" s="19"/>
      <c r="B4053" s="19"/>
      <c r="C4053" s="19"/>
      <c r="D4053" s="19"/>
      <c r="E4053" s="19"/>
      <c r="F4053" s="19"/>
      <c r="G4053" s="19"/>
      <c r="H4053" s="19"/>
      <c r="I4053" s="19"/>
      <c r="J4053" s="19"/>
      <c r="K4053" s="19"/>
      <c r="L4053" s="19"/>
      <c r="M4053" s="19"/>
      <c r="N4053" s="19"/>
      <c r="O4053" s="14" t="str">
        <f>HYPERLINK("https://otsuka-europe-crm.veevavault.com/ui/#object/email_activity__v/V8C00000003S158", "EN-002093194")</f>
        <v>EN-002093194</v>
      </c>
    </row>
    <row r="4054" spans="1:15" ht="32" x14ac:dyDescent="0.2">
      <c r="A4054" s="7" t="str">
        <f>HYPERLINK("https://otsuka-europe-crm.veevavault.com/ui/#object/account__v/V4TZ06G6O71SC8P", "GIUSEPPE ROSSI")</f>
        <v>GIUSEPPE ROSSI</v>
      </c>
      <c r="B4054" s="7" t="str">
        <f t="shared" ref="B4054:B4064" si="316">HYPERLINK("https://otsuka-europe-crm.veevavault.com/ui/#object/vcountry__v/VENZ000004SONFQ", "IT")</f>
        <v>IT</v>
      </c>
      <c r="C4054" s="8" t="s">
        <v>44</v>
      </c>
      <c r="D4054" s="9" t="str">
        <f t="shared" ref="D4054:D4064" si="317">HYPERLINK("https://otsuka-europe-crm.veevavault.com/ui/#object/approved_document__v/V5O000000018003", "AE dialoghi di tempo fiducia e cura episodi 2-3-4")</f>
        <v>AE dialoghi di tempo fiducia e cura episodi 2-3-4</v>
      </c>
      <c r="E4054" s="10" t="str">
        <f>HYPERLINK("https://otsuka-europe-crm.veevavault.com/ui/#object/sent_email__v/VBL00000002P374", "SE-001433044")</f>
        <v>SE-001433044</v>
      </c>
      <c r="F4054" s="11"/>
      <c r="G4054" s="12">
        <v>0</v>
      </c>
      <c r="H4054" s="12">
        <v>0</v>
      </c>
      <c r="I4054" s="12">
        <v>0</v>
      </c>
      <c r="J4054" s="11"/>
      <c r="K4054" s="12">
        <v>0</v>
      </c>
      <c r="L4054" s="10" t="str">
        <f t="shared" ref="L4054:L4064" si="318">HYPERLINK("https://otsuka-europe-crm.veevavault.com/ui/#object/approved_document__v/V5O000000018003", "AE dialoghi di tempo fiducia e cura episodi 2-3-4")</f>
        <v>AE dialoghi di tempo fiducia e cura episodi 2-3-4</v>
      </c>
      <c r="M4054" s="10" t="str">
        <f t="shared" ref="M4054:M4064" si="319">HYPERLINK("mailto:nicoletta.vozza@crm.otsuka-europe.com", "nicoletta.vozza@crm.otsuka-europe.com")</f>
        <v>nicoletta.vozza@crm.otsuka-europe.com</v>
      </c>
      <c r="N4054" s="13">
        <v>46181.33803240741</v>
      </c>
      <c r="O4054" s="14" t="str">
        <f>HYPERLINK("https://otsuka-europe-crm.veevavault.com/ui/#object/email_activity__v/V8C00000003P692", "EN-002090947")</f>
        <v>EN-002090947</v>
      </c>
    </row>
    <row r="4055" spans="1:15" ht="32" x14ac:dyDescent="0.2">
      <c r="A4055" s="7" t="str">
        <f>HYPERLINK("https://otsuka-europe-crm.veevavault.com/ui/#object/account__v/V4TZ06G6O71SCCH", "GIUSEPPE SAPIENZA")</f>
        <v>GIUSEPPE SAPIENZA</v>
      </c>
      <c r="B4055" s="7" t="str">
        <f t="shared" si="316"/>
        <v>IT</v>
      </c>
      <c r="C4055" s="8" t="s">
        <v>44</v>
      </c>
      <c r="D4055" s="9" t="str">
        <f t="shared" si="317"/>
        <v>AE dialoghi di tempo fiducia e cura episodi 2-3-4</v>
      </c>
      <c r="E4055" s="10" t="str">
        <f>HYPERLINK("https://otsuka-europe-crm.veevavault.com/ui/#object/sent_email__v/VBL00000002P375", "SE-001433045")</f>
        <v>SE-001433045</v>
      </c>
      <c r="F4055" s="11"/>
      <c r="G4055" s="12">
        <v>0</v>
      </c>
      <c r="H4055" s="12">
        <v>0</v>
      </c>
      <c r="I4055" s="12">
        <v>0</v>
      </c>
      <c r="J4055" s="11"/>
      <c r="K4055" s="12">
        <v>0</v>
      </c>
      <c r="L4055" s="10" t="str">
        <f t="shared" si="318"/>
        <v>AE dialoghi di tempo fiducia e cura episodi 2-3-4</v>
      </c>
      <c r="M4055" s="10" t="str">
        <f t="shared" si="319"/>
        <v>nicoletta.vozza@crm.otsuka-europe.com</v>
      </c>
      <c r="N4055" s="13">
        <v>46181.338055555556</v>
      </c>
      <c r="O4055" s="14" t="str">
        <f>HYPERLINK("https://otsuka-europe-crm.veevavault.com/ui/#object/email_activity__v/V8C00000003P471", "EN-002090658")</f>
        <v>EN-002090658</v>
      </c>
    </row>
    <row r="4056" spans="1:15" ht="32" x14ac:dyDescent="0.2">
      <c r="A4056" s="7" t="str">
        <f>HYPERLINK("https://otsuka-europe-crm.veevavault.com/ui/#object/account__v/V4TZ06G6O71SC6Y", "GIUSEPPE SEGGIOLI")</f>
        <v>GIUSEPPE SEGGIOLI</v>
      </c>
      <c r="B4056" s="7" t="str">
        <f t="shared" si="316"/>
        <v>IT</v>
      </c>
      <c r="C4056" s="8" t="s">
        <v>44</v>
      </c>
      <c r="D4056" s="9" t="str">
        <f t="shared" si="317"/>
        <v>AE dialoghi di tempo fiducia e cura episodi 2-3-4</v>
      </c>
      <c r="E4056" s="10" t="str">
        <f>HYPERLINK("https://otsuka-europe-crm.veevavault.com/ui/#object/sent_email__v/VBL00000002P376", "SE-001433046")</f>
        <v>SE-001433046</v>
      </c>
      <c r="F4056" s="11"/>
      <c r="G4056" s="12">
        <v>0</v>
      </c>
      <c r="H4056" s="12">
        <v>0</v>
      </c>
      <c r="I4056" s="12">
        <v>0</v>
      </c>
      <c r="J4056" s="11"/>
      <c r="K4056" s="12">
        <v>0</v>
      </c>
      <c r="L4056" s="10" t="str">
        <f t="shared" si="318"/>
        <v>AE dialoghi di tempo fiducia e cura episodi 2-3-4</v>
      </c>
      <c r="M4056" s="10" t="str">
        <f t="shared" si="319"/>
        <v>nicoletta.vozza@crm.otsuka-europe.com</v>
      </c>
      <c r="N4056" s="13">
        <v>46181.338078703702</v>
      </c>
      <c r="O4056" s="14" t="str">
        <f>HYPERLINK("https://otsuka-europe-crm.veevavault.com/ui/#object/email_activity__v/V8C00000003O971", "EN-002090631")</f>
        <v>EN-002090631</v>
      </c>
    </row>
    <row r="4057" spans="1:15" ht="32" x14ac:dyDescent="0.2">
      <c r="A4057" s="7" t="str">
        <f>HYPERLINK("https://otsuka-europe-crm.veevavault.com/ui/#object/account__v/V4TZ04ASGB9N2PL", "GIUSEPPE SICILIANI")</f>
        <v>GIUSEPPE SICILIANI</v>
      </c>
      <c r="B4057" s="7" t="str">
        <f t="shared" si="316"/>
        <v>IT</v>
      </c>
      <c r="C4057" s="8" t="s">
        <v>44</v>
      </c>
      <c r="D4057" s="9" t="str">
        <f t="shared" si="317"/>
        <v>AE dialoghi di tempo fiducia e cura episodi 2-3-4</v>
      </c>
      <c r="E4057" s="10" t="str">
        <f>HYPERLINK("https://otsuka-europe-crm.veevavault.com/ui/#object/sent_email__v/VBL00000002P377", "SE-001433047")</f>
        <v>SE-001433047</v>
      </c>
      <c r="F4057" s="11"/>
      <c r="G4057" s="12">
        <v>0</v>
      </c>
      <c r="H4057" s="12">
        <v>0</v>
      </c>
      <c r="I4057" s="12">
        <v>0</v>
      </c>
      <c r="J4057" s="11"/>
      <c r="K4057" s="12">
        <v>0</v>
      </c>
      <c r="L4057" s="10" t="str">
        <f t="shared" si="318"/>
        <v>AE dialoghi di tempo fiducia e cura episodi 2-3-4</v>
      </c>
      <c r="M4057" s="10" t="str">
        <f t="shared" si="319"/>
        <v>nicoletta.vozza@crm.otsuka-europe.com</v>
      </c>
      <c r="N4057" s="13">
        <v>46181.337997685187</v>
      </c>
      <c r="O4057" s="14" t="str">
        <f>HYPERLINK("https://otsuka-europe-crm.veevavault.com/ui/#object/email_activity__v/V8C00000003O833", "EN-002090535")</f>
        <v>EN-002090535</v>
      </c>
    </row>
    <row r="4058" spans="1:15" ht="32" x14ac:dyDescent="0.2">
      <c r="A4058" s="7" t="str">
        <f>HYPERLINK("https://otsuka-europe-crm.veevavault.com/ui/#object/account__v/V4TZ06G6O71SCLV", "GIUSEPPE TROCCOLI")</f>
        <v>GIUSEPPE TROCCOLI</v>
      </c>
      <c r="B4058" s="7" t="str">
        <f t="shared" si="316"/>
        <v>IT</v>
      </c>
      <c r="C4058" s="8" t="s">
        <v>44</v>
      </c>
      <c r="D4058" s="9" t="str">
        <f t="shared" si="317"/>
        <v>AE dialoghi di tempo fiducia e cura episodi 2-3-4</v>
      </c>
      <c r="E4058" s="10" t="str">
        <f>HYPERLINK("https://otsuka-europe-crm.veevavault.com/ui/#object/sent_email__v/VBL00000002P378", "SE-001433048")</f>
        <v>SE-001433048</v>
      </c>
      <c r="F4058" s="11"/>
      <c r="G4058" s="12">
        <v>0</v>
      </c>
      <c r="H4058" s="12">
        <v>0</v>
      </c>
      <c r="I4058" s="12">
        <v>0</v>
      </c>
      <c r="J4058" s="11"/>
      <c r="K4058" s="12">
        <v>0</v>
      </c>
      <c r="L4058" s="10" t="str">
        <f t="shared" si="318"/>
        <v>AE dialoghi di tempo fiducia e cura episodi 2-3-4</v>
      </c>
      <c r="M4058" s="10" t="str">
        <f t="shared" si="319"/>
        <v>nicoletta.vozza@crm.otsuka-europe.com</v>
      </c>
      <c r="N4058" s="13">
        <v>46181.337997685187</v>
      </c>
      <c r="O4058" s="14" t="str">
        <f>HYPERLINK("https://otsuka-europe-crm.veevavault.com/ui/#object/email_activity__v/V8C00000003P854", "EN-002091268")</f>
        <v>EN-002091268</v>
      </c>
    </row>
    <row r="4059" spans="1:15" ht="32" x14ac:dyDescent="0.2">
      <c r="A4059" s="7" t="str">
        <f>HYPERLINK("https://otsuka-europe-crm.veevavault.com/ui/#object/account__v/V4TZ06G6O71SCNN", "GIUSEPPE VERRASTRO")</f>
        <v>GIUSEPPE VERRASTRO</v>
      </c>
      <c r="B4059" s="7" t="str">
        <f t="shared" si="316"/>
        <v>IT</v>
      </c>
      <c r="C4059" s="8" t="s">
        <v>44</v>
      </c>
      <c r="D4059" s="9" t="str">
        <f t="shared" si="317"/>
        <v>AE dialoghi di tempo fiducia e cura episodi 2-3-4</v>
      </c>
      <c r="E4059" s="10" t="str">
        <f>HYPERLINK("https://otsuka-europe-crm.veevavault.com/ui/#object/sent_email__v/VBL00000002P379", "SE-001433049")</f>
        <v>SE-001433049</v>
      </c>
      <c r="F4059" s="11"/>
      <c r="G4059" s="12">
        <v>0</v>
      </c>
      <c r="H4059" s="12">
        <v>0</v>
      </c>
      <c r="I4059" s="12">
        <v>0</v>
      </c>
      <c r="J4059" s="11"/>
      <c r="K4059" s="12">
        <v>0</v>
      </c>
      <c r="L4059" s="10" t="str">
        <f t="shared" si="318"/>
        <v>AE dialoghi di tempo fiducia e cura episodi 2-3-4</v>
      </c>
      <c r="M4059" s="10" t="str">
        <f t="shared" si="319"/>
        <v>nicoletta.vozza@crm.otsuka-europe.com</v>
      </c>
      <c r="N4059" s="13">
        <v>46181.338101851848</v>
      </c>
      <c r="O4059" s="14" t="str">
        <f>HYPERLINK("https://otsuka-europe-crm.veevavault.com/ui/#object/email_activity__v/V8C00000003O690", "EN-002090246")</f>
        <v>EN-002090246</v>
      </c>
    </row>
    <row r="4060" spans="1:15" ht="32" x14ac:dyDescent="0.2">
      <c r="A4060" s="7" t="str">
        <f>HYPERLINK("https://otsuka-europe-crm.veevavault.com/ui/#object/account__v/V4TZ06G6O71S9LN", "GIUSEPPE VINCI")</f>
        <v>GIUSEPPE VINCI</v>
      </c>
      <c r="B4060" s="7" t="str">
        <f t="shared" si="316"/>
        <v>IT</v>
      </c>
      <c r="C4060" s="8" t="s">
        <v>44</v>
      </c>
      <c r="D4060" s="9" t="str">
        <f t="shared" si="317"/>
        <v>AE dialoghi di tempo fiducia e cura episodi 2-3-4</v>
      </c>
      <c r="E4060" s="10" t="str">
        <f>HYPERLINK("https://otsuka-europe-crm.veevavault.com/ui/#object/sent_email__v/VBL00000002P380", "SE-001433050")</f>
        <v>SE-001433050</v>
      </c>
      <c r="F4060" s="11"/>
      <c r="G4060" s="12">
        <v>0</v>
      </c>
      <c r="H4060" s="12">
        <v>0</v>
      </c>
      <c r="I4060" s="12">
        <v>0</v>
      </c>
      <c r="J4060" s="11"/>
      <c r="K4060" s="12">
        <v>0</v>
      </c>
      <c r="L4060" s="10" t="str">
        <f t="shared" si="318"/>
        <v>AE dialoghi di tempo fiducia e cura episodi 2-3-4</v>
      </c>
      <c r="M4060" s="10" t="str">
        <f t="shared" si="319"/>
        <v>nicoletta.vozza@crm.otsuka-europe.com</v>
      </c>
      <c r="N4060" s="13">
        <v>46181.33803240741</v>
      </c>
      <c r="O4060" s="14" t="str">
        <f>HYPERLINK("https://otsuka-europe-crm.veevavault.com/ui/#object/email_activity__v/V8C00000003Q006", "EN-002090754")</f>
        <v>EN-002090754</v>
      </c>
    </row>
    <row r="4061" spans="1:15" ht="32" x14ac:dyDescent="0.2">
      <c r="A4061" s="7" t="str">
        <f>HYPERLINK("https://otsuka-europe-crm.veevavault.com/ui/#object/account__v/V4TZ06G6OCEGYL3", "GIUSEPPINA BORRIELLO")</f>
        <v>GIUSEPPINA BORRIELLO</v>
      </c>
      <c r="B4061" s="7" t="str">
        <f t="shared" si="316"/>
        <v>IT</v>
      </c>
      <c r="C4061" s="8" t="s">
        <v>44</v>
      </c>
      <c r="D4061" s="9" t="str">
        <f t="shared" si="317"/>
        <v>AE dialoghi di tempo fiducia e cura episodi 2-3-4</v>
      </c>
      <c r="E4061" s="10" t="str">
        <f>HYPERLINK("https://otsuka-europe-crm.veevavault.com/ui/#object/sent_email__v/VBL00000002P381", "SE-001433051")</f>
        <v>SE-001433051</v>
      </c>
      <c r="F4061" s="11"/>
      <c r="G4061" s="12">
        <v>0</v>
      </c>
      <c r="H4061" s="12">
        <v>0</v>
      </c>
      <c r="I4061" s="12">
        <v>0</v>
      </c>
      <c r="J4061" s="11"/>
      <c r="K4061" s="12">
        <v>0</v>
      </c>
      <c r="L4061" s="10" t="str">
        <f t="shared" si="318"/>
        <v>AE dialoghi di tempo fiducia e cura episodi 2-3-4</v>
      </c>
      <c r="M4061" s="10" t="str">
        <f t="shared" si="319"/>
        <v>nicoletta.vozza@crm.otsuka-europe.com</v>
      </c>
      <c r="N4061" s="13">
        <v>46181.338020833333</v>
      </c>
      <c r="O4061" s="14" t="str">
        <f>HYPERLINK("https://otsuka-europe-crm.veevavault.com/ui/#object/email_activity__v/V8C00000003O521", "EN-002090077")</f>
        <v>EN-002090077</v>
      </c>
    </row>
    <row r="4062" spans="1:15" ht="32" x14ac:dyDescent="0.2">
      <c r="A4062" s="7" t="str">
        <f>HYPERLINK("https://otsuka-europe-crm.veevavault.com/ui/#object/account__v/V4TZ06G6O71SB0B", "GIUSEPPINA CARUSO")</f>
        <v>GIUSEPPINA CARUSO</v>
      </c>
      <c r="B4062" s="7" t="str">
        <f t="shared" si="316"/>
        <v>IT</v>
      </c>
      <c r="C4062" s="8" t="s">
        <v>44</v>
      </c>
      <c r="D4062" s="9" t="str">
        <f t="shared" si="317"/>
        <v>AE dialoghi di tempo fiducia e cura episodi 2-3-4</v>
      </c>
      <c r="E4062" s="10" t="str">
        <f>HYPERLINK("https://otsuka-europe-crm.veevavault.com/ui/#object/sent_email__v/VBL00000002P382", "SE-001433052")</f>
        <v>SE-001433052</v>
      </c>
      <c r="F4062" s="11"/>
      <c r="G4062" s="12">
        <v>0</v>
      </c>
      <c r="H4062" s="12">
        <v>0</v>
      </c>
      <c r="I4062" s="12">
        <v>0</v>
      </c>
      <c r="J4062" s="11"/>
      <c r="K4062" s="12">
        <v>0</v>
      </c>
      <c r="L4062" s="10" t="str">
        <f t="shared" si="318"/>
        <v>AE dialoghi di tempo fiducia e cura episodi 2-3-4</v>
      </c>
      <c r="M4062" s="10" t="str">
        <f t="shared" si="319"/>
        <v>nicoletta.vozza@crm.otsuka-europe.com</v>
      </c>
      <c r="N4062" s="13">
        <v>46181.338055555556</v>
      </c>
      <c r="O4062" s="14" t="str">
        <f>HYPERLINK("https://otsuka-europe-crm.veevavault.com/ui/#object/email_activity__v/V8C00000003P723", "EN-002090978")</f>
        <v>EN-002090978</v>
      </c>
    </row>
    <row r="4063" spans="1:15" ht="32" x14ac:dyDescent="0.2">
      <c r="A4063" s="7" t="str">
        <f>HYPERLINK("https://otsuka-europe-crm.veevavault.com/ui/#object/account__v/V4TZ025E86ZS17P", "GIUSEPPINA CRUDO")</f>
        <v>GIUSEPPINA CRUDO</v>
      </c>
      <c r="B4063" s="7" t="str">
        <f t="shared" si="316"/>
        <v>IT</v>
      </c>
      <c r="C4063" s="8" t="s">
        <v>44</v>
      </c>
      <c r="D4063" s="9" t="str">
        <f t="shared" si="317"/>
        <v>AE dialoghi di tempo fiducia e cura episodi 2-3-4</v>
      </c>
      <c r="E4063" s="10" t="str">
        <f>HYPERLINK("https://otsuka-europe-crm.veevavault.com/ui/#object/sent_email__v/VBL00000002P383", "SE-001433053")</f>
        <v>SE-001433053</v>
      </c>
      <c r="F4063" s="11"/>
      <c r="G4063" s="12">
        <v>0</v>
      </c>
      <c r="H4063" s="12">
        <v>0</v>
      </c>
      <c r="I4063" s="12">
        <v>0</v>
      </c>
      <c r="J4063" s="11"/>
      <c r="K4063" s="12">
        <v>0</v>
      </c>
      <c r="L4063" s="10" t="str">
        <f t="shared" si="318"/>
        <v>AE dialoghi di tempo fiducia e cura episodi 2-3-4</v>
      </c>
      <c r="M4063" s="10" t="str">
        <f t="shared" si="319"/>
        <v>nicoletta.vozza@crm.otsuka-europe.com</v>
      </c>
      <c r="N4063" s="13">
        <v>46181.337997685187</v>
      </c>
      <c r="O4063" s="14" t="str">
        <f>HYPERLINK("https://otsuka-europe-crm.veevavault.com/ui/#object/email_activity__v/V8C00000003O424", "EN-002089980")</f>
        <v>EN-002089980</v>
      </c>
    </row>
    <row r="4064" spans="1:15" ht="16" x14ac:dyDescent="0.2">
      <c r="A4064" s="17" t="str">
        <f>HYPERLINK("https://otsuka-europe-crm.veevavault.com/ui/#object/account__v/V4TZ06G6O9N2XOC", "GIUSEPPINA DEL BASSO")</f>
        <v>GIUSEPPINA DEL BASSO</v>
      </c>
      <c r="B4064" s="17" t="str">
        <f t="shared" si="316"/>
        <v>IT</v>
      </c>
      <c r="C4064" s="20" t="s">
        <v>44</v>
      </c>
      <c r="D4064" s="21" t="str">
        <f t="shared" si="317"/>
        <v>AE dialoghi di tempo fiducia e cura episodi 2-3-4</v>
      </c>
      <c r="E4064" s="22" t="str">
        <f>HYPERLINK("https://otsuka-europe-crm.veevavault.com/ui/#object/sent_email__v/VBL00000002P384", "SE-001433054")</f>
        <v>SE-001433054</v>
      </c>
      <c r="F4064" s="25"/>
      <c r="G4064" s="24">
        <v>0</v>
      </c>
      <c r="H4064" s="24">
        <v>0</v>
      </c>
      <c r="I4064" s="24">
        <v>0</v>
      </c>
      <c r="J4064" s="25"/>
      <c r="K4064" s="24">
        <v>0</v>
      </c>
      <c r="L4064" s="22" t="str">
        <f t="shared" si="318"/>
        <v>AE dialoghi di tempo fiducia e cura episodi 2-3-4</v>
      </c>
      <c r="M4064" s="22" t="str">
        <f t="shared" si="319"/>
        <v>nicoletta.vozza@crm.otsuka-europe.com</v>
      </c>
      <c r="N4064" s="23">
        <v>46181.33792824074</v>
      </c>
      <c r="O4064" s="14" t="str">
        <f>HYPERLINK("https://otsuka-europe-crm.veevavault.com/ui/#object/email_activity__v/V8C00000003O400", "EN-002089956")</f>
        <v>EN-002089956</v>
      </c>
    </row>
    <row r="4065" spans="1:15" ht="16" x14ac:dyDescent="0.2">
      <c r="A4065" s="18"/>
      <c r="B4065" s="18"/>
      <c r="C4065" s="18"/>
      <c r="D4065" s="18"/>
      <c r="E4065" s="18"/>
      <c r="F4065" s="18"/>
      <c r="G4065" s="18"/>
      <c r="H4065" s="18"/>
      <c r="I4065" s="18"/>
      <c r="J4065" s="18"/>
      <c r="K4065" s="18"/>
      <c r="L4065" s="18"/>
      <c r="M4065" s="18"/>
      <c r="N4065" s="18"/>
      <c r="O4065" s="14" t="str">
        <f>HYPERLINK("https://otsuka-europe-crm.veevavault.com/ui/#object/email_activity__v/V8C00000003P939", "EN-002091519")</f>
        <v>EN-002091519</v>
      </c>
    </row>
    <row r="4066" spans="1:15" ht="16" x14ac:dyDescent="0.2">
      <c r="A4066" s="19"/>
      <c r="B4066" s="19"/>
      <c r="C4066" s="19"/>
      <c r="D4066" s="19"/>
      <c r="E4066" s="19"/>
      <c r="F4066" s="19"/>
      <c r="G4066" s="19"/>
      <c r="H4066" s="19"/>
      <c r="I4066" s="19"/>
      <c r="J4066" s="19"/>
      <c r="K4066" s="19"/>
      <c r="L4066" s="19"/>
      <c r="M4066" s="19"/>
      <c r="N4066" s="19"/>
      <c r="O4066" s="14" t="str">
        <f>HYPERLINK("https://otsuka-europe-crm.veevavault.com/ui/#object/email_activity__v/V8C000000042469", "EN-002100651")</f>
        <v>EN-002100651</v>
      </c>
    </row>
    <row r="4067" spans="1:15" ht="32" x14ac:dyDescent="0.2">
      <c r="A4067" s="7" t="str">
        <f>HYPERLINK("https://otsuka-europe-crm.veevavault.com/ui/#object/account__v/V4TZ06G6O71SALU", "GIUSEPPINA FOGGIA")</f>
        <v>GIUSEPPINA FOGGIA</v>
      </c>
      <c r="B4067" s="7" t="str">
        <f>HYPERLINK("https://otsuka-europe-crm.veevavault.com/ui/#object/vcountry__v/VENZ000004SONFQ", "IT")</f>
        <v>IT</v>
      </c>
      <c r="C4067" s="8" t="s">
        <v>44</v>
      </c>
      <c r="D4067" s="9" t="str">
        <f>HYPERLINK("https://otsuka-europe-crm.veevavault.com/ui/#object/approved_document__v/V5O000000018003", "AE dialoghi di tempo fiducia e cura episodi 2-3-4")</f>
        <v>AE dialoghi di tempo fiducia e cura episodi 2-3-4</v>
      </c>
      <c r="E4067" s="10" t="str">
        <f>HYPERLINK("https://otsuka-europe-crm.veevavault.com/ui/#object/sent_email__v/VBL00000002P385", "SE-001433055")</f>
        <v>SE-001433055</v>
      </c>
      <c r="F4067" s="11"/>
      <c r="G4067" s="12">
        <v>0</v>
      </c>
      <c r="H4067" s="12">
        <v>0</v>
      </c>
      <c r="I4067" s="12">
        <v>0</v>
      </c>
      <c r="J4067" s="11"/>
      <c r="K4067" s="12">
        <v>0</v>
      </c>
      <c r="L4067" s="10" t="str">
        <f>HYPERLINK("https://otsuka-europe-crm.veevavault.com/ui/#object/approved_document__v/V5O000000018003", "AE dialoghi di tempo fiducia e cura episodi 2-3-4")</f>
        <v>AE dialoghi di tempo fiducia e cura episodi 2-3-4</v>
      </c>
      <c r="M4067" s="10" t="str">
        <f>HYPERLINK("mailto:nicoletta.vozza@crm.otsuka-europe.com", "nicoletta.vozza@crm.otsuka-europe.com")</f>
        <v>nicoletta.vozza@crm.otsuka-europe.com</v>
      </c>
      <c r="N4067" s="13">
        <v>46181.338055555556</v>
      </c>
      <c r="O4067" s="14" t="str">
        <f>HYPERLINK("https://otsuka-europe-crm.veevavault.com/ui/#object/email_activity__v/V8C00000003O390", "EN-002089908")</f>
        <v>EN-002089908</v>
      </c>
    </row>
    <row r="4068" spans="1:15" ht="32" x14ac:dyDescent="0.2">
      <c r="A4068" s="7" t="str">
        <f>HYPERLINK("https://otsuka-europe-crm.veevavault.com/ui/#object/account__v/V4TZ06G6O71SCSQ", "GIUSEPPINA INGEGNO")</f>
        <v>GIUSEPPINA INGEGNO</v>
      </c>
      <c r="B4068" s="7" t="str">
        <f>HYPERLINK("https://otsuka-europe-crm.veevavault.com/ui/#object/vcountry__v/VENZ000004SONFQ", "IT")</f>
        <v>IT</v>
      </c>
      <c r="C4068" s="8" t="s">
        <v>44</v>
      </c>
      <c r="D4068" s="9" t="str">
        <f>HYPERLINK("https://otsuka-europe-crm.veevavault.com/ui/#object/approved_document__v/V5O000000018003", "AE dialoghi di tempo fiducia e cura episodi 2-3-4")</f>
        <v>AE dialoghi di tempo fiducia e cura episodi 2-3-4</v>
      </c>
      <c r="E4068" s="10" t="str">
        <f>HYPERLINK("https://otsuka-europe-crm.veevavault.com/ui/#object/sent_email__v/VBL00000002P386", "SE-001433056")</f>
        <v>SE-001433056</v>
      </c>
      <c r="F4068" s="11"/>
      <c r="G4068" s="12">
        <v>0</v>
      </c>
      <c r="H4068" s="12">
        <v>0</v>
      </c>
      <c r="I4068" s="12">
        <v>0</v>
      </c>
      <c r="J4068" s="11"/>
      <c r="K4068" s="12">
        <v>0</v>
      </c>
      <c r="L4068" s="10" t="str">
        <f>HYPERLINK("https://otsuka-europe-crm.veevavault.com/ui/#object/approved_document__v/V5O000000018003", "AE dialoghi di tempo fiducia e cura episodi 2-3-4")</f>
        <v>AE dialoghi di tempo fiducia e cura episodi 2-3-4</v>
      </c>
      <c r="M4068" s="10" t="str">
        <f>HYPERLINK("mailto:nicoletta.vozza@crm.otsuka-europe.com", "nicoletta.vozza@crm.otsuka-europe.com")</f>
        <v>nicoletta.vozza@crm.otsuka-europe.com</v>
      </c>
      <c r="N4068" s="13">
        <v>46181.338090277779</v>
      </c>
      <c r="O4068" s="14" t="str">
        <f>HYPERLINK("https://otsuka-europe-crm.veevavault.com/ui/#object/email_activity__v/V8C00000003P506", "EN-002090718")</f>
        <v>EN-002090718</v>
      </c>
    </row>
    <row r="4069" spans="1:15" ht="16" x14ac:dyDescent="0.2">
      <c r="A4069" s="17" t="str">
        <f>HYPERLINK("https://otsuka-europe-crm.veevavault.com/ui/#object/account__v/V4TZ06G6O71SBLA", "GIUSEPPINA MELONI")</f>
        <v>GIUSEPPINA MELONI</v>
      </c>
      <c r="B4069" s="17" t="str">
        <f>HYPERLINK("https://otsuka-europe-crm.veevavault.com/ui/#object/vcountry__v/VENZ000004SONFQ", "IT")</f>
        <v>IT</v>
      </c>
      <c r="C4069" s="20" t="s">
        <v>44</v>
      </c>
      <c r="D4069" s="21" t="str">
        <f>HYPERLINK("https://otsuka-europe-crm.veevavault.com/ui/#object/approved_document__v/V5O000000018003", "AE dialoghi di tempo fiducia e cura episodi 2-3-4")</f>
        <v>AE dialoghi di tempo fiducia e cura episodi 2-3-4</v>
      </c>
      <c r="E4069" s="22" t="str">
        <f>HYPERLINK("https://otsuka-europe-crm.veevavault.com/ui/#object/sent_email__v/VBL00000002P387", "SE-001433057")</f>
        <v>SE-001433057</v>
      </c>
      <c r="F4069" s="23">
        <v>46182.255428240744</v>
      </c>
      <c r="G4069" s="24">
        <v>1</v>
      </c>
      <c r="H4069" s="24">
        <v>11</v>
      </c>
      <c r="I4069" s="24">
        <v>0</v>
      </c>
      <c r="J4069" s="25"/>
      <c r="K4069" s="24">
        <v>0</v>
      </c>
      <c r="L4069" s="22" t="str">
        <f>HYPERLINK("https://otsuka-europe-crm.veevavault.com/ui/#object/approved_document__v/V5O000000018003", "AE dialoghi di tempo fiducia e cura episodi 2-3-4")</f>
        <v>AE dialoghi di tempo fiducia e cura episodi 2-3-4</v>
      </c>
      <c r="M4069" s="22" t="str">
        <f>HYPERLINK("mailto:nicoletta.vozza@crm.otsuka-europe.com", "nicoletta.vozza@crm.otsuka-europe.com")</f>
        <v>nicoletta.vozza@crm.otsuka-europe.com</v>
      </c>
      <c r="N4069" s="23">
        <v>46181.33797453704</v>
      </c>
      <c r="O4069" s="14" t="str">
        <f>HYPERLINK("https://otsuka-europe-crm.veevavault.com/ui/#object/email_activity__v/V8C00000003O905", "EN-002090565")</f>
        <v>EN-002090565</v>
      </c>
    </row>
    <row r="4070" spans="1:15" ht="16" x14ac:dyDescent="0.2">
      <c r="A4070" s="18"/>
      <c r="B4070" s="18"/>
      <c r="C4070" s="18"/>
      <c r="D4070" s="18"/>
      <c r="E4070" s="18"/>
      <c r="F4070" s="18"/>
      <c r="G4070" s="18"/>
      <c r="H4070" s="18"/>
      <c r="I4070" s="18"/>
      <c r="J4070" s="18"/>
      <c r="K4070" s="18"/>
      <c r="L4070" s="18"/>
      <c r="M4070" s="18"/>
      <c r="N4070" s="18"/>
      <c r="O4070" s="14" t="str">
        <f>HYPERLINK("https://otsuka-europe-crm.veevavault.com/ui/#object/email_activity__v/V8C00000003Q643", "EN-002092101")</f>
        <v>EN-002092101</v>
      </c>
    </row>
    <row r="4071" spans="1:15" ht="16" x14ac:dyDescent="0.2">
      <c r="A4071" s="18"/>
      <c r="B4071" s="18"/>
      <c r="C4071" s="18"/>
      <c r="D4071" s="18"/>
      <c r="E4071" s="18"/>
      <c r="F4071" s="18"/>
      <c r="G4071" s="18"/>
      <c r="H4071" s="18"/>
      <c r="I4071" s="18"/>
      <c r="J4071" s="18"/>
      <c r="K4071" s="18"/>
      <c r="L4071" s="18"/>
      <c r="M4071" s="18"/>
      <c r="N4071" s="18"/>
      <c r="O4071" s="14" t="str">
        <f>HYPERLINK("https://otsuka-europe-crm.veevavault.com/ui/#object/email_activity__v/V8C00000003Q644", "EN-002092102")</f>
        <v>EN-002092102</v>
      </c>
    </row>
    <row r="4072" spans="1:15" ht="16" x14ac:dyDescent="0.2">
      <c r="A4072" s="18"/>
      <c r="B4072" s="18"/>
      <c r="C4072" s="18"/>
      <c r="D4072" s="18"/>
      <c r="E4072" s="18"/>
      <c r="F4072" s="18"/>
      <c r="G4072" s="18"/>
      <c r="H4072" s="18"/>
      <c r="I4072" s="18"/>
      <c r="J4072" s="18"/>
      <c r="K4072" s="18"/>
      <c r="L4072" s="18"/>
      <c r="M4072" s="18"/>
      <c r="N4072" s="18"/>
      <c r="O4072" s="14" t="str">
        <f>HYPERLINK("https://otsuka-europe-crm.veevavault.com/ui/#object/email_activity__v/V8C00000003Q647", "EN-002092111")</f>
        <v>EN-002092111</v>
      </c>
    </row>
    <row r="4073" spans="1:15" ht="16" x14ac:dyDescent="0.2">
      <c r="A4073" s="18"/>
      <c r="B4073" s="18"/>
      <c r="C4073" s="18"/>
      <c r="D4073" s="18"/>
      <c r="E4073" s="18"/>
      <c r="F4073" s="18"/>
      <c r="G4073" s="18"/>
      <c r="H4073" s="18"/>
      <c r="I4073" s="18"/>
      <c r="J4073" s="18"/>
      <c r="K4073" s="18"/>
      <c r="L4073" s="18"/>
      <c r="M4073" s="18"/>
      <c r="N4073" s="18"/>
      <c r="O4073" s="14" t="str">
        <f>HYPERLINK("https://otsuka-europe-crm.veevavault.com/ui/#object/email_activity__v/V8C00000003R221", "EN-002092103")</f>
        <v>EN-002092103</v>
      </c>
    </row>
    <row r="4074" spans="1:15" ht="16" x14ac:dyDescent="0.2">
      <c r="A4074" s="18"/>
      <c r="B4074" s="18"/>
      <c r="C4074" s="18"/>
      <c r="D4074" s="18"/>
      <c r="E4074" s="18"/>
      <c r="F4074" s="18"/>
      <c r="G4074" s="18"/>
      <c r="H4074" s="18"/>
      <c r="I4074" s="18"/>
      <c r="J4074" s="18"/>
      <c r="K4074" s="18"/>
      <c r="L4074" s="18"/>
      <c r="M4074" s="18"/>
      <c r="N4074" s="18"/>
      <c r="O4074" s="14" t="str">
        <f>HYPERLINK("https://otsuka-europe-crm.veevavault.com/ui/#object/email_activity__v/V8C00000003R222", "EN-002092104")</f>
        <v>EN-002092104</v>
      </c>
    </row>
    <row r="4075" spans="1:15" ht="16" x14ac:dyDescent="0.2">
      <c r="A4075" s="18"/>
      <c r="B4075" s="18"/>
      <c r="C4075" s="18"/>
      <c r="D4075" s="18"/>
      <c r="E4075" s="18"/>
      <c r="F4075" s="18"/>
      <c r="G4075" s="18"/>
      <c r="H4075" s="18"/>
      <c r="I4075" s="18"/>
      <c r="J4075" s="18"/>
      <c r="K4075" s="18"/>
      <c r="L4075" s="18"/>
      <c r="M4075" s="18"/>
      <c r="N4075" s="18"/>
      <c r="O4075" s="14" t="str">
        <f>HYPERLINK("https://otsuka-europe-crm.veevavault.com/ui/#object/email_activity__v/V8C00000003R223", "EN-002092105")</f>
        <v>EN-002092105</v>
      </c>
    </row>
    <row r="4076" spans="1:15" ht="16" x14ac:dyDescent="0.2">
      <c r="A4076" s="18"/>
      <c r="B4076" s="18"/>
      <c r="C4076" s="18"/>
      <c r="D4076" s="18"/>
      <c r="E4076" s="18"/>
      <c r="F4076" s="18"/>
      <c r="G4076" s="18"/>
      <c r="H4076" s="18"/>
      <c r="I4076" s="18"/>
      <c r="J4076" s="18"/>
      <c r="K4076" s="18"/>
      <c r="L4076" s="18"/>
      <c r="M4076" s="18"/>
      <c r="N4076" s="18"/>
      <c r="O4076" s="14" t="str">
        <f>HYPERLINK("https://otsuka-europe-crm.veevavault.com/ui/#object/email_activity__v/V8C00000003R224", "EN-002092106")</f>
        <v>EN-002092106</v>
      </c>
    </row>
    <row r="4077" spans="1:15" ht="16" x14ac:dyDescent="0.2">
      <c r="A4077" s="18"/>
      <c r="B4077" s="18"/>
      <c r="C4077" s="18"/>
      <c r="D4077" s="18"/>
      <c r="E4077" s="18"/>
      <c r="F4077" s="18"/>
      <c r="G4077" s="18"/>
      <c r="H4077" s="18"/>
      <c r="I4077" s="18"/>
      <c r="J4077" s="18"/>
      <c r="K4077" s="18"/>
      <c r="L4077" s="18"/>
      <c r="M4077" s="18"/>
      <c r="N4077" s="18"/>
      <c r="O4077" s="14" t="str">
        <f>HYPERLINK("https://otsuka-europe-crm.veevavault.com/ui/#object/email_activity__v/V8C00000003R225", "EN-002092107")</f>
        <v>EN-002092107</v>
      </c>
    </row>
    <row r="4078" spans="1:15" ht="16" x14ac:dyDescent="0.2">
      <c r="A4078" s="18"/>
      <c r="B4078" s="18"/>
      <c r="C4078" s="18"/>
      <c r="D4078" s="18"/>
      <c r="E4078" s="18"/>
      <c r="F4078" s="18"/>
      <c r="G4078" s="18"/>
      <c r="H4078" s="18"/>
      <c r="I4078" s="18"/>
      <c r="J4078" s="18"/>
      <c r="K4078" s="18"/>
      <c r="L4078" s="18"/>
      <c r="M4078" s="18"/>
      <c r="N4078" s="18"/>
      <c r="O4078" s="14" t="str">
        <f>HYPERLINK("https://otsuka-europe-crm.veevavault.com/ui/#object/email_activity__v/V8C00000003R227", "EN-002092112")</f>
        <v>EN-002092112</v>
      </c>
    </row>
    <row r="4079" spans="1:15" ht="16" x14ac:dyDescent="0.2">
      <c r="A4079" s="18"/>
      <c r="B4079" s="18"/>
      <c r="C4079" s="18"/>
      <c r="D4079" s="18"/>
      <c r="E4079" s="18"/>
      <c r="F4079" s="18"/>
      <c r="G4079" s="18"/>
      <c r="H4079" s="18"/>
      <c r="I4079" s="18"/>
      <c r="J4079" s="18"/>
      <c r="K4079" s="18"/>
      <c r="L4079" s="18"/>
      <c r="M4079" s="18"/>
      <c r="N4079" s="18"/>
      <c r="O4079" s="14" t="str">
        <f>HYPERLINK("https://otsuka-europe-crm.veevavault.com/ui/#object/email_activity__v/V8C00000003R228", "EN-002092113")</f>
        <v>EN-002092113</v>
      </c>
    </row>
    <row r="4080" spans="1:15" ht="16" x14ac:dyDescent="0.2">
      <c r="A4080" s="19"/>
      <c r="B4080" s="19"/>
      <c r="C4080" s="19"/>
      <c r="D4080" s="19"/>
      <c r="E4080" s="19"/>
      <c r="F4080" s="19"/>
      <c r="G4080" s="19"/>
      <c r="H4080" s="19"/>
      <c r="I4080" s="19"/>
      <c r="J4080" s="19"/>
      <c r="K4080" s="19"/>
      <c r="L4080" s="19"/>
      <c r="M4080" s="19"/>
      <c r="N4080" s="19"/>
      <c r="O4080" s="14" t="str">
        <f>HYPERLINK("https://otsuka-europe-crm.veevavault.com/ui/#object/email_activity__v/V8C00000003R333", "EN-002092316")</f>
        <v>EN-002092316</v>
      </c>
    </row>
    <row r="4081" spans="1:15" ht="32" x14ac:dyDescent="0.2">
      <c r="A4081" s="7" t="str">
        <f>HYPERLINK("https://otsuka-europe-crm.veevavault.com/ui/#object/account__v/V4TZ06G6O71SBMA", "GIUSEPPINA MUCCIO")</f>
        <v>GIUSEPPINA MUCCIO</v>
      </c>
      <c r="B4081" s="7" t="str">
        <f>HYPERLINK("https://otsuka-europe-crm.veevavault.com/ui/#object/vcountry__v/VENZ000004SONFQ", "IT")</f>
        <v>IT</v>
      </c>
      <c r="C4081" s="8" t="s">
        <v>44</v>
      </c>
      <c r="D4081" s="9" t="str">
        <f>HYPERLINK("https://otsuka-europe-crm.veevavault.com/ui/#object/approved_document__v/V5O000000018003", "AE dialoghi di tempo fiducia e cura episodi 2-3-4")</f>
        <v>AE dialoghi di tempo fiducia e cura episodi 2-3-4</v>
      </c>
      <c r="E4081" s="10" t="str">
        <f>HYPERLINK("https://otsuka-europe-crm.veevavault.com/ui/#object/sent_email__v/VBL00000002P388", "SE-001433058")</f>
        <v>SE-001433058</v>
      </c>
      <c r="F4081" s="11"/>
      <c r="G4081" s="12">
        <v>0</v>
      </c>
      <c r="H4081" s="12">
        <v>0</v>
      </c>
      <c r="I4081" s="12">
        <v>0</v>
      </c>
      <c r="J4081" s="11"/>
      <c r="K4081" s="12">
        <v>0</v>
      </c>
      <c r="L4081" s="10" t="str">
        <f>HYPERLINK("https://otsuka-europe-crm.veevavault.com/ui/#object/approved_document__v/V5O000000018003", "AE dialoghi di tempo fiducia e cura episodi 2-3-4")</f>
        <v>AE dialoghi di tempo fiducia e cura episodi 2-3-4</v>
      </c>
      <c r="M4081" s="10" t="str">
        <f>HYPERLINK("mailto:nicoletta.vozza@crm.otsuka-europe.com", "nicoletta.vozza@crm.otsuka-europe.com")</f>
        <v>nicoletta.vozza@crm.otsuka-europe.com</v>
      </c>
      <c r="N4081" s="13">
        <v>46181.338055555556</v>
      </c>
      <c r="O4081" s="14" t="str">
        <f>HYPERLINK("https://otsuka-europe-crm.veevavault.com/ui/#object/email_activity__v/V8C00000003Q120", "EN-002091185")</f>
        <v>EN-002091185</v>
      </c>
    </row>
    <row r="4082" spans="1:15" ht="32" x14ac:dyDescent="0.2">
      <c r="A4082" s="7" t="str">
        <f>HYPERLINK("https://otsuka-europe-crm.veevavault.com/ui/#object/account__v/V4TZ025E895BS7X", "GIUSEPPINA RUGGIERO")</f>
        <v>GIUSEPPINA RUGGIERO</v>
      </c>
      <c r="B4082" s="7" t="str">
        <f>HYPERLINK("https://otsuka-europe-crm.veevavault.com/ui/#object/vcountry__v/VENZ000004SONFQ", "IT")</f>
        <v>IT</v>
      </c>
      <c r="C4082" s="8" t="s">
        <v>44</v>
      </c>
      <c r="D4082" s="9" t="str">
        <f>HYPERLINK("https://otsuka-europe-crm.veevavault.com/ui/#object/approved_document__v/V5O000000018003", "AE dialoghi di tempo fiducia e cura episodi 2-3-4")</f>
        <v>AE dialoghi di tempo fiducia e cura episodi 2-3-4</v>
      </c>
      <c r="E4082" s="10" t="str">
        <f>HYPERLINK("https://otsuka-europe-crm.veevavault.com/ui/#object/sent_email__v/VBL00000002P389", "SE-001433059")</f>
        <v>SE-001433059</v>
      </c>
      <c r="F4082" s="11"/>
      <c r="G4082" s="12">
        <v>0</v>
      </c>
      <c r="H4082" s="12">
        <v>0</v>
      </c>
      <c r="I4082" s="12">
        <v>0</v>
      </c>
      <c r="J4082" s="11"/>
      <c r="K4082" s="12">
        <v>0</v>
      </c>
      <c r="L4082" s="10" t="str">
        <f>HYPERLINK("https://otsuka-europe-crm.veevavault.com/ui/#object/approved_document__v/V5O000000018003", "AE dialoghi di tempo fiducia e cura episodi 2-3-4")</f>
        <v>AE dialoghi di tempo fiducia e cura episodi 2-3-4</v>
      </c>
      <c r="M4082" s="10" t="str">
        <f>HYPERLINK("mailto:nicoletta.vozza@crm.otsuka-europe.com", "nicoletta.vozza@crm.otsuka-europe.com")</f>
        <v>nicoletta.vozza@crm.otsuka-europe.com</v>
      </c>
      <c r="N4082" s="13">
        <v>46181.33798611111</v>
      </c>
      <c r="O4082" s="14" t="str">
        <f>HYPERLINK("https://otsuka-europe-crm.veevavault.com/ui/#object/email_activity__v/V8C00000003P251", "EN-002089829")</f>
        <v>EN-002089829</v>
      </c>
    </row>
    <row r="4083" spans="1:15" ht="32" x14ac:dyDescent="0.2">
      <c r="A4083" s="7" t="str">
        <f>HYPERLINK("https://otsuka-europe-crm.veevavault.com/ui/#object/account__v/V4TZ06G6O71SC6Z", "GIUSEPPINA SECCHI")</f>
        <v>GIUSEPPINA SECCHI</v>
      </c>
      <c r="B4083" s="7" t="str">
        <f>HYPERLINK("https://otsuka-europe-crm.veevavault.com/ui/#object/vcountry__v/VENZ000004SONFQ", "IT")</f>
        <v>IT</v>
      </c>
      <c r="C4083" s="8" t="s">
        <v>44</v>
      </c>
      <c r="D4083" s="9" t="str">
        <f>HYPERLINK("https://otsuka-europe-crm.veevavault.com/ui/#object/approved_document__v/V5O000000018003", "AE dialoghi di tempo fiducia e cura episodi 2-3-4")</f>
        <v>AE dialoghi di tempo fiducia e cura episodi 2-3-4</v>
      </c>
      <c r="E4083" s="10" t="str">
        <f>HYPERLINK("https://otsuka-europe-crm.veevavault.com/ui/#object/sent_email__v/VBL00000002P390", "SE-001433060")</f>
        <v>SE-001433060</v>
      </c>
      <c r="F4083" s="11"/>
      <c r="G4083" s="12">
        <v>0</v>
      </c>
      <c r="H4083" s="12">
        <v>0</v>
      </c>
      <c r="I4083" s="12">
        <v>0</v>
      </c>
      <c r="J4083" s="11"/>
      <c r="K4083" s="12">
        <v>0</v>
      </c>
      <c r="L4083" s="10" t="str">
        <f>HYPERLINK("https://otsuka-europe-crm.veevavault.com/ui/#object/approved_document__v/V5O000000018003", "AE dialoghi di tempo fiducia e cura episodi 2-3-4")</f>
        <v>AE dialoghi di tempo fiducia e cura episodi 2-3-4</v>
      </c>
      <c r="M4083" s="10" t="str">
        <f>HYPERLINK("mailto:nicoletta.vozza@crm.otsuka-europe.com", "nicoletta.vozza@crm.otsuka-europe.com")</f>
        <v>nicoletta.vozza@crm.otsuka-europe.com</v>
      </c>
      <c r="N4083" s="13">
        <v>46181.338020833333</v>
      </c>
      <c r="O4083" s="14" t="str">
        <f>HYPERLINK("https://otsuka-europe-crm.veevavault.com/ui/#object/email_activity__v/V8C00000003P661", "EN-002090916")</f>
        <v>EN-002090916</v>
      </c>
    </row>
    <row r="4084" spans="1:15" ht="32" x14ac:dyDescent="0.2">
      <c r="A4084" s="7" t="str">
        <f>HYPERLINK("https://otsuka-europe-crm.veevavault.com/ui/#object/account__v/V4TZ04ASGBJTWJ8", "GIUSEPPINA SELENE SPINA")</f>
        <v>GIUSEPPINA SELENE SPINA</v>
      </c>
      <c r="B4084" s="7" t="str">
        <f>HYPERLINK("https://otsuka-europe-crm.veevavault.com/ui/#object/vcountry__v/VENZ000004SONFQ", "IT")</f>
        <v>IT</v>
      </c>
      <c r="C4084" s="8" t="s">
        <v>44</v>
      </c>
      <c r="D4084" s="9" t="str">
        <f>HYPERLINK("https://otsuka-europe-crm.veevavault.com/ui/#object/approved_document__v/V5O000000018003", "AE dialoghi di tempo fiducia e cura episodi 2-3-4")</f>
        <v>AE dialoghi di tempo fiducia e cura episodi 2-3-4</v>
      </c>
      <c r="E4084" s="10" t="str">
        <f>HYPERLINK("https://otsuka-europe-crm.veevavault.com/ui/#object/sent_email__v/VBL00000002P391", "SE-001433061")</f>
        <v>SE-001433061</v>
      </c>
      <c r="F4084" s="11"/>
      <c r="G4084" s="12">
        <v>0</v>
      </c>
      <c r="H4084" s="12">
        <v>0</v>
      </c>
      <c r="I4084" s="12">
        <v>0</v>
      </c>
      <c r="J4084" s="11"/>
      <c r="K4084" s="12">
        <v>0</v>
      </c>
      <c r="L4084" s="10" t="str">
        <f>HYPERLINK("https://otsuka-europe-crm.veevavault.com/ui/#object/approved_document__v/V5O000000018003", "AE dialoghi di tempo fiducia e cura episodi 2-3-4")</f>
        <v>AE dialoghi di tempo fiducia e cura episodi 2-3-4</v>
      </c>
      <c r="M4084" s="10" t="str">
        <f>HYPERLINK("mailto:nicoletta.vozza@crm.otsuka-europe.com", "nicoletta.vozza@crm.otsuka-europe.com")</f>
        <v>nicoletta.vozza@crm.otsuka-europe.com</v>
      </c>
      <c r="N4084" s="13">
        <v>46181.338043981479</v>
      </c>
      <c r="O4084" s="14" t="str">
        <f>HYPERLINK("https://otsuka-europe-crm.veevavault.com/ui/#object/email_activity__v/V8C00000003P437", "EN-002090641")</f>
        <v>EN-002090641</v>
      </c>
    </row>
    <row r="4085" spans="1:15" ht="16" x14ac:dyDescent="0.2">
      <c r="A4085" s="17" t="str">
        <f>HYPERLINK("https://otsuka-europe-crm.veevavault.com/ui/#object/account__v/V4TZ06G6O71SCM8", "GIUSEPPINA TRINCAS")</f>
        <v>GIUSEPPINA TRINCAS</v>
      </c>
      <c r="B4085" s="17" t="str">
        <f>HYPERLINK("https://otsuka-europe-crm.veevavault.com/ui/#object/vcountry__v/VENZ000004SONFQ", "IT")</f>
        <v>IT</v>
      </c>
      <c r="C4085" s="20" t="s">
        <v>44</v>
      </c>
      <c r="D4085" s="21" t="str">
        <f>HYPERLINK("https://otsuka-europe-crm.veevavault.com/ui/#object/approved_document__v/V5O000000018003", "AE dialoghi di tempo fiducia e cura episodi 2-3-4")</f>
        <v>AE dialoghi di tempo fiducia e cura episodi 2-3-4</v>
      </c>
      <c r="E4085" s="22" t="str">
        <f>HYPERLINK("https://otsuka-europe-crm.veevavault.com/ui/#object/sent_email__v/VBL00000002P392", "SE-001433062")</f>
        <v>SE-001433062</v>
      </c>
      <c r="F4085" s="23">
        <v>46181.909317129626</v>
      </c>
      <c r="G4085" s="24">
        <v>1</v>
      </c>
      <c r="H4085" s="24">
        <v>2</v>
      </c>
      <c r="I4085" s="24">
        <v>0</v>
      </c>
      <c r="J4085" s="25"/>
      <c r="K4085" s="24">
        <v>0</v>
      </c>
      <c r="L4085" s="22" t="str">
        <f>HYPERLINK("https://otsuka-europe-crm.veevavault.com/ui/#object/approved_document__v/V5O000000018003", "AE dialoghi di tempo fiducia e cura episodi 2-3-4")</f>
        <v>AE dialoghi di tempo fiducia e cura episodi 2-3-4</v>
      </c>
      <c r="M4085" s="22" t="str">
        <f>HYPERLINK("mailto:nicoletta.vozza@crm.otsuka-europe.com", "nicoletta.vozza@crm.otsuka-europe.com")</f>
        <v>nicoletta.vozza@crm.otsuka-europe.com</v>
      </c>
      <c r="N4085" s="23">
        <v>46181.337939814817</v>
      </c>
      <c r="O4085" s="14" t="str">
        <f>HYPERLINK("https://otsuka-europe-crm.veevavault.com/ui/#object/email_activity__v/V8C00000003O208", "EN-002089685")</f>
        <v>EN-002089685</v>
      </c>
    </row>
    <row r="4086" spans="1:15" ht="16" x14ac:dyDescent="0.2">
      <c r="A4086" s="18"/>
      <c r="B4086" s="18"/>
      <c r="C4086" s="18"/>
      <c r="D4086" s="18"/>
      <c r="E4086" s="18"/>
      <c r="F4086" s="18"/>
      <c r="G4086" s="18"/>
      <c r="H4086" s="18"/>
      <c r="I4086" s="18"/>
      <c r="J4086" s="18"/>
      <c r="K4086" s="18"/>
      <c r="L4086" s="18"/>
      <c r="M4086" s="18"/>
      <c r="N4086" s="18"/>
      <c r="O4086" s="14" t="str">
        <f>HYPERLINK("https://otsuka-europe-crm.veevavault.com/ui/#object/email_activity__v/V8C00000003Q706", "EN-002092252")</f>
        <v>EN-002092252</v>
      </c>
    </row>
    <row r="4087" spans="1:15" ht="16" x14ac:dyDescent="0.2">
      <c r="A4087" s="19"/>
      <c r="B4087" s="19"/>
      <c r="C4087" s="19"/>
      <c r="D4087" s="19"/>
      <c r="E4087" s="19"/>
      <c r="F4087" s="19"/>
      <c r="G4087" s="19"/>
      <c r="H4087" s="19"/>
      <c r="I4087" s="19"/>
      <c r="J4087" s="19"/>
      <c r="K4087" s="19"/>
      <c r="L4087" s="19"/>
      <c r="M4087" s="19"/>
      <c r="N4087" s="19"/>
      <c r="O4087" s="14" t="str">
        <f>HYPERLINK("https://otsuka-europe-crm.veevavault.com/ui/#object/email_activity__v/V8C00000003Q707", "EN-002092253")</f>
        <v>EN-002092253</v>
      </c>
    </row>
    <row r="4088" spans="1:15" ht="32" x14ac:dyDescent="0.2">
      <c r="A4088" s="7" t="str">
        <f>HYPERLINK("https://otsuka-europe-crm.veevavault.com/ui/#object/account__v/V4TZ06G6O71SCQ1", "GIUSEPPINA VIOLA")</f>
        <v>GIUSEPPINA VIOLA</v>
      </c>
      <c r="B4088" s="7" t="str">
        <f>HYPERLINK("https://otsuka-europe-crm.veevavault.com/ui/#object/vcountry__v/VENZ000004SONFQ", "IT")</f>
        <v>IT</v>
      </c>
      <c r="C4088" s="8" t="s">
        <v>44</v>
      </c>
      <c r="D4088" s="9" t="str">
        <f>HYPERLINK("https://otsuka-europe-crm.veevavault.com/ui/#object/approved_document__v/V5O000000018003", "AE dialoghi di tempo fiducia e cura episodi 2-3-4")</f>
        <v>AE dialoghi di tempo fiducia e cura episodi 2-3-4</v>
      </c>
      <c r="E4088" s="10" t="str">
        <f>HYPERLINK("https://otsuka-europe-crm.veevavault.com/ui/#object/sent_email__v/VBL00000002P393", "SE-001433063")</f>
        <v>SE-001433063</v>
      </c>
      <c r="F4088" s="11"/>
      <c r="G4088" s="12">
        <v>0</v>
      </c>
      <c r="H4088" s="12">
        <v>0</v>
      </c>
      <c r="I4088" s="12">
        <v>0</v>
      </c>
      <c r="J4088" s="11"/>
      <c r="K4088" s="12">
        <v>0</v>
      </c>
      <c r="L4088" s="10" t="str">
        <f>HYPERLINK("https://otsuka-europe-crm.veevavault.com/ui/#object/approved_document__v/V5O000000018003", "AE dialoghi di tempo fiducia e cura episodi 2-3-4")</f>
        <v>AE dialoghi di tempo fiducia e cura episodi 2-3-4</v>
      </c>
      <c r="M4088" s="10" t="str">
        <f>HYPERLINK("mailto:nicoletta.vozza@crm.otsuka-europe.com", "nicoletta.vozza@crm.otsuka-europe.com")</f>
        <v>nicoletta.vozza@crm.otsuka-europe.com</v>
      </c>
      <c r="N4088" s="13">
        <v>46181.338020833333</v>
      </c>
      <c r="O4088" s="14" t="str">
        <f>HYPERLINK("https://otsuka-europe-crm.veevavault.com/ui/#object/email_activity__v/V8C00000003Q183", "EN-002091284")</f>
        <v>EN-002091284</v>
      </c>
    </row>
    <row r="4089" spans="1:15" ht="32" x14ac:dyDescent="0.2">
      <c r="A4089" s="7" t="str">
        <f>HYPERLINK("https://otsuka-europe-crm.veevavault.com/ui/#object/account__v/V4TZ06G6O71SCRB", "GIUSEPPINA ZANDA")</f>
        <v>GIUSEPPINA ZANDA</v>
      </c>
      <c r="B4089" s="7" t="str">
        <f>HYPERLINK("https://otsuka-europe-crm.veevavault.com/ui/#object/vcountry__v/VENZ000004SONFQ", "IT")</f>
        <v>IT</v>
      </c>
      <c r="C4089" s="8" t="s">
        <v>44</v>
      </c>
      <c r="D4089" s="9" t="str">
        <f>HYPERLINK("https://otsuka-europe-crm.veevavault.com/ui/#object/approved_document__v/V5O000000018003", "AE dialoghi di tempo fiducia e cura episodi 2-3-4")</f>
        <v>AE dialoghi di tempo fiducia e cura episodi 2-3-4</v>
      </c>
      <c r="E4089" s="10" t="str">
        <f>HYPERLINK("https://otsuka-europe-crm.veevavault.com/ui/#object/sent_email__v/VBL00000002P394", "SE-001433064")</f>
        <v>SE-001433064</v>
      </c>
      <c r="F4089" s="11"/>
      <c r="G4089" s="12">
        <v>0</v>
      </c>
      <c r="H4089" s="12">
        <v>0</v>
      </c>
      <c r="I4089" s="12">
        <v>0</v>
      </c>
      <c r="J4089" s="11"/>
      <c r="K4089" s="12">
        <v>0</v>
      </c>
      <c r="L4089" s="10" t="str">
        <f>HYPERLINK("https://otsuka-europe-crm.veevavault.com/ui/#object/approved_document__v/V5O000000018003", "AE dialoghi di tempo fiducia e cura episodi 2-3-4")</f>
        <v>AE dialoghi di tempo fiducia e cura episodi 2-3-4</v>
      </c>
      <c r="M4089" s="10" t="str">
        <f>HYPERLINK("mailto:nicoletta.vozza@crm.otsuka-europe.com", "nicoletta.vozza@crm.otsuka-europe.com")</f>
        <v>nicoletta.vozza@crm.otsuka-europe.com</v>
      </c>
      <c r="N4089" s="13">
        <v>46181.337997685187</v>
      </c>
      <c r="O4089" s="14" t="str">
        <f>HYPERLINK("https://otsuka-europe-crm.veevavault.com/ui/#object/email_activity__v/V8C00000003P558", "EN-002090813")</f>
        <v>EN-002090813</v>
      </c>
    </row>
    <row r="4090" spans="1:15" ht="32" x14ac:dyDescent="0.2">
      <c r="A4090" s="7" t="str">
        <f>HYPERLINK("https://otsuka-europe-crm.veevavault.com/ui/#object/account__v/V4TZ06G6O71S9I6", "GIUSY PIZI")</f>
        <v>GIUSY PIZI</v>
      </c>
      <c r="B4090" s="7" t="str">
        <f>HYPERLINK("https://otsuka-europe-crm.veevavault.com/ui/#object/vcountry__v/VENZ000004SONFQ", "IT")</f>
        <v>IT</v>
      </c>
      <c r="C4090" s="8" t="s">
        <v>44</v>
      </c>
      <c r="D4090" s="9" t="str">
        <f>HYPERLINK("https://otsuka-europe-crm.veevavault.com/ui/#object/approved_document__v/V5O000000018003", "AE dialoghi di tempo fiducia e cura episodi 2-3-4")</f>
        <v>AE dialoghi di tempo fiducia e cura episodi 2-3-4</v>
      </c>
      <c r="E4090" s="10" t="str">
        <f>HYPERLINK("https://otsuka-europe-crm.veevavault.com/ui/#object/sent_email__v/VBL00000002P395", "SE-001433065")</f>
        <v>SE-001433065</v>
      </c>
      <c r="F4090" s="11"/>
      <c r="G4090" s="12">
        <v>0</v>
      </c>
      <c r="H4090" s="12">
        <v>0</v>
      </c>
      <c r="I4090" s="12">
        <v>0</v>
      </c>
      <c r="J4090" s="11"/>
      <c r="K4090" s="12">
        <v>0</v>
      </c>
      <c r="L4090" s="10" t="str">
        <f>HYPERLINK("https://otsuka-europe-crm.veevavault.com/ui/#object/approved_document__v/V5O000000018003", "AE dialoghi di tempo fiducia e cura episodi 2-3-4")</f>
        <v>AE dialoghi di tempo fiducia e cura episodi 2-3-4</v>
      </c>
      <c r="M4090" s="10" t="str">
        <f>HYPERLINK("mailto:nicoletta.vozza@crm.otsuka-europe.com", "nicoletta.vozza@crm.otsuka-europe.com")</f>
        <v>nicoletta.vozza@crm.otsuka-europe.com</v>
      </c>
      <c r="N4090" s="13">
        <v>46181.33803240741</v>
      </c>
      <c r="O4090" s="14" t="str">
        <f>HYPERLINK("https://otsuka-europe-crm.veevavault.com/ui/#object/email_activity__v/V8C00000003Q231", "EN-002091337")</f>
        <v>EN-002091337</v>
      </c>
    </row>
    <row r="4091" spans="1:15" ht="32" x14ac:dyDescent="0.2">
      <c r="A4091" s="7" t="str">
        <f>HYPERLINK("https://otsuka-europe-crm.veevavault.com/ui/#object/account__v/V4TZ06G6O71S9KN", "GLORIA GIORDANO")</f>
        <v>GLORIA GIORDANO</v>
      </c>
      <c r="B4091" s="7" t="str">
        <f>HYPERLINK("https://otsuka-europe-crm.veevavault.com/ui/#object/vcountry__v/VENZ000004SONFQ", "IT")</f>
        <v>IT</v>
      </c>
      <c r="C4091" s="8" t="s">
        <v>44</v>
      </c>
      <c r="D4091" s="9" t="str">
        <f>HYPERLINK("https://otsuka-europe-crm.veevavault.com/ui/#object/approved_document__v/V5O000000018003", "AE dialoghi di tempo fiducia e cura episodi 2-3-4")</f>
        <v>AE dialoghi di tempo fiducia e cura episodi 2-3-4</v>
      </c>
      <c r="E4091" s="10" t="str">
        <f>HYPERLINK("https://otsuka-europe-crm.veevavault.com/ui/#object/sent_email__v/VBL00000002P396", "SE-001433066")</f>
        <v>SE-001433066</v>
      </c>
      <c r="F4091" s="11"/>
      <c r="G4091" s="12">
        <v>0</v>
      </c>
      <c r="H4091" s="12">
        <v>0</v>
      </c>
      <c r="I4091" s="12">
        <v>0</v>
      </c>
      <c r="J4091" s="11"/>
      <c r="K4091" s="12">
        <v>0</v>
      </c>
      <c r="L4091" s="10" t="str">
        <f>HYPERLINK("https://otsuka-europe-crm.veevavault.com/ui/#object/approved_document__v/V5O000000018003", "AE dialoghi di tempo fiducia e cura episodi 2-3-4")</f>
        <v>AE dialoghi di tempo fiducia e cura episodi 2-3-4</v>
      </c>
      <c r="M4091" s="10" t="str">
        <f>HYPERLINK("mailto:nicoletta.vozza@crm.otsuka-europe.com", "nicoletta.vozza@crm.otsuka-europe.com")</f>
        <v>nicoletta.vozza@crm.otsuka-europe.com</v>
      </c>
      <c r="N4091" s="13">
        <v>46181.338101851848</v>
      </c>
      <c r="O4091" s="14" t="str">
        <f>HYPERLINK("https://otsuka-europe-crm.veevavault.com/ui/#object/email_activity__v/V8C00000003P609", "EN-002090864")</f>
        <v>EN-002090864</v>
      </c>
    </row>
    <row r="4092" spans="1:15" ht="16" x14ac:dyDescent="0.2">
      <c r="A4092" s="17" t="str">
        <f>HYPERLINK("https://otsuka-europe-crm.veevavault.com/ui/#object/account__v/V4TZ06G6O71SAXF", "GRAZIA CAFORIO")</f>
        <v>GRAZIA CAFORIO</v>
      </c>
      <c r="B4092" s="17" t="str">
        <f>HYPERLINK("https://otsuka-europe-crm.veevavault.com/ui/#object/vcountry__v/VENZ000004SONFQ", "IT")</f>
        <v>IT</v>
      </c>
      <c r="C4092" s="20" t="s">
        <v>44</v>
      </c>
      <c r="D4092" s="21" t="str">
        <f>HYPERLINK("https://otsuka-europe-crm.veevavault.com/ui/#object/approved_document__v/V5O000000018003", "AE dialoghi di tempo fiducia e cura episodi 2-3-4")</f>
        <v>AE dialoghi di tempo fiducia e cura episodi 2-3-4</v>
      </c>
      <c r="E4092" s="22" t="str">
        <f>HYPERLINK("https://otsuka-europe-crm.veevavault.com/ui/#object/sent_email__v/VBL00000002P397", "SE-001433067")</f>
        <v>SE-001433067</v>
      </c>
      <c r="F4092" s="25"/>
      <c r="G4092" s="24">
        <v>0</v>
      </c>
      <c r="H4092" s="24">
        <v>0</v>
      </c>
      <c r="I4092" s="24">
        <v>0</v>
      </c>
      <c r="J4092" s="25"/>
      <c r="K4092" s="24">
        <v>0</v>
      </c>
      <c r="L4092" s="22" t="str">
        <f>HYPERLINK("https://otsuka-europe-crm.veevavault.com/ui/#object/approved_document__v/V5O000000018003", "AE dialoghi di tempo fiducia e cura episodi 2-3-4")</f>
        <v>AE dialoghi di tempo fiducia e cura episodi 2-3-4</v>
      </c>
      <c r="M4092" s="22" t="str">
        <f>HYPERLINK("mailto:nicoletta.vozza@crm.otsuka-europe.com", "nicoletta.vozza@crm.otsuka-europe.com")</f>
        <v>nicoletta.vozza@crm.otsuka-europe.com</v>
      </c>
      <c r="N4092" s="23">
        <v>46181.337962962964</v>
      </c>
      <c r="O4092" s="14" t="str">
        <f>HYPERLINK("https://otsuka-europe-crm.veevavault.com/ui/#object/email_activity__v/V8C00000003P219", "EN-002089665")</f>
        <v>EN-002089665</v>
      </c>
    </row>
    <row r="4093" spans="1:15" ht="16" x14ac:dyDescent="0.2">
      <c r="A4093" s="19"/>
      <c r="B4093" s="19"/>
      <c r="C4093" s="19"/>
      <c r="D4093" s="19"/>
      <c r="E4093" s="19"/>
      <c r="F4093" s="19"/>
      <c r="G4093" s="19"/>
      <c r="H4093" s="19"/>
      <c r="I4093" s="19"/>
      <c r="J4093" s="19"/>
      <c r="K4093" s="19"/>
      <c r="L4093" s="19"/>
      <c r="M4093" s="19"/>
      <c r="N4093" s="19"/>
      <c r="O4093" s="14" t="str">
        <f>HYPERLINK("https://otsuka-europe-crm.veevavault.com/ui/#object/email_activity__v/V8C00000003R324", "EN-002092286")</f>
        <v>EN-002092286</v>
      </c>
    </row>
    <row r="4094" spans="1:15" ht="32" x14ac:dyDescent="0.2">
      <c r="A4094" s="7" t="str">
        <f>HYPERLINK("https://otsuka-europe-crm.veevavault.com/ui/#object/account__v/V4TZ06G6O71SC87", "GRAZIA CERAVOLO")</f>
        <v>GRAZIA CERAVOLO</v>
      </c>
      <c r="B4094" s="7" t="str">
        <f t="shared" ref="B4094:B4118" si="320">HYPERLINK("https://otsuka-europe-crm.veevavault.com/ui/#object/vcountry__v/VENZ000004SONFQ", "IT")</f>
        <v>IT</v>
      </c>
      <c r="C4094" s="8" t="s">
        <v>44</v>
      </c>
      <c r="D4094" s="9" t="str">
        <f t="shared" ref="D4094:D4118" si="321">HYPERLINK("https://otsuka-europe-crm.veevavault.com/ui/#object/approved_document__v/V5O000000018003", "AE dialoghi di tempo fiducia e cura episodi 2-3-4")</f>
        <v>AE dialoghi di tempo fiducia e cura episodi 2-3-4</v>
      </c>
      <c r="E4094" s="10" t="str">
        <f>HYPERLINK("https://otsuka-europe-crm.veevavault.com/ui/#object/sent_email__v/VBL00000002P398", "SE-001433068")</f>
        <v>SE-001433068</v>
      </c>
      <c r="F4094" s="11"/>
      <c r="G4094" s="12">
        <v>0</v>
      </c>
      <c r="H4094" s="12">
        <v>0</v>
      </c>
      <c r="I4094" s="12">
        <v>0</v>
      </c>
      <c r="J4094" s="11"/>
      <c r="K4094" s="12">
        <v>0</v>
      </c>
      <c r="L4094" s="10" t="str">
        <f t="shared" ref="L4094:L4118" si="322">HYPERLINK("https://otsuka-europe-crm.veevavault.com/ui/#object/approved_document__v/V5O000000018003", "AE dialoghi di tempo fiducia e cura episodi 2-3-4")</f>
        <v>AE dialoghi di tempo fiducia e cura episodi 2-3-4</v>
      </c>
      <c r="M4094" s="10" t="str">
        <f t="shared" ref="M4094:M4118" si="323">HYPERLINK("mailto:nicoletta.vozza@crm.otsuka-europe.com", "nicoletta.vozza@crm.otsuka-europe.com")</f>
        <v>nicoletta.vozza@crm.otsuka-europe.com</v>
      </c>
      <c r="N4094" s="13">
        <v>46181.337997685187</v>
      </c>
      <c r="O4094" s="14" t="str">
        <f>HYPERLINK("https://otsuka-europe-crm.veevavault.com/ui/#object/email_activity__v/V8C00000003P227", "EN-002089673")</f>
        <v>EN-002089673</v>
      </c>
    </row>
    <row r="4095" spans="1:15" ht="32" x14ac:dyDescent="0.2">
      <c r="A4095" s="7" t="str">
        <f>HYPERLINK("https://otsuka-europe-crm.veevavault.com/ui/#object/account__v/V4TZ06G6O71SAK0", "GRAZIA FESTA")</f>
        <v>GRAZIA FESTA</v>
      </c>
      <c r="B4095" s="7" t="str">
        <f t="shared" si="320"/>
        <v>IT</v>
      </c>
      <c r="C4095" s="8" t="s">
        <v>44</v>
      </c>
      <c r="D4095" s="9" t="str">
        <f t="shared" si="321"/>
        <v>AE dialoghi di tempo fiducia e cura episodi 2-3-4</v>
      </c>
      <c r="E4095" s="10" t="str">
        <f>HYPERLINK("https://otsuka-europe-crm.veevavault.com/ui/#object/sent_email__v/VBL00000002P399", "SE-001433069")</f>
        <v>SE-001433069</v>
      </c>
      <c r="F4095" s="11"/>
      <c r="G4095" s="12">
        <v>0</v>
      </c>
      <c r="H4095" s="12">
        <v>0</v>
      </c>
      <c r="I4095" s="12">
        <v>0</v>
      </c>
      <c r="J4095" s="11"/>
      <c r="K4095" s="12">
        <v>0</v>
      </c>
      <c r="L4095" s="10" t="str">
        <f t="shared" si="322"/>
        <v>AE dialoghi di tempo fiducia e cura episodi 2-3-4</v>
      </c>
      <c r="M4095" s="10" t="str">
        <f t="shared" si="323"/>
        <v>nicoletta.vozza@crm.otsuka-europe.com</v>
      </c>
      <c r="N4095" s="13">
        <v>46181.337962962964</v>
      </c>
      <c r="O4095" s="14" t="str">
        <f>HYPERLINK("https://otsuka-europe-crm.veevavault.com/ui/#object/email_activity__v/V8C00000003P177", "EN-002089577")</f>
        <v>EN-002089577</v>
      </c>
    </row>
    <row r="4096" spans="1:15" ht="32" x14ac:dyDescent="0.2">
      <c r="A4096" s="7" t="str">
        <f>HYPERLINK("https://otsuka-europe-crm.veevavault.com/ui/#object/account__v/V4TZ04ASGBJT5AF", "GRAZIA GIUSEPPA CERTO")</f>
        <v>GRAZIA GIUSEPPA CERTO</v>
      </c>
      <c r="B4096" s="7" t="str">
        <f t="shared" si="320"/>
        <v>IT</v>
      </c>
      <c r="C4096" s="8" t="s">
        <v>44</v>
      </c>
      <c r="D4096" s="9" t="str">
        <f t="shared" si="321"/>
        <v>AE dialoghi di tempo fiducia e cura episodi 2-3-4</v>
      </c>
      <c r="E4096" s="10" t="str">
        <f>HYPERLINK("https://otsuka-europe-crm.veevavault.com/ui/#object/sent_email__v/VBL00000002P400", "SE-001433070")</f>
        <v>SE-001433070</v>
      </c>
      <c r="F4096" s="11"/>
      <c r="G4096" s="12">
        <v>0</v>
      </c>
      <c r="H4096" s="12">
        <v>0</v>
      </c>
      <c r="I4096" s="12">
        <v>0</v>
      </c>
      <c r="J4096" s="11"/>
      <c r="K4096" s="12">
        <v>0</v>
      </c>
      <c r="L4096" s="10" t="str">
        <f t="shared" si="322"/>
        <v>AE dialoghi di tempo fiducia e cura episodi 2-3-4</v>
      </c>
      <c r="M4096" s="10" t="str">
        <f t="shared" si="323"/>
        <v>nicoletta.vozza@crm.otsuka-europe.com</v>
      </c>
      <c r="N4096" s="13">
        <v>46181.33803240741</v>
      </c>
      <c r="O4096" s="14" t="str">
        <f>HYPERLINK("https://otsuka-europe-crm.veevavault.com/ui/#object/email_activity__v/V8C00000003O476", "EN-002090032")</f>
        <v>EN-002090032</v>
      </c>
    </row>
    <row r="4097" spans="1:15" ht="32" x14ac:dyDescent="0.2">
      <c r="A4097" s="7" t="str">
        <f>HYPERLINK("https://otsuka-europe-crm.veevavault.com/ui/#object/account__v/V4TZ06G6O71S9SP", "GRAZIA MARIA ORTOBELLO")</f>
        <v>GRAZIA MARIA ORTOBELLO</v>
      </c>
      <c r="B4097" s="7" t="str">
        <f t="shared" si="320"/>
        <v>IT</v>
      </c>
      <c r="C4097" s="8" t="s">
        <v>44</v>
      </c>
      <c r="D4097" s="9" t="str">
        <f t="shared" si="321"/>
        <v>AE dialoghi di tempo fiducia e cura episodi 2-3-4</v>
      </c>
      <c r="E4097" s="10" t="str">
        <f>HYPERLINK("https://otsuka-europe-crm.veevavault.com/ui/#object/sent_email__v/VBL00000002P401", "SE-001433071")</f>
        <v>SE-001433071</v>
      </c>
      <c r="F4097" s="11"/>
      <c r="G4097" s="12">
        <v>0</v>
      </c>
      <c r="H4097" s="12">
        <v>0</v>
      </c>
      <c r="I4097" s="12">
        <v>0</v>
      </c>
      <c r="J4097" s="11"/>
      <c r="K4097" s="12">
        <v>0</v>
      </c>
      <c r="L4097" s="10" t="str">
        <f t="shared" si="322"/>
        <v>AE dialoghi di tempo fiducia e cura episodi 2-3-4</v>
      </c>
      <c r="M4097" s="10" t="str">
        <f t="shared" si="323"/>
        <v>nicoletta.vozza@crm.otsuka-europe.com</v>
      </c>
      <c r="N4097" s="13">
        <v>46181.337997685187</v>
      </c>
      <c r="O4097" s="14" t="str">
        <f>HYPERLINK("https://otsuka-europe-crm.veevavault.com/ui/#object/email_activity__v/V8C00000003Q082", "EN-002091147")</f>
        <v>EN-002091147</v>
      </c>
    </row>
    <row r="4098" spans="1:15" ht="32" x14ac:dyDescent="0.2">
      <c r="A4098" s="7" t="str">
        <f>HYPERLINK("https://otsuka-europe-crm.veevavault.com/ui/#object/account__v/V4TZ06G6O71SCD0", "GRAZIA SINATRA")</f>
        <v>GRAZIA SINATRA</v>
      </c>
      <c r="B4098" s="7" t="str">
        <f t="shared" si="320"/>
        <v>IT</v>
      </c>
      <c r="C4098" s="8" t="s">
        <v>44</v>
      </c>
      <c r="D4098" s="9" t="str">
        <f t="shared" si="321"/>
        <v>AE dialoghi di tempo fiducia e cura episodi 2-3-4</v>
      </c>
      <c r="E4098" s="10" t="str">
        <f>HYPERLINK("https://otsuka-europe-crm.veevavault.com/ui/#object/sent_email__v/VBL00000002P402", "SE-001433072")</f>
        <v>SE-001433072</v>
      </c>
      <c r="F4098" s="11"/>
      <c r="G4098" s="12">
        <v>0</v>
      </c>
      <c r="H4098" s="12">
        <v>0</v>
      </c>
      <c r="I4098" s="12">
        <v>0</v>
      </c>
      <c r="J4098" s="11"/>
      <c r="K4098" s="12">
        <v>0</v>
      </c>
      <c r="L4098" s="10" t="str">
        <f t="shared" si="322"/>
        <v>AE dialoghi di tempo fiducia e cura episodi 2-3-4</v>
      </c>
      <c r="M4098" s="10" t="str">
        <f t="shared" si="323"/>
        <v>nicoletta.vozza@crm.otsuka-europe.com</v>
      </c>
      <c r="N4098" s="13">
        <v>46181.338009259256</v>
      </c>
      <c r="O4098" s="14" t="str">
        <f>HYPERLINK("https://otsuka-europe-crm.veevavault.com/ui/#object/email_activity__v/V8C00000003O671", "EN-002090227")</f>
        <v>EN-002090227</v>
      </c>
    </row>
    <row r="4099" spans="1:15" ht="32" x14ac:dyDescent="0.2">
      <c r="A4099" s="7" t="str">
        <f>HYPERLINK("https://otsuka-europe-crm.veevavault.com/ui/#object/account__v/V4TZ06G6O71SCLQ", "GRAZIA TONDELLI")</f>
        <v>GRAZIA TONDELLI</v>
      </c>
      <c r="B4099" s="7" t="str">
        <f t="shared" si="320"/>
        <v>IT</v>
      </c>
      <c r="C4099" s="8" t="s">
        <v>44</v>
      </c>
      <c r="D4099" s="9" t="str">
        <f t="shared" si="321"/>
        <v>AE dialoghi di tempo fiducia e cura episodi 2-3-4</v>
      </c>
      <c r="E4099" s="10" t="str">
        <f>HYPERLINK("https://otsuka-europe-crm.veevavault.com/ui/#object/sent_email__v/VBL00000002P403", "SE-001433073")</f>
        <v>SE-001433073</v>
      </c>
      <c r="F4099" s="11"/>
      <c r="G4099" s="12">
        <v>0</v>
      </c>
      <c r="H4099" s="12">
        <v>0</v>
      </c>
      <c r="I4099" s="12">
        <v>0</v>
      </c>
      <c r="J4099" s="11"/>
      <c r="K4099" s="12">
        <v>0</v>
      </c>
      <c r="L4099" s="10" t="str">
        <f t="shared" si="322"/>
        <v>AE dialoghi di tempo fiducia e cura episodi 2-3-4</v>
      </c>
      <c r="M4099" s="10" t="str">
        <f t="shared" si="323"/>
        <v>nicoletta.vozza@crm.otsuka-europe.com</v>
      </c>
      <c r="N4099" s="13">
        <v>46181.338043981479</v>
      </c>
      <c r="O4099" s="14" t="str">
        <f>HYPERLINK("https://otsuka-europe-crm.veevavault.com/ui/#object/email_activity__v/V8C00000003Q001", "EN-002090749")</f>
        <v>EN-002090749</v>
      </c>
    </row>
    <row r="4100" spans="1:15" ht="32" x14ac:dyDescent="0.2">
      <c r="A4100" s="7" t="str">
        <f>HYPERLINK("https://otsuka-europe-crm.veevavault.com/ui/#object/account__v/V4TZ04ASG7NF2E7", "GRAZIANA SCHITO")</f>
        <v>GRAZIANA SCHITO</v>
      </c>
      <c r="B4100" s="7" t="str">
        <f t="shared" si="320"/>
        <v>IT</v>
      </c>
      <c r="C4100" s="8" t="s">
        <v>44</v>
      </c>
      <c r="D4100" s="9" t="str">
        <f t="shared" si="321"/>
        <v>AE dialoghi di tempo fiducia e cura episodi 2-3-4</v>
      </c>
      <c r="E4100" s="10" t="str">
        <f>HYPERLINK("https://otsuka-europe-crm.veevavault.com/ui/#object/sent_email__v/VBL00000002P404", "SE-001433074")</f>
        <v>SE-001433074</v>
      </c>
      <c r="F4100" s="11"/>
      <c r="G4100" s="12">
        <v>0</v>
      </c>
      <c r="H4100" s="12">
        <v>0</v>
      </c>
      <c r="I4100" s="12">
        <v>0</v>
      </c>
      <c r="J4100" s="11"/>
      <c r="K4100" s="12">
        <v>0</v>
      </c>
      <c r="L4100" s="10" t="str">
        <f t="shared" si="322"/>
        <v>AE dialoghi di tempo fiducia e cura episodi 2-3-4</v>
      </c>
      <c r="M4100" s="10" t="str">
        <f t="shared" si="323"/>
        <v>nicoletta.vozza@crm.otsuka-europe.com</v>
      </c>
      <c r="N4100" s="13">
        <v>46181.338020833333</v>
      </c>
      <c r="O4100" s="14" t="str">
        <f>HYPERLINK("https://otsuka-europe-crm.veevavault.com/ui/#object/email_activity__v/V8C00000003P523", "EN-002090778")</f>
        <v>EN-002090778</v>
      </c>
    </row>
    <row r="4101" spans="1:15" ht="32" x14ac:dyDescent="0.2">
      <c r="A4101" s="7" t="str">
        <f>HYPERLINK("https://otsuka-europe-crm.veevavault.com/ui/#object/account__v/V4TZ06G6O71S9X1", "GRAZIELLA APREDA")</f>
        <v>GRAZIELLA APREDA</v>
      </c>
      <c r="B4101" s="7" t="str">
        <f t="shared" si="320"/>
        <v>IT</v>
      </c>
      <c r="C4101" s="8" t="s">
        <v>44</v>
      </c>
      <c r="D4101" s="9" t="str">
        <f t="shared" si="321"/>
        <v>AE dialoghi di tempo fiducia e cura episodi 2-3-4</v>
      </c>
      <c r="E4101" s="10" t="str">
        <f>HYPERLINK("https://otsuka-europe-crm.veevavault.com/ui/#object/sent_email__v/VBL00000002P405", "SE-001433075")</f>
        <v>SE-001433075</v>
      </c>
      <c r="F4101" s="11"/>
      <c r="G4101" s="12">
        <v>0</v>
      </c>
      <c r="H4101" s="12">
        <v>0</v>
      </c>
      <c r="I4101" s="12">
        <v>0</v>
      </c>
      <c r="J4101" s="11"/>
      <c r="K4101" s="12">
        <v>0</v>
      </c>
      <c r="L4101" s="10" t="str">
        <f t="shared" si="322"/>
        <v>AE dialoghi di tempo fiducia e cura episodi 2-3-4</v>
      </c>
      <c r="M4101" s="10" t="str">
        <f t="shared" si="323"/>
        <v>nicoletta.vozza@crm.otsuka-europe.com</v>
      </c>
      <c r="N4101" s="13">
        <v>46181.33797453704</v>
      </c>
      <c r="O4101" s="14" t="str">
        <f>HYPERLINK("https://otsuka-europe-crm.veevavault.com/ui/#object/email_activity__v/V8C00000003P422", "EN-002090674")</f>
        <v>EN-002090674</v>
      </c>
    </row>
    <row r="4102" spans="1:15" ht="32" x14ac:dyDescent="0.2">
      <c r="A4102" s="7" t="str">
        <f>HYPERLINK("https://otsuka-europe-crm.veevavault.com/ui/#object/account__v/V4TZ06G6O71SCFA", "GRAZIELLA SOLANO")</f>
        <v>GRAZIELLA SOLANO</v>
      </c>
      <c r="B4102" s="7" t="str">
        <f t="shared" si="320"/>
        <v>IT</v>
      </c>
      <c r="C4102" s="8" t="s">
        <v>44</v>
      </c>
      <c r="D4102" s="9" t="str">
        <f t="shared" si="321"/>
        <v>AE dialoghi di tempo fiducia e cura episodi 2-3-4</v>
      </c>
      <c r="E4102" s="10" t="str">
        <f>HYPERLINK("https://otsuka-europe-crm.veevavault.com/ui/#object/sent_email__v/VBL00000002P406", "SE-001433076")</f>
        <v>SE-001433076</v>
      </c>
      <c r="F4102" s="11"/>
      <c r="G4102" s="12">
        <v>0</v>
      </c>
      <c r="H4102" s="12">
        <v>0</v>
      </c>
      <c r="I4102" s="12">
        <v>0</v>
      </c>
      <c r="J4102" s="11"/>
      <c r="K4102" s="12">
        <v>0</v>
      </c>
      <c r="L4102" s="10" t="str">
        <f t="shared" si="322"/>
        <v>AE dialoghi di tempo fiducia e cura episodi 2-3-4</v>
      </c>
      <c r="M4102" s="10" t="str">
        <f t="shared" si="323"/>
        <v>nicoletta.vozza@crm.otsuka-europe.com</v>
      </c>
      <c r="N4102" s="13">
        <v>46181.338043981479</v>
      </c>
      <c r="O4102" s="14" t="str">
        <f>HYPERLINK("https://otsuka-europe-crm.veevavault.com/ui/#object/email_activity__v/V8C00000003P296", "EN-002089932")</f>
        <v>EN-002089932</v>
      </c>
    </row>
    <row r="4103" spans="1:15" ht="32" x14ac:dyDescent="0.2">
      <c r="A4103" s="7" t="str">
        <f>HYPERLINK("https://otsuka-europe-crm.veevavault.com/ui/#object/account__v/V4TZ025E85EEN9X", "GUENDALINA ZAPPA")</f>
        <v>GUENDALINA ZAPPA</v>
      </c>
      <c r="B4103" s="7" t="str">
        <f t="shared" si="320"/>
        <v>IT</v>
      </c>
      <c r="C4103" s="8" t="s">
        <v>44</v>
      </c>
      <c r="D4103" s="9" t="str">
        <f t="shared" si="321"/>
        <v>AE dialoghi di tempo fiducia e cura episodi 2-3-4</v>
      </c>
      <c r="E4103" s="10" t="str">
        <f>HYPERLINK("https://otsuka-europe-crm.veevavault.com/ui/#object/sent_email__v/VBL00000002P407", "SE-001433077")</f>
        <v>SE-001433077</v>
      </c>
      <c r="F4103" s="11"/>
      <c r="G4103" s="12">
        <v>0</v>
      </c>
      <c r="H4103" s="12">
        <v>0</v>
      </c>
      <c r="I4103" s="12">
        <v>0</v>
      </c>
      <c r="J4103" s="11"/>
      <c r="K4103" s="12">
        <v>0</v>
      </c>
      <c r="L4103" s="10" t="str">
        <f t="shared" si="322"/>
        <v>AE dialoghi di tempo fiducia e cura episodi 2-3-4</v>
      </c>
      <c r="M4103" s="10" t="str">
        <f t="shared" si="323"/>
        <v>nicoletta.vozza@crm.otsuka-europe.com</v>
      </c>
      <c r="N4103" s="13">
        <v>46181.338009259256</v>
      </c>
      <c r="O4103" s="14" t="str">
        <f>HYPERLINK("https://otsuka-europe-crm.veevavault.com/ui/#object/email_activity__v/V8C00000003O621", "EN-002090177")</f>
        <v>EN-002090177</v>
      </c>
    </row>
    <row r="4104" spans="1:15" ht="32" x14ac:dyDescent="0.2">
      <c r="A4104" s="7" t="str">
        <f>HYPERLINK("https://otsuka-europe-crm.veevavault.com/ui/#object/account__v/V4TZ06G6O71SAM3", "GUGLIELMO FORNASERO")</f>
        <v>GUGLIELMO FORNASERO</v>
      </c>
      <c r="B4104" s="7" t="str">
        <f t="shared" si="320"/>
        <v>IT</v>
      </c>
      <c r="C4104" s="8" t="s">
        <v>44</v>
      </c>
      <c r="D4104" s="9" t="str">
        <f t="shared" si="321"/>
        <v>AE dialoghi di tempo fiducia e cura episodi 2-3-4</v>
      </c>
      <c r="E4104" s="10" t="str">
        <f>HYPERLINK("https://otsuka-europe-crm.veevavault.com/ui/#object/sent_email__v/VBL00000002P408", "SE-001433078")</f>
        <v>SE-001433078</v>
      </c>
      <c r="F4104" s="11"/>
      <c r="G4104" s="12">
        <v>0</v>
      </c>
      <c r="H4104" s="12">
        <v>0</v>
      </c>
      <c r="I4104" s="12">
        <v>0</v>
      </c>
      <c r="J4104" s="11"/>
      <c r="K4104" s="12">
        <v>0</v>
      </c>
      <c r="L4104" s="10" t="str">
        <f t="shared" si="322"/>
        <v>AE dialoghi di tempo fiducia e cura episodi 2-3-4</v>
      </c>
      <c r="M4104" s="10" t="str">
        <f t="shared" si="323"/>
        <v>nicoletta.vozza@crm.otsuka-europe.com</v>
      </c>
      <c r="N4104" s="13">
        <v>46181.338009259256</v>
      </c>
      <c r="O4104" s="14" t="str">
        <f>HYPERLINK("https://otsuka-europe-crm.veevavault.com/ui/#object/email_activity__v/V8C00000003P572", "EN-002090827")</f>
        <v>EN-002090827</v>
      </c>
    </row>
    <row r="4105" spans="1:15" ht="32" x14ac:dyDescent="0.2">
      <c r="A4105" s="7" t="str">
        <f>HYPERLINK("https://otsuka-europe-crm.veevavault.com/ui/#object/account__v/V4TZ025E83EATFL", "GUIDO CEREDA")</f>
        <v>GUIDO CEREDA</v>
      </c>
      <c r="B4105" s="7" t="str">
        <f t="shared" si="320"/>
        <v>IT</v>
      </c>
      <c r="C4105" s="8" t="s">
        <v>44</v>
      </c>
      <c r="D4105" s="9" t="str">
        <f t="shared" si="321"/>
        <v>AE dialoghi di tempo fiducia e cura episodi 2-3-4</v>
      </c>
      <c r="E4105" s="10" t="str">
        <f>HYPERLINK("https://otsuka-europe-crm.veevavault.com/ui/#object/sent_email__v/VBL00000002P409", "SE-001433079")</f>
        <v>SE-001433079</v>
      </c>
      <c r="F4105" s="11"/>
      <c r="G4105" s="12">
        <v>0</v>
      </c>
      <c r="H4105" s="12">
        <v>0</v>
      </c>
      <c r="I4105" s="12">
        <v>0</v>
      </c>
      <c r="J4105" s="11"/>
      <c r="K4105" s="12">
        <v>0</v>
      </c>
      <c r="L4105" s="10" t="str">
        <f t="shared" si="322"/>
        <v>AE dialoghi di tempo fiducia e cura episodi 2-3-4</v>
      </c>
      <c r="M4105" s="10" t="str">
        <f t="shared" si="323"/>
        <v>nicoletta.vozza@crm.otsuka-europe.com</v>
      </c>
      <c r="N4105" s="13">
        <v>46181.33798611111</v>
      </c>
      <c r="O4105" s="14" t="str">
        <f>HYPERLINK("https://otsuka-europe-crm.veevavault.com/ui/#object/email_activity__v/V8C00000003P184", "EN-002089584")</f>
        <v>EN-002089584</v>
      </c>
    </row>
    <row r="4106" spans="1:15" ht="32" x14ac:dyDescent="0.2">
      <c r="A4106" s="7" t="str">
        <f>HYPERLINK("https://otsuka-europe-crm.veevavault.com/ui/#object/account__v/V4TZ06G6O71S9F9", "GUIDO EMANUELLI")</f>
        <v>GUIDO EMANUELLI</v>
      </c>
      <c r="B4106" s="7" t="str">
        <f t="shared" si="320"/>
        <v>IT</v>
      </c>
      <c r="C4106" s="8" t="s">
        <v>44</v>
      </c>
      <c r="D4106" s="9" t="str">
        <f t="shared" si="321"/>
        <v>AE dialoghi di tempo fiducia e cura episodi 2-3-4</v>
      </c>
      <c r="E4106" s="10" t="str">
        <f>HYPERLINK("https://otsuka-europe-crm.veevavault.com/ui/#object/sent_email__v/VBL00000002P410", "SE-001433080")</f>
        <v>SE-001433080</v>
      </c>
      <c r="F4106" s="11"/>
      <c r="G4106" s="12">
        <v>0</v>
      </c>
      <c r="H4106" s="12">
        <v>0</v>
      </c>
      <c r="I4106" s="12">
        <v>0</v>
      </c>
      <c r="J4106" s="11"/>
      <c r="K4106" s="12">
        <v>0</v>
      </c>
      <c r="L4106" s="10" t="str">
        <f t="shared" si="322"/>
        <v>AE dialoghi di tempo fiducia e cura episodi 2-3-4</v>
      </c>
      <c r="M4106" s="10" t="str">
        <f t="shared" si="323"/>
        <v>nicoletta.vozza@crm.otsuka-europe.com</v>
      </c>
      <c r="N4106" s="13">
        <v>46181.338020833333</v>
      </c>
      <c r="O4106" s="14" t="str">
        <f>HYPERLINK("https://otsuka-europe-crm.veevavault.com/ui/#object/email_activity__v/V8C00000003O570", "EN-002090126")</f>
        <v>EN-002090126</v>
      </c>
    </row>
    <row r="4107" spans="1:15" ht="32" x14ac:dyDescent="0.2">
      <c r="A4107" s="7" t="str">
        <f>HYPERLINK("https://otsuka-europe-crm.veevavault.com/ui/#object/account__v/V4TZ06G6O71SAO1", "GUIDO GAMBINI")</f>
        <v>GUIDO GAMBINI</v>
      </c>
      <c r="B4107" s="7" t="str">
        <f t="shared" si="320"/>
        <v>IT</v>
      </c>
      <c r="C4107" s="8" t="s">
        <v>44</v>
      </c>
      <c r="D4107" s="9" t="str">
        <f t="shared" si="321"/>
        <v>AE dialoghi di tempo fiducia e cura episodi 2-3-4</v>
      </c>
      <c r="E4107" s="10" t="str">
        <f>HYPERLINK("https://otsuka-europe-crm.veevavault.com/ui/#object/sent_email__v/VBL00000002P411", "SE-001433081")</f>
        <v>SE-001433081</v>
      </c>
      <c r="F4107" s="11"/>
      <c r="G4107" s="12">
        <v>0</v>
      </c>
      <c r="H4107" s="12">
        <v>0</v>
      </c>
      <c r="I4107" s="12">
        <v>0</v>
      </c>
      <c r="J4107" s="11"/>
      <c r="K4107" s="12">
        <v>0</v>
      </c>
      <c r="L4107" s="10" t="str">
        <f t="shared" si="322"/>
        <v>AE dialoghi di tempo fiducia e cura episodi 2-3-4</v>
      </c>
      <c r="M4107" s="10" t="str">
        <f t="shared" si="323"/>
        <v>nicoletta.vozza@crm.otsuka-europe.com</v>
      </c>
      <c r="N4107" s="13">
        <v>46181.338009259256</v>
      </c>
      <c r="O4107" s="14" t="str">
        <f>HYPERLINK("https://otsuka-europe-crm.veevavault.com/ui/#object/email_activity__v/V8C00000003P575", "EN-002090830")</f>
        <v>EN-002090830</v>
      </c>
    </row>
    <row r="4108" spans="1:15" ht="32" x14ac:dyDescent="0.2">
      <c r="A4108" s="7" t="str">
        <f>HYPERLINK("https://otsuka-europe-crm.veevavault.com/ui/#object/account__v/V4TZ06G6O71SBST", "GUIDO NICOLA ORECCHIO")</f>
        <v>GUIDO NICOLA ORECCHIO</v>
      </c>
      <c r="B4108" s="7" t="str">
        <f t="shared" si="320"/>
        <v>IT</v>
      </c>
      <c r="C4108" s="8" t="s">
        <v>44</v>
      </c>
      <c r="D4108" s="9" t="str">
        <f t="shared" si="321"/>
        <v>AE dialoghi di tempo fiducia e cura episodi 2-3-4</v>
      </c>
      <c r="E4108" s="10" t="str">
        <f>HYPERLINK("https://otsuka-europe-crm.veevavault.com/ui/#object/sent_email__v/VBL00000002P412", "SE-001433082")</f>
        <v>SE-001433082</v>
      </c>
      <c r="F4108" s="11"/>
      <c r="G4108" s="12">
        <v>0</v>
      </c>
      <c r="H4108" s="12">
        <v>0</v>
      </c>
      <c r="I4108" s="12">
        <v>0</v>
      </c>
      <c r="J4108" s="11"/>
      <c r="K4108" s="12">
        <v>0</v>
      </c>
      <c r="L4108" s="10" t="str">
        <f t="shared" si="322"/>
        <v>AE dialoghi di tempo fiducia e cura episodi 2-3-4</v>
      </c>
      <c r="M4108" s="10" t="str">
        <f t="shared" si="323"/>
        <v>nicoletta.vozza@crm.otsuka-europe.com</v>
      </c>
      <c r="N4108" s="13">
        <v>46181.33803240741</v>
      </c>
      <c r="O4108" s="14" t="str">
        <f>HYPERLINK("https://otsuka-europe-crm.veevavault.com/ui/#object/email_activity__v/V8C00000003O880", "EN-002090483")</f>
        <v>EN-002090483</v>
      </c>
    </row>
    <row r="4109" spans="1:15" ht="32" x14ac:dyDescent="0.2">
      <c r="A4109" s="7" t="str">
        <f>HYPERLINK("https://otsuka-europe-crm.veevavault.com/ui/#object/account__v/V4TZ06G6OBIM4XR", "GUIDO NOSARI")</f>
        <v>GUIDO NOSARI</v>
      </c>
      <c r="B4109" s="7" t="str">
        <f t="shared" si="320"/>
        <v>IT</v>
      </c>
      <c r="C4109" s="8" t="s">
        <v>44</v>
      </c>
      <c r="D4109" s="9" t="str">
        <f t="shared" si="321"/>
        <v>AE dialoghi di tempo fiducia e cura episodi 2-3-4</v>
      </c>
      <c r="E4109" s="10" t="str">
        <f>HYPERLINK("https://otsuka-europe-crm.veevavault.com/ui/#object/sent_email__v/VBL00000002P413", "SE-001433083")</f>
        <v>SE-001433083</v>
      </c>
      <c r="F4109" s="11"/>
      <c r="G4109" s="12">
        <v>0</v>
      </c>
      <c r="H4109" s="12">
        <v>0</v>
      </c>
      <c r="I4109" s="12">
        <v>0</v>
      </c>
      <c r="J4109" s="11"/>
      <c r="K4109" s="12">
        <v>0</v>
      </c>
      <c r="L4109" s="10" t="str">
        <f t="shared" si="322"/>
        <v>AE dialoghi di tempo fiducia e cura episodi 2-3-4</v>
      </c>
      <c r="M4109" s="10" t="str">
        <f t="shared" si="323"/>
        <v>nicoletta.vozza@crm.otsuka-europe.com</v>
      </c>
      <c r="N4109" s="13">
        <v>46181.338009259256</v>
      </c>
      <c r="O4109" s="14" t="str">
        <f>HYPERLINK("https://otsuka-europe-crm.veevavault.com/ui/#object/email_activity__v/V8C00000003P262", "EN-002089840")</f>
        <v>EN-002089840</v>
      </c>
    </row>
    <row r="4110" spans="1:15" ht="32" x14ac:dyDescent="0.2">
      <c r="A4110" s="7" t="str">
        <f>HYPERLINK("https://otsuka-europe-crm.veevavault.com/ui/#object/account__v/V4TZ06G6OAAQKDY", "GUIDO TRABUCCHI")</f>
        <v>GUIDO TRABUCCHI</v>
      </c>
      <c r="B4110" s="7" t="str">
        <f t="shared" si="320"/>
        <v>IT</v>
      </c>
      <c r="C4110" s="8" t="s">
        <v>44</v>
      </c>
      <c r="D4110" s="9" t="str">
        <f t="shared" si="321"/>
        <v>AE dialoghi di tempo fiducia e cura episodi 2-3-4</v>
      </c>
      <c r="E4110" s="10" t="str">
        <f>HYPERLINK("https://otsuka-europe-crm.veevavault.com/ui/#object/sent_email__v/VBL00000002P414", "SE-001433084")</f>
        <v>SE-001433084</v>
      </c>
      <c r="F4110" s="11"/>
      <c r="G4110" s="12">
        <v>0</v>
      </c>
      <c r="H4110" s="12">
        <v>0</v>
      </c>
      <c r="I4110" s="12">
        <v>0</v>
      </c>
      <c r="J4110" s="11"/>
      <c r="K4110" s="12">
        <v>0</v>
      </c>
      <c r="L4110" s="10" t="str">
        <f t="shared" si="322"/>
        <v>AE dialoghi di tempo fiducia e cura episodi 2-3-4</v>
      </c>
      <c r="M4110" s="10" t="str">
        <f t="shared" si="323"/>
        <v>nicoletta.vozza@crm.otsuka-europe.com</v>
      </c>
      <c r="N4110" s="13">
        <v>46181.338055555556</v>
      </c>
      <c r="O4110" s="14" t="str">
        <f>HYPERLINK("https://otsuka-europe-crm.veevavault.com/ui/#object/email_activity__v/V8C00000003Q034", "EN-002091000")</f>
        <v>EN-002091000</v>
      </c>
    </row>
    <row r="4111" spans="1:15" ht="32" x14ac:dyDescent="0.2">
      <c r="A4111" s="7" t="str">
        <f>HYPERLINK("https://otsuka-europe-crm.veevavault.com/ui/#object/account__v/V4TZ06G6O71SAME", "HELGA MARIA FOTI")</f>
        <v>HELGA MARIA FOTI</v>
      </c>
      <c r="B4111" s="7" t="str">
        <f t="shared" si="320"/>
        <v>IT</v>
      </c>
      <c r="C4111" s="8" t="s">
        <v>44</v>
      </c>
      <c r="D4111" s="9" t="str">
        <f t="shared" si="321"/>
        <v>AE dialoghi di tempo fiducia e cura episodi 2-3-4</v>
      </c>
      <c r="E4111" s="10" t="str">
        <f>HYPERLINK("https://otsuka-europe-crm.veevavault.com/ui/#object/sent_email__v/VBL00000002P415", "SE-001433085")</f>
        <v>SE-001433085</v>
      </c>
      <c r="F4111" s="11"/>
      <c r="G4111" s="12">
        <v>0</v>
      </c>
      <c r="H4111" s="12">
        <v>0</v>
      </c>
      <c r="I4111" s="12">
        <v>0</v>
      </c>
      <c r="J4111" s="11"/>
      <c r="K4111" s="12">
        <v>0</v>
      </c>
      <c r="L4111" s="10" t="str">
        <f t="shared" si="322"/>
        <v>AE dialoghi di tempo fiducia e cura episodi 2-3-4</v>
      </c>
      <c r="M4111" s="10" t="str">
        <f t="shared" si="323"/>
        <v>nicoletta.vozza@crm.otsuka-europe.com</v>
      </c>
      <c r="N4111" s="13">
        <v>46181.33797453704</v>
      </c>
      <c r="O4111" s="14" t="str">
        <f>HYPERLINK("https://otsuka-europe-crm.veevavault.com/ui/#object/email_activity__v/V8C00000003P430", "EN-002090637")</f>
        <v>EN-002090637</v>
      </c>
    </row>
    <row r="4112" spans="1:15" ht="32" x14ac:dyDescent="0.2">
      <c r="A4112" s="7" t="str">
        <f>HYPERLINK("https://otsuka-europe-crm.veevavault.com/ui/#object/account__v/V4TZ06G6O71SA56", "IDA BONANNO")</f>
        <v>IDA BONANNO</v>
      </c>
      <c r="B4112" s="7" t="str">
        <f t="shared" si="320"/>
        <v>IT</v>
      </c>
      <c r="C4112" s="8" t="s">
        <v>44</v>
      </c>
      <c r="D4112" s="9" t="str">
        <f t="shared" si="321"/>
        <v>AE dialoghi di tempo fiducia e cura episodi 2-3-4</v>
      </c>
      <c r="E4112" s="10" t="str">
        <f>HYPERLINK("https://otsuka-europe-crm.veevavault.com/ui/#object/sent_email__v/VBL00000002P416", "SE-001433086")</f>
        <v>SE-001433086</v>
      </c>
      <c r="F4112" s="11"/>
      <c r="G4112" s="12">
        <v>0</v>
      </c>
      <c r="H4112" s="12">
        <v>0</v>
      </c>
      <c r="I4112" s="12">
        <v>0</v>
      </c>
      <c r="J4112" s="11"/>
      <c r="K4112" s="12">
        <v>0</v>
      </c>
      <c r="L4112" s="10" t="str">
        <f t="shared" si="322"/>
        <v>AE dialoghi di tempo fiducia e cura episodi 2-3-4</v>
      </c>
      <c r="M4112" s="10" t="str">
        <f t="shared" si="323"/>
        <v>nicoletta.vozza@crm.otsuka-europe.com</v>
      </c>
      <c r="N4112" s="13">
        <v>46181.337997685187</v>
      </c>
      <c r="O4112" s="14" t="str">
        <f>HYPERLINK("https://otsuka-europe-crm.veevavault.com/ui/#object/email_activity__v/V8C00000003O984", "EN-002090733")</f>
        <v>EN-002090733</v>
      </c>
    </row>
    <row r="4113" spans="1:15" ht="32" x14ac:dyDescent="0.2">
      <c r="A4113" s="7" t="str">
        <f>HYPERLINK("https://otsuka-europe-crm.veevavault.com/ui/#object/account__v/V4TZ06G6O71SBCA", "IGINIA MANCINELLI")</f>
        <v>IGINIA MANCINELLI</v>
      </c>
      <c r="B4113" s="7" t="str">
        <f t="shared" si="320"/>
        <v>IT</v>
      </c>
      <c r="C4113" s="8" t="s">
        <v>44</v>
      </c>
      <c r="D4113" s="9" t="str">
        <f t="shared" si="321"/>
        <v>AE dialoghi di tempo fiducia e cura episodi 2-3-4</v>
      </c>
      <c r="E4113" s="10" t="str">
        <f>HYPERLINK("https://otsuka-europe-crm.veevavault.com/ui/#object/sent_email__v/VBL00000002P417", "SE-001433087")</f>
        <v>SE-001433087</v>
      </c>
      <c r="F4113" s="11"/>
      <c r="G4113" s="12">
        <v>0</v>
      </c>
      <c r="H4113" s="12">
        <v>0</v>
      </c>
      <c r="I4113" s="12">
        <v>0</v>
      </c>
      <c r="J4113" s="11"/>
      <c r="K4113" s="12">
        <v>0</v>
      </c>
      <c r="L4113" s="10" t="str">
        <f t="shared" si="322"/>
        <v>AE dialoghi di tempo fiducia e cura episodi 2-3-4</v>
      </c>
      <c r="M4113" s="10" t="str">
        <f t="shared" si="323"/>
        <v>nicoletta.vozza@crm.otsuka-europe.com</v>
      </c>
      <c r="N4113" s="13">
        <v>46181.338020833333</v>
      </c>
      <c r="O4113" s="14" t="str">
        <f>HYPERLINK("https://otsuka-europe-crm.veevavault.com/ui/#object/email_activity__v/V8C00000003Q100", "EN-002091165")</f>
        <v>EN-002091165</v>
      </c>
    </row>
    <row r="4114" spans="1:15" ht="32" x14ac:dyDescent="0.2">
      <c r="A4114" s="7" t="str">
        <f>HYPERLINK("https://otsuka-europe-crm.veevavault.com/ui/#object/account__v/V4TZ06G6O80L9VB", "IGOR BERTOCCI")</f>
        <v>IGOR BERTOCCI</v>
      </c>
      <c r="B4114" s="7" t="str">
        <f t="shared" si="320"/>
        <v>IT</v>
      </c>
      <c r="C4114" s="8" t="s">
        <v>44</v>
      </c>
      <c r="D4114" s="9" t="str">
        <f t="shared" si="321"/>
        <v>AE dialoghi di tempo fiducia e cura episodi 2-3-4</v>
      </c>
      <c r="E4114" s="10" t="str">
        <f>HYPERLINK("https://otsuka-europe-crm.veevavault.com/ui/#object/sent_email__v/VBL00000002P418", "SE-001433088")</f>
        <v>SE-001433088</v>
      </c>
      <c r="F4114" s="11"/>
      <c r="G4114" s="12">
        <v>0</v>
      </c>
      <c r="H4114" s="12">
        <v>0</v>
      </c>
      <c r="I4114" s="12">
        <v>0</v>
      </c>
      <c r="J4114" s="11"/>
      <c r="K4114" s="12">
        <v>0</v>
      </c>
      <c r="L4114" s="10" t="str">
        <f t="shared" si="322"/>
        <v>AE dialoghi di tempo fiducia e cura episodi 2-3-4</v>
      </c>
      <c r="M4114" s="10" t="str">
        <f t="shared" si="323"/>
        <v>nicoletta.vozza@crm.otsuka-europe.com</v>
      </c>
      <c r="N4114" s="13">
        <v>46181.33798611111</v>
      </c>
      <c r="O4114" s="14" t="str">
        <f>HYPERLINK("https://otsuka-europe-crm.veevavault.com/ui/#object/email_activity__v/V8C00000003O236", "EN-002089713")</f>
        <v>EN-002089713</v>
      </c>
    </row>
    <row r="4115" spans="1:15" ht="32" x14ac:dyDescent="0.2">
      <c r="A4115" s="7" t="str">
        <f>HYPERLINK("https://otsuka-europe-crm.veevavault.com/ui/#object/account__v/V4TZ06G6OCELOZN", "ILARIA ADULTI")</f>
        <v>ILARIA ADULTI</v>
      </c>
      <c r="B4115" s="7" t="str">
        <f t="shared" si="320"/>
        <v>IT</v>
      </c>
      <c r="C4115" s="8" t="s">
        <v>44</v>
      </c>
      <c r="D4115" s="9" t="str">
        <f t="shared" si="321"/>
        <v>AE dialoghi di tempo fiducia e cura episodi 2-3-4</v>
      </c>
      <c r="E4115" s="10" t="str">
        <f>HYPERLINK("https://otsuka-europe-crm.veevavault.com/ui/#object/sent_email__v/VBL00000002P419", "SE-001433089")</f>
        <v>SE-001433089</v>
      </c>
      <c r="F4115" s="11"/>
      <c r="G4115" s="12">
        <v>0</v>
      </c>
      <c r="H4115" s="12">
        <v>0</v>
      </c>
      <c r="I4115" s="12">
        <v>0</v>
      </c>
      <c r="J4115" s="11"/>
      <c r="K4115" s="12">
        <v>0</v>
      </c>
      <c r="L4115" s="10" t="str">
        <f t="shared" si="322"/>
        <v>AE dialoghi di tempo fiducia e cura episodi 2-3-4</v>
      </c>
      <c r="M4115" s="10" t="str">
        <f t="shared" si="323"/>
        <v>nicoletta.vozza@crm.otsuka-europe.com</v>
      </c>
      <c r="N4115" s="13">
        <v>46181.338090277779</v>
      </c>
      <c r="O4115" s="14" t="str">
        <f>HYPERLINK("https://otsuka-europe-crm.veevavault.com/ui/#object/email_activity__v/V8C00000003P489", "EN-002090667")</f>
        <v>EN-002090667</v>
      </c>
    </row>
    <row r="4116" spans="1:15" ht="32" x14ac:dyDescent="0.2">
      <c r="A4116" s="7" t="str">
        <f>HYPERLINK("https://otsuka-europe-crm.veevavault.com/ui/#object/account__v/V4TZ06G6O71SAZ9", "ILARIA CAPECCI")</f>
        <v>ILARIA CAPECCI</v>
      </c>
      <c r="B4116" s="7" t="str">
        <f t="shared" si="320"/>
        <v>IT</v>
      </c>
      <c r="C4116" s="8" t="s">
        <v>44</v>
      </c>
      <c r="D4116" s="9" t="str">
        <f t="shared" si="321"/>
        <v>AE dialoghi di tempo fiducia e cura episodi 2-3-4</v>
      </c>
      <c r="E4116" s="10" t="str">
        <f>HYPERLINK("https://otsuka-europe-crm.veevavault.com/ui/#object/sent_email__v/VBL00000002P420", "SE-001433090")</f>
        <v>SE-001433090</v>
      </c>
      <c r="F4116" s="11"/>
      <c r="G4116" s="12">
        <v>0</v>
      </c>
      <c r="H4116" s="12">
        <v>0</v>
      </c>
      <c r="I4116" s="12">
        <v>0</v>
      </c>
      <c r="J4116" s="11"/>
      <c r="K4116" s="12">
        <v>0</v>
      </c>
      <c r="L4116" s="10" t="str">
        <f t="shared" si="322"/>
        <v>AE dialoghi di tempo fiducia e cura episodi 2-3-4</v>
      </c>
      <c r="M4116" s="10" t="str">
        <f t="shared" si="323"/>
        <v>nicoletta.vozza@crm.otsuka-europe.com</v>
      </c>
      <c r="N4116" s="13">
        <v>46181.339050925926</v>
      </c>
      <c r="O4116" s="14" t="str">
        <f>HYPERLINK("https://otsuka-europe-crm.veevavault.com/ui/#object/email_activity__v/V8C00000003Q219", "EN-002091325")</f>
        <v>EN-002091325</v>
      </c>
    </row>
    <row r="4117" spans="1:15" ht="32" x14ac:dyDescent="0.2">
      <c r="A4117" s="7" t="str">
        <f>HYPERLINK("https://otsuka-europe-crm.veevavault.com/ui/#object/account__v/V4TZ04ASG8FTGRO", "ILARIA CONCAS")</f>
        <v>ILARIA CONCAS</v>
      </c>
      <c r="B4117" s="7" t="str">
        <f t="shared" si="320"/>
        <v>IT</v>
      </c>
      <c r="C4117" s="8" t="s">
        <v>44</v>
      </c>
      <c r="D4117" s="9" t="str">
        <f t="shared" si="321"/>
        <v>AE dialoghi di tempo fiducia e cura episodi 2-3-4</v>
      </c>
      <c r="E4117" s="10" t="str">
        <f>HYPERLINK("https://otsuka-europe-crm.veevavault.com/ui/#object/sent_email__v/VBL00000002P421", "SE-001433091")</f>
        <v>SE-001433091</v>
      </c>
      <c r="F4117" s="11"/>
      <c r="G4117" s="12">
        <v>0</v>
      </c>
      <c r="H4117" s="12">
        <v>0</v>
      </c>
      <c r="I4117" s="12">
        <v>0</v>
      </c>
      <c r="J4117" s="11"/>
      <c r="K4117" s="12">
        <v>0</v>
      </c>
      <c r="L4117" s="10" t="str">
        <f t="shared" si="322"/>
        <v>AE dialoghi di tempo fiducia e cura episodi 2-3-4</v>
      </c>
      <c r="M4117" s="10" t="str">
        <f t="shared" si="323"/>
        <v>nicoletta.vozza@crm.otsuka-europe.com</v>
      </c>
      <c r="N4117" s="13">
        <v>46181.338020833333</v>
      </c>
      <c r="O4117" s="14" t="str">
        <f>HYPERLINK("https://otsuka-europe-crm.veevavault.com/ui/#object/email_activity__v/V8C00000003P798", "EN-002091096")</f>
        <v>EN-002091096</v>
      </c>
    </row>
    <row r="4118" spans="1:15" ht="16" x14ac:dyDescent="0.2">
      <c r="A4118" s="17" t="str">
        <f>HYPERLINK("https://otsuka-europe-crm.veevavault.com/ui/#object/account__v/V4TZ06G6O71S9CE", "ILARIA CUOMO")</f>
        <v>ILARIA CUOMO</v>
      </c>
      <c r="B4118" s="17" t="str">
        <f t="shared" si="320"/>
        <v>IT</v>
      </c>
      <c r="C4118" s="20" t="s">
        <v>44</v>
      </c>
      <c r="D4118" s="21" t="str">
        <f t="shared" si="321"/>
        <v>AE dialoghi di tempo fiducia e cura episodi 2-3-4</v>
      </c>
      <c r="E4118" s="22" t="str">
        <f>HYPERLINK("https://otsuka-europe-crm.veevavault.com/ui/#object/sent_email__v/VBL00000002P422", "SE-001433092")</f>
        <v>SE-001433092</v>
      </c>
      <c r="F4118" s="23">
        <v>46183.304282407407</v>
      </c>
      <c r="G4118" s="24">
        <v>1</v>
      </c>
      <c r="H4118" s="24">
        <v>1</v>
      </c>
      <c r="I4118" s="24">
        <v>1</v>
      </c>
      <c r="J4118" s="23">
        <v>46182.309386574074</v>
      </c>
      <c r="K4118" s="24">
        <v>1</v>
      </c>
      <c r="L4118" s="22" t="str">
        <f t="shared" si="322"/>
        <v>AE dialoghi di tempo fiducia e cura episodi 2-3-4</v>
      </c>
      <c r="M4118" s="22" t="str">
        <f t="shared" si="323"/>
        <v>nicoletta.vozza@crm.otsuka-europe.com</v>
      </c>
      <c r="N4118" s="23">
        <v>46181.337997685187</v>
      </c>
      <c r="O4118" s="14" t="str">
        <f>HYPERLINK("https://otsuka-europe-crm.veevavault.com/ui/#object/email_activity__v/V8C00000003O754", "EN-002090310")</f>
        <v>EN-002090310</v>
      </c>
    </row>
    <row r="4119" spans="1:15" ht="16" x14ac:dyDescent="0.2">
      <c r="A4119" s="18"/>
      <c r="B4119" s="18"/>
      <c r="C4119" s="18"/>
      <c r="D4119" s="18"/>
      <c r="E4119" s="18"/>
      <c r="F4119" s="18"/>
      <c r="G4119" s="18"/>
      <c r="H4119" s="18"/>
      <c r="I4119" s="18"/>
      <c r="J4119" s="18"/>
      <c r="K4119" s="18"/>
      <c r="L4119" s="18"/>
      <c r="M4119" s="18"/>
      <c r="N4119" s="18"/>
      <c r="O4119" s="14" t="str">
        <f>HYPERLINK("https://otsuka-europe-crm.veevavault.com/ui/#object/email_activity__v/V8C00000003Q709", "EN-002092257")</f>
        <v>EN-002092257</v>
      </c>
    </row>
    <row r="4120" spans="1:15" ht="16" x14ac:dyDescent="0.2">
      <c r="A4120" s="18"/>
      <c r="B4120" s="18"/>
      <c r="C4120" s="18"/>
      <c r="D4120" s="18"/>
      <c r="E4120" s="18"/>
      <c r="F4120" s="18"/>
      <c r="G4120" s="18"/>
      <c r="H4120" s="18"/>
      <c r="I4120" s="18"/>
      <c r="J4120" s="18"/>
      <c r="K4120" s="18"/>
      <c r="L4120" s="18"/>
      <c r="M4120" s="18"/>
      <c r="N4120" s="18"/>
      <c r="O4120" s="14" t="str">
        <f>HYPERLINK("https://otsuka-europe-crm.veevavault.com/ui/#object/email_activity__v/V8C00000003Q748", "EN-002092324")</f>
        <v>EN-002092324</v>
      </c>
    </row>
    <row r="4121" spans="1:15" ht="16" x14ac:dyDescent="0.2">
      <c r="A4121" s="18"/>
      <c r="B4121" s="18"/>
      <c r="C4121" s="18"/>
      <c r="D4121" s="18"/>
      <c r="E4121" s="18"/>
      <c r="F4121" s="18"/>
      <c r="G4121" s="18"/>
      <c r="H4121" s="18"/>
      <c r="I4121" s="18"/>
      <c r="J4121" s="18"/>
      <c r="K4121" s="18"/>
      <c r="L4121" s="18"/>
      <c r="M4121" s="18"/>
      <c r="N4121" s="18"/>
      <c r="O4121" s="14" t="str">
        <f>HYPERLINK("https://otsuka-europe-crm.veevavault.com/ui/#object/email_activity__v/V8C00000003R339", "EN-002092325")</f>
        <v>EN-002092325</v>
      </c>
    </row>
    <row r="4122" spans="1:15" ht="16" x14ac:dyDescent="0.2">
      <c r="A4122" s="19"/>
      <c r="B4122" s="19"/>
      <c r="C4122" s="19"/>
      <c r="D4122" s="19"/>
      <c r="E4122" s="19"/>
      <c r="F4122" s="19"/>
      <c r="G4122" s="19"/>
      <c r="H4122" s="19"/>
      <c r="I4122" s="19"/>
      <c r="J4122" s="19"/>
      <c r="K4122" s="19"/>
      <c r="L4122" s="19"/>
      <c r="M4122" s="19"/>
      <c r="N4122" s="19"/>
      <c r="O4122" s="14" t="str">
        <f>HYPERLINK("https://otsuka-europe-crm.veevavault.com/ui/#object/email_activity__v/V8C00000003S481", "EN-002093861")</f>
        <v>EN-002093861</v>
      </c>
    </row>
    <row r="4123" spans="1:15" ht="32" x14ac:dyDescent="0.2">
      <c r="A4123" s="7" t="str">
        <f>HYPERLINK("https://otsuka-europe-crm.veevavault.com/ui/#object/account__v/V4TZ06G6O9UYFRE", "ILARIA DI BERNARDO")</f>
        <v>ILARIA DI BERNARDO</v>
      </c>
      <c r="B4123" s="7" t="str">
        <f t="shared" ref="B4123:B4136" si="324">HYPERLINK("https://otsuka-europe-crm.veevavault.com/ui/#object/vcountry__v/VENZ000004SONFQ", "IT")</f>
        <v>IT</v>
      </c>
      <c r="C4123" s="8" t="s">
        <v>44</v>
      </c>
      <c r="D4123" s="9" t="str">
        <f t="shared" ref="D4123:D4136" si="325">HYPERLINK("https://otsuka-europe-crm.veevavault.com/ui/#object/approved_document__v/V5O000000018003", "AE dialoghi di tempo fiducia e cura episodi 2-3-4")</f>
        <v>AE dialoghi di tempo fiducia e cura episodi 2-3-4</v>
      </c>
      <c r="E4123" s="10" t="str">
        <f>HYPERLINK("https://otsuka-europe-crm.veevavault.com/ui/#object/sent_email__v/VBL00000002P423", "SE-001433093")</f>
        <v>SE-001433093</v>
      </c>
      <c r="F4123" s="11"/>
      <c r="G4123" s="12">
        <v>0</v>
      </c>
      <c r="H4123" s="12">
        <v>0</v>
      </c>
      <c r="I4123" s="12">
        <v>0</v>
      </c>
      <c r="J4123" s="11"/>
      <c r="K4123" s="12">
        <v>0</v>
      </c>
      <c r="L4123" s="10" t="str">
        <f t="shared" ref="L4123:L4136" si="326">HYPERLINK("https://otsuka-europe-crm.veevavault.com/ui/#object/approved_document__v/V5O000000018003", "AE dialoghi di tempo fiducia e cura episodi 2-3-4")</f>
        <v>AE dialoghi di tempo fiducia e cura episodi 2-3-4</v>
      </c>
      <c r="M4123" s="10" t="str">
        <f t="shared" ref="M4123:M4136" si="327">HYPERLINK("mailto:nicoletta.vozza@crm.otsuka-europe.com", "nicoletta.vozza@crm.otsuka-europe.com")</f>
        <v>nicoletta.vozza@crm.otsuka-europe.com</v>
      </c>
      <c r="N4123" s="13">
        <v>46181.338090277779</v>
      </c>
      <c r="O4123" s="14" t="str">
        <f>HYPERLINK("https://otsuka-europe-crm.veevavault.com/ui/#object/email_activity__v/V8C00000003O956", "EN-002090616")</f>
        <v>EN-002090616</v>
      </c>
    </row>
    <row r="4124" spans="1:15" ht="32" x14ac:dyDescent="0.2">
      <c r="A4124" s="7" t="str">
        <f>HYPERLINK("https://otsuka-europe-crm.veevavault.com/ui/#object/account__v/V4TZ06G6O71SCOL", "ILARIA HELENE MARIA VALLET")</f>
        <v>ILARIA HELENE MARIA VALLET</v>
      </c>
      <c r="B4124" s="7" t="str">
        <f t="shared" si="324"/>
        <v>IT</v>
      </c>
      <c r="C4124" s="8" t="s">
        <v>44</v>
      </c>
      <c r="D4124" s="9" t="str">
        <f t="shared" si="325"/>
        <v>AE dialoghi di tempo fiducia e cura episodi 2-3-4</v>
      </c>
      <c r="E4124" s="10" t="str">
        <f>HYPERLINK("https://otsuka-europe-crm.veevavault.com/ui/#object/sent_email__v/VBL00000002P424", "SE-001433094")</f>
        <v>SE-001433094</v>
      </c>
      <c r="F4124" s="11"/>
      <c r="G4124" s="12">
        <v>0</v>
      </c>
      <c r="H4124" s="12">
        <v>0</v>
      </c>
      <c r="I4124" s="12">
        <v>0</v>
      </c>
      <c r="J4124" s="11"/>
      <c r="K4124" s="12">
        <v>0</v>
      </c>
      <c r="L4124" s="10" t="str">
        <f t="shared" si="326"/>
        <v>AE dialoghi di tempo fiducia e cura episodi 2-3-4</v>
      </c>
      <c r="M4124" s="10" t="str">
        <f t="shared" si="327"/>
        <v>nicoletta.vozza@crm.otsuka-europe.com</v>
      </c>
      <c r="N4124" s="13">
        <v>46181.337962962964</v>
      </c>
      <c r="O4124" s="14" t="str">
        <f>HYPERLINK("https://otsuka-europe-crm.veevavault.com/ui/#object/email_activity__v/V8C00000003O192", "EN-002089629")</f>
        <v>EN-002089629</v>
      </c>
    </row>
    <row r="4125" spans="1:15" ht="32" x14ac:dyDescent="0.2">
      <c r="A4125" s="7" t="str">
        <f>HYPERLINK("https://otsuka-europe-crm.veevavault.com/ui/#object/account__v/V4TZ025E87O233Y", "ILARIA TAGLIABUE")</f>
        <v>ILARIA TAGLIABUE</v>
      </c>
      <c r="B4125" s="7" t="str">
        <f t="shared" si="324"/>
        <v>IT</v>
      </c>
      <c r="C4125" s="8" t="s">
        <v>44</v>
      </c>
      <c r="D4125" s="9" t="str">
        <f t="shared" si="325"/>
        <v>AE dialoghi di tempo fiducia e cura episodi 2-3-4</v>
      </c>
      <c r="E4125" s="10" t="str">
        <f>HYPERLINK("https://otsuka-europe-crm.veevavault.com/ui/#object/sent_email__v/VBL00000002P425", "SE-001433095")</f>
        <v>SE-001433095</v>
      </c>
      <c r="F4125" s="11"/>
      <c r="G4125" s="12">
        <v>0</v>
      </c>
      <c r="H4125" s="12">
        <v>0</v>
      </c>
      <c r="I4125" s="12">
        <v>0</v>
      </c>
      <c r="J4125" s="11"/>
      <c r="K4125" s="12">
        <v>0</v>
      </c>
      <c r="L4125" s="10" t="str">
        <f t="shared" si="326"/>
        <v>AE dialoghi di tempo fiducia e cura episodi 2-3-4</v>
      </c>
      <c r="M4125" s="10" t="str">
        <f t="shared" si="327"/>
        <v>nicoletta.vozza@crm.otsuka-europe.com</v>
      </c>
      <c r="N4125" s="13">
        <v>46181.33803240741</v>
      </c>
      <c r="O4125" s="14" t="str">
        <f>HYPERLINK("https://otsuka-europe-crm.veevavault.com/ui/#object/email_activity__v/V8C00000003O886", "EN-002090489")</f>
        <v>EN-002090489</v>
      </c>
    </row>
    <row r="4126" spans="1:15" ht="32" x14ac:dyDescent="0.2">
      <c r="A4126" s="7" t="str">
        <f>HYPERLINK("https://otsuka-europe-crm.veevavault.com/ui/#object/account__v/V4TZ025E86VQ5QZ", "ILEANA TIOLI")</f>
        <v>ILEANA TIOLI</v>
      </c>
      <c r="B4126" s="7" t="str">
        <f t="shared" si="324"/>
        <v>IT</v>
      </c>
      <c r="C4126" s="8" t="s">
        <v>44</v>
      </c>
      <c r="D4126" s="9" t="str">
        <f t="shared" si="325"/>
        <v>AE dialoghi di tempo fiducia e cura episodi 2-3-4</v>
      </c>
      <c r="E4126" s="10" t="str">
        <f>HYPERLINK("https://otsuka-europe-crm.veevavault.com/ui/#object/sent_email__v/VBL00000002P426", "SE-001433096")</f>
        <v>SE-001433096</v>
      </c>
      <c r="F4126" s="11"/>
      <c r="G4126" s="12">
        <v>0</v>
      </c>
      <c r="H4126" s="12">
        <v>0</v>
      </c>
      <c r="I4126" s="12">
        <v>0</v>
      </c>
      <c r="J4126" s="11"/>
      <c r="K4126" s="12">
        <v>0</v>
      </c>
      <c r="L4126" s="10" t="str">
        <f t="shared" si="326"/>
        <v>AE dialoghi di tempo fiducia e cura episodi 2-3-4</v>
      </c>
      <c r="M4126" s="10" t="str">
        <f t="shared" si="327"/>
        <v>nicoletta.vozza@crm.otsuka-europe.com</v>
      </c>
      <c r="N4126" s="13">
        <v>46181.338101851848</v>
      </c>
      <c r="O4126" s="14" t="str">
        <f>HYPERLINK("https://otsuka-europe-crm.veevavault.com/ui/#object/email_activity__v/V8C00000003O765", "EN-002090321")</f>
        <v>EN-002090321</v>
      </c>
    </row>
    <row r="4127" spans="1:15" ht="32" x14ac:dyDescent="0.2">
      <c r="A4127" s="7" t="str">
        <f>HYPERLINK("https://otsuka-europe-crm.veevavault.com/ui/#object/account__v/V4TZ06G6O71S9Z0", "IMMACOLATA AVERSA")</f>
        <v>IMMACOLATA AVERSA</v>
      </c>
      <c r="B4127" s="7" t="str">
        <f t="shared" si="324"/>
        <v>IT</v>
      </c>
      <c r="C4127" s="8" t="s">
        <v>44</v>
      </c>
      <c r="D4127" s="9" t="str">
        <f t="shared" si="325"/>
        <v>AE dialoghi di tempo fiducia e cura episodi 2-3-4</v>
      </c>
      <c r="E4127" s="10" t="str">
        <f>HYPERLINK("https://otsuka-europe-crm.veevavault.com/ui/#object/sent_email__v/VBL00000002P427", "SE-001433097")</f>
        <v>SE-001433097</v>
      </c>
      <c r="F4127" s="11"/>
      <c r="G4127" s="12">
        <v>0</v>
      </c>
      <c r="H4127" s="12">
        <v>0</v>
      </c>
      <c r="I4127" s="12">
        <v>0</v>
      </c>
      <c r="J4127" s="11"/>
      <c r="K4127" s="12">
        <v>0</v>
      </c>
      <c r="L4127" s="10" t="str">
        <f t="shared" si="326"/>
        <v>AE dialoghi di tempo fiducia e cura episodi 2-3-4</v>
      </c>
      <c r="M4127" s="10" t="str">
        <f t="shared" si="327"/>
        <v>nicoletta.vozza@crm.otsuka-europe.com</v>
      </c>
      <c r="N4127" s="13">
        <v>46181.337962962964</v>
      </c>
      <c r="O4127" s="14" t="str">
        <f>HYPERLINK("https://otsuka-europe-crm.veevavault.com/ui/#object/email_activity__v/V8C00000003O309", "EN-002089786")</f>
        <v>EN-002089786</v>
      </c>
    </row>
    <row r="4128" spans="1:15" ht="32" x14ac:dyDescent="0.2">
      <c r="A4128" s="7" t="str">
        <f>HYPERLINK("https://otsuka-europe-crm.veevavault.com/ui/#object/account__v/V4TZ06G6O71YTWQ", "IOLANNA CHIARA CHIAPPINI")</f>
        <v>IOLANNA CHIARA CHIAPPINI</v>
      </c>
      <c r="B4128" s="7" t="str">
        <f t="shared" si="324"/>
        <v>IT</v>
      </c>
      <c r="C4128" s="8" t="s">
        <v>44</v>
      </c>
      <c r="D4128" s="9" t="str">
        <f t="shared" si="325"/>
        <v>AE dialoghi di tempo fiducia e cura episodi 2-3-4</v>
      </c>
      <c r="E4128" s="10" t="str">
        <f>HYPERLINK("https://otsuka-europe-crm.veevavault.com/ui/#object/sent_email__v/VBL00000002P428", "SE-001433098")</f>
        <v>SE-001433098</v>
      </c>
      <c r="F4128" s="11"/>
      <c r="G4128" s="12">
        <v>0</v>
      </c>
      <c r="H4128" s="12">
        <v>0</v>
      </c>
      <c r="I4128" s="12">
        <v>0</v>
      </c>
      <c r="J4128" s="11"/>
      <c r="K4128" s="12">
        <v>0</v>
      </c>
      <c r="L4128" s="10" t="str">
        <f t="shared" si="326"/>
        <v>AE dialoghi di tempo fiducia e cura episodi 2-3-4</v>
      </c>
      <c r="M4128" s="10" t="str">
        <f t="shared" si="327"/>
        <v>nicoletta.vozza@crm.otsuka-europe.com</v>
      </c>
      <c r="N4128" s="13">
        <v>46181.338067129633</v>
      </c>
      <c r="O4128" s="14" t="str">
        <f>HYPERLINK("https://otsuka-europe-crm.veevavault.com/ui/#object/email_activity__v/V8C00000003P820", "EN-002091118")</f>
        <v>EN-002091118</v>
      </c>
    </row>
    <row r="4129" spans="1:15" ht="32" x14ac:dyDescent="0.2">
      <c r="A4129" s="7" t="str">
        <f>HYPERLINK("https://otsuka-europe-crm.veevavault.com/ui/#object/account__v/V4TZ06G6O71SAEL", "IOLE D'ALESSANDRO")</f>
        <v>IOLE D'ALESSANDRO</v>
      </c>
      <c r="B4129" s="7" t="str">
        <f t="shared" si="324"/>
        <v>IT</v>
      </c>
      <c r="C4129" s="8" t="s">
        <v>44</v>
      </c>
      <c r="D4129" s="9" t="str">
        <f t="shared" si="325"/>
        <v>AE dialoghi di tempo fiducia e cura episodi 2-3-4</v>
      </c>
      <c r="E4129" s="10" t="str">
        <f>HYPERLINK("https://otsuka-europe-crm.veevavault.com/ui/#object/sent_email__v/VBL00000002P429", "SE-001433099")</f>
        <v>SE-001433099</v>
      </c>
      <c r="F4129" s="11"/>
      <c r="G4129" s="12">
        <v>0</v>
      </c>
      <c r="H4129" s="12">
        <v>0</v>
      </c>
      <c r="I4129" s="12">
        <v>0</v>
      </c>
      <c r="J4129" s="11"/>
      <c r="K4129" s="12">
        <v>0</v>
      </c>
      <c r="L4129" s="10" t="str">
        <f t="shared" si="326"/>
        <v>AE dialoghi di tempo fiducia e cura episodi 2-3-4</v>
      </c>
      <c r="M4129" s="10" t="str">
        <f t="shared" si="327"/>
        <v>nicoletta.vozza@crm.otsuka-europe.com</v>
      </c>
      <c r="N4129" s="13">
        <v>46181.337997685187</v>
      </c>
      <c r="O4129" s="14" t="str">
        <f>HYPERLINK("https://otsuka-europe-crm.veevavault.com/ui/#object/email_activity__v/V8C00000003P560", "EN-002090815")</f>
        <v>EN-002090815</v>
      </c>
    </row>
    <row r="4130" spans="1:15" ht="32" x14ac:dyDescent="0.2">
      <c r="A4130" s="7" t="str">
        <f>HYPERLINK("https://otsuka-europe-crm.veevavault.com/ui/#object/account__v/V4TZ06G6O71SCHJ", "IPPOLITA SORRENTINO")</f>
        <v>IPPOLITA SORRENTINO</v>
      </c>
      <c r="B4130" s="7" t="str">
        <f t="shared" si="324"/>
        <v>IT</v>
      </c>
      <c r="C4130" s="8" t="s">
        <v>44</v>
      </c>
      <c r="D4130" s="9" t="str">
        <f t="shared" si="325"/>
        <v>AE dialoghi di tempo fiducia e cura episodi 2-3-4</v>
      </c>
      <c r="E4130" s="10" t="str">
        <f>HYPERLINK("https://otsuka-europe-crm.veevavault.com/ui/#object/sent_email__v/VBL00000002P430", "SE-001433100")</f>
        <v>SE-001433100</v>
      </c>
      <c r="F4130" s="11"/>
      <c r="G4130" s="12">
        <v>0</v>
      </c>
      <c r="H4130" s="12">
        <v>0</v>
      </c>
      <c r="I4130" s="12">
        <v>0</v>
      </c>
      <c r="J4130" s="11"/>
      <c r="K4130" s="12">
        <v>0</v>
      </c>
      <c r="L4130" s="10" t="str">
        <f t="shared" si="326"/>
        <v>AE dialoghi di tempo fiducia e cura episodi 2-3-4</v>
      </c>
      <c r="M4130" s="10" t="str">
        <f t="shared" si="327"/>
        <v>nicoletta.vozza@crm.otsuka-europe.com</v>
      </c>
      <c r="N4130" s="13">
        <v>46181.338067129633</v>
      </c>
      <c r="O4130" s="14" t="str">
        <f>HYPERLINK("https://otsuka-europe-crm.veevavault.com/ui/#object/email_activity__v/V8C00000003P903", "EN-002091438")</f>
        <v>EN-002091438</v>
      </c>
    </row>
    <row r="4131" spans="1:15" ht="32" x14ac:dyDescent="0.2">
      <c r="A4131" s="7" t="str">
        <f>HYPERLINK("https://otsuka-europe-crm.veevavault.com/ui/#object/account__v/V4TZ06G6O71SBNU", "IRENE CARMELA NETTI")</f>
        <v>IRENE CARMELA NETTI</v>
      </c>
      <c r="B4131" s="7" t="str">
        <f t="shared" si="324"/>
        <v>IT</v>
      </c>
      <c r="C4131" s="8" t="s">
        <v>44</v>
      </c>
      <c r="D4131" s="9" t="str">
        <f t="shared" si="325"/>
        <v>AE dialoghi di tempo fiducia e cura episodi 2-3-4</v>
      </c>
      <c r="E4131" s="10" t="str">
        <f>HYPERLINK("https://otsuka-europe-crm.veevavault.com/ui/#object/sent_email__v/VBL00000002P431", "SE-001433101")</f>
        <v>SE-001433101</v>
      </c>
      <c r="F4131" s="11"/>
      <c r="G4131" s="12">
        <v>0</v>
      </c>
      <c r="H4131" s="12">
        <v>0</v>
      </c>
      <c r="I4131" s="12">
        <v>0</v>
      </c>
      <c r="J4131" s="11"/>
      <c r="K4131" s="12">
        <v>0</v>
      </c>
      <c r="L4131" s="10" t="str">
        <f t="shared" si="326"/>
        <v>AE dialoghi di tempo fiducia e cura episodi 2-3-4</v>
      </c>
      <c r="M4131" s="10" t="str">
        <f t="shared" si="327"/>
        <v>nicoletta.vozza@crm.otsuka-europe.com</v>
      </c>
      <c r="N4131" s="13">
        <v>46181.338020833333</v>
      </c>
      <c r="O4131" s="14" t="str">
        <f>HYPERLINK("https://otsuka-europe-crm.veevavault.com/ui/#object/email_activity__v/V8C00000003Q063", "EN-002091128")</f>
        <v>EN-002091128</v>
      </c>
    </row>
    <row r="4132" spans="1:15" ht="32" x14ac:dyDescent="0.2">
      <c r="A4132" s="7" t="str">
        <f>HYPERLINK("https://otsuka-europe-crm.veevavault.com/ui/#object/account__v/V4TZ04ASGC4GT6V", "IRENE CRISAFULLI")</f>
        <v>IRENE CRISAFULLI</v>
      </c>
      <c r="B4132" s="7" t="str">
        <f t="shared" si="324"/>
        <v>IT</v>
      </c>
      <c r="C4132" s="8" t="s">
        <v>44</v>
      </c>
      <c r="D4132" s="9" t="str">
        <f t="shared" si="325"/>
        <v>AE dialoghi di tempo fiducia e cura episodi 2-3-4</v>
      </c>
      <c r="E4132" s="10" t="str">
        <f>HYPERLINK("https://otsuka-europe-crm.veevavault.com/ui/#object/sent_email__v/VBL00000002P432", "SE-001433102")</f>
        <v>SE-001433102</v>
      </c>
      <c r="F4132" s="11"/>
      <c r="G4132" s="12">
        <v>0</v>
      </c>
      <c r="H4132" s="12">
        <v>0</v>
      </c>
      <c r="I4132" s="12">
        <v>0</v>
      </c>
      <c r="J4132" s="11"/>
      <c r="K4132" s="12">
        <v>0</v>
      </c>
      <c r="L4132" s="10" t="str">
        <f t="shared" si="326"/>
        <v>AE dialoghi di tempo fiducia e cura episodi 2-3-4</v>
      </c>
      <c r="M4132" s="10" t="str">
        <f t="shared" si="327"/>
        <v>nicoletta.vozza@crm.otsuka-europe.com</v>
      </c>
      <c r="N4132" s="13">
        <v>46181.33803240741</v>
      </c>
      <c r="O4132" s="14" t="str">
        <f>HYPERLINK("https://otsuka-europe-crm.veevavault.com/ui/#object/email_activity__v/V8C00000003O440", "EN-002089996")</f>
        <v>EN-002089996</v>
      </c>
    </row>
    <row r="4133" spans="1:15" ht="32" x14ac:dyDescent="0.2">
      <c r="A4133" s="7" t="str">
        <f>HYPERLINK("https://otsuka-europe-crm.veevavault.com/ui/#object/account__v/V4TZ025E87PRXKQ", "IRENE ESPA")</f>
        <v>IRENE ESPA</v>
      </c>
      <c r="B4133" s="7" t="str">
        <f t="shared" si="324"/>
        <v>IT</v>
      </c>
      <c r="C4133" s="8" t="s">
        <v>44</v>
      </c>
      <c r="D4133" s="9" t="str">
        <f t="shared" si="325"/>
        <v>AE dialoghi di tempo fiducia e cura episodi 2-3-4</v>
      </c>
      <c r="E4133" s="10" t="str">
        <f>HYPERLINK("https://otsuka-europe-crm.veevavault.com/ui/#object/sent_email__v/VBL00000002P433", "SE-001433103")</f>
        <v>SE-001433103</v>
      </c>
      <c r="F4133" s="11"/>
      <c r="G4133" s="12">
        <v>0</v>
      </c>
      <c r="H4133" s="12">
        <v>0</v>
      </c>
      <c r="I4133" s="12">
        <v>0</v>
      </c>
      <c r="J4133" s="11"/>
      <c r="K4133" s="12">
        <v>0</v>
      </c>
      <c r="L4133" s="10" t="str">
        <f t="shared" si="326"/>
        <v>AE dialoghi di tempo fiducia e cura episodi 2-3-4</v>
      </c>
      <c r="M4133" s="10" t="str">
        <f t="shared" si="327"/>
        <v>nicoletta.vozza@crm.otsuka-europe.com</v>
      </c>
      <c r="N4133" s="13">
        <v>46181.33803240741</v>
      </c>
      <c r="O4133" s="14" t="str">
        <f>HYPERLINK("https://otsuka-europe-crm.veevavault.com/ui/#object/email_activity__v/V8C00000003Q029", "EN-002090995")</f>
        <v>EN-002090995</v>
      </c>
    </row>
    <row r="4134" spans="1:15" ht="32" x14ac:dyDescent="0.2">
      <c r="A4134" s="7" t="str">
        <f>HYPERLINK("https://otsuka-europe-crm.veevavault.com/ui/#object/account__v/V4TZ06G6O71TLCH", "IRENE GENERALI")</f>
        <v>IRENE GENERALI</v>
      </c>
      <c r="B4134" s="7" t="str">
        <f t="shared" si="324"/>
        <v>IT</v>
      </c>
      <c r="C4134" s="8" t="s">
        <v>44</v>
      </c>
      <c r="D4134" s="9" t="str">
        <f t="shared" si="325"/>
        <v>AE dialoghi di tempo fiducia e cura episodi 2-3-4</v>
      </c>
      <c r="E4134" s="10" t="str">
        <f>HYPERLINK("https://otsuka-europe-crm.veevavault.com/ui/#object/sent_email__v/VBL00000002P434", "SE-001433104")</f>
        <v>SE-001433104</v>
      </c>
      <c r="F4134" s="11"/>
      <c r="G4134" s="12">
        <v>0</v>
      </c>
      <c r="H4134" s="12">
        <v>0</v>
      </c>
      <c r="I4134" s="12">
        <v>0</v>
      </c>
      <c r="J4134" s="11"/>
      <c r="K4134" s="12">
        <v>0</v>
      </c>
      <c r="L4134" s="10" t="str">
        <f t="shared" si="326"/>
        <v>AE dialoghi di tempo fiducia e cura episodi 2-3-4</v>
      </c>
      <c r="M4134" s="10" t="str">
        <f t="shared" si="327"/>
        <v>nicoletta.vozza@crm.otsuka-europe.com</v>
      </c>
      <c r="N4134" s="13">
        <v>46181.338090277779</v>
      </c>
      <c r="O4134" s="14" t="str">
        <f>HYPERLINK("https://otsuka-europe-crm.veevavault.com/ui/#object/email_activity__v/V8C00000003Q056", "EN-002091022")</f>
        <v>EN-002091022</v>
      </c>
    </row>
    <row r="4135" spans="1:15" ht="32" x14ac:dyDescent="0.2">
      <c r="A4135" s="7" t="str">
        <f>HYPERLINK("https://otsuka-europe-crm.veevavault.com/ui/#object/account__v/V4TZ06G6O71S9M7", "IRENE MANCINI")</f>
        <v>IRENE MANCINI</v>
      </c>
      <c r="B4135" s="7" t="str">
        <f t="shared" si="324"/>
        <v>IT</v>
      </c>
      <c r="C4135" s="8" t="s">
        <v>44</v>
      </c>
      <c r="D4135" s="9" t="str">
        <f t="shared" si="325"/>
        <v>AE dialoghi di tempo fiducia e cura episodi 2-3-4</v>
      </c>
      <c r="E4135" s="10" t="str">
        <f>HYPERLINK("https://otsuka-europe-crm.veevavault.com/ui/#object/sent_email__v/VBL00000002P435", "SE-001433105")</f>
        <v>SE-001433105</v>
      </c>
      <c r="F4135" s="11"/>
      <c r="G4135" s="12">
        <v>0</v>
      </c>
      <c r="H4135" s="12">
        <v>0</v>
      </c>
      <c r="I4135" s="12">
        <v>0</v>
      </c>
      <c r="J4135" s="11"/>
      <c r="K4135" s="12">
        <v>0</v>
      </c>
      <c r="L4135" s="10" t="str">
        <f t="shared" si="326"/>
        <v>AE dialoghi di tempo fiducia e cura episodi 2-3-4</v>
      </c>
      <c r="M4135" s="10" t="str">
        <f t="shared" si="327"/>
        <v>nicoletta.vozza@crm.otsuka-europe.com</v>
      </c>
      <c r="N4135" s="13">
        <v>46181.337939814817</v>
      </c>
      <c r="O4135" s="14" t="str">
        <f>HYPERLINK("https://otsuka-europe-crm.veevavault.com/ui/#object/email_activity__v/V8C00000003O146", "EN-002089528")</f>
        <v>EN-002089528</v>
      </c>
    </row>
    <row r="4136" spans="1:15" ht="16" x14ac:dyDescent="0.2">
      <c r="A4136" s="17" t="str">
        <f>HYPERLINK("https://otsuka-europe-crm.veevavault.com/ui/#object/account__v/V4TZ06G6O71S9GK", "ISABELLA BERARDELLI")</f>
        <v>ISABELLA BERARDELLI</v>
      </c>
      <c r="B4136" s="17" t="str">
        <f t="shared" si="324"/>
        <v>IT</v>
      </c>
      <c r="C4136" s="20" t="s">
        <v>44</v>
      </c>
      <c r="D4136" s="21" t="str">
        <f t="shared" si="325"/>
        <v>AE dialoghi di tempo fiducia e cura episodi 2-3-4</v>
      </c>
      <c r="E4136" s="22" t="str">
        <f>HYPERLINK("https://otsuka-europe-crm.veevavault.com/ui/#object/sent_email__v/VBL00000002P436", "SE-001433106")</f>
        <v>SE-001433106</v>
      </c>
      <c r="F4136" s="23">
        <v>46181.4215625</v>
      </c>
      <c r="G4136" s="24">
        <v>1</v>
      </c>
      <c r="H4136" s="24">
        <v>1</v>
      </c>
      <c r="I4136" s="24">
        <v>0</v>
      </c>
      <c r="J4136" s="25"/>
      <c r="K4136" s="24">
        <v>0</v>
      </c>
      <c r="L4136" s="22" t="str">
        <f t="shared" si="326"/>
        <v>AE dialoghi di tempo fiducia e cura episodi 2-3-4</v>
      </c>
      <c r="M4136" s="22" t="str">
        <f t="shared" si="327"/>
        <v>nicoletta.vozza@crm.otsuka-europe.com</v>
      </c>
      <c r="N4136" s="23">
        <v>46181.338020833333</v>
      </c>
      <c r="O4136" s="14" t="str">
        <f>HYPERLINK("https://otsuka-europe-crm.veevavault.com/ui/#object/email_activity__v/V8C00000003O793", "EN-002090453")</f>
        <v>EN-002090453</v>
      </c>
    </row>
    <row r="4137" spans="1:15" ht="16" x14ac:dyDescent="0.2">
      <c r="A4137" s="19"/>
      <c r="B4137" s="19"/>
      <c r="C4137" s="19"/>
      <c r="D4137" s="19"/>
      <c r="E4137" s="19"/>
      <c r="F4137" s="19"/>
      <c r="G4137" s="19"/>
      <c r="H4137" s="19"/>
      <c r="I4137" s="19"/>
      <c r="J4137" s="19"/>
      <c r="K4137" s="19"/>
      <c r="L4137" s="19"/>
      <c r="M4137" s="19"/>
      <c r="N4137" s="19"/>
      <c r="O4137" s="14" t="str">
        <f>HYPERLINK("https://otsuka-europe-crm.veevavault.com/ui/#object/email_activity__v/V8C00000003R055", "EN-002091788")</f>
        <v>EN-002091788</v>
      </c>
    </row>
    <row r="4138" spans="1:15" ht="32" x14ac:dyDescent="0.2">
      <c r="A4138" s="7" t="str">
        <f>HYPERLINK("https://otsuka-europe-crm.veevavault.com/ui/#object/account__v/V4TZ06G6O71VPLR", "ISABELLA CICCHETTI")</f>
        <v>ISABELLA CICCHETTI</v>
      </c>
      <c r="B4138" s="7" t="str">
        <f>HYPERLINK("https://otsuka-europe-crm.veevavault.com/ui/#object/vcountry__v/VENZ000004SONFQ", "IT")</f>
        <v>IT</v>
      </c>
      <c r="C4138" s="8" t="s">
        <v>44</v>
      </c>
      <c r="D4138" s="9" t="str">
        <f>HYPERLINK("https://otsuka-europe-crm.veevavault.com/ui/#object/approved_document__v/V5O000000018003", "AE dialoghi di tempo fiducia e cura episodi 2-3-4")</f>
        <v>AE dialoghi di tempo fiducia e cura episodi 2-3-4</v>
      </c>
      <c r="E4138" s="10" t="str">
        <f>HYPERLINK("https://otsuka-europe-crm.veevavault.com/ui/#object/sent_email__v/VBL00000002P437", "SE-001433107")</f>
        <v>SE-001433107</v>
      </c>
      <c r="F4138" s="11"/>
      <c r="G4138" s="12">
        <v>0</v>
      </c>
      <c r="H4138" s="12">
        <v>0</v>
      </c>
      <c r="I4138" s="12">
        <v>0</v>
      </c>
      <c r="J4138" s="11"/>
      <c r="K4138" s="12">
        <v>0</v>
      </c>
      <c r="L4138" s="10" t="str">
        <f>HYPERLINK("https://otsuka-europe-crm.veevavault.com/ui/#object/approved_document__v/V5O000000018003", "AE dialoghi di tempo fiducia e cura episodi 2-3-4")</f>
        <v>AE dialoghi di tempo fiducia e cura episodi 2-3-4</v>
      </c>
      <c r="M4138" s="10" t="str">
        <f>HYPERLINK("mailto:nicoletta.vozza@crm.otsuka-europe.com", "nicoletta.vozza@crm.otsuka-europe.com")</f>
        <v>nicoletta.vozza@crm.otsuka-europe.com</v>
      </c>
      <c r="N4138" s="13">
        <v>46181.33798611111</v>
      </c>
      <c r="O4138" s="14" t="str">
        <f>HYPERLINK("https://otsuka-europe-crm.veevavault.com/ui/#object/email_activity__v/V8C00000003O419", "EN-002089975")</f>
        <v>EN-002089975</v>
      </c>
    </row>
    <row r="4139" spans="1:15" ht="32" x14ac:dyDescent="0.2">
      <c r="A4139" s="7" t="str">
        <f>HYPERLINK("https://otsuka-europe-crm.veevavault.com/ui/#object/account__v/V4TZ06G6O71SB2V", "ISABELLA COPPOLA")</f>
        <v>ISABELLA COPPOLA</v>
      </c>
      <c r="B4139" s="7" t="str">
        <f>HYPERLINK("https://otsuka-europe-crm.veevavault.com/ui/#object/vcountry__v/VENZ000004SONFQ", "IT")</f>
        <v>IT</v>
      </c>
      <c r="C4139" s="8" t="s">
        <v>44</v>
      </c>
      <c r="D4139" s="9" t="str">
        <f>HYPERLINK("https://otsuka-europe-crm.veevavault.com/ui/#object/approved_document__v/V5O000000018003", "AE dialoghi di tempo fiducia e cura episodi 2-3-4")</f>
        <v>AE dialoghi di tempo fiducia e cura episodi 2-3-4</v>
      </c>
      <c r="E4139" s="10" t="str">
        <f>HYPERLINK("https://otsuka-europe-crm.veevavault.com/ui/#object/sent_email__v/VBL00000002P438", "SE-001433108")</f>
        <v>SE-001433108</v>
      </c>
      <c r="F4139" s="11"/>
      <c r="G4139" s="12">
        <v>0</v>
      </c>
      <c r="H4139" s="12">
        <v>0</v>
      </c>
      <c r="I4139" s="12">
        <v>0</v>
      </c>
      <c r="J4139" s="11"/>
      <c r="K4139" s="12">
        <v>0</v>
      </c>
      <c r="L4139" s="10" t="str">
        <f>HYPERLINK("https://otsuka-europe-crm.veevavault.com/ui/#object/approved_document__v/V5O000000018003", "AE dialoghi di tempo fiducia e cura episodi 2-3-4")</f>
        <v>AE dialoghi di tempo fiducia e cura episodi 2-3-4</v>
      </c>
      <c r="M4139" s="10" t="str">
        <f>HYPERLINK("mailto:nicoletta.vozza@crm.otsuka-europe.com", "nicoletta.vozza@crm.otsuka-europe.com")</f>
        <v>nicoletta.vozza@crm.otsuka-europe.com</v>
      </c>
      <c r="N4139" s="13">
        <v>46181.338009259256</v>
      </c>
      <c r="O4139" s="14" t="str">
        <f>HYPERLINK("https://otsuka-europe-crm.veevavault.com/ui/#object/email_activity__v/V8C00000003O712", "EN-002090268")</f>
        <v>EN-002090268</v>
      </c>
    </row>
    <row r="4140" spans="1:15" ht="16" x14ac:dyDescent="0.2">
      <c r="A4140" s="17" t="str">
        <f>HYPERLINK("https://otsuka-europe-crm.veevavault.com/ui/#object/account__v/V4TZ06G6O71S9BW", "ISABELLA MONTEFIORI")</f>
        <v>ISABELLA MONTEFIORI</v>
      </c>
      <c r="B4140" s="17" t="str">
        <f>HYPERLINK("https://otsuka-europe-crm.veevavault.com/ui/#object/vcountry__v/VENZ000004SONFQ", "IT")</f>
        <v>IT</v>
      </c>
      <c r="C4140" s="20" t="s">
        <v>44</v>
      </c>
      <c r="D4140" s="21" t="str">
        <f>HYPERLINK("https://otsuka-europe-crm.veevavault.com/ui/#object/approved_document__v/V5O000000018003", "AE dialoghi di tempo fiducia e cura episodi 2-3-4")</f>
        <v>AE dialoghi di tempo fiducia e cura episodi 2-3-4</v>
      </c>
      <c r="E4140" s="22" t="str">
        <f>HYPERLINK("https://otsuka-europe-crm.veevavault.com/ui/#object/sent_email__v/VBL00000002P439", "SE-001433109")</f>
        <v>SE-001433109</v>
      </c>
      <c r="F4140" s="25"/>
      <c r="G4140" s="24">
        <v>0</v>
      </c>
      <c r="H4140" s="24">
        <v>0</v>
      </c>
      <c r="I4140" s="24">
        <v>0</v>
      </c>
      <c r="J4140" s="25"/>
      <c r="K4140" s="24">
        <v>0</v>
      </c>
      <c r="L4140" s="22" t="str">
        <f>HYPERLINK("https://otsuka-europe-crm.veevavault.com/ui/#object/approved_document__v/V5O000000018003", "AE dialoghi di tempo fiducia e cura episodi 2-3-4")</f>
        <v>AE dialoghi di tempo fiducia e cura episodi 2-3-4</v>
      </c>
      <c r="M4140" s="22" t="str">
        <f>HYPERLINK("mailto:nicoletta.vozza@crm.otsuka-europe.com", "nicoletta.vozza@crm.otsuka-europe.com")</f>
        <v>nicoletta.vozza@crm.otsuka-europe.com</v>
      </c>
      <c r="N4140" s="23">
        <v>46181.33797453704</v>
      </c>
      <c r="O4140" s="14" t="str">
        <f>HYPERLINK("https://otsuka-europe-crm.veevavault.com/ui/#object/email_activity__v/V8C00000003O816", "EN-002090518")</f>
        <v>EN-002090518</v>
      </c>
    </row>
    <row r="4141" spans="1:15" ht="16" x14ac:dyDescent="0.2">
      <c r="A4141" s="19"/>
      <c r="B4141" s="19"/>
      <c r="C4141" s="19"/>
      <c r="D4141" s="19"/>
      <c r="E4141" s="19"/>
      <c r="F4141" s="19"/>
      <c r="G4141" s="19"/>
      <c r="H4141" s="19"/>
      <c r="I4141" s="19"/>
      <c r="J4141" s="19"/>
      <c r="K4141" s="19"/>
      <c r="L4141" s="19"/>
      <c r="M4141" s="19"/>
      <c r="N4141" s="19"/>
      <c r="O4141" s="14" t="str">
        <f>HYPERLINK("https://otsuka-europe-crm.veevavault.com/ui/#object/email_activity__v/V8C00000003Q383", "EN-002091578")</f>
        <v>EN-002091578</v>
      </c>
    </row>
    <row r="4142" spans="1:15" ht="16" x14ac:dyDescent="0.2">
      <c r="A4142" s="17" t="str">
        <f>HYPERLINK("https://otsuka-europe-crm.veevavault.com/ui/#object/account__v/V4TZ06G6O71SACN", "ISABELLA PANACCIONE")</f>
        <v>ISABELLA PANACCIONE</v>
      </c>
      <c r="B4142" s="17" t="str">
        <f>HYPERLINK("https://otsuka-europe-crm.veevavault.com/ui/#object/vcountry__v/VENZ000004SONFQ", "IT")</f>
        <v>IT</v>
      </c>
      <c r="C4142" s="20" t="s">
        <v>44</v>
      </c>
      <c r="D4142" s="21" t="str">
        <f>HYPERLINK("https://otsuka-europe-crm.veevavault.com/ui/#object/approved_document__v/V5O000000018003", "AE dialoghi di tempo fiducia e cura episodi 2-3-4")</f>
        <v>AE dialoghi di tempo fiducia e cura episodi 2-3-4</v>
      </c>
      <c r="E4142" s="22" t="str">
        <f>HYPERLINK("https://otsuka-europe-crm.veevavault.com/ui/#object/sent_email__v/VBL00000002P440", "SE-001433110")</f>
        <v>SE-001433110</v>
      </c>
      <c r="F4142" s="25"/>
      <c r="G4142" s="24">
        <v>0</v>
      </c>
      <c r="H4142" s="24">
        <v>0</v>
      </c>
      <c r="I4142" s="24">
        <v>0</v>
      </c>
      <c r="J4142" s="25"/>
      <c r="K4142" s="24">
        <v>0</v>
      </c>
      <c r="L4142" s="22" t="str">
        <f>HYPERLINK("https://otsuka-europe-crm.veevavault.com/ui/#object/approved_document__v/V5O000000018003", "AE dialoghi di tempo fiducia e cura episodi 2-3-4")</f>
        <v>AE dialoghi di tempo fiducia e cura episodi 2-3-4</v>
      </c>
      <c r="M4142" s="22" t="str">
        <f>HYPERLINK("mailto:nicoletta.vozza@crm.otsuka-europe.com", "nicoletta.vozza@crm.otsuka-europe.com")</f>
        <v>nicoletta.vozza@crm.otsuka-europe.com</v>
      </c>
      <c r="N4142" s="23">
        <v>46181.338020833333</v>
      </c>
      <c r="O4142" s="14" t="str">
        <f>HYPERLINK("https://otsuka-europe-crm.veevavault.com/ui/#object/email_activity__v/V8C00000003O946", "EN-002090606")</f>
        <v>EN-002090606</v>
      </c>
    </row>
    <row r="4143" spans="1:15" ht="16" x14ac:dyDescent="0.2">
      <c r="A4143" s="19"/>
      <c r="B4143" s="19"/>
      <c r="C4143" s="19"/>
      <c r="D4143" s="19"/>
      <c r="E4143" s="19"/>
      <c r="F4143" s="19"/>
      <c r="G4143" s="19"/>
      <c r="H4143" s="19"/>
      <c r="I4143" s="19"/>
      <c r="J4143" s="19"/>
      <c r="K4143" s="19"/>
      <c r="L4143" s="19"/>
      <c r="M4143" s="19"/>
      <c r="N4143" s="19"/>
      <c r="O4143" s="14" t="str">
        <f>HYPERLINK("https://otsuka-europe-crm.veevavault.com/ui/#object/email_activity__v/V8C00000003S433", "EN-002093777")</f>
        <v>EN-002093777</v>
      </c>
    </row>
    <row r="4144" spans="1:15" ht="32" x14ac:dyDescent="0.2">
      <c r="A4144" s="7" t="str">
        <f>HYPERLINK("https://otsuka-europe-crm.veevavault.com/ui/#object/account__v/V4TZ06G6O71SBMS", "ITALO MONFRINOTTI")</f>
        <v>ITALO MONFRINOTTI</v>
      </c>
      <c r="B4144" s="7" t="str">
        <f>HYPERLINK("https://otsuka-europe-crm.veevavault.com/ui/#object/vcountry__v/VENZ000004SONFQ", "IT")</f>
        <v>IT</v>
      </c>
      <c r="C4144" s="8" t="s">
        <v>44</v>
      </c>
      <c r="D4144" s="9" t="str">
        <f>HYPERLINK("https://otsuka-europe-crm.veevavault.com/ui/#object/approved_document__v/V5O000000018003", "AE dialoghi di tempo fiducia e cura episodi 2-3-4")</f>
        <v>AE dialoghi di tempo fiducia e cura episodi 2-3-4</v>
      </c>
      <c r="E4144" s="10" t="str">
        <f>HYPERLINK("https://otsuka-europe-crm.veevavault.com/ui/#object/sent_email__v/VBL00000002P441", "SE-001433111")</f>
        <v>SE-001433111</v>
      </c>
      <c r="F4144" s="11"/>
      <c r="G4144" s="12">
        <v>0</v>
      </c>
      <c r="H4144" s="12">
        <v>0</v>
      </c>
      <c r="I4144" s="12">
        <v>0</v>
      </c>
      <c r="J4144" s="11"/>
      <c r="K4144" s="12">
        <v>0</v>
      </c>
      <c r="L4144" s="10" t="str">
        <f>HYPERLINK("https://otsuka-europe-crm.veevavault.com/ui/#object/approved_document__v/V5O000000018003", "AE dialoghi di tempo fiducia e cura episodi 2-3-4")</f>
        <v>AE dialoghi di tempo fiducia e cura episodi 2-3-4</v>
      </c>
      <c r="M4144" s="10" t="str">
        <f>HYPERLINK("mailto:nicoletta.vozza@crm.otsuka-europe.com", "nicoletta.vozza@crm.otsuka-europe.com")</f>
        <v>nicoletta.vozza@crm.otsuka-europe.com</v>
      </c>
      <c r="N4144" s="13">
        <v>46181.338055555556</v>
      </c>
      <c r="O4144" s="14" t="str">
        <f>HYPERLINK("https://otsuka-europe-crm.veevavault.com/ui/#object/email_activity__v/V8C00000003O594", "EN-002090150")</f>
        <v>EN-002090150</v>
      </c>
    </row>
    <row r="4145" spans="1:15" ht="32" x14ac:dyDescent="0.2">
      <c r="A4145" s="7" t="str">
        <f>HYPERLINK("https://otsuka-europe-crm.veevavault.com/ui/#object/account__v/V4TZ06G6O71SB81", "IVAN LIMOSANI")</f>
        <v>IVAN LIMOSANI</v>
      </c>
      <c r="B4145" s="7" t="str">
        <f>HYPERLINK("https://otsuka-europe-crm.veevavault.com/ui/#object/vcountry__v/VENZ000004SONFQ", "IT")</f>
        <v>IT</v>
      </c>
      <c r="C4145" s="8" t="s">
        <v>44</v>
      </c>
      <c r="D4145" s="9" t="str">
        <f>HYPERLINK("https://otsuka-europe-crm.veevavault.com/ui/#object/approved_document__v/V5O000000018003", "AE dialoghi di tempo fiducia e cura episodi 2-3-4")</f>
        <v>AE dialoghi di tempo fiducia e cura episodi 2-3-4</v>
      </c>
      <c r="E4145" s="10" t="str">
        <f>HYPERLINK("https://otsuka-europe-crm.veevavault.com/ui/#object/sent_email__v/VBL00000002P442", "SE-001433112")</f>
        <v>SE-001433112</v>
      </c>
      <c r="F4145" s="11"/>
      <c r="G4145" s="12">
        <v>0</v>
      </c>
      <c r="H4145" s="12">
        <v>0</v>
      </c>
      <c r="I4145" s="12">
        <v>0</v>
      </c>
      <c r="J4145" s="11"/>
      <c r="K4145" s="12">
        <v>0</v>
      </c>
      <c r="L4145" s="10" t="str">
        <f>HYPERLINK("https://otsuka-europe-crm.veevavault.com/ui/#object/approved_document__v/V5O000000018003", "AE dialoghi di tempo fiducia e cura episodi 2-3-4")</f>
        <v>AE dialoghi di tempo fiducia e cura episodi 2-3-4</v>
      </c>
      <c r="M4145" s="10" t="str">
        <f>HYPERLINK("mailto:nicoletta.vozza@crm.otsuka-europe.com", "nicoletta.vozza@crm.otsuka-europe.com")</f>
        <v>nicoletta.vozza@crm.otsuka-europe.com</v>
      </c>
      <c r="N4145" s="13">
        <v>46181.338055555556</v>
      </c>
      <c r="O4145" s="14" t="str">
        <f>HYPERLINK("https://otsuka-europe-crm.veevavault.com/ui/#object/email_activity__v/V8C00000003Q035", "EN-002091001")</f>
        <v>EN-002091001</v>
      </c>
    </row>
    <row r="4146" spans="1:15" ht="16" x14ac:dyDescent="0.2">
      <c r="A4146" s="17" t="str">
        <f>HYPERLINK("https://otsuka-europe-crm.veevavault.com/ui/#object/account__v/V4TZ06G6O71SBRE", "IVAN PERTILE")</f>
        <v>IVAN PERTILE</v>
      </c>
      <c r="B4146" s="17" t="str">
        <f>HYPERLINK("https://otsuka-europe-crm.veevavault.com/ui/#object/vcountry__v/VENZ000004SONFQ", "IT")</f>
        <v>IT</v>
      </c>
      <c r="C4146" s="20" t="s">
        <v>44</v>
      </c>
      <c r="D4146" s="21" t="str">
        <f>HYPERLINK("https://otsuka-europe-crm.veevavault.com/ui/#object/approved_document__v/V5O000000018003", "AE dialoghi di tempo fiducia e cura episodi 2-3-4")</f>
        <v>AE dialoghi di tempo fiducia e cura episodi 2-3-4</v>
      </c>
      <c r="E4146" s="22" t="str">
        <f>HYPERLINK("https://otsuka-europe-crm.veevavault.com/ui/#object/sent_email__v/VBL00000002P443", "SE-001433113")</f>
        <v>SE-001433113</v>
      </c>
      <c r="F4146" s="23">
        <v>46181.645937499998</v>
      </c>
      <c r="G4146" s="24">
        <v>1</v>
      </c>
      <c r="H4146" s="24">
        <v>1</v>
      </c>
      <c r="I4146" s="24">
        <v>0</v>
      </c>
      <c r="J4146" s="25"/>
      <c r="K4146" s="24">
        <v>0</v>
      </c>
      <c r="L4146" s="22" t="str">
        <f>HYPERLINK("https://otsuka-europe-crm.veevavault.com/ui/#object/approved_document__v/V5O000000018003", "AE dialoghi di tempo fiducia e cura episodi 2-3-4")</f>
        <v>AE dialoghi di tempo fiducia e cura episodi 2-3-4</v>
      </c>
      <c r="M4146" s="22" t="str">
        <f>HYPERLINK("mailto:nicoletta.vozza@crm.otsuka-europe.com", "nicoletta.vozza@crm.otsuka-europe.com")</f>
        <v>nicoletta.vozza@crm.otsuka-europe.com</v>
      </c>
      <c r="N4146" s="23">
        <v>46181.33798611111</v>
      </c>
      <c r="O4146" s="14" t="str">
        <f>HYPERLINK("https://otsuka-europe-crm.veevavault.com/ui/#object/email_activity__v/V8C00000003O283", "EN-002089760")</f>
        <v>EN-002089760</v>
      </c>
    </row>
    <row r="4147" spans="1:15" ht="16" x14ac:dyDescent="0.2">
      <c r="A4147" s="19"/>
      <c r="B4147" s="19"/>
      <c r="C4147" s="19"/>
      <c r="D4147" s="19"/>
      <c r="E4147" s="19"/>
      <c r="F4147" s="19"/>
      <c r="G4147" s="19"/>
      <c r="H4147" s="19"/>
      <c r="I4147" s="19"/>
      <c r="J4147" s="19"/>
      <c r="K4147" s="19"/>
      <c r="L4147" s="19"/>
      <c r="M4147" s="19"/>
      <c r="N4147" s="19"/>
      <c r="O4147" s="14" t="str">
        <f>HYPERLINK("https://otsuka-europe-crm.veevavault.com/ui/#object/email_activity__v/V8C00000003Q613", "EN-002092049")</f>
        <v>EN-002092049</v>
      </c>
    </row>
    <row r="4148" spans="1:15" ht="16" x14ac:dyDescent="0.2">
      <c r="A4148" s="17" t="str">
        <f>HYPERLINK("https://otsuka-europe-crm.veevavault.com/ui/#object/account__v/V4TZ06G6O71SBHT", "IVANA MAZZOTTI")</f>
        <v>IVANA MAZZOTTI</v>
      </c>
      <c r="B4148" s="17" t="str">
        <f>HYPERLINK("https://otsuka-europe-crm.veevavault.com/ui/#object/vcountry__v/VENZ000004SONFQ", "IT")</f>
        <v>IT</v>
      </c>
      <c r="C4148" s="20" t="s">
        <v>44</v>
      </c>
      <c r="D4148" s="21" t="str">
        <f>HYPERLINK("https://otsuka-europe-crm.veevavault.com/ui/#object/approved_document__v/V5O000000018003", "AE dialoghi di tempo fiducia e cura episodi 2-3-4")</f>
        <v>AE dialoghi di tempo fiducia e cura episodi 2-3-4</v>
      </c>
      <c r="E4148" s="22" t="str">
        <f>HYPERLINK("https://otsuka-europe-crm.veevavault.com/ui/#object/sent_email__v/VBL00000002P444", "SE-001433114")</f>
        <v>SE-001433114</v>
      </c>
      <c r="F4148" s="25"/>
      <c r="G4148" s="24">
        <v>0</v>
      </c>
      <c r="H4148" s="24">
        <v>0</v>
      </c>
      <c r="I4148" s="24">
        <v>0</v>
      </c>
      <c r="J4148" s="25"/>
      <c r="K4148" s="24">
        <v>0</v>
      </c>
      <c r="L4148" s="22" t="str">
        <f>HYPERLINK("https://otsuka-europe-crm.veevavault.com/ui/#object/approved_document__v/V5O000000018003", "AE dialoghi di tempo fiducia e cura episodi 2-3-4")</f>
        <v>AE dialoghi di tempo fiducia e cura episodi 2-3-4</v>
      </c>
      <c r="M4148" s="22" t="str">
        <f>HYPERLINK("mailto:nicoletta.vozza@crm.otsuka-europe.com", "nicoletta.vozza@crm.otsuka-europe.com")</f>
        <v>nicoletta.vozza@crm.otsuka-europe.com</v>
      </c>
      <c r="N4148" s="23">
        <v>46181.337997685187</v>
      </c>
      <c r="O4148" s="14" t="str">
        <f>HYPERLINK("https://otsuka-europe-crm.veevavault.com/ui/#object/email_activity__v/V8C00000003P660", "EN-002090915")</f>
        <v>EN-002090915</v>
      </c>
    </row>
    <row r="4149" spans="1:15" ht="16" x14ac:dyDescent="0.2">
      <c r="A4149" s="18"/>
      <c r="B4149" s="18"/>
      <c r="C4149" s="18"/>
      <c r="D4149" s="18"/>
      <c r="E4149" s="18"/>
      <c r="F4149" s="18"/>
      <c r="G4149" s="18"/>
      <c r="H4149" s="18"/>
      <c r="I4149" s="18"/>
      <c r="J4149" s="18"/>
      <c r="K4149" s="18"/>
      <c r="L4149" s="18"/>
      <c r="M4149" s="18"/>
      <c r="N4149" s="18"/>
      <c r="O4149" s="14" t="str">
        <f>HYPERLINK("https://otsuka-europe-crm.veevavault.com/ui/#object/email_activity__v/V8C00000003T435", "EN-002094487")</f>
        <v>EN-002094487</v>
      </c>
    </row>
    <row r="4150" spans="1:15" ht="16" x14ac:dyDescent="0.2">
      <c r="A4150" s="18"/>
      <c r="B4150" s="18"/>
      <c r="C4150" s="18"/>
      <c r="D4150" s="18"/>
      <c r="E4150" s="18"/>
      <c r="F4150" s="18"/>
      <c r="G4150" s="18"/>
      <c r="H4150" s="18"/>
      <c r="I4150" s="18"/>
      <c r="J4150" s="18"/>
      <c r="K4150" s="18"/>
      <c r="L4150" s="18"/>
      <c r="M4150" s="18"/>
      <c r="N4150" s="18"/>
      <c r="O4150" s="14" t="str">
        <f>HYPERLINK("https://otsuka-europe-crm.veevavault.com/ui/#object/email_activity__v/V8C00000003U427", "EN-002095711")</f>
        <v>EN-002095711</v>
      </c>
    </row>
    <row r="4151" spans="1:15" ht="16" x14ac:dyDescent="0.2">
      <c r="A4151" s="19"/>
      <c r="B4151" s="19"/>
      <c r="C4151" s="19"/>
      <c r="D4151" s="19"/>
      <c r="E4151" s="19"/>
      <c r="F4151" s="19"/>
      <c r="G4151" s="19"/>
      <c r="H4151" s="19"/>
      <c r="I4151" s="19"/>
      <c r="J4151" s="19"/>
      <c r="K4151" s="19"/>
      <c r="L4151" s="19"/>
      <c r="M4151" s="19"/>
      <c r="N4151" s="19"/>
      <c r="O4151" s="14" t="str">
        <f>HYPERLINK("https://otsuka-europe-crm.veevavault.com/ui/#object/email_activity__v/V8C00000003V413", "EN-002095596")</f>
        <v>EN-002095596</v>
      </c>
    </row>
    <row r="4152" spans="1:15" ht="16" x14ac:dyDescent="0.2">
      <c r="A4152" s="17" t="str">
        <f>HYPERLINK("https://otsuka-europe-crm.veevavault.com/ui/#object/account__v/V4TZ04ASG8F5EO9", "JACOPO CERMARIA")</f>
        <v>JACOPO CERMARIA</v>
      </c>
      <c r="B4152" s="17" t="str">
        <f>HYPERLINK("https://otsuka-europe-crm.veevavault.com/ui/#object/vcountry__v/VENZ000004SONFQ", "IT")</f>
        <v>IT</v>
      </c>
      <c r="C4152" s="20" t="s">
        <v>44</v>
      </c>
      <c r="D4152" s="21" t="str">
        <f>HYPERLINK("https://otsuka-europe-crm.veevavault.com/ui/#object/approved_document__v/V5O000000018003", "AE dialoghi di tempo fiducia e cura episodi 2-3-4")</f>
        <v>AE dialoghi di tempo fiducia e cura episodi 2-3-4</v>
      </c>
      <c r="E4152" s="22" t="str">
        <f>HYPERLINK("https://otsuka-europe-crm.veevavault.com/ui/#object/sent_email__v/VBL00000002P445", "SE-001433115")</f>
        <v>SE-001433115</v>
      </c>
      <c r="F4152" s="23">
        <v>46181.405185185184</v>
      </c>
      <c r="G4152" s="24">
        <v>1</v>
      </c>
      <c r="H4152" s="24">
        <v>3</v>
      </c>
      <c r="I4152" s="24">
        <v>0</v>
      </c>
      <c r="J4152" s="25"/>
      <c r="K4152" s="24">
        <v>0</v>
      </c>
      <c r="L4152" s="22" t="str">
        <f>HYPERLINK("https://otsuka-europe-crm.veevavault.com/ui/#object/approved_document__v/V5O000000018003", "AE dialoghi di tempo fiducia e cura episodi 2-3-4")</f>
        <v>AE dialoghi di tempo fiducia e cura episodi 2-3-4</v>
      </c>
      <c r="M4152" s="22" t="str">
        <f>HYPERLINK("mailto:nicoletta.vozza@crm.otsuka-europe.com", "nicoletta.vozza@crm.otsuka-europe.com")</f>
        <v>nicoletta.vozza@crm.otsuka-europe.com</v>
      </c>
      <c r="N4152" s="23">
        <v>46181.338067129633</v>
      </c>
      <c r="O4152" s="14" t="str">
        <f>HYPERLINK("https://otsuka-europe-crm.veevavault.com/ui/#object/email_activity__v/V8C00000003O654", "EN-002090210")</f>
        <v>EN-002090210</v>
      </c>
    </row>
    <row r="4153" spans="1:15" ht="16" x14ac:dyDescent="0.2">
      <c r="A4153" s="18"/>
      <c r="B4153" s="18"/>
      <c r="C4153" s="18"/>
      <c r="D4153" s="18"/>
      <c r="E4153" s="18"/>
      <c r="F4153" s="18"/>
      <c r="G4153" s="18"/>
      <c r="H4153" s="18"/>
      <c r="I4153" s="18"/>
      <c r="J4153" s="18"/>
      <c r="K4153" s="18"/>
      <c r="L4153" s="18"/>
      <c r="M4153" s="18"/>
      <c r="N4153" s="18"/>
      <c r="O4153" s="14" t="str">
        <f>HYPERLINK("https://otsuka-europe-crm.veevavault.com/ui/#object/email_activity__v/V8C00000003P849", "EN-002091260")</f>
        <v>EN-002091260</v>
      </c>
    </row>
    <row r="4154" spans="1:15" ht="16" x14ac:dyDescent="0.2">
      <c r="A4154" s="18"/>
      <c r="B4154" s="18"/>
      <c r="C4154" s="18"/>
      <c r="D4154" s="18"/>
      <c r="E4154" s="18"/>
      <c r="F4154" s="18"/>
      <c r="G4154" s="18"/>
      <c r="H4154" s="18"/>
      <c r="I4154" s="18"/>
      <c r="J4154" s="18"/>
      <c r="K4154" s="18"/>
      <c r="L4154" s="18"/>
      <c r="M4154" s="18"/>
      <c r="N4154" s="18"/>
      <c r="O4154" s="14" t="str">
        <f>HYPERLINK("https://otsuka-europe-crm.veevavault.com/ui/#object/email_activity__v/V8C00000003R037", "EN-002091763")</f>
        <v>EN-002091763</v>
      </c>
    </row>
    <row r="4155" spans="1:15" ht="16" x14ac:dyDescent="0.2">
      <c r="A4155" s="19"/>
      <c r="B4155" s="19"/>
      <c r="C4155" s="19"/>
      <c r="D4155" s="19"/>
      <c r="E4155" s="19"/>
      <c r="F4155" s="19"/>
      <c r="G4155" s="19"/>
      <c r="H4155" s="19"/>
      <c r="I4155" s="19"/>
      <c r="J4155" s="19"/>
      <c r="K4155" s="19"/>
      <c r="L4155" s="19"/>
      <c r="M4155" s="19"/>
      <c r="N4155" s="19"/>
      <c r="O4155" s="14" t="str">
        <f>HYPERLINK("https://otsuka-europe-crm.veevavault.com/ui/#object/email_activity__v/V8C00000003R038", "EN-002091764")</f>
        <v>EN-002091764</v>
      </c>
    </row>
    <row r="4156" spans="1:15" ht="32" x14ac:dyDescent="0.2">
      <c r="A4156" s="7" t="str">
        <f>HYPERLINK("https://otsuka-europe-crm.veevavault.com/ui/#object/account__v/V4TZ04ASGAV79EW", "JACOPO FRANCESCO FIORI")</f>
        <v>JACOPO FRANCESCO FIORI</v>
      </c>
      <c r="B4156" s="7" t="str">
        <f t="shared" ref="B4156:B4179" si="328">HYPERLINK("https://otsuka-europe-crm.veevavault.com/ui/#object/vcountry__v/VENZ000004SONFQ", "IT")</f>
        <v>IT</v>
      </c>
      <c r="C4156" s="8" t="s">
        <v>44</v>
      </c>
      <c r="D4156" s="9" t="str">
        <f t="shared" ref="D4156:D4179" si="329">HYPERLINK("https://otsuka-europe-crm.veevavault.com/ui/#object/approved_document__v/V5O000000018003", "AE dialoghi di tempo fiducia e cura episodi 2-3-4")</f>
        <v>AE dialoghi di tempo fiducia e cura episodi 2-3-4</v>
      </c>
      <c r="E4156" s="10" t="str">
        <f>HYPERLINK("https://otsuka-europe-crm.veevavault.com/ui/#object/sent_email__v/VBL00000002P446", "SE-001433116")</f>
        <v>SE-001433116</v>
      </c>
      <c r="F4156" s="11"/>
      <c r="G4156" s="12">
        <v>0</v>
      </c>
      <c r="H4156" s="12">
        <v>0</v>
      </c>
      <c r="I4156" s="12">
        <v>0</v>
      </c>
      <c r="J4156" s="11"/>
      <c r="K4156" s="12">
        <v>0</v>
      </c>
      <c r="L4156" s="10" t="str">
        <f t="shared" ref="L4156:L4179" si="330">HYPERLINK("https://otsuka-europe-crm.veevavault.com/ui/#object/approved_document__v/V5O000000018003", "AE dialoghi di tempo fiducia e cura episodi 2-3-4")</f>
        <v>AE dialoghi di tempo fiducia e cura episodi 2-3-4</v>
      </c>
      <c r="M4156" s="10" t="str">
        <f t="shared" ref="M4156:M4179" si="331">HYPERLINK("mailto:nicoletta.vozza@crm.otsuka-europe.com", "nicoletta.vozza@crm.otsuka-europe.com")</f>
        <v>nicoletta.vozza@crm.otsuka-europe.com</v>
      </c>
      <c r="N4156" s="13">
        <v>46181.338009259256</v>
      </c>
      <c r="O4156" s="14" t="str">
        <f>HYPERLINK("https://otsuka-europe-crm.veevavault.com/ui/#object/email_activity__v/V8C00000003O366", "EN-002089884")</f>
        <v>EN-002089884</v>
      </c>
    </row>
    <row r="4157" spans="1:15" ht="32" x14ac:dyDescent="0.2">
      <c r="A4157" s="7" t="str">
        <f>HYPERLINK("https://otsuka-europe-crm.veevavault.com/ui/#object/account__v/V4TZ06G6O71S9RY", "JACOPO LISONI")</f>
        <v>JACOPO LISONI</v>
      </c>
      <c r="B4157" s="7" t="str">
        <f t="shared" si="328"/>
        <v>IT</v>
      </c>
      <c r="C4157" s="8" t="s">
        <v>44</v>
      </c>
      <c r="D4157" s="9" t="str">
        <f t="shared" si="329"/>
        <v>AE dialoghi di tempo fiducia e cura episodi 2-3-4</v>
      </c>
      <c r="E4157" s="10" t="str">
        <f>HYPERLINK("https://otsuka-europe-crm.veevavault.com/ui/#object/sent_email__v/VBL00000002P447", "SE-001433117")</f>
        <v>SE-001433117</v>
      </c>
      <c r="F4157" s="11"/>
      <c r="G4157" s="12">
        <v>0</v>
      </c>
      <c r="H4157" s="12">
        <v>0</v>
      </c>
      <c r="I4157" s="12">
        <v>0</v>
      </c>
      <c r="J4157" s="11"/>
      <c r="K4157" s="12">
        <v>0</v>
      </c>
      <c r="L4157" s="10" t="str">
        <f t="shared" si="330"/>
        <v>AE dialoghi di tempo fiducia e cura episodi 2-3-4</v>
      </c>
      <c r="M4157" s="10" t="str">
        <f t="shared" si="331"/>
        <v>nicoletta.vozza@crm.otsuka-europe.com</v>
      </c>
      <c r="N4157" s="13">
        <v>46181.33803240741</v>
      </c>
      <c r="O4157" s="14" t="str">
        <f>HYPERLINK("https://otsuka-europe-crm.veevavault.com/ui/#object/email_activity__v/V8C00000003P351", "EN-002090357")</f>
        <v>EN-002090357</v>
      </c>
    </row>
    <row r="4158" spans="1:15" ht="32" x14ac:dyDescent="0.2">
      <c r="A4158" s="7" t="str">
        <f>HYPERLINK("https://otsuka-europe-crm.veevavault.com/ui/#object/account__v/V4TZ06G6O8SGVYG", "JACOPO NEBBIA")</f>
        <v>JACOPO NEBBIA</v>
      </c>
      <c r="B4158" s="7" t="str">
        <f t="shared" si="328"/>
        <v>IT</v>
      </c>
      <c r="C4158" s="8" t="s">
        <v>44</v>
      </c>
      <c r="D4158" s="9" t="str">
        <f t="shared" si="329"/>
        <v>AE dialoghi di tempo fiducia e cura episodi 2-3-4</v>
      </c>
      <c r="E4158" s="10" t="str">
        <f>HYPERLINK("https://otsuka-europe-crm.veevavault.com/ui/#object/sent_email__v/VBL00000002P448", "SE-001433118")</f>
        <v>SE-001433118</v>
      </c>
      <c r="F4158" s="11"/>
      <c r="G4158" s="12">
        <v>0</v>
      </c>
      <c r="H4158" s="12">
        <v>0</v>
      </c>
      <c r="I4158" s="12">
        <v>0</v>
      </c>
      <c r="J4158" s="11"/>
      <c r="K4158" s="12">
        <v>0</v>
      </c>
      <c r="L4158" s="10" t="str">
        <f t="shared" si="330"/>
        <v>AE dialoghi di tempo fiducia e cura episodi 2-3-4</v>
      </c>
      <c r="M4158" s="10" t="str">
        <f t="shared" si="331"/>
        <v>nicoletta.vozza@crm.otsuka-europe.com</v>
      </c>
      <c r="N4158" s="13">
        <v>46181.338067129633</v>
      </c>
      <c r="O4158" s="14" t="str">
        <f>HYPERLINK("https://otsuka-europe-crm.veevavault.com/ui/#object/email_activity__v/V8C00000003Q040", "EN-002091006")</f>
        <v>EN-002091006</v>
      </c>
    </row>
    <row r="4159" spans="1:15" ht="32" x14ac:dyDescent="0.2">
      <c r="A4159" s="7" t="str">
        <f>HYPERLINK("https://otsuka-europe-crm.veevavault.com/ui/#object/account__v/V4TZ06G6O71VPQM", "JESSICA GENTILI")</f>
        <v>JESSICA GENTILI</v>
      </c>
      <c r="B4159" s="7" t="str">
        <f t="shared" si="328"/>
        <v>IT</v>
      </c>
      <c r="C4159" s="8" t="s">
        <v>44</v>
      </c>
      <c r="D4159" s="9" t="str">
        <f t="shared" si="329"/>
        <v>AE dialoghi di tempo fiducia e cura episodi 2-3-4</v>
      </c>
      <c r="E4159" s="10" t="str">
        <f>HYPERLINK("https://otsuka-europe-crm.veevavault.com/ui/#object/sent_email__v/VBL00000002P449", "SE-001433119")</f>
        <v>SE-001433119</v>
      </c>
      <c r="F4159" s="11"/>
      <c r="G4159" s="12">
        <v>0</v>
      </c>
      <c r="H4159" s="12">
        <v>0</v>
      </c>
      <c r="I4159" s="12">
        <v>0</v>
      </c>
      <c r="J4159" s="11"/>
      <c r="K4159" s="12">
        <v>0</v>
      </c>
      <c r="L4159" s="10" t="str">
        <f t="shared" si="330"/>
        <v>AE dialoghi di tempo fiducia e cura episodi 2-3-4</v>
      </c>
      <c r="M4159" s="10" t="str">
        <f t="shared" si="331"/>
        <v>nicoletta.vozza@crm.otsuka-europe.com</v>
      </c>
      <c r="N4159" s="13">
        <v>46181.33798611111</v>
      </c>
      <c r="O4159" s="14" t="str">
        <f>HYPERLINK("https://otsuka-europe-crm.veevavault.com/ui/#object/email_activity__v/V8C00000003Q263", "EN-002091381")</f>
        <v>EN-002091381</v>
      </c>
    </row>
    <row r="4160" spans="1:15" ht="32" x14ac:dyDescent="0.2">
      <c r="A4160" s="7" t="str">
        <f>HYPERLINK("https://otsuka-europe-crm.veevavault.com/ui/#object/account__v/V4TZ06G6OBUDD3A", "JESSICA TRINETTI")</f>
        <v>JESSICA TRINETTI</v>
      </c>
      <c r="B4160" s="7" t="str">
        <f t="shared" si="328"/>
        <v>IT</v>
      </c>
      <c r="C4160" s="8" t="s">
        <v>44</v>
      </c>
      <c r="D4160" s="9" t="str">
        <f t="shared" si="329"/>
        <v>AE dialoghi di tempo fiducia e cura episodi 2-3-4</v>
      </c>
      <c r="E4160" s="10" t="str">
        <f>HYPERLINK("https://otsuka-europe-crm.veevavault.com/ui/#object/sent_email__v/VBL00000002P450", "SE-001433120")</f>
        <v>SE-001433120</v>
      </c>
      <c r="F4160" s="11"/>
      <c r="G4160" s="12">
        <v>0</v>
      </c>
      <c r="H4160" s="12">
        <v>0</v>
      </c>
      <c r="I4160" s="12">
        <v>0</v>
      </c>
      <c r="J4160" s="11"/>
      <c r="K4160" s="12">
        <v>0</v>
      </c>
      <c r="L4160" s="10" t="str">
        <f t="shared" si="330"/>
        <v>AE dialoghi di tempo fiducia e cura episodi 2-3-4</v>
      </c>
      <c r="M4160" s="10" t="str">
        <f t="shared" si="331"/>
        <v>nicoletta.vozza@crm.otsuka-europe.com</v>
      </c>
      <c r="N4160" s="13">
        <v>46181.33803240741</v>
      </c>
      <c r="O4160" s="14" t="str">
        <f>HYPERLINK("https://otsuka-europe-crm.veevavault.com/ui/#object/email_activity__v/V8C00000003O439", "EN-002089995")</f>
        <v>EN-002089995</v>
      </c>
    </row>
    <row r="4161" spans="1:15" ht="32" x14ac:dyDescent="0.2">
      <c r="A4161" s="7" t="str">
        <f>HYPERLINK("https://otsuka-europe-crm.veevavault.com/ui/#object/account__v/V4TZ025E86F0B2Y", "JORMA RAMUNNI")</f>
        <v>JORMA RAMUNNI</v>
      </c>
      <c r="B4161" s="7" t="str">
        <f t="shared" si="328"/>
        <v>IT</v>
      </c>
      <c r="C4161" s="8" t="s">
        <v>44</v>
      </c>
      <c r="D4161" s="9" t="str">
        <f t="shared" si="329"/>
        <v>AE dialoghi di tempo fiducia e cura episodi 2-3-4</v>
      </c>
      <c r="E4161" s="10" t="str">
        <f>HYPERLINK("https://otsuka-europe-crm.veevavault.com/ui/#object/sent_email__v/VBL00000002P451", "SE-001433121")</f>
        <v>SE-001433121</v>
      </c>
      <c r="F4161" s="11"/>
      <c r="G4161" s="12">
        <v>0</v>
      </c>
      <c r="H4161" s="12">
        <v>0</v>
      </c>
      <c r="I4161" s="12">
        <v>0</v>
      </c>
      <c r="J4161" s="11"/>
      <c r="K4161" s="12">
        <v>0</v>
      </c>
      <c r="L4161" s="10" t="str">
        <f t="shared" si="330"/>
        <v>AE dialoghi di tempo fiducia e cura episodi 2-3-4</v>
      </c>
      <c r="M4161" s="10" t="str">
        <f t="shared" si="331"/>
        <v>nicoletta.vozza@crm.otsuka-europe.com</v>
      </c>
      <c r="N4161" s="13">
        <v>46181.337997685187</v>
      </c>
      <c r="O4161" s="14" t="str">
        <f>HYPERLINK("https://otsuka-europe-crm.veevavault.com/ui/#object/email_activity__v/V8C00000003P435", "EN-002090681")</f>
        <v>EN-002090681</v>
      </c>
    </row>
    <row r="4162" spans="1:15" ht="32" x14ac:dyDescent="0.2">
      <c r="A4162" s="7" t="str">
        <f>HYPERLINK("https://otsuka-europe-crm.veevavault.com/ui/#object/account__v/V4TZ06G6O71S9TR", "JULIE MAZZOCCHINI")</f>
        <v>JULIE MAZZOCCHINI</v>
      </c>
      <c r="B4162" s="7" t="str">
        <f t="shared" si="328"/>
        <v>IT</v>
      </c>
      <c r="C4162" s="8" t="s">
        <v>44</v>
      </c>
      <c r="D4162" s="9" t="str">
        <f t="shared" si="329"/>
        <v>AE dialoghi di tempo fiducia e cura episodi 2-3-4</v>
      </c>
      <c r="E4162" s="10" t="str">
        <f>HYPERLINK("https://otsuka-europe-crm.veevavault.com/ui/#object/sent_email__v/VBL00000002P452", "SE-001433122")</f>
        <v>SE-001433122</v>
      </c>
      <c r="F4162" s="11"/>
      <c r="G4162" s="12">
        <v>0</v>
      </c>
      <c r="H4162" s="12">
        <v>0</v>
      </c>
      <c r="I4162" s="12">
        <v>0</v>
      </c>
      <c r="J4162" s="11"/>
      <c r="K4162" s="12">
        <v>0</v>
      </c>
      <c r="L4162" s="10" t="str">
        <f t="shared" si="330"/>
        <v>AE dialoghi di tempo fiducia e cura episodi 2-3-4</v>
      </c>
      <c r="M4162" s="10" t="str">
        <f t="shared" si="331"/>
        <v>nicoletta.vozza@crm.otsuka-europe.com</v>
      </c>
      <c r="N4162" s="13">
        <v>46181.339062500003</v>
      </c>
      <c r="O4162" s="14" t="str">
        <f>HYPERLINK("https://otsuka-europe-crm.veevavault.com/ui/#object/email_activity__v/V8C00000003Q195", "EN-002091300")</f>
        <v>EN-002091300</v>
      </c>
    </row>
    <row r="4163" spans="1:15" ht="32" x14ac:dyDescent="0.2">
      <c r="A4163" s="7" t="str">
        <f>HYPERLINK("https://otsuka-europe-crm.veevavault.com/ui/#object/account__v/V4TZ06G6O71S9TC", "JURI KISS")</f>
        <v>JURI KISS</v>
      </c>
      <c r="B4163" s="7" t="str">
        <f t="shared" si="328"/>
        <v>IT</v>
      </c>
      <c r="C4163" s="8" t="s">
        <v>44</v>
      </c>
      <c r="D4163" s="9" t="str">
        <f t="shared" si="329"/>
        <v>AE dialoghi di tempo fiducia e cura episodi 2-3-4</v>
      </c>
      <c r="E4163" s="10" t="str">
        <f>HYPERLINK("https://otsuka-europe-crm.veevavault.com/ui/#object/sent_email__v/VBL00000002P453", "SE-001433123")</f>
        <v>SE-001433123</v>
      </c>
      <c r="F4163" s="11"/>
      <c r="G4163" s="12">
        <v>0</v>
      </c>
      <c r="H4163" s="12">
        <v>0</v>
      </c>
      <c r="I4163" s="12">
        <v>0</v>
      </c>
      <c r="J4163" s="11"/>
      <c r="K4163" s="12">
        <v>0</v>
      </c>
      <c r="L4163" s="10" t="str">
        <f t="shared" si="330"/>
        <v>AE dialoghi di tempo fiducia e cura episodi 2-3-4</v>
      </c>
      <c r="M4163" s="10" t="str">
        <f t="shared" si="331"/>
        <v>nicoletta.vozza@crm.otsuka-europe.com</v>
      </c>
      <c r="N4163" s="13">
        <v>46181.337997685187</v>
      </c>
      <c r="O4163" s="14" t="str">
        <f>HYPERLINK("https://otsuka-europe-crm.veevavault.com/ui/#object/email_activity__v/V8C00000003Q238", "EN-002091344")</f>
        <v>EN-002091344</v>
      </c>
    </row>
    <row r="4164" spans="1:15" ht="32" x14ac:dyDescent="0.2">
      <c r="A4164" s="7" t="str">
        <f>HYPERLINK("https://otsuka-europe-crm.veevavault.com/ui/#object/account__v/V4TZ06G6O71SBYK", "KATIA POLOPOLI")</f>
        <v>KATIA POLOPOLI</v>
      </c>
      <c r="B4164" s="7" t="str">
        <f t="shared" si="328"/>
        <v>IT</v>
      </c>
      <c r="C4164" s="8" t="s">
        <v>44</v>
      </c>
      <c r="D4164" s="9" t="str">
        <f t="shared" si="329"/>
        <v>AE dialoghi di tempo fiducia e cura episodi 2-3-4</v>
      </c>
      <c r="E4164" s="10" t="str">
        <f>HYPERLINK("https://otsuka-europe-crm.veevavault.com/ui/#object/sent_email__v/VBL00000002P454", "SE-001433124")</f>
        <v>SE-001433124</v>
      </c>
      <c r="F4164" s="11"/>
      <c r="G4164" s="12">
        <v>0</v>
      </c>
      <c r="H4164" s="12">
        <v>0</v>
      </c>
      <c r="I4164" s="12">
        <v>0</v>
      </c>
      <c r="J4164" s="11"/>
      <c r="K4164" s="12">
        <v>0</v>
      </c>
      <c r="L4164" s="10" t="str">
        <f t="shared" si="330"/>
        <v>AE dialoghi di tempo fiducia e cura episodi 2-3-4</v>
      </c>
      <c r="M4164" s="10" t="str">
        <f t="shared" si="331"/>
        <v>nicoletta.vozza@crm.otsuka-europe.com</v>
      </c>
      <c r="N4164" s="13">
        <v>46181.338020833333</v>
      </c>
      <c r="O4164" s="14" t="str">
        <f>HYPERLINK("https://otsuka-europe-crm.veevavault.com/ui/#object/email_activity__v/V8C00000003O527", "EN-002090083")</f>
        <v>EN-002090083</v>
      </c>
    </row>
    <row r="4165" spans="1:15" ht="32" x14ac:dyDescent="0.2">
      <c r="A4165" s="7" t="str">
        <f>HYPERLINK("https://otsuka-europe-crm.veevavault.com/ui/#object/account__v/V4TZ06G6O71SBLK", "KATIUSCIA MOSCIANESE")</f>
        <v>KATIUSCIA MOSCIANESE</v>
      </c>
      <c r="B4165" s="7" t="str">
        <f t="shared" si="328"/>
        <v>IT</v>
      </c>
      <c r="C4165" s="8" t="s">
        <v>44</v>
      </c>
      <c r="D4165" s="9" t="str">
        <f t="shared" si="329"/>
        <v>AE dialoghi di tempo fiducia e cura episodi 2-3-4</v>
      </c>
      <c r="E4165" s="10" t="str">
        <f>HYPERLINK("https://otsuka-europe-crm.veevavault.com/ui/#object/sent_email__v/VBL00000002P455", "SE-001433125")</f>
        <v>SE-001433125</v>
      </c>
      <c r="F4165" s="11"/>
      <c r="G4165" s="12">
        <v>0</v>
      </c>
      <c r="H4165" s="12">
        <v>0</v>
      </c>
      <c r="I4165" s="12">
        <v>0</v>
      </c>
      <c r="J4165" s="11"/>
      <c r="K4165" s="12">
        <v>0</v>
      </c>
      <c r="L4165" s="10" t="str">
        <f t="shared" si="330"/>
        <v>AE dialoghi di tempo fiducia e cura episodi 2-3-4</v>
      </c>
      <c r="M4165" s="10" t="str">
        <f t="shared" si="331"/>
        <v>nicoletta.vozza@crm.otsuka-europe.com</v>
      </c>
      <c r="N4165" s="13">
        <v>46181.338020833333</v>
      </c>
      <c r="O4165" s="14" t="str">
        <f>HYPERLINK("https://otsuka-europe-crm.veevavault.com/ui/#object/email_activity__v/V8C00000003O579", "EN-002090135")</f>
        <v>EN-002090135</v>
      </c>
    </row>
    <row r="4166" spans="1:15" ht="32" x14ac:dyDescent="0.2">
      <c r="A4166" s="7" t="str">
        <f>HYPERLINK("https://otsuka-europe-crm.veevavault.com/ui/#object/account__v/V4TZ06G6O71SBSO", "KETTI PESARESI")</f>
        <v>KETTI PESARESI</v>
      </c>
      <c r="B4166" s="7" t="str">
        <f t="shared" si="328"/>
        <v>IT</v>
      </c>
      <c r="C4166" s="8" t="s">
        <v>44</v>
      </c>
      <c r="D4166" s="9" t="str">
        <f t="shared" si="329"/>
        <v>AE dialoghi di tempo fiducia e cura episodi 2-3-4</v>
      </c>
      <c r="E4166" s="10" t="str">
        <f>HYPERLINK("https://otsuka-europe-crm.veevavault.com/ui/#object/sent_email__v/VBL00000002P456", "SE-001433126")</f>
        <v>SE-001433126</v>
      </c>
      <c r="F4166" s="11"/>
      <c r="G4166" s="12">
        <v>0</v>
      </c>
      <c r="H4166" s="12">
        <v>0</v>
      </c>
      <c r="I4166" s="12">
        <v>0</v>
      </c>
      <c r="J4166" s="11"/>
      <c r="K4166" s="12">
        <v>0</v>
      </c>
      <c r="L4166" s="10" t="str">
        <f t="shared" si="330"/>
        <v>AE dialoghi di tempo fiducia e cura episodi 2-3-4</v>
      </c>
      <c r="M4166" s="10" t="str">
        <f t="shared" si="331"/>
        <v>nicoletta.vozza@crm.otsuka-europe.com</v>
      </c>
      <c r="N4166" s="13">
        <v>46181.337997685187</v>
      </c>
      <c r="O4166" s="14" t="str">
        <f>HYPERLINK("https://otsuka-europe-crm.veevavault.com/ui/#object/email_activity__v/V8C00000003P580", "EN-002090835")</f>
        <v>EN-002090835</v>
      </c>
    </row>
    <row r="4167" spans="1:15" ht="32" x14ac:dyDescent="0.2">
      <c r="A4167" s="7" t="str">
        <f>HYPERLINK("https://otsuka-europe-crm.veevavault.com/ui/#object/account__v/V4TZ06G6O71S9ED", "KINGA MARIA LUKACS")</f>
        <v>KINGA MARIA LUKACS</v>
      </c>
      <c r="B4167" s="7" t="str">
        <f t="shared" si="328"/>
        <v>IT</v>
      </c>
      <c r="C4167" s="8" t="s">
        <v>44</v>
      </c>
      <c r="D4167" s="9" t="str">
        <f t="shared" si="329"/>
        <v>AE dialoghi di tempo fiducia e cura episodi 2-3-4</v>
      </c>
      <c r="E4167" s="10" t="str">
        <f>HYPERLINK("https://otsuka-europe-crm.veevavault.com/ui/#object/sent_email__v/VBL00000002P457", "SE-001433127")</f>
        <v>SE-001433127</v>
      </c>
      <c r="F4167" s="11"/>
      <c r="G4167" s="12">
        <v>0</v>
      </c>
      <c r="H4167" s="12">
        <v>0</v>
      </c>
      <c r="I4167" s="12">
        <v>0</v>
      </c>
      <c r="J4167" s="11"/>
      <c r="K4167" s="12">
        <v>0</v>
      </c>
      <c r="L4167" s="10" t="str">
        <f t="shared" si="330"/>
        <v>AE dialoghi di tempo fiducia e cura episodi 2-3-4</v>
      </c>
      <c r="M4167" s="10" t="str">
        <f t="shared" si="331"/>
        <v>nicoletta.vozza@crm.otsuka-europe.com</v>
      </c>
      <c r="N4167" s="13">
        <v>46181.338009259256</v>
      </c>
      <c r="O4167" s="14" t="str">
        <f>HYPERLINK("https://otsuka-europe-crm.veevavault.com/ui/#object/email_activity__v/V8C00000003O677", "EN-002090233")</f>
        <v>EN-002090233</v>
      </c>
    </row>
    <row r="4168" spans="1:15" ht="32" x14ac:dyDescent="0.2">
      <c r="A4168" s="7" t="str">
        <f>HYPERLINK("https://otsuka-europe-crm.veevavault.com/ui/#object/account__v/V4TZ06G6O71SBDL", "LARA MALVINI")</f>
        <v>LARA MALVINI</v>
      </c>
      <c r="B4168" s="7" t="str">
        <f t="shared" si="328"/>
        <v>IT</v>
      </c>
      <c r="C4168" s="8" t="s">
        <v>44</v>
      </c>
      <c r="D4168" s="9" t="str">
        <f t="shared" si="329"/>
        <v>AE dialoghi di tempo fiducia e cura episodi 2-3-4</v>
      </c>
      <c r="E4168" s="10" t="str">
        <f>HYPERLINK("https://otsuka-europe-crm.veevavault.com/ui/#object/sent_email__v/VBL00000002P458", "SE-001433128")</f>
        <v>SE-001433128</v>
      </c>
      <c r="F4168" s="11"/>
      <c r="G4168" s="12">
        <v>0</v>
      </c>
      <c r="H4168" s="12">
        <v>0</v>
      </c>
      <c r="I4168" s="12">
        <v>0</v>
      </c>
      <c r="J4168" s="11"/>
      <c r="K4168" s="12">
        <v>0</v>
      </c>
      <c r="L4168" s="10" t="str">
        <f t="shared" si="330"/>
        <v>AE dialoghi di tempo fiducia e cura episodi 2-3-4</v>
      </c>
      <c r="M4168" s="10" t="str">
        <f t="shared" si="331"/>
        <v>nicoletta.vozza@crm.otsuka-europe.com</v>
      </c>
      <c r="N4168" s="13">
        <v>46181.338020833333</v>
      </c>
      <c r="O4168" s="14" t="str">
        <f>HYPERLINK("https://otsuka-europe-crm.veevavault.com/ui/#object/email_activity__v/V8C00000003P337", "EN-002090343")</f>
        <v>EN-002090343</v>
      </c>
    </row>
    <row r="4169" spans="1:15" ht="32" x14ac:dyDescent="0.2">
      <c r="A4169" s="7" t="str">
        <f>HYPERLINK("https://otsuka-europe-crm.veevavault.com/ui/#object/account__v/V4TZ04ASG7NLBIT", "LARA TUMINO")</f>
        <v>LARA TUMINO</v>
      </c>
      <c r="B4169" s="7" t="str">
        <f t="shared" si="328"/>
        <v>IT</v>
      </c>
      <c r="C4169" s="8" t="s">
        <v>44</v>
      </c>
      <c r="D4169" s="9" t="str">
        <f t="shared" si="329"/>
        <v>AE dialoghi di tempo fiducia e cura episodi 2-3-4</v>
      </c>
      <c r="E4169" s="10" t="str">
        <f>HYPERLINK("https://otsuka-europe-crm.veevavault.com/ui/#object/sent_email__v/VBL00000002P459", "SE-001433129")</f>
        <v>SE-001433129</v>
      </c>
      <c r="F4169" s="11"/>
      <c r="G4169" s="12">
        <v>0</v>
      </c>
      <c r="H4169" s="12">
        <v>0</v>
      </c>
      <c r="I4169" s="12">
        <v>0</v>
      </c>
      <c r="J4169" s="11"/>
      <c r="K4169" s="12">
        <v>0</v>
      </c>
      <c r="L4169" s="10" t="str">
        <f t="shared" si="330"/>
        <v>AE dialoghi di tempo fiducia e cura episodi 2-3-4</v>
      </c>
      <c r="M4169" s="10" t="str">
        <f t="shared" si="331"/>
        <v>nicoletta.vozza@crm.otsuka-europe.com</v>
      </c>
      <c r="N4169" s="13">
        <v>46181.337962962964</v>
      </c>
      <c r="O4169" s="14" t="str">
        <f>HYPERLINK("https://otsuka-europe-crm.veevavault.com/ui/#object/email_activity__v/V8C00000003P244", "EN-002089822")</f>
        <v>EN-002089822</v>
      </c>
    </row>
    <row r="4170" spans="1:15" ht="32" x14ac:dyDescent="0.2">
      <c r="A4170" s="7" t="str">
        <f>HYPERLINK("https://otsuka-europe-crm.veevavault.com/ui/#object/account__v/V4TZ06G6O71S9VR", "LAURA AGNOLETTO")</f>
        <v>LAURA AGNOLETTO</v>
      </c>
      <c r="B4170" s="7" t="str">
        <f t="shared" si="328"/>
        <v>IT</v>
      </c>
      <c r="C4170" s="8" t="s">
        <v>44</v>
      </c>
      <c r="D4170" s="9" t="str">
        <f t="shared" si="329"/>
        <v>AE dialoghi di tempo fiducia e cura episodi 2-3-4</v>
      </c>
      <c r="E4170" s="10" t="str">
        <f>HYPERLINK("https://otsuka-europe-crm.veevavault.com/ui/#object/sent_email__v/VBL00000002P460", "SE-001433130")</f>
        <v>SE-001433130</v>
      </c>
      <c r="F4170" s="11"/>
      <c r="G4170" s="12">
        <v>0</v>
      </c>
      <c r="H4170" s="12">
        <v>0</v>
      </c>
      <c r="I4170" s="12">
        <v>0</v>
      </c>
      <c r="J4170" s="11"/>
      <c r="K4170" s="12">
        <v>0</v>
      </c>
      <c r="L4170" s="10" t="str">
        <f t="shared" si="330"/>
        <v>AE dialoghi di tempo fiducia e cura episodi 2-3-4</v>
      </c>
      <c r="M4170" s="10" t="str">
        <f t="shared" si="331"/>
        <v>nicoletta.vozza@crm.otsuka-europe.com</v>
      </c>
      <c r="N4170" s="13">
        <v>46181.337997685187</v>
      </c>
      <c r="O4170" s="14" t="str">
        <f>HYPERLINK("https://otsuka-europe-crm.veevavault.com/ui/#object/email_activity__v/V8C00000003O990", "EN-002090739")</f>
        <v>EN-002090739</v>
      </c>
    </row>
    <row r="4171" spans="1:15" ht="32" x14ac:dyDescent="0.2">
      <c r="A4171" s="7" t="str">
        <f>HYPERLINK("https://otsuka-europe-crm.veevavault.com/ui/#object/account__v/V4TZ06G6O8S90I5", "LAURA AMODEO")</f>
        <v>LAURA AMODEO</v>
      </c>
      <c r="B4171" s="7" t="str">
        <f t="shared" si="328"/>
        <v>IT</v>
      </c>
      <c r="C4171" s="8" t="s">
        <v>44</v>
      </c>
      <c r="D4171" s="9" t="str">
        <f t="shared" si="329"/>
        <v>AE dialoghi di tempo fiducia e cura episodi 2-3-4</v>
      </c>
      <c r="E4171" s="10" t="str">
        <f>HYPERLINK("https://otsuka-europe-crm.veevavault.com/ui/#object/sent_email__v/VBL00000002P461", "SE-001433131")</f>
        <v>SE-001433131</v>
      </c>
      <c r="F4171" s="11"/>
      <c r="G4171" s="12">
        <v>0</v>
      </c>
      <c r="H4171" s="12">
        <v>0</v>
      </c>
      <c r="I4171" s="12">
        <v>0</v>
      </c>
      <c r="J4171" s="11"/>
      <c r="K4171" s="12">
        <v>0</v>
      </c>
      <c r="L4171" s="10" t="str">
        <f t="shared" si="330"/>
        <v>AE dialoghi di tempo fiducia e cura episodi 2-3-4</v>
      </c>
      <c r="M4171" s="10" t="str">
        <f t="shared" si="331"/>
        <v>nicoletta.vozza@crm.otsuka-europe.com</v>
      </c>
      <c r="N4171" s="13">
        <v>46181.337997685187</v>
      </c>
      <c r="O4171" s="14" t="str">
        <f>HYPERLINK("https://otsuka-europe-crm.veevavault.com/ui/#object/email_activity__v/V8C00000003O761", "EN-002090317")</f>
        <v>EN-002090317</v>
      </c>
    </row>
    <row r="4172" spans="1:15" ht="32" x14ac:dyDescent="0.2">
      <c r="A4172" s="7" t="str">
        <f>HYPERLINK("https://otsuka-europe-crm.veevavault.com/ui/#object/account__v/V4TZ06G6O8O5NIQ", "LAURA ANGELA CREMASCHI")</f>
        <v>LAURA ANGELA CREMASCHI</v>
      </c>
      <c r="B4172" s="7" t="str">
        <f t="shared" si="328"/>
        <v>IT</v>
      </c>
      <c r="C4172" s="8" t="s">
        <v>44</v>
      </c>
      <c r="D4172" s="9" t="str">
        <f t="shared" si="329"/>
        <v>AE dialoghi di tempo fiducia e cura episodi 2-3-4</v>
      </c>
      <c r="E4172" s="10" t="str">
        <f>HYPERLINK("https://otsuka-europe-crm.veevavault.com/ui/#object/sent_email__v/VBL00000002P462", "SE-001433132")</f>
        <v>SE-001433132</v>
      </c>
      <c r="F4172" s="11"/>
      <c r="G4172" s="12">
        <v>0</v>
      </c>
      <c r="H4172" s="12">
        <v>0</v>
      </c>
      <c r="I4172" s="12">
        <v>0</v>
      </c>
      <c r="J4172" s="11"/>
      <c r="K4172" s="12">
        <v>0</v>
      </c>
      <c r="L4172" s="10" t="str">
        <f t="shared" si="330"/>
        <v>AE dialoghi di tempo fiducia e cura episodi 2-3-4</v>
      </c>
      <c r="M4172" s="10" t="str">
        <f t="shared" si="331"/>
        <v>nicoletta.vozza@crm.otsuka-europe.com</v>
      </c>
      <c r="N4172" s="13">
        <v>46181.338090277779</v>
      </c>
      <c r="O4172" s="14" t="str">
        <f>HYPERLINK("https://otsuka-europe-crm.veevavault.com/ui/#object/email_activity__v/V8C00000003P549", "EN-002090804")</f>
        <v>EN-002090804</v>
      </c>
    </row>
    <row r="4173" spans="1:15" ht="32" x14ac:dyDescent="0.2">
      <c r="A4173" s="7" t="str">
        <f>HYPERLINK("https://otsuka-europe-crm.veevavault.com/ui/#object/account__v/V4TZ06G6O71S9ZR", "LAURA BELLINI")</f>
        <v>LAURA BELLINI</v>
      </c>
      <c r="B4173" s="7" t="str">
        <f t="shared" si="328"/>
        <v>IT</v>
      </c>
      <c r="C4173" s="8" t="s">
        <v>44</v>
      </c>
      <c r="D4173" s="9" t="str">
        <f t="shared" si="329"/>
        <v>AE dialoghi di tempo fiducia e cura episodi 2-3-4</v>
      </c>
      <c r="E4173" s="10" t="str">
        <f>HYPERLINK("https://otsuka-europe-crm.veevavault.com/ui/#object/sent_email__v/VBL00000002P463", "SE-001433133")</f>
        <v>SE-001433133</v>
      </c>
      <c r="F4173" s="11"/>
      <c r="G4173" s="12">
        <v>0</v>
      </c>
      <c r="H4173" s="12">
        <v>0</v>
      </c>
      <c r="I4173" s="12">
        <v>0</v>
      </c>
      <c r="J4173" s="11"/>
      <c r="K4173" s="12">
        <v>0</v>
      </c>
      <c r="L4173" s="10" t="str">
        <f t="shared" si="330"/>
        <v>AE dialoghi di tempo fiducia e cura episodi 2-3-4</v>
      </c>
      <c r="M4173" s="10" t="str">
        <f t="shared" si="331"/>
        <v>nicoletta.vozza@crm.otsuka-europe.com</v>
      </c>
      <c r="N4173" s="13">
        <v>46181.338055555556</v>
      </c>
      <c r="O4173" s="14" t="str">
        <f>HYPERLINK("https://otsuka-europe-crm.veevavault.com/ui/#object/email_activity__v/V8C00000003P707", "EN-002090962")</f>
        <v>EN-002090962</v>
      </c>
    </row>
    <row r="4174" spans="1:15" ht="32" x14ac:dyDescent="0.2">
      <c r="A4174" s="7" t="str">
        <f>HYPERLINK("https://otsuka-europe-crm.veevavault.com/ui/#object/account__v/V4TZ06G6O84Y5EH", "LAURA CAPOBIANCO")</f>
        <v>LAURA CAPOBIANCO</v>
      </c>
      <c r="B4174" s="7" t="str">
        <f t="shared" si="328"/>
        <v>IT</v>
      </c>
      <c r="C4174" s="8" t="s">
        <v>44</v>
      </c>
      <c r="D4174" s="9" t="str">
        <f t="shared" si="329"/>
        <v>AE dialoghi di tempo fiducia e cura episodi 2-3-4</v>
      </c>
      <c r="E4174" s="10" t="str">
        <f>HYPERLINK("https://otsuka-europe-crm.veevavault.com/ui/#object/sent_email__v/VBL00000002P464", "SE-001433134")</f>
        <v>SE-001433134</v>
      </c>
      <c r="F4174" s="11"/>
      <c r="G4174" s="12">
        <v>0</v>
      </c>
      <c r="H4174" s="12">
        <v>0</v>
      </c>
      <c r="I4174" s="12">
        <v>0</v>
      </c>
      <c r="J4174" s="11"/>
      <c r="K4174" s="12">
        <v>0</v>
      </c>
      <c r="L4174" s="10" t="str">
        <f t="shared" si="330"/>
        <v>AE dialoghi di tempo fiducia e cura episodi 2-3-4</v>
      </c>
      <c r="M4174" s="10" t="str">
        <f t="shared" si="331"/>
        <v>nicoletta.vozza@crm.otsuka-europe.com</v>
      </c>
      <c r="N4174" s="13">
        <v>46181.338020833333</v>
      </c>
      <c r="O4174" s="14" t="str">
        <f>HYPERLINK("https://otsuka-europe-crm.veevavault.com/ui/#object/email_activity__v/V8C00000003P676", "EN-002090931")</f>
        <v>EN-002090931</v>
      </c>
    </row>
    <row r="4175" spans="1:15" ht="32" x14ac:dyDescent="0.2">
      <c r="A4175" s="7" t="str">
        <f>HYPERLINK("https://otsuka-europe-crm.veevavault.com/ui/#object/account__v/V4TZ06G6O71SB0Q", "LAURA CASSOLA")</f>
        <v>LAURA CASSOLA</v>
      </c>
      <c r="B4175" s="7" t="str">
        <f t="shared" si="328"/>
        <v>IT</v>
      </c>
      <c r="C4175" s="8" t="s">
        <v>44</v>
      </c>
      <c r="D4175" s="9" t="str">
        <f t="shared" si="329"/>
        <v>AE dialoghi di tempo fiducia e cura episodi 2-3-4</v>
      </c>
      <c r="E4175" s="10" t="str">
        <f>HYPERLINK("https://otsuka-europe-crm.veevavault.com/ui/#object/sent_email__v/VBL00000002P465", "SE-001433135")</f>
        <v>SE-001433135</v>
      </c>
      <c r="F4175" s="11"/>
      <c r="G4175" s="12">
        <v>0</v>
      </c>
      <c r="H4175" s="12">
        <v>0</v>
      </c>
      <c r="I4175" s="12">
        <v>0</v>
      </c>
      <c r="J4175" s="11"/>
      <c r="K4175" s="12">
        <v>0</v>
      </c>
      <c r="L4175" s="10" t="str">
        <f t="shared" si="330"/>
        <v>AE dialoghi di tempo fiducia e cura episodi 2-3-4</v>
      </c>
      <c r="M4175" s="10" t="str">
        <f t="shared" si="331"/>
        <v>nicoletta.vozza@crm.otsuka-europe.com</v>
      </c>
      <c r="N4175" s="13">
        <v>46181.338009259256</v>
      </c>
      <c r="O4175" s="14" t="str">
        <f>HYPERLINK("https://otsuka-europe-crm.veevavault.com/ui/#object/email_activity__v/V8C00000003O616", "EN-002090172")</f>
        <v>EN-002090172</v>
      </c>
    </row>
    <row r="4176" spans="1:15" ht="32" x14ac:dyDescent="0.2">
      <c r="A4176" s="7" t="str">
        <f>HYPERLINK("https://otsuka-europe-crm.veevavault.com/ui/#object/account__v/V4TZ04ASG6LH2ZI", "LAURA CICCONE")</f>
        <v>LAURA CICCONE</v>
      </c>
      <c r="B4176" s="7" t="str">
        <f t="shared" si="328"/>
        <v>IT</v>
      </c>
      <c r="C4176" s="8" t="s">
        <v>44</v>
      </c>
      <c r="D4176" s="9" t="str">
        <f t="shared" si="329"/>
        <v>AE dialoghi di tempo fiducia e cura episodi 2-3-4</v>
      </c>
      <c r="E4176" s="10" t="str">
        <f>HYPERLINK("https://otsuka-europe-crm.veevavault.com/ui/#object/sent_email__v/VBL00000002P466", "SE-001433136")</f>
        <v>SE-001433136</v>
      </c>
      <c r="F4176" s="11"/>
      <c r="G4176" s="12">
        <v>0</v>
      </c>
      <c r="H4176" s="12">
        <v>0</v>
      </c>
      <c r="I4176" s="12">
        <v>0</v>
      </c>
      <c r="J4176" s="11"/>
      <c r="K4176" s="12">
        <v>0</v>
      </c>
      <c r="L4176" s="10" t="str">
        <f t="shared" si="330"/>
        <v>AE dialoghi di tempo fiducia e cura episodi 2-3-4</v>
      </c>
      <c r="M4176" s="10" t="str">
        <f t="shared" si="331"/>
        <v>nicoletta.vozza@crm.otsuka-europe.com</v>
      </c>
      <c r="N4176" s="13">
        <v>46181.33797453704</v>
      </c>
      <c r="O4176" s="14" t="str">
        <f>HYPERLINK("https://otsuka-europe-crm.veevavault.com/ui/#object/email_activity__v/V8C00000003P159", "EN-002089559")</f>
        <v>EN-002089559</v>
      </c>
    </row>
    <row r="4177" spans="1:15" ht="32" x14ac:dyDescent="0.2">
      <c r="A4177" s="7" t="str">
        <f>HYPERLINK("https://otsuka-europe-crm.veevavault.com/ui/#object/account__v/V4TZ06G6O71SB2S", "LAURA COMINO")</f>
        <v>LAURA COMINO</v>
      </c>
      <c r="B4177" s="7" t="str">
        <f t="shared" si="328"/>
        <v>IT</v>
      </c>
      <c r="C4177" s="8" t="s">
        <v>44</v>
      </c>
      <c r="D4177" s="9" t="str">
        <f t="shared" si="329"/>
        <v>AE dialoghi di tempo fiducia e cura episodi 2-3-4</v>
      </c>
      <c r="E4177" s="10" t="str">
        <f>HYPERLINK("https://otsuka-europe-crm.veevavault.com/ui/#object/sent_email__v/VBL00000002P467", "SE-001433137")</f>
        <v>SE-001433137</v>
      </c>
      <c r="F4177" s="11"/>
      <c r="G4177" s="12">
        <v>0</v>
      </c>
      <c r="H4177" s="12">
        <v>0</v>
      </c>
      <c r="I4177" s="12">
        <v>0</v>
      </c>
      <c r="J4177" s="11"/>
      <c r="K4177" s="12">
        <v>0</v>
      </c>
      <c r="L4177" s="10" t="str">
        <f t="shared" si="330"/>
        <v>AE dialoghi di tempo fiducia e cura episodi 2-3-4</v>
      </c>
      <c r="M4177" s="10" t="str">
        <f t="shared" si="331"/>
        <v>nicoletta.vozza@crm.otsuka-europe.com</v>
      </c>
      <c r="N4177" s="13">
        <v>46181.338101851848</v>
      </c>
      <c r="O4177" s="14" t="str">
        <f>HYPERLINK("https://otsuka-europe-crm.veevavault.com/ui/#object/email_activity__v/V8C00000003P825", "EN-002091123")</f>
        <v>EN-002091123</v>
      </c>
    </row>
    <row r="4178" spans="1:15" ht="32" x14ac:dyDescent="0.2">
      <c r="A4178" s="7" t="str">
        <f>HYPERLINK("https://otsuka-europe-crm.veevavault.com/ui/#object/account__v/V4TZ06G6O71SB4E", "LAURA CRIPPA")</f>
        <v>LAURA CRIPPA</v>
      </c>
      <c r="B4178" s="7" t="str">
        <f t="shared" si="328"/>
        <v>IT</v>
      </c>
      <c r="C4178" s="8" t="s">
        <v>44</v>
      </c>
      <c r="D4178" s="9" t="str">
        <f t="shared" si="329"/>
        <v>AE dialoghi di tempo fiducia e cura episodi 2-3-4</v>
      </c>
      <c r="E4178" s="10" t="str">
        <f>HYPERLINK("https://otsuka-europe-crm.veevavault.com/ui/#object/sent_email__v/VBL00000002P468", "SE-001433138")</f>
        <v>SE-001433138</v>
      </c>
      <c r="F4178" s="11"/>
      <c r="G4178" s="12">
        <v>0</v>
      </c>
      <c r="H4178" s="12">
        <v>0</v>
      </c>
      <c r="I4178" s="12">
        <v>0</v>
      </c>
      <c r="J4178" s="11"/>
      <c r="K4178" s="12">
        <v>0</v>
      </c>
      <c r="L4178" s="10" t="str">
        <f t="shared" si="330"/>
        <v>AE dialoghi di tempo fiducia e cura episodi 2-3-4</v>
      </c>
      <c r="M4178" s="10" t="str">
        <f t="shared" si="331"/>
        <v>nicoletta.vozza@crm.otsuka-europe.com</v>
      </c>
      <c r="N4178" s="13">
        <v>46181.33798611111</v>
      </c>
      <c r="O4178" s="14" t="str">
        <f>HYPERLINK("https://otsuka-europe-crm.veevavault.com/ui/#object/email_activity__v/V8C00000003O288", "EN-002089765")</f>
        <v>EN-002089765</v>
      </c>
    </row>
    <row r="4179" spans="1:15" ht="16" x14ac:dyDescent="0.2">
      <c r="A4179" s="17" t="str">
        <f>HYPERLINK("https://otsuka-europe-crm.veevavault.com/ui/#object/account__v/V4TZ06G6O71SAAE", "LAURA DE CAPRARIIS")</f>
        <v>LAURA DE CAPRARIIS</v>
      </c>
      <c r="B4179" s="17" t="str">
        <f t="shared" si="328"/>
        <v>IT</v>
      </c>
      <c r="C4179" s="20" t="s">
        <v>44</v>
      </c>
      <c r="D4179" s="21" t="str">
        <f t="shared" si="329"/>
        <v>AE dialoghi di tempo fiducia e cura episodi 2-3-4</v>
      </c>
      <c r="E4179" s="22" t="str">
        <f>HYPERLINK("https://otsuka-europe-crm.veevavault.com/ui/#object/sent_email__v/VBL00000002P469", "SE-001433139")</f>
        <v>SE-001433139</v>
      </c>
      <c r="F4179" s="23">
        <v>46183.785694444443</v>
      </c>
      <c r="G4179" s="24">
        <v>1</v>
      </c>
      <c r="H4179" s="24">
        <v>2</v>
      </c>
      <c r="I4179" s="24">
        <v>0</v>
      </c>
      <c r="J4179" s="25"/>
      <c r="K4179" s="24">
        <v>0</v>
      </c>
      <c r="L4179" s="22" t="str">
        <f t="shared" si="330"/>
        <v>AE dialoghi di tempo fiducia e cura episodi 2-3-4</v>
      </c>
      <c r="M4179" s="22" t="str">
        <f t="shared" si="331"/>
        <v>nicoletta.vozza@crm.otsuka-europe.com</v>
      </c>
      <c r="N4179" s="23">
        <v>46181.33797453704</v>
      </c>
      <c r="O4179" s="14" t="str">
        <f>HYPERLINK("https://otsuka-europe-crm.veevavault.com/ui/#object/email_activity__v/V8C00000003O564", "EN-002090120")</f>
        <v>EN-002090120</v>
      </c>
    </row>
    <row r="4180" spans="1:15" ht="16" x14ac:dyDescent="0.2">
      <c r="A4180" s="18"/>
      <c r="B4180" s="18"/>
      <c r="C4180" s="18"/>
      <c r="D4180" s="18"/>
      <c r="E4180" s="18"/>
      <c r="F4180" s="18"/>
      <c r="G4180" s="18"/>
      <c r="H4180" s="18"/>
      <c r="I4180" s="18"/>
      <c r="J4180" s="18"/>
      <c r="K4180" s="18"/>
      <c r="L4180" s="18"/>
      <c r="M4180" s="18"/>
      <c r="N4180" s="18"/>
      <c r="O4180" s="14" t="str">
        <f>HYPERLINK("https://otsuka-europe-crm.veevavault.com/ui/#object/email_activity__v/V8C00000003Q668", "EN-002092176")</f>
        <v>EN-002092176</v>
      </c>
    </row>
    <row r="4181" spans="1:15" ht="16" x14ac:dyDescent="0.2">
      <c r="A4181" s="19"/>
      <c r="B4181" s="19"/>
      <c r="C4181" s="19"/>
      <c r="D4181" s="19"/>
      <c r="E4181" s="19"/>
      <c r="F4181" s="19"/>
      <c r="G4181" s="19"/>
      <c r="H4181" s="19"/>
      <c r="I4181" s="19"/>
      <c r="J4181" s="19"/>
      <c r="K4181" s="19"/>
      <c r="L4181" s="19"/>
      <c r="M4181" s="19"/>
      <c r="N4181" s="19"/>
      <c r="O4181" s="14" t="str">
        <f>HYPERLINK("https://otsuka-europe-crm.veevavault.com/ui/#object/email_activity__v/V8C00000003S756", "EN-002094382")</f>
        <v>EN-002094382</v>
      </c>
    </row>
    <row r="4182" spans="1:15" ht="32" x14ac:dyDescent="0.2">
      <c r="A4182" s="7" t="str">
        <f>HYPERLINK("https://otsuka-europe-crm.veevavault.com/ui/#object/account__v/V4TZ025E879BMYP", "LAURA DELL'UVA")</f>
        <v>LAURA DELL'UVA</v>
      </c>
      <c r="B4182" s="7" t="str">
        <f t="shared" ref="B4182:B4190" si="332">HYPERLINK("https://otsuka-europe-crm.veevavault.com/ui/#object/vcountry__v/VENZ000004SONFQ", "IT")</f>
        <v>IT</v>
      </c>
      <c r="C4182" s="8" t="s">
        <v>44</v>
      </c>
      <c r="D4182" s="9" t="str">
        <f t="shared" ref="D4182:D4190" si="333">HYPERLINK("https://otsuka-europe-crm.veevavault.com/ui/#object/approved_document__v/V5O000000018003", "AE dialoghi di tempo fiducia e cura episodi 2-3-4")</f>
        <v>AE dialoghi di tempo fiducia e cura episodi 2-3-4</v>
      </c>
      <c r="E4182" s="10" t="str">
        <f>HYPERLINK("https://otsuka-europe-crm.veevavault.com/ui/#object/sent_email__v/VBL00000002P470", "SE-001433140")</f>
        <v>SE-001433140</v>
      </c>
      <c r="F4182" s="11"/>
      <c r="G4182" s="12">
        <v>0</v>
      </c>
      <c r="H4182" s="12">
        <v>0</v>
      </c>
      <c r="I4182" s="12">
        <v>0</v>
      </c>
      <c r="J4182" s="11"/>
      <c r="K4182" s="12">
        <v>0</v>
      </c>
      <c r="L4182" s="10" t="str">
        <f t="shared" ref="L4182:L4190" si="334">HYPERLINK("https://otsuka-europe-crm.veevavault.com/ui/#object/approved_document__v/V5O000000018003", "AE dialoghi di tempo fiducia e cura episodi 2-3-4")</f>
        <v>AE dialoghi di tempo fiducia e cura episodi 2-3-4</v>
      </c>
      <c r="M4182" s="10" t="str">
        <f t="shared" ref="M4182:M4190" si="335">HYPERLINK("mailto:nicoletta.vozza@crm.otsuka-europe.com", "nicoletta.vozza@crm.otsuka-europe.com")</f>
        <v>nicoletta.vozza@crm.otsuka-europe.com</v>
      </c>
      <c r="N4182" s="13">
        <v>46181.337997685187</v>
      </c>
      <c r="O4182" s="14" t="str">
        <f>HYPERLINK("https://otsuka-europe-crm.veevavault.com/ui/#object/email_activity__v/V8C00000003P340", "EN-002090346")</f>
        <v>EN-002090346</v>
      </c>
    </row>
    <row r="4183" spans="1:15" ht="32" x14ac:dyDescent="0.2">
      <c r="A4183" s="7" t="str">
        <f>HYPERLINK("https://otsuka-europe-crm.veevavault.com/ui/#object/account__v/V4TZ06G6O71SAMD", "LAURA FOTI")</f>
        <v>LAURA FOTI</v>
      </c>
      <c r="B4183" s="7" t="str">
        <f t="shared" si="332"/>
        <v>IT</v>
      </c>
      <c r="C4183" s="8" t="s">
        <v>44</v>
      </c>
      <c r="D4183" s="9" t="str">
        <f t="shared" si="333"/>
        <v>AE dialoghi di tempo fiducia e cura episodi 2-3-4</v>
      </c>
      <c r="E4183" s="10" t="str">
        <f>HYPERLINK("https://otsuka-europe-crm.veevavault.com/ui/#object/sent_email__v/VBL00000002P471", "SE-001433141")</f>
        <v>SE-001433141</v>
      </c>
      <c r="F4183" s="11"/>
      <c r="G4183" s="12">
        <v>0</v>
      </c>
      <c r="H4183" s="12">
        <v>0</v>
      </c>
      <c r="I4183" s="12">
        <v>0</v>
      </c>
      <c r="J4183" s="11"/>
      <c r="K4183" s="12">
        <v>0</v>
      </c>
      <c r="L4183" s="10" t="str">
        <f t="shared" si="334"/>
        <v>AE dialoghi di tempo fiducia e cura episodi 2-3-4</v>
      </c>
      <c r="M4183" s="10" t="str">
        <f t="shared" si="335"/>
        <v>nicoletta.vozza@crm.otsuka-europe.com</v>
      </c>
      <c r="N4183" s="13">
        <v>46181.338020833333</v>
      </c>
      <c r="O4183" s="14" t="str">
        <f>HYPERLINK("https://otsuka-europe-crm.veevavault.com/ui/#object/email_activity__v/V8C00000003O782", "EN-002090442")</f>
        <v>EN-002090442</v>
      </c>
    </row>
    <row r="4184" spans="1:15" ht="32" x14ac:dyDescent="0.2">
      <c r="A4184" s="7" t="str">
        <f>HYPERLINK("https://otsuka-europe-crm.veevavault.com/ui/#object/account__v/V4TZ06G6O71S9DF", "LAURA FUSARO")</f>
        <v>LAURA FUSARO</v>
      </c>
      <c r="B4184" s="7" t="str">
        <f t="shared" si="332"/>
        <v>IT</v>
      </c>
      <c r="C4184" s="8" t="s">
        <v>44</v>
      </c>
      <c r="D4184" s="9" t="str">
        <f t="shared" si="333"/>
        <v>AE dialoghi di tempo fiducia e cura episodi 2-3-4</v>
      </c>
      <c r="E4184" s="10" t="str">
        <f>HYPERLINK("https://otsuka-europe-crm.veevavault.com/ui/#object/sent_email__v/VBL00000002P472", "SE-001433142")</f>
        <v>SE-001433142</v>
      </c>
      <c r="F4184" s="11"/>
      <c r="G4184" s="12">
        <v>0</v>
      </c>
      <c r="H4184" s="12">
        <v>0</v>
      </c>
      <c r="I4184" s="12">
        <v>0</v>
      </c>
      <c r="J4184" s="11"/>
      <c r="K4184" s="12">
        <v>0</v>
      </c>
      <c r="L4184" s="10" t="str">
        <f t="shared" si="334"/>
        <v>AE dialoghi di tempo fiducia e cura episodi 2-3-4</v>
      </c>
      <c r="M4184" s="10" t="str">
        <f t="shared" si="335"/>
        <v>nicoletta.vozza@crm.otsuka-europe.com</v>
      </c>
      <c r="N4184" s="13">
        <v>46181.338043981479</v>
      </c>
      <c r="O4184" s="14" t="str">
        <f>HYPERLINK("https://otsuka-europe-crm.veevavault.com/ui/#object/email_activity__v/V8C00000003P745", "EN-002091043")</f>
        <v>EN-002091043</v>
      </c>
    </row>
    <row r="4185" spans="1:15" ht="32" x14ac:dyDescent="0.2">
      <c r="A4185" s="7" t="str">
        <f>HYPERLINK("https://otsuka-europe-crm.veevavault.com/ui/#object/account__v/V4TZ06G6O71S9EM", "LAURA GAVA")</f>
        <v>LAURA GAVA</v>
      </c>
      <c r="B4185" s="7" t="str">
        <f t="shared" si="332"/>
        <v>IT</v>
      </c>
      <c r="C4185" s="8" t="s">
        <v>44</v>
      </c>
      <c r="D4185" s="9" t="str">
        <f t="shared" si="333"/>
        <v>AE dialoghi di tempo fiducia e cura episodi 2-3-4</v>
      </c>
      <c r="E4185" s="10" t="str">
        <f>HYPERLINK("https://otsuka-europe-crm.veevavault.com/ui/#object/sent_email__v/VBL00000002P473", "SE-001433143")</f>
        <v>SE-001433143</v>
      </c>
      <c r="F4185" s="11"/>
      <c r="G4185" s="12">
        <v>0</v>
      </c>
      <c r="H4185" s="12">
        <v>0</v>
      </c>
      <c r="I4185" s="12">
        <v>0</v>
      </c>
      <c r="J4185" s="11"/>
      <c r="K4185" s="12">
        <v>0</v>
      </c>
      <c r="L4185" s="10" t="str">
        <f t="shared" si="334"/>
        <v>AE dialoghi di tempo fiducia e cura episodi 2-3-4</v>
      </c>
      <c r="M4185" s="10" t="str">
        <f t="shared" si="335"/>
        <v>nicoletta.vozza@crm.otsuka-europe.com</v>
      </c>
      <c r="N4185" s="13">
        <v>46181.338009259256</v>
      </c>
      <c r="O4185" s="14" t="str">
        <f>HYPERLINK("https://otsuka-europe-crm.veevavault.com/ui/#object/email_activity__v/V8C00000003O824", "EN-002090526")</f>
        <v>EN-002090526</v>
      </c>
    </row>
    <row r="4186" spans="1:15" ht="32" x14ac:dyDescent="0.2">
      <c r="A4186" s="7" t="str">
        <f>HYPERLINK("https://otsuka-europe-crm.veevavault.com/ui/#object/account__v/V4TZ06G6O71SAQ7", "LAURA GHIRINGHELLI")</f>
        <v>LAURA GHIRINGHELLI</v>
      </c>
      <c r="B4186" s="7" t="str">
        <f t="shared" si="332"/>
        <v>IT</v>
      </c>
      <c r="C4186" s="8" t="s">
        <v>44</v>
      </c>
      <c r="D4186" s="9" t="str">
        <f t="shared" si="333"/>
        <v>AE dialoghi di tempo fiducia e cura episodi 2-3-4</v>
      </c>
      <c r="E4186" s="10" t="str">
        <f>HYPERLINK("https://otsuka-europe-crm.veevavault.com/ui/#object/sent_email__v/VBL00000002P474", "SE-001433144")</f>
        <v>SE-001433144</v>
      </c>
      <c r="F4186" s="11"/>
      <c r="G4186" s="12">
        <v>0</v>
      </c>
      <c r="H4186" s="12">
        <v>0</v>
      </c>
      <c r="I4186" s="12">
        <v>0</v>
      </c>
      <c r="J4186" s="11"/>
      <c r="K4186" s="12">
        <v>0</v>
      </c>
      <c r="L4186" s="10" t="str">
        <f t="shared" si="334"/>
        <v>AE dialoghi di tempo fiducia e cura episodi 2-3-4</v>
      </c>
      <c r="M4186" s="10" t="str">
        <f t="shared" si="335"/>
        <v>nicoletta.vozza@crm.otsuka-europe.com</v>
      </c>
      <c r="N4186" s="13">
        <v>46181.338020833333</v>
      </c>
      <c r="O4186" s="14" t="str">
        <f>HYPERLINK("https://otsuka-europe-crm.veevavault.com/ui/#object/email_activity__v/V8C00000003O835", "EN-002090537")</f>
        <v>EN-002090537</v>
      </c>
    </row>
    <row r="4187" spans="1:15" ht="32" x14ac:dyDescent="0.2">
      <c r="A4187" s="7" t="str">
        <f>HYPERLINK("https://otsuka-europe-crm.veevavault.com/ui/#object/account__v/V4TZ06G6O71TFSZ", "LAURA GUALCO")</f>
        <v>LAURA GUALCO</v>
      </c>
      <c r="B4187" s="7" t="str">
        <f t="shared" si="332"/>
        <v>IT</v>
      </c>
      <c r="C4187" s="8" t="s">
        <v>44</v>
      </c>
      <c r="D4187" s="9" t="str">
        <f t="shared" si="333"/>
        <v>AE dialoghi di tempo fiducia e cura episodi 2-3-4</v>
      </c>
      <c r="E4187" s="10" t="str">
        <f>HYPERLINK("https://otsuka-europe-crm.veevavault.com/ui/#object/sent_email__v/VBL00000002P475", "SE-001433145")</f>
        <v>SE-001433145</v>
      </c>
      <c r="F4187" s="11"/>
      <c r="G4187" s="12">
        <v>0</v>
      </c>
      <c r="H4187" s="12">
        <v>0</v>
      </c>
      <c r="I4187" s="12">
        <v>0</v>
      </c>
      <c r="J4187" s="11"/>
      <c r="K4187" s="12">
        <v>0</v>
      </c>
      <c r="L4187" s="10" t="str">
        <f t="shared" si="334"/>
        <v>AE dialoghi di tempo fiducia e cura episodi 2-3-4</v>
      </c>
      <c r="M4187" s="10" t="str">
        <f t="shared" si="335"/>
        <v>nicoletta.vozza@crm.otsuka-europe.com</v>
      </c>
      <c r="N4187" s="13">
        <v>46181.338055555556</v>
      </c>
      <c r="O4187" s="14" t="str">
        <f>HYPERLINK("https://otsuka-europe-crm.veevavault.com/ui/#object/email_activity__v/V8C00000003O498", "EN-002090054")</f>
        <v>EN-002090054</v>
      </c>
    </row>
    <row r="4188" spans="1:15" ht="32" x14ac:dyDescent="0.2">
      <c r="A4188" s="7" t="str">
        <f>HYPERLINK("https://otsuka-europe-crm.veevavault.com/ui/#object/account__v/V4TZ06G6O71S9BZ", "LAURA LAFFRANCHINI")</f>
        <v>LAURA LAFFRANCHINI</v>
      </c>
      <c r="B4188" s="7" t="str">
        <f t="shared" si="332"/>
        <v>IT</v>
      </c>
      <c r="C4188" s="8" t="s">
        <v>44</v>
      </c>
      <c r="D4188" s="9" t="str">
        <f t="shared" si="333"/>
        <v>AE dialoghi di tempo fiducia e cura episodi 2-3-4</v>
      </c>
      <c r="E4188" s="10" t="str">
        <f>HYPERLINK("https://otsuka-europe-crm.veevavault.com/ui/#object/sent_email__v/VBL00000002P476", "SE-001433146")</f>
        <v>SE-001433146</v>
      </c>
      <c r="F4188" s="11"/>
      <c r="G4188" s="12">
        <v>0</v>
      </c>
      <c r="H4188" s="12">
        <v>0</v>
      </c>
      <c r="I4188" s="12">
        <v>0</v>
      </c>
      <c r="J4188" s="11"/>
      <c r="K4188" s="12">
        <v>0</v>
      </c>
      <c r="L4188" s="10" t="str">
        <f t="shared" si="334"/>
        <v>AE dialoghi di tempo fiducia e cura episodi 2-3-4</v>
      </c>
      <c r="M4188" s="10" t="str">
        <f t="shared" si="335"/>
        <v>nicoletta.vozza@crm.otsuka-europe.com</v>
      </c>
      <c r="N4188" s="13">
        <v>46181.338043981479</v>
      </c>
      <c r="O4188" s="14" t="str">
        <f>HYPERLINK("https://otsuka-europe-crm.veevavault.com/ui/#object/email_activity__v/V8C00000003P417", "EN-002090423")</f>
        <v>EN-002090423</v>
      </c>
    </row>
    <row r="4189" spans="1:15" ht="32" x14ac:dyDescent="0.2">
      <c r="A4189" s="7" t="str">
        <f>HYPERLINK("https://otsuka-europe-crm.veevavault.com/ui/#object/account__v/V4TZ025E875DS92", "LAURA MARIA BEATRICE CAZZANIGA")</f>
        <v>LAURA MARIA BEATRICE CAZZANIGA</v>
      </c>
      <c r="B4189" s="7" t="str">
        <f t="shared" si="332"/>
        <v>IT</v>
      </c>
      <c r="C4189" s="8" t="s">
        <v>44</v>
      </c>
      <c r="D4189" s="9" t="str">
        <f t="shared" si="333"/>
        <v>AE dialoghi di tempo fiducia e cura episodi 2-3-4</v>
      </c>
      <c r="E4189" s="10" t="str">
        <f>HYPERLINK("https://otsuka-europe-crm.veevavault.com/ui/#object/sent_email__v/VBL00000002P477", "SE-001433147")</f>
        <v>SE-001433147</v>
      </c>
      <c r="F4189" s="11"/>
      <c r="G4189" s="12">
        <v>0</v>
      </c>
      <c r="H4189" s="12">
        <v>0</v>
      </c>
      <c r="I4189" s="12">
        <v>0</v>
      </c>
      <c r="J4189" s="11"/>
      <c r="K4189" s="12">
        <v>0</v>
      </c>
      <c r="L4189" s="10" t="str">
        <f t="shared" si="334"/>
        <v>AE dialoghi di tempo fiducia e cura episodi 2-3-4</v>
      </c>
      <c r="M4189" s="10" t="str">
        <f t="shared" si="335"/>
        <v>nicoletta.vozza@crm.otsuka-europe.com</v>
      </c>
      <c r="N4189" s="13">
        <v>46181.338090277779</v>
      </c>
      <c r="O4189" s="14" t="str">
        <f>HYPERLINK("https://otsuka-europe-crm.veevavault.com/ui/#object/email_activity__v/V8C00000003Q070", "EN-002091135")</f>
        <v>EN-002091135</v>
      </c>
    </row>
    <row r="4190" spans="1:15" ht="16" x14ac:dyDescent="0.2">
      <c r="A4190" s="17" t="str">
        <f>HYPERLINK("https://otsuka-europe-crm.veevavault.com/ui/#object/account__v/V4TZ06G6O71S9NJ", "LAURA MONTEMAGNO")</f>
        <v>LAURA MONTEMAGNO</v>
      </c>
      <c r="B4190" s="17" t="str">
        <f t="shared" si="332"/>
        <v>IT</v>
      </c>
      <c r="C4190" s="20" t="s">
        <v>44</v>
      </c>
      <c r="D4190" s="21" t="str">
        <f t="shared" si="333"/>
        <v>AE dialoghi di tempo fiducia e cura episodi 2-3-4</v>
      </c>
      <c r="E4190" s="22" t="str">
        <f>HYPERLINK("https://otsuka-europe-crm.veevavault.com/ui/#object/sent_email__v/VBL00000002P478", "SE-001433148")</f>
        <v>SE-001433148</v>
      </c>
      <c r="F4190" s="23">
        <v>46181.339398148149</v>
      </c>
      <c r="G4190" s="24">
        <v>1</v>
      </c>
      <c r="H4190" s="24">
        <v>1</v>
      </c>
      <c r="I4190" s="24">
        <v>0</v>
      </c>
      <c r="J4190" s="25"/>
      <c r="K4190" s="24">
        <v>0</v>
      </c>
      <c r="L4190" s="22" t="str">
        <f t="shared" si="334"/>
        <v>AE dialoghi di tempo fiducia e cura episodi 2-3-4</v>
      </c>
      <c r="M4190" s="22" t="str">
        <f t="shared" si="335"/>
        <v>nicoletta.vozza@crm.otsuka-europe.com</v>
      </c>
      <c r="N4190" s="23">
        <v>46181.33798611111</v>
      </c>
      <c r="O4190" s="14" t="str">
        <f>HYPERLINK("https://otsuka-europe-crm.veevavault.com/ui/#object/email_activity__v/V8C00000003P224", "EN-002089670")</f>
        <v>EN-002089670</v>
      </c>
    </row>
    <row r="4191" spans="1:15" ht="16" x14ac:dyDescent="0.2">
      <c r="A4191" s="19"/>
      <c r="B4191" s="19"/>
      <c r="C4191" s="19"/>
      <c r="D4191" s="19"/>
      <c r="E4191" s="19"/>
      <c r="F4191" s="19"/>
      <c r="G4191" s="19"/>
      <c r="H4191" s="19"/>
      <c r="I4191" s="19"/>
      <c r="J4191" s="19"/>
      <c r="K4191" s="19"/>
      <c r="L4191" s="19"/>
      <c r="M4191" s="19"/>
      <c r="N4191" s="19"/>
      <c r="O4191" s="14" t="str">
        <f>HYPERLINK("https://otsuka-europe-crm.veevavault.com/ui/#object/email_activity__v/V8C00000003Q281", "EN-002091403")</f>
        <v>EN-002091403</v>
      </c>
    </row>
    <row r="4192" spans="1:15" ht="32" x14ac:dyDescent="0.2">
      <c r="A4192" s="7" t="str">
        <f>HYPERLINK("https://otsuka-europe-crm.veevavault.com/ui/#object/account__v/V4TZ06G6O71SBKZ", "LAURA MORRA")</f>
        <v>LAURA MORRA</v>
      </c>
      <c r="B4192" s="7" t="str">
        <f>HYPERLINK("https://otsuka-europe-crm.veevavault.com/ui/#object/vcountry__v/VENZ000004SONFQ", "IT")</f>
        <v>IT</v>
      </c>
      <c r="C4192" s="8" t="s">
        <v>44</v>
      </c>
      <c r="D4192" s="9" t="str">
        <f>HYPERLINK("https://otsuka-europe-crm.veevavault.com/ui/#object/approved_document__v/V5O000000018003", "AE dialoghi di tempo fiducia e cura episodi 2-3-4")</f>
        <v>AE dialoghi di tempo fiducia e cura episodi 2-3-4</v>
      </c>
      <c r="E4192" s="10" t="str">
        <f>HYPERLINK("https://otsuka-europe-crm.veevavault.com/ui/#object/sent_email__v/VBL00000002P479", "SE-001433149")</f>
        <v>SE-001433149</v>
      </c>
      <c r="F4192" s="11"/>
      <c r="G4192" s="12">
        <v>0</v>
      </c>
      <c r="H4192" s="12">
        <v>0</v>
      </c>
      <c r="I4192" s="12">
        <v>0</v>
      </c>
      <c r="J4192" s="11"/>
      <c r="K4192" s="12">
        <v>0</v>
      </c>
      <c r="L4192" s="10" t="str">
        <f>HYPERLINK("https://otsuka-europe-crm.veevavault.com/ui/#object/approved_document__v/V5O000000018003", "AE dialoghi di tempo fiducia e cura episodi 2-3-4")</f>
        <v>AE dialoghi di tempo fiducia e cura episodi 2-3-4</v>
      </c>
      <c r="M4192" s="10" t="str">
        <f>HYPERLINK("mailto:nicoletta.vozza@crm.otsuka-europe.com", "nicoletta.vozza@crm.otsuka-europe.com")</f>
        <v>nicoletta.vozza@crm.otsuka-europe.com</v>
      </c>
      <c r="N4192" s="13">
        <v>46181.33803240741</v>
      </c>
      <c r="O4192" s="14" t="str">
        <f>HYPERLINK("https://otsuka-europe-crm.veevavault.com/ui/#object/email_activity__v/V8C00000003P524", "EN-002090779")</f>
        <v>EN-002090779</v>
      </c>
    </row>
    <row r="4193" spans="1:15" ht="16" x14ac:dyDescent="0.2">
      <c r="A4193" s="17" t="str">
        <f>HYPERLINK("https://otsuka-europe-crm.veevavault.com/ui/#object/account__v/V4TZ06G6O71SBR3", "LAURA PENNA")</f>
        <v>LAURA PENNA</v>
      </c>
      <c r="B4193" s="17" t="str">
        <f>HYPERLINK("https://otsuka-europe-crm.veevavault.com/ui/#object/vcountry__v/VENZ000004SONFQ", "IT")</f>
        <v>IT</v>
      </c>
      <c r="C4193" s="20" t="s">
        <v>44</v>
      </c>
      <c r="D4193" s="21" t="str">
        <f>HYPERLINK("https://otsuka-europe-crm.veevavault.com/ui/#object/approved_document__v/V5O000000018003", "AE dialoghi di tempo fiducia e cura episodi 2-3-4")</f>
        <v>AE dialoghi di tempo fiducia e cura episodi 2-3-4</v>
      </c>
      <c r="E4193" s="22" t="str">
        <f>HYPERLINK("https://otsuka-europe-crm.veevavault.com/ui/#object/sent_email__v/VBL00000002P480", "SE-001433150")</f>
        <v>SE-001433150</v>
      </c>
      <c r="F4193" s="23">
        <v>46181.417650462965</v>
      </c>
      <c r="G4193" s="24">
        <v>1</v>
      </c>
      <c r="H4193" s="24">
        <v>1</v>
      </c>
      <c r="I4193" s="24">
        <v>0</v>
      </c>
      <c r="J4193" s="25"/>
      <c r="K4193" s="24">
        <v>0</v>
      </c>
      <c r="L4193" s="22" t="str">
        <f>HYPERLINK("https://otsuka-europe-crm.veevavault.com/ui/#object/approved_document__v/V5O000000018003", "AE dialoghi di tempo fiducia e cura episodi 2-3-4")</f>
        <v>AE dialoghi di tempo fiducia e cura episodi 2-3-4</v>
      </c>
      <c r="M4193" s="22" t="str">
        <f>HYPERLINK("mailto:nicoletta.vozza@crm.otsuka-europe.com", "nicoletta.vozza@crm.otsuka-europe.com")</f>
        <v>nicoletta.vozza@crm.otsuka-europe.com</v>
      </c>
      <c r="N4193" s="23">
        <v>46181.338020833333</v>
      </c>
      <c r="O4193" s="14" t="str">
        <f>HYPERLINK("https://otsuka-europe-crm.veevavault.com/ui/#object/email_activity__v/V8C00000003Q081", "EN-002091146")</f>
        <v>EN-002091146</v>
      </c>
    </row>
    <row r="4194" spans="1:15" ht="16" x14ac:dyDescent="0.2">
      <c r="A4194" s="19"/>
      <c r="B4194" s="19"/>
      <c r="C4194" s="19"/>
      <c r="D4194" s="19"/>
      <c r="E4194" s="19"/>
      <c r="F4194" s="19"/>
      <c r="G4194" s="19"/>
      <c r="H4194" s="19"/>
      <c r="I4194" s="19"/>
      <c r="J4194" s="19"/>
      <c r="K4194" s="19"/>
      <c r="L4194" s="19"/>
      <c r="M4194" s="19"/>
      <c r="N4194" s="19"/>
      <c r="O4194" s="14" t="str">
        <f>HYPERLINK("https://otsuka-europe-crm.veevavault.com/ui/#object/email_activity__v/V8C00000003R052", "EN-002091785")</f>
        <v>EN-002091785</v>
      </c>
    </row>
    <row r="4195" spans="1:15" ht="32" x14ac:dyDescent="0.2">
      <c r="A4195" s="7" t="str">
        <f>HYPERLINK("https://otsuka-europe-crm.veevavault.com/ui/#object/account__v/V4TZ06G6O71SBRL", "LAURA PERUZZO")</f>
        <v>LAURA PERUZZO</v>
      </c>
      <c r="B4195" s="7" t="str">
        <f t="shared" ref="B4195:B4200" si="336">HYPERLINK("https://otsuka-europe-crm.veevavault.com/ui/#object/vcountry__v/VENZ000004SONFQ", "IT")</f>
        <v>IT</v>
      </c>
      <c r="C4195" s="8" t="s">
        <v>44</v>
      </c>
      <c r="D4195" s="9" t="str">
        <f t="shared" ref="D4195:D4200" si="337">HYPERLINK("https://otsuka-europe-crm.veevavault.com/ui/#object/approved_document__v/V5O000000018003", "AE dialoghi di tempo fiducia e cura episodi 2-3-4")</f>
        <v>AE dialoghi di tempo fiducia e cura episodi 2-3-4</v>
      </c>
      <c r="E4195" s="10" t="str">
        <f>HYPERLINK("https://otsuka-europe-crm.veevavault.com/ui/#object/sent_email__v/VBL00000002P481", "SE-001433151")</f>
        <v>SE-001433151</v>
      </c>
      <c r="F4195" s="11"/>
      <c r="G4195" s="12">
        <v>0</v>
      </c>
      <c r="H4195" s="12">
        <v>0</v>
      </c>
      <c r="I4195" s="12">
        <v>0</v>
      </c>
      <c r="J4195" s="11"/>
      <c r="K4195" s="12">
        <v>0</v>
      </c>
      <c r="L4195" s="10" t="str">
        <f t="shared" ref="L4195:L4200" si="338">HYPERLINK("https://otsuka-europe-crm.veevavault.com/ui/#object/approved_document__v/V5O000000018003", "AE dialoghi di tempo fiducia e cura episodi 2-3-4")</f>
        <v>AE dialoghi di tempo fiducia e cura episodi 2-3-4</v>
      </c>
      <c r="M4195" s="10" t="str">
        <f t="shared" ref="M4195:M4200" si="339">HYPERLINK("mailto:nicoletta.vozza@crm.otsuka-europe.com", "nicoletta.vozza@crm.otsuka-europe.com")</f>
        <v>nicoletta.vozza@crm.otsuka-europe.com</v>
      </c>
      <c r="N4195" s="13">
        <v>46181.338020833333</v>
      </c>
      <c r="O4195" s="14" t="str">
        <f>HYPERLINK("https://otsuka-europe-crm.veevavault.com/ui/#object/email_activity__v/V8C00000003O878", "EN-002090481")</f>
        <v>EN-002090481</v>
      </c>
    </row>
    <row r="4196" spans="1:15" ht="32" x14ac:dyDescent="0.2">
      <c r="A4196" s="7" t="str">
        <f>HYPERLINK("https://otsuka-europe-crm.veevavault.com/ui/#object/account__v/V4TZ06G6O71TFTS", "LAURA QUAGLIARINI")</f>
        <v>LAURA QUAGLIARINI</v>
      </c>
      <c r="B4196" s="7" t="str">
        <f t="shared" si="336"/>
        <v>IT</v>
      </c>
      <c r="C4196" s="8" t="s">
        <v>44</v>
      </c>
      <c r="D4196" s="9" t="str">
        <f t="shared" si="337"/>
        <v>AE dialoghi di tempo fiducia e cura episodi 2-3-4</v>
      </c>
      <c r="E4196" s="10" t="str">
        <f>HYPERLINK("https://otsuka-europe-crm.veevavault.com/ui/#object/sent_email__v/VBL00000002P482", "SE-001433152")</f>
        <v>SE-001433152</v>
      </c>
      <c r="F4196" s="11"/>
      <c r="G4196" s="12">
        <v>0</v>
      </c>
      <c r="H4196" s="12">
        <v>0</v>
      </c>
      <c r="I4196" s="12">
        <v>0</v>
      </c>
      <c r="J4196" s="11"/>
      <c r="K4196" s="12">
        <v>0</v>
      </c>
      <c r="L4196" s="10" t="str">
        <f t="shared" si="338"/>
        <v>AE dialoghi di tempo fiducia e cura episodi 2-3-4</v>
      </c>
      <c r="M4196" s="10" t="str">
        <f t="shared" si="339"/>
        <v>nicoletta.vozza@crm.otsuka-europe.com</v>
      </c>
      <c r="N4196" s="13">
        <v>46181.33798611111</v>
      </c>
      <c r="O4196" s="14" t="str">
        <f>HYPERLINK("https://otsuka-europe-crm.veevavault.com/ui/#object/email_activity__v/V8C00000003O217", "EN-002089694")</f>
        <v>EN-002089694</v>
      </c>
    </row>
    <row r="4197" spans="1:15" ht="32" x14ac:dyDescent="0.2">
      <c r="A4197" s="7" t="str">
        <f>HYPERLINK("https://otsuka-europe-crm.veevavault.com/ui/#object/account__v/V4TZ06G6O71S9L4", "LAURA SAPIENZA")</f>
        <v>LAURA SAPIENZA</v>
      </c>
      <c r="B4197" s="7" t="str">
        <f t="shared" si="336"/>
        <v>IT</v>
      </c>
      <c r="C4197" s="8" t="s">
        <v>44</v>
      </c>
      <c r="D4197" s="9" t="str">
        <f t="shared" si="337"/>
        <v>AE dialoghi di tempo fiducia e cura episodi 2-3-4</v>
      </c>
      <c r="E4197" s="10" t="str">
        <f>HYPERLINK("https://otsuka-europe-crm.veevavault.com/ui/#object/sent_email__v/VBL00000002P483", "SE-001433153")</f>
        <v>SE-001433153</v>
      </c>
      <c r="F4197" s="11"/>
      <c r="G4197" s="12">
        <v>0</v>
      </c>
      <c r="H4197" s="12">
        <v>0</v>
      </c>
      <c r="I4197" s="12">
        <v>0</v>
      </c>
      <c r="J4197" s="11"/>
      <c r="K4197" s="12">
        <v>0</v>
      </c>
      <c r="L4197" s="10" t="str">
        <f t="shared" si="338"/>
        <v>AE dialoghi di tempo fiducia e cura episodi 2-3-4</v>
      </c>
      <c r="M4197" s="10" t="str">
        <f t="shared" si="339"/>
        <v>nicoletta.vozza@crm.otsuka-europe.com</v>
      </c>
      <c r="N4197" s="13">
        <v>46181.338078703702</v>
      </c>
      <c r="O4197" s="14" t="str">
        <f>HYPERLINK("https://otsuka-europe-crm.veevavault.com/ui/#object/email_activity__v/V8C00000003P612", "EN-002090867")</f>
        <v>EN-002090867</v>
      </c>
    </row>
    <row r="4198" spans="1:15" ht="32" x14ac:dyDescent="0.2">
      <c r="A4198" s="7" t="str">
        <f>HYPERLINK("https://otsuka-europe-crm.veevavault.com/ui/#object/account__v/V4TZ06G6O71S9DK", "LAURA TERRANOVA")</f>
        <v>LAURA TERRANOVA</v>
      </c>
      <c r="B4198" s="7" t="str">
        <f t="shared" si="336"/>
        <v>IT</v>
      </c>
      <c r="C4198" s="8" t="s">
        <v>44</v>
      </c>
      <c r="D4198" s="9" t="str">
        <f t="shared" si="337"/>
        <v>AE dialoghi di tempo fiducia e cura episodi 2-3-4</v>
      </c>
      <c r="E4198" s="10" t="str">
        <f>HYPERLINK("https://otsuka-europe-crm.veevavault.com/ui/#object/sent_email__v/VBL00000002P484", "SE-001433154")</f>
        <v>SE-001433154</v>
      </c>
      <c r="F4198" s="11"/>
      <c r="G4198" s="12">
        <v>0</v>
      </c>
      <c r="H4198" s="12">
        <v>0</v>
      </c>
      <c r="I4198" s="12">
        <v>0</v>
      </c>
      <c r="J4198" s="11"/>
      <c r="K4198" s="12">
        <v>0</v>
      </c>
      <c r="L4198" s="10" t="str">
        <f t="shared" si="338"/>
        <v>AE dialoghi di tempo fiducia e cura episodi 2-3-4</v>
      </c>
      <c r="M4198" s="10" t="str">
        <f t="shared" si="339"/>
        <v>nicoletta.vozza@crm.otsuka-europe.com</v>
      </c>
      <c r="N4198" s="13">
        <v>46181.338020833333</v>
      </c>
      <c r="O4198" s="14" t="str">
        <f>HYPERLINK("https://otsuka-europe-crm.veevavault.com/ui/#object/email_activity__v/V8C00000003O764", "EN-002090320")</f>
        <v>EN-002090320</v>
      </c>
    </row>
    <row r="4199" spans="1:15" ht="32" x14ac:dyDescent="0.2">
      <c r="A4199" s="7" t="str">
        <f>HYPERLINK("https://otsuka-europe-crm.veevavault.com/ui/#object/account__v/V4TZ06G6O71SCMS", "LAURA TINTI")</f>
        <v>LAURA TINTI</v>
      </c>
      <c r="B4199" s="7" t="str">
        <f t="shared" si="336"/>
        <v>IT</v>
      </c>
      <c r="C4199" s="8" t="s">
        <v>44</v>
      </c>
      <c r="D4199" s="9" t="str">
        <f t="shared" si="337"/>
        <v>AE dialoghi di tempo fiducia e cura episodi 2-3-4</v>
      </c>
      <c r="E4199" s="10" t="str">
        <f>HYPERLINK("https://otsuka-europe-crm.veevavault.com/ui/#object/sent_email__v/VBL00000002P485", "SE-001433155")</f>
        <v>SE-001433155</v>
      </c>
      <c r="F4199" s="11"/>
      <c r="G4199" s="12">
        <v>0</v>
      </c>
      <c r="H4199" s="12">
        <v>0</v>
      </c>
      <c r="I4199" s="12">
        <v>0</v>
      </c>
      <c r="J4199" s="11"/>
      <c r="K4199" s="12">
        <v>0</v>
      </c>
      <c r="L4199" s="10" t="str">
        <f t="shared" si="338"/>
        <v>AE dialoghi di tempo fiducia e cura episodi 2-3-4</v>
      </c>
      <c r="M4199" s="10" t="str">
        <f t="shared" si="339"/>
        <v>nicoletta.vozza@crm.otsuka-europe.com</v>
      </c>
      <c r="N4199" s="13">
        <v>46181.338043981479</v>
      </c>
      <c r="O4199" s="14" t="str">
        <f>HYPERLINK("https://otsuka-europe-crm.veevavault.com/ui/#object/email_activity__v/V8C00000003P737", "EN-002091035")</f>
        <v>EN-002091035</v>
      </c>
    </row>
    <row r="4200" spans="1:15" ht="16" x14ac:dyDescent="0.2">
      <c r="A4200" s="17" t="str">
        <f>HYPERLINK("https://otsuka-europe-crm.veevavault.com/ui/#object/account__v/V4TZ06G6O71S9OD", "LAURA VONA")</f>
        <v>LAURA VONA</v>
      </c>
      <c r="B4200" s="17" t="str">
        <f t="shared" si="336"/>
        <v>IT</v>
      </c>
      <c r="C4200" s="20" t="s">
        <v>44</v>
      </c>
      <c r="D4200" s="21" t="str">
        <f t="shared" si="337"/>
        <v>AE dialoghi di tempo fiducia e cura episodi 2-3-4</v>
      </c>
      <c r="E4200" s="22" t="str">
        <f>HYPERLINK("https://otsuka-europe-crm.veevavault.com/ui/#object/sent_email__v/VBL00000002P486", "SE-001433156")</f>
        <v>SE-001433156</v>
      </c>
      <c r="F4200" s="23">
        <v>46181.353217592594</v>
      </c>
      <c r="G4200" s="24">
        <v>1</v>
      </c>
      <c r="H4200" s="24">
        <v>2</v>
      </c>
      <c r="I4200" s="24">
        <v>0</v>
      </c>
      <c r="J4200" s="25"/>
      <c r="K4200" s="24">
        <v>0</v>
      </c>
      <c r="L4200" s="22" t="str">
        <f t="shared" si="338"/>
        <v>AE dialoghi di tempo fiducia e cura episodi 2-3-4</v>
      </c>
      <c r="M4200" s="22" t="str">
        <f t="shared" si="339"/>
        <v>nicoletta.vozza@crm.otsuka-europe.com</v>
      </c>
      <c r="N4200" s="23">
        <v>46181.338090277779</v>
      </c>
      <c r="O4200" s="14" t="str">
        <f>HYPERLINK("https://otsuka-europe-crm.veevavault.com/ui/#object/email_activity__v/V8C00000003P924", "EN-002091492")</f>
        <v>EN-002091492</v>
      </c>
    </row>
    <row r="4201" spans="1:15" ht="16" x14ac:dyDescent="0.2">
      <c r="A4201" s="18"/>
      <c r="B4201" s="18"/>
      <c r="C4201" s="18"/>
      <c r="D4201" s="18"/>
      <c r="E4201" s="18"/>
      <c r="F4201" s="18"/>
      <c r="G4201" s="18"/>
      <c r="H4201" s="18"/>
      <c r="I4201" s="18"/>
      <c r="J4201" s="18"/>
      <c r="K4201" s="18"/>
      <c r="L4201" s="18"/>
      <c r="M4201" s="18"/>
      <c r="N4201" s="18"/>
      <c r="O4201" s="14" t="str">
        <f>HYPERLINK("https://otsuka-europe-crm.veevavault.com/ui/#object/email_activity__v/V8C00000003Q125", "EN-002091208")</f>
        <v>EN-002091208</v>
      </c>
    </row>
    <row r="4202" spans="1:15" ht="16" x14ac:dyDescent="0.2">
      <c r="A4202" s="18"/>
      <c r="B4202" s="18"/>
      <c r="C4202" s="18"/>
      <c r="D4202" s="18"/>
      <c r="E4202" s="18"/>
      <c r="F4202" s="18"/>
      <c r="G4202" s="18"/>
      <c r="H4202" s="18"/>
      <c r="I4202" s="18"/>
      <c r="J4202" s="18"/>
      <c r="K4202" s="18"/>
      <c r="L4202" s="18"/>
      <c r="M4202" s="18"/>
      <c r="N4202" s="18"/>
      <c r="O4202" s="14" t="str">
        <f>HYPERLINK("https://otsuka-europe-crm.veevavault.com/ui/#object/email_activity__v/V8C00000003Q148", "EN-002091232")</f>
        <v>EN-002091232</v>
      </c>
    </row>
    <row r="4203" spans="1:15" ht="16" x14ac:dyDescent="0.2">
      <c r="A4203" s="18"/>
      <c r="B4203" s="18"/>
      <c r="C4203" s="18"/>
      <c r="D4203" s="18"/>
      <c r="E4203" s="18"/>
      <c r="F4203" s="18"/>
      <c r="G4203" s="18"/>
      <c r="H4203" s="18"/>
      <c r="I4203" s="18"/>
      <c r="J4203" s="18"/>
      <c r="K4203" s="18"/>
      <c r="L4203" s="18"/>
      <c r="M4203" s="18"/>
      <c r="N4203" s="18"/>
      <c r="O4203" s="14" t="str">
        <f>HYPERLINK("https://otsuka-europe-crm.veevavault.com/ui/#object/email_activity__v/V8C00000003Q321", "EN-002091479")</f>
        <v>EN-002091479</v>
      </c>
    </row>
    <row r="4204" spans="1:15" ht="16" x14ac:dyDescent="0.2">
      <c r="A4204" s="19"/>
      <c r="B4204" s="19"/>
      <c r="C4204" s="19"/>
      <c r="D4204" s="19"/>
      <c r="E4204" s="19"/>
      <c r="F4204" s="19"/>
      <c r="G4204" s="19"/>
      <c r="H4204" s="19"/>
      <c r="I4204" s="19"/>
      <c r="J4204" s="19"/>
      <c r="K4204" s="19"/>
      <c r="L4204" s="19"/>
      <c r="M4204" s="19"/>
      <c r="N4204" s="19"/>
      <c r="O4204" s="14" t="str">
        <f>HYPERLINK("https://otsuka-europe-crm.veevavault.com/ui/#object/email_activity__v/V8C00000003Q735", "EN-002092298")</f>
        <v>EN-002092298</v>
      </c>
    </row>
    <row r="4205" spans="1:15" ht="32" x14ac:dyDescent="0.2">
      <c r="A4205" s="7" t="str">
        <f>HYPERLINK("https://otsuka-europe-crm.veevavault.com/ui/#object/account__v/V4TZ06G6O71S9IW", "LAVINIA AMENDOLA")</f>
        <v>LAVINIA AMENDOLA</v>
      </c>
      <c r="B4205" s="7" t="str">
        <f t="shared" ref="B4205:B4210" si="340">HYPERLINK("https://otsuka-europe-crm.veevavault.com/ui/#object/vcountry__v/VENZ000004SONFQ", "IT")</f>
        <v>IT</v>
      </c>
      <c r="C4205" s="8" t="s">
        <v>44</v>
      </c>
      <c r="D4205" s="9" t="str">
        <f t="shared" ref="D4205:D4210" si="341">HYPERLINK("https://otsuka-europe-crm.veevavault.com/ui/#object/approved_document__v/V5O000000018003", "AE dialoghi di tempo fiducia e cura episodi 2-3-4")</f>
        <v>AE dialoghi di tempo fiducia e cura episodi 2-3-4</v>
      </c>
      <c r="E4205" s="10" t="str">
        <f>HYPERLINK("https://otsuka-europe-crm.veevavault.com/ui/#object/sent_email__v/VBL00000002P487", "SE-001433157")</f>
        <v>SE-001433157</v>
      </c>
      <c r="F4205" s="11"/>
      <c r="G4205" s="12">
        <v>0</v>
      </c>
      <c r="H4205" s="12">
        <v>0</v>
      </c>
      <c r="I4205" s="12">
        <v>0</v>
      </c>
      <c r="J4205" s="11"/>
      <c r="K4205" s="12">
        <v>0</v>
      </c>
      <c r="L4205" s="10" t="str">
        <f t="shared" ref="L4205:L4210" si="342">HYPERLINK("https://otsuka-europe-crm.veevavault.com/ui/#object/approved_document__v/V5O000000018003", "AE dialoghi di tempo fiducia e cura episodi 2-3-4")</f>
        <v>AE dialoghi di tempo fiducia e cura episodi 2-3-4</v>
      </c>
      <c r="M4205" s="10" t="str">
        <f t="shared" ref="M4205:M4210" si="343">HYPERLINK("mailto:nicoletta.vozza@crm.otsuka-europe.com", "nicoletta.vozza@crm.otsuka-europe.com")</f>
        <v>nicoletta.vozza@crm.otsuka-europe.com</v>
      </c>
      <c r="N4205" s="13">
        <v>46181.338090277779</v>
      </c>
      <c r="O4205" s="14" t="str">
        <f>HYPERLINK("https://otsuka-europe-crm.veevavault.com/ui/#object/email_activity__v/V8C00000003P822", "EN-002091120")</f>
        <v>EN-002091120</v>
      </c>
    </row>
    <row r="4206" spans="1:15" ht="32" x14ac:dyDescent="0.2">
      <c r="A4206" s="7" t="str">
        <f>HYPERLINK("https://otsuka-europe-crm.veevavault.com/ui/#object/account__v/V4TZ06G6O71S9S2", "LAZZARO ANGELICOLA NIZZA")</f>
        <v>LAZZARO ANGELICOLA NIZZA</v>
      </c>
      <c r="B4206" s="7" t="str">
        <f t="shared" si="340"/>
        <v>IT</v>
      </c>
      <c r="C4206" s="8" t="s">
        <v>44</v>
      </c>
      <c r="D4206" s="9" t="str">
        <f t="shared" si="341"/>
        <v>AE dialoghi di tempo fiducia e cura episodi 2-3-4</v>
      </c>
      <c r="E4206" s="10" t="str">
        <f>HYPERLINK("https://otsuka-europe-crm.veevavault.com/ui/#object/sent_email__v/VBL00000002P488", "SE-001433158")</f>
        <v>SE-001433158</v>
      </c>
      <c r="F4206" s="11"/>
      <c r="G4206" s="12">
        <v>0</v>
      </c>
      <c r="H4206" s="12">
        <v>0</v>
      </c>
      <c r="I4206" s="12">
        <v>0</v>
      </c>
      <c r="J4206" s="11"/>
      <c r="K4206" s="12">
        <v>0</v>
      </c>
      <c r="L4206" s="10" t="str">
        <f t="shared" si="342"/>
        <v>AE dialoghi di tempo fiducia e cura episodi 2-3-4</v>
      </c>
      <c r="M4206" s="10" t="str">
        <f t="shared" si="343"/>
        <v>nicoletta.vozza@crm.otsuka-europe.com</v>
      </c>
      <c r="N4206" s="13">
        <v>46181.338055555556</v>
      </c>
      <c r="O4206" s="14" t="str">
        <f>HYPERLINK("https://otsuka-europe-crm.veevavault.com/ui/#object/email_activity__v/V8C00000003P527", "EN-002090782")</f>
        <v>EN-002090782</v>
      </c>
    </row>
    <row r="4207" spans="1:15" ht="32" x14ac:dyDescent="0.2">
      <c r="A4207" s="7" t="str">
        <f>HYPERLINK("https://otsuka-europe-crm.veevavault.com/ui/#object/account__v/V4TZ06G6O71SBLC", "LEO MENCARELLI")</f>
        <v>LEO MENCARELLI</v>
      </c>
      <c r="B4207" s="7" t="str">
        <f t="shared" si="340"/>
        <v>IT</v>
      </c>
      <c r="C4207" s="8" t="s">
        <v>44</v>
      </c>
      <c r="D4207" s="9" t="str">
        <f t="shared" si="341"/>
        <v>AE dialoghi di tempo fiducia e cura episodi 2-3-4</v>
      </c>
      <c r="E4207" s="10" t="str">
        <f>HYPERLINK("https://otsuka-europe-crm.veevavault.com/ui/#object/sent_email__v/VBL00000002P489", "SE-001433159")</f>
        <v>SE-001433159</v>
      </c>
      <c r="F4207" s="11"/>
      <c r="G4207" s="12">
        <v>0</v>
      </c>
      <c r="H4207" s="12">
        <v>0</v>
      </c>
      <c r="I4207" s="12">
        <v>0</v>
      </c>
      <c r="J4207" s="11"/>
      <c r="K4207" s="12">
        <v>0</v>
      </c>
      <c r="L4207" s="10" t="str">
        <f t="shared" si="342"/>
        <v>AE dialoghi di tempo fiducia e cura episodi 2-3-4</v>
      </c>
      <c r="M4207" s="10" t="str">
        <f t="shared" si="343"/>
        <v>nicoletta.vozza@crm.otsuka-europe.com</v>
      </c>
      <c r="N4207" s="13">
        <v>46181.338020833333</v>
      </c>
      <c r="O4207" s="14" t="str">
        <f>HYPERLINK("https://otsuka-europe-crm.veevavault.com/ui/#object/email_activity__v/V8C00000003P856", "EN-002091272")</f>
        <v>EN-002091272</v>
      </c>
    </row>
    <row r="4208" spans="1:15" ht="32" x14ac:dyDescent="0.2">
      <c r="A4208" s="7" t="str">
        <f>HYPERLINK("https://otsuka-europe-crm.veevavault.com/ui/#object/account__v/V4TZ06G6O71S9YT", "LEONARDO BADIOLI")</f>
        <v>LEONARDO BADIOLI</v>
      </c>
      <c r="B4208" s="7" t="str">
        <f t="shared" si="340"/>
        <v>IT</v>
      </c>
      <c r="C4208" s="8" t="s">
        <v>44</v>
      </c>
      <c r="D4208" s="9" t="str">
        <f t="shared" si="341"/>
        <v>AE dialoghi di tempo fiducia e cura episodi 2-3-4</v>
      </c>
      <c r="E4208" s="10" t="str">
        <f>HYPERLINK("https://otsuka-europe-crm.veevavault.com/ui/#object/sent_email__v/VBL00000002P490", "SE-001433160")</f>
        <v>SE-001433160</v>
      </c>
      <c r="F4208" s="11"/>
      <c r="G4208" s="12">
        <v>0</v>
      </c>
      <c r="H4208" s="12">
        <v>0</v>
      </c>
      <c r="I4208" s="12">
        <v>0</v>
      </c>
      <c r="J4208" s="11"/>
      <c r="K4208" s="12">
        <v>0</v>
      </c>
      <c r="L4208" s="10" t="str">
        <f t="shared" si="342"/>
        <v>AE dialoghi di tempo fiducia e cura episodi 2-3-4</v>
      </c>
      <c r="M4208" s="10" t="str">
        <f t="shared" si="343"/>
        <v>nicoletta.vozza@crm.otsuka-europe.com</v>
      </c>
      <c r="N4208" s="13">
        <v>46181.338020833333</v>
      </c>
      <c r="O4208" s="14" t="str">
        <f>HYPERLINK("https://otsuka-europe-crm.veevavault.com/ui/#object/email_activity__v/V8C00000003O525", "EN-002090081")</f>
        <v>EN-002090081</v>
      </c>
    </row>
    <row r="4209" spans="1:15" ht="32" x14ac:dyDescent="0.2">
      <c r="A4209" s="7" t="str">
        <f>HYPERLINK("https://otsuka-europe-crm.veevavault.com/ui/#object/account__v/V4TZ06G6O71SAGE", "LEONARDO DEMOLA")</f>
        <v>LEONARDO DEMOLA</v>
      </c>
      <c r="B4209" s="7" t="str">
        <f t="shared" si="340"/>
        <v>IT</v>
      </c>
      <c r="C4209" s="8" t="s">
        <v>44</v>
      </c>
      <c r="D4209" s="9" t="str">
        <f t="shared" si="341"/>
        <v>AE dialoghi di tempo fiducia e cura episodi 2-3-4</v>
      </c>
      <c r="E4209" s="10" t="str">
        <f>HYPERLINK("https://otsuka-europe-crm.veevavault.com/ui/#object/sent_email__v/VBL00000002P491", "SE-001433161")</f>
        <v>SE-001433161</v>
      </c>
      <c r="F4209" s="11"/>
      <c r="G4209" s="12">
        <v>0</v>
      </c>
      <c r="H4209" s="12">
        <v>0</v>
      </c>
      <c r="I4209" s="12">
        <v>0</v>
      </c>
      <c r="J4209" s="11"/>
      <c r="K4209" s="12">
        <v>0</v>
      </c>
      <c r="L4209" s="10" t="str">
        <f t="shared" si="342"/>
        <v>AE dialoghi di tempo fiducia e cura episodi 2-3-4</v>
      </c>
      <c r="M4209" s="10" t="str">
        <f t="shared" si="343"/>
        <v>nicoletta.vozza@crm.otsuka-europe.com</v>
      </c>
      <c r="N4209" s="13">
        <v>46181.338726851849</v>
      </c>
      <c r="O4209" s="14" t="str">
        <f>HYPERLINK("https://otsuka-europe-crm.veevavault.com/ui/#object/email_activity__v/V8C00000003P853", "EN-002091267")</f>
        <v>EN-002091267</v>
      </c>
    </row>
    <row r="4210" spans="1:15" ht="16" x14ac:dyDescent="0.2">
      <c r="A4210" s="17" t="str">
        <f>HYPERLINK("https://otsuka-europe-crm.veevavault.com/ui/#object/account__v/V4TZ06G6O71SAVR", "LEONARDO GIORDANO")</f>
        <v>LEONARDO GIORDANO</v>
      </c>
      <c r="B4210" s="17" t="str">
        <f t="shared" si="340"/>
        <v>IT</v>
      </c>
      <c r="C4210" s="20" t="s">
        <v>44</v>
      </c>
      <c r="D4210" s="21" t="str">
        <f t="shared" si="341"/>
        <v>AE dialoghi di tempo fiducia e cura episodi 2-3-4</v>
      </c>
      <c r="E4210" s="22" t="str">
        <f>HYPERLINK("https://otsuka-europe-crm.veevavault.com/ui/#object/sent_email__v/VBL00000002P492", "SE-001433162")</f>
        <v>SE-001433162</v>
      </c>
      <c r="F4210" s="23">
        <v>46181.620370370372</v>
      </c>
      <c r="G4210" s="24">
        <v>1</v>
      </c>
      <c r="H4210" s="24">
        <v>1</v>
      </c>
      <c r="I4210" s="24">
        <v>0</v>
      </c>
      <c r="J4210" s="25"/>
      <c r="K4210" s="24">
        <v>0</v>
      </c>
      <c r="L4210" s="22" t="str">
        <f t="shared" si="342"/>
        <v>AE dialoghi di tempo fiducia e cura episodi 2-3-4</v>
      </c>
      <c r="M4210" s="22" t="str">
        <f t="shared" si="343"/>
        <v>nicoletta.vozza@crm.otsuka-europe.com</v>
      </c>
      <c r="N4210" s="23">
        <v>46181.33798611111</v>
      </c>
      <c r="O4210" s="14" t="str">
        <f>HYPERLINK("https://otsuka-europe-crm.veevavault.com/ui/#object/email_activity__v/V8C00000003O733", "EN-002090289")</f>
        <v>EN-002090289</v>
      </c>
    </row>
    <row r="4211" spans="1:15" ht="16" x14ac:dyDescent="0.2">
      <c r="A4211" s="19"/>
      <c r="B4211" s="19"/>
      <c r="C4211" s="19"/>
      <c r="D4211" s="19"/>
      <c r="E4211" s="19"/>
      <c r="F4211" s="19"/>
      <c r="G4211" s="19"/>
      <c r="H4211" s="19"/>
      <c r="I4211" s="19"/>
      <c r="J4211" s="19"/>
      <c r="K4211" s="19"/>
      <c r="L4211" s="19"/>
      <c r="M4211" s="19"/>
      <c r="N4211" s="19"/>
      <c r="O4211" s="14" t="str">
        <f>HYPERLINK("https://otsuka-europe-crm.veevavault.com/ui/#object/email_activity__v/V8C00000003Q599", "EN-002092015")</f>
        <v>EN-002092015</v>
      </c>
    </row>
    <row r="4212" spans="1:15" ht="32" x14ac:dyDescent="0.2">
      <c r="A4212" s="7" t="str">
        <f>HYPERLINK("https://otsuka-europe-crm.veevavault.com/ui/#object/account__v/V4TZ025E876MV3G", "LEONARDO MARANO")</f>
        <v>LEONARDO MARANO</v>
      </c>
      <c r="B4212" s="7" t="str">
        <f>HYPERLINK("https://otsuka-europe-crm.veevavault.com/ui/#object/vcountry__v/VENZ000004SONFQ", "IT")</f>
        <v>IT</v>
      </c>
      <c r="C4212" s="8" t="s">
        <v>44</v>
      </c>
      <c r="D4212" s="9" t="str">
        <f>HYPERLINK("https://otsuka-europe-crm.veevavault.com/ui/#object/approved_document__v/V5O000000018003", "AE dialoghi di tempo fiducia e cura episodi 2-3-4")</f>
        <v>AE dialoghi di tempo fiducia e cura episodi 2-3-4</v>
      </c>
      <c r="E4212" s="10" t="str">
        <f>HYPERLINK("https://otsuka-europe-crm.veevavault.com/ui/#object/sent_email__v/VBL00000002P493", "SE-001433163")</f>
        <v>SE-001433163</v>
      </c>
      <c r="F4212" s="11"/>
      <c r="G4212" s="12">
        <v>0</v>
      </c>
      <c r="H4212" s="12">
        <v>0</v>
      </c>
      <c r="I4212" s="12">
        <v>0</v>
      </c>
      <c r="J4212" s="11"/>
      <c r="K4212" s="12">
        <v>0</v>
      </c>
      <c r="L4212" s="10" t="str">
        <f>HYPERLINK("https://otsuka-europe-crm.veevavault.com/ui/#object/approved_document__v/V5O000000018003", "AE dialoghi di tempo fiducia e cura episodi 2-3-4")</f>
        <v>AE dialoghi di tempo fiducia e cura episodi 2-3-4</v>
      </c>
      <c r="M4212" s="10" t="str">
        <f>HYPERLINK("mailto:nicoletta.vozza@crm.otsuka-europe.com", "nicoletta.vozza@crm.otsuka-europe.com")</f>
        <v>nicoletta.vozza@crm.otsuka-europe.com</v>
      </c>
      <c r="N4212" s="13">
        <v>46181.338043981479</v>
      </c>
      <c r="O4212" s="14" t="str">
        <f>HYPERLINK("https://otsuka-europe-crm.veevavault.com/ui/#object/email_activity__v/V8C00000003O901", "EN-002090504")</f>
        <v>EN-002090504</v>
      </c>
    </row>
    <row r="4213" spans="1:15" ht="32" x14ac:dyDescent="0.2">
      <c r="A4213" s="7" t="str">
        <f>HYPERLINK("https://otsuka-europe-crm.veevavault.com/ui/#object/account__v/V4TZ06G6O71SBKA", "LEONARDO MONACO")</f>
        <v>LEONARDO MONACO</v>
      </c>
      <c r="B4213" s="7" t="str">
        <f>HYPERLINK("https://otsuka-europe-crm.veevavault.com/ui/#object/vcountry__v/VENZ000004SONFQ", "IT")</f>
        <v>IT</v>
      </c>
      <c r="C4213" s="8" t="s">
        <v>44</v>
      </c>
      <c r="D4213" s="9" t="str">
        <f>HYPERLINK("https://otsuka-europe-crm.veevavault.com/ui/#object/approved_document__v/V5O000000018003", "AE dialoghi di tempo fiducia e cura episodi 2-3-4")</f>
        <v>AE dialoghi di tempo fiducia e cura episodi 2-3-4</v>
      </c>
      <c r="E4213" s="10" t="str">
        <f>HYPERLINK("https://otsuka-europe-crm.veevavault.com/ui/#object/sent_email__v/VBL00000002P494", "SE-001433164")</f>
        <v>SE-001433164</v>
      </c>
      <c r="F4213" s="11"/>
      <c r="G4213" s="12">
        <v>0</v>
      </c>
      <c r="H4213" s="12">
        <v>0</v>
      </c>
      <c r="I4213" s="12">
        <v>0</v>
      </c>
      <c r="J4213" s="11"/>
      <c r="K4213" s="12">
        <v>0</v>
      </c>
      <c r="L4213" s="10" t="str">
        <f>HYPERLINK("https://otsuka-europe-crm.veevavault.com/ui/#object/approved_document__v/V5O000000018003", "AE dialoghi di tempo fiducia e cura episodi 2-3-4")</f>
        <v>AE dialoghi di tempo fiducia e cura episodi 2-3-4</v>
      </c>
      <c r="M4213" s="10" t="str">
        <f>HYPERLINK("mailto:nicoletta.vozza@crm.otsuka-europe.com", "nicoletta.vozza@crm.otsuka-europe.com")</f>
        <v>nicoletta.vozza@crm.otsuka-europe.com</v>
      </c>
      <c r="N4213" s="13">
        <v>46181.338020833333</v>
      </c>
      <c r="O4213" s="14" t="str">
        <f>HYPERLINK("https://otsuka-europe-crm.veevavault.com/ui/#object/email_activity__v/V8C00000003P274", "EN-002089852")</f>
        <v>EN-002089852</v>
      </c>
    </row>
    <row r="4214" spans="1:15" ht="16" x14ac:dyDescent="0.2">
      <c r="A4214" s="17" t="str">
        <f>HYPERLINK("https://otsuka-europe-crm.veevavault.com/ui/#object/account__v/V4TZ06G6O71SCSV", "LETIZIA ANGELA ROBERTA INSERRA")</f>
        <v>LETIZIA ANGELA ROBERTA INSERRA</v>
      </c>
      <c r="B4214" s="17" t="str">
        <f>HYPERLINK("https://otsuka-europe-crm.veevavault.com/ui/#object/vcountry__v/VENZ000004SONFQ", "IT")</f>
        <v>IT</v>
      </c>
      <c r="C4214" s="20" t="s">
        <v>44</v>
      </c>
      <c r="D4214" s="21" t="str">
        <f>HYPERLINK("https://otsuka-europe-crm.veevavault.com/ui/#object/approved_document__v/V5O000000018003", "AE dialoghi di tempo fiducia e cura episodi 2-3-4")</f>
        <v>AE dialoghi di tempo fiducia e cura episodi 2-3-4</v>
      </c>
      <c r="E4214" s="22" t="str">
        <f>HYPERLINK("https://otsuka-europe-crm.veevavault.com/ui/#object/sent_email__v/VBL00000002P495", "SE-001433165")</f>
        <v>SE-001433165</v>
      </c>
      <c r="F4214" s="23">
        <v>46181.644548611112</v>
      </c>
      <c r="G4214" s="24">
        <v>1</v>
      </c>
      <c r="H4214" s="24">
        <v>1</v>
      </c>
      <c r="I4214" s="24">
        <v>0</v>
      </c>
      <c r="J4214" s="25"/>
      <c r="K4214" s="24">
        <v>0</v>
      </c>
      <c r="L4214" s="22" t="str">
        <f>HYPERLINK("https://otsuka-europe-crm.veevavault.com/ui/#object/approved_document__v/V5O000000018003", "AE dialoghi di tempo fiducia e cura episodi 2-3-4")</f>
        <v>AE dialoghi di tempo fiducia e cura episodi 2-3-4</v>
      </c>
      <c r="M4214" s="22" t="str">
        <f>HYPERLINK("mailto:nicoletta.vozza@crm.otsuka-europe.com", "nicoletta.vozza@crm.otsuka-europe.com")</f>
        <v>nicoletta.vozza@crm.otsuka-europe.com</v>
      </c>
      <c r="N4214" s="23">
        <v>46181.338043981479</v>
      </c>
      <c r="O4214" s="14" t="str">
        <f>HYPERLINK("https://otsuka-europe-crm.veevavault.com/ui/#object/email_activity__v/V8C00000003O686", "EN-002090242")</f>
        <v>EN-002090242</v>
      </c>
    </row>
    <row r="4215" spans="1:15" ht="16" x14ac:dyDescent="0.2">
      <c r="A4215" s="19"/>
      <c r="B4215" s="19"/>
      <c r="C4215" s="19"/>
      <c r="D4215" s="19"/>
      <c r="E4215" s="19"/>
      <c r="F4215" s="19"/>
      <c r="G4215" s="19"/>
      <c r="H4215" s="19"/>
      <c r="I4215" s="19"/>
      <c r="J4215" s="19"/>
      <c r="K4215" s="19"/>
      <c r="L4215" s="19"/>
      <c r="M4215" s="19"/>
      <c r="N4215" s="19"/>
      <c r="O4215" s="14" t="str">
        <f>HYPERLINK("https://otsuka-europe-crm.veevavault.com/ui/#object/email_activity__v/V8C00000003R198", "EN-002092048")</f>
        <v>EN-002092048</v>
      </c>
    </row>
    <row r="4216" spans="1:15" ht="32" x14ac:dyDescent="0.2">
      <c r="A4216" s="7" t="str">
        <f>HYPERLINK("https://otsuka-europe-crm.veevavault.com/ui/#object/account__v/V4TZ025E88ZS3N4", "LETIZIA GIANFELICE")</f>
        <v>LETIZIA GIANFELICE</v>
      </c>
      <c r="B4216" s="7" t="str">
        <f>HYPERLINK("https://otsuka-europe-crm.veevavault.com/ui/#object/vcountry__v/VENZ000004SONFQ", "IT")</f>
        <v>IT</v>
      </c>
      <c r="C4216" s="8" t="s">
        <v>44</v>
      </c>
      <c r="D4216" s="9" t="str">
        <f>HYPERLINK("https://otsuka-europe-crm.veevavault.com/ui/#object/approved_document__v/V5O000000018003", "AE dialoghi di tempo fiducia e cura episodi 2-3-4")</f>
        <v>AE dialoghi di tempo fiducia e cura episodi 2-3-4</v>
      </c>
      <c r="E4216" s="10" t="str">
        <f>HYPERLINK("https://otsuka-europe-crm.veevavault.com/ui/#object/sent_email__v/VBL00000002P496", "SE-001433166")</f>
        <v>SE-001433166</v>
      </c>
      <c r="F4216" s="11"/>
      <c r="G4216" s="12">
        <v>0</v>
      </c>
      <c r="H4216" s="12">
        <v>0</v>
      </c>
      <c r="I4216" s="12">
        <v>0</v>
      </c>
      <c r="J4216" s="11"/>
      <c r="K4216" s="12">
        <v>0</v>
      </c>
      <c r="L4216" s="10" t="str">
        <f>HYPERLINK("https://otsuka-europe-crm.veevavault.com/ui/#object/approved_document__v/V5O000000018003", "AE dialoghi di tempo fiducia e cura episodi 2-3-4")</f>
        <v>AE dialoghi di tempo fiducia e cura episodi 2-3-4</v>
      </c>
      <c r="M4216" s="10" t="str">
        <f>HYPERLINK("mailto:nicoletta.vozza@crm.otsuka-europe.com", "nicoletta.vozza@crm.otsuka-europe.com")</f>
        <v>nicoletta.vozza@crm.otsuka-europe.com</v>
      </c>
      <c r="N4216" s="13">
        <v>46181.33803240741</v>
      </c>
      <c r="O4216" s="14" t="str">
        <f>HYPERLINK("https://otsuka-europe-crm.veevavault.com/ui/#object/email_activity__v/V8C00000003O380", "EN-002089898")</f>
        <v>EN-002089898</v>
      </c>
    </row>
    <row r="4217" spans="1:15" ht="32" x14ac:dyDescent="0.2">
      <c r="A4217" s="7" t="str">
        <f>HYPERLINK("https://otsuka-europe-crm.veevavault.com/ui/#object/account__v/V4TZ06G6O71SBXB", "LILIANA PILLITTERI")</f>
        <v>LILIANA PILLITTERI</v>
      </c>
      <c r="B4217" s="7" t="str">
        <f>HYPERLINK("https://otsuka-europe-crm.veevavault.com/ui/#object/vcountry__v/VENZ000004SONFQ", "IT")</f>
        <v>IT</v>
      </c>
      <c r="C4217" s="8" t="s">
        <v>44</v>
      </c>
      <c r="D4217" s="9" t="str">
        <f>HYPERLINK("https://otsuka-europe-crm.veevavault.com/ui/#object/approved_document__v/V5O000000018003", "AE dialoghi di tempo fiducia e cura episodi 2-3-4")</f>
        <v>AE dialoghi di tempo fiducia e cura episodi 2-3-4</v>
      </c>
      <c r="E4217" s="10" t="str">
        <f>HYPERLINK("https://otsuka-europe-crm.veevavault.com/ui/#object/sent_email__v/VBL00000002P497", "SE-001433167")</f>
        <v>SE-001433167</v>
      </c>
      <c r="F4217" s="11"/>
      <c r="G4217" s="12">
        <v>0</v>
      </c>
      <c r="H4217" s="12">
        <v>0</v>
      </c>
      <c r="I4217" s="12">
        <v>0</v>
      </c>
      <c r="J4217" s="11"/>
      <c r="K4217" s="12">
        <v>0</v>
      </c>
      <c r="L4217" s="10" t="str">
        <f>HYPERLINK("https://otsuka-europe-crm.veevavault.com/ui/#object/approved_document__v/V5O000000018003", "AE dialoghi di tempo fiducia e cura episodi 2-3-4")</f>
        <v>AE dialoghi di tempo fiducia e cura episodi 2-3-4</v>
      </c>
      <c r="M4217" s="10" t="str">
        <f>HYPERLINK("mailto:nicoletta.vozza@crm.otsuka-europe.com", "nicoletta.vozza@crm.otsuka-europe.com")</f>
        <v>nicoletta.vozza@crm.otsuka-europe.com</v>
      </c>
      <c r="N4217" s="13">
        <v>46181.338020833333</v>
      </c>
      <c r="O4217" s="14" t="str">
        <f>HYPERLINK("https://otsuka-europe-crm.veevavault.com/ui/#object/email_activity__v/V8C00000003O572", "EN-002090128")</f>
        <v>EN-002090128</v>
      </c>
    </row>
    <row r="4218" spans="1:15" ht="16" x14ac:dyDescent="0.2">
      <c r="A4218" s="17" t="str">
        <f>HYPERLINK("https://otsuka-europe-crm.veevavault.com/ui/#object/account__v/V4TZ06G6O71SBGP", "LINDA MASSETTI")</f>
        <v>LINDA MASSETTI</v>
      </c>
      <c r="B4218" s="17" t="str">
        <f>HYPERLINK("https://otsuka-europe-crm.veevavault.com/ui/#object/vcountry__v/VENZ000004SONFQ", "IT")</f>
        <v>IT</v>
      </c>
      <c r="C4218" s="20" t="s">
        <v>44</v>
      </c>
      <c r="D4218" s="21" t="str">
        <f>HYPERLINK("https://otsuka-europe-crm.veevavault.com/ui/#object/approved_document__v/V5O000000018003", "AE dialoghi di tempo fiducia e cura episodi 2-3-4")</f>
        <v>AE dialoghi di tempo fiducia e cura episodi 2-3-4</v>
      </c>
      <c r="E4218" s="22" t="str">
        <f>HYPERLINK("https://otsuka-europe-crm.veevavault.com/ui/#object/sent_email__v/VBL00000002P498", "SE-001433168")</f>
        <v>SE-001433168</v>
      </c>
      <c r="F4218" s="25"/>
      <c r="G4218" s="24">
        <v>0</v>
      </c>
      <c r="H4218" s="24">
        <v>0</v>
      </c>
      <c r="I4218" s="24">
        <v>0</v>
      </c>
      <c r="J4218" s="25"/>
      <c r="K4218" s="24">
        <v>0</v>
      </c>
      <c r="L4218" s="22" t="str">
        <f>HYPERLINK("https://otsuka-europe-crm.veevavault.com/ui/#object/approved_document__v/V5O000000018003", "AE dialoghi di tempo fiducia e cura episodi 2-3-4")</f>
        <v>AE dialoghi di tempo fiducia e cura episodi 2-3-4</v>
      </c>
      <c r="M4218" s="22" t="str">
        <f>HYPERLINK("mailto:nicoletta.vozza@crm.otsuka-europe.com", "nicoletta.vozza@crm.otsuka-europe.com")</f>
        <v>nicoletta.vozza@crm.otsuka-europe.com</v>
      </c>
      <c r="N4218" s="23">
        <v>46181.338113425925</v>
      </c>
      <c r="O4218" s="14" t="str">
        <f>HYPERLINK("https://otsuka-europe-crm.veevavault.com/ui/#object/email_activity__v/V8C00000003P850", "EN-002091262")</f>
        <v>EN-002091262</v>
      </c>
    </row>
    <row r="4219" spans="1:15" ht="16" x14ac:dyDescent="0.2">
      <c r="A4219" s="18"/>
      <c r="B4219" s="18"/>
      <c r="C4219" s="18"/>
      <c r="D4219" s="18"/>
      <c r="E4219" s="18"/>
      <c r="F4219" s="18"/>
      <c r="G4219" s="18"/>
      <c r="H4219" s="18"/>
      <c r="I4219" s="18"/>
      <c r="J4219" s="18"/>
      <c r="K4219" s="18"/>
      <c r="L4219" s="18"/>
      <c r="M4219" s="18"/>
      <c r="N4219" s="18"/>
      <c r="O4219" s="14" t="str">
        <f>HYPERLINK("https://otsuka-europe-crm.veevavault.com/ui/#object/email_activity__v/V8C00000003Q173", "EN-002091261")</f>
        <v>EN-002091261</v>
      </c>
    </row>
    <row r="4220" spans="1:15" ht="16" x14ac:dyDescent="0.2">
      <c r="A4220" s="18"/>
      <c r="B4220" s="18"/>
      <c r="C4220" s="18"/>
      <c r="D4220" s="18"/>
      <c r="E4220" s="18"/>
      <c r="F4220" s="18"/>
      <c r="G4220" s="18"/>
      <c r="H4220" s="18"/>
      <c r="I4220" s="18"/>
      <c r="J4220" s="18"/>
      <c r="K4220" s="18"/>
      <c r="L4220" s="18"/>
      <c r="M4220" s="18"/>
      <c r="N4220" s="18"/>
      <c r="O4220" s="14" t="str">
        <f>HYPERLINK("https://otsuka-europe-crm.veevavault.com/ui/#object/email_activity__v/V8C00000003U032", "EN-002094886")</f>
        <v>EN-002094886</v>
      </c>
    </row>
    <row r="4221" spans="1:15" ht="16" x14ac:dyDescent="0.2">
      <c r="A4221" s="19"/>
      <c r="B4221" s="19"/>
      <c r="C4221" s="19"/>
      <c r="D4221" s="19"/>
      <c r="E4221" s="19"/>
      <c r="F4221" s="19"/>
      <c r="G4221" s="19"/>
      <c r="H4221" s="19"/>
      <c r="I4221" s="19"/>
      <c r="J4221" s="19"/>
      <c r="K4221" s="19"/>
      <c r="L4221" s="19"/>
      <c r="M4221" s="19"/>
      <c r="N4221" s="19"/>
      <c r="O4221" s="14" t="str">
        <f>HYPERLINK("https://otsuka-europe-crm.veevavault.com/ui/#object/email_activity__v/V8C00000003W102", "EN-002096853")</f>
        <v>EN-002096853</v>
      </c>
    </row>
    <row r="4222" spans="1:15" ht="32" x14ac:dyDescent="0.2">
      <c r="A4222" s="7" t="str">
        <f>HYPERLINK("https://otsuka-europe-crm.veevavault.com/ui/#object/account__v/V4TZ04ASG6LH5U5", "LISA GIANNELLI")</f>
        <v>LISA GIANNELLI</v>
      </c>
      <c r="B4222" s="7" t="str">
        <f t="shared" ref="B4222:B4236" si="344">HYPERLINK("https://otsuka-europe-crm.veevavault.com/ui/#object/vcountry__v/VENZ000004SONFQ", "IT")</f>
        <v>IT</v>
      </c>
      <c r="C4222" s="8" t="s">
        <v>44</v>
      </c>
      <c r="D4222" s="9" t="str">
        <f t="shared" ref="D4222:D4236" si="345">HYPERLINK("https://otsuka-europe-crm.veevavault.com/ui/#object/approved_document__v/V5O000000018003", "AE dialoghi di tempo fiducia e cura episodi 2-3-4")</f>
        <v>AE dialoghi di tempo fiducia e cura episodi 2-3-4</v>
      </c>
      <c r="E4222" s="10" t="str">
        <f>HYPERLINK("https://otsuka-europe-crm.veevavault.com/ui/#object/sent_email__v/VBL00000002P499", "SE-001433169")</f>
        <v>SE-001433169</v>
      </c>
      <c r="F4222" s="11"/>
      <c r="G4222" s="12">
        <v>0</v>
      </c>
      <c r="H4222" s="12">
        <v>0</v>
      </c>
      <c r="I4222" s="12">
        <v>0</v>
      </c>
      <c r="J4222" s="11"/>
      <c r="K4222" s="12">
        <v>0</v>
      </c>
      <c r="L4222" s="10" t="str">
        <f t="shared" ref="L4222:L4236" si="346">HYPERLINK("https://otsuka-europe-crm.veevavault.com/ui/#object/approved_document__v/V5O000000018003", "AE dialoghi di tempo fiducia e cura episodi 2-3-4")</f>
        <v>AE dialoghi di tempo fiducia e cura episodi 2-3-4</v>
      </c>
      <c r="M4222" s="10" t="str">
        <f t="shared" ref="M4222:M4236" si="347">HYPERLINK("mailto:nicoletta.vozza@crm.otsuka-europe.com", "nicoletta.vozza@crm.otsuka-europe.com")</f>
        <v>nicoletta.vozza@crm.otsuka-europe.com</v>
      </c>
      <c r="N4222" s="13">
        <v>46181.338020833333</v>
      </c>
      <c r="O4222" s="14" t="str">
        <f>HYPERLINK("https://otsuka-europe-crm.veevavault.com/ui/#object/email_activity__v/V8C00000003O635", "EN-002090191")</f>
        <v>EN-002090191</v>
      </c>
    </row>
    <row r="4223" spans="1:15" ht="32" x14ac:dyDescent="0.2">
      <c r="A4223" s="7" t="str">
        <f>HYPERLINK("https://otsuka-europe-crm.veevavault.com/ui/#object/account__v/V4TZ06G6O71SB7I", "LISA LAVATELLI")</f>
        <v>LISA LAVATELLI</v>
      </c>
      <c r="B4223" s="7" t="str">
        <f t="shared" si="344"/>
        <v>IT</v>
      </c>
      <c r="C4223" s="8" t="s">
        <v>44</v>
      </c>
      <c r="D4223" s="9" t="str">
        <f t="shared" si="345"/>
        <v>AE dialoghi di tempo fiducia e cura episodi 2-3-4</v>
      </c>
      <c r="E4223" s="10" t="str">
        <f>HYPERLINK("https://otsuka-europe-crm.veevavault.com/ui/#object/sent_email__v/VBL00000002P500", "SE-001433170")</f>
        <v>SE-001433170</v>
      </c>
      <c r="F4223" s="11"/>
      <c r="G4223" s="12">
        <v>0</v>
      </c>
      <c r="H4223" s="12">
        <v>0</v>
      </c>
      <c r="I4223" s="12">
        <v>0</v>
      </c>
      <c r="J4223" s="11"/>
      <c r="K4223" s="12">
        <v>0</v>
      </c>
      <c r="L4223" s="10" t="str">
        <f t="shared" si="346"/>
        <v>AE dialoghi di tempo fiducia e cura episodi 2-3-4</v>
      </c>
      <c r="M4223" s="10" t="str">
        <f t="shared" si="347"/>
        <v>nicoletta.vozza@crm.otsuka-europe.com</v>
      </c>
      <c r="N4223" s="13">
        <v>46181.33803240741</v>
      </c>
      <c r="O4223" s="14" t="str">
        <f>HYPERLINK("https://otsuka-europe-crm.veevavault.com/ui/#object/email_activity__v/V8C00000003O685", "EN-002090241")</f>
        <v>EN-002090241</v>
      </c>
    </row>
    <row r="4224" spans="1:15" ht="32" x14ac:dyDescent="0.2">
      <c r="A4224" s="7" t="str">
        <f>HYPERLINK("https://otsuka-europe-crm.veevavault.com/ui/#object/account__v/V4TZ025E835SPZH", "LIVIA AVVISATI")</f>
        <v>LIVIA AVVISATI</v>
      </c>
      <c r="B4224" s="7" t="str">
        <f t="shared" si="344"/>
        <v>IT</v>
      </c>
      <c r="C4224" s="8" t="s">
        <v>44</v>
      </c>
      <c r="D4224" s="9" t="str">
        <f t="shared" si="345"/>
        <v>AE dialoghi di tempo fiducia e cura episodi 2-3-4</v>
      </c>
      <c r="E4224" s="10" t="str">
        <f>HYPERLINK("https://otsuka-europe-crm.veevavault.com/ui/#object/sent_email__v/VBL00000002P501", "SE-001433171")</f>
        <v>SE-001433171</v>
      </c>
      <c r="F4224" s="11"/>
      <c r="G4224" s="12">
        <v>0</v>
      </c>
      <c r="H4224" s="12">
        <v>0</v>
      </c>
      <c r="I4224" s="12">
        <v>0</v>
      </c>
      <c r="J4224" s="11"/>
      <c r="K4224" s="12">
        <v>0</v>
      </c>
      <c r="L4224" s="10" t="str">
        <f t="shared" si="346"/>
        <v>AE dialoghi di tempo fiducia e cura episodi 2-3-4</v>
      </c>
      <c r="M4224" s="10" t="str">
        <f t="shared" si="347"/>
        <v>nicoletta.vozza@crm.otsuka-europe.com</v>
      </c>
      <c r="N4224" s="13">
        <v>46181.338078703702</v>
      </c>
      <c r="O4224" s="14" t="str">
        <f>HYPERLINK("https://otsuka-europe-crm.veevavault.com/ui/#object/email_activity__v/V8C00000003P478", "EN-002090661")</f>
        <v>EN-002090661</v>
      </c>
    </row>
    <row r="4225" spans="1:15" ht="32" x14ac:dyDescent="0.2">
      <c r="A4225" s="7" t="str">
        <f>HYPERLINK("https://otsuka-europe-crm.veevavault.com/ui/#object/account__v/V4TZ06G6O71SBA5", "LIVIA LUISE")</f>
        <v>LIVIA LUISE</v>
      </c>
      <c r="B4225" s="7" t="str">
        <f t="shared" si="344"/>
        <v>IT</v>
      </c>
      <c r="C4225" s="8" t="s">
        <v>44</v>
      </c>
      <c r="D4225" s="9" t="str">
        <f t="shared" si="345"/>
        <v>AE dialoghi di tempo fiducia e cura episodi 2-3-4</v>
      </c>
      <c r="E4225" s="10" t="str">
        <f>HYPERLINK("https://otsuka-europe-crm.veevavault.com/ui/#object/sent_email__v/VBL00000002P502", "SE-001433172")</f>
        <v>SE-001433172</v>
      </c>
      <c r="F4225" s="11"/>
      <c r="G4225" s="12">
        <v>0</v>
      </c>
      <c r="H4225" s="12">
        <v>0</v>
      </c>
      <c r="I4225" s="12">
        <v>0</v>
      </c>
      <c r="J4225" s="11"/>
      <c r="K4225" s="12">
        <v>0</v>
      </c>
      <c r="L4225" s="10" t="str">
        <f t="shared" si="346"/>
        <v>AE dialoghi di tempo fiducia e cura episodi 2-3-4</v>
      </c>
      <c r="M4225" s="10" t="str">
        <f t="shared" si="347"/>
        <v>nicoletta.vozza@crm.otsuka-europe.com</v>
      </c>
      <c r="N4225" s="13">
        <v>46181.338043981479</v>
      </c>
      <c r="O4225" s="14" t="str">
        <f>HYPERLINK("https://otsuka-europe-crm.veevavault.com/ui/#object/email_activity__v/V8C00000003P445", "EN-002090645")</f>
        <v>EN-002090645</v>
      </c>
    </row>
    <row r="4226" spans="1:15" ht="32" x14ac:dyDescent="0.2">
      <c r="A4226" s="7" t="str">
        <f>HYPERLINK("https://otsuka-europe-crm.veevavault.com/ui/#object/account__v/V4TZ06G6O71SB9P", "LOREDANA LIA")</f>
        <v>LOREDANA LIA</v>
      </c>
      <c r="B4226" s="7" t="str">
        <f t="shared" si="344"/>
        <v>IT</v>
      </c>
      <c r="C4226" s="8" t="s">
        <v>44</v>
      </c>
      <c r="D4226" s="9" t="str">
        <f t="shared" si="345"/>
        <v>AE dialoghi di tempo fiducia e cura episodi 2-3-4</v>
      </c>
      <c r="E4226" s="10" t="str">
        <f>HYPERLINK("https://otsuka-europe-crm.veevavault.com/ui/#object/sent_email__v/VBL00000002P503", "SE-001433173")</f>
        <v>SE-001433173</v>
      </c>
      <c r="F4226" s="11"/>
      <c r="G4226" s="12">
        <v>0</v>
      </c>
      <c r="H4226" s="12">
        <v>0</v>
      </c>
      <c r="I4226" s="12">
        <v>0</v>
      </c>
      <c r="J4226" s="11"/>
      <c r="K4226" s="12">
        <v>0</v>
      </c>
      <c r="L4226" s="10" t="str">
        <f t="shared" si="346"/>
        <v>AE dialoghi di tempo fiducia e cura episodi 2-3-4</v>
      </c>
      <c r="M4226" s="10" t="str">
        <f t="shared" si="347"/>
        <v>nicoletta.vozza@crm.otsuka-europe.com</v>
      </c>
      <c r="N4226" s="13">
        <v>46181.337997685187</v>
      </c>
      <c r="O4226" s="14" t="str">
        <f>HYPERLINK("https://otsuka-europe-crm.veevavault.com/ui/#object/email_activity__v/V8C00000003P725", "EN-002090980")</f>
        <v>EN-002090980</v>
      </c>
    </row>
    <row r="4227" spans="1:15" ht="32" x14ac:dyDescent="0.2">
      <c r="A4227" s="7" t="str">
        <f>HYPERLINK("https://otsuka-europe-crm.veevavault.com/ui/#object/account__v/V4TZ06G6O71SB7V", "LOREDANA LIBERATORE")</f>
        <v>LOREDANA LIBERATORE</v>
      </c>
      <c r="B4227" s="7" t="str">
        <f t="shared" si="344"/>
        <v>IT</v>
      </c>
      <c r="C4227" s="8" t="s">
        <v>44</v>
      </c>
      <c r="D4227" s="9" t="str">
        <f t="shared" si="345"/>
        <v>AE dialoghi di tempo fiducia e cura episodi 2-3-4</v>
      </c>
      <c r="E4227" s="10" t="str">
        <f>HYPERLINK("https://otsuka-europe-crm.veevavault.com/ui/#object/sent_email__v/VBL00000002P504", "SE-001433174")</f>
        <v>SE-001433174</v>
      </c>
      <c r="F4227" s="11"/>
      <c r="G4227" s="12">
        <v>0</v>
      </c>
      <c r="H4227" s="12">
        <v>0</v>
      </c>
      <c r="I4227" s="12">
        <v>0</v>
      </c>
      <c r="J4227" s="11"/>
      <c r="K4227" s="12">
        <v>0</v>
      </c>
      <c r="L4227" s="10" t="str">
        <f t="shared" si="346"/>
        <v>AE dialoghi di tempo fiducia e cura episodi 2-3-4</v>
      </c>
      <c r="M4227" s="10" t="str">
        <f t="shared" si="347"/>
        <v>nicoletta.vozza@crm.otsuka-europe.com</v>
      </c>
      <c r="N4227" s="13">
        <v>46181.337997685187</v>
      </c>
      <c r="O4227" s="14" t="str">
        <f>HYPERLINK("https://otsuka-europe-crm.veevavault.com/ui/#object/email_activity__v/V8C00000003O983", "EN-002090732")</f>
        <v>EN-002090732</v>
      </c>
    </row>
    <row r="4228" spans="1:15" ht="32" x14ac:dyDescent="0.2">
      <c r="A4228" s="7" t="str">
        <f>HYPERLINK("https://otsuka-europe-crm.veevavault.com/ui/#object/account__v/V4TZ06G6O71SBR1", "LOREDANA PENNESE")</f>
        <v>LOREDANA PENNESE</v>
      </c>
      <c r="B4228" s="7" t="str">
        <f t="shared" si="344"/>
        <v>IT</v>
      </c>
      <c r="C4228" s="8" t="s">
        <v>44</v>
      </c>
      <c r="D4228" s="9" t="str">
        <f t="shared" si="345"/>
        <v>AE dialoghi di tempo fiducia e cura episodi 2-3-4</v>
      </c>
      <c r="E4228" s="10" t="str">
        <f>HYPERLINK("https://otsuka-europe-crm.veevavault.com/ui/#object/sent_email__v/VBL00000002P505", "SE-001433175")</f>
        <v>SE-001433175</v>
      </c>
      <c r="F4228" s="11"/>
      <c r="G4228" s="12">
        <v>0</v>
      </c>
      <c r="H4228" s="12">
        <v>0</v>
      </c>
      <c r="I4228" s="12">
        <v>0</v>
      </c>
      <c r="J4228" s="11"/>
      <c r="K4228" s="12">
        <v>0</v>
      </c>
      <c r="L4228" s="10" t="str">
        <f t="shared" si="346"/>
        <v>AE dialoghi di tempo fiducia e cura episodi 2-3-4</v>
      </c>
      <c r="M4228" s="10" t="str">
        <f t="shared" si="347"/>
        <v>nicoletta.vozza@crm.otsuka-europe.com</v>
      </c>
      <c r="N4228" s="13">
        <v>46181.338055555556</v>
      </c>
      <c r="O4228" s="14" t="str">
        <f>HYPERLINK("https://otsuka-europe-crm.veevavault.com/ui/#object/email_activity__v/V8C00000003O930", "EN-002090590")</f>
        <v>EN-002090590</v>
      </c>
    </row>
    <row r="4229" spans="1:15" ht="32" x14ac:dyDescent="0.2">
      <c r="A4229" s="7" t="str">
        <f>HYPERLINK("https://otsuka-europe-crm.veevavault.com/ui/#object/account__v/V4TZ025E84C5V8G", "LOREDANA UBERTAZZO")</f>
        <v>LOREDANA UBERTAZZO</v>
      </c>
      <c r="B4229" s="7" t="str">
        <f t="shared" si="344"/>
        <v>IT</v>
      </c>
      <c r="C4229" s="8" t="s">
        <v>44</v>
      </c>
      <c r="D4229" s="9" t="str">
        <f t="shared" si="345"/>
        <v>AE dialoghi di tempo fiducia e cura episodi 2-3-4</v>
      </c>
      <c r="E4229" s="10" t="str">
        <f>HYPERLINK("https://otsuka-europe-crm.veevavault.com/ui/#object/sent_email__v/VBL00000002P506", "SE-001433176")</f>
        <v>SE-001433176</v>
      </c>
      <c r="F4229" s="11"/>
      <c r="G4229" s="12">
        <v>0</v>
      </c>
      <c r="H4229" s="12">
        <v>0</v>
      </c>
      <c r="I4229" s="12">
        <v>0</v>
      </c>
      <c r="J4229" s="11"/>
      <c r="K4229" s="12">
        <v>0</v>
      </c>
      <c r="L4229" s="10" t="str">
        <f t="shared" si="346"/>
        <v>AE dialoghi di tempo fiducia e cura episodi 2-3-4</v>
      </c>
      <c r="M4229" s="10" t="str">
        <f t="shared" si="347"/>
        <v>nicoletta.vozza@crm.otsuka-europe.com</v>
      </c>
      <c r="N4229" s="13">
        <v>46181.338009259256</v>
      </c>
      <c r="O4229" s="14" t="str">
        <f>HYPERLINK("https://otsuka-europe-crm.veevavault.com/ui/#object/email_activity__v/V8C00000003P672", "EN-002090927")</f>
        <v>EN-002090927</v>
      </c>
    </row>
    <row r="4230" spans="1:15" ht="32" x14ac:dyDescent="0.2">
      <c r="A4230" s="7" t="str">
        <f>HYPERLINK("https://otsuka-europe-crm.veevavault.com/ui/#object/account__v/V4TZ06G6O71SC19", "LORENA RAGAZZOLI")</f>
        <v>LORENA RAGAZZOLI</v>
      </c>
      <c r="B4230" s="7" t="str">
        <f t="shared" si="344"/>
        <v>IT</v>
      </c>
      <c r="C4230" s="8" t="s">
        <v>44</v>
      </c>
      <c r="D4230" s="9" t="str">
        <f t="shared" si="345"/>
        <v>AE dialoghi di tempo fiducia e cura episodi 2-3-4</v>
      </c>
      <c r="E4230" s="10" t="str">
        <f>HYPERLINK("https://otsuka-europe-crm.veevavault.com/ui/#object/sent_email__v/VBL00000002P507", "SE-001433177")</f>
        <v>SE-001433177</v>
      </c>
      <c r="F4230" s="11"/>
      <c r="G4230" s="12">
        <v>0</v>
      </c>
      <c r="H4230" s="12">
        <v>0</v>
      </c>
      <c r="I4230" s="12">
        <v>0</v>
      </c>
      <c r="J4230" s="11"/>
      <c r="K4230" s="12">
        <v>0</v>
      </c>
      <c r="L4230" s="10" t="str">
        <f t="shared" si="346"/>
        <v>AE dialoghi di tempo fiducia e cura episodi 2-3-4</v>
      </c>
      <c r="M4230" s="10" t="str">
        <f t="shared" si="347"/>
        <v>nicoletta.vozza@crm.otsuka-europe.com</v>
      </c>
      <c r="N4230" s="13">
        <v>46181.338055555556</v>
      </c>
      <c r="O4230" s="14" t="str">
        <f>HYPERLINK("https://otsuka-europe-crm.veevavault.com/ui/#object/email_activity__v/V8C00000003Q103", "EN-002091168")</f>
        <v>EN-002091168</v>
      </c>
    </row>
    <row r="4231" spans="1:15" ht="32" x14ac:dyDescent="0.2">
      <c r="A4231" s="7" t="str">
        <f>HYPERLINK("https://otsuka-europe-crm.veevavault.com/ui/#object/account__v/V4TZ06G6O71SCM5", "LORENA TRINCA")</f>
        <v>LORENA TRINCA</v>
      </c>
      <c r="B4231" s="7" t="str">
        <f t="shared" si="344"/>
        <v>IT</v>
      </c>
      <c r="C4231" s="8" t="s">
        <v>44</v>
      </c>
      <c r="D4231" s="9" t="str">
        <f t="shared" si="345"/>
        <v>AE dialoghi di tempo fiducia e cura episodi 2-3-4</v>
      </c>
      <c r="E4231" s="10" t="str">
        <f>HYPERLINK("https://otsuka-europe-crm.veevavault.com/ui/#object/sent_email__v/VBL00000002P508", "SE-001433178")</f>
        <v>SE-001433178</v>
      </c>
      <c r="F4231" s="11"/>
      <c r="G4231" s="12">
        <v>0</v>
      </c>
      <c r="H4231" s="12">
        <v>0</v>
      </c>
      <c r="I4231" s="12">
        <v>0</v>
      </c>
      <c r="J4231" s="11"/>
      <c r="K4231" s="12">
        <v>0</v>
      </c>
      <c r="L4231" s="10" t="str">
        <f t="shared" si="346"/>
        <v>AE dialoghi di tempo fiducia e cura episodi 2-3-4</v>
      </c>
      <c r="M4231" s="10" t="str">
        <f t="shared" si="347"/>
        <v>nicoletta.vozza@crm.otsuka-europe.com</v>
      </c>
      <c r="N4231" s="13">
        <v>46181.338020833333</v>
      </c>
      <c r="O4231" s="14" t="str">
        <f>HYPERLINK("https://otsuka-europe-crm.veevavault.com/ui/#object/email_activity__v/V8C00000003O577", "EN-002090133")</f>
        <v>EN-002090133</v>
      </c>
    </row>
    <row r="4232" spans="1:15" ht="32" x14ac:dyDescent="0.2">
      <c r="A4232" s="7" t="str">
        <f>HYPERLINK("https://otsuka-europe-crm.veevavault.com/ui/#object/account__v/V4TZ06G6O71ZEQB", "LORENZO BERARDI")</f>
        <v>LORENZO BERARDI</v>
      </c>
      <c r="B4232" s="7" t="str">
        <f t="shared" si="344"/>
        <v>IT</v>
      </c>
      <c r="C4232" s="8" t="s">
        <v>44</v>
      </c>
      <c r="D4232" s="9" t="str">
        <f t="shared" si="345"/>
        <v>AE dialoghi di tempo fiducia e cura episodi 2-3-4</v>
      </c>
      <c r="E4232" s="10" t="str">
        <f>HYPERLINK("https://otsuka-europe-crm.veevavault.com/ui/#object/sent_email__v/VBL00000002P509", "SE-001433179")</f>
        <v>SE-001433179</v>
      </c>
      <c r="F4232" s="11"/>
      <c r="G4232" s="12">
        <v>0</v>
      </c>
      <c r="H4232" s="12">
        <v>0</v>
      </c>
      <c r="I4232" s="12">
        <v>0</v>
      </c>
      <c r="J4232" s="11"/>
      <c r="K4232" s="12">
        <v>0</v>
      </c>
      <c r="L4232" s="10" t="str">
        <f t="shared" si="346"/>
        <v>AE dialoghi di tempo fiducia e cura episodi 2-3-4</v>
      </c>
      <c r="M4232" s="10" t="str">
        <f t="shared" si="347"/>
        <v>nicoletta.vozza@crm.otsuka-europe.com</v>
      </c>
      <c r="N4232" s="13">
        <v>46181.338090277779</v>
      </c>
      <c r="O4232" s="14" t="str">
        <f>HYPERLINK("https://otsuka-europe-crm.veevavault.com/ui/#object/email_activity__v/V8C00000003P647", "EN-002090902")</f>
        <v>EN-002090902</v>
      </c>
    </row>
    <row r="4233" spans="1:15" ht="32" x14ac:dyDescent="0.2">
      <c r="A4233" s="7" t="str">
        <f>HYPERLINK("https://otsuka-europe-crm.veevavault.com/ui/#object/account__v/V4TZ06G6O71SAYC", "LORENZO FILIPPONE")</f>
        <v>LORENZO FILIPPONE</v>
      </c>
      <c r="B4233" s="7" t="str">
        <f t="shared" si="344"/>
        <v>IT</v>
      </c>
      <c r="C4233" s="8" t="s">
        <v>44</v>
      </c>
      <c r="D4233" s="9" t="str">
        <f t="shared" si="345"/>
        <v>AE dialoghi di tempo fiducia e cura episodi 2-3-4</v>
      </c>
      <c r="E4233" s="10" t="str">
        <f>HYPERLINK("https://otsuka-europe-crm.veevavault.com/ui/#object/sent_email__v/VBL00000002P510", "SE-001433180")</f>
        <v>SE-001433180</v>
      </c>
      <c r="F4233" s="11"/>
      <c r="G4233" s="12">
        <v>0</v>
      </c>
      <c r="H4233" s="12">
        <v>0</v>
      </c>
      <c r="I4233" s="12">
        <v>0</v>
      </c>
      <c r="J4233" s="11"/>
      <c r="K4233" s="12">
        <v>0</v>
      </c>
      <c r="L4233" s="10" t="str">
        <f t="shared" si="346"/>
        <v>AE dialoghi di tempo fiducia e cura episodi 2-3-4</v>
      </c>
      <c r="M4233" s="10" t="str">
        <f t="shared" si="347"/>
        <v>nicoletta.vozza@crm.otsuka-europe.com</v>
      </c>
      <c r="N4233" s="13">
        <v>46181.33803240741</v>
      </c>
      <c r="O4233" s="14" t="str">
        <f>HYPERLINK("https://otsuka-europe-crm.veevavault.com/ui/#object/email_activity__v/V8C00000003O791", "EN-002090451")</f>
        <v>EN-002090451</v>
      </c>
    </row>
    <row r="4234" spans="1:15" ht="32" x14ac:dyDescent="0.2">
      <c r="A4234" s="7" t="str">
        <f>HYPERLINK("https://otsuka-europe-crm.veevavault.com/ui/#object/account__v/V4TZ06G6O71S9MU", "LORENZO GAMMINO")</f>
        <v>LORENZO GAMMINO</v>
      </c>
      <c r="B4234" s="7" t="str">
        <f t="shared" si="344"/>
        <v>IT</v>
      </c>
      <c r="C4234" s="8" t="s">
        <v>44</v>
      </c>
      <c r="D4234" s="9" t="str">
        <f t="shared" si="345"/>
        <v>AE dialoghi di tempo fiducia e cura episodi 2-3-4</v>
      </c>
      <c r="E4234" s="10" t="str">
        <f>HYPERLINK("https://otsuka-europe-crm.veevavault.com/ui/#object/sent_email__v/VBL00000002P511", "SE-001433181")</f>
        <v>SE-001433181</v>
      </c>
      <c r="F4234" s="11"/>
      <c r="G4234" s="12">
        <v>0</v>
      </c>
      <c r="H4234" s="12">
        <v>0</v>
      </c>
      <c r="I4234" s="12">
        <v>0</v>
      </c>
      <c r="J4234" s="11"/>
      <c r="K4234" s="12">
        <v>0</v>
      </c>
      <c r="L4234" s="10" t="str">
        <f t="shared" si="346"/>
        <v>AE dialoghi di tempo fiducia e cura episodi 2-3-4</v>
      </c>
      <c r="M4234" s="10" t="str">
        <f t="shared" si="347"/>
        <v>nicoletta.vozza@crm.otsuka-europe.com</v>
      </c>
      <c r="N4234" s="13">
        <v>46181.338043981479</v>
      </c>
      <c r="O4234" s="14" t="str">
        <f>HYPERLINK("https://otsuka-europe-crm.veevavault.com/ui/#object/email_activity__v/V8C00000003O966", "EN-002090626")</f>
        <v>EN-002090626</v>
      </c>
    </row>
    <row r="4235" spans="1:15" ht="32" x14ac:dyDescent="0.2">
      <c r="A4235" s="7" t="str">
        <f>HYPERLINK("https://otsuka-europe-crm.veevavault.com/ui/#object/account__v/V4TZ06G6O8TGTFC", "LORENZO IMBURGIA")</f>
        <v>LORENZO IMBURGIA</v>
      </c>
      <c r="B4235" s="7" t="str">
        <f t="shared" si="344"/>
        <v>IT</v>
      </c>
      <c r="C4235" s="8" t="s">
        <v>44</v>
      </c>
      <c r="D4235" s="9" t="str">
        <f t="shared" si="345"/>
        <v>AE dialoghi di tempo fiducia e cura episodi 2-3-4</v>
      </c>
      <c r="E4235" s="10" t="str">
        <f>HYPERLINK("https://otsuka-europe-crm.veevavault.com/ui/#object/sent_email__v/VBL00000002P512", "SE-001433182")</f>
        <v>SE-001433182</v>
      </c>
      <c r="F4235" s="11"/>
      <c r="G4235" s="12">
        <v>0</v>
      </c>
      <c r="H4235" s="12">
        <v>0</v>
      </c>
      <c r="I4235" s="12">
        <v>0</v>
      </c>
      <c r="J4235" s="11"/>
      <c r="K4235" s="12">
        <v>0</v>
      </c>
      <c r="L4235" s="10" t="str">
        <f t="shared" si="346"/>
        <v>AE dialoghi di tempo fiducia e cura episodi 2-3-4</v>
      </c>
      <c r="M4235" s="10" t="str">
        <f t="shared" si="347"/>
        <v>nicoletta.vozza@crm.otsuka-europe.com</v>
      </c>
      <c r="N4235" s="13">
        <v>46181.337997685187</v>
      </c>
      <c r="O4235" s="14" t="str">
        <f>HYPERLINK("https://otsuka-europe-crm.veevavault.com/ui/#object/email_activity__v/V8C00000003P563", "EN-002090818")</f>
        <v>EN-002090818</v>
      </c>
    </row>
    <row r="4236" spans="1:15" ht="16" x14ac:dyDescent="0.2">
      <c r="A4236" s="17" t="str">
        <f>HYPERLINK("https://otsuka-europe-crm.veevavault.com/ui/#object/account__v/V4TZ06G6OCELOZX", "LORENZO MARIA CONTINI")</f>
        <v>LORENZO MARIA CONTINI</v>
      </c>
      <c r="B4236" s="17" t="str">
        <f t="shared" si="344"/>
        <v>IT</v>
      </c>
      <c r="C4236" s="20" t="s">
        <v>44</v>
      </c>
      <c r="D4236" s="21" t="str">
        <f t="shared" si="345"/>
        <v>AE dialoghi di tempo fiducia e cura episodi 2-3-4</v>
      </c>
      <c r="E4236" s="22" t="str">
        <f>HYPERLINK("https://otsuka-europe-crm.veevavault.com/ui/#object/sent_email__v/VBL00000002P513", "SE-001433183")</f>
        <v>SE-001433183</v>
      </c>
      <c r="F4236" s="23">
        <v>46181.710312499999</v>
      </c>
      <c r="G4236" s="24">
        <v>1</v>
      </c>
      <c r="H4236" s="24">
        <v>2</v>
      </c>
      <c r="I4236" s="24">
        <v>0</v>
      </c>
      <c r="J4236" s="25"/>
      <c r="K4236" s="24">
        <v>0</v>
      </c>
      <c r="L4236" s="22" t="str">
        <f t="shared" si="346"/>
        <v>AE dialoghi di tempo fiducia e cura episodi 2-3-4</v>
      </c>
      <c r="M4236" s="22" t="str">
        <f t="shared" si="347"/>
        <v>nicoletta.vozza@crm.otsuka-europe.com</v>
      </c>
      <c r="N4236" s="23">
        <v>46181.338020833333</v>
      </c>
      <c r="O4236" s="14" t="str">
        <f>HYPERLINK("https://otsuka-europe-crm.veevavault.com/ui/#object/email_activity__v/V8C00000003P620", "EN-002090875")</f>
        <v>EN-002090875</v>
      </c>
    </row>
    <row r="4237" spans="1:15" ht="16" x14ac:dyDescent="0.2">
      <c r="A4237" s="18"/>
      <c r="B4237" s="18"/>
      <c r="C4237" s="18"/>
      <c r="D4237" s="18"/>
      <c r="E4237" s="18"/>
      <c r="F4237" s="18"/>
      <c r="G4237" s="18"/>
      <c r="H4237" s="18"/>
      <c r="I4237" s="18"/>
      <c r="J4237" s="18"/>
      <c r="K4237" s="18"/>
      <c r="L4237" s="18"/>
      <c r="M4237" s="18"/>
      <c r="N4237" s="18"/>
      <c r="O4237" s="14" t="str">
        <f>HYPERLINK("https://otsuka-europe-crm.veevavault.com/ui/#object/email_activity__v/V8C00000003P895", "EN-002091425")</f>
        <v>EN-002091425</v>
      </c>
    </row>
    <row r="4238" spans="1:15" ht="16" x14ac:dyDescent="0.2">
      <c r="A4238" s="19"/>
      <c r="B4238" s="19"/>
      <c r="C4238" s="19"/>
      <c r="D4238" s="19"/>
      <c r="E4238" s="19"/>
      <c r="F4238" s="19"/>
      <c r="G4238" s="19"/>
      <c r="H4238" s="19"/>
      <c r="I4238" s="19"/>
      <c r="J4238" s="19"/>
      <c r="K4238" s="19"/>
      <c r="L4238" s="19"/>
      <c r="M4238" s="19"/>
      <c r="N4238" s="19"/>
      <c r="O4238" s="14" t="str">
        <f>HYPERLINK("https://otsuka-europe-crm.veevavault.com/ui/#object/email_activity__v/V8C00000003R229", "EN-002092114")</f>
        <v>EN-002092114</v>
      </c>
    </row>
    <row r="4239" spans="1:15" ht="32" x14ac:dyDescent="0.2">
      <c r="A4239" s="7" t="str">
        <f>HYPERLINK("https://otsuka-europe-crm.veevavault.com/ui/#object/account__v/V4TZ06G6O71SC3H", "LORENZO RIVA")</f>
        <v>LORENZO RIVA</v>
      </c>
      <c r="B4239" s="7" t="str">
        <f>HYPERLINK("https://otsuka-europe-crm.veevavault.com/ui/#object/vcountry__v/VENZ000004SONFQ", "IT")</f>
        <v>IT</v>
      </c>
      <c r="C4239" s="8" t="s">
        <v>44</v>
      </c>
      <c r="D4239" s="9" t="str">
        <f>HYPERLINK("https://otsuka-europe-crm.veevavault.com/ui/#object/approved_document__v/V5O000000018003", "AE dialoghi di tempo fiducia e cura episodi 2-3-4")</f>
        <v>AE dialoghi di tempo fiducia e cura episodi 2-3-4</v>
      </c>
      <c r="E4239" s="10" t="str">
        <f>HYPERLINK("https://otsuka-europe-crm.veevavault.com/ui/#object/sent_email__v/VBL00000002P514", "SE-001433184")</f>
        <v>SE-001433184</v>
      </c>
      <c r="F4239" s="11"/>
      <c r="G4239" s="12">
        <v>0</v>
      </c>
      <c r="H4239" s="12">
        <v>0</v>
      </c>
      <c r="I4239" s="12">
        <v>0</v>
      </c>
      <c r="J4239" s="11"/>
      <c r="K4239" s="12">
        <v>0</v>
      </c>
      <c r="L4239" s="10" t="str">
        <f>HYPERLINK("https://otsuka-europe-crm.veevavault.com/ui/#object/approved_document__v/V5O000000018003", "AE dialoghi di tempo fiducia e cura episodi 2-3-4")</f>
        <v>AE dialoghi di tempo fiducia e cura episodi 2-3-4</v>
      </c>
      <c r="M4239" s="10" t="str">
        <f>HYPERLINK("mailto:nicoletta.vozza@crm.otsuka-europe.com", "nicoletta.vozza@crm.otsuka-europe.com")</f>
        <v>nicoletta.vozza@crm.otsuka-europe.com</v>
      </c>
      <c r="N4239" s="13">
        <v>46181.338055555556</v>
      </c>
      <c r="O4239" s="14" t="str">
        <f>HYPERLINK("https://otsuka-europe-crm.veevavault.com/ui/#object/email_activity__v/V8C00000003O928", "EN-002090588")</f>
        <v>EN-002090588</v>
      </c>
    </row>
    <row r="4240" spans="1:15" ht="32" x14ac:dyDescent="0.2">
      <c r="A4240" s="7" t="str">
        <f>HYPERLINK("https://otsuka-europe-crm.veevavault.com/ui/#object/account__v/V4TZ06G6O71SCB2", "LORENZO SAN MARTINO")</f>
        <v>LORENZO SAN MARTINO</v>
      </c>
      <c r="B4240" s="7" t="str">
        <f>HYPERLINK("https://otsuka-europe-crm.veevavault.com/ui/#object/vcountry__v/VENZ000004SONFQ", "IT")</f>
        <v>IT</v>
      </c>
      <c r="C4240" s="8" t="s">
        <v>44</v>
      </c>
      <c r="D4240" s="9" t="str">
        <f>HYPERLINK("https://otsuka-europe-crm.veevavault.com/ui/#object/approved_document__v/V5O000000018003", "AE dialoghi di tempo fiducia e cura episodi 2-3-4")</f>
        <v>AE dialoghi di tempo fiducia e cura episodi 2-3-4</v>
      </c>
      <c r="E4240" s="10" t="str">
        <f>HYPERLINK("https://otsuka-europe-crm.veevavault.com/ui/#object/sent_email__v/VBL00000002P515", "SE-001433185")</f>
        <v>SE-001433185</v>
      </c>
      <c r="F4240" s="11"/>
      <c r="G4240" s="12">
        <v>0</v>
      </c>
      <c r="H4240" s="12">
        <v>0</v>
      </c>
      <c r="I4240" s="12">
        <v>0</v>
      </c>
      <c r="J4240" s="11"/>
      <c r="K4240" s="12">
        <v>0</v>
      </c>
      <c r="L4240" s="10" t="str">
        <f>HYPERLINK("https://otsuka-europe-crm.veevavault.com/ui/#object/approved_document__v/V5O000000018003", "AE dialoghi di tempo fiducia e cura episodi 2-3-4")</f>
        <v>AE dialoghi di tempo fiducia e cura episodi 2-3-4</v>
      </c>
      <c r="M4240" s="10" t="str">
        <f>HYPERLINK("mailto:nicoletta.vozza@crm.otsuka-europe.com", "nicoletta.vozza@crm.otsuka-europe.com")</f>
        <v>nicoletta.vozza@crm.otsuka-europe.com</v>
      </c>
      <c r="N4240" s="13">
        <v>46181.338090277779</v>
      </c>
      <c r="O4240" s="14" t="str">
        <f>HYPERLINK("https://otsuka-europe-crm.veevavault.com/ui/#object/email_activity__v/V8C00000003P538", "EN-002090793")</f>
        <v>EN-002090793</v>
      </c>
    </row>
    <row r="4241" spans="1:15" ht="16" x14ac:dyDescent="0.2">
      <c r="A4241" s="17" t="str">
        <f>HYPERLINK("https://otsuka-europe-crm.veevavault.com/ui/#object/account__v/V4TZ06G6O71S9RF", "LORENZO TOMASSINI")</f>
        <v>LORENZO TOMASSINI</v>
      </c>
      <c r="B4241" s="17" t="str">
        <f>HYPERLINK("https://otsuka-europe-crm.veevavault.com/ui/#object/vcountry__v/VENZ000004SONFQ", "IT")</f>
        <v>IT</v>
      </c>
      <c r="C4241" s="20" t="s">
        <v>44</v>
      </c>
      <c r="D4241" s="21" t="str">
        <f>HYPERLINK("https://otsuka-europe-crm.veevavault.com/ui/#object/approved_document__v/V5O000000018003", "AE dialoghi di tempo fiducia e cura episodi 2-3-4")</f>
        <v>AE dialoghi di tempo fiducia e cura episodi 2-3-4</v>
      </c>
      <c r="E4241" s="22" t="str">
        <f>HYPERLINK("https://otsuka-europe-crm.veevavault.com/ui/#object/sent_email__v/VBL00000002P516", "SE-001433186")</f>
        <v>SE-001433186</v>
      </c>
      <c r="F4241" s="23">
        <v>46181.977210648147</v>
      </c>
      <c r="G4241" s="24">
        <v>1</v>
      </c>
      <c r="H4241" s="24">
        <v>1</v>
      </c>
      <c r="I4241" s="24">
        <v>0</v>
      </c>
      <c r="J4241" s="25"/>
      <c r="K4241" s="24">
        <v>0</v>
      </c>
      <c r="L4241" s="22" t="str">
        <f>HYPERLINK("https://otsuka-europe-crm.veevavault.com/ui/#object/approved_document__v/V5O000000018003", "AE dialoghi di tempo fiducia e cura episodi 2-3-4")</f>
        <v>AE dialoghi di tempo fiducia e cura episodi 2-3-4</v>
      </c>
      <c r="M4241" s="22" t="str">
        <f>HYPERLINK("mailto:nicoletta.vozza@crm.otsuka-europe.com", "nicoletta.vozza@crm.otsuka-europe.com")</f>
        <v>nicoletta.vozza@crm.otsuka-europe.com</v>
      </c>
      <c r="N4241" s="23">
        <v>46181.338090277779</v>
      </c>
      <c r="O4241" s="14" t="str">
        <f>HYPERLINK("https://otsuka-europe-crm.veevavault.com/ui/#object/email_activity__v/V8C00000003O500", "EN-002090056")</f>
        <v>EN-002090056</v>
      </c>
    </row>
    <row r="4242" spans="1:15" ht="16" x14ac:dyDescent="0.2">
      <c r="A4242" s="19"/>
      <c r="B4242" s="19"/>
      <c r="C4242" s="19"/>
      <c r="D4242" s="19"/>
      <c r="E4242" s="19"/>
      <c r="F4242" s="19"/>
      <c r="G4242" s="19"/>
      <c r="H4242" s="19"/>
      <c r="I4242" s="19"/>
      <c r="J4242" s="19"/>
      <c r="K4242" s="19"/>
      <c r="L4242" s="19"/>
      <c r="M4242" s="19"/>
      <c r="N4242" s="19"/>
      <c r="O4242" s="14" t="str">
        <f>HYPERLINK("https://otsuka-europe-crm.veevavault.com/ui/#object/email_activity__v/V8C00000003Q728", "EN-002092290")</f>
        <v>EN-002092290</v>
      </c>
    </row>
    <row r="4243" spans="1:15" ht="32" x14ac:dyDescent="0.2">
      <c r="A4243" s="7" t="str">
        <f>HYPERLINK("https://otsuka-europe-crm.veevavault.com/ui/#object/account__v/V4TZ06G6O71SADY", "LORIS IVAN DE VITA")</f>
        <v>LORIS IVAN DE VITA</v>
      </c>
      <c r="B4243" s="7" t="str">
        <f t="shared" ref="B4243:B4250" si="348">HYPERLINK("https://otsuka-europe-crm.veevavault.com/ui/#object/vcountry__v/VENZ000004SONFQ", "IT")</f>
        <v>IT</v>
      </c>
      <c r="C4243" s="8" t="s">
        <v>44</v>
      </c>
      <c r="D4243" s="9" t="str">
        <f t="shared" ref="D4243:D4250" si="349">HYPERLINK("https://otsuka-europe-crm.veevavault.com/ui/#object/approved_document__v/V5O000000018003", "AE dialoghi di tempo fiducia e cura episodi 2-3-4")</f>
        <v>AE dialoghi di tempo fiducia e cura episodi 2-3-4</v>
      </c>
      <c r="E4243" s="10" t="str">
        <f>HYPERLINK("https://otsuka-europe-crm.veevavault.com/ui/#object/sent_email__v/VBL00000002P517", "SE-001433187")</f>
        <v>SE-001433187</v>
      </c>
      <c r="F4243" s="11"/>
      <c r="G4243" s="12">
        <v>0</v>
      </c>
      <c r="H4243" s="12">
        <v>0</v>
      </c>
      <c r="I4243" s="12">
        <v>0</v>
      </c>
      <c r="J4243" s="11"/>
      <c r="K4243" s="12">
        <v>0</v>
      </c>
      <c r="L4243" s="10" t="str">
        <f t="shared" ref="L4243:L4250" si="350">HYPERLINK("https://otsuka-europe-crm.veevavault.com/ui/#object/approved_document__v/V5O000000018003", "AE dialoghi di tempo fiducia e cura episodi 2-3-4")</f>
        <v>AE dialoghi di tempo fiducia e cura episodi 2-3-4</v>
      </c>
      <c r="M4243" s="10" t="str">
        <f t="shared" ref="M4243:M4250" si="351">HYPERLINK("mailto:nicoletta.vozza@crm.otsuka-europe.com", "nicoletta.vozza@crm.otsuka-europe.com")</f>
        <v>nicoletta.vozza@crm.otsuka-europe.com</v>
      </c>
      <c r="N4243" s="13">
        <v>46181.338078703702</v>
      </c>
      <c r="O4243" s="14" t="str">
        <f>HYPERLINK("https://otsuka-europe-crm.veevavault.com/ui/#object/email_activity__v/V8C00000003O655", "EN-002090211")</f>
        <v>EN-002090211</v>
      </c>
    </row>
    <row r="4244" spans="1:15" ht="32" x14ac:dyDescent="0.2">
      <c r="A4244" s="7" t="str">
        <f>HYPERLINK("https://otsuka-europe-crm.veevavault.com/ui/#object/account__v/V4TZ06G6O9VFIWG", "LORIS VESCERA")</f>
        <v>LORIS VESCERA</v>
      </c>
      <c r="B4244" s="7" t="str">
        <f t="shared" si="348"/>
        <v>IT</v>
      </c>
      <c r="C4244" s="8" t="s">
        <v>44</v>
      </c>
      <c r="D4244" s="9" t="str">
        <f t="shared" si="349"/>
        <v>AE dialoghi di tempo fiducia e cura episodi 2-3-4</v>
      </c>
      <c r="E4244" s="10" t="str">
        <f>HYPERLINK("https://otsuka-europe-crm.veevavault.com/ui/#object/sent_email__v/VBL00000002P518", "SE-001433188")</f>
        <v>SE-001433188</v>
      </c>
      <c r="F4244" s="11"/>
      <c r="G4244" s="12">
        <v>0</v>
      </c>
      <c r="H4244" s="12">
        <v>0</v>
      </c>
      <c r="I4244" s="12">
        <v>0</v>
      </c>
      <c r="J4244" s="11"/>
      <c r="K4244" s="12">
        <v>0</v>
      </c>
      <c r="L4244" s="10" t="str">
        <f t="shared" si="350"/>
        <v>AE dialoghi di tempo fiducia e cura episodi 2-3-4</v>
      </c>
      <c r="M4244" s="10" t="str">
        <f t="shared" si="351"/>
        <v>nicoletta.vozza@crm.otsuka-europe.com</v>
      </c>
      <c r="N4244" s="13">
        <v>46181.33797453704</v>
      </c>
      <c r="O4244" s="14" t="str">
        <f>HYPERLINK("https://otsuka-europe-crm.veevavault.com/ui/#object/email_activity__v/V8C00000003O461", "EN-002090017")</f>
        <v>EN-002090017</v>
      </c>
    </row>
    <row r="4245" spans="1:15" ht="32" x14ac:dyDescent="0.2">
      <c r="A4245" s="7" t="str">
        <f>HYPERLINK("https://otsuka-europe-crm.veevavault.com/ui/#object/account__v/V4TZ06G6O71SA4U", "LUCA BOCCALARI")</f>
        <v>LUCA BOCCALARI</v>
      </c>
      <c r="B4245" s="7" t="str">
        <f t="shared" si="348"/>
        <v>IT</v>
      </c>
      <c r="C4245" s="8" t="s">
        <v>44</v>
      </c>
      <c r="D4245" s="9" t="str">
        <f t="shared" si="349"/>
        <v>AE dialoghi di tempo fiducia e cura episodi 2-3-4</v>
      </c>
      <c r="E4245" s="10" t="str">
        <f>HYPERLINK("https://otsuka-europe-crm.veevavault.com/ui/#object/sent_email__v/VBL00000002P519", "SE-001433189")</f>
        <v>SE-001433189</v>
      </c>
      <c r="F4245" s="11"/>
      <c r="G4245" s="12">
        <v>0</v>
      </c>
      <c r="H4245" s="12">
        <v>0</v>
      </c>
      <c r="I4245" s="12">
        <v>0</v>
      </c>
      <c r="J4245" s="11"/>
      <c r="K4245" s="12">
        <v>0</v>
      </c>
      <c r="L4245" s="10" t="str">
        <f t="shared" si="350"/>
        <v>AE dialoghi di tempo fiducia e cura episodi 2-3-4</v>
      </c>
      <c r="M4245" s="10" t="str">
        <f t="shared" si="351"/>
        <v>nicoletta.vozza@crm.otsuka-europe.com</v>
      </c>
      <c r="N4245" s="13">
        <v>46181.338055555556</v>
      </c>
      <c r="O4245" s="14" t="str">
        <f>HYPERLINK("https://otsuka-europe-crm.veevavault.com/ui/#object/email_activity__v/V8C00000003O850", "EN-002090551")</f>
        <v>EN-002090551</v>
      </c>
    </row>
    <row r="4246" spans="1:15" ht="32" x14ac:dyDescent="0.2">
      <c r="A4246" s="7" t="str">
        <f>HYPERLINK("https://otsuka-europe-crm.veevavault.com/ui/#object/account__v/V4TZ06G6O71SAK6", "LUCA FABOZZI")</f>
        <v>LUCA FABOZZI</v>
      </c>
      <c r="B4246" s="7" t="str">
        <f t="shared" si="348"/>
        <v>IT</v>
      </c>
      <c r="C4246" s="8" t="s">
        <v>44</v>
      </c>
      <c r="D4246" s="9" t="str">
        <f t="shared" si="349"/>
        <v>AE dialoghi di tempo fiducia e cura episodi 2-3-4</v>
      </c>
      <c r="E4246" s="10" t="str">
        <f>HYPERLINK("https://otsuka-europe-crm.veevavault.com/ui/#object/sent_email__v/VBL00000002P520", "SE-001433190")</f>
        <v>SE-001433190</v>
      </c>
      <c r="F4246" s="11"/>
      <c r="G4246" s="12">
        <v>0</v>
      </c>
      <c r="H4246" s="12">
        <v>0</v>
      </c>
      <c r="I4246" s="12">
        <v>0</v>
      </c>
      <c r="J4246" s="11"/>
      <c r="K4246" s="12">
        <v>0</v>
      </c>
      <c r="L4246" s="10" t="str">
        <f t="shared" si="350"/>
        <v>AE dialoghi di tempo fiducia e cura episodi 2-3-4</v>
      </c>
      <c r="M4246" s="10" t="str">
        <f t="shared" si="351"/>
        <v>nicoletta.vozza@crm.otsuka-europe.com</v>
      </c>
      <c r="N4246" s="13">
        <v>46181.337997685187</v>
      </c>
      <c r="O4246" s="14" t="str">
        <f>HYPERLINK("https://otsuka-europe-crm.veevavault.com/ui/#object/email_activity__v/V8C00000003O713", "EN-002090269")</f>
        <v>EN-002090269</v>
      </c>
    </row>
    <row r="4247" spans="1:15" ht="32" x14ac:dyDescent="0.2">
      <c r="A4247" s="7" t="str">
        <f>HYPERLINK("https://otsuka-europe-crm.veevavault.com/ui/#object/account__v/V4TZ06G6O71S9M6", "LUCA GHEDA")</f>
        <v>LUCA GHEDA</v>
      </c>
      <c r="B4247" s="7" t="str">
        <f t="shared" si="348"/>
        <v>IT</v>
      </c>
      <c r="C4247" s="8" t="s">
        <v>44</v>
      </c>
      <c r="D4247" s="9" t="str">
        <f t="shared" si="349"/>
        <v>AE dialoghi di tempo fiducia e cura episodi 2-3-4</v>
      </c>
      <c r="E4247" s="10" t="str">
        <f>HYPERLINK("https://otsuka-europe-crm.veevavault.com/ui/#object/sent_email__v/VBL00000002P521", "SE-001433191")</f>
        <v>SE-001433191</v>
      </c>
      <c r="F4247" s="11"/>
      <c r="G4247" s="12">
        <v>0</v>
      </c>
      <c r="H4247" s="12">
        <v>0</v>
      </c>
      <c r="I4247" s="12">
        <v>0</v>
      </c>
      <c r="J4247" s="11"/>
      <c r="K4247" s="12">
        <v>0</v>
      </c>
      <c r="L4247" s="10" t="str">
        <f t="shared" si="350"/>
        <v>AE dialoghi di tempo fiducia e cura episodi 2-3-4</v>
      </c>
      <c r="M4247" s="10" t="str">
        <f t="shared" si="351"/>
        <v>nicoletta.vozza@crm.otsuka-europe.com</v>
      </c>
      <c r="N4247" s="13">
        <v>46181.337997685187</v>
      </c>
      <c r="O4247" s="14" t="str">
        <f>HYPERLINK("https://otsuka-europe-crm.veevavault.com/ui/#object/email_activity__v/V8C00000003P301", "EN-002089937")</f>
        <v>EN-002089937</v>
      </c>
    </row>
    <row r="4248" spans="1:15" ht="32" x14ac:dyDescent="0.2">
      <c r="A4248" s="7" t="str">
        <f>HYPERLINK("https://otsuka-europe-crm.veevavault.com/ui/#object/account__v/V4TZ025E86ZQK7B", "LUCA GIACOVELLI")</f>
        <v>LUCA GIACOVELLI</v>
      </c>
      <c r="B4248" s="7" t="str">
        <f t="shared" si="348"/>
        <v>IT</v>
      </c>
      <c r="C4248" s="8" t="s">
        <v>44</v>
      </c>
      <c r="D4248" s="9" t="str">
        <f t="shared" si="349"/>
        <v>AE dialoghi di tempo fiducia e cura episodi 2-3-4</v>
      </c>
      <c r="E4248" s="10" t="str">
        <f>HYPERLINK("https://otsuka-europe-crm.veevavault.com/ui/#object/sent_email__v/VBL00000002P522", "SE-001433192")</f>
        <v>SE-001433192</v>
      </c>
      <c r="F4248" s="11"/>
      <c r="G4248" s="12">
        <v>0</v>
      </c>
      <c r="H4248" s="12">
        <v>0</v>
      </c>
      <c r="I4248" s="12">
        <v>0</v>
      </c>
      <c r="J4248" s="11"/>
      <c r="K4248" s="12">
        <v>0</v>
      </c>
      <c r="L4248" s="10" t="str">
        <f t="shared" si="350"/>
        <v>AE dialoghi di tempo fiducia e cura episodi 2-3-4</v>
      </c>
      <c r="M4248" s="10" t="str">
        <f t="shared" si="351"/>
        <v>nicoletta.vozza@crm.otsuka-europe.com</v>
      </c>
      <c r="N4248" s="13">
        <v>46181.338055555556</v>
      </c>
      <c r="O4248" s="14" t="str">
        <f>HYPERLINK("https://otsuka-europe-crm.veevavault.com/ui/#object/email_activity__v/V8C00000003P526", "EN-002090781")</f>
        <v>EN-002090781</v>
      </c>
    </row>
    <row r="4249" spans="1:15" ht="32" x14ac:dyDescent="0.2">
      <c r="A4249" s="7" t="str">
        <f>HYPERLINK("https://otsuka-europe-crm.veevavault.com/ui/#object/account__v/V4TZ06G6O71SCRN", "LUCA GIONATA ZANNINO")</f>
        <v>LUCA GIONATA ZANNINO</v>
      </c>
      <c r="B4249" s="7" t="str">
        <f t="shared" si="348"/>
        <v>IT</v>
      </c>
      <c r="C4249" s="8" t="s">
        <v>44</v>
      </c>
      <c r="D4249" s="9" t="str">
        <f t="shared" si="349"/>
        <v>AE dialoghi di tempo fiducia e cura episodi 2-3-4</v>
      </c>
      <c r="E4249" s="10" t="str">
        <f>HYPERLINK("https://otsuka-europe-crm.veevavault.com/ui/#object/sent_email__v/VBL00000002P523", "SE-001433193")</f>
        <v>SE-001433193</v>
      </c>
      <c r="F4249" s="11"/>
      <c r="G4249" s="12">
        <v>0</v>
      </c>
      <c r="H4249" s="12">
        <v>0</v>
      </c>
      <c r="I4249" s="12">
        <v>0</v>
      </c>
      <c r="J4249" s="11"/>
      <c r="K4249" s="12">
        <v>0</v>
      </c>
      <c r="L4249" s="10" t="str">
        <f t="shared" si="350"/>
        <v>AE dialoghi di tempo fiducia e cura episodi 2-3-4</v>
      </c>
      <c r="M4249" s="10" t="str">
        <f t="shared" si="351"/>
        <v>nicoletta.vozza@crm.otsuka-europe.com</v>
      </c>
      <c r="N4249" s="13">
        <v>46181.338055555556</v>
      </c>
      <c r="O4249" s="14" t="str">
        <f>HYPERLINK("https://otsuka-europe-crm.veevavault.com/ui/#object/email_activity__v/V8C00000003P311", "EN-002089947")</f>
        <v>EN-002089947</v>
      </c>
    </row>
    <row r="4250" spans="1:15" ht="16" x14ac:dyDescent="0.2">
      <c r="A4250" s="17" t="str">
        <f>HYPERLINK("https://otsuka-europe-crm.veevavault.com/ui/#object/account__v/V4TZ06G6O71SAVT", "LUCA GIORGINI")</f>
        <v>LUCA GIORGINI</v>
      </c>
      <c r="B4250" s="17" t="str">
        <f t="shared" si="348"/>
        <v>IT</v>
      </c>
      <c r="C4250" s="20" t="s">
        <v>44</v>
      </c>
      <c r="D4250" s="21" t="str">
        <f t="shared" si="349"/>
        <v>AE dialoghi di tempo fiducia e cura episodi 2-3-4</v>
      </c>
      <c r="E4250" s="22" t="str">
        <f>HYPERLINK("https://otsuka-europe-crm.veevavault.com/ui/#object/sent_email__v/VBL00000002P524", "SE-001433194")</f>
        <v>SE-001433194</v>
      </c>
      <c r="F4250" s="25"/>
      <c r="G4250" s="24">
        <v>0</v>
      </c>
      <c r="H4250" s="24">
        <v>0</v>
      </c>
      <c r="I4250" s="24">
        <v>0</v>
      </c>
      <c r="J4250" s="25"/>
      <c r="K4250" s="24">
        <v>0</v>
      </c>
      <c r="L4250" s="22" t="str">
        <f t="shared" si="350"/>
        <v>AE dialoghi di tempo fiducia e cura episodi 2-3-4</v>
      </c>
      <c r="M4250" s="22" t="str">
        <f t="shared" si="351"/>
        <v>nicoletta.vozza@crm.otsuka-europe.com</v>
      </c>
      <c r="N4250" s="23">
        <v>46181.33797453704</v>
      </c>
      <c r="O4250" s="14" t="str">
        <f>HYPERLINK("https://otsuka-europe-crm.veevavault.com/ui/#object/email_activity__v/V8C00000003O233", "EN-002089710")</f>
        <v>EN-002089710</v>
      </c>
    </row>
    <row r="4251" spans="1:15" ht="16" x14ac:dyDescent="0.2">
      <c r="A4251" s="18"/>
      <c r="B4251" s="18"/>
      <c r="C4251" s="18"/>
      <c r="D4251" s="18"/>
      <c r="E4251" s="18"/>
      <c r="F4251" s="18"/>
      <c r="G4251" s="18"/>
      <c r="H4251" s="18"/>
      <c r="I4251" s="18"/>
      <c r="J4251" s="18"/>
      <c r="K4251" s="18"/>
      <c r="L4251" s="18"/>
      <c r="M4251" s="18"/>
      <c r="N4251" s="18"/>
      <c r="O4251" s="14" t="str">
        <f>HYPERLINK("https://otsuka-europe-crm.veevavault.com/ui/#object/email_activity__v/V8C00000003Q671", "EN-002092184")</f>
        <v>EN-002092184</v>
      </c>
    </row>
    <row r="4252" spans="1:15" ht="16" x14ac:dyDescent="0.2">
      <c r="A4252" s="18"/>
      <c r="B4252" s="18"/>
      <c r="C4252" s="18"/>
      <c r="D4252" s="18"/>
      <c r="E4252" s="18"/>
      <c r="F4252" s="18"/>
      <c r="G4252" s="18"/>
      <c r="H4252" s="18"/>
      <c r="I4252" s="18"/>
      <c r="J4252" s="18"/>
      <c r="K4252" s="18"/>
      <c r="L4252" s="18"/>
      <c r="M4252" s="18"/>
      <c r="N4252" s="18"/>
      <c r="O4252" s="14" t="str">
        <f>HYPERLINK("https://otsuka-europe-crm.veevavault.com/ui/#object/email_activity__v/V8C00000003R114", "EN-002091896")</f>
        <v>EN-002091896</v>
      </c>
    </row>
    <row r="4253" spans="1:15" ht="16" x14ac:dyDescent="0.2">
      <c r="A4253" s="19"/>
      <c r="B4253" s="19"/>
      <c r="C4253" s="19"/>
      <c r="D4253" s="19"/>
      <c r="E4253" s="19"/>
      <c r="F4253" s="19"/>
      <c r="G4253" s="19"/>
      <c r="H4253" s="19"/>
      <c r="I4253" s="19"/>
      <c r="J4253" s="19"/>
      <c r="K4253" s="19"/>
      <c r="L4253" s="19"/>
      <c r="M4253" s="19"/>
      <c r="N4253" s="19"/>
      <c r="O4253" s="14" t="str">
        <f>HYPERLINK("https://otsuka-europe-crm.veevavault.com/ui/#object/email_activity__v/V8C00000003R873", "EN-002093337")</f>
        <v>EN-002093337</v>
      </c>
    </row>
    <row r="4254" spans="1:15" ht="32" x14ac:dyDescent="0.2">
      <c r="A4254" s="7" t="str">
        <f>HYPERLINK("https://otsuka-europe-crm.veevavault.com/ui/#object/account__v/V4TZ06G6O71TG10", "LUCA IACOVINO")</f>
        <v>LUCA IACOVINO</v>
      </c>
      <c r="B4254" s="7" t="str">
        <f>HYPERLINK("https://otsuka-europe-crm.veevavault.com/ui/#object/vcountry__v/VENZ000004SONFQ", "IT")</f>
        <v>IT</v>
      </c>
      <c r="C4254" s="8" t="s">
        <v>44</v>
      </c>
      <c r="D4254" s="9" t="str">
        <f>HYPERLINK("https://otsuka-europe-crm.veevavault.com/ui/#object/approved_document__v/V5O000000018003", "AE dialoghi di tempo fiducia e cura episodi 2-3-4")</f>
        <v>AE dialoghi di tempo fiducia e cura episodi 2-3-4</v>
      </c>
      <c r="E4254" s="10" t="str">
        <f>HYPERLINK("https://otsuka-europe-crm.veevavault.com/ui/#object/sent_email__v/VBL00000002P525", "SE-001433195")</f>
        <v>SE-001433195</v>
      </c>
      <c r="F4254" s="11"/>
      <c r="G4254" s="12">
        <v>0</v>
      </c>
      <c r="H4254" s="12">
        <v>0</v>
      </c>
      <c r="I4254" s="12">
        <v>0</v>
      </c>
      <c r="J4254" s="11"/>
      <c r="K4254" s="12">
        <v>0</v>
      </c>
      <c r="L4254" s="10" t="str">
        <f>HYPERLINK("https://otsuka-europe-crm.veevavault.com/ui/#object/approved_document__v/V5O000000018003", "AE dialoghi di tempo fiducia e cura episodi 2-3-4")</f>
        <v>AE dialoghi di tempo fiducia e cura episodi 2-3-4</v>
      </c>
      <c r="M4254" s="10" t="str">
        <f>HYPERLINK("mailto:nicoletta.vozza@crm.otsuka-europe.com", "nicoletta.vozza@crm.otsuka-europe.com")</f>
        <v>nicoletta.vozza@crm.otsuka-europe.com</v>
      </c>
      <c r="N4254" s="13">
        <v>46181.33803240741</v>
      </c>
      <c r="O4254" s="14" t="str">
        <f>HYPERLINK("https://otsuka-europe-crm.veevavault.com/ui/#object/email_activity__v/V8C00000003O584", "EN-002090140")</f>
        <v>EN-002090140</v>
      </c>
    </row>
    <row r="4255" spans="1:15" ht="16" x14ac:dyDescent="0.2">
      <c r="A4255" s="17" t="str">
        <f>HYPERLINK("https://otsuka-europe-crm.veevavault.com/ui/#object/account__v/V4TZ06G6O71SBA6", "LUCA MAIELLO")</f>
        <v>LUCA MAIELLO</v>
      </c>
      <c r="B4255" s="17" t="str">
        <f>HYPERLINK("https://otsuka-europe-crm.veevavault.com/ui/#object/vcountry__v/VENZ000004SONFQ", "IT")</f>
        <v>IT</v>
      </c>
      <c r="C4255" s="20" t="s">
        <v>44</v>
      </c>
      <c r="D4255" s="21" t="str">
        <f>HYPERLINK("https://otsuka-europe-crm.veevavault.com/ui/#object/approved_document__v/V5O000000018003", "AE dialoghi di tempo fiducia e cura episodi 2-3-4")</f>
        <v>AE dialoghi di tempo fiducia e cura episodi 2-3-4</v>
      </c>
      <c r="E4255" s="22" t="str">
        <f>HYPERLINK("https://otsuka-europe-crm.veevavault.com/ui/#object/sent_email__v/VBL00000002P526", "SE-001433196")</f>
        <v>SE-001433196</v>
      </c>
      <c r="F4255" s="23">
        <v>46181.346412037034</v>
      </c>
      <c r="G4255" s="24">
        <v>1</v>
      </c>
      <c r="H4255" s="24">
        <v>1</v>
      </c>
      <c r="I4255" s="24">
        <v>0</v>
      </c>
      <c r="J4255" s="25"/>
      <c r="K4255" s="24">
        <v>0</v>
      </c>
      <c r="L4255" s="22" t="str">
        <f>HYPERLINK("https://otsuka-europe-crm.veevavault.com/ui/#object/approved_document__v/V5O000000018003", "AE dialoghi di tempo fiducia e cura episodi 2-3-4")</f>
        <v>AE dialoghi di tempo fiducia e cura episodi 2-3-4</v>
      </c>
      <c r="M4255" s="22" t="str">
        <f>HYPERLINK("mailto:nicoletta.vozza@crm.otsuka-europe.com", "nicoletta.vozza@crm.otsuka-europe.com")</f>
        <v>nicoletta.vozza@crm.otsuka-europe.com</v>
      </c>
      <c r="N4255" s="23">
        <v>46181.33792824074</v>
      </c>
      <c r="O4255" s="14" t="str">
        <f>HYPERLINK("https://otsuka-europe-crm.veevavault.com/ui/#object/email_activity__v/V8C00000003P145", "EN-002089545")</f>
        <v>EN-002089545</v>
      </c>
    </row>
    <row r="4256" spans="1:15" ht="16" x14ac:dyDescent="0.2">
      <c r="A4256" s="18"/>
      <c r="B4256" s="18"/>
      <c r="C4256" s="18"/>
      <c r="D4256" s="18"/>
      <c r="E4256" s="18"/>
      <c r="F4256" s="18"/>
      <c r="G4256" s="18"/>
      <c r="H4256" s="18"/>
      <c r="I4256" s="18"/>
      <c r="J4256" s="18"/>
      <c r="K4256" s="18"/>
      <c r="L4256" s="18"/>
      <c r="M4256" s="18"/>
      <c r="N4256" s="18"/>
      <c r="O4256" s="14" t="str">
        <f>HYPERLINK("https://otsuka-europe-crm.veevavault.com/ui/#object/email_activity__v/V8C00000003P914", "EN-002091464")</f>
        <v>EN-002091464</v>
      </c>
    </row>
    <row r="4257" spans="1:15" ht="16" x14ac:dyDescent="0.2">
      <c r="A4257" s="18"/>
      <c r="B4257" s="18"/>
      <c r="C4257" s="18"/>
      <c r="D4257" s="18"/>
      <c r="E4257" s="18"/>
      <c r="F4257" s="18"/>
      <c r="G4257" s="18"/>
      <c r="H4257" s="18"/>
      <c r="I4257" s="18"/>
      <c r="J4257" s="18"/>
      <c r="K4257" s="18"/>
      <c r="L4257" s="18"/>
      <c r="M4257" s="18"/>
      <c r="N4257" s="18"/>
      <c r="O4257" s="14" t="str">
        <f>HYPERLINK("https://otsuka-europe-crm.veevavault.com/ui/#object/email_activity__v/V8C00000003U408", "EN-002095678")</f>
        <v>EN-002095678</v>
      </c>
    </row>
    <row r="4258" spans="1:15" ht="16" x14ac:dyDescent="0.2">
      <c r="A4258" s="19"/>
      <c r="B4258" s="19"/>
      <c r="C4258" s="19"/>
      <c r="D4258" s="19"/>
      <c r="E4258" s="19"/>
      <c r="F4258" s="19"/>
      <c r="G4258" s="19"/>
      <c r="H4258" s="19"/>
      <c r="I4258" s="19"/>
      <c r="J4258" s="19"/>
      <c r="K4258" s="19"/>
      <c r="L4258" s="19"/>
      <c r="M4258" s="19"/>
      <c r="N4258" s="19"/>
      <c r="O4258" s="14" t="str">
        <f>HYPERLINK("https://otsuka-europe-crm.veevavault.com/ui/#object/email_activity__v/V8C000000040162", "EN-002098980")</f>
        <v>EN-002098980</v>
      </c>
    </row>
    <row r="4259" spans="1:15" ht="32" x14ac:dyDescent="0.2">
      <c r="A4259" s="7" t="str">
        <f>HYPERLINK("https://otsuka-europe-crm.veevavault.com/ui/#object/account__v/V4TZ025E88XEKPF", "LUCA MALAFFO")</f>
        <v>LUCA MALAFFO</v>
      </c>
      <c r="B4259" s="7" t="str">
        <f t="shared" ref="B4259:B4265" si="352">HYPERLINK("https://otsuka-europe-crm.veevavault.com/ui/#object/vcountry__v/VENZ000004SONFQ", "IT")</f>
        <v>IT</v>
      </c>
      <c r="C4259" s="8" t="s">
        <v>44</v>
      </c>
      <c r="D4259" s="9" t="str">
        <f t="shared" ref="D4259:D4265" si="353">HYPERLINK("https://otsuka-europe-crm.veevavault.com/ui/#object/approved_document__v/V5O000000018003", "AE dialoghi di tempo fiducia e cura episodi 2-3-4")</f>
        <v>AE dialoghi di tempo fiducia e cura episodi 2-3-4</v>
      </c>
      <c r="E4259" s="10" t="str">
        <f>HYPERLINK("https://otsuka-europe-crm.veevavault.com/ui/#object/sent_email__v/VBL00000002P527", "SE-001433197")</f>
        <v>SE-001433197</v>
      </c>
      <c r="F4259" s="11"/>
      <c r="G4259" s="12">
        <v>0</v>
      </c>
      <c r="H4259" s="12">
        <v>0</v>
      </c>
      <c r="I4259" s="12">
        <v>0</v>
      </c>
      <c r="J4259" s="11"/>
      <c r="K4259" s="12">
        <v>0</v>
      </c>
      <c r="L4259" s="10" t="str">
        <f t="shared" ref="L4259:L4265" si="354">HYPERLINK("https://otsuka-europe-crm.veevavault.com/ui/#object/approved_document__v/V5O000000018003", "AE dialoghi di tempo fiducia e cura episodi 2-3-4")</f>
        <v>AE dialoghi di tempo fiducia e cura episodi 2-3-4</v>
      </c>
      <c r="M4259" s="10" t="str">
        <f t="shared" ref="M4259:M4265" si="355">HYPERLINK("mailto:nicoletta.vozza@crm.otsuka-europe.com", "nicoletta.vozza@crm.otsuka-europe.com")</f>
        <v>nicoletta.vozza@crm.otsuka-europe.com</v>
      </c>
      <c r="N4259" s="13">
        <v>46181.33803240741</v>
      </c>
      <c r="O4259" s="14" t="str">
        <f>HYPERLINK("https://otsuka-europe-crm.veevavault.com/ui/#object/email_activity__v/V8C00000003Q031", "EN-002090997")</f>
        <v>EN-002090997</v>
      </c>
    </row>
    <row r="4260" spans="1:15" ht="32" x14ac:dyDescent="0.2">
      <c r="A4260" s="7" t="str">
        <f>HYPERLINK("https://otsuka-europe-crm.veevavault.com/ui/#object/account__v/V4TZ06G6O71S9R0", "LUCA MALLARDO")</f>
        <v>LUCA MALLARDO</v>
      </c>
      <c r="B4260" s="7" t="str">
        <f t="shared" si="352"/>
        <v>IT</v>
      </c>
      <c r="C4260" s="8" t="s">
        <v>44</v>
      </c>
      <c r="D4260" s="9" t="str">
        <f t="shared" si="353"/>
        <v>AE dialoghi di tempo fiducia e cura episodi 2-3-4</v>
      </c>
      <c r="E4260" s="10" t="str">
        <f>HYPERLINK("https://otsuka-europe-crm.veevavault.com/ui/#object/sent_email__v/VBL00000002P528", "SE-001433198")</f>
        <v>SE-001433198</v>
      </c>
      <c r="F4260" s="11"/>
      <c r="G4260" s="12">
        <v>0</v>
      </c>
      <c r="H4260" s="12">
        <v>0</v>
      </c>
      <c r="I4260" s="12">
        <v>0</v>
      </c>
      <c r="J4260" s="11"/>
      <c r="K4260" s="12">
        <v>0</v>
      </c>
      <c r="L4260" s="10" t="str">
        <f t="shared" si="354"/>
        <v>AE dialoghi di tempo fiducia e cura episodi 2-3-4</v>
      </c>
      <c r="M4260" s="10" t="str">
        <f t="shared" si="355"/>
        <v>nicoletta.vozza@crm.otsuka-europe.com</v>
      </c>
      <c r="N4260" s="13">
        <v>46181.338055555556</v>
      </c>
      <c r="O4260" s="14" t="str">
        <f>HYPERLINK("https://otsuka-europe-crm.veevavault.com/ui/#object/email_activity__v/V8C00000003O589", "EN-002090145")</f>
        <v>EN-002090145</v>
      </c>
    </row>
    <row r="4261" spans="1:15" ht="32" x14ac:dyDescent="0.2">
      <c r="A4261" s="7" t="str">
        <f>HYPERLINK("https://otsuka-europe-crm.veevavault.com/ui/#object/account__v/V4TZ06G6O71SBIE", "LUCA MICHELETTI")</f>
        <v>LUCA MICHELETTI</v>
      </c>
      <c r="B4261" s="7" t="str">
        <f t="shared" si="352"/>
        <v>IT</v>
      </c>
      <c r="C4261" s="8" t="s">
        <v>44</v>
      </c>
      <c r="D4261" s="9" t="str">
        <f t="shared" si="353"/>
        <v>AE dialoghi di tempo fiducia e cura episodi 2-3-4</v>
      </c>
      <c r="E4261" s="10" t="str">
        <f>HYPERLINK("https://otsuka-europe-crm.veevavault.com/ui/#object/sent_email__v/VBL00000002P529", "SE-001433199")</f>
        <v>SE-001433199</v>
      </c>
      <c r="F4261" s="11"/>
      <c r="G4261" s="12">
        <v>0</v>
      </c>
      <c r="H4261" s="12">
        <v>0</v>
      </c>
      <c r="I4261" s="12">
        <v>0</v>
      </c>
      <c r="J4261" s="11"/>
      <c r="K4261" s="12">
        <v>0</v>
      </c>
      <c r="L4261" s="10" t="str">
        <f t="shared" si="354"/>
        <v>AE dialoghi di tempo fiducia e cura episodi 2-3-4</v>
      </c>
      <c r="M4261" s="10" t="str">
        <f t="shared" si="355"/>
        <v>nicoletta.vozza@crm.otsuka-europe.com</v>
      </c>
      <c r="N4261" s="13">
        <v>46181.33803240741</v>
      </c>
      <c r="O4261" s="14" t="str">
        <f>HYPERLINK("https://otsuka-europe-crm.veevavault.com/ui/#object/email_activity__v/V8C00000003O468", "EN-002090024")</f>
        <v>EN-002090024</v>
      </c>
    </row>
    <row r="4262" spans="1:15" ht="32" x14ac:dyDescent="0.2">
      <c r="A4262" s="7" t="str">
        <f>HYPERLINK("https://otsuka-europe-crm.veevavault.com/ui/#object/account__v/V4TZ025E83MR6WX", "LUCA PRESTIFILIPPO")</f>
        <v>LUCA PRESTIFILIPPO</v>
      </c>
      <c r="B4262" s="7" t="str">
        <f t="shared" si="352"/>
        <v>IT</v>
      </c>
      <c r="C4262" s="8" t="s">
        <v>44</v>
      </c>
      <c r="D4262" s="9" t="str">
        <f t="shared" si="353"/>
        <v>AE dialoghi di tempo fiducia e cura episodi 2-3-4</v>
      </c>
      <c r="E4262" s="10" t="str">
        <f>HYPERLINK("https://otsuka-europe-crm.veevavault.com/ui/#object/sent_email__v/VBL00000002P530", "SE-001433200")</f>
        <v>SE-001433200</v>
      </c>
      <c r="F4262" s="11"/>
      <c r="G4262" s="12">
        <v>0</v>
      </c>
      <c r="H4262" s="12">
        <v>0</v>
      </c>
      <c r="I4262" s="12">
        <v>0</v>
      </c>
      <c r="J4262" s="11"/>
      <c r="K4262" s="12">
        <v>0</v>
      </c>
      <c r="L4262" s="10" t="str">
        <f t="shared" si="354"/>
        <v>AE dialoghi di tempo fiducia e cura episodi 2-3-4</v>
      </c>
      <c r="M4262" s="10" t="str">
        <f t="shared" si="355"/>
        <v>nicoletta.vozza@crm.otsuka-europe.com</v>
      </c>
      <c r="N4262" s="13">
        <v>46181.338055555556</v>
      </c>
      <c r="O4262" s="14" t="str">
        <f>HYPERLINK("https://otsuka-europe-crm.veevavault.com/ui/#object/email_activity__v/V8C00000003Q049", "EN-002091015")</f>
        <v>EN-002091015</v>
      </c>
    </row>
    <row r="4263" spans="1:15" ht="32" x14ac:dyDescent="0.2">
      <c r="A4263" s="7" t="str">
        <f>HYPERLINK("https://otsuka-europe-crm.veevavault.com/ui/#object/account__v/V4TZ06G6O71TFYO", "LUCA ROSI")</f>
        <v>LUCA ROSI</v>
      </c>
      <c r="B4263" s="7" t="str">
        <f t="shared" si="352"/>
        <v>IT</v>
      </c>
      <c r="C4263" s="8" t="s">
        <v>44</v>
      </c>
      <c r="D4263" s="9" t="str">
        <f t="shared" si="353"/>
        <v>AE dialoghi di tempo fiducia e cura episodi 2-3-4</v>
      </c>
      <c r="E4263" s="10" t="str">
        <f>HYPERLINK("https://otsuka-europe-crm.veevavault.com/ui/#object/sent_email__v/VBL00000002P531", "SE-001433201")</f>
        <v>SE-001433201</v>
      </c>
      <c r="F4263" s="11"/>
      <c r="G4263" s="12">
        <v>0</v>
      </c>
      <c r="H4263" s="12">
        <v>0</v>
      </c>
      <c r="I4263" s="12">
        <v>0</v>
      </c>
      <c r="J4263" s="11"/>
      <c r="K4263" s="12">
        <v>0</v>
      </c>
      <c r="L4263" s="10" t="str">
        <f t="shared" si="354"/>
        <v>AE dialoghi di tempo fiducia e cura episodi 2-3-4</v>
      </c>
      <c r="M4263" s="10" t="str">
        <f t="shared" si="355"/>
        <v>nicoletta.vozza@crm.otsuka-europe.com</v>
      </c>
      <c r="N4263" s="13">
        <v>46181.338043981479</v>
      </c>
      <c r="O4263" s="14" t="str">
        <f>HYPERLINK("https://otsuka-europe-crm.veevavault.com/ui/#object/email_activity__v/V8C00000003P304", "EN-002089940")</f>
        <v>EN-002089940</v>
      </c>
    </row>
    <row r="4264" spans="1:15" ht="32" x14ac:dyDescent="0.2">
      <c r="A4264" s="7" t="str">
        <f>HYPERLINK("https://otsuka-europe-crm.veevavault.com/ui/#object/account__v/V4TZ06G6O71SC6U", "LUCA RUIU")</f>
        <v>LUCA RUIU</v>
      </c>
      <c r="B4264" s="7" t="str">
        <f t="shared" si="352"/>
        <v>IT</v>
      </c>
      <c r="C4264" s="8" t="s">
        <v>44</v>
      </c>
      <c r="D4264" s="9" t="str">
        <f t="shared" si="353"/>
        <v>AE dialoghi di tempo fiducia e cura episodi 2-3-4</v>
      </c>
      <c r="E4264" s="10" t="str">
        <f>HYPERLINK("https://otsuka-europe-crm.veevavault.com/ui/#object/sent_email__v/VBL00000002P532", "SE-001433202")</f>
        <v>SE-001433202</v>
      </c>
      <c r="F4264" s="11"/>
      <c r="G4264" s="12">
        <v>0</v>
      </c>
      <c r="H4264" s="12">
        <v>0</v>
      </c>
      <c r="I4264" s="12">
        <v>0</v>
      </c>
      <c r="J4264" s="11"/>
      <c r="K4264" s="12">
        <v>0</v>
      </c>
      <c r="L4264" s="10" t="str">
        <f t="shared" si="354"/>
        <v>AE dialoghi di tempo fiducia e cura episodi 2-3-4</v>
      </c>
      <c r="M4264" s="10" t="str">
        <f t="shared" si="355"/>
        <v>nicoletta.vozza@crm.otsuka-europe.com</v>
      </c>
      <c r="N4264" s="13">
        <v>46181.338055555556</v>
      </c>
      <c r="O4264" s="14" t="str">
        <f>HYPERLINK("https://otsuka-europe-crm.veevavault.com/ui/#object/email_activity__v/V8C00000003P706", "EN-002090961")</f>
        <v>EN-002090961</v>
      </c>
    </row>
    <row r="4265" spans="1:15" ht="16" x14ac:dyDescent="0.2">
      <c r="A4265" s="17" t="str">
        <f>HYPERLINK("https://otsuka-europe-crm.veevavault.com/ui/#object/account__v/V4TZ06G6O71SCC1", "LUCA SAVELLI")</f>
        <v>LUCA SAVELLI</v>
      </c>
      <c r="B4265" s="17" t="str">
        <f t="shared" si="352"/>
        <v>IT</v>
      </c>
      <c r="C4265" s="20" t="s">
        <v>44</v>
      </c>
      <c r="D4265" s="21" t="str">
        <f t="shared" si="353"/>
        <v>AE dialoghi di tempo fiducia e cura episodi 2-3-4</v>
      </c>
      <c r="E4265" s="22" t="str">
        <f>HYPERLINK("https://otsuka-europe-crm.veevavault.com/ui/#object/sent_email__v/VBL00000002P533", "SE-001433203")</f>
        <v>SE-001433203</v>
      </c>
      <c r="F4265" s="23">
        <v>46181.927916666667</v>
      </c>
      <c r="G4265" s="24">
        <v>1</v>
      </c>
      <c r="H4265" s="24">
        <v>1</v>
      </c>
      <c r="I4265" s="24">
        <v>0</v>
      </c>
      <c r="J4265" s="25"/>
      <c r="K4265" s="24">
        <v>0</v>
      </c>
      <c r="L4265" s="22" t="str">
        <f t="shared" si="354"/>
        <v>AE dialoghi di tempo fiducia e cura episodi 2-3-4</v>
      </c>
      <c r="M4265" s="22" t="str">
        <f t="shared" si="355"/>
        <v>nicoletta.vozza@crm.otsuka-europe.com</v>
      </c>
      <c r="N4265" s="23">
        <v>46181.33797453704</v>
      </c>
      <c r="O4265" s="14" t="str">
        <f>HYPERLINK("https://otsuka-europe-crm.veevavault.com/ui/#object/email_activity__v/V8C00000003O668", "EN-002090224")</f>
        <v>EN-002090224</v>
      </c>
    </row>
    <row r="4266" spans="1:15" ht="16" x14ac:dyDescent="0.2">
      <c r="A4266" s="18"/>
      <c r="B4266" s="18"/>
      <c r="C4266" s="18"/>
      <c r="D4266" s="18"/>
      <c r="E4266" s="18"/>
      <c r="F4266" s="18"/>
      <c r="G4266" s="18"/>
      <c r="H4266" s="18"/>
      <c r="I4266" s="18"/>
      <c r="J4266" s="18"/>
      <c r="K4266" s="18"/>
      <c r="L4266" s="18"/>
      <c r="M4266" s="18"/>
      <c r="N4266" s="18"/>
      <c r="O4266" s="14" t="str">
        <f>HYPERLINK("https://otsuka-europe-crm.veevavault.com/ui/#object/email_activity__v/V8C00000003R318", "EN-002092266")</f>
        <v>EN-002092266</v>
      </c>
    </row>
    <row r="4267" spans="1:15" ht="16" x14ac:dyDescent="0.2">
      <c r="A4267" s="18"/>
      <c r="B4267" s="18"/>
      <c r="C4267" s="18"/>
      <c r="D4267" s="18"/>
      <c r="E4267" s="18"/>
      <c r="F4267" s="18"/>
      <c r="G4267" s="18"/>
      <c r="H4267" s="18"/>
      <c r="I4267" s="18"/>
      <c r="J4267" s="18"/>
      <c r="K4267" s="18"/>
      <c r="L4267" s="18"/>
      <c r="M4267" s="18"/>
      <c r="N4267" s="18"/>
      <c r="O4267" s="14" t="str">
        <f>HYPERLINK("https://otsuka-europe-crm.veevavault.com/ui/#object/email_activity__v/V8C00000003U392", "EN-002095644")</f>
        <v>EN-002095644</v>
      </c>
    </row>
    <row r="4268" spans="1:15" ht="16" x14ac:dyDescent="0.2">
      <c r="A4268" s="19"/>
      <c r="B4268" s="19"/>
      <c r="C4268" s="19"/>
      <c r="D4268" s="19"/>
      <c r="E4268" s="19"/>
      <c r="F4268" s="19"/>
      <c r="G4268" s="19"/>
      <c r="H4268" s="19"/>
      <c r="I4268" s="19"/>
      <c r="J4268" s="19"/>
      <c r="K4268" s="19"/>
      <c r="L4268" s="19"/>
      <c r="M4268" s="19"/>
      <c r="N4268" s="19"/>
      <c r="O4268" s="14" t="str">
        <f>HYPERLINK("https://otsuka-europe-crm.veevavault.com/ui/#object/email_activity__v/V8C000000041502", "EN-002100661")</f>
        <v>EN-002100661</v>
      </c>
    </row>
    <row r="4269" spans="1:15" ht="32" x14ac:dyDescent="0.2">
      <c r="A4269" s="7" t="str">
        <f>HYPERLINK("https://otsuka-europe-crm.veevavault.com/ui/#object/account__v/V4TZ06G6O71SCDL", "LUCA SOVIERO")</f>
        <v>LUCA SOVIERO</v>
      </c>
      <c r="B4269" s="7" t="str">
        <f>HYPERLINK("https://otsuka-europe-crm.veevavault.com/ui/#object/vcountry__v/VENZ000004SONFQ", "IT")</f>
        <v>IT</v>
      </c>
      <c r="C4269" s="8" t="s">
        <v>44</v>
      </c>
      <c r="D4269" s="9" t="str">
        <f>HYPERLINK("https://otsuka-europe-crm.veevavault.com/ui/#object/approved_document__v/V5O000000018003", "AE dialoghi di tempo fiducia e cura episodi 2-3-4")</f>
        <v>AE dialoghi di tempo fiducia e cura episodi 2-3-4</v>
      </c>
      <c r="E4269" s="10" t="str">
        <f>HYPERLINK("https://otsuka-europe-crm.veevavault.com/ui/#object/sent_email__v/VBL00000002P534", "SE-001433204")</f>
        <v>SE-001433204</v>
      </c>
      <c r="F4269" s="11"/>
      <c r="G4269" s="12">
        <v>0</v>
      </c>
      <c r="H4269" s="12">
        <v>0</v>
      </c>
      <c r="I4269" s="12">
        <v>0</v>
      </c>
      <c r="J4269" s="11"/>
      <c r="K4269" s="12">
        <v>0</v>
      </c>
      <c r="L4269" s="10" t="str">
        <f>HYPERLINK("https://otsuka-europe-crm.veevavault.com/ui/#object/approved_document__v/V5O000000018003", "AE dialoghi di tempo fiducia e cura episodi 2-3-4")</f>
        <v>AE dialoghi di tempo fiducia e cura episodi 2-3-4</v>
      </c>
      <c r="M4269" s="10" t="str">
        <f>HYPERLINK("mailto:nicoletta.vozza@crm.otsuka-europe.com", "nicoletta.vozza@crm.otsuka-europe.com")</f>
        <v>nicoletta.vozza@crm.otsuka-europe.com</v>
      </c>
      <c r="N4269" s="13">
        <v>46181.338090277779</v>
      </c>
      <c r="O4269" s="14" t="str">
        <f>HYPERLINK("https://otsuka-europe-crm.veevavault.com/ui/#object/email_activity__v/V8C00000003Q015", "EN-002090763")</f>
        <v>EN-002090763</v>
      </c>
    </row>
    <row r="4270" spans="1:15" ht="32" x14ac:dyDescent="0.2">
      <c r="A4270" s="7" t="str">
        <f>HYPERLINK("https://otsuka-europe-crm.veevavault.com/ui/#object/account__v/V4TZ025E86HKA1E", "LUCA VIACAVA")</f>
        <v>LUCA VIACAVA</v>
      </c>
      <c r="B4270" s="7" t="str">
        <f>HYPERLINK("https://otsuka-europe-crm.veevavault.com/ui/#object/vcountry__v/VENZ000004SONFQ", "IT")</f>
        <v>IT</v>
      </c>
      <c r="C4270" s="8" t="s">
        <v>44</v>
      </c>
      <c r="D4270" s="9" t="str">
        <f>HYPERLINK("https://otsuka-europe-crm.veevavault.com/ui/#object/approved_document__v/V5O000000018003", "AE dialoghi di tempo fiducia e cura episodi 2-3-4")</f>
        <v>AE dialoghi di tempo fiducia e cura episodi 2-3-4</v>
      </c>
      <c r="E4270" s="10" t="str">
        <f>HYPERLINK("https://otsuka-europe-crm.veevavault.com/ui/#object/sent_email__v/VBL00000002P535", "SE-001433205")</f>
        <v>SE-001433205</v>
      </c>
      <c r="F4270" s="11"/>
      <c r="G4270" s="12">
        <v>0</v>
      </c>
      <c r="H4270" s="12">
        <v>0</v>
      </c>
      <c r="I4270" s="12">
        <v>0</v>
      </c>
      <c r="J4270" s="11"/>
      <c r="K4270" s="12">
        <v>0</v>
      </c>
      <c r="L4270" s="10" t="str">
        <f>HYPERLINK("https://otsuka-europe-crm.veevavault.com/ui/#object/approved_document__v/V5O000000018003", "AE dialoghi di tempo fiducia e cura episodi 2-3-4")</f>
        <v>AE dialoghi di tempo fiducia e cura episodi 2-3-4</v>
      </c>
      <c r="M4270" s="10" t="str">
        <f>HYPERLINK("mailto:nicoletta.vozza@crm.otsuka-europe.com", "nicoletta.vozza@crm.otsuka-europe.com")</f>
        <v>nicoletta.vozza@crm.otsuka-europe.com</v>
      </c>
      <c r="N4270" s="13">
        <v>46181.33798611111</v>
      </c>
      <c r="O4270" s="14" t="str">
        <f>HYPERLINK("https://otsuka-europe-crm.veevavault.com/ui/#object/email_activity__v/V8C00000003O238", "EN-002089715")</f>
        <v>EN-002089715</v>
      </c>
    </row>
    <row r="4271" spans="1:15" ht="32" x14ac:dyDescent="0.2">
      <c r="A4271" s="7" t="str">
        <f>HYPERLINK("https://otsuka-europe-crm.veevavault.com/ui/#object/account__v/V4TZ025E88REJS3", "LUCIA ARMINI")</f>
        <v>LUCIA ARMINI</v>
      </c>
      <c r="B4271" s="7" t="str">
        <f>HYPERLINK("https://otsuka-europe-crm.veevavault.com/ui/#object/vcountry__v/VENZ000004SONFQ", "IT")</f>
        <v>IT</v>
      </c>
      <c r="C4271" s="8" t="s">
        <v>44</v>
      </c>
      <c r="D4271" s="9" t="str">
        <f>HYPERLINK("https://otsuka-europe-crm.veevavault.com/ui/#object/approved_document__v/V5O000000018003", "AE dialoghi di tempo fiducia e cura episodi 2-3-4")</f>
        <v>AE dialoghi di tempo fiducia e cura episodi 2-3-4</v>
      </c>
      <c r="E4271" s="10" t="str">
        <f>HYPERLINK("https://otsuka-europe-crm.veevavault.com/ui/#object/sent_email__v/VBL00000002P536", "SE-001433206")</f>
        <v>SE-001433206</v>
      </c>
      <c r="F4271" s="11"/>
      <c r="G4271" s="12">
        <v>0</v>
      </c>
      <c r="H4271" s="12">
        <v>0</v>
      </c>
      <c r="I4271" s="12">
        <v>0</v>
      </c>
      <c r="J4271" s="11"/>
      <c r="K4271" s="12">
        <v>0</v>
      </c>
      <c r="L4271" s="10" t="str">
        <f>HYPERLINK("https://otsuka-europe-crm.veevavault.com/ui/#object/approved_document__v/V5O000000018003", "AE dialoghi di tempo fiducia e cura episodi 2-3-4")</f>
        <v>AE dialoghi di tempo fiducia e cura episodi 2-3-4</v>
      </c>
      <c r="M4271" s="10" t="str">
        <f>HYPERLINK("mailto:nicoletta.vozza@crm.otsuka-europe.com", "nicoletta.vozza@crm.otsuka-europe.com")</f>
        <v>nicoletta.vozza@crm.otsuka-europe.com</v>
      </c>
      <c r="N4271" s="13">
        <v>46181.338043981479</v>
      </c>
      <c r="O4271" s="14" t="str">
        <f>HYPERLINK("https://otsuka-europe-crm.veevavault.com/ui/#object/email_activity__v/V8C00000003P701", "EN-002090956")</f>
        <v>EN-002090956</v>
      </c>
    </row>
    <row r="4272" spans="1:15" ht="32" x14ac:dyDescent="0.2">
      <c r="A4272" s="7" t="str">
        <f>HYPERLINK("https://otsuka-europe-crm.veevavault.com/ui/#object/account__v/V4TZ06G6O71S9Z3", "LUCIA AVANZINI")</f>
        <v>LUCIA AVANZINI</v>
      </c>
      <c r="B4272" s="7" t="str">
        <f>HYPERLINK("https://otsuka-europe-crm.veevavault.com/ui/#object/vcountry__v/VENZ000004SONFQ", "IT")</f>
        <v>IT</v>
      </c>
      <c r="C4272" s="8" t="s">
        <v>44</v>
      </c>
      <c r="D4272" s="9" t="str">
        <f>HYPERLINK("https://otsuka-europe-crm.veevavault.com/ui/#object/approved_document__v/V5O000000018003", "AE dialoghi di tempo fiducia e cura episodi 2-3-4")</f>
        <v>AE dialoghi di tempo fiducia e cura episodi 2-3-4</v>
      </c>
      <c r="E4272" s="10" t="str">
        <f>HYPERLINK("https://otsuka-europe-crm.veevavault.com/ui/#object/sent_email__v/VBL00000002P537", "SE-001433207")</f>
        <v>SE-001433207</v>
      </c>
      <c r="F4272" s="11"/>
      <c r="G4272" s="12">
        <v>0</v>
      </c>
      <c r="H4272" s="12">
        <v>0</v>
      </c>
      <c r="I4272" s="12">
        <v>0</v>
      </c>
      <c r="J4272" s="11"/>
      <c r="K4272" s="12">
        <v>0</v>
      </c>
      <c r="L4272" s="10" t="str">
        <f>HYPERLINK("https://otsuka-europe-crm.veevavault.com/ui/#object/approved_document__v/V5O000000018003", "AE dialoghi di tempo fiducia e cura episodi 2-3-4")</f>
        <v>AE dialoghi di tempo fiducia e cura episodi 2-3-4</v>
      </c>
      <c r="M4272" s="10" t="str">
        <f>HYPERLINK("mailto:nicoletta.vozza@crm.otsuka-europe.com", "nicoletta.vozza@crm.otsuka-europe.com")</f>
        <v>nicoletta.vozza@crm.otsuka-europe.com</v>
      </c>
      <c r="N4272" s="13">
        <v>46181.33798611111</v>
      </c>
      <c r="O4272" s="14" t="str">
        <f>HYPERLINK("https://otsuka-europe-crm.veevavault.com/ui/#object/email_activity__v/V8C00000003O867", "EN-002090470")</f>
        <v>EN-002090470</v>
      </c>
    </row>
    <row r="4273" spans="1:15" ht="16" x14ac:dyDescent="0.2">
      <c r="A4273" s="17" t="str">
        <f>HYPERLINK("https://otsuka-europe-crm.veevavault.com/ui/#object/account__v/V4TZ04ASG6LSDVF", "LUCIA BASILE")</f>
        <v>LUCIA BASILE</v>
      </c>
      <c r="B4273" s="17" t="str">
        <f>HYPERLINK("https://otsuka-europe-crm.veevavault.com/ui/#object/vcountry__v/VENZ000004SONFQ", "IT")</f>
        <v>IT</v>
      </c>
      <c r="C4273" s="20" t="s">
        <v>44</v>
      </c>
      <c r="D4273" s="21" t="str">
        <f>HYPERLINK("https://otsuka-europe-crm.veevavault.com/ui/#object/approved_document__v/V5O000000018003", "AE dialoghi di tempo fiducia e cura episodi 2-3-4")</f>
        <v>AE dialoghi di tempo fiducia e cura episodi 2-3-4</v>
      </c>
      <c r="E4273" s="22" t="str">
        <f>HYPERLINK("https://otsuka-europe-crm.veevavault.com/ui/#object/sent_email__v/VBL00000002P538", "SE-001433208")</f>
        <v>SE-001433208</v>
      </c>
      <c r="F4273" s="25"/>
      <c r="G4273" s="24">
        <v>0</v>
      </c>
      <c r="H4273" s="24">
        <v>0</v>
      </c>
      <c r="I4273" s="24">
        <v>0</v>
      </c>
      <c r="J4273" s="25"/>
      <c r="K4273" s="24">
        <v>0</v>
      </c>
      <c r="L4273" s="22" t="str">
        <f>HYPERLINK("https://otsuka-europe-crm.veevavault.com/ui/#object/approved_document__v/V5O000000018003", "AE dialoghi di tempo fiducia e cura episodi 2-3-4")</f>
        <v>AE dialoghi di tempo fiducia e cura episodi 2-3-4</v>
      </c>
      <c r="M4273" s="22" t="str">
        <f>HYPERLINK("mailto:nicoletta.vozza@crm.otsuka-europe.com", "nicoletta.vozza@crm.otsuka-europe.com")</f>
        <v>nicoletta.vozza@crm.otsuka-europe.com</v>
      </c>
      <c r="N4273" s="23">
        <v>46181.338055555556</v>
      </c>
      <c r="O4273" s="14" t="str">
        <f>HYPERLINK("https://otsuka-europe-crm.veevavault.com/ui/#object/email_activity__v/V8C00000003O491", "EN-002090047")</f>
        <v>EN-002090047</v>
      </c>
    </row>
    <row r="4274" spans="1:15" ht="16" x14ac:dyDescent="0.2">
      <c r="A4274" s="19"/>
      <c r="B4274" s="19"/>
      <c r="C4274" s="19"/>
      <c r="D4274" s="19"/>
      <c r="E4274" s="19"/>
      <c r="F4274" s="19"/>
      <c r="G4274" s="19"/>
      <c r="H4274" s="19"/>
      <c r="I4274" s="19"/>
      <c r="J4274" s="19"/>
      <c r="K4274" s="19"/>
      <c r="L4274" s="19"/>
      <c r="M4274" s="19"/>
      <c r="N4274" s="19"/>
      <c r="O4274" s="14" t="str">
        <f>HYPERLINK("https://otsuka-europe-crm.veevavault.com/ui/#object/email_activity__v/V8C00000003R310", "EN-002092256")</f>
        <v>EN-002092256</v>
      </c>
    </row>
    <row r="4275" spans="1:15" ht="16" x14ac:dyDescent="0.2">
      <c r="A4275" s="17" t="str">
        <f>HYPERLINK("https://otsuka-europe-crm.veevavault.com/ui/#object/account__v/V4TZ06G6O71SA49", "LUCIA BAZZANO")</f>
        <v>LUCIA BAZZANO</v>
      </c>
      <c r="B4275" s="17" t="str">
        <f>HYPERLINK("https://otsuka-europe-crm.veevavault.com/ui/#object/vcountry__v/VENZ000004SONFQ", "IT")</f>
        <v>IT</v>
      </c>
      <c r="C4275" s="20" t="s">
        <v>44</v>
      </c>
      <c r="D4275" s="21" t="str">
        <f>HYPERLINK("https://otsuka-europe-crm.veevavault.com/ui/#object/approved_document__v/V5O000000018003", "AE dialoghi di tempo fiducia e cura episodi 2-3-4")</f>
        <v>AE dialoghi di tempo fiducia e cura episodi 2-3-4</v>
      </c>
      <c r="E4275" s="22" t="str">
        <f>HYPERLINK("https://otsuka-europe-crm.veevavault.com/ui/#object/sent_email__v/VBL00000002P539", "SE-001433209")</f>
        <v>SE-001433209</v>
      </c>
      <c r="F4275" s="23">
        <v>46182.729756944442</v>
      </c>
      <c r="G4275" s="24">
        <v>1</v>
      </c>
      <c r="H4275" s="24">
        <v>1</v>
      </c>
      <c r="I4275" s="24">
        <v>0</v>
      </c>
      <c r="J4275" s="25"/>
      <c r="K4275" s="24">
        <v>0</v>
      </c>
      <c r="L4275" s="22" t="str">
        <f>HYPERLINK("https://otsuka-europe-crm.veevavault.com/ui/#object/approved_document__v/V5O000000018003", "AE dialoghi di tempo fiducia e cura episodi 2-3-4")</f>
        <v>AE dialoghi di tempo fiducia e cura episodi 2-3-4</v>
      </c>
      <c r="M4275" s="22" t="str">
        <f>HYPERLINK("mailto:nicoletta.vozza@crm.otsuka-europe.com", "nicoletta.vozza@crm.otsuka-europe.com")</f>
        <v>nicoletta.vozza@crm.otsuka-europe.com</v>
      </c>
      <c r="N4275" s="23">
        <v>46181.338078703702</v>
      </c>
      <c r="O4275" s="14" t="str">
        <f>HYPERLINK("https://otsuka-europe-crm.veevavault.com/ui/#object/email_activity__v/V8C00000003P762", "EN-002091060")</f>
        <v>EN-002091060</v>
      </c>
    </row>
    <row r="4276" spans="1:15" ht="16" x14ac:dyDescent="0.2">
      <c r="A4276" s="19"/>
      <c r="B4276" s="19"/>
      <c r="C4276" s="19"/>
      <c r="D4276" s="19"/>
      <c r="E4276" s="19"/>
      <c r="F4276" s="19"/>
      <c r="G4276" s="19"/>
      <c r="H4276" s="19"/>
      <c r="I4276" s="19"/>
      <c r="J4276" s="19"/>
      <c r="K4276" s="19"/>
      <c r="L4276" s="19"/>
      <c r="M4276" s="19"/>
      <c r="N4276" s="19"/>
      <c r="O4276" s="14" t="str">
        <f>HYPERLINK("https://otsuka-europe-crm.veevavault.com/ui/#object/email_activity__v/V8C00000003S241", "EN-002093354")</f>
        <v>EN-002093354</v>
      </c>
    </row>
    <row r="4277" spans="1:15" ht="32" x14ac:dyDescent="0.2">
      <c r="A4277" s="7" t="str">
        <f>HYPERLINK("https://otsuka-europe-crm.veevavault.com/ui/#object/account__v/V4TZ06G6O71SCHS", "LUCIA CIARIMBOLI")</f>
        <v>LUCIA CIARIMBOLI</v>
      </c>
      <c r="B4277" s="7" t="str">
        <f>HYPERLINK("https://otsuka-europe-crm.veevavault.com/ui/#object/vcountry__v/VENZ000004SONFQ", "IT")</f>
        <v>IT</v>
      </c>
      <c r="C4277" s="8" t="s">
        <v>44</v>
      </c>
      <c r="D4277" s="9" t="str">
        <f>HYPERLINK("https://otsuka-europe-crm.veevavault.com/ui/#object/approved_document__v/V5O000000018003", "AE dialoghi di tempo fiducia e cura episodi 2-3-4")</f>
        <v>AE dialoghi di tempo fiducia e cura episodi 2-3-4</v>
      </c>
      <c r="E4277" s="10" t="str">
        <f>HYPERLINK("https://otsuka-europe-crm.veevavault.com/ui/#object/sent_email__v/VBL00000002P540", "SE-001433210")</f>
        <v>SE-001433210</v>
      </c>
      <c r="F4277" s="11"/>
      <c r="G4277" s="12">
        <v>0</v>
      </c>
      <c r="H4277" s="12">
        <v>0</v>
      </c>
      <c r="I4277" s="12">
        <v>0</v>
      </c>
      <c r="J4277" s="11"/>
      <c r="K4277" s="12">
        <v>0</v>
      </c>
      <c r="L4277" s="10" t="str">
        <f>HYPERLINK("https://otsuka-europe-crm.veevavault.com/ui/#object/approved_document__v/V5O000000018003", "AE dialoghi di tempo fiducia e cura episodi 2-3-4")</f>
        <v>AE dialoghi di tempo fiducia e cura episodi 2-3-4</v>
      </c>
      <c r="M4277" s="10" t="str">
        <f>HYPERLINK("mailto:nicoletta.vozza@crm.otsuka-europe.com", "nicoletta.vozza@crm.otsuka-europe.com")</f>
        <v>nicoletta.vozza@crm.otsuka-europe.com</v>
      </c>
      <c r="N4277" s="13">
        <v>46181.338078703702</v>
      </c>
      <c r="O4277" s="14" t="str">
        <f>HYPERLINK("https://otsuka-europe-crm.veevavault.com/ui/#object/email_activity__v/V8C00000003Q267", "EN-002091385")</f>
        <v>EN-002091385</v>
      </c>
    </row>
    <row r="4278" spans="1:15" ht="32" x14ac:dyDescent="0.2">
      <c r="A4278" s="7" t="str">
        <f>HYPERLINK("https://otsuka-europe-crm.veevavault.com/ui/#object/account__v/V4TZ06G6O71SB4T", "LUCIA CUTILLO")</f>
        <v>LUCIA CUTILLO</v>
      </c>
      <c r="B4278" s="7" t="str">
        <f>HYPERLINK("https://otsuka-europe-crm.veevavault.com/ui/#object/vcountry__v/VENZ000004SONFQ", "IT")</f>
        <v>IT</v>
      </c>
      <c r="C4278" s="8" t="s">
        <v>44</v>
      </c>
      <c r="D4278" s="9" t="str">
        <f>HYPERLINK("https://otsuka-europe-crm.veevavault.com/ui/#object/approved_document__v/V5O000000018003", "AE dialoghi di tempo fiducia e cura episodi 2-3-4")</f>
        <v>AE dialoghi di tempo fiducia e cura episodi 2-3-4</v>
      </c>
      <c r="E4278" s="10" t="str">
        <f>HYPERLINK("https://otsuka-europe-crm.veevavault.com/ui/#object/sent_email__v/VBL00000002P541", "SE-001433211")</f>
        <v>SE-001433211</v>
      </c>
      <c r="F4278" s="11"/>
      <c r="G4278" s="12">
        <v>0</v>
      </c>
      <c r="H4278" s="12">
        <v>0</v>
      </c>
      <c r="I4278" s="12">
        <v>0</v>
      </c>
      <c r="J4278" s="11"/>
      <c r="K4278" s="12">
        <v>0</v>
      </c>
      <c r="L4278" s="10" t="str">
        <f>HYPERLINK("https://otsuka-europe-crm.veevavault.com/ui/#object/approved_document__v/V5O000000018003", "AE dialoghi di tempo fiducia e cura episodi 2-3-4")</f>
        <v>AE dialoghi di tempo fiducia e cura episodi 2-3-4</v>
      </c>
      <c r="M4278" s="10" t="str">
        <f>HYPERLINK("mailto:nicoletta.vozza@crm.otsuka-europe.com", "nicoletta.vozza@crm.otsuka-europe.com")</f>
        <v>nicoletta.vozza@crm.otsuka-europe.com</v>
      </c>
      <c r="N4278" s="13">
        <v>46181.33798611111</v>
      </c>
      <c r="O4278" s="14" t="str">
        <f>HYPERLINK("https://otsuka-europe-crm.veevavault.com/ui/#object/email_activity__v/V8C00000003P212", "EN-002089658")</f>
        <v>EN-002089658</v>
      </c>
    </row>
    <row r="4279" spans="1:15" ht="32" x14ac:dyDescent="0.2">
      <c r="A4279" s="7" t="str">
        <f>HYPERLINK("https://otsuka-europe-crm.veevavault.com/ui/#object/account__v/V4TZ06G6O71TFPH", "LUCIA DI MAGGIO")</f>
        <v>LUCIA DI MAGGIO</v>
      </c>
      <c r="B4279" s="7" t="str">
        <f>HYPERLINK("https://otsuka-europe-crm.veevavault.com/ui/#object/vcountry__v/VENZ000004SONFQ", "IT")</f>
        <v>IT</v>
      </c>
      <c r="C4279" s="8" t="s">
        <v>44</v>
      </c>
      <c r="D4279" s="9" t="str">
        <f>HYPERLINK("https://otsuka-europe-crm.veevavault.com/ui/#object/approved_document__v/V5O000000018003", "AE dialoghi di tempo fiducia e cura episodi 2-3-4")</f>
        <v>AE dialoghi di tempo fiducia e cura episodi 2-3-4</v>
      </c>
      <c r="E4279" s="10" t="str">
        <f>HYPERLINK("https://otsuka-europe-crm.veevavault.com/ui/#object/sent_email__v/VBL00000002P542", "SE-001433212")</f>
        <v>SE-001433212</v>
      </c>
      <c r="F4279" s="11"/>
      <c r="G4279" s="12">
        <v>0</v>
      </c>
      <c r="H4279" s="12">
        <v>0</v>
      </c>
      <c r="I4279" s="12">
        <v>0</v>
      </c>
      <c r="J4279" s="11"/>
      <c r="K4279" s="12">
        <v>0</v>
      </c>
      <c r="L4279" s="10" t="str">
        <f>HYPERLINK("https://otsuka-europe-crm.veevavault.com/ui/#object/approved_document__v/V5O000000018003", "AE dialoghi di tempo fiducia e cura episodi 2-3-4")</f>
        <v>AE dialoghi di tempo fiducia e cura episodi 2-3-4</v>
      </c>
      <c r="M4279" s="10" t="str">
        <f>HYPERLINK("mailto:nicoletta.vozza@crm.otsuka-europe.com", "nicoletta.vozza@crm.otsuka-europe.com")</f>
        <v>nicoletta.vozza@crm.otsuka-europe.com</v>
      </c>
      <c r="N4279" s="13">
        <v>46181.338125000002</v>
      </c>
      <c r="O4279" s="14" t="str">
        <f>HYPERLINK("https://otsuka-europe-crm.veevavault.com/ui/#object/email_activity__v/V8C00000003O962", "EN-002090622")</f>
        <v>EN-002090622</v>
      </c>
    </row>
    <row r="4280" spans="1:15" ht="16" x14ac:dyDescent="0.2">
      <c r="A4280" s="17" t="str">
        <f>HYPERLINK("https://otsuka-europe-crm.veevavault.com/ui/#object/account__v/V4TZ04ASGC2BGSG", "LUCIA GARGIULO")</f>
        <v>LUCIA GARGIULO</v>
      </c>
      <c r="B4280" s="17" t="str">
        <f>HYPERLINK("https://otsuka-europe-crm.veevavault.com/ui/#object/vcountry__v/VENZ000004SONFQ", "IT")</f>
        <v>IT</v>
      </c>
      <c r="C4280" s="20" t="s">
        <v>44</v>
      </c>
      <c r="D4280" s="21" t="str">
        <f>HYPERLINK("https://otsuka-europe-crm.veevavault.com/ui/#object/approved_document__v/V5O000000018003", "AE dialoghi di tempo fiducia e cura episodi 2-3-4")</f>
        <v>AE dialoghi di tempo fiducia e cura episodi 2-3-4</v>
      </c>
      <c r="E4280" s="22" t="str">
        <f>HYPERLINK("https://otsuka-europe-crm.veevavault.com/ui/#object/sent_email__v/VBL00000002P543", "SE-001433213")</f>
        <v>SE-001433213</v>
      </c>
      <c r="F4280" s="25"/>
      <c r="G4280" s="24">
        <v>0</v>
      </c>
      <c r="H4280" s="24">
        <v>0</v>
      </c>
      <c r="I4280" s="24">
        <v>0</v>
      </c>
      <c r="J4280" s="25"/>
      <c r="K4280" s="24">
        <v>0</v>
      </c>
      <c r="L4280" s="22" t="str">
        <f>HYPERLINK("https://otsuka-europe-crm.veevavault.com/ui/#object/approved_document__v/V5O000000018003", "AE dialoghi di tempo fiducia e cura episodi 2-3-4")</f>
        <v>AE dialoghi di tempo fiducia e cura episodi 2-3-4</v>
      </c>
      <c r="M4280" s="22" t="str">
        <f>HYPERLINK("mailto:nicoletta.vozza@crm.otsuka-europe.com", "nicoletta.vozza@crm.otsuka-europe.com")</f>
        <v>nicoletta.vozza@crm.otsuka-europe.com</v>
      </c>
      <c r="N4280" s="23">
        <v>46181.337962962964</v>
      </c>
      <c r="O4280" s="14" t="str">
        <f>HYPERLINK("https://otsuka-europe-crm.veevavault.com/ui/#object/email_activity__v/V8C00000003P167", "EN-002089567")</f>
        <v>EN-002089567</v>
      </c>
    </row>
    <row r="4281" spans="1:15" ht="16" x14ac:dyDescent="0.2">
      <c r="A4281" s="19"/>
      <c r="B4281" s="19"/>
      <c r="C4281" s="19"/>
      <c r="D4281" s="19"/>
      <c r="E4281" s="19"/>
      <c r="F4281" s="19"/>
      <c r="G4281" s="19"/>
      <c r="H4281" s="19"/>
      <c r="I4281" s="19"/>
      <c r="J4281" s="19"/>
      <c r="K4281" s="19"/>
      <c r="L4281" s="19"/>
      <c r="M4281" s="19"/>
      <c r="N4281" s="19"/>
      <c r="O4281" s="14" t="str">
        <f>HYPERLINK("https://otsuka-europe-crm.veevavault.com/ui/#object/email_activity__v/V8C00000003Q642", "EN-002092100")</f>
        <v>EN-002092100</v>
      </c>
    </row>
    <row r="4282" spans="1:15" ht="32" x14ac:dyDescent="0.2">
      <c r="A4282" s="7" t="str">
        <f>HYPERLINK("https://otsuka-europe-crm.veevavault.com/ui/#object/account__v/V4TZ04ASG8VEEBT", "LUCIA GORRIERI")</f>
        <v>LUCIA GORRIERI</v>
      </c>
      <c r="B4282" s="7" t="str">
        <f t="shared" ref="B4282:B4294" si="356">HYPERLINK("https://otsuka-europe-crm.veevavault.com/ui/#object/vcountry__v/VENZ000004SONFQ", "IT")</f>
        <v>IT</v>
      </c>
      <c r="C4282" s="8" t="s">
        <v>44</v>
      </c>
      <c r="D4282" s="9" t="str">
        <f t="shared" ref="D4282:D4294" si="357">HYPERLINK("https://otsuka-europe-crm.veevavault.com/ui/#object/approved_document__v/V5O000000018003", "AE dialoghi di tempo fiducia e cura episodi 2-3-4")</f>
        <v>AE dialoghi di tempo fiducia e cura episodi 2-3-4</v>
      </c>
      <c r="E4282" s="10" t="str">
        <f>HYPERLINK("https://otsuka-europe-crm.veevavault.com/ui/#object/sent_email__v/VBL00000002P544", "SE-001433214")</f>
        <v>SE-001433214</v>
      </c>
      <c r="F4282" s="11"/>
      <c r="G4282" s="12">
        <v>0</v>
      </c>
      <c r="H4282" s="12">
        <v>0</v>
      </c>
      <c r="I4282" s="12">
        <v>0</v>
      </c>
      <c r="J4282" s="11"/>
      <c r="K4282" s="12">
        <v>0</v>
      </c>
      <c r="L4282" s="10" t="str">
        <f t="shared" ref="L4282:L4294" si="358">HYPERLINK("https://otsuka-europe-crm.veevavault.com/ui/#object/approved_document__v/V5O000000018003", "AE dialoghi di tempo fiducia e cura episodi 2-3-4")</f>
        <v>AE dialoghi di tempo fiducia e cura episodi 2-3-4</v>
      </c>
      <c r="M4282" s="10" t="str">
        <f t="shared" ref="M4282:M4294" si="359">HYPERLINK("mailto:nicoletta.vozza@crm.otsuka-europe.com", "nicoletta.vozza@crm.otsuka-europe.com")</f>
        <v>nicoletta.vozza@crm.otsuka-europe.com</v>
      </c>
      <c r="N4282" s="13">
        <v>46181.338020833333</v>
      </c>
      <c r="O4282" s="14" t="str">
        <f>HYPERLINK("https://otsuka-europe-crm.veevavault.com/ui/#object/email_activity__v/V8C00000003Q250", "EN-002091360")</f>
        <v>EN-002091360</v>
      </c>
    </row>
    <row r="4283" spans="1:15" ht="32" x14ac:dyDescent="0.2">
      <c r="A4283" s="7" t="str">
        <f>HYPERLINK("https://otsuka-europe-crm.veevavault.com/ui/#object/account__v/V4TZ06G6O90N1EE", "LUCIA LONGO")</f>
        <v>LUCIA LONGO</v>
      </c>
      <c r="B4283" s="7" t="str">
        <f t="shared" si="356"/>
        <v>IT</v>
      </c>
      <c r="C4283" s="8" t="s">
        <v>44</v>
      </c>
      <c r="D4283" s="9" t="str">
        <f t="shared" si="357"/>
        <v>AE dialoghi di tempo fiducia e cura episodi 2-3-4</v>
      </c>
      <c r="E4283" s="10" t="str">
        <f>HYPERLINK("https://otsuka-europe-crm.veevavault.com/ui/#object/sent_email__v/VBL00000002P545", "SE-001433215")</f>
        <v>SE-001433215</v>
      </c>
      <c r="F4283" s="11"/>
      <c r="G4283" s="12">
        <v>0</v>
      </c>
      <c r="H4283" s="12">
        <v>0</v>
      </c>
      <c r="I4283" s="12">
        <v>0</v>
      </c>
      <c r="J4283" s="11"/>
      <c r="K4283" s="12">
        <v>0</v>
      </c>
      <c r="L4283" s="10" t="str">
        <f t="shared" si="358"/>
        <v>AE dialoghi di tempo fiducia e cura episodi 2-3-4</v>
      </c>
      <c r="M4283" s="10" t="str">
        <f t="shared" si="359"/>
        <v>nicoletta.vozza@crm.otsuka-europe.com</v>
      </c>
      <c r="N4283" s="13">
        <v>46181.338020833333</v>
      </c>
      <c r="O4283" s="14" t="str">
        <f>HYPERLINK("https://otsuka-europe-crm.veevavault.com/ui/#object/email_activity__v/V8C00000003P750", "EN-002091048")</f>
        <v>EN-002091048</v>
      </c>
    </row>
    <row r="4284" spans="1:15" ht="32" x14ac:dyDescent="0.2">
      <c r="A4284" s="7" t="str">
        <f>HYPERLINK("https://otsuka-europe-crm.veevavault.com/ui/#object/account__v/V4TZ06G6O71SBTM", "LUCIA PALADINI")</f>
        <v>LUCIA PALADINI</v>
      </c>
      <c r="B4284" s="7" t="str">
        <f t="shared" si="356"/>
        <v>IT</v>
      </c>
      <c r="C4284" s="8" t="s">
        <v>44</v>
      </c>
      <c r="D4284" s="9" t="str">
        <f t="shared" si="357"/>
        <v>AE dialoghi di tempo fiducia e cura episodi 2-3-4</v>
      </c>
      <c r="E4284" s="10" t="str">
        <f>HYPERLINK("https://otsuka-europe-crm.veevavault.com/ui/#object/sent_email__v/VBL00000002P546", "SE-001433216")</f>
        <v>SE-001433216</v>
      </c>
      <c r="F4284" s="11"/>
      <c r="G4284" s="12">
        <v>0</v>
      </c>
      <c r="H4284" s="12">
        <v>0</v>
      </c>
      <c r="I4284" s="12">
        <v>0</v>
      </c>
      <c r="J4284" s="11"/>
      <c r="K4284" s="12">
        <v>0</v>
      </c>
      <c r="L4284" s="10" t="str">
        <f t="shared" si="358"/>
        <v>AE dialoghi di tempo fiducia e cura episodi 2-3-4</v>
      </c>
      <c r="M4284" s="10" t="str">
        <f t="shared" si="359"/>
        <v>nicoletta.vozza@crm.otsuka-europe.com</v>
      </c>
      <c r="N4284" s="13">
        <v>46181.33803240741</v>
      </c>
      <c r="O4284" s="14" t="str">
        <f>HYPERLINK("https://otsuka-europe-crm.veevavault.com/ui/#object/email_activity__v/V8C00000003O470", "EN-002090026")</f>
        <v>EN-002090026</v>
      </c>
    </row>
    <row r="4285" spans="1:15" ht="32" x14ac:dyDescent="0.2">
      <c r="A4285" s="7" t="str">
        <f>HYPERLINK("https://otsuka-europe-crm.veevavault.com/ui/#object/account__v/V4TZ04ASG6LHJ5G", "LUCIA TAGLIAVENTO")</f>
        <v>LUCIA TAGLIAVENTO</v>
      </c>
      <c r="B4285" s="7" t="str">
        <f t="shared" si="356"/>
        <v>IT</v>
      </c>
      <c r="C4285" s="8" t="s">
        <v>44</v>
      </c>
      <c r="D4285" s="9" t="str">
        <f t="shared" si="357"/>
        <v>AE dialoghi di tempo fiducia e cura episodi 2-3-4</v>
      </c>
      <c r="E4285" s="10" t="str">
        <f>HYPERLINK("https://otsuka-europe-crm.veevavault.com/ui/#object/sent_email__v/VBL00000002P547", "SE-001433217")</f>
        <v>SE-001433217</v>
      </c>
      <c r="F4285" s="11"/>
      <c r="G4285" s="12">
        <v>0</v>
      </c>
      <c r="H4285" s="12">
        <v>0</v>
      </c>
      <c r="I4285" s="12">
        <v>0</v>
      </c>
      <c r="J4285" s="11"/>
      <c r="K4285" s="12">
        <v>0</v>
      </c>
      <c r="L4285" s="10" t="str">
        <f t="shared" si="358"/>
        <v>AE dialoghi di tempo fiducia e cura episodi 2-3-4</v>
      </c>
      <c r="M4285" s="10" t="str">
        <f t="shared" si="359"/>
        <v>nicoletta.vozza@crm.otsuka-europe.com</v>
      </c>
      <c r="N4285" s="13">
        <v>46181.337997685187</v>
      </c>
      <c r="O4285" s="14" t="str">
        <f>HYPERLINK("https://otsuka-europe-crm.veevavault.com/ui/#object/email_activity__v/V8C00000003P444", "EN-002090685")</f>
        <v>EN-002090685</v>
      </c>
    </row>
    <row r="4286" spans="1:15" ht="32" x14ac:dyDescent="0.2">
      <c r="A4286" s="7" t="str">
        <f>HYPERLINK("https://otsuka-europe-crm.veevavault.com/ui/#object/account__v/V4TZ06G6O71SCK5", "LUCIA TODESCHINI")</f>
        <v>LUCIA TODESCHINI</v>
      </c>
      <c r="B4286" s="7" t="str">
        <f t="shared" si="356"/>
        <v>IT</v>
      </c>
      <c r="C4286" s="8" t="s">
        <v>44</v>
      </c>
      <c r="D4286" s="9" t="str">
        <f t="shared" si="357"/>
        <v>AE dialoghi di tempo fiducia e cura episodi 2-3-4</v>
      </c>
      <c r="E4286" s="10" t="str">
        <f>HYPERLINK("https://otsuka-europe-crm.veevavault.com/ui/#object/sent_email__v/VBL00000002P548", "SE-001433218")</f>
        <v>SE-001433218</v>
      </c>
      <c r="F4286" s="11"/>
      <c r="G4286" s="12">
        <v>0</v>
      </c>
      <c r="H4286" s="12">
        <v>0</v>
      </c>
      <c r="I4286" s="12">
        <v>0</v>
      </c>
      <c r="J4286" s="11"/>
      <c r="K4286" s="12">
        <v>0</v>
      </c>
      <c r="L4286" s="10" t="str">
        <f t="shared" si="358"/>
        <v>AE dialoghi di tempo fiducia e cura episodi 2-3-4</v>
      </c>
      <c r="M4286" s="10" t="str">
        <f t="shared" si="359"/>
        <v>nicoletta.vozza@crm.otsuka-europe.com</v>
      </c>
      <c r="N4286" s="13">
        <v>46181.338078703702</v>
      </c>
      <c r="O4286" s="14" t="str">
        <f>HYPERLINK("https://otsuka-europe-crm.veevavault.com/ui/#object/email_activity__v/V8C00000003P483", "EN-002090664")</f>
        <v>EN-002090664</v>
      </c>
    </row>
    <row r="4287" spans="1:15" ht="32" x14ac:dyDescent="0.2">
      <c r="A4287" s="7" t="str">
        <f>HYPERLINK("https://otsuka-europe-crm.veevavault.com/ui/#object/account__v/V4TZ06G6O71TLEU", "LUCIANO CASOLARI")</f>
        <v>LUCIANO CASOLARI</v>
      </c>
      <c r="B4287" s="7" t="str">
        <f t="shared" si="356"/>
        <v>IT</v>
      </c>
      <c r="C4287" s="8" t="s">
        <v>44</v>
      </c>
      <c r="D4287" s="9" t="str">
        <f t="shared" si="357"/>
        <v>AE dialoghi di tempo fiducia e cura episodi 2-3-4</v>
      </c>
      <c r="E4287" s="10" t="str">
        <f>HYPERLINK("https://otsuka-europe-crm.veevavault.com/ui/#object/sent_email__v/VBL00000002P549", "SE-001433219")</f>
        <v>SE-001433219</v>
      </c>
      <c r="F4287" s="11"/>
      <c r="G4287" s="12">
        <v>0</v>
      </c>
      <c r="H4287" s="12">
        <v>0</v>
      </c>
      <c r="I4287" s="12">
        <v>0</v>
      </c>
      <c r="J4287" s="11"/>
      <c r="K4287" s="12">
        <v>0</v>
      </c>
      <c r="L4287" s="10" t="str">
        <f t="shared" si="358"/>
        <v>AE dialoghi di tempo fiducia e cura episodi 2-3-4</v>
      </c>
      <c r="M4287" s="10" t="str">
        <f t="shared" si="359"/>
        <v>nicoletta.vozza@crm.otsuka-europe.com</v>
      </c>
      <c r="N4287" s="13">
        <v>46181.338090277779</v>
      </c>
      <c r="O4287" s="14" t="str">
        <f>HYPERLINK("https://otsuka-europe-crm.veevavault.com/ui/#object/email_activity__v/V8C00000003P829", "EN-002091188")</f>
        <v>EN-002091188</v>
      </c>
    </row>
    <row r="4288" spans="1:15" ht="32" x14ac:dyDescent="0.2">
      <c r="A4288" s="7" t="str">
        <f>HYPERLINK("https://otsuka-europe-crm.veevavault.com/ui/#object/account__v/V4TZ06G6O71SBSF", "LUCIANO PETRILLO")</f>
        <v>LUCIANO PETRILLO</v>
      </c>
      <c r="B4288" s="7" t="str">
        <f t="shared" si="356"/>
        <v>IT</v>
      </c>
      <c r="C4288" s="8" t="s">
        <v>44</v>
      </c>
      <c r="D4288" s="9" t="str">
        <f t="shared" si="357"/>
        <v>AE dialoghi di tempo fiducia e cura episodi 2-3-4</v>
      </c>
      <c r="E4288" s="10" t="str">
        <f>HYPERLINK("https://otsuka-europe-crm.veevavault.com/ui/#object/sent_email__v/VBL00000002P550", "SE-001433220")</f>
        <v>SE-001433220</v>
      </c>
      <c r="F4288" s="11"/>
      <c r="G4288" s="12">
        <v>0</v>
      </c>
      <c r="H4288" s="12">
        <v>0</v>
      </c>
      <c r="I4288" s="12">
        <v>0</v>
      </c>
      <c r="J4288" s="11"/>
      <c r="K4288" s="12">
        <v>0</v>
      </c>
      <c r="L4288" s="10" t="str">
        <f t="shared" si="358"/>
        <v>AE dialoghi di tempo fiducia e cura episodi 2-3-4</v>
      </c>
      <c r="M4288" s="10" t="str">
        <f t="shared" si="359"/>
        <v>nicoletta.vozza@crm.otsuka-europe.com</v>
      </c>
      <c r="N4288" s="13">
        <v>46181.337962962964</v>
      </c>
      <c r="O4288" s="14" t="str">
        <f>HYPERLINK("https://otsuka-europe-crm.veevavault.com/ui/#object/email_activity__v/V8C00000003O175", "EN-002089612")</f>
        <v>EN-002089612</v>
      </c>
    </row>
    <row r="4289" spans="1:15" ht="32" x14ac:dyDescent="0.2">
      <c r="A4289" s="7" t="str">
        <f>HYPERLINK("https://otsuka-europe-crm.veevavault.com/ui/#object/account__v/V4TZ06G6O71SAS7", "LUCIO GHIO")</f>
        <v>LUCIO GHIO</v>
      </c>
      <c r="B4289" s="7" t="str">
        <f t="shared" si="356"/>
        <v>IT</v>
      </c>
      <c r="C4289" s="8" t="s">
        <v>44</v>
      </c>
      <c r="D4289" s="9" t="str">
        <f t="shared" si="357"/>
        <v>AE dialoghi di tempo fiducia e cura episodi 2-3-4</v>
      </c>
      <c r="E4289" s="10" t="str">
        <f>HYPERLINK("https://otsuka-europe-crm.veevavault.com/ui/#object/sent_email__v/VBL00000002P551", "SE-001433221")</f>
        <v>SE-001433221</v>
      </c>
      <c r="F4289" s="11"/>
      <c r="G4289" s="12">
        <v>0</v>
      </c>
      <c r="H4289" s="12">
        <v>0</v>
      </c>
      <c r="I4289" s="12">
        <v>0</v>
      </c>
      <c r="J4289" s="11"/>
      <c r="K4289" s="12">
        <v>0</v>
      </c>
      <c r="L4289" s="10" t="str">
        <f t="shared" si="358"/>
        <v>AE dialoghi di tempo fiducia e cura episodi 2-3-4</v>
      </c>
      <c r="M4289" s="10" t="str">
        <f t="shared" si="359"/>
        <v>nicoletta.vozza@crm.otsuka-europe.com</v>
      </c>
      <c r="N4289" s="13">
        <v>46181.337951388887</v>
      </c>
      <c r="O4289" s="14" t="str">
        <f>HYPERLINK("https://otsuka-europe-crm.veevavault.com/ui/#object/email_activity__v/V8C00000003O296", "EN-002089773")</f>
        <v>EN-002089773</v>
      </c>
    </row>
    <row r="4290" spans="1:15" ht="32" x14ac:dyDescent="0.2">
      <c r="A4290" s="7" t="str">
        <f>HYPERLINK("https://otsuka-europe-crm.veevavault.com/ui/#object/account__v/V4TZ06G6O71S9KT", "LUCIO OLDANI")</f>
        <v>LUCIO OLDANI</v>
      </c>
      <c r="B4290" s="7" t="str">
        <f t="shared" si="356"/>
        <v>IT</v>
      </c>
      <c r="C4290" s="8" t="s">
        <v>44</v>
      </c>
      <c r="D4290" s="9" t="str">
        <f t="shared" si="357"/>
        <v>AE dialoghi di tempo fiducia e cura episodi 2-3-4</v>
      </c>
      <c r="E4290" s="10" t="str">
        <f>HYPERLINK("https://otsuka-europe-crm.veevavault.com/ui/#object/sent_email__v/VBL00000002P552", "SE-001433222")</f>
        <v>SE-001433222</v>
      </c>
      <c r="F4290" s="11"/>
      <c r="G4290" s="12">
        <v>0</v>
      </c>
      <c r="H4290" s="12">
        <v>0</v>
      </c>
      <c r="I4290" s="12">
        <v>0</v>
      </c>
      <c r="J4290" s="11"/>
      <c r="K4290" s="12">
        <v>0</v>
      </c>
      <c r="L4290" s="10" t="str">
        <f t="shared" si="358"/>
        <v>AE dialoghi di tempo fiducia e cura episodi 2-3-4</v>
      </c>
      <c r="M4290" s="10" t="str">
        <f t="shared" si="359"/>
        <v>nicoletta.vozza@crm.otsuka-europe.com</v>
      </c>
      <c r="N4290" s="13">
        <v>46181.338020833333</v>
      </c>
      <c r="O4290" s="14" t="str">
        <f>HYPERLINK("https://otsuka-europe-crm.veevavault.com/ui/#object/email_activity__v/V8C00000003P347", "EN-002090353")</f>
        <v>EN-002090353</v>
      </c>
    </row>
    <row r="4291" spans="1:15" ht="32" x14ac:dyDescent="0.2">
      <c r="A4291" s="7" t="str">
        <f>HYPERLINK("https://otsuka-europe-crm.veevavault.com/ui/#object/account__v/V4TZ06G6O71SASX", "LUCREZIA CHIANURA")</f>
        <v>LUCREZIA CHIANURA</v>
      </c>
      <c r="B4291" s="7" t="str">
        <f t="shared" si="356"/>
        <v>IT</v>
      </c>
      <c r="C4291" s="8" t="s">
        <v>44</v>
      </c>
      <c r="D4291" s="9" t="str">
        <f t="shared" si="357"/>
        <v>AE dialoghi di tempo fiducia e cura episodi 2-3-4</v>
      </c>
      <c r="E4291" s="10" t="str">
        <f>HYPERLINK("https://otsuka-europe-crm.veevavault.com/ui/#object/sent_email__v/VBL00000002P553", "SE-001433223")</f>
        <v>SE-001433223</v>
      </c>
      <c r="F4291" s="11"/>
      <c r="G4291" s="12">
        <v>0</v>
      </c>
      <c r="H4291" s="12">
        <v>0</v>
      </c>
      <c r="I4291" s="12">
        <v>0</v>
      </c>
      <c r="J4291" s="11"/>
      <c r="K4291" s="12">
        <v>0</v>
      </c>
      <c r="L4291" s="10" t="str">
        <f t="shared" si="358"/>
        <v>AE dialoghi di tempo fiducia e cura episodi 2-3-4</v>
      </c>
      <c r="M4291" s="10" t="str">
        <f t="shared" si="359"/>
        <v>nicoletta.vozza@crm.otsuka-europe.com</v>
      </c>
      <c r="N4291" s="13">
        <v>46181.338020833333</v>
      </c>
      <c r="O4291" s="14" t="str">
        <f>HYPERLINK("https://otsuka-europe-crm.veevavault.com/ui/#object/email_activity__v/V8C00000003P291", "EN-002089927")</f>
        <v>EN-002089927</v>
      </c>
    </row>
    <row r="4292" spans="1:15" ht="32" x14ac:dyDescent="0.2">
      <c r="A4292" s="7" t="str">
        <f>HYPERLINK("https://otsuka-europe-crm.veevavault.com/ui/#object/account__v/V4TZ025E88SZ4FD", "LUDOVICA MATERAZZO")</f>
        <v>LUDOVICA MATERAZZO</v>
      </c>
      <c r="B4292" s="7" t="str">
        <f t="shared" si="356"/>
        <v>IT</v>
      </c>
      <c r="C4292" s="8" t="s">
        <v>44</v>
      </c>
      <c r="D4292" s="9" t="str">
        <f t="shared" si="357"/>
        <v>AE dialoghi di tempo fiducia e cura episodi 2-3-4</v>
      </c>
      <c r="E4292" s="10" t="str">
        <f>HYPERLINK("https://otsuka-europe-crm.veevavault.com/ui/#object/sent_email__v/VBL00000002P554", "SE-001433224")</f>
        <v>SE-001433224</v>
      </c>
      <c r="F4292" s="11"/>
      <c r="G4292" s="12">
        <v>0</v>
      </c>
      <c r="H4292" s="12">
        <v>0</v>
      </c>
      <c r="I4292" s="12">
        <v>0</v>
      </c>
      <c r="J4292" s="11"/>
      <c r="K4292" s="12">
        <v>0</v>
      </c>
      <c r="L4292" s="10" t="str">
        <f t="shared" si="358"/>
        <v>AE dialoghi di tempo fiducia e cura episodi 2-3-4</v>
      </c>
      <c r="M4292" s="10" t="str">
        <f t="shared" si="359"/>
        <v>nicoletta.vozza@crm.otsuka-europe.com</v>
      </c>
      <c r="N4292" s="13">
        <v>46181.338055555556</v>
      </c>
      <c r="O4292" s="14" t="str">
        <f>HYPERLINK("https://otsuka-europe-crm.veevavault.com/ui/#object/email_activity__v/V8C00000003P313", "EN-002089949")</f>
        <v>EN-002089949</v>
      </c>
    </row>
    <row r="4293" spans="1:15" ht="32" x14ac:dyDescent="0.2">
      <c r="A4293" s="7" t="str">
        <f>HYPERLINK("https://otsuka-europe-crm.veevavault.com/ui/#object/account__v/V4TZ06G6O71S9VA", "LUDOVICA SPATTINI")</f>
        <v>LUDOVICA SPATTINI</v>
      </c>
      <c r="B4293" s="7" t="str">
        <f t="shared" si="356"/>
        <v>IT</v>
      </c>
      <c r="C4293" s="8" t="s">
        <v>44</v>
      </c>
      <c r="D4293" s="9" t="str">
        <f t="shared" si="357"/>
        <v>AE dialoghi di tempo fiducia e cura episodi 2-3-4</v>
      </c>
      <c r="E4293" s="10" t="str">
        <f>HYPERLINK("https://otsuka-europe-crm.veevavault.com/ui/#object/sent_email__v/VBL00000002P555", "SE-001433225")</f>
        <v>SE-001433225</v>
      </c>
      <c r="F4293" s="11"/>
      <c r="G4293" s="12">
        <v>0</v>
      </c>
      <c r="H4293" s="12">
        <v>0</v>
      </c>
      <c r="I4293" s="12">
        <v>0</v>
      </c>
      <c r="J4293" s="11"/>
      <c r="K4293" s="12">
        <v>0</v>
      </c>
      <c r="L4293" s="10" t="str">
        <f t="shared" si="358"/>
        <v>AE dialoghi di tempo fiducia e cura episodi 2-3-4</v>
      </c>
      <c r="M4293" s="10" t="str">
        <f t="shared" si="359"/>
        <v>nicoletta.vozza@crm.otsuka-europe.com</v>
      </c>
      <c r="N4293" s="13">
        <v>46181.338055555556</v>
      </c>
      <c r="O4293" s="14" t="str">
        <f>HYPERLINK("https://otsuka-europe-crm.veevavault.com/ui/#object/email_activity__v/V8C00000003P530", "EN-002090785")</f>
        <v>EN-002090785</v>
      </c>
    </row>
    <row r="4294" spans="1:15" ht="16" x14ac:dyDescent="0.2">
      <c r="A4294" s="17" t="str">
        <f>HYPERLINK("https://otsuka-europe-crm.veevavault.com/ui/#object/account__v/V4TZ06G6O71S9W7", "LUIGI ACANFORA")</f>
        <v>LUIGI ACANFORA</v>
      </c>
      <c r="B4294" s="17" t="str">
        <f t="shared" si="356"/>
        <v>IT</v>
      </c>
      <c r="C4294" s="20" t="s">
        <v>44</v>
      </c>
      <c r="D4294" s="21" t="str">
        <f t="shared" si="357"/>
        <v>AE dialoghi di tempo fiducia e cura episodi 2-3-4</v>
      </c>
      <c r="E4294" s="22" t="str">
        <f>HYPERLINK("https://otsuka-europe-crm.veevavault.com/ui/#object/sent_email__v/VBL00000002P556", "SE-001433226")</f>
        <v>SE-001433226</v>
      </c>
      <c r="F4294" s="25"/>
      <c r="G4294" s="24">
        <v>0</v>
      </c>
      <c r="H4294" s="24">
        <v>0</v>
      </c>
      <c r="I4294" s="24">
        <v>0</v>
      </c>
      <c r="J4294" s="25"/>
      <c r="K4294" s="24">
        <v>0</v>
      </c>
      <c r="L4294" s="22" t="str">
        <f t="shared" si="358"/>
        <v>AE dialoghi di tempo fiducia e cura episodi 2-3-4</v>
      </c>
      <c r="M4294" s="22" t="str">
        <f t="shared" si="359"/>
        <v>nicoletta.vozza@crm.otsuka-europe.com</v>
      </c>
      <c r="N4294" s="23">
        <v>46181.337997685187</v>
      </c>
      <c r="O4294" s="14" t="str">
        <f>HYPERLINK("https://otsuka-europe-crm.veevavault.com/ui/#object/email_activity__v/V8C00000003O332", "EN-002089809")</f>
        <v>EN-002089809</v>
      </c>
    </row>
    <row r="4295" spans="1:15" ht="16" x14ac:dyDescent="0.2">
      <c r="A4295" s="19"/>
      <c r="B4295" s="19"/>
      <c r="C4295" s="19"/>
      <c r="D4295" s="19"/>
      <c r="E4295" s="19"/>
      <c r="F4295" s="19"/>
      <c r="G4295" s="19"/>
      <c r="H4295" s="19"/>
      <c r="I4295" s="19"/>
      <c r="J4295" s="19"/>
      <c r="K4295" s="19"/>
      <c r="L4295" s="19"/>
      <c r="M4295" s="19"/>
      <c r="N4295" s="19"/>
      <c r="O4295" s="14" t="str">
        <f>HYPERLINK("https://otsuka-europe-crm.veevavault.com/ui/#object/email_activity__v/V8C00000003Q328", "EN-002091490")</f>
        <v>EN-002091490</v>
      </c>
    </row>
    <row r="4296" spans="1:15" ht="32" x14ac:dyDescent="0.2">
      <c r="A4296" s="7" t="str">
        <f>HYPERLINK("https://otsuka-europe-crm.veevavault.com/ui/#object/account__v/V4TZ06G6O71TFT8", "LUIGI ALESSIO GRECO")</f>
        <v>LUIGI ALESSIO GRECO</v>
      </c>
      <c r="B4296" s="7" t="str">
        <f t="shared" ref="B4296:B4310" si="360">HYPERLINK("https://otsuka-europe-crm.veevavault.com/ui/#object/vcountry__v/VENZ000004SONFQ", "IT")</f>
        <v>IT</v>
      </c>
      <c r="C4296" s="8" t="s">
        <v>44</v>
      </c>
      <c r="D4296" s="9" t="str">
        <f t="shared" ref="D4296:D4310" si="361">HYPERLINK("https://otsuka-europe-crm.veevavault.com/ui/#object/approved_document__v/V5O000000018003", "AE dialoghi di tempo fiducia e cura episodi 2-3-4")</f>
        <v>AE dialoghi di tempo fiducia e cura episodi 2-3-4</v>
      </c>
      <c r="E4296" s="10" t="str">
        <f>HYPERLINK("https://otsuka-europe-crm.veevavault.com/ui/#object/sent_email__v/VBL00000002P557", "SE-001433227")</f>
        <v>SE-001433227</v>
      </c>
      <c r="F4296" s="11"/>
      <c r="G4296" s="12">
        <v>0</v>
      </c>
      <c r="H4296" s="12">
        <v>0</v>
      </c>
      <c r="I4296" s="12">
        <v>0</v>
      </c>
      <c r="J4296" s="11"/>
      <c r="K4296" s="12">
        <v>0</v>
      </c>
      <c r="L4296" s="10" t="str">
        <f t="shared" ref="L4296:L4310" si="362">HYPERLINK("https://otsuka-europe-crm.veevavault.com/ui/#object/approved_document__v/V5O000000018003", "AE dialoghi di tempo fiducia e cura episodi 2-3-4")</f>
        <v>AE dialoghi di tempo fiducia e cura episodi 2-3-4</v>
      </c>
      <c r="M4296" s="10" t="str">
        <f t="shared" ref="M4296:M4310" si="363">HYPERLINK("mailto:nicoletta.vozza@crm.otsuka-europe.com", "nicoletta.vozza@crm.otsuka-europe.com")</f>
        <v>nicoletta.vozza@crm.otsuka-europe.com</v>
      </c>
      <c r="N4296" s="13">
        <v>46181.337997685187</v>
      </c>
      <c r="O4296" s="14" t="str">
        <f>HYPERLINK("https://otsuka-europe-crm.veevavault.com/ui/#object/email_activity__v/V8C00000003O427", "EN-002089983")</f>
        <v>EN-002089983</v>
      </c>
    </row>
    <row r="4297" spans="1:15" ht="32" x14ac:dyDescent="0.2">
      <c r="A4297" s="7" t="str">
        <f>HYPERLINK("https://otsuka-europe-crm.veevavault.com/ui/#object/account__v/V4TZ06G6O71SA39", "LUIGI BARTOLETTI")</f>
        <v>LUIGI BARTOLETTI</v>
      </c>
      <c r="B4297" s="7" t="str">
        <f t="shared" si="360"/>
        <v>IT</v>
      </c>
      <c r="C4297" s="8" t="s">
        <v>44</v>
      </c>
      <c r="D4297" s="9" t="str">
        <f t="shared" si="361"/>
        <v>AE dialoghi di tempo fiducia e cura episodi 2-3-4</v>
      </c>
      <c r="E4297" s="10" t="str">
        <f>HYPERLINK("https://otsuka-europe-crm.veevavault.com/ui/#object/sent_email__v/VBL00000002P558", "SE-001433228")</f>
        <v>SE-001433228</v>
      </c>
      <c r="F4297" s="11"/>
      <c r="G4297" s="12">
        <v>0</v>
      </c>
      <c r="H4297" s="12">
        <v>0</v>
      </c>
      <c r="I4297" s="12">
        <v>0</v>
      </c>
      <c r="J4297" s="11"/>
      <c r="K4297" s="12">
        <v>0</v>
      </c>
      <c r="L4297" s="10" t="str">
        <f t="shared" si="362"/>
        <v>AE dialoghi di tempo fiducia e cura episodi 2-3-4</v>
      </c>
      <c r="M4297" s="10" t="str">
        <f t="shared" si="363"/>
        <v>nicoletta.vozza@crm.otsuka-europe.com</v>
      </c>
      <c r="N4297" s="13">
        <v>46181.338020833333</v>
      </c>
      <c r="O4297" s="14" t="str">
        <f>HYPERLINK("https://otsuka-europe-crm.veevavault.com/ui/#object/email_activity__v/V8C00000003O444", "EN-002090000")</f>
        <v>EN-002090000</v>
      </c>
    </row>
    <row r="4298" spans="1:15" ht="32" x14ac:dyDescent="0.2">
      <c r="A4298" s="7" t="str">
        <f>HYPERLINK("https://otsuka-europe-crm.veevavault.com/ui/#object/account__v/V4TZ06G6O71SA0F", "LUIGI BERLONI")</f>
        <v>LUIGI BERLONI</v>
      </c>
      <c r="B4298" s="7" t="str">
        <f t="shared" si="360"/>
        <v>IT</v>
      </c>
      <c r="C4298" s="8" t="s">
        <v>44</v>
      </c>
      <c r="D4298" s="9" t="str">
        <f t="shared" si="361"/>
        <v>AE dialoghi di tempo fiducia e cura episodi 2-3-4</v>
      </c>
      <c r="E4298" s="10" t="str">
        <f>HYPERLINK("https://otsuka-europe-crm.veevavault.com/ui/#object/sent_email__v/VBL00000002P559", "SE-001433229")</f>
        <v>SE-001433229</v>
      </c>
      <c r="F4298" s="11"/>
      <c r="G4298" s="12">
        <v>0</v>
      </c>
      <c r="H4298" s="12">
        <v>0</v>
      </c>
      <c r="I4298" s="12">
        <v>0</v>
      </c>
      <c r="J4298" s="11"/>
      <c r="K4298" s="12">
        <v>0</v>
      </c>
      <c r="L4298" s="10" t="str">
        <f t="shared" si="362"/>
        <v>AE dialoghi di tempo fiducia e cura episodi 2-3-4</v>
      </c>
      <c r="M4298" s="10" t="str">
        <f t="shared" si="363"/>
        <v>nicoletta.vozza@crm.otsuka-europe.com</v>
      </c>
      <c r="N4298" s="13">
        <v>46181.338043981479</v>
      </c>
      <c r="O4298" s="14" t="str">
        <f>HYPERLINK("https://otsuka-europe-crm.veevavault.com/ui/#object/email_activity__v/V8C00000003Q273", "EN-002091391")</f>
        <v>EN-002091391</v>
      </c>
    </row>
    <row r="4299" spans="1:15" ht="32" x14ac:dyDescent="0.2">
      <c r="A4299" s="7" t="str">
        <f>HYPERLINK("https://otsuka-europe-crm.veevavault.com/ui/#object/account__v/V4TZ06G6O71S9S9", "LUIGI DI NUZZO")</f>
        <v>LUIGI DI NUZZO</v>
      </c>
      <c r="B4299" s="7" t="str">
        <f t="shared" si="360"/>
        <v>IT</v>
      </c>
      <c r="C4299" s="8" t="s">
        <v>44</v>
      </c>
      <c r="D4299" s="9" t="str">
        <f t="shared" si="361"/>
        <v>AE dialoghi di tempo fiducia e cura episodi 2-3-4</v>
      </c>
      <c r="E4299" s="10" t="str">
        <f>HYPERLINK("https://otsuka-europe-crm.veevavault.com/ui/#object/sent_email__v/VBL00000002P560", "SE-001433230")</f>
        <v>SE-001433230</v>
      </c>
      <c r="F4299" s="11"/>
      <c r="G4299" s="12">
        <v>0</v>
      </c>
      <c r="H4299" s="12">
        <v>0</v>
      </c>
      <c r="I4299" s="12">
        <v>0</v>
      </c>
      <c r="J4299" s="11"/>
      <c r="K4299" s="12">
        <v>0</v>
      </c>
      <c r="L4299" s="10" t="str">
        <f t="shared" si="362"/>
        <v>AE dialoghi di tempo fiducia e cura episodi 2-3-4</v>
      </c>
      <c r="M4299" s="10" t="str">
        <f t="shared" si="363"/>
        <v>nicoletta.vozza@crm.otsuka-europe.com</v>
      </c>
      <c r="N4299" s="13">
        <v>46181.337997685187</v>
      </c>
      <c r="O4299" s="14" t="str">
        <f>HYPERLINK("https://otsuka-europe-crm.veevavault.com/ui/#object/email_activity__v/V8C00000003O462", "EN-002090018")</f>
        <v>EN-002090018</v>
      </c>
    </row>
    <row r="4300" spans="1:15" ht="32" x14ac:dyDescent="0.2">
      <c r="A4300" s="7" t="str">
        <f>HYPERLINK("https://otsuka-europe-crm.veevavault.com/ui/#object/account__v/V4TZ06G6O71SBU8", "LUIGI PAPA")</f>
        <v>LUIGI PAPA</v>
      </c>
      <c r="B4300" s="7" t="str">
        <f t="shared" si="360"/>
        <v>IT</v>
      </c>
      <c r="C4300" s="8" t="s">
        <v>44</v>
      </c>
      <c r="D4300" s="9" t="str">
        <f t="shared" si="361"/>
        <v>AE dialoghi di tempo fiducia e cura episodi 2-3-4</v>
      </c>
      <c r="E4300" s="10" t="str">
        <f>HYPERLINK("https://otsuka-europe-crm.veevavault.com/ui/#object/sent_email__v/VBL00000002P561", "SE-001433231")</f>
        <v>SE-001433231</v>
      </c>
      <c r="F4300" s="11"/>
      <c r="G4300" s="12">
        <v>0</v>
      </c>
      <c r="H4300" s="12">
        <v>0</v>
      </c>
      <c r="I4300" s="12">
        <v>0</v>
      </c>
      <c r="J4300" s="11"/>
      <c r="K4300" s="12">
        <v>0</v>
      </c>
      <c r="L4300" s="10" t="str">
        <f t="shared" si="362"/>
        <v>AE dialoghi di tempo fiducia e cura episodi 2-3-4</v>
      </c>
      <c r="M4300" s="10" t="str">
        <f t="shared" si="363"/>
        <v>nicoletta.vozza@crm.otsuka-europe.com</v>
      </c>
      <c r="N4300" s="13">
        <v>46181.338101851848</v>
      </c>
      <c r="O4300" s="14" t="str">
        <f>HYPERLINK("https://otsuka-europe-crm.veevavault.com/ui/#object/email_activity__v/V8C00000003Q116", "EN-002091181")</f>
        <v>EN-002091181</v>
      </c>
    </row>
    <row r="4301" spans="1:15" ht="32" x14ac:dyDescent="0.2">
      <c r="A4301" s="7" t="str">
        <f>HYPERLINK("https://otsuka-europe-crm.veevavault.com/ui/#object/account__v/V4TZ04ASGFI1HIR", "LUIGI RIONDINO")</f>
        <v>LUIGI RIONDINO</v>
      </c>
      <c r="B4301" s="7" t="str">
        <f t="shared" si="360"/>
        <v>IT</v>
      </c>
      <c r="C4301" s="8" t="s">
        <v>44</v>
      </c>
      <c r="D4301" s="9" t="str">
        <f t="shared" si="361"/>
        <v>AE dialoghi di tempo fiducia e cura episodi 2-3-4</v>
      </c>
      <c r="E4301" s="10" t="str">
        <f>HYPERLINK("https://otsuka-europe-crm.veevavault.com/ui/#object/sent_email__v/VBL00000002P562", "SE-001433232")</f>
        <v>SE-001433232</v>
      </c>
      <c r="F4301" s="11"/>
      <c r="G4301" s="12">
        <v>0</v>
      </c>
      <c r="H4301" s="12">
        <v>0</v>
      </c>
      <c r="I4301" s="12">
        <v>0</v>
      </c>
      <c r="J4301" s="11"/>
      <c r="K4301" s="12">
        <v>0</v>
      </c>
      <c r="L4301" s="10" t="str">
        <f t="shared" si="362"/>
        <v>AE dialoghi di tempo fiducia e cura episodi 2-3-4</v>
      </c>
      <c r="M4301" s="10" t="str">
        <f t="shared" si="363"/>
        <v>nicoletta.vozza@crm.otsuka-europe.com</v>
      </c>
      <c r="N4301" s="13">
        <v>46181.338009259256</v>
      </c>
      <c r="O4301" s="14" t="str">
        <f>HYPERLINK("https://otsuka-europe-crm.veevavault.com/ui/#object/email_activity__v/V8C00000003P329", "EN-002090335")</f>
        <v>EN-002090335</v>
      </c>
    </row>
    <row r="4302" spans="1:15" ht="32" x14ac:dyDescent="0.2">
      <c r="A4302" s="7" t="str">
        <f>HYPERLINK("https://otsuka-europe-crm.veevavault.com/ui/#object/account__v/V4TZ06G6OB4C3MJ", "LUIGI SALVATORE BONELLI")</f>
        <v>LUIGI SALVATORE BONELLI</v>
      </c>
      <c r="B4302" s="7" t="str">
        <f t="shared" si="360"/>
        <v>IT</v>
      </c>
      <c r="C4302" s="8" t="s">
        <v>44</v>
      </c>
      <c r="D4302" s="9" t="str">
        <f t="shared" si="361"/>
        <v>AE dialoghi di tempo fiducia e cura episodi 2-3-4</v>
      </c>
      <c r="E4302" s="10" t="str">
        <f>HYPERLINK("https://otsuka-europe-crm.veevavault.com/ui/#object/sent_email__v/VBL00000002P563", "SE-001433233")</f>
        <v>SE-001433233</v>
      </c>
      <c r="F4302" s="11"/>
      <c r="G4302" s="12">
        <v>0</v>
      </c>
      <c r="H4302" s="12">
        <v>0</v>
      </c>
      <c r="I4302" s="12">
        <v>0</v>
      </c>
      <c r="J4302" s="11"/>
      <c r="K4302" s="12">
        <v>0</v>
      </c>
      <c r="L4302" s="10" t="str">
        <f t="shared" si="362"/>
        <v>AE dialoghi di tempo fiducia e cura episodi 2-3-4</v>
      </c>
      <c r="M4302" s="10" t="str">
        <f t="shared" si="363"/>
        <v>nicoletta.vozza@crm.otsuka-europe.com</v>
      </c>
      <c r="N4302" s="13">
        <v>46181.338055555556</v>
      </c>
      <c r="O4302" s="14" t="str">
        <f>HYPERLINK("https://otsuka-europe-crm.veevavault.com/ui/#object/email_activity__v/V8C00000003O646", "EN-002090202")</f>
        <v>EN-002090202</v>
      </c>
    </row>
    <row r="4303" spans="1:15" ht="32" x14ac:dyDescent="0.2">
      <c r="A4303" s="7" t="str">
        <f>HYPERLINK("https://otsuka-europe-crm.veevavault.com/ui/#object/account__v/V4TZ06G6O71SCDR", "LUIGI SCANDAGLIA")</f>
        <v>LUIGI SCANDAGLIA</v>
      </c>
      <c r="B4303" s="7" t="str">
        <f t="shared" si="360"/>
        <v>IT</v>
      </c>
      <c r="C4303" s="8" t="s">
        <v>44</v>
      </c>
      <c r="D4303" s="9" t="str">
        <f t="shared" si="361"/>
        <v>AE dialoghi di tempo fiducia e cura episodi 2-3-4</v>
      </c>
      <c r="E4303" s="10" t="str">
        <f>HYPERLINK("https://otsuka-europe-crm.veevavault.com/ui/#object/sent_email__v/VBL00000002P564", "SE-001433234")</f>
        <v>SE-001433234</v>
      </c>
      <c r="F4303" s="11"/>
      <c r="G4303" s="12">
        <v>0</v>
      </c>
      <c r="H4303" s="12">
        <v>0</v>
      </c>
      <c r="I4303" s="12">
        <v>0</v>
      </c>
      <c r="J4303" s="11"/>
      <c r="K4303" s="12">
        <v>0</v>
      </c>
      <c r="L4303" s="10" t="str">
        <f t="shared" si="362"/>
        <v>AE dialoghi di tempo fiducia e cura episodi 2-3-4</v>
      </c>
      <c r="M4303" s="10" t="str">
        <f t="shared" si="363"/>
        <v>nicoletta.vozza@crm.otsuka-europe.com</v>
      </c>
      <c r="N4303" s="13">
        <v>46181.338078703702</v>
      </c>
      <c r="O4303" s="14" t="str">
        <f>HYPERLINK("https://otsuka-europe-crm.veevavault.com/ui/#object/email_activity__v/V8C00000003P739", "EN-002091037")</f>
        <v>EN-002091037</v>
      </c>
    </row>
    <row r="4304" spans="1:15" ht="32" x14ac:dyDescent="0.2">
      <c r="A4304" s="7" t="str">
        <f>HYPERLINK("https://otsuka-europe-crm.veevavault.com/ui/#object/account__v/V4TZ04ASGB4N0HZ", "LUIGI TINDARO LUCCHESI")</f>
        <v>LUIGI TINDARO LUCCHESI</v>
      </c>
      <c r="B4304" s="7" t="str">
        <f t="shared" si="360"/>
        <v>IT</v>
      </c>
      <c r="C4304" s="8" t="s">
        <v>44</v>
      </c>
      <c r="D4304" s="9" t="str">
        <f t="shared" si="361"/>
        <v>AE dialoghi di tempo fiducia e cura episodi 2-3-4</v>
      </c>
      <c r="E4304" s="10" t="str">
        <f>HYPERLINK("https://otsuka-europe-crm.veevavault.com/ui/#object/sent_email__v/VBL00000002P565", "SE-001433235")</f>
        <v>SE-001433235</v>
      </c>
      <c r="F4304" s="11"/>
      <c r="G4304" s="12">
        <v>0</v>
      </c>
      <c r="H4304" s="12">
        <v>0</v>
      </c>
      <c r="I4304" s="12">
        <v>0</v>
      </c>
      <c r="J4304" s="11"/>
      <c r="K4304" s="12">
        <v>0</v>
      </c>
      <c r="L4304" s="10" t="str">
        <f t="shared" si="362"/>
        <v>AE dialoghi di tempo fiducia e cura episodi 2-3-4</v>
      </c>
      <c r="M4304" s="10" t="str">
        <f t="shared" si="363"/>
        <v>nicoletta.vozza@crm.otsuka-europe.com</v>
      </c>
      <c r="N4304" s="13">
        <v>46181.338020833333</v>
      </c>
      <c r="O4304" s="14" t="str">
        <f>HYPERLINK("https://otsuka-europe-crm.veevavault.com/ui/#object/email_activity__v/V8C00000003Q026", "EN-002090992")</f>
        <v>EN-002090992</v>
      </c>
    </row>
    <row r="4305" spans="1:15" ht="32" x14ac:dyDescent="0.2">
      <c r="A4305" s="7" t="str">
        <f>HYPERLINK("https://otsuka-europe-crm.veevavault.com/ui/#object/account__v/V4TZ06G6O71SCMK", "LUIGI TRABUCCHI")</f>
        <v>LUIGI TRABUCCHI</v>
      </c>
      <c r="B4305" s="7" t="str">
        <f t="shared" si="360"/>
        <v>IT</v>
      </c>
      <c r="C4305" s="8" t="s">
        <v>44</v>
      </c>
      <c r="D4305" s="9" t="str">
        <f t="shared" si="361"/>
        <v>AE dialoghi di tempo fiducia e cura episodi 2-3-4</v>
      </c>
      <c r="E4305" s="10" t="str">
        <f>HYPERLINK("https://otsuka-europe-crm.veevavault.com/ui/#object/sent_email__v/VBL00000002P566", "SE-001433236")</f>
        <v>SE-001433236</v>
      </c>
      <c r="F4305" s="11"/>
      <c r="G4305" s="12">
        <v>0</v>
      </c>
      <c r="H4305" s="12">
        <v>0</v>
      </c>
      <c r="I4305" s="12">
        <v>0</v>
      </c>
      <c r="J4305" s="11"/>
      <c r="K4305" s="12">
        <v>0</v>
      </c>
      <c r="L4305" s="10" t="str">
        <f t="shared" si="362"/>
        <v>AE dialoghi di tempo fiducia e cura episodi 2-3-4</v>
      </c>
      <c r="M4305" s="10" t="str">
        <f t="shared" si="363"/>
        <v>nicoletta.vozza@crm.otsuka-europe.com</v>
      </c>
      <c r="N4305" s="13">
        <v>46181.33798611111</v>
      </c>
      <c r="O4305" s="14" t="str">
        <f>HYPERLINK("https://otsuka-europe-crm.veevavault.com/ui/#object/email_activity__v/V8C00000003P883", "EN-002091401")</f>
        <v>EN-002091401</v>
      </c>
    </row>
    <row r="4306" spans="1:15" ht="32" x14ac:dyDescent="0.2">
      <c r="A4306" s="7" t="str">
        <f>HYPERLINK("https://otsuka-europe-crm.veevavault.com/ui/#object/account__v/V4TZ025E88XUQF2", "LUISA CECI")</f>
        <v>LUISA CECI</v>
      </c>
      <c r="B4306" s="7" t="str">
        <f t="shared" si="360"/>
        <v>IT</v>
      </c>
      <c r="C4306" s="8" t="s">
        <v>44</v>
      </c>
      <c r="D4306" s="9" t="str">
        <f t="shared" si="361"/>
        <v>AE dialoghi di tempo fiducia e cura episodi 2-3-4</v>
      </c>
      <c r="E4306" s="10" t="str">
        <f>HYPERLINK("https://otsuka-europe-crm.veevavault.com/ui/#object/sent_email__v/VBL00000002P567", "SE-001433237")</f>
        <v>SE-001433237</v>
      </c>
      <c r="F4306" s="11"/>
      <c r="G4306" s="12">
        <v>0</v>
      </c>
      <c r="H4306" s="12">
        <v>0</v>
      </c>
      <c r="I4306" s="12">
        <v>0</v>
      </c>
      <c r="J4306" s="11"/>
      <c r="K4306" s="12">
        <v>0</v>
      </c>
      <c r="L4306" s="10" t="str">
        <f t="shared" si="362"/>
        <v>AE dialoghi di tempo fiducia e cura episodi 2-3-4</v>
      </c>
      <c r="M4306" s="10" t="str">
        <f t="shared" si="363"/>
        <v>nicoletta.vozza@crm.otsuka-europe.com</v>
      </c>
      <c r="N4306" s="13">
        <v>46181.337939814817</v>
      </c>
      <c r="O4306" s="14" t="str">
        <f>HYPERLINK("https://otsuka-europe-crm.veevavault.com/ui/#object/email_activity__v/V8C00000003O210", "EN-002089687")</f>
        <v>EN-002089687</v>
      </c>
    </row>
    <row r="4307" spans="1:15" ht="32" x14ac:dyDescent="0.2">
      <c r="A4307" s="7" t="str">
        <f>HYPERLINK("https://otsuka-europe-crm.veevavault.com/ui/#object/account__v/V4TZ06G6O71SB6R", "LUISA LACATENA")</f>
        <v>LUISA LACATENA</v>
      </c>
      <c r="B4307" s="7" t="str">
        <f t="shared" si="360"/>
        <v>IT</v>
      </c>
      <c r="C4307" s="8" t="s">
        <v>44</v>
      </c>
      <c r="D4307" s="9" t="str">
        <f t="shared" si="361"/>
        <v>AE dialoghi di tempo fiducia e cura episodi 2-3-4</v>
      </c>
      <c r="E4307" s="10" t="str">
        <f>HYPERLINK("https://otsuka-europe-crm.veevavault.com/ui/#object/sent_email__v/VBL00000002P568", "SE-001433238")</f>
        <v>SE-001433238</v>
      </c>
      <c r="F4307" s="11"/>
      <c r="G4307" s="12">
        <v>0</v>
      </c>
      <c r="H4307" s="12">
        <v>0</v>
      </c>
      <c r="I4307" s="12">
        <v>0</v>
      </c>
      <c r="J4307" s="11"/>
      <c r="K4307" s="12">
        <v>0</v>
      </c>
      <c r="L4307" s="10" t="str">
        <f t="shared" si="362"/>
        <v>AE dialoghi di tempo fiducia e cura episodi 2-3-4</v>
      </c>
      <c r="M4307" s="10" t="str">
        <f t="shared" si="363"/>
        <v>nicoletta.vozza@crm.otsuka-europe.com</v>
      </c>
      <c r="N4307" s="13">
        <v>46181.338055555556</v>
      </c>
      <c r="O4307" s="14" t="str">
        <f>HYPERLINK("https://otsuka-europe-crm.veevavault.com/ui/#object/email_activity__v/V8C00000003P376", "EN-002090382")</f>
        <v>EN-002090382</v>
      </c>
    </row>
    <row r="4308" spans="1:15" ht="32" x14ac:dyDescent="0.2">
      <c r="A4308" s="7" t="str">
        <f>HYPERLINK("https://otsuka-europe-crm.veevavault.com/ui/#object/account__v/V4TZ04ASG6LF762", "LUISA NIFOSI'")</f>
        <v>LUISA NIFOSI'</v>
      </c>
      <c r="B4308" s="7" t="str">
        <f t="shared" si="360"/>
        <v>IT</v>
      </c>
      <c r="C4308" s="8" t="s">
        <v>44</v>
      </c>
      <c r="D4308" s="9" t="str">
        <f t="shared" si="361"/>
        <v>AE dialoghi di tempo fiducia e cura episodi 2-3-4</v>
      </c>
      <c r="E4308" s="10" t="str">
        <f>HYPERLINK("https://otsuka-europe-crm.veevavault.com/ui/#object/sent_email__v/VBL00000002P569", "SE-001433239")</f>
        <v>SE-001433239</v>
      </c>
      <c r="F4308" s="11"/>
      <c r="G4308" s="12">
        <v>0</v>
      </c>
      <c r="H4308" s="12">
        <v>0</v>
      </c>
      <c r="I4308" s="12">
        <v>0</v>
      </c>
      <c r="J4308" s="11"/>
      <c r="K4308" s="12">
        <v>0</v>
      </c>
      <c r="L4308" s="10" t="str">
        <f t="shared" si="362"/>
        <v>AE dialoghi di tempo fiducia e cura episodi 2-3-4</v>
      </c>
      <c r="M4308" s="10" t="str">
        <f t="shared" si="363"/>
        <v>nicoletta.vozza@crm.otsuka-europe.com</v>
      </c>
      <c r="N4308" s="13">
        <v>46181.338055555556</v>
      </c>
      <c r="O4308" s="14" t="str">
        <f>HYPERLINK("https://otsuka-europe-crm.veevavault.com/ui/#object/email_activity__v/V8C00000003O492", "EN-002090048")</f>
        <v>EN-002090048</v>
      </c>
    </row>
    <row r="4309" spans="1:15" ht="32" x14ac:dyDescent="0.2">
      <c r="A4309" s="7" t="str">
        <f>HYPERLINK("https://otsuka-europe-crm.veevavault.com/ui/#object/account__v/V4TZ06G6O71S9N7", "LUISA OTTONE")</f>
        <v>LUISA OTTONE</v>
      </c>
      <c r="B4309" s="7" t="str">
        <f t="shared" si="360"/>
        <v>IT</v>
      </c>
      <c r="C4309" s="8" t="s">
        <v>44</v>
      </c>
      <c r="D4309" s="9" t="str">
        <f t="shared" si="361"/>
        <v>AE dialoghi di tempo fiducia e cura episodi 2-3-4</v>
      </c>
      <c r="E4309" s="10" t="str">
        <f>HYPERLINK("https://otsuka-europe-crm.veevavault.com/ui/#object/sent_email__v/VBL00000002P570", "SE-001433240")</f>
        <v>SE-001433240</v>
      </c>
      <c r="F4309" s="11"/>
      <c r="G4309" s="12">
        <v>0</v>
      </c>
      <c r="H4309" s="12">
        <v>0</v>
      </c>
      <c r="I4309" s="12">
        <v>0</v>
      </c>
      <c r="J4309" s="11"/>
      <c r="K4309" s="12">
        <v>0</v>
      </c>
      <c r="L4309" s="10" t="str">
        <f t="shared" si="362"/>
        <v>AE dialoghi di tempo fiducia e cura episodi 2-3-4</v>
      </c>
      <c r="M4309" s="10" t="str">
        <f t="shared" si="363"/>
        <v>nicoletta.vozza@crm.otsuka-europe.com</v>
      </c>
      <c r="N4309" s="13">
        <v>46181.338113425925</v>
      </c>
      <c r="O4309" s="14" t="str">
        <f>HYPERLINK("https://otsuka-europe-crm.veevavault.com/ui/#object/email_activity__v/V8C00000003P781", "EN-002091079")</f>
        <v>EN-002091079</v>
      </c>
    </row>
    <row r="4310" spans="1:15" ht="16" x14ac:dyDescent="0.2">
      <c r="A4310" s="17" t="str">
        <f>HYPERLINK("https://otsuka-europe-crm.veevavault.com/ui/#object/account__v/V4TZ04ASG7683DZ", "LUISA RAMIERI")</f>
        <v>LUISA RAMIERI</v>
      </c>
      <c r="B4310" s="17" t="str">
        <f t="shared" si="360"/>
        <v>IT</v>
      </c>
      <c r="C4310" s="20" t="s">
        <v>44</v>
      </c>
      <c r="D4310" s="21" t="str">
        <f t="shared" si="361"/>
        <v>AE dialoghi di tempo fiducia e cura episodi 2-3-4</v>
      </c>
      <c r="E4310" s="22" t="str">
        <f>HYPERLINK("https://otsuka-europe-crm.veevavault.com/ui/#object/sent_email__v/VBL00000002P571", "SE-001433241")</f>
        <v>SE-001433241</v>
      </c>
      <c r="F4310" s="25"/>
      <c r="G4310" s="24">
        <v>0</v>
      </c>
      <c r="H4310" s="24">
        <v>0</v>
      </c>
      <c r="I4310" s="24">
        <v>0</v>
      </c>
      <c r="J4310" s="25"/>
      <c r="K4310" s="24">
        <v>0</v>
      </c>
      <c r="L4310" s="22" t="str">
        <f t="shared" si="362"/>
        <v>AE dialoghi di tempo fiducia e cura episodi 2-3-4</v>
      </c>
      <c r="M4310" s="22" t="str">
        <f t="shared" si="363"/>
        <v>nicoletta.vozza@crm.otsuka-europe.com</v>
      </c>
      <c r="N4310" s="23">
        <v>46181.338078703702</v>
      </c>
      <c r="O4310" s="14" t="str">
        <f>HYPERLINK("https://otsuka-europe-crm.veevavault.com/ui/#object/email_activity__v/V8C00000003Q113", "EN-002091178")</f>
        <v>EN-002091178</v>
      </c>
    </row>
    <row r="4311" spans="1:15" ht="16" x14ac:dyDescent="0.2">
      <c r="A4311" s="19"/>
      <c r="B4311" s="19"/>
      <c r="C4311" s="19"/>
      <c r="D4311" s="19"/>
      <c r="E4311" s="19"/>
      <c r="F4311" s="19"/>
      <c r="G4311" s="19"/>
      <c r="H4311" s="19"/>
      <c r="I4311" s="19"/>
      <c r="J4311" s="19"/>
      <c r="K4311" s="19"/>
      <c r="L4311" s="19"/>
      <c r="M4311" s="19"/>
      <c r="N4311" s="19"/>
      <c r="O4311" s="14" t="str">
        <f>HYPERLINK("https://otsuka-europe-crm.veevavault.com/ui/#object/email_activity__v/V8C00000003R014", "EN-002091738")</f>
        <v>EN-002091738</v>
      </c>
    </row>
    <row r="4312" spans="1:15" ht="32" x14ac:dyDescent="0.2">
      <c r="A4312" s="7" t="str">
        <f>HYPERLINK("https://otsuka-europe-crm.veevavault.com/ui/#object/account__v/V4TZ06G6OA5WUIX", "LUISA RUSSO")</f>
        <v>LUISA RUSSO</v>
      </c>
      <c r="B4312" s="7" t="str">
        <f>HYPERLINK("https://otsuka-europe-crm.veevavault.com/ui/#object/vcountry__v/VENZ000004SONFQ", "IT")</f>
        <v>IT</v>
      </c>
      <c r="C4312" s="8" t="s">
        <v>44</v>
      </c>
      <c r="D4312" s="9" t="str">
        <f>HYPERLINK("https://otsuka-europe-crm.veevavault.com/ui/#object/approved_document__v/V5O000000018003", "AE dialoghi di tempo fiducia e cura episodi 2-3-4")</f>
        <v>AE dialoghi di tempo fiducia e cura episodi 2-3-4</v>
      </c>
      <c r="E4312" s="10" t="str">
        <f>HYPERLINK("https://otsuka-europe-crm.veevavault.com/ui/#object/sent_email__v/VBL00000002P572", "SE-001433242")</f>
        <v>SE-001433242</v>
      </c>
      <c r="F4312" s="11"/>
      <c r="G4312" s="12">
        <v>0</v>
      </c>
      <c r="H4312" s="12">
        <v>0</v>
      </c>
      <c r="I4312" s="12">
        <v>0</v>
      </c>
      <c r="J4312" s="11"/>
      <c r="K4312" s="12">
        <v>0</v>
      </c>
      <c r="L4312" s="10" t="str">
        <f>HYPERLINK("https://otsuka-europe-crm.veevavault.com/ui/#object/approved_document__v/V5O000000018003", "AE dialoghi di tempo fiducia e cura episodi 2-3-4")</f>
        <v>AE dialoghi di tempo fiducia e cura episodi 2-3-4</v>
      </c>
      <c r="M4312" s="10" t="str">
        <f>HYPERLINK("mailto:nicoletta.vozza@crm.otsuka-europe.com", "nicoletta.vozza@crm.otsuka-europe.com")</f>
        <v>nicoletta.vozza@crm.otsuka-europe.com</v>
      </c>
      <c r="N4312" s="13">
        <v>46181.338043981479</v>
      </c>
      <c r="O4312" s="14" t="str">
        <f>HYPERLINK("https://otsuka-europe-crm.veevavault.com/ui/#object/email_activity__v/V8C00000003Q101", "EN-002091166")</f>
        <v>EN-002091166</v>
      </c>
    </row>
    <row r="4313" spans="1:15" ht="32" x14ac:dyDescent="0.2">
      <c r="A4313" s="7" t="str">
        <f>HYPERLINK("https://otsuka-europe-crm.veevavault.com/ui/#object/account__v/V4TZ06G6O71SC3X", "LUISELLA QUERELLA")</f>
        <v>LUISELLA QUERELLA</v>
      </c>
      <c r="B4313" s="7" t="str">
        <f>HYPERLINK("https://otsuka-europe-crm.veevavault.com/ui/#object/vcountry__v/VENZ000004SONFQ", "IT")</f>
        <v>IT</v>
      </c>
      <c r="C4313" s="8" t="s">
        <v>44</v>
      </c>
      <c r="D4313" s="9" t="str">
        <f>HYPERLINK("https://otsuka-europe-crm.veevavault.com/ui/#object/approved_document__v/V5O000000018003", "AE dialoghi di tempo fiducia e cura episodi 2-3-4")</f>
        <v>AE dialoghi di tempo fiducia e cura episodi 2-3-4</v>
      </c>
      <c r="E4313" s="10" t="str">
        <f>HYPERLINK("https://otsuka-europe-crm.veevavault.com/ui/#object/sent_email__v/VBL00000002P573", "SE-001433243")</f>
        <v>SE-001433243</v>
      </c>
      <c r="F4313" s="11"/>
      <c r="G4313" s="12">
        <v>0</v>
      </c>
      <c r="H4313" s="12">
        <v>0</v>
      </c>
      <c r="I4313" s="12">
        <v>0</v>
      </c>
      <c r="J4313" s="11"/>
      <c r="K4313" s="12">
        <v>0</v>
      </c>
      <c r="L4313" s="10" t="str">
        <f>HYPERLINK("https://otsuka-europe-crm.veevavault.com/ui/#object/approved_document__v/V5O000000018003", "AE dialoghi di tempo fiducia e cura episodi 2-3-4")</f>
        <v>AE dialoghi di tempo fiducia e cura episodi 2-3-4</v>
      </c>
      <c r="M4313" s="10" t="str">
        <f>HYPERLINK("mailto:nicoletta.vozza@crm.otsuka-europe.com", "nicoletta.vozza@crm.otsuka-europe.com")</f>
        <v>nicoletta.vozza@crm.otsuka-europe.com</v>
      </c>
      <c r="N4313" s="13">
        <v>46181.337997685187</v>
      </c>
      <c r="O4313" s="14" t="str">
        <f>HYPERLINK("https://otsuka-europe-crm.veevavault.com/ui/#object/email_activity__v/V8C00000003O909", "EN-002090569")</f>
        <v>EN-002090569</v>
      </c>
    </row>
    <row r="4314" spans="1:15" ht="16" x14ac:dyDescent="0.2">
      <c r="A4314" s="17" t="str">
        <f>HYPERLINK("https://otsuka-europe-crm.veevavault.com/ui/#object/account__v/V4TZ06G6O71SBD7", "LUPO MACOLINO")</f>
        <v>LUPO MACOLINO</v>
      </c>
      <c r="B4314" s="17" t="str">
        <f>HYPERLINK("https://otsuka-europe-crm.veevavault.com/ui/#object/vcountry__v/VENZ000004SONFQ", "IT")</f>
        <v>IT</v>
      </c>
      <c r="C4314" s="20" t="s">
        <v>44</v>
      </c>
      <c r="D4314" s="21" t="str">
        <f>HYPERLINK("https://otsuka-europe-crm.veevavault.com/ui/#object/approved_document__v/V5O000000018003", "AE dialoghi di tempo fiducia e cura episodi 2-3-4")</f>
        <v>AE dialoghi di tempo fiducia e cura episodi 2-3-4</v>
      </c>
      <c r="E4314" s="22" t="str">
        <f>HYPERLINK("https://otsuka-europe-crm.veevavault.com/ui/#object/sent_email__v/VBL00000002P574", "SE-001433244")</f>
        <v>SE-001433244</v>
      </c>
      <c r="F4314" s="23">
        <v>46181.643020833333</v>
      </c>
      <c r="G4314" s="24">
        <v>1</v>
      </c>
      <c r="H4314" s="24">
        <v>1</v>
      </c>
      <c r="I4314" s="24">
        <v>0</v>
      </c>
      <c r="J4314" s="25"/>
      <c r="K4314" s="24">
        <v>0</v>
      </c>
      <c r="L4314" s="22" t="str">
        <f>HYPERLINK("https://otsuka-europe-crm.veevavault.com/ui/#object/approved_document__v/V5O000000018003", "AE dialoghi di tempo fiducia e cura episodi 2-3-4")</f>
        <v>AE dialoghi di tempo fiducia e cura episodi 2-3-4</v>
      </c>
      <c r="M4314" s="22" t="str">
        <f>HYPERLINK("mailto:nicoletta.vozza@crm.otsuka-europe.com", "nicoletta.vozza@crm.otsuka-europe.com")</f>
        <v>nicoletta.vozza@crm.otsuka-europe.com</v>
      </c>
      <c r="N4314" s="23">
        <v>46181.338067129633</v>
      </c>
      <c r="O4314" s="14" t="str">
        <f>HYPERLINK("https://otsuka-europe-crm.veevavault.com/ui/#object/email_activity__v/V8C00000003P834", "EN-002091193")</f>
        <v>EN-002091193</v>
      </c>
    </row>
    <row r="4315" spans="1:15" ht="16" x14ac:dyDescent="0.2">
      <c r="A4315" s="18"/>
      <c r="B4315" s="18"/>
      <c r="C4315" s="18"/>
      <c r="D4315" s="18"/>
      <c r="E4315" s="18"/>
      <c r="F4315" s="18"/>
      <c r="G4315" s="18"/>
      <c r="H4315" s="18"/>
      <c r="I4315" s="18"/>
      <c r="J4315" s="18"/>
      <c r="K4315" s="18"/>
      <c r="L4315" s="18"/>
      <c r="M4315" s="18"/>
      <c r="N4315" s="18"/>
      <c r="O4315" s="14" t="str">
        <f>HYPERLINK("https://otsuka-europe-crm.veevavault.com/ui/#object/email_activity__v/V8C00000003P922", "EN-002091484")</f>
        <v>EN-002091484</v>
      </c>
    </row>
    <row r="4316" spans="1:15" ht="16" x14ac:dyDescent="0.2">
      <c r="A4316" s="19"/>
      <c r="B4316" s="19"/>
      <c r="C4316" s="19"/>
      <c r="D4316" s="19"/>
      <c r="E4316" s="19"/>
      <c r="F4316" s="19"/>
      <c r="G4316" s="19"/>
      <c r="H4316" s="19"/>
      <c r="I4316" s="19"/>
      <c r="J4316" s="19"/>
      <c r="K4316" s="19"/>
      <c r="L4316" s="19"/>
      <c r="M4316" s="19"/>
      <c r="N4316" s="19"/>
      <c r="O4316" s="14" t="str">
        <f>HYPERLINK("https://otsuka-europe-crm.veevavault.com/ui/#object/email_activity__v/V8C00000003R193", "EN-002092043")</f>
        <v>EN-002092043</v>
      </c>
    </row>
    <row r="4317" spans="1:15" ht="32" x14ac:dyDescent="0.2">
      <c r="A4317" s="7" t="str">
        <f>HYPERLINK("https://otsuka-europe-crm.veevavault.com/ui/#object/account__v/V4TZ025E86HJQZB", "MADDALENA ALLEGRETTA")</f>
        <v>MADDALENA ALLEGRETTA</v>
      </c>
      <c r="B4317" s="7" t="str">
        <f t="shared" ref="B4317:B4323" si="364">HYPERLINK("https://otsuka-europe-crm.veevavault.com/ui/#object/vcountry__v/VENZ000004SONFQ", "IT")</f>
        <v>IT</v>
      </c>
      <c r="C4317" s="8" t="s">
        <v>44</v>
      </c>
      <c r="D4317" s="9" t="str">
        <f t="shared" ref="D4317:D4323" si="365">HYPERLINK("https://otsuka-europe-crm.veevavault.com/ui/#object/approved_document__v/V5O000000018003", "AE dialoghi di tempo fiducia e cura episodi 2-3-4")</f>
        <v>AE dialoghi di tempo fiducia e cura episodi 2-3-4</v>
      </c>
      <c r="E4317" s="10" t="str">
        <f>HYPERLINK("https://otsuka-europe-crm.veevavault.com/ui/#object/sent_email__v/VBL00000002P575", "SE-001433245")</f>
        <v>SE-001433245</v>
      </c>
      <c r="F4317" s="11"/>
      <c r="G4317" s="12">
        <v>0</v>
      </c>
      <c r="H4317" s="12">
        <v>0</v>
      </c>
      <c r="I4317" s="12">
        <v>0</v>
      </c>
      <c r="J4317" s="11"/>
      <c r="K4317" s="12">
        <v>0</v>
      </c>
      <c r="L4317" s="10" t="str">
        <f t="shared" ref="L4317:L4323" si="366">HYPERLINK("https://otsuka-europe-crm.veevavault.com/ui/#object/approved_document__v/V5O000000018003", "AE dialoghi di tempo fiducia e cura episodi 2-3-4")</f>
        <v>AE dialoghi di tempo fiducia e cura episodi 2-3-4</v>
      </c>
      <c r="M4317" s="10" t="str">
        <f t="shared" ref="M4317:M4323" si="367">HYPERLINK("mailto:nicoletta.vozza@crm.otsuka-europe.com", "nicoletta.vozza@crm.otsuka-europe.com")</f>
        <v>nicoletta.vozza@crm.otsuka-europe.com</v>
      </c>
      <c r="N4317" s="13">
        <v>46181.33797453704</v>
      </c>
      <c r="O4317" s="14" t="str">
        <f>HYPERLINK("https://otsuka-europe-crm.veevavault.com/ui/#object/email_activity__v/V8C00000003P153", "EN-002089553")</f>
        <v>EN-002089553</v>
      </c>
    </row>
    <row r="4318" spans="1:15" ht="32" x14ac:dyDescent="0.2">
      <c r="A4318" s="7" t="str">
        <f>HYPERLINK("https://otsuka-europe-crm.veevavault.com/ui/#object/account__v/V4TZ04ASG6SZBPY", "MADDALENA LA MONTAGNA")</f>
        <v>MADDALENA LA MONTAGNA</v>
      </c>
      <c r="B4318" s="7" t="str">
        <f t="shared" si="364"/>
        <v>IT</v>
      </c>
      <c r="C4318" s="8" t="s">
        <v>44</v>
      </c>
      <c r="D4318" s="9" t="str">
        <f t="shared" si="365"/>
        <v>AE dialoghi di tempo fiducia e cura episodi 2-3-4</v>
      </c>
      <c r="E4318" s="10" t="str">
        <f>HYPERLINK("https://otsuka-europe-crm.veevavault.com/ui/#object/sent_email__v/VBL00000002P576", "SE-001433246")</f>
        <v>SE-001433246</v>
      </c>
      <c r="F4318" s="11"/>
      <c r="G4318" s="12">
        <v>0</v>
      </c>
      <c r="H4318" s="12">
        <v>0</v>
      </c>
      <c r="I4318" s="12">
        <v>0</v>
      </c>
      <c r="J4318" s="11"/>
      <c r="K4318" s="12">
        <v>0</v>
      </c>
      <c r="L4318" s="10" t="str">
        <f t="shared" si="366"/>
        <v>AE dialoghi di tempo fiducia e cura episodi 2-3-4</v>
      </c>
      <c r="M4318" s="10" t="str">
        <f t="shared" si="367"/>
        <v>nicoletta.vozza@crm.otsuka-europe.com</v>
      </c>
      <c r="N4318" s="13">
        <v>46181.33798611111</v>
      </c>
      <c r="O4318" s="14" t="str">
        <f>HYPERLINK("https://otsuka-europe-crm.veevavault.com/ui/#object/email_activity__v/V8C00000003O240", "EN-002089717")</f>
        <v>EN-002089717</v>
      </c>
    </row>
    <row r="4319" spans="1:15" ht="32" x14ac:dyDescent="0.2">
      <c r="A4319" s="7" t="str">
        <f>HYPERLINK("https://otsuka-europe-crm.veevavault.com/ui/#object/account__v/V4TZ06G6O7VSRR3", "MADDALENA LA PLACA")</f>
        <v>MADDALENA LA PLACA</v>
      </c>
      <c r="B4319" s="7" t="str">
        <f t="shared" si="364"/>
        <v>IT</v>
      </c>
      <c r="C4319" s="8" t="s">
        <v>44</v>
      </c>
      <c r="D4319" s="9" t="str">
        <f t="shared" si="365"/>
        <v>AE dialoghi di tempo fiducia e cura episodi 2-3-4</v>
      </c>
      <c r="E4319" s="10" t="str">
        <f>HYPERLINK("https://otsuka-europe-crm.veevavault.com/ui/#object/sent_email__v/VBL00000002P577", "SE-001433247")</f>
        <v>SE-001433247</v>
      </c>
      <c r="F4319" s="11"/>
      <c r="G4319" s="12">
        <v>0</v>
      </c>
      <c r="H4319" s="12">
        <v>0</v>
      </c>
      <c r="I4319" s="12">
        <v>0</v>
      </c>
      <c r="J4319" s="11"/>
      <c r="K4319" s="12">
        <v>0</v>
      </c>
      <c r="L4319" s="10" t="str">
        <f t="shared" si="366"/>
        <v>AE dialoghi di tempo fiducia e cura episodi 2-3-4</v>
      </c>
      <c r="M4319" s="10" t="str">
        <f t="shared" si="367"/>
        <v>nicoletta.vozza@crm.otsuka-europe.com</v>
      </c>
      <c r="N4319" s="13">
        <v>46181.338090277779</v>
      </c>
      <c r="O4319" s="14" t="str">
        <f>HYPERLINK("https://otsuka-europe-crm.veevavault.com/ui/#object/email_activity__v/V8C00000003O689", "EN-002090245")</f>
        <v>EN-002090245</v>
      </c>
    </row>
    <row r="4320" spans="1:15" ht="32" x14ac:dyDescent="0.2">
      <c r="A4320" s="7" t="str">
        <f>HYPERLINK("https://otsuka-europe-crm.veevavault.com/ui/#object/account__v/V4TZ06G6O71SBAZ", "MADDALENA MENOTTO")</f>
        <v>MADDALENA MENOTTO</v>
      </c>
      <c r="B4320" s="7" t="str">
        <f t="shared" si="364"/>
        <v>IT</v>
      </c>
      <c r="C4320" s="8" t="s">
        <v>44</v>
      </c>
      <c r="D4320" s="9" t="str">
        <f t="shared" si="365"/>
        <v>AE dialoghi di tempo fiducia e cura episodi 2-3-4</v>
      </c>
      <c r="E4320" s="10" t="str">
        <f>HYPERLINK("https://otsuka-europe-crm.veevavault.com/ui/#object/sent_email__v/VBL00000002P578", "SE-001433248")</f>
        <v>SE-001433248</v>
      </c>
      <c r="F4320" s="11"/>
      <c r="G4320" s="12">
        <v>0</v>
      </c>
      <c r="H4320" s="12">
        <v>0</v>
      </c>
      <c r="I4320" s="12">
        <v>0</v>
      </c>
      <c r="J4320" s="11"/>
      <c r="K4320" s="12">
        <v>0</v>
      </c>
      <c r="L4320" s="10" t="str">
        <f t="shared" si="366"/>
        <v>AE dialoghi di tempo fiducia e cura episodi 2-3-4</v>
      </c>
      <c r="M4320" s="10" t="str">
        <f t="shared" si="367"/>
        <v>nicoletta.vozza@crm.otsuka-europe.com</v>
      </c>
      <c r="N4320" s="13">
        <v>46181.33797453704</v>
      </c>
      <c r="O4320" s="14" t="str">
        <f>HYPERLINK("https://otsuka-europe-crm.veevavault.com/ui/#object/email_activity__v/V8C00000003O907", "EN-002090567")</f>
        <v>EN-002090567</v>
      </c>
    </row>
    <row r="4321" spans="1:15" ht="32" x14ac:dyDescent="0.2">
      <c r="A4321" s="7" t="str">
        <f>HYPERLINK("https://otsuka-europe-crm.veevavault.com/ui/#object/account__v/V4TZ06G6O71S9KC", "MADDALENA ROBIONY")</f>
        <v>MADDALENA ROBIONY</v>
      </c>
      <c r="B4321" s="7" t="str">
        <f t="shared" si="364"/>
        <v>IT</v>
      </c>
      <c r="C4321" s="8" t="s">
        <v>44</v>
      </c>
      <c r="D4321" s="9" t="str">
        <f t="shared" si="365"/>
        <v>AE dialoghi di tempo fiducia e cura episodi 2-3-4</v>
      </c>
      <c r="E4321" s="10" t="str">
        <f>HYPERLINK("https://otsuka-europe-crm.veevavault.com/ui/#object/sent_email__v/VBL00000002P579", "SE-001433249")</f>
        <v>SE-001433249</v>
      </c>
      <c r="F4321" s="11"/>
      <c r="G4321" s="12">
        <v>0</v>
      </c>
      <c r="H4321" s="12">
        <v>0</v>
      </c>
      <c r="I4321" s="12">
        <v>0</v>
      </c>
      <c r="J4321" s="11"/>
      <c r="K4321" s="12">
        <v>0</v>
      </c>
      <c r="L4321" s="10" t="str">
        <f t="shared" si="366"/>
        <v>AE dialoghi di tempo fiducia e cura episodi 2-3-4</v>
      </c>
      <c r="M4321" s="10" t="str">
        <f t="shared" si="367"/>
        <v>nicoletta.vozza@crm.otsuka-europe.com</v>
      </c>
      <c r="N4321" s="13">
        <v>46181.337997685187</v>
      </c>
      <c r="O4321" s="14" t="str">
        <f>HYPERLINK("https://otsuka-europe-crm.veevavault.com/ui/#object/email_activity__v/V8C00000003O284", "EN-002089761")</f>
        <v>EN-002089761</v>
      </c>
    </row>
    <row r="4322" spans="1:15" ht="32" x14ac:dyDescent="0.2">
      <c r="A4322" s="7" t="str">
        <f>HYPERLINK("https://otsuka-europe-crm.veevavault.com/ui/#object/account__v/V4TZ06G6O71SCFU", "MADDALENA SPEZIALI")</f>
        <v>MADDALENA SPEZIALI</v>
      </c>
      <c r="B4322" s="7" t="str">
        <f t="shared" si="364"/>
        <v>IT</v>
      </c>
      <c r="C4322" s="8" t="s">
        <v>44</v>
      </c>
      <c r="D4322" s="9" t="str">
        <f t="shared" si="365"/>
        <v>AE dialoghi di tempo fiducia e cura episodi 2-3-4</v>
      </c>
      <c r="E4322" s="10" t="str">
        <f>HYPERLINK("https://otsuka-europe-crm.veevavault.com/ui/#object/sent_email__v/VBL00000002P580", "SE-001433250")</f>
        <v>SE-001433250</v>
      </c>
      <c r="F4322" s="11"/>
      <c r="G4322" s="12">
        <v>0</v>
      </c>
      <c r="H4322" s="12">
        <v>0</v>
      </c>
      <c r="I4322" s="12">
        <v>0</v>
      </c>
      <c r="J4322" s="11"/>
      <c r="K4322" s="12">
        <v>0</v>
      </c>
      <c r="L4322" s="10" t="str">
        <f t="shared" si="366"/>
        <v>AE dialoghi di tempo fiducia e cura episodi 2-3-4</v>
      </c>
      <c r="M4322" s="10" t="str">
        <f t="shared" si="367"/>
        <v>nicoletta.vozza@crm.otsuka-europe.com</v>
      </c>
      <c r="N4322" s="13">
        <v>46181.338009259256</v>
      </c>
      <c r="O4322" s="14" t="str">
        <f>HYPERLINK("https://otsuka-europe-crm.veevavault.com/ui/#object/email_activity__v/V8C00000003O267", "EN-002089744")</f>
        <v>EN-002089744</v>
      </c>
    </row>
    <row r="4323" spans="1:15" ht="16" x14ac:dyDescent="0.2">
      <c r="A4323" s="17" t="str">
        <f>HYPERLINK("https://otsuka-europe-crm.veevavault.com/ui/#object/account__v/V4TZ06G6O71S9D2", "MADIA LOZUPONE")</f>
        <v>MADIA LOZUPONE</v>
      </c>
      <c r="B4323" s="17" t="str">
        <f t="shared" si="364"/>
        <v>IT</v>
      </c>
      <c r="C4323" s="20" t="s">
        <v>44</v>
      </c>
      <c r="D4323" s="21" t="str">
        <f t="shared" si="365"/>
        <v>AE dialoghi di tempo fiducia e cura episodi 2-3-4</v>
      </c>
      <c r="E4323" s="22" t="str">
        <f>HYPERLINK("https://otsuka-europe-crm.veevavault.com/ui/#object/sent_email__v/VBL00000002P581", "SE-001433251")</f>
        <v>SE-001433251</v>
      </c>
      <c r="F4323" s="25"/>
      <c r="G4323" s="24">
        <v>0</v>
      </c>
      <c r="H4323" s="24">
        <v>0</v>
      </c>
      <c r="I4323" s="24">
        <v>0</v>
      </c>
      <c r="J4323" s="25"/>
      <c r="K4323" s="24">
        <v>0</v>
      </c>
      <c r="L4323" s="22" t="str">
        <f t="shared" si="366"/>
        <v>AE dialoghi di tempo fiducia e cura episodi 2-3-4</v>
      </c>
      <c r="M4323" s="22" t="str">
        <f t="shared" si="367"/>
        <v>nicoletta.vozza@crm.otsuka-europe.com</v>
      </c>
      <c r="N4323" s="23">
        <v>46181.338043981479</v>
      </c>
      <c r="O4323" s="14" t="str">
        <f>HYPERLINK("https://otsuka-europe-crm.veevavault.com/ui/#object/email_activity__v/V8C00000003P359", "EN-002090365")</f>
        <v>EN-002090365</v>
      </c>
    </row>
    <row r="4324" spans="1:15" ht="16" x14ac:dyDescent="0.2">
      <c r="A4324" s="19"/>
      <c r="B4324" s="19"/>
      <c r="C4324" s="19"/>
      <c r="D4324" s="19"/>
      <c r="E4324" s="19"/>
      <c r="F4324" s="19"/>
      <c r="G4324" s="19"/>
      <c r="H4324" s="19"/>
      <c r="I4324" s="19"/>
      <c r="J4324" s="19"/>
      <c r="K4324" s="19"/>
      <c r="L4324" s="19"/>
      <c r="M4324" s="19"/>
      <c r="N4324" s="19"/>
      <c r="O4324" s="14" t="str">
        <f>HYPERLINK("https://otsuka-europe-crm.veevavault.com/ui/#object/email_activity__v/V8C00000003P954", "EN-002091574")</f>
        <v>EN-002091574</v>
      </c>
    </row>
    <row r="4325" spans="1:15" ht="32" x14ac:dyDescent="0.2">
      <c r="A4325" s="7" t="str">
        <f>HYPERLINK("https://otsuka-europe-crm.veevavault.com/ui/#object/account__v/V4TZ06G6O71S9ZW", "MAIDA BELLUATI")</f>
        <v>MAIDA BELLUATI</v>
      </c>
      <c r="B4325" s="7" t="str">
        <f>HYPERLINK("https://otsuka-europe-crm.veevavault.com/ui/#object/vcountry__v/VENZ000004SONFQ", "IT")</f>
        <v>IT</v>
      </c>
      <c r="C4325" s="8" t="s">
        <v>44</v>
      </c>
      <c r="D4325" s="9" t="str">
        <f>HYPERLINK("https://otsuka-europe-crm.veevavault.com/ui/#object/approved_document__v/V5O000000018003", "AE dialoghi di tempo fiducia e cura episodi 2-3-4")</f>
        <v>AE dialoghi di tempo fiducia e cura episodi 2-3-4</v>
      </c>
      <c r="E4325" s="10" t="str">
        <f>HYPERLINK("https://otsuka-europe-crm.veevavault.com/ui/#object/sent_email__v/VBL00000002P582", "SE-001433252")</f>
        <v>SE-001433252</v>
      </c>
      <c r="F4325" s="11"/>
      <c r="G4325" s="12">
        <v>0</v>
      </c>
      <c r="H4325" s="12">
        <v>0</v>
      </c>
      <c r="I4325" s="12">
        <v>0</v>
      </c>
      <c r="J4325" s="11"/>
      <c r="K4325" s="12">
        <v>0</v>
      </c>
      <c r="L4325" s="10" t="str">
        <f>HYPERLINK("https://otsuka-europe-crm.veevavault.com/ui/#object/approved_document__v/V5O000000018003", "AE dialoghi di tempo fiducia e cura episodi 2-3-4")</f>
        <v>AE dialoghi di tempo fiducia e cura episodi 2-3-4</v>
      </c>
      <c r="M4325" s="10" t="str">
        <f>HYPERLINK("mailto:nicoletta.vozza@crm.otsuka-europe.com", "nicoletta.vozza@crm.otsuka-europe.com")</f>
        <v>nicoletta.vozza@crm.otsuka-europe.com</v>
      </c>
      <c r="N4325" s="13">
        <v>46181.338043981479</v>
      </c>
      <c r="O4325" s="14" t="str">
        <f>HYPERLINK("https://otsuka-europe-crm.veevavault.com/ui/#object/email_activity__v/V8C00000003P233", "EN-002089679")</f>
        <v>EN-002089679</v>
      </c>
    </row>
    <row r="4326" spans="1:15" ht="16" x14ac:dyDescent="0.2">
      <c r="A4326" s="17" t="str">
        <f>HYPERLINK("https://otsuka-europe-crm.veevavault.com/ui/#object/account__v/V4TZ06G6O71SCF3", "MALISE EMANUELA RAFFAELLA SMIRNE")</f>
        <v>MALISE EMANUELA RAFFAELLA SMIRNE</v>
      </c>
      <c r="B4326" s="17" t="str">
        <f>HYPERLINK("https://otsuka-europe-crm.veevavault.com/ui/#object/vcountry__v/VENZ000004SONFQ", "IT")</f>
        <v>IT</v>
      </c>
      <c r="C4326" s="20" t="s">
        <v>44</v>
      </c>
      <c r="D4326" s="21" t="str">
        <f>HYPERLINK("https://otsuka-europe-crm.veevavault.com/ui/#object/approved_document__v/V5O000000018003", "AE dialoghi di tempo fiducia e cura episodi 2-3-4")</f>
        <v>AE dialoghi di tempo fiducia e cura episodi 2-3-4</v>
      </c>
      <c r="E4326" s="22" t="str">
        <f>HYPERLINK("https://otsuka-europe-crm.veevavault.com/ui/#object/sent_email__v/VBL00000002P583", "SE-001433253")</f>
        <v>SE-001433253</v>
      </c>
      <c r="F4326" s="23">
        <v>46182.312280092592</v>
      </c>
      <c r="G4326" s="24">
        <v>1</v>
      </c>
      <c r="H4326" s="24">
        <v>1</v>
      </c>
      <c r="I4326" s="24">
        <v>0</v>
      </c>
      <c r="J4326" s="25"/>
      <c r="K4326" s="24">
        <v>0</v>
      </c>
      <c r="L4326" s="22" t="str">
        <f>HYPERLINK("https://otsuka-europe-crm.veevavault.com/ui/#object/approved_document__v/V5O000000018003", "AE dialoghi di tempo fiducia e cura episodi 2-3-4")</f>
        <v>AE dialoghi di tempo fiducia e cura episodi 2-3-4</v>
      </c>
      <c r="M4326" s="22" t="str">
        <f>HYPERLINK("mailto:nicoletta.vozza@crm.otsuka-europe.com", "nicoletta.vozza@crm.otsuka-europe.com")</f>
        <v>nicoletta.vozza@crm.otsuka-europe.com</v>
      </c>
      <c r="N4326" s="23">
        <v>46181.33797453704</v>
      </c>
      <c r="O4326" s="14" t="str">
        <f>HYPERLINK("https://otsuka-europe-crm.veevavault.com/ui/#object/email_activity__v/V8C00000003O769", "EN-002090429")</f>
        <v>EN-002090429</v>
      </c>
    </row>
    <row r="4327" spans="1:15" ht="16" x14ac:dyDescent="0.2">
      <c r="A4327" s="19"/>
      <c r="B4327" s="19"/>
      <c r="C4327" s="19"/>
      <c r="D4327" s="19"/>
      <c r="E4327" s="19"/>
      <c r="F4327" s="19"/>
      <c r="G4327" s="19"/>
      <c r="H4327" s="19"/>
      <c r="I4327" s="19"/>
      <c r="J4327" s="19"/>
      <c r="K4327" s="19"/>
      <c r="L4327" s="19"/>
      <c r="M4327" s="19"/>
      <c r="N4327" s="19"/>
      <c r="O4327" s="14" t="str">
        <f>HYPERLINK("https://otsuka-europe-crm.veevavault.com/ui/#object/email_activity__v/V8C00000003R340", "EN-002092326")</f>
        <v>EN-002092326</v>
      </c>
    </row>
    <row r="4328" spans="1:15" ht="32" x14ac:dyDescent="0.2">
      <c r="A4328" s="7" t="str">
        <f>HYPERLINK("https://otsuka-europe-crm.veevavault.com/ui/#object/account__v/V4TZ06G6O71SB5C", "MANLIO CONVERTI")</f>
        <v>MANLIO CONVERTI</v>
      </c>
      <c r="B4328" s="7" t="str">
        <f t="shared" ref="B4328:B4339" si="368">HYPERLINK("https://otsuka-europe-crm.veevavault.com/ui/#object/vcountry__v/VENZ000004SONFQ", "IT")</f>
        <v>IT</v>
      </c>
      <c r="C4328" s="8" t="s">
        <v>44</v>
      </c>
      <c r="D4328" s="9" t="str">
        <f t="shared" ref="D4328:D4339" si="369">HYPERLINK("https://otsuka-europe-crm.veevavault.com/ui/#object/approved_document__v/V5O000000018003", "AE dialoghi di tempo fiducia e cura episodi 2-3-4")</f>
        <v>AE dialoghi di tempo fiducia e cura episodi 2-3-4</v>
      </c>
      <c r="E4328" s="10" t="str">
        <f>HYPERLINK("https://otsuka-europe-crm.veevavault.com/ui/#object/sent_email__v/VBL00000002P584", "SE-001433254")</f>
        <v>SE-001433254</v>
      </c>
      <c r="F4328" s="11"/>
      <c r="G4328" s="12">
        <v>0</v>
      </c>
      <c r="H4328" s="12">
        <v>0</v>
      </c>
      <c r="I4328" s="12">
        <v>0</v>
      </c>
      <c r="J4328" s="11"/>
      <c r="K4328" s="12">
        <v>0</v>
      </c>
      <c r="L4328" s="10" t="str">
        <f t="shared" ref="L4328:L4339" si="370">HYPERLINK("https://otsuka-europe-crm.veevavault.com/ui/#object/approved_document__v/V5O000000018003", "AE dialoghi di tempo fiducia e cura episodi 2-3-4")</f>
        <v>AE dialoghi di tempo fiducia e cura episodi 2-3-4</v>
      </c>
      <c r="M4328" s="10" t="str">
        <f t="shared" ref="M4328:M4339" si="371">HYPERLINK("mailto:nicoletta.vozza@crm.otsuka-europe.com", "nicoletta.vozza@crm.otsuka-europe.com")</f>
        <v>nicoletta.vozza@crm.otsuka-europe.com</v>
      </c>
      <c r="N4328" s="13">
        <v>46181.337962962964</v>
      </c>
      <c r="O4328" s="14" t="str">
        <f>HYPERLINK("https://otsuka-europe-crm.veevavault.com/ui/#object/email_activity__v/V8C00000003O298", "EN-002089775")</f>
        <v>EN-002089775</v>
      </c>
    </row>
    <row r="4329" spans="1:15" ht="32" x14ac:dyDescent="0.2">
      <c r="A4329" s="7" t="str">
        <f>HYPERLINK("https://otsuka-europe-crm.veevavault.com/ui/#object/account__v/V4TZ06G6O71SBJ3", "MANLIO MATRANGA")</f>
        <v>MANLIO MATRANGA</v>
      </c>
      <c r="B4329" s="7" t="str">
        <f t="shared" si="368"/>
        <v>IT</v>
      </c>
      <c r="C4329" s="8" t="s">
        <v>44</v>
      </c>
      <c r="D4329" s="9" t="str">
        <f t="shared" si="369"/>
        <v>AE dialoghi di tempo fiducia e cura episodi 2-3-4</v>
      </c>
      <c r="E4329" s="10" t="str">
        <f>HYPERLINK("https://otsuka-europe-crm.veevavault.com/ui/#object/sent_email__v/VBL00000002P585", "SE-001433255")</f>
        <v>SE-001433255</v>
      </c>
      <c r="F4329" s="11"/>
      <c r="G4329" s="12">
        <v>0</v>
      </c>
      <c r="H4329" s="12">
        <v>0</v>
      </c>
      <c r="I4329" s="12">
        <v>0</v>
      </c>
      <c r="J4329" s="11"/>
      <c r="K4329" s="12">
        <v>0</v>
      </c>
      <c r="L4329" s="10" t="str">
        <f t="shared" si="370"/>
        <v>AE dialoghi di tempo fiducia e cura episodi 2-3-4</v>
      </c>
      <c r="M4329" s="10" t="str">
        <f t="shared" si="371"/>
        <v>nicoletta.vozza@crm.otsuka-europe.com</v>
      </c>
      <c r="N4329" s="13">
        <v>46181.338101851848</v>
      </c>
      <c r="O4329" s="14" t="str">
        <f>HYPERLINK("https://otsuka-europe-crm.veevavault.com/ui/#object/email_activity__v/V8C00000003P545", "EN-002090800")</f>
        <v>EN-002090800</v>
      </c>
    </row>
    <row r="4330" spans="1:15" ht="32" x14ac:dyDescent="0.2">
      <c r="A4330" s="7" t="str">
        <f>HYPERLINK("https://otsuka-europe-crm.veevavault.com/ui/#object/account__v/V4TZ06G6O71SAPF", "MANUELA GUARNERI")</f>
        <v>MANUELA GUARNERI</v>
      </c>
      <c r="B4330" s="7" t="str">
        <f t="shared" si="368"/>
        <v>IT</v>
      </c>
      <c r="C4330" s="8" t="s">
        <v>44</v>
      </c>
      <c r="D4330" s="9" t="str">
        <f t="shared" si="369"/>
        <v>AE dialoghi di tempo fiducia e cura episodi 2-3-4</v>
      </c>
      <c r="E4330" s="10" t="str">
        <f>HYPERLINK("https://otsuka-europe-crm.veevavault.com/ui/#object/sent_email__v/VBL00000002P586", "SE-001433256")</f>
        <v>SE-001433256</v>
      </c>
      <c r="F4330" s="11"/>
      <c r="G4330" s="12">
        <v>0</v>
      </c>
      <c r="H4330" s="12">
        <v>0</v>
      </c>
      <c r="I4330" s="12">
        <v>0</v>
      </c>
      <c r="J4330" s="11"/>
      <c r="K4330" s="12">
        <v>0</v>
      </c>
      <c r="L4330" s="10" t="str">
        <f t="shared" si="370"/>
        <v>AE dialoghi di tempo fiducia e cura episodi 2-3-4</v>
      </c>
      <c r="M4330" s="10" t="str">
        <f t="shared" si="371"/>
        <v>nicoletta.vozza@crm.otsuka-europe.com</v>
      </c>
      <c r="N4330" s="13">
        <v>46181.337997685187</v>
      </c>
      <c r="O4330" s="14" t="str">
        <f>HYPERLINK("https://otsuka-europe-crm.veevavault.com/ui/#object/email_activity__v/V8C00000003P657", "EN-002090912")</f>
        <v>EN-002090912</v>
      </c>
    </row>
    <row r="4331" spans="1:15" ht="32" x14ac:dyDescent="0.2">
      <c r="A4331" s="7" t="str">
        <f>HYPERLINK("https://otsuka-europe-crm.veevavault.com/ui/#object/account__v/V4TZ025E88SHHSB", "MANUELA MANCINI")</f>
        <v>MANUELA MANCINI</v>
      </c>
      <c r="B4331" s="7" t="str">
        <f t="shared" si="368"/>
        <v>IT</v>
      </c>
      <c r="C4331" s="8" t="s">
        <v>44</v>
      </c>
      <c r="D4331" s="9" t="str">
        <f t="shared" si="369"/>
        <v>AE dialoghi di tempo fiducia e cura episodi 2-3-4</v>
      </c>
      <c r="E4331" s="10" t="str">
        <f>HYPERLINK("https://otsuka-europe-crm.veevavault.com/ui/#object/sent_email__v/VBL00000002P587", "SE-001433257")</f>
        <v>SE-001433257</v>
      </c>
      <c r="F4331" s="11"/>
      <c r="G4331" s="12">
        <v>0</v>
      </c>
      <c r="H4331" s="12">
        <v>0</v>
      </c>
      <c r="I4331" s="12">
        <v>0</v>
      </c>
      <c r="J4331" s="11"/>
      <c r="K4331" s="12">
        <v>0</v>
      </c>
      <c r="L4331" s="10" t="str">
        <f t="shared" si="370"/>
        <v>AE dialoghi di tempo fiducia e cura episodi 2-3-4</v>
      </c>
      <c r="M4331" s="10" t="str">
        <f t="shared" si="371"/>
        <v>nicoletta.vozza@crm.otsuka-europe.com</v>
      </c>
      <c r="N4331" s="13">
        <v>46181.338055555556</v>
      </c>
      <c r="O4331" s="14" t="str">
        <f>HYPERLINK("https://otsuka-europe-crm.veevavault.com/ui/#object/email_activity__v/V8C00000003P498", "EN-002090712")</f>
        <v>EN-002090712</v>
      </c>
    </row>
    <row r="4332" spans="1:15" ht="32" x14ac:dyDescent="0.2">
      <c r="A4332" s="7" t="str">
        <f>HYPERLINK("https://otsuka-europe-crm.veevavault.com/ui/#object/account__v/V4TZ04ASG9BFSH2", "MANUELA TREVISI")</f>
        <v>MANUELA TREVISI</v>
      </c>
      <c r="B4332" s="7" t="str">
        <f t="shared" si="368"/>
        <v>IT</v>
      </c>
      <c r="C4332" s="8" t="s">
        <v>44</v>
      </c>
      <c r="D4332" s="9" t="str">
        <f t="shared" si="369"/>
        <v>AE dialoghi di tempo fiducia e cura episodi 2-3-4</v>
      </c>
      <c r="E4332" s="10" t="str">
        <f>HYPERLINK("https://otsuka-europe-crm.veevavault.com/ui/#object/sent_email__v/VBL00000002P588", "SE-001433258")</f>
        <v>SE-001433258</v>
      </c>
      <c r="F4332" s="11"/>
      <c r="G4332" s="12">
        <v>0</v>
      </c>
      <c r="H4332" s="12">
        <v>0</v>
      </c>
      <c r="I4332" s="12">
        <v>0</v>
      </c>
      <c r="J4332" s="11"/>
      <c r="K4332" s="12">
        <v>0</v>
      </c>
      <c r="L4332" s="10" t="str">
        <f t="shared" si="370"/>
        <v>AE dialoghi di tempo fiducia e cura episodi 2-3-4</v>
      </c>
      <c r="M4332" s="10" t="str">
        <f t="shared" si="371"/>
        <v>nicoletta.vozza@crm.otsuka-europe.com</v>
      </c>
      <c r="N4332" s="13">
        <v>46181.338101851848</v>
      </c>
      <c r="O4332" s="14" t="str">
        <f>HYPERLINK("https://otsuka-europe-crm.veevavault.com/ui/#object/email_activity__v/V8C00000003Q139", "EN-002091222")</f>
        <v>EN-002091222</v>
      </c>
    </row>
    <row r="4333" spans="1:15" ht="32" x14ac:dyDescent="0.2">
      <c r="A4333" s="7" t="str">
        <f>HYPERLINK("https://otsuka-europe-crm.veevavault.com/ui/#object/account__v/V4TZ06G6ODNO14A", "MARA GARBI")</f>
        <v>MARA GARBI</v>
      </c>
      <c r="B4333" s="7" t="str">
        <f t="shared" si="368"/>
        <v>IT</v>
      </c>
      <c r="C4333" s="8" t="s">
        <v>44</v>
      </c>
      <c r="D4333" s="9" t="str">
        <f t="shared" si="369"/>
        <v>AE dialoghi di tempo fiducia e cura episodi 2-3-4</v>
      </c>
      <c r="E4333" s="10" t="str">
        <f>HYPERLINK("https://otsuka-europe-crm.veevavault.com/ui/#object/sent_email__v/VBL00000002P589", "SE-001433259")</f>
        <v>SE-001433259</v>
      </c>
      <c r="F4333" s="11"/>
      <c r="G4333" s="12">
        <v>0</v>
      </c>
      <c r="H4333" s="12">
        <v>0</v>
      </c>
      <c r="I4333" s="12">
        <v>0</v>
      </c>
      <c r="J4333" s="11"/>
      <c r="K4333" s="12">
        <v>0</v>
      </c>
      <c r="L4333" s="10" t="str">
        <f t="shared" si="370"/>
        <v>AE dialoghi di tempo fiducia e cura episodi 2-3-4</v>
      </c>
      <c r="M4333" s="10" t="str">
        <f t="shared" si="371"/>
        <v>nicoletta.vozza@crm.otsuka-europe.com</v>
      </c>
      <c r="N4333" s="13">
        <v>46181.337951388887</v>
      </c>
      <c r="O4333" s="14" t="str">
        <f>HYPERLINK("https://otsuka-europe-crm.veevavault.com/ui/#object/email_activity__v/V8C00000003O404", "EN-002089960")</f>
        <v>EN-002089960</v>
      </c>
    </row>
    <row r="4334" spans="1:15" ht="32" x14ac:dyDescent="0.2">
      <c r="A4334" s="7" t="str">
        <f>HYPERLINK("https://otsuka-europe-crm.veevavault.com/ui/#object/account__v/V4TZ06G6O71SAKC", "MARCELLA FAGIOLI")</f>
        <v>MARCELLA FAGIOLI</v>
      </c>
      <c r="B4334" s="7" t="str">
        <f t="shared" si="368"/>
        <v>IT</v>
      </c>
      <c r="C4334" s="8" t="s">
        <v>44</v>
      </c>
      <c r="D4334" s="9" t="str">
        <f t="shared" si="369"/>
        <v>AE dialoghi di tempo fiducia e cura episodi 2-3-4</v>
      </c>
      <c r="E4334" s="10" t="str">
        <f>HYPERLINK("https://otsuka-europe-crm.veevavault.com/ui/#object/sent_email__v/VBL00000002P590", "SE-001433260")</f>
        <v>SE-001433260</v>
      </c>
      <c r="F4334" s="11"/>
      <c r="G4334" s="12">
        <v>0</v>
      </c>
      <c r="H4334" s="12">
        <v>0</v>
      </c>
      <c r="I4334" s="12">
        <v>0</v>
      </c>
      <c r="J4334" s="11"/>
      <c r="K4334" s="12">
        <v>0</v>
      </c>
      <c r="L4334" s="10" t="str">
        <f t="shared" si="370"/>
        <v>AE dialoghi di tempo fiducia e cura episodi 2-3-4</v>
      </c>
      <c r="M4334" s="10" t="str">
        <f t="shared" si="371"/>
        <v>nicoletta.vozza@crm.otsuka-europe.com</v>
      </c>
      <c r="N4334" s="13">
        <v>46181.338020833333</v>
      </c>
      <c r="O4334" s="14" t="str">
        <f>HYPERLINK("https://otsuka-europe-crm.veevavault.com/ui/#object/email_activity__v/V8C00000003P732", "EN-002091030")</f>
        <v>EN-002091030</v>
      </c>
    </row>
    <row r="4335" spans="1:15" ht="32" x14ac:dyDescent="0.2">
      <c r="A4335" s="7" t="str">
        <f>HYPERLINK("https://otsuka-europe-crm.veevavault.com/ui/#object/account__v/V4TZ04ASG8F3U5O", "MARCELLO MACARIO")</f>
        <v>MARCELLO MACARIO</v>
      </c>
      <c r="B4335" s="7" t="str">
        <f t="shared" si="368"/>
        <v>IT</v>
      </c>
      <c r="C4335" s="8" t="s">
        <v>44</v>
      </c>
      <c r="D4335" s="9" t="str">
        <f t="shared" si="369"/>
        <v>AE dialoghi di tempo fiducia e cura episodi 2-3-4</v>
      </c>
      <c r="E4335" s="10" t="str">
        <f>HYPERLINK("https://otsuka-europe-crm.veevavault.com/ui/#object/sent_email__v/VBL00000002P591", "SE-001433261")</f>
        <v>SE-001433261</v>
      </c>
      <c r="F4335" s="11"/>
      <c r="G4335" s="12">
        <v>0</v>
      </c>
      <c r="H4335" s="12">
        <v>0</v>
      </c>
      <c r="I4335" s="12">
        <v>0</v>
      </c>
      <c r="J4335" s="11"/>
      <c r="K4335" s="12">
        <v>0</v>
      </c>
      <c r="L4335" s="10" t="str">
        <f t="shared" si="370"/>
        <v>AE dialoghi di tempo fiducia e cura episodi 2-3-4</v>
      </c>
      <c r="M4335" s="10" t="str">
        <f t="shared" si="371"/>
        <v>nicoletta.vozza@crm.otsuka-europe.com</v>
      </c>
      <c r="N4335" s="13">
        <v>46181.33797453704</v>
      </c>
      <c r="O4335" s="14" t="str">
        <f>HYPERLINK("https://otsuka-europe-crm.veevavault.com/ui/#object/email_activity__v/V8C00000003O776", "EN-002090436")</f>
        <v>EN-002090436</v>
      </c>
    </row>
    <row r="4336" spans="1:15" ht="32" x14ac:dyDescent="0.2">
      <c r="A4336" s="7" t="str">
        <f>HYPERLINK("https://otsuka-europe-crm.veevavault.com/ui/#object/account__v/V4TZ06G6O71SABK", "MARCO ANDREA DEMARTINI")</f>
        <v>MARCO ANDREA DEMARTINI</v>
      </c>
      <c r="B4336" s="7" t="str">
        <f t="shared" si="368"/>
        <v>IT</v>
      </c>
      <c r="C4336" s="8" t="s">
        <v>44</v>
      </c>
      <c r="D4336" s="9" t="str">
        <f t="shared" si="369"/>
        <v>AE dialoghi di tempo fiducia e cura episodi 2-3-4</v>
      </c>
      <c r="E4336" s="10" t="str">
        <f>HYPERLINK("https://otsuka-europe-crm.veevavault.com/ui/#object/sent_email__v/VBL00000002P592", "SE-001433262")</f>
        <v>SE-001433262</v>
      </c>
      <c r="F4336" s="11"/>
      <c r="G4336" s="12">
        <v>0</v>
      </c>
      <c r="H4336" s="12">
        <v>0</v>
      </c>
      <c r="I4336" s="12">
        <v>0</v>
      </c>
      <c r="J4336" s="11"/>
      <c r="K4336" s="12">
        <v>0</v>
      </c>
      <c r="L4336" s="10" t="str">
        <f t="shared" si="370"/>
        <v>AE dialoghi di tempo fiducia e cura episodi 2-3-4</v>
      </c>
      <c r="M4336" s="10" t="str">
        <f t="shared" si="371"/>
        <v>nicoletta.vozza@crm.otsuka-europe.com</v>
      </c>
      <c r="N4336" s="13">
        <v>46181.337997685187</v>
      </c>
      <c r="O4336" s="14" t="str">
        <f>HYPERLINK("https://otsuka-europe-crm.veevavault.com/ui/#object/email_activity__v/V8C00000003Q084", "EN-002091149")</f>
        <v>EN-002091149</v>
      </c>
    </row>
    <row r="4337" spans="1:15" ht="32" x14ac:dyDescent="0.2">
      <c r="A4337" s="7" t="str">
        <f>HYPERLINK("https://otsuka-europe-crm.veevavault.com/ui/#object/account__v/V4TZ06G6O71SA3G", "MARCO BARBARO")</f>
        <v>MARCO BARBARO</v>
      </c>
      <c r="B4337" s="7" t="str">
        <f t="shared" si="368"/>
        <v>IT</v>
      </c>
      <c r="C4337" s="8" t="s">
        <v>44</v>
      </c>
      <c r="D4337" s="9" t="str">
        <f t="shared" si="369"/>
        <v>AE dialoghi di tempo fiducia e cura episodi 2-3-4</v>
      </c>
      <c r="E4337" s="10" t="str">
        <f>HYPERLINK("https://otsuka-europe-crm.veevavault.com/ui/#object/sent_email__v/VBL00000002P593", "SE-001433263")</f>
        <v>SE-001433263</v>
      </c>
      <c r="F4337" s="11"/>
      <c r="G4337" s="12">
        <v>0</v>
      </c>
      <c r="H4337" s="12">
        <v>0</v>
      </c>
      <c r="I4337" s="12">
        <v>0</v>
      </c>
      <c r="J4337" s="11"/>
      <c r="K4337" s="12">
        <v>0</v>
      </c>
      <c r="L4337" s="10" t="str">
        <f t="shared" si="370"/>
        <v>AE dialoghi di tempo fiducia e cura episodi 2-3-4</v>
      </c>
      <c r="M4337" s="10" t="str">
        <f t="shared" si="371"/>
        <v>nicoletta.vozza@crm.otsuka-europe.com</v>
      </c>
      <c r="N4337" s="13">
        <v>46181.33798611111</v>
      </c>
      <c r="O4337" s="14" t="str">
        <f>HYPERLINK("https://otsuka-europe-crm.veevavault.com/ui/#object/email_activity__v/V8C00000003O869", "EN-002090472")</f>
        <v>EN-002090472</v>
      </c>
    </row>
    <row r="4338" spans="1:15" ht="32" x14ac:dyDescent="0.2">
      <c r="A4338" s="7" t="str">
        <f>HYPERLINK("https://otsuka-europe-crm.veevavault.com/ui/#object/account__v/V4TZ06G6O71SA6T", "MARCO BRANDONI")</f>
        <v>MARCO BRANDONI</v>
      </c>
      <c r="B4338" s="7" t="str">
        <f t="shared" si="368"/>
        <v>IT</v>
      </c>
      <c r="C4338" s="8" t="s">
        <v>44</v>
      </c>
      <c r="D4338" s="9" t="str">
        <f t="shared" si="369"/>
        <v>AE dialoghi di tempo fiducia e cura episodi 2-3-4</v>
      </c>
      <c r="E4338" s="10" t="str">
        <f>HYPERLINK("https://otsuka-europe-crm.veevavault.com/ui/#object/sent_email__v/VBL00000002P594", "SE-001433264")</f>
        <v>SE-001433264</v>
      </c>
      <c r="F4338" s="11"/>
      <c r="G4338" s="12">
        <v>0</v>
      </c>
      <c r="H4338" s="12">
        <v>0</v>
      </c>
      <c r="I4338" s="12">
        <v>0</v>
      </c>
      <c r="J4338" s="11"/>
      <c r="K4338" s="12">
        <v>0</v>
      </c>
      <c r="L4338" s="10" t="str">
        <f t="shared" si="370"/>
        <v>AE dialoghi di tempo fiducia e cura episodi 2-3-4</v>
      </c>
      <c r="M4338" s="10" t="str">
        <f t="shared" si="371"/>
        <v>nicoletta.vozza@crm.otsuka-europe.com</v>
      </c>
      <c r="N4338" s="13">
        <v>46181.33797453704</v>
      </c>
      <c r="O4338" s="14" t="str">
        <f>HYPERLINK("https://otsuka-europe-crm.veevavault.com/ui/#object/email_activity__v/V8C00000003P180", "EN-002089580")</f>
        <v>EN-002089580</v>
      </c>
    </row>
    <row r="4339" spans="1:15" ht="16" x14ac:dyDescent="0.2">
      <c r="A4339" s="17" t="str">
        <f>HYPERLINK("https://otsuka-europe-crm.veevavault.com/ui/#object/account__v/V4TZ06G6O71SAXG", "MARCO CAFISO")</f>
        <v>MARCO CAFISO</v>
      </c>
      <c r="B4339" s="17" t="str">
        <f t="shared" si="368"/>
        <v>IT</v>
      </c>
      <c r="C4339" s="20" t="s">
        <v>44</v>
      </c>
      <c r="D4339" s="21" t="str">
        <f t="shared" si="369"/>
        <v>AE dialoghi di tempo fiducia e cura episodi 2-3-4</v>
      </c>
      <c r="E4339" s="22" t="str">
        <f>HYPERLINK("https://otsuka-europe-crm.veevavault.com/ui/#object/sent_email__v/VBL00000002P595", "SE-001433265")</f>
        <v>SE-001433265</v>
      </c>
      <c r="F4339" s="23">
        <v>46181.339930555558</v>
      </c>
      <c r="G4339" s="24">
        <v>1</v>
      </c>
      <c r="H4339" s="24">
        <v>1</v>
      </c>
      <c r="I4339" s="24">
        <v>0</v>
      </c>
      <c r="J4339" s="25"/>
      <c r="K4339" s="24">
        <v>0</v>
      </c>
      <c r="L4339" s="22" t="str">
        <f t="shared" si="370"/>
        <v>AE dialoghi di tempo fiducia e cura episodi 2-3-4</v>
      </c>
      <c r="M4339" s="22" t="str">
        <f t="shared" si="371"/>
        <v>nicoletta.vozza@crm.otsuka-europe.com</v>
      </c>
      <c r="N4339" s="23">
        <v>46181.338043981479</v>
      </c>
      <c r="O4339" s="14" t="str">
        <f>HYPERLINK("https://otsuka-europe-crm.veevavault.com/ui/#object/email_activity__v/V8C00000003P631", "EN-002090886")</f>
        <v>EN-002090886</v>
      </c>
    </row>
    <row r="4340" spans="1:15" ht="16" x14ac:dyDescent="0.2">
      <c r="A4340" s="19"/>
      <c r="B4340" s="19"/>
      <c r="C4340" s="19"/>
      <c r="D4340" s="19"/>
      <c r="E4340" s="19"/>
      <c r="F4340" s="19"/>
      <c r="G4340" s="19"/>
      <c r="H4340" s="19"/>
      <c r="I4340" s="19"/>
      <c r="J4340" s="19"/>
      <c r="K4340" s="19"/>
      <c r="L4340" s="19"/>
      <c r="M4340" s="19"/>
      <c r="N4340" s="19"/>
      <c r="O4340" s="14" t="str">
        <f>HYPERLINK("https://otsuka-europe-crm.veevavault.com/ui/#object/email_activity__v/V8C00000003P885", "EN-002091408")</f>
        <v>EN-002091408</v>
      </c>
    </row>
    <row r="4341" spans="1:15" ht="32" x14ac:dyDescent="0.2">
      <c r="A4341" s="7" t="str">
        <f>HYPERLINK("https://otsuka-europe-crm.veevavault.com/ui/#object/account__v/V4TZ06G6O71SAYH", "MARCO CAMMARANO")</f>
        <v>MARCO CAMMARANO</v>
      </c>
      <c r="B4341" s="7" t="str">
        <f t="shared" ref="B4341:B4352" si="372">HYPERLINK("https://otsuka-europe-crm.veevavault.com/ui/#object/vcountry__v/VENZ000004SONFQ", "IT")</f>
        <v>IT</v>
      </c>
      <c r="C4341" s="8" t="s">
        <v>44</v>
      </c>
      <c r="D4341" s="9" t="str">
        <f t="shared" ref="D4341:D4352" si="373">HYPERLINK("https://otsuka-europe-crm.veevavault.com/ui/#object/approved_document__v/V5O000000018003", "AE dialoghi di tempo fiducia e cura episodi 2-3-4")</f>
        <v>AE dialoghi di tempo fiducia e cura episodi 2-3-4</v>
      </c>
      <c r="E4341" s="10" t="str">
        <f>HYPERLINK("https://otsuka-europe-crm.veevavault.com/ui/#object/sent_email__v/VBL00000002P596", "SE-001433266")</f>
        <v>SE-001433266</v>
      </c>
      <c r="F4341" s="11"/>
      <c r="G4341" s="12">
        <v>0</v>
      </c>
      <c r="H4341" s="12">
        <v>0</v>
      </c>
      <c r="I4341" s="12">
        <v>0</v>
      </c>
      <c r="J4341" s="11"/>
      <c r="K4341" s="12">
        <v>0</v>
      </c>
      <c r="L4341" s="10" t="str">
        <f t="shared" ref="L4341:L4352" si="374">HYPERLINK("https://otsuka-europe-crm.veevavault.com/ui/#object/approved_document__v/V5O000000018003", "AE dialoghi di tempo fiducia e cura episodi 2-3-4")</f>
        <v>AE dialoghi di tempo fiducia e cura episodi 2-3-4</v>
      </c>
      <c r="M4341" s="10" t="str">
        <f t="shared" ref="M4341:M4352" si="375">HYPERLINK("mailto:nicoletta.vozza@crm.otsuka-europe.com", "nicoletta.vozza@crm.otsuka-europe.com")</f>
        <v>nicoletta.vozza@crm.otsuka-europe.com</v>
      </c>
      <c r="N4341" s="13">
        <v>46181.338009259256</v>
      </c>
      <c r="O4341" s="14" t="str">
        <f>HYPERLINK("https://otsuka-europe-crm.veevavault.com/ui/#object/email_activity__v/V8C00000003O612", "EN-002090168")</f>
        <v>EN-002090168</v>
      </c>
    </row>
    <row r="4342" spans="1:15" ht="32" x14ac:dyDescent="0.2">
      <c r="A4342" s="7" t="str">
        <f>HYPERLINK("https://otsuka-europe-crm.veevavault.com/ui/#object/account__v/V4TZ04ASGEXGOQL", "MARCO CENSORI")</f>
        <v>MARCO CENSORI</v>
      </c>
      <c r="B4342" s="7" t="str">
        <f t="shared" si="372"/>
        <v>IT</v>
      </c>
      <c r="C4342" s="8" t="s">
        <v>44</v>
      </c>
      <c r="D4342" s="9" t="str">
        <f t="shared" si="373"/>
        <v>AE dialoghi di tempo fiducia e cura episodi 2-3-4</v>
      </c>
      <c r="E4342" s="10" t="str">
        <f>HYPERLINK("https://otsuka-europe-crm.veevavault.com/ui/#object/sent_email__v/VBL00000002P597", "SE-001433267")</f>
        <v>SE-001433267</v>
      </c>
      <c r="F4342" s="11"/>
      <c r="G4342" s="12">
        <v>0</v>
      </c>
      <c r="H4342" s="12">
        <v>0</v>
      </c>
      <c r="I4342" s="12">
        <v>0</v>
      </c>
      <c r="J4342" s="11"/>
      <c r="K4342" s="12">
        <v>0</v>
      </c>
      <c r="L4342" s="10" t="str">
        <f t="shared" si="374"/>
        <v>AE dialoghi di tempo fiducia e cura episodi 2-3-4</v>
      </c>
      <c r="M4342" s="10" t="str">
        <f t="shared" si="375"/>
        <v>nicoletta.vozza@crm.otsuka-europe.com</v>
      </c>
      <c r="N4342" s="13">
        <v>46181.33797453704</v>
      </c>
      <c r="O4342" s="14" t="str">
        <f>HYPERLINK("https://otsuka-europe-crm.veevavault.com/ui/#object/email_activity__v/V8C00000003O661", "EN-002090217")</f>
        <v>EN-002090217</v>
      </c>
    </row>
    <row r="4343" spans="1:15" ht="32" x14ac:dyDescent="0.2">
      <c r="A4343" s="7" t="str">
        <f>HYPERLINK("https://otsuka-europe-crm.veevavault.com/ui/#object/account__v/V4TZ025E87N6WF5", "MARCO CHIAPPONI")</f>
        <v>MARCO CHIAPPONI</v>
      </c>
      <c r="B4343" s="7" t="str">
        <f t="shared" si="372"/>
        <v>IT</v>
      </c>
      <c r="C4343" s="8" t="s">
        <v>44</v>
      </c>
      <c r="D4343" s="9" t="str">
        <f t="shared" si="373"/>
        <v>AE dialoghi di tempo fiducia e cura episodi 2-3-4</v>
      </c>
      <c r="E4343" s="10" t="str">
        <f>HYPERLINK("https://otsuka-europe-crm.veevavault.com/ui/#object/sent_email__v/VBL00000002P598", "SE-001433268")</f>
        <v>SE-001433268</v>
      </c>
      <c r="F4343" s="11"/>
      <c r="G4343" s="12">
        <v>0</v>
      </c>
      <c r="H4343" s="12">
        <v>0</v>
      </c>
      <c r="I4343" s="12">
        <v>0</v>
      </c>
      <c r="J4343" s="11"/>
      <c r="K4343" s="12">
        <v>0</v>
      </c>
      <c r="L4343" s="10" t="str">
        <f t="shared" si="374"/>
        <v>AE dialoghi di tempo fiducia e cura episodi 2-3-4</v>
      </c>
      <c r="M4343" s="10" t="str">
        <f t="shared" si="375"/>
        <v>nicoletta.vozza@crm.otsuka-europe.com</v>
      </c>
      <c r="N4343" s="13">
        <v>46181.338020833333</v>
      </c>
      <c r="O4343" s="14" t="str">
        <f>HYPERLINK("https://otsuka-europe-crm.veevavault.com/ui/#object/email_activity__v/V8C00000003Q083", "EN-002091148")</f>
        <v>EN-002091148</v>
      </c>
    </row>
    <row r="4344" spans="1:15" ht="32" x14ac:dyDescent="0.2">
      <c r="A4344" s="7" t="str">
        <f>HYPERLINK("https://otsuka-europe-crm.veevavault.com/ui/#object/account__v/V4TZ06G6O71SABF", "MARCO DE MURTAS")</f>
        <v>MARCO DE MURTAS</v>
      </c>
      <c r="B4344" s="7" t="str">
        <f t="shared" si="372"/>
        <v>IT</v>
      </c>
      <c r="C4344" s="8" t="s">
        <v>44</v>
      </c>
      <c r="D4344" s="9" t="str">
        <f t="shared" si="373"/>
        <v>AE dialoghi di tempo fiducia e cura episodi 2-3-4</v>
      </c>
      <c r="E4344" s="10" t="str">
        <f>HYPERLINK("https://otsuka-europe-crm.veevavault.com/ui/#object/sent_email__v/VBL00000002P599", "SE-001433269")</f>
        <v>SE-001433269</v>
      </c>
      <c r="F4344" s="11"/>
      <c r="G4344" s="12">
        <v>0</v>
      </c>
      <c r="H4344" s="12">
        <v>0</v>
      </c>
      <c r="I4344" s="12">
        <v>0</v>
      </c>
      <c r="J4344" s="11"/>
      <c r="K4344" s="12">
        <v>0</v>
      </c>
      <c r="L4344" s="10" t="str">
        <f t="shared" si="374"/>
        <v>AE dialoghi di tempo fiducia e cura episodi 2-3-4</v>
      </c>
      <c r="M4344" s="10" t="str">
        <f t="shared" si="375"/>
        <v>nicoletta.vozza@crm.otsuka-europe.com</v>
      </c>
      <c r="N4344" s="13">
        <v>46181.33798611111</v>
      </c>
      <c r="O4344" s="14" t="str">
        <f>HYPERLINK("https://otsuka-europe-crm.veevavault.com/ui/#object/email_activity__v/V8C00000003O223", "EN-002089700")</f>
        <v>EN-002089700</v>
      </c>
    </row>
    <row r="4345" spans="1:15" ht="32" x14ac:dyDescent="0.2">
      <c r="A4345" s="7" t="str">
        <f>HYPERLINK("https://otsuka-europe-crm.veevavault.com/ui/#object/account__v/V4TZ06G6O71SAGN", "MARCO DI NICOLA")</f>
        <v>MARCO DI NICOLA</v>
      </c>
      <c r="B4345" s="7" t="str">
        <f t="shared" si="372"/>
        <v>IT</v>
      </c>
      <c r="C4345" s="8" t="s">
        <v>44</v>
      </c>
      <c r="D4345" s="9" t="str">
        <f t="shared" si="373"/>
        <v>AE dialoghi di tempo fiducia e cura episodi 2-3-4</v>
      </c>
      <c r="E4345" s="10" t="str">
        <f>HYPERLINK("https://otsuka-europe-crm.veevavault.com/ui/#object/sent_email__v/VBL00000002P600", "SE-001433270")</f>
        <v>SE-001433270</v>
      </c>
      <c r="F4345" s="11"/>
      <c r="G4345" s="12">
        <v>0</v>
      </c>
      <c r="H4345" s="12">
        <v>0</v>
      </c>
      <c r="I4345" s="12">
        <v>0</v>
      </c>
      <c r="J4345" s="11"/>
      <c r="K4345" s="12">
        <v>0</v>
      </c>
      <c r="L4345" s="10" t="str">
        <f t="shared" si="374"/>
        <v>AE dialoghi di tempo fiducia e cura episodi 2-3-4</v>
      </c>
      <c r="M4345" s="10" t="str">
        <f t="shared" si="375"/>
        <v>nicoletta.vozza@crm.otsuka-europe.com</v>
      </c>
      <c r="N4345" s="13">
        <v>46181.337962962964</v>
      </c>
      <c r="O4345" s="14" t="str">
        <f>HYPERLINK("https://otsuka-europe-crm.veevavault.com/ui/#object/email_activity__v/V8C00000003O188", "EN-002089625")</f>
        <v>EN-002089625</v>
      </c>
    </row>
    <row r="4346" spans="1:15" ht="32" x14ac:dyDescent="0.2">
      <c r="A4346" s="7" t="str">
        <f>HYPERLINK("https://otsuka-europe-crm.veevavault.com/ui/#object/account__v/V4TZ04ASG8F5DP3", "MARCO FORTINI")</f>
        <v>MARCO FORTINI</v>
      </c>
      <c r="B4346" s="7" t="str">
        <f t="shared" si="372"/>
        <v>IT</v>
      </c>
      <c r="C4346" s="8" t="s">
        <v>44</v>
      </c>
      <c r="D4346" s="9" t="str">
        <f t="shared" si="373"/>
        <v>AE dialoghi di tempo fiducia e cura episodi 2-3-4</v>
      </c>
      <c r="E4346" s="10" t="str">
        <f>HYPERLINK("https://otsuka-europe-crm.veevavault.com/ui/#object/sent_email__v/VBL00000002P601", "SE-001433271")</f>
        <v>SE-001433271</v>
      </c>
      <c r="F4346" s="11"/>
      <c r="G4346" s="12">
        <v>0</v>
      </c>
      <c r="H4346" s="12">
        <v>0</v>
      </c>
      <c r="I4346" s="12">
        <v>0</v>
      </c>
      <c r="J4346" s="11"/>
      <c r="K4346" s="12">
        <v>0</v>
      </c>
      <c r="L4346" s="10" t="str">
        <f t="shared" si="374"/>
        <v>AE dialoghi di tempo fiducia e cura episodi 2-3-4</v>
      </c>
      <c r="M4346" s="10" t="str">
        <f t="shared" si="375"/>
        <v>nicoletta.vozza@crm.otsuka-europe.com</v>
      </c>
      <c r="N4346" s="13">
        <v>46181.338020833333</v>
      </c>
      <c r="O4346" s="14" t="str">
        <f>HYPERLINK("https://otsuka-europe-crm.veevavault.com/ui/#object/email_activity__v/V8C00000003Q199", "EN-002091304")</f>
        <v>EN-002091304</v>
      </c>
    </row>
    <row r="4347" spans="1:15" ht="32" x14ac:dyDescent="0.2">
      <c r="A4347" s="7" t="str">
        <f>HYPERLINK("https://otsuka-europe-crm.veevavault.com/ui/#object/account__v/V4TZ025E83HGJ6K", "MARCO GAZZOLA")</f>
        <v>MARCO GAZZOLA</v>
      </c>
      <c r="B4347" s="7" t="str">
        <f t="shared" si="372"/>
        <v>IT</v>
      </c>
      <c r="C4347" s="8" t="s">
        <v>44</v>
      </c>
      <c r="D4347" s="9" t="str">
        <f t="shared" si="373"/>
        <v>AE dialoghi di tempo fiducia e cura episodi 2-3-4</v>
      </c>
      <c r="E4347" s="10" t="str">
        <f>HYPERLINK("https://otsuka-europe-crm.veevavault.com/ui/#object/sent_email__v/VBL00000002P602", "SE-001433272")</f>
        <v>SE-001433272</v>
      </c>
      <c r="F4347" s="11"/>
      <c r="G4347" s="12">
        <v>0</v>
      </c>
      <c r="H4347" s="12">
        <v>0</v>
      </c>
      <c r="I4347" s="12">
        <v>0</v>
      </c>
      <c r="J4347" s="11"/>
      <c r="K4347" s="12">
        <v>0</v>
      </c>
      <c r="L4347" s="10" t="str">
        <f t="shared" si="374"/>
        <v>AE dialoghi di tempo fiducia e cura episodi 2-3-4</v>
      </c>
      <c r="M4347" s="10" t="str">
        <f t="shared" si="375"/>
        <v>nicoletta.vozza@crm.otsuka-europe.com</v>
      </c>
      <c r="N4347" s="13">
        <v>46181.33797453704</v>
      </c>
      <c r="O4347" s="14" t="str">
        <f>HYPERLINK("https://otsuka-europe-crm.veevavault.com/ui/#object/email_activity__v/V8C00000003P423", "EN-002090675")</f>
        <v>EN-002090675</v>
      </c>
    </row>
    <row r="4348" spans="1:15" ht="32" x14ac:dyDescent="0.2">
      <c r="A4348" s="7" t="str">
        <f>HYPERLINK("https://otsuka-europe-crm.veevavault.com/ui/#object/account__v/V4TZ06G6O71SB3E", "MARCO GIANSANTI")</f>
        <v>MARCO GIANSANTI</v>
      </c>
      <c r="B4348" s="7" t="str">
        <f t="shared" si="372"/>
        <v>IT</v>
      </c>
      <c r="C4348" s="8" t="s">
        <v>44</v>
      </c>
      <c r="D4348" s="9" t="str">
        <f t="shared" si="373"/>
        <v>AE dialoghi di tempo fiducia e cura episodi 2-3-4</v>
      </c>
      <c r="E4348" s="10" t="str">
        <f>HYPERLINK("https://otsuka-europe-crm.veevavault.com/ui/#object/sent_email__v/VBL00000002P603", "SE-001433273")</f>
        <v>SE-001433273</v>
      </c>
      <c r="F4348" s="11"/>
      <c r="G4348" s="12">
        <v>0</v>
      </c>
      <c r="H4348" s="12">
        <v>0</v>
      </c>
      <c r="I4348" s="12">
        <v>0</v>
      </c>
      <c r="J4348" s="11"/>
      <c r="K4348" s="12">
        <v>0</v>
      </c>
      <c r="L4348" s="10" t="str">
        <f t="shared" si="374"/>
        <v>AE dialoghi di tempo fiducia e cura episodi 2-3-4</v>
      </c>
      <c r="M4348" s="10" t="str">
        <f t="shared" si="375"/>
        <v>nicoletta.vozza@crm.otsuka-europe.com</v>
      </c>
      <c r="N4348" s="13">
        <v>46181.338020833333</v>
      </c>
      <c r="O4348" s="14" t="str">
        <f>HYPERLINK("https://otsuka-europe-crm.veevavault.com/ui/#object/email_activity__v/V8C00000003O755", "EN-002090311")</f>
        <v>EN-002090311</v>
      </c>
    </row>
    <row r="4349" spans="1:15" ht="32" x14ac:dyDescent="0.2">
      <c r="A4349" s="7" t="str">
        <f>HYPERLINK("https://otsuka-europe-crm.veevavault.com/ui/#object/account__v/V4TZ025E87AJL2B", "MARCO GIUSEPPE ALBERTO NOBILI")</f>
        <v>MARCO GIUSEPPE ALBERTO NOBILI</v>
      </c>
      <c r="B4349" s="7" t="str">
        <f t="shared" si="372"/>
        <v>IT</v>
      </c>
      <c r="C4349" s="8" t="s">
        <v>44</v>
      </c>
      <c r="D4349" s="9" t="str">
        <f t="shared" si="373"/>
        <v>AE dialoghi di tempo fiducia e cura episodi 2-3-4</v>
      </c>
      <c r="E4349" s="10" t="str">
        <f>HYPERLINK("https://otsuka-europe-crm.veevavault.com/ui/#object/sent_email__v/VBL00000002P604", "SE-001433274")</f>
        <v>SE-001433274</v>
      </c>
      <c r="F4349" s="11"/>
      <c r="G4349" s="12">
        <v>0</v>
      </c>
      <c r="H4349" s="12">
        <v>0</v>
      </c>
      <c r="I4349" s="12">
        <v>0</v>
      </c>
      <c r="J4349" s="11"/>
      <c r="K4349" s="12">
        <v>0</v>
      </c>
      <c r="L4349" s="10" t="str">
        <f t="shared" si="374"/>
        <v>AE dialoghi di tempo fiducia e cura episodi 2-3-4</v>
      </c>
      <c r="M4349" s="10" t="str">
        <f t="shared" si="375"/>
        <v>nicoletta.vozza@crm.otsuka-europe.com</v>
      </c>
      <c r="N4349" s="13">
        <v>46181.338090277779</v>
      </c>
      <c r="O4349" s="14" t="str">
        <f>HYPERLINK("https://otsuka-europe-crm.veevavault.com/ui/#object/email_activity__v/V8C00000003Q065", "EN-002091130")</f>
        <v>EN-002091130</v>
      </c>
    </row>
    <row r="4350" spans="1:15" ht="32" x14ac:dyDescent="0.2">
      <c r="A4350" s="7" t="str">
        <f>HYPERLINK("https://otsuka-europe-crm.veevavault.com/ui/#object/account__v/V4TZ025E85STHZ9", "MARCO GIUSEPPE RAVEL")</f>
        <v>MARCO GIUSEPPE RAVEL</v>
      </c>
      <c r="B4350" s="7" t="str">
        <f t="shared" si="372"/>
        <v>IT</v>
      </c>
      <c r="C4350" s="8" t="s">
        <v>44</v>
      </c>
      <c r="D4350" s="9" t="str">
        <f t="shared" si="373"/>
        <v>AE dialoghi di tempo fiducia e cura episodi 2-3-4</v>
      </c>
      <c r="E4350" s="10" t="str">
        <f>HYPERLINK("https://otsuka-europe-crm.veevavault.com/ui/#object/sent_email__v/VBL00000002P605", "SE-001433275")</f>
        <v>SE-001433275</v>
      </c>
      <c r="F4350" s="11"/>
      <c r="G4350" s="12">
        <v>0</v>
      </c>
      <c r="H4350" s="12">
        <v>0</v>
      </c>
      <c r="I4350" s="12">
        <v>0</v>
      </c>
      <c r="J4350" s="11"/>
      <c r="K4350" s="12">
        <v>0</v>
      </c>
      <c r="L4350" s="10" t="str">
        <f t="shared" si="374"/>
        <v>AE dialoghi di tempo fiducia e cura episodi 2-3-4</v>
      </c>
      <c r="M4350" s="10" t="str">
        <f t="shared" si="375"/>
        <v>nicoletta.vozza@crm.otsuka-europe.com</v>
      </c>
      <c r="N4350" s="13">
        <v>46181.337951388887</v>
      </c>
      <c r="O4350" s="14" t="str">
        <f>HYPERLINK("https://otsuka-europe-crm.veevavault.com/ui/#object/email_activity__v/V8C00000003O503", "EN-002090059")</f>
        <v>EN-002090059</v>
      </c>
    </row>
    <row r="4351" spans="1:15" ht="32" x14ac:dyDescent="0.2">
      <c r="A4351" s="7" t="str">
        <f>HYPERLINK("https://otsuka-europe-crm.veevavault.com/ui/#object/account__v/V4TZ06G6O71SAQI", "MARCO GORINI")</f>
        <v>MARCO GORINI</v>
      </c>
      <c r="B4351" s="7" t="str">
        <f t="shared" si="372"/>
        <v>IT</v>
      </c>
      <c r="C4351" s="8" t="s">
        <v>44</v>
      </c>
      <c r="D4351" s="9" t="str">
        <f t="shared" si="373"/>
        <v>AE dialoghi di tempo fiducia e cura episodi 2-3-4</v>
      </c>
      <c r="E4351" s="10" t="str">
        <f>HYPERLINK("https://otsuka-europe-crm.veevavault.com/ui/#object/sent_email__v/VBL00000002P606", "SE-001433276")</f>
        <v>SE-001433276</v>
      </c>
      <c r="F4351" s="11"/>
      <c r="G4351" s="12">
        <v>0</v>
      </c>
      <c r="H4351" s="12">
        <v>0</v>
      </c>
      <c r="I4351" s="12">
        <v>0</v>
      </c>
      <c r="J4351" s="11"/>
      <c r="K4351" s="12">
        <v>0</v>
      </c>
      <c r="L4351" s="10" t="str">
        <f t="shared" si="374"/>
        <v>AE dialoghi di tempo fiducia e cura episodi 2-3-4</v>
      </c>
      <c r="M4351" s="10" t="str">
        <f t="shared" si="375"/>
        <v>nicoletta.vozza@crm.otsuka-europe.com</v>
      </c>
      <c r="N4351" s="13">
        <v>46181.338090277779</v>
      </c>
      <c r="O4351" s="14" t="str">
        <f>HYPERLINK("https://otsuka-europe-crm.veevavault.com/ui/#object/email_activity__v/V8C00000003O796", "EN-002090456")</f>
        <v>EN-002090456</v>
      </c>
    </row>
    <row r="4352" spans="1:15" ht="16" x14ac:dyDescent="0.2">
      <c r="A4352" s="17" t="str">
        <f>HYPERLINK("https://otsuka-europe-crm.veevavault.com/ui/#object/account__v/V4TZ06G6O71S9EB", "MARCO GRAFFINO")</f>
        <v>MARCO GRAFFINO</v>
      </c>
      <c r="B4352" s="17" t="str">
        <f t="shared" si="372"/>
        <v>IT</v>
      </c>
      <c r="C4352" s="20" t="s">
        <v>44</v>
      </c>
      <c r="D4352" s="21" t="str">
        <f t="shared" si="373"/>
        <v>AE dialoghi di tempo fiducia e cura episodi 2-3-4</v>
      </c>
      <c r="E4352" s="22" t="str">
        <f>HYPERLINK("https://otsuka-europe-crm.veevavault.com/ui/#object/sent_email__v/VBL00000002P607", "SE-001433277")</f>
        <v>SE-001433277</v>
      </c>
      <c r="F4352" s="23">
        <v>46181.478807870371</v>
      </c>
      <c r="G4352" s="24">
        <v>1</v>
      </c>
      <c r="H4352" s="24">
        <v>2</v>
      </c>
      <c r="I4352" s="24">
        <v>0</v>
      </c>
      <c r="J4352" s="25"/>
      <c r="K4352" s="24">
        <v>0</v>
      </c>
      <c r="L4352" s="22" t="str">
        <f t="shared" si="374"/>
        <v>AE dialoghi di tempo fiducia e cura episodi 2-3-4</v>
      </c>
      <c r="M4352" s="22" t="str">
        <f t="shared" si="375"/>
        <v>nicoletta.vozza@crm.otsuka-europe.com</v>
      </c>
      <c r="N4352" s="23">
        <v>46181.33797453704</v>
      </c>
      <c r="O4352" s="14" t="str">
        <f>HYPERLINK("https://otsuka-europe-crm.veevavault.com/ui/#object/email_activity__v/V8C00000003O559", "EN-002090115")</f>
        <v>EN-002090115</v>
      </c>
    </row>
    <row r="4353" spans="1:15" ht="16" x14ac:dyDescent="0.2">
      <c r="A4353" s="18"/>
      <c r="B4353" s="18"/>
      <c r="C4353" s="18"/>
      <c r="D4353" s="18"/>
      <c r="E4353" s="18"/>
      <c r="F4353" s="18"/>
      <c r="G4353" s="18"/>
      <c r="H4353" s="18"/>
      <c r="I4353" s="18"/>
      <c r="J4353" s="18"/>
      <c r="K4353" s="18"/>
      <c r="L4353" s="18"/>
      <c r="M4353" s="18"/>
      <c r="N4353" s="18"/>
      <c r="O4353" s="14" t="str">
        <f>HYPERLINK("https://otsuka-europe-crm.veevavault.com/ui/#object/email_activity__v/V8C00000003Q546", "EN-002091900")</f>
        <v>EN-002091900</v>
      </c>
    </row>
    <row r="4354" spans="1:15" ht="16" x14ac:dyDescent="0.2">
      <c r="A4354" s="19"/>
      <c r="B4354" s="19"/>
      <c r="C4354" s="19"/>
      <c r="D4354" s="19"/>
      <c r="E4354" s="19"/>
      <c r="F4354" s="19"/>
      <c r="G4354" s="19"/>
      <c r="H4354" s="19"/>
      <c r="I4354" s="19"/>
      <c r="J4354" s="19"/>
      <c r="K4354" s="19"/>
      <c r="L4354" s="19"/>
      <c r="M4354" s="19"/>
      <c r="N4354" s="19"/>
      <c r="O4354" s="14" t="str">
        <f>HYPERLINK("https://otsuka-europe-crm.veevavault.com/ui/#object/email_activity__v/V8C00000003R117", "EN-002091901")</f>
        <v>EN-002091901</v>
      </c>
    </row>
    <row r="4355" spans="1:15" ht="16" x14ac:dyDescent="0.2">
      <c r="A4355" s="17" t="str">
        <f>HYPERLINK("https://otsuka-europe-crm.veevavault.com/ui/#object/account__v/V4TZ025E84884DM", "MARCO LAZZAROTTO MURATORI")</f>
        <v>MARCO LAZZAROTTO MURATORI</v>
      </c>
      <c r="B4355" s="17" t="str">
        <f>HYPERLINK("https://otsuka-europe-crm.veevavault.com/ui/#object/vcountry__v/VENZ000004SONFQ", "IT")</f>
        <v>IT</v>
      </c>
      <c r="C4355" s="20" t="s">
        <v>44</v>
      </c>
      <c r="D4355" s="21" t="str">
        <f>HYPERLINK("https://otsuka-europe-crm.veevavault.com/ui/#object/approved_document__v/V5O000000018003", "AE dialoghi di tempo fiducia e cura episodi 2-3-4")</f>
        <v>AE dialoghi di tempo fiducia e cura episodi 2-3-4</v>
      </c>
      <c r="E4355" s="22" t="str">
        <f>HYPERLINK("https://otsuka-europe-crm.veevavault.com/ui/#object/sent_email__v/VBL00000002P608", "SE-001433278")</f>
        <v>SE-001433278</v>
      </c>
      <c r="F4355" s="25"/>
      <c r="G4355" s="24">
        <v>0</v>
      </c>
      <c r="H4355" s="24">
        <v>0</v>
      </c>
      <c r="I4355" s="24">
        <v>0</v>
      </c>
      <c r="J4355" s="25"/>
      <c r="K4355" s="24">
        <v>0</v>
      </c>
      <c r="L4355" s="22" t="str">
        <f>HYPERLINK("https://otsuka-europe-crm.veevavault.com/ui/#object/approved_document__v/V5O000000018003", "AE dialoghi di tempo fiducia e cura episodi 2-3-4")</f>
        <v>AE dialoghi di tempo fiducia e cura episodi 2-3-4</v>
      </c>
      <c r="M4355" s="22" t="str">
        <f>HYPERLINK("mailto:nicoletta.vozza@crm.otsuka-europe.com", "nicoletta.vozza@crm.otsuka-europe.com")</f>
        <v>nicoletta.vozza@crm.otsuka-europe.com</v>
      </c>
      <c r="N4355" s="23">
        <v>46181.337951388887</v>
      </c>
      <c r="O4355" s="14" t="str">
        <f>HYPERLINK("https://otsuka-europe-crm.veevavault.com/ui/#object/email_activity__v/V8C00000003O162", "EN-002089599")</f>
        <v>EN-002089599</v>
      </c>
    </row>
    <row r="4356" spans="1:15" ht="16" x14ac:dyDescent="0.2">
      <c r="A4356" s="19"/>
      <c r="B4356" s="19"/>
      <c r="C4356" s="19"/>
      <c r="D4356" s="19"/>
      <c r="E4356" s="19"/>
      <c r="F4356" s="19"/>
      <c r="G4356" s="19"/>
      <c r="H4356" s="19"/>
      <c r="I4356" s="19"/>
      <c r="J4356" s="19"/>
      <c r="K4356" s="19"/>
      <c r="L4356" s="19"/>
      <c r="M4356" s="19"/>
      <c r="N4356" s="19"/>
      <c r="O4356" s="14" t="str">
        <f>HYPERLINK("https://otsuka-europe-crm.veevavault.com/ui/#object/email_activity__v/V8C00000003Q503", "EN-002091821")</f>
        <v>EN-002091821</v>
      </c>
    </row>
    <row r="4357" spans="1:15" ht="32" x14ac:dyDescent="0.2">
      <c r="A4357" s="7" t="str">
        <f>HYPERLINK("https://otsuka-europe-crm.veevavault.com/ui/#object/account__v/V4TZ04ASGFQ7ASI", "MARCO MAGAGNOLI")</f>
        <v>MARCO MAGAGNOLI</v>
      </c>
      <c r="B4357" s="7" t="str">
        <f>HYPERLINK("https://otsuka-europe-crm.veevavault.com/ui/#object/vcountry__v/VENZ000004SONFQ", "IT")</f>
        <v>IT</v>
      </c>
      <c r="C4357" s="8" t="s">
        <v>44</v>
      </c>
      <c r="D4357" s="9" t="str">
        <f>HYPERLINK("https://otsuka-europe-crm.veevavault.com/ui/#object/approved_document__v/V5O000000018003", "AE dialoghi di tempo fiducia e cura episodi 2-3-4")</f>
        <v>AE dialoghi di tempo fiducia e cura episodi 2-3-4</v>
      </c>
      <c r="E4357" s="10" t="str">
        <f>HYPERLINK("https://otsuka-europe-crm.veevavault.com/ui/#object/sent_email__v/VBL00000002P609", "SE-001433279")</f>
        <v>SE-001433279</v>
      </c>
      <c r="F4357" s="11"/>
      <c r="G4357" s="12">
        <v>0</v>
      </c>
      <c r="H4357" s="12">
        <v>0</v>
      </c>
      <c r="I4357" s="12">
        <v>0</v>
      </c>
      <c r="J4357" s="11"/>
      <c r="K4357" s="12">
        <v>0</v>
      </c>
      <c r="L4357" s="10" t="str">
        <f>HYPERLINK("https://otsuka-europe-crm.veevavault.com/ui/#object/approved_document__v/V5O000000018003", "AE dialoghi di tempo fiducia e cura episodi 2-3-4")</f>
        <v>AE dialoghi di tempo fiducia e cura episodi 2-3-4</v>
      </c>
      <c r="M4357" s="10" t="str">
        <f>HYPERLINK("mailto:nicoletta.vozza@crm.otsuka-europe.com", "nicoletta.vozza@crm.otsuka-europe.com")</f>
        <v>nicoletta.vozza@crm.otsuka-europe.com</v>
      </c>
      <c r="N4357" s="13">
        <v>46181.337939814817</v>
      </c>
      <c r="O4357" s="14" t="str">
        <f>HYPERLINK("https://otsuka-europe-crm.veevavault.com/ui/#object/email_activity__v/V8C00000003O147", "EN-002089529")</f>
        <v>EN-002089529</v>
      </c>
    </row>
    <row r="4358" spans="1:15" ht="32" x14ac:dyDescent="0.2">
      <c r="A4358" s="7" t="str">
        <f>HYPERLINK("https://otsuka-europe-crm.veevavault.com/ui/#object/account__v/V4TZ06G6O71SBBZ", "MARCO MENCHETTI")</f>
        <v>MARCO MENCHETTI</v>
      </c>
      <c r="B4358" s="7" t="str">
        <f>HYPERLINK("https://otsuka-europe-crm.veevavault.com/ui/#object/vcountry__v/VENZ000004SONFQ", "IT")</f>
        <v>IT</v>
      </c>
      <c r="C4358" s="8" t="s">
        <v>44</v>
      </c>
      <c r="D4358" s="9" t="str">
        <f>HYPERLINK("https://otsuka-europe-crm.veevavault.com/ui/#object/approved_document__v/V5O000000018003", "AE dialoghi di tempo fiducia e cura episodi 2-3-4")</f>
        <v>AE dialoghi di tempo fiducia e cura episodi 2-3-4</v>
      </c>
      <c r="E4358" s="10" t="str">
        <f>HYPERLINK("https://otsuka-europe-crm.veevavault.com/ui/#object/sent_email__v/VBL00000002P610", "SE-001433280")</f>
        <v>SE-001433280</v>
      </c>
      <c r="F4358" s="11"/>
      <c r="G4358" s="12">
        <v>0</v>
      </c>
      <c r="H4358" s="12">
        <v>0</v>
      </c>
      <c r="I4358" s="12">
        <v>0</v>
      </c>
      <c r="J4358" s="11"/>
      <c r="K4358" s="12">
        <v>0</v>
      </c>
      <c r="L4358" s="10" t="str">
        <f>HYPERLINK("https://otsuka-europe-crm.veevavault.com/ui/#object/approved_document__v/V5O000000018003", "AE dialoghi di tempo fiducia e cura episodi 2-3-4")</f>
        <v>AE dialoghi di tempo fiducia e cura episodi 2-3-4</v>
      </c>
      <c r="M4358" s="10" t="str">
        <f>HYPERLINK("mailto:nicoletta.vozza@crm.otsuka-europe.com", "nicoletta.vozza@crm.otsuka-europe.com")</f>
        <v>nicoletta.vozza@crm.otsuka-europe.com</v>
      </c>
      <c r="N4358" s="13">
        <v>46181.338090277779</v>
      </c>
      <c r="O4358" s="14" t="str">
        <f>HYPERLINK("https://otsuka-europe-crm.veevavault.com/ui/#object/email_activity__v/V8C00000003O687", "EN-002090243")</f>
        <v>EN-002090243</v>
      </c>
    </row>
    <row r="4359" spans="1:15" ht="16" x14ac:dyDescent="0.2">
      <c r="A4359" s="17" t="str">
        <f>HYPERLINK("https://otsuka-europe-crm.veevavault.com/ui/#object/account__v/V4TZ06G6O71S9I5", "MARCO MESSINA")</f>
        <v>MARCO MESSINA</v>
      </c>
      <c r="B4359" s="17" t="str">
        <f>HYPERLINK("https://otsuka-europe-crm.veevavault.com/ui/#object/vcountry__v/VENZ000004SONFQ", "IT")</f>
        <v>IT</v>
      </c>
      <c r="C4359" s="20" t="s">
        <v>44</v>
      </c>
      <c r="D4359" s="21" t="str">
        <f>HYPERLINK("https://otsuka-europe-crm.veevavault.com/ui/#object/approved_document__v/V5O000000018003", "AE dialoghi di tempo fiducia e cura episodi 2-3-4")</f>
        <v>AE dialoghi di tempo fiducia e cura episodi 2-3-4</v>
      </c>
      <c r="E4359" s="22" t="str">
        <f>HYPERLINK("https://otsuka-europe-crm.veevavault.com/ui/#object/sent_email__v/VBL00000002P611", "SE-001433281")</f>
        <v>SE-001433281</v>
      </c>
      <c r="F4359" s="23">
        <v>46181.633321759262</v>
      </c>
      <c r="G4359" s="24">
        <v>1</v>
      </c>
      <c r="H4359" s="24">
        <v>1</v>
      </c>
      <c r="I4359" s="24">
        <v>0</v>
      </c>
      <c r="J4359" s="25"/>
      <c r="K4359" s="24">
        <v>0</v>
      </c>
      <c r="L4359" s="22" t="str">
        <f>HYPERLINK("https://otsuka-europe-crm.veevavault.com/ui/#object/approved_document__v/V5O000000018003", "AE dialoghi di tempo fiducia e cura episodi 2-3-4")</f>
        <v>AE dialoghi di tempo fiducia e cura episodi 2-3-4</v>
      </c>
      <c r="M4359" s="22" t="str">
        <f>HYPERLINK("mailto:nicoletta.vozza@crm.otsuka-europe.com", "nicoletta.vozza@crm.otsuka-europe.com")</f>
        <v>nicoletta.vozza@crm.otsuka-europe.com</v>
      </c>
      <c r="N4359" s="23">
        <v>46181.337997685187</v>
      </c>
      <c r="O4359" s="14" t="str">
        <f>HYPERLINK("https://otsuka-europe-crm.veevavault.com/ui/#object/email_activity__v/V8C00000003O911", "EN-002090571")</f>
        <v>EN-002090571</v>
      </c>
    </row>
    <row r="4360" spans="1:15" ht="16" x14ac:dyDescent="0.2">
      <c r="A4360" s="19"/>
      <c r="B4360" s="19"/>
      <c r="C4360" s="19"/>
      <c r="D4360" s="19"/>
      <c r="E4360" s="19"/>
      <c r="F4360" s="19"/>
      <c r="G4360" s="19"/>
      <c r="H4360" s="19"/>
      <c r="I4360" s="19"/>
      <c r="J4360" s="19"/>
      <c r="K4360" s="19"/>
      <c r="L4360" s="19"/>
      <c r="M4360" s="19"/>
      <c r="N4360" s="19"/>
      <c r="O4360" s="14" t="str">
        <f>HYPERLINK("https://otsuka-europe-crm.veevavault.com/ui/#object/email_activity__v/V8C00000003R188", "EN-002092036")</f>
        <v>EN-002092036</v>
      </c>
    </row>
    <row r="4361" spans="1:15" ht="32" x14ac:dyDescent="0.2">
      <c r="A4361" s="7" t="str">
        <f>HYPERLINK("https://otsuka-europe-crm.veevavault.com/ui/#object/account__v/V4TZ06G6O71SBJY", "MARCO MOLLICA")</f>
        <v>MARCO MOLLICA</v>
      </c>
      <c r="B4361" s="7" t="str">
        <f t="shared" ref="B4361:B4368" si="376">HYPERLINK("https://otsuka-europe-crm.veevavault.com/ui/#object/vcountry__v/VENZ000004SONFQ", "IT")</f>
        <v>IT</v>
      </c>
      <c r="C4361" s="8" t="s">
        <v>44</v>
      </c>
      <c r="D4361" s="9" t="str">
        <f t="shared" ref="D4361:D4368" si="377">HYPERLINK("https://otsuka-europe-crm.veevavault.com/ui/#object/approved_document__v/V5O000000018003", "AE dialoghi di tempo fiducia e cura episodi 2-3-4")</f>
        <v>AE dialoghi di tempo fiducia e cura episodi 2-3-4</v>
      </c>
      <c r="E4361" s="10" t="str">
        <f>HYPERLINK("https://otsuka-europe-crm.veevavault.com/ui/#object/sent_email__v/VBL00000002P612", "SE-001433282")</f>
        <v>SE-001433282</v>
      </c>
      <c r="F4361" s="11"/>
      <c r="G4361" s="12">
        <v>0</v>
      </c>
      <c r="H4361" s="12">
        <v>0</v>
      </c>
      <c r="I4361" s="12">
        <v>0</v>
      </c>
      <c r="J4361" s="11"/>
      <c r="K4361" s="12">
        <v>0</v>
      </c>
      <c r="L4361" s="10" t="str">
        <f t="shared" ref="L4361:L4368" si="378">HYPERLINK("https://otsuka-europe-crm.veevavault.com/ui/#object/approved_document__v/V5O000000018003", "AE dialoghi di tempo fiducia e cura episodi 2-3-4")</f>
        <v>AE dialoghi di tempo fiducia e cura episodi 2-3-4</v>
      </c>
      <c r="M4361" s="10" t="str">
        <f t="shared" ref="M4361:M4368" si="379">HYPERLINK("mailto:nicoletta.vozza@crm.otsuka-europe.com", "nicoletta.vozza@crm.otsuka-europe.com")</f>
        <v>nicoletta.vozza@crm.otsuka-europe.com</v>
      </c>
      <c r="N4361" s="13">
        <v>46181.338009259256</v>
      </c>
      <c r="O4361" s="14" t="str">
        <f>HYPERLINK("https://otsuka-europe-crm.veevavault.com/ui/#object/email_activity__v/V8C00000003P452", "EN-002090689")</f>
        <v>EN-002090689</v>
      </c>
    </row>
    <row r="4362" spans="1:15" ht="32" x14ac:dyDescent="0.2">
      <c r="A4362" s="7" t="str">
        <f>HYPERLINK("https://otsuka-europe-crm.veevavault.com/ui/#object/account__v/V4TZ025E83HRD2M", "MARCO MORREALE")</f>
        <v>MARCO MORREALE</v>
      </c>
      <c r="B4362" s="7" t="str">
        <f t="shared" si="376"/>
        <v>IT</v>
      </c>
      <c r="C4362" s="8" t="s">
        <v>44</v>
      </c>
      <c r="D4362" s="9" t="str">
        <f t="shared" si="377"/>
        <v>AE dialoghi di tempo fiducia e cura episodi 2-3-4</v>
      </c>
      <c r="E4362" s="10" t="str">
        <f>HYPERLINK("https://otsuka-europe-crm.veevavault.com/ui/#object/sent_email__v/VBL00000002P613", "SE-001433283")</f>
        <v>SE-001433283</v>
      </c>
      <c r="F4362" s="11"/>
      <c r="G4362" s="12">
        <v>0</v>
      </c>
      <c r="H4362" s="12">
        <v>0</v>
      </c>
      <c r="I4362" s="12">
        <v>0</v>
      </c>
      <c r="J4362" s="11"/>
      <c r="K4362" s="12">
        <v>0</v>
      </c>
      <c r="L4362" s="10" t="str">
        <f t="shared" si="378"/>
        <v>AE dialoghi di tempo fiducia e cura episodi 2-3-4</v>
      </c>
      <c r="M4362" s="10" t="str">
        <f t="shared" si="379"/>
        <v>nicoletta.vozza@crm.otsuka-europe.com</v>
      </c>
      <c r="N4362" s="13">
        <v>46181.337997685187</v>
      </c>
      <c r="O4362" s="14" t="str">
        <f>HYPERLINK("https://otsuka-europe-crm.veevavault.com/ui/#object/email_activity__v/V8C00000003O285", "EN-002089762")</f>
        <v>EN-002089762</v>
      </c>
    </row>
    <row r="4363" spans="1:15" ht="32" x14ac:dyDescent="0.2">
      <c r="A4363" s="7" t="str">
        <f>HYPERLINK("https://otsuka-europe-crm.veevavault.com/ui/#object/account__v/V4TZ06G6O71SCL5", "MARCO OTTO MARIA TOSCANO")</f>
        <v>MARCO OTTO MARIA TOSCANO</v>
      </c>
      <c r="B4363" s="7" t="str">
        <f t="shared" si="376"/>
        <v>IT</v>
      </c>
      <c r="C4363" s="8" t="s">
        <v>44</v>
      </c>
      <c r="D4363" s="9" t="str">
        <f t="shared" si="377"/>
        <v>AE dialoghi di tempo fiducia e cura episodi 2-3-4</v>
      </c>
      <c r="E4363" s="10" t="str">
        <f>HYPERLINK("https://otsuka-europe-crm.veevavault.com/ui/#object/sent_email__v/VBL00000002P614", "SE-001433284")</f>
        <v>SE-001433284</v>
      </c>
      <c r="F4363" s="11"/>
      <c r="G4363" s="12">
        <v>0</v>
      </c>
      <c r="H4363" s="12">
        <v>0</v>
      </c>
      <c r="I4363" s="12">
        <v>0</v>
      </c>
      <c r="J4363" s="11"/>
      <c r="K4363" s="12">
        <v>0</v>
      </c>
      <c r="L4363" s="10" t="str">
        <f t="shared" si="378"/>
        <v>AE dialoghi di tempo fiducia e cura episodi 2-3-4</v>
      </c>
      <c r="M4363" s="10" t="str">
        <f t="shared" si="379"/>
        <v>nicoletta.vozza@crm.otsuka-europe.com</v>
      </c>
      <c r="N4363" s="13">
        <v>46181.338090277779</v>
      </c>
      <c r="O4363" s="14" t="str">
        <f>HYPERLINK("https://otsuka-europe-crm.veevavault.com/ui/#object/email_activity__v/V8C00000003P785", "EN-002091083")</f>
        <v>EN-002091083</v>
      </c>
    </row>
    <row r="4364" spans="1:15" ht="32" x14ac:dyDescent="0.2">
      <c r="A4364" s="7" t="str">
        <f>HYPERLINK("https://otsuka-europe-crm.veevavault.com/ui/#object/account__v/V4TZ06G6O71SC3D", "MARCO RICCI MESSORI")</f>
        <v>MARCO RICCI MESSORI</v>
      </c>
      <c r="B4364" s="7" t="str">
        <f t="shared" si="376"/>
        <v>IT</v>
      </c>
      <c r="C4364" s="8" t="s">
        <v>44</v>
      </c>
      <c r="D4364" s="9" t="str">
        <f t="shared" si="377"/>
        <v>AE dialoghi di tempo fiducia e cura episodi 2-3-4</v>
      </c>
      <c r="E4364" s="10" t="str">
        <f>HYPERLINK("https://otsuka-europe-crm.veevavault.com/ui/#object/sent_email__v/VBL00000002P615", "SE-001433285")</f>
        <v>SE-001433285</v>
      </c>
      <c r="F4364" s="11"/>
      <c r="G4364" s="12">
        <v>0</v>
      </c>
      <c r="H4364" s="12">
        <v>0</v>
      </c>
      <c r="I4364" s="12">
        <v>0</v>
      </c>
      <c r="J4364" s="11"/>
      <c r="K4364" s="12">
        <v>0</v>
      </c>
      <c r="L4364" s="10" t="str">
        <f t="shared" si="378"/>
        <v>AE dialoghi di tempo fiducia e cura episodi 2-3-4</v>
      </c>
      <c r="M4364" s="10" t="str">
        <f t="shared" si="379"/>
        <v>nicoletta.vozza@crm.otsuka-europe.com</v>
      </c>
      <c r="N4364" s="13">
        <v>46181.33797453704</v>
      </c>
      <c r="O4364" s="14" t="str">
        <f>HYPERLINK("https://otsuka-europe-crm.veevavault.com/ui/#object/email_activity__v/V8C00000003P209", "EN-002089655")</f>
        <v>EN-002089655</v>
      </c>
    </row>
    <row r="4365" spans="1:15" ht="32" x14ac:dyDescent="0.2">
      <c r="A4365" s="7" t="str">
        <f>HYPERLINK("https://otsuka-europe-crm.veevavault.com/ui/#object/account__v/V4TZ06G6O71SCDK", "MARCO SCARZELLA")</f>
        <v>MARCO SCARZELLA</v>
      </c>
      <c r="B4365" s="7" t="str">
        <f t="shared" si="376"/>
        <v>IT</v>
      </c>
      <c r="C4365" s="8" t="s">
        <v>44</v>
      </c>
      <c r="D4365" s="9" t="str">
        <f t="shared" si="377"/>
        <v>AE dialoghi di tempo fiducia e cura episodi 2-3-4</v>
      </c>
      <c r="E4365" s="10" t="str">
        <f>HYPERLINK("https://otsuka-europe-crm.veevavault.com/ui/#object/sent_email__v/VBL00000002P616", "SE-001433286")</f>
        <v>SE-001433286</v>
      </c>
      <c r="F4365" s="11"/>
      <c r="G4365" s="12">
        <v>0</v>
      </c>
      <c r="H4365" s="12">
        <v>0</v>
      </c>
      <c r="I4365" s="12">
        <v>0</v>
      </c>
      <c r="J4365" s="11"/>
      <c r="K4365" s="12">
        <v>0</v>
      </c>
      <c r="L4365" s="10" t="str">
        <f t="shared" si="378"/>
        <v>AE dialoghi di tempo fiducia e cura episodi 2-3-4</v>
      </c>
      <c r="M4365" s="10" t="str">
        <f t="shared" si="379"/>
        <v>nicoletta.vozza@crm.otsuka-europe.com</v>
      </c>
      <c r="N4365" s="13">
        <v>46181.337939814817</v>
      </c>
      <c r="O4365" s="14" t="str">
        <f>HYPERLINK("https://otsuka-europe-crm.veevavault.com/ui/#object/email_activity__v/V8C00000003P166", "EN-002089566")</f>
        <v>EN-002089566</v>
      </c>
    </row>
    <row r="4366" spans="1:15" ht="32" x14ac:dyDescent="0.2">
      <c r="A4366" s="7" t="str">
        <f>HYPERLINK("https://otsuka-europe-crm.veevavault.com/ui/#object/account__v/V4TZ06G6OCEV5BL", "MARCO TURCO")</f>
        <v>MARCO TURCO</v>
      </c>
      <c r="B4366" s="7" t="str">
        <f t="shared" si="376"/>
        <v>IT</v>
      </c>
      <c r="C4366" s="8" t="s">
        <v>44</v>
      </c>
      <c r="D4366" s="9" t="str">
        <f t="shared" si="377"/>
        <v>AE dialoghi di tempo fiducia e cura episodi 2-3-4</v>
      </c>
      <c r="E4366" s="10" t="str">
        <f>HYPERLINK("https://otsuka-europe-crm.veevavault.com/ui/#object/sent_email__v/VBL00000002P617", "SE-001433287")</f>
        <v>SE-001433287</v>
      </c>
      <c r="F4366" s="11"/>
      <c r="G4366" s="12">
        <v>0</v>
      </c>
      <c r="H4366" s="12">
        <v>0</v>
      </c>
      <c r="I4366" s="12">
        <v>0</v>
      </c>
      <c r="J4366" s="11"/>
      <c r="K4366" s="12">
        <v>0</v>
      </c>
      <c r="L4366" s="10" t="str">
        <f t="shared" si="378"/>
        <v>AE dialoghi di tempo fiducia e cura episodi 2-3-4</v>
      </c>
      <c r="M4366" s="10" t="str">
        <f t="shared" si="379"/>
        <v>nicoletta.vozza@crm.otsuka-europe.com</v>
      </c>
      <c r="N4366" s="13">
        <v>46181.337997685187</v>
      </c>
      <c r="O4366" s="14" t="str">
        <f>HYPERLINK("https://otsuka-europe-crm.veevavault.com/ui/#object/email_activity__v/V8C00000003O316", "EN-002089793")</f>
        <v>EN-002089793</v>
      </c>
    </row>
    <row r="4367" spans="1:15" ht="32" x14ac:dyDescent="0.2">
      <c r="A4367" s="7" t="str">
        <f>HYPERLINK("https://otsuka-europe-crm.veevavault.com/ui/#object/account__v/V4TZ06G6O71SB8F", "MARCO VINCENZO LA DUCA")</f>
        <v>MARCO VINCENZO LA DUCA</v>
      </c>
      <c r="B4367" s="7" t="str">
        <f t="shared" si="376"/>
        <v>IT</v>
      </c>
      <c r="C4367" s="8" t="s">
        <v>44</v>
      </c>
      <c r="D4367" s="9" t="str">
        <f t="shared" si="377"/>
        <v>AE dialoghi di tempo fiducia e cura episodi 2-3-4</v>
      </c>
      <c r="E4367" s="10" t="str">
        <f>HYPERLINK("https://otsuka-europe-crm.veevavault.com/ui/#object/sent_email__v/VBL00000002P618", "SE-001433288")</f>
        <v>SE-001433288</v>
      </c>
      <c r="F4367" s="11"/>
      <c r="G4367" s="12">
        <v>0</v>
      </c>
      <c r="H4367" s="12">
        <v>0</v>
      </c>
      <c r="I4367" s="12">
        <v>0</v>
      </c>
      <c r="J4367" s="11"/>
      <c r="K4367" s="12">
        <v>0</v>
      </c>
      <c r="L4367" s="10" t="str">
        <f t="shared" si="378"/>
        <v>AE dialoghi di tempo fiducia e cura episodi 2-3-4</v>
      </c>
      <c r="M4367" s="10" t="str">
        <f t="shared" si="379"/>
        <v>nicoletta.vozza@crm.otsuka-europe.com</v>
      </c>
      <c r="N4367" s="13">
        <v>46181.337951388887</v>
      </c>
      <c r="O4367" s="14" t="str">
        <f>HYPERLINK("https://otsuka-europe-crm.veevavault.com/ui/#object/email_activity__v/V8C00000003O212", "EN-002089689")</f>
        <v>EN-002089689</v>
      </c>
    </row>
    <row r="4368" spans="1:15" ht="16" x14ac:dyDescent="0.2">
      <c r="A4368" s="17" t="str">
        <f>HYPERLINK("https://otsuka-europe-crm.veevavault.com/ui/#object/account__v/V4TZ025E84KFAN2", "MARGHERITA CARAI")</f>
        <v>MARGHERITA CARAI</v>
      </c>
      <c r="B4368" s="17" t="str">
        <f t="shared" si="376"/>
        <v>IT</v>
      </c>
      <c r="C4368" s="20" t="s">
        <v>44</v>
      </c>
      <c r="D4368" s="21" t="str">
        <f t="shared" si="377"/>
        <v>AE dialoghi di tempo fiducia e cura episodi 2-3-4</v>
      </c>
      <c r="E4368" s="22" t="str">
        <f>HYPERLINK("https://otsuka-europe-crm.veevavault.com/ui/#object/sent_email__v/VBL00000002P619", "SE-001433289")</f>
        <v>SE-001433289</v>
      </c>
      <c r="F4368" s="23">
        <v>46181.346319444441</v>
      </c>
      <c r="G4368" s="24">
        <v>1</v>
      </c>
      <c r="H4368" s="24">
        <v>1</v>
      </c>
      <c r="I4368" s="24">
        <v>0</v>
      </c>
      <c r="J4368" s="25"/>
      <c r="K4368" s="24">
        <v>0</v>
      </c>
      <c r="L4368" s="22" t="str">
        <f t="shared" si="378"/>
        <v>AE dialoghi di tempo fiducia e cura episodi 2-3-4</v>
      </c>
      <c r="M4368" s="22" t="str">
        <f t="shared" si="379"/>
        <v>nicoletta.vozza@crm.otsuka-europe.com</v>
      </c>
      <c r="N4368" s="23">
        <v>46181.33792824074</v>
      </c>
      <c r="O4368" s="14" t="str">
        <f>HYPERLINK("https://otsuka-europe-crm.veevavault.com/ui/#object/email_activity__v/V8C00000003P143", "EN-002089543")</f>
        <v>EN-002089543</v>
      </c>
    </row>
    <row r="4369" spans="1:15" ht="16" x14ac:dyDescent="0.2">
      <c r="A4369" s="19"/>
      <c r="B4369" s="19"/>
      <c r="C4369" s="19"/>
      <c r="D4369" s="19"/>
      <c r="E4369" s="19"/>
      <c r="F4369" s="19"/>
      <c r="G4369" s="19"/>
      <c r="H4369" s="19"/>
      <c r="I4369" s="19"/>
      <c r="J4369" s="19"/>
      <c r="K4369" s="19"/>
      <c r="L4369" s="19"/>
      <c r="M4369" s="19"/>
      <c r="N4369" s="19"/>
      <c r="O4369" s="14" t="str">
        <f>HYPERLINK("https://otsuka-europe-crm.veevavault.com/ui/#object/email_activity__v/V8C00000003Q312", "EN-002091466")</f>
        <v>EN-002091466</v>
      </c>
    </row>
    <row r="4370" spans="1:15" ht="32" x14ac:dyDescent="0.2">
      <c r="A4370" s="7" t="str">
        <f>HYPERLINK("https://otsuka-europe-crm.veevavault.com/ui/#object/account__v/V4TZ025E8866S3I", "MARGHERITA GIULIA ALBERONI")</f>
        <v>MARGHERITA GIULIA ALBERONI</v>
      </c>
      <c r="B4370" s="7" t="str">
        <f t="shared" ref="B4370:B4383" si="380">HYPERLINK("https://otsuka-europe-crm.veevavault.com/ui/#object/vcountry__v/VENZ000004SONFQ", "IT")</f>
        <v>IT</v>
      </c>
      <c r="C4370" s="8" t="s">
        <v>44</v>
      </c>
      <c r="D4370" s="9" t="str">
        <f t="shared" ref="D4370:D4383" si="381">HYPERLINK("https://otsuka-europe-crm.veevavault.com/ui/#object/approved_document__v/V5O000000018003", "AE dialoghi di tempo fiducia e cura episodi 2-3-4")</f>
        <v>AE dialoghi di tempo fiducia e cura episodi 2-3-4</v>
      </c>
      <c r="E4370" s="10" t="str">
        <f>HYPERLINK("https://otsuka-europe-crm.veevavault.com/ui/#object/sent_email__v/VBL00000002P620", "SE-001433290")</f>
        <v>SE-001433290</v>
      </c>
      <c r="F4370" s="11"/>
      <c r="G4370" s="12">
        <v>0</v>
      </c>
      <c r="H4370" s="12">
        <v>0</v>
      </c>
      <c r="I4370" s="12">
        <v>0</v>
      </c>
      <c r="J4370" s="11"/>
      <c r="K4370" s="12">
        <v>0</v>
      </c>
      <c r="L4370" s="10" t="str">
        <f t="shared" ref="L4370:L4383" si="382">HYPERLINK("https://otsuka-europe-crm.veevavault.com/ui/#object/approved_document__v/V5O000000018003", "AE dialoghi di tempo fiducia e cura episodi 2-3-4")</f>
        <v>AE dialoghi di tempo fiducia e cura episodi 2-3-4</v>
      </c>
      <c r="M4370" s="10" t="str">
        <f t="shared" ref="M4370:M4383" si="383">HYPERLINK("mailto:nicoletta.vozza@crm.otsuka-europe.com", "nicoletta.vozza@crm.otsuka-europe.com")</f>
        <v>nicoletta.vozza@crm.otsuka-europe.com</v>
      </c>
      <c r="N4370" s="13">
        <v>46181.338009259256</v>
      </c>
      <c r="O4370" s="14" t="str">
        <f>HYPERLINK("https://otsuka-europe-crm.veevavault.com/ui/#object/email_activity__v/V8C00000003P577", "EN-002090832")</f>
        <v>EN-002090832</v>
      </c>
    </row>
    <row r="4371" spans="1:15" ht="32" x14ac:dyDescent="0.2">
      <c r="A4371" s="7" t="str">
        <f>HYPERLINK("https://otsuka-europe-crm.veevavault.com/ui/#object/account__v/V4TZ06G6O71VPS0", "MARGHERITA MAGRO")</f>
        <v>MARGHERITA MAGRO</v>
      </c>
      <c r="B4371" s="7" t="str">
        <f t="shared" si="380"/>
        <v>IT</v>
      </c>
      <c r="C4371" s="8" t="s">
        <v>44</v>
      </c>
      <c r="D4371" s="9" t="str">
        <f t="shared" si="381"/>
        <v>AE dialoghi di tempo fiducia e cura episodi 2-3-4</v>
      </c>
      <c r="E4371" s="10" t="str">
        <f>HYPERLINK("https://otsuka-europe-crm.veevavault.com/ui/#object/sent_email__v/VBL00000002P621", "SE-001433291")</f>
        <v>SE-001433291</v>
      </c>
      <c r="F4371" s="11"/>
      <c r="G4371" s="12">
        <v>0</v>
      </c>
      <c r="H4371" s="12">
        <v>0</v>
      </c>
      <c r="I4371" s="12">
        <v>0</v>
      </c>
      <c r="J4371" s="11"/>
      <c r="K4371" s="12">
        <v>0</v>
      </c>
      <c r="L4371" s="10" t="str">
        <f t="shared" si="382"/>
        <v>AE dialoghi di tempo fiducia e cura episodi 2-3-4</v>
      </c>
      <c r="M4371" s="10" t="str">
        <f t="shared" si="383"/>
        <v>nicoletta.vozza@crm.otsuka-europe.com</v>
      </c>
      <c r="N4371" s="13">
        <v>46181.337951388887</v>
      </c>
      <c r="O4371" s="14" t="str">
        <f>HYPERLINK("https://otsuka-europe-crm.veevavault.com/ui/#object/email_activity__v/V8C00000003O406", "EN-002089962")</f>
        <v>EN-002089962</v>
      </c>
    </row>
    <row r="4372" spans="1:15" ht="32" x14ac:dyDescent="0.2">
      <c r="A4372" s="7" t="str">
        <f>HYPERLINK("https://otsuka-europe-crm.veevavault.com/ui/#object/account__v/V4TZ04ASG8JLCS2", "MARGHERITA TRINCHIERI")</f>
        <v>MARGHERITA TRINCHIERI</v>
      </c>
      <c r="B4372" s="7" t="str">
        <f t="shared" si="380"/>
        <v>IT</v>
      </c>
      <c r="C4372" s="8" t="s">
        <v>44</v>
      </c>
      <c r="D4372" s="9" t="str">
        <f t="shared" si="381"/>
        <v>AE dialoghi di tempo fiducia e cura episodi 2-3-4</v>
      </c>
      <c r="E4372" s="10" t="str">
        <f>HYPERLINK("https://otsuka-europe-crm.veevavault.com/ui/#object/sent_email__v/VBL00000002P622", "SE-001433292")</f>
        <v>SE-001433292</v>
      </c>
      <c r="F4372" s="11"/>
      <c r="G4372" s="12">
        <v>0</v>
      </c>
      <c r="H4372" s="12">
        <v>0</v>
      </c>
      <c r="I4372" s="12">
        <v>0</v>
      </c>
      <c r="J4372" s="11"/>
      <c r="K4372" s="12">
        <v>0</v>
      </c>
      <c r="L4372" s="10" t="str">
        <f t="shared" si="382"/>
        <v>AE dialoghi di tempo fiducia e cura episodi 2-3-4</v>
      </c>
      <c r="M4372" s="10" t="str">
        <f t="shared" si="383"/>
        <v>nicoletta.vozza@crm.otsuka-europe.com</v>
      </c>
      <c r="N4372" s="13">
        <v>46181.337962962964</v>
      </c>
      <c r="O4372" s="14" t="str">
        <f>HYPERLINK("https://otsuka-europe-crm.veevavault.com/ui/#object/email_activity__v/V8C00000003P243", "EN-002089821")</f>
        <v>EN-002089821</v>
      </c>
    </row>
    <row r="4373" spans="1:15" ht="32" x14ac:dyDescent="0.2">
      <c r="A4373" s="7" t="str">
        <f>HYPERLINK("https://otsuka-europe-crm.veevavault.com/ui/#object/account__v/V4TZ06G6O71S9VT", "MARIA ABATE")</f>
        <v>MARIA ABATE</v>
      </c>
      <c r="B4373" s="7" t="str">
        <f t="shared" si="380"/>
        <v>IT</v>
      </c>
      <c r="C4373" s="8" t="s">
        <v>44</v>
      </c>
      <c r="D4373" s="9" t="str">
        <f t="shared" si="381"/>
        <v>AE dialoghi di tempo fiducia e cura episodi 2-3-4</v>
      </c>
      <c r="E4373" s="10" t="str">
        <f>HYPERLINK("https://otsuka-europe-crm.veevavault.com/ui/#object/sent_email__v/VBL00000002P623", "SE-001433293")</f>
        <v>SE-001433293</v>
      </c>
      <c r="F4373" s="11"/>
      <c r="G4373" s="12">
        <v>0</v>
      </c>
      <c r="H4373" s="12">
        <v>0</v>
      </c>
      <c r="I4373" s="12">
        <v>0</v>
      </c>
      <c r="J4373" s="11"/>
      <c r="K4373" s="12">
        <v>0</v>
      </c>
      <c r="L4373" s="10" t="str">
        <f t="shared" si="382"/>
        <v>AE dialoghi di tempo fiducia e cura episodi 2-3-4</v>
      </c>
      <c r="M4373" s="10" t="str">
        <f t="shared" si="383"/>
        <v>nicoletta.vozza@crm.otsuka-europe.com</v>
      </c>
      <c r="N4373" s="13">
        <v>46181.33798611111</v>
      </c>
      <c r="O4373" s="14" t="str">
        <f>HYPERLINK("https://otsuka-europe-crm.veevavault.com/ui/#object/email_activity__v/V8C00000003O740", "EN-002090296")</f>
        <v>EN-002090296</v>
      </c>
    </row>
    <row r="4374" spans="1:15" ht="32" x14ac:dyDescent="0.2">
      <c r="A4374" s="7" t="str">
        <f>HYPERLINK("https://otsuka-europe-crm.veevavault.com/ui/#object/account__v/V4TZ06G6O71S9XV", "MARIA ANNUNZIATA")</f>
        <v>MARIA ANNUNZIATA</v>
      </c>
      <c r="B4374" s="7" t="str">
        <f t="shared" si="380"/>
        <v>IT</v>
      </c>
      <c r="C4374" s="8" t="s">
        <v>44</v>
      </c>
      <c r="D4374" s="9" t="str">
        <f t="shared" si="381"/>
        <v>AE dialoghi di tempo fiducia e cura episodi 2-3-4</v>
      </c>
      <c r="E4374" s="10" t="str">
        <f>HYPERLINK("https://otsuka-europe-crm.veevavault.com/ui/#object/sent_email__v/VBL00000002P624", "SE-001433294")</f>
        <v>SE-001433294</v>
      </c>
      <c r="F4374" s="11"/>
      <c r="G4374" s="12">
        <v>0</v>
      </c>
      <c r="H4374" s="12">
        <v>0</v>
      </c>
      <c r="I4374" s="12">
        <v>0</v>
      </c>
      <c r="J4374" s="11"/>
      <c r="K4374" s="12">
        <v>0</v>
      </c>
      <c r="L4374" s="10" t="str">
        <f t="shared" si="382"/>
        <v>AE dialoghi di tempo fiducia e cura episodi 2-3-4</v>
      </c>
      <c r="M4374" s="10" t="str">
        <f t="shared" si="383"/>
        <v>nicoletta.vozza@crm.otsuka-europe.com</v>
      </c>
      <c r="N4374" s="13">
        <v>46181.338043981479</v>
      </c>
      <c r="O4374" s="14" t="str">
        <f>HYPERLINK("https://otsuka-europe-crm.veevavault.com/ui/#object/email_activity__v/V8C00000003P748", "EN-002091046")</f>
        <v>EN-002091046</v>
      </c>
    </row>
    <row r="4375" spans="1:15" ht="32" x14ac:dyDescent="0.2">
      <c r="A4375" s="7" t="str">
        <f>HYPERLINK("https://otsuka-europe-crm.veevavault.com/ui/#object/account__v/V4TZ06G6O71SBKL", "MARIA ANTONIA MAURI")</f>
        <v>MARIA ANTONIA MAURI</v>
      </c>
      <c r="B4375" s="7" t="str">
        <f t="shared" si="380"/>
        <v>IT</v>
      </c>
      <c r="C4375" s="8" t="s">
        <v>44</v>
      </c>
      <c r="D4375" s="9" t="str">
        <f t="shared" si="381"/>
        <v>AE dialoghi di tempo fiducia e cura episodi 2-3-4</v>
      </c>
      <c r="E4375" s="10" t="str">
        <f>HYPERLINK("https://otsuka-europe-crm.veevavault.com/ui/#object/sent_email__v/VBL00000002P625", "SE-001433295")</f>
        <v>SE-001433295</v>
      </c>
      <c r="F4375" s="11"/>
      <c r="G4375" s="12">
        <v>0</v>
      </c>
      <c r="H4375" s="12">
        <v>0</v>
      </c>
      <c r="I4375" s="12">
        <v>0</v>
      </c>
      <c r="J4375" s="11"/>
      <c r="K4375" s="12">
        <v>0</v>
      </c>
      <c r="L4375" s="10" t="str">
        <f t="shared" si="382"/>
        <v>AE dialoghi di tempo fiducia e cura episodi 2-3-4</v>
      </c>
      <c r="M4375" s="10" t="str">
        <f t="shared" si="383"/>
        <v>nicoletta.vozza@crm.otsuka-europe.com</v>
      </c>
      <c r="N4375" s="13">
        <v>46181.338043981479</v>
      </c>
      <c r="O4375" s="14" t="str">
        <f>HYPERLINK("https://otsuka-europe-crm.veevavault.com/ui/#object/email_activity__v/V8C00000003P455", "EN-002090650")</f>
        <v>EN-002090650</v>
      </c>
    </row>
    <row r="4376" spans="1:15" ht="32" x14ac:dyDescent="0.2">
      <c r="A4376" s="7" t="str">
        <f>HYPERLINK("https://otsuka-europe-crm.veevavault.com/ui/#object/account__v/V4TZ06G6O71TLC3", "MARIA ASSUNTA EVANGELISTA")</f>
        <v>MARIA ASSUNTA EVANGELISTA</v>
      </c>
      <c r="B4376" s="7" t="str">
        <f t="shared" si="380"/>
        <v>IT</v>
      </c>
      <c r="C4376" s="8" t="s">
        <v>44</v>
      </c>
      <c r="D4376" s="9" t="str">
        <f t="shared" si="381"/>
        <v>AE dialoghi di tempo fiducia e cura episodi 2-3-4</v>
      </c>
      <c r="E4376" s="10" t="str">
        <f>HYPERLINK("https://otsuka-europe-crm.veevavault.com/ui/#object/sent_email__v/VBL00000002P626", "SE-001433296")</f>
        <v>SE-001433296</v>
      </c>
      <c r="F4376" s="11"/>
      <c r="G4376" s="12">
        <v>0</v>
      </c>
      <c r="H4376" s="12">
        <v>0</v>
      </c>
      <c r="I4376" s="12">
        <v>0</v>
      </c>
      <c r="J4376" s="11"/>
      <c r="K4376" s="12">
        <v>0</v>
      </c>
      <c r="L4376" s="10" t="str">
        <f t="shared" si="382"/>
        <v>AE dialoghi di tempo fiducia e cura episodi 2-3-4</v>
      </c>
      <c r="M4376" s="10" t="str">
        <f t="shared" si="383"/>
        <v>nicoletta.vozza@crm.otsuka-europe.com</v>
      </c>
      <c r="N4376" s="13">
        <v>46181.338090277779</v>
      </c>
      <c r="O4376" s="14" t="str">
        <f>HYPERLINK("https://otsuka-europe-crm.veevavault.com/ui/#object/email_activity__v/V8C00000003Q275", "EN-002091393")</f>
        <v>EN-002091393</v>
      </c>
    </row>
    <row r="4377" spans="1:15" ht="32" x14ac:dyDescent="0.2">
      <c r="A4377" s="7" t="str">
        <f>HYPERLINK("https://otsuka-europe-crm.veevavault.com/ui/#object/account__v/V4TZ06G6O71SCQG", "MARIA AUGUSTA IANDOLO")</f>
        <v>MARIA AUGUSTA IANDOLO</v>
      </c>
      <c r="B4377" s="7" t="str">
        <f t="shared" si="380"/>
        <v>IT</v>
      </c>
      <c r="C4377" s="8" t="s">
        <v>44</v>
      </c>
      <c r="D4377" s="9" t="str">
        <f t="shared" si="381"/>
        <v>AE dialoghi di tempo fiducia e cura episodi 2-3-4</v>
      </c>
      <c r="E4377" s="10" t="str">
        <f>HYPERLINK("https://otsuka-europe-crm.veevavault.com/ui/#object/sent_email__v/VBL00000002P627", "SE-001433297")</f>
        <v>SE-001433297</v>
      </c>
      <c r="F4377" s="11"/>
      <c r="G4377" s="12">
        <v>0</v>
      </c>
      <c r="H4377" s="12">
        <v>0</v>
      </c>
      <c r="I4377" s="12">
        <v>0</v>
      </c>
      <c r="J4377" s="11"/>
      <c r="K4377" s="12">
        <v>0</v>
      </c>
      <c r="L4377" s="10" t="str">
        <f t="shared" si="382"/>
        <v>AE dialoghi di tempo fiducia e cura episodi 2-3-4</v>
      </c>
      <c r="M4377" s="10" t="str">
        <f t="shared" si="383"/>
        <v>nicoletta.vozza@crm.otsuka-europe.com</v>
      </c>
      <c r="N4377" s="13">
        <v>46181.33797453704</v>
      </c>
      <c r="O4377" s="14" t="str">
        <f>HYPERLINK("https://otsuka-europe-crm.veevavault.com/ui/#object/email_activity__v/V8C00000003O669", "EN-002090225")</f>
        <v>EN-002090225</v>
      </c>
    </row>
    <row r="4378" spans="1:15" ht="32" x14ac:dyDescent="0.2">
      <c r="A4378" s="7" t="str">
        <f>HYPERLINK("https://otsuka-europe-crm.veevavault.com/ui/#object/account__v/V4TZ06G6O71SBUR", "MARIA AUSILIA PARRINELLO")</f>
        <v>MARIA AUSILIA PARRINELLO</v>
      </c>
      <c r="B4378" s="7" t="str">
        <f t="shared" si="380"/>
        <v>IT</v>
      </c>
      <c r="C4378" s="8" t="s">
        <v>44</v>
      </c>
      <c r="D4378" s="9" t="str">
        <f t="shared" si="381"/>
        <v>AE dialoghi di tempo fiducia e cura episodi 2-3-4</v>
      </c>
      <c r="E4378" s="10" t="str">
        <f>HYPERLINK("https://otsuka-europe-crm.veevavault.com/ui/#object/sent_email__v/VBL00000002P628", "SE-001433298")</f>
        <v>SE-001433298</v>
      </c>
      <c r="F4378" s="11"/>
      <c r="G4378" s="12">
        <v>0</v>
      </c>
      <c r="H4378" s="12">
        <v>0</v>
      </c>
      <c r="I4378" s="12">
        <v>0</v>
      </c>
      <c r="J4378" s="11"/>
      <c r="K4378" s="12">
        <v>0</v>
      </c>
      <c r="L4378" s="10" t="str">
        <f t="shared" si="382"/>
        <v>AE dialoghi di tempo fiducia e cura episodi 2-3-4</v>
      </c>
      <c r="M4378" s="10" t="str">
        <f t="shared" si="383"/>
        <v>nicoletta.vozza@crm.otsuka-europe.com</v>
      </c>
      <c r="N4378" s="13">
        <v>46181.337997685187</v>
      </c>
      <c r="O4378" s="14" t="str">
        <f>HYPERLINK("https://otsuka-europe-crm.veevavault.com/ui/#object/email_activity__v/V8C00000003O825", "EN-002090527")</f>
        <v>EN-002090527</v>
      </c>
    </row>
    <row r="4379" spans="1:15" ht="32" x14ac:dyDescent="0.2">
      <c r="A4379" s="7" t="str">
        <f>HYPERLINK("https://otsuka-europe-crm.veevavault.com/ui/#object/account__v/V4TZ025E83MQ396", "MARIA BOMBINI")</f>
        <v>MARIA BOMBINI</v>
      </c>
      <c r="B4379" s="7" t="str">
        <f t="shared" si="380"/>
        <v>IT</v>
      </c>
      <c r="C4379" s="8" t="s">
        <v>44</v>
      </c>
      <c r="D4379" s="9" t="str">
        <f t="shared" si="381"/>
        <v>AE dialoghi di tempo fiducia e cura episodi 2-3-4</v>
      </c>
      <c r="E4379" s="10" t="str">
        <f>HYPERLINK("https://otsuka-europe-crm.veevavault.com/ui/#object/sent_email__v/VBL00000002P629", "SE-001433299")</f>
        <v>SE-001433299</v>
      </c>
      <c r="F4379" s="11"/>
      <c r="G4379" s="12">
        <v>0</v>
      </c>
      <c r="H4379" s="12">
        <v>0</v>
      </c>
      <c r="I4379" s="12">
        <v>0</v>
      </c>
      <c r="J4379" s="11"/>
      <c r="K4379" s="12">
        <v>0</v>
      </c>
      <c r="L4379" s="10" t="str">
        <f t="shared" si="382"/>
        <v>AE dialoghi di tempo fiducia e cura episodi 2-3-4</v>
      </c>
      <c r="M4379" s="10" t="str">
        <f t="shared" si="383"/>
        <v>nicoletta.vozza@crm.otsuka-europe.com</v>
      </c>
      <c r="N4379" s="13">
        <v>46181.338009259256</v>
      </c>
      <c r="O4379" s="14" t="str">
        <f>HYPERLINK("https://otsuka-europe-crm.veevavault.com/ui/#object/email_activity__v/V8C00000003O465", "EN-002090021")</f>
        <v>EN-002090021</v>
      </c>
    </row>
    <row r="4380" spans="1:15" ht="32" x14ac:dyDescent="0.2">
      <c r="A4380" s="7" t="str">
        <f>HYPERLINK("https://otsuka-europe-crm.veevavault.com/ui/#object/account__v/V4TZ025E87OV2BF", "MARIA BOSCACCI")</f>
        <v>MARIA BOSCACCI</v>
      </c>
      <c r="B4380" s="7" t="str">
        <f t="shared" si="380"/>
        <v>IT</v>
      </c>
      <c r="C4380" s="8" t="s">
        <v>44</v>
      </c>
      <c r="D4380" s="9" t="str">
        <f t="shared" si="381"/>
        <v>AE dialoghi di tempo fiducia e cura episodi 2-3-4</v>
      </c>
      <c r="E4380" s="10" t="str">
        <f>HYPERLINK("https://otsuka-europe-crm.veevavault.com/ui/#object/sent_email__v/VBL00000002P630", "SE-001433300")</f>
        <v>SE-001433300</v>
      </c>
      <c r="F4380" s="11"/>
      <c r="G4380" s="12">
        <v>0</v>
      </c>
      <c r="H4380" s="12">
        <v>0</v>
      </c>
      <c r="I4380" s="12">
        <v>0</v>
      </c>
      <c r="J4380" s="11"/>
      <c r="K4380" s="12">
        <v>0</v>
      </c>
      <c r="L4380" s="10" t="str">
        <f t="shared" si="382"/>
        <v>AE dialoghi di tempo fiducia e cura episodi 2-3-4</v>
      </c>
      <c r="M4380" s="10" t="str">
        <f t="shared" si="383"/>
        <v>nicoletta.vozza@crm.otsuka-europe.com</v>
      </c>
      <c r="N4380" s="13">
        <v>46181.337962962964</v>
      </c>
      <c r="O4380" s="14" t="str">
        <f>HYPERLINK("https://otsuka-europe-crm.veevavault.com/ui/#object/email_activity__v/V8C00000003P202", "EN-002089648")</f>
        <v>EN-002089648</v>
      </c>
    </row>
    <row r="4381" spans="1:15" ht="32" x14ac:dyDescent="0.2">
      <c r="A4381" s="7" t="str">
        <f>HYPERLINK("https://otsuka-europe-crm.veevavault.com/ui/#object/account__v/V4TZ06G6OC6MJFJ", "MARIA CHIARA ALESSI")</f>
        <v>MARIA CHIARA ALESSI</v>
      </c>
      <c r="B4381" s="7" t="str">
        <f t="shared" si="380"/>
        <v>IT</v>
      </c>
      <c r="C4381" s="8" t="s">
        <v>44</v>
      </c>
      <c r="D4381" s="9" t="str">
        <f t="shared" si="381"/>
        <v>AE dialoghi di tempo fiducia e cura episodi 2-3-4</v>
      </c>
      <c r="E4381" s="10" t="str">
        <f>HYPERLINK("https://otsuka-europe-crm.veevavault.com/ui/#object/sent_email__v/VBL00000002P631", "SE-001433301")</f>
        <v>SE-001433301</v>
      </c>
      <c r="F4381" s="11"/>
      <c r="G4381" s="12">
        <v>0</v>
      </c>
      <c r="H4381" s="12">
        <v>0</v>
      </c>
      <c r="I4381" s="12">
        <v>0</v>
      </c>
      <c r="J4381" s="11"/>
      <c r="K4381" s="12">
        <v>0</v>
      </c>
      <c r="L4381" s="10" t="str">
        <f t="shared" si="382"/>
        <v>AE dialoghi di tempo fiducia e cura episodi 2-3-4</v>
      </c>
      <c r="M4381" s="10" t="str">
        <f t="shared" si="383"/>
        <v>nicoletta.vozza@crm.otsuka-europe.com</v>
      </c>
      <c r="N4381" s="13">
        <v>46181.339097222219</v>
      </c>
      <c r="O4381" s="14" t="str">
        <f>HYPERLINK("https://otsuka-europe-crm.veevavault.com/ui/#object/email_activity__v/V8C00000003Q214", "EN-002091320")</f>
        <v>EN-002091320</v>
      </c>
    </row>
    <row r="4382" spans="1:15" ht="32" x14ac:dyDescent="0.2">
      <c r="A4382" s="7" t="str">
        <f>HYPERLINK("https://otsuka-europe-crm.veevavault.com/ui/#object/account__v/V4TZ06G6O71SBPN", "MARIA CHIARA OLIVOTTO")</f>
        <v>MARIA CHIARA OLIVOTTO</v>
      </c>
      <c r="B4382" s="7" t="str">
        <f t="shared" si="380"/>
        <v>IT</v>
      </c>
      <c r="C4382" s="8" t="s">
        <v>44</v>
      </c>
      <c r="D4382" s="9" t="str">
        <f t="shared" si="381"/>
        <v>AE dialoghi di tempo fiducia e cura episodi 2-3-4</v>
      </c>
      <c r="E4382" s="10" t="str">
        <f>HYPERLINK("https://otsuka-europe-crm.veevavault.com/ui/#object/sent_email__v/VBL00000002P632", "SE-001433302")</f>
        <v>SE-001433302</v>
      </c>
      <c r="F4382" s="11"/>
      <c r="G4382" s="12">
        <v>0</v>
      </c>
      <c r="H4382" s="12">
        <v>0</v>
      </c>
      <c r="I4382" s="12">
        <v>0</v>
      </c>
      <c r="J4382" s="11"/>
      <c r="K4382" s="12">
        <v>0</v>
      </c>
      <c r="L4382" s="10" t="str">
        <f t="shared" si="382"/>
        <v>AE dialoghi di tempo fiducia e cura episodi 2-3-4</v>
      </c>
      <c r="M4382" s="10" t="str">
        <f t="shared" si="383"/>
        <v>nicoletta.vozza@crm.otsuka-europe.com</v>
      </c>
      <c r="N4382" s="13">
        <v>46181.338055555556</v>
      </c>
      <c r="O4382" s="14" t="str">
        <f>HYPERLINK("https://otsuka-europe-crm.veevavault.com/ui/#object/email_activity__v/V8C00000003O487", "EN-002090043")</f>
        <v>EN-002090043</v>
      </c>
    </row>
    <row r="4383" spans="1:15" ht="16" x14ac:dyDescent="0.2">
      <c r="A4383" s="17" t="str">
        <f>HYPERLINK("https://otsuka-europe-crm.veevavault.com/ui/#object/account__v/V4TZ06G6O71SCL3", "MARIA CHIARA TORTI")</f>
        <v>MARIA CHIARA TORTI</v>
      </c>
      <c r="B4383" s="17" t="str">
        <f t="shared" si="380"/>
        <v>IT</v>
      </c>
      <c r="C4383" s="20" t="s">
        <v>44</v>
      </c>
      <c r="D4383" s="21" t="str">
        <f t="shared" si="381"/>
        <v>AE dialoghi di tempo fiducia e cura episodi 2-3-4</v>
      </c>
      <c r="E4383" s="22" t="str">
        <f>HYPERLINK("https://otsuka-europe-crm.veevavault.com/ui/#object/sent_email__v/VBL00000002P633", "SE-001433303")</f>
        <v>SE-001433303</v>
      </c>
      <c r="F4383" s="25"/>
      <c r="G4383" s="24">
        <v>0</v>
      </c>
      <c r="H4383" s="24">
        <v>0</v>
      </c>
      <c r="I4383" s="24">
        <v>0</v>
      </c>
      <c r="J4383" s="25"/>
      <c r="K4383" s="24">
        <v>0</v>
      </c>
      <c r="L4383" s="22" t="str">
        <f t="shared" si="382"/>
        <v>AE dialoghi di tempo fiducia e cura episodi 2-3-4</v>
      </c>
      <c r="M4383" s="22" t="str">
        <f t="shared" si="383"/>
        <v>nicoletta.vozza@crm.otsuka-europe.com</v>
      </c>
      <c r="N4383" s="23">
        <v>46181.338055555556</v>
      </c>
      <c r="O4383" s="14" t="str">
        <f>HYPERLINK("https://otsuka-europe-crm.veevavault.com/ui/#object/email_activity__v/V8C00000003P746", "EN-002091044")</f>
        <v>EN-002091044</v>
      </c>
    </row>
    <row r="4384" spans="1:15" ht="16" x14ac:dyDescent="0.2">
      <c r="A4384" s="19"/>
      <c r="B4384" s="19"/>
      <c r="C4384" s="19"/>
      <c r="D4384" s="19"/>
      <c r="E4384" s="19"/>
      <c r="F4384" s="19"/>
      <c r="G4384" s="19"/>
      <c r="H4384" s="19"/>
      <c r="I4384" s="19"/>
      <c r="J4384" s="19"/>
      <c r="K4384" s="19"/>
      <c r="L4384" s="19"/>
      <c r="M4384" s="19"/>
      <c r="N4384" s="19"/>
      <c r="O4384" s="14" t="str">
        <f>HYPERLINK("https://otsuka-europe-crm.veevavault.com/ui/#object/email_activity__v/V8C00000003Q734", "EN-002092297")</f>
        <v>EN-002092297</v>
      </c>
    </row>
    <row r="4385" spans="1:15" ht="32" x14ac:dyDescent="0.2">
      <c r="A4385" s="7" t="str">
        <f>HYPERLINK("https://otsuka-europe-crm.veevavault.com/ui/#object/account__v/V4TZ04ASG7NVZNN", "MARIA CIAFONE")</f>
        <v>MARIA CIAFONE</v>
      </c>
      <c r="B4385" s="7" t="str">
        <f t="shared" ref="B4385:B4391" si="384">HYPERLINK("https://otsuka-europe-crm.veevavault.com/ui/#object/vcountry__v/VENZ000004SONFQ", "IT")</f>
        <v>IT</v>
      </c>
      <c r="C4385" s="8" t="s">
        <v>44</v>
      </c>
      <c r="D4385" s="9" t="str">
        <f t="shared" ref="D4385:D4391" si="385">HYPERLINK("https://otsuka-europe-crm.veevavault.com/ui/#object/approved_document__v/V5O000000018003", "AE dialoghi di tempo fiducia e cura episodi 2-3-4")</f>
        <v>AE dialoghi di tempo fiducia e cura episodi 2-3-4</v>
      </c>
      <c r="E4385" s="10" t="str">
        <f>HYPERLINK("https://otsuka-europe-crm.veevavault.com/ui/#object/sent_email__v/VBL00000002P634", "SE-001433304")</f>
        <v>SE-001433304</v>
      </c>
      <c r="F4385" s="11"/>
      <c r="G4385" s="12">
        <v>0</v>
      </c>
      <c r="H4385" s="12">
        <v>0</v>
      </c>
      <c r="I4385" s="12">
        <v>0</v>
      </c>
      <c r="J4385" s="11"/>
      <c r="K4385" s="12">
        <v>0</v>
      </c>
      <c r="L4385" s="10" t="str">
        <f t="shared" ref="L4385:L4391" si="386">HYPERLINK("https://otsuka-europe-crm.veevavault.com/ui/#object/approved_document__v/V5O000000018003", "AE dialoghi di tempo fiducia e cura episodi 2-3-4")</f>
        <v>AE dialoghi di tempo fiducia e cura episodi 2-3-4</v>
      </c>
      <c r="M4385" s="10" t="str">
        <f t="shared" ref="M4385:M4391" si="387">HYPERLINK("mailto:nicoletta.vozza@crm.otsuka-europe.com", "nicoletta.vozza@crm.otsuka-europe.com")</f>
        <v>nicoletta.vozza@crm.otsuka-europe.com</v>
      </c>
      <c r="N4385" s="13">
        <v>46181.337962962964</v>
      </c>
      <c r="O4385" s="14" t="str">
        <f>HYPERLINK("https://otsuka-europe-crm.veevavault.com/ui/#object/email_activity__v/V8C00000003P199", "EN-002089645")</f>
        <v>EN-002089645</v>
      </c>
    </row>
    <row r="4386" spans="1:15" ht="32" x14ac:dyDescent="0.2">
      <c r="A4386" s="7" t="str">
        <f>HYPERLINK("https://otsuka-europe-crm.veevavault.com/ui/#object/account__v/V4TZ06G6O71SCCL", "MARIA CICALE")</f>
        <v>MARIA CICALE</v>
      </c>
      <c r="B4386" s="7" t="str">
        <f t="shared" si="384"/>
        <v>IT</v>
      </c>
      <c r="C4386" s="8" t="s">
        <v>44</v>
      </c>
      <c r="D4386" s="9" t="str">
        <f t="shared" si="385"/>
        <v>AE dialoghi di tempo fiducia e cura episodi 2-3-4</v>
      </c>
      <c r="E4386" s="10" t="str">
        <f>HYPERLINK("https://otsuka-europe-crm.veevavault.com/ui/#object/sent_email__v/VBL00000002P635", "SE-001433305")</f>
        <v>SE-001433305</v>
      </c>
      <c r="F4386" s="11"/>
      <c r="G4386" s="12">
        <v>0</v>
      </c>
      <c r="H4386" s="12">
        <v>0</v>
      </c>
      <c r="I4386" s="12">
        <v>0</v>
      </c>
      <c r="J4386" s="11"/>
      <c r="K4386" s="12">
        <v>0</v>
      </c>
      <c r="L4386" s="10" t="str">
        <f t="shared" si="386"/>
        <v>AE dialoghi di tempo fiducia e cura episodi 2-3-4</v>
      </c>
      <c r="M4386" s="10" t="str">
        <f t="shared" si="387"/>
        <v>nicoletta.vozza@crm.otsuka-europe.com</v>
      </c>
      <c r="N4386" s="13">
        <v>46181.337951388887</v>
      </c>
      <c r="O4386" s="14" t="str">
        <f>HYPERLINK("https://otsuka-europe-crm.veevavault.com/ui/#object/email_activity__v/V8C00000003O502", "EN-002090058")</f>
        <v>EN-002090058</v>
      </c>
    </row>
    <row r="4387" spans="1:15" ht="32" x14ac:dyDescent="0.2">
      <c r="A4387" s="7" t="str">
        <f>HYPERLINK("https://otsuka-europe-crm.veevavault.com/ui/#object/account__v/V4TZ06G6O71SB24", "MARIA CLAPS")</f>
        <v>MARIA CLAPS</v>
      </c>
      <c r="B4387" s="7" t="str">
        <f t="shared" si="384"/>
        <v>IT</v>
      </c>
      <c r="C4387" s="8" t="s">
        <v>44</v>
      </c>
      <c r="D4387" s="9" t="str">
        <f t="shared" si="385"/>
        <v>AE dialoghi di tempo fiducia e cura episodi 2-3-4</v>
      </c>
      <c r="E4387" s="10" t="str">
        <f>HYPERLINK("https://otsuka-europe-crm.veevavault.com/ui/#object/sent_email__v/VBL00000002P636", "SE-001433306")</f>
        <v>SE-001433306</v>
      </c>
      <c r="F4387" s="11"/>
      <c r="G4387" s="12">
        <v>0</v>
      </c>
      <c r="H4387" s="12">
        <v>0</v>
      </c>
      <c r="I4387" s="12">
        <v>0</v>
      </c>
      <c r="J4387" s="11"/>
      <c r="K4387" s="12">
        <v>0</v>
      </c>
      <c r="L4387" s="10" t="str">
        <f t="shared" si="386"/>
        <v>AE dialoghi di tempo fiducia e cura episodi 2-3-4</v>
      </c>
      <c r="M4387" s="10" t="str">
        <f t="shared" si="387"/>
        <v>nicoletta.vozza@crm.otsuka-europe.com</v>
      </c>
      <c r="N4387" s="13">
        <v>46181.337951388887</v>
      </c>
      <c r="O4387" s="14" t="str">
        <f>HYPERLINK("https://otsuka-europe-crm.veevavault.com/ui/#object/email_activity__v/V8C00000003O161", "EN-002089598")</f>
        <v>EN-002089598</v>
      </c>
    </row>
    <row r="4388" spans="1:15" ht="32" x14ac:dyDescent="0.2">
      <c r="A4388" s="7" t="str">
        <f>HYPERLINK("https://otsuka-europe-crm.veevavault.com/ui/#object/account__v/V4TZ06G6O71SB2X", "MARIA COPPOLA")</f>
        <v>MARIA COPPOLA</v>
      </c>
      <c r="B4388" s="7" t="str">
        <f t="shared" si="384"/>
        <v>IT</v>
      </c>
      <c r="C4388" s="8" t="s">
        <v>44</v>
      </c>
      <c r="D4388" s="9" t="str">
        <f t="shared" si="385"/>
        <v>AE dialoghi di tempo fiducia e cura episodi 2-3-4</v>
      </c>
      <c r="E4388" s="10" t="str">
        <f>HYPERLINK("https://otsuka-europe-crm.veevavault.com/ui/#object/sent_email__v/VBL00000002P637", "SE-001433307")</f>
        <v>SE-001433307</v>
      </c>
      <c r="F4388" s="11"/>
      <c r="G4388" s="12">
        <v>0</v>
      </c>
      <c r="H4388" s="12">
        <v>0</v>
      </c>
      <c r="I4388" s="12">
        <v>0</v>
      </c>
      <c r="J4388" s="11"/>
      <c r="K4388" s="12">
        <v>0</v>
      </c>
      <c r="L4388" s="10" t="str">
        <f t="shared" si="386"/>
        <v>AE dialoghi di tempo fiducia e cura episodi 2-3-4</v>
      </c>
      <c r="M4388" s="10" t="str">
        <f t="shared" si="387"/>
        <v>nicoletta.vozza@crm.otsuka-europe.com</v>
      </c>
      <c r="N4388" s="13">
        <v>46181.338090277779</v>
      </c>
      <c r="O4388" s="14" t="str">
        <f>HYPERLINK("https://otsuka-europe-crm.veevavault.com/ui/#object/email_activity__v/V8C00000003Q133", "EN-002091216")</f>
        <v>EN-002091216</v>
      </c>
    </row>
    <row r="4389" spans="1:15" ht="32" x14ac:dyDescent="0.2">
      <c r="A4389" s="7" t="str">
        <f>HYPERLINK("https://otsuka-europe-crm.veevavault.com/ui/#object/account__v/V4TZ06G6O71SCF2", "MARIA COSTANZA SCURA")</f>
        <v>MARIA COSTANZA SCURA</v>
      </c>
      <c r="B4389" s="7" t="str">
        <f t="shared" si="384"/>
        <v>IT</v>
      </c>
      <c r="C4389" s="8" t="s">
        <v>44</v>
      </c>
      <c r="D4389" s="9" t="str">
        <f t="shared" si="385"/>
        <v>AE dialoghi di tempo fiducia e cura episodi 2-3-4</v>
      </c>
      <c r="E4389" s="10" t="str">
        <f>HYPERLINK("https://otsuka-europe-crm.veevavault.com/ui/#object/sent_email__v/VBL00000002P638", "SE-001433308")</f>
        <v>SE-001433308</v>
      </c>
      <c r="F4389" s="11"/>
      <c r="G4389" s="12">
        <v>0</v>
      </c>
      <c r="H4389" s="12">
        <v>0</v>
      </c>
      <c r="I4389" s="12">
        <v>0</v>
      </c>
      <c r="J4389" s="11"/>
      <c r="K4389" s="12">
        <v>0</v>
      </c>
      <c r="L4389" s="10" t="str">
        <f t="shared" si="386"/>
        <v>AE dialoghi di tempo fiducia e cura episodi 2-3-4</v>
      </c>
      <c r="M4389" s="10" t="str">
        <f t="shared" si="387"/>
        <v>nicoletta.vozza@crm.otsuka-europe.com</v>
      </c>
      <c r="N4389" s="13">
        <v>46181.338043981479</v>
      </c>
      <c r="O4389" s="14" t="str">
        <f>HYPERLINK("https://otsuka-europe-crm.veevavault.com/ui/#object/email_activity__v/V8C00000003P628", "EN-002090883")</f>
        <v>EN-002090883</v>
      </c>
    </row>
    <row r="4390" spans="1:15" ht="32" x14ac:dyDescent="0.2">
      <c r="A4390" s="7" t="str">
        <f>HYPERLINK("https://otsuka-europe-crm.veevavault.com/ui/#object/account__v/V4TZ04ASGAZXHWN", "MARIA CRISTINA CELI")</f>
        <v>MARIA CRISTINA CELI</v>
      </c>
      <c r="B4390" s="7" t="str">
        <f t="shared" si="384"/>
        <v>IT</v>
      </c>
      <c r="C4390" s="8" t="s">
        <v>44</v>
      </c>
      <c r="D4390" s="9" t="str">
        <f t="shared" si="385"/>
        <v>AE dialoghi di tempo fiducia e cura episodi 2-3-4</v>
      </c>
      <c r="E4390" s="10" t="str">
        <f>HYPERLINK("https://otsuka-europe-crm.veevavault.com/ui/#object/sent_email__v/VBL00000002P639", "SE-001433309")</f>
        <v>SE-001433309</v>
      </c>
      <c r="F4390" s="11"/>
      <c r="G4390" s="12">
        <v>0</v>
      </c>
      <c r="H4390" s="12">
        <v>0</v>
      </c>
      <c r="I4390" s="12">
        <v>0</v>
      </c>
      <c r="J4390" s="11"/>
      <c r="K4390" s="12">
        <v>0</v>
      </c>
      <c r="L4390" s="10" t="str">
        <f t="shared" si="386"/>
        <v>AE dialoghi di tempo fiducia e cura episodi 2-3-4</v>
      </c>
      <c r="M4390" s="10" t="str">
        <f t="shared" si="387"/>
        <v>nicoletta.vozza@crm.otsuka-europe.com</v>
      </c>
      <c r="N4390" s="13">
        <v>46181.337962962964</v>
      </c>
      <c r="O4390" s="14" t="str">
        <f>HYPERLINK("https://otsuka-europe-crm.veevavault.com/ui/#object/email_activity__v/V8C00000003P247", "EN-002089825")</f>
        <v>EN-002089825</v>
      </c>
    </row>
    <row r="4391" spans="1:15" ht="16" x14ac:dyDescent="0.2">
      <c r="A4391" s="17" t="str">
        <f>HYPERLINK("https://otsuka-europe-crm.veevavault.com/ui/#object/account__v/V4TZ06G6OBUDOWF", "MARIA CRISTINA DI GIOIA")</f>
        <v>MARIA CRISTINA DI GIOIA</v>
      </c>
      <c r="B4391" s="17" t="str">
        <f t="shared" si="384"/>
        <v>IT</v>
      </c>
      <c r="C4391" s="20" t="s">
        <v>44</v>
      </c>
      <c r="D4391" s="21" t="str">
        <f t="shared" si="385"/>
        <v>AE dialoghi di tempo fiducia e cura episodi 2-3-4</v>
      </c>
      <c r="E4391" s="22" t="str">
        <f>HYPERLINK("https://otsuka-europe-crm.veevavault.com/ui/#object/sent_email__v/VBL00000002P640", "SE-001433310")</f>
        <v>SE-001433310</v>
      </c>
      <c r="F4391" s="25"/>
      <c r="G4391" s="24">
        <v>0</v>
      </c>
      <c r="H4391" s="24">
        <v>0</v>
      </c>
      <c r="I4391" s="24">
        <v>0</v>
      </c>
      <c r="J4391" s="25"/>
      <c r="K4391" s="24">
        <v>0</v>
      </c>
      <c r="L4391" s="22" t="str">
        <f t="shared" si="386"/>
        <v>AE dialoghi di tempo fiducia e cura episodi 2-3-4</v>
      </c>
      <c r="M4391" s="22" t="str">
        <f t="shared" si="387"/>
        <v>nicoletta.vozza@crm.otsuka-europe.com</v>
      </c>
      <c r="N4391" s="23">
        <v>46181.337962962964</v>
      </c>
      <c r="O4391" s="14" t="str">
        <f>HYPERLINK("https://otsuka-europe-crm.veevavault.com/ui/#object/email_activity__v/V8C00000003O846", "EN-002090464")</f>
        <v>EN-002090464</v>
      </c>
    </row>
    <row r="4392" spans="1:15" ht="16" x14ac:dyDescent="0.2">
      <c r="A4392" s="19"/>
      <c r="B4392" s="19"/>
      <c r="C4392" s="19"/>
      <c r="D4392" s="19"/>
      <c r="E4392" s="19"/>
      <c r="F4392" s="19"/>
      <c r="G4392" s="19"/>
      <c r="H4392" s="19"/>
      <c r="I4392" s="19"/>
      <c r="J4392" s="19"/>
      <c r="K4392" s="19"/>
      <c r="L4392" s="19"/>
      <c r="M4392" s="19"/>
      <c r="N4392" s="19"/>
      <c r="O4392" s="14" t="str">
        <f>HYPERLINK("https://otsuka-europe-crm.veevavault.com/ui/#object/email_activity__v/V8C00000003Q294", "EN-002091432")</f>
        <v>EN-002091432</v>
      </c>
    </row>
    <row r="4393" spans="1:15" ht="32" x14ac:dyDescent="0.2">
      <c r="A4393" s="7" t="str">
        <f>HYPERLINK("https://otsuka-europe-crm.veevavault.com/ui/#object/account__v/V4TZ04ASGDOYKP5", "MARIA CRISTINA PICCOLO")</f>
        <v>MARIA CRISTINA PICCOLO</v>
      </c>
      <c r="B4393" s="7" t="str">
        <f t="shared" ref="B4393:B4404" si="388">HYPERLINK("https://otsuka-europe-crm.veevavault.com/ui/#object/vcountry__v/VENZ000004SONFQ", "IT")</f>
        <v>IT</v>
      </c>
      <c r="C4393" s="8" t="s">
        <v>44</v>
      </c>
      <c r="D4393" s="9" t="str">
        <f t="shared" ref="D4393:D4404" si="389">HYPERLINK("https://otsuka-europe-crm.veevavault.com/ui/#object/approved_document__v/V5O000000018003", "AE dialoghi di tempo fiducia e cura episodi 2-3-4")</f>
        <v>AE dialoghi di tempo fiducia e cura episodi 2-3-4</v>
      </c>
      <c r="E4393" s="10" t="str">
        <f>HYPERLINK("https://otsuka-europe-crm.veevavault.com/ui/#object/sent_email__v/VBL00000002P641", "SE-001433311")</f>
        <v>SE-001433311</v>
      </c>
      <c r="F4393" s="11"/>
      <c r="G4393" s="12">
        <v>0</v>
      </c>
      <c r="H4393" s="12">
        <v>0</v>
      </c>
      <c r="I4393" s="12">
        <v>0</v>
      </c>
      <c r="J4393" s="11"/>
      <c r="K4393" s="12">
        <v>0</v>
      </c>
      <c r="L4393" s="10" t="str">
        <f t="shared" ref="L4393:L4404" si="390">HYPERLINK("https://otsuka-europe-crm.veevavault.com/ui/#object/approved_document__v/V5O000000018003", "AE dialoghi di tempo fiducia e cura episodi 2-3-4")</f>
        <v>AE dialoghi di tempo fiducia e cura episodi 2-3-4</v>
      </c>
      <c r="M4393" s="10" t="str">
        <f t="shared" ref="M4393:M4404" si="391">HYPERLINK("mailto:nicoletta.vozza@crm.otsuka-europe.com", "nicoletta.vozza@crm.otsuka-europe.com")</f>
        <v>nicoletta.vozza@crm.otsuka-europe.com</v>
      </c>
      <c r="N4393" s="13">
        <v>46181.337916666664</v>
      </c>
      <c r="O4393" s="15"/>
    </row>
    <row r="4394" spans="1:15" ht="32" x14ac:dyDescent="0.2">
      <c r="A4394" s="7" t="str">
        <f>HYPERLINK("https://otsuka-europe-crm.veevavault.com/ui/#object/account__v/V4TZ06G6OBU9MCJ", "MARIA DESIREE GILIBERTI")</f>
        <v>MARIA DESIREE GILIBERTI</v>
      </c>
      <c r="B4394" s="7" t="str">
        <f t="shared" si="388"/>
        <v>IT</v>
      </c>
      <c r="C4394" s="8" t="s">
        <v>44</v>
      </c>
      <c r="D4394" s="9" t="str">
        <f t="shared" si="389"/>
        <v>AE dialoghi di tempo fiducia e cura episodi 2-3-4</v>
      </c>
      <c r="E4394" s="10" t="str">
        <f>HYPERLINK("https://otsuka-europe-crm.veevavault.com/ui/#object/sent_email__v/VBL00000002P642", "SE-001433312")</f>
        <v>SE-001433312</v>
      </c>
      <c r="F4394" s="11"/>
      <c r="G4394" s="12">
        <v>0</v>
      </c>
      <c r="H4394" s="12">
        <v>0</v>
      </c>
      <c r="I4394" s="12">
        <v>0</v>
      </c>
      <c r="J4394" s="11"/>
      <c r="K4394" s="12">
        <v>0</v>
      </c>
      <c r="L4394" s="10" t="str">
        <f t="shared" si="390"/>
        <v>AE dialoghi di tempo fiducia e cura episodi 2-3-4</v>
      </c>
      <c r="M4394" s="10" t="str">
        <f t="shared" si="391"/>
        <v>nicoletta.vozza@crm.otsuka-europe.com</v>
      </c>
      <c r="N4394" s="13">
        <v>46181.33803240741</v>
      </c>
      <c r="O4394" s="14" t="str">
        <f>HYPERLINK("https://otsuka-europe-crm.veevavault.com/ui/#object/email_activity__v/V8C00000003P669", "EN-002090924")</f>
        <v>EN-002090924</v>
      </c>
    </row>
    <row r="4395" spans="1:15" ht="32" x14ac:dyDescent="0.2">
      <c r="A4395" s="7" t="str">
        <f>HYPERLINK("https://otsuka-europe-crm.veevavault.com/ui/#object/account__v/V4TZ06G6O71TFS7", "MARIA ELENA DI BENEDETTO")</f>
        <v>MARIA ELENA DI BENEDETTO</v>
      </c>
      <c r="B4395" s="7" t="str">
        <f t="shared" si="388"/>
        <v>IT</v>
      </c>
      <c r="C4395" s="8" t="s">
        <v>44</v>
      </c>
      <c r="D4395" s="9" t="str">
        <f t="shared" si="389"/>
        <v>AE dialoghi di tempo fiducia e cura episodi 2-3-4</v>
      </c>
      <c r="E4395" s="10" t="str">
        <f>HYPERLINK("https://otsuka-europe-crm.veevavault.com/ui/#object/sent_email__v/VBL00000002P643", "SE-001433313")</f>
        <v>SE-001433313</v>
      </c>
      <c r="F4395" s="11"/>
      <c r="G4395" s="12">
        <v>0</v>
      </c>
      <c r="H4395" s="12">
        <v>0</v>
      </c>
      <c r="I4395" s="12">
        <v>0</v>
      </c>
      <c r="J4395" s="11"/>
      <c r="K4395" s="12">
        <v>0</v>
      </c>
      <c r="L4395" s="10" t="str">
        <f t="shared" si="390"/>
        <v>AE dialoghi di tempo fiducia e cura episodi 2-3-4</v>
      </c>
      <c r="M4395" s="10" t="str">
        <f t="shared" si="391"/>
        <v>nicoletta.vozza@crm.otsuka-europe.com</v>
      </c>
      <c r="N4395" s="13">
        <v>46181.337939814817</v>
      </c>
      <c r="O4395" s="14" t="str">
        <f>HYPERLINK("https://otsuka-europe-crm.veevavault.com/ui/#object/email_activity__v/V8C00000003O151", "EN-002089533")</f>
        <v>EN-002089533</v>
      </c>
    </row>
    <row r="4396" spans="1:15" ht="32" x14ac:dyDescent="0.2">
      <c r="A4396" s="7" t="str">
        <f>HYPERLINK("https://otsuka-europe-crm.veevavault.com/ui/#object/account__v/V4TZ04ASGBU0Q13", "MARIA ELENA MORSUCCI")</f>
        <v>MARIA ELENA MORSUCCI</v>
      </c>
      <c r="B4396" s="7" t="str">
        <f t="shared" si="388"/>
        <v>IT</v>
      </c>
      <c r="C4396" s="8" t="s">
        <v>44</v>
      </c>
      <c r="D4396" s="9" t="str">
        <f t="shared" si="389"/>
        <v>AE dialoghi di tempo fiducia e cura episodi 2-3-4</v>
      </c>
      <c r="E4396" s="10" t="str">
        <f>HYPERLINK("https://otsuka-europe-crm.veevavault.com/ui/#object/sent_email__v/VBL00000002P644", "SE-001433314")</f>
        <v>SE-001433314</v>
      </c>
      <c r="F4396" s="11"/>
      <c r="G4396" s="12">
        <v>0</v>
      </c>
      <c r="H4396" s="12">
        <v>0</v>
      </c>
      <c r="I4396" s="12">
        <v>0</v>
      </c>
      <c r="J4396" s="11"/>
      <c r="K4396" s="12">
        <v>0</v>
      </c>
      <c r="L4396" s="10" t="str">
        <f t="shared" si="390"/>
        <v>AE dialoghi di tempo fiducia e cura episodi 2-3-4</v>
      </c>
      <c r="M4396" s="10" t="str">
        <f t="shared" si="391"/>
        <v>nicoletta.vozza@crm.otsuka-europe.com</v>
      </c>
      <c r="N4396" s="13">
        <v>46181.338009259256</v>
      </c>
      <c r="O4396" s="14" t="str">
        <f>HYPERLINK("https://otsuka-europe-crm.veevavault.com/ui/#object/email_activity__v/V8C00000003O369", "EN-002089887")</f>
        <v>EN-002089887</v>
      </c>
    </row>
    <row r="4397" spans="1:15" ht="32" x14ac:dyDescent="0.2">
      <c r="A4397" s="7" t="str">
        <f>HYPERLINK("https://otsuka-europe-crm.veevavault.com/ui/#object/account__v/V4TZ06G6O71SC2V", "MARIA ELENA RIDOLFI")</f>
        <v>MARIA ELENA RIDOLFI</v>
      </c>
      <c r="B4397" s="7" t="str">
        <f t="shared" si="388"/>
        <v>IT</v>
      </c>
      <c r="C4397" s="8" t="s">
        <v>44</v>
      </c>
      <c r="D4397" s="9" t="str">
        <f t="shared" si="389"/>
        <v>AE dialoghi di tempo fiducia e cura episodi 2-3-4</v>
      </c>
      <c r="E4397" s="10" t="str">
        <f>HYPERLINK("https://otsuka-europe-crm.veevavault.com/ui/#object/sent_email__v/VBL00000002P645", "SE-001433315")</f>
        <v>SE-001433315</v>
      </c>
      <c r="F4397" s="11"/>
      <c r="G4397" s="12">
        <v>0</v>
      </c>
      <c r="H4397" s="12">
        <v>0</v>
      </c>
      <c r="I4397" s="12">
        <v>0</v>
      </c>
      <c r="J4397" s="11"/>
      <c r="K4397" s="12">
        <v>0</v>
      </c>
      <c r="L4397" s="10" t="str">
        <f t="shared" si="390"/>
        <v>AE dialoghi di tempo fiducia e cura episodi 2-3-4</v>
      </c>
      <c r="M4397" s="10" t="str">
        <f t="shared" si="391"/>
        <v>nicoletta.vozza@crm.otsuka-europe.com</v>
      </c>
      <c r="N4397" s="13">
        <v>46181.33797453704</v>
      </c>
      <c r="O4397" s="14" t="str">
        <f>HYPERLINK("https://otsuka-europe-crm.veevavault.com/ui/#object/email_activity__v/V8C00000003P154", "EN-002089554")</f>
        <v>EN-002089554</v>
      </c>
    </row>
    <row r="4398" spans="1:15" ht="32" x14ac:dyDescent="0.2">
      <c r="A4398" s="7" t="str">
        <f>HYPERLINK("https://otsuka-europe-crm.veevavault.com/ui/#object/account__v/V4TZ06G6O71SCKO", "MARIA FILIPPA GRAZIA TORNAMBE'")</f>
        <v>MARIA FILIPPA GRAZIA TORNAMBE'</v>
      </c>
      <c r="B4398" s="7" t="str">
        <f t="shared" si="388"/>
        <v>IT</v>
      </c>
      <c r="C4398" s="8" t="s">
        <v>44</v>
      </c>
      <c r="D4398" s="9" t="str">
        <f t="shared" si="389"/>
        <v>AE dialoghi di tempo fiducia e cura episodi 2-3-4</v>
      </c>
      <c r="E4398" s="10" t="str">
        <f>HYPERLINK("https://otsuka-europe-crm.veevavault.com/ui/#object/sent_email__v/VBL00000002P646", "SE-001433316")</f>
        <v>SE-001433316</v>
      </c>
      <c r="F4398" s="11"/>
      <c r="G4398" s="12">
        <v>0</v>
      </c>
      <c r="H4398" s="12">
        <v>0</v>
      </c>
      <c r="I4398" s="12">
        <v>0</v>
      </c>
      <c r="J4398" s="11"/>
      <c r="K4398" s="12">
        <v>0</v>
      </c>
      <c r="L4398" s="10" t="str">
        <f t="shared" si="390"/>
        <v>AE dialoghi di tempo fiducia e cura episodi 2-3-4</v>
      </c>
      <c r="M4398" s="10" t="str">
        <f t="shared" si="391"/>
        <v>nicoletta.vozza@crm.otsuka-europe.com</v>
      </c>
      <c r="N4398" s="13">
        <v>46181.33797453704</v>
      </c>
      <c r="O4398" s="14" t="str">
        <f>HYPERLINK("https://otsuka-europe-crm.veevavault.com/ui/#object/email_activity__v/V8C00000003O772", "EN-002090432")</f>
        <v>EN-002090432</v>
      </c>
    </row>
    <row r="4399" spans="1:15" ht="32" x14ac:dyDescent="0.2">
      <c r="A4399" s="7" t="str">
        <f>HYPERLINK("https://otsuka-europe-crm.veevavault.com/ui/#object/account__v/V4TZ06G6O71SBSE", "MARIA FRANCESCA PETRIGNI")</f>
        <v>MARIA FRANCESCA PETRIGNI</v>
      </c>
      <c r="B4399" s="7" t="str">
        <f t="shared" si="388"/>
        <v>IT</v>
      </c>
      <c r="C4399" s="8" t="s">
        <v>44</v>
      </c>
      <c r="D4399" s="9" t="str">
        <f t="shared" si="389"/>
        <v>AE dialoghi di tempo fiducia e cura episodi 2-3-4</v>
      </c>
      <c r="E4399" s="10" t="str">
        <f>HYPERLINK("https://otsuka-europe-crm.veevavault.com/ui/#object/sent_email__v/VBL00000002P647", "SE-001433317")</f>
        <v>SE-001433317</v>
      </c>
      <c r="F4399" s="11"/>
      <c r="G4399" s="12">
        <v>0</v>
      </c>
      <c r="H4399" s="12">
        <v>0</v>
      </c>
      <c r="I4399" s="12">
        <v>0</v>
      </c>
      <c r="J4399" s="11"/>
      <c r="K4399" s="12">
        <v>0</v>
      </c>
      <c r="L4399" s="10" t="str">
        <f t="shared" si="390"/>
        <v>AE dialoghi di tempo fiducia e cura episodi 2-3-4</v>
      </c>
      <c r="M4399" s="10" t="str">
        <f t="shared" si="391"/>
        <v>nicoletta.vozza@crm.otsuka-europe.com</v>
      </c>
      <c r="N4399" s="13">
        <v>46181.337916666664</v>
      </c>
      <c r="O4399" s="15"/>
    </row>
    <row r="4400" spans="1:15" ht="32" x14ac:dyDescent="0.2">
      <c r="A4400" s="7" t="str">
        <f>HYPERLINK("https://otsuka-europe-crm.veevavault.com/ui/#object/account__v/V4TZ025E83Z37SP", "MARIA FRANCESCA SCARAMUZZINO")</f>
        <v>MARIA FRANCESCA SCARAMUZZINO</v>
      </c>
      <c r="B4400" s="7" t="str">
        <f t="shared" si="388"/>
        <v>IT</v>
      </c>
      <c r="C4400" s="8" t="s">
        <v>44</v>
      </c>
      <c r="D4400" s="9" t="str">
        <f t="shared" si="389"/>
        <v>AE dialoghi di tempo fiducia e cura episodi 2-3-4</v>
      </c>
      <c r="E4400" s="10" t="str">
        <f>HYPERLINK("https://otsuka-europe-crm.veevavault.com/ui/#object/sent_email__v/VBL00000002P648", "SE-001433318")</f>
        <v>SE-001433318</v>
      </c>
      <c r="F4400" s="11"/>
      <c r="G4400" s="12">
        <v>0</v>
      </c>
      <c r="H4400" s="12">
        <v>0</v>
      </c>
      <c r="I4400" s="12">
        <v>0</v>
      </c>
      <c r="J4400" s="11"/>
      <c r="K4400" s="12">
        <v>0</v>
      </c>
      <c r="L4400" s="10" t="str">
        <f t="shared" si="390"/>
        <v>AE dialoghi di tempo fiducia e cura episodi 2-3-4</v>
      </c>
      <c r="M4400" s="10" t="str">
        <f t="shared" si="391"/>
        <v>nicoletta.vozza@crm.otsuka-europe.com</v>
      </c>
      <c r="N4400" s="13">
        <v>46181.33792824074</v>
      </c>
      <c r="O4400" s="14" t="str">
        <f>HYPERLINK("https://otsuka-europe-crm.veevavault.com/ui/#object/email_activity__v/V8C00000003P380", "EN-002090386")</f>
        <v>EN-002090386</v>
      </c>
    </row>
    <row r="4401" spans="1:15" ht="32" x14ac:dyDescent="0.2">
      <c r="A4401" s="7" t="str">
        <f>HYPERLINK("https://otsuka-europe-crm.veevavault.com/ui/#object/account__v/V4TZ06G6O71SAN9", "MARIA GABRIELLA FOIA")</f>
        <v>MARIA GABRIELLA FOIA</v>
      </c>
      <c r="B4401" s="7" t="str">
        <f t="shared" si="388"/>
        <v>IT</v>
      </c>
      <c r="C4401" s="8" t="s">
        <v>44</v>
      </c>
      <c r="D4401" s="9" t="str">
        <f t="shared" si="389"/>
        <v>AE dialoghi di tempo fiducia e cura episodi 2-3-4</v>
      </c>
      <c r="E4401" s="10" t="str">
        <f>HYPERLINK("https://otsuka-europe-crm.veevavault.com/ui/#object/sent_email__v/VBL00000002P649", "SE-001433319")</f>
        <v>SE-001433319</v>
      </c>
      <c r="F4401" s="11"/>
      <c r="G4401" s="12">
        <v>0</v>
      </c>
      <c r="H4401" s="12">
        <v>0</v>
      </c>
      <c r="I4401" s="12">
        <v>0</v>
      </c>
      <c r="J4401" s="11"/>
      <c r="K4401" s="12">
        <v>0</v>
      </c>
      <c r="L4401" s="10" t="str">
        <f t="shared" si="390"/>
        <v>AE dialoghi di tempo fiducia e cura episodi 2-3-4</v>
      </c>
      <c r="M4401" s="10" t="str">
        <f t="shared" si="391"/>
        <v>nicoletta.vozza@crm.otsuka-europe.com</v>
      </c>
      <c r="N4401" s="13">
        <v>46181.337962962964</v>
      </c>
      <c r="O4401" s="14" t="str">
        <f>HYPERLINK("https://otsuka-europe-crm.veevavault.com/ui/#object/email_activity__v/V8C00000003O180", "EN-002089617")</f>
        <v>EN-002089617</v>
      </c>
    </row>
    <row r="4402" spans="1:15" ht="32" x14ac:dyDescent="0.2">
      <c r="A4402" s="7" t="str">
        <f>HYPERLINK("https://otsuka-europe-crm.veevavault.com/ui/#object/account__v/V4TZ04ASGC4GOAM", "MARIA GABRIELLA SCHILLACI")</f>
        <v>MARIA GABRIELLA SCHILLACI</v>
      </c>
      <c r="B4402" s="7" t="str">
        <f t="shared" si="388"/>
        <v>IT</v>
      </c>
      <c r="C4402" s="8" t="s">
        <v>44</v>
      </c>
      <c r="D4402" s="9" t="str">
        <f t="shared" si="389"/>
        <v>AE dialoghi di tempo fiducia e cura episodi 2-3-4</v>
      </c>
      <c r="E4402" s="10" t="str">
        <f>HYPERLINK("https://otsuka-europe-crm.veevavault.com/ui/#object/sent_email__v/VBL00000002P650", "SE-001433320")</f>
        <v>SE-001433320</v>
      </c>
      <c r="F4402" s="11"/>
      <c r="G4402" s="12">
        <v>0</v>
      </c>
      <c r="H4402" s="12">
        <v>0</v>
      </c>
      <c r="I4402" s="12">
        <v>0</v>
      </c>
      <c r="J4402" s="11"/>
      <c r="K4402" s="12">
        <v>0</v>
      </c>
      <c r="L4402" s="10" t="str">
        <f t="shared" si="390"/>
        <v>AE dialoghi di tempo fiducia e cura episodi 2-3-4</v>
      </c>
      <c r="M4402" s="10" t="str">
        <f t="shared" si="391"/>
        <v>nicoletta.vozza@crm.otsuka-europe.com</v>
      </c>
      <c r="N4402" s="13">
        <v>46181.33792824074</v>
      </c>
      <c r="O4402" s="14" t="str">
        <f>HYPERLINK("https://otsuka-europe-crm.veevavault.com/ui/#object/email_activity__v/V8C00000003O399", "EN-002089955")</f>
        <v>EN-002089955</v>
      </c>
    </row>
    <row r="4403" spans="1:15" ht="32" x14ac:dyDescent="0.2">
      <c r="A4403" s="7" t="str">
        <f>HYPERLINK("https://otsuka-europe-crm.veevavault.com/ui/#object/account__v/V4TZ06G6O71SBQA", "MARIA GINEVRA ORIANI")</f>
        <v>MARIA GINEVRA ORIANI</v>
      </c>
      <c r="B4403" s="7" t="str">
        <f t="shared" si="388"/>
        <v>IT</v>
      </c>
      <c r="C4403" s="8" t="s">
        <v>44</v>
      </c>
      <c r="D4403" s="9" t="str">
        <f t="shared" si="389"/>
        <v>AE dialoghi di tempo fiducia e cura episodi 2-3-4</v>
      </c>
      <c r="E4403" s="10" t="str">
        <f>HYPERLINK("https://otsuka-europe-crm.veevavault.com/ui/#object/sent_email__v/VBL00000002P651", "SE-001433321")</f>
        <v>SE-001433321</v>
      </c>
      <c r="F4403" s="11"/>
      <c r="G4403" s="12">
        <v>0</v>
      </c>
      <c r="H4403" s="12">
        <v>0</v>
      </c>
      <c r="I4403" s="12">
        <v>0</v>
      </c>
      <c r="J4403" s="11"/>
      <c r="K4403" s="12">
        <v>0</v>
      </c>
      <c r="L4403" s="10" t="str">
        <f t="shared" si="390"/>
        <v>AE dialoghi di tempo fiducia e cura episodi 2-3-4</v>
      </c>
      <c r="M4403" s="10" t="str">
        <f t="shared" si="391"/>
        <v>nicoletta.vozza@crm.otsuka-europe.com</v>
      </c>
      <c r="N4403" s="13">
        <v>46181.339039351849</v>
      </c>
      <c r="O4403" s="14" t="str">
        <f>HYPERLINK("https://otsuka-europe-crm.veevavault.com/ui/#object/email_activity__v/V8C00000003P873", "EN-002091372")</f>
        <v>EN-002091372</v>
      </c>
    </row>
    <row r="4404" spans="1:15" ht="16" x14ac:dyDescent="0.2">
      <c r="A4404" s="17" t="str">
        <f>HYPERLINK("https://otsuka-europe-crm.veevavault.com/ui/#object/account__v/V4TZ06G6O71SAPN", "MARIA GIUSEPPA ANGELA DE LAURENTIS")</f>
        <v>MARIA GIUSEPPA ANGELA DE LAURENTIS</v>
      </c>
      <c r="B4404" s="17" t="str">
        <f t="shared" si="388"/>
        <v>IT</v>
      </c>
      <c r="C4404" s="20" t="s">
        <v>44</v>
      </c>
      <c r="D4404" s="21" t="str">
        <f t="shared" si="389"/>
        <v>AE dialoghi di tempo fiducia e cura episodi 2-3-4</v>
      </c>
      <c r="E4404" s="22" t="str">
        <f>HYPERLINK("https://otsuka-europe-crm.veevavault.com/ui/#object/sent_email__v/VBL00000002P652", "SE-001433322")</f>
        <v>SE-001433322</v>
      </c>
      <c r="F4404" s="25"/>
      <c r="G4404" s="24">
        <v>0</v>
      </c>
      <c r="H4404" s="24">
        <v>0</v>
      </c>
      <c r="I4404" s="24">
        <v>0</v>
      </c>
      <c r="J4404" s="25"/>
      <c r="K4404" s="24">
        <v>0</v>
      </c>
      <c r="L4404" s="22" t="str">
        <f t="shared" si="390"/>
        <v>AE dialoghi di tempo fiducia e cura episodi 2-3-4</v>
      </c>
      <c r="M4404" s="22" t="str">
        <f t="shared" si="391"/>
        <v>nicoletta.vozza@crm.otsuka-europe.com</v>
      </c>
      <c r="N4404" s="23">
        <v>46181.337939814817</v>
      </c>
      <c r="O4404" s="14" t="str">
        <f>HYPERLINK("https://otsuka-europe-crm.veevavault.com/ui/#object/email_activity__v/V8C00000003O153", "EN-002089535")</f>
        <v>EN-002089535</v>
      </c>
    </row>
    <row r="4405" spans="1:15" ht="16" x14ac:dyDescent="0.2">
      <c r="A4405" s="19"/>
      <c r="B4405" s="19"/>
      <c r="C4405" s="19"/>
      <c r="D4405" s="19"/>
      <c r="E4405" s="19"/>
      <c r="F4405" s="19"/>
      <c r="G4405" s="19"/>
      <c r="H4405" s="19"/>
      <c r="I4405" s="19"/>
      <c r="J4405" s="19"/>
      <c r="K4405" s="19"/>
      <c r="L4405" s="19"/>
      <c r="M4405" s="19"/>
      <c r="N4405" s="19"/>
      <c r="O4405" s="14" t="str">
        <f>HYPERLINK("https://otsuka-europe-crm.veevavault.com/ui/#object/email_activity__v/V8C00000003S815", "EN-002094482")</f>
        <v>EN-002094482</v>
      </c>
    </row>
    <row r="4406" spans="1:15" ht="32" x14ac:dyDescent="0.2">
      <c r="A4406" s="7" t="str">
        <f>HYPERLINK("https://otsuka-europe-crm.veevavault.com/ui/#object/account__v/V4TZ06G6O71S9E3", "MARIA GIUSEPPA ELMO")</f>
        <v>MARIA GIUSEPPA ELMO</v>
      </c>
      <c r="B4406" s="7" t="str">
        <f t="shared" ref="B4406:B4411" si="392">HYPERLINK("https://otsuka-europe-crm.veevavault.com/ui/#object/vcountry__v/VENZ000004SONFQ", "IT")</f>
        <v>IT</v>
      </c>
      <c r="C4406" s="8" t="s">
        <v>44</v>
      </c>
      <c r="D4406" s="9" t="str">
        <f t="shared" ref="D4406:D4411" si="393">HYPERLINK("https://otsuka-europe-crm.veevavault.com/ui/#object/approved_document__v/V5O000000018003", "AE dialoghi di tempo fiducia e cura episodi 2-3-4")</f>
        <v>AE dialoghi di tempo fiducia e cura episodi 2-3-4</v>
      </c>
      <c r="E4406" s="10" t="str">
        <f>HYPERLINK("https://otsuka-europe-crm.veevavault.com/ui/#object/sent_email__v/VBL00000002P653", "SE-001433323")</f>
        <v>SE-001433323</v>
      </c>
      <c r="F4406" s="11"/>
      <c r="G4406" s="12">
        <v>0</v>
      </c>
      <c r="H4406" s="12">
        <v>0</v>
      </c>
      <c r="I4406" s="12">
        <v>0</v>
      </c>
      <c r="J4406" s="11"/>
      <c r="K4406" s="12">
        <v>0</v>
      </c>
      <c r="L4406" s="10" t="str">
        <f t="shared" ref="L4406:L4411" si="394">HYPERLINK("https://otsuka-europe-crm.veevavault.com/ui/#object/approved_document__v/V5O000000018003", "AE dialoghi di tempo fiducia e cura episodi 2-3-4")</f>
        <v>AE dialoghi di tempo fiducia e cura episodi 2-3-4</v>
      </c>
      <c r="M4406" s="10" t="str">
        <f t="shared" ref="M4406:M4411" si="395">HYPERLINK("mailto:nicoletta.vozza@crm.otsuka-europe.com", "nicoletta.vozza@crm.otsuka-europe.com")</f>
        <v>nicoletta.vozza@crm.otsuka-europe.com</v>
      </c>
      <c r="N4406" s="13">
        <v>46181.338043981479</v>
      </c>
      <c r="O4406" s="14" t="str">
        <f>HYPERLINK("https://otsuka-europe-crm.veevavault.com/ui/#object/email_activity__v/V8C00000003P738", "EN-002091036")</f>
        <v>EN-002091036</v>
      </c>
    </row>
    <row r="4407" spans="1:15" ht="32" x14ac:dyDescent="0.2">
      <c r="A4407" s="7" t="str">
        <f>HYPERLINK("https://otsuka-europe-crm.veevavault.com/ui/#object/account__v/V4TZ06G6O71SAR2", "MARIA GRASSO")</f>
        <v>MARIA GRASSO</v>
      </c>
      <c r="B4407" s="7" t="str">
        <f t="shared" si="392"/>
        <v>IT</v>
      </c>
      <c r="C4407" s="8" t="s">
        <v>44</v>
      </c>
      <c r="D4407" s="9" t="str">
        <f t="shared" si="393"/>
        <v>AE dialoghi di tempo fiducia e cura episodi 2-3-4</v>
      </c>
      <c r="E4407" s="10" t="str">
        <f>HYPERLINK("https://otsuka-europe-crm.veevavault.com/ui/#object/sent_email__v/VBL00000002P654", "SE-001433324")</f>
        <v>SE-001433324</v>
      </c>
      <c r="F4407" s="11"/>
      <c r="G4407" s="12">
        <v>0</v>
      </c>
      <c r="H4407" s="12">
        <v>0</v>
      </c>
      <c r="I4407" s="12">
        <v>0</v>
      </c>
      <c r="J4407" s="11"/>
      <c r="K4407" s="12">
        <v>0</v>
      </c>
      <c r="L4407" s="10" t="str">
        <f t="shared" si="394"/>
        <v>AE dialoghi di tempo fiducia e cura episodi 2-3-4</v>
      </c>
      <c r="M4407" s="10" t="str">
        <f t="shared" si="395"/>
        <v>nicoletta.vozza@crm.otsuka-europe.com</v>
      </c>
      <c r="N4407" s="13">
        <v>46181.338009259256</v>
      </c>
      <c r="O4407" s="14" t="str">
        <f>HYPERLINK("https://otsuka-europe-crm.veevavault.com/ui/#object/email_activity__v/V8C00000003O370", "EN-002089888")</f>
        <v>EN-002089888</v>
      </c>
    </row>
    <row r="4408" spans="1:15" ht="32" x14ac:dyDescent="0.2">
      <c r="A4408" s="7" t="str">
        <f>HYPERLINK("https://otsuka-europe-crm.veevavault.com/ui/#object/account__v/V4TZ06G6O71S9XH", "MARIA GRAZIA AMATO")</f>
        <v>MARIA GRAZIA AMATO</v>
      </c>
      <c r="B4408" s="7" t="str">
        <f t="shared" si="392"/>
        <v>IT</v>
      </c>
      <c r="C4408" s="8" t="s">
        <v>44</v>
      </c>
      <c r="D4408" s="9" t="str">
        <f t="shared" si="393"/>
        <v>AE dialoghi di tempo fiducia e cura episodi 2-3-4</v>
      </c>
      <c r="E4408" s="10" t="str">
        <f>HYPERLINK("https://otsuka-europe-crm.veevavault.com/ui/#object/sent_email__v/VBL00000002P655", "SE-001433325")</f>
        <v>SE-001433325</v>
      </c>
      <c r="F4408" s="11"/>
      <c r="G4408" s="12">
        <v>0</v>
      </c>
      <c r="H4408" s="12">
        <v>0</v>
      </c>
      <c r="I4408" s="12">
        <v>0</v>
      </c>
      <c r="J4408" s="11"/>
      <c r="K4408" s="12">
        <v>0</v>
      </c>
      <c r="L4408" s="10" t="str">
        <f t="shared" si="394"/>
        <v>AE dialoghi di tempo fiducia e cura episodi 2-3-4</v>
      </c>
      <c r="M4408" s="10" t="str">
        <f t="shared" si="395"/>
        <v>nicoletta.vozza@crm.otsuka-europe.com</v>
      </c>
      <c r="N4408" s="13">
        <v>46181.33798611111</v>
      </c>
      <c r="O4408" s="14" t="str">
        <f>HYPERLINK("https://otsuka-europe-crm.veevavault.com/ui/#object/email_activity__v/V8C00000003Q301", "EN-002091443")</f>
        <v>EN-002091443</v>
      </c>
    </row>
    <row r="4409" spans="1:15" ht="32" x14ac:dyDescent="0.2">
      <c r="A4409" s="7" t="str">
        <f>HYPERLINK("https://otsuka-europe-crm.veevavault.com/ui/#object/account__v/V4TZ06G6O71SC77", "MARIA GRAZIA CELESTE")</f>
        <v>MARIA GRAZIA CELESTE</v>
      </c>
      <c r="B4409" s="7" t="str">
        <f t="shared" si="392"/>
        <v>IT</v>
      </c>
      <c r="C4409" s="8" t="s">
        <v>44</v>
      </c>
      <c r="D4409" s="9" t="str">
        <f t="shared" si="393"/>
        <v>AE dialoghi di tempo fiducia e cura episodi 2-3-4</v>
      </c>
      <c r="E4409" s="10" t="str">
        <f>HYPERLINK("https://otsuka-europe-crm.veevavault.com/ui/#object/sent_email__v/VBL00000002P656", "SE-001433326")</f>
        <v>SE-001433326</v>
      </c>
      <c r="F4409" s="11"/>
      <c r="G4409" s="12">
        <v>0</v>
      </c>
      <c r="H4409" s="12">
        <v>0</v>
      </c>
      <c r="I4409" s="12">
        <v>0</v>
      </c>
      <c r="J4409" s="11"/>
      <c r="K4409" s="12">
        <v>0</v>
      </c>
      <c r="L4409" s="10" t="str">
        <f t="shared" si="394"/>
        <v>AE dialoghi di tempo fiducia e cura episodi 2-3-4</v>
      </c>
      <c r="M4409" s="10" t="str">
        <f t="shared" si="395"/>
        <v>nicoletta.vozza@crm.otsuka-europe.com</v>
      </c>
      <c r="N4409" s="13">
        <v>46181.337962962964</v>
      </c>
      <c r="O4409" s="14" t="str">
        <f>HYPERLINK("https://otsuka-europe-crm.veevavault.com/ui/#object/email_activity__v/V8C00000003O191", "EN-002089628")</f>
        <v>EN-002089628</v>
      </c>
    </row>
    <row r="4410" spans="1:15" ht="32" x14ac:dyDescent="0.2">
      <c r="A4410" s="7" t="str">
        <f>HYPERLINK("https://otsuka-europe-crm.veevavault.com/ui/#object/account__v/V4TZ06G6O71SB2D", "MARIA GRAZIA COLUCCI")</f>
        <v>MARIA GRAZIA COLUCCI</v>
      </c>
      <c r="B4410" s="7" t="str">
        <f t="shared" si="392"/>
        <v>IT</v>
      </c>
      <c r="C4410" s="8" t="s">
        <v>44</v>
      </c>
      <c r="D4410" s="9" t="str">
        <f t="shared" si="393"/>
        <v>AE dialoghi di tempo fiducia e cura episodi 2-3-4</v>
      </c>
      <c r="E4410" s="10" t="str">
        <f>HYPERLINK("https://otsuka-europe-crm.veevavault.com/ui/#object/sent_email__v/VBL00000002P657", "SE-001433327")</f>
        <v>SE-001433327</v>
      </c>
      <c r="F4410" s="11"/>
      <c r="G4410" s="12">
        <v>0</v>
      </c>
      <c r="H4410" s="12">
        <v>0</v>
      </c>
      <c r="I4410" s="12">
        <v>0</v>
      </c>
      <c r="J4410" s="11"/>
      <c r="K4410" s="12">
        <v>0</v>
      </c>
      <c r="L4410" s="10" t="str">
        <f t="shared" si="394"/>
        <v>AE dialoghi di tempo fiducia e cura episodi 2-3-4</v>
      </c>
      <c r="M4410" s="10" t="str">
        <f t="shared" si="395"/>
        <v>nicoletta.vozza@crm.otsuka-europe.com</v>
      </c>
      <c r="N4410" s="13">
        <v>46181.337997685187</v>
      </c>
      <c r="O4410" s="14" t="str">
        <f>HYPERLINK("https://otsuka-europe-crm.veevavault.com/ui/#object/email_activity__v/V8C00000003Q302", "EN-002091447")</f>
        <v>EN-002091447</v>
      </c>
    </row>
    <row r="4411" spans="1:15" ht="16" x14ac:dyDescent="0.2">
      <c r="A4411" s="17" t="str">
        <f>HYPERLINK("https://otsuka-europe-crm.veevavault.com/ui/#object/account__v/V4TZ06G6O71SBWF", "MARIA GRAZIA PIRANI")</f>
        <v>MARIA GRAZIA PIRANI</v>
      </c>
      <c r="B4411" s="17" t="str">
        <f t="shared" si="392"/>
        <v>IT</v>
      </c>
      <c r="C4411" s="20" t="s">
        <v>44</v>
      </c>
      <c r="D4411" s="21" t="str">
        <f t="shared" si="393"/>
        <v>AE dialoghi di tempo fiducia e cura episodi 2-3-4</v>
      </c>
      <c r="E4411" s="22" t="str">
        <f>HYPERLINK("https://otsuka-europe-crm.veevavault.com/ui/#object/sent_email__v/VBL00000002P658", "SE-001433328")</f>
        <v>SE-001433328</v>
      </c>
      <c r="F4411" s="23">
        <v>46181.356689814813</v>
      </c>
      <c r="G4411" s="24">
        <v>1</v>
      </c>
      <c r="H4411" s="24">
        <v>1</v>
      </c>
      <c r="I4411" s="24">
        <v>1</v>
      </c>
      <c r="J4411" s="23">
        <v>46181.356689814813</v>
      </c>
      <c r="K4411" s="24">
        <v>1</v>
      </c>
      <c r="L4411" s="22" t="str">
        <f t="shared" si="394"/>
        <v>AE dialoghi di tempo fiducia e cura episodi 2-3-4</v>
      </c>
      <c r="M4411" s="22" t="str">
        <f t="shared" si="395"/>
        <v>nicoletta.vozza@crm.otsuka-europe.com</v>
      </c>
      <c r="N4411" s="23">
        <v>46181.339050925926</v>
      </c>
      <c r="O4411" s="14" t="str">
        <f>HYPERLINK("https://otsuka-europe-crm.veevavault.com/ui/#object/email_activity__v/V8C00000003Q217", "EN-002091323")</f>
        <v>EN-002091323</v>
      </c>
    </row>
    <row r="4412" spans="1:15" ht="16" x14ac:dyDescent="0.2">
      <c r="A4412" s="18"/>
      <c r="B4412" s="18"/>
      <c r="C4412" s="18"/>
      <c r="D4412" s="18"/>
      <c r="E4412" s="18"/>
      <c r="F4412" s="18"/>
      <c r="G4412" s="18"/>
      <c r="H4412" s="18"/>
      <c r="I4412" s="18"/>
      <c r="J4412" s="18"/>
      <c r="K4412" s="18"/>
      <c r="L4412" s="18"/>
      <c r="M4412" s="18"/>
      <c r="N4412" s="18"/>
      <c r="O4412" s="14" t="str">
        <f>HYPERLINK("https://otsuka-europe-crm.veevavault.com/ui/#object/email_activity__v/V8C00000003Q331", "EN-002091495")</f>
        <v>EN-002091495</v>
      </c>
    </row>
    <row r="4413" spans="1:15" ht="16" x14ac:dyDescent="0.2">
      <c r="A4413" s="19"/>
      <c r="B4413" s="19"/>
      <c r="C4413" s="19"/>
      <c r="D4413" s="19"/>
      <c r="E4413" s="19"/>
      <c r="F4413" s="19"/>
      <c r="G4413" s="19"/>
      <c r="H4413" s="19"/>
      <c r="I4413" s="19"/>
      <c r="J4413" s="19"/>
      <c r="K4413" s="19"/>
      <c r="L4413" s="19"/>
      <c r="M4413" s="19"/>
      <c r="N4413" s="19"/>
      <c r="O4413" s="14" t="str">
        <f>HYPERLINK("https://otsuka-europe-crm.veevavault.com/ui/#object/email_activity__v/V8C00000003Q332", "EN-002091494")</f>
        <v>EN-002091494</v>
      </c>
    </row>
    <row r="4414" spans="1:15" ht="32" x14ac:dyDescent="0.2">
      <c r="A4414" s="7" t="str">
        <f>HYPERLINK("https://otsuka-europe-crm.veevavault.com/ui/#object/account__v/V4TZ06G6O71SB59", "MARIA GRECO")</f>
        <v>MARIA GRECO</v>
      </c>
      <c r="B4414" s="7" t="str">
        <f t="shared" ref="B4414:B4420" si="396">HYPERLINK("https://otsuka-europe-crm.veevavault.com/ui/#object/vcountry__v/VENZ000004SONFQ", "IT")</f>
        <v>IT</v>
      </c>
      <c r="C4414" s="8" t="s">
        <v>44</v>
      </c>
      <c r="D4414" s="9" t="str">
        <f t="shared" ref="D4414:D4420" si="397">HYPERLINK("https://otsuka-europe-crm.veevavault.com/ui/#object/approved_document__v/V5O000000018003", "AE dialoghi di tempo fiducia e cura episodi 2-3-4")</f>
        <v>AE dialoghi di tempo fiducia e cura episodi 2-3-4</v>
      </c>
      <c r="E4414" s="10" t="str">
        <f>HYPERLINK("https://otsuka-europe-crm.veevavault.com/ui/#object/sent_email__v/VBL00000002P659", "SE-001433329")</f>
        <v>SE-001433329</v>
      </c>
      <c r="F4414" s="11"/>
      <c r="G4414" s="12">
        <v>0</v>
      </c>
      <c r="H4414" s="12">
        <v>0</v>
      </c>
      <c r="I4414" s="12">
        <v>0</v>
      </c>
      <c r="J4414" s="11"/>
      <c r="K4414" s="12">
        <v>0</v>
      </c>
      <c r="L4414" s="10" t="str">
        <f t="shared" ref="L4414:L4420" si="398">HYPERLINK("https://otsuka-europe-crm.veevavault.com/ui/#object/approved_document__v/V5O000000018003", "AE dialoghi di tempo fiducia e cura episodi 2-3-4")</f>
        <v>AE dialoghi di tempo fiducia e cura episodi 2-3-4</v>
      </c>
      <c r="M4414" s="10" t="str">
        <f t="shared" ref="M4414:M4420" si="399">HYPERLINK("mailto:nicoletta.vozza@crm.otsuka-europe.com", "nicoletta.vozza@crm.otsuka-europe.com")</f>
        <v>nicoletta.vozza@crm.otsuka-europe.com</v>
      </c>
      <c r="N4414" s="13">
        <v>46181.338125000002</v>
      </c>
      <c r="O4414" s="14" t="str">
        <f>HYPERLINK("https://otsuka-europe-crm.veevavault.com/ui/#object/email_activity__v/V8C00000003O548", "EN-002090104")</f>
        <v>EN-002090104</v>
      </c>
    </row>
    <row r="4415" spans="1:15" ht="32" x14ac:dyDescent="0.2">
      <c r="A4415" s="7" t="str">
        <f>HYPERLINK("https://otsuka-europe-crm.veevavault.com/ui/#object/account__v/V4TZ025E87638M4", "MARIA GRIMALDI")</f>
        <v>MARIA GRIMALDI</v>
      </c>
      <c r="B4415" s="7" t="str">
        <f t="shared" si="396"/>
        <v>IT</v>
      </c>
      <c r="C4415" s="8" t="s">
        <v>44</v>
      </c>
      <c r="D4415" s="9" t="str">
        <f t="shared" si="397"/>
        <v>AE dialoghi di tempo fiducia e cura episodi 2-3-4</v>
      </c>
      <c r="E4415" s="10" t="str">
        <f>HYPERLINK("https://otsuka-europe-crm.veevavault.com/ui/#object/sent_email__v/VBL00000002P660", "SE-001433330")</f>
        <v>SE-001433330</v>
      </c>
      <c r="F4415" s="11"/>
      <c r="G4415" s="12">
        <v>0</v>
      </c>
      <c r="H4415" s="12">
        <v>0</v>
      </c>
      <c r="I4415" s="12">
        <v>0</v>
      </c>
      <c r="J4415" s="11"/>
      <c r="K4415" s="12">
        <v>0</v>
      </c>
      <c r="L4415" s="10" t="str">
        <f t="shared" si="398"/>
        <v>AE dialoghi di tempo fiducia e cura episodi 2-3-4</v>
      </c>
      <c r="M4415" s="10" t="str">
        <f t="shared" si="399"/>
        <v>nicoletta.vozza@crm.otsuka-europe.com</v>
      </c>
      <c r="N4415" s="13">
        <v>46181.337997685187</v>
      </c>
      <c r="O4415" s="14" t="str">
        <f>HYPERLINK("https://otsuka-europe-crm.veevavault.com/ui/#object/email_activity__v/V8C00000003O245", "EN-002089722")</f>
        <v>EN-002089722</v>
      </c>
    </row>
    <row r="4416" spans="1:15" ht="32" x14ac:dyDescent="0.2">
      <c r="A4416" s="7" t="str">
        <f>HYPERLINK("https://otsuka-europe-crm.veevavault.com/ui/#object/account__v/V4TZ06G6O71SA6V", "MARIA LAURA BRACCO")</f>
        <v>MARIA LAURA BRACCO</v>
      </c>
      <c r="B4416" s="7" t="str">
        <f t="shared" si="396"/>
        <v>IT</v>
      </c>
      <c r="C4416" s="8" t="s">
        <v>44</v>
      </c>
      <c r="D4416" s="9" t="str">
        <f t="shared" si="397"/>
        <v>AE dialoghi di tempo fiducia e cura episodi 2-3-4</v>
      </c>
      <c r="E4416" s="10" t="str">
        <f>HYPERLINK("https://otsuka-europe-crm.veevavault.com/ui/#object/sent_email__v/VBL00000002P661", "SE-001433331")</f>
        <v>SE-001433331</v>
      </c>
      <c r="F4416" s="11"/>
      <c r="G4416" s="12">
        <v>0</v>
      </c>
      <c r="H4416" s="12">
        <v>0</v>
      </c>
      <c r="I4416" s="12">
        <v>0</v>
      </c>
      <c r="J4416" s="11"/>
      <c r="K4416" s="12">
        <v>0</v>
      </c>
      <c r="L4416" s="10" t="str">
        <f t="shared" si="398"/>
        <v>AE dialoghi di tempo fiducia e cura episodi 2-3-4</v>
      </c>
      <c r="M4416" s="10" t="str">
        <f t="shared" si="399"/>
        <v>nicoletta.vozza@crm.otsuka-europe.com</v>
      </c>
      <c r="N4416" s="13">
        <v>46181.33792824074</v>
      </c>
      <c r="O4416" s="15"/>
    </row>
    <row r="4417" spans="1:15" ht="32" x14ac:dyDescent="0.2">
      <c r="A4417" s="7" t="str">
        <f>HYPERLINK("https://otsuka-europe-crm.veevavault.com/ui/#object/account__v/V4TZ06G6O71SBCE", "MARIA LAURA MANZONE")</f>
        <v>MARIA LAURA MANZONE</v>
      </c>
      <c r="B4417" s="7" t="str">
        <f t="shared" si="396"/>
        <v>IT</v>
      </c>
      <c r="C4417" s="8" t="s">
        <v>44</v>
      </c>
      <c r="D4417" s="9" t="str">
        <f t="shared" si="397"/>
        <v>AE dialoghi di tempo fiducia e cura episodi 2-3-4</v>
      </c>
      <c r="E4417" s="10" t="str">
        <f>HYPERLINK("https://otsuka-europe-crm.veevavault.com/ui/#object/sent_email__v/VBL00000002P662", "SE-001433332")</f>
        <v>SE-001433332</v>
      </c>
      <c r="F4417" s="11"/>
      <c r="G4417" s="12">
        <v>0</v>
      </c>
      <c r="H4417" s="12">
        <v>0</v>
      </c>
      <c r="I4417" s="12">
        <v>0</v>
      </c>
      <c r="J4417" s="11"/>
      <c r="K4417" s="12">
        <v>0</v>
      </c>
      <c r="L4417" s="10" t="str">
        <f t="shared" si="398"/>
        <v>AE dialoghi di tempo fiducia e cura episodi 2-3-4</v>
      </c>
      <c r="M4417" s="10" t="str">
        <f t="shared" si="399"/>
        <v>nicoletta.vozza@crm.otsuka-europe.com</v>
      </c>
      <c r="N4417" s="13">
        <v>46181.33797453704</v>
      </c>
      <c r="O4417" s="14" t="str">
        <f>HYPERLINK("https://otsuka-europe-crm.veevavault.com/ui/#object/email_activity__v/V8C00000003P176", "EN-002089576")</f>
        <v>EN-002089576</v>
      </c>
    </row>
    <row r="4418" spans="1:15" ht="32" x14ac:dyDescent="0.2">
      <c r="A4418" s="7" t="str">
        <f>HYPERLINK("https://otsuka-europe-crm.veevavault.com/ui/#object/account__v/V4TZ06G6OCEHAQ8", "MARIA LAVINIA LORE'")</f>
        <v>MARIA LAVINIA LORE'</v>
      </c>
      <c r="B4418" s="7" t="str">
        <f t="shared" si="396"/>
        <v>IT</v>
      </c>
      <c r="C4418" s="8" t="s">
        <v>44</v>
      </c>
      <c r="D4418" s="9" t="str">
        <f t="shared" si="397"/>
        <v>AE dialoghi di tempo fiducia e cura episodi 2-3-4</v>
      </c>
      <c r="E4418" s="10" t="str">
        <f>HYPERLINK("https://otsuka-europe-crm.veevavault.com/ui/#object/sent_email__v/VBL00000002P663", "SE-001433333")</f>
        <v>SE-001433333</v>
      </c>
      <c r="F4418" s="11"/>
      <c r="G4418" s="12">
        <v>0</v>
      </c>
      <c r="H4418" s="12">
        <v>0</v>
      </c>
      <c r="I4418" s="12">
        <v>0</v>
      </c>
      <c r="J4418" s="11"/>
      <c r="K4418" s="12">
        <v>0</v>
      </c>
      <c r="L4418" s="10" t="str">
        <f t="shared" si="398"/>
        <v>AE dialoghi di tempo fiducia e cura episodi 2-3-4</v>
      </c>
      <c r="M4418" s="10" t="str">
        <f t="shared" si="399"/>
        <v>nicoletta.vozza@crm.otsuka-europe.com</v>
      </c>
      <c r="N4418" s="13">
        <v>46181.338020833333</v>
      </c>
      <c r="O4418" s="14" t="str">
        <f>HYPERLINK("https://otsuka-europe-crm.veevavault.com/ui/#object/email_activity__v/V8C00000003O430", "EN-002089986")</f>
        <v>EN-002089986</v>
      </c>
    </row>
    <row r="4419" spans="1:15" ht="32" x14ac:dyDescent="0.2">
      <c r="A4419" s="7" t="str">
        <f>HYPERLINK("https://otsuka-europe-crm.veevavault.com/ui/#object/account__v/V4TZ06G6O71SCN8", "MARIA LISA VEGA")</f>
        <v>MARIA LISA VEGA</v>
      </c>
      <c r="B4419" s="7" t="str">
        <f t="shared" si="396"/>
        <v>IT</v>
      </c>
      <c r="C4419" s="8" t="s">
        <v>44</v>
      </c>
      <c r="D4419" s="9" t="str">
        <f t="shared" si="397"/>
        <v>AE dialoghi di tempo fiducia e cura episodi 2-3-4</v>
      </c>
      <c r="E4419" s="10" t="str">
        <f>HYPERLINK("https://otsuka-europe-crm.veevavault.com/ui/#object/sent_email__v/VBL00000002P664", "SE-001433334")</f>
        <v>SE-001433334</v>
      </c>
      <c r="F4419" s="11"/>
      <c r="G4419" s="12">
        <v>0</v>
      </c>
      <c r="H4419" s="12">
        <v>0</v>
      </c>
      <c r="I4419" s="12">
        <v>0</v>
      </c>
      <c r="J4419" s="11"/>
      <c r="K4419" s="12">
        <v>0</v>
      </c>
      <c r="L4419" s="10" t="str">
        <f t="shared" si="398"/>
        <v>AE dialoghi di tempo fiducia e cura episodi 2-3-4</v>
      </c>
      <c r="M4419" s="10" t="str">
        <f t="shared" si="399"/>
        <v>nicoletta.vozza@crm.otsuka-europe.com</v>
      </c>
      <c r="N4419" s="13">
        <v>46181.337997685187</v>
      </c>
      <c r="O4419" s="14" t="str">
        <f>HYPERLINK("https://otsuka-europe-crm.veevavault.com/ui/#object/email_activity__v/V8C00000003P683", "EN-002090938")</f>
        <v>EN-002090938</v>
      </c>
    </row>
    <row r="4420" spans="1:15" ht="16" x14ac:dyDescent="0.2">
      <c r="A4420" s="17" t="str">
        <f>HYPERLINK("https://otsuka-europe-crm.veevavault.com/ui/#object/account__v/V4TZ06G6O71SB89", "MARIA LOFORTE")</f>
        <v>MARIA LOFORTE</v>
      </c>
      <c r="B4420" s="17" t="str">
        <f t="shared" si="396"/>
        <v>IT</v>
      </c>
      <c r="C4420" s="20" t="s">
        <v>44</v>
      </c>
      <c r="D4420" s="21" t="str">
        <f t="shared" si="397"/>
        <v>AE dialoghi di tempo fiducia e cura episodi 2-3-4</v>
      </c>
      <c r="E4420" s="22" t="str">
        <f>HYPERLINK("https://otsuka-europe-crm.veevavault.com/ui/#object/sent_email__v/VBL00000002P665", "SE-001433335")</f>
        <v>SE-001433335</v>
      </c>
      <c r="F4420" s="25"/>
      <c r="G4420" s="24">
        <v>0</v>
      </c>
      <c r="H4420" s="24">
        <v>0</v>
      </c>
      <c r="I4420" s="24">
        <v>0</v>
      </c>
      <c r="J4420" s="25"/>
      <c r="K4420" s="24">
        <v>0</v>
      </c>
      <c r="L4420" s="22" t="str">
        <f t="shared" si="398"/>
        <v>AE dialoghi di tempo fiducia e cura episodi 2-3-4</v>
      </c>
      <c r="M4420" s="22" t="str">
        <f t="shared" si="399"/>
        <v>nicoletta.vozza@crm.otsuka-europe.com</v>
      </c>
      <c r="N4420" s="23">
        <v>46181.338136574072</v>
      </c>
      <c r="O4420" s="14" t="str">
        <f>HYPERLINK("https://otsuka-europe-crm.veevavault.com/ui/#object/email_activity__v/V8C00000003P851", "EN-002091264")</f>
        <v>EN-002091264</v>
      </c>
    </row>
    <row r="4421" spans="1:15" ht="16" x14ac:dyDescent="0.2">
      <c r="A4421" s="18"/>
      <c r="B4421" s="18"/>
      <c r="C4421" s="18"/>
      <c r="D4421" s="18"/>
      <c r="E4421" s="18"/>
      <c r="F4421" s="18"/>
      <c r="G4421" s="18"/>
      <c r="H4421" s="18"/>
      <c r="I4421" s="18"/>
      <c r="J4421" s="18"/>
      <c r="K4421" s="18"/>
      <c r="L4421" s="18"/>
      <c r="M4421" s="18"/>
      <c r="N4421" s="18"/>
      <c r="O4421" s="14" t="str">
        <f>HYPERLINK("https://otsuka-europe-crm.veevavault.com/ui/#object/email_activity__v/V8C00000003Q174", "EN-002091263")</f>
        <v>EN-002091263</v>
      </c>
    </row>
    <row r="4422" spans="1:15" ht="16" x14ac:dyDescent="0.2">
      <c r="A4422" s="18"/>
      <c r="B4422" s="18"/>
      <c r="C4422" s="18"/>
      <c r="D4422" s="18"/>
      <c r="E4422" s="18"/>
      <c r="F4422" s="18"/>
      <c r="G4422" s="18"/>
      <c r="H4422" s="18"/>
      <c r="I4422" s="18"/>
      <c r="J4422" s="18"/>
      <c r="K4422" s="18"/>
      <c r="L4422" s="18"/>
      <c r="M4422" s="18"/>
      <c r="N4422" s="18"/>
      <c r="O4422" s="14" t="str">
        <f>HYPERLINK("https://otsuka-europe-crm.veevavault.com/ui/#object/email_activity__v/V8C00000003U033", "EN-002094887")</f>
        <v>EN-002094887</v>
      </c>
    </row>
    <row r="4423" spans="1:15" ht="16" x14ac:dyDescent="0.2">
      <c r="A4423" s="19"/>
      <c r="B4423" s="19"/>
      <c r="C4423" s="19"/>
      <c r="D4423" s="19"/>
      <c r="E4423" s="19"/>
      <c r="F4423" s="19"/>
      <c r="G4423" s="19"/>
      <c r="H4423" s="19"/>
      <c r="I4423" s="19"/>
      <c r="J4423" s="19"/>
      <c r="K4423" s="19"/>
      <c r="L4423" s="19"/>
      <c r="M4423" s="19"/>
      <c r="N4423" s="19"/>
      <c r="O4423" s="14" t="str">
        <f>HYPERLINK("https://otsuka-europe-crm.veevavault.com/ui/#object/email_activity__v/V8C00000003W103", "EN-002096854")</f>
        <v>EN-002096854</v>
      </c>
    </row>
    <row r="4424" spans="1:15" ht="32" x14ac:dyDescent="0.2">
      <c r="A4424" s="7" t="str">
        <f>HYPERLINK("https://otsuka-europe-crm.veevavault.com/ui/#object/account__v/V4TZ025E87SAUC1", "MARIA LORENA MARZIALE")</f>
        <v>MARIA LORENA MARZIALE</v>
      </c>
      <c r="B4424" s="7" t="str">
        <f>HYPERLINK("https://otsuka-europe-crm.veevavault.com/ui/#object/vcountry__v/VENZ000004SONFQ", "IT")</f>
        <v>IT</v>
      </c>
      <c r="C4424" s="8" t="s">
        <v>44</v>
      </c>
      <c r="D4424" s="9" t="str">
        <f>HYPERLINK("https://otsuka-europe-crm.veevavault.com/ui/#object/approved_document__v/V5O000000018003", "AE dialoghi di tempo fiducia e cura episodi 2-3-4")</f>
        <v>AE dialoghi di tempo fiducia e cura episodi 2-3-4</v>
      </c>
      <c r="E4424" s="10" t="str">
        <f>HYPERLINK("https://otsuka-europe-crm.veevavault.com/ui/#object/sent_email__v/VBL00000002P666", "SE-001433336")</f>
        <v>SE-001433336</v>
      </c>
      <c r="F4424" s="11"/>
      <c r="G4424" s="12">
        <v>0</v>
      </c>
      <c r="H4424" s="12">
        <v>0</v>
      </c>
      <c r="I4424" s="12">
        <v>0</v>
      </c>
      <c r="J4424" s="11"/>
      <c r="K4424" s="12">
        <v>0</v>
      </c>
      <c r="L4424" s="10" t="str">
        <f>HYPERLINK("https://otsuka-europe-crm.veevavault.com/ui/#object/approved_document__v/V5O000000018003", "AE dialoghi di tempo fiducia e cura episodi 2-3-4")</f>
        <v>AE dialoghi di tempo fiducia e cura episodi 2-3-4</v>
      </c>
      <c r="M4424" s="10" t="str">
        <f>HYPERLINK("mailto:nicoletta.vozza@crm.otsuka-europe.com", "nicoletta.vozza@crm.otsuka-europe.com")</f>
        <v>nicoletta.vozza@crm.otsuka-europe.com</v>
      </c>
      <c r="N4424" s="13">
        <v>46181.337939814817</v>
      </c>
      <c r="O4424" s="14" t="str">
        <f>HYPERLINK("https://otsuka-europe-crm.veevavault.com/ui/#object/email_activity__v/V8C00000003P386", "EN-002090392")</f>
        <v>EN-002090392</v>
      </c>
    </row>
    <row r="4425" spans="1:15" ht="16" x14ac:dyDescent="0.2">
      <c r="A4425" s="17" t="str">
        <f>HYPERLINK("https://otsuka-europe-crm.veevavault.com/ui/#object/account__v/V4TZ06G6O71SB92", "MARIA LORUSSO")</f>
        <v>MARIA LORUSSO</v>
      </c>
      <c r="B4425" s="17" t="str">
        <f>HYPERLINK("https://otsuka-europe-crm.veevavault.com/ui/#object/vcountry__v/VENZ000004SONFQ", "IT")</f>
        <v>IT</v>
      </c>
      <c r="C4425" s="20" t="s">
        <v>44</v>
      </c>
      <c r="D4425" s="21" t="str">
        <f>HYPERLINK("https://otsuka-europe-crm.veevavault.com/ui/#object/approved_document__v/V5O000000018003", "AE dialoghi di tempo fiducia e cura episodi 2-3-4")</f>
        <v>AE dialoghi di tempo fiducia e cura episodi 2-3-4</v>
      </c>
      <c r="E4425" s="22" t="str">
        <f>HYPERLINK("https://otsuka-europe-crm.veevavault.com/ui/#object/sent_email__v/VBL00000002P667", "SE-001433337")</f>
        <v>SE-001433337</v>
      </c>
      <c r="F4425" s="23">
        <v>46181.401030092595</v>
      </c>
      <c r="G4425" s="24">
        <v>1</v>
      </c>
      <c r="H4425" s="24">
        <v>2</v>
      </c>
      <c r="I4425" s="24">
        <v>0</v>
      </c>
      <c r="J4425" s="25"/>
      <c r="K4425" s="24">
        <v>0</v>
      </c>
      <c r="L4425" s="22" t="str">
        <f>HYPERLINK("https://otsuka-europe-crm.veevavault.com/ui/#object/approved_document__v/V5O000000018003", "AE dialoghi di tempo fiducia e cura episodi 2-3-4")</f>
        <v>AE dialoghi di tempo fiducia e cura episodi 2-3-4</v>
      </c>
      <c r="M4425" s="22" t="str">
        <f>HYPERLINK("mailto:nicoletta.vozza@crm.otsuka-europe.com", "nicoletta.vozza@crm.otsuka-europe.com")</f>
        <v>nicoletta.vozza@crm.otsuka-europe.com</v>
      </c>
      <c r="N4425" s="23">
        <v>46181.337951388887</v>
      </c>
      <c r="O4425" s="14" t="str">
        <f>HYPERLINK("https://otsuka-europe-crm.veevavault.com/ui/#object/email_activity__v/V8C00000003O813", "EN-002090515")</f>
        <v>EN-002090515</v>
      </c>
    </row>
    <row r="4426" spans="1:15" ht="16" x14ac:dyDescent="0.2">
      <c r="A4426" s="18"/>
      <c r="B4426" s="18"/>
      <c r="C4426" s="18"/>
      <c r="D4426" s="18"/>
      <c r="E4426" s="18"/>
      <c r="F4426" s="18"/>
      <c r="G4426" s="18"/>
      <c r="H4426" s="18"/>
      <c r="I4426" s="18"/>
      <c r="J4426" s="18"/>
      <c r="K4426" s="18"/>
      <c r="L4426" s="18"/>
      <c r="M4426" s="18"/>
      <c r="N4426" s="18"/>
      <c r="O4426" s="14" t="str">
        <f>HYPERLINK("https://otsuka-europe-crm.veevavault.com/ui/#object/email_activity__v/V8C00000003R027", "EN-002091752")</f>
        <v>EN-002091752</v>
      </c>
    </row>
    <row r="4427" spans="1:15" ht="16" x14ac:dyDescent="0.2">
      <c r="A4427" s="19"/>
      <c r="B4427" s="19"/>
      <c r="C4427" s="19"/>
      <c r="D4427" s="19"/>
      <c r="E4427" s="19"/>
      <c r="F4427" s="19"/>
      <c r="G4427" s="19"/>
      <c r="H4427" s="19"/>
      <c r="I4427" s="19"/>
      <c r="J4427" s="19"/>
      <c r="K4427" s="19"/>
      <c r="L4427" s="19"/>
      <c r="M4427" s="19"/>
      <c r="N4427" s="19"/>
      <c r="O4427" s="14" t="str">
        <f>HYPERLINK("https://otsuka-europe-crm.veevavault.com/ui/#object/email_activity__v/V8C00000003R029", "EN-002091754")</f>
        <v>EN-002091754</v>
      </c>
    </row>
    <row r="4428" spans="1:15" ht="32" x14ac:dyDescent="0.2">
      <c r="A4428" s="7" t="str">
        <f>HYPERLINK("https://otsuka-europe-crm.veevavault.com/ui/#object/account__v/V4TZ04ASGFQ75O7", "MARIA LUCIA ROSARIA LIBUTTI")</f>
        <v>MARIA LUCIA ROSARIA LIBUTTI</v>
      </c>
      <c r="B4428" s="7" t="str">
        <f t="shared" ref="B4428:B4434" si="400">HYPERLINK("https://otsuka-europe-crm.veevavault.com/ui/#object/vcountry__v/VENZ000004SONFQ", "IT")</f>
        <v>IT</v>
      </c>
      <c r="C4428" s="8" t="s">
        <v>44</v>
      </c>
      <c r="D4428" s="9" t="str">
        <f t="shared" ref="D4428:D4434" si="401">HYPERLINK("https://otsuka-europe-crm.veevavault.com/ui/#object/approved_document__v/V5O000000018003", "AE dialoghi di tempo fiducia e cura episodi 2-3-4")</f>
        <v>AE dialoghi di tempo fiducia e cura episodi 2-3-4</v>
      </c>
      <c r="E4428" s="10" t="str">
        <f>HYPERLINK("https://otsuka-europe-crm.veevavault.com/ui/#object/sent_email__v/VBL00000002P668", "SE-001433338")</f>
        <v>SE-001433338</v>
      </c>
      <c r="F4428" s="11"/>
      <c r="G4428" s="12">
        <v>0</v>
      </c>
      <c r="H4428" s="12">
        <v>0</v>
      </c>
      <c r="I4428" s="12">
        <v>0</v>
      </c>
      <c r="J4428" s="11"/>
      <c r="K4428" s="12">
        <v>0</v>
      </c>
      <c r="L4428" s="10" t="str">
        <f t="shared" ref="L4428:L4434" si="402">HYPERLINK("https://otsuka-europe-crm.veevavault.com/ui/#object/approved_document__v/V5O000000018003", "AE dialoghi di tempo fiducia e cura episodi 2-3-4")</f>
        <v>AE dialoghi di tempo fiducia e cura episodi 2-3-4</v>
      </c>
      <c r="M4428" s="10" t="str">
        <f t="shared" ref="M4428:M4434" si="403">HYPERLINK("mailto:nicoletta.vozza@crm.otsuka-europe.com", "nicoletta.vozza@crm.otsuka-europe.com")</f>
        <v>nicoletta.vozza@crm.otsuka-europe.com</v>
      </c>
      <c r="N4428" s="13">
        <v>46181.337997685187</v>
      </c>
      <c r="O4428" s="14" t="str">
        <f>HYPERLINK("https://otsuka-europe-crm.veevavault.com/ui/#object/email_activity__v/V8C00000003O360", "EN-002089878")</f>
        <v>EN-002089878</v>
      </c>
    </row>
    <row r="4429" spans="1:15" ht="32" x14ac:dyDescent="0.2">
      <c r="A4429" s="7" t="str">
        <f>HYPERLINK("https://otsuka-europe-crm.veevavault.com/ui/#object/account__v/V4TZ06G6O71TFSF", "MARIA LUISA D'ORSI")</f>
        <v>MARIA LUISA D'ORSI</v>
      </c>
      <c r="B4429" s="7" t="str">
        <f t="shared" si="400"/>
        <v>IT</v>
      </c>
      <c r="C4429" s="8" t="s">
        <v>44</v>
      </c>
      <c r="D4429" s="9" t="str">
        <f t="shared" si="401"/>
        <v>AE dialoghi di tempo fiducia e cura episodi 2-3-4</v>
      </c>
      <c r="E4429" s="10" t="str">
        <f>HYPERLINK("https://otsuka-europe-crm.veevavault.com/ui/#object/sent_email__v/VBL00000002P669", "SE-001433339")</f>
        <v>SE-001433339</v>
      </c>
      <c r="F4429" s="11"/>
      <c r="G4429" s="12">
        <v>0</v>
      </c>
      <c r="H4429" s="12">
        <v>0</v>
      </c>
      <c r="I4429" s="12">
        <v>0</v>
      </c>
      <c r="J4429" s="11"/>
      <c r="K4429" s="12">
        <v>0</v>
      </c>
      <c r="L4429" s="10" t="str">
        <f t="shared" si="402"/>
        <v>AE dialoghi di tempo fiducia e cura episodi 2-3-4</v>
      </c>
      <c r="M4429" s="10" t="str">
        <f t="shared" si="403"/>
        <v>nicoletta.vozza@crm.otsuka-europe.com</v>
      </c>
      <c r="N4429" s="13">
        <v>46181.338020833333</v>
      </c>
      <c r="O4429" s="14" t="str">
        <f>HYPERLINK("https://otsuka-europe-crm.veevavault.com/ui/#object/email_activity__v/V8C00000003P488", "EN-002090707")</f>
        <v>EN-002090707</v>
      </c>
    </row>
    <row r="4430" spans="1:15" ht="32" x14ac:dyDescent="0.2">
      <c r="A4430" s="7" t="str">
        <f>HYPERLINK("https://otsuka-europe-crm.veevavault.com/ui/#object/account__v/V4TZ06G6O71SCC2", "MARIA LUISA SAVINO")</f>
        <v>MARIA LUISA SAVINO</v>
      </c>
      <c r="B4430" s="7" t="str">
        <f t="shared" si="400"/>
        <v>IT</v>
      </c>
      <c r="C4430" s="8" t="s">
        <v>44</v>
      </c>
      <c r="D4430" s="9" t="str">
        <f t="shared" si="401"/>
        <v>AE dialoghi di tempo fiducia e cura episodi 2-3-4</v>
      </c>
      <c r="E4430" s="10" t="str">
        <f>HYPERLINK("https://otsuka-europe-crm.veevavault.com/ui/#object/sent_email__v/VBL00000002P670", "SE-001433340")</f>
        <v>SE-001433340</v>
      </c>
      <c r="F4430" s="11"/>
      <c r="G4430" s="12">
        <v>0</v>
      </c>
      <c r="H4430" s="12">
        <v>0</v>
      </c>
      <c r="I4430" s="12">
        <v>0</v>
      </c>
      <c r="J4430" s="11"/>
      <c r="K4430" s="12">
        <v>0</v>
      </c>
      <c r="L4430" s="10" t="str">
        <f t="shared" si="402"/>
        <v>AE dialoghi di tempo fiducia e cura episodi 2-3-4</v>
      </c>
      <c r="M4430" s="10" t="str">
        <f t="shared" si="403"/>
        <v>nicoletta.vozza@crm.otsuka-europe.com</v>
      </c>
      <c r="N4430" s="13">
        <v>46181.337997685187</v>
      </c>
      <c r="O4430" s="14" t="str">
        <f>HYPERLINK("https://otsuka-europe-crm.veevavault.com/ui/#object/email_activity__v/V8C00000003P823", "EN-002091121")</f>
        <v>EN-002091121</v>
      </c>
    </row>
    <row r="4431" spans="1:15" ht="32" x14ac:dyDescent="0.2">
      <c r="A4431" s="7" t="str">
        <f>HYPERLINK("https://otsuka-europe-crm.veevavault.com/ui/#object/account__v/V4TZ06G6O71SBLQ", "MARIA MOTTOLA")</f>
        <v>MARIA MOTTOLA</v>
      </c>
      <c r="B4431" s="7" t="str">
        <f t="shared" si="400"/>
        <v>IT</v>
      </c>
      <c r="C4431" s="8" t="s">
        <v>44</v>
      </c>
      <c r="D4431" s="9" t="str">
        <f t="shared" si="401"/>
        <v>AE dialoghi di tempo fiducia e cura episodi 2-3-4</v>
      </c>
      <c r="E4431" s="10" t="str">
        <f>HYPERLINK("https://otsuka-europe-crm.veevavault.com/ui/#object/sent_email__v/VBL00000002P671", "SE-001433341")</f>
        <v>SE-001433341</v>
      </c>
      <c r="F4431" s="11"/>
      <c r="G4431" s="12">
        <v>0</v>
      </c>
      <c r="H4431" s="12">
        <v>0</v>
      </c>
      <c r="I4431" s="12">
        <v>0</v>
      </c>
      <c r="J4431" s="11"/>
      <c r="K4431" s="12">
        <v>0</v>
      </c>
      <c r="L4431" s="10" t="str">
        <f t="shared" si="402"/>
        <v>AE dialoghi di tempo fiducia e cura episodi 2-3-4</v>
      </c>
      <c r="M4431" s="10" t="str">
        <f t="shared" si="403"/>
        <v>nicoletta.vozza@crm.otsuka-europe.com</v>
      </c>
      <c r="N4431" s="13">
        <v>46181.338043981479</v>
      </c>
      <c r="O4431" s="14" t="str">
        <f>HYPERLINK("https://otsuka-europe-crm.veevavault.com/ui/#object/email_activity__v/V8C00000003P308", "EN-002089944")</f>
        <v>EN-002089944</v>
      </c>
    </row>
    <row r="4432" spans="1:15" ht="32" x14ac:dyDescent="0.2">
      <c r="A4432" s="7" t="str">
        <f>HYPERLINK("https://otsuka-europe-crm.veevavault.com/ui/#object/account__v/V4TZ025E88065HH", "MARIA MUSSO")</f>
        <v>MARIA MUSSO</v>
      </c>
      <c r="B4432" s="7" t="str">
        <f t="shared" si="400"/>
        <v>IT</v>
      </c>
      <c r="C4432" s="8" t="s">
        <v>44</v>
      </c>
      <c r="D4432" s="9" t="str">
        <f t="shared" si="401"/>
        <v>AE dialoghi di tempo fiducia e cura episodi 2-3-4</v>
      </c>
      <c r="E4432" s="10" t="str">
        <f>HYPERLINK("https://otsuka-europe-crm.veevavault.com/ui/#object/sent_email__v/VBL00000002P672", "SE-001433342")</f>
        <v>SE-001433342</v>
      </c>
      <c r="F4432" s="11"/>
      <c r="G4432" s="12">
        <v>0</v>
      </c>
      <c r="H4432" s="12">
        <v>0</v>
      </c>
      <c r="I4432" s="12">
        <v>0</v>
      </c>
      <c r="J4432" s="11"/>
      <c r="K4432" s="12">
        <v>0</v>
      </c>
      <c r="L4432" s="10" t="str">
        <f t="shared" si="402"/>
        <v>AE dialoghi di tempo fiducia e cura episodi 2-3-4</v>
      </c>
      <c r="M4432" s="10" t="str">
        <f t="shared" si="403"/>
        <v>nicoletta.vozza@crm.otsuka-europe.com</v>
      </c>
      <c r="N4432" s="13">
        <v>46181.338067129633</v>
      </c>
      <c r="O4432" s="14" t="str">
        <f>HYPERLINK("https://otsuka-europe-crm.veevavault.com/ui/#object/email_activity__v/V8C00000003P712", "EN-002090967")</f>
        <v>EN-002090967</v>
      </c>
    </row>
    <row r="4433" spans="1:15" ht="32" x14ac:dyDescent="0.2">
      <c r="A4433" s="7" t="str">
        <f>HYPERLINK("https://otsuka-europe-crm.veevavault.com/ui/#object/account__v/V4TZ06G6O71SA32", "MARIA PAOLA BARBIERI")</f>
        <v>MARIA PAOLA BARBIERI</v>
      </c>
      <c r="B4433" s="7" t="str">
        <f t="shared" si="400"/>
        <v>IT</v>
      </c>
      <c r="C4433" s="8" t="s">
        <v>44</v>
      </c>
      <c r="D4433" s="9" t="str">
        <f t="shared" si="401"/>
        <v>AE dialoghi di tempo fiducia e cura episodi 2-3-4</v>
      </c>
      <c r="E4433" s="10" t="str">
        <f>HYPERLINK("https://otsuka-europe-crm.veevavault.com/ui/#object/sent_email__v/VBL00000002P673", "SE-001433343")</f>
        <v>SE-001433343</v>
      </c>
      <c r="F4433" s="11"/>
      <c r="G4433" s="12">
        <v>0</v>
      </c>
      <c r="H4433" s="12">
        <v>0</v>
      </c>
      <c r="I4433" s="12">
        <v>0</v>
      </c>
      <c r="J4433" s="11"/>
      <c r="K4433" s="12">
        <v>0</v>
      </c>
      <c r="L4433" s="10" t="str">
        <f t="shared" si="402"/>
        <v>AE dialoghi di tempo fiducia e cura episodi 2-3-4</v>
      </c>
      <c r="M4433" s="10" t="str">
        <f t="shared" si="403"/>
        <v>nicoletta.vozza@crm.otsuka-europe.com</v>
      </c>
      <c r="N4433" s="13">
        <v>46181.338090277779</v>
      </c>
      <c r="O4433" s="14" t="str">
        <f>HYPERLINK("https://otsuka-europe-crm.veevavault.com/ui/#object/email_activity__v/V8C00000003P839", "EN-002091198")</f>
        <v>EN-002091198</v>
      </c>
    </row>
    <row r="4434" spans="1:15" ht="16" x14ac:dyDescent="0.2">
      <c r="A4434" s="17" t="str">
        <f>HYPERLINK("https://otsuka-europe-crm.veevavault.com/ui/#object/account__v/V4TZ06G6O71VPNA", "MARIA PAOLA ZERELLA")</f>
        <v>MARIA PAOLA ZERELLA</v>
      </c>
      <c r="B4434" s="17" t="str">
        <f t="shared" si="400"/>
        <v>IT</v>
      </c>
      <c r="C4434" s="20" t="s">
        <v>44</v>
      </c>
      <c r="D4434" s="21" t="str">
        <f t="shared" si="401"/>
        <v>AE dialoghi di tempo fiducia e cura episodi 2-3-4</v>
      </c>
      <c r="E4434" s="22" t="str">
        <f>HYPERLINK("https://otsuka-europe-crm.veevavault.com/ui/#object/sent_email__v/VBL00000002P674", "SE-001433344")</f>
        <v>SE-001433344</v>
      </c>
      <c r="F4434" s="23">
        <v>46181.340115740742</v>
      </c>
      <c r="G4434" s="24">
        <v>1</v>
      </c>
      <c r="H4434" s="24">
        <v>2</v>
      </c>
      <c r="I4434" s="24">
        <v>0</v>
      </c>
      <c r="J4434" s="25"/>
      <c r="K4434" s="24">
        <v>0</v>
      </c>
      <c r="L4434" s="22" t="str">
        <f t="shared" si="402"/>
        <v>AE dialoghi di tempo fiducia e cura episodi 2-3-4</v>
      </c>
      <c r="M4434" s="22" t="str">
        <f t="shared" si="403"/>
        <v>nicoletta.vozza@crm.otsuka-europe.com</v>
      </c>
      <c r="N4434" s="23">
        <v>46181.338078703702</v>
      </c>
      <c r="O4434" s="14" t="str">
        <f>HYPERLINK("https://otsuka-europe-crm.veevavault.com/ui/#object/email_activity__v/V8C00000003P532", "EN-002090787")</f>
        <v>EN-002090787</v>
      </c>
    </row>
    <row r="4435" spans="1:15" ht="16" x14ac:dyDescent="0.2">
      <c r="A4435" s="18"/>
      <c r="B4435" s="18"/>
      <c r="C4435" s="18"/>
      <c r="D4435" s="18"/>
      <c r="E4435" s="18"/>
      <c r="F4435" s="18"/>
      <c r="G4435" s="18"/>
      <c r="H4435" s="18"/>
      <c r="I4435" s="18"/>
      <c r="J4435" s="18"/>
      <c r="K4435" s="18"/>
      <c r="L4435" s="18"/>
      <c r="M4435" s="18"/>
      <c r="N4435" s="18"/>
      <c r="O4435" s="14" t="str">
        <f>HYPERLINK("https://otsuka-europe-crm.veevavault.com/ui/#object/email_activity__v/V8C00000003P888", "EN-002091411")</f>
        <v>EN-002091411</v>
      </c>
    </row>
    <row r="4436" spans="1:15" ht="16" x14ac:dyDescent="0.2">
      <c r="A4436" s="19"/>
      <c r="B4436" s="19"/>
      <c r="C4436" s="19"/>
      <c r="D4436" s="19"/>
      <c r="E4436" s="19"/>
      <c r="F4436" s="19"/>
      <c r="G4436" s="19"/>
      <c r="H4436" s="19"/>
      <c r="I4436" s="19"/>
      <c r="J4436" s="19"/>
      <c r="K4436" s="19"/>
      <c r="L4436" s="19"/>
      <c r="M4436" s="19"/>
      <c r="N4436" s="19"/>
      <c r="O4436" s="14" t="str">
        <f>HYPERLINK("https://otsuka-europe-crm.veevavault.com/ui/#object/email_activity__v/V8C00000003Q145", "EN-002091228")</f>
        <v>EN-002091228</v>
      </c>
    </row>
    <row r="4437" spans="1:15" ht="16" x14ac:dyDescent="0.2">
      <c r="A4437" s="17" t="str">
        <f>HYPERLINK("https://otsuka-europe-crm.veevavault.com/ui/#object/account__v/V4TZ06G6O71SBUI", "MARIA PARISI")</f>
        <v>MARIA PARISI</v>
      </c>
      <c r="B4437" s="17" t="str">
        <f>HYPERLINK("https://otsuka-europe-crm.veevavault.com/ui/#object/vcountry__v/VENZ000004SONFQ", "IT")</f>
        <v>IT</v>
      </c>
      <c r="C4437" s="20" t="s">
        <v>44</v>
      </c>
      <c r="D4437" s="21" t="str">
        <f>HYPERLINK("https://otsuka-europe-crm.veevavault.com/ui/#object/approved_document__v/V5O000000018003", "AE dialoghi di tempo fiducia e cura episodi 2-3-4")</f>
        <v>AE dialoghi di tempo fiducia e cura episodi 2-3-4</v>
      </c>
      <c r="E4437" s="22" t="str">
        <f>HYPERLINK("https://otsuka-europe-crm.veevavault.com/ui/#object/sent_email__v/VBL00000002P675", "SE-001433345")</f>
        <v>SE-001433345</v>
      </c>
      <c r="F4437" s="23">
        <v>46181.652430555558</v>
      </c>
      <c r="G4437" s="24">
        <v>1</v>
      </c>
      <c r="H4437" s="24">
        <v>2</v>
      </c>
      <c r="I4437" s="24">
        <v>0</v>
      </c>
      <c r="J4437" s="25"/>
      <c r="K4437" s="24">
        <v>0</v>
      </c>
      <c r="L4437" s="22" t="str">
        <f>HYPERLINK("https://otsuka-europe-crm.veevavault.com/ui/#object/approved_document__v/V5O000000018003", "AE dialoghi di tempo fiducia e cura episodi 2-3-4")</f>
        <v>AE dialoghi di tempo fiducia e cura episodi 2-3-4</v>
      </c>
      <c r="M4437" s="22" t="str">
        <f>HYPERLINK("mailto:nicoletta.vozza@crm.otsuka-europe.com", "nicoletta.vozza@crm.otsuka-europe.com")</f>
        <v>nicoletta.vozza@crm.otsuka-europe.com</v>
      </c>
      <c r="N4437" s="23">
        <v>46181.338090277779</v>
      </c>
      <c r="O4437" s="14" t="str">
        <f>HYPERLINK("https://otsuka-europe-crm.veevavault.com/ui/#object/email_activity__v/V8C00000003O651", "EN-002090207")</f>
        <v>EN-002090207</v>
      </c>
    </row>
    <row r="4438" spans="1:15" ht="16" x14ac:dyDescent="0.2">
      <c r="A4438" s="18"/>
      <c r="B4438" s="18"/>
      <c r="C4438" s="18"/>
      <c r="D4438" s="18"/>
      <c r="E4438" s="18"/>
      <c r="F4438" s="18"/>
      <c r="G4438" s="18"/>
      <c r="H4438" s="18"/>
      <c r="I4438" s="18"/>
      <c r="J4438" s="18"/>
      <c r="K4438" s="18"/>
      <c r="L4438" s="18"/>
      <c r="M4438" s="18"/>
      <c r="N4438" s="18"/>
      <c r="O4438" s="14" t="str">
        <f>HYPERLINK("https://otsuka-europe-crm.veevavault.com/ui/#object/email_activity__v/V8C00000003Q615", "EN-002092051")</f>
        <v>EN-002092051</v>
      </c>
    </row>
    <row r="4439" spans="1:15" ht="16" x14ac:dyDescent="0.2">
      <c r="A4439" s="19"/>
      <c r="B4439" s="19"/>
      <c r="C4439" s="19"/>
      <c r="D4439" s="19"/>
      <c r="E4439" s="19"/>
      <c r="F4439" s="19"/>
      <c r="G4439" s="19"/>
      <c r="H4439" s="19"/>
      <c r="I4439" s="19"/>
      <c r="J4439" s="19"/>
      <c r="K4439" s="19"/>
      <c r="L4439" s="19"/>
      <c r="M4439" s="19"/>
      <c r="N4439" s="19"/>
      <c r="O4439" s="14" t="str">
        <f>HYPERLINK("https://otsuka-europe-crm.veevavault.com/ui/#object/email_activity__v/V8C00000003R199", "EN-002092052")</f>
        <v>EN-002092052</v>
      </c>
    </row>
    <row r="4440" spans="1:15" ht="32" x14ac:dyDescent="0.2">
      <c r="A4440" s="7" t="str">
        <f>HYPERLINK("https://otsuka-europe-crm.veevavault.com/ui/#object/account__v/V4TZ06G6OCECAEX", "MARIA PEPE")</f>
        <v>MARIA PEPE</v>
      </c>
      <c r="B4440" s="7" t="str">
        <f>HYPERLINK("https://otsuka-europe-crm.veevavault.com/ui/#object/vcountry__v/VENZ000004SONFQ", "IT")</f>
        <v>IT</v>
      </c>
      <c r="C4440" s="8" t="s">
        <v>44</v>
      </c>
      <c r="D4440" s="9" t="str">
        <f>HYPERLINK("https://otsuka-europe-crm.veevavault.com/ui/#object/approved_document__v/V5O000000018003", "AE dialoghi di tempo fiducia e cura episodi 2-3-4")</f>
        <v>AE dialoghi di tempo fiducia e cura episodi 2-3-4</v>
      </c>
      <c r="E4440" s="10" t="str">
        <f>HYPERLINK("https://otsuka-europe-crm.veevavault.com/ui/#object/sent_email__v/VBL00000002P676", "SE-001433346")</f>
        <v>SE-001433346</v>
      </c>
      <c r="F4440" s="11"/>
      <c r="G4440" s="12">
        <v>0</v>
      </c>
      <c r="H4440" s="12">
        <v>0</v>
      </c>
      <c r="I4440" s="12">
        <v>0</v>
      </c>
      <c r="J4440" s="11"/>
      <c r="K4440" s="12">
        <v>0</v>
      </c>
      <c r="L4440" s="10" t="str">
        <f>HYPERLINK("https://otsuka-europe-crm.veevavault.com/ui/#object/approved_document__v/V5O000000018003", "AE dialoghi di tempo fiducia e cura episodi 2-3-4")</f>
        <v>AE dialoghi di tempo fiducia e cura episodi 2-3-4</v>
      </c>
      <c r="M4440" s="10" t="str">
        <f>HYPERLINK("mailto:nicoletta.vozza@crm.otsuka-europe.com", "nicoletta.vozza@crm.otsuka-europe.com")</f>
        <v>nicoletta.vozza@crm.otsuka-europe.com</v>
      </c>
      <c r="N4440" s="13">
        <v>46181.33797453704</v>
      </c>
      <c r="O4440" s="14" t="str">
        <f>HYPERLINK("https://otsuka-europe-crm.veevavault.com/ui/#object/email_activity__v/V8C00000003O226", "EN-002089703")</f>
        <v>EN-002089703</v>
      </c>
    </row>
    <row r="4441" spans="1:15" ht="32" x14ac:dyDescent="0.2">
      <c r="A4441" s="7" t="str">
        <f>HYPERLINK("https://otsuka-europe-crm.veevavault.com/ui/#object/account__v/V4TZ06G6O71SBRF", "MARIA PERAZZI")</f>
        <v>MARIA PERAZZI</v>
      </c>
      <c r="B4441" s="7" t="str">
        <f>HYPERLINK("https://otsuka-europe-crm.veevavault.com/ui/#object/vcountry__v/VENZ000004SONFQ", "IT")</f>
        <v>IT</v>
      </c>
      <c r="C4441" s="8" t="s">
        <v>44</v>
      </c>
      <c r="D4441" s="9" t="str">
        <f>HYPERLINK("https://otsuka-europe-crm.veevavault.com/ui/#object/approved_document__v/V5O000000018003", "AE dialoghi di tempo fiducia e cura episodi 2-3-4")</f>
        <v>AE dialoghi di tempo fiducia e cura episodi 2-3-4</v>
      </c>
      <c r="E4441" s="10" t="str">
        <f>HYPERLINK("https://otsuka-europe-crm.veevavault.com/ui/#object/sent_email__v/VBL00000002P677", "SE-001433347")</f>
        <v>SE-001433347</v>
      </c>
      <c r="F4441" s="11"/>
      <c r="G4441" s="12">
        <v>0</v>
      </c>
      <c r="H4441" s="12">
        <v>0</v>
      </c>
      <c r="I4441" s="12">
        <v>0</v>
      </c>
      <c r="J4441" s="11"/>
      <c r="K4441" s="12">
        <v>0</v>
      </c>
      <c r="L4441" s="10" t="str">
        <f>HYPERLINK("https://otsuka-europe-crm.veevavault.com/ui/#object/approved_document__v/V5O000000018003", "AE dialoghi di tempo fiducia e cura episodi 2-3-4")</f>
        <v>AE dialoghi di tempo fiducia e cura episodi 2-3-4</v>
      </c>
      <c r="M4441" s="10" t="str">
        <f>HYPERLINK("mailto:nicoletta.vozza@crm.otsuka-europe.com", "nicoletta.vozza@crm.otsuka-europe.com")</f>
        <v>nicoletta.vozza@crm.otsuka-europe.com</v>
      </c>
      <c r="N4441" s="13">
        <v>46181.33803240741</v>
      </c>
      <c r="O4441" s="14" t="str">
        <f>HYPERLINK("https://otsuka-europe-crm.veevavault.com/ui/#object/email_activity__v/V8C00000003P796", "EN-002091094")</f>
        <v>EN-002091094</v>
      </c>
    </row>
    <row r="4442" spans="1:15" ht="32" x14ac:dyDescent="0.2">
      <c r="A4442" s="7" t="str">
        <f>HYPERLINK("https://otsuka-europe-crm.veevavault.com/ui/#object/account__v/V4TZ06G6O71S9J3", "MARIA REALE")</f>
        <v>MARIA REALE</v>
      </c>
      <c r="B4442" s="7" t="str">
        <f>HYPERLINK("https://otsuka-europe-crm.veevavault.com/ui/#object/vcountry__v/VENZ000004SONFQ", "IT")</f>
        <v>IT</v>
      </c>
      <c r="C4442" s="8" t="s">
        <v>44</v>
      </c>
      <c r="D4442" s="9" t="str">
        <f>HYPERLINK("https://otsuka-europe-crm.veevavault.com/ui/#object/approved_document__v/V5O000000018003", "AE dialoghi di tempo fiducia e cura episodi 2-3-4")</f>
        <v>AE dialoghi di tempo fiducia e cura episodi 2-3-4</v>
      </c>
      <c r="E4442" s="10" t="str">
        <f>HYPERLINK("https://otsuka-europe-crm.veevavault.com/ui/#object/sent_email__v/VBL00000002P678", "SE-001433348")</f>
        <v>SE-001433348</v>
      </c>
      <c r="F4442" s="11"/>
      <c r="G4442" s="12">
        <v>0</v>
      </c>
      <c r="H4442" s="12">
        <v>0</v>
      </c>
      <c r="I4442" s="12">
        <v>0</v>
      </c>
      <c r="J4442" s="11"/>
      <c r="K4442" s="12">
        <v>0</v>
      </c>
      <c r="L4442" s="10" t="str">
        <f>HYPERLINK("https://otsuka-europe-crm.veevavault.com/ui/#object/approved_document__v/V5O000000018003", "AE dialoghi di tempo fiducia e cura episodi 2-3-4")</f>
        <v>AE dialoghi di tempo fiducia e cura episodi 2-3-4</v>
      </c>
      <c r="M4442" s="10" t="str">
        <f>HYPERLINK("mailto:nicoletta.vozza@crm.otsuka-europe.com", "nicoletta.vozza@crm.otsuka-europe.com")</f>
        <v>nicoletta.vozza@crm.otsuka-europe.com</v>
      </c>
      <c r="N4442" s="13">
        <v>46181.33792824074</v>
      </c>
      <c r="O4442" s="15"/>
    </row>
    <row r="4443" spans="1:15" ht="16" x14ac:dyDescent="0.2">
      <c r="A4443" s="17" t="str">
        <f>HYPERLINK("https://otsuka-europe-crm.veevavault.com/ui/#object/account__v/V4TZ04ASGBJT56O", "MARIA RITA MELITA")</f>
        <v>MARIA RITA MELITA</v>
      </c>
      <c r="B4443" s="17" t="str">
        <f>HYPERLINK("https://otsuka-europe-crm.veevavault.com/ui/#object/vcountry__v/VENZ000004SONFQ", "IT")</f>
        <v>IT</v>
      </c>
      <c r="C4443" s="20" t="s">
        <v>44</v>
      </c>
      <c r="D4443" s="21" t="str">
        <f>HYPERLINK("https://otsuka-europe-crm.veevavault.com/ui/#object/approved_document__v/V5O000000018003", "AE dialoghi di tempo fiducia e cura episodi 2-3-4")</f>
        <v>AE dialoghi di tempo fiducia e cura episodi 2-3-4</v>
      </c>
      <c r="E4443" s="22" t="str">
        <f>HYPERLINK("https://otsuka-europe-crm.veevavault.com/ui/#object/sent_email__v/VBL00000002P679", "SE-001433349")</f>
        <v>SE-001433349</v>
      </c>
      <c r="F4443" s="25"/>
      <c r="G4443" s="24">
        <v>0</v>
      </c>
      <c r="H4443" s="24">
        <v>0</v>
      </c>
      <c r="I4443" s="24">
        <v>0</v>
      </c>
      <c r="J4443" s="25"/>
      <c r="K4443" s="24">
        <v>0</v>
      </c>
      <c r="L4443" s="22" t="str">
        <f>HYPERLINK("https://otsuka-europe-crm.veevavault.com/ui/#object/approved_document__v/V5O000000018003", "AE dialoghi di tempo fiducia e cura episodi 2-3-4")</f>
        <v>AE dialoghi di tempo fiducia e cura episodi 2-3-4</v>
      </c>
      <c r="M4443" s="22" t="str">
        <f>HYPERLINK("mailto:nicoletta.vozza@crm.otsuka-europe.com", "nicoletta.vozza@crm.otsuka-europe.com")</f>
        <v>nicoletta.vozza@crm.otsuka-europe.com</v>
      </c>
      <c r="N4443" s="23">
        <v>46181.337997685187</v>
      </c>
      <c r="O4443" s="14" t="str">
        <f>HYPERLINK("https://otsuka-europe-crm.veevavault.com/ui/#object/email_activity__v/V8C00000003P232", "EN-002089678")</f>
        <v>EN-002089678</v>
      </c>
    </row>
    <row r="4444" spans="1:15" ht="16" x14ac:dyDescent="0.2">
      <c r="A4444" s="19"/>
      <c r="B4444" s="19"/>
      <c r="C4444" s="19"/>
      <c r="D4444" s="19"/>
      <c r="E4444" s="19"/>
      <c r="F4444" s="19"/>
      <c r="G4444" s="19"/>
      <c r="H4444" s="19"/>
      <c r="I4444" s="19"/>
      <c r="J4444" s="19"/>
      <c r="K4444" s="19"/>
      <c r="L4444" s="19"/>
      <c r="M4444" s="19"/>
      <c r="N4444" s="19"/>
      <c r="O4444" s="14" t="str">
        <f>HYPERLINK("https://otsuka-europe-crm.veevavault.com/ui/#object/email_activity__v/V8C00000003Q723", "EN-002092284")</f>
        <v>EN-002092284</v>
      </c>
    </row>
    <row r="4445" spans="1:15" ht="32" x14ac:dyDescent="0.2">
      <c r="A4445" s="7" t="str">
        <f>HYPERLINK("https://otsuka-europe-crm.veevavault.com/ui/#object/account__v/V4TZ06G6O71SBVQ", "MARIA RITA PATERNO'")</f>
        <v>MARIA RITA PATERNO'</v>
      </c>
      <c r="B4445" s="7" t="str">
        <f>HYPERLINK("https://otsuka-europe-crm.veevavault.com/ui/#object/vcountry__v/VENZ000004SONFQ", "IT")</f>
        <v>IT</v>
      </c>
      <c r="C4445" s="8" t="s">
        <v>44</v>
      </c>
      <c r="D4445" s="9" t="str">
        <f>HYPERLINK("https://otsuka-europe-crm.veevavault.com/ui/#object/approved_document__v/V5O000000018003", "AE dialoghi di tempo fiducia e cura episodi 2-3-4")</f>
        <v>AE dialoghi di tempo fiducia e cura episodi 2-3-4</v>
      </c>
      <c r="E4445" s="10" t="str">
        <f>HYPERLINK("https://otsuka-europe-crm.veevavault.com/ui/#object/sent_email__v/VBL00000002P680", "SE-001433350")</f>
        <v>SE-001433350</v>
      </c>
      <c r="F4445" s="11"/>
      <c r="G4445" s="12">
        <v>0</v>
      </c>
      <c r="H4445" s="12">
        <v>0</v>
      </c>
      <c r="I4445" s="12">
        <v>0</v>
      </c>
      <c r="J4445" s="11"/>
      <c r="K4445" s="12">
        <v>0</v>
      </c>
      <c r="L4445" s="10" t="str">
        <f>HYPERLINK("https://otsuka-europe-crm.veevavault.com/ui/#object/approved_document__v/V5O000000018003", "AE dialoghi di tempo fiducia e cura episodi 2-3-4")</f>
        <v>AE dialoghi di tempo fiducia e cura episodi 2-3-4</v>
      </c>
      <c r="M4445" s="10" t="str">
        <f>HYPERLINK("mailto:nicoletta.vozza@crm.otsuka-europe.com", "nicoletta.vozza@crm.otsuka-europe.com")</f>
        <v>nicoletta.vozza@crm.otsuka-europe.com</v>
      </c>
      <c r="N4445" s="13">
        <v>46181.337962962964</v>
      </c>
      <c r="O4445" s="14" t="str">
        <f>HYPERLINK("https://otsuka-europe-crm.veevavault.com/ui/#object/email_activity__v/V8C00000003O187", "EN-002089624")</f>
        <v>EN-002089624</v>
      </c>
    </row>
    <row r="4446" spans="1:15" ht="16" x14ac:dyDescent="0.2">
      <c r="A4446" s="17" t="str">
        <f>HYPERLINK("https://otsuka-europe-crm.veevavault.com/ui/#object/account__v/V4TZ04ASGAPDW6H", "MARIA ROSA PISANI")</f>
        <v>MARIA ROSA PISANI</v>
      </c>
      <c r="B4446" s="17" t="str">
        <f>HYPERLINK("https://otsuka-europe-crm.veevavault.com/ui/#object/vcountry__v/VENZ000004SONFQ", "IT")</f>
        <v>IT</v>
      </c>
      <c r="C4446" s="20" t="s">
        <v>44</v>
      </c>
      <c r="D4446" s="21" t="str">
        <f>HYPERLINK("https://otsuka-europe-crm.veevavault.com/ui/#object/approved_document__v/V5O000000018003", "AE dialoghi di tempo fiducia e cura episodi 2-3-4")</f>
        <v>AE dialoghi di tempo fiducia e cura episodi 2-3-4</v>
      </c>
      <c r="E4446" s="22" t="str">
        <f>HYPERLINK("https://otsuka-europe-crm.veevavault.com/ui/#object/sent_email__v/VBL00000002P681", "SE-001433351")</f>
        <v>SE-001433351</v>
      </c>
      <c r="F4446" s="25"/>
      <c r="G4446" s="24">
        <v>0</v>
      </c>
      <c r="H4446" s="24">
        <v>0</v>
      </c>
      <c r="I4446" s="24">
        <v>0</v>
      </c>
      <c r="J4446" s="25"/>
      <c r="K4446" s="24">
        <v>0</v>
      </c>
      <c r="L4446" s="22" t="str">
        <f>HYPERLINK("https://otsuka-europe-crm.veevavault.com/ui/#object/approved_document__v/V5O000000018003", "AE dialoghi di tempo fiducia e cura episodi 2-3-4")</f>
        <v>AE dialoghi di tempo fiducia e cura episodi 2-3-4</v>
      </c>
      <c r="M4446" s="22" t="str">
        <f>HYPERLINK("mailto:nicoletta.vozza@crm.otsuka-europe.com", "nicoletta.vozza@crm.otsuka-europe.com")</f>
        <v>nicoletta.vozza@crm.otsuka-europe.com</v>
      </c>
      <c r="N4446" s="23">
        <v>46181.338078703702</v>
      </c>
      <c r="O4446" s="14" t="str">
        <f>HYPERLINK("https://otsuka-europe-crm.veevavault.com/ui/#object/email_activity__v/V8C00000003P714", "EN-002090969")</f>
        <v>EN-002090969</v>
      </c>
    </row>
    <row r="4447" spans="1:15" ht="16" x14ac:dyDescent="0.2">
      <c r="A4447" s="19"/>
      <c r="B4447" s="19"/>
      <c r="C4447" s="19"/>
      <c r="D4447" s="19"/>
      <c r="E4447" s="19"/>
      <c r="F4447" s="19"/>
      <c r="G4447" s="19"/>
      <c r="H4447" s="19"/>
      <c r="I4447" s="19"/>
      <c r="J4447" s="19"/>
      <c r="K4447" s="19"/>
      <c r="L4447" s="19"/>
      <c r="M4447" s="19"/>
      <c r="N4447" s="19"/>
      <c r="O4447" s="14" t="str">
        <f>HYPERLINK("https://otsuka-europe-crm.veevavault.com/ui/#object/email_activity__v/V8C00000003R034", "EN-002091759")</f>
        <v>EN-002091759</v>
      </c>
    </row>
    <row r="4448" spans="1:15" ht="32" x14ac:dyDescent="0.2">
      <c r="A4448" s="7" t="str">
        <f>HYPERLINK("https://otsuka-europe-crm.veevavault.com/ui/#object/account__v/V4TZ025E86LWZE6", "MARIA ROSA STRADA")</f>
        <v>MARIA ROSA STRADA</v>
      </c>
      <c r="B4448" s="7" t="str">
        <f t="shared" ref="B4448:B4457" si="404">HYPERLINK("https://otsuka-europe-crm.veevavault.com/ui/#object/vcountry__v/VENZ000004SONFQ", "IT")</f>
        <v>IT</v>
      </c>
      <c r="C4448" s="8" t="s">
        <v>44</v>
      </c>
      <c r="D4448" s="9" t="str">
        <f t="shared" ref="D4448:D4457" si="405">HYPERLINK("https://otsuka-europe-crm.veevavault.com/ui/#object/approved_document__v/V5O000000018003", "AE dialoghi di tempo fiducia e cura episodi 2-3-4")</f>
        <v>AE dialoghi di tempo fiducia e cura episodi 2-3-4</v>
      </c>
      <c r="E4448" s="10" t="str">
        <f>HYPERLINK("https://otsuka-europe-crm.veevavault.com/ui/#object/sent_email__v/VBL00000002P682", "SE-001433352")</f>
        <v>SE-001433352</v>
      </c>
      <c r="F4448" s="11"/>
      <c r="G4448" s="12">
        <v>0</v>
      </c>
      <c r="H4448" s="12">
        <v>0</v>
      </c>
      <c r="I4448" s="12">
        <v>0</v>
      </c>
      <c r="J4448" s="11"/>
      <c r="K4448" s="12">
        <v>0</v>
      </c>
      <c r="L4448" s="10" t="str">
        <f t="shared" ref="L4448:L4457" si="406">HYPERLINK("https://otsuka-europe-crm.veevavault.com/ui/#object/approved_document__v/V5O000000018003", "AE dialoghi di tempo fiducia e cura episodi 2-3-4")</f>
        <v>AE dialoghi di tempo fiducia e cura episodi 2-3-4</v>
      </c>
      <c r="M4448" s="10" t="str">
        <f t="shared" ref="M4448:M4457" si="407">HYPERLINK("mailto:nicoletta.vozza@crm.otsuka-europe.com", "nicoletta.vozza@crm.otsuka-europe.com")</f>
        <v>nicoletta.vozza@crm.otsuka-europe.com</v>
      </c>
      <c r="N4448" s="13">
        <v>46181.33803240741</v>
      </c>
      <c r="O4448" s="14" t="str">
        <f>HYPERLINK("https://otsuka-europe-crm.veevavault.com/ui/#object/email_activity__v/V8C00000003O333", "EN-002089810")</f>
        <v>EN-002089810</v>
      </c>
    </row>
    <row r="4449" spans="1:15" ht="32" x14ac:dyDescent="0.2">
      <c r="A4449" s="7" t="str">
        <f>HYPERLINK("https://otsuka-europe-crm.veevavault.com/ui/#object/account__v/V4TZ04ASGBC8CMV", "MARIA ROSARIA ANNA MUSCATELLO")</f>
        <v>MARIA ROSARIA ANNA MUSCATELLO</v>
      </c>
      <c r="B4449" s="7" t="str">
        <f t="shared" si="404"/>
        <v>IT</v>
      </c>
      <c r="C4449" s="8" t="s">
        <v>44</v>
      </c>
      <c r="D4449" s="9" t="str">
        <f t="shared" si="405"/>
        <v>AE dialoghi di tempo fiducia e cura episodi 2-3-4</v>
      </c>
      <c r="E4449" s="10" t="str">
        <f>HYPERLINK("https://otsuka-europe-crm.veevavault.com/ui/#object/sent_email__v/VBL00000002P683", "SE-001433353")</f>
        <v>SE-001433353</v>
      </c>
      <c r="F4449" s="11"/>
      <c r="G4449" s="12">
        <v>0</v>
      </c>
      <c r="H4449" s="12">
        <v>0</v>
      </c>
      <c r="I4449" s="12">
        <v>0</v>
      </c>
      <c r="J4449" s="11"/>
      <c r="K4449" s="12">
        <v>0</v>
      </c>
      <c r="L4449" s="10" t="str">
        <f t="shared" si="406"/>
        <v>AE dialoghi di tempo fiducia e cura episodi 2-3-4</v>
      </c>
      <c r="M4449" s="10" t="str">
        <f t="shared" si="407"/>
        <v>nicoletta.vozza@crm.otsuka-europe.com</v>
      </c>
      <c r="N4449" s="13">
        <v>46181.33792824074</v>
      </c>
      <c r="O4449" s="15"/>
    </row>
    <row r="4450" spans="1:15" ht="32" x14ac:dyDescent="0.2">
      <c r="A4450" s="7" t="str">
        <f>HYPERLINK("https://otsuka-europe-crm.veevavault.com/ui/#object/account__v/V4TZ06G6O71SBVS", "MARIA ROSARIA PATINI")</f>
        <v>MARIA ROSARIA PATINI</v>
      </c>
      <c r="B4450" s="7" t="str">
        <f t="shared" si="404"/>
        <v>IT</v>
      </c>
      <c r="C4450" s="8" t="s">
        <v>44</v>
      </c>
      <c r="D4450" s="9" t="str">
        <f t="shared" si="405"/>
        <v>AE dialoghi di tempo fiducia e cura episodi 2-3-4</v>
      </c>
      <c r="E4450" s="10" t="str">
        <f>HYPERLINK("https://otsuka-europe-crm.veevavault.com/ui/#object/sent_email__v/VBL00000002P684", "SE-001433354")</f>
        <v>SE-001433354</v>
      </c>
      <c r="F4450" s="11"/>
      <c r="G4450" s="12">
        <v>0</v>
      </c>
      <c r="H4450" s="12">
        <v>0</v>
      </c>
      <c r="I4450" s="12">
        <v>0</v>
      </c>
      <c r="J4450" s="11"/>
      <c r="K4450" s="12">
        <v>0</v>
      </c>
      <c r="L4450" s="10" t="str">
        <f t="shared" si="406"/>
        <v>AE dialoghi di tempo fiducia e cura episodi 2-3-4</v>
      </c>
      <c r="M4450" s="10" t="str">
        <f t="shared" si="407"/>
        <v>nicoletta.vozza@crm.otsuka-europe.com</v>
      </c>
      <c r="N4450" s="13">
        <v>46181.337951388887</v>
      </c>
      <c r="O4450" s="14" t="str">
        <f>HYPERLINK("https://otsuka-europe-crm.veevavault.com/ui/#object/email_activity__v/V8C00000003P905", "EN-002091445")</f>
        <v>EN-002091445</v>
      </c>
    </row>
    <row r="4451" spans="1:15" ht="32" x14ac:dyDescent="0.2">
      <c r="A4451" s="7" t="str">
        <f>HYPERLINK("https://otsuka-europe-crm.veevavault.com/ui/#object/account__v/V4TZ06G6O71SC66", "MARIA RUSSO")</f>
        <v>MARIA RUSSO</v>
      </c>
      <c r="B4451" s="7" t="str">
        <f t="shared" si="404"/>
        <v>IT</v>
      </c>
      <c r="C4451" s="8" t="s">
        <v>44</v>
      </c>
      <c r="D4451" s="9" t="str">
        <f t="shared" si="405"/>
        <v>AE dialoghi di tempo fiducia e cura episodi 2-3-4</v>
      </c>
      <c r="E4451" s="10" t="str">
        <f>HYPERLINK("https://otsuka-europe-crm.veevavault.com/ui/#object/sent_email__v/VBL00000002P685", "SE-001433355")</f>
        <v>SE-001433355</v>
      </c>
      <c r="F4451" s="11"/>
      <c r="G4451" s="12">
        <v>0</v>
      </c>
      <c r="H4451" s="12">
        <v>0</v>
      </c>
      <c r="I4451" s="12">
        <v>0</v>
      </c>
      <c r="J4451" s="11"/>
      <c r="K4451" s="12">
        <v>0</v>
      </c>
      <c r="L4451" s="10" t="str">
        <f t="shared" si="406"/>
        <v>AE dialoghi di tempo fiducia e cura episodi 2-3-4</v>
      </c>
      <c r="M4451" s="10" t="str">
        <f t="shared" si="407"/>
        <v>nicoletta.vozza@crm.otsuka-europe.com</v>
      </c>
      <c r="N4451" s="13">
        <v>46181.33797453704</v>
      </c>
      <c r="O4451" s="14" t="str">
        <f>HYPERLINK("https://otsuka-europe-crm.veevavault.com/ui/#object/email_activity__v/V8C00000003O693", "EN-002090249")</f>
        <v>EN-002090249</v>
      </c>
    </row>
    <row r="4452" spans="1:15" ht="32" x14ac:dyDescent="0.2">
      <c r="A4452" s="7" t="str">
        <f>HYPERLINK("https://otsuka-europe-crm.veevavault.com/ui/#object/account__v/V4TZ06G6O71SCCC", "MARIA SALVINA SIGNORELLI")</f>
        <v>MARIA SALVINA SIGNORELLI</v>
      </c>
      <c r="B4452" s="7" t="str">
        <f t="shared" si="404"/>
        <v>IT</v>
      </c>
      <c r="C4452" s="8" t="s">
        <v>44</v>
      </c>
      <c r="D4452" s="9" t="str">
        <f t="shared" si="405"/>
        <v>AE dialoghi di tempo fiducia e cura episodi 2-3-4</v>
      </c>
      <c r="E4452" s="10" t="str">
        <f>HYPERLINK("https://otsuka-europe-crm.veevavault.com/ui/#object/sent_email__v/VBL00000002P686", "SE-001433356")</f>
        <v>SE-001433356</v>
      </c>
      <c r="F4452" s="11"/>
      <c r="G4452" s="12">
        <v>0</v>
      </c>
      <c r="H4452" s="12">
        <v>0</v>
      </c>
      <c r="I4452" s="12">
        <v>0</v>
      </c>
      <c r="J4452" s="11"/>
      <c r="K4452" s="12">
        <v>0</v>
      </c>
      <c r="L4452" s="10" t="str">
        <f t="shared" si="406"/>
        <v>AE dialoghi di tempo fiducia e cura episodi 2-3-4</v>
      </c>
      <c r="M4452" s="10" t="str">
        <f t="shared" si="407"/>
        <v>nicoletta.vozza@crm.otsuka-europe.com</v>
      </c>
      <c r="N4452" s="13">
        <v>46181.337916666664</v>
      </c>
      <c r="O4452" s="15"/>
    </row>
    <row r="4453" spans="1:15" ht="32" x14ac:dyDescent="0.2">
      <c r="A4453" s="7" t="str">
        <f>HYPERLINK("https://otsuka-europe-crm.veevavault.com/ui/#object/account__v/V4TZ06G6O71SB0Y", "MARIA TERESA CARRETTA")</f>
        <v>MARIA TERESA CARRETTA</v>
      </c>
      <c r="B4453" s="7" t="str">
        <f t="shared" si="404"/>
        <v>IT</v>
      </c>
      <c r="C4453" s="8" t="s">
        <v>44</v>
      </c>
      <c r="D4453" s="9" t="str">
        <f t="shared" si="405"/>
        <v>AE dialoghi di tempo fiducia e cura episodi 2-3-4</v>
      </c>
      <c r="E4453" s="10" t="str">
        <f>HYPERLINK("https://otsuka-europe-crm.veevavault.com/ui/#object/sent_email__v/VBL00000002P687", "SE-001433357")</f>
        <v>SE-001433357</v>
      </c>
      <c r="F4453" s="11"/>
      <c r="G4453" s="12">
        <v>0</v>
      </c>
      <c r="H4453" s="12">
        <v>0</v>
      </c>
      <c r="I4453" s="12">
        <v>0</v>
      </c>
      <c r="J4453" s="11"/>
      <c r="K4453" s="12">
        <v>0</v>
      </c>
      <c r="L4453" s="10" t="str">
        <f t="shared" si="406"/>
        <v>AE dialoghi di tempo fiducia e cura episodi 2-3-4</v>
      </c>
      <c r="M4453" s="10" t="str">
        <f t="shared" si="407"/>
        <v>nicoletta.vozza@crm.otsuka-europe.com</v>
      </c>
      <c r="N4453" s="13">
        <v>46181.337905092594</v>
      </c>
      <c r="O4453" s="15"/>
    </row>
    <row r="4454" spans="1:15" ht="32" x14ac:dyDescent="0.2">
      <c r="A4454" s="7" t="str">
        <f>HYPERLINK("https://otsuka-europe-crm.veevavault.com/ui/#object/account__v/V4TZ06G6O71SB2H", "MARIA TERESA COLELLA")</f>
        <v>MARIA TERESA COLELLA</v>
      </c>
      <c r="B4454" s="7" t="str">
        <f t="shared" si="404"/>
        <v>IT</v>
      </c>
      <c r="C4454" s="8" t="s">
        <v>44</v>
      </c>
      <c r="D4454" s="9" t="str">
        <f t="shared" si="405"/>
        <v>AE dialoghi di tempo fiducia e cura episodi 2-3-4</v>
      </c>
      <c r="E4454" s="10" t="str">
        <f>HYPERLINK("https://otsuka-europe-crm.veevavault.com/ui/#object/sent_email__v/VBL00000002P688", "SE-001433358")</f>
        <v>SE-001433358</v>
      </c>
      <c r="F4454" s="11"/>
      <c r="G4454" s="12">
        <v>0</v>
      </c>
      <c r="H4454" s="12">
        <v>0</v>
      </c>
      <c r="I4454" s="12">
        <v>0</v>
      </c>
      <c r="J4454" s="11"/>
      <c r="K4454" s="12">
        <v>0</v>
      </c>
      <c r="L4454" s="10" t="str">
        <f t="shared" si="406"/>
        <v>AE dialoghi di tempo fiducia e cura episodi 2-3-4</v>
      </c>
      <c r="M4454" s="10" t="str">
        <f t="shared" si="407"/>
        <v>nicoletta.vozza@crm.otsuka-europe.com</v>
      </c>
      <c r="N4454" s="13">
        <v>46181.337962962964</v>
      </c>
      <c r="O4454" s="14" t="str">
        <f>HYPERLINK("https://otsuka-europe-crm.veevavault.com/ui/#object/email_activity__v/V8C00000003P173", "EN-002089573")</f>
        <v>EN-002089573</v>
      </c>
    </row>
    <row r="4455" spans="1:15" ht="32" x14ac:dyDescent="0.2">
      <c r="A4455" s="7" t="str">
        <f>HYPERLINK("https://otsuka-europe-crm.veevavault.com/ui/#object/account__v/V4TZ06G6O71SBDI", "MARIA TERESA MALATESTA")</f>
        <v>MARIA TERESA MALATESTA</v>
      </c>
      <c r="B4455" s="7" t="str">
        <f t="shared" si="404"/>
        <v>IT</v>
      </c>
      <c r="C4455" s="8" t="s">
        <v>44</v>
      </c>
      <c r="D4455" s="9" t="str">
        <f t="shared" si="405"/>
        <v>AE dialoghi di tempo fiducia e cura episodi 2-3-4</v>
      </c>
      <c r="E4455" s="10" t="str">
        <f>HYPERLINK("https://otsuka-europe-crm.veevavault.com/ui/#object/sent_email__v/VBL00000002P689", "SE-001433359")</f>
        <v>SE-001433359</v>
      </c>
      <c r="F4455" s="11"/>
      <c r="G4455" s="12">
        <v>0</v>
      </c>
      <c r="H4455" s="12">
        <v>0</v>
      </c>
      <c r="I4455" s="12">
        <v>0</v>
      </c>
      <c r="J4455" s="11"/>
      <c r="K4455" s="12">
        <v>0</v>
      </c>
      <c r="L4455" s="10" t="str">
        <f t="shared" si="406"/>
        <v>AE dialoghi di tempo fiducia e cura episodi 2-3-4</v>
      </c>
      <c r="M4455" s="10" t="str">
        <f t="shared" si="407"/>
        <v>nicoletta.vozza@crm.otsuka-europe.com</v>
      </c>
      <c r="N4455" s="13">
        <v>46181.338078703702</v>
      </c>
      <c r="O4455" s="14" t="str">
        <f>HYPERLINK("https://otsuka-europe-crm.veevavault.com/ui/#object/email_activity__v/V8C00000003P744", "EN-002091042")</f>
        <v>EN-002091042</v>
      </c>
    </row>
    <row r="4456" spans="1:15" ht="32" x14ac:dyDescent="0.2">
      <c r="A4456" s="7" t="str">
        <f>HYPERLINK("https://otsuka-europe-crm.veevavault.com/ui/#object/account__v/V4TZ06G6O71SBJP", "MARIA TERESA MITTONI")</f>
        <v>MARIA TERESA MITTONI</v>
      </c>
      <c r="B4456" s="7" t="str">
        <f t="shared" si="404"/>
        <v>IT</v>
      </c>
      <c r="C4456" s="8" t="s">
        <v>44</v>
      </c>
      <c r="D4456" s="9" t="str">
        <f t="shared" si="405"/>
        <v>AE dialoghi di tempo fiducia e cura episodi 2-3-4</v>
      </c>
      <c r="E4456" s="10" t="str">
        <f>HYPERLINK("https://otsuka-europe-crm.veevavault.com/ui/#object/sent_email__v/VBL00000002P690", "SE-001433360")</f>
        <v>SE-001433360</v>
      </c>
      <c r="F4456" s="11"/>
      <c r="G4456" s="12">
        <v>0</v>
      </c>
      <c r="H4456" s="12">
        <v>0</v>
      </c>
      <c r="I4456" s="12">
        <v>0</v>
      </c>
      <c r="J4456" s="11"/>
      <c r="K4456" s="12">
        <v>0</v>
      </c>
      <c r="L4456" s="10" t="str">
        <f t="shared" si="406"/>
        <v>AE dialoghi di tempo fiducia e cura episodi 2-3-4</v>
      </c>
      <c r="M4456" s="10" t="str">
        <f t="shared" si="407"/>
        <v>nicoletta.vozza@crm.otsuka-europe.com</v>
      </c>
      <c r="N4456" s="13">
        <v>46181.338009259256</v>
      </c>
      <c r="O4456" s="14" t="str">
        <f>HYPERLINK("https://otsuka-europe-crm.veevavault.com/ui/#object/email_activity__v/V8C00000003O615", "EN-002090171")</f>
        <v>EN-002090171</v>
      </c>
    </row>
    <row r="4457" spans="1:15" ht="16" x14ac:dyDescent="0.2">
      <c r="A4457" s="17" t="str">
        <f>HYPERLINK("https://otsuka-europe-crm.veevavault.com/ui/#object/account__v/V4TZ04ASGC4KAEU", "MARIA TRIMARCHI")</f>
        <v>MARIA TRIMARCHI</v>
      </c>
      <c r="B4457" s="17" t="str">
        <f t="shared" si="404"/>
        <v>IT</v>
      </c>
      <c r="C4457" s="20" t="s">
        <v>44</v>
      </c>
      <c r="D4457" s="21" t="str">
        <f t="shared" si="405"/>
        <v>AE dialoghi di tempo fiducia e cura episodi 2-3-4</v>
      </c>
      <c r="E4457" s="22" t="str">
        <f>HYPERLINK("https://otsuka-europe-crm.veevavault.com/ui/#object/sent_email__v/VBL00000002P691", "SE-001433361")</f>
        <v>SE-001433361</v>
      </c>
      <c r="F4457" s="25"/>
      <c r="G4457" s="24">
        <v>0</v>
      </c>
      <c r="H4457" s="24">
        <v>0</v>
      </c>
      <c r="I4457" s="24">
        <v>0</v>
      </c>
      <c r="J4457" s="25"/>
      <c r="K4457" s="24">
        <v>0</v>
      </c>
      <c r="L4457" s="22" t="str">
        <f t="shared" si="406"/>
        <v>AE dialoghi di tempo fiducia e cura episodi 2-3-4</v>
      </c>
      <c r="M4457" s="22" t="str">
        <f t="shared" si="407"/>
        <v>nicoletta.vozza@crm.otsuka-europe.com</v>
      </c>
      <c r="N4457" s="23">
        <v>46181.337939814817</v>
      </c>
      <c r="O4457" s="14" t="str">
        <f>HYPERLINK("https://otsuka-europe-crm.veevavault.com/ui/#object/email_activity__v/V8C00000003O207", "EN-002089684")</f>
        <v>EN-002089684</v>
      </c>
    </row>
    <row r="4458" spans="1:15" ht="16" x14ac:dyDescent="0.2">
      <c r="A4458" s="18"/>
      <c r="B4458" s="18"/>
      <c r="C4458" s="18"/>
      <c r="D4458" s="18"/>
      <c r="E4458" s="18"/>
      <c r="F4458" s="18"/>
      <c r="G4458" s="18"/>
      <c r="H4458" s="18"/>
      <c r="I4458" s="18"/>
      <c r="J4458" s="18"/>
      <c r="K4458" s="18"/>
      <c r="L4458" s="18"/>
      <c r="M4458" s="18"/>
      <c r="N4458" s="18"/>
      <c r="O4458" s="14" t="str">
        <f>HYPERLINK("https://otsuka-europe-crm.veevavault.com/ui/#object/email_activity__v/V8C00000003P957", "EN-002091579")</f>
        <v>EN-002091579</v>
      </c>
    </row>
    <row r="4459" spans="1:15" ht="16" x14ac:dyDescent="0.2">
      <c r="A4459" s="19"/>
      <c r="B4459" s="19"/>
      <c r="C4459" s="19"/>
      <c r="D4459" s="19"/>
      <c r="E4459" s="19"/>
      <c r="F4459" s="19"/>
      <c r="G4459" s="19"/>
      <c r="H4459" s="19"/>
      <c r="I4459" s="19"/>
      <c r="J4459" s="19"/>
      <c r="K4459" s="19"/>
      <c r="L4459" s="19"/>
      <c r="M4459" s="19"/>
      <c r="N4459" s="19"/>
      <c r="O4459" s="14" t="str">
        <f>HYPERLINK("https://otsuka-europe-crm.veevavault.com/ui/#object/email_activity__v/V8C00000003Q289", "EN-002091417")</f>
        <v>EN-002091417</v>
      </c>
    </row>
    <row r="4460" spans="1:15" ht="16" x14ac:dyDescent="0.2">
      <c r="A4460" s="17" t="str">
        <f>HYPERLINK("https://otsuka-europe-crm.veevavault.com/ui/#object/account__v/V4TZ06G6O71SCM9", "MARIA TUBITO")</f>
        <v>MARIA TUBITO</v>
      </c>
      <c r="B4460" s="17" t="str">
        <f>HYPERLINK("https://otsuka-europe-crm.veevavault.com/ui/#object/vcountry__v/VENZ000004SONFQ", "IT")</f>
        <v>IT</v>
      </c>
      <c r="C4460" s="20" t="s">
        <v>44</v>
      </c>
      <c r="D4460" s="21" t="str">
        <f>HYPERLINK("https://otsuka-europe-crm.veevavault.com/ui/#object/approved_document__v/V5O000000018003", "AE dialoghi di tempo fiducia e cura episodi 2-3-4")</f>
        <v>AE dialoghi di tempo fiducia e cura episodi 2-3-4</v>
      </c>
      <c r="E4460" s="22" t="str">
        <f>HYPERLINK("https://otsuka-europe-crm.veevavault.com/ui/#object/sent_email__v/VBL00000002P692", "SE-001433362")</f>
        <v>SE-001433362</v>
      </c>
      <c r="F4460" s="23">
        <v>46181.623576388891</v>
      </c>
      <c r="G4460" s="24">
        <v>1</v>
      </c>
      <c r="H4460" s="24">
        <v>2</v>
      </c>
      <c r="I4460" s="24">
        <v>0</v>
      </c>
      <c r="J4460" s="25"/>
      <c r="K4460" s="24">
        <v>0</v>
      </c>
      <c r="L4460" s="22" t="str">
        <f>HYPERLINK("https://otsuka-europe-crm.veevavault.com/ui/#object/approved_document__v/V5O000000018003", "AE dialoghi di tempo fiducia e cura episodi 2-3-4")</f>
        <v>AE dialoghi di tempo fiducia e cura episodi 2-3-4</v>
      </c>
      <c r="M4460" s="22" t="str">
        <f>HYPERLINK("mailto:nicoletta.vozza@crm.otsuka-europe.com", "nicoletta.vozza@crm.otsuka-europe.com")</f>
        <v>nicoletta.vozza@crm.otsuka-europe.com</v>
      </c>
      <c r="N4460" s="23">
        <v>46181.337997685187</v>
      </c>
      <c r="O4460" s="14" t="str">
        <f>HYPERLINK("https://otsuka-europe-crm.veevavault.com/ui/#object/email_activity__v/V8C00000003O274", "EN-002089751")</f>
        <v>EN-002089751</v>
      </c>
    </row>
    <row r="4461" spans="1:15" ht="16" x14ac:dyDescent="0.2">
      <c r="A4461" s="18"/>
      <c r="B4461" s="18"/>
      <c r="C4461" s="18"/>
      <c r="D4461" s="18"/>
      <c r="E4461" s="18"/>
      <c r="F4461" s="18"/>
      <c r="G4461" s="18"/>
      <c r="H4461" s="18"/>
      <c r="I4461" s="18"/>
      <c r="J4461" s="18"/>
      <c r="K4461" s="18"/>
      <c r="L4461" s="18"/>
      <c r="M4461" s="18"/>
      <c r="N4461" s="18"/>
      <c r="O4461" s="14" t="str">
        <f>HYPERLINK("https://otsuka-europe-crm.veevavault.com/ui/#object/email_activity__v/V8C00000003Q606", "EN-002092022")</f>
        <v>EN-002092022</v>
      </c>
    </row>
    <row r="4462" spans="1:15" ht="16" x14ac:dyDescent="0.2">
      <c r="A4462" s="19"/>
      <c r="B4462" s="19"/>
      <c r="C4462" s="19"/>
      <c r="D4462" s="19"/>
      <c r="E4462" s="19"/>
      <c r="F4462" s="19"/>
      <c r="G4462" s="19"/>
      <c r="H4462" s="19"/>
      <c r="I4462" s="19"/>
      <c r="J4462" s="19"/>
      <c r="K4462" s="19"/>
      <c r="L4462" s="19"/>
      <c r="M4462" s="19"/>
      <c r="N4462" s="19"/>
      <c r="O4462" s="14" t="str">
        <f>HYPERLINK("https://otsuka-europe-crm.veevavault.com/ui/#object/email_activity__v/V8C00000003Q607", "EN-002092023")</f>
        <v>EN-002092023</v>
      </c>
    </row>
    <row r="4463" spans="1:15" ht="32" x14ac:dyDescent="0.2">
      <c r="A4463" s="7" t="str">
        <f>HYPERLINK("https://otsuka-europe-crm.veevavault.com/ui/#object/account__v/V4TZ06G6O71SAZY", "MARIA VITTORIA CARAMATTI")</f>
        <v>MARIA VITTORIA CARAMATTI</v>
      </c>
      <c r="B4463" s="7" t="str">
        <f t="shared" ref="B4463:B4472" si="408">HYPERLINK("https://otsuka-europe-crm.veevavault.com/ui/#object/vcountry__v/VENZ000004SONFQ", "IT")</f>
        <v>IT</v>
      </c>
      <c r="C4463" s="8" t="s">
        <v>44</v>
      </c>
      <c r="D4463" s="9" t="str">
        <f t="shared" ref="D4463:D4472" si="409">HYPERLINK("https://otsuka-europe-crm.veevavault.com/ui/#object/approved_document__v/V5O000000018003", "AE dialoghi di tempo fiducia e cura episodi 2-3-4")</f>
        <v>AE dialoghi di tempo fiducia e cura episodi 2-3-4</v>
      </c>
      <c r="E4463" s="10" t="str">
        <f>HYPERLINK("https://otsuka-europe-crm.veevavault.com/ui/#object/sent_email__v/VBL00000002P693", "SE-001433363")</f>
        <v>SE-001433363</v>
      </c>
      <c r="F4463" s="11"/>
      <c r="G4463" s="12">
        <v>0</v>
      </c>
      <c r="H4463" s="12">
        <v>0</v>
      </c>
      <c r="I4463" s="12">
        <v>0</v>
      </c>
      <c r="J4463" s="11"/>
      <c r="K4463" s="12">
        <v>0</v>
      </c>
      <c r="L4463" s="10" t="str">
        <f t="shared" ref="L4463:L4472" si="410">HYPERLINK("https://otsuka-europe-crm.veevavault.com/ui/#object/approved_document__v/V5O000000018003", "AE dialoghi di tempo fiducia e cura episodi 2-3-4")</f>
        <v>AE dialoghi di tempo fiducia e cura episodi 2-3-4</v>
      </c>
      <c r="M4463" s="10" t="str">
        <f t="shared" ref="M4463:M4472" si="411">HYPERLINK("mailto:nicoletta.vozza@crm.otsuka-europe.com", "nicoletta.vozza@crm.otsuka-europe.com")</f>
        <v>nicoletta.vozza@crm.otsuka-europe.com</v>
      </c>
      <c r="N4463" s="13">
        <v>46181.337951388887</v>
      </c>
      <c r="O4463" s="14" t="str">
        <f>HYPERLINK("https://otsuka-europe-crm.veevavault.com/ui/#object/email_activity__v/V8C00000003P317", "EN-002090323")</f>
        <v>EN-002090323</v>
      </c>
    </row>
    <row r="4464" spans="1:15" ht="32" x14ac:dyDescent="0.2">
      <c r="A4464" s="7" t="str">
        <f>HYPERLINK("https://otsuka-europe-crm.veevavault.com/ui/#object/account__v/V4TZ06G6O71S9I8", "MARIACARLOTTA PALAZZO")</f>
        <v>MARIACARLOTTA PALAZZO</v>
      </c>
      <c r="B4464" s="7" t="str">
        <f t="shared" si="408"/>
        <v>IT</v>
      </c>
      <c r="C4464" s="8" t="s">
        <v>44</v>
      </c>
      <c r="D4464" s="9" t="str">
        <f t="shared" si="409"/>
        <v>AE dialoghi di tempo fiducia e cura episodi 2-3-4</v>
      </c>
      <c r="E4464" s="10" t="str">
        <f>HYPERLINK("https://otsuka-europe-crm.veevavault.com/ui/#object/sent_email__v/VBL00000002P694", "SE-001433364")</f>
        <v>SE-001433364</v>
      </c>
      <c r="F4464" s="11"/>
      <c r="G4464" s="12">
        <v>0</v>
      </c>
      <c r="H4464" s="12">
        <v>0</v>
      </c>
      <c r="I4464" s="12">
        <v>0</v>
      </c>
      <c r="J4464" s="11"/>
      <c r="K4464" s="12">
        <v>0</v>
      </c>
      <c r="L4464" s="10" t="str">
        <f t="shared" si="410"/>
        <v>AE dialoghi di tempo fiducia e cura episodi 2-3-4</v>
      </c>
      <c r="M4464" s="10" t="str">
        <f t="shared" si="411"/>
        <v>nicoletta.vozza@crm.otsuka-europe.com</v>
      </c>
      <c r="N4464" s="13">
        <v>46181.337951388887</v>
      </c>
      <c r="O4464" s="14" t="str">
        <f>HYPERLINK("https://otsuka-europe-crm.veevavault.com/ui/#object/email_activity__v/V8C00000003O163", "EN-002089600")</f>
        <v>EN-002089600</v>
      </c>
    </row>
    <row r="4465" spans="1:15" ht="32" x14ac:dyDescent="0.2">
      <c r="A4465" s="7" t="str">
        <f>HYPERLINK("https://otsuka-europe-crm.veevavault.com/ui/#object/account__v/V4TZ04ASGB4N0WK", "MARIACHIARA ZANOTTI")</f>
        <v>MARIACHIARA ZANOTTI</v>
      </c>
      <c r="B4465" s="7" t="str">
        <f t="shared" si="408"/>
        <v>IT</v>
      </c>
      <c r="C4465" s="8" t="s">
        <v>44</v>
      </c>
      <c r="D4465" s="9" t="str">
        <f t="shared" si="409"/>
        <v>AE dialoghi di tempo fiducia e cura episodi 2-3-4</v>
      </c>
      <c r="E4465" s="10" t="str">
        <f>HYPERLINK("https://otsuka-europe-crm.veevavault.com/ui/#object/sent_email__v/VBL00000002P695", "SE-001433365")</f>
        <v>SE-001433365</v>
      </c>
      <c r="F4465" s="11"/>
      <c r="G4465" s="12">
        <v>0</v>
      </c>
      <c r="H4465" s="12">
        <v>0</v>
      </c>
      <c r="I4465" s="12">
        <v>0</v>
      </c>
      <c r="J4465" s="11"/>
      <c r="K4465" s="12">
        <v>0</v>
      </c>
      <c r="L4465" s="10" t="str">
        <f t="shared" si="410"/>
        <v>AE dialoghi di tempo fiducia e cura episodi 2-3-4</v>
      </c>
      <c r="M4465" s="10" t="str">
        <f t="shared" si="411"/>
        <v>nicoletta.vozza@crm.otsuka-europe.com</v>
      </c>
      <c r="N4465" s="13">
        <v>46181.338020833333</v>
      </c>
      <c r="O4465" s="14" t="str">
        <f>HYPERLINK("https://otsuka-europe-crm.veevavault.com/ui/#object/email_activity__v/V8C00000003O922", "EN-002090582")</f>
        <v>EN-002090582</v>
      </c>
    </row>
    <row r="4466" spans="1:15" ht="32" x14ac:dyDescent="0.2">
      <c r="A4466" s="7" t="str">
        <f>HYPERLINK("https://otsuka-europe-crm.veevavault.com/ui/#object/account__v/V4TZ04ASGBU4VLF", "MARIAGRAZIA PIACENZA")</f>
        <v>MARIAGRAZIA PIACENZA</v>
      </c>
      <c r="B4466" s="7" t="str">
        <f t="shared" si="408"/>
        <v>IT</v>
      </c>
      <c r="C4466" s="8" t="s">
        <v>44</v>
      </c>
      <c r="D4466" s="9" t="str">
        <f t="shared" si="409"/>
        <v>AE dialoghi di tempo fiducia e cura episodi 2-3-4</v>
      </c>
      <c r="E4466" s="10" t="str">
        <f>HYPERLINK("https://otsuka-europe-crm.veevavault.com/ui/#object/sent_email__v/VBL00000002P696", "SE-001433366")</f>
        <v>SE-001433366</v>
      </c>
      <c r="F4466" s="11"/>
      <c r="G4466" s="12">
        <v>0</v>
      </c>
      <c r="H4466" s="12">
        <v>0</v>
      </c>
      <c r="I4466" s="12">
        <v>0</v>
      </c>
      <c r="J4466" s="11"/>
      <c r="K4466" s="12">
        <v>0</v>
      </c>
      <c r="L4466" s="10" t="str">
        <f t="shared" si="410"/>
        <v>AE dialoghi di tempo fiducia e cura episodi 2-3-4</v>
      </c>
      <c r="M4466" s="10" t="str">
        <f t="shared" si="411"/>
        <v>nicoletta.vozza@crm.otsuka-europe.com</v>
      </c>
      <c r="N4466" s="13">
        <v>46181.338020833333</v>
      </c>
      <c r="O4466" s="14" t="str">
        <f>HYPERLINK("https://otsuka-europe-crm.veevavault.com/ui/#object/email_activity__v/V8C00000003P694", "EN-002090949")</f>
        <v>EN-002090949</v>
      </c>
    </row>
    <row r="4467" spans="1:15" ht="32" x14ac:dyDescent="0.2">
      <c r="A4467" s="7" t="str">
        <f>HYPERLINK("https://otsuka-europe-crm.veevavault.com/ui/#object/account__v/V4TZ06G6OCEGYH2", "MARIALUCE RAIA")</f>
        <v>MARIALUCE RAIA</v>
      </c>
      <c r="B4467" s="7" t="str">
        <f t="shared" si="408"/>
        <v>IT</v>
      </c>
      <c r="C4467" s="8" t="s">
        <v>44</v>
      </c>
      <c r="D4467" s="9" t="str">
        <f t="shared" si="409"/>
        <v>AE dialoghi di tempo fiducia e cura episodi 2-3-4</v>
      </c>
      <c r="E4467" s="10" t="str">
        <f>HYPERLINK("https://otsuka-europe-crm.veevavault.com/ui/#object/sent_email__v/VBL00000002P697", "SE-001433367")</f>
        <v>SE-001433367</v>
      </c>
      <c r="F4467" s="11"/>
      <c r="G4467" s="12">
        <v>0</v>
      </c>
      <c r="H4467" s="12">
        <v>0</v>
      </c>
      <c r="I4467" s="12">
        <v>0</v>
      </c>
      <c r="J4467" s="11"/>
      <c r="K4467" s="12">
        <v>0</v>
      </c>
      <c r="L4467" s="10" t="str">
        <f t="shared" si="410"/>
        <v>AE dialoghi di tempo fiducia e cura episodi 2-3-4</v>
      </c>
      <c r="M4467" s="10" t="str">
        <f t="shared" si="411"/>
        <v>nicoletta.vozza@crm.otsuka-europe.com</v>
      </c>
      <c r="N4467" s="13">
        <v>46181.337962962964</v>
      </c>
      <c r="O4467" s="14" t="str">
        <f>HYPERLINK("https://otsuka-europe-crm.veevavault.com/ui/#object/email_activity__v/V8C00000003P394", "EN-002090400")</f>
        <v>EN-002090400</v>
      </c>
    </row>
    <row r="4468" spans="1:15" ht="32" x14ac:dyDescent="0.2">
      <c r="A4468" s="7" t="str">
        <f>HYPERLINK("https://otsuka-europe-crm.veevavault.com/ui/#object/account__v/V4TZ04ASGB4N09F", "MARIANGELA BELLINVIA")</f>
        <v>MARIANGELA BELLINVIA</v>
      </c>
      <c r="B4468" s="7" t="str">
        <f t="shared" si="408"/>
        <v>IT</v>
      </c>
      <c r="C4468" s="8" t="s">
        <v>44</v>
      </c>
      <c r="D4468" s="9" t="str">
        <f t="shared" si="409"/>
        <v>AE dialoghi di tempo fiducia e cura episodi 2-3-4</v>
      </c>
      <c r="E4468" s="10" t="str">
        <f>HYPERLINK("https://otsuka-europe-crm.veevavault.com/ui/#object/sent_email__v/VBL00000002P698", "SE-001433368")</f>
        <v>SE-001433368</v>
      </c>
      <c r="F4468" s="11"/>
      <c r="G4468" s="12">
        <v>0</v>
      </c>
      <c r="H4468" s="12">
        <v>0</v>
      </c>
      <c r="I4468" s="12">
        <v>0</v>
      </c>
      <c r="J4468" s="11"/>
      <c r="K4468" s="12">
        <v>0</v>
      </c>
      <c r="L4468" s="10" t="str">
        <f t="shared" si="410"/>
        <v>AE dialoghi di tempo fiducia e cura episodi 2-3-4</v>
      </c>
      <c r="M4468" s="10" t="str">
        <f t="shared" si="411"/>
        <v>nicoletta.vozza@crm.otsuka-europe.com</v>
      </c>
      <c r="N4468" s="13">
        <v>46181.337997685187</v>
      </c>
      <c r="O4468" s="14" t="str">
        <f>HYPERLINK("https://otsuka-europe-crm.veevavault.com/ui/#object/email_activity__v/V8C00000003O624", "EN-002090180")</f>
        <v>EN-002090180</v>
      </c>
    </row>
    <row r="4469" spans="1:15" ht="32" x14ac:dyDescent="0.2">
      <c r="A4469" s="7" t="str">
        <f>HYPERLINK("https://otsuka-europe-crm.veevavault.com/ui/#object/account__v/V4TZ025E8764D1K", "MARIANGELA BOCCARDI")</f>
        <v>MARIANGELA BOCCARDI</v>
      </c>
      <c r="B4469" s="7" t="str">
        <f t="shared" si="408"/>
        <v>IT</v>
      </c>
      <c r="C4469" s="8" t="s">
        <v>44</v>
      </c>
      <c r="D4469" s="9" t="str">
        <f t="shared" si="409"/>
        <v>AE dialoghi di tempo fiducia e cura episodi 2-3-4</v>
      </c>
      <c r="E4469" s="10" t="str">
        <f>HYPERLINK("https://otsuka-europe-crm.veevavault.com/ui/#object/sent_email__v/VBL00000002P699", "SE-001433369")</f>
        <v>SE-001433369</v>
      </c>
      <c r="F4469" s="11"/>
      <c r="G4469" s="12">
        <v>0</v>
      </c>
      <c r="H4469" s="12">
        <v>0</v>
      </c>
      <c r="I4469" s="12">
        <v>0</v>
      </c>
      <c r="J4469" s="11"/>
      <c r="K4469" s="12">
        <v>0</v>
      </c>
      <c r="L4469" s="10" t="str">
        <f t="shared" si="410"/>
        <v>AE dialoghi di tempo fiducia e cura episodi 2-3-4</v>
      </c>
      <c r="M4469" s="10" t="str">
        <f t="shared" si="411"/>
        <v>nicoletta.vozza@crm.otsuka-europe.com</v>
      </c>
      <c r="N4469" s="13">
        <v>46181.33797453704</v>
      </c>
      <c r="O4469" s="14" t="str">
        <f>HYPERLINK("https://otsuka-europe-crm.veevavault.com/ui/#object/email_activity__v/V8C00000003P891", "EN-002091420")</f>
        <v>EN-002091420</v>
      </c>
    </row>
    <row r="4470" spans="1:15" ht="32" x14ac:dyDescent="0.2">
      <c r="A4470" s="7" t="str">
        <f>HYPERLINK("https://otsuka-europe-crm.veevavault.com/ui/#object/account__v/V4TZ025E87PMIA2", "MARIANGELA LARICCHIA")</f>
        <v>MARIANGELA LARICCHIA</v>
      </c>
      <c r="B4470" s="7" t="str">
        <f t="shared" si="408"/>
        <v>IT</v>
      </c>
      <c r="C4470" s="8" t="s">
        <v>44</v>
      </c>
      <c r="D4470" s="9" t="str">
        <f t="shared" si="409"/>
        <v>AE dialoghi di tempo fiducia e cura episodi 2-3-4</v>
      </c>
      <c r="E4470" s="10" t="str">
        <f>HYPERLINK("https://otsuka-europe-crm.veevavault.com/ui/#object/sent_email__v/VBL00000002P700", "SE-001433370")</f>
        <v>SE-001433370</v>
      </c>
      <c r="F4470" s="11"/>
      <c r="G4470" s="12">
        <v>0</v>
      </c>
      <c r="H4470" s="12">
        <v>0</v>
      </c>
      <c r="I4470" s="12">
        <v>0</v>
      </c>
      <c r="J4470" s="11"/>
      <c r="K4470" s="12">
        <v>0</v>
      </c>
      <c r="L4470" s="10" t="str">
        <f t="shared" si="410"/>
        <v>AE dialoghi di tempo fiducia e cura episodi 2-3-4</v>
      </c>
      <c r="M4470" s="10" t="str">
        <f t="shared" si="411"/>
        <v>nicoletta.vozza@crm.otsuka-europe.com</v>
      </c>
      <c r="N4470" s="13">
        <v>46181.337997685187</v>
      </c>
      <c r="O4470" s="14" t="str">
        <f>HYPERLINK("https://otsuka-europe-crm.veevavault.com/ui/#object/email_activity__v/V8C00000003P668", "EN-002090923")</f>
        <v>EN-002090923</v>
      </c>
    </row>
    <row r="4471" spans="1:15" ht="32" x14ac:dyDescent="0.2">
      <c r="A4471" s="7" t="str">
        <f>HYPERLINK("https://otsuka-europe-crm.veevavault.com/ui/#object/account__v/V4TZ06G6O71SBHP", "MARIANGELA MASELLA")</f>
        <v>MARIANGELA MASELLA</v>
      </c>
      <c r="B4471" s="7" t="str">
        <f t="shared" si="408"/>
        <v>IT</v>
      </c>
      <c r="C4471" s="8" t="s">
        <v>44</v>
      </c>
      <c r="D4471" s="9" t="str">
        <f t="shared" si="409"/>
        <v>AE dialoghi di tempo fiducia e cura episodi 2-3-4</v>
      </c>
      <c r="E4471" s="10" t="str">
        <f>HYPERLINK("https://otsuka-europe-crm.veevavault.com/ui/#object/sent_email__v/VBL00000002P701", "SE-001433371")</f>
        <v>SE-001433371</v>
      </c>
      <c r="F4471" s="11"/>
      <c r="G4471" s="12">
        <v>0</v>
      </c>
      <c r="H4471" s="12">
        <v>0</v>
      </c>
      <c r="I4471" s="12">
        <v>0</v>
      </c>
      <c r="J4471" s="11"/>
      <c r="K4471" s="12">
        <v>0</v>
      </c>
      <c r="L4471" s="10" t="str">
        <f t="shared" si="410"/>
        <v>AE dialoghi di tempo fiducia e cura episodi 2-3-4</v>
      </c>
      <c r="M4471" s="10" t="str">
        <f t="shared" si="411"/>
        <v>nicoletta.vozza@crm.otsuka-europe.com</v>
      </c>
      <c r="N4471" s="13">
        <v>46181.338090277779</v>
      </c>
      <c r="O4471" s="14" t="str">
        <f>HYPERLINK("https://otsuka-europe-crm.veevavault.com/ui/#object/email_activity__v/V8C00000003P770", "EN-002091068")</f>
        <v>EN-002091068</v>
      </c>
    </row>
    <row r="4472" spans="1:15" ht="16" x14ac:dyDescent="0.2">
      <c r="A4472" s="17" t="str">
        <f>HYPERLINK("https://otsuka-europe-crm.veevavault.com/ui/#object/account__v/V4TZ025E87TITA6", "MARIANGELA PIERANTOZZI")</f>
        <v>MARIANGELA PIERANTOZZI</v>
      </c>
      <c r="B4472" s="17" t="str">
        <f t="shared" si="408"/>
        <v>IT</v>
      </c>
      <c r="C4472" s="20" t="s">
        <v>44</v>
      </c>
      <c r="D4472" s="21" t="str">
        <f t="shared" si="409"/>
        <v>AE dialoghi di tempo fiducia e cura episodi 2-3-4</v>
      </c>
      <c r="E4472" s="22" t="str">
        <f>HYPERLINK("https://otsuka-europe-crm.veevavault.com/ui/#object/sent_email__v/VBL00000002P702", "SE-001433372")</f>
        <v>SE-001433372</v>
      </c>
      <c r="F4472" s="23">
        <v>46190.434166666666</v>
      </c>
      <c r="G4472" s="24">
        <v>1</v>
      </c>
      <c r="H4472" s="24">
        <v>1</v>
      </c>
      <c r="I4472" s="24">
        <v>0</v>
      </c>
      <c r="J4472" s="25"/>
      <c r="K4472" s="24">
        <v>0</v>
      </c>
      <c r="L4472" s="22" t="str">
        <f t="shared" si="410"/>
        <v>AE dialoghi di tempo fiducia e cura episodi 2-3-4</v>
      </c>
      <c r="M4472" s="22" t="str">
        <f t="shared" si="411"/>
        <v>nicoletta.vozza@crm.otsuka-europe.com</v>
      </c>
      <c r="N4472" s="23">
        <v>46181.33798611111</v>
      </c>
      <c r="O4472" s="14" t="str">
        <f>HYPERLINK("https://otsuka-europe-crm.veevavault.com/ui/#object/email_activity__v/V8C00000003O286", "EN-002089763")</f>
        <v>EN-002089763</v>
      </c>
    </row>
    <row r="4473" spans="1:15" ht="16" x14ac:dyDescent="0.2">
      <c r="A4473" s="19"/>
      <c r="B4473" s="19"/>
      <c r="C4473" s="19"/>
      <c r="D4473" s="19"/>
      <c r="E4473" s="19"/>
      <c r="F4473" s="19"/>
      <c r="G4473" s="19"/>
      <c r="H4473" s="19"/>
      <c r="I4473" s="19"/>
      <c r="J4473" s="19"/>
      <c r="K4473" s="19"/>
      <c r="L4473" s="19"/>
      <c r="M4473" s="19"/>
      <c r="N4473" s="19"/>
      <c r="O4473" s="14" t="str">
        <f>HYPERLINK("https://otsuka-europe-crm.veevavault.com/ui/#object/email_activity__v/V8C00000003W675", "EN-002098323")</f>
        <v>EN-002098323</v>
      </c>
    </row>
    <row r="4474" spans="1:15" ht="32" x14ac:dyDescent="0.2">
      <c r="A4474" s="7" t="str">
        <f>HYPERLINK("https://otsuka-europe-crm.veevavault.com/ui/#object/account__v/V4TZ06G6O9VGPR9", "MARIANGELA ROCCO")</f>
        <v>MARIANGELA ROCCO</v>
      </c>
      <c r="B4474" s="7" t="str">
        <f t="shared" ref="B4474:B4482" si="412">HYPERLINK("https://otsuka-europe-crm.veevavault.com/ui/#object/vcountry__v/VENZ000004SONFQ", "IT")</f>
        <v>IT</v>
      </c>
      <c r="C4474" s="8" t="s">
        <v>44</v>
      </c>
      <c r="D4474" s="9" t="str">
        <f t="shared" ref="D4474:D4482" si="413">HYPERLINK("https://otsuka-europe-crm.veevavault.com/ui/#object/approved_document__v/V5O000000018003", "AE dialoghi di tempo fiducia e cura episodi 2-3-4")</f>
        <v>AE dialoghi di tempo fiducia e cura episodi 2-3-4</v>
      </c>
      <c r="E4474" s="10" t="str">
        <f>HYPERLINK("https://otsuka-europe-crm.veevavault.com/ui/#object/sent_email__v/VBL00000002P703", "SE-001433373")</f>
        <v>SE-001433373</v>
      </c>
      <c r="F4474" s="11"/>
      <c r="G4474" s="12">
        <v>0</v>
      </c>
      <c r="H4474" s="12">
        <v>0</v>
      </c>
      <c r="I4474" s="12">
        <v>0</v>
      </c>
      <c r="J4474" s="11"/>
      <c r="K4474" s="12">
        <v>0</v>
      </c>
      <c r="L4474" s="10" t="str">
        <f t="shared" ref="L4474:L4482" si="414">HYPERLINK("https://otsuka-europe-crm.veevavault.com/ui/#object/approved_document__v/V5O000000018003", "AE dialoghi di tempo fiducia e cura episodi 2-3-4")</f>
        <v>AE dialoghi di tempo fiducia e cura episodi 2-3-4</v>
      </c>
      <c r="M4474" s="10" t="str">
        <f t="shared" ref="M4474:M4482" si="415">HYPERLINK("mailto:nicoletta.vozza@crm.otsuka-europe.com", "nicoletta.vozza@crm.otsuka-europe.com")</f>
        <v>nicoletta.vozza@crm.otsuka-europe.com</v>
      </c>
      <c r="N4474" s="13">
        <v>46181.338101851848</v>
      </c>
      <c r="O4474" s="14" t="str">
        <f>HYPERLINK("https://otsuka-europe-crm.veevavault.com/ui/#object/email_activity__v/V8C00000003P769", "EN-002091067")</f>
        <v>EN-002091067</v>
      </c>
    </row>
    <row r="4475" spans="1:15" ht="32" x14ac:dyDescent="0.2">
      <c r="A4475" s="7" t="str">
        <f>HYPERLINK("https://otsuka-europe-crm.veevavault.com/ui/#object/account__v/V4TZ06G6O71SCG1", "MARIANGELA SPANO")</f>
        <v>MARIANGELA SPANO</v>
      </c>
      <c r="B4475" s="7" t="str">
        <f t="shared" si="412"/>
        <v>IT</v>
      </c>
      <c r="C4475" s="8" t="s">
        <v>44</v>
      </c>
      <c r="D4475" s="9" t="str">
        <f t="shared" si="413"/>
        <v>AE dialoghi di tempo fiducia e cura episodi 2-3-4</v>
      </c>
      <c r="E4475" s="10" t="str">
        <f>HYPERLINK("https://otsuka-europe-crm.veevavault.com/ui/#object/sent_email__v/VBL00000002P704", "SE-001433374")</f>
        <v>SE-001433374</v>
      </c>
      <c r="F4475" s="11"/>
      <c r="G4475" s="12">
        <v>0</v>
      </c>
      <c r="H4475" s="12">
        <v>0</v>
      </c>
      <c r="I4475" s="12">
        <v>0</v>
      </c>
      <c r="J4475" s="11"/>
      <c r="K4475" s="12">
        <v>0</v>
      </c>
      <c r="L4475" s="10" t="str">
        <f t="shared" si="414"/>
        <v>AE dialoghi di tempo fiducia e cura episodi 2-3-4</v>
      </c>
      <c r="M4475" s="10" t="str">
        <f t="shared" si="415"/>
        <v>nicoletta.vozza@crm.otsuka-europe.com</v>
      </c>
      <c r="N4475" s="13">
        <v>46181.338055555556</v>
      </c>
      <c r="O4475" s="14" t="str">
        <f>HYPERLINK("https://otsuka-europe-crm.veevavault.com/ui/#object/email_activity__v/V8C00000003Q036", "EN-002091002")</f>
        <v>EN-002091002</v>
      </c>
    </row>
    <row r="4476" spans="1:15" ht="32" x14ac:dyDescent="0.2">
      <c r="A4476" s="7" t="str">
        <f>HYPERLINK("https://otsuka-europe-crm.veevavault.com/ui/#object/account__v/V4TZ06G6O71SCPJ", "MARIANGELA VITTO")</f>
        <v>MARIANGELA VITTO</v>
      </c>
      <c r="B4476" s="7" t="str">
        <f t="shared" si="412"/>
        <v>IT</v>
      </c>
      <c r="C4476" s="8" t="s">
        <v>44</v>
      </c>
      <c r="D4476" s="9" t="str">
        <f t="shared" si="413"/>
        <v>AE dialoghi di tempo fiducia e cura episodi 2-3-4</v>
      </c>
      <c r="E4476" s="10" t="str">
        <f>HYPERLINK("https://otsuka-europe-crm.veevavault.com/ui/#object/sent_email__v/VBL00000002P705", "SE-001433375")</f>
        <v>SE-001433375</v>
      </c>
      <c r="F4476" s="11"/>
      <c r="G4476" s="12">
        <v>0</v>
      </c>
      <c r="H4476" s="12">
        <v>0</v>
      </c>
      <c r="I4476" s="12">
        <v>0</v>
      </c>
      <c r="J4476" s="11"/>
      <c r="K4476" s="12">
        <v>0</v>
      </c>
      <c r="L4476" s="10" t="str">
        <f t="shared" si="414"/>
        <v>AE dialoghi di tempo fiducia e cura episodi 2-3-4</v>
      </c>
      <c r="M4476" s="10" t="str">
        <f t="shared" si="415"/>
        <v>nicoletta.vozza@crm.otsuka-europe.com</v>
      </c>
      <c r="N4476" s="13">
        <v>46181.33803240741</v>
      </c>
      <c r="O4476" s="14" t="str">
        <f>HYPERLINK("https://otsuka-europe-crm.veevavault.com/ui/#object/email_activity__v/V8C00000003P664", "EN-002090919")</f>
        <v>EN-002090919</v>
      </c>
    </row>
    <row r="4477" spans="1:15" ht="32" x14ac:dyDescent="0.2">
      <c r="A4477" s="7" t="str">
        <f>HYPERLINK("https://otsuka-europe-crm.veevavault.com/ui/#object/account__v/V4TZ06G6O71SA6L", "MARIANNA BOSO")</f>
        <v>MARIANNA BOSO</v>
      </c>
      <c r="B4477" s="7" t="str">
        <f t="shared" si="412"/>
        <v>IT</v>
      </c>
      <c r="C4477" s="8" t="s">
        <v>44</v>
      </c>
      <c r="D4477" s="9" t="str">
        <f t="shared" si="413"/>
        <v>AE dialoghi di tempo fiducia e cura episodi 2-3-4</v>
      </c>
      <c r="E4477" s="10" t="str">
        <f>HYPERLINK("https://otsuka-europe-crm.veevavault.com/ui/#object/sent_email__v/VBL00000002P706", "SE-001433376")</f>
        <v>SE-001433376</v>
      </c>
      <c r="F4477" s="11"/>
      <c r="G4477" s="12">
        <v>0</v>
      </c>
      <c r="H4477" s="12">
        <v>0</v>
      </c>
      <c r="I4477" s="12">
        <v>0</v>
      </c>
      <c r="J4477" s="11"/>
      <c r="K4477" s="12">
        <v>0</v>
      </c>
      <c r="L4477" s="10" t="str">
        <f t="shared" si="414"/>
        <v>AE dialoghi di tempo fiducia e cura episodi 2-3-4</v>
      </c>
      <c r="M4477" s="10" t="str">
        <f t="shared" si="415"/>
        <v>nicoletta.vozza@crm.otsuka-europe.com</v>
      </c>
      <c r="N4477" s="13">
        <v>46181.33797453704</v>
      </c>
      <c r="O4477" s="14" t="str">
        <f>HYPERLINK("https://otsuka-europe-crm.veevavault.com/ui/#object/email_activity__v/V8C00000003P265", "EN-002089843")</f>
        <v>EN-002089843</v>
      </c>
    </row>
    <row r="4478" spans="1:15" ht="32" x14ac:dyDescent="0.2">
      <c r="A4478" s="7" t="str">
        <f>HYPERLINK("https://otsuka-europe-crm.veevavault.com/ui/#object/account__v/V4TZ06G6O9RD8IQ", "MARIANNA MAZZA")</f>
        <v>MARIANNA MAZZA</v>
      </c>
      <c r="B4478" s="7" t="str">
        <f t="shared" si="412"/>
        <v>IT</v>
      </c>
      <c r="C4478" s="8" t="s">
        <v>44</v>
      </c>
      <c r="D4478" s="9" t="str">
        <f t="shared" si="413"/>
        <v>AE dialoghi di tempo fiducia e cura episodi 2-3-4</v>
      </c>
      <c r="E4478" s="10" t="str">
        <f>HYPERLINK("https://otsuka-europe-crm.veevavault.com/ui/#object/sent_email__v/VBL00000002P707", "SE-001433377")</f>
        <v>SE-001433377</v>
      </c>
      <c r="F4478" s="11"/>
      <c r="G4478" s="12">
        <v>0</v>
      </c>
      <c r="H4478" s="12">
        <v>0</v>
      </c>
      <c r="I4478" s="12">
        <v>0</v>
      </c>
      <c r="J4478" s="11"/>
      <c r="K4478" s="12">
        <v>0</v>
      </c>
      <c r="L4478" s="10" t="str">
        <f t="shared" si="414"/>
        <v>AE dialoghi di tempo fiducia e cura episodi 2-3-4</v>
      </c>
      <c r="M4478" s="10" t="str">
        <f t="shared" si="415"/>
        <v>nicoletta.vozza@crm.otsuka-europe.com</v>
      </c>
      <c r="N4478" s="13">
        <v>46181.338020833333</v>
      </c>
      <c r="O4478" s="14" t="str">
        <f>HYPERLINK("https://otsuka-europe-crm.veevavault.com/ui/#object/email_activity__v/V8C00000003P298", "EN-002089934")</f>
        <v>EN-002089934</v>
      </c>
    </row>
    <row r="4479" spans="1:15" ht="32" x14ac:dyDescent="0.2">
      <c r="A4479" s="7" t="str">
        <f>HYPERLINK("https://otsuka-europe-crm.veevavault.com/ui/#object/account__v/V4TZ06G6O71S9NB", "MARIANNA VARGAS")</f>
        <v>MARIANNA VARGAS</v>
      </c>
      <c r="B4479" s="7" t="str">
        <f t="shared" si="412"/>
        <v>IT</v>
      </c>
      <c r="C4479" s="8" t="s">
        <v>44</v>
      </c>
      <c r="D4479" s="9" t="str">
        <f t="shared" si="413"/>
        <v>AE dialoghi di tempo fiducia e cura episodi 2-3-4</v>
      </c>
      <c r="E4479" s="10" t="str">
        <f>HYPERLINK("https://otsuka-europe-crm.veevavault.com/ui/#object/sent_email__v/VBL00000002P708", "SE-001433378")</f>
        <v>SE-001433378</v>
      </c>
      <c r="F4479" s="11"/>
      <c r="G4479" s="12">
        <v>0</v>
      </c>
      <c r="H4479" s="12">
        <v>0</v>
      </c>
      <c r="I4479" s="12">
        <v>0</v>
      </c>
      <c r="J4479" s="11"/>
      <c r="K4479" s="12">
        <v>0</v>
      </c>
      <c r="L4479" s="10" t="str">
        <f t="shared" si="414"/>
        <v>AE dialoghi di tempo fiducia e cura episodi 2-3-4</v>
      </c>
      <c r="M4479" s="10" t="str">
        <f t="shared" si="415"/>
        <v>nicoletta.vozza@crm.otsuka-europe.com</v>
      </c>
      <c r="N4479" s="13">
        <v>46181.337997685187</v>
      </c>
      <c r="O4479" s="14" t="str">
        <f>HYPERLINK("https://otsuka-europe-crm.veevavault.com/ui/#object/email_activity__v/V8C00000003O705", "EN-002090261")</f>
        <v>EN-002090261</v>
      </c>
    </row>
    <row r="4480" spans="1:15" ht="32" x14ac:dyDescent="0.2">
      <c r="A4480" s="7" t="str">
        <f>HYPERLINK("https://otsuka-europe-crm.veevavault.com/ui/#object/account__v/V4TZ06G6O71SA9V", "MARIANO DE FURIO")</f>
        <v>MARIANO DE FURIO</v>
      </c>
      <c r="B4480" s="7" t="str">
        <f t="shared" si="412"/>
        <v>IT</v>
      </c>
      <c r="C4480" s="8" t="s">
        <v>44</v>
      </c>
      <c r="D4480" s="9" t="str">
        <f t="shared" si="413"/>
        <v>AE dialoghi di tempo fiducia e cura episodi 2-3-4</v>
      </c>
      <c r="E4480" s="10" t="str">
        <f>HYPERLINK("https://otsuka-europe-crm.veevavault.com/ui/#object/sent_email__v/VBL00000002P709", "SE-001433379")</f>
        <v>SE-001433379</v>
      </c>
      <c r="F4480" s="11"/>
      <c r="G4480" s="12">
        <v>0</v>
      </c>
      <c r="H4480" s="12">
        <v>0</v>
      </c>
      <c r="I4480" s="12">
        <v>0</v>
      </c>
      <c r="J4480" s="11"/>
      <c r="K4480" s="12">
        <v>0</v>
      </c>
      <c r="L4480" s="10" t="str">
        <f t="shared" si="414"/>
        <v>AE dialoghi di tempo fiducia e cura episodi 2-3-4</v>
      </c>
      <c r="M4480" s="10" t="str">
        <f t="shared" si="415"/>
        <v>nicoletta.vozza@crm.otsuka-europe.com</v>
      </c>
      <c r="N4480" s="13">
        <v>46181.338020833333</v>
      </c>
      <c r="O4480" s="14" t="str">
        <f>HYPERLINK("https://otsuka-europe-crm.veevavault.com/ui/#object/email_activity__v/V8C00000003P658", "EN-002090913")</f>
        <v>EN-002090913</v>
      </c>
    </row>
    <row r="4481" spans="1:15" ht="32" x14ac:dyDescent="0.2">
      <c r="A4481" s="7" t="str">
        <f>HYPERLINK("https://otsuka-europe-crm.veevavault.com/ui/#object/account__v/V4TZ06G6O71SCH8", "MARIAPAOLA STRATA")</f>
        <v>MARIAPAOLA STRATA</v>
      </c>
      <c r="B4481" s="7" t="str">
        <f t="shared" si="412"/>
        <v>IT</v>
      </c>
      <c r="C4481" s="8" t="s">
        <v>44</v>
      </c>
      <c r="D4481" s="9" t="str">
        <f t="shared" si="413"/>
        <v>AE dialoghi di tempo fiducia e cura episodi 2-3-4</v>
      </c>
      <c r="E4481" s="10" t="str">
        <f>HYPERLINK("https://otsuka-europe-crm.veevavault.com/ui/#object/sent_email__v/VBL00000002P710", "SE-001433380")</f>
        <v>SE-001433380</v>
      </c>
      <c r="F4481" s="11"/>
      <c r="G4481" s="12">
        <v>0</v>
      </c>
      <c r="H4481" s="12">
        <v>0</v>
      </c>
      <c r="I4481" s="12">
        <v>0</v>
      </c>
      <c r="J4481" s="11"/>
      <c r="K4481" s="12">
        <v>0</v>
      </c>
      <c r="L4481" s="10" t="str">
        <f t="shared" si="414"/>
        <v>AE dialoghi di tempo fiducia e cura episodi 2-3-4</v>
      </c>
      <c r="M4481" s="10" t="str">
        <f t="shared" si="415"/>
        <v>nicoletta.vozza@crm.otsuka-europe.com</v>
      </c>
      <c r="N4481" s="13">
        <v>46181.337962962964</v>
      </c>
      <c r="O4481" s="14" t="str">
        <f>HYPERLINK("https://otsuka-europe-crm.veevavault.com/ui/#object/email_activity__v/V8C00000003P205", "EN-002089651")</f>
        <v>EN-002089651</v>
      </c>
    </row>
    <row r="4482" spans="1:15" ht="16" x14ac:dyDescent="0.2">
      <c r="A4482" s="17" t="str">
        <f>HYPERLINK("https://otsuka-europe-crm.veevavault.com/ui/#object/account__v/V4TZ06G6O71SAKE", "MARIASILVIA FACCIO")</f>
        <v>MARIASILVIA FACCIO</v>
      </c>
      <c r="B4482" s="17" t="str">
        <f t="shared" si="412"/>
        <v>IT</v>
      </c>
      <c r="C4482" s="20" t="s">
        <v>44</v>
      </c>
      <c r="D4482" s="21" t="str">
        <f t="shared" si="413"/>
        <v>AE dialoghi di tempo fiducia e cura episodi 2-3-4</v>
      </c>
      <c r="E4482" s="22" t="str">
        <f>HYPERLINK("https://otsuka-europe-crm.veevavault.com/ui/#object/sent_email__v/VBL00000002P711", "SE-001433381")</f>
        <v>SE-001433381</v>
      </c>
      <c r="F4482" s="23">
        <v>46181.673506944448</v>
      </c>
      <c r="G4482" s="24">
        <v>1</v>
      </c>
      <c r="H4482" s="24">
        <v>1</v>
      </c>
      <c r="I4482" s="24">
        <v>0</v>
      </c>
      <c r="J4482" s="25"/>
      <c r="K4482" s="24">
        <v>0</v>
      </c>
      <c r="L4482" s="22" t="str">
        <f t="shared" si="414"/>
        <v>AE dialoghi di tempo fiducia e cura episodi 2-3-4</v>
      </c>
      <c r="M4482" s="22" t="str">
        <f t="shared" si="415"/>
        <v>nicoletta.vozza@crm.otsuka-europe.com</v>
      </c>
      <c r="N4482" s="23">
        <v>46181.33797453704</v>
      </c>
      <c r="O4482" s="14" t="str">
        <f>HYPERLINK("https://otsuka-europe-crm.veevavault.com/ui/#object/email_activity__v/V8C00000003O196", "EN-002089633")</f>
        <v>EN-002089633</v>
      </c>
    </row>
    <row r="4483" spans="1:15" ht="16" x14ac:dyDescent="0.2">
      <c r="A4483" s="19"/>
      <c r="B4483" s="19"/>
      <c r="C4483" s="19"/>
      <c r="D4483" s="19"/>
      <c r="E4483" s="19"/>
      <c r="F4483" s="19"/>
      <c r="G4483" s="19"/>
      <c r="H4483" s="19"/>
      <c r="I4483" s="19"/>
      <c r="J4483" s="19"/>
      <c r="K4483" s="19"/>
      <c r="L4483" s="19"/>
      <c r="M4483" s="19"/>
      <c r="N4483" s="19"/>
      <c r="O4483" s="14" t="str">
        <f>HYPERLINK("https://otsuka-europe-crm.veevavault.com/ui/#object/email_activity__v/V8C00000003R211", "EN-002092073")</f>
        <v>EN-002092073</v>
      </c>
    </row>
    <row r="4484" spans="1:15" ht="32" x14ac:dyDescent="0.2">
      <c r="A4484" s="7" t="str">
        <f>HYPERLINK("https://otsuka-europe-crm.veevavault.com/ui/#object/account__v/V4TZ06G6O71S9RM", "MARIATERESA ACCARDO")</f>
        <v>MARIATERESA ACCARDO</v>
      </c>
      <c r="B4484" s="7" t="str">
        <f t="shared" ref="B4484:B4489" si="416">HYPERLINK("https://otsuka-europe-crm.veevavault.com/ui/#object/vcountry__v/VENZ000004SONFQ", "IT")</f>
        <v>IT</v>
      </c>
      <c r="C4484" s="8" t="s">
        <v>44</v>
      </c>
      <c r="D4484" s="9" t="str">
        <f t="shared" ref="D4484:D4489" si="417">HYPERLINK("https://otsuka-europe-crm.veevavault.com/ui/#object/approved_document__v/V5O000000018003", "AE dialoghi di tempo fiducia e cura episodi 2-3-4")</f>
        <v>AE dialoghi di tempo fiducia e cura episodi 2-3-4</v>
      </c>
      <c r="E4484" s="10" t="str">
        <f>HYPERLINK("https://otsuka-europe-crm.veevavault.com/ui/#object/sent_email__v/VBL00000002P712", "SE-001433382")</f>
        <v>SE-001433382</v>
      </c>
      <c r="F4484" s="11"/>
      <c r="G4484" s="12">
        <v>0</v>
      </c>
      <c r="H4484" s="12">
        <v>0</v>
      </c>
      <c r="I4484" s="12">
        <v>0</v>
      </c>
      <c r="J4484" s="11"/>
      <c r="K4484" s="12">
        <v>0</v>
      </c>
      <c r="L4484" s="10" t="str">
        <f t="shared" ref="L4484:L4489" si="418">HYPERLINK("https://otsuka-europe-crm.veevavault.com/ui/#object/approved_document__v/V5O000000018003", "AE dialoghi di tempo fiducia e cura episodi 2-3-4")</f>
        <v>AE dialoghi di tempo fiducia e cura episodi 2-3-4</v>
      </c>
      <c r="M4484" s="10" t="str">
        <f t="shared" ref="M4484:M4489" si="419">HYPERLINK("mailto:nicoletta.vozza@crm.otsuka-europe.com", "nicoletta.vozza@crm.otsuka-europe.com")</f>
        <v>nicoletta.vozza@crm.otsuka-europe.com</v>
      </c>
      <c r="N4484" s="13">
        <v>46181.337997685187</v>
      </c>
      <c r="O4484" s="14" t="str">
        <f>HYPERLINK("https://otsuka-europe-crm.veevavault.com/ui/#object/email_activity__v/V8C00000003O681", "EN-002090237")</f>
        <v>EN-002090237</v>
      </c>
    </row>
    <row r="4485" spans="1:15" ht="32" x14ac:dyDescent="0.2">
      <c r="A4485" s="7" t="str">
        <f>HYPERLINK("https://otsuka-europe-crm.veevavault.com/ui/#object/account__v/V4TZ06G6O71TFL5", "MARIATERESA ATTROTTO")</f>
        <v>MARIATERESA ATTROTTO</v>
      </c>
      <c r="B4485" s="7" t="str">
        <f t="shared" si="416"/>
        <v>IT</v>
      </c>
      <c r="C4485" s="8" t="s">
        <v>44</v>
      </c>
      <c r="D4485" s="9" t="str">
        <f t="shared" si="417"/>
        <v>AE dialoghi di tempo fiducia e cura episodi 2-3-4</v>
      </c>
      <c r="E4485" s="10" t="str">
        <f>HYPERLINK("https://otsuka-europe-crm.veevavault.com/ui/#object/sent_email__v/VBL00000002P713", "SE-001433383")</f>
        <v>SE-001433383</v>
      </c>
      <c r="F4485" s="11"/>
      <c r="G4485" s="12">
        <v>0</v>
      </c>
      <c r="H4485" s="12">
        <v>0</v>
      </c>
      <c r="I4485" s="12">
        <v>0</v>
      </c>
      <c r="J4485" s="11"/>
      <c r="K4485" s="12">
        <v>0</v>
      </c>
      <c r="L4485" s="10" t="str">
        <f t="shared" si="418"/>
        <v>AE dialoghi di tempo fiducia e cura episodi 2-3-4</v>
      </c>
      <c r="M4485" s="10" t="str">
        <f t="shared" si="419"/>
        <v>nicoletta.vozza@crm.otsuka-europe.com</v>
      </c>
      <c r="N4485" s="13">
        <v>46181.33798611111</v>
      </c>
      <c r="O4485" s="14" t="str">
        <f>HYPERLINK("https://otsuka-europe-crm.veevavault.com/ui/#object/email_activity__v/V8C00000003P513", "EN-002090768")</f>
        <v>EN-002090768</v>
      </c>
    </row>
    <row r="4486" spans="1:15" ht="32" x14ac:dyDescent="0.2">
      <c r="A4486" s="7" t="str">
        <f>HYPERLINK("https://otsuka-europe-crm.veevavault.com/ui/#object/account__v/V4TZ06G6O71SALB", "MARIATERESA FICHELE")</f>
        <v>MARIATERESA FICHELE</v>
      </c>
      <c r="B4486" s="7" t="str">
        <f t="shared" si="416"/>
        <v>IT</v>
      </c>
      <c r="C4486" s="8" t="s">
        <v>44</v>
      </c>
      <c r="D4486" s="9" t="str">
        <f t="shared" si="417"/>
        <v>AE dialoghi di tempo fiducia e cura episodi 2-3-4</v>
      </c>
      <c r="E4486" s="10" t="str">
        <f>HYPERLINK("https://otsuka-europe-crm.veevavault.com/ui/#object/sent_email__v/VBL00000002P714", "SE-001433384")</f>
        <v>SE-001433384</v>
      </c>
      <c r="F4486" s="11"/>
      <c r="G4486" s="12">
        <v>0</v>
      </c>
      <c r="H4486" s="12">
        <v>0</v>
      </c>
      <c r="I4486" s="12">
        <v>0</v>
      </c>
      <c r="J4486" s="11"/>
      <c r="K4486" s="12">
        <v>0</v>
      </c>
      <c r="L4486" s="10" t="str">
        <f t="shared" si="418"/>
        <v>AE dialoghi di tempo fiducia e cura episodi 2-3-4</v>
      </c>
      <c r="M4486" s="10" t="str">
        <f t="shared" si="419"/>
        <v>nicoletta.vozza@crm.otsuka-europe.com</v>
      </c>
      <c r="N4486" s="13">
        <v>46181.338055555556</v>
      </c>
      <c r="O4486" s="14" t="str">
        <f>HYPERLINK("https://otsuka-europe-crm.veevavault.com/ui/#object/email_activity__v/V8C00000003P461", "EN-002090653")</f>
        <v>EN-002090653</v>
      </c>
    </row>
    <row r="4487" spans="1:15" ht="32" x14ac:dyDescent="0.2">
      <c r="A4487" s="7" t="str">
        <f>HYPERLINK("https://otsuka-europe-crm.veevavault.com/ui/#object/account__v/V4TZ025E86G90Q3", "MARIE EMILIE GIOVANNELLI")</f>
        <v>MARIE EMILIE GIOVANNELLI</v>
      </c>
      <c r="B4487" s="7" t="str">
        <f t="shared" si="416"/>
        <v>IT</v>
      </c>
      <c r="C4487" s="8" t="s">
        <v>44</v>
      </c>
      <c r="D4487" s="9" t="str">
        <f t="shared" si="417"/>
        <v>AE dialoghi di tempo fiducia e cura episodi 2-3-4</v>
      </c>
      <c r="E4487" s="10" t="str">
        <f>HYPERLINK("https://otsuka-europe-crm.veevavault.com/ui/#object/sent_email__v/VBL00000002P715", "SE-001433385")</f>
        <v>SE-001433385</v>
      </c>
      <c r="F4487" s="11"/>
      <c r="G4487" s="12">
        <v>0</v>
      </c>
      <c r="H4487" s="12">
        <v>0</v>
      </c>
      <c r="I4487" s="12">
        <v>0</v>
      </c>
      <c r="J4487" s="11"/>
      <c r="K4487" s="12">
        <v>0</v>
      </c>
      <c r="L4487" s="10" t="str">
        <f t="shared" si="418"/>
        <v>AE dialoghi di tempo fiducia e cura episodi 2-3-4</v>
      </c>
      <c r="M4487" s="10" t="str">
        <f t="shared" si="419"/>
        <v>nicoletta.vozza@crm.otsuka-europe.com</v>
      </c>
      <c r="N4487" s="13">
        <v>46181.338055555556</v>
      </c>
      <c r="O4487" s="14" t="str">
        <f>HYPERLINK("https://otsuka-europe-crm.veevavault.com/ui/#object/email_activity__v/V8C00000003P758", "EN-002091056")</f>
        <v>EN-002091056</v>
      </c>
    </row>
    <row r="4488" spans="1:15" ht="32" x14ac:dyDescent="0.2">
      <c r="A4488" s="7" t="str">
        <f>HYPERLINK("https://otsuka-europe-crm.veevavault.com/ui/#object/account__v/V4TZ06G6O71S9WD", "MARIELLA ALESSANDRI")</f>
        <v>MARIELLA ALESSANDRI</v>
      </c>
      <c r="B4488" s="7" t="str">
        <f t="shared" si="416"/>
        <v>IT</v>
      </c>
      <c r="C4488" s="8" t="s">
        <v>44</v>
      </c>
      <c r="D4488" s="9" t="str">
        <f t="shared" si="417"/>
        <v>AE dialoghi di tempo fiducia e cura episodi 2-3-4</v>
      </c>
      <c r="E4488" s="10" t="str">
        <f>HYPERLINK("https://otsuka-europe-crm.veevavault.com/ui/#object/sent_email__v/VBL00000002P716", "SE-001433386")</f>
        <v>SE-001433386</v>
      </c>
      <c r="F4488" s="11"/>
      <c r="G4488" s="12">
        <v>0</v>
      </c>
      <c r="H4488" s="12">
        <v>0</v>
      </c>
      <c r="I4488" s="12">
        <v>0</v>
      </c>
      <c r="J4488" s="11"/>
      <c r="K4488" s="12">
        <v>0</v>
      </c>
      <c r="L4488" s="10" t="str">
        <f t="shared" si="418"/>
        <v>AE dialoghi di tempo fiducia e cura episodi 2-3-4</v>
      </c>
      <c r="M4488" s="10" t="str">
        <f t="shared" si="419"/>
        <v>nicoletta.vozza@crm.otsuka-europe.com</v>
      </c>
      <c r="N4488" s="13">
        <v>46181.337997685187</v>
      </c>
      <c r="O4488" s="14" t="str">
        <f>HYPERLINK("https://otsuka-europe-crm.veevavault.com/ui/#object/email_activity__v/V8C00000003O334", "EN-002089811")</f>
        <v>EN-002089811</v>
      </c>
    </row>
    <row r="4489" spans="1:15" ht="16" x14ac:dyDescent="0.2">
      <c r="A4489" s="17" t="str">
        <f>HYPERLINK("https://otsuka-europe-crm.veevavault.com/ui/#object/account__v/V4TZ025E82UNEOS", "MARILA ORAZZO")</f>
        <v>MARILA ORAZZO</v>
      </c>
      <c r="B4489" s="17" t="str">
        <f t="shared" si="416"/>
        <v>IT</v>
      </c>
      <c r="C4489" s="20" t="s">
        <v>44</v>
      </c>
      <c r="D4489" s="21" t="str">
        <f t="shared" si="417"/>
        <v>AE dialoghi di tempo fiducia e cura episodi 2-3-4</v>
      </c>
      <c r="E4489" s="22" t="str">
        <f>HYPERLINK("https://otsuka-europe-crm.veevavault.com/ui/#object/sent_email__v/VBL00000002P717", "SE-001433387")</f>
        <v>SE-001433387</v>
      </c>
      <c r="F4489" s="23">
        <v>46182.337395833332</v>
      </c>
      <c r="G4489" s="24">
        <v>1</v>
      </c>
      <c r="H4489" s="24">
        <v>1</v>
      </c>
      <c r="I4489" s="24">
        <v>0</v>
      </c>
      <c r="J4489" s="25"/>
      <c r="K4489" s="24">
        <v>0</v>
      </c>
      <c r="L4489" s="22" t="str">
        <f t="shared" si="418"/>
        <v>AE dialoghi di tempo fiducia e cura episodi 2-3-4</v>
      </c>
      <c r="M4489" s="22" t="str">
        <f t="shared" si="419"/>
        <v>nicoletta.vozza@crm.otsuka-europe.com</v>
      </c>
      <c r="N4489" s="23">
        <v>46181.33797453704</v>
      </c>
      <c r="O4489" s="14" t="str">
        <f>HYPERLINK("https://otsuka-europe-crm.veevavault.com/ui/#object/email_activity__v/V8C00000003O243", "EN-002089720")</f>
        <v>EN-002089720</v>
      </c>
    </row>
    <row r="4490" spans="1:15" ht="16" x14ac:dyDescent="0.2">
      <c r="A4490" s="19"/>
      <c r="B4490" s="19"/>
      <c r="C4490" s="19"/>
      <c r="D4490" s="19"/>
      <c r="E4490" s="19"/>
      <c r="F4490" s="19"/>
      <c r="G4490" s="19"/>
      <c r="H4490" s="19"/>
      <c r="I4490" s="19"/>
      <c r="J4490" s="19"/>
      <c r="K4490" s="19"/>
      <c r="L4490" s="19"/>
      <c r="M4490" s="19"/>
      <c r="N4490" s="19"/>
      <c r="O4490" s="14" t="str">
        <f>HYPERLINK("https://otsuka-europe-crm.veevavault.com/ui/#object/email_activity__v/V8C00000003R341", "EN-002092332")</f>
        <v>EN-002092332</v>
      </c>
    </row>
    <row r="4491" spans="1:15" ht="32" x14ac:dyDescent="0.2">
      <c r="A4491" s="7" t="str">
        <f>HYPERLINK("https://otsuka-europe-crm.veevavault.com/ui/#object/account__v/V4TZ025E88SHB8A", "MARILDE SCHIAVONE")</f>
        <v>MARILDE SCHIAVONE</v>
      </c>
      <c r="B4491" s="7" t="str">
        <f>HYPERLINK("https://otsuka-europe-crm.veevavault.com/ui/#object/vcountry__v/VENZ000004SONFQ", "IT")</f>
        <v>IT</v>
      </c>
      <c r="C4491" s="8" t="s">
        <v>44</v>
      </c>
      <c r="D4491" s="9" t="str">
        <f>HYPERLINK("https://otsuka-europe-crm.veevavault.com/ui/#object/approved_document__v/V5O000000018003", "AE dialoghi di tempo fiducia e cura episodi 2-3-4")</f>
        <v>AE dialoghi di tempo fiducia e cura episodi 2-3-4</v>
      </c>
      <c r="E4491" s="10" t="str">
        <f>HYPERLINK("https://otsuka-europe-crm.veevavault.com/ui/#object/sent_email__v/VBL00000002P718", "SE-001433388")</f>
        <v>SE-001433388</v>
      </c>
      <c r="F4491" s="11"/>
      <c r="G4491" s="12">
        <v>0</v>
      </c>
      <c r="H4491" s="12">
        <v>0</v>
      </c>
      <c r="I4491" s="12">
        <v>0</v>
      </c>
      <c r="J4491" s="11"/>
      <c r="K4491" s="12">
        <v>0</v>
      </c>
      <c r="L4491" s="10" t="str">
        <f>HYPERLINK("https://otsuka-europe-crm.veevavault.com/ui/#object/approved_document__v/V5O000000018003", "AE dialoghi di tempo fiducia e cura episodi 2-3-4")</f>
        <v>AE dialoghi di tempo fiducia e cura episodi 2-3-4</v>
      </c>
      <c r="M4491" s="10" t="str">
        <f>HYPERLINK("mailto:nicoletta.vozza@crm.otsuka-europe.com", "nicoletta.vozza@crm.otsuka-europe.com")</f>
        <v>nicoletta.vozza@crm.otsuka-europe.com</v>
      </c>
      <c r="N4491" s="13">
        <v>46181.338055555556</v>
      </c>
      <c r="O4491" s="14" t="str">
        <f>HYPERLINK("https://otsuka-europe-crm.veevavault.com/ui/#object/email_activity__v/V8C00000003P414", "EN-002090420")</f>
        <v>EN-002090420</v>
      </c>
    </row>
    <row r="4492" spans="1:15" ht="16" x14ac:dyDescent="0.2">
      <c r="A4492" s="17" t="str">
        <f>HYPERLINK("https://otsuka-europe-crm.veevavault.com/ui/#object/account__v/V4TZ06G6O71TLCA", "MARILENA CAPRIOTTI")</f>
        <v>MARILENA CAPRIOTTI</v>
      </c>
      <c r="B4492" s="17" t="str">
        <f>HYPERLINK("https://otsuka-europe-crm.veevavault.com/ui/#object/vcountry__v/VENZ000004SONFQ", "IT")</f>
        <v>IT</v>
      </c>
      <c r="C4492" s="20" t="s">
        <v>44</v>
      </c>
      <c r="D4492" s="21" t="str">
        <f>HYPERLINK("https://otsuka-europe-crm.veevavault.com/ui/#object/approved_document__v/V5O000000018003", "AE dialoghi di tempo fiducia e cura episodi 2-3-4")</f>
        <v>AE dialoghi di tempo fiducia e cura episodi 2-3-4</v>
      </c>
      <c r="E4492" s="22" t="str">
        <f>HYPERLINK("https://otsuka-europe-crm.veevavault.com/ui/#object/sent_email__v/VBL00000002P719", "SE-001433389")</f>
        <v>SE-001433389</v>
      </c>
      <c r="F4492" s="23">
        <v>46181.342048611114</v>
      </c>
      <c r="G4492" s="24">
        <v>1</v>
      </c>
      <c r="H4492" s="24">
        <v>1</v>
      </c>
      <c r="I4492" s="24">
        <v>0</v>
      </c>
      <c r="J4492" s="25"/>
      <c r="K4492" s="24">
        <v>0</v>
      </c>
      <c r="L4492" s="22" t="str">
        <f>HYPERLINK("https://otsuka-europe-crm.veevavault.com/ui/#object/approved_document__v/V5O000000018003", "AE dialoghi di tempo fiducia e cura episodi 2-3-4")</f>
        <v>AE dialoghi di tempo fiducia e cura episodi 2-3-4</v>
      </c>
      <c r="M4492" s="22" t="str">
        <f>HYPERLINK("mailto:nicoletta.vozza@crm.otsuka-europe.com", "nicoletta.vozza@crm.otsuka-europe.com")</f>
        <v>nicoletta.vozza@crm.otsuka-europe.com</v>
      </c>
      <c r="N4492" s="23">
        <v>46181.338055555556</v>
      </c>
      <c r="O4492" s="14" t="str">
        <f>HYPERLINK("https://otsuka-europe-crm.veevavault.com/ui/#object/email_activity__v/V8C00000003P805", "EN-002091103")</f>
        <v>EN-002091103</v>
      </c>
    </row>
    <row r="4493" spans="1:15" ht="16" x14ac:dyDescent="0.2">
      <c r="A4493" s="19"/>
      <c r="B4493" s="19"/>
      <c r="C4493" s="19"/>
      <c r="D4493" s="19"/>
      <c r="E4493" s="19"/>
      <c r="F4493" s="19"/>
      <c r="G4493" s="19"/>
      <c r="H4493" s="19"/>
      <c r="I4493" s="19"/>
      <c r="J4493" s="19"/>
      <c r="K4493" s="19"/>
      <c r="L4493" s="19"/>
      <c r="M4493" s="19"/>
      <c r="N4493" s="19"/>
      <c r="O4493" s="14" t="str">
        <f>HYPERLINK("https://otsuka-europe-crm.veevavault.com/ui/#object/email_activity__v/V8C00000003Q291", "EN-002091423")</f>
        <v>EN-002091423</v>
      </c>
    </row>
    <row r="4494" spans="1:15" ht="32" x14ac:dyDescent="0.2">
      <c r="A4494" s="7" t="str">
        <f>HYPERLINK("https://otsuka-europe-crm.veevavault.com/ui/#object/account__v/V4TZ06G6OBS6AL3", "MARILENA CASABONA")</f>
        <v>MARILENA CASABONA</v>
      </c>
      <c r="B4494" s="7" t="str">
        <f>HYPERLINK("https://otsuka-europe-crm.veevavault.com/ui/#object/vcountry__v/VENZ000004SONFQ", "IT")</f>
        <v>IT</v>
      </c>
      <c r="C4494" s="8" t="s">
        <v>44</v>
      </c>
      <c r="D4494" s="9" t="str">
        <f>HYPERLINK("https://otsuka-europe-crm.veevavault.com/ui/#object/approved_document__v/V5O000000018003", "AE dialoghi di tempo fiducia e cura episodi 2-3-4")</f>
        <v>AE dialoghi di tempo fiducia e cura episodi 2-3-4</v>
      </c>
      <c r="E4494" s="10" t="str">
        <f>HYPERLINK("https://otsuka-europe-crm.veevavault.com/ui/#object/sent_email__v/VBL00000002P720", "SE-001433390")</f>
        <v>SE-001433390</v>
      </c>
      <c r="F4494" s="11"/>
      <c r="G4494" s="12">
        <v>0</v>
      </c>
      <c r="H4494" s="12">
        <v>0</v>
      </c>
      <c r="I4494" s="12">
        <v>0</v>
      </c>
      <c r="J4494" s="11"/>
      <c r="K4494" s="12">
        <v>0</v>
      </c>
      <c r="L4494" s="10" t="str">
        <f>HYPERLINK("https://otsuka-europe-crm.veevavault.com/ui/#object/approved_document__v/V5O000000018003", "AE dialoghi di tempo fiducia e cura episodi 2-3-4")</f>
        <v>AE dialoghi di tempo fiducia e cura episodi 2-3-4</v>
      </c>
      <c r="M4494" s="10" t="str">
        <f>HYPERLINK("mailto:nicoletta.vozza@crm.otsuka-europe.com", "nicoletta.vozza@crm.otsuka-europe.com")</f>
        <v>nicoletta.vozza@crm.otsuka-europe.com</v>
      </c>
      <c r="N4494" s="13">
        <v>46181.33798611111</v>
      </c>
      <c r="O4494" s="14" t="str">
        <f>HYPERLINK("https://otsuka-europe-crm.veevavault.com/ui/#object/email_activity__v/V8C00000003O414", "EN-002089970")</f>
        <v>EN-002089970</v>
      </c>
    </row>
    <row r="4495" spans="1:15" ht="16" x14ac:dyDescent="0.2">
      <c r="A4495" s="17" t="str">
        <f>HYPERLINK("https://otsuka-europe-crm.veevavault.com/ui/#object/account__v/V4TZ06G6O71S9ZU", "MARINA BELARDINI")</f>
        <v>MARINA BELARDINI</v>
      </c>
      <c r="B4495" s="17" t="str">
        <f>HYPERLINK("https://otsuka-europe-crm.veevavault.com/ui/#object/vcountry__v/VENZ000004SONFQ", "IT")</f>
        <v>IT</v>
      </c>
      <c r="C4495" s="20" t="s">
        <v>44</v>
      </c>
      <c r="D4495" s="21" t="str">
        <f>HYPERLINK("https://otsuka-europe-crm.veevavault.com/ui/#object/approved_document__v/V5O000000018003", "AE dialoghi di tempo fiducia e cura episodi 2-3-4")</f>
        <v>AE dialoghi di tempo fiducia e cura episodi 2-3-4</v>
      </c>
      <c r="E4495" s="22" t="str">
        <f>HYPERLINK("https://otsuka-europe-crm.veevavault.com/ui/#object/sent_email__v/VBL00000002P721", "SE-001433391")</f>
        <v>SE-001433391</v>
      </c>
      <c r="F4495" s="25"/>
      <c r="G4495" s="24">
        <v>0</v>
      </c>
      <c r="H4495" s="24">
        <v>0</v>
      </c>
      <c r="I4495" s="24">
        <v>0</v>
      </c>
      <c r="J4495" s="25"/>
      <c r="K4495" s="24">
        <v>0</v>
      </c>
      <c r="L4495" s="22" t="str">
        <f>HYPERLINK("https://otsuka-europe-crm.veevavault.com/ui/#object/approved_document__v/V5O000000018003", "AE dialoghi di tempo fiducia e cura episodi 2-3-4")</f>
        <v>AE dialoghi di tempo fiducia e cura episodi 2-3-4</v>
      </c>
      <c r="M4495" s="22" t="str">
        <f>HYPERLINK("mailto:nicoletta.vozza@crm.otsuka-europe.com", "nicoletta.vozza@crm.otsuka-europe.com")</f>
        <v>nicoletta.vozza@crm.otsuka-europe.com</v>
      </c>
      <c r="N4495" s="23">
        <v>46181.338055555556</v>
      </c>
      <c r="O4495" s="14" t="str">
        <f>HYPERLINK("https://otsuka-europe-crm.veevavault.com/ui/#object/email_activity__v/V8C00000003P374", "EN-002090380")</f>
        <v>EN-002090380</v>
      </c>
    </row>
    <row r="4496" spans="1:15" ht="16" x14ac:dyDescent="0.2">
      <c r="A4496" s="19"/>
      <c r="B4496" s="19"/>
      <c r="C4496" s="19"/>
      <c r="D4496" s="19"/>
      <c r="E4496" s="19"/>
      <c r="F4496" s="19"/>
      <c r="G4496" s="19"/>
      <c r="H4496" s="19"/>
      <c r="I4496" s="19"/>
      <c r="J4496" s="19"/>
      <c r="K4496" s="19"/>
      <c r="L4496" s="19"/>
      <c r="M4496" s="19"/>
      <c r="N4496" s="19"/>
      <c r="O4496" s="14" t="str">
        <f>HYPERLINK("https://otsuka-europe-crm.veevavault.com/ui/#object/email_activity__v/V8C00000003Q717", "EN-002092275")</f>
        <v>EN-002092275</v>
      </c>
    </row>
    <row r="4497" spans="1:15" ht="32" x14ac:dyDescent="0.2">
      <c r="A4497" s="7" t="str">
        <f>HYPERLINK("https://otsuka-europe-crm.veevavault.com/ui/#object/account__v/V4TZ06G6O9UWRPO", "MARINA LAZZARI")</f>
        <v>MARINA LAZZARI</v>
      </c>
      <c r="B4497" s="7" t="str">
        <f t="shared" ref="B4497:B4513" si="420">HYPERLINK("https://otsuka-europe-crm.veevavault.com/ui/#object/vcountry__v/VENZ000004SONFQ", "IT")</f>
        <v>IT</v>
      </c>
      <c r="C4497" s="8" t="s">
        <v>44</v>
      </c>
      <c r="D4497" s="9" t="str">
        <f t="shared" ref="D4497:D4513" si="421">HYPERLINK("https://otsuka-europe-crm.veevavault.com/ui/#object/approved_document__v/V5O000000018003", "AE dialoghi di tempo fiducia e cura episodi 2-3-4")</f>
        <v>AE dialoghi di tempo fiducia e cura episodi 2-3-4</v>
      </c>
      <c r="E4497" s="10" t="str">
        <f>HYPERLINK("https://otsuka-europe-crm.veevavault.com/ui/#object/sent_email__v/VBL00000002P722", "SE-001433392")</f>
        <v>SE-001433392</v>
      </c>
      <c r="F4497" s="11"/>
      <c r="G4497" s="12">
        <v>0</v>
      </c>
      <c r="H4497" s="12">
        <v>0</v>
      </c>
      <c r="I4497" s="12">
        <v>0</v>
      </c>
      <c r="J4497" s="11"/>
      <c r="K4497" s="12">
        <v>0</v>
      </c>
      <c r="L4497" s="10" t="str">
        <f t="shared" ref="L4497:L4513" si="422">HYPERLINK("https://otsuka-europe-crm.veevavault.com/ui/#object/approved_document__v/V5O000000018003", "AE dialoghi di tempo fiducia e cura episodi 2-3-4")</f>
        <v>AE dialoghi di tempo fiducia e cura episodi 2-3-4</v>
      </c>
      <c r="M4497" s="10" t="str">
        <f t="shared" ref="M4497:M4513" si="423">HYPERLINK("mailto:nicoletta.vozza@crm.otsuka-europe.com", "nicoletta.vozza@crm.otsuka-europe.com")</f>
        <v>nicoletta.vozza@crm.otsuka-europe.com</v>
      </c>
      <c r="N4497" s="13">
        <v>46181.338055555556</v>
      </c>
      <c r="O4497" s="14" t="str">
        <f>HYPERLINK("https://otsuka-europe-crm.veevavault.com/ui/#object/email_activity__v/V8C00000003O393", "EN-002089911")</f>
        <v>EN-002089911</v>
      </c>
    </row>
    <row r="4498" spans="1:15" ht="32" x14ac:dyDescent="0.2">
      <c r="A4498" s="7" t="str">
        <f>HYPERLINK("https://otsuka-europe-crm.veevavault.com/ui/#object/account__v/V4TZ04ASGAZM9BF", "MARINA MERLI")</f>
        <v>MARINA MERLI</v>
      </c>
      <c r="B4498" s="7" t="str">
        <f t="shared" si="420"/>
        <v>IT</v>
      </c>
      <c r="C4498" s="8" t="s">
        <v>44</v>
      </c>
      <c r="D4498" s="9" t="str">
        <f t="shared" si="421"/>
        <v>AE dialoghi di tempo fiducia e cura episodi 2-3-4</v>
      </c>
      <c r="E4498" s="10" t="str">
        <f>HYPERLINK("https://otsuka-europe-crm.veevavault.com/ui/#object/sent_email__v/VBL00000002P723", "SE-001433393")</f>
        <v>SE-001433393</v>
      </c>
      <c r="F4498" s="11"/>
      <c r="G4498" s="12">
        <v>0</v>
      </c>
      <c r="H4498" s="12">
        <v>0</v>
      </c>
      <c r="I4498" s="12">
        <v>0</v>
      </c>
      <c r="J4498" s="11"/>
      <c r="K4498" s="12">
        <v>0</v>
      </c>
      <c r="L4498" s="10" t="str">
        <f t="shared" si="422"/>
        <v>AE dialoghi di tempo fiducia e cura episodi 2-3-4</v>
      </c>
      <c r="M4498" s="10" t="str">
        <f t="shared" si="423"/>
        <v>nicoletta.vozza@crm.otsuka-europe.com</v>
      </c>
      <c r="N4498" s="13">
        <v>46181.338067129633</v>
      </c>
      <c r="O4498" s="14" t="str">
        <f>HYPERLINK("https://otsuka-europe-crm.veevavault.com/ui/#object/email_activity__v/V8C00000003Q038", "EN-002091004")</f>
        <v>EN-002091004</v>
      </c>
    </row>
    <row r="4499" spans="1:15" ht="32" x14ac:dyDescent="0.2">
      <c r="A4499" s="7" t="str">
        <f>HYPERLINK("https://otsuka-europe-crm.veevavault.com/ui/#object/account__v/V4TZ06G6O71SC3I", "MARINA RIVELLINI")</f>
        <v>MARINA RIVELLINI</v>
      </c>
      <c r="B4499" s="7" t="str">
        <f t="shared" si="420"/>
        <v>IT</v>
      </c>
      <c r="C4499" s="8" t="s">
        <v>44</v>
      </c>
      <c r="D4499" s="9" t="str">
        <f t="shared" si="421"/>
        <v>AE dialoghi di tempo fiducia e cura episodi 2-3-4</v>
      </c>
      <c r="E4499" s="10" t="str">
        <f>HYPERLINK("https://otsuka-europe-crm.veevavault.com/ui/#object/sent_email__v/VBL00000002P724", "SE-001433394")</f>
        <v>SE-001433394</v>
      </c>
      <c r="F4499" s="11"/>
      <c r="G4499" s="12">
        <v>0</v>
      </c>
      <c r="H4499" s="12">
        <v>0</v>
      </c>
      <c r="I4499" s="12">
        <v>0</v>
      </c>
      <c r="J4499" s="11"/>
      <c r="K4499" s="12">
        <v>0</v>
      </c>
      <c r="L4499" s="10" t="str">
        <f t="shared" si="422"/>
        <v>AE dialoghi di tempo fiducia e cura episodi 2-3-4</v>
      </c>
      <c r="M4499" s="10" t="str">
        <f t="shared" si="423"/>
        <v>nicoletta.vozza@crm.otsuka-europe.com</v>
      </c>
      <c r="N4499" s="13">
        <v>46181.33803240741</v>
      </c>
      <c r="O4499" s="14" t="str">
        <f>HYPERLINK("https://otsuka-europe-crm.veevavault.com/ui/#object/email_activity__v/V8C00000003P332", "EN-002090338")</f>
        <v>EN-002090338</v>
      </c>
    </row>
    <row r="4500" spans="1:15" ht="32" x14ac:dyDescent="0.2">
      <c r="A4500" s="7" t="str">
        <f>HYPERLINK("https://otsuka-europe-crm.veevavault.com/ui/#object/account__v/V4TZ06G6OBU9BH2", "MARINA SANGIULIANO")</f>
        <v>MARINA SANGIULIANO</v>
      </c>
      <c r="B4500" s="7" t="str">
        <f t="shared" si="420"/>
        <v>IT</v>
      </c>
      <c r="C4500" s="8" t="s">
        <v>44</v>
      </c>
      <c r="D4500" s="9" t="str">
        <f t="shared" si="421"/>
        <v>AE dialoghi di tempo fiducia e cura episodi 2-3-4</v>
      </c>
      <c r="E4500" s="10" t="str">
        <f>HYPERLINK("https://otsuka-europe-crm.veevavault.com/ui/#object/sent_email__v/VBL00000002P725", "SE-001433395")</f>
        <v>SE-001433395</v>
      </c>
      <c r="F4500" s="11"/>
      <c r="G4500" s="12">
        <v>0</v>
      </c>
      <c r="H4500" s="12">
        <v>0</v>
      </c>
      <c r="I4500" s="12">
        <v>0</v>
      </c>
      <c r="J4500" s="11"/>
      <c r="K4500" s="12">
        <v>0</v>
      </c>
      <c r="L4500" s="10" t="str">
        <f t="shared" si="422"/>
        <v>AE dialoghi di tempo fiducia e cura episodi 2-3-4</v>
      </c>
      <c r="M4500" s="10" t="str">
        <f t="shared" si="423"/>
        <v>nicoletta.vozza@crm.otsuka-europe.com</v>
      </c>
      <c r="N4500" s="13">
        <v>46181.337997685187</v>
      </c>
      <c r="O4500" s="14" t="str">
        <f>HYPERLINK("https://otsuka-europe-crm.veevavault.com/ui/#object/email_activity__v/V8C00000003O935", "EN-002090595")</f>
        <v>EN-002090595</v>
      </c>
    </row>
    <row r="4501" spans="1:15" ht="32" x14ac:dyDescent="0.2">
      <c r="A4501" s="7" t="str">
        <f>HYPERLINK("https://otsuka-europe-crm.veevavault.com/ui/#object/account__v/V4TZ06G6O71SCHP", "MARINA SPADARO")</f>
        <v>MARINA SPADARO</v>
      </c>
      <c r="B4501" s="7" t="str">
        <f t="shared" si="420"/>
        <v>IT</v>
      </c>
      <c r="C4501" s="8" t="s">
        <v>44</v>
      </c>
      <c r="D4501" s="9" t="str">
        <f t="shared" si="421"/>
        <v>AE dialoghi di tempo fiducia e cura episodi 2-3-4</v>
      </c>
      <c r="E4501" s="10" t="str">
        <f>HYPERLINK("https://otsuka-europe-crm.veevavault.com/ui/#object/sent_email__v/VBL00000002P726", "SE-001433396")</f>
        <v>SE-001433396</v>
      </c>
      <c r="F4501" s="11"/>
      <c r="G4501" s="12">
        <v>0</v>
      </c>
      <c r="H4501" s="12">
        <v>0</v>
      </c>
      <c r="I4501" s="12">
        <v>0</v>
      </c>
      <c r="J4501" s="11"/>
      <c r="K4501" s="12">
        <v>0</v>
      </c>
      <c r="L4501" s="10" t="str">
        <f t="shared" si="422"/>
        <v>AE dialoghi di tempo fiducia e cura episodi 2-3-4</v>
      </c>
      <c r="M4501" s="10" t="str">
        <f t="shared" si="423"/>
        <v>nicoletta.vozza@crm.otsuka-europe.com</v>
      </c>
      <c r="N4501" s="13">
        <v>46181.33803240741</v>
      </c>
      <c r="O4501" s="14" t="str">
        <f>HYPERLINK("https://otsuka-europe-crm.veevavault.com/ui/#object/email_activity__v/V8C00000003P442", "EN-002090643")</f>
        <v>EN-002090643</v>
      </c>
    </row>
    <row r="4502" spans="1:15" ht="32" x14ac:dyDescent="0.2">
      <c r="A4502" s="7" t="str">
        <f>HYPERLINK("https://otsuka-europe-crm.veevavault.com/ui/#object/account__v/V4TZ06G6O71S9N5", "MARIO AMBROSIO")</f>
        <v>MARIO AMBROSIO</v>
      </c>
      <c r="B4502" s="7" t="str">
        <f t="shared" si="420"/>
        <v>IT</v>
      </c>
      <c r="C4502" s="8" t="s">
        <v>44</v>
      </c>
      <c r="D4502" s="9" t="str">
        <f t="shared" si="421"/>
        <v>AE dialoghi di tempo fiducia e cura episodi 2-3-4</v>
      </c>
      <c r="E4502" s="10" t="str">
        <f>HYPERLINK("https://otsuka-europe-crm.veevavault.com/ui/#object/sent_email__v/VBL00000002P727", "SE-001433397")</f>
        <v>SE-001433397</v>
      </c>
      <c r="F4502" s="11"/>
      <c r="G4502" s="12">
        <v>0</v>
      </c>
      <c r="H4502" s="12">
        <v>0</v>
      </c>
      <c r="I4502" s="12">
        <v>0</v>
      </c>
      <c r="J4502" s="11"/>
      <c r="K4502" s="12">
        <v>0</v>
      </c>
      <c r="L4502" s="10" t="str">
        <f t="shared" si="422"/>
        <v>AE dialoghi di tempo fiducia e cura episodi 2-3-4</v>
      </c>
      <c r="M4502" s="10" t="str">
        <f t="shared" si="423"/>
        <v>nicoletta.vozza@crm.otsuka-europe.com</v>
      </c>
      <c r="N4502" s="13">
        <v>46181.33803240741</v>
      </c>
      <c r="O4502" s="14" t="str">
        <f>HYPERLINK("https://otsuka-europe-crm.veevavault.com/ui/#object/email_activity__v/V8C00000003Q088", "EN-002091153")</f>
        <v>EN-002091153</v>
      </c>
    </row>
    <row r="4503" spans="1:15" ht="32" x14ac:dyDescent="0.2">
      <c r="A4503" s="7" t="str">
        <f>HYPERLINK("https://otsuka-europe-crm.veevavault.com/ui/#object/account__v/V4TZ06G6O71SC8Y", "MARIO CENCI")</f>
        <v>MARIO CENCI</v>
      </c>
      <c r="B4503" s="7" t="str">
        <f t="shared" si="420"/>
        <v>IT</v>
      </c>
      <c r="C4503" s="8" t="s">
        <v>44</v>
      </c>
      <c r="D4503" s="9" t="str">
        <f t="shared" si="421"/>
        <v>AE dialoghi di tempo fiducia e cura episodi 2-3-4</v>
      </c>
      <c r="E4503" s="10" t="str">
        <f>HYPERLINK("https://otsuka-europe-crm.veevavault.com/ui/#object/sent_email__v/VBL00000002P728", "SE-001433398")</f>
        <v>SE-001433398</v>
      </c>
      <c r="F4503" s="11"/>
      <c r="G4503" s="12">
        <v>0</v>
      </c>
      <c r="H4503" s="12">
        <v>0</v>
      </c>
      <c r="I4503" s="12">
        <v>0</v>
      </c>
      <c r="J4503" s="11"/>
      <c r="K4503" s="12">
        <v>0</v>
      </c>
      <c r="L4503" s="10" t="str">
        <f t="shared" si="422"/>
        <v>AE dialoghi di tempo fiducia e cura episodi 2-3-4</v>
      </c>
      <c r="M4503" s="10" t="str">
        <f t="shared" si="423"/>
        <v>nicoletta.vozza@crm.otsuka-europe.com</v>
      </c>
      <c r="N4503" s="13">
        <v>46181.33798611111</v>
      </c>
      <c r="O4503" s="14" t="str">
        <f>HYPERLINK("https://otsuka-europe-crm.veevavault.com/ui/#object/email_activity__v/V8C00000003Q190", "EN-002091295")</f>
        <v>EN-002091295</v>
      </c>
    </row>
    <row r="4504" spans="1:15" ht="32" x14ac:dyDescent="0.2">
      <c r="A4504" s="7" t="str">
        <f>HYPERLINK("https://otsuka-europe-crm.veevavault.com/ui/#object/account__v/V4TZ06G6O8SEG3I", "MARIO GRAZIANO LOREDANO DE ROSA")</f>
        <v>MARIO GRAZIANO LOREDANO DE ROSA</v>
      </c>
      <c r="B4504" s="7" t="str">
        <f t="shared" si="420"/>
        <v>IT</v>
      </c>
      <c r="C4504" s="8" t="s">
        <v>44</v>
      </c>
      <c r="D4504" s="9" t="str">
        <f t="shared" si="421"/>
        <v>AE dialoghi di tempo fiducia e cura episodi 2-3-4</v>
      </c>
      <c r="E4504" s="10" t="str">
        <f>HYPERLINK("https://otsuka-europe-crm.veevavault.com/ui/#object/sent_email__v/VBL00000002P729", "SE-001433399")</f>
        <v>SE-001433399</v>
      </c>
      <c r="F4504" s="11"/>
      <c r="G4504" s="12">
        <v>0</v>
      </c>
      <c r="H4504" s="12">
        <v>0</v>
      </c>
      <c r="I4504" s="12">
        <v>0</v>
      </c>
      <c r="J4504" s="11"/>
      <c r="K4504" s="12">
        <v>0</v>
      </c>
      <c r="L4504" s="10" t="str">
        <f t="shared" si="422"/>
        <v>AE dialoghi di tempo fiducia e cura episodi 2-3-4</v>
      </c>
      <c r="M4504" s="10" t="str">
        <f t="shared" si="423"/>
        <v>nicoletta.vozza@crm.otsuka-europe.com</v>
      </c>
      <c r="N4504" s="13">
        <v>46181.338020833333</v>
      </c>
      <c r="O4504" s="14" t="str">
        <f>HYPERLINK("https://otsuka-europe-crm.veevavault.com/ui/#object/email_activity__v/V8C00000003Q269", "EN-002091387")</f>
        <v>EN-002091387</v>
      </c>
    </row>
    <row r="4505" spans="1:15" ht="32" x14ac:dyDescent="0.2">
      <c r="A4505" s="7" t="str">
        <f>HYPERLINK("https://otsuka-europe-crm.veevavault.com/ui/#object/account__v/V4TZ06G6O71SB9M", "MARIO LUCIANO")</f>
        <v>MARIO LUCIANO</v>
      </c>
      <c r="B4505" s="7" t="str">
        <f t="shared" si="420"/>
        <v>IT</v>
      </c>
      <c r="C4505" s="8" t="s">
        <v>44</v>
      </c>
      <c r="D4505" s="9" t="str">
        <f t="shared" si="421"/>
        <v>AE dialoghi di tempo fiducia e cura episodi 2-3-4</v>
      </c>
      <c r="E4505" s="10" t="str">
        <f>HYPERLINK("https://otsuka-europe-crm.veevavault.com/ui/#object/sent_email__v/VBL00000002P730", "SE-001433400")</f>
        <v>SE-001433400</v>
      </c>
      <c r="F4505" s="11"/>
      <c r="G4505" s="12">
        <v>0</v>
      </c>
      <c r="H4505" s="12">
        <v>0</v>
      </c>
      <c r="I4505" s="12">
        <v>0</v>
      </c>
      <c r="J4505" s="11"/>
      <c r="K4505" s="12">
        <v>0</v>
      </c>
      <c r="L4505" s="10" t="str">
        <f t="shared" si="422"/>
        <v>AE dialoghi di tempo fiducia e cura episodi 2-3-4</v>
      </c>
      <c r="M4505" s="10" t="str">
        <f t="shared" si="423"/>
        <v>nicoletta.vozza@crm.otsuka-europe.com</v>
      </c>
      <c r="N4505" s="13">
        <v>46181.338090277779</v>
      </c>
      <c r="O4505" s="14" t="str">
        <f>HYPERLINK("https://otsuka-europe-crm.veevavault.com/ui/#object/email_activity__v/V8C00000003P646", "EN-002090901")</f>
        <v>EN-002090901</v>
      </c>
    </row>
    <row r="4506" spans="1:15" ht="32" x14ac:dyDescent="0.2">
      <c r="A4506" s="7" t="str">
        <f>HYPERLINK("https://otsuka-europe-crm.veevavault.com/ui/#object/account__v/V4TZ06G6O71SC4M", "MARIO ROMANO")</f>
        <v>MARIO ROMANO</v>
      </c>
      <c r="B4506" s="7" t="str">
        <f t="shared" si="420"/>
        <v>IT</v>
      </c>
      <c r="C4506" s="8" t="s">
        <v>44</v>
      </c>
      <c r="D4506" s="9" t="str">
        <f t="shared" si="421"/>
        <v>AE dialoghi di tempo fiducia e cura episodi 2-3-4</v>
      </c>
      <c r="E4506" s="10" t="str">
        <f>HYPERLINK("https://otsuka-europe-crm.veevavault.com/ui/#object/sent_email__v/VBL00000002P731", "SE-001433401")</f>
        <v>SE-001433401</v>
      </c>
      <c r="F4506" s="11"/>
      <c r="G4506" s="12">
        <v>0</v>
      </c>
      <c r="H4506" s="12">
        <v>0</v>
      </c>
      <c r="I4506" s="12">
        <v>0</v>
      </c>
      <c r="J4506" s="11"/>
      <c r="K4506" s="12">
        <v>0</v>
      </c>
      <c r="L4506" s="10" t="str">
        <f t="shared" si="422"/>
        <v>AE dialoghi di tempo fiducia e cura episodi 2-3-4</v>
      </c>
      <c r="M4506" s="10" t="str">
        <f t="shared" si="423"/>
        <v>nicoletta.vozza@crm.otsuka-europe.com</v>
      </c>
      <c r="N4506" s="13">
        <v>46181.33798611111</v>
      </c>
      <c r="O4506" s="14" t="str">
        <f>HYPERLINK("https://otsuka-europe-crm.veevavault.com/ui/#object/email_activity__v/V8C00000003O215", "EN-002089692")</f>
        <v>EN-002089692</v>
      </c>
    </row>
    <row r="4507" spans="1:15" ht="32" x14ac:dyDescent="0.2">
      <c r="A4507" s="7" t="str">
        <f>HYPERLINK("https://otsuka-europe-crm.veevavault.com/ui/#object/account__v/V4TZ06G6O71TFYX", "MARIO SALVATORE SANTAGATI")</f>
        <v>MARIO SALVATORE SANTAGATI</v>
      </c>
      <c r="B4507" s="7" t="str">
        <f t="shared" si="420"/>
        <v>IT</v>
      </c>
      <c r="C4507" s="8" t="s">
        <v>44</v>
      </c>
      <c r="D4507" s="9" t="str">
        <f t="shared" si="421"/>
        <v>AE dialoghi di tempo fiducia e cura episodi 2-3-4</v>
      </c>
      <c r="E4507" s="10" t="str">
        <f>HYPERLINK("https://otsuka-europe-crm.veevavault.com/ui/#object/sent_email__v/VBL00000002P732", "SE-001433402")</f>
        <v>SE-001433402</v>
      </c>
      <c r="F4507" s="11"/>
      <c r="G4507" s="12">
        <v>0</v>
      </c>
      <c r="H4507" s="12">
        <v>0</v>
      </c>
      <c r="I4507" s="12">
        <v>0</v>
      </c>
      <c r="J4507" s="11"/>
      <c r="K4507" s="12">
        <v>0</v>
      </c>
      <c r="L4507" s="10" t="str">
        <f t="shared" si="422"/>
        <v>AE dialoghi di tempo fiducia e cura episodi 2-3-4</v>
      </c>
      <c r="M4507" s="10" t="str">
        <f t="shared" si="423"/>
        <v>nicoletta.vozza@crm.otsuka-europe.com</v>
      </c>
      <c r="N4507" s="13">
        <v>46181.338055555556</v>
      </c>
      <c r="O4507" s="14" t="str">
        <f>HYPERLINK("https://otsuka-europe-crm.veevavault.com/ui/#object/email_activity__v/V8C00000003O595", "EN-002090151")</f>
        <v>EN-002090151</v>
      </c>
    </row>
    <row r="4508" spans="1:15" ht="32" x14ac:dyDescent="0.2">
      <c r="A4508" s="7" t="str">
        <f>HYPERLINK("https://otsuka-europe-crm.veevavault.com/ui/#object/account__v/V4TZ04ASGAPBP2T", "MARIO SASSO")</f>
        <v>MARIO SASSO</v>
      </c>
      <c r="B4508" s="7" t="str">
        <f t="shared" si="420"/>
        <v>IT</v>
      </c>
      <c r="C4508" s="8" t="s">
        <v>44</v>
      </c>
      <c r="D4508" s="9" t="str">
        <f t="shared" si="421"/>
        <v>AE dialoghi di tempo fiducia e cura episodi 2-3-4</v>
      </c>
      <c r="E4508" s="10" t="str">
        <f>HYPERLINK("https://otsuka-europe-crm.veevavault.com/ui/#object/sent_email__v/VBL00000002P733", "SE-001433403")</f>
        <v>SE-001433403</v>
      </c>
      <c r="F4508" s="11"/>
      <c r="G4508" s="12">
        <v>0</v>
      </c>
      <c r="H4508" s="12">
        <v>0</v>
      </c>
      <c r="I4508" s="12">
        <v>0</v>
      </c>
      <c r="J4508" s="11"/>
      <c r="K4508" s="12">
        <v>0</v>
      </c>
      <c r="L4508" s="10" t="str">
        <f t="shared" si="422"/>
        <v>AE dialoghi di tempo fiducia e cura episodi 2-3-4</v>
      </c>
      <c r="M4508" s="10" t="str">
        <f t="shared" si="423"/>
        <v>nicoletta.vozza@crm.otsuka-europe.com</v>
      </c>
      <c r="N4508" s="13">
        <v>46181.33797453704</v>
      </c>
      <c r="O4508" s="14" t="str">
        <f>HYPERLINK("https://otsuka-europe-crm.veevavault.com/ui/#object/email_activity__v/V8C00000003O607", "EN-002090163")</f>
        <v>EN-002090163</v>
      </c>
    </row>
    <row r="4509" spans="1:15" ht="32" x14ac:dyDescent="0.2">
      <c r="A4509" s="7" t="str">
        <f>HYPERLINK("https://otsuka-europe-crm.veevavault.com/ui/#object/account__v/V4TZ06G6O71SCQ4", "MARIO VIOLANTE")</f>
        <v>MARIO VIOLANTE</v>
      </c>
      <c r="B4509" s="7" t="str">
        <f t="shared" si="420"/>
        <v>IT</v>
      </c>
      <c r="C4509" s="8" t="s">
        <v>44</v>
      </c>
      <c r="D4509" s="9" t="str">
        <f t="shared" si="421"/>
        <v>AE dialoghi di tempo fiducia e cura episodi 2-3-4</v>
      </c>
      <c r="E4509" s="10" t="str">
        <f>HYPERLINK("https://otsuka-europe-crm.veevavault.com/ui/#object/sent_email__v/VBL00000002P734", "SE-001433404")</f>
        <v>SE-001433404</v>
      </c>
      <c r="F4509" s="11"/>
      <c r="G4509" s="12">
        <v>0</v>
      </c>
      <c r="H4509" s="12">
        <v>0</v>
      </c>
      <c r="I4509" s="12">
        <v>0</v>
      </c>
      <c r="J4509" s="11"/>
      <c r="K4509" s="12">
        <v>0</v>
      </c>
      <c r="L4509" s="10" t="str">
        <f t="shared" si="422"/>
        <v>AE dialoghi di tempo fiducia e cura episodi 2-3-4</v>
      </c>
      <c r="M4509" s="10" t="str">
        <f t="shared" si="423"/>
        <v>nicoletta.vozza@crm.otsuka-europe.com</v>
      </c>
      <c r="N4509" s="13">
        <v>46181.338055555556</v>
      </c>
      <c r="O4509" s="14" t="str">
        <f>HYPERLINK("https://otsuka-europe-crm.veevavault.com/ui/#object/email_activity__v/V8C00000003P804", "EN-002091102")</f>
        <v>EN-002091102</v>
      </c>
    </row>
    <row r="4510" spans="1:15" ht="32" x14ac:dyDescent="0.2">
      <c r="A4510" s="7" t="str">
        <f>HYPERLINK("https://otsuka-europe-crm.veevavault.com/ui/#object/account__v/V4TZ06G6O71S9K4", "MARISA BOLONDI")</f>
        <v>MARISA BOLONDI</v>
      </c>
      <c r="B4510" s="7" t="str">
        <f t="shared" si="420"/>
        <v>IT</v>
      </c>
      <c r="C4510" s="8" t="s">
        <v>44</v>
      </c>
      <c r="D4510" s="9" t="str">
        <f t="shared" si="421"/>
        <v>AE dialoghi di tempo fiducia e cura episodi 2-3-4</v>
      </c>
      <c r="E4510" s="10" t="str">
        <f>HYPERLINK("https://otsuka-europe-crm.veevavault.com/ui/#object/sent_email__v/VBL00000002P735", "SE-001433405")</f>
        <v>SE-001433405</v>
      </c>
      <c r="F4510" s="11"/>
      <c r="G4510" s="12">
        <v>0</v>
      </c>
      <c r="H4510" s="12">
        <v>0</v>
      </c>
      <c r="I4510" s="12">
        <v>0</v>
      </c>
      <c r="J4510" s="11"/>
      <c r="K4510" s="12">
        <v>0</v>
      </c>
      <c r="L4510" s="10" t="str">
        <f t="shared" si="422"/>
        <v>AE dialoghi di tempo fiducia e cura episodi 2-3-4</v>
      </c>
      <c r="M4510" s="10" t="str">
        <f t="shared" si="423"/>
        <v>nicoletta.vozza@crm.otsuka-europe.com</v>
      </c>
      <c r="N4510" s="13">
        <v>46181.338067129633</v>
      </c>
      <c r="O4510" s="14" t="str">
        <f>HYPERLINK("https://otsuka-europe-crm.veevavault.com/ui/#object/email_activity__v/V8C00000003O546", "EN-002090102")</f>
        <v>EN-002090102</v>
      </c>
    </row>
    <row r="4511" spans="1:15" ht="32" x14ac:dyDescent="0.2">
      <c r="A4511" s="7" t="str">
        <f>HYPERLINK("https://otsuka-europe-crm.veevavault.com/ui/#object/account__v/V4TZ06G6O71SBEB", "MARISA MARCATO")</f>
        <v>MARISA MARCATO</v>
      </c>
      <c r="B4511" s="7" t="str">
        <f t="shared" si="420"/>
        <v>IT</v>
      </c>
      <c r="C4511" s="8" t="s">
        <v>44</v>
      </c>
      <c r="D4511" s="9" t="str">
        <f t="shared" si="421"/>
        <v>AE dialoghi di tempo fiducia e cura episodi 2-3-4</v>
      </c>
      <c r="E4511" s="10" t="str">
        <f>HYPERLINK("https://otsuka-europe-crm.veevavault.com/ui/#object/sent_email__v/VBL00000002P736", "SE-001433406")</f>
        <v>SE-001433406</v>
      </c>
      <c r="F4511" s="11"/>
      <c r="G4511" s="12">
        <v>0</v>
      </c>
      <c r="H4511" s="12">
        <v>0</v>
      </c>
      <c r="I4511" s="12">
        <v>0</v>
      </c>
      <c r="J4511" s="11"/>
      <c r="K4511" s="12">
        <v>0</v>
      </c>
      <c r="L4511" s="10" t="str">
        <f t="shared" si="422"/>
        <v>AE dialoghi di tempo fiducia e cura episodi 2-3-4</v>
      </c>
      <c r="M4511" s="10" t="str">
        <f t="shared" si="423"/>
        <v>nicoletta.vozza@crm.otsuka-europe.com</v>
      </c>
      <c r="N4511" s="13">
        <v>46181.338101851848</v>
      </c>
      <c r="O4511" s="14" t="str">
        <f>HYPERLINK("https://otsuka-europe-crm.veevavault.com/ui/#object/email_activity__v/V8C00000003Q073", "EN-002091138")</f>
        <v>EN-002091138</v>
      </c>
    </row>
    <row r="4512" spans="1:15" ht="32" x14ac:dyDescent="0.2">
      <c r="A4512" s="7" t="str">
        <f>HYPERLINK("https://otsuka-europe-crm.veevavault.com/ui/#object/account__v/V4TZ06G6O71SA86", "MARTA BURRONI")</f>
        <v>MARTA BURRONI</v>
      </c>
      <c r="B4512" s="7" t="str">
        <f t="shared" si="420"/>
        <v>IT</v>
      </c>
      <c r="C4512" s="8" t="s">
        <v>44</v>
      </c>
      <c r="D4512" s="9" t="str">
        <f t="shared" si="421"/>
        <v>AE dialoghi di tempo fiducia e cura episodi 2-3-4</v>
      </c>
      <c r="E4512" s="10" t="str">
        <f>HYPERLINK("https://otsuka-europe-crm.veevavault.com/ui/#object/sent_email__v/VBL00000002P737", "SE-001433407")</f>
        <v>SE-001433407</v>
      </c>
      <c r="F4512" s="11"/>
      <c r="G4512" s="12">
        <v>0</v>
      </c>
      <c r="H4512" s="12">
        <v>0</v>
      </c>
      <c r="I4512" s="12">
        <v>0</v>
      </c>
      <c r="J4512" s="11"/>
      <c r="K4512" s="12">
        <v>0</v>
      </c>
      <c r="L4512" s="10" t="str">
        <f t="shared" si="422"/>
        <v>AE dialoghi di tempo fiducia e cura episodi 2-3-4</v>
      </c>
      <c r="M4512" s="10" t="str">
        <f t="shared" si="423"/>
        <v>nicoletta.vozza@crm.otsuka-europe.com</v>
      </c>
      <c r="N4512" s="13">
        <v>46181.338055555556</v>
      </c>
      <c r="O4512" s="14" t="str">
        <f>HYPERLINK("https://otsuka-europe-crm.veevavault.com/ui/#object/email_activity__v/V8C00000003Q108", "EN-002091173")</f>
        <v>EN-002091173</v>
      </c>
    </row>
    <row r="4513" spans="1:15" ht="16" x14ac:dyDescent="0.2">
      <c r="A4513" s="17" t="str">
        <f>HYPERLINK("https://otsuka-europe-crm.veevavault.com/ui/#object/account__v/V4TZ06G6O71SADC", "MARTA CAPRIN")</f>
        <v>MARTA CAPRIN</v>
      </c>
      <c r="B4513" s="17" t="str">
        <f t="shared" si="420"/>
        <v>IT</v>
      </c>
      <c r="C4513" s="20" t="s">
        <v>44</v>
      </c>
      <c r="D4513" s="21" t="str">
        <f t="shared" si="421"/>
        <v>AE dialoghi di tempo fiducia e cura episodi 2-3-4</v>
      </c>
      <c r="E4513" s="22" t="str">
        <f>HYPERLINK("https://otsuka-europe-crm.veevavault.com/ui/#object/sent_email__v/VBL00000002P738", "SE-001433408")</f>
        <v>SE-001433408</v>
      </c>
      <c r="F4513" s="23">
        <v>46181.341805555552</v>
      </c>
      <c r="G4513" s="24">
        <v>1</v>
      </c>
      <c r="H4513" s="24">
        <v>2</v>
      </c>
      <c r="I4513" s="24">
        <v>0</v>
      </c>
      <c r="J4513" s="25"/>
      <c r="K4513" s="24">
        <v>0</v>
      </c>
      <c r="L4513" s="22" t="str">
        <f t="shared" si="422"/>
        <v>AE dialoghi di tempo fiducia e cura episodi 2-3-4</v>
      </c>
      <c r="M4513" s="22" t="str">
        <f t="shared" si="423"/>
        <v>nicoletta.vozza@crm.otsuka-europe.com</v>
      </c>
      <c r="N4513" s="23">
        <v>46181.33798611111</v>
      </c>
      <c r="O4513" s="14" t="str">
        <f>HYPERLINK("https://otsuka-europe-crm.veevavault.com/ui/#object/email_activity__v/V8C00000003P408", "EN-002090414")</f>
        <v>EN-002090414</v>
      </c>
    </row>
    <row r="4514" spans="1:15" ht="16" x14ac:dyDescent="0.2">
      <c r="A4514" s="18"/>
      <c r="B4514" s="18"/>
      <c r="C4514" s="18"/>
      <c r="D4514" s="18"/>
      <c r="E4514" s="18"/>
      <c r="F4514" s="18"/>
      <c r="G4514" s="18"/>
      <c r="H4514" s="18"/>
      <c r="I4514" s="18"/>
      <c r="J4514" s="18"/>
      <c r="K4514" s="18"/>
      <c r="L4514" s="18"/>
      <c r="M4514" s="18"/>
      <c r="N4514" s="18"/>
      <c r="O4514" s="14" t="str">
        <f>HYPERLINK("https://otsuka-europe-crm.veevavault.com/ui/#object/email_activity__v/V8C00000003P540", "EN-002090795")</f>
        <v>EN-002090795</v>
      </c>
    </row>
    <row r="4515" spans="1:15" ht="16" x14ac:dyDescent="0.2">
      <c r="A4515" s="19"/>
      <c r="B4515" s="19"/>
      <c r="C4515" s="19"/>
      <c r="D4515" s="19"/>
      <c r="E4515" s="19"/>
      <c r="F4515" s="19"/>
      <c r="G4515" s="19"/>
      <c r="H4515" s="19"/>
      <c r="I4515" s="19"/>
      <c r="J4515" s="19"/>
      <c r="K4515" s="19"/>
      <c r="L4515" s="19"/>
      <c r="M4515" s="19"/>
      <c r="N4515" s="19"/>
      <c r="O4515" s="14" t="str">
        <f>HYPERLINK("https://otsuka-europe-crm.veevavault.com/ui/#object/email_activity__v/V8C00000003P893", "EN-002091422")</f>
        <v>EN-002091422</v>
      </c>
    </row>
    <row r="4516" spans="1:15" ht="32" x14ac:dyDescent="0.2">
      <c r="A4516" s="7" t="str">
        <f>HYPERLINK("https://otsuka-europe-crm.veevavault.com/ui/#object/account__v/V4TZ025E83WEOY2", "MARTA CASTIGLIONI")</f>
        <v>MARTA CASTIGLIONI</v>
      </c>
      <c r="B4516" s="7" t="str">
        <f t="shared" ref="B4516:B4521" si="424">HYPERLINK("https://otsuka-europe-crm.veevavault.com/ui/#object/vcountry__v/VENZ000004SONFQ", "IT")</f>
        <v>IT</v>
      </c>
      <c r="C4516" s="8" t="s">
        <v>44</v>
      </c>
      <c r="D4516" s="9" t="str">
        <f t="shared" ref="D4516:D4521" si="425">HYPERLINK("https://otsuka-europe-crm.veevavault.com/ui/#object/approved_document__v/V5O000000018003", "AE dialoghi di tempo fiducia e cura episodi 2-3-4")</f>
        <v>AE dialoghi di tempo fiducia e cura episodi 2-3-4</v>
      </c>
      <c r="E4516" s="10" t="str">
        <f>HYPERLINK("https://otsuka-europe-crm.veevavault.com/ui/#object/sent_email__v/VBL00000002P739", "SE-001433409")</f>
        <v>SE-001433409</v>
      </c>
      <c r="F4516" s="11"/>
      <c r="G4516" s="12">
        <v>0</v>
      </c>
      <c r="H4516" s="12">
        <v>0</v>
      </c>
      <c r="I4516" s="12">
        <v>0</v>
      </c>
      <c r="J4516" s="11"/>
      <c r="K4516" s="12">
        <v>0</v>
      </c>
      <c r="L4516" s="10" t="str">
        <f t="shared" ref="L4516:L4521" si="426">HYPERLINK("https://otsuka-europe-crm.veevavault.com/ui/#object/approved_document__v/V5O000000018003", "AE dialoghi di tempo fiducia e cura episodi 2-3-4")</f>
        <v>AE dialoghi di tempo fiducia e cura episodi 2-3-4</v>
      </c>
      <c r="M4516" s="10" t="str">
        <f t="shared" ref="M4516:M4521" si="427">HYPERLINK("mailto:nicoletta.vozza@crm.otsuka-europe.com", "nicoletta.vozza@crm.otsuka-europe.com")</f>
        <v>nicoletta.vozza@crm.otsuka-europe.com</v>
      </c>
      <c r="N4516" s="13">
        <v>46181.338067129633</v>
      </c>
      <c r="O4516" s="14" t="str">
        <f>HYPERLINK("https://otsuka-europe-crm.veevavault.com/ui/#object/email_activity__v/V8C00000003O538", "EN-002090094")</f>
        <v>EN-002090094</v>
      </c>
    </row>
    <row r="4517" spans="1:15" ht="32" x14ac:dyDescent="0.2">
      <c r="A4517" s="7" t="str">
        <f>HYPERLINK("https://otsuka-europe-crm.veevavault.com/ui/#object/account__v/V4TZ025E82WRZ62", "MARTA CISOTTO")</f>
        <v>MARTA CISOTTO</v>
      </c>
      <c r="B4517" s="7" t="str">
        <f t="shared" si="424"/>
        <v>IT</v>
      </c>
      <c r="C4517" s="8" t="s">
        <v>44</v>
      </c>
      <c r="D4517" s="9" t="str">
        <f t="shared" si="425"/>
        <v>AE dialoghi di tempo fiducia e cura episodi 2-3-4</v>
      </c>
      <c r="E4517" s="10" t="str">
        <f>HYPERLINK("https://otsuka-europe-crm.veevavault.com/ui/#object/sent_email__v/VBL00000002P740", "SE-001433410")</f>
        <v>SE-001433410</v>
      </c>
      <c r="F4517" s="11"/>
      <c r="G4517" s="12">
        <v>0</v>
      </c>
      <c r="H4517" s="12">
        <v>0</v>
      </c>
      <c r="I4517" s="12">
        <v>0</v>
      </c>
      <c r="J4517" s="11"/>
      <c r="K4517" s="12">
        <v>0</v>
      </c>
      <c r="L4517" s="10" t="str">
        <f t="shared" si="426"/>
        <v>AE dialoghi di tempo fiducia e cura episodi 2-3-4</v>
      </c>
      <c r="M4517" s="10" t="str">
        <f t="shared" si="427"/>
        <v>nicoletta.vozza@crm.otsuka-europe.com</v>
      </c>
      <c r="N4517" s="13">
        <v>46181.33798611111</v>
      </c>
      <c r="O4517" s="14" t="str">
        <f>HYPERLINK("https://otsuka-europe-crm.veevavault.com/ui/#object/email_activity__v/V8C00000003O737", "EN-002090293")</f>
        <v>EN-002090293</v>
      </c>
    </row>
    <row r="4518" spans="1:15" ht="32" x14ac:dyDescent="0.2">
      <c r="A4518" s="7" t="str">
        <f>HYPERLINK("https://otsuka-europe-crm.veevavault.com/ui/#object/account__v/V4TZ04ASGB4E7EY", "MARTA LEONI")</f>
        <v>MARTA LEONI</v>
      </c>
      <c r="B4518" s="7" t="str">
        <f t="shared" si="424"/>
        <v>IT</v>
      </c>
      <c r="C4518" s="8" t="s">
        <v>44</v>
      </c>
      <c r="D4518" s="9" t="str">
        <f t="shared" si="425"/>
        <v>AE dialoghi di tempo fiducia e cura episodi 2-3-4</v>
      </c>
      <c r="E4518" s="10" t="str">
        <f>HYPERLINK("https://otsuka-europe-crm.veevavault.com/ui/#object/sent_email__v/VBL00000002P741", "SE-001433411")</f>
        <v>SE-001433411</v>
      </c>
      <c r="F4518" s="11"/>
      <c r="G4518" s="12">
        <v>0</v>
      </c>
      <c r="H4518" s="12">
        <v>0</v>
      </c>
      <c r="I4518" s="12">
        <v>0</v>
      </c>
      <c r="J4518" s="11"/>
      <c r="K4518" s="12">
        <v>0</v>
      </c>
      <c r="L4518" s="10" t="str">
        <f t="shared" si="426"/>
        <v>AE dialoghi di tempo fiducia e cura episodi 2-3-4</v>
      </c>
      <c r="M4518" s="10" t="str">
        <f t="shared" si="427"/>
        <v>nicoletta.vozza@crm.otsuka-europe.com</v>
      </c>
      <c r="N4518" s="13">
        <v>46181.338009259256</v>
      </c>
      <c r="O4518" s="14" t="str">
        <f>HYPERLINK("https://otsuka-europe-crm.veevavault.com/ui/#object/email_activity__v/V8C00000003O620", "EN-002090176")</f>
        <v>EN-002090176</v>
      </c>
    </row>
    <row r="4519" spans="1:15" ht="32" x14ac:dyDescent="0.2">
      <c r="A4519" s="7" t="str">
        <f>HYPERLINK("https://otsuka-europe-crm.veevavault.com/ui/#object/account__v/V4TZ06G6O8KUZIL", "MARTA MEREGHETTI")</f>
        <v>MARTA MEREGHETTI</v>
      </c>
      <c r="B4519" s="7" t="str">
        <f t="shared" si="424"/>
        <v>IT</v>
      </c>
      <c r="C4519" s="8" t="s">
        <v>44</v>
      </c>
      <c r="D4519" s="9" t="str">
        <f t="shared" si="425"/>
        <v>AE dialoghi di tempo fiducia e cura episodi 2-3-4</v>
      </c>
      <c r="E4519" s="10" t="str">
        <f>HYPERLINK("https://otsuka-europe-crm.veevavault.com/ui/#object/sent_email__v/VBL00000002P742", "SE-001433412")</f>
        <v>SE-001433412</v>
      </c>
      <c r="F4519" s="11"/>
      <c r="G4519" s="12">
        <v>0</v>
      </c>
      <c r="H4519" s="12">
        <v>0</v>
      </c>
      <c r="I4519" s="12">
        <v>0</v>
      </c>
      <c r="J4519" s="11"/>
      <c r="K4519" s="12">
        <v>0</v>
      </c>
      <c r="L4519" s="10" t="str">
        <f t="shared" si="426"/>
        <v>AE dialoghi di tempo fiducia e cura episodi 2-3-4</v>
      </c>
      <c r="M4519" s="10" t="str">
        <f t="shared" si="427"/>
        <v>nicoletta.vozza@crm.otsuka-europe.com</v>
      </c>
      <c r="N4519" s="13">
        <v>46181.338043981479</v>
      </c>
      <c r="O4519" s="14" t="str">
        <f>HYPERLINK("https://otsuka-europe-crm.veevavault.com/ui/#object/email_activity__v/V8C00000003O762", "EN-002090318")</f>
        <v>EN-002090318</v>
      </c>
    </row>
    <row r="4520" spans="1:15" ht="32" x14ac:dyDescent="0.2">
      <c r="A4520" s="7" t="str">
        <f>HYPERLINK("https://otsuka-europe-crm.veevavault.com/ui/#object/account__v/V4TZ06G6O71SBUS", "MARTA PARDINI")</f>
        <v>MARTA PARDINI</v>
      </c>
      <c r="B4520" s="7" t="str">
        <f t="shared" si="424"/>
        <v>IT</v>
      </c>
      <c r="C4520" s="8" t="s">
        <v>44</v>
      </c>
      <c r="D4520" s="9" t="str">
        <f t="shared" si="425"/>
        <v>AE dialoghi di tempo fiducia e cura episodi 2-3-4</v>
      </c>
      <c r="E4520" s="10" t="str">
        <f>HYPERLINK("https://otsuka-europe-crm.veevavault.com/ui/#object/sent_email__v/VBL00000002P743", "SE-001433413")</f>
        <v>SE-001433413</v>
      </c>
      <c r="F4520" s="11"/>
      <c r="G4520" s="12">
        <v>0</v>
      </c>
      <c r="H4520" s="12">
        <v>0</v>
      </c>
      <c r="I4520" s="12">
        <v>0</v>
      </c>
      <c r="J4520" s="11"/>
      <c r="K4520" s="12">
        <v>0</v>
      </c>
      <c r="L4520" s="10" t="str">
        <f t="shared" si="426"/>
        <v>AE dialoghi di tempo fiducia e cura episodi 2-3-4</v>
      </c>
      <c r="M4520" s="10" t="str">
        <f t="shared" si="427"/>
        <v>nicoletta.vozza@crm.otsuka-europe.com</v>
      </c>
      <c r="N4520" s="13">
        <v>46181.338020833333</v>
      </c>
      <c r="O4520" s="14" t="str">
        <f>HYPERLINK("https://otsuka-europe-crm.veevavault.com/ui/#object/email_activity__v/V8C00000003P579", "EN-002090834")</f>
        <v>EN-002090834</v>
      </c>
    </row>
    <row r="4521" spans="1:15" ht="16" x14ac:dyDescent="0.2">
      <c r="A4521" s="17" t="str">
        <f>HYPERLINK("https://otsuka-europe-crm.veevavault.com/ui/#object/account__v/V4TZ06G6O71SCDS", "MARTA SCANDURRA")</f>
        <v>MARTA SCANDURRA</v>
      </c>
      <c r="B4521" s="17" t="str">
        <f t="shared" si="424"/>
        <v>IT</v>
      </c>
      <c r="C4521" s="20" t="s">
        <v>44</v>
      </c>
      <c r="D4521" s="21" t="str">
        <f t="shared" si="425"/>
        <v>AE dialoghi di tempo fiducia e cura episodi 2-3-4</v>
      </c>
      <c r="E4521" s="22" t="str">
        <f>HYPERLINK("https://otsuka-europe-crm.veevavault.com/ui/#object/sent_email__v/VBL00000002P744", "SE-001433414")</f>
        <v>SE-001433414</v>
      </c>
      <c r="F4521" s="25"/>
      <c r="G4521" s="24">
        <v>0</v>
      </c>
      <c r="H4521" s="24">
        <v>0</v>
      </c>
      <c r="I4521" s="24">
        <v>0</v>
      </c>
      <c r="J4521" s="25"/>
      <c r="K4521" s="24">
        <v>0</v>
      </c>
      <c r="L4521" s="22" t="str">
        <f t="shared" si="426"/>
        <v>AE dialoghi di tempo fiducia e cura episodi 2-3-4</v>
      </c>
      <c r="M4521" s="22" t="str">
        <f t="shared" si="427"/>
        <v>nicoletta.vozza@crm.otsuka-europe.com</v>
      </c>
      <c r="N4521" s="23">
        <v>46181.338020833333</v>
      </c>
      <c r="O4521" s="14" t="str">
        <f>HYPERLINK("https://otsuka-europe-crm.veevavault.com/ui/#object/email_activity__v/V8C00000003O474", "EN-002090030")</f>
        <v>EN-002090030</v>
      </c>
    </row>
    <row r="4522" spans="1:15" ht="16" x14ac:dyDescent="0.2">
      <c r="A4522" s="19"/>
      <c r="B4522" s="19"/>
      <c r="C4522" s="19"/>
      <c r="D4522" s="19"/>
      <c r="E4522" s="19"/>
      <c r="F4522" s="19"/>
      <c r="G4522" s="19"/>
      <c r="H4522" s="19"/>
      <c r="I4522" s="19"/>
      <c r="J4522" s="19"/>
      <c r="K4522" s="19"/>
      <c r="L4522" s="19"/>
      <c r="M4522" s="19"/>
      <c r="N4522" s="19"/>
      <c r="O4522" s="14" t="str">
        <f>HYPERLINK("https://otsuka-europe-crm.veevavault.com/ui/#object/email_activity__v/V8C00000003R332", "EN-002092314")</f>
        <v>EN-002092314</v>
      </c>
    </row>
    <row r="4523" spans="1:15" ht="32" x14ac:dyDescent="0.2">
      <c r="A4523" s="7" t="str">
        <f>HYPERLINK("https://otsuka-europe-crm.veevavault.com/ui/#object/account__v/V4TZ06G6O71S9BM", "MARTA SERATI")</f>
        <v>MARTA SERATI</v>
      </c>
      <c r="B4523" s="7" t="str">
        <f>HYPERLINK("https://otsuka-europe-crm.veevavault.com/ui/#object/vcountry__v/VENZ000004SONFQ", "IT")</f>
        <v>IT</v>
      </c>
      <c r="C4523" s="8" t="s">
        <v>44</v>
      </c>
      <c r="D4523" s="9" t="str">
        <f>HYPERLINK("https://otsuka-europe-crm.veevavault.com/ui/#object/approved_document__v/V5O000000018003", "AE dialoghi di tempo fiducia e cura episodi 2-3-4")</f>
        <v>AE dialoghi di tempo fiducia e cura episodi 2-3-4</v>
      </c>
      <c r="E4523" s="10" t="str">
        <f>HYPERLINK("https://otsuka-europe-crm.veevavault.com/ui/#object/sent_email__v/VBL00000002P745", "SE-001433415")</f>
        <v>SE-001433415</v>
      </c>
      <c r="F4523" s="11"/>
      <c r="G4523" s="12">
        <v>0</v>
      </c>
      <c r="H4523" s="12">
        <v>0</v>
      </c>
      <c r="I4523" s="12">
        <v>0</v>
      </c>
      <c r="J4523" s="11"/>
      <c r="K4523" s="12">
        <v>0</v>
      </c>
      <c r="L4523" s="10" t="str">
        <f>HYPERLINK("https://otsuka-europe-crm.veevavault.com/ui/#object/approved_document__v/V5O000000018003", "AE dialoghi di tempo fiducia e cura episodi 2-3-4")</f>
        <v>AE dialoghi di tempo fiducia e cura episodi 2-3-4</v>
      </c>
      <c r="M4523" s="10" t="str">
        <f>HYPERLINK("mailto:nicoletta.vozza@crm.otsuka-europe.com", "nicoletta.vozza@crm.otsuka-europe.com")</f>
        <v>nicoletta.vozza@crm.otsuka-europe.com</v>
      </c>
      <c r="N4523" s="13">
        <v>46181.337997685187</v>
      </c>
      <c r="O4523" s="14" t="str">
        <f>HYPERLINK("https://otsuka-europe-crm.veevavault.com/ui/#object/email_activity__v/V8C00000003O425", "EN-002089981")</f>
        <v>EN-002089981</v>
      </c>
    </row>
    <row r="4524" spans="1:15" ht="16" x14ac:dyDescent="0.2">
      <c r="A4524" s="17" t="str">
        <f>HYPERLINK("https://otsuka-europe-crm.veevavault.com/ui/#object/account__v/V4TZ06G6O71S9QM", "MARTA VALENTINA MASSIMINO")</f>
        <v>MARTA VALENTINA MASSIMINO</v>
      </c>
      <c r="B4524" s="17" t="str">
        <f>HYPERLINK("https://otsuka-europe-crm.veevavault.com/ui/#object/vcountry__v/VENZ000004SONFQ", "IT")</f>
        <v>IT</v>
      </c>
      <c r="C4524" s="20" t="s">
        <v>44</v>
      </c>
      <c r="D4524" s="21" t="str">
        <f>HYPERLINK("https://otsuka-europe-crm.veevavault.com/ui/#object/approved_document__v/V5O000000018003", "AE dialoghi di tempo fiducia e cura episodi 2-3-4")</f>
        <v>AE dialoghi di tempo fiducia e cura episodi 2-3-4</v>
      </c>
      <c r="E4524" s="22" t="str">
        <f>HYPERLINK("https://otsuka-europe-crm.veevavault.com/ui/#object/sent_email__v/VBL00000002P746", "SE-001433416")</f>
        <v>SE-001433416</v>
      </c>
      <c r="F4524" s="25"/>
      <c r="G4524" s="24">
        <v>0</v>
      </c>
      <c r="H4524" s="24">
        <v>0</v>
      </c>
      <c r="I4524" s="24">
        <v>0</v>
      </c>
      <c r="J4524" s="25"/>
      <c r="K4524" s="24">
        <v>0</v>
      </c>
      <c r="L4524" s="22" t="str">
        <f>HYPERLINK("https://otsuka-europe-crm.veevavault.com/ui/#object/approved_document__v/V5O000000018003", "AE dialoghi di tempo fiducia e cura episodi 2-3-4")</f>
        <v>AE dialoghi di tempo fiducia e cura episodi 2-3-4</v>
      </c>
      <c r="M4524" s="22" t="str">
        <f>HYPERLINK("mailto:nicoletta.vozza@crm.otsuka-europe.com", "nicoletta.vozza@crm.otsuka-europe.com")</f>
        <v>nicoletta.vozza@crm.otsuka-europe.com</v>
      </c>
      <c r="N4524" s="23">
        <v>46181.338067129633</v>
      </c>
      <c r="O4524" s="14" t="str">
        <f>HYPERLINK("https://otsuka-europe-crm.veevavault.com/ui/#object/email_activity__v/V8C00000003O729", "EN-002090285")</f>
        <v>EN-002090285</v>
      </c>
    </row>
    <row r="4525" spans="1:15" ht="16" x14ac:dyDescent="0.2">
      <c r="A4525" s="19"/>
      <c r="B4525" s="19"/>
      <c r="C4525" s="19"/>
      <c r="D4525" s="19"/>
      <c r="E4525" s="19"/>
      <c r="F4525" s="19"/>
      <c r="G4525" s="19"/>
      <c r="H4525" s="19"/>
      <c r="I4525" s="19"/>
      <c r="J4525" s="19"/>
      <c r="K4525" s="19"/>
      <c r="L4525" s="19"/>
      <c r="M4525" s="19"/>
      <c r="N4525" s="19"/>
      <c r="O4525" s="14" t="str">
        <f>HYPERLINK("https://otsuka-europe-crm.veevavault.com/ui/#object/email_activity__v/V8C00000003Q329", "EN-002091491")</f>
        <v>EN-002091491</v>
      </c>
    </row>
    <row r="4526" spans="1:15" ht="32" x14ac:dyDescent="0.2">
      <c r="A4526" s="7" t="str">
        <f>HYPERLINK("https://otsuka-europe-crm.veevavault.com/ui/#object/account__v/V4TZ06G6O71SCNF", "MARTA VELARDITA")</f>
        <v>MARTA VELARDITA</v>
      </c>
      <c r="B4526" s="7" t="str">
        <f t="shared" ref="B4526:B4533" si="428">HYPERLINK("https://otsuka-europe-crm.veevavault.com/ui/#object/vcountry__v/VENZ000004SONFQ", "IT")</f>
        <v>IT</v>
      </c>
      <c r="C4526" s="8" t="s">
        <v>44</v>
      </c>
      <c r="D4526" s="9" t="str">
        <f t="shared" ref="D4526:D4533" si="429">HYPERLINK("https://otsuka-europe-crm.veevavault.com/ui/#object/approved_document__v/V5O000000018003", "AE dialoghi di tempo fiducia e cura episodi 2-3-4")</f>
        <v>AE dialoghi di tempo fiducia e cura episodi 2-3-4</v>
      </c>
      <c r="E4526" s="10" t="str">
        <f>HYPERLINK("https://otsuka-europe-crm.veevavault.com/ui/#object/sent_email__v/VBL00000002P747", "SE-001433417")</f>
        <v>SE-001433417</v>
      </c>
      <c r="F4526" s="11"/>
      <c r="G4526" s="12">
        <v>0</v>
      </c>
      <c r="H4526" s="12">
        <v>0</v>
      </c>
      <c r="I4526" s="12">
        <v>0</v>
      </c>
      <c r="J4526" s="11"/>
      <c r="K4526" s="12">
        <v>0</v>
      </c>
      <c r="L4526" s="10" t="str">
        <f t="shared" ref="L4526:L4533" si="430">HYPERLINK("https://otsuka-europe-crm.veevavault.com/ui/#object/approved_document__v/V5O000000018003", "AE dialoghi di tempo fiducia e cura episodi 2-3-4")</f>
        <v>AE dialoghi di tempo fiducia e cura episodi 2-3-4</v>
      </c>
      <c r="M4526" s="10" t="str">
        <f t="shared" ref="M4526:M4533" si="431">HYPERLINK("mailto:nicoletta.vozza@crm.otsuka-europe.com", "nicoletta.vozza@crm.otsuka-europe.com")</f>
        <v>nicoletta.vozza@crm.otsuka-europe.com</v>
      </c>
      <c r="N4526" s="13">
        <v>46181.338055555556</v>
      </c>
      <c r="O4526" s="14" t="str">
        <f>HYPERLINK("https://otsuka-europe-crm.veevavault.com/ui/#object/email_activity__v/V8C00000003P416", "EN-002090422")</f>
        <v>EN-002090422</v>
      </c>
    </row>
    <row r="4527" spans="1:15" ht="32" x14ac:dyDescent="0.2">
      <c r="A4527" s="7" t="str">
        <f>HYPERLINK("https://otsuka-europe-crm.veevavault.com/ui/#object/account__v/V4TZ04ASGC02HSB", "MARTINA BILLECI")</f>
        <v>MARTINA BILLECI</v>
      </c>
      <c r="B4527" s="7" t="str">
        <f t="shared" si="428"/>
        <v>IT</v>
      </c>
      <c r="C4527" s="8" t="s">
        <v>44</v>
      </c>
      <c r="D4527" s="9" t="str">
        <f t="shared" si="429"/>
        <v>AE dialoghi di tempo fiducia e cura episodi 2-3-4</v>
      </c>
      <c r="E4527" s="10" t="str">
        <f>HYPERLINK("https://otsuka-europe-crm.veevavault.com/ui/#object/sent_email__v/VBL00000002P748", "SE-001433418")</f>
        <v>SE-001433418</v>
      </c>
      <c r="F4527" s="11"/>
      <c r="G4527" s="12">
        <v>0</v>
      </c>
      <c r="H4527" s="12">
        <v>0</v>
      </c>
      <c r="I4527" s="12">
        <v>0</v>
      </c>
      <c r="J4527" s="11"/>
      <c r="K4527" s="12">
        <v>0</v>
      </c>
      <c r="L4527" s="10" t="str">
        <f t="shared" si="430"/>
        <v>AE dialoghi di tempo fiducia e cura episodi 2-3-4</v>
      </c>
      <c r="M4527" s="10" t="str">
        <f t="shared" si="431"/>
        <v>nicoletta.vozza@crm.otsuka-europe.com</v>
      </c>
      <c r="N4527" s="13">
        <v>46181.33798611111</v>
      </c>
      <c r="O4527" s="14" t="str">
        <f>HYPERLINK("https://otsuka-europe-crm.veevavault.com/ui/#object/email_activity__v/V8C00000003O699", "EN-002090255")</f>
        <v>EN-002090255</v>
      </c>
    </row>
    <row r="4528" spans="1:15" ht="32" x14ac:dyDescent="0.2">
      <c r="A4528" s="7" t="str">
        <f>HYPERLINK("https://otsuka-europe-crm.veevavault.com/ui/#object/account__v/V4TZ06G6O71S9HG", "MARTINA BUSSAGLIA BRANDIZZI")</f>
        <v>MARTINA BUSSAGLIA BRANDIZZI</v>
      </c>
      <c r="B4528" s="7" t="str">
        <f t="shared" si="428"/>
        <v>IT</v>
      </c>
      <c r="C4528" s="8" t="s">
        <v>44</v>
      </c>
      <c r="D4528" s="9" t="str">
        <f t="shared" si="429"/>
        <v>AE dialoghi di tempo fiducia e cura episodi 2-3-4</v>
      </c>
      <c r="E4528" s="10" t="str">
        <f>HYPERLINK("https://otsuka-europe-crm.veevavault.com/ui/#object/sent_email__v/VBL00000002P749", "SE-001433419")</f>
        <v>SE-001433419</v>
      </c>
      <c r="F4528" s="11"/>
      <c r="G4528" s="12">
        <v>0</v>
      </c>
      <c r="H4528" s="12">
        <v>0</v>
      </c>
      <c r="I4528" s="12">
        <v>0</v>
      </c>
      <c r="J4528" s="11"/>
      <c r="K4528" s="12">
        <v>0</v>
      </c>
      <c r="L4528" s="10" t="str">
        <f t="shared" si="430"/>
        <v>AE dialoghi di tempo fiducia e cura episodi 2-3-4</v>
      </c>
      <c r="M4528" s="10" t="str">
        <f t="shared" si="431"/>
        <v>nicoletta.vozza@crm.otsuka-europe.com</v>
      </c>
      <c r="N4528" s="13">
        <v>46181.338055555556</v>
      </c>
      <c r="O4528" s="14" t="str">
        <f>HYPERLINK("https://otsuka-europe-crm.veevavault.com/ui/#object/email_activity__v/V8C00000003O533", "EN-002090089")</f>
        <v>EN-002090089</v>
      </c>
    </row>
    <row r="4529" spans="1:15" ht="32" x14ac:dyDescent="0.2">
      <c r="A4529" s="7" t="str">
        <f>HYPERLINK("https://otsuka-europe-crm.veevavault.com/ui/#object/account__v/V4TZ025E88FXLCA", "MARTINA DI PAOLO")</f>
        <v>MARTINA DI PAOLO</v>
      </c>
      <c r="B4529" s="7" t="str">
        <f t="shared" si="428"/>
        <v>IT</v>
      </c>
      <c r="C4529" s="8" t="s">
        <v>44</v>
      </c>
      <c r="D4529" s="9" t="str">
        <f t="shared" si="429"/>
        <v>AE dialoghi di tempo fiducia e cura episodi 2-3-4</v>
      </c>
      <c r="E4529" s="10" t="str">
        <f>HYPERLINK("https://otsuka-europe-crm.veevavault.com/ui/#object/sent_email__v/VBL00000002P750", "SE-001433420")</f>
        <v>SE-001433420</v>
      </c>
      <c r="F4529" s="11"/>
      <c r="G4529" s="12">
        <v>0</v>
      </c>
      <c r="H4529" s="12">
        <v>0</v>
      </c>
      <c r="I4529" s="12">
        <v>0</v>
      </c>
      <c r="J4529" s="11"/>
      <c r="K4529" s="12">
        <v>0</v>
      </c>
      <c r="L4529" s="10" t="str">
        <f t="shared" si="430"/>
        <v>AE dialoghi di tempo fiducia e cura episodi 2-3-4</v>
      </c>
      <c r="M4529" s="10" t="str">
        <f t="shared" si="431"/>
        <v>nicoletta.vozza@crm.otsuka-europe.com</v>
      </c>
      <c r="N4529" s="13">
        <v>46181.337962962964</v>
      </c>
      <c r="O4529" s="14" t="str">
        <f>HYPERLINK("https://otsuka-europe-crm.veevavault.com/ui/#object/email_activity__v/V8C00000003O277", "EN-002089754")</f>
        <v>EN-002089754</v>
      </c>
    </row>
    <row r="4530" spans="1:15" ht="32" x14ac:dyDescent="0.2">
      <c r="A4530" s="7" t="str">
        <f>HYPERLINK("https://otsuka-europe-crm.veevavault.com/ui/#object/account__v/V4TZ06G6OB49G8E", "MARTINA FORLANI")</f>
        <v>MARTINA FORLANI</v>
      </c>
      <c r="B4530" s="7" t="str">
        <f t="shared" si="428"/>
        <v>IT</v>
      </c>
      <c r="C4530" s="8" t="s">
        <v>44</v>
      </c>
      <c r="D4530" s="9" t="str">
        <f t="shared" si="429"/>
        <v>AE dialoghi di tempo fiducia e cura episodi 2-3-4</v>
      </c>
      <c r="E4530" s="10" t="str">
        <f>HYPERLINK("https://otsuka-europe-crm.veevavault.com/ui/#object/sent_email__v/VBL00000002P751", "SE-001433421")</f>
        <v>SE-001433421</v>
      </c>
      <c r="F4530" s="11"/>
      <c r="G4530" s="12">
        <v>0</v>
      </c>
      <c r="H4530" s="12">
        <v>0</v>
      </c>
      <c r="I4530" s="12">
        <v>0</v>
      </c>
      <c r="J4530" s="11"/>
      <c r="K4530" s="12">
        <v>0</v>
      </c>
      <c r="L4530" s="10" t="str">
        <f t="shared" si="430"/>
        <v>AE dialoghi di tempo fiducia e cura episodi 2-3-4</v>
      </c>
      <c r="M4530" s="10" t="str">
        <f t="shared" si="431"/>
        <v>nicoletta.vozza@crm.otsuka-europe.com</v>
      </c>
      <c r="N4530" s="13">
        <v>46181.337997685187</v>
      </c>
      <c r="O4530" s="14" t="str">
        <f>HYPERLINK("https://otsuka-europe-crm.veevavault.com/ui/#object/email_activity__v/V8C00000003O942", "EN-002090602")</f>
        <v>EN-002090602</v>
      </c>
    </row>
    <row r="4531" spans="1:15" ht="32" x14ac:dyDescent="0.2">
      <c r="A4531" s="7" t="str">
        <f>HYPERLINK("https://otsuka-europe-crm.veevavault.com/ui/#object/account__v/V4TZ025E82WYTGQ", "MARTINA GAI")</f>
        <v>MARTINA GAI</v>
      </c>
      <c r="B4531" s="7" t="str">
        <f t="shared" si="428"/>
        <v>IT</v>
      </c>
      <c r="C4531" s="8" t="s">
        <v>44</v>
      </c>
      <c r="D4531" s="9" t="str">
        <f t="shared" si="429"/>
        <v>AE dialoghi di tempo fiducia e cura episodi 2-3-4</v>
      </c>
      <c r="E4531" s="10" t="str">
        <f>HYPERLINK("https://otsuka-europe-crm.veevavault.com/ui/#object/sent_email__v/VBL00000002P752", "SE-001433422")</f>
        <v>SE-001433422</v>
      </c>
      <c r="F4531" s="11"/>
      <c r="G4531" s="12">
        <v>0</v>
      </c>
      <c r="H4531" s="12">
        <v>0</v>
      </c>
      <c r="I4531" s="12">
        <v>0</v>
      </c>
      <c r="J4531" s="11"/>
      <c r="K4531" s="12">
        <v>0</v>
      </c>
      <c r="L4531" s="10" t="str">
        <f t="shared" si="430"/>
        <v>AE dialoghi di tempo fiducia e cura episodi 2-3-4</v>
      </c>
      <c r="M4531" s="10" t="str">
        <f t="shared" si="431"/>
        <v>nicoletta.vozza@crm.otsuka-europe.com</v>
      </c>
      <c r="N4531" s="13">
        <v>46181.337997685187</v>
      </c>
      <c r="O4531" s="14" t="str">
        <f>HYPERLINK("https://otsuka-europe-crm.veevavault.com/ui/#object/email_activity__v/V8C00000003O710", "EN-002090266")</f>
        <v>EN-002090266</v>
      </c>
    </row>
    <row r="4532" spans="1:15" ht="32" x14ac:dyDescent="0.2">
      <c r="A4532" s="7" t="str">
        <f>HYPERLINK("https://otsuka-europe-crm.veevavault.com/ui/#object/account__v/V4TZ025E88QCZ5I", "MARTINA MARCENARO")</f>
        <v>MARTINA MARCENARO</v>
      </c>
      <c r="B4532" s="7" t="str">
        <f t="shared" si="428"/>
        <v>IT</v>
      </c>
      <c r="C4532" s="8" t="s">
        <v>44</v>
      </c>
      <c r="D4532" s="9" t="str">
        <f t="shared" si="429"/>
        <v>AE dialoghi di tempo fiducia e cura episodi 2-3-4</v>
      </c>
      <c r="E4532" s="10" t="str">
        <f>HYPERLINK("https://otsuka-europe-crm.veevavault.com/ui/#object/sent_email__v/VBL00000002P753", "SE-001433423")</f>
        <v>SE-001433423</v>
      </c>
      <c r="F4532" s="11"/>
      <c r="G4532" s="12">
        <v>0</v>
      </c>
      <c r="H4532" s="12">
        <v>0</v>
      </c>
      <c r="I4532" s="12">
        <v>0</v>
      </c>
      <c r="J4532" s="11"/>
      <c r="K4532" s="12">
        <v>0</v>
      </c>
      <c r="L4532" s="10" t="str">
        <f t="shared" si="430"/>
        <v>AE dialoghi di tempo fiducia e cura episodi 2-3-4</v>
      </c>
      <c r="M4532" s="10" t="str">
        <f t="shared" si="431"/>
        <v>nicoletta.vozza@crm.otsuka-europe.com</v>
      </c>
      <c r="N4532" s="13">
        <v>46181.33803240741</v>
      </c>
      <c r="O4532" s="14" t="str">
        <f>HYPERLINK("https://otsuka-europe-crm.veevavault.com/ui/#object/email_activity__v/V8C00000003O383", "EN-002089901")</f>
        <v>EN-002089901</v>
      </c>
    </row>
    <row r="4533" spans="1:15" ht="16" x14ac:dyDescent="0.2">
      <c r="A4533" s="17" t="str">
        <f>HYPERLINK("https://otsuka-europe-crm.veevavault.com/ui/#object/account__v/V4TZ025E857M69U", "MARTINA PELLE")</f>
        <v>MARTINA PELLE</v>
      </c>
      <c r="B4533" s="17" t="str">
        <f t="shared" si="428"/>
        <v>IT</v>
      </c>
      <c r="C4533" s="20" t="s">
        <v>44</v>
      </c>
      <c r="D4533" s="21" t="str">
        <f t="shared" si="429"/>
        <v>AE dialoghi di tempo fiducia e cura episodi 2-3-4</v>
      </c>
      <c r="E4533" s="22" t="str">
        <f>HYPERLINK("https://otsuka-europe-crm.veevavault.com/ui/#object/sent_email__v/VBL00000002P754", "SE-001433424")</f>
        <v>SE-001433424</v>
      </c>
      <c r="F4533" s="23">
        <v>46181.353738425925</v>
      </c>
      <c r="G4533" s="24">
        <v>1</v>
      </c>
      <c r="H4533" s="24">
        <v>1</v>
      </c>
      <c r="I4533" s="24">
        <v>0</v>
      </c>
      <c r="J4533" s="25"/>
      <c r="K4533" s="24">
        <v>0</v>
      </c>
      <c r="L4533" s="22" t="str">
        <f t="shared" si="430"/>
        <v>AE dialoghi di tempo fiducia e cura episodi 2-3-4</v>
      </c>
      <c r="M4533" s="22" t="str">
        <f t="shared" si="431"/>
        <v>nicoletta.vozza@crm.otsuka-europe.com</v>
      </c>
      <c r="N4533" s="23">
        <v>46181.338055555556</v>
      </c>
      <c r="O4533" s="14" t="str">
        <f>HYPERLINK("https://otsuka-europe-crm.veevavault.com/ui/#object/email_activity__v/V8C00000003P713", "EN-002090968")</f>
        <v>EN-002090968</v>
      </c>
    </row>
    <row r="4534" spans="1:15" ht="16" x14ac:dyDescent="0.2">
      <c r="A4534" s="19"/>
      <c r="B4534" s="19"/>
      <c r="C4534" s="19"/>
      <c r="D4534" s="19"/>
      <c r="E4534" s="19"/>
      <c r="F4534" s="19"/>
      <c r="G4534" s="19"/>
      <c r="H4534" s="19"/>
      <c r="I4534" s="19"/>
      <c r="J4534" s="19"/>
      <c r="K4534" s="19"/>
      <c r="L4534" s="19"/>
      <c r="M4534" s="19"/>
      <c r="N4534" s="19"/>
      <c r="O4534" s="14" t="str">
        <f>HYPERLINK("https://otsuka-europe-crm.veevavault.com/ui/#object/email_activity__v/V8C00000003P921", "EN-002091483")</f>
        <v>EN-002091483</v>
      </c>
    </row>
    <row r="4535" spans="1:15" ht="16" x14ac:dyDescent="0.2">
      <c r="A4535" s="17" t="str">
        <f>HYPERLINK("https://otsuka-europe-crm.veevavault.com/ui/#object/account__v/V4TZ06G6OBU96OD", "MARZIA MOLINARO")</f>
        <v>MARZIA MOLINARO</v>
      </c>
      <c r="B4535" s="17" t="str">
        <f>HYPERLINK("https://otsuka-europe-crm.veevavault.com/ui/#object/vcountry__v/VENZ000004SONFQ", "IT")</f>
        <v>IT</v>
      </c>
      <c r="C4535" s="20" t="s">
        <v>44</v>
      </c>
      <c r="D4535" s="21" t="str">
        <f>HYPERLINK("https://otsuka-europe-crm.veevavault.com/ui/#object/approved_document__v/V5O000000018003", "AE dialoghi di tempo fiducia e cura episodi 2-3-4")</f>
        <v>AE dialoghi di tempo fiducia e cura episodi 2-3-4</v>
      </c>
      <c r="E4535" s="22" t="str">
        <f>HYPERLINK("https://otsuka-europe-crm.veevavault.com/ui/#object/sent_email__v/VBL00000002P755", "SE-001433425")</f>
        <v>SE-001433425</v>
      </c>
      <c r="F4535" s="23">
        <v>46181.380752314813</v>
      </c>
      <c r="G4535" s="24">
        <v>1</v>
      </c>
      <c r="H4535" s="24">
        <v>1</v>
      </c>
      <c r="I4535" s="24">
        <v>0</v>
      </c>
      <c r="J4535" s="25"/>
      <c r="K4535" s="24">
        <v>0</v>
      </c>
      <c r="L4535" s="22" t="str">
        <f>HYPERLINK("https://otsuka-europe-crm.veevavault.com/ui/#object/approved_document__v/V5O000000018003", "AE dialoghi di tempo fiducia e cura episodi 2-3-4")</f>
        <v>AE dialoghi di tempo fiducia e cura episodi 2-3-4</v>
      </c>
      <c r="M4535" s="22" t="str">
        <f>HYPERLINK("mailto:nicoletta.vozza@crm.otsuka-europe.com", "nicoletta.vozza@crm.otsuka-europe.com")</f>
        <v>nicoletta.vozza@crm.otsuka-europe.com</v>
      </c>
      <c r="N4535" s="23">
        <v>46181.338067129633</v>
      </c>
      <c r="O4535" s="14" t="str">
        <f>HYPERLINK("https://otsuka-europe-crm.veevavault.com/ui/#object/email_activity__v/V8C00000003P761", "EN-002091059")</f>
        <v>EN-002091059</v>
      </c>
    </row>
    <row r="4536" spans="1:15" ht="16" x14ac:dyDescent="0.2">
      <c r="A4536" s="19"/>
      <c r="B4536" s="19"/>
      <c r="C4536" s="19"/>
      <c r="D4536" s="19"/>
      <c r="E4536" s="19"/>
      <c r="F4536" s="19"/>
      <c r="G4536" s="19"/>
      <c r="H4536" s="19"/>
      <c r="I4536" s="19"/>
      <c r="J4536" s="19"/>
      <c r="K4536" s="19"/>
      <c r="L4536" s="19"/>
      <c r="M4536" s="19"/>
      <c r="N4536" s="19"/>
      <c r="O4536" s="14" t="str">
        <f>HYPERLINK("https://otsuka-europe-crm.veevavault.com/ui/#object/email_activity__v/V8C00000003Q457", "EN-002091696")</f>
        <v>EN-002091696</v>
      </c>
    </row>
    <row r="4537" spans="1:15" ht="32" x14ac:dyDescent="0.2">
      <c r="A4537" s="7" t="str">
        <f>HYPERLINK("https://otsuka-europe-crm.veevavault.com/ui/#object/account__v/V4TZ06G6O71SBKY", "MARZIA MORETTI")</f>
        <v>MARZIA MORETTI</v>
      </c>
      <c r="B4537" s="7" t="str">
        <f t="shared" ref="B4537:B4543" si="432">HYPERLINK("https://otsuka-europe-crm.veevavault.com/ui/#object/vcountry__v/VENZ000004SONFQ", "IT")</f>
        <v>IT</v>
      </c>
      <c r="C4537" s="8" t="s">
        <v>44</v>
      </c>
      <c r="D4537" s="9" t="str">
        <f t="shared" ref="D4537:D4543" si="433">HYPERLINK("https://otsuka-europe-crm.veevavault.com/ui/#object/approved_document__v/V5O000000018003", "AE dialoghi di tempo fiducia e cura episodi 2-3-4")</f>
        <v>AE dialoghi di tempo fiducia e cura episodi 2-3-4</v>
      </c>
      <c r="E4537" s="10" t="str">
        <f>HYPERLINK("https://otsuka-europe-crm.veevavault.com/ui/#object/sent_email__v/VBL00000002P756", "SE-001433426")</f>
        <v>SE-001433426</v>
      </c>
      <c r="F4537" s="11"/>
      <c r="G4537" s="12">
        <v>0</v>
      </c>
      <c r="H4537" s="12">
        <v>0</v>
      </c>
      <c r="I4537" s="12">
        <v>0</v>
      </c>
      <c r="J4537" s="11"/>
      <c r="K4537" s="12">
        <v>0</v>
      </c>
      <c r="L4537" s="10" t="str">
        <f t="shared" ref="L4537:L4543" si="434">HYPERLINK("https://otsuka-europe-crm.veevavault.com/ui/#object/approved_document__v/V5O000000018003", "AE dialoghi di tempo fiducia e cura episodi 2-3-4")</f>
        <v>AE dialoghi di tempo fiducia e cura episodi 2-3-4</v>
      </c>
      <c r="M4537" s="10" t="str">
        <f t="shared" ref="M4537:M4543" si="435">HYPERLINK("mailto:nicoletta.vozza@crm.otsuka-europe.com", "nicoletta.vozza@crm.otsuka-europe.com")</f>
        <v>nicoletta.vozza@crm.otsuka-europe.com</v>
      </c>
      <c r="N4537" s="13">
        <v>46181.337997685187</v>
      </c>
      <c r="O4537" s="14" t="str">
        <f>HYPERLINK("https://otsuka-europe-crm.veevavault.com/ui/#object/email_activity__v/V8C00000003P362", "EN-002090368")</f>
        <v>EN-002090368</v>
      </c>
    </row>
    <row r="4538" spans="1:15" ht="32" x14ac:dyDescent="0.2">
      <c r="A4538" s="7" t="str">
        <f>HYPERLINK("https://otsuka-europe-crm.veevavault.com/ui/#object/account__v/V4TZ025E86H460V", "MARZIA NICOLI")</f>
        <v>MARZIA NICOLI</v>
      </c>
      <c r="B4538" s="7" t="str">
        <f t="shared" si="432"/>
        <v>IT</v>
      </c>
      <c r="C4538" s="8" t="s">
        <v>44</v>
      </c>
      <c r="D4538" s="9" t="str">
        <f t="shared" si="433"/>
        <v>AE dialoghi di tempo fiducia e cura episodi 2-3-4</v>
      </c>
      <c r="E4538" s="10" t="str">
        <f>HYPERLINK("https://otsuka-europe-crm.veevavault.com/ui/#object/sent_email__v/VBL00000002P757", "SE-001433427")</f>
        <v>SE-001433427</v>
      </c>
      <c r="F4538" s="11"/>
      <c r="G4538" s="12">
        <v>0</v>
      </c>
      <c r="H4538" s="12">
        <v>0</v>
      </c>
      <c r="I4538" s="12">
        <v>0</v>
      </c>
      <c r="J4538" s="11"/>
      <c r="K4538" s="12">
        <v>0</v>
      </c>
      <c r="L4538" s="10" t="str">
        <f t="shared" si="434"/>
        <v>AE dialoghi di tempo fiducia e cura episodi 2-3-4</v>
      </c>
      <c r="M4538" s="10" t="str">
        <f t="shared" si="435"/>
        <v>nicoletta.vozza@crm.otsuka-europe.com</v>
      </c>
      <c r="N4538" s="13">
        <v>46181.33797453704</v>
      </c>
      <c r="O4538" s="14" t="str">
        <f>HYPERLINK("https://otsuka-europe-crm.veevavault.com/ui/#object/email_activity__v/V8C00000003O770", "EN-002090430")</f>
        <v>EN-002090430</v>
      </c>
    </row>
    <row r="4539" spans="1:15" ht="32" x14ac:dyDescent="0.2">
      <c r="A4539" s="7" t="str">
        <f>HYPERLINK("https://otsuka-europe-crm.veevavault.com/ui/#object/account__v/V4TZ06G6O71SBRI", "MARZIA PERAZZI")</f>
        <v>MARZIA PERAZZI</v>
      </c>
      <c r="B4539" s="7" t="str">
        <f t="shared" si="432"/>
        <v>IT</v>
      </c>
      <c r="C4539" s="8" t="s">
        <v>44</v>
      </c>
      <c r="D4539" s="9" t="str">
        <f t="shared" si="433"/>
        <v>AE dialoghi di tempo fiducia e cura episodi 2-3-4</v>
      </c>
      <c r="E4539" s="10" t="str">
        <f>HYPERLINK("https://otsuka-europe-crm.veevavault.com/ui/#object/sent_email__v/VBL00000002P758", "SE-001433428")</f>
        <v>SE-001433428</v>
      </c>
      <c r="F4539" s="11"/>
      <c r="G4539" s="12">
        <v>0</v>
      </c>
      <c r="H4539" s="12">
        <v>0</v>
      </c>
      <c r="I4539" s="12">
        <v>0</v>
      </c>
      <c r="J4539" s="11"/>
      <c r="K4539" s="12">
        <v>0</v>
      </c>
      <c r="L4539" s="10" t="str">
        <f t="shared" si="434"/>
        <v>AE dialoghi di tempo fiducia e cura episodi 2-3-4</v>
      </c>
      <c r="M4539" s="10" t="str">
        <f t="shared" si="435"/>
        <v>nicoletta.vozza@crm.otsuka-europe.com</v>
      </c>
      <c r="N4539" s="13">
        <v>46181.338009259256</v>
      </c>
      <c r="O4539" s="14" t="str">
        <f>HYPERLINK("https://otsuka-europe-crm.veevavault.com/ui/#object/email_activity__v/V8C00000003O365", "EN-002089883")</f>
        <v>EN-002089883</v>
      </c>
    </row>
    <row r="4540" spans="1:15" ht="32" x14ac:dyDescent="0.2">
      <c r="A4540" s="7" t="str">
        <f>HYPERLINK("https://otsuka-europe-crm.veevavault.com/ui/#object/account__v/V4TZ06G6O71SA9F", "MASSIMILIANO BUOLI")</f>
        <v>MASSIMILIANO BUOLI</v>
      </c>
      <c r="B4540" s="7" t="str">
        <f t="shared" si="432"/>
        <v>IT</v>
      </c>
      <c r="C4540" s="8" t="s">
        <v>44</v>
      </c>
      <c r="D4540" s="9" t="str">
        <f t="shared" si="433"/>
        <v>AE dialoghi di tempo fiducia e cura episodi 2-3-4</v>
      </c>
      <c r="E4540" s="10" t="str">
        <f>HYPERLINK("https://otsuka-europe-crm.veevavault.com/ui/#object/sent_email__v/VBL00000002P759", "SE-001433429")</f>
        <v>SE-001433429</v>
      </c>
      <c r="F4540" s="11"/>
      <c r="G4540" s="12">
        <v>0</v>
      </c>
      <c r="H4540" s="12">
        <v>0</v>
      </c>
      <c r="I4540" s="12">
        <v>0</v>
      </c>
      <c r="J4540" s="11"/>
      <c r="K4540" s="12">
        <v>0</v>
      </c>
      <c r="L4540" s="10" t="str">
        <f t="shared" si="434"/>
        <v>AE dialoghi di tempo fiducia e cura episodi 2-3-4</v>
      </c>
      <c r="M4540" s="10" t="str">
        <f t="shared" si="435"/>
        <v>nicoletta.vozza@crm.otsuka-europe.com</v>
      </c>
      <c r="N4540" s="13">
        <v>46181.337997685187</v>
      </c>
      <c r="O4540" s="14" t="str">
        <f>HYPERLINK("https://otsuka-europe-crm.veevavault.com/ui/#object/email_activity__v/V8C00000003P584", "EN-002090839")</f>
        <v>EN-002090839</v>
      </c>
    </row>
    <row r="4541" spans="1:15" ht="32" x14ac:dyDescent="0.2">
      <c r="A4541" s="7" t="str">
        <f>HYPERLINK("https://otsuka-europe-crm.veevavault.com/ui/#object/account__v/V4TZ06G6O71SCSO", "MASSIMILIANO IMBESI")</f>
        <v>MASSIMILIANO IMBESI</v>
      </c>
      <c r="B4541" s="7" t="str">
        <f t="shared" si="432"/>
        <v>IT</v>
      </c>
      <c r="C4541" s="8" t="s">
        <v>44</v>
      </c>
      <c r="D4541" s="9" t="str">
        <f t="shared" si="433"/>
        <v>AE dialoghi di tempo fiducia e cura episodi 2-3-4</v>
      </c>
      <c r="E4541" s="10" t="str">
        <f>HYPERLINK("https://otsuka-europe-crm.veevavault.com/ui/#object/sent_email__v/VBL00000002P760", "SE-001433430")</f>
        <v>SE-001433430</v>
      </c>
      <c r="F4541" s="11"/>
      <c r="G4541" s="12">
        <v>0</v>
      </c>
      <c r="H4541" s="12">
        <v>0</v>
      </c>
      <c r="I4541" s="12">
        <v>0</v>
      </c>
      <c r="J4541" s="11"/>
      <c r="K4541" s="12">
        <v>0</v>
      </c>
      <c r="L4541" s="10" t="str">
        <f t="shared" si="434"/>
        <v>AE dialoghi di tempo fiducia e cura episodi 2-3-4</v>
      </c>
      <c r="M4541" s="10" t="str">
        <f t="shared" si="435"/>
        <v>nicoletta.vozza@crm.otsuka-europe.com</v>
      </c>
      <c r="N4541" s="13">
        <v>46181.33798611111</v>
      </c>
      <c r="O4541" s="14" t="str">
        <f>HYPERLINK("https://otsuka-europe-crm.veevavault.com/ui/#object/email_activity__v/V8C00000003O312", "EN-002089789")</f>
        <v>EN-002089789</v>
      </c>
    </row>
    <row r="4542" spans="1:15" ht="32" x14ac:dyDescent="0.2">
      <c r="A4542" s="7" t="str">
        <f>HYPERLINK("https://otsuka-europe-crm.veevavault.com/ui/#object/account__v/V4TZ06G6OBUDOWK", "MASSIMILIANO MORREALE")</f>
        <v>MASSIMILIANO MORREALE</v>
      </c>
      <c r="B4542" s="7" t="str">
        <f t="shared" si="432"/>
        <v>IT</v>
      </c>
      <c r="C4542" s="8" t="s">
        <v>44</v>
      </c>
      <c r="D4542" s="9" t="str">
        <f t="shared" si="433"/>
        <v>AE dialoghi di tempo fiducia e cura episodi 2-3-4</v>
      </c>
      <c r="E4542" s="10" t="str">
        <f>HYPERLINK("https://otsuka-europe-crm.veevavault.com/ui/#object/sent_email__v/VBL00000002P761", "SE-001433431")</f>
        <v>SE-001433431</v>
      </c>
      <c r="F4542" s="11"/>
      <c r="G4542" s="12">
        <v>0</v>
      </c>
      <c r="H4542" s="12">
        <v>0</v>
      </c>
      <c r="I4542" s="12">
        <v>0</v>
      </c>
      <c r="J4542" s="11"/>
      <c r="K4542" s="12">
        <v>0</v>
      </c>
      <c r="L4542" s="10" t="str">
        <f t="shared" si="434"/>
        <v>AE dialoghi di tempo fiducia e cura episodi 2-3-4</v>
      </c>
      <c r="M4542" s="10" t="str">
        <f t="shared" si="435"/>
        <v>nicoletta.vozza@crm.otsuka-europe.com</v>
      </c>
      <c r="N4542" s="13">
        <v>46181.338067129633</v>
      </c>
      <c r="O4542" s="14" t="str">
        <f>HYPERLINK("https://otsuka-europe-crm.veevavault.com/ui/#object/email_activity__v/V8C00000003O931", "EN-002090591")</f>
        <v>EN-002090591</v>
      </c>
    </row>
    <row r="4543" spans="1:15" ht="16" x14ac:dyDescent="0.2">
      <c r="A4543" s="17" t="str">
        <f>HYPERLINK("https://otsuka-europe-crm.veevavault.com/ui/#object/account__v/V4TZ06G6O71SBOL", "MASSIMILIANO NIGRO")</f>
        <v>MASSIMILIANO NIGRO</v>
      </c>
      <c r="B4543" s="17" t="str">
        <f t="shared" si="432"/>
        <v>IT</v>
      </c>
      <c r="C4543" s="20" t="s">
        <v>44</v>
      </c>
      <c r="D4543" s="21" t="str">
        <f t="shared" si="433"/>
        <v>AE dialoghi di tempo fiducia e cura episodi 2-3-4</v>
      </c>
      <c r="E4543" s="22" t="str">
        <f>HYPERLINK("https://otsuka-europe-crm.veevavault.com/ui/#object/sent_email__v/VBL00000002P762", "SE-001433432")</f>
        <v>SE-001433432</v>
      </c>
      <c r="F4543" s="25"/>
      <c r="G4543" s="24">
        <v>0</v>
      </c>
      <c r="H4543" s="24">
        <v>0</v>
      </c>
      <c r="I4543" s="24">
        <v>0</v>
      </c>
      <c r="J4543" s="25"/>
      <c r="K4543" s="24">
        <v>0</v>
      </c>
      <c r="L4543" s="22" t="str">
        <f t="shared" si="434"/>
        <v>AE dialoghi di tempo fiducia e cura episodi 2-3-4</v>
      </c>
      <c r="M4543" s="22" t="str">
        <f t="shared" si="435"/>
        <v>nicoletta.vozza@crm.otsuka-europe.com</v>
      </c>
      <c r="N4543" s="23">
        <v>46181.338090277779</v>
      </c>
      <c r="O4543" s="14" t="str">
        <f>HYPERLINK("https://otsuka-europe-crm.veevavault.com/ui/#object/email_activity__v/V8C00000003Q012", "EN-002090760")</f>
        <v>EN-002090760</v>
      </c>
    </row>
    <row r="4544" spans="1:15" ht="16" x14ac:dyDescent="0.2">
      <c r="A4544" s="19"/>
      <c r="B4544" s="19"/>
      <c r="C4544" s="19"/>
      <c r="D4544" s="19"/>
      <c r="E4544" s="19"/>
      <c r="F4544" s="19"/>
      <c r="G4544" s="19"/>
      <c r="H4544" s="19"/>
      <c r="I4544" s="19"/>
      <c r="J4544" s="19"/>
      <c r="K4544" s="19"/>
      <c r="L4544" s="19"/>
      <c r="M4544" s="19"/>
      <c r="N4544" s="19"/>
      <c r="O4544" s="14" t="str">
        <f>HYPERLINK("https://otsuka-europe-crm.veevavault.com/ui/#object/email_activity__v/V8C00000003R159", "EN-002091979")</f>
        <v>EN-002091979</v>
      </c>
    </row>
    <row r="4545" spans="1:15" ht="32" x14ac:dyDescent="0.2">
      <c r="A4545" s="7" t="str">
        <f>HYPERLINK("https://otsuka-europe-crm.veevavault.com/ui/#object/account__v/V4TZ06G6O71S9FX", "MASSIMO AIMINO")</f>
        <v>MASSIMO AIMINO</v>
      </c>
      <c r="B4545" s="7" t="str">
        <f t="shared" ref="B4545:B4554" si="436">HYPERLINK("https://otsuka-europe-crm.veevavault.com/ui/#object/vcountry__v/VENZ000004SONFQ", "IT")</f>
        <v>IT</v>
      </c>
      <c r="C4545" s="8" t="s">
        <v>44</v>
      </c>
      <c r="D4545" s="9" t="str">
        <f t="shared" ref="D4545:D4554" si="437">HYPERLINK("https://otsuka-europe-crm.veevavault.com/ui/#object/approved_document__v/V5O000000018003", "AE dialoghi di tempo fiducia e cura episodi 2-3-4")</f>
        <v>AE dialoghi di tempo fiducia e cura episodi 2-3-4</v>
      </c>
      <c r="E4545" s="10" t="str">
        <f>HYPERLINK("https://otsuka-europe-crm.veevavault.com/ui/#object/sent_email__v/VBL00000002P763", "SE-001433433")</f>
        <v>SE-001433433</v>
      </c>
      <c r="F4545" s="11"/>
      <c r="G4545" s="12">
        <v>0</v>
      </c>
      <c r="H4545" s="12">
        <v>0</v>
      </c>
      <c r="I4545" s="12">
        <v>0</v>
      </c>
      <c r="J4545" s="11"/>
      <c r="K4545" s="12">
        <v>0</v>
      </c>
      <c r="L4545" s="10" t="str">
        <f t="shared" ref="L4545:L4554" si="438">HYPERLINK("https://otsuka-europe-crm.veevavault.com/ui/#object/approved_document__v/V5O000000018003", "AE dialoghi di tempo fiducia e cura episodi 2-3-4")</f>
        <v>AE dialoghi di tempo fiducia e cura episodi 2-3-4</v>
      </c>
      <c r="M4545" s="10" t="str">
        <f t="shared" ref="M4545:M4554" si="439">HYPERLINK("mailto:nicoletta.vozza@crm.otsuka-europe.com", "nicoletta.vozza@crm.otsuka-europe.com")</f>
        <v>nicoletta.vozza@crm.otsuka-europe.com</v>
      </c>
      <c r="N4545" s="13">
        <v>46181.338043981479</v>
      </c>
      <c r="O4545" s="14" t="str">
        <f>HYPERLINK("https://otsuka-europe-crm.veevavault.com/ui/#object/email_activity__v/V8C00000003P451", "EN-002090648")</f>
        <v>EN-002090648</v>
      </c>
    </row>
    <row r="4546" spans="1:15" ht="32" x14ac:dyDescent="0.2">
      <c r="A4546" s="7" t="str">
        <f>HYPERLINK("https://otsuka-europe-crm.veevavault.com/ui/#object/account__v/V4TZ06G6O71SAXN", "MASSIMO CACCIOLA")</f>
        <v>MASSIMO CACCIOLA</v>
      </c>
      <c r="B4546" s="7" t="str">
        <f t="shared" si="436"/>
        <v>IT</v>
      </c>
      <c r="C4546" s="8" t="s">
        <v>44</v>
      </c>
      <c r="D4546" s="9" t="str">
        <f t="shared" si="437"/>
        <v>AE dialoghi di tempo fiducia e cura episodi 2-3-4</v>
      </c>
      <c r="E4546" s="10" t="str">
        <f>HYPERLINK("https://otsuka-europe-crm.veevavault.com/ui/#object/sent_email__v/VBL00000002P764", "SE-001433434")</f>
        <v>SE-001433434</v>
      </c>
      <c r="F4546" s="11"/>
      <c r="G4546" s="12">
        <v>0</v>
      </c>
      <c r="H4546" s="12">
        <v>0</v>
      </c>
      <c r="I4546" s="12">
        <v>0</v>
      </c>
      <c r="J4546" s="11"/>
      <c r="K4546" s="12">
        <v>0</v>
      </c>
      <c r="L4546" s="10" t="str">
        <f t="shared" si="438"/>
        <v>AE dialoghi di tempo fiducia e cura episodi 2-3-4</v>
      </c>
      <c r="M4546" s="10" t="str">
        <f t="shared" si="439"/>
        <v>nicoletta.vozza@crm.otsuka-europe.com</v>
      </c>
      <c r="N4546" s="13">
        <v>46181.33803240741</v>
      </c>
      <c r="O4546" s="14" t="str">
        <f>HYPERLINK("https://otsuka-europe-crm.veevavault.com/ui/#object/email_activity__v/V8C00000003P303", "EN-002089939")</f>
        <v>EN-002089939</v>
      </c>
    </row>
    <row r="4547" spans="1:15" ht="32" x14ac:dyDescent="0.2">
      <c r="A4547" s="7" t="str">
        <f>HYPERLINK("https://otsuka-europe-crm.veevavault.com/ui/#object/account__v/V4TZ06G6O71SACO", "MASSIMO CARBONE")</f>
        <v>MASSIMO CARBONE</v>
      </c>
      <c r="B4547" s="7" t="str">
        <f t="shared" si="436"/>
        <v>IT</v>
      </c>
      <c r="C4547" s="8" t="s">
        <v>44</v>
      </c>
      <c r="D4547" s="9" t="str">
        <f t="shared" si="437"/>
        <v>AE dialoghi di tempo fiducia e cura episodi 2-3-4</v>
      </c>
      <c r="E4547" s="10" t="str">
        <f>HYPERLINK("https://otsuka-europe-crm.veevavault.com/ui/#object/sent_email__v/VBL00000002P765", "SE-001433435")</f>
        <v>SE-001433435</v>
      </c>
      <c r="F4547" s="11"/>
      <c r="G4547" s="12">
        <v>0</v>
      </c>
      <c r="H4547" s="12">
        <v>0</v>
      </c>
      <c r="I4547" s="12">
        <v>0</v>
      </c>
      <c r="J4547" s="11"/>
      <c r="K4547" s="12">
        <v>0</v>
      </c>
      <c r="L4547" s="10" t="str">
        <f t="shared" si="438"/>
        <v>AE dialoghi di tempo fiducia e cura episodi 2-3-4</v>
      </c>
      <c r="M4547" s="10" t="str">
        <f t="shared" si="439"/>
        <v>nicoletta.vozza@crm.otsuka-europe.com</v>
      </c>
      <c r="N4547" s="13">
        <v>46181.33803240741</v>
      </c>
      <c r="O4547" s="14" t="str">
        <f>HYPERLINK("https://otsuka-europe-crm.veevavault.com/ui/#object/email_activity__v/V8C00000003O725", "EN-002090281")</f>
        <v>EN-002090281</v>
      </c>
    </row>
    <row r="4548" spans="1:15" ht="32" x14ac:dyDescent="0.2">
      <c r="A4548" s="7" t="str">
        <f>HYPERLINK("https://otsuka-europe-crm.veevavault.com/ui/#object/account__v/V4TZ06G6O71SBJR", "MASSIMO CARLO MAURI")</f>
        <v>MASSIMO CARLO MAURI</v>
      </c>
      <c r="B4548" s="7" t="str">
        <f t="shared" si="436"/>
        <v>IT</v>
      </c>
      <c r="C4548" s="8" t="s">
        <v>44</v>
      </c>
      <c r="D4548" s="9" t="str">
        <f t="shared" si="437"/>
        <v>AE dialoghi di tempo fiducia e cura episodi 2-3-4</v>
      </c>
      <c r="E4548" s="10" t="str">
        <f>HYPERLINK("https://otsuka-europe-crm.veevavault.com/ui/#object/sent_email__v/VBL00000002P766", "SE-001433436")</f>
        <v>SE-001433436</v>
      </c>
      <c r="F4548" s="11"/>
      <c r="G4548" s="12">
        <v>0</v>
      </c>
      <c r="H4548" s="12">
        <v>0</v>
      </c>
      <c r="I4548" s="12">
        <v>0</v>
      </c>
      <c r="J4548" s="11"/>
      <c r="K4548" s="12">
        <v>0</v>
      </c>
      <c r="L4548" s="10" t="str">
        <f t="shared" si="438"/>
        <v>AE dialoghi di tempo fiducia e cura episodi 2-3-4</v>
      </c>
      <c r="M4548" s="10" t="str">
        <f t="shared" si="439"/>
        <v>nicoletta.vozza@crm.otsuka-europe.com</v>
      </c>
      <c r="N4548" s="13">
        <v>46181.337997685187</v>
      </c>
      <c r="O4548" s="14" t="str">
        <f>HYPERLINK("https://otsuka-europe-crm.veevavault.com/ui/#object/email_activity__v/V8C00000003P221", "EN-002089667")</f>
        <v>EN-002089667</v>
      </c>
    </row>
    <row r="4549" spans="1:15" ht="32" x14ac:dyDescent="0.2">
      <c r="A4549" s="7" t="str">
        <f>HYPERLINK("https://otsuka-europe-crm.veevavault.com/ui/#object/account__v/V4TZ06G6O71ZSTZ", "MASSIMO CLAUDIO BACHETTI")</f>
        <v>MASSIMO CLAUDIO BACHETTI</v>
      </c>
      <c r="B4549" s="7" t="str">
        <f t="shared" si="436"/>
        <v>IT</v>
      </c>
      <c r="C4549" s="8" t="s">
        <v>44</v>
      </c>
      <c r="D4549" s="9" t="str">
        <f t="shared" si="437"/>
        <v>AE dialoghi di tempo fiducia e cura episodi 2-3-4</v>
      </c>
      <c r="E4549" s="10" t="str">
        <f>HYPERLINK("https://otsuka-europe-crm.veevavault.com/ui/#object/sent_email__v/VBL00000002P767", "SE-001433437")</f>
        <v>SE-001433437</v>
      </c>
      <c r="F4549" s="11"/>
      <c r="G4549" s="12">
        <v>0</v>
      </c>
      <c r="H4549" s="12">
        <v>0</v>
      </c>
      <c r="I4549" s="12">
        <v>0</v>
      </c>
      <c r="J4549" s="11"/>
      <c r="K4549" s="12">
        <v>0</v>
      </c>
      <c r="L4549" s="10" t="str">
        <f t="shared" si="438"/>
        <v>AE dialoghi di tempo fiducia e cura episodi 2-3-4</v>
      </c>
      <c r="M4549" s="10" t="str">
        <f t="shared" si="439"/>
        <v>nicoletta.vozza@crm.otsuka-europe.com</v>
      </c>
      <c r="N4549" s="13">
        <v>46181.339039351849</v>
      </c>
      <c r="O4549" s="14" t="str">
        <f>HYPERLINK("https://otsuka-europe-crm.veevavault.com/ui/#object/email_activity__v/V8C00000003Q191", "EN-002091296")</f>
        <v>EN-002091296</v>
      </c>
    </row>
    <row r="4550" spans="1:15" ht="32" x14ac:dyDescent="0.2">
      <c r="A4550" s="7" t="str">
        <f>HYPERLINK("https://otsuka-europe-crm.veevavault.com/ui/#object/account__v/V4TZ06G6O71SAFV", "MASSIMO DI GENIO")</f>
        <v>MASSIMO DI GENIO</v>
      </c>
      <c r="B4550" s="7" t="str">
        <f t="shared" si="436"/>
        <v>IT</v>
      </c>
      <c r="C4550" s="8" t="s">
        <v>44</v>
      </c>
      <c r="D4550" s="9" t="str">
        <f t="shared" si="437"/>
        <v>AE dialoghi di tempo fiducia e cura episodi 2-3-4</v>
      </c>
      <c r="E4550" s="10" t="str">
        <f>HYPERLINK("https://otsuka-europe-crm.veevavault.com/ui/#object/sent_email__v/VBL00000002P768", "SE-001433438")</f>
        <v>SE-001433438</v>
      </c>
      <c r="F4550" s="11"/>
      <c r="G4550" s="12">
        <v>0</v>
      </c>
      <c r="H4550" s="12">
        <v>0</v>
      </c>
      <c r="I4550" s="12">
        <v>0</v>
      </c>
      <c r="J4550" s="11"/>
      <c r="K4550" s="12">
        <v>0</v>
      </c>
      <c r="L4550" s="10" t="str">
        <f t="shared" si="438"/>
        <v>AE dialoghi di tempo fiducia e cura episodi 2-3-4</v>
      </c>
      <c r="M4550" s="10" t="str">
        <f t="shared" si="439"/>
        <v>nicoletta.vozza@crm.otsuka-europe.com</v>
      </c>
      <c r="N4550" s="13">
        <v>46181.33798611111</v>
      </c>
      <c r="O4550" s="14" t="str">
        <f>HYPERLINK("https://otsuka-europe-crm.veevavault.com/ui/#object/email_activity__v/V8C00000003O734", "EN-002090290")</f>
        <v>EN-002090290</v>
      </c>
    </row>
    <row r="4551" spans="1:15" ht="32" x14ac:dyDescent="0.2">
      <c r="A4551" s="7" t="str">
        <f>HYPERLINK("https://otsuka-europe-crm.veevavault.com/ui/#object/account__v/V4TZ06G6O71S9RR", "MASSIMO LANZARO")</f>
        <v>MASSIMO LANZARO</v>
      </c>
      <c r="B4551" s="7" t="str">
        <f t="shared" si="436"/>
        <v>IT</v>
      </c>
      <c r="C4551" s="8" t="s">
        <v>44</v>
      </c>
      <c r="D4551" s="9" t="str">
        <f t="shared" si="437"/>
        <v>AE dialoghi di tempo fiducia e cura episodi 2-3-4</v>
      </c>
      <c r="E4551" s="10" t="str">
        <f>HYPERLINK("https://otsuka-europe-crm.veevavault.com/ui/#object/sent_email__v/VBL00000002P769", "SE-001433439")</f>
        <v>SE-001433439</v>
      </c>
      <c r="F4551" s="11"/>
      <c r="G4551" s="12">
        <v>0</v>
      </c>
      <c r="H4551" s="12">
        <v>0</v>
      </c>
      <c r="I4551" s="12">
        <v>0</v>
      </c>
      <c r="J4551" s="11"/>
      <c r="K4551" s="12">
        <v>0</v>
      </c>
      <c r="L4551" s="10" t="str">
        <f t="shared" si="438"/>
        <v>AE dialoghi di tempo fiducia e cura episodi 2-3-4</v>
      </c>
      <c r="M4551" s="10" t="str">
        <f t="shared" si="439"/>
        <v>nicoletta.vozza@crm.otsuka-europe.com</v>
      </c>
      <c r="N4551" s="13">
        <v>46181.33797453704</v>
      </c>
      <c r="O4551" s="14" t="str">
        <f>HYPERLINK("https://otsuka-europe-crm.veevavault.com/ui/#object/email_activity__v/V8C00000003O231", "EN-002089708")</f>
        <v>EN-002089708</v>
      </c>
    </row>
    <row r="4552" spans="1:15" ht="32" x14ac:dyDescent="0.2">
      <c r="A4552" s="7" t="str">
        <f>HYPERLINK("https://otsuka-europe-crm.veevavault.com/ui/#object/account__v/V4TZ06G6O71SBGS", "MASSIMO MARI")</f>
        <v>MASSIMO MARI</v>
      </c>
      <c r="B4552" s="7" t="str">
        <f t="shared" si="436"/>
        <v>IT</v>
      </c>
      <c r="C4552" s="8" t="s">
        <v>44</v>
      </c>
      <c r="D4552" s="9" t="str">
        <f t="shared" si="437"/>
        <v>AE dialoghi di tempo fiducia e cura episodi 2-3-4</v>
      </c>
      <c r="E4552" s="10" t="str">
        <f>HYPERLINK("https://otsuka-europe-crm.veevavault.com/ui/#object/sent_email__v/VBL00000002P770", "SE-001433440")</f>
        <v>SE-001433440</v>
      </c>
      <c r="F4552" s="11"/>
      <c r="G4552" s="12">
        <v>0</v>
      </c>
      <c r="H4552" s="12">
        <v>0</v>
      </c>
      <c r="I4552" s="12">
        <v>0</v>
      </c>
      <c r="J4552" s="11"/>
      <c r="K4552" s="12">
        <v>0</v>
      </c>
      <c r="L4552" s="10" t="str">
        <f t="shared" si="438"/>
        <v>AE dialoghi di tempo fiducia e cura episodi 2-3-4</v>
      </c>
      <c r="M4552" s="10" t="str">
        <f t="shared" si="439"/>
        <v>nicoletta.vozza@crm.otsuka-europe.com</v>
      </c>
      <c r="N4552" s="13">
        <v>46181.337962962964</v>
      </c>
      <c r="O4552" s="14" t="str">
        <f>HYPERLINK("https://otsuka-europe-crm.veevavault.com/ui/#object/email_activity__v/V8C00000003Q201", "EN-002091307")</f>
        <v>EN-002091307</v>
      </c>
    </row>
    <row r="4553" spans="1:15" ht="32" x14ac:dyDescent="0.2">
      <c r="A4553" s="7" t="str">
        <f>HYPERLINK("https://otsuka-europe-crm.veevavault.com/ui/#object/account__v/V4TZ06G6O71SBAP", "MASSIMO MELCHIORRE")</f>
        <v>MASSIMO MELCHIORRE</v>
      </c>
      <c r="B4553" s="7" t="str">
        <f t="shared" si="436"/>
        <v>IT</v>
      </c>
      <c r="C4553" s="8" t="s">
        <v>44</v>
      </c>
      <c r="D4553" s="9" t="str">
        <f t="shared" si="437"/>
        <v>AE dialoghi di tempo fiducia e cura episodi 2-3-4</v>
      </c>
      <c r="E4553" s="10" t="str">
        <f>HYPERLINK("https://otsuka-europe-crm.veevavault.com/ui/#object/sent_email__v/VBL00000002P771", "SE-001433441")</f>
        <v>SE-001433441</v>
      </c>
      <c r="F4553" s="11"/>
      <c r="G4553" s="12">
        <v>0</v>
      </c>
      <c r="H4553" s="12">
        <v>0</v>
      </c>
      <c r="I4553" s="12">
        <v>0</v>
      </c>
      <c r="J4553" s="11"/>
      <c r="K4553" s="12">
        <v>0</v>
      </c>
      <c r="L4553" s="10" t="str">
        <f t="shared" si="438"/>
        <v>AE dialoghi di tempo fiducia e cura episodi 2-3-4</v>
      </c>
      <c r="M4553" s="10" t="str">
        <f t="shared" si="439"/>
        <v>nicoletta.vozza@crm.otsuka-europe.com</v>
      </c>
      <c r="N4553" s="13">
        <v>46181.33803240741</v>
      </c>
      <c r="O4553" s="14" t="str">
        <f>HYPERLINK("https://otsuka-europe-crm.veevavault.com/ui/#object/email_activity__v/V8C00000003Q270", "EN-002091388")</f>
        <v>EN-002091388</v>
      </c>
    </row>
    <row r="4554" spans="1:15" ht="16" x14ac:dyDescent="0.2">
      <c r="A4554" s="17" t="str">
        <f>HYPERLINK("https://otsuka-europe-crm.veevavault.com/ui/#object/account__v/V4TZ06G6O9UQHX5", "MATILDE BIANCHINI")</f>
        <v>MATILDE BIANCHINI</v>
      </c>
      <c r="B4554" s="17" t="str">
        <f t="shared" si="436"/>
        <v>IT</v>
      </c>
      <c r="C4554" s="20" t="s">
        <v>44</v>
      </c>
      <c r="D4554" s="21" t="str">
        <f t="shared" si="437"/>
        <v>AE dialoghi di tempo fiducia e cura episodi 2-3-4</v>
      </c>
      <c r="E4554" s="22" t="str">
        <f>HYPERLINK("https://otsuka-europe-crm.veevavault.com/ui/#object/sent_email__v/VBL00000002P772", "SE-001433442")</f>
        <v>SE-001433442</v>
      </c>
      <c r="F4554" s="23">
        <v>46181.674571759257</v>
      </c>
      <c r="G4554" s="24">
        <v>1</v>
      </c>
      <c r="H4554" s="24">
        <v>2</v>
      </c>
      <c r="I4554" s="24">
        <v>0</v>
      </c>
      <c r="J4554" s="25"/>
      <c r="K4554" s="24">
        <v>0</v>
      </c>
      <c r="L4554" s="22" t="str">
        <f t="shared" si="438"/>
        <v>AE dialoghi di tempo fiducia e cura episodi 2-3-4</v>
      </c>
      <c r="M4554" s="22" t="str">
        <f t="shared" si="439"/>
        <v>nicoletta.vozza@crm.otsuka-europe.com</v>
      </c>
      <c r="N4554" s="23">
        <v>46181.337962962964</v>
      </c>
      <c r="O4554" s="14" t="str">
        <f>HYPERLINK("https://otsuka-europe-crm.veevavault.com/ui/#object/email_activity__v/V8C00000003P178", "EN-002089578")</f>
        <v>EN-002089578</v>
      </c>
    </row>
    <row r="4555" spans="1:15" ht="16" x14ac:dyDescent="0.2">
      <c r="A4555" s="18"/>
      <c r="B4555" s="18"/>
      <c r="C4555" s="18"/>
      <c r="D4555" s="18"/>
      <c r="E4555" s="18"/>
      <c r="F4555" s="18"/>
      <c r="G4555" s="18"/>
      <c r="H4555" s="18"/>
      <c r="I4555" s="18"/>
      <c r="J4555" s="18"/>
      <c r="K4555" s="18"/>
      <c r="L4555" s="18"/>
      <c r="M4555" s="18"/>
      <c r="N4555" s="18"/>
      <c r="O4555" s="14" t="str">
        <f>HYPERLINK("https://otsuka-europe-crm.veevavault.com/ui/#object/email_activity__v/V8C00000003Q625", "EN-002092074")</f>
        <v>EN-002092074</v>
      </c>
    </row>
    <row r="4556" spans="1:15" ht="16" x14ac:dyDescent="0.2">
      <c r="A4556" s="19"/>
      <c r="B4556" s="19"/>
      <c r="C4556" s="19"/>
      <c r="D4556" s="19"/>
      <c r="E4556" s="19"/>
      <c r="F4556" s="19"/>
      <c r="G4556" s="19"/>
      <c r="H4556" s="19"/>
      <c r="I4556" s="19"/>
      <c r="J4556" s="19"/>
      <c r="K4556" s="19"/>
      <c r="L4556" s="19"/>
      <c r="M4556" s="19"/>
      <c r="N4556" s="19"/>
      <c r="O4556" s="14" t="str">
        <f>HYPERLINK("https://otsuka-europe-crm.veevavault.com/ui/#object/email_activity__v/V8C00000003R212", "EN-002092075")</f>
        <v>EN-002092075</v>
      </c>
    </row>
    <row r="4557" spans="1:15" ht="32" x14ac:dyDescent="0.2">
      <c r="A4557" s="7" t="str">
        <f>HYPERLINK("https://otsuka-europe-crm.veevavault.com/ui/#object/account__v/V4TZ025E86H61J9", "MATTEO BUONARROTI")</f>
        <v>MATTEO BUONARROTI</v>
      </c>
      <c r="B4557" s="7" t="str">
        <f t="shared" ref="B4557:B4571" si="440">HYPERLINK("https://otsuka-europe-crm.veevavault.com/ui/#object/vcountry__v/VENZ000004SONFQ", "IT")</f>
        <v>IT</v>
      </c>
      <c r="C4557" s="8" t="s">
        <v>44</v>
      </c>
      <c r="D4557" s="9" t="str">
        <f t="shared" ref="D4557:D4571" si="441">HYPERLINK("https://otsuka-europe-crm.veevavault.com/ui/#object/approved_document__v/V5O000000018003", "AE dialoghi di tempo fiducia e cura episodi 2-3-4")</f>
        <v>AE dialoghi di tempo fiducia e cura episodi 2-3-4</v>
      </c>
      <c r="E4557" s="10" t="str">
        <f>HYPERLINK("https://otsuka-europe-crm.veevavault.com/ui/#object/sent_email__v/VBL00000002P773", "SE-001433443")</f>
        <v>SE-001433443</v>
      </c>
      <c r="F4557" s="11"/>
      <c r="G4557" s="12">
        <v>0</v>
      </c>
      <c r="H4557" s="12">
        <v>0</v>
      </c>
      <c r="I4557" s="12">
        <v>0</v>
      </c>
      <c r="J4557" s="11"/>
      <c r="K4557" s="12">
        <v>0</v>
      </c>
      <c r="L4557" s="10" t="str">
        <f t="shared" ref="L4557:L4571" si="442">HYPERLINK("https://otsuka-europe-crm.veevavault.com/ui/#object/approved_document__v/V5O000000018003", "AE dialoghi di tempo fiducia e cura episodi 2-3-4")</f>
        <v>AE dialoghi di tempo fiducia e cura episodi 2-3-4</v>
      </c>
      <c r="M4557" s="10" t="str">
        <f t="shared" ref="M4557:M4571" si="443">HYPERLINK("mailto:nicoletta.vozza@crm.otsuka-europe.com", "nicoletta.vozza@crm.otsuka-europe.com")</f>
        <v>nicoletta.vozza@crm.otsuka-europe.com</v>
      </c>
      <c r="N4557" s="13">
        <v>46181.337997685187</v>
      </c>
      <c r="O4557" s="14" t="str">
        <f>HYPERLINK("https://otsuka-europe-crm.veevavault.com/ui/#object/email_activity__v/V8C00000003O281", "EN-002089758")</f>
        <v>EN-002089758</v>
      </c>
    </row>
    <row r="4558" spans="1:15" ht="32" x14ac:dyDescent="0.2">
      <c r="A4558" s="7" t="str">
        <f>HYPERLINK("https://otsuka-europe-crm.veevavault.com/ui/#object/account__v/V4TZ06G6O71S9P3", "MATTEO CEDRARO")</f>
        <v>MATTEO CEDRARO</v>
      </c>
      <c r="B4558" s="7" t="str">
        <f t="shared" si="440"/>
        <v>IT</v>
      </c>
      <c r="C4558" s="8" t="s">
        <v>44</v>
      </c>
      <c r="D4558" s="9" t="str">
        <f t="shared" si="441"/>
        <v>AE dialoghi di tempo fiducia e cura episodi 2-3-4</v>
      </c>
      <c r="E4558" s="10" t="str">
        <f>HYPERLINK("https://otsuka-europe-crm.veevavault.com/ui/#object/sent_email__v/VBL00000002P774", "SE-001433444")</f>
        <v>SE-001433444</v>
      </c>
      <c r="F4558" s="11"/>
      <c r="G4558" s="12">
        <v>0</v>
      </c>
      <c r="H4558" s="12">
        <v>0</v>
      </c>
      <c r="I4558" s="12">
        <v>0</v>
      </c>
      <c r="J4558" s="11"/>
      <c r="K4558" s="12">
        <v>0</v>
      </c>
      <c r="L4558" s="10" t="str">
        <f t="shared" si="442"/>
        <v>AE dialoghi di tempo fiducia e cura episodi 2-3-4</v>
      </c>
      <c r="M4558" s="10" t="str">
        <f t="shared" si="443"/>
        <v>nicoletta.vozza@crm.otsuka-europe.com</v>
      </c>
      <c r="N4558" s="13">
        <v>46181.338043981479</v>
      </c>
      <c r="O4558" s="14" t="str">
        <f>HYPERLINK("https://otsuka-europe-crm.veevavault.com/ui/#object/email_activity__v/V8C00000003O955", "EN-002090615")</f>
        <v>EN-002090615</v>
      </c>
    </row>
    <row r="4559" spans="1:15" ht="32" x14ac:dyDescent="0.2">
      <c r="A4559" s="7" t="str">
        <f>HYPERLINK("https://otsuka-europe-crm.veevavault.com/ui/#object/account__v/V4TZ04ASG7RLCBW", "MATTEO ENRICO MARIA VISMARA")</f>
        <v>MATTEO ENRICO MARIA VISMARA</v>
      </c>
      <c r="B4559" s="7" t="str">
        <f t="shared" si="440"/>
        <v>IT</v>
      </c>
      <c r="C4559" s="8" t="s">
        <v>44</v>
      </c>
      <c r="D4559" s="9" t="str">
        <f t="shared" si="441"/>
        <v>AE dialoghi di tempo fiducia e cura episodi 2-3-4</v>
      </c>
      <c r="E4559" s="10" t="str">
        <f>HYPERLINK("https://otsuka-europe-crm.veevavault.com/ui/#object/sent_email__v/VBL00000002P775", "SE-001433445")</f>
        <v>SE-001433445</v>
      </c>
      <c r="F4559" s="11"/>
      <c r="G4559" s="12">
        <v>0</v>
      </c>
      <c r="H4559" s="12">
        <v>0</v>
      </c>
      <c r="I4559" s="12">
        <v>0</v>
      </c>
      <c r="J4559" s="11"/>
      <c r="K4559" s="12">
        <v>0</v>
      </c>
      <c r="L4559" s="10" t="str">
        <f t="shared" si="442"/>
        <v>AE dialoghi di tempo fiducia e cura episodi 2-3-4</v>
      </c>
      <c r="M4559" s="10" t="str">
        <f t="shared" si="443"/>
        <v>nicoletta.vozza@crm.otsuka-europe.com</v>
      </c>
      <c r="N4559" s="13">
        <v>46181.337997685187</v>
      </c>
      <c r="O4559" s="14" t="str">
        <f>HYPERLINK("https://otsuka-europe-crm.veevavault.com/ui/#object/email_activity__v/V8C00000003O320", "EN-002089797")</f>
        <v>EN-002089797</v>
      </c>
    </row>
    <row r="4560" spans="1:15" ht="32" x14ac:dyDescent="0.2">
      <c r="A4560" s="7" t="str">
        <f>HYPERLINK("https://otsuka-europe-crm.veevavault.com/ui/#object/account__v/V4TZ06G6O71SAKI", "MATTEO FACCHINI")</f>
        <v>MATTEO FACCHINI</v>
      </c>
      <c r="B4560" s="7" t="str">
        <f t="shared" si="440"/>
        <v>IT</v>
      </c>
      <c r="C4560" s="8" t="s">
        <v>44</v>
      </c>
      <c r="D4560" s="9" t="str">
        <f t="shared" si="441"/>
        <v>AE dialoghi di tempo fiducia e cura episodi 2-3-4</v>
      </c>
      <c r="E4560" s="10" t="str">
        <f>HYPERLINK("https://otsuka-europe-crm.veevavault.com/ui/#object/sent_email__v/VBL00000002P776", "SE-001433446")</f>
        <v>SE-001433446</v>
      </c>
      <c r="F4560" s="11"/>
      <c r="G4560" s="12">
        <v>0</v>
      </c>
      <c r="H4560" s="12">
        <v>0</v>
      </c>
      <c r="I4560" s="12">
        <v>0</v>
      </c>
      <c r="J4560" s="11"/>
      <c r="K4560" s="12">
        <v>0</v>
      </c>
      <c r="L4560" s="10" t="str">
        <f t="shared" si="442"/>
        <v>AE dialoghi di tempo fiducia e cura episodi 2-3-4</v>
      </c>
      <c r="M4560" s="10" t="str">
        <f t="shared" si="443"/>
        <v>nicoletta.vozza@crm.otsuka-europe.com</v>
      </c>
      <c r="N4560" s="13">
        <v>46181.337962962964</v>
      </c>
      <c r="O4560" s="14" t="str">
        <f>HYPERLINK("https://otsuka-europe-crm.veevavault.com/ui/#object/email_activity__v/V8C00000003O861", "EN-002090467")</f>
        <v>EN-002090467</v>
      </c>
    </row>
    <row r="4561" spans="1:15" ht="32" x14ac:dyDescent="0.2">
      <c r="A4561" s="7" t="str">
        <f>HYPERLINK("https://otsuka-europe-crm.veevavault.com/ui/#object/account__v/V4TZ025E87IXLIN", "MATTEO MAGAGNOLI")</f>
        <v>MATTEO MAGAGNOLI</v>
      </c>
      <c r="B4561" s="7" t="str">
        <f t="shared" si="440"/>
        <v>IT</v>
      </c>
      <c r="C4561" s="8" t="s">
        <v>44</v>
      </c>
      <c r="D4561" s="9" t="str">
        <f t="shared" si="441"/>
        <v>AE dialoghi di tempo fiducia e cura episodi 2-3-4</v>
      </c>
      <c r="E4561" s="10" t="str">
        <f>HYPERLINK("https://otsuka-europe-crm.veevavault.com/ui/#object/sent_email__v/VBL00000002P777", "SE-001433447")</f>
        <v>SE-001433447</v>
      </c>
      <c r="F4561" s="11"/>
      <c r="G4561" s="12">
        <v>0</v>
      </c>
      <c r="H4561" s="12">
        <v>0</v>
      </c>
      <c r="I4561" s="12">
        <v>0</v>
      </c>
      <c r="J4561" s="11"/>
      <c r="K4561" s="12">
        <v>0</v>
      </c>
      <c r="L4561" s="10" t="str">
        <f t="shared" si="442"/>
        <v>AE dialoghi di tempo fiducia e cura episodi 2-3-4</v>
      </c>
      <c r="M4561" s="10" t="str">
        <f t="shared" si="443"/>
        <v>nicoletta.vozza@crm.otsuka-europe.com</v>
      </c>
      <c r="N4561" s="13">
        <v>46181.338067129633</v>
      </c>
      <c r="O4561" s="14" t="str">
        <f>HYPERLINK("https://otsuka-europe-crm.veevavault.com/ui/#object/email_activity__v/V8C00000003P819", "EN-002091117")</f>
        <v>EN-002091117</v>
      </c>
    </row>
    <row r="4562" spans="1:15" ht="32" x14ac:dyDescent="0.2">
      <c r="A4562" s="7" t="str">
        <f>HYPERLINK("https://otsuka-europe-crm.veevavault.com/ui/#object/account__v/V4TZ06G6O71SBYR", "MATTEO PORCELLANA")</f>
        <v>MATTEO PORCELLANA</v>
      </c>
      <c r="B4562" s="7" t="str">
        <f t="shared" si="440"/>
        <v>IT</v>
      </c>
      <c r="C4562" s="8" t="s">
        <v>44</v>
      </c>
      <c r="D4562" s="9" t="str">
        <f t="shared" si="441"/>
        <v>AE dialoghi di tempo fiducia e cura episodi 2-3-4</v>
      </c>
      <c r="E4562" s="10" t="str">
        <f>HYPERLINK("https://otsuka-europe-crm.veevavault.com/ui/#object/sent_email__v/VBL00000002P778", "SE-001433448")</f>
        <v>SE-001433448</v>
      </c>
      <c r="F4562" s="11"/>
      <c r="G4562" s="12">
        <v>0</v>
      </c>
      <c r="H4562" s="12">
        <v>0</v>
      </c>
      <c r="I4562" s="12">
        <v>0</v>
      </c>
      <c r="J4562" s="11"/>
      <c r="K4562" s="12">
        <v>0</v>
      </c>
      <c r="L4562" s="10" t="str">
        <f t="shared" si="442"/>
        <v>AE dialoghi di tempo fiducia e cura episodi 2-3-4</v>
      </c>
      <c r="M4562" s="10" t="str">
        <f t="shared" si="443"/>
        <v>nicoletta.vozza@crm.otsuka-europe.com</v>
      </c>
      <c r="N4562" s="13">
        <v>46181.338020833333</v>
      </c>
      <c r="O4562" s="14" t="str">
        <f>HYPERLINK("https://otsuka-europe-crm.veevavault.com/ui/#object/email_activity__v/V8C00000003O569", "EN-002090125")</f>
        <v>EN-002090125</v>
      </c>
    </row>
    <row r="4563" spans="1:15" ht="32" x14ac:dyDescent="0.2">
      <c r="A4563" s="7" t="str">
        <f>HYPERLINK("https://otsuka-europe-crm.veevavault.com/ui/#object/account__v/V4TZ06G6O71SCKF", "MATTEO TONNA")</f>
        <v>MATTEO TONNA</v>
      </c>
      <c r="B4563" s="7" t="str">
        <f t="shared" si="440"/>
        <v>IT</v>
      </c>
      <c r="C4563" s="8" t="s">
        <v>44</v>
      </c>
      <c r="D4563" s="9" t="str">
        <f t="shared" si="441"/>
        <v>AE dialoghi di tempo fiducia e cura episodi 2-3-4</v>
      </c>
      <c r="E4563" s="10" t="str">
        <f>HYPERLINK("https://otsuka-europe-crm.veevavault.com/ui/#object/sent_email__v/VBL00000002P779", "SE-001433449")</f>
        <v>SE-001433449</v>
      </c>
      <c r="F4563" s="11"/>
      <c r="G4563" s="12">
        <v>0</v>
      </c>
      <c r="H4563" s="12">
        <v>0</v>
      </c>
      <c r="I4563" s="12">
        <v>0</v>
      </c>
      <c r="J4563" s="11"/>
      <c r="K4563" s="12">
        <v>0</v>
      </c>
      <c r="L4563" s="10" t="str">
        <f t="shared" si="442"/>
        <v>AE dialoghi di tempo fiducia e cura episodi 2-3-4</v>
      </c>
      <c r="M4563" s="10" t="str">
        <f t="shared" si="443"/>
        <v>nicoletta.vozza@crm.otsuka-europe.com</v>
      </c>
      <c r="N4563" s="13">
        <v>46181.33797453704</v>
      </c>
      <c r="O4563" s="14" t="str">
        <f>HYPERLINK("https://otsuka-europe-crm.veevavault.com/ui/#object/email_activity__v/V8C00000003O315", "EN-002089792")</f>
        <v>EN-002089792</v>
      </c>
    </row>
    <row r="4564" spans="1:15" ht="32" x14ac:dyDescent="0.2">
      <c r="A4564" s="7" t="str">
        <f>HYPERLINK("https://otsuka-europe-crm.veevavault.com/ui/#object/account__v/V4TZ06G6O71S9MM", "MATTEO ZABOTTO")</f>
        <v>MATTEO ZABOTTO</v>
      </c>
      <c r="B4564" s="7" t="str">
        <f t="shared" si="440"/>
        <v>IT</v>
      </c>
      <c r="C4564" s="8" t="s">
        <v>44</v>
      </c>
      <c r="D4564" s="9" t="str">
        <f t="shared" si="441"/>
        <v>AE dialoghi di tempo fiducia e cura episodi 2-3-4</v>
      </c>
      <c r="E4564" s="10" t="str">
        <f>HYPERLINK("https://otsuka-europe-crm.veevavault.com/ui/#object/sent_email__v/VBL00000002P780", "SE-001433450")</f>
        <v>SE-001433450</v>
      </c>
      <c r="F4564" s="11"/>
      <c r="G4564" s="12">
        <v>0</v>
      </c>
      <c r="H4564" s="12">
        <v>0</v>
      </c>
      <c r="I4564" s="12">
        <v>0</v>
      </c>
      <c r="J4564" s="11"/>
      <c r="K4564" s="12">
        <v>0</v>
      </c>
      <c r="L4564" s="10" t="str">
        <f t="shared" si="442"/>
        <v>AE dialoghi di tempo fiducia e cura episodi 2-3-4</v>
      </c>
      <c r="M4564" s="10" t="str">
        <f t="shared" si="443"/>
        <v>nicoletta.vozza@crm.otsuka-europe.com</v>
      </c>
      <c r="N4564" s="13">
        <v>46181.33797453704</v>
      </c>
      <c r="O4564" s="14" t="str">
        <f>HYPERLINK("https://otsuka-europe-crm.veevavault.com/ui/#object/email_activity__v/V8C00000003O346", "EN-002089864")</f>
        <v>EN-002089864</v>
      </c>
    </row>
    <row r="4565" spans="1:15" ht="32" x14ac:dyDescent="0.2">
      <c r="A4565" s="7" t="str">
        <f>HYPERLINK("https://otsuka-europe-crm.veevavault.com/ui/#object/account__v/V4TZ06G6O71TLDL", "MAURIZIO BELLESI")</f>
        <v>MAURIZIO BELLESI</v>
      </c>
      <c r="B4565" s="7" t="str">
        <f t="shared" si="440"/>
        <v>IT</v>
      </c>
      <c r="C4565" s="8" t="s">
        <v>44</v>
      </c>
      <c r="D4565" s="9" t="str">
        <f t="shared" si="441"/>
        <v>AE dialoghi di tempo fiducia e cura episodi 2-3-4</v>
      </c>
      <c r="E4565" s="10" t="str">
        <f>HYPERLINK("https://otsuka-europe-crm.veevavault.com/ui/#object/sent_email__v/VBL00000002P781", "SE-001433451")</f>
        <v>SE-001433451</v>
      </c>
      <c r="F4565" s="11"/>
      <c r="G4565" s="12">
        <v>0</v>
      </c>
      <c r="H4565" s="12">
        <v>0</v>
      </c>
      <c r="I4565" s="12">
        <v>0</v>
      </c>
      <c r="J4565" s="11"/>
      <c r="K4565" s="12">
        <v>0</v>
      </c>
      <c r="L4565" s="10" t="str">
        <f t="shared" si="442"/>
        <v>AE dialoghi di tempo fiducia e cura episodi 2-3-4</v>
      </c>
      <c r="M4565" s="10" t="str">
        <f t="shared" si="443"/>
        <v>nicoletta.vozza@crm.otsuka-europe.com</v>
      </c>
      <c r="N4565" s="13">
        <v>46181.337951388887</v>
      </c>
      <c r="O4565" s="14" t="str">
        <f>HYPERLINK("https://otsuka-europe-crm.veevavault.com/ui/#object/email_activity__v/V8C00000003P241", "EN-002089819")</f>
        <v>EN-002089819</v>
      </c>
    </row>
    <row r="4566" spans="1:15" ht="32" x14ac:dyDescent="0.2">
      <c r="A4566" s="7" t="str">
        <f>HYPERLINK("https://otsuka-europe-crm.veevavault.com/ui/#object/account__v/V4TZ06G6O71SA75", "MAURIZIO BRANCIFORTI")</f>
        <v>MAURIZIO BRANCIFORTI</v>
      </c>
      <c r="B4566" s="7" t="str">
        <f t="shared" si="440"/>
        <v>IT</v>
      </c>
      <c r="C4566" s="8" t="s">
        <v>44</v>
      </c>
      <c r="D4566" s="9" t="str">
        <f t="shared" si="441"/>
        <v>AE dialoghi di tempo fiducia e cura episodi 2-3-4</v>
      </c>
      <c r="E4566" s="10" t="str">
        <f>HYPERLINK("https://otsuka-europe-crm.veevavault.com/ui/#object/sent_email__v/VBL00000002P782", "SE-001433452")</f>
        <v>SE-001433452</v>
      </c>
      <c r="F4566" s="11"/>
      <c r="G4566" s="12">
        <v>0</v>
      </c>
      <c r="H4566" s="12">
        <v>0</v>
      </c>
      <c r="I4566" s="12">
        <v>0</v>
      </c>
      <c r="J4566" s="11"/>
      <c r="K4566" s="12">
        <v>0</v>
      </c>
      <c r="L4566" s="10" t="str">
        <f t="shared" si="442"/>
        <v>AE dialoghi di tempo fiducia e cura episodi 2-3-4</v>
      </c>
      <c r="M4566" s="10" t="str">
        <f t="shared" si="443"/>
        <v>nicoletta.vozza@crm.otsuka-europe.com</v>
      </c>
      <c r="N4566" s="13">
        <v>46181.337962962964</v>
      </c>
      <c r="O4566" s="14" t="str">
        <f>HYPERLINK("https://otsuka-europe-crm.veevavault.com/ui/#object/email_activity__v/V8C00000003P206", "EN-002089652")</f>
        <v>EN-002089652</v>
      </c>
    </row>
    <row r="4567" spans="1:15" ht="32" x14ac:dyDescent="0.2">
      <c r="A4567" s="7" t="str">
        <f>HYPERLINK("https://otsuka-europe-crm.veevavault.com/ui/#object/account__v/V4TZ06G6O71SAY8", "MAURIZIO FERRO")</f>
        <v>MAURIZIO FERRO</v>
      </c>
      <c r="B4567" s="7" t="str">
        <f t="shared" si="440"/>
        <v>IT</v>
      </c>
      <c r="C4567" s="8" t="s">
        <v>44</v>
      </c>
      <c r="D4567" s="9" t="str">
        <f t="shared" si="441"/>
        <v>AE dialoghi di tempo fiducia e cura episodi 2-3-4</v>
      </c>
      <c r="E4567" s="10" t="str">
        <f>HYPERLINK("https://otsuka-europe-crm.veevavault.com/ui/#object/sent_email__v/VBL00000002P783", "SE-001433453")</f>
        <v>SE-001433453</v>
      </c>
      <c r="F4567" s="11"/>
      <c r="G4567" s="12">
        <v>0</v>
      </c>
      <c r="H4567" s="12">
        <v>0</v>
      </c>
      <c r="I4567" s="12">
        <v>0</v>
      </c>
      <c r="J4567" s="11"/>
      <c r="K4567" s="12">
        <v>0</v>
      </c>
      <c r="L4567" s="10" t="str">
        <f t="shared" si="442"/>
        <v>AE dialoghi di tempo fiducia e cura episodi 2-3-4</v>
      </c>
      <c r="M4567" s="10" t="str">
        <f t="shared" si="443"/>
        <v>nicoletta.vozza@crm.otsuka-europe.com</v>
      </c>
      <c r="N4567" s="13">
        <v>46181.337997685187</v>
      </c>
      <c r="O4567" s="14" t="str">
        <f>HYPERLINK("https://otsuka-europe-crm.veevavault.com/ui/#object/email_activity__v/V8C00000003O778", "EN-002090438")</f>
        <v>EN-002090438</v>
      </c>
    </row>
    <row r="4568" spans="1:15" ht="32" x14ac:dyDescent="0.2">
      <c r="A4568" s="7" t="str">
        <f>HYPERLINK("https://otsuka-europe-crm.veevavault.com/ui/#object/account__v/V4TZ06G6O71SC0T", "MAURIZIO POMPILI")</f>
        <v>MAURIZIO POMPILI</v>
      </c>
      <c r="B4568" s="7" t="str">
        <f t="shared" si="440"/>
        <v>IT</v>
      </c>
      <c r="C4568" s="8" t="s">
        <v>44</v>
      </c>
      <c r="D4568" s="9" t="str">
        <f t="shared" si="441"/>
        <v>AE dialoghi di tempo fiducia e cura episodi 2-3-4</v>
      </c>
      <c r="E4568" s="10" t="str">
        <f>HYPERLINK("https://otsuka-europe-crm.veevavault.com/ui/#object/sent_email__v/VBL00000002P784", "SE-001433454")</f>
        <v>SE-001433454</v>
      </c>
      <c r="F4568" s="11"/>
      <c r="G4568" s="12">
        <v>0</v>
      </c>
      <c r="H4568" s="12">
        <v>0</v>
      </c>
      <c r="I4568" s="12">
        <v>0</v>
      </c>
      <c r="J4568" s="11"/>
      <c r="K4568" s="12">
        <v>0</v>
      </c>
      <c r="L4568" s="10" t="str">
        <f t="shared" si="442"/>
        <v>AE dialoghi di tempo fiducia e cura episodi 2-3-4</v>
      </c>
      <c r="M4568" s="10" t="str">
        <f t="shared" si="443"/>
        <v>nicoletta.vozza@crm.otsuka-europe.com</v>
      </c>
      <c r="N4568" s="13">
        <v>46181.338055555556</v>
      </c>
      <c r="O4568" s="14" t="str">
        <f>HYPERLINK("https://otsuka-europe-crm.veevavault.com/ui/#object/email_activity__v/V8C00000003O449", "EN-002090005")</f>
        <v>EN-002090005</v>
      </c>
    </row>
    <row r="4569" spans="1:15" ht="32" x14ac:dyDescent="0.2">
      <c r="A4569" s="7" t="str">
        <f>HYPERLINK("https://otsuka-europe-crm.veevavault.com/ui/#object/account__v/V4TZ06G6O71SCGU", "MAURIZIO SITTINIERI")</f>
        <v>MAURIZIO SITTINIERI</v>
      </c>
      <c r="B4569" s="7" t="str">
        <f t="shared" si="440"/>
        <v>IT</v>
      </c>
      <c r="C4569" s="8" t="s">
        <v>44</v>
      </c>
      <c r="D4569" s="9" t="str">
        <f t="shared" si="441"/>
        <v>AE dialoghi di tempo fiducia e cura episodi 2-3-4</v>
      </c>
      <c r="E4569" s="10" t="str">
        <f>HYPERLINK("https://otsuka-europe-crm.veevavault.com/ui/#object/sent_email__v/VBL00000002P785", "SE-001433455")</f>
        <v>SE-001433455</v>
      </c>
      <c r="F4569" s="11"/>
      <c r="G4569" s="12">
        <v>0</v>
      </c>
      <c r="H4569" s="12">
        <v>0</v>
      </c>
      <c r="I4569" s="12">
        <v>0</v>
      </c>
      <c r="J4569" s="11"/>
      <c r="K4569" s="12">
        <v>0</v>
      </c>
      <c r="L4569" s="10" t="str">
        <f t="shared" si="442"/>
        <v>AE dialoghi di tempo fiducia e cura episodi 2-3-4</v>
      </c>
      <c r="M4569" s="10" t="str">
        <f t="shared" si="443"/>
        <v>nicoletta.vozza@crm.otsuka-europe.com</v>
      </c>
      <c r="N4569" s="13">
        <v>46181.337997685187</v>
      </c>
      <c r="O4569" s="14" t="str">
        <f>HYPERLINK("https://otsuka-europe-crm.veevavault.com/ui/#object/email_activity__v/V8C00000003O247", "EN-002089724")</f>
        <v>EN-002089724</v>
      </c>
    </row>
    <row r="4570" spans="1:15" ht="32" x14ac:dyDescent="0.2">
      <c r="A4570" s="7" t="str">
        <f>HYPERLINK("https://otsuka-europe-crm.veevavault.com/ui/#object/account__v/V4TZ04ASGC2H0V2", "MAURO DELL'OLIO")</f>
        <v>MAURO DELL'OLIO</v>
      </c>
      <c r="B4570" s="7" t="str">
        <f t="shared" si="440"/>
        <v>IT</v>
      </c>
      <c r="C4570" s="8" t="s">
        <v>44</v>
      </c>
      <c r="D4570" s="9" t="str">
        <f t="shared" si="441"/>
        <v>AE dialoghi di tempo fiducia e cura episodi 2-3-4</v>
      </c>
      <c r="E4570" s="10" t="str">
        <f>HYPERLINK("https://otsuka-europe-crm.veevavault.com/ui/#object/sent_email__v/VBL00000002P786", "SE-001433456")</f>
        <v>SE-001433456</v>
      </c>
      <c r="F4570" s="11"/>
      <c r="G4570" s="12">
        <v>0</v>
      </c>
      <c r="H4570" s="12">
        <v>0</v>
      </c>
      <c r="I4570" s="12">
        <v>0</v>
      </c>
      <c r="J4570" s="11"/>
      <c r="K4570" s="12">
        <v>0</v>
      </c>
      <c r="L4570" s="10" t="str">
        <f t="shared" si="442"/>
        <v>AE dialoghi di tempo fiducia e cura episodi 2-3-4</v>
      </c>
      <c r="M4570" s="10" t="str">
        <f t="shared" si="443"/>
        <v>nicoletta.vozza@crm.otsuka-europe.com</v>
      </c>
      <c r="N4570" s="13">
        <v>46181.338101851848</v>
      </c>
      <c r="O4570" s="14" t="str">
        <f>HYPERLINK("https://otsuka-europe-crm.veevavault.com/ui/#object/email_activity__v/V8C00000003P644", "EN-002090899")</f>
        <v>EN-002090899</v>
      </c>
    </row>
    <row r="4571" spans="1:15" ht="16" x14ac:dyDescent="0.2">
      <c r="A4571" s="17" t="str">
        <f>HYPERLINK("https://otsuka-europe-crm.veevavault.com/ui/#object/account__v/V4TZ06G6O71SBY1", "MAURO EMILIO PERCUDANI")</f>
        <v>MAURO EMILIO PERCUDANI</v>
      </c>
      <c r="B4571" s="17" t="str">
        <f t="shared" si="440"/>
        <v>IT</v>
      </c>
      <c r="C4571" s="20" t="s">
        <v>44</v>
      </c>
      <c r="D4571" s="21" t="str">
        <f t="shared" si="441"/>
        <v>AE dialoghi di tempo fiducia e cura episodi 2-3-4</v>
      </c>
      <c r="E4571" s="22" t="str">
        <f>HYPERLINK("https://otsuka-europe-crm.veevavault.com/ui/#object/sent_email__v/VBL00000002P787", "SE-001433457")</f>
        <v>SE-001433457</v>
      </c>
      <c r="F4571" s="25"/>
      <c r="G4571" s="24">
        <v>0</v>
      </c>
      <c r="H4571" s="24">
        <v>0</v>
      </c>
      <c r="I4571" s="24">
        <v>0</v>
      </c>
      <c r="J4571" s="25"/>
      <c r="K4571" s="24">
        <v>0</v>
      </c>
      <c r="L4571" s="22" t="str">
        <f t="shared" si="442"/>
        <v>AE dialoghi di tempo fiducia e cura episodi 2-3-4</v>
      </c>
      <c r="M4571" s="22" t="str">
        <f t="shared" si="443"/>
        <v>nicoletta.vozza@crm.otsuka-europe.com</v>
      </c>
      <c r="N4571" s="23">
        <v>46181.338009259256</v>
      </c>
      <c r="O4571" s="14" t="str">
        <f>HYPERLINK("https://otsuka-europe-crm.veevavault.com/ui/#object/email_activity__v/V8C00000003P325", "EN-002090331")</f>
        <v>EN-002090331</v>
      </c>
    </row>
    <row r="4572" spans="1:15" ht="16" x14ac:dyDescent="0.2">
      <c r="A4572" s="19"/>
      <c r="B4572" s="19"/>
      <c r="C4572" s="19"/>
      <c r="D4572" s="19"/>
      <c r="E4572" s="19"/>
      <c r="F4572" s="19"/>
      <c r="G4572" s="19"/>
      <c r="H4572" s="19"/>
      <c r="I4572" s="19"/>
      <c r="J4572" s="19"/>
      <c r="K4572" s="19"/>
      <c r="L4572" s="19"/>
      <c r="M4572" s="19"/>
      <c r="N4572" s="19"/>
      <c r="O4572" s="14" t="str">
        <f>HYPERLINK("https://otsuka-europe-crm.veevavault.com/ui/#object/email_activity__v/V8C00000003Q639", "EN-002092092")</f>
        <v>EN-002092092</v>
      </c>
    </row>
    <row r="4573" spans="1:15" ht="32" x14ac:dyDescent="0.2">
      <c r="A4573" s="7" t="str">
        <f>HYPERLINK("https://otsuka-europe-crm.veevavault.com/ui/#object/account__v/V4TZ06G6O71SALT", "MAURO FOSCHINI")</f>
        <v>MAURO FOSCHINI</v>
      </c>
      <c r="B4573" s="7" t="str">
        <f t="shared" ref="B4573:B4578" si="444">HYPERLINK("https://otsuka-europe-crm.veevavault.com/ui/#object/vcountry__v/VENZ000004SONFQ", "IT")</f>
        <v>IT</v>
      </c>
      <c r="C4573" s="8" t="s">
        <v>44</v>
      </c>
      <c r="D4573" s="9" t="str">
        <f t="shared" ref="D4573:D4578" si="445">HYPERLINK("https://otsuka-europe-crm.veevavault.com/ui/#object/approved_document__v/V5O000000018003", "AE dialoghi di tempo fiducia e cura episodi 2-3-4")</f>
        <v>AE dialoghi di tempo fiducia e cura episodi 2-3-4</v>
      </c>
      <c r="E4573" s="10" t="str">
        <f>HYPERLINK("https://otsuka-europe-crm.veevavault.com/ui/#object/sent_email__v/VBL00000002P788", "SE-001433458")</f>
        <v>SE-001433458</v>
      </c>
      <c r="F4573" s="11"/>
      <c r="G4573" s="12">
        <v>0</v>
      </c>
      <c r="H4573" s="12">
        <v>0</v>
      </c>
      <c r="I4573" s="12">
        <v>0</v>
      </c>
      <c r="J4573" s="11"/>
      <c r="K4573" s="12">
        <v>0</v>
      </c>
      <c r="L4573" s="10" t="str">
        <f t="shared" ref="L4573:L4578" si="446">HYPERLINK("https://otsuka-europe-crm.veevavault.com/ui/#object/approved_document__v/V5O000000018003", "AE dialoghi di tempo fiducia e cura episodi 2-3-4")</f>
        <v>AE dialoghi di tempo fiducia e cura episodi 2-3-4</v>
      </c>
      <c r="M4573" s="10" t="str">
        <f t="shared" ref="M4573:M4578" si="447">HYPERLINK("mailto:nicoletta.vozza@crm.otsuka-europe.com", "nicoletta.vozza@crm.otsuka-europe.com")</f>
        <v>nicoletta.vozza@crm.otsuka-europe.com</v>
      </c>
      <c r="N4573" s="13">
        <v>46181.338020833333</v>
      </c>
      <c r="O4573" s="14" t="str">
        <f>HYPERLINK("https://otsuka-europe-crm.veevavault.com/ui/#object/email_activity__v/V8C00000003P234", "EN-002089680")</f>
        <v>EN-002089680</v>
      </c>
    </row>
    <row r="4574" spans="1:15" ht="32" x14ac:dyDescent="0.2">
      <c r="A4574" s="7" t="str">
        <f>HYPERLINK("https://otsuka-europe-crm.veevavault.com/ui/#object/account__v/V4TZ06G6O71SBTN", "MAURO PALLAGROSI")</f>
        <v>MAURO PALLAGROSI</v>
      </c>
      <c r="B4574" s="7" t="str">
        <f t="shared" si="444"/>
        <v>IT</v>
      </c>
      <c r="C4574" s="8" t="s">
        <v>44</v>
      </c>
      <c r="D4574" s="9" t="str">
        <f t="shared" si="445"/>
        <v>AE dialoghi di tempo fiducia e cura episodi 2-3-4</v>
      </c>
      <c r="E4574" s="10" t="str">
        <f>HYPERLINK("https://otsuka-europe-crm.veevavault.com/ui/#object/sent_email__v/VBL00000002P789", "SE-001433459")</f>
        <v>SE-001433459</v>
      </c>
      <c r="F4574" s="11"/>
      <c r="G4574" s="12">
        <v>0</v>
      </c>
      <c r="H4574" s="12">
        <v>0</v>
      </c>
      <c r="I4574" s="12">
        <v>0</v>
      </c>
      <c r="J4574" s="11"/>
      <c r="K4574" s="12">
        <v>0</v>
      </c>
      <c r="L4574" s="10" t="str">
        <f t="shared" si="446"/>
        <v>AE dialoghi di tempo fiducia e cura episodi 2-3-4</v>
      </c>
      <c r="M4574" s="10" t="str">
        <f t="shared" si="447"/>
        <v>nicoletta.vozza@crm.otsuka-europe.com</v>
      </c>
      <c r="N4574" s="13">
        <v>46181.33797453704</v>
      </c>
      <c r="O4574" s="14" t="str">
        <f>HYPERLINK("https://otsuka-europe-crm.veevavault.com/ui/#object/email_activity__v/V8C00000003P207", "EN-002089653")</f>
        <v>EN-002089653</v>
      </c>
    </row>
    <row r="4575" spans="1:15" ht="32" x14ac:dyDescent="0.2">
      <c r="A4575" s="7" t="str">
        <f>HYPERLINK("https://otsuka-europe-crm.veevavault.com/ui/#object/account__v/V4TZ04ASG8DV3A7", "MAURO SCALA")</f>
        <v>MAURO SCALA</v>
      </c>
      <c r="B4575" s="7" t="str">
        <f t="shared" si="444"/>
        <v>IT</v>
      </c>
      <c r="C4575" s="8" t="s">
        <v>44</v>
      </c>
      <c r="D4575" s="9" t="str">
        <f t="shared" si="445"/>
        <v>AE dialoghi di tempo fiducia e cura episodi 2-3-4</v>
      </c>
      <c r="E4575" s="10" t="str">
        <f>HYPERLINK("https://otsuka-europe-crm.veevavault.com/ui/#object/sent_email__v/VBL00000002P790", "SE-001433460")</f>
        <v>SE-001433460</v>
      </c>
      <c r="F4575" s="11"/>
      <c r="G4575" s="12">
        <v>0</v>
      </c>
      <c r="H4575" s="12">
        <v>0</v>
      </c>
      <c r="I4575" s="12">
        <v>0</v>
      </c>
      <c r="J4575" s="11"/>
      <c r="K4575" s="12">
        <v>0</v>
      </c>
      <c r="L4575" s="10" t="str">
        <f t="shared" si="446"/>
        <v>AE dialoghi di tempo fiducia e cura episodi 2-3-4</v>
      </c>
      <c r="M4575" s="10" t="str">
        <f t="shared" si="447"/>
        <v>nicoletta.vozza@crm.otsuka-europe.com</v>
      </c>
      <c r="N4575" s="13">
        <v>46181.338009259256</v>
      </c>
      <c r="O4575" s="14" t="str">
        <f>HYPERLINK("https://otsuka-europe-crm.veevavault.com/ui/#object/email_activity__v/V8C00000003P328", "EN-002090334")</f>
        <v>EN-002090334</v>
      </c>
    </row>
    <row r="4576" spans="1:15" ht="32" x14ac:dyDescent="0.2">
      <c r="A4576" s="7" t="str">
        <f>HYPERLINK("https://otsuka-europe-crm.veevavault.com/ui/#object/account__v/V4TZ06G6O71SA3M", "MICHELA BARBANTINI")</f>
        <v>MICHELA BARBANTINI</v>
      </c>
      <c r="B4576" s="7" t="str">
        <f t="shared" si="444"/>
        <v>IT</v>
      </c>
      <c r="C4576" s="8" t="s">
        <v>44</v>
      </c>
      <c r="D4576" s="9" t="str">
        <f t="shared" si="445"/>
        <v>AE dialoghi di tempo fiducia e cura episodi 2-3-4</v>
      </c>
      <c r="E4576" s="10" t="str">
        <f>HYPERLINK("https://otsuka-europe-crm.veevavault.com/ui/#object/sent_email__v/VBL00000002P791", "SE-001433461")</f>
        <v>SE-001433461</v>
      </c>
      <c r="F4576" s="11"/>
      <c r="G4576" s="12">
        <v>0</v>
      </c>
      <c r="H4576" s="12">
        <v>0</v>
      </c>
      <c r="I4576" s="12">
        <v>0</v>
      </c>
      <c r="J4576" s="11"/>
      <c r="K4576" s="12">
        <v>0</v>
      </c>
      <c r="L4576" s="10" t="str">
        <f t="shared" si="446"/>
        <v>AE dialoghi di tempo fiducia e cura episodi 2-3-4</v>
      </c>
      <c r="M4576" s="10" t="str">
        <f t="shared" si="447"/>
        <v>nicoletta.vozza@crm.otsuka-europe.com</v>
      </c>
      <c r="N4576" s="13">
        <v>46181.338020833333</v>
      </c>
      <c r="O4576" s="14" t="str">
        <f>HYPERLINK("https://otsuka-europe-crm.veevavault.com/ui/#object/email_activity__v/V8C00000003O576", "EN-002090132")</f>
        <v>EN-002090132</v>
      </c>
    </row>
    <row r="4577" spans="1:15" ht="32" x14ac:dyDescent="0.2">
      <c r="A4577" s="7" t="str">
        <f>HYPERLINK("https://otsuka-europe-crm.veevavault.com/ui/#object/account__v/V4TZ06G6O71SA6J", "MICHELA BOSIO")</f>
        <v>MICHELA BOSIO</v>
      </c>
      <c r="B4577" s="7" t="str">
        <f t="shared" si="444"/>
        <v>IT</v>
      </c>
      <c r="C4577" s="8" t="s">
        <v>44</v>
      </c>
      <c r="D4577" s="9" t="str">
        <f t="shared" si="445"/>
        <v>AE dialoghi di tempo fiducia e cura episodi 2-3-4</v>
      </c>
      <c r="E4577" s="10" t="str">
        <f>HYPERLINK("https://otsuka-europe-crm.veevavault.com/ui/#object/sent_email__v/VBL00000002P792", "SE-001433462")</f>
        <v>SE-001433462</v>
      </c>
      <c r="F4577" s="11"/>
      <c r="G4577" s="12">
        <v>0</v>
      </c>
      <c r="H4577" s="12">
        <v>0</v>
      </c>
      <c r="I4577" s="12">
        <v>0</v>
      </c>
      <c r="J4577" s="11"/>
      <c r="K4577" s="12">
        <v>0</v>
      </c>
      <c r="L4577" s="10" t="str">
        <f t="shared" si="446"/>
        <v>AE dialoghi di tempo fiducia e cura episodi 2-3-4</v>
      </c>
      <c r="M4577" s="10" t="str">
        <f t="shared" si="447"/>
        <v>nicoletta.vozza@crm.otsuka-europe.com</v>
      </c>
      <c r="N4577" s="13">
        <v>46181.337997685187</v>
      </c>
      <c r="O4577" s="14" t="str">
        <f>HYPERLINK("https://otsuka-europe-crm.veevavault.com/ui/#object/email_activity__v/V8C00000003O526", "EN-002090082")</f>
        <v>EN-002090082</v>
      </c>
    </row>
    <row r="4578" spans="1:15" ht="16" x14ac:dyDescent="0.2">
      <c r="A4578" s="17" t="str">
        <f>HYPERLINK("https://otsuka-europe-crm.veevavault.com/ui/#object/account__v/V4TZ06G6OBUD3AW", "MICHELA CAMELI")</f>
        <v>MICHELA CAMELI</v>
      </c>
      <c r="B4578" s="17" t="str">
        <f t="shared" si="444"/>
        <v>IT</v>
      </c>
      <c r="C4578" s="20" t="s">
        <v>44</v>
      </c>
      <c r="D4578" s="21" t="str">
        <f t="shared" si="445"/>
        <v>AE dialoghi di tempo fiducia e cura episodi 2-3-4</v>
      </c>
      <c r="E4578" s="22" t="str">
        <f>HYPERLINK("https://otsuka-europe-crm.veevavault.com/ui/#object/sent_email__v/VBL00000002P793", "SE-001433463")</f>
        <v>SE-001433463</v>
      </c>
      <c r="F4578" s="23">
        <v>46182.4921875</v>
      </c>
      <c r="G4578" s="24">
        <v>1</v>
      </c>
      <c r="H4578" s="24">
        <v>1</v>
      </c>
      <c r="I4578" s="24">
        <v>0</v>
      </c>
      <c r="J4578" s="25"/>
      <c r="K4578" s="24">
        <v>0</v>
      </c>
      <c r="L4578" s="22" t="str">
        <f t="shared" si="446"/>
        <v>AE dialoghi di tempo fiducia e cura episodi 2-3-4</v>
      </c>
      <c r="M4578" s="22" t="str">
        <f t="shared" si="447"/>
        <v>nicoletta.vozza@crm.otsuka-europe.com</v>
      </c>
      <c r="N4578" s="23">
        <v>46181.33797453704</v>
      </c>
      <c r="O4578" s="14" t="str">
        <f>HYPERLINK("https://otsuka-europe-crm.veevavault.com/ui/#object/email_activity__v/V8C00000003O663", "EN-002090219")</f>
        <v>EN-002090219</v>
      </c>
    </row>
    <row r="4579" spans="1:15" ht="16" x14ac:dyDescent="0.2">
      <c r="A4579" s="19"/>
      <c r="B4579" s="19"/>
      <c r="C4579" s="19"/>
      <c r="D4579" s="19"/>
      <c r="E4579" s="19"/>
      <c r="F4579" s="19"/>
      <c r="G4579" s="19"/>
      <c r="H4579" s="19"/>
      <c r="I4579" s="19"/>
      <c r="J4579" s="19"/>
      <c r="K4579" s="19"/>
      <c r="L4579" s="19"/>
      <c r="M4579" s="19"/>
      <c r="N4579" s="19"/>
      <c r="O4579" s="14" t="str">
        <f>HYPERLINK("https://otsuka-europe-crm.veevavault.com/ui/#object/email_activity__v/V8C00000003R622", "EN-002092885")</f>
        <v>EN-002092885</v>
      </c>
    </row>
    <row r="4580" spans="1:15" ht="32" x14ac:dyDescent="0.2">
      <c r="A4580" s="7" t="str">
        <f>HYPERLINK("https://otsuka-europe-crm.veevavault.com/ui/#object/account__v/V4TZ04ASGBNHTF1", "MICHELA CARDILLO")</f>
        <v>MICHELA CARDILLO</v>
      </c>
      <c r="B4580" s="7" t="str">
        <f>HYPERLINK("https://otsuka-europe-crm.veevavault.com/ui/#object/vcountry__v/VENZ000004SONFQ", "IT")</f>
        <v>IT</v>
      </c>
      <c r="C4580" s="8" t="s">
        <v>44</v>
      </c>
      <c r="D4580" s="9" t="str">
        <f>HYPERLINK("https://otsuka-europe-crm.veevavault.com/ui/#object/approved_document__v/V5O000000018003", "AE dialoghi di tempo fiducia e cura episodi 2-3-4")</f>
        <v>AE dialoghi di tempo fiducia e cura episodi 2-3-4</v>
      </c>
      <c r="E4580" s="10" t="str">
        <f>HYPERLINK("https://otsuka-europe-crm.veevavault.com/ui/#object/sent_email__v/VBL00000002P794", "SE-001433464")</f>
        <v>SE-001433464</v>
      </c>
      <c r="F4580" s="11"/>
      <c r="G4580" s="12">
        <v>0</v>
      </c>
      <c r="H4580" s="12">
        <v>0</v>
      </c>
      <c r="I4580" s="12">
        <v>0</v>
      </c>
      <c r="J4580" s="11"/>
      <c r="K4580" s="12">
        <v>0</v>
      </c>
      <c r="L4580" s="10" t="str">
        <f>HYPERLINK("https://otsuka-europe-crm.veevavault.com/ui/#object/approved_document__v/V5O000000018003", "AE dialoghi di tempo fiducia e cura episodi 2-3-4")</f>
        <v>AE dialoghi di tempo fiducia e cura episodi 2-3-4</v>
      </c>
      <c r="M4580" s="10" t="str">
        <f>HYPERLINK("mailto:nicoletta.vozza@crm.otsuka-europe.com", "nicoletta.vozza@crm.otsuka-europe.com")</f>
        <v>nicoletta.vozza@crm.otsuka-europe.com</v>
      </c>
      <c r="N4580" s="13">
        <v>46181.338067129633</v>
      </c>
      <c r="O4580" s="14" t="str">
        <f>HYPERLINK("https://otsuka-europe-crm.veevavault.com/ui/#object/email_activity__v/V8C00000003Q126", "EN-002091209")</f>
        <v>EN-002091209</v>
      </c>
    </row>
    <row r="4581" spans="1:15" ht="32" x14ac:dyDescent="0.2">
      <c r="A4581" s="7" t="str">
        <f>HYPERLINK("https://otsuka-europe-crm.veevavault.com/ui/#object/account__v/V4TZ025E83HV8I1", "MICHELA CIGLIOBIANCO")</f>
        <v>MICHELA CIGLIOBIANCO</v>
      </c>
      <c r="B4581" s="7" t="str">
        <f>HYPERLINK("https://otsuka-europe-crm.veevavault.com/ui/#object/vcountry__v/VENZ000004SONFQ", "IT")</f>
        <v>IT</v>
      </c>
      <c r="C4581" s="8" t="s">
        <v>44</v>
      </c>
      <c r="D4581" s="9" t="str">
        <f>HYPERLINK("https://otsuka-europe-crm.veevavault.com/ui/#object/approved_document__v/V5O000000018003", "AE dialoghi di tempo fiducia e cura episodi 2-3-4")</f>
        <v>AE dialoghi di tempo fiducia e cura episodi 2-3-4</v>
      </c>
      <c r="E4581" s="10" t="str">
        <f>HYPERLINK("https://otsuka-europe-crm.veevavault.com/ui/#object/sent_email__v/VBL00000002P795", "SE-001433465")</f>
        <v>SE-001433465</v>
      </c>
      <c r="F4581" s="11"/>
      <c r="G4581" s="12">
        <v>0</v>
      </c>
      <c r="H4581" s="12">
        <v>0</v>
      </c>
      <c r="I4581" s="12">
        <v>0</v>
      </c>
      <c r="J4581" s="11"/>
      <c r="K4581" s="12">
        <v>0</v>
      </c>
      <c r="L4581" s="10" t="str">
        <f>HYPERLINK("https://otsuka-europe-crm.veevavault.com/ui/#object/approved_document__v/V5O000000018003", "AE dialoghi di tempo fiducia e cura episodi 2-3-4")</f>
        <v>AE dialoghi di tempo fiducia e cura episodi 2-3-4</v>
      </c>
      <c r="M4581" s="10" t="str">
        <f>HYPERLINK("mailto:nicoletta.vozza@crm.otsuka-europe.com", "nicoletta.vozza@crm.otsuka-europe.com")</f>
        <v>nicoletta.vozza@crm.otsuka-europe.com</v>
      </c>
      <c r="N4581" s="13">
        <v>46181.337962962964</v>
      </c>
      <c r="O4581" s="14" t="str">
        <f>HYPERLINK("https://otsuka-europe-crm.veevavault.com/ui/#object/email_activity__v/V8C00000003Q233", "EN-002091339")</f>
        <v>EN-002091339</v>
      </c>
    </row>
    <row r="4582" spans="1:15" ht="16" x14ac:dyDescent="0.2">
      <c r="A4582" s="17" t="str">
        <f>HYPERLINK("https://otsuka-europe-crm.veevavault.com/ui/#object/account__v/V4TZ06G6O71S9EJ", "MICHELA QUARANTA")</f>
        <v>MICHELA QUARANTA</v>
      </c>
      <c r="B4582" s="17" t="str">
        <f>HYPERLINK("https://otsuka-europe-crm.veevavault.com/ui/#object/vcountry__v/VENZ000004SONFQ", "IT")</f>
        <v>IT</v>
      </c>
      <c r="C4582" s="20" t="s">
        <v>44</v>
      </c>
      <c r="D4582" s="21" t="str">
        <f>HYPERLINK("https://otsuka-europe-crm.veevavault.com/ui/#object/approved_document__v/V5O000000018003", "AE dialoghi di tempo fiducia e cura episodi 2-3-4")</f>
        <v>AE dialoghi di tempo fiducia e cura episodi 2-3-4</v>
      </c>
      <c r="E4582" s="22" t="str">
        <f>HYPERLINK("https://otsuka-europe-crm.veevavault.com/ui/#object/sent_email__v/VBL00000002P796", "SE-001433466")</f>
        <v>SE-001433466</v>
      </c>
      <c r="F4582" s="25"/>
      <c r="G4582" s="24">
        <v>0</v>
      </c>
      <c r="H4582" s="24">
        <v>0</v>
      </c>
      <c r="I4582" s="24">
        <v>0</v>
      </c>
      <c r="J4582" s="25"/>
      <c r="K4582" s="24">
        <v>0</v>
      </c>
      <c r="L4582" s="22" t="str">
        <f>HYPERLINK("https://otsuka-europe-crm.veevavault.com/ui/#object/approved_document__v/V5O000000018003", "AE dialoghi di tempo fiducia e cura episodi 2-3-4")</f>
        <v>AE dialoghi di tempo fiducia e cura episodi 2-3-4</v>
      </c>
      <c r="M4582" s="22" t="str">
        <f>HYPERLINK("mailto:nicoletta.vozza@crm.otsuka-europe.com", "nicoletta.vozza@crm.otsuka-europe.com")</f>
        <v>nicoletta.vozza@crm.otsuka-europe.com</v>
      </c>
      <c r="N4582" s="23">
        <v>46181.338043981479</v>
      </c>
      <c r="O4582" s="14" t="str">
        <f>HYPERLINK("https://otsuka-europe-crm.veevavault.com/ui/#object/email_activity__v/V8C00000003P355", "EN-002090361")</f>
        <v>EN-002090361</v>
      </c>
    </row>
    <row r="4583" spans="1:15" ht="16" x14ac:dyDescent="0.2">
      <c r="A4583" s="18"/>
      <c r="B4583" s="18"/>
      <c r="C4583" s="18"/>
      <c r="D4583" s="18"/>
      <c r="E4583" s="18"/>
      <c r="F4583" s="18"/>
      <c r="G4583" s="18"/>
      <c r="H4583" s="18"/>
      <c r="I4583" s="18"/>
      <c r="J4583" s="18"/>
      <c r="K4583" s="18"/>
      <c r="L4583" s="18"/>
      <c r="M4583" s="18"/>
      <c r="N4583" s="18"/>
      <c r="O4583" s="14" t="str">
        <f>HYPERLINK("https://otsuka-europe-crm.veevavault.com/ui/#object/email_activity__v/V8C00000003R125", "EN-002091921")</f>
        <v>EN-002091921</v>
      </c>
    </row>
    <row r="4584" spans="1:15" ht="16" x14ac:dyDescent="0.2">
      <c r="A4584" s="19"/>
      <c r="B4584" s="19"/>
      <c r="C4584" s="19"/>
      <c r="D4584" s="19"/>
      <c r="E4584" s="19"/>
      <c r="F4584" s="19"/>
      <c r="G4584" s="19"/>
      <c r="H4584" s="19"/>
      <c r="I4584" s="19"/>
      <c r="J4584" s="19"/>
      <c r="K4584" s="19"/>
      <c r="L4584" s="19"/>
      <c r="M4584" s="19"/>
      <c r="N4584" s="19"/>
      <c r="O4584" s="14" t="str">
        <f>HYPERLINK("https://otsuka-europe-crm.veevavault.com/ui/#object/email_activity__v/V8C00000003S880", "EN-002094620")</f>
        <v>EN-002094620</v>
      </c>
    </row>
    <row r="4585" spans="1:15" ht="32" x14ac:dyDescent="0.2">
      <c r="A4585" s="7" t="str">
        <f>HYPERLINK("https://otsuka-europe-crm.veevavault.com/ui/#object/account__v/V4TZ06G6O71S9NX", "MICHELA ROSSI")</f>
        <v>MICHELA ROSSI</v>
      </c>
      <c r="B4585" s="7" t="str">
        <f>HYPERLINK("https://otsuka-europe-crm.veevavault.com/ui/#object/vcountry__v/VENZ000004SONFQ", "IT")</f>
        <v>IT</v>
      </c>
      <c r="C4585" s="8" t="s">
        <v>44</v>
      </c>
      <c r="D4585" s="9" t="str">
        <f>HYPERLINK("https://otsuka-europe-crm.veevavault.com/ui/#object/approved_document__v/V5O000000018003", "AE dialoghi di tempo fiducia e cura episodi 2-3-4")</f>
        <v>AE dialoghi di tempo fiducia e cura episodi 2-3-4</v>
      </c>
      <c r="E4585" s="10" t="str">
        <f>HYPERLINK("https://otsuka-europe-crm.veevavault.com/ui/#object/sent_email__v/VBL00000002P797", "SE-001433467")</f>
        <v>SE-001433467</v>
      </c>
      <c r="F4585" s="11"/>
      <c r="G4585" s="12">
        <v>0</v>
      </c>
      <c r="H4585" s="12">
        <v>0</v>
      </c>
      <c r="I4585" s="12">
        <v>0</v>
      </c>
      <c r="J4585" s="11"/>
      <c r="K4585" s="12">
        <v>0</v>
      </c>
      <c r="L4585" s="10" t="str">
        <f>HYPERLINK("https://otsuka-europe-crm.veevavault.com/ui/#object/approved_document__v/V5O000000018003", "AE dialoghi di tempo fiducia e cura episodi 2-3-4")</f>
        <v>AE dialoghi di tempo fiducia e cura episodi 2-3-4</v>
      </c>
      <c r="M4585" s="10" t="str">
        <f>HYPERLINK("mailto:nicoletta.vozza@crm.otsuka-europe.com", "nicoletta.vozza@crm.otsuka-europe.com")</f>
        <v>nicoletta.vozza@crm.otsuka-europe.com</v>
      </c>
      <c r="N4585" s="13">
        <v>46181.338067129633</v>
      </c>
      <c r="O4585" s="14" t="str">
        <f>HYPERLINK("https://otsuka-europe-crm.veevavault.com/ui/#object/email_activity__v/V8C00000003Q245", "EN-002091355")</f>
        <v>EN-002091355</v>
      </c>
    </row>
    <row r="4586" spans="1:15" ht="32" x14ac:dyDescent="0.2">
      <c r="A4586" s="7" t="str">
        <f>HYPERLINK("https://otsuka-europe-crm.veevavault.com/ui/#object/account__v/V4TZ04ASG79YWY0", "MICHELA RUSSO")</f>
        <v>MICHELA RUSSO</v>
      </c>
      <c r="B4586" s="7" t="str">
        <f>HYPERLINK("https://otsuka-europe-crm.veevavault.com/ui/#object/vcountry__v/VENZ000004SONFQ", "IT")</f>
        <v>IT</v>
      </c>
      <c r="C4586" s="8" t="s">
        <v>44</v>
      </c>
      <c r="D4586" s="9" t="str">
        <f>HYPERLINK("https://otsuka-europe-crm.veevavault.com/ui/#object/approved_document__v/V5O000000018003", "AE dialoghi di tempo fiducia e cura episodi 2-3-4")</f>
        <v>AE dialoghi di tempo fiducia e cura episodi 2-3-4</v>
      </c>
      <c r="E4586" s="10" t="str">
        <f>HYPERLINK("https://otsuka-europe-crm.veevavault.com/ui/#object/sent_email__v/VBL00000002P798", "SE-001433468")</f>
        <v>SE-001433468</v>
      </c>
      <c r="F4586" s="11"/>
      <c r="G4586" s="12">
        <v>0</v>
      </c>
      <c r="H4586" s="12">
        <v>0</v>
      </c>
      <c r="I4586" s="12">
        <v>0</v>
      </c>
      <c r="J4586" s="11"/>
      <c r="K4586" s="12">
        <v>0</v>
      </c>
      <c r="L4586" s="10" t="str">
        <f>HYPERLINK("https://otsuka-europe-crm.veevavault.com/ui/#object/approved_document__v/V5O000000018003", "AE dialoghi di tempo fiducia e cura episodi 2-3-4")</f>
        <v>AE dialoghi di tempo fiducia e cura episodi 2-3-4</v>
      </c>
      <c r="M4586" s="10" t="str">
        <f>HYPERLINK("mailto:nicoletta.vozza@crm.otsuka-europe.com", "nicoletta.vozza@crm.otsuka-europe.com")</f>
        <v>nicoletta.vozza@crm.otsuka-europe.com</v>
      </c>
      <c r="N4586" s="13">
        <v>46181.337962962964</v>
      </c>
      <c r="O4586" s="14" t="str">
        <f>HYPERLINK("https://otsuka-europe-crm.veevavault.com/ui/#object/email_activity__v/V8C00000003P172", "EN-002089572")</f>
        <v>EN-002089572</v>
      </c>
    </row>
    <row r="4587" spans="1:15" ht="32" x14ac:dyDescent="0.2">
      <c r="A4587" s="7" t="str">
        <f>HYPERLINK("https://otsuka-europe-crm.veevavault.com/ui/#object/account__v/V4TZ06G6O71SCAL", "MICHELA SALA")</f>
        <v>MICHELA SALA</v>
      </c>
      <c r="B4587" s="7" t="str">
        <f>HYPERLINK("https://otsuka-europe-crm.veevavault.com/ui/#object/vcountry__v/VENZ000004SONFQ", "IT")</f>
        <v>IT</v>
      </c>
      <c r="C4587" s="8" t="s">
        <v>44</v>
      </c>
      <c r="D4587" s="9" t="str">
        <f>HYPERLINK("https://otsuka-europe-crm.veevavault.com/ui/#object/approved_document__v/V5O000000018003", "AE dialoghi di tempo fiducia e cura episodi 2-3-4")</f>
        <v>AE dialoghi di tempo fiducia e cura episodi 2-3-4</v>
      </c>
      <c r="E4587" s="10" t="str">
        <f>HYPERLINK("https://otsuka-europe-crm.veevavault.com/ui/#object/sent_email__v/VBL00000002P799", "SE-001433469")</f>
        <v>SE-001433469</v>
      </c>
      <c r="F4587" s="11"/>
      <c r="G4587" s="12">
        <v>0</v>
      </c>
      <c r="H4587" s="12">
        <v>0</v>
      </c>
      <c r="I4587" s="12">
        <v>0</v>
      </c>
      <c r="J4587" s="11"/>
      <c r="K4587" s="12">
        <v>0</v>
      </c>
      <c r="L4587" s="10" t="str">
        <f>HYPERLINK("https://otsuka-europe-crm.veevavault.com/ui/#object/approved_document__v/V5O000000018003", "AE dialoghi di tempo fiducia e cura episodi 2-3-4")</f>
        <v>AE dialoghi di tempo fiducia e cura episodi 2-3-4</v>
      </c>
      <c r="M4587" s="10" t="str">
        <f>HYPERLINK("mailto:nicoletta.vozza@crm.otsuka-europe.com", "nicoletta.vozza@crm.otsuka-europe.com")</f>
        <v>nicoletta.vozza@crm.otsuka-europe.com</v>
      </c>
      <c r="N4587" s="13">
        <v>46181.337997685187</v>
      </c>
      <c r="O4587" s="14" t="str">
        <f>HYPERLINK("https://otsuka-europe-crm.veevavault.com/ui/#object/email_activity__v/V8C00000003O254", "EN-002089731")</f>
        <v>EN-002089731</v>
      </c>
    </row>
    <row r="4588" spans="1:15" ht="32" x14ac:dyDescent="0.2">
      <c r="A4588" s="7" t="str">
        <f>HYPERLINK("https://otsuka-europe-crm.veevavault.com/ui/#object/account__v/V4TZ06G6O71SCS6", "MICHELA ZORZI")</f>
        <v>MICHELA ZORZI</v>
      </c>
      <c r="B4588" s="7" t="str">
        <f>HYPERLINK("https://otsuka-europe-crm.veevavault.com/ui/#object/vcountry__v/VENZ000004SONFQ", "IT")</f>
        <v>IT</v>
      </c>
      <c r="C4588" s="8" t="s">
        <v>44</v>
      </c>
      <c r="D4588" s="9" t="str">
        <f>HYPERLINK("https://otsuka-europe-crm.veevavault.com/ui/#object/approved_document__v/V5O000000018003", "AE dialoghi di tempo fiducia e cura episodi 2-3-4")</f>
        <v>AE dialoghi di tempo fiducia e cura episodi 2-3-4</v>
      </c>
      <c r="E4588" s="10" t="str">
        <f>HYPERLINK("https://otsuka-europe-crm.veevavault.com/ui/#object/sent_email__v/VBL00000002P800", "SE-001433470")</f>
        <v>SE-001433470</v>
      </c>
      <c r="F4588" s="11"/>
      <c r="G4588" s="12">
        <v>0</v>
      </c>
      <c r="H4588" s="12">
        <v>0</v>
      </c>
      <c r="I4588" s="12">
        <v>0</v>
      </c>
      <c r="J4588" s="11"/>
      <c r="K4588" s="12">
        <v>0</v>
      </c>
      <c r="L4588" s="10" t="str">
        <f>HYPERLINK("https://otsuka-europe-crm.veevavault.com/ui/#object/approved_document__v/V5O000000018003", "AE dialoghi di tempo fiducia e cura episodi 2-3-4")</f>
        <v>AE dialoghi di tempo fiducia e cura episodi 2-3-4</v>
      </c>
      <c r="M4588" s="10" t="str">
        <f>HYPERLINK("mailto:nicoletta.vozza@crm.otsuka-europe.com", "nicoletta.vozza@crm.otsuka-europe.com")</f>
        <v>nicoletta.vozza@crm.otsuka-europe.com</v>
      </c>
      <c r="N4588" s="13">
        <v>46181.338078703702</v>
      </c>
      <c r="O4588" s="14" t="str">
        <f>HYPERLINK("https://otsuka-europe-crm.veevavault.com/ui/#object/email_activity__v/V8C00000003O958", "EN-002090618")</f>
        <v>EN-002090618</v>
      </c>
    </row>
    <row r="4589" spans="1:15" ht="16" x14ac:dyDescent="0.2">
      <c r="A4589" s="17" t="str">
        <f>HYPERLINK("https://otsuka-europe-crm.veevavault.com/ui/#object/account__v/V4TZ04ASGAVBJFQ", "MICHELE CANDRINA")</f>
        <v>MICHELE CANDRINA</v>
      </c>
      <c r="B4589" s="17" t="str">
        <f>HYPERLINK("https://otsuka-europe-crm.veevavault.com/ui/#object/vcountry__v/VENZ000004SONFQ", "IT")</f>
        <v>IT</v>
      </c>
      <c r="C4589" s="20" t="s">
        <v>44</v>
      </c>
      <c r="D4589" s="21" t="str">
        <f>HYPERLINK("https://otsuka-europe-crm.veevavault.com/ui/#object/approved_document__v/V5O000000018003", "AE dialoghi di tempo fiducia e cura episodi 2-3-4")</f>
        <v>AE dialoghi di tempo fiducia e cura episodi 2-3-4</v>
      </c>
      <c r="E4589" s="22" t="str">
        <f>HYPERLINK("https://otsuka-europe-crm.veevavault.com/ui/#object/sent_email__v/VBL00000002P801", "SE-001433471")</f>
        <v>SE-001433471</v>
      </c>
      <c r="F4589" s="23">
        <v>46185.371249999997</v>
      </c>
      <c r="G4589" s="24">
        <v>1</v>
      </c>
      <c r="H4589" s="24">
        <v>1</v>
      </c>
      <c r="I4589" s="24">
        <v>0</v>
      </c>
      <c r="J4589" s="25"/>
      <c r="K4589" s="24">
        <v>0</v>
      </c>
      <c r="L4589" s="22" t="str">
        <f>HYPERLINK("https://otsuka-europe-crm.veevavault.com/ui/#object/approved_document__v/V5O000000018003", "AE dialoghi di tempo fiducia e cura episodi 2-3-4")</f>
        <v>AE dialoghi di tempo fiducia e cura episodi 2-3-4</v>
      </c>
      <c r="M4589" s="22" t="str">
        <f>HYPERLINK("mailto:nicoletta.vozza@crm.otsuka-europe.com", "nicoletta.vozza@crm.otsuka-europe.com")</f>
        <v>nicoletta.vozza@crm.otsuka-europe.com</v>
      </c>
      <c r="N4589" s="23">
        <v>46181.338055555556</v>
      </c>
      <c r="O4589" s="14" t="str">
        <f>HYPERLINK("https://otsuka-europe-crm.veevavault.com/ui/#object/email_activity__v/V8C00000003O531", "EN-002090087")</f>
        <v>EN-002090087</v>
      </c>
    </row>
    <row r="4590" spans="1:15" ht="16" x14ac:dyDescent="0.2">
      <c r="A4590" s="19"/>
      <c r="B4590" s="19"/>
      <c r="C4590" s="19"/>
      <c r="D4590" s="19"/>
      <c r="E4590" s="19"/>
      <c r="F4590" s="19"/>
      <c r="G4590" s="19"/>
      <c r="H4590" s="19"/>
      <c r="I4590" s="19"/>
      <c r="J4590" s="19"/>
      <c r="K4590" s="19"/>
      <c r="L4590" s="19"/>
      <c r="M4590" s="19"/>
      <c r="N4590" s="19"/>
      <c r="O4590" s="14" t="str">
        <f>HYPERLINK("https://otsuka-europe-crm.veevavault.com/ui/#object/email_activity__v/V8C00000003V186", "EN-002095154")</f>
        <v>EN-002095154</v>
      </c>
    </row>
    <row r="4591" spans="1:15" ht="32" x14ac:dyDescent="0.2">
      <c r="A4591" s="7" t="str">
        <f>HYPERLINK("https://otsuka-europe-crm.veevavault.com/ui/#object/account__v/V4TZ06G6O71SAI5", "MICHELE D'ORSI")</f>
        <v>MICHELE D'ORSI</v>
      </c>
      <c r="B4591" s="7" t="str">
        <f t="shared" ref="B4591:B4596" si="448">HYPERLINK("https://otsuka-europe-crm.veevavault.com/ui/#object/vcountry__v/VENZ000004SONFQ", "IT")</f>
        <v>IT</v>
      </c>
      <c r="C4591" s="8" t="s">
        <v>44</v>
      </c>
      <c r="D4591" s="9" t="str">
        <f t="shared" ref="D4591:D4596" si="449">HYPERLINK("https://otsuka-europe-crm.veevavault.com/ui/#object/approved_document__v/V5O000000018003", "AE dialoghi di tempo fiducia e cura episodi 2-3-4")</f>
        <v>AE dialoghi di tempo fiducia e cura episodi 2-3-4</v>
      </c>
      <c r="E4591" s="10" t="str">
        <f>HYPERLINK("https://otsuka-europe-crm.veevavault.com/ui/#object/sent_email__v/VBL00000002P802", "SE-001433472")</f>
        <v>SE-001433472</v>
      </c>
      <c r="F4591" s="11"/>
      <c r="G4591" s="12">
        <v>0</v>
      </c>
      <c r="H4591" s="12">
        <v>0</v>
      </c>
      <c r="I4591" s="12">
        <v>0</v>
      </c>
      <c r="J4591" s="11"/>
      <c r="K4591" s="12">
        <v>0</v>
      </c>
      <c r="L4591" s="10" t="str">
        <f t="shared" ref="L4591:L4596" si="450">HYPERLINK("https://otsuka-europe-crm.veevavault.com/ui/#object/approved_document__v/V5O000000018003", "AE dialoghi di tempo fiducia e cura episodi 2-3-4")</f>
        <v>AE dialoghi di tempo fiducia e cura episodi 2-3-4</v>
      </c>
      <c r="M4591" s="10" t="str">
        <f t="shared" ref="M4591:M4596" si="451">HYPERLINK("mailto:nicoletta.vozza@crm.otsuka-europe.com", "nicoletta.vozza@crm.otsuka-europe.com")</f>
        <v>nicoletta.vozza@crm.otsuka-europe.com</v>
      </c>
      <c r="N4591" s="13">
        <v>46181.338136574072</v>
      </c>
      <c r="O4591" s="14" t="str">
        <f>HYPERLINK("https://otsuka-europe-crm.veevavault.com/ui/#object/email_activity__v/V8C00000003P651", "EN-002090906")</f>
        <v>EN-002090906</v>
      </c>
    </row>
    <row r="4592" spans="1:15" ht="32" x14ac:dyDescent="0.2">
      <c r="A4592" s="7" t="str">
        <f>HYPERLINK("https://otsuka-europe-crm.veevavault.com/ui/#object/account__v/V4TZ06G6O71SABH", "MICHELE DE MARCO CERVINO")</f>
        <v>MICHELE DE MARCO CERVINO</v>
      </c>
      <c r="B4592" s="7" t="str">
        <f t="shared" si="448"/>
        <v>IT</v>
      </c>
      <c r="C4592" s="8" t="s">
        <v>44</v>
      </c>
      <c r="D4592" s="9" t="str">
        <f t="shared" si="449"/>
        <v>AE dialoghi di tempo fiducia e cura episodi 2-3-4</v>
      </c>
      <c r="E4592" s="10" t="str">
        <f>HYPERLINK("https://otsuka-europe-crm.veevavault.com/ui/#object/sent_email__v/VBL00000002P803", "SE-001433473")</f>
        <v>SE-001433473</v>
      </c>
      <c r="F4592" s="11"/>
      <c r="G4592" s="12">
        <v>0</v>
      </c>
      <c r="H4592" s="12">
        <v>0</v>
      </c>
      <c r="I4592" s="12">
        <v>0</v>
      </c>
      <c r="J4592" s="11"/>
      <c r="K4592" s="12">
        <v>0</v>
      </c>
      <c r="L4592" s="10" t="str">
        <f t="shared" si="450"/>
        <v>AE dialoghi di tempo fiducia e cura episodi 2-3-4</v>
      </c>
      <c r="M4592" s="10" t="str">
        <f t="shared" si="451"/>
        <v>nicoletta.vozza@crm.otsuka-europe.com</v>
      </c>
      <c r="N4592" s="13">
        <v>46181.33797453704</v>
      </c>
      <c r="O4592" s="14" t="str">
        <f>HYPERLINK("https://otsuka-europe-crm.veevavault.com/ui/#object/email_activity__v/V8C00000003O665", "EN-002090221")</f>
        <v>EN-002090221</v>
      </c>
    </row>
    <row r="4593" spans="1:15" ht="32" x14ac:dyDescent="0.2">
      <c r="A4593" s="7" t="str">
        <f>HYPERLINK("https://otsuka-europe-crm.veevavault.com/ui/#object/account__v/V4TZ06G6O71VPNU", "MICHELE DE VITO")</f>
        <v>MICHELE DE VITO</v>
      </c>
      <c r="B4593" s="7" t="str">
        <f t="shared" si="448"/>
        <v>IT</v>
      </c>
      <c r="C4593" s="8" t="s">
        <v>44</v>
      </c>
      <c r="D4593" s="9" t="str">
        <f t="shared" si="449"/>
        <v>AE dialoghi di tempo fiducia e cura episodi 2-3-4</v>
      </c>
      <c r="E4593" s="10" t="str">
        <f>HYPERLINK("https://otsuka-europe-crm.veevavault.com/ui/#object/sent_email__v/VBL00000002P804", "SE-001433474")</f>
        <v>SE-001433474</v>
      </c>
      <c r="F4593" s="11"/>
      <c r="G4593" s="12">
        <v>0</v>
      </c>
      <c r="H4593" s="12">
        <v>0</v>
      </c>
      <c r="I4593" s="12">
        <v>0</v>
      </c>
      <c r="J4593" s="11"/>
      <c r="K4593" s="12">
        <v>0</v>
      </c>
      <c r="L4593" s="10" t="str">
        <f t="shared" si="450"/>
        <v>AE dialoghi di tempo fiducia e cura episodi 2-3-4</v>
      </c>
      <c r="M4593" s="10" t="str">
        <f t="shared" si="451"/>
        <v>nicoletta.vozza@crm.otsuka-europe.com</v>
      </c>
      <c r="N4593" s="13">
        <v>46181.338090277779</v>
      </c>
      <c r="O4593" s="14" t="str">
        <f>HYPERLINK("https://otsuka-europe-crm.veevavault.com/ui/#object/email_activity__v/V8C00000003O863", "EN-002090561")</f>
        <v>EN-002090561</v>
      </c>
    </row>
    <row r="4594" spans="1:15" ht="32" x14ac:dyDescent="0.2">
      <c r="A4594" s="7" t="str">
        <f>HYPERLINK("https://otsuka-europe-crm.veevavault.com/ui/#object/account__v/V4TZ06G6O71SASK", "MICHELE DI LELLA")</f>
        <v>MICHELE DI LELLA</v>
      </c>
      <c r="B4594" s="7" t="str">
        <f t="shared" si="448"/>
        <v>IT</v>
      </c>
      <c r="C4594" s="8" t="s">
        <v>44</v>
      </c>
      <c r="D4594" s="9" t="str">
        <f t="shared" si="449"/>
        <v>AE dialoghi di tempo fiducia e cura episodi 2-3-4</v>
      </c>
      <c r="E4594" s="10" t="str">
        <f>HYPERLINK("https://otsuka-europe-crm.veevavault.com/ui/#object/sent_email__v/VBL00000002P805", "SE-001433475")</f>
        <v>SE-001433475</v>
      </c>
      <c r="F4594" s="11"/>
      <c r="G4594" s="12">
        <v>0</v>
      </c>
      <c r="H4594" s="12">
        <v>0</v>
      </c>
      <c r="I4594" s="12">
        <v>0</v>
      </c>
      <c r="J4594" s="11"/>
      <c r="K4594" s="12">
        <v>0</v>
      </c>
      <c r="L4594" s="10" t="str">
        <f t="shared" si="450"/>
        <v>AE dialoghi di tempo fiducia e cura episodi 2-3-4</v>
      </c>
      <c r="M4594" s="10" t="str">
        <f t="shared" si="451"/>
        <v>nicoletta.vozza@crm.otsuka-europe.com</v>
      </c>
      <c r="N4594" s="13">
        <v>46181.338067129633</v>
      </c>
      <c r="O4594" s="14" t="str">
        <f>HYPERLINK("https://otsuka-europe-crm.veevavault.com/ui/#object/email_activity__v/V8C00000003O798", "EN-002090458")</f>
        <v>EN-002090458</v>
      </c>
    </row>
    <row r="4595" spans="1:15" ht="32" x14ac:dyDescent="0.2">
      <c r="A4595" s="7" t="str">
        <f>HYPERLINK("https://otsuka-europe-crm.veevavault.com/ui/#object/account__v/V4TZ06G6O7VYU44", "MICHELE DI NUNZIO")</f>
        <v>MICHELE DI NUNZIO</v>
      </c>
      <c r="B4595" s="7" t="str">
        <f t="shared" si="448"/>
        <v>IT</v>
      </c>
      <c r="C4595" s="8" t="s">
        <v>44</v>
      </c>
      <c r="D4595" s="9" t="str">
        <f t="shared" si="449"/>
        <v>AE dialoghi di tempo fiducia e cura episodi 2-3-4</v>
      </c>
      <c r="E4595" s="10" t="str">
        <f>HYPERLINK("https://otsuka-europe-crm.veevavault.com/ui/#object/sent_email__v/VBL00000002P806", "SE-001433476")</f>
        <v>SE-001433476</v>
      </c>
      <c r="F4595" s="11"/>
      <c r="G4595" s="12">
        <v>0</v>
      </c>
      <c r="H4595" s="12">
        <v>0</v>
      </c>
      <c r="I4595" s="12">
        <v>0</v>
      </c>
      <c r="J4595" s="11"/>
      <c r="K4595" s="12">
        <v>0</v>
      </c>
      <c r="L4595" s="10" t="str">
        <f t="shared" si="450"/>
        <v>AE dialoghi di tempo fiducia e cura episodi 2-3-4</v>
      </c>
      <c r="M4595" s="10" t="str">
        <f t="shared" si="451"/>
        <v>nicoletta.vozza@crm.otsuka-europe.com</v>
      </c>
      <c r="N4595" s="13">
        <v>46181.338020833333</v>
      </c>
      <c r="O4595" s="14" t="str">
        <f>HYPERLINK("https://otsuka-europe-crm.veevavault.com/ui/#object/email_activity__v/V8C00000003P787", "EN-002091085")</f>
        <v>EN-002091085</v>
      </c>
    </row>
    <row r="4596" spans="1:15" ht="16" x14ac:dyDescent="0.2">
      <c r="A4596" s="17" t="str">
        <f>HYPERLINK("https://otsuka-europe-crm.veevavault.com/ui/#object/account__v/V4TZ06G6O71SAK3", "MICHELE FABRAZZO")</f>
        <v>MICHELE FABRAZZO</v>
      </c>
      <c r="B4596" s="17" t="str">
        <f t="shared" si="448"/>
        <v>IT</v>
      </c>
      <c r="C4596" s="20" t="s">
        <v>44</v>
      </c>
      <c r="D4596" s="21" t="str">
        <f t="shared" si="449"/>
        <v>AE dialoghi di tempo fiducia e cura episodi 2-3-4</v>
      </c>
      <c r="E4596" s="22" t="str">
        <f>HYPERLINK("https://otsuka-europe-crm.veevavault.com/ui/#object/sent_email__v/VBL00000002P807", "SE-001433477")</f>
        <v>SE-001433477</v>
      </c>
      <c r="F4596" s="25"/>
      <c r="G4596" s="24">
        <v>0</v>
      </c>
      <c r="H4596" s="24">
        <v>0</v>
      </c>
      <c r="I4596" s="24">
        <v>0</v>
      </c>
      <c r="J4596" s="25"/>
      <c r="K4596" s="24">
        <v>0</v>
      </c>
      <c r="L4596" s="22" t="str">
        <f t="shared" si="450"/>
        <v>AE dialoghi di tempo fiducia e cura episodi 2-3-4</v>
      </c>
      <c r="M4596" s="22" t="str">
        <f t="shared" si="451"/>
        <v>nicoletta.vozza@crm.otsuka-europe.com</v>
      </c>
      <c r="N4596" s="23">
        <v>46181.338020833333</v>
      </c>
      <c r="O4596" s="14" t="str">
        <f>HYPERLINK("https://otsuka-europe-crm.veevavault.com/ui/#object/email_activity__v/V8C00000003P859", "EN-002091276")</f>
        <v>EN-002091276</v>
      </c>
    </row>
    <row r="4597" spans="1:15" ht="16" x14ac:dyDescent="0.2">
      <c r="A4597" s="18"/>
      <c r="B4597" s="18"/>
      <c r="C4597" s="18"/>
      <c r="D4597" s="18"/>
      <c r="E4597" s="18"/>
      <c r="F4597" s="18"/>
      <c r="G4597" s="18"/>
      <c r="H4597" s="18"/>
      <c r="I4597" s="18"/>
      <c r="J4597" s="18"/>
      <c r="K4597" s="18"/>
      <c r="L4597" s="18"/>
      <c r="M4597" s="18"/>
      <c r="N4597" s="18"/>
      <c r="O4597" s="14" t="str">
        <f>HYPERLINK("https://otsuka-europe-crm.veevavault.com/ui/#object/email_activity__v/V8C00000003Q178", "EN-002091275")</f>
        <v>EN-002091275</v>
      </c>
    </row>
    <row r="4598" spans="1:15" ht="16" x14ac:dyDescent="0.2">
      <c r="A4598" s="18"/>
      <c r="B4598" s="18"/>
      <c r="C4598" s="18"/>
      <c r="D4598" s="18"/>
      <c r="E4598" s="18"/>
      <c r="F4598" s="18"/>
      <c r="G4598" s="18"/>
      <c r="H4598" s="18"/>
      <c r="I4598" s="18"/>
      <c r="J4598" s="18"/>
      <c r="K4598" s="18"/>
      <c r="L4598" s="18"/>
      <c r="M4598" s="18"/>
      <c r="N4598" s="18"/>
      <c r="O4598" s="14" t="str">
        <f>HYPERLINK("https://otsuka-europe-crm.veevavault.com/ui/#object/email_activity__v/V8C00000003U034", "EN-002094888")</f>
        <v>EN-002094888</v>
      </c>
    </row>
    <row r="4599" spans="1:15" ht="16" x14ac:dyDescent="0.2">
      <c r="A4599" s="19"/>
      <c r="B4599" s="19"/>
      <c r="C4599" s="19"/>
      <c r="D4599" s="19"/>
      <c r="E4599" s="19"/>
      <c r="F4599" s="19"/>
      <c r="G4599" s="19"/>
      <c r="H4599" s="19"/>
      <c r="I4599" s="19"/>
      <c r="J4599" s="19"/>
      <c r="K4599" s="19"/>
      <c r="L4599" s="19"/>
      <c r="M4599" s="19"/>
      <c r="N4599" s="19"/>
      <c r="O4599" s="14" t="str">
        <f>HYPERLINK("https://otsuka-europe-crm.veevavault.com/ui/#object/email_activity__v/V8C00000003W104", "EN-002096855")</f>
        <v>EN-002096855</v>
      </c>
    </row>
    <row r="4600" spans="1:15" ht="16" x14ac:dyDescent="0.2">
      <c r="A4600" s="17" t="str">
        <f>HYPERLINK("https://otsuka-europe-crm.veevavault.com/ui/#object/account__v/V4TZ04ASGFQ4WJF", "MICHELE FIORANI")</f>
        <v>MICHELE FIORANI</v>
      </c>
      <c r="B4600" s="17" t="str">
        <f>HYPERLINK("https://otsuka-europe-crm.veevavault.com/ui/#object/vcountry__v/VENZ000004SONFQ", "IT")</f>
        <v>IT</v>
      </c>
      <c r="C4600" s="20" t="s">
        <v>44</v>
      </c>
      <c r="D4600" s="21" t="str">
        <f>HYPERLINK("https://otsuka-europe-crm.veevavault.com/ui/#object/approved_document__v/V5O000000018003", "AE dialoghi di tempo fiducia e cura episodi 2-3-4")</f>
        <v>AE dialoghi di tempo fiducia e cura episodi 2-3-4</v>
      </c>
      <c r="E4600" s="22" t="str">
        <f>HYPERLINK("https://otsuka-europe-crm.veevavault.com/ui/#object/sent_email__v/VBL00000002P808", "SE-001433478")</f>
        <v>SE-001433478</v>
      </c>
      <c r="F4600" s="23">
        <v>46181.342453703706</v>
      </c>
      <c r="G4600" s="24">
        <v>1</v>
      </c>
      <c r="H4600" s="24">
        <v>2</v>
      </c>
      <c r="I4600" s="24">
        <v>0</v>
      </c>
      <c r="J4600" s="25"/>
      <c r="K4600" s="24">
        <v>0</v>
      </c>
      <c r="L4600" s="22" t="str">
        <f>HYPERLINK("https://otsuka-europe-crm.veevavault.com/ui/#object/approved_document__v/V5O000000018003", "AE dialoghi di tempo fiducia e cura episodi 2-3-4")</f>
        <v>AE dialoghi di tempo fiducia e cura episodi 2-3-4</v>
      </c>
      <c r="M4600" s="22" t="str">
        <f>HYPERLINK("mailto:nicoletta.vozza@crm.otsuka-europe.com", "nicoletta.vozza@crm.otsuka-europe.com")</f>
        <v>nicoletta.vozza@crm.otsuka-europe.com</v>
      </c>
      <c r="N4600" s="23">
        <v>46181.337997685187</v>
      </c>
      <c r="O4600" s="14" t="str">
        <f>HYPERLINK("https://otsuka-europe-crm.veevavault.com/ui/#object/email_activity__v/V8C00000003O374", "EN-002089892")</f>
        <v>EN-002089892</v>
      </c>
    </row>
    <row r="4601" spans="1:15" ht="16" x14ac:dyDescent="0.2">
      <c r="A4601" s="18"/>
      <c r="B4601" s="18"/>
      <c r="C4601" s="18"/>
      <c r="D4601" s="18"/>
      <c r="E4601" s="18"/>
      <c r="F4601" s="18"/>
      <c r="G4601" s="18"/>
      <c r="H4601" s="18"/>
      <c r="I4601" s="18"/>
      <c r="J4601" s="18"/>
      <c r="K4601" s="18"/>
      <c r="L4601" s="18"/>
      <c r="M4601" s="18"/>
      <c r="N4601" s="18"/>
      <c r="O4601" s="14" t="str">
        <f>HYPERLINK("https://otsuka-europe-crm.veevavault.com/ui/#object/email_activity__v/V8C00000003P896", "EN-002091426")</f>
        <v>EN-002091426</v>
      </c>
    </row>
    <row r="4602" spans="1:15" ht="16" x14ac:dyDescent="0.2">
      <c r="A4602" s="19"/>
      <c r="B4602" s="19"/>
      <c r="C4602" s="19"/>
      <c r="D4602" s="19"/>
      <c r="E4602" s="19"/>
      <c r="F4602" s="19"/>
      <c r="G4602" s="19"/>
      <c r="H4602" s="19"/>
      <c r="I4602" s="19"/>
      <c r="J4602" s="19"/>
      <c r="K4602" s="19"/>
      <c r="L4602" s="19"/>
      <c r="M4602" s="19"/>
      <c r="N4602" s="19"/>
      <c r="O4602" s="14" t="str">
        <f>HYPERLINK("https://otsuka-europe-crm.veevavault.com/ui/#object/email_activity__v/V8C00000003Q292", "EN-002091428")</f>
        <v>EN-002091428</v>
      </c>
    </row>
    <row r="4603" spans="1:15" ht="32" x14ac:dyDescent="0.2">
      <c r="A4603" s="7" t="str">
        <f>HYPERLINK("https://otsuka-europe-crm.veevavault.com/ui/#object/account__v/V4TZ04ASGCDFYDC", "MICHELE LOPANE")</f>
        <v>MICHELE LOPANE</v>
      </c>
      <c r="B4603" s="7" t="str">
        <f t="shared" ref="B4603:B4609" si="452">HYPERLINK("https://otsuka-europe-crm.veevavault.com/ui/#object/vcountry__v/VENZ000004SONFQ", "IT")</f>
        <v>IT</v>
      </c>
      <c r="C4603" s="8" t="s">
        <v>44</v>
      </c>
      <c r="D4603" s="9" t="str">
        <f t="shared" ref="D4603:D4609" si="453">HYPERLINK("https://otsuka-europe-crm.veevavault.com/ui/#object/approved_document__v/V5O000000018003", "AE dialoghi di tempo fiducia e cura episodi 2-3-4")</f>
        <v>AE dialoghi di tempo fiducia e cura episodi 2-3-4</v>
      </c>
      <c r="E4603" s="10" t="str">
        <f>HYPERLINK("https://otsuka-europe-crm.veevavault.com/ui/#object/sent_email__v/VBL00000002P809", "SE-001433479")</f>
        <v>SE-001433479</v>
      </c>
      <c r="F4603" s="11"/>
      <c r="G4603" s="12">
        <v>0</v>
      </c>
      <c r="H4603" s="12">
        <v>0</v>
      </c>
      <c r="I4603" s="12">
        <v>0</v>
      </c>
      <c r="J4603" s="11"/>
      <c r="K4603" s="12">
        <v>0</v>
      </c>
      <c r="L4603" s="10" t="str">
        <f t="shared" ref="L4603:L4609" si="454">HYPERLINK("https://otsuka-europe-crm.veevavault.com/ui/#object/approved_document__v/V5O000000018003", "AE dialoghi di tempo fiducia e cura episodi 2-3-4")</f>
        <v>AE dialoghi di tempo fiducia e cura episodi 2-3-4</v>
      </c>
      <c r="M4603" s="10" t="str">
        <f t="shared" ref="M4603:M4609" si="455">HYPERLINK("mailto:nicoletta.vozza@crm.otsuka-europe.com", "nicoletta.vozza@crm.otsuka-europe.com")</f>
        <v>nicoletta.vozza@crm.otsuka-europe.com</v>
      </c>
      <c r="N4603" s="13">
        <v>46181.33797453704</v>
      </c>
      <c r="O4603" s="14" t="str">
        <f>HYPERLINK("https://otsuka-europe-crm.veevavault.com/ui/#object/email_activity__v/V8C00000003O670", "EN-002090226")</f>
        <v>EN-002090226</v>
      </c>
    </row>
    <row r="4604" spans="1:15" ht="32" x14ac:dyDescent="0.2">
      <c r="A4604" s="7" t="str">
        <f>HYPERLINK("https://otsuka-europe-crm.veevavault.com/ui/#object/account__v/V4TZ04ASGC4FSCY", "MICHELE PARISI")</f>
        <v>MICHELE PARISI</v>
      </c>
      <c r="B4604" s="7" t="str">
        <f t="shared" si="452"/>
        <v>IT</v>
      </c>
      <c r="C4604" s="8" t="s">
        <v>44</v>
      </c>
      <c r="D4604" s="9" t="str">
        <f t="shared" si="453"/>
        <v>AE dialoghi di tempo fiducia e cura episodi 2-3-4</v>
      </c>
      <c r="E4604" s="10" t="str">
        <f>HYPERLINK("https://otsuka-europe-crm.veevavault.com/ui/#object/sent_email__v/VBL00000002P810", "SE-001433480")</f>
        <v>SE-001433480</v>
      </c>
      <c r="F4604" s="11"/>
      <c r="G4604" s="12">
        <v>0</v>
      </c>
      <c r="H4604" s="12">
        <v>0</v>
      </c>
      <c r="I4604" s="12">
        <v>0</v>
      </c>
      <c r="J4604" s="11"/>
      <c r="K4604" s="12">
        <v>0</v>
      </c>
      <c r="L4604" s="10" t="str">
        <f t="shared" si="454"/>
        <v>AE dialoghi di tempo fiducia e cura episodi 2-3-4</v>
      </c>
      <c r="M4604" s="10" t="str">
        <f t="shared" si="455"/>
        <v>nicoletta.vozza@crm.otsuka-europe.com</v>
      </c>
      <c r="N4604" s="13">
        <v>46181.337997685187</v>
      </c>
      <c r="O4604" s="14" t="str">
        <f>HYPERLINK("https://otsuka-europe-crm.veevavault.com/ui/#object/email_activity__v/V8C00000003Q221", "EN-002091327")</f>
        <v>EN-002091327</v>
      </c>
    </row>
    <row r="4605" spans="1:15" ht="32" x14ac:dyDescent="0.2">
      <c r="A4605" s="7" t="str">
        <f>HYPERLINK("https://otsuka-europe-crm.veevavault.com/ui/#object/account__v/V4TZ06G6O71SBZI", "MICHELE PROCACCI")</f>
        <v>MICHELE PROCACCI</v>
      </c>
      <c r="B4605" s="7" t="str">
        <f t="shared" si="452"/>
        <v>IT</v>
      </c>
      <c r="C4605" s="8" t="s">
        <v>44</v>
      </c>
      <c r="D4605" s="9" t="str">
        <f t="shared" si="453"/>
        <v>AE dialoghi di tempo fiducia e cura episodi 2-3-4</v>
      </c>
      <c r="E4605" s="10" t="str">
        <f>HYPERLINK("https://otsuka-europe-crm.veevavault.com/ui/#object/sent_email__v/VBL00000002P811", "SE-001433481")</f>
        <v>SE-001433481</v>
      </c>
      <c r="F4605" s="11"/>
      <c r="G4605" s="12">
        <v>0</v>
      </c>
      <c r="H4605" s="12">
        <v>0</v>
      </c>
      <c r="I4605" s="12">
        <v>0</v>
      </c>
      <c r="J4605" s="11"/>
      <c r="K4605" s="12">
        <v>0</v>
      </c>
      <c r="L4605" s="10" t="str">
        <f t="shared" si="454"/>
        <v>AE dialoghi di tempo fiducia e cura episodi 2-3-4</v>
      </c>
      <c r="M4605" s="10" t="str">
        <f t="shared" si="455"/>
        <v>nicoletta.vozza@crm.otsuka-europe.com</v>
      </c>
      <c r="N4605" s="13">
        <v>46181.338020833333</v>
      </c>
      <c r="O4605" s="14" t="str">
        <f>HYPERLINK("https://otsuka-europe-crm.veevavault.com/ui/#object/email_activity__v/V8C00000003O715", "EN-002090271")</f>
        <v>EN-002090271</v>
      </c>
    </row>
    <row r="4606" spans="1:15" ht="32" x14ac:dyDescent="0.2">
      <c r="A4606" s="7" t="str">
        <f>HYPERLINK("https://otsuka-europe-crm.veevavault.com/ui/#object/account__v/V4TZ06G6O71TLJ6", "MICHELE RAJA")</f>
        <v>MICHELE RAJA</v>
      </c>
      <c r="B4606" s="7" t="str">
        <f t="shared" si="452"/>
        <v>IT</v>
      </c>
      <c r="C4606" s="8" t="s">
        <v>44</v>
      </c>
      <c r="D4606" s="9" t="str">
        <f t="shared" si="453"/>
        <v>AE dialoghi di tempo fiducia e cura episodi 2-3-4</v>
      </c>
      <c r="E4606" s="10" t="str">
        <f>HYPERLINK("https://otsuka-europe-crm.veevavault.com/ui/#object/sent_email__v/VBL00000002P812", "SE-001433482")</f>
        <v>SE-001433482</v>
      </c>
      <c r="F4606" s="11"/>
      <c r="G4606" s="12">
        <v>0</v>
      </c>
      <c r="H4606" s="12">
        <v>0</v>
      </c>
      <c r="I4606" s="12">
        <v>0</v>
      </c>
      <c r="J4606" s="11"/>
      <c r="K4606" s="12">
        <v>0</v>
      </c>
      <c r="L4606" s="10" t="str">
        <f t="shared" si="454"/>
        <v>AE dialoghi di tempo fiducia e cura episodi 2-3-4</v>
      </c>
      <c r="M4606" s="10" t="str">
        <f t="shared" si="455"/>
        <v>nicoletta.vozza@crm.otsuka-europe.com</v>
      </c>
      <c r="N4606" s="13">
        <v>46181.337962962964</v>
      </c>
      <c r="O4606" s="14" t="str">
        <f>HYPERLINK("https://otsuka-europe-crm.veevavault.com/ui/#object/email_activity__v/V8C00000003Q242", "EN-002091348")</f>
        <v>EN-002091348</v>
      </c>
    </row>
    <row r="4607" spans="1:15" ht="32" x14ac:dyDescent="0.2">
      <c r="A4607" s="7" t="str">
        <f>HYPERLINK("https://otsuka-europe-crm.veevavault.com/ui/#object/account__v/V4TZ06G6O71SCEE", "MICHELE SCARZELLA")</f>
        <v>MICHELE SCARZELLA</v>
      </c>
      <c r="B4607" s="7" t="str">
        <f t="shared" si="452"/>
        <v>IT</v>
      </c>
      <c r="C4607" s="8" t="s">
        <v>44</v>
      </c>
      <c r="D4607" s="9" t="str">
        <f t="shared" si="453"/>
        <v>AE dialoghi di tempo fiducia e cura episodi 2-3-4</v>
      </c>
      <c r="E4607" s="10" t="str">
        <f>HYPERLINK("https://otsuka-europe-crm.veevavault.com/ui/#object/sent_email__v/VBL00000002P813", "SE-001433483")</f>
        <v>SE-001433483</v>
      </c>
      <c r="F4607" s="11"/>
      <c r="G4607" s="12">
        <v>0</v>
      </c>
      <c r="H4607" s="12">
        <v>0</v>
      </c>
      <c r="I4607" s="12">
        <v>0</v>
      </c>
      <c r="J4607" s="11"/>
      <c r="K4607" s="12">
        <v>0</v>
      </c>
      <c r="L4607" s="10" t="str">
        <f t="shared" si="454"/>
        <v>AE dialoghi di tempo fiducia e cura episodi 2-3-4</v>
      </c>
      <c r="M4607" s="10" t="str">
        <f t="shared" si="455"/>
        <v>nicoletta.vozza@crm.otsuka-europe.com</v>
      </c>
      <c r="N4607" s="13">
        <v>46181.338043981479</v>
      </c>
      <c r="O4607" s="14" t="str">
        <f>HYPERLINK("https://otsuka-europe-crm.veevavault.com/ui/#object/email_activity__v/V8C00000003O443", "EN-002089999")</f>
        <v>EN-002089999</v>
      </c>
    </row>
    <row r="4608" spans="1:15" ht="32" x14ac:dyDescent="0.2">
      <c r="A4608" s="7" t="str">
        <f>HYPERLINK("https://otsuka-europe-crm.veevavault.com/ui/#object/account__v/V4TZ04ASG6ZN5O0", "MICHOL CONSOLAZIONE")</f>
        <v>MICHOL CONSOLAZIONE</v>
      </c>
      <c r="B4608" s="7" t="str">
        <f t="shared" si="452"/>
        <v>IT</v>
      </c>
      <c r="C4608" s="8" t="s">
        <v>44</v>
      </c>
      <c r="D4608" s="9" t="str">
        <f t="shared" si="453"/>
        <v>AE dialoghi di tempo fiducia e cura episodi 2-3-4</v>
      </c>
      <c r="E4608" s="10" t="str">
        <f>HYPERLINK("https://otsuka-europe-crm.veevavault.com/ui/#object/sent_email__v/VBL00000002P814", "SE-001433484")</f>
        <v>SE-001433484</v>
      </c>
      <c r="F4608" s="11"/>
      <c r="G4608" s="12">
        <v>0</v>
      </c>
      <c r="H4608" s="12">
        <v>0</v>
      </c>
      <c r="I4608" s="12">
        <v>0</v>
      </c>
      <c r="J4608" s="11"/>
      <c r="K4608" s="12">
        <v>0</v>
      </c>
      <c r="L4608" s="10" t="str">
        <f t="shared" si="454"/>
        <v>AE dialoghi di tempo fiducia e cura episodi 2-3-4</v>
      </c>
      <c r="M4608" s="10" t="str">
        <f t="shared" si="455"/>
        <v>nicoletta.vozza@crm.otsuka-europe.com</v>
      </c>
      <c r="N4608" s="13">
        <v>46181.337997685187</v>
      </c>
      <c r="O4608" s="14" t="str">
        <f>HYPERLINK("https://otsuka-europe-crm.veevavault.com/ui/#object/email_activity__v/V8C00000003O622", "EN-002090178")</f>
        <v>EN-002090178</v>
      </c>
    </row>
    <row r="4609" spans="1:15" ht="16" x14ac:dyDescent="0.2">
      <c r="A4609" s="17" t="str">
        <f>HYPERLINK("https://otsuka-europe-crm.veevavault.com/ui/#object/account__v/V4TZ06G6O90KQH0", "MIRIAM BOLOGNA")</f>
        <v>MIRIAM BOLOGNA</v>
      </c>
      <c r="B4609" s="17" t="str">
        <f t="shared" si="452"/>
        <v>IT</v>
      </c>
      <c r="C4609" s="20" t="s">
        <v>44</v>
      </c>
      <c r="D4609" s="21" t="str">
        <f t="shared" si="453"/>
        <v>AE dialoghi di tempo fiducia e cura episodi 2-3-4</v>
      </c>
      <c r="E4609" s="22" t="str">
        <f>HYPERLINK("https://otsuka-europe-crm.veevavault.com/ui/#object/sent_email__v/VBL00000002P815", "SE-001433485")</f>
        <v>SE-001433485</v>
      </c>
      <c r="F4609" s="25"/>
      <c r="G4609" s="24">
        <v>0</v>
      </c>
      <c r="H4609" s="24">
        <v>0</v>
      </c>
      <c r="I4609" s="24">
        <v>0</v>
      </c>
      <c r="J4609" s="25"/>
      <c r="K4609" s="24">
        <v>0</v>
      </c>
      <c r="L4609" s="22" t="str">
        <f t="shared" si="454"/>
        <v>AE dialoghi di tempo fiducia e cura episodi 2-3-4</v>
      </c>
      <c r="M4609" s="22" t="str">
        <f t="shared" si="455"/>
        <v>nicoletta.vozza@crm.otsuka-europe.com</v>
      </c>
      <c r="N4609" s="23">
        <v>46181.338078703702</v>
      </c>
      <c r="O4609" s="14" t="str">
        <f>HYPERLINK("https://otsuka-europe-crm.veevavault.com/ui/#object/email_activity__v/V8C00000003P605", "EN-002090860")</f>
        <v>EN-002090860</v>
      </c>
    </row>
    <row r="4610" spans="1:15" ht="16" x14ac:dyDescent="0.2">
      <c r="A4610" s="19"/>
      <c r="B4610" s="19"/>
      <c r="C4610" s="19"/>
      <c r="D4610" s="19"/>
      <c r="E4610" s="19"/>
      <c r="F4610" s="19"/>
      <c r="G4610" s="19"/>
      <c r="H4610" s="19"/>
      <c r="I4610" s="19"/>
      <c r="J4610" s="19"/>
      <c r="K4610" s="19"/>
      <c r="L4610" s="19"/>
      <c r="M4610" s="19"/>
      <c r="N4610" s="19"/>
      <c r="O4610" s="14" t="str">
        <f>HYPERLINK("https://otsuka-europe-crm.veevavault.com/ui/#object/email_activity__v/V8C00000003R290", "EN-002092219")</f>
        <v>EN-002092219</v>
      </c>
    </row>
    <row r="4611" spans="1:15" ht="32" x14ac:dyDescent="0.2">
      <c r="A4611" s="7" t="str">
        <f>HYPERLINK("https://otsuka-europe-crm.veevavault.com/ui/#object/account__v/V4TZ025E83JB2V0", "MIRIAM OLIVOLA")</f>
        <v>MIRIAM OLIVOLA</v>
      </c>
      <c r="B4611" s="7" t="str">
        <f>HYPERLINK("https://otsuka-europe-crm.veevavault.com/ui/#object/vcountry__v/VENZ000004SONFQ", "IT")</f>
        <v>IT</v>
      </c>
      <c r="C4611" s="8" t="s">
        <v>44</v>
      </c>
      <c r="D4611" s="9" t="str">
        <f>HYPERLINK("https://otsuka-europe-crm.veevavault.com/ui/#object/approved_document__v/V5O000000018003", "AE dialoghi di tempo fiducia e cura episodi 2-3-4")</f>
        <v>AE dialoghi di tempo fiducia e cura episodi 2-3-4</v>
      </c>
      <c r="E4611" s="10" t="str">
        <f>HYPERLINK("https://otsuka-europe-crm.veevavault.com/ui/#object/sent_email__v/VBL00000002P816", "SE-001433486")</f>
        <v>SE-001433486</v>
      </c>
      <c r="F4611" s="11"/>
      <c r="G4611" s="12">
        <v>0</v>
      </c>
      <c r="H4611" s="12">
        <v>0</v>
      </c>
      <c r="I4611" s="12">
        <v>0</v>
      </c>
      <c r="J4611" s="11"/>
      <c r="K4611" s="12">
        <v>0</v>
      </c>
      <c r="L4611" s="10" t="str">
        <f>HYPERLINK("https://otsuka-europe-crm.veevavault.com/ui/#object/approved_document__v/V5O000000018003", "AE dialoghi di tempo fiducia e cura episodi 2-3-4")</f>
        <v>AE dialoghi di tempo fiducia e cura episodi 2-3-4</v>
      </c>
      <c r="M4611" s="10" t="str">
        <f>HYPERLINK("mailto:nicoletta.vozza@crm.otsuka-europe.com", "nicoletta.vozza@crm.otsuka-europe.com")</f>
        <v>nicoletta.vozza@crm.otsuka-europe.com</v>
      </c>
      <c r="N4611" s="13">
        <v>46181.337997685187</v>
      </c>
      <c r="O4611" s="14" t="str">
        <f>HYPERLINK("https://otsuka-europe-crm.veevavault.com/ui/#object/email_activity__v/V8C00000003P663", "EN-002090918")</f>
        <v>EN-002090918</v>
      </c>
    </row>
    <row r="4612" spans="1:15" ht="16" x14ac:dyDescent="0.2">
      <c r="A4612" s="17" t="str">
        <f>HYPERLINK("https://otsuka-europe-crm.veevavault.com/ui/#object/account__v/V4TZ06G6O71S9PV", "MIROSLAV VITO ROMANO")</f>
        <v>MIROSLAV VITO ROMANO</v>
      </c>
      <c r="B4612" s="17" t="str">
        <f>HYPERLINK("https://otsuka-europe-crm.veevavault.com/ui/#object/vcountry__v/VENZ000004SONFQ", "IT")</f>
        <v>IT</v>
      </c>
      <c r="C4612" s="20" t="s">
        <v>44</v>
      </c>
      <c r="D4612" s="21" t="str">
        <f>HYPERLINK("https://otsuka-europe-crm.veevavault.com/ui/#object/approved_document__v/V5O000000018003", "AE dialoghi di tempo fiducia e cura episodi 2-3-4")</f>
        <v>AE dialoghi di tempo fiducia e cura episodi 2-3-4</v>
      </c>
      <c r="E4612" s="22" t="str">
        <f>HYPERLINK("https://otsuka-europe-crm.veevavault.com/ui/#object/sent_email__v/VBL00000002P817", "SE-001433487")</f>
        <v>SE-001433487</v>
      </c>
      <c r="F4612" s="23">
        <v>46183.956122685187</v>
      </c>
      <c r="G4612" s="24">
        <v>1</v>
      </c>
      <c r="H4612" s="24">
        <v>2</v>
      </c>
      <c r="I4612" s="24">
        <v>0</v>
      </c>
      <c r="J4612" s="25"/>
      <c r="K4612" s="24">
        <v>0</v>
      </c>
      <c r="L4612" s="22" t="str">
        <f>HYPERLINK("https://otsuka-europe-crm.veevavault.com/ui/#object/approved_document__v/V5O000000018003", "AE dialoghi di tempo fiducia e cura episodi 2-3-4")</f>
        <v>AE dialoghi di tempo fiducia e cura episodi 2-3-4</v>
      </c>
      <c r="M4612" s="22" t="str">
        <f>HYPERLINK("mailto:nicoletta.vozza@crm.otsuka-europe.com", "nicoletta.vozza@crm.otsuka-europe.com")</f>
        <v>nicoletta.vozza@crm.otsuka-europe.com</v>
      </c>
      <c r="N4612" s="23">
        <v>46181.338078703702</v>
      </c>
      <c r="O4612" s="14" t="str">
        <f>HYPERLINK("https://otsuka-europe-crm.veevavault.com/ui/#object/email_activity__v/V8C00000003Q121", "EN-002091204")</f>
        <v>EN-002091204</v>
      </c>
    </row>
    <row r="4613" spans="1:15" ht="16" x14ac:dyDescent="0.2">
      <c r="A4613" s="18"/>
      <c r="B4613" s="18"/>
      <c r="C4613" s="18"/>
      <c r="D4613" s="18"/>
      <c r="E4613" s="18"/>
      <c r="F4613" s="18"/>
      <c r="G4613" s="18"/>
      <c r="H4613" s="18"/>
      <c r="I4613" s="18"/>
      <c r="J4613" s="18"/>
      <c r="K4613" s="18"/>
      <c r="L4613" s="18"/>
      <c r="M4613" s="18"/>
      <c r="N4613" s="18"/>
      <c r="O4613" s="14" t="str">
        <f>HYPERLINK("https://otsuka-europe-crm.veevavault.com/ui/#object/email_activity__v/V8C00000003Q137", "EN-002091220")</f>
        <v>EN-002091220</v>
      </c>
    </row>
    <row r="4614" spans="1:15" ht="16" x14ac:dyDescent="0.2">
      <c r="A4614" s="19"/>
      <c r="B4614" s="19"/>
      <c r="C4614" s="19"/>
      <c r="D4614" s="19"/>
      <c r="E4614" s="19"/>
      <c r="F4614" s="19"/>
      <c r="G4614" s="19"/>
      <c r="H4614" s="19"/>
      <c r="I4614" s="19"/>
      <c r="J4614" s="19"/>
      <c r="K4614" s="19"/>
      <c r="L4614" s="19"/>
      <c r="M4614" s="19"/>
      <c r="N4614" s="19"/>
      <c r="O4614" s="14" t="str">
        <f>HYPERLINK("https://otsuka-europe-crm.veevavault.com/ui/#object/email_activity__v/V8C00000003S807", "EN-002094458")</f>
        <v>EN-002094458</v>
      </c>
    </row>
    <row r="4615" spans="1:15" ht="32" x14ac:dyDescent="0.2">
      <c r="A4615" s="7" t="str">
        <f>HYPERLINK("https://otsuka-europe-crm.veevavault.com/ui/#object/account__v/V4TZ06G6O71SA1S", "MONICA BENVENUTI")</f>
        <v>MONICA BENVENUTI</v>
      </c>
      <c r="B4615" s="7" t="str">
        <f>HYPERLINK("https://otsuka-europe-crm.veevavault.com/ui/#object/vcountry__v/VENZ000004SONFQ", "IT")</f>
        <v>IT</v>
      </c>
      <c r="C4615" s="8" t="s">
        <v>44</v>
      </c>
      <c r="D4615" s="9" t="str">
        <f>HYPERLINK("https://otsuka-europe-crm.veevavault.com/ui/#object/approved_document__v/V5O000000018003", "AE dialoghi di tempo fiducia e cura episodi 2-3-4")</f>
        <v>AE dialoghi di tempo fiducia e cura episodi 2-3-4</v>
      </c>
      <c r="E4615" s="10" t="str">
        <f>HYPERLINK("https://otsuka-europe-crm.veevavault.com/ui/#object/sent_email__v/VBL00000002P818", "SE-001433488")</f>
        <v>SE-001433488</v>
      </c>
      <c r="F4615" s="11"/>
      <c r="G4615" s="12">
        <v>0</v>
      </c>
      <c r="H4615" s="12">
        <v>0</v>
      </c>
      <c r="I4615" s="12">
        <v>0</v>
      </c>
      <c r="J4615" s="11"/>
      <c r="K4615" s="12">
        <v>0</v>
      </c>
      <c r="L4615" s="10" t="str">
        <f>HYPERLINK("https://otsuka-europe-crm.veevavault.com/ui/#object/approved_document__v/V5O000000018003", "AE dialoghi di tempo fiducia e cura episodi 2-3-4")</f>
        <v>AE dialoghi di tempo fiducia e cura episodi 2-3-4</v>
      </c>
      <c r="M4615" s="10" t="str">
        <f>HYPERLINK("mailto:nicoletta.vozza@crm.otsuka-europe.com", "nicoletta.vozza@crm.otsuka-europe.com")</f>
        <v>nicoletta.vozza@crm.otsuka-europe.com</v>
      </c>
      <c r="N4615" s="13">
        <v>46181.337962962964</v>
      </c>
      <c r="O4615" s="14" t="str">
        <f>HYPERLINK("https://otsuka-europe-crm.veevavault.com/ui/#object/email_activity__v/V8C00000003Q257", "EN-002091367")</f>
        <v>EN-002091367</v>
      </c>
    </row>
    <row r="4616" spans="1:15" ht="32" x14ac:dyDescent="0.2">
      <c r="A4616" s="7" t="str">
        <f>HYPERLINK("https://otsuka-europe-crm.veevavault.com/ui/#object/account__v/V4TZ06G6O71SA98", "MONICA BONFIGLIO")</f>
        <v>MONICA BONFIGLIO</v>
      </c>
      <c r="B4616" s="7" t="str">
        <f>HYPERLINK("https://otsuka-europe-crm.veevavault.com/ui/#object/vcountry__v/VENZ000004SONFQ", "IT")</f>
        <v>IT</v>
      </c>
      <c r="C4616" s="8" t="s">
        <v>44</v>
      </c>
      <c r="D4616" s="9" t="str">
        <f>HYPERLINK("https://otsuka-europe-crm.veevavault.com/ui/#object/approved_document__v/V5O000000018003", "AE dialoghi di tempo fiducia e cura episodi 2-3-4")</f>
        <v>AE dialoghi di tempo fiducia e cura episodi 2-3-4</v>
      </c>
      <c r="E4616" s="10" t="str">
        <f>HYPERLINK("https://otsuka-europe-crm.veevavault.com/ui/#object/sent_email__v/VBL00000002P819", "SE-001433489")</f>
        <v>SE-001433489</v>
      </c>
      <c r="F4616" s="11"/>
      <c r="G4616" s="12">
        <v>0</v>
      </c>
      <c r="H4616" s="12">
        <v>0</v>
      </c>
      <c r="I4616" s="12">
        <v>0</v>
      </c>
      <c r="J4616" s="11"/>
      <c r="K4616" s="12">
        <v>0</v>
      </c>
      <c r="L4616" s="10" t="str">
        <f>HYPERLINK("https://otsuka-europe-crm.veevavault.com/ui/#object/approved_document__v/V5O000000018003", "AE dialoghi di tempo fiducia e cura episodi 2-3-4")</f>
        <v>AE dialoghi di tempo fiducia e cura episodi 2-3-4</v>
      </c>
      <c r="M4616" s="10" t="str">
        <f>HYPERLINK("mailto:nicoletta.vozza@crm.otsuka-europe.com", "nicoletta.vozza@crm.otsuka-europe.com")</f>
        <v>nicoletta.vozza@crm.otsuka-europe.com</v>
      </c>
      <c r="N4616" s="13">
        <v>46181.33803240741</v>
      </c>
      <c r="O4616" s="14" t="str">
        <f>HYPERLINK("https://otsuka-europe-crm.veevavault.com/ui/#object/email_activity__v/V8C00000003P702", "EN-002090957")</f>
        <v>EN-002090957</v>
      </c>
    </row>
    <row r="4617" spans="1:15" ht="32" x14ac:dyDescent="0.2">
      <c r="A4617" s="7" t="str">
        <f>HYPERLINK("https://otsuka-europe-crm.veevavault.com/ui/#object/account__v/V4TZ06G6O9K1NSW", "MONICA CAIRA")</f>
        <v>MONICA CAIRA</v>
      </c>
      <c r="B4617" s="7" t="str">
        <f>HYPERLINK("https://otsuka-europe-crm.veevavault.com/ui/#object/vcountry__v/VENZ000004SONFQ", "IT")</f>
        <v>IT</v>
      </c>
      <c r="C4617" s="8" t="s">
        <v>44</v>
      </c>
      <c r="D4617" s="9" t="str">
        <f>HYPERLINK("https://otsuka-europe-crm.veevavault.com/ui/#object/approved_document__v/V5O000000018003", "AE dialoghi di tempo fiducia e cura episodi 2-3-4")</f>
        <v>AE dialoghi di tempo fiducia e cura episodi 2-3-4</v>
      </c>
      <c r="E4617" s="10" t="str">
        <f>HYPERLINK("https://otsuka-europe-crm.veevavault.com/ui/#object/sent_email__v/VBL00000002P820", "SE-001433490")</f>
        <v>SE-001433490</v>
      </c>
      <c r="F4617" s="11"/>
      <c r="G4617" s="12">
        <v>0</v>
      </c>
      <c r="H4617" s="12">
        <v>0</v>
      </c>
      <c r="I4617" s="12">
        <v>0</v>
      </c>
      <c r="J4617" s="11"/>
      <c r="K4617" s="12">
        <v>0</v>
      </c>
      <c r="L4617" s="10" t="str">
        <f>HYPERLINK("https://otsuka-europe-crm.veevavault.com/ui/#object/approved_document__v/V5O000000018003", "AE dialoghi di tempo fiducia e cura episodi 2-3-4")</f>
        <v>AE dialoghi di tempo fiducia e cura episodi 2-3-4</v>
      </c>
      <c r="M4617" s="10" t="str">
        <f>HYPERLINK("mailto:nicoletta.vozza@crm.otsuka-europe.com", "nicoletta.vozza@crm.otsuka-europe.com")</f>
        <v>nicoletta.vozza@crm.otsuka-europe.com</v>
      </c>
      <c r="N4617" s="13">
        <v>46181.338020833333</v>
      </c>
      <c r="O4617" s="14" t="str">
        <f>HYPERLINK("https://otsuka-europe-crm.veevavault.com/ui/#object/email_activity__v/V8C00000003P335", "EN-002090341")</f>
        <v>EN-002090341</v>
      </c>
    </row>
    <row r="4618" spans="1:15" ht="32" x14ac:dyDescent="0.2">
      <c r="A4618" s="7" t="str">
        <f>HYPERLINK("https://otsuka-europe-crm.veevavault.com/ui/#object/account__v/V4TZ04ASGB9N2GG", "MONICA DEL SOLE")</f>
        <v>MONICA DEL SOLE</v>
      </c>
      <c r="B4618" s="7" t="str">
        <f>HYPERLINK("https://otsuka-europe-crm.veevavault.com/ui/#object/vcountry__v/VENZ000004SONFQ", "IT")</f>
        <v>IT</v>
      </c>
      <c r="C4618" s="8" t="s">
        <v>44</v>
      </c>
      <c r="D4618" s="9" t="str">
        <f>HYPERLINK("https://otsuka-europe-crm.veevavault.com/ui/#object/approved_document__v/V5O000000018003", "AE dialoghi di tempo fiducia e cura episodi 2-3-4")</f>
        <v>AE dialoghi di tempo fiducia e cura episodi 2-3-4</v>
      </c>
      <c r="E4618" s="10" t="str">
        <f>HYPERLINK("https://otsuka-europe-crm.veevavault.com/ui/#object/sent_email__v/VBL00000002P821", "SE-001433491")</f>
        <v>SE-001433491</v>
      </c>
      <c r="F4618" s="11"/>
      <c r="G4618" s="12">
        <v>0</v>
      </c>
      <c r="H4618" s="12">
        <v>0</v>
      </c>
      <c r="I4618" s="12">
        <v>0</v>
      </c>
      <c r="J4618" s="11"/>
      <c r="K4618" s="12">
        <v>0</v>
      </c>
      <c r="L4618" s="10" t="str">
        <f>HYPERLINK("https://otsuka-europe-crm.veevavault.com/ui/#object/approved_document__v/V5O000000018003", "AE dialoghi di tempo fiducia e cura episodi 2-3-4")</f>
        <v>AE dialoghi di tempo fiducia e cura episodi 2-3-4</v>
      </c>
      <c r="M4618" s="10" t="str">
        <f>HYPERLINK("mailto:nicoletta.vozza@crm.otsuka-europe.com", "nicoletta.vozza@crm.otsuka-europe.com")</f>
        <v>nicoletta.vozza@crm.otsuka-europe.com</v>
      </c>
      <c r="N4618" s="13">
        <v>46181.33798611111</v>
      </c>
      <c r="O4618" s="14" t="str">
        <f>HYPERLINK("https://otsuka-europe-crm.veevavault.com/ui/#object/email_activity__v/V8C00000003P857", "EN-002091273")</f>
        <v>EN-002091273</v>
      </c>
    </row>
    <row r="4619" spans="1:15" ht="16" x14ac:dyDescent="0.2">
      <c r="A4619" s="17" t="str">
        <f>HYPERLINK("https://otsuka-europe-crm.veevavault.com/ui/#object/account__v/V4TZ06G6O71SAAY", "MONICA DELLAI")</f>
        <v>MONICA DELLAI</v>
      </c>
      <c r="B4619" s="17" t="str">
        <f>HYPERLINK("https://otsuka-europe-crm.veevavault.com/ui/#object/vcountry__v/VENZ000004SONFQ", "IT")</f>
        <v>IT</v>
      </c>
      <c r="C4619" s="20" t="s">
        <v>44</v>
      </c>
      <c r="D4619" s="21" t="str">
        <f>HYPERLINK("https://otsuka-europe-crm.veevavault.com/ui/#object/approved_document__v/V5O000000018003", "AE dialoghi di tempo fiducia e cura episodi 2-3-4")</f>
        <v>AE dialoghi di tempo fiducia e cura episodi 2-3-4</v>
      </c>
      <c r="E4619" s="22" t="str">
        <f>HYPERLINK("https://otsuka-europe-crm.veevavault.com/ui/#object/sent_email__v/VBL00000002P822", "SE-001433492")</f>
        <v>SE-001433492</v>
      </c>
      <c r="F4619" s="23">
        <v>46181.430960648147</v>
      </c>
      <c r="G4619" s="24">
        <v>1</v>
      </c>
      <c r="H4619" s="24">
        <v>1</v>
      </c>
      <c r="I4619" s="24">
        <v>0</v>
      </c>
      <c r="J4619" s="25"/>
      <c r="K4619" s="24">
        <v>0</v>
      </c>
      <c r="L4619" s="22" t="str">
        <f>HYPERLINK("https://otsuka-europe-crm.veevavault.com/ui/#object/approved_document__v/V5O000000018003", "AE dialoghi di tempo fiducia e cura episodi 2-3-4")</f>
        <v>AE dialoghi di tempo fiducia e cura episodi 2-3-4</v>
      </c>
      <c r="M4619" s="22" t="str">
        <f>HYPERLINK("mailto:nicoletta.vozza@crm.otsuka-europe.com", "nicoletta.vozza@crm.otsuka-europe.com")</f>
        <v>nicoletta.vozza@crm.otsuka-europe.com</v>
      </c>
      <c r="N4619" s="23">
        <v>46181.338020833333</v>
      </c>
      <c r="O4619" s="14" t="str">
        <f>HYPERLINK("https://otsuka-europe-crm.veevavault.com/ui/#object/email_activity__v/V8C00000003P331", "EN-002090337")</f>
        <v>EN-002090337</v>
      </c>
    </row>
    <row r="4620" spans="1:15" ht="16" x14ac:dyDescent="0.2">
      <c r="A4620" s="19"/>
      <c r="B4620" s="19"/>
      <c r="C4620" s="19"/>
      <c r="D4620" s="19"/>
      <c r="E4620" s="19"/>
      <c r="F4620" s="19"/>
      <c r="G4620" s="19"/>
      <c r="H4620" s="19"/>
      <c r="I4620" s="19"/>
      <c r="J4620" s="19"/>
      <c r="K4620" s="19"/>
      <c r="L4620" s="19"/>
      <c r="M4620" s="19"/>
      <c r="N4620" s="19"/>
      <c r="O4620" s="14" t="str">
        <f>HYPERLINK("https://otsuka-europe-crm.veevavault.com/ui/#object/email_activity__v/V8C00000003Q497", "EN-002091812")</f>
        <v>EN-002091812</v>
      </c>
    </row>
    <row r="4621" spans="1:15" ht="32" x14ac:dyDescent="0.2">
      <c r="A4621" s="7" t="str">
        <f>HYPERLINK("https://otsuka-europe-crm.veevavault.com/ui/#object/account__v/V4TZ025E83LSOEG", "MONICA MACELLARO")</f>
        <v>MONICA MACELLARO</v>
      </c>
      <c r="B4621" s="7" t="str">
        <f t="shared" ref="B4621:B4627" si="456">HYPERLINK("https://otsuka-europe-crm.veevavault.com/ui/#object/vcountry__v/VENZ000004SONFQ", "IT")</f>
        <v>IT</v>
      </c>
      <c r="C4621" s="8" t="s">
        <v>44</v>
      </c>
      <c r="D4621" s="9" t="str">
        <f t="shared" ref="D4621:D4627" si="457">HYPERLINK("https://otsuka-europe-crm.veevavault.com/ui/#object/approved_document__v/V5O000000018003", "AE dialoghi di tempo fiducia e cura episodi 2-3-4")</f>
        <v>AE dialoghi di tempo fiducia e cura episodi 2-3-4</v>
      </c>
      <c r="E4621" s="10" t="str">
        <f>HYPERLINK("https://otsuka-europe-crm.veevavault.com/ui/#object/sent_email__v/VBL00000002P823", "SE-001433493")</f>
        <v>SE-001433493</v>
      </c>
      <c r="F4621" s="11"/>
      <c r="G4621" s="12">
        <v>0</v>
      </c>
      <c r="H4621" s="12">
        <v>0</v>
      </c>
      <c r="I4621" s="12">
        <v>0</v>
      </c>
      <c r="J4621" s="11"/>
      <c r="K4621" s="12">
        <v>0</v>
      </c>
      <c r="L4621" s="10" t="str">
        <f t="shared" ref="L4621:L4627" si="458">HYPERLINK("https://otsuka-europe-crm.veevavault.com/ui/#object/approved_document__v/V5O000000018003", "AE dialoghi di tempo fiducia e cura episodi 2-3-4")</f>
        <v>AE dialoghi di tempo fiducia e cura episodi 2-3-4</v>
      </c>
      <c r="M4621" s="10" t="str">
        <f t="shared" ref="M4621:M4627" si="459">HYPERLINK("mailto:nicoletta.vozza@crm.otsuka-europe.com", "nicoletta.vozza@crm.otsuka-europe.com")</f>
        <v>nicoletta.vozza@crm.otsuka-europe.com</v>
      </c>
      <c r="N4621" s="13">
        <v>46181.338020833333</v>
      </c>
      <c r="O4621" s="14" t="str">
        <f>HYPERLINK("https://otsuka-europe-crm.veevavault.com/ui/#object/email_activity__v/V8C00000003O203", "EN-002089640")</f>
        <v>EN-002089640</v>
      </c>
    </row>
    <row r="4622" spans="1:15" ht="32" x14ac:dyDescent="0.2">
      <c r="A4622" s="7" t="str">
        <f>HYPERLINK("https://otsuka-europe-crm.veevavault.com/ui/#object/account__v/V4TZ06G6O71SBQJ", "MONICA PEDERZINI")</f>
        <v>MONICA PEDERZINI</v>
      </c>
      <c r="B4622" s="7" t="str">
        <f t="shared" si="456"/>
        <v>IT</v>
      </c>
      <c r="C4622" s="8" t="s">
        <v>44</v>
      </c>
      <c r="D4622" s="9" t="str">
        <f t="shared" si="457"/>
        <v>AE dialoghi di tempo fiducia e cura episodi 2-3-4</v>
      </c>
      <c r="E4622" s="10" t="str">
        <f>HYPERLINK("https://otsuka-europe-crm.veevavault.com/ui/#object/sent_email__v/VBL00000002P824", "SE-001433494")</f>
        <v>SE-001433494</v>
      </c>
      <c r="F4622" s="11"/>
      <c r="G4622" s="12">
        <v>0</v>
      </c>
      <c r="H4622" s="12">
        <v>0</v>
      </c>
      <c r="I4622" s="12">
        <v>0</v>
      </c>
      <c r="J4622" s="11"/>
      <c r="K4622" s="12">
        <v>0</v>
      </c>
      <c r="L4622" s="10" t="str">
        <f t="shared" si="458"/>
        <v>AE dialoghi di tempo fiducia e cura episodi 2-3-4</v>
      </c>
      <c r="M4622" s="10" t="str">
        <f t="shared" si="459"/>
        <v>nicoletta.vozza@crm.otsuka-europe.com</v>
      </c>
      <c r="N4622" s="13">
        <v>46181.338113425925</v>
      </c>
      <c r="O4622" s="14" t="str">
        <f>HYPERLINK("https://otsuka-europe-crm.veevavault.com/ui/#object/email_activity__v/V8C00000003Q074", "EN-002091139")</f>
        <v>EN-002091139</v>
      </c>
    </row>
    <row r="4623" spans="1:15" ht="32" x14ac:dyDescent="0.2">
      <c r="A4623" s="7" t="str">
        <f>HYPERLINK("https://otsuka-europe-crm.veevavault.com/ui/#object/account__v/V4TZ06G6O71SBSA", "MONICA PETRACHI")</f>
        <v>MONICA PETRACHI</v>
      </c>
      <c r="B4623" s="7" t="str">
        <f t="shared" si="456"/>
        <v>IT</v>
      </c>
      <c r="C4623" s="8" t="s">
        <v>44</v>
      </c>
      <c r="D4623" s="9" t="str">
        <f t="shared" si="457"/>
        <v>AE dialoghi di tempo fiducia e cura episodi 2-3-4</v>
      </c>
      <c r="E4623" s="10" t="str">
        <f>HYPERLINK("https://otsuka-europe-crm.veevavault.com/ui/#object/sent_email__v/VBL00000002P825", "SE-001433495")</f>
        <v>SE-001433495</v>
      </c>
      <c r="F4623" s="11"/>
      <c r="G4623" s="12">
        <v>0</v>
      </c>
      <c r="H4623" s="12">
        <v>0</v>
      </c>
      <c r="I4623" s="12">
        <v>0</v>
      </c>
      <c r="J4623" s="11"/>
      <c r="K4623" s="12">
        <v>0</v>
      </c>
      <c r="L4623" s="10" t="str">
        <f t="shared" si="458"/>
        <v>AE dialoghi di tempo fiducia e cura episodi 2-3-4</v>
      </c>
      <c r="M4623" s="10" t="str">
        <f t="shared" si="459"/>
        <v>nicoletta.vozza@crm.otsuka-europe.com</v>
      </c>
      <c r="N4623" s="13">
        <v>46181.338090277779</v>
      </c>
      <c r="O4623" s="14" t="str">
        <f>HYPERLINK("https://otsuka-europe-crm.veevavault.com/ui/#object/email_activity__v/V8C00000003P841", "EN-002091200")</f>
        <v>EN-002091200</v>
      </c>
    </row>
    <row r="4624" spans="1:15" ht="32" x14ac:dyDescent="0.2">
      <c r="A4624" s="7" t="str">
        <f>HYPERLINK("https://otsuka-europe-crm.veevavault.com/ui/#object/account__v/V4TZ06G6O71SC2K", "MONICA RASTELLI")</f>
        <v>MONICA RASTELLI</v>
      </c>
      <c r="B4624" s="7" t="str">
        <f t="shared" si="456"/>
        <v>IT</v>
      </c>
      <c r="C4624" s="8" t="s">
        <v>44</v>
      </c>
      <c r="D4624" s="9" t="str">
        <f t="shared" si="457"/>
        <v>AE dialoghi di tempo fiducia e cura episodi 2-3-4</v>
      </c>
      <c r="E4624" s="10" t="str">
        <f>HYPERLINK("https://otsuka-europe-crm.veevavault.com/ui/#object/sent_email__v/VBL00000002P826", "SE-001433496")</f>
        <v>SE-001433496</v>
      </c>
      <c r="F4624" s="11"/>
      <c r="G4624" s="12">
        <v>0</v>
      </c>
      <c r="H4624" s="12">
        <v>0</v>
      </c>
      <c r="I4624" s="12">
        <v>0</v>
      </c>
      <c r="J4624" s="11"/>
      <c r="K4624" s="12">
        <v>0</v>
      </c>
      <c r="L4624" s="10" t="str">
        <f t="shared" si="458"/>
        <v>AE dialoghi di tempo fiducia e cura episodi 2-3-4</v>
      </c>
      <c r="M4624" s="10" t="str">
        <f t="shared" si="459"/>
        <v>nicoletta.vozza@crm.otsuka-europe.com</v>
      </c>
      <c r="N4624" s="13">
        <v>46181.337997685187</v>
      </c>
      <c r="O4624" s="14" t="str">
        <f>HYPERLINK("https://otsuka-europe-crm.veevavault.com/ui/#object/email_activity__v/V8C00000003O325", "EN-002089802")</f>
        <v>EN-002089802</v>
      </c>
    </row>
    <row r="4625" spans="1:15" ht="32" x14ac:dyDescent="0.2">
      <c r="A4625" s="7" t="str">
        <f>HYPERLINK("https://otsuka-europe-crm.veevavault.com/ui/#object/account__v/V4TZ06G6O71SCNL", "MONICA VERUCCI")</f>
        <v>MONICA VERUCCI</v>
      </c>
      <c r="B4625" s="7" t="str">
        <f t="shared" si="456"/>
        <v>IT</v>
      </c>
      <c r="C4625" s="8" t="s">
        <v>44</v>
      </c>
      <c r="D4625" s="9" t="str">
        <f t="shared" si="457"/>
        <v>AE dialoghi di tempo fiducia e cura episodi 2-3-4</v>
      </c>
      <c r="E4625" s="10" t="str">
        <f>HYPERLINK("https://otsuka-europe-crm.veevavault.com/ui/#object/sent_email__v/VBL00000002P827", "SE-001433497")</f>
        <v>SE-001433497</v>
      </c>
      <c r="F4625" s="11"/>
      <c r="G4625" s="12">
        <v>0</v>
      </c>
      <c r="H4625" s="12">
        <v>0</v>
      </c>
      <c r="I4625" s="12">
        <v>0</v>
      </c>
      <c r="J4625" s="11"/>
      <c r="K4625" s="12">
        <v>0</v>
      </c>
      <c r="L4625" s="10" t="str">
        <f t="shared" si="458"/>
        <v>AE dialoghi di tempo fiducia e cura episodi 2-3-4</v>
      </c>
      <c r="M4625" s="10" t="str">
        <f t="shared" si="459"/>
        <v>nicoletta.vozza@crm.otsuka-europe.com</v>
      </c>
      <c r="N4625" s="13">
        <v>46181.338101851848</v>
      </c>
      <c r="O4625" s="14" t="str">
        <f>HYPERLINK("https://otsuka-europe-crm.veevavault.com/ui/#object/email_activity__v/V8C00000003Q163", "EN-002091249")</f>
        <v>EN-002091249</v>
      </c>
    </row>
    <row r="4626" spans="1:15" ht="32" x14ac:dyDescent="0.2">
      <c r="A4626" s="7" t="str">
        <f>HYPERLINK("https://otsuka-europe-crm.veevavault.com/ui/#object/account__v/V4TZ06G6O8KYCHH", "MONIKA GRYGIEL")</f>
        <v>MONIKA GRYGIEL</v>
      </c>
      <c r="B4626" s="7" t="str">
        <f t="shared" si="456"/>
        <v>IT</v>
      </c>
      <c r="C4626" s="8" t="s">
        <v>44</v>
      </c>
      <c r="D4626" s="9" t="str">
        <f t="shared" si="457"/>
        <v>AE dialoghi di tempo fiducia e cura episodi 2-3-4</v>
      </c>
      <c r="E4626" s="10" t="str">
        <f>HYPERLINK("https://otsuka-europe-crm.veevavault.com/ui/#object/sent_email__v/VBL00000002P828", "SE-001433498")</f>
        <v>SE-001433498</v>
      </c>
      <c r="F4626" s="11"/>
      <c r="G4626" s="12">
        <v>0</v>
      </c>
      <c r="H4626" s="12">
        <v>0</v>
      </c>
      <c r="I4626" s="12">
        <v>0</v>
      </c>
      <c r="J4626" s="11"/>
      <c r="K4626" s="12">
        <v>0</v>
      </c>
      <c r="L4626" s="10" t="str">
        <f t="shared" si="458"/>
        <v>AE dialoghi di tempo fiducia e cura episodi 2-3-4</v>
      </c>
      <c r="M4626" s="10" t="str">
        <f t="shared" si="459"/>
        <v>nicoletta.vozza@crm.otsuka-europe.com</v>
      </c>
      <c r="N4626" s="13">
        <v>46181.338078703702</v>
      </c>
      <c r="O4626" s="14" t="str">
        <f>HYPERLINK("https://otsuka-europe-crm.veevavault.com/ui/#object/email_activity__v/V8C00000003Q114", "EN-002091179")</f>
        <v>EN-002091179</v>
      </c>
    </row>
    <row r="4627" spans="1:15" ht="16" x14ac:dyDescent="0.2">
      <c r="A4627" s="17" t="str">
        <f>HYPERLINK("https://otsuka-europe-crm.veevavault.com/ui/#object/account__v/V4TZ06G6O71SBB9", "MORENO MAIOLATESI")</f>
        <v>MORENO MAIOLATESI</v>
      </c>
      <c r="B4627" s="17" t="str">
        <f t="shared" si="456"/>
        <v>IT</v>
      </c>
      <c r="C4627" s="20" t="s">
        <v>44</v>
      </c>
      <c r="D4627" s="21" t="str">
        <f t="shared" si="457"/>
        <v>AE dialoghi di tempo fiducia e cura episodi 2-3-4</v>
      </c>
      <c r="E4627" s="22" t="str">
        <f>HYPERLINK("https://otsuka-europe-crm.veevavault.com/ui/#object/sent_email__v/VBL00000002P829", "SE-001433499")</f>
        <v>SE-001433499</v>
      </c>
      <c r="F4627" s="25"/>
      <c r="G4627" s="24">
        <v>0</v>
      </c>
      <c r="H4627" s="24">
        <v>0</v>
      </c>
      <c r="I4627" s="24">
        <v>0</v>
      </c>
      <c r="J4627" s="25"/>
      <c r="K4627" s="24">
        <v>0</v>
      </c>
      <c r="L4627" s="22" t="str">
        <f t="shared" si="458"/>
        <v>AE dialoghi di tempo fiducia e cura episodi 2-3-4</v>
      </c>
      <c r="M4627" s="22" t="str">
        <f t="shared" si="459"/>
        <v>nicoletta.vozza@crm.otsuka-europe.com</v>
      </c>
      <c r="N4627" s="23">
        <v>46181.338055555556</v>
      </c>
      <c r="O4627" s="14" t="str">
        <f>HYPERLINK("https://otsuka-europe-crm.veevavault.com/ui/#object/email_activity__v/V8C00000003Q057", "EN-002091023")</f>
        <v>EN-002091023</v>
      </c>
    </row>
    <row r="4628" spans="1:15" ht="16" x14ac:dyDescent="0.2">
      <c r="A4628" s="18"/>
      <c r="B4628" s="18"/>
      <c r="C4628" s="18"/>
      <c r="D4628" s="18"/>
      <c r="E4628" s="18"/>
      <c r="F4628" s="18"/>
      <c r="G4628" s="18"/>
      <c r="H4628" s="18"/>
      <c r="I4628" s="18"/>
      <c r="J4628" s="18"/>
      <c r="K4628" s="18"/>
      <c r="L4628" s="18"/>
      <c r="M4628" s="18"/>
      <c r="N4628" s="18"/>
      <c r="O4628" s="14" t="str">
        <f>HYPERLINK("https://otsuka-europe-crm.veevavault.com/ui/#object/email_activity__v/V8C00000003Q334", "EN-002091497")</f>
        <v>EN-002091497</v>
      </c>
    </row>
    <row r="4629" spans="1:15" ht="16" x14ac:dyDescent="0.2">
      <c r="A4629" s="19"/>
      <c r="B4629" s="19"/>
      <c r="C4629" s="19"/>
      <c r="D4629" s="19"/>
      <c r="E4629" s="19"/>
      <c r="F4629" s="19"/>
      <c r="G4629" s="19"/>
      <c r="H4629" s="19"/>
      <c r="I4629" s="19"/>
      <c r="J4629" s="19"/>
      <c r="K4629" s="19"/>
      <c r="L4629" s="19"/>
      <c r="M4629" s="19"/>
      <c r="N4629" s="19"/>
      <c r="O4629" s="14" t="str">
        <f>HYPERLINK("https://otsuka-europe-crm.veevavault.com/ui/#object/email_activity__v/V8C00000003T154", "EN-002093876")</f>
        <v>EN-002093876</v>
      </c>
    </row>
    <row r="4630" spans="1:15" ht="32" x14ac:dyDescent="0.2">
      <c r="A4630" s="7" t="str">
        <f>HYPERLINK("https://otsuka-europe-crm.veevavault.com/ui/#object/account__v/V4TZ06G6O71SC8N", "NADIA CEVENINI")</f>
        <v>NADIA CEVENINI</v>
      </c>
      <c r="B4630" s="7" t="str">
        <f>HYPERLINK("https://otsuka-europe-crm.veevavault.com/ui/#object/vcountry__v/VENZ000004SONFQ", "IT")</f>
        <v>IT</v>
      </c>
      <c r="C4630" s="8" t="s">
        <v>44</v>
      </c>
      <c r="D4630" s="9" t="str">
        <f>HYPERLINK("https://otsuka-europe-crm.veevavault.com/ui/#object/approved_document__v/V5O000000018003", "AE dialoghi di tempo fiducia e cura episodi 2-3-4")</f>
        <v>AE dialoghi di tempo fiducia e cura episodi 2-3-4</v>
      </c>
      <c r="E4630" s="10" t="str">
        <f>HYPERLINK("https://otsuka-europe-crm.veevavault.com/ui/#object/sent_email__v/VBL00000002P830", "SE-001433500")</f>
        <v>SE-001433500</v>
      </c>
      <c r="F4630" s="11"/>
      <c r="G4630" s="12">
        <v>0</v>
      </c>
      <c r="H4630" s="12">
        <v>0</v>
      </c>
      <c r="I4630" s="12">
        <v>0</v>
      </c>
      <c r="J4630" s="11"/>
      <c r="K4630" s="12">
        <v>0</v>
      </c>
      <c r="L4630" s="10" t="str">
        <f>HYPERLINK("https://otsuka-europe-crm.veevavault.com/ui/#object/approved_document__v/V5O000000018003", "AE dialoghi di tempo fiducia e cura episodi 2-3-4")</f>
        <v>AE dialoghi di tempo fiducia e cura episodi 2-3-4</v>
      </c>
      <c r="M4630" s="10" t="str">
        <f>HYPERLINK("mailto:nicoletta.vozza@crm.otsuka-europe.com", "nicoletta.vozza@crm.otsuka-europe.com")</f>
        <v>nicoletta.vozza@crm.otsuka-europe.com</v>
      </c>
      <c r="N4630" s="13">
        <v>46181.337997685187</v>
      </c>
      <c r="O4630" s="14" t="str">
        <f>HYPERLINK("https://otsuka-europe-crm.veevavault.com/ui/#object/email_activity__v/V8C00000003P231", "EN-002089677")</f>
        <v>EN-002089677</v>
      </c>
    </row>
    <row r="4631" spans="1:15" ht="16" x14ac:dyDescent="0.2">
      <c r="A4631" s="17" t="str">
        <f>HYPERLINK("https://otsuka-europe-crm.veevavault.com/ui/#object/account__v/V4TZ06G6O71TLC8", "NADIA DELSEDIME")</f>
        <v>NADIA DELSEDIME</v>
      </c>
      <c r="B4631" s="17" t="str">
        <f>HYPERLINK("https://otsuka-europe-crm.veevavault.com/ui/#object/vcountry__v/VENZ000004SONFQ", "IT")</f>
        <v>IT</v>
      </c>
      <c r="C4631" s="20" t="s">
        <v>44</v>
      </c>
      <c r="D4631" s="21" t="str">
        <f>HYPERLINK("https://otsuka-europe-crm.veevavault.com/ui/#object/approved_document__v/V5O000000018003", "AE dialoghi di tempo fiducia e cura episodi 2-3-4")</f>
        <v>AE dialoghi di tempo fiducia e cura episodi 2-3-4</v>
      </c>
      <c r="E4631" s="22" t="str">
        <f>HYPERLINK("https://otsuka-europe-crm.veevavault.com/ui/#object/sent_email__v/VBL00000002P831", "SE-001433501")</f>
        <v>SE-001433501</v>
      </c>
      <c r="F4631" s="23">
        <v>46181.35728009259</v>
      </c>
      <c r="G4631" s="24">
        <v>1</v>
      </c>
      <c r="H4631" s="24">
        <v>1</v>
      </c>
      <c r="I4631" s="24">
        <v>0</v>
      </c>
      <c r="J4631" s="25"/>
      <c r="K4631" s="24">
        <v>0</v>
      </c>
      <c r="L4631" s="22" t="str">
        <f>HYPERLINK("https://otsuka-europe-crm.veevavault.com/ui/#object/approved_document__v/V5O000000018003", "AE dialoghi di tempo fiducia e cura episodi 2-3-4")</f>
        <v>AE dialoghi di tempo fiducia e cura episodi 2-3-4</v>
      </c>
      <c r="M4631" s="22" t="str">
        <f>HYPERLINK("mailto:nicoletta.vozza@crm.otsuka-europe.com", "nicoletta.vozza@crm.otsuka-europe.com")</f>
        <v>nicoletta.vozza@crm.otsuka-europe.com</v>
      </c>
      <c r="N4631" s="23">
        <v>46181.338090277779</v>
      </c>
      <c r="O4631" s="14" t="str">
        <f>HYPERLINK("https://otsuka-europe-crm.veevavault.com/ui/#object/email_activity__v/V8C00000003P717", "EN-002090972")</f>
        <v>EN-002090972</v>
      </c>
    </row>
    <row r="4632" spans="1:15" ht="16" x14ac:dyDescent="0.2">
      <c r="A4632" s="19"/>
      <c r="B4632" s="19"/>
      <c r="C4632" s="19"/>
      <c r="D4632" s="19"/>
      <c r="E4632" s="19"/>
      <c r="F4632" s="19"/>
      <c r="G4632" s="19"/>
      <c r="H4632" s="19"/>
      <c r="I4632" s="19"/>
      <c r="J4632" s="19"/>
      <c r="K4632" s="19"/>
      <c r="L4632" s="19"/>
      <c r="M4632" s="19"/>
      <c r="N4632" s="19"/>
      <c r="O4632" s="14" t="str">
        <f>HYPERLINK("https://otsuka-europe-crm.veevavault.com/ui/#object/email_activity__v/V8C00000003Q335", "EN-002091498")</f>
        <v>EN-002091498</v>
      </c>
    </row>
    <row r="4633" spans="1:15" ht="32" x14ac:dyDescent="0.2">
      <c r="A4633" s="7" t="str">
        <f>HYPERLINK("https://otsuka-europe-crm.veevavault.com/ui/#object/account__v/V4TZ025E886JRUI", "NADIA TULIPANI")</f>
        <v>NADIA TULIPANI</v>
      </c>
      <c r="B4633" s="7" t="str">
        <f>HYPERLINK("https://otsuka-europe-crm.veevavault.com/ui/#object/vcountry__v/VENZ000004SONFQ", "IT")</f>
        <v>IT</v>
      </c>
      <c r="C4633" s="8" t="s">
        <v>44</v>
      </c>
      <c r="D4633" s="9" t="str">
        <f>HYPERLINK("https://otsuka-europe-crm.veevavault.com/ui/#object/approved_document__v/V5O000000018003", "AE dialoghi di tempo fiducia e cura episodi 2-3-4")</f>
        <v>AE dialoghi di tempo fiducia e cura episodi 2-3-4</v>
      </c>
      <c r="E4633" s="10" t="str">
        <f>HYPERLINK("https://otsuka-europe-crm.veevavault.com/ui/#object/sent_email__v/VBL00000002P832", "SE-001433502")</f>
        <v>SE-001433502</v>
      </c>
      <c r="F4633" s="11"/>
      <c r="G4633" s="12">
        <v>0</v>
      </c>
      <c r="H4633" s="12">
        <v>0</v>
      </c>
      <c r="I4633" s="12">
        <v>0</v>
      </c>
      <c r="J4633" s="11"/>
      <c r="K4633" s="12">
        <v>0</v>
      </c>
      <c r="L4633" s="10" t="str">
        <f>HYPERLINK("https://otsuka-europe-crm.veevavault.com/ui/#object/approved_document__v/V5O000000018003", "AE dialoghi di tempo fiducia e cura episodi 2-3-4")</f>
        <v>AE dialoghi di tempo fiducia e cura episodi 2-3-4</v>
      </c>
      <c r="M4633" s="10" t="str">
        <f>HYPERLINK("mailto:nicoletta.vozza@crm.otsuka-europe.com", "nicoletta.vozza@crm.otsuka-europe.com")</f>
        <v>nicoletta.vozza@crm.otsuka-europe.com</v>
      </c>
      <c r="N4633" s="13">
        <v>46181.338020833333</v>
      </c>
      <c r="O4633" s="14" t="str">
        <f>HYPERLINK("https://otsuka-europe-crm.veevavault.com/ui/#object/email_activity__v/V8C00000003O718", "EN-002090274")</f>
        <v>EN-002090274</v>
      </c>
    </row>
    <row r="4634" spans="1:15" ht="16" x14ac:dyDescent="0.2">
      <c r="A4634" s="17" t="str">
        <f>HYPERLINK("https://otsuka-europe-crm.veevavault.com/ui/#object/account__v/V4TZ06G6O71SCOW", "NADIA VIDINI")</f>
        <v>NADIA VIDINI</v>
      </c>
      <c r="B4634" s="17" t="str">
        <f>HYPERLINK("https://otsuka-europe-crm.veevavault.com/ui/#object/vcountry__v/VENZ000004SONFQ", "IT")</f>
        <v>IT</v>
      </c>
      <c r="C4634" s="20" t="s">
        <v>44</v>
      </c>
      <c r="D4634" s="21" t="str">
        <f>HYPERLINK("https://otsuka-europe-crm.veevavault.com/ui/#object/approved_document__v/V5O000000018003", "AE dialoghi di tempo fiducia e cura episodi 2-3-4")</f>
        <v>AE dialoghi di tempo fiducia e cura episodi 2-3-4</v>
      </c>
      <c r="E4634" s="22" t="str">
        <f>HYPERLINK("https://otsuka-europe-crm.veevavault.com/ui/#object/sent_email__v/VBL00000002P833", "SE-001433503")</f>
        <v>SE-001433503</v>
      </c>
      <c r="F4634" s="23">
        <v>46182.830497685187</v>
      </c>
      <c r="G4634" s="24">
        <v>1</v>
      </c>
      <c r="H4634" s="24">
        <v>1</v>
      </c>
      <c r="I4634" s="24">
        <v>0</v>
      </c>
      <c r="J4634" s="25"/>
      <c r="K4634" s="24">
        <v>0</v>
      </c>
      <c r="L4634" s="22" t="str">
        <f>HYPERLINK("https://otsuka-europe-crm.veevavault.com/ui/#object/approved_document__v/V5O000000018003", "AE dialoghi di tempo fiducia e cura episodi 2-3-4")</f>
        <v>AE dialoghi di tempo fiducia e cura episodi 2-3-4</v>
      </c>
      <c r="M4634" s="22" t="str">
        <f>HYPERLINK("mailto:nicoletta.vozza@crm.otsuka-europe.com", "nicoletta.vozza@crm.otsuka-europe.com")</f>
        <v>nicoletta.vozza@crm.otsuka-europe.com</v>
      </c>
      <c r="N4634" s="23">
        <v>46181.337951388887</v>
      </c>
      <c r="O4634" s="14" t="str">
        <f>HYPERLINK("https://otsuka-europe-crm.veevavault.com/ui/#object/email_activity__v/V8C00000003O554", "EN-002090110")</f>
        <v>EN-002090110</v>
      </c>
    </row>
    <row r="4635" spans="1:15" ht="16" x14ac:dyDescent="0.2">
      <c r="A4635" s="19"/>
      <c r="B4635" s="19"/>
      <c r="C4635" s="19"/>
      <c r="D4635" s="19"/>
      <c r="E4635" s="19"/>
      <c r="F4635" s="19"/>
      <c r="G4635" s="19"/>
      <c r="H4635" s="19"/>
      <c r="I4635" s="19"/>
      <c r="J4635" s="19"/>
      <c r="K4635" s="19"/>
      <c r="L4635" s="19"/>
      <c r="M4635" s="19"/>
      <c r="N4635" s="19"/>
      <c r="O4635" s="14" t="str">
        <f>HYPERLINK("https://otsuka-europe-crm.veevavault.com/ui/#object/email_activity__v/V8C00000003S383", "EN-002093660")</f>
        <v>EN-002093660</v>
      </c>
    </row>
    <row r="4636" spans="1:15" ht="32" x14ac:dyDescent="0.2">
      <c r="A4636" s="7" t="str">
        <f>HYPERLINK("https://otsuka-europe-crm.veevavault.com/ui/#object/account__v/V4TZ06G6O71S9ZJ", "NAZARENO BALESTRA")</f>
        <v>NAZARENO BALESTRA</v>
      </c>
      <c r="B4636" s="7" t="str">
        <f>HYPERLINK("https://otsuka-europe-crm.veevavault.com/ui/#object/vcountry__v/VENZ000004SONFQ", "IT")</f>
        <v>IT</v>
      </c>
      <c r="C4636" s="8" t="s">
        <v>44</v>
      </c>
      <c r="D4636" s="9" t="str">
        <f>HYPERLINK("https://otsuka-europe-crm.veevavault.com/ui/#object/approved_document__v/V5O000000018003", "AE dialoghi di tempo fiducia e cura episodi 2-3-4")</f>
        <v>AE dialoghi di tempo fiducia e cura episodi 2-3-4</v>
      </c>
      <c r="E4636" s="10" t="str">
        <f>HYPERLINK("https://otsuka-europe-crm.veevavault.com/ui/#object/sent_email__v/VBL00000002P834", "SE-001433504")</f>
        <v>SE-001433504</v>
      </c>
      <c r="F4636" s="11"/>
      <c r="G4636" s="12">
        <v>0</v>
      </c>
      <c r="H4636" s="12">
        <v>0</v>
      </c>
      <c r="I4636" s="12">
        <v>0</v>
      </c>
      <c r="J4636" s="11"/>
      <c r="K4636" s="12">
        <v>0</v>
      </c>
      <c r="L4636" s="10" t="str">
        <f>HYPERLINK("https://otsuka-europe-crm.veevavault.com/ui/#object/approved_document__v/V5O000000018003", "AE dialoghi di tempo fiducia e cura episodi 2-3-4")</f>
        <v>AE dialoghi di tempo fiducia e cura episodi 2-3-4</v>
      </c>
      <c r="M4636" s="10" t="str">
        <f>HYPERLINK("mailto:nicoletta.vozza@crm.otsuka-europe.com", "nicoletta.vozza@crm.otsuka-europe.com")</f>
        <v>nicoletta.vozza@crm.otsuka-europe.com</v>
      </c>
      <c r="N4636" s="13">
        <v>46181.338009259256</v>
      </c>
      <c r="O4636" s="14" t="str">
        <f>HYPERLINK("https://otsuka-europe-crm.veevavault.com/ui/#object/email_activity__v/V8C00000003O826", "EN-002090528")</f>
        <v>EN-002090528</v>
      </c>
    </row>
    <row r="4637" spans="1:15" ht="16" x14ac:dyDescent="0.2">
      <c r="A4637" s="17" t="str">
        <f>HYPERLINK("https://otsuka-europe-crm.veevavault.com/ui/#object/account__v/V4TZ025E82SZ86A", "NICCOLO' GHIOTTO")</f>
        <v>NICCOLO' GHIOTTO</v>
      </c>
      <c r="B4637" s="17" t="str">
        <f>HYPERLINK("https://otsuka-europe-crm.veevavault.com/ui/#object/vcountry__v/VENZ000004SONFQ", "IT")</f>
        <v>IT</v>
      </c>
      <c r="C4637" s="20" t="s">
        <v>44</v>
      </c>
      <c r="D4637" s="21" t="str">
        <f>HYPERLINK("https://otsuka-europe-crm.veevavault.com/ui/#object/approved_document__v/V5O000000018003", "AE dialoghi di tempo fiducia e cura episodi 2-3-4")</f>
        <v>AE dialoghi di tempo fiducia e cura episodi 2-3-4</v>
      </c>
      <c r="E4637" s="22" t="str">
        <f>HYPERLINK("https://otsuka-europe-crm.veevavault.com/ui/#object/sent_email__v/VBL00000002P835", "SE-001433505")</f>
        <v>SE-001433505</v>
      </c>
      <c r="F4637" s="23">
        <v>46181.518854166665</v>
      </c>
      <c r="G4637" s="24">
        <v>1</v>
      </c>
      <c r="H4637" s="24">
        <v>1</v>
      </c>
      <c r="I4637" s="24">
        <v>0</v>
      </c>
      <c r="J4637" s="25"/>
      <c r="K4637" s="24">
        <v>0</v>
      </c>
      <c r="L4637" s="22" t="str">
        <f>HYPERLINK("https://otsuka-europe-crm.veevavault.com/ui/#object/approved_document__v/V5O000000018003", "AE dialoghi di tempo fiducia e cura episodi 2-3-4")</f>
        <v>AE dialoghi di tempo fiducia e cura episodi 2-3-4</v>
      </c>
      <c r="M4637" s="22" t="str">
        <f>HYPERLINK("mailto:nicoletta.vozza@crm.otsuka-europe.com", "nicoletta.vozza@crm.otsuka-europe.com")</f>
        <v>nicoletta.vozza@crm.otsuka-europe.com</v>
      </c>
      <c r="N4637" s="23">
        <v>46181.338009259256</v>
      </c>
      <c r="O4637" s="14" t="str">
        <f>HYPERLINK("https://otsuka-europe-crm.veevavault.com/ui/#object/email_activity__v/V8C00000003O937", "EN-002090597")</f>
        <v>EN-002090597</v>
      </c>
    </row>
    <row r="4638" spans="1:15" ht="16" x14ac:dyDescent="0.2">
      <c r="A4638" s="19"/>
      <c r="B4638" s="19"/>
      <c r="C4638" s="19"/>
      <c r="D4638" s="19"/>
      <c r="E4638" s="19"/>
      <c r="F4638" s="19"/>
      <c r="G4638" s="19"/>
      <c r="H4638" s="19"/>
      <c r="I4638" s="19"/>
      <c r="J4638" s="19"/>
      <c r="K4638" s="19"/>
      <c r="L4638" s="19"/>
      <c r="M4638" s="19"/>
      <c r="N4638" s="19"/>
      <c r="O4638" s="14" t="str">
        <f>HYPERLINK("https://otsuka-europe-crm.veevavault.com/ui/#object/email_activity__v/V8C00000003R130", "EN-002091928")</f>
        <v>EN-002091928</v>
      </c>
    </row>
    <row r="4639" spans="1:15" ht="16" x14ac:dyDescent="0.2">
      <c r="A4639" s="17" t="str">
        <f>HYPERLINK("https://otsuka-europe-crm.veevavault.com/ui/#object/account__v/V4TZ06G6O71TLDQ", "NICOLA BOCCIANTI")</f>
        <v>NICOLA BOCCIANTI</v>
      </c>
      <c r="B4639" s="17" t="str">
        <f>HYPERLINK("https://otsuka-europe-crm.veevavault.com/ui/#object/vcountry__v/VENZ000004SONFQ", "IT")</f>
        <v>IT</v>
      </c>
      <c r="C4639" s="20" t="s">
        <v>44</v>
      </c>
      <c r="D4639" s="21" t="str">
        <f>HYPERLINK("https://otsuka-europe-crm.veevavault.com/ui/#object/approved_document__v/V5O000000018003", "AE dialoghi di tempo fiducia e cura episodi 2-3-4")</f>
        <v>AE dialoghi di tempo fiducia e cura episodi 2-3-4</v>
      </c>
      <c r="E4639" s="22" t="str">
        <f>HYPERLINK("https://otsuka-europe-crm.veevavault.com/ui/#object/sent_email__v/VBL00000002P836", "SE-001433506")</f>
        <v>SE-001433506</v>
      </c>
      <c r="F4639" s="25"/>
      <c r="G4639" s="24">
        <v>0</v>
      </c>
      <c r="H4639" s="24">
        <v>0</v>
      </c>
      <c r="I4639" s="24">
        <v>0</v>
      </c>
      <c r="J4639" s="25"/>
      <c r="K4639" s="24">
        <v>0</v>
      </c>
      <c r="L4639" s="22" t="str">
        <f>HYPERLINK("https://otsuka-europe-crm.veevavault.com/ui/#object/approved_document__v/V5O000000018003", "AE dialoghi di tempo fiducia e cura episodi 2-3-4")</f>
        <v>AE dialoghi di tempo fiducia e cura episodi 2-3-4</v>
      </c>
      <c r="M4639" s="22" t="str">
        <f>HYPERLINK("mailto:nicoletta.vozza@crm.otsuka-europe.com", "nicoletta.vozza@crm.otsuka-europe.com")</f>
        <v>nicoletta.vozza@crm.otsuka-europe.com</v>
      </c>
      <c r="N4639" s="23">
        <v>46181.337939814817</v>
      </c>
      <c r="O4639" s="14" t="str">
        <f>HYPERLINK("https://otsuka-europe-crm.veevavault.com/ui/#object/email_activity__v/V8C00000003P385", "EN-002090391")</f>
        <v>EN-002090391</v>
      </c>
    </row>
    <row r="4640" spans="1:15" ht="16" x14ac:dyDescent="0.2">
      <c r="A4640" s="18"/>
      <c r="B4640" s="18"/>
      <c r="C4640" s="18"/>
      <c r="D4640" s="18"/>
      <c r="E4640" s="18"/>
      <c r="F4640" s="18"/>
      <c r="G4640" s="18"/>
      <c r="H4640" s="18"/>
      <c r="I4640" s="18"/>
      <c r="J4640" s="18"/>
      <c r="K4640" s="18"/>
      <c r="L4640" s="18"/>
      <c r="M4640" s="18"/>
      <c r="N4640" s="18"/>
      <c r="O4640" s="14" t="str">
        <f>HYPERLINK("https://otsuka-europe-crm.veevavault.com/ui/#object/email_activity__v/V8C00000003Q337", "EN-002091500")</f>
        <v>EN-002091500</v>
      </c>
    </row>
    <row r="4641" spans="1:15" ht="16" x14ac:dyDescent="0.2">
      <c r="A4641" s="19"/>
      <c r="B4641" s="19"/>
      <c r="C4641" s="19"/>
      <c r="D4641" s="19"/>
      <c r="E4641" s="19"/>
      <c r="F4641" s="19"/>
      <c r="G4641" s="19"/>
      <c r="H4641" s="19"/>
      <c r="I4641" s="19"/>
      <c r="J4641" s="19"/>
      <c r="K4641" s="19"/>
      <c r="L4641" s="19"/>
      <c r="M4641" s="19"/>
      <c r="N4641" s="19"/>
      <c r="O4641" s="14" t="str">
        <f>HYPERLINK("https://otsuka-europe-crm.veevavault.com/ui/#object/email_activity__v/V8C00000003Q589", "EN-002091992")</f>
        <v>EN-002091992</v>
      </c>
    </row>
    <row r="4642" spans="1:15" ht="32" x14ac:dyDescent="0.2">
      <c r="A4642" s="7" t="str">
        <f>HYPERLINK("https://otsuka-europe-crm.veevavault.com/ui/#object/account__v/V4TZ06G6O9C1S19", "NICOLA BUTERA")</f>
        <v>NICOLA BUTERA</v>
      </c>
      <c r="B4642" s="7" t="str">
        <f>HYPERLINK("https://otsuka-europe-crm.veevavault.com/ui/#object/vcountry__v/VENZ000004SONFQ", "IT")</f>
        <v>IT</v>
      </c>
      <c r="C4642" s="8" t="s">
        <v>44</v>
      </c>
      <c r="D4642" s="9" t="str">
        <f>HYPERLINK("https://otsuka-europe-crm.veevavault.com/ui/#object/approved_document__v/V5O000000018003", "AE dialoghi di tempo fiducia e cura episodi 2-3-4")</f>
        <v>AE dialoghi di tempo fiducia e cura episodi 2-3-4</v>
      </c>
      <c r="E4642" s="10" t="str">
        <f>HYPERLINK("https://otsuka-europe-crm.veevavault.com/ui/#object/sent_email__v/VBL00000002P837", "SE-001433507")</f>
        <v>SE-001433507</v>
      </c>
      <c r="F4642" s="11"/>
      <c r="G4642" s="12">
        <v>0</v>
      </c>
      <c r="H4642" s="12">
        <v>0</v>
      </c>
      <c r="I4642" s="12">
        <v>0</v>
      </c>
      <c r="J4642" s="11"/>
      <c r="K4642" s="12">
        <v>0</v>
      </c>
      <c r="L4642" s="10" t="str">
        <f>HYPERLINK("https://otsuka-europe-crm.veevavault.com/ui/#object/approved_document__v/V5O000000018003", "AE dialoghi di tempo fiducia e cura episodi 2-3-4")</f>
        <v>AE dialoghi di tempo fiducia e cura episodi 2-3-4</v>
      </c>
      <c r="M4642" s="10" t="str">
        <f>HYPERLINK("mailto:nicoletta.vozza@crm.otsuka-europe.com", "nicoletta.vozza@crm.otsuka-europe.com")</f>
        <v>nicoletta.vozza@crm.otsuka-europe.com</v>
      </c>
      <c r="N4642" s="13">
        <v>46181.337997685187</v>
      </c>
      <c r="O4642" s="14" t="str">
        <f>HYPERLINK("https://otsuka-europe-crm.veevavault.com/ui/#object/email_activity__v/V8C00000003O381", "EN-002089899")</f>
        <v>EN-002089899</v>
      </c>
    </row>
    <row r="4643" spans="1:15" ht="32" x14ac:dyDescent="0.2">
      <c r="A4643" s="7" t="str">
        <f>HYPERLINK("https://otsuka-europe-crm.veevavault.com/ui/#object/account__v/V4TZ06G6O71SAIL", "NICOLA DUSI")</f>
        <v>NICOLA DUSI</v>
      </c>
      <c r="B4643" s="7" t="str">
        <f>HYPERLINK("https://otsuka-europe-crm.veevavault.com/ui/#object/vcountry__v/VENZ000004SONFQ", "IT")</f>
        <v>IT</v>
      </c>
      <c r="C4643" s="8" t="s">
        <v>44</v>
      </c>
      <c r="D4643" s="9" t="str">
        <f>HYPERLINK("https://otsuka-europe-crm.veevavault.com/ui/#object/approved_document__v/V5O000000018003", "AE dialoghi di tempo fiducia e cura episodi 2-3-4")</f>
        <v>AE dialoghi di tempo fiducia e cura episodi 2-3-4</v>
      </c>
      <c r="E4643" s="10" t="str">
        <f>HYPERLINK("https://otsuka-europe-crm.veevavault.com/ui/#object/sent_email__v/VBL00000002P838", "SE-001433508")</f>
        <v>SE-001433508</v>
      </c>
      <c r="F4643" s="11"/>
      <c r="G4643" s="12">
        <v>0</v>
      </c>
      <c r="H4643" s="12">
        <v>0</v>
      </c>
      <c r="I4643" s="12">
        <v>0</v>
      </c>
      <c r="J4643" s="11"/>
      <c r="K4643" s="12">
        <v>0</v>
      </c>
      <c r="L4643" s="10" t="str">
        <f>HYPERLINK("https://otsuka-europe-crm.veevavault.com/ui/#object/approved_document__v/V5O000000018003", "AE dialoghi di tempo fiducia e cura episodi 2-3-4")</f>
        <v>AE dialoghi di tempo fiducia e cura episodi 2-3-4</v>
      </c>
      <c r="M4643" s="10" t="str">
        <f>HYPERLINK("mailto:nicoletta.vozza@crm.otsuka-europe.com", "nicoletta.vozza@crm.otsuka-europe.com")</f>
        <v>nicoletta.vozza@crm.otsuka-europe.com</v>
      </c>
      <c r="N4643" s="13">
        <v>46181.338020833333</v>
      </c>
      <c r="O4643" s="14" t="str">
        <f>HYPERLINK("https://otsuka-europe-crm.veevavault.com/ui/#object/email_activity__v/V8C00000003O784", "EN-002090444")</f>
        <v>EN-002090444</v>
      </c>
    </row>
    <row r="4644" spans="1:15" ht="32" x14ac:dyDescent="0.2">
      <c r="A4644" s="7" t="str">
        <f>HYPERLINK("https://otsuka-europe-crm.veevavault.com/ui/#object/account__v/V4TZ04ASGB4N0NW", "NICOLA GAMBARDELLA")</f>
        <v>NICOLA GAMBARDELLA</v>
      </c>
      <c r="B4644" s="7" t="str">
        <f>HYPERLINK("https://otsuka-europe-crm.veevavault.com/ui/#object/vcountry__v/VENZ000004SONFQ", "IT")</f>
        <v>IT</v>
      </c>
      <c r="C4644" s="8" t="s">
        <v>44</v>
      </c>
      <c r="D4644" s="9" t="str">
        <f>HYPERLINK("https://otsuka-europe-crm.veevavault.com/ui/#object/approved_document__v/V5O000000018003", "AE dialoghi di tempo fiducia e cura episodi 2-3-4")</f>
        <v>AE dialoghi di tempo fiducia e cura episodi 2-3-4</v>
      </c>
      <c r="E4644" s="10" t="str">
        <f>HYPERLINK("https://otsuka-europe-crm.veevavault.com/ui/#object/sent_email__v/VBL00000002P839", "SE-001433509")</f>
        <v>SE-001433509</v>
      </c>
      <c r="F4644" s="11"/>
      <c r="G4644" s="12">
        <v>0</v>
      </c>
      <c r="H4644" s="12">
        <v>0</v>
      </c>
      <c r="I4644" s="12">
        <v>0</v>
      </c>
      <c r="J4644" s="11"/>
      <c r="K4644" s="12">
        <v>0</v>
      </c>
      <c r="L4644" s="10" t="str">
        <f>HYPERLINK("https://otsuka-europe-crm.veevavault.com/ui/#object/approved_document__v/V5O000000018003", "AE dialoghi di tempo fiducia e cura episodi 2-3-4")</f>
        <v>AE dialoghi di tempo fiducia e cura episodi 2-3-4</v>
      </c>
      <c r="M4644" s="10" t="str">
        <f>HYPERLINK("mailto:nicoletta.vozza@crm.otsuka-europe.com", "nicoletta.vozza@crm.otsuka-europe.com")</f>
        <v>nicoletta.vozza@crm.otsuka-europe.com</v>
      </c>
      <c r="N4644" s="13">
        <v>46181.338101851848</v>
      </c>
      <c r="O4644" s="14" t="str">
        <f>HYPERLINK("https://otsuka-europe-crm.veevavault.com/ui/#object/email_activity__v/V8C00000003Q164", "EN-002091250")</f>
        <v>EN-002091250</v>
      </c>
    </row>
    <row r="4645" spans="1:15" ht="32" x14ac:dyDescent="0.2">
      <c r="A4645" s="7" t="str">
        <f>HYPERLINK("https://otsuka-europe-crm.veevavault.com/ui/#object/account__v/V4TZ06G6O71SCQB", "NICOLA IEBBA")</f>
        <v>NICOLA IEBBA</v>
      </c>
      <c r="B4645" s="7" t="str">
        <f>HYPERLINK("https://otsuka-europe-crm.veevavault.com/ui/#object/vcountry__v/VENZ000004SONFQ", "IT")</f>
        <v>IT</v>
      </c>
      <c r="C4645" s="8" t="s">
        <v>44</v>
      </c>
      <c r="D4645" s="9" t="str">
        <f>HYPERLINK("https://otsuka-europe-crm.veevavault.com/ui/#object/approved_document__v/V5O000000018003", "AE dialoghi di tempo fiducia e cura episodi 2-3-4")</f>
        <v>AE dialoghi di tempo fiducia e cura episodi 2-3-4</v>
      </c>
      <c r="E4645" s="10" t="str">
        <f>HYPERLINK("https://otsuka-europe-crm.veevavault.com/ui/#object/sent_email__v/VBL00000002P840", "SE-001433510")</f>
        <v>SE-001433510</v>
      </c>
      <c r="F4645" s="11"/>
      <c r="G4645" s="12">
        <v>0</v>
      </c>
      <c r="H4645" s="12">
        <v>0</v>
      </c>
      <c r="I4645" s="12">
        <v>0</v>
      </c>
      <c r="J4645" s="11"/>
      <c r="K4645" s="12">
        <v>0</v>
      </c>
      <c r="L4645" s="10" t="str">
        <f>HYPERLINK("https://otsuka-europe-crm.veevavault.com/ui/#object/approved_document__v/V5O000000018003", "AE dialoghi di tempo fiducia e cura episodi 2-3-4")</f>
        <v>AE dialoghi di tempo fiducia e cura episodi 2-3-4</v>
      </c>
      <c r="M4645" s="10" t="str">
        <f>HYPERLINK("mailto:nicoletta.vozza@crm.otsuka-europe.com", "nicoletta.vozza@crm.otsuka-europe.com")</f>
        <v>nicoletta.vozza@crm.otsuka-europe.com</v>
      </c>
      <c r="N4645" s="13">
        <v>46181.337951388887</v>
      </c>
      <c r="O4645" s="14" t="str">
        <f>HYPERLINK("https://otsuka-europe-crm.veevavault.com/ui/#object/email_activity__v/V8C00000003O504", "EN-002090060")</f>
        <v>EN-002090060</v>
      </c>
    </row>
    <row r="4646" spans="1:15" ht="16" x14ac:dyDescent="0.2">
      <c r="A4646" s="17" t="str">
        <f>HYPERLINK("https://otsuka-europe-crm.veevavault.com/ui/#object/account__v/V4TZ06G6OCBGDUF", "NICOLA IORIO")</f>
        <v>NICOLA IORIO</v>
      </c>
      <c r="B4646" s="17" t="str">
        <f>HYPERLINK("https://otsuka-europe-crm.veevavault.com/ui/#object/vcountry__v/VENZ000004SONFQ", "IT")</f>
        <v>IT</v>
      </c>
      <c r="C4646" s="20" t="s">
        <v>44</v>
      </c>
      <c r="D4646" s="21" t="str">
        <f>HYPERLINK("https://otsuka-europe-crm.veevavault.com/ui/#object/approved_document__v/V5O000000018003", "AE dialoghi di tempo fiducia e cura episodi 2-3-4")</f>
        <v>AE dialoghi di tempo fiducia e cura episodi 2-3-4</v>
      </c>
      <c r="E4646" s="22" t="str">
        <f>HYPERLINK("https://otsuka-europe-crm.veevavault.com/ui/#object/sent_email__v/VBL00000002P841", "SE-001433511")</f>
        <v>SE-001433511</v>
      </c>
      <c r="F4646" s="25"/>
      <c r="G4646" s="24">
        <v>0</v>
      </c>
      <c r="H4646" s="24">
        <v>0</v>
      </c>
      <c r="I4646" s="24">
        <v>1</v>
      </c>
      <c r="J4646" s="23">
        <v>46181.360243055555</v>
      </c>
      <c r="K4646" s="24">
        <v>1</v>
      </c>
      <c r="L4646" s="22" t="str">
        <f>HYPERLINK("https://otsuka-europe-crm.veevavault.com/ui/#object/approved_document__v/V5O000000018003", "AE dialoghi di tempo fiducia e cura episodi 2-3-4")</f>
        <v>AE dialoghi di tempo fiducia e cura episodi 2-3-4</v>
      </c>
      <c r="M4646" s="22" t="str">
        <f>HYPERLINK("mailto:nicoletta.vozza@crm.otsuka-europe.com", "nicoletta.vozza@crm.otsuka-europe.com")</f>
        <v>nicoletta.vozza@crm.otsuka-europe.com</v>
      </c>
      <c r="N4646" s="23">
        <v>46181.338009259256</v>
      </c>
      <c r="O4646" s="14" t="str">
        <f>HYPERLINK("https://otsuka-europe-crm.veevavault.com/ui/#object/email_activity__v/V8C00000003P456", "EN-002090691")</f>
        <v>EN-002090691</v>
      </c>
    </row>
    <row r="4647" spans="1:15" ht="16" x14ac:dyDescent="0.2">
      <c r="A4647" s="18"/>
      <c r="B4647" s="18"/>
      <c r="C4647" s="18"/>
      <c r="D4647" s="18"/>
      <c r="E4647" s="18"/>
      <c r="F4647" s="18"/>
      <c r="G4647" s="18"/>
      <c r="H4647" s="18"/>
      <c r="I4647" s="18"/>
      <c r="J4647" s="18"/>
      <c r="K4647" s="18"/>
      <c r="L4647" s="18"/>
      <c r="M4647" s="18"/>
      <c r="N4647" s="18"/>
      <c r="O4647" s="14" t="str">
        <f>HYPERLINK("https://otsuka-europe-crm.veevavault.com/ui/#object/email_activity__v/V8C00000003P928", "EN-002091504")</f>
        <v>EN-002091504</v>
      </c>
    </row>
    <row r="4648" spans="1:15" ht="16" x14ac:dyDescent="0.2">
      <c r="A4648" s="19"/>
      <c r="B4648" s="19"/>
      <c r="C4648" s="19"/>
      <c r="D4648" s="19"/>
      <c r="E4648" s="19"/>
      <c r="F4648" s="19"/>
      <c r="G4648" s="19"/>
      <c r="H4648" s="19"/>
      <c r="I4648" s="19"/>
      <c r="J4648" s="19"/>
      <c r="K4648" s="19"/>
      <c r="L4648" s="19"/>
      <c r="M4648" s="19"/>
      <c r="N4648" s="19"/>
      <c r="O4648" s="14" t="str">
        <f>HYPERLINK("https://otsuka-europe-crm.veevavault.com/ui/#object/email_activity__v/V8C00000003P929", "EN-002091505")</f>
        <v>EN-002091505</v>
      </c>
    </row>
    <row r="4649" spans="1:15" ht="32" x14ac:dyDescent="0.2">
      <c r="A4649" s="7" t="str">
        <f>HYPERLINK("https://otsuka-europe-crm.veevavault.com/ui/#object/account__v/V4TZ06G6O71SATB", "NICOLA ISOLA")</f>
        <v>NICOLA ISOLA</v>
      </c>
      <c r="B4649" s="7" t="str">
        <f>HYPERLINK("https://otsuka-europe-crm.veevavault.com/ui/#object/vcountry__v/VENZ000004SONFQ", "IT")</f>
        <v>IT</v>
      </c>
      <c r="C4649" s="8" t="s">
        <v>44</v>
      </c>
      <c r="D4649" s="9" t="str">
        <f>HYPERLINK("https://otsuka-europe-crm.veevavault.com/ui/#object/approved_document__v/V5O000000018003", "AE dialoghi di tempo fiducia e cura episodi 2-3-4")</f>
        <v>AE dialoghi di tempo fiducia e cura episodi 2-3-4</v>
      </c>
      <c r="E4649" s="10" t="str">
        <f>HYPERLINK("https://otsuka-europe-crm.veevavault.com/ui/#object/sent_email__v/VBL00000002P842", "SE-001433512")</f>
        <v>SE-001433512</v>
      </c>
      <c r="F4649" s="11"/>
      <c r="G4649" s="12">
        <v>0</v>
      </c>
      <c r="H4649" s="12">
        <v>0</v>
      </c>
      <c r="I4649" s="12">
        <v>0</v>
      </c>
      <c r="J4649" s="11"/>
      <c r="K4649" s="12">
        <v>0</v>
      </c>
      <c r="L4649" s="10" t="str">
        <f>HYPERLINK("https://otsuka-europe-crm.veevavault.com/ui/#object/approved_document__v/V5O000000018003", "AE dialoghi di tempo fiducia e cura episodi 2-3-4")</f>
        <v>AE dialoghi di tempo fiducia e cura episodi 2-3-4</v>
      </c>
      <c r="M4649" s="10" t="str">
        <f>HYPERLINK("mailto:nicoletta.vozza@crm.otsuka-europe.com", "nicoletta.vozza@crm.otsuka-europe.com")</f>
        <v>nicoletta.vozza@crm.otsuka-europe.com</v>
      </c>
      <c r="N4649" s="13">
        <v>46181.337997685187</v>
      </c>
      <c r="O4649" s="14" t="str">
        <f>HYPERLINK("https://otsuka-europe-crm.veevavault.com/ui/#object/email_activity__v/V8C00000003P765", "EN-002091063")</f>
        <v>EN-002091063</v>
      </c>
    </row>
    <row r="4650" spans="1:15" ht="16" x14ac:dyDescent="0.2">
      <c r="A4650" s="17" t="str">
        <f>HYPERLINK("https://otsuka-europe-crm.veevavault.com/ui/#object/account__v/V4TZ04ASGBCFMPI", "NICOLETTA BRUNELLO")</f>
        <v>NICOLETTA BRUNELLO</v>
      </c>
      <c r="B4650" s="17" t="str">
        <f>HYPERLINK("https://otsuka-europe-crm.veevavault.com/ui/#object/vcountry__v/VENZ000004SONFQ", "IT")</f>
        <v>IT</v>
      </c>
      <c r="C4650" s="20" t="s">
        <v>44</v>
      </c>
      <c r="D4650" s="21" t="str">
        <f>HYPERLINK("https://otsuka-europe-crm.veevavault.com/ui/#object/approved_document__v/V5O000000018003", "AE dialoghi di tempo fiducia e cura episodi 2-3-4")</f>
        <v>AE dialoghi di tempo fiducia e cura episodi 2-3-4</v>
      </c>
      <c r="E4650" s="22" t="str">
        <f>HYPERLINK("https://otsuka-europe-crm.veevavault.com/ui/#object/sent_email__v/VBL00000002P843", "SE-001433513")</f>
        <v>SE-001433513</v>
      </c>
      <c r="F4650" s="25"/>
      <c r="G4650" s="24">
        <v>0</v>
      </c>
      <c r="H4650" s="24">
        <v>0</v>
      </c>
      <c r="I4650" s="24">
        <v>0</v>
      </c>
      <c r="J4650" s="25"/>
      <c r="K4650" s="24">
        <v>0</v>
      </c>
      <c r="L4650" s="22" t="str">
        <f>HYPERLINK("https://otsuka-europe-crm.veevavault.com/ui/#object/approved_document__v/V5O000000018003", "AE dialoghi di tempo fiducia e cura episodi 2-3-4")</f>
        <v>AE dialoghi di tempo fiducia e cura episodi 2-3-4</v>
      </c>
      <c r="M4650" s="22" t="str">
        <f>HYPERLINK("mailto:nicoletta.vozza@crm.otsuka-europe.com", "nicoletta.vozza@crm.otsuka-europe.com")</f>
        <v>nicoletta.vozza@crm.otsuka-europe.com</v>
      </c>
      <c r="N4650" s="23">
        <v>46181.33798611111</v>
      </c>
      <c r="O4650" s="14" t="str">
        <f>HYPERLINK("https://otsuka-europe-crm.veevavault.com/ui/#object/email_activity__v/V8C00000003O201", "EN-002089638")</f>
        <v>EN-002089638</v>
      </c>
    </row>
    <row r="4651" spans="1:15" ht="16" x14ac:dyDescent="0.2">
      <c r="A4651" s="19"/>
      <c r="B4651" s="19"/>
      <c r="C4651" s="19"/>
      <c r="D4651" s="19"/>
      <c r="E4651" s="19"/>
      <c r="F4651" s="19"/>
      <c r="G4651" s="19"/>
      <c r="H4651" s="19"/>
      <c r="I4651" s="19"/>
      <c r="J4651" s="19"/>
      <c r="K4651" s="19"/>
      <c r="L4651" s="19"/>
      <c r="M4651" s="19"/>
      <c r="N4651" s="19"/>
      <c r="O4651" s="14" t="str">
        <f>HYPERLINK("https://otsuka-europe-crm.veevavault.com/ui/#object/email_activity__v/V8C00000003Q482", "EN-002091729")</f>
        <v>EN-002091729</v>
      </c>
    </row>
    <row r="4652" spans="1:15" ht="32" x14ac:dyDescent="0.2">
      <c r="A4652" s="7" t="str">
        <f>HYPERLINK("https://otsuka-europe-crm.veevavault.com/ui/#object/account__v/V4TZ04ASGCYTN5O", "NICOLETTA DI LAURO")</f>
        <v>NICOLETTA DI LAURO</v>
      </c>
      <c r="B4652" s="7" t="str">
        <f t="shared" ref="B4652:B4657" si="460">HYPERLINK("https://otsuka-europe-crm.veevavault.com/ui/#object/vcountry__v/VENZ000004SONFQ", "IT")</f>
        <v>IT</v>
      </c>
      <c r="C4652" s="8" t="s">
        <v>44</v>
      </c>
      <c r="D4652" s="9" t="str">
        <f t="shared" ref="D4652:D4657" si="461">HYPERLINK("https://otsuka-europe-crm.veevavault.com/ui/#object/approved_document__v/V5O000000018003", "AE dialoghi di tempo fiducia e cura episodi 2-3-4")</f>
        <v>AE dialoghi di tempo fiducia e cura episodi 2-3-4</v>
      </c>
      <c r="E4652" s="10" t="str">
        <f>HYPERLINK("https://otsuka-europe-crm.veevavault.com/ui/#object/sent_email__v/VBL00000002P844", "SE-001433514")</f>
        <v>SE-001433514</v>
      </c>
      <c r="F4652" s="11"/>
      <c r="G4652" s="12">
        <v>0</v>
      </c>
      <c r="H4652" s="12">
        <v>0</v>
      </c>
      <c r="I4652" s="12">
        <v>0</v>
      </c>
      <c r="J4652" s="11"/>
      <c r="K4652" s="12">
        <v>0</v>
      </c>
      <c r="L4652" s="10" t="str">
        <f t="shared" ref="L4652:L4657" si="462">HYPERLINK("https://otsuka-europe-crm.veevavault.com/ui/#object/approved_document__v/V5O000000018003", "AE dialoghi di tempo fiducia e cura episodi 2-3-4")</f>
        <v>AE dialoghi di tempo fiducia e cura episodi 2-3-4</v>
      </c>
      <c r="M4652" s="10" t="str">
        <f t="shared" ref="M4652:M4657" si="463">HYPERLINK("mailto:nicoletta.vozza@crm.otsuka-europe.com", "nicoletta.vozza@crm.otsuka-europe.com")</f>
        <v>nicoletta.vozza@crm.otsuka-europe.com</v>
      </c>
      <c r="N4652" s="13">
        <v>46181.337997685187</v>
      </c>
      <c r="O4652" s="14" t="str">
        <f>HYPERLINK("https://otsuka-europe-crm.veevavault.com/ui/#object/email_activity__v/V8C00000003Q218", "EN-002091324")</f>
        <v>EN-002091324</v>
      </c>
    </row>
    <row r="4653" spans="1:15" ht="32" x14ac:dyDescent="0.2">
      <c r="A4653" s="7" t="str">
        <f>HYPERLINK("https://otsuka-europe-crm.veevavault.com/ui/#object/account__v/V4TZ06G6O80YQCR", "NICOLETTA FOSCHI")</f>
        <v>NICOLETTA FOSCHI</v>
      </c>
      <c r="B4653" s="7" t="str">
        <f t="shared" si="460"/>
        <v>IT</v>
      </c>
      <c r="C4653" s="8" t="s">
        <v>44</v>
      </c>
      <c r="D4653" s="9" t="str">
        <f t="shared" si="461"/>
        <v>AE dialoghi di tempo fiducia e cura episodi 2-3-4</v>
      </c>
      <c r="E4653" s="10" t="str">
        <f>HYPERLINK("https://otsuka-europe-crm.veevavault.com/ui/#object/sent_email__v/VBL00000002P845", "SE-001433515")</f>
        <v>SE-001433515</v>
      </c>
      <c r="F4653" s="11"/>
      <c r="G4653" s="12">
        <v>0</v>
      </c>
      <c r="H4653" s="12">
        <v>0</v>
      </c>
      <c r="I4653" s="12">
        <v>0</v>
      </c>
      <c r="J4653" s="11"/>
      <c r="K4653" s="12">
        <v>0</v>
      </c>
      <c r="L4653" s="10" t="str">
        <f t="shared" si="462"/>
        <v>AE dialoghi di tempo fiducia e cura episodi 2-3-4</v>
      </c>
      <c r="M4653" s="10" t="str">
        <f t="shared" si="463"/>
        <v>nicoletta.vozza@crm.otsuka-europe.com</v>
      </c>
      <c r="N4653" s="13">
        <v>46181.338078703702</v>
      </c>
      <c r="O4653" s="14" t="str">
        <f>HYPERLINK("https://otsuka-europe-crm.veevavault.com/ui/#object/email_activity__v/V8C00000003P479", "EN-002090662")</f>
        <v>EN-002090662</v>
      </c>
    </row>
    <row r="4654" spans="1:15" ht="32" x14ac:dyDescent="0.2">
      <c r="A4654" s="7" t="str">
        <f>HYPERLINK("https://otsuka-europe-crm.veevavault.com/ui/#object/account__v/V4TZ06G6O71SCA9", "NICOLETTA FRANCESCA SALVI")</f>
        <v>NICOLETTA FRANCESCA SALVI</v>
      </c>
      <c r="B4654" s="7" t="str">
        <f t="shared" si="460"/>
        <v>IT</v>
      </c>
      <c r="C4654" s="8" t="s">
        <v>44</v>
      </c>
      <c r="D4654" s="9" t="str">
        <f t="shared" si="461"/>
        <v>AE dialoghi di tempo fiducia e cura episodi 2-3-4</v>
      </c>
      <c r="E4654" s="10" t="str">
        <f>HYPERLINK("https://otsuka-europe-crm.veevavault.com/ui/#object/sent_email__v/VBL00000002P846", "SE-001433516")</f>
        <v>SE-001433516</v>
      </c>
      <c r="F4654" s="11"/>
      <c r="G4654" s="12">
        <v>0</v>
      </c>
      <c r="H4654" s="12">
        <v>0</v>
      </c>
      <c r="I4654" s="12">
        <v>0</v>
      </c>
      <c r="J4654" s="11"/>
      <c r="K4654" s="12">
        <v>0</v>
      </c>
      <c r="L4654" s="10" t="str">
        <f t="shared" si="462"/>
        <v>AE dialoghi di tempo fiducia e cura episodi 2-3-4</v>
      </c>
      <c r="M4654" s="10" t="str">
        <f t="shared" si="463"/>
        <v>nicoletta.vozza@crm.otsuka-europe.com</v>
      </c>
      <c r="N4654" s="13">
        <v>46181.337997685187</v>
      </c>
      <c r="O4654" s="14" t="str">
        <f>HYPERLINK("https://otsuka-europe-crm.veevavault.com/ui/#object/email_activity__v/V8C00000003O627", "EN-002090183")</f>
        <v>EN-002090183</v>
      </c>
    </row>
    <row r="4655" spans="1:15" ht="32" x14ac:dyDescent="0.2">
      <c r="A4655" s="7" t="str">
        <f>HYPERLINK("https://otsuka-europe-crm.veevavault.com/ui/#object/account__v/V4TZ06G6O71SAVD", "NICOLETTA GIACCHETTI")</f>
        <v>NICOLETTA GIACCHETTI</v>
      </c>
      <c r="B4655" s="7" t="str">
        <f t="shared" si="460"/>
        <v>IT</v>
      </c>
      <c r="C4655" s="8" t="s">
        <v>44</v>
      </c>
      <c r="D4655" s="9" t="str">
        <f t="shared" si="461"/>
        <v>AE dialoghi di tempo fiducia e cura episodi 2-3-4</v>
      </c>
      <c r="E4655" s="10" t="str">
        <f>HYPERLINK("https://otsuka-europe-crm.veevavault.com/ui/#object/sent_email__v/VBL00000002P847", "SE-001433517")</f>
        <v>SE-001433517</v>
      </c>
      <c r="F4655" s="11"/>
      <c r="G4655" s="12">
        <v>0</v>
      </c>
      <c r="H4655" s="12">
        <v>0</v>
      </c>
      <c r="I4655" s="12">
        <v>0</v>
      </c>
      <c r="J4655" s="11"/>
      <c r="K4655" s="12">
        <v>0</v>
      </c>
      <c r="L4655" s="10" t="str">
        <f t="shared" si="462"/>
        <v>AE dialoghi di tempo fiducia e cura episodi 2-3-4</v>
      </c>
      <c r="M4655" s="10" t="str">
        <f t="shared" si="463"/>
        <v>nicoletta.vozza@crm.otsuka-europe.com</v>
      </c>
      <c r="N4655" s="13">
        <v>46181.338090277779</v>
      </c>
      <c r="O4655" s="14" t="str">
        <f>HYPERLINK("https://otsuka-europe-crm.veevavault.com/ui/#object/email_activity__v/V8C00000003Q016", "EN-002090764")</f>
        <v>EN-002090764</v>
      </c>
    </row>
    <row r="4656" spans="1:15" ht="32" x14ac:dyDescent="0.2">
      <c r="A4656" s="7" t="str">
        <f>HYPERLINK("https://otsuka-europe-crm.veevavault.com/ui/#object/account__v/V4TZ06G6O71SB9B", "NICOLETTA LUCCHI")</f>
        <v>NICOLETTA LUCCHI</v>
      </c>
      <c r="B4656" s="7" t="str">
        <f t="shared" si="460"/>
        <v>IT</v>
      </c>
      <c r="C4656" s="8" t="s">
        <v>44</v>
      </c>
      <c r="D4656" s="9" t="str">
        <f t="shared" si="461"/>
        <v>AE dialoghi di tempo fiducia e cura episodi 2-3-4</v>
      </c>
      <c r="E4656" s="10" t="str">
        <f>HYPERLINK("https://otsuka-europe-crm.veevavault.com/ui/#object/sent_email__v/VBL00000002P848", "SE-001433518")</f>
        <v>SE-001433518</v>
      </c>
      <c r="F4656" s="11"/>
      <c r="G4656" s="12">
        <v>0</v>
      </c>
      <c r="H4656" s="12">
        <v>0</v>
      </c>
      <c r="I4656" s="12">
        <v>0</v>
      </c>
      <c r="J4656" s="11"/>
      <c r="K4656" s="12">
        <v>0</v>
      </c>
      <c r="L4656" s="10" t="str">
        <f t="shared" si="462"/>
        <v>AE dialoghi di tempo fiducia e cura episodi 2-3-4</v>
      </c>
      <c r="M4656" s="10" t="str">
        <f t="shared" si="463"/>
        <v>nicoletta.vozza@crm.otsuka-europe.com</v>
      </c>
      <c r="N4656" s="13">
        <v>46181.338090277779</v>
      </c>
      <c r="O4656" s="14" t="str">
        <f>HYPERLINK("https://otsuka-europe-crm.veevavault.com/ui/#object/email_activity__v/V8C00000003O851", "EN-002090552")</f>
        <v>EN-002090552</v>
      </c>
    </row>
    <row r="4657" spans="1:15" ht="16" x14ac:dyDescent="0.2">
      <c r="A4657" s="17" t="str">
        <f>HYPERLINK("https://otsuka-europe-crm.veevavault.com/ui/#object/account__v/V4TZ06G6O71SCE4", "NICOLO SCATURRO")</f>
        <v>NICOLO SCATURRO</v>
      </c>
      <c r="B4657" s="17" t="str">
        <f t="shared" si="460"/>
        <v>IT</v>
      </c>
      <c r="C4657" s="20" t="s">
        <v>44</v>
      </c>
      <c r="D4657" s="21" t="str">
        <f t="shared" si="461"/>
        <v>AE dialoghi di tempo fiducia e cura episodi 2-3-4</v>
      </c>
      <c r="E4657" s="22" t="str">
        <f>HYPERLINK("https://otsuka-europe-crm.veevavault.com/ui/#object/sent_email__v/VBL00000002P849", "SE-001433519")</f>
        <v>SE-001433519</v>
      </c>
      <c r="F4657" s="25"/>
      <c r="G4657" s="24">
        <v>0</v>
      </c>
      <c r="H4657" s="24">
        <v>0</v>
      </c>
      <c r="I4657" s="24">
        <v>0</v>
      </c>
      <c r="J4657" s="25"/>
      <c r="K4657" s="24">
        <v>0</v>
      </c>
      <c r="L4657" s="22" t="str">
        <f t="shared" si="462"/>
        <v>AE dialoghi di tempo fiducia e cura episodi 2-3-4</v>
      </c>
      <c r="M4657" s="22" t="str">
        <f t="shared" si="463"/>
        <v>nicoletta.vozza@crm.otsuka-europe.com</v>
      </c>
      <c r="N4657" s="23">
        <v>46181.337997685187</v>
      </c>
      <c r="O4657" s="14" t="str">
        <f>HYPERLINK("https://otsuka-europe-crm.veevavault.com/ui/#object/email_activity__v/V8C00000003P269", "EN-002089847")</f>
        <v>EN-002089847</v>
      </c>
    </row>
    <row r="4658" spans="1:15" ht="16" x14ac:dyDescent="0.2">
      <c r="A4658" s="19"/>
      <c r="B4658" s="19"/>
      <c r="C4658" s="19"/>
      <c r="D4658" s="19"/>
      <c r="E4658" s="19"/>
      <c r="F4658" s="19"/>
      <c r="G4658" s="19"/>
      <c r="H4658" s="19"/>
      <c r="I4658" s="19"/>
      <c r="J4658" s="19"/>
      <c r="K4658" s="19"/>
      <c r="L4658" s="19"/>
      <c r="M4658" s="19"/>
      <c r="N4658" s="19"/>
      <c r="O4658" s="14" t="str">
        <f>HYPERLINK("https://otsuka-europe-crm.veevavault.com/ui/#object/email_activity__v/V8C00000003R328", "EN-002092303")</f>
        <v>EN-002092303</v>
      </c>
    </row>
    <row r="4659" spans="1:15" ht="16" x14ac:dyDescent="0.2">
      <c r="A4659" s="17" t="str">
        <f>HYPERLINK("https://otsuka-europe-crm.veevavault.com/ui/#object/account__v/V4TZ06G6O8A6P8N", "NICOLO' CIPRIANI")</f>
        <v>NICOLO' CIPRIANI</v>
      </c>
      <c r="B4659" s="17" t="str">
        <f>HYPERLINK("https://otsuka-europe-crm.veevavault.com/ui/#object/vcountry__v/VENZ000004SONFQ", "IT")</f>
        <v>IT</v>
      </c>
      <c r="C4659" s="20" t="s">
        <v>44</v>
      </c>
      <c r="D4659" s="21" t="str">
        <f>HYPERLINK("https://otsuka-europe-crm.veevavault.com/ui/#object/approved_document__v/V5O000000018003", "AE dialoghi di tempo fiducia e cura episodi 2-3-4")</f>
        <v>AE dialoghi di tempo fiducia e cura episodi 2-3-4</v>
      </c>
      <c r="E4659" s="22" t="str">
        <f>HYPERLINK("https://otsuka-europe-crm.veevavault.com/ui/#object/sent_email__v/VBL00000002P850", "SE-001433520")</f>
        <v>SE-001433520</v>
      </c>
      <c r="F4659" s="23">
        <v>46181.359930555554</v>
      </c>
      <c r="G4659" s="24">
        <v>1</v>
      </c>
      <c r="H4659" s="24">
        <v>1</v>
      </c>
      <c r="I4659" s="24">
        <v>0</v>
      </c>
      <c r="J4659" s="25"/>
      <c r="K4659" s="24">
        <v>0</v>
      </c>
      <c r="L4659" s="22" t="str">
        <f>HYPERLINK("https://otsuka-europe-crm.veevavault.com/ui/#object/approved_document__v/V5O000000018003", "AE dialoghi di tempo fiducia e cura episodi 2-3-4")</f>
        <v>AE dialoghi di tempo fiducia e cura episodi 2-3-4</v>
      </c>
      <c r="M4659" s="22" t="str">
        <f>HYPERLINK("mailto:nicoletta.vozza@crm.otsuka-europe.com", "nicoletta.vozza@crm.otsuka-europe.com")</f>
        <v>nicoletta.vozza@crm.otsuka-europe.com</v>
      </c>
      <c r="N4659" s="23">
        <v>46181.338020833333</v>
      </c>
      <c r="O4659" s="14" t="str">
        <f>HYPERLINK("https://otsuka-europe-crm.veevavault.com/ui/#object/email_activity__v/V8C00000003P345", "EN-002090351")</f>
        <v>EN-002090351</v>
      </c>
    </row>
    <row r="4660" spans="1:15" ht="16" x14ac:dyDescent="0.2">
      <c r="A4660" s="19"/>
      <c r="B4660" s="19"/>
      <c r="C4660" s="19"/>
      <c r="D4660" s="19"/>
      <c r="E4660" s="19"/>
      <c r="F4660" s="19"/>
      <c r="G4660" s="19"/>
      <c r="H4660" s="19"/>
      <c r="I4660" s="19"/>
      <c r="J4660" s="19"/>
      <c r="K4660" s="19"/>
      <c r="L4660" s="19"/>
      <c r="M4660" s="19"/>
      <c r="N4660" s="19"/>
      <c r="O4660" s="14" t="str">
        <f>HYPERLINK("https://otsuka-europe-crm.veevavault.com/ui/#object/email_activity__v/V8C00000003P927", "EN-002091503")</f>
        <v>EN-002091503</v>
      </c>
    </row>
    <row r="4661" spans="1:15" ht="16" x14ac:dyDescent="0.2">
      <c r="A4661" s="17" t="str">
        <f>HYPERLINK("https://otsuka-europe-crm.veevavault.com/ui/#object/account__v/V4TZ06G6O80L8WQ", "NINA GIAMBALVO")</f>
        <v>NINA GIAMBALVO</v>
      </c>
      <c r="B4661" s="17" t="str">
        <f>HYPERLINK("https://otsuka-europe-crm.veevavault.com/ui/#object/vcountry__v/VENZ000004SONFQ", "IT")</f>
        <v>IT</v>
      </c>
      <c r="C4661" s="20" t="s">
        <v>44</v>
      </c>
      <c r="D4661" s="21" t="str">
        <f>HYPERLINK("https://otsuka-europe-crm.veevavault.com/ui/#object/approved_document__v/V5O000000018003", "AE dialoghi di tempo fiducia e cura episodi 2-3-4")</f>
        <v>AE dialoghi di tempo fiducia e cura episodi 2-3-4</v>
      </c>
      <c r="E4661" s="22" t="str">
        <f>HYPERLINK("https://otsuka-europe-crm.veevavault.com/ui/#object/sent_email__v/VBL00000002P851", "SE-001433521")</f>
        <v>SE-001433521</v>
      </c>
      <c r="F4661" s="25"/>
      <c r="G4661" s="24">
        <v>0</v>
      </c>
      <c r="H4661" s="24">
        <v>0</v>
      </c>
      <c r="I4661" s="24">
        <v>0</v>
      </c>
      <c r="J4661" s="25"/>
      <c r="K4661" s="24">
        <v>0</v>
      </c>
      <c r="L4661" s="22" t="str">
        <f>HYPERLINK("https://otsuka-europe-crm.veevavault.com/ui/#object/approved_document__v/V5O000000018003", "AE dialoghi di tempo fiducia e cura episodi 2-3-4")</f>
        <v>AE dialoghi di tempo fiducia e cura episodi 2-3-4</v>
      </c>
      <c r="M4661" s="22" t="str">
        <f>HYPERLINK("mailto:nicoletta.vozza@crm.otsuka-europe.com", "nicoletta.vozza@crm.otsuka-europe.com")</f>
        <v>nicoletta.vozza@crm.otsuka-europe.com</v>
      </c>
      <c r="N4661" s="23">
        <v>46181.338020833333</v>
      </c>
      <c r="O4661" s="14" t="str">
        <f>HYPERLINK("https://otsuka-europe-crm.veevavault.com/ui/#object/email_activity__v/V8C00000003P275", "EN-002089853")</f>
        <v>EN-002089853</v>
      </c>
    </row>
    <row r="4662" spans="1:15" ht="16" x14ac:dyDescent="0.2">
      <c r="A4662" s="19"/>
      <c r="B4662" s="19"/>
      <c r="C4662" s="19"/>
      <c r="D4662" s="19"/>
      <c r="E4662" s="19"/>
      <c r="F4662" s="19"/>
      <c r="G4662" s="19"/>
      <c r="H4662" s="19"/>
      <c r="I4662" s="19"/>
      <c r="J4662" s="19"/>
      <c r="K4662" s="19"/>
      <c r="L4662" s="19"/>
      <c r="M4662" s="19"/>
      <c r="N4662" s="19"/>
      <c r="O4662" s="14" t="str">
        <f>HYPERLINK("https://otsuka-europe-crm.veevavault.com/ui/#object/email_activity__v/V8C00000003T076", "EN-002093710")</f>
        <v>EN-002093710</v>
      </c>
    </row>
    <row r="4663" spans="1:15" ht="32" x14ac:dyDescent="0.2">
      <c r="A4663" s="7" t="str">
        <f>HYPERLINK("https://otsuka-europe-crm.veevavault.com/ui/#object/account__v/V4TZ06G6O8SFPID", "NINA MARISA AMALIA ORSINI")</f>
        <v>NINA MARISA AMALIA ORSINI</v>
      </c>
      <c r="B4663" s="7" t="str">
        <f>HYPERLINK("https://otsuka-europe-crm.veevavault.com/ui/#object/vcountry__v/VENZ000004SONFQ", "IT")</f>
        <v>IT</v>
      </c>
      <c r="C4663" s="8" t="s">
        <v>44</v>
      </c>
      <c r="D4663" s="9" t="str">
        <f>HYPERLINK("https://otsuka-europe-crm.veevavault.com/ui/#object/approved_document__v/V5O000000018003", "AE dialoghi di tempo fiducia e cura episodi 2-3-4")</f>
        <v>AE dialoghi di tempo fiducia e cura episodi 2-3-4</v>
      </c>
      <c r="E4663" s="10" t="str">
        <f>HYPERLINK("https://otsuka-europe-crm.veevavault.com/ui/#object/sent_email__v/VBL00000002P852", "SE-001433522")</f>
        <v>SE-001433522</v>
      </c>
      <c r="F4663" s="11"/>
      <c r="G4663" s="12">
        <v>0</v>
      </c>
      <c r="H4663" s="12">
        <v>0</v>
      </c>
      <c r="I4663" s="12">
        <v>0</v>
      </c>
      <c r="J4663" s="11"/>
      <c r="K4663" s="12">
        <v>0</v>
      </c>
      <c r="L4663" s="10" t="str">
        <f>HYPERLINK("https://otsuka-europe-crm.veevavault.com/ui/#object/approved_document__v/V5O000000018003", "AE dialoghi di tempo fiducia e cura episodi 2-3-4")</f>
        <v>AE dialoghi di tempo fiducia e cura episodi 2-3-4</v>
      </c>
      <c r="M4663" s="10" t="str">
        <f>HYPERLINK("mailto:nicoletta.vozza@crm.otsuka-europe.com", "nicoletta.vozza@crm.otsuka-europe.com")</f>
        <v>nicoletta.vozza@crm.otsuka-europe.com</v>
      </c>
      <c r="N4663" s="13">
        <v>46181.338078703702</v>
      </c>
      <c r="O4663" s="14" t="str">
        <f>HYPERLINK("https://otsuka-europe-crm.veevavault.com/ui/#object/email_activity__v/V8C00000003Q225", "EN-002091331")</f>
        <v>EN-002091331</v>
      </c>
    </row>
    <row r="4664" spans="1:15" ht="16" x14ac:dyDescent="0.2">
      <c r="A4664" s="17" t="str">
        <f>HYPERLINK("https://otsuka-europe-crm.veevavault.com/ui/#object/account__v/V4TZ06G6ODNKBWR", "NINI' MAZZOTTA")</f>
        <v>NINI' MAZZOTTA</v>
      </c>
      <c r="B4664" s="17" t="str">
        <f>HYPERLINK("https://otsuka-europe-crm.veevavault.com/ui/#object/vcountry__v/VENZ000004SONFQ", "IT")</f>
        <v>IT</v>
      </c>
      <c r="C4664" s="20" t="s">
        <v>44</v>
      </c>
      <c r="D4664" s="21" t="str">
        <f>HYPERLINK("https://otsuka-europe-crm.veevavault.com/ui/#object/approved_document__v/V5O000000018003", "AE dialoghi di tempo fiducia e cura episodi 2-3-4")</f>
        <v>AE dialoghi di tempo fiducia e cura episodi 2-3-4</v>
      </c>
      <c r="E4664" s="22" t="str">
        <f>HYPERLINK("https://otsuka-europe-crm.veevavault.com/ui/#object/sent_email__v/VBL00000002P853", "SE-001433523")</f>
        <v>SE-001433523</v>
      </c>
      <c r="F4664" s="25"/>
      <c r="G4664" s="24">
        <v>0</v>
      </c>
      <c r="H4664" s="24">
        <v>0</v>
      </c>
      <c r="I4664" s="24">
        <v>0</v>
      </c>
      <c r="J4664" s="25"/>
      <c r="K4664" s="24">
        <v>0</v>
      </c>
      <c r="L4664" s="22" t="str">
        <f>HYPERLINK("https://otsuka-europe-crm.veevavault.com/ui/#object/approved_document__v/V5O000000018003", "AE dialoghi di tempo fiducia e cura episodi 2-3-4")</f>
        <v>AE dialoghi di tempo fiducia e cura episodi 2-3-4</v>
      </c>
      <c r="M4664" s="22" t="str">
        <f>HYPERLINK("mailto:nicoletta.vozza@crm.otsuka-europe.com", "nicoletta.vozza@crm.otsuka-europe.com")</f>
        <v>nicoletta.vozza@crm.otsuka-europe.com</v>
      </c>
      <c r="N4664" s="23">
        <v>46181.33797453704</v>
      </c>
      <c r="O4664" s="14" t="str">
        <f>HYPERLINK("https://otsuka-europe-crm.veevavault.com/ui/#object/email_activity__v/V8C00000003O458", "EN-002090014")</f>
        <v>EN-002090014</v>
      </c>
    </row>
    <row r="4665" spans="1:15" ht="16" x14ac:dyDescent="0.2">
      <c r="A4665" s="18"/>
      <c r="B4665" s="18"/>
      <c r="C4665" s="18"/>
      <c r="D4665" s="18"/>
      <c r="E4665" s="18"/>
      <c r="F4665" s="18"/>
      <c r="G4665" s="18"/>
      <c r="H4665" s="18"/>
      <c r="I4665" s="18"/>
      <c r="J4665" s="18"/>
      <c r="K4665" s="18"/>
      <c r="L4665" s="18"/>
      <c r="M4665" s="18"/>
      <c r="N4665" s="18"/>
      <c r="O4665" s="14" t="str">
        <f>HYPERLINK("https://otsuka-europe-crm.veevavault.com/ui/#object/email_activity__v/V8C00000003Q344", "EN-002091523")</f>
        <v>EN-002091523</v>
      </c>
    </row>
    <row r="4666" spans="1:15" ht="16" x14ac:dyDescent="0.2">
      <c r="A4666" s="18"/>
      <c r="B4666" s="18"/>
      <c r="C4666" s="18"/>
      <c r="D4666" s="18"/>
      <c r="E4666" s="18"/>
      <c r="F4666" s="18"/>
      <c r="G4666" s="18"/>
      <c r="H4666" s="18"/>
      <c r="I4666" s="18"/>
      <c r="J4666" s="18"/>
      <c r="K4666" s="18"/>
      <c r="L4666" s="18"/>
      <c r="M4666" s="18"/>
      <c r="N4666" s="18"/>
      <c r="O4666" s="14" t="str">
        <f>HYPERLINK("https://otsuka-europe-crm.veevavault.com/ui/#object/email_activity__v/V8C00000003Q711", "EN-002092268")</f>
        <v>EN-002092268</v>
      </c>
    </row>
    <row r="4667" spans="1:15" ht="16" x14ac:dyDescent="0.2">
      <c r="A4667" s="19"/>
      <c r="B4667" s="19"/>
      <c r="C4667" s="19"/>
      <c r="D4667" s="19"/>
      <c r="E4667" s="19"/>
      <c r="F4667" s="19"/>
      <c r="G4667" s="19"/>
      <c r="H4667" s="19"/>
      <c r="I4667" s="19"/>
      <c r="J4667" s="19"/>
      <c r="K4667" s="19"/>
      <c r="L4667" s="19"/>
      <c r="M4667" s="19"/>
      <c r="N4667" s="19"/>
      <c r="O4667" s="14" t="str">
        <f>HYPERLINK("https://otsuka-europe-crm.veevavault.com/ui/#object/email_activity__v/V8C00000003Q714", "EN-002092271")</f>
        <v>EN-002092271</v>
      </c>
    </row>
    <row r="4668" spans="1:15" ht="32" x14ac:dyDescent="0.2">
      <c r="A4668" s="7" t="str">
        <f>HYPERLINK("https://otsuka-europe-crm.veevavault.com/ui/#object/account__v/V4TZ06G6O71SC0M", "NOEMI PIAGGI")</f>
        <v>NOEMI PIAGGI</v>
      </c>
      <c r="B4668" s="7" t="str">
        <f t="shared" ref="B4668:B4679" si="464">HYPERLINK("https://otsuka-europe-crm.veevavault.com/ui/#object/vcountry__v/VENZ000004SONFQ", "IT")</f>
        <v>IT</v>
      </c>
      <c r="C4668" s="8" t="s">
        <v>44</v>
      </c>
      <c r="D4668" s="9" t="str">
        <f t="shared" ref="D4668:D4679" si="465">HYPERLINK("https://otsuka-europe-crm.veevavault.com/ui/#object/approved_document__v/V5O000000018003", "AE dialoghi di tempo fiducia e cura episodi 2-3-4")</f>
        <v>AE dialoghi di tempo fiducia e cura episodi 2-3-4</v>
      </c>
      <c r="E4668" s="10" t="str">
        <f>HYPERLINK("https://otsuka-europe-crm.veevavault.com/ui/#object/sent_email__v/VBL00000002P854", "SE-001433524")</f>
        <v>SE-001433524</v>
      </c>
      <c r="F4668" s="11"/>
      <c r="G4668" s="12">
        <v>0</v>
      </c>
      <c r="H4668" s="12">
        <v>0</v>
      </c>
      <c r="I4668" s="12">
        <v>0</v>
      </c>
      <c r="J4668" s="11"/>
      <c r="K4668" s="12">
        <v>0</v>
      </c>
      <c r="L4668" s="10" t="str">
        <f t="shared" ref="L4668:L4679" si="466">HYPERLINK("https://otsuka-europe-crm.veevavault.com/ui/#object/approved_document__v/V5O000000018003", "AE dialoghi di tempo fiducia e cura episodi 2-3-4")</f>
        <v>AE dialoghi di tempo fiducia e cura episodi 2-3-4</v>
      </c>
      <c r="M4668" s="10" t="str">
        <f t="shared" ref="M4668:M4679" si="467">HYPERLINK("mailto:nicoletta.vozza@crm.otsuka-europe.com", "nicoletta.vozza@crm.otsuka-europe.com")</f>
        <v>nicoletta.vozza@crm.otsuka-europe.com</v>
      </c>
      <c r="N4668" s="13">
        <v>46181.33803240741</v>
      </c>
      <c r="O4668" s="14" t="str">
        <f>HYPERLINK("https://otsuka-europe-crm.veevavault.com/ui/#object/email_activity__v/V8C00000003O472", "EN-002090028")</f>
        <v>EN-002090028</v>
      </c>
    </row>
    <row r="4669" spans="1:15" ht="32" x14ac:dyDescent="0.2">
      <c r="A4669" s="7" t="str">
        <f>HYPERLINK("https://otsuka-europe-crm.veevavault.com/ui/#object/account__v/V4TZ06G6O71SCD3", "NUNZIA CIPRIANO")</f>
        <v>NUNZIA CIPRIANO</v>
      </c>
      <c r="B4669" s="7" t="str">
        <f t="shared" si="464"/>
        <v>IT</v>
      </c>
      <c r="C4669" s="8" t="s">
        <v>44</v>
      </c>
      <c r="D4669" s="9" t="str">
        <f t="shared" si="465"/>
        <v>AE dialoghi di tempo fiducia e cura episodi 2-3-4</v>
      </c>
      <c r="E4669" s="10" t="str">
        <f>HYPERLINK("https://otsuka-europe-crm.veevavault.com/ui/#object/sent_email__v/VBL00000002P855", "SE-001433525")</f>
        <v>SE-001433525</v>
      </c>
      <c r="F4669" s="11"/>
      <c r="G4669" s="12">
        <v>0</v>
      </c>
      <c r="H4669" s="12">
        <v>0</v>
      </c>
      <c r="I4669" s="12">
        <v>0</v>
      </c>
      <c r="J4669" s="11"/>
      <c r="K4669" s="12">
        <v>0</v>
      </c>
      <c r="L4669" s="10" t="str">
        <f t="shared" si="466"/>
        <v>AE dialoghi di tempo fiducia e cura episodi 2-3-4</v>
      </c>
      <c r="M4669" s="10" t="str">
        <f t="shared" si="467"/>
        <v>nicoletta.vozza@crm.otsuka-europe.com</v>
      </c>
      <c r="N4669" s="13">
        <v>46181.33798611111</v>
      </c>
      <c r="O4669" s="14" t="str">
        <f>HYPERLINK("https://otsuka-europe-crm.veevavault.com/ui/#object/email_activity__v/V8C00000003P266", "EN-002089844")</f>
        <v>EN-002089844</v>
      </c>
    </row>
    <row r="4670" spans="1:15" ht="32" x14ac:dyDescent="0.2">
      <c r="A4670" s="7" t="str">
        <f>HYPERLINK("https://otsuka-europe-crm.veevavault.com/ui/#object/account__v/V4TZ025E87J9B9Z", "NUNZIA PAOLA SALLUSTO")</f>
        <v>NUNZIA PAOLA SALLUSTO</v>
      </c>
      <c r="B4670" s="7" t="str">
        <f t="shared" si="464"/>
        <v>IT</v>
      </c>
      <c r="C4670" s="8" t="s">
        <v>44</v>
      </c>
      <c r="D4670" s="9" t="str">
        <f t="shared" si="465"/>
        <v>AE dialoghi di tempo fiducia e cura episodi 2-3-4</v>
      </c>
      <c r="E4670" s="10" t="str">
        <f>HYPERLINK("https://otsuka-europe-crm.veevavault.com/ui/#object/sent_email__v/VBL00000002P856", "SE-001433526")</f>
        <v>SE-001433526</v>
      </c>
      <c r="F4670" s="11"/>
      <c r="G4670" s="12">
        <v>0</v>
      </c>
      <c r="H4670" s="12">
        <v>0</v>
      </c>
      <c r="I4670" s="12">
        <v>0</v>
      </c>
      <c r="J4670" s="11"/>
      <c r="K4670" s="12">
        <v>0</v>
      </c>
      <c r="L4670" s="10" t="str">
        <f t="shared" si="466"/>
        <v>AE dialoghi di tempo fiducia e cura episodi 2-3-4</v>
      </c>
      <c r="M4670" s="10" t="str">
        <f t="shared" si="467"/>
        <v>nicoletta.vozza@crm.otsuka-europe.com</v>
      </c>
      <c r="N4670" s="13">
        <v>46181.33797453704</v>
      </c>
      <c r="O4670" s="14" t="str">
        <f>HYPERLINK("https://otsuka-europe-crm.veevavault.com/ui/#object/email_activity__v/V8C00000003P858", "EN-002091274")</f>
        <v>EN-002091274</v>
      </c>
    </row>
    <row r="4671" spans="1:15" ht="32" x14ac:dyDescent="0.2">
      <c r="A4671" s="7" t="str">
        <f>HYPERLINK("https://otsuka-europe-crm.veevavault.com/ui/#object/account__v/V4TZ06G6O71SAL5", "NUNZIATINA COPPOLA")</f>
        <v>NUNZIATINA COPPOLA</v>
      </c>
      <c r="B4671" s="7" t="str">
        <f t="shared" si="464"/>
        <v>IT</v>
      </c>
      <c r="C4671" s="8" t="s">
        <v>44</v>
      </c>
      <c r="D4671" s="9" t="str">
        <f t="shared" si="465"/>
        <v>AE dialoghi di tempo fiducia e cura episodi 2-3-4</v>
      </c>
      <c r="E4671" s="10" t="str">
        <f>HYPERLINK("https://otsuka-europe-crm.veevavault.com/ui/#object/sent_email__v/VBL00000002P857", "SE-001433527")</f>
        <v>SE-001433527</v>
      </c>
      <c r="F4671" s="11"/>
      <c r="G4671" s="12">
        <v>0</v>
      </c>
      <c r="H4671" s="12">
        <v>0</v>
      </c>
      <c r="I4671" s="12">
        <v>0</v>
      </c>
      <c r="J4671" s="11"/>
      <c r="K4671" s="12">
        <v>0</v>
      </c>
      <c r="L4671" s="10" t="str">
        <f t="shared" si="466"/>
        <v>AE dialoghi di tempo fiducia e cura episodi 2-3-4</v>
      </c>
      <c r="M4671" s="10" t="str">
        <f t="shared" si="467"/>
        <v>nicoletta.vozza@crm.otsuka-europe.com</v>
      </c>
      <c r="N4671" s="13">
        <v>46181.338020833333</v>
      </c>
      <c r="O4671" s="14" t="str">
        <f>HYPERLINK("https://otsuka-europe-crm.veevavault.com/ui/#object/email_activity__v/V8C00000003O785", "EN-002090445")</f>
        <v>EN-002090445</v>
      </c>
    </row>
    <row r="4672" spans="1:15" ht="32" x14ac:dyDescent="0.2">
      <c r="A4672" s="7" t="str">
        <f>HYPERLINK("https://otsuka-europe-crm.veevavault.com/ui/#object/account__v/V4TZ06G6O71S9SH", "NUNZIO BUCOLO")</f>
        <v>NUNZIO BUCOLO</v>
      </c>
      <c r="B4672" s="7" t="str">
        <f t="shared" si="464"/>
        <v>IT</v>
      </c>
      <c r="C4672" s="8" t="s">
        <v>44</v>
      </c>
      <c r="D4672" s="9" t="str">
        <f t="shared" si="465"/>
        <v>AE dialoghi di tempo fiducia e cura episodi 2-3-4</v>
      </c>
      <c r="E4672" s="10" t="str">
        <f>HYPERLINK("https://otsuka-europe-crm.veevavault.com/ui/#object/sent_email__v/VBL00000002P858", "SE-001433528")</f>
        <v>SE-001433528</v>
      </c>
      <c r="F4672" s="11"/>
      <c r="G4672" s="12">
        <v>0</v>
      </c>
      <c r="H4672" s="12">
        <v>0</v>
      </c>
      <c r="I4672" s="12">
        <v>0</v>
      </c>
      <c r="J4672" s="11"/>
      <c r="K4672" s="12">
        <v>0</v>
      </c>
      <c r="L4672" s="10" t="str">
        <f t="shared" si="466"/>
        <v>AE dialoghi di tempo fiducia e cura episodi 2-3-4</v>
      </c>
      <c r="M4672" s="10" t="str">
        <f t="shared" si="467"/>
        <v>nicoletta.vozza@crm.otsuka-europe.com</v>
      </c>
      <c r="N4672" s="13">
        <v>46181.338055555556</v>
      </c>
      <c r="O4672" s="14" t="str">
        <f>HYPERLINK("https://otsuka-europe-crm.veevavault.com/ui/#object/email_activity__v/V8C00000003P529", "EN-002090784")</f>
        <v>EN-002090784</v>
      </c>
    </row>
    <row r="4673" spans="1:15" ht="32" x14ac:dyDescent="0.2">
      <c r="A4673" s="7" t="str">
        <f>HYPERLINK("https://otsuka-europe-crm.veevavault.com/ui/#object/account__v/V4TZ06G6O71SASU", "OLGA SOFIA SCHIAFFINO")</f>
        <v>OLGA SOFIA SCHIAFFINO</v>
      </c>
      <c r="B4673" s="7" t="str">
        <f t="shared" si="464"/>
        <v>IT</v>
      </c>
      <c r="C4673" s="8" t="s">
        <v>44</v>
      </c>
      <c r="D4673" s="9" t="str">
        <f t="shared" si="465"/>
        <v>AE dialoghi di tempo fiducia e cura episodi 2-3-4</v>
      </c>
      <c r="E4673" s="10" t="str">
        <f>HYPERLINK("https://otsuka-europe-crm.veevavault.com/ui/#object/sent_email__v/VBL00000002P859", "SE-001433529")</f>
        <v>SE-001433529</v>
      </c>
      <c r="F4673" s="11"/>
      <c r="G4673" s="12">
        <v>0</v>
      </c>
      <c r="H4673" s="12">
        <v>0</v>
      </c>
      <c r="I4673" s="12">
        <v>0</v>
      </c>
      <c r="J4673" s="11"/>
      <c r="K4673" s="12">
        <v>0</v>
      </c>
      <c r="L4673" s="10" t="str">
        <f t="shared" si="466"/>
        <v>AE dialoghi di tempo fiducia e cura episodi 2-3-4</v>
      </c>
      <c r="M4673" s="10" t="str">
        <f t="shared" si="467"/>
        <v>nicoletta.vozza@crm.otsuka-europe.com</v>
      </c>
      <c r="N4673" s="13">
        <v>46181.337997685187</v>
      </c>
      <c r="O4673" s="14" t="str">
        <f>HYPERLINK("https://otsuka-europe-crm.veevavault.com/ui/#object/email_activity__v/V8C00000003O199", "EN-002089636")</f>
        <v>EN-002089636</v>
      </c>
    </row>
    <row r="4674" spans="1:15" ht="32" x14ac:dyDescent="0.2">
      <c r="A4674" s="7" t="str">
        <f>HYPERLINK("https://otsuka-europe-crm.veevavault.com/ui/#object/account__v/V4TZ025E86JILWJ", "OLIVIERO VILLA")</f>
        <v>OLIVIERO VILLA</v>
      </c>
      <c r="B4674" s="7" t="str">
        <f t="shared" si="464"/>
        <v>IT</v>
      </c>
      <c r="C4674" s="8" t="s">
        <v>44</v>
      </c>
      <c r="D4674" s="9" t="str">
        <f t="shared" si="465"/>
        <v>AE dialoghi di tempo fiducia e cura episodi 2-3-4</v>
      </c>
      <c r="E4674" s="10" t="str">
        <f>HYPERLINK("https://otsuka-europe-crm.veevavault.com/ui/#object/sent_email__v/VBL00000002P860", "SE-001433530")</f>
        <v>SE-001433530</v>
      </c>
      <c r="F4674" s="11"/>
      <c r="G4674" s="12">
        <v>0</v>
      </c>
      <c r="H4674" s="12">
        <v>0</v>
      </c>
      <c r="I4674" s="12">
        <v>0</v>
      </c>
      <c r="J4674" s="11"/>
      <c r="K4674" s="12">
        <v>0</v>
      </c>
      <c r="L4674" s="10" t="str">
        <f t="shared" si="466"/>
        <v>AE dialoghi di tempo fiducia e cura episodi 2-3-4</v>
      </c>
      <c r="M4674" s="10" t="str">
        <f t="shared" si="467"/>
        <v>nicoletta.vozza@crm.otsuka-europe.com</v>
      </c>
      <c r="N4674" s="13">
        <v>46181.338020833333</v>
      </c>
      <c r="O4674" s="14" t="str">
        <f>HYPERLINK("https://otsuka-europe-crm.veevavault.com/ui/#object/email_activity__v/V8C00000003O756", "EN-002090312")</f>
        <v>EN-002090312</v>
      </c>
    </row>
    <row r="4675" spans="1:15" ht="32" x14ac:dyDescent="0.2">
      <c r="A4675" s="7" t="str">
        <f>HYPERLINK("https://otsuka-europe-crm.veevavault.com/ui/#object/account__v/V4TZ06G6O71SAI1", "OMBRETTA CHIARLONE")</f>
        <v>OMBRETTA CHIARLONE</v>
      </c>
      <c r="B4675" s="7" t="str">
        <f t="shared" si="464"/>
        <v>IT</v>
      </c>
      <c r="C4675" s="8" t="s">
        <v>44</v>
      </c>
      <c r="D4675" s="9" t="str">
        <f t="shared" si="465"/>
        <v>AE dialoghi di tempo fiducia e cura episodi 2-3-4</v>
      </c>
      <c r="E4675" s="10" t="str">
        <f>HYPERLINK("https://otsuka-europe-crm.veevavault.com/ui/#object/sent_email__v/VBL00000002P861", "SE-001433531")</f>
        <v>SE-001433531</v>
      </c>
      <c r="F4675" s="11"/>
      <c r="G4675" s="12">
        <v>0</v>
      </c>
      <c r="H4675" s="12">
        <v>0</v>
      </c>
      <c r="I4675" s="12">
        <v>0</v>
      </c>
      <c r="J4675" s="11"/>
      <c r="K4675" s="12">
        <v>0</v>
      </c>
      <c r="L4675" s="10" t="str">
        <f t="shared" si="466"/>
        <v>AE dialoghi di tempo fiducia e cura episodi 2-3-4</v>
      </c>
      <c r="M4675" s="10" t="str">
        <f t="shared" si="467"/>
        <v>nicoletta.vozza@crm.otsuka-europe.com</v>
      </c>
      <c r="N4675" s="13">
        <v>46181.338020833333</v>
      </c>
      <c r="O4675" s="14" t="str">
        <f>HYPERLINK("https://otsuka-europe-crm.veevavault.com/ui/#object/email_activity__v/V8C00000003O641", "EN-002090197")</f>
        <v>EN-002090197</v>
      </c>
    </row>
    <row r="4676" spans="1:15" ht="32" x14ac:dyDescent="0.2">
      <c r="A4676" s="7" t="str">
        <f>HYPERLINK("https://otsuka-europe-crm.veevavault.com/ui/#object/account__v/V4TZ06G6O71SAVU", "ONOFRIO SALVATORE FALLETTA")</f>
        <v>ONOFRIO SALVATORE FALLETTA</v>
      </c>
      <c r="B4676" s="7" t="str">
        <f t="shared" si="464"/>
        <v>IT</v>
      </c>
      <c r="C4676" s="8" t="s">
        <v>44</v>
      </c>
      <c r="D4676" s="9" t="str">
        <f t="shared" si="465"/>
        <v>AE dialoghi di tempo fiducia e cura episodi 2-3-4</v>
      </c>
      <c r="E4676" s="10" t="str">
        <f>HYPERLINK("https://otsuka-europe-crm.veevavault.com/ui/#object/sent_email__v/VBL00000002P862", "SE-001433532")</f>
        <v>SE-001433532</v>
      </c>
      <c r="F4676" s="11"/>
      <c r="G4676" s="12">
        <v>0</v>
      </c>
      <c r="H4676" s="12">
        <v>0</v>
      </c>
      <c r="I4676" s="12">
        <v>0</v>
      </c>
      <c r="J4676" s="11"/>
      <c r="K4676" s="12">
        <v>0</v>
      </c>
      <c r="L4676" s="10" t="str">
        <f t="shared" si="466"/>
        <v>AE dialoghi di tempo fiducia e cura episodi 2-3-4</v>
      </c>
      <c r="M4676" s="10" t="str">
        <f t="shared" si="467"/>
        <v>nicoletta.vozza@crm.otsuka-europe.com</v>
      </c>
      <c r="N4676" s="13">
        <v>46181.338020833333</v>
      </c>
      <c r="O4676" s="14" t="str">
        <f>HYPERLINK("https://otsuka-europe-crm.veevavault.com/ui/#object/email_activity__v/V8C00000003O969", "EN-002090629")</f>
        <v>EN-002090629</v>
      </c>
    </row>
    <row r="4677" spans="1:15" ht="32" x14ac:dyDescent="0.2">
      <c r="A4677" s="7" t="str">
        <f>HYPERLINK("https://otsuka-europe-crm.veevavault.com/ui/#object/account__v/V4TZ06G6O71S9WY", "ORAZIO ANTONUCCIO")</f>
        <v>ORAZIO ANTONUCCIO</v>
      </c>
      <c r="B4677" s="7" t="str">
        <f t="shared" si="464"/>
        <v>IT</v>
      </c>
      <c r="C4677" s="8" t="s">
        <v>44</v>
      </c>
      <c r="D4677" s="9" t="str">
        <f t="shared" si="465"/>
        <v>AE dialoghi di tempo fiducia e cura episodi 2-3-4</v>
      </c>
      <c r="E4677" s="10" t="str">
        <f>HYPERLINK("https://otsuka-europe-crm.veevavault.com/ui/#object/sent_email__v/VBL00000002P863", "SE-001433533")</f>
        <v>SE-001433533</v>
      </c>
      <c r="F4677" s="11"/>
      <c r="G4677" s="12">
        <v>0</v>
      </c>
      <c r="H4677" s="12">
        <v>0</v>
      </c>
      <c r="I4677" s="12">
        <v>0</v>
      </c>
      <c r="J4677" s="11"/>
      <c r="K4677" s="12">
        <v>0</v>
      </c>
      <c r="L4677" s="10" t="str">
        <f t="shared" si="466"/>
        <v>AE dialoghi di tempo fiducia e cura episodi 2-3-4</v>
      </c>
      <c r="M4677" s="10" t="str">
        <f t="shared" si="467"/>
        <v>nicoletta.vozza@crm.otsuka-europe.com</v>
      </c>
      <c r="N4677" s="13">
        <v>46181.337962962964</v>
      </c>
      <c r="O4677" s="14" t="str">
        <f>HYPERLINK("https://otsuka-europe-crm.veevavault.com/ui/#object/email_activity__v/V8C00000003O276", "EN-002089753")</f>
        <v>EN-002089753</v>
      </c>
    </row>
    <row r="4678" spans="1:15" ht="32" x14ac:dyDescent="0.2">
      <c r="A4678" s="7" t="str">
        <f>HYPERLINK("https://otsuka-europe-crm.veevavault.com/ui/#object/account__v/V4TZ06G6O71SBWB", "ORFEFS PIPEROPOULOS")</f>
        <v>ORFEFS PIPEROPOULOS</v>
      </c>
      <c r="B4678" s="7" t="str">
        <f t="shared" si="464"/>
        <v>IT</v>
      </c>
      <c r="C4678" s="8" t="s">
        <v>44</v>
      </c>
      <c r="D4678" s="9" t="str">
        <f t="shared" si="465"/>
        <v>AE dialoghi di tempo fiducia e cura episodi 2-3-4</v>
      </c>
      <c r="E4678" s="10" t="str">
        <f>HYPERLINK("https://otsuka-europe-crm.veevavault.com/ui/#object/sent_email__v/VBL00000002P864", "SE-001433534")</f>
        <v>SE-001433534</v>
      </c>
      <c r="F4678" s="11"/>
      <c r="G4678" s="12">
        <v>0</v>
      </c>
      <c r="H4678" s="12">
        <v>0</v>
      </c>
      <c r="I4678" s="12">
        <v>0</v>
      </c>
      <c r="J4678" s="11"/>
      <c r="K4678" s="12">
        <v>0</v>
      </c>
      <c r="L4678" s="10" t="str">
        <f t="shared" si="466"/>
        <v>AE dialoghi di tempo fiducia e cura episodi 2-3-4</v>
      </c>
      <c r="M4678" s="10" t="str">
        <f t="shared" si="467"/>
        <v>nicoletta.vozza@crm.otsuka-europe.com</v>
      </c>
      <c r="N4678" s="13">
        <v>46181.338043981479</v>
      </c>
      <c r="O4678" s="14" t="str">
        <f>HYPERLINK("https://otsuka-europe-crm.veevavault.com/ui/#object/email_activity__v/V8C00000003P756", "EN-002091054")</f>
        <v>EN-002091054</v>
      </c>
    </row>
    <row r="4679" spans="1:15" ht="16" x14ac:dyDescent="0.2">
      <c r="A4679" s="17" t="str">
        <f>HYPERLINK("https://otsuka-europe-crm.veevavault.com/ui/#object/account__v/V4TZ06G6O71S9CM", "ORIANA BIANCHINI")</f>
        <v>ORIANA BIANCHINI</v>
      </c>
      <c r="B4679" s="17" t="str">
        <f t="shared" si="464"/>
        <v>IT</v>
      </c>
      <c r="C4679" s="20" t="s">
        <v>44</v>
      </c>
      <c r="D4679" s="21" t="str">
        <f t="shared" si="465"/>
        <v>AE dialoghi di tempo fiducia e cura episodi 2-3-4</v>
      </c>
      <c r="E4679" s="22" t="str">
        <f>HYPERLINK("https://otsuka-europe-crm.veevavault.com/ui/#object/sent_email__v/VBL00000002P865", "SE-001433535")</f>
        <v>SE-001433535</v>
      </c>
      <c r="F4679" s="23">
        <v>46184.702245370368</v>
      </c>
      <c r="G4679" s="24">
        <v>1</v>
      </c>
      <c r="H4679" s="24">
        <v>6</v>
      </c>
      <c r="I4679" s="24">
        <v>0</v>
      </c>
      <c r="J4679" s="25"/>
      <c r="K4679" s="24">
        <v>0</v>
      </c>
      <c r="L4679" s="22" t="str">
        <f t="shared" si="466"/>
        <v>AE dialoghi di tempo fiducia e cura episodi 2-3-4</v>
      </c>
      <c r="M4679" s="22" t="str">
        <f t="shared" si="467"/>
        <v>nicoletta.vozza@crm.otsuka-europe.com</v>
      </c>
      <c r="N4679" s="23">
        <v>46181.338020833333</v>
      </c>
      <c r="O4679" s="14" t="str">
        <f>HYPERLINK("https://otsuka-europe-crm.veevavault.com/ui/#object/email_activity__v/V8C00000003O873", "EN-002090476")</f>
        <v>EN-002090476</v>
      </c>
    </row>
    <row r="4680" spans="1:15" ht="16" x14ac:dyDescent="0.2">
      <c r="A4680" s="18"/>
      <c r="B4680" s="18"/>
      <c r="C4680" s="18"/>
      <c r="D4680" s="18"/>
      <c r="E4680" s="18"/>
      <c r="F4680" s="18"/>
      <c r="G4680" s="18"/>
      <c r="H4680" s="18"/>
      <c r="I4680" s="18"/>
      <c r="J4680" s="18"/>
      <c r="K4680" s="18"/>
      <c r="L4680" s="18"/>
      <c r="M4680" s="18"/>
      <c r="N4680" s="18"/>
      <c r="O4680" s="14" t="str">
        <f>HYPERLINK("https://otsuka-europe-crm.veevavault.com/ui/#object/email_activity__v/V8C00000003R113", "EN-002091894")</f>
        <v>EN-002091894</v>
      </c>
    </row>
    <row r="4681" spans="1:15" ht="16" x14ac:dyDescent="0.2">
      <c r="A4681" s="18"/>
      <c r="B4681" s="18"/>
      <c r="C4681" s="18"/>
      <c r="D4681" s="18"/>
      <c r="E4681" s="18"/>
      <c r="F4681" s="18"/>
      <c r="G4681" s="18"/>
      <c r="H4681" s="18"/>
      <c r="I4681" s="18"/>
      <c r="J4681" s="18"/>
      <c r="K4681" s="18"/>
      <c r="L4681" s="18"/>
      <c r="M4681" s="18"/>
      <c r="N4681" s="18"/>
      <c r="O4681" s="14" t="str">
        <f>HYPERLINK("https://otsuka-europe-crm.veevavault.com/ui/#object/email_activity__v/V8C00000003R300", "EN-002092236")</f>
        <v>EN-002092236</v>
      </c>
    </row>
    <row r="4682" spans="1:15" ht="16" x14ac:dyDescent="0.2">
      <c r="A4682" s="18"/>
      <c r="B4682" s="18"/>
      <c r="C4682" s="18"/>
      <c r="D4682" s="18"/>
      <c r="E4682" s="18"/>
      <c r="F4682" s="18"/>
      <c r="G4682" s="18"/>
      <c r="H4682" s="18"/>
      <c r="I4682" s="18"/>
      <c r="J4682" s="18"/>
      <c r="K4682" s="18"/>
      <c r="L4682" s="18"/>
      <c r="M4682" s="18"/>
      <c r="N4682" s="18"/>
      <c r="O4682" s="14" t="str">
        <f>HYPERLINK("https://otsuka-europe-crm.veevavault.com/ui/#object/email_activity__v/V8C00000003R722", "EN-002093071")</f>
        <v>EN-002093071</v>
      </c>
    </row>
    <row r="4683" spans="1:15" ht="16" x14ac:dyDescent="0.2">
      <c r="A4683" s="18"/>
      <c r="B4683" s="18"/>
      <c r="C4683" s="18"/>
      <c r="D4683" s="18"/>
      <c r="E4683" s="18"/>
      <c r="F4683" s="18"/>
      <c r="G4683" s="18"/>
      <c r="H4683" s="18"/>
      <c r="I4683" s="18"/>
      <c r="J4683" s="18"/>
      <c r="K4683" s="18"/>
      <c r="L4683" s="18"/>
      <c r="M4683" s="18"/>
      <c r="N4683" s="18"/>
      <c r="O4683" s="14" t="str">
        <f>HYPERLINK("https://otsuka-europe-crm.veevavault.com/ui/#object/email_activity__v/V8C00000003R746", "EN-002093095")</f>
        <v>EN-002093095</v>
      </c>
    </row>
    <row r="4684" spans="1:15" ht="16" x14ac:dyDescent="0.2">
      <c r="A4684" s="18"/>
      <c r="B4684" s="18"/>
      <c r="C4684" s="18"/>
      <c r="D4684" s="18"/>
      <c r="E4684" s="18"/>
      <c r="F4684" s="18"/>
      <c r="G4684" s="18"/>
      <c r="H4684" s="18"/>
      <c r="I4684" s="18"/>
      <c r="J4684" s="18"/>
      <c r="K4684" s="18"/>
      <c r="L4684" s="18"/>
      <c r="M4684" s="18"/>
      <c r="N4684" s="18"/>
      <c r="O4684" s="14" t="str">
        <f>HYPERLINK("https://otsuka-europe-crm.veevavault.com/ui/#object/email_activity__v/V8C00000003S915", "EN-002094686")</f>
        <v>EN-002094686</v>
      </c>
    </row>
    <row r="4685" spans="1:15" ht="16" x14ac:dyDescent="0.2">
      <c r="A4685" s="19"/>
      <c r="B4685" s="19"/>
      <c r="C4685" s="19"/>
      <c r="D4685" s="19"/>
      <c r="E4685" s="19"/>
      <c r="F4685" s="19"/>
      <c r="G4685" s="19"/>
      <c r="H4685" s="19"/>
      <c r="I4685" s="19"/>
      <c r="J4685" s="19"/>
      <c r="K4685" s="19"/>
      <c r="L4685" s="19"/>
      <c r="M4685" s="19"/>
      <c r="N4685" s="19"/>
      <c r="O4685" s="14" t="str">
        <f>HYPERLINK("https://otsuka-europe-crm.veevavault.com/ui/#object/email_activity__v/V8C00000003S959", "EN-002094764")</f>
        <v>EN-002094764</v>
      </c>
    </row>
    <row r="4686" spans="1:15" ht="32" x14ac:dyDescent="0.2">
      <c r="A4686" s="7" t="str">
        <f>HYPERLINK("https://otsuka-europe-crm.veevavault.com/ui/#object/account__v/V4TZ06G6O71SCOI", "ORIS VALLETTA")</f>
        <v>ORIS VALLETTA</v>
      </c>
      <c r="B4686" s="7" t="str">
        <f t="shared" ref="B4686:B4695" si="468">HYPERLINK("https://otsuka-europe-crm.veevavault.com/ui/#object/vcountry__v/VENZ000004SONFQ", "IT")</f>
        <v>IT</v>
      </c>
      <c r="C4686" s="8" t="s">
        <v>44</v>
      </c>
      <c r="D4686" s="9" t="str">
        <f t="shared" ref="D4686:D4695" si="469">HYPERLINK("https://otsuka-europe-crm.veevavault.com/ui/#object/approved_document__v/V5O000000018003", "AE dialoghi di tempo fiducia e cura episodi 2-3-4")</f>
        <v>AE dialoghi di tempo fiducia e cura episodi 2-3-4</v>
      </c>
      <c r="E4686" s="10" t="str">
        <f>HYPERLINK("https://otsuka-europe-crm.veevavault.com/ui/#object/sent_email__v/VBL00000002P866", "SE-001433536")</f>
        <v>SE-001433536</v>
      </c>
      <c r="F4686" s="11"/>
      <c r="G4686" s="12">
        <v>0</v>
      </c>
      <c r="H4686" s="12">
        <v>0</v>
      </c>
      <c r="I4686" s="12">
        <v>0</v>
      </c>
      <c r="J4686" s="11"/>
      <c r="K4686" s="12">
        <v>0</v>
      </c>
      <c r="L4686" s="10" t="str">
        <f t="shared" ref="L4686:L4695" si="470">HYPERLINK("https://otsuka-europe-crm.veevavault.com/ui/#object/approved_document__v/V5O000000018003", "AE dialoghi di tempo fiducia e cura episodi 2-3-4")</f>
        <v>AE dialoghi di tempo fiducia e cura episodi 2-3-4</v>
      </c>
      <c r="M4686" s="10" t="str">
        <f t="shared" ref="M4686:M4695" si="471">HYPERLINK("mailto:nicoletta.vozza@crm.otsuka-europe.com", "nicoletta.vozza@crm.otsuka-europe.com")</f>
        <v>nicoletta.vozza@crm.otsuka-europe.com</v>
      </c>
      <c r="N4686" s="13">
        <v>46181.33798611111</v>
      </c>
      <c r="O4686" s="14" t="str">
        <f>HYPERLINK("https://otsuka-europe-crm.veevavault.com/ui/#object/email_activity__v/V8C00000003P294", "EN-002089930")</f>
        <v>EN-002089930</v>
      </c>
    </row>
    <row r="4687" spans="1:15" ht="32" x14ac:dyDescent="0.2">
      <c r="A4687" s="7" t="str">
        <f>HYPERLINK("https://otsuka-europe-crm.veevavault.com/ui/#object/account__v/V4TZ025E87PRNXG", "ORLANDO GIOVANNI BATTISTA CANTALUPO")</f>
        <v>ORLANDO GIOVANNI BATTISTA CANTALUPO</v>
      </c>
      <c r="B4687" s="7" t="str">
        <f t="shared" si="468"/>
        <v>IT</v>
      </c>
      <c r="C4687" s="8" t="s">
        <v>44</v>
      </c>
      <c r="D4687" s="9" t="str">
        <f t="shared" si="469"/>
        <v>AE dialoghi di tempo fiducia e cura episodi 2-3-4</v>
      </c>
      <c r="E4687" s="10" t="str">
        <f>HYPERLINK("https://otsuka-europe-crm.veevavault.com/ui/#object/sent_email__v/VBL00000002P867", "SE-001433537")</f>
        <v>SE-001433537</v>
      </c>
      <c r="F4687" s="11"/>
      <c r="G4687" s="12">
        <v>0</v>
      </c>
      <c r="H4687" s="12">
        <v>0</v>
      </c>
      <c r="I4687" s="12">
        <v>0</v>
      </c>
      <c r="J4687" s="11"/>
      <c r="K4687" s="12">
        <v>0</v>
      </c>
      <c r="L4687" s="10" t="str">
        <f t="shared" si="470"/>
        <v>AE dialoghi di tempo fiducia e cura episodi 2-3-4</v>
      </c>
      <c r="M4687" s="10" t="str">
        <f t="shared" si="471"/>
        <v>nicoletta.vozza@crm.otsuka-europe.com</v>
      </c>
      <c r="N4687" s="13">
        <v>46181.338009259256</v>
      </c>
      <c r="O4687" s="14" t="str">
        <f>HYPERLINK("https://otsuka-europe-crm.veevavault.com/ui/#object/email_activity__v/V8C00000003P567", "EN-002090822")</f>
        <v>EN-002090822</v>
      </c>
    </row>
    <row r="4688" spans="1:15" ht="32" x14ac:dyDescent="0.2">
      <c r="A4688" s="7" t="str">
        <f>HYPERLINK("https://otsuka-europe-crm.veevavault.com/ui/#object/account__v/V4TZ06G6O9VHCW4", "ORNELLA CAMPESE")</f>
        <v>ORNELLA CAMPESE</v>
      </c>
      <c r="B4688" s="7" t="str">
        <f t="shared" si="468"/>
        <v>IT</v>
      </c>
      <c r="C4688" s="8" t="s">
        <v>44</v>
      </c>
      <c r="D4688" s="9" t="str">
        <f t="shared" si="469"/>
        <v>AE dialoghi di tempo fiducia e cura episodi 2-3-4</v>
      </c>
      <c r="E4688" s="10" t="str">
        <f>HYPERLINK("https://otsuka-europe-crm.veevavault.com/ui/#object/sent_email__v/VBL00000002P868", "SE-001433538")</f>
        <v>SE-001433538</v>
      </c>
      <c r="F4688" s="11"/>
      <c r="G4688" s="12">
        <v>0</v>
      </c>
      <c r="H4688" s="12">
        <v>0</v>
      </c>
      <c r="I4688" s="12">
        <v>0</v>
      </c>
      <c r="J4688" s="11"/>
      <c r="K4688" s="12">
        <v>0</v>
      </c>
      <c r="L4688" s="10" t="str">
        <f t="shared" si="470"/>
        <v>AE dialoghi di tempo fiducia e cura episodi 2-3-4</v>
      </c>
      <c r="M4688" s="10" t="str">
        <f t="shared" si="471"/>
        <v>nicoletta.vozza@crm.otsuka-europe.com</v>
      </c>
      <c r="N4688" s="13">
        <v>46181.33797453704</v>
      </c>
      <c r="O4688" s="14" t="str">
        <f>HYPERLINK("https://otsuka-europe-crm.veevavault.com/ui/#object/email_activity__v/V8C00000003O229", "EN-002089706")</f>
        <v>EN-002089706</v>
      </c>
    </row>
    <row r="4689" spans="1:15" ht="32" x14ac:dyDescent="0.2">
      <c r="A4689" s="7" t="str">
        <f>HYPERLINK("https://otsuka-europe-crm.veevavault.com/ui/#object/account__v/V4TZ06G6O71SAN8", "OSCAR FUSI")</f>
        <v>OSCAR FUSI</v>
      </c>
      <c r="B4689" s="7" t="str">
        <f t="shared" si="468"/>
        <v>IT</v>
      </c>
      <c r="C4689" s="8" t="s">
        <v>44</v>
      </c>
      <c r="D4689" s="9" t="str">
        <f t="shared" si="469"/>
        <v>AE dialoghi di tempo fiducia e cura episodi 2-3-4</v>
      </c>
      <c r="E4689" s="10" t="str">
        <f>HYPERLINK("https://otsuka-europe-crm.veevavault.com/ui/#object/sent_email__v/VBL00000002P869", "SE-001433539")</f>
        <v>SE-001433539</v>
      </c>
      <c r="F4689" s="11"/>
      <c r="G4689" s="12">
        <v>0</v>
      </c>
      <c r="H4689" s="12">
        <v>0</v>
      </c>
      <c r="I4689" s="12">
        <v>0</v>
      </c>
      <c r="J4689" s="11"/>
      <c r="K4689" s="12">
        <v>0</v>
      </c>
      <c r="L4689" s="10" t="str">
        <f t="shared" si="470"/>
        <v>AE dialoghi di tempo fiducia e cura episodi 2-3-4</v>
      </c>
      <c r="M4689" s="10" t="str">
        <f t="shared" si="471"/>
        <v>nicoletta.vozza@crm.otsuka-europe.com</v>
      </c>
      <c r="N4689" s="13">
        <v>46181.338090277779</v>
      </c>
      <c r="O4689" s="14" t="str">
        <f>HYPERLINK("https://otsuka-europe-crm.veevavault.com/ui/#object/email_activity__v/V8C00000003P715", "EN-002090970")</f>
        <v>EN-002090970</v>
      </c>
    </row>
    <row r="4690" spans="1:15" ht="32" x14ac:dyDescent="0.2">
      <c r="A4690" s="7" t="str">
        <f>HYPERLINK("https://otsuka-europe-crm.veevavault.com/ui/#object/account__v/V4TZ06G6O71SCCG", "PANAGIOTIS SIDERIS")</f>
        <v>PANAGIOTIS SIDERIS</v>
      </c>
      <c r="B4690" s="7" t="str">
        <f t="shared" si="468"/>
        <v>IT</v>
      </c>
      <c r="C4690" s="8" t="s">
        <v>44</v>
      </c>
      <c r="D4690" s="9" t="str">
        <f t="shared" si="469"/>
        <v>AE dialoghi di tempo fiducia e cura episodi 2-3-4</v>
      </c>
      <c r="E4690" s="10" t="str">
        <f>HYPERLINK("https://otsuka-europe-crm.veevavault.com/ui/#object/sent_email__v/VBL00000002P870", "SE-001433540")</f>
        <v>SE-001433540</v>
      </c>
      <c r="F4690" s="11"/>
      <c r="G4690" s="12">
        <v>0</v>
      </c>
      <c r="H4690" s="12">
        <v>0</v>
      </c>
      <c r="I4690" s="12">
        <v>0</v>
      </c>
      <c r="J4690" s="11"/>
      <c r="K4690" s="12">
        <v>0</v>
      </c>
      <c r="L4690" s="10" t="str">
        <f t="shared" si="470"/>
        <v>AE dialoghi di tempo fiducia e cura episodi 2-3-4</v>
      </c>
      <c r="M4690" s="10" t="str">
        <f t="shared" si="471"/>
        <v>nicoletta.vozza@crm.otsuka-europe.com</v>
      </c>
      <c r="N4690" s="13">
        <v>46181.338101851848</v>
      </c>
      <c r="O4690" s="14" t="str">
        <f>HYPERLINK("https://otsuka-europe-crm.veevavault.com/ui/#object/email_activity__v/V8C00000003P637", "EN-002090892")</f>
        <v>EN-002090892</v>
      </c>
    </row>
    <row r="4691" spans="1:15" ht="32" x14ac:dyDescent="0.2">
      <c r="A4691" s="7" t="str">
        <f>HYPERLINK("https://otsuka-europe-crm.veevavault.com/ui/#object/account__v/V4TZ06G6O71S9WG", "PAOLA ALLEMANO")</f>
        <v>PAOLA ALLEMANO</v>
      </c>
      <c r="B4691" s="7" t="str">
        <f t="shared" si="468"/>
        <v>IT</v>
      </c>
      <c r="C4691" s="8" t="s">
        <v>44</v>
      </c>
      <c r="D4691" s="9" t="str">
        <f t="shared" si="469"/>
        <v>AE dialoghi di tempo fiducia e cura episodi 2-3-4</v>
      </c>
      <c r="E4691" s="10" t="str">
        <f>HYPERLINK("https://otsuka-europe-crm.veevavault.com/ui/#object/sent_email__v/VBL00000002P871", "SE-001433541")</f>
        <v>SE-001433541</v>
      </c>
      <c r="F4691" s="11"/>
      <c r="G4691" s="12">
        <v>0</v>
      </c>
      <c r="H4691" s="12">
        <v>0</v>
      </c>
      <c r="I4691" s="12">
        <v>0</v>
      </c>
      <c r="J4691" s="11"/>
      <c r="K4691" s="12">
        <v>0</v>
      </c>
      <c r="L4691" s="10" t="str">
        <f t="shared" si="470"/>
        <v>AE dialoghi di tempo fiducia e cura episodi 2-3-4</v>
      </c>
      <c r="M4691" s="10" t="str">
        <f t="shared" si="471"/>
        <v>nicoletta.vozza@crm.otsuka-europe.com</v>
      </c>
      <c r="N4691" s="13">
        <v>46181.338020833333</v>
      </c>
      <c r="O4691" s="14" t="str">
        <f>HYPERLINK("https://otsuka-europe-crm.veevavault.com/ui/#object/email_activity__v/V8C00000003P696", "EN-002090951")</f>
        <v>EN-002090951</v>
      </c>
    </row>
    <row r="4692" spans="1:15" ht="32" x14ac:dyDescent="0.2">
      <c r="A4692" s="7" t="str">
        <f>HYPERLINK("https://otsuka-europe-crm.veevavault.com/ui/#object/account__v/V4TZ06G6O71S9YP", "PAOLA ARTIOLI")</f>
        <v>PAOLA ARTIOLI</v>
      </c>
      <c r="B4692" s="7" t="str">
        <f t="shared" si="468"/>
        <v>IT</v>
      </c>
      <c r="C4692" s="8" t="s">
        <v>44</v>
      </c>
      <c r="D4692" s="9" t="str">
        <f t="shared" si="469"/>
        <v>AE dialoghi di tempo fiducia e cura episodi 2-3-4</v>
      </c>
      <c r="E4692" s="10" t="str">
        <f>HYPERLINK("https://otsuka-europe-crm.veevavault.com/ui/#object/sent_email__v/VBL00000002P872", "SE-001433542")</f>
        <v>SE-001433542</v>
      </c>
      <c r="F4692" s="11"/>
      <c r="G4692" s="12">
        <v>0</v>
      </c>
      <c r="H4692" s="12">
        <v>0</v>
      </c>
      <c r="I4692" s="12">
        <v>0</v>
      </c>
      <c r="J4692" s="11"/>
      <c r="K4692" s="12">
        <v>0</v>
      </c>
      <c r="L4692" s="10" t="str">
        <f t="shared" si="470"/>
        <v>AE dialoghi di tempo fiducia e cura episodi 2-3-4</v>
      </c>
      <c r="M4692" s="10" t="str">
        <f t="shared" si="471"/>
        <v>nicoletta.vozza@crm.otsuka-europe.com</v>
      </c>
      <c r="N4692" s="13">
        <v>46181.338020833333</v>
      </c>
      <c r="O4692" s="14" t="str">
        <f>HYPERLINK("https://otsuka-europe-crm.veevavault.com/ui/#object/email_activity__v/V8C00000003O481", "EN-002090037")</f>
        <v>EN-002090037</v>
      </c>
    </row>
    <row r="4693" spans="1:15" ht="32" x14ac:dyDescent="0.2">
      <c r="A4693" s="7" t="str">
        <f>HYPERLINK("https://otsuka-europe-crm.veevavault.com/ui/#object/account__v/V4TZ06G6O71SA60", "PAOLA BORDONARO")</f>
        <v>PAOLA BORDONARO</v>
      </c>
      <c r="B4693" s="7" t="str">
        <f t="shared" si="468"/>
        <v>IT</v>
      </c>
      <c r="C4693" s="8" t="s">
        <v>44</v>
      </c>
      <c r="D4693" s="9" t="str">
        <f t="shared" si="469"/>
        <v>AE dialoghi di tempo fiducia e cura episodi 2-3-4</v>
      </c>
      <c r="E4693" s="10" t="str">
        <f>HYPERLINK("https://otsuka-europe-crm.veevavault.com/ui/#object/sent_email__v/VBL00000002P873", "SE-001433543")</f>
        <v>SE-001433543</v>
      </c>
      <c r="F4693" s="11"/>
      <c r="G4693" s="12">
        <v>0</v>
      </c>
      <c r="H4693" s="12">
        <v>0</v>
      </c>
      <c r="I4693" s="12">
        <v>0</v>
      </c>
      <c r="J4693" s="11"/>
      <c r="K4693" s="12">
        <v>0</v>
      </c>
      <c r="L4693" s="10" t="str">
        <f t="shared" si="470"/>
        <v>AE dialoghi di tempo fiducia e cura episodi 2-3-4</v>
      </c>
      <c r="M4693" s="10" t="str">
        <f t="shared" si="471"/>
        <v>nicoletta.vozza@crm.otsuka-europe.com</v>
      </c>
      <c r="N4693" s="13">
        <v>46181.338078703702</v>
      </c>
      <c r="O4693" s="14" t="str">
        <f>HYPERLINK("https://otsuka-europe-crm.veevavault.com/ui/#object/email_activity__v/V8C00000003Q046", "EN-002091012")</f>
        <v>EN-002091012</v>
      </c>
    </row>
    <row r="4694" spans="1:15" ht="32" x14ac:dyDescent="0.2">
      <c r="A4694" s="7" t="str">
        <f>HYPERLINK("https://otsuka-europe-crm.veevavault.com/ui/#object/account__v/V4TZ06G6O9VGQ5K", "PAOLA BUCCI")</f>
        <v>PAOLA BUCCI</v>
      </c>
      <c r="B4694" s="7" t="str">
        <f t="shared" si="468"/>
        <v>IT</v>
      </c>
      <c r="C4694" s="8" t="s">
        <v>44</v>
      </c>
      <c r="D4694" s="9" t="str">
        <f t="shared" si="469"/>
        <v>AE dialoghi di tempo fiducia e cura episodi 2-3-4</v>
      </c>
      <c r="E4694" s="10" t="str">
        <f>HYPERLINK("https://otsuka-europe-crm.veevavault.com/ui/#object/sent_email__v/VBL00000002P874", "SE-001433544")</f>
        <v>SE-001433544</v>
      </c>
      <c r="F4694" s="11"/>
      <c r="G4694" s="12">
        <v>0</v>
      </c>
      <c r="H4694" s="12">
        <v>0</v>
      </c>
      <c r="I4694" s="12">
        <v>0</v>
      </c>
      <c r="J4694" s="11"/>
      <c r="K4694" s="12">
        <v>0</v>
      </c>
      <c r="L4694" s="10" t="str">
        <f t="shared" si="470"/>
        <v>AE dialoghi di tempo fiducia e cura episodi 2-3-4</v>
      </c>
      <c r="M4694" s="10" t="str">
        <f t="shared" si="471"/>
        <v>nicoletta.vozza@crm.otsuka-europe.com</v>
      </c>
      <c r="N4694" s="13">
        <v>46181.33798611111</v>
      </c>
      <c r="O4694" s="14" t="str">
        <f>HYPERLINK("https://otsuka-europe-crm.veevavault.com/ui/#object/email_activity__v/V8C00000003O293", "EN-002089770")</f>
        <v>EN-002089770</v>
      </c>
    </row>
    <row r="4695" spans="1:15" ht="16" x14ac:dyDescent="0.2">
      <c r="A4695" s="17" t="str">
        <f>HYPERLINK("https://otsuka-europe-crm.veevavault.com/ui/#object/account__v/V4TZ06G6O71SAY6", "PAOLA CATERINA CALDERA")</f>
        <v>PAOLA CATERINA CALDERA</v>
      </c>
      <c r="B4695" s="17" t="str">
        <f t="shared" si="468"/>
        <v>IT</v>
      </c>
      <c r="C4695" s="20" t="s">
        <v>44</v>
      </c>
      <c r="D4695" s="21" t="str">
        <f t="shared" si="469"/>
        <v>AE dialoghi di tempo fiducia e cura episodi 2-3-4</v>
      </c>
      <c r="E4695" s="22" t="str">
        <f>HYPERLINK("https://otsuka-europe-crm.veevavault.com/ui/#object/sent_email__v/VBL00000002P875", "SE-001433545")</f>
        <v>SE-001433545</v>
      </c>
      <c r="F4695" s="23">
        <v>46188.007511574076</v>
      </c>
      <c r="G4695" s="24">
        <v>1</v>
      </c>
      <c r="H4695" s="24">
        <v>4</v>
      </c>
      <c r="I4695" s="24">
        <v>0</v>
      </c>
      <c r="J4695" s="25"/>
      <c r="K4695" s="24">
        <v>0</v>
      </c>
      <c r="L4695" s="22" t="str">
        <f t="shared" si="470"/>
        <v>AE dialoghi di tempo fiducia e cura episodi 2-3-4</v>
      </c>
      <c r="M4695" s="22" t="str">
        <f t="shared" si="471"/>
        <v>nicoletta.vozza@crm.otsuka-europe.com</v>
      </c>
      <c r="N4695" s="23">
        <v>46181.338020833333</v>
      </c>
      <c r="O4695" s="14" t="str">
        <f>HYPERLINK("https://otsuka-europe-crm.veevavault.com/ui/#object/email_activity__v/V8C00000003Q060", "EN-002091125")</f>
        <v>EN-002091125</v>
      </c>
    </row>
    <row r="4696" spans="1:15" ht="16" x14ac:dyDescent="0.2">
      <c r="A4696" s="18"/>
      <c r="B4696" s="18"/>
      <c r="C4696" s="18"/>
      <c r="D4696" s="18"/>
      <c r="E4696" s="18"/>
      <c r="F4696" s="18"/>
      <c r="G4696" s="18"/>
      <c r="H4696" s="18"/>
      <c r="I4696" s="18"/>
      <c r="J4696" s="18"/>
      <c r="K4696" s="18"/>
      <c r="L4696" s="18"/>
      <c r="M4696" s="18"/>
      <c r="N4696" s="18"/>
      <c r="O4696" s="14" t="str">
        <f>HYPERLINK("https://otsuka-europe-crm.veevavault.com/ui/#object/email_activity__v/V8C00000003R015", "EN-002091739")</f>
        <v>EN-002091739</v>
      </c>
    </row>
    <row r="4697" spans="1:15" ht="16" x14ac:dyDescent="0.2">
      <c r="A4697" s="18"/>
      <c r="B4697" s="18"/>
      <c r="C4697" s="18"/>
      <c r="D4697" s="18"/>
      <c r="E4697" s="18"/>
      <c r="F4697" s="18"/>
      <c r="G4697" s="18"/>
      <c r="H4697" s="18"/>
      <c r="I4697" s="18"/>
      <c r="J4697" s="18"/>
      <c r="K4697" s="18"/>
      <c r="L4697" s="18"/>
      <c r="M4697" s="18"/>
      <c r="N4697" s="18"/>
      <c r="O4697" s="14" t="str">
        <f>HYPERLINK("https://otsuka-europe-crm.veevavault.com/ui/#object/email_activity__v/V8C00000003R016", "EN-002091740")</f>
        <v>EN-002091740</v>
      </c>
    </row>
    <row r="4698" spans="1:15" ht="16" x14ac:dyDescent="0.2">
      <c r="A4698" s="18"/>
      <c r="B4698" s="18"/>
      <c r="C4698" s="18"/>
      <c r="D4698" s="18"/>
      <c r="E4698" s="18"/>
      <c r="F4698" s="18"/>
      <c r="G4698" s="18"/>
      <c r="H4698" s="18"/>
      <c r="I4698" s="18"/>
      <c r="J4698" s="18"/>
      <c r="K4698" s="18"/>
      <c r="L4698" s="18"/>
      <c r="M4698" s="18"/>
      <c r="N4698" s="18"/>
      <c r="O4698" s="14" t="str">
        <f>HYPERLINK("https://otsuka-europe-crm.veevavault.com/ui/#object/email_activity__v/V8C00000003U445", "EN-002095741")</f>
        <v>EN-002095741</v>
      </c>
    </row>
    <row r="4699" spans="1:15" ht="16" x14ac:dyDescent="0.2">
      <c r="A4699" s="19"/>
      <c r="B4699" s="19"/>
      <c r="C4699" s="19"/>
      <c r="D4699" s="19"/>
      <c r="E4699" s="19"/>
      <c r="F4699" s="19"/>
      <c r="G4699" s="19"/>
      <c r="H4699" s="19"/>
      <c r="I4699" s="19"/>
      <c r="J4699" s="19"/>
      <c r="K4699" s="19"/>
      <c r="L4699" s="19"/>
      <c r="M4699" s="19"/>
      <c r="N4699" s="19"/>
      <c r="O4699" s="14" t="str">
        <f>HYPERLINK("https://otsuka-europe-crm.veevavault.com/ui/#object/email_activity__v/V8C00000003U446", "EN-002095742")</f>
        <v>EN-002095742</v>
      </c>
    </row>
    <row r="4700" spans="1:15" ht="32" x14ac:dyDescent="0.2">
      <c r="A4700" s="7" t="str">
        <f>HYPERLINK("https://otsuka-europe-crm.veevavault.com/ui/#object/account__v/V4TZ06G6O71TFUX", "PAOLA COLOMBO")</f>
        <v>PAOLA COLOMBO</v>
      </c>
      <c r="B4700" s="7" t="str">
        <f>HYPERLINK("https://otsuka-europe-crm.veevavault.com/ui/#object/vcountry__v/VENZ000004SONFQ", "IT")</f>
        <v>IT</v>
      </c>
      <c r="C4700" s="8" t="s">
        <v>44</v>
      </c>
      <c r="D4700" s="9" t="str">
        <f>HYPERLINK("https://otsuka-europe-crm.veevavault.com/ui/#object/approved_document__v/V5O000000018003", "AE dialoghi di tempo fiducia e cura episodi 2-3-4")</f>
        <v>AE dialoghi di tempo fiducia e cura episodi 2-3-4</v>
      </c>
      <c r="E4700" s="10" t="str">
        <f>HYPERLINK("https://otsuka-europe-crm.veevavault.com/ui/#object/sent_email__v/VBL00000002P876", "SE-001433546")</f>
        <v>SE-001433546</v>
      </c>
      <c r="F4700" s="11"/>
      <c r="G4700" s="12">
        <v>0</v>
      </c>
      <c r="H4700" s="12">
        <v>0</v>
      </c>
      <c r="I4700" s="12">
        <v>0</v>
      </c>
      <c r="J4700" s="11"/>
      <c r="K4700" s="12">
        <v>0</v>
      </c>
      <c r="L4700" s="10" t="str">
        <f>HYPERLINK("https://otsuka-europe-crm.veevavault.com/ui/#object/approved_document__v/V5O000000018003", "AE dialoghi di tempo fiducia e cura episodi 2-3-4")</f>
        <v>AE dialoghi di tempo fiducia e cura episodi 2-3-4</v>
      </c>
      <c r="M4700" s="10" t="str">
        <f>HYPERLINK("mailto:nicoletta.vozza@crm.otsuka-europe.com", "nicoletta.vozza@crm.otsuka-europe.com")</f>
        <v>nicoletta.vozza@crm.otsuka-europe.com</v>
      </c>
      <c r="N4700" s="13">
        <v>46181.338020833333</v>
      </c>
      <c r="O4700" s="14" t="str">
        <f>HYPERLINK("https://otsuka-europe-crm.veevavault.com/ui/#object/email_activity__v/V8C00000003O336", "EN-002089813")</f>
        <v>EN-002089813</v>
      </c>
    </row>
    <row r="4701" spans="1:15" ht="32" x14ac:dyDescent="0.2">
      <c r="A4701" s="7" t="str">
        <f>HYPERLINK("https://otsuka-europe-crm.veevavault.com/ui/#object/account__v/V4TZ06G6O71SB39", "PAOLA CORSINI")</f>
        <v>PAOLA CORSINI</v>
      </c>
      <c r="B4701" s="7" t="str">
        <f>HYPERLINK("https://otsuka-europe-crm.veevavault.com/ui/#object/vcountry__v/VENZ000004SONFQ", "IT")</f>
        <v>IT</v>
      </c>
      <c r="C4701" s="8" t="s">
        <v>44</v>
      </c>
      <c r="D4701" s="9" t="str">
        <f>HYPERLINK("https://otsuka-europe-crm.veevavault.com/ui/#object/approved_document__v/V5O000000018003", "AE dialoghi di tempo fiducia e cura episodi 2-3-4")</f>
        <v>AE dialoghi di tempo fiducia e cura episodi 2-3-4</v>
      </c>
      <c r="E4701" s="10" t="str">
        <f>HYPERLINK("https://otsuka-europe-crm.veevavault.com/ui/#object/sent_email__v/VBL00000002P877", "SE-001433547")</f>
        <v>SE-001433547</v>
      </c>
      <c r="F4701" s="11"/>
      <c r="G4701" s="12">
        <v>0</v>
      </c>
      <c r="H4701" s="12">
        <v>0</v>
      </c>
      <c r="I4701" s="12">
        <v>0</v>
      </c>
      <c r="J4701" s="11"/>
      <c r="K4701" s="12">
        <v>0</v>
      </c>
      <c r="L4701" s="10" t="str">
        <f>HYPERLINK("https://otsuka-europe-crm.veevavault.com/ui/#object/approved_document__v/V5O000000018003", "AE dialoghi di tempo fiducia e cura episodi 2-3-4")</f>
        <v>AE dialoghi di tempo fiducia e cura episodi 2-3-4</v>
      </c>
      <c r="M4701" s="10" t="str">
        <f>HYPERLINK("mailto:nicoletta.vozza@crm.otsuka-europe.com", "nicoletta.vozza@crm.otsuka-europe.com")</f>
        <v>nicoletta.vozza@crm.otsuka-europe.com</v>
      </c>
      <c r="N4701" s="13">
        <v>46181.33803240741</v>
      </c>
      <c r="O4701" s="14" t="str">
        <f>HYPERLINK("https://otsuka-europe-crm.veevavault.com/ui/#object/email_activity__v/V8C00000003O378", "EN-002089896")</f>
        <v>EN-002089896</v>
      </c>
    </row>
    <row r="4702" spans="1:15" ht="32" x14ac:dyDescent="0.2">
      <c r="A4702" s="7" t="str">
        <f>HYPERLINK("https://otsuka-europe-crm.veevavault.com/ui/#object/account__v/V4TZ06G6O71SB4J", "PAOLA CROSASSO")</f>
        <v>PAOLA CROSASSO</v>
      </c>
      <c r="B4702" s="7" t="str">
        <f>HYPERLINK("https://otsuka-europe-crm.veevavault.com/ui/#object/vcountry__v/VENZ000004SONFQ", "IT")</f>
        <v>IT</v>
      </c>
      <c r="C4702" s="8" t="s">
        <v>44</v>
      </c>
      <c r="D4702" s="9" t="str">
        <f>HYPERLINK("https://otsuka-europe-crm.veevavault.com/ui/#object/approved_document__v/V5O000000018003", "AE dialoghi di tempo fiducia e cura episodi 2-3-4")</f>
        <v>AE dialoghi di tempo fiducia e cura episodi 2-3-4</v>
      </c>
      <c r="E4702" s="10" t="str">
        <f>HYPERLINK("https://otsuka-europe-crm.veevavault.com/ui/#object/sent_email__v/VBL00000002P878", "SE-001433548")</f>
        <v>SE-001433548</v>
      </c>
      <c r="F4702" s="11"/>
      <c r="G4702" s="12">
        <v>0</v>
      </c>
      <c r="H4702" s="12">
        <v>0</v>
      </c>
      <c r="I4702" s="12">
        <v>0</v>
      </c>
      <c r="J4702" s="11"/>
      <c r="K4702" s="12">
        <v>0</v>
      </c>
      <c r="L4702" s="10" t="str">
        <f>HYPERLINK("https://otsuka-europe-crm.veevavault.com/ui/#object/approved_document__v/V5O000000018003", "AE dialoghi di tempo fiducia e cura episodi 2-3-4")</f>
        <v>AE dialoghi di tempo fiducia e cura episodi 2-3-4</v>
      </c>
      <c r="M4702" s="10" t="str">
        <f>HYPERLINK("mailto:nicoletta.vozza@crm.otsuka-europe.com", "nicoletta.vozza@crm.otsuka-europe.com")</f>
        <v>nicoletta.vozza@crm.otsuka-europe.com</v>
      </c>
      <c r="N4702" s="13">
        <v>46181.337997685187</v>
      </c>
      <c r="O4702" s="14" t="str">
        <f>HYPERLINK("https://otsuka-europe-crm.veevavault.com/ui/#object/email_activity__v/V8C00000003O327", "EN-002089804")</f>
        <v>EN-002089804</v>
      </c>
    </row>
    <row r="4703" spans="1:15" ht="32" x14ac:dyDescent="0.2">
      <c r="A4703" s="7" t="str">
        <f>HYPERLINK("https://otsuka-europe-crm.veevavault.com/ui/#object/account__v/V4TZ06G6O71SAER", "PAOLA DAMIANO")</f>
        <v>PAOLA DAMIANO</v>
      </c>
      <c r="B4703" s="7" t="str">
        <f>HYPERLINK("https://otsuka-europe-crm.veevavault.com/ui/#object/vcountry__v/VENZ000004SONFQ", "IT")</f>
        <v>IT</v>
      </c>
      <c r="C4703" s="8" t="s">
        <v>44</v>
      </c>
      <c r="D4703" s="9" t="str">
        <f>HYPERLINK("https://otsuka-europe-crm.veevavault.com/ui/#object/approved_document__v/V5O000000018003", "AE dialoghi di tempo fiducia e cura episodi 2-3-4")</f>
        <v>AE dialoghi di tempo fiducia e cura episodi 2-3-4</v>
      </c>
      <c r="E4703" s="10" t="str">
        <f>HYPERLINK("https://otsuka-europe-crm.veevavault.com/ui/#object/sent_email__v/VBL00000002P879", "SE-001433549")</f>
        <v>SE-001433549</v>
      </c>
      <c r="F4703" s="11"/>
      <c r="G4703" s="12">
        <v>0</v>
      </c>
      <c r="H4703" s="12">
        <v>0</v>
      </c>
      <c r="I4703" s="12">
        <v>0</v>
      </c>
      <c r="J4703" s="11"/>
      <c r="K4703" s="12">
        <v>0</v>
      </c>
      <c r="L4703" s="10" t="str">
        <f>HYPERLINK("https://otsuka-europe-crm.veevavault.com/ui/#object/approved_document__v/V5O000000018003", "AE dialoghi di tempo fiducia e cura episodi 2-3-4")</f>
        <v>AE dialoghi di tempo fiducia e cura episodi 2-3-4</v>
      </c>
      <c r="M4703" s="10" t="str">
        <f>HYPERLINK("mailto:nicoletta.vozza@crm.otsuka-europe.com", "nicoletta.vozza@crm.otsuka-europe.com")</f>
        <v>nicoletta.vozza@crm.otsuka-europe.com</v>
      </c>
      <c r="N4703" s="13">
        <v>46181.338020833333</v>
      </c>
      <c r="O4703" s="14" t="str">
        <f>HYPERLINK("https://otsuka-europe-crm.veevavault.com/ui/#object/email_activity__v/V8C00000003P598", "EN-002090853")</f>
        <v>EN-002090853</v>
      </c>
    </row>
    <row r="4704" spans="1:15" ht="16" x14ac:dyDescent="0.2">
      <c r="A4704" s="17" t="str">
        <f>HYPERLINK("https://otsuka-europe-crm.veevavault.com/ui/#object/account__v/V4TZ06G6O71SAA5", "PAOLA DE GREGORI")</f>
        <v>PAOLA DE GREGORI</v>
      </c>
      <c r="B4704" s="17" t="str">
        <f>HYPERLINK("https://otsuka-europe-crm.veevavault.com/ui/#object/vcountry__v/VENZ000004SONFQ", "IT")</f>
        <v>IT</v>
      </c>
      <c r="C4704" s="20" t="s">
        <v>44</v>
      </c>
      <c r="D4704" s="21" t="str">
        <f>HYPERLINK("https://otsuka-europe-crm.veevavault.com/ui/#object/approved_document__v/V5O000000018003", "AE dialoghi di tempo fiducia e cura episodi 2-3-4")</f>
        <v>AE dialoghi di tempo fiducia e cura episodi 2-3-4</v>
      </c>
      <c r="E4704" s="22" t="str">
        <f>HYPERLINK("https://otsuka-europe-crm.veevavault.com/ui/#object/sent_email__v/VBL00000002P880", "SE-001433550")</f>
        <v>SE-001433550</v>
      </c>
      <c r="F4704" s="25"/>
      <c r="G4704" s="24">
        <v>0</v>
      </c>
      <c r="H4704" s="24">
        <v>0</v>
      </c>
      <c r="I4704" s="24">
        <v>0</v>
      </c>
      <c r="J4704" s="25"/>
      <c r="K4704" s="24">
        <v>0</v>
      </c>
      <c r="L4704" s="22" t="str">
        <f>HYPERLINK("https://otsuka-europe-crm.veevavault.com/ui/#object/approved_document__v/V5O000000018003", "AE dialoghi di tempo fiducia e cura episodi 2-3-4")</f>
        <v>AE dialoghi di tempo fiducia e cura episodi 2-3-4</v>
      </c>
      <c r="M4704" s="22" t="str">
        <f>HYPERLINK("mailto:nicoletta.vozza@crm.otsuka-europe.com", "nicoletta.vozza@crm.otsuka-europe.com")</f>
        <v>nicoletta.vozza@crm.otsuka-europe.com</v>
      </c>
      <c r="N4704" s="23">
        <v>46181.338090277779</v>
      </c>
      <c r="O4704" s="14" t="str">
        <f>HYPERLINK("https://otsuka-europe-crm.veevavault.com/ui/#object/email_activity__v/V8C00000003Q118", "EN-002091183")</f>
        <v>EN-002091183</v>
      </c>
    </row>
    <row r="4705" spans="1:15" ht="16" x14ac:dyDescent="0.2">
      <c r="A4705" s="19"/>
      <c r="B4705" s="19"/>
      <c r="C4705" s="19"/>
      <c r="D4705" s="19"/>
      <c r="E4705" s="19"/>
      <c r="F4705" s="19"/>
      <c r="G4705" s="19"/>
      <c r="H4705" s="19"/>
      <c r="I4705" s="19"/>
      <c r="J4705" s="19"/>
      <c r="K4705" s="19"/>
      <c r="L4705" s="19"/>
      <c r="M4705" s="19"/>
      <c r="N4705" s="19"/>
      <c r="O4705" s="14" t="str">
        <f>HYPERLINK("https://otsuka-europe-crm.veevavault.com/ui/#object/email_activity__v/V8C00000003R115", "EN-002091898")</f>
        <v>EN-002091898</v>
      </c>
    </row>
    <row r="4706" spans="1:15" ht="32" x14ac:dyDescent="0.2">
      <c r="A4706" s="7" t="str">
        <f>HYPERLINK("https://otsuka-europe-crm.veevavault.com/ui/#object/account__v/V4TZ06G6O71SAOW", "PAOLA GALLI")</f>
        <v>PAOLA GALLI</v>
      </c>
      <c r="B4706" s="7" t="str">
        <f>HYPERLINK("https://otsuka-europe-crm.veevavault.com/ui/#object/vcountry__v/VENZ000004SONFQ", "IT")</f>
        <v>IT</v>
      </c>
      <c r="C4706" s="8" t="s">
        <v>44</v>
      </c>
      <c r="D4706" s="9" t="str">
        <f>HYPERLINK("https://otsuka-europe-crm.veevavault.com/ui/#object/approved_document__v/V5O000000018003", "AE dialoghi di tempo fiducia e cura episodi 2-3-4")</f>
        <v>AE dialoghi di tempo fiducia e cura episodi 2-3-4</v>
      </c>
      <c r="E4706" s="10" t="str">
        <f>HYPERLINK("https://otsuka-europe-crm.veevavault.com/ui/#object/sent_email__v/VBL00000002P881", "SE-001433551")</f>
        <v>SE-001433551</v>
      </c>
      <c r="F4706" s="11"/>
      <c r="G4706" s="12">
        <v>0</v>
      </c>
      <c r="H4706" s="12">
        <v>0</v>
      </c>
      <c r="I4706" s="12">
        <v>0</v>
      </c>
      <c r="J4706" s="11"/>
      <c r="K4706" s="12">
        <v>0</v>
      </c>
      <c r="L4706" s="10" t="str">
        <f>HYPERLINK("https://otsuka-europe-crm.veevavault.com/ui/#object/approved_document__v/V5O000000018003", "AE dialoghi di tempo fiducia e cura episodi 2-3-4")</f>
        <v>AE dialoghi di tempo fiducia e cura episodi 2-3-4</v>
      </c>
      <c r="M4706" s="10" t="str">
        <f>HYPERLINK("mailto:nicoletta.vozza@crm.otsuka-europe.com", "nicoletta.vozza@crm.otsuka-europe.com")</f>
        <v>nicoletta.vozza@crm.otsuka-europe.com</v>
      </c>
      <c r="N4706" s="13">
        <v>46181.338067129633</v>
      </c>
      <c r="O4706" s="14" t="str">
        <f>HYPERLINK("https://otsuka-europe-crm.veevavault.com/ui/#object/email_activity__v/V8C00000003P496", "EN-002090711")</f>
        <v>EN-002090711</v>
      </c>
    </row>
    <row r="4707" spans="1:15" ht="16" x14ac:dyDescent="0.2">
      <c r="A4707" s="17" t="str">
        <f>HYPERLINK("https://otsuka-europe-crm.veevavault.com/ui/#object/account__v/V4TZ06G6O71SAO3", "PAOLA GANGAROSSA")</f>
        <v>PAOLA GANGAROSSA</v>
      </c>
      <c r="B4707" s="17" t="str">
        <f>HYPERLINK("https://otsuka-europe-crm.veevavault.com/ui/#object/vcountry__v/VENZ000004SONFQ", "IT")</f>
        <v>IT</v>
      </c>
      <c r="C4707" s="20" t="s">
        <v>44</v>
      </c>
      <c r="D4707" s="21" t="str">
        <f>HYPERLINK("https://otsuka-europe-crm.veevavault.com/ui/#object/approved_document__v/V5O000000018003", "AE dialoghi di tempo fiducia e cura episodi 2-3-4")</f>
        <v>AE dialoghi di tempo fiducia e cura episodi 2-3-4</v>
      </c>
      <c r="E4707" s="22" t="str">
        <f>HYPERLINK("https://otsuka-europe-crm.veevavault.com/ui/#object/sent_email__v/VBL00000002P882", "SE-001433552")</f>
        <v>SE-001433552</v>
      </c>
      <c r="F4707" s="23">
        <v>46181.38789351852</v>
      </c>
      <c r="G4707" s="24">
        <v>1</v>
      </c>
      <c r="H4707" s="24">
        <v>6</v>
      </c>
      <c r="I4707" s="24">
        <v>0</v>
      </c>
      <c r="J4707" s="25"/>
      <c r="K4707" s="24">
        <v>0</v>
      </c>
      <c r="L4707" s="22" t="str">
        <f>HYPERLINK("https://otsuka-europe-crm.veevavault.com/ui/#object/approved_document__v/V5O000000018003", "AE dialoghi di tempo fiducia e cura episodi 2-3-4")</f>
        <v>AE dialoghi di tempo fiducia e cura episodi 2-3-4</v>
      </c>
      <c r="M4707" s="22" t="str">
        <f>HYPERLINK("mailto:nicoletta.vozza@crm.otsuka-europe.com", "nicoletta.vozza@crm.otsuka-europe.com")</f>
        <v>nicoletta.vozza@crm.otsuka-europe.com</v>
      </c>
      <c r="N4707" s="23">
        <v>46181.338009259256</v>
      </c>
      <c r="O4707" s="14" t="str">
        <f>HYPERLINK("https://otsuka-europe-crm.veevavault.com/ui/#object/email_activity__v/V8C00000003O623", "EN-002090179")</f>
        <v>EN-002090179</v>
      </c>
    </row>
    <row r="4708" spans="1:15" ht="16" x14ac:dyDescent="0.2">
      <c r="A4708" s="18"/>
      <c r="B4708" s="18"/>
      <c r="C4708" s="18"/>
      <c r="D4708" s="18"/>
      <c r="E4708" s="18"/>
      <c r="F4708" s="18"/>
      <c r="G4708" s="18"/>
      <c r="H4708" s="18"/>
      <c r="I4708" s="18"/>
      <c r="J4708" s="18"/>
      <c r="K4708" s="18"/>
      <c r="L4708" s="18"/>
      <c r="M4708" s="18"/>
      <c r="N4708" s="18"/>
      <c r="O4708" s="14" t="str">
        <f>HYPERLINK("https://otsuka-europe-crm.veevavault.com/ui/#object/email_activity__v/V8C00000003P913", "EN-002091463")</f>
        <v>EN-002091463</v>
      </c>
    </row>
    <row r="4709" spans="1:15" ht="16" x14ac:dyDescent="0.2">
      <c r="A4709" s="18"/>
      <c r="B4709" s="18"/>
      <c r="C4709" s="18"/>
      <c r="D4709" s="18"/>
      <c r="E4709" s="18"/>
      <c r="F4709" s="18"/>
      <c r="G4709" s="18"/>
      <c r="H4709" s="18"/>
      <c r="I4709" s="18"/>
      <c r="J4709" s="18"/>
      <c r="K4709" s="18"/>
      <c r="L4709" s="18"/>
      <c r="M4709" s="18"/>
      <c r="N4709" s="18"/>
      <c r="O4709" s="14" t="str">
        <f>HYPERLINK("https://otsuka-europe-crm.veevavault.com/ui/#object/email_activity__v/V8C00000003Q168", "EN-002091254")</f>
        <v>EN-002091254</v>
      </c>
    </row>
    <row r="4710" spans="1:15" ht="16" x14ac:dyDescent="0.2">
      <c r="A4710" s="18"/>
      <c r="B4710" s="18"/>
      <c r="C4710" s="18"/>
      <c r="D4710" s="18"/>
      <c r="E4710" s="18"/>
      <c r="F4710" s="18"/>
      <c r="G4710" s="18"/>
      <c r="H4710" s="18"/>
      <c r="I4710" s="18"/>
      <c r="J4710" s="18"/>
      <c r="K4710" s="18"/>
      <c r="L4710" s="18"/>
      <c r="M4710" s="18"/>
      <c r="N4710" s="18"/>
      <c r="O4710" s="14" t="str">
        <f>HYPERLINK("https://otsuka-europe-crm.veevavault.com/ui/#object/email_activity__v/V8C00000003Q309", "EN-002091457")</f>
        <v>EN-002091457</v>
      </c>
    </row>
    <row r="4711" spans="1:15" ht="16" x14ac:dyDescent="0.2">
      <c r="A4711" s="18"/>
      <c r="B4711" s="18"/>
      <c r="C4711" s="18"/>
      <c r="D4711" s="18"/>
      <c r="E4711" s="18"/>
      <c r="F4711" s="18"/>
      <c r="G4711" s="18"/>
      <c r="H4711" s="18"/>
      <c r="I4711" s="18"/>
      <c r="J4711" s="18"/>
      <c r="K4711" s="18"/>
      <c r="L4711" s="18"/>
      <c r="M4711" s="18"/>
      <c r="N4711" s="18"/>
      <c r="O4711" s="14" t="str">
        <f>HYPERLINK("https://otsuka-europe-crm.veevavault.com/ui/#object/email_activity__v/V8C00000003Q311", "EN-002091462")</f>
        <v>EN-002091462</v>
      </c>
    </row>
    <row r="4712" spans="1:15" ht="16" x14ac:dyDescent="0.2">
      <c r="A4712" s="18"/>
      <c r="B4712" s="18"/>
      <c r="C4712" s="18"/>
      <c r="D4712" s="18"/>
      <c r="E4712" s="18"/>
      <c r="F4712" s="18"/>
      <c r="G4712" s="18"/>
      <c r="H4712" s="18"/>
      <c r="I4712" s="18"/>
      <c r="J4712" s="18"/>
      <c r="K4712" s="18"/>
      <c r="L4712" s="18"/>
      <c r="M4712" s="18"/>
      <c r="N4712" s="18"/>
      <c r="O4712" s="14" t="str">
        <f>HYPERLINK("https://otsuka-europe-crm.veevavault.com/ui/#object/email_activity__v/V8C00000003Q342", "EN-002091521")</f>
        <v>EN-002091521</v>
      </c>
    </row>
    <row r="4713" spans="1:15" ht="16" x14ac:dyDescent="0.2">
      <c r="A4713" s="19"/>
      <c r="B4713" s="19"/>
      <c r="C4713" s="19"/>
      <c r="D4713" s="19"/>
      <c r="E4713" s="19"/>
      <c r="F4713" s="19"/>
      <c r="G4713" s="19"/>
      <c r="H4713" s="19"/>
      <c r="I4713" s="19"/>
      <c r="J4713" s="19"/>
      <c r="K4713" s="19"/>
      <c r="L4713" s="19"/>
      <c r="M4713" s="19"/>
      <c r="N4713" s="19"/>
      <c r="O4713" s="14" t="str">
        <f>HYPERLINK("https://otsuka-europe-crm.veevavault.com/ui/#object/email_activity__v/V8C00000003Q476", "EN-002091723")</f>
        <v>EN-002091723</v>
      </c>
    </row>
    <row r="4714" spans="1:15" ht="32" x14ac:dyDescent="0.2">
      <c r="A4714" s="7" t="str">
        <f>HYPERLINK("https://otsuka-europe-crm.veevavault.com/ui/#object/account__v/V4TZ06G6O71S9IX", "PAOLA LANDI")</f>
        <v>PAOLA LANDI</v>
      </c>
      <c r="B4714" s="7" t="str">
        <f t="shared" ref="B4714:B4722" si="472">HYPERLINK("https://otsuka-europe-crm.veevavault.com/ui/#object/vcountry__v/VENZ000004SONFQ", "IT")</f>
        <v>IT</v>
      </c>
      <c r="C4714" s="8" t="s">
        <v>44</v>
      </c>
      <c r="D4714" s="9" t="str">
        <f t="shared" ref="D4714:D4722" si="473">HYPERLINK("https://otsuka-europe-crm.veevavault.com/ui/#object/approved_document__v/V5O000000018003", "AE dialoghi di tempo fiducia e cura episodi 2-3-4")</f>
        <v>AE dialoghi di tempo fiducia e cura episodi 2-3-4</v>
      </c>
      <c r="E4714" s="10" t="str">
        <f>HYPERLINK("https://otsuka-europe-crm.veevavault.com/ui/#object/sent_email__v/VBL00000002P883", "SE-001433553")</f>
        <v>SE-001433553</v>
      </c>
      <c r="F4714" s="11"/>
      <c r="G4714" s="12">
        <v>0</v>
      </c>
      <c r="H4714" s="12">
        <v>0</v>
      </c>
      <c r="I4714" s="12">
        <v>0</v>
      </c>
      <c r="J4714" s="11"/>
      <c r="K4714" s="12">
        <v>0</v>
      </c>
      <c r="L4714" s="10" t="str">
        <f t="shared" ref="L4714:L4722" si="474">HYPERLINK("https://otsuka-europe-crm.veevavault.com/ui/#object/approved_document__v/V5O000000018003", "AE dialoghi di tempo fiducia e cura episodi 2-3-4")</f>
        <v>AE dialoghi di tempo fiducia e cura episodi 2-3-4</v>
      </c>
      <c r="M4714" s="10" t="str">
        <f t="shared" ref="M4714:M4722" si="475">HYPERLINK("mailto:nicoletta.vozza@crm.otsuka-europe.com", "nicoletta.vozza@crm.otsuka-europe.com")</f>
        <v>nicoletta.vozza@crm.otsuka-europe.com</v>
      </c>
      <c r="N4714" s="13">
        <v>46181.33797453704</v>
      </c>
      <c r="O4714" s="14" t="str">
        <f>HYPERLINK("https://otsuka-europe-crm.veevavault.com/ui/#object/email_activity__v/V8C00000003O695", "EN-002090251")</f>
        <v>EN-002090251</v>
      </c>
    </row>
    <row r="4715" spans="1:15" ht="32" x14ac:dyDescent="0.2">
      <c r="A4715" s="7" t="str">
        <f>HYPERLINK("https://otsuka-europe-crm.veevavault.com/ui/#object/account__v/V4TZ04ASGCYYIGE", "PAOLA MANZOTTI")</f>
        <v>PAOLA MANZOTTI</v>
      </c>
      <c r="B4715" s="7" t="str">
        <f t="shared" si="472"/>
        <v>IT</v>
      </c>
      <c r="C4715" s="8" t="s">
        <v>44</v>
      </c>
      <c r="D4715" s="9" t="str">
        <f t="shared" si="473"/>
        <v>AE dialoghi di tempo fiducia e cura episodi 2-3-4</v>
      </c>
      <c r="E4715" s="10" t="str">
        <f>HYPERLINK("https://otsuka-europe-crm.veevavault.com/ui/#object/sent_email__v/VBL00000002P884", "SE-001433554")</f>
        <v>SE-001433554</v>
      </c>
      <c r="F4715" s="11"/>
      <c r="G4715" s="12">
        <v>0</v>
      </c>
      <c r="H4715" s="12">
        <v>0</v>
      </c>
      <c r="I4715" s="12">
        <v>0</v>
      </c>
      <c r="J4715" s="11"/>
      <c r="K4715" s="12">
        <v>0</v>
      </c>
      <c r="L4715" s="10" t="str">
        <f t="shared" si="474"/>
        <v>AE dialoghi di tempo fiducia e cura episodi 2-3-4</v>
      </c>
      <c r="M4715" s="10" t="str">
        <f t="shared" si="475"/>
        <v>nicoletta.vozza@crm.otsuka-europe.com</v>
      </c>
      <c r="N4715" s="13">
        <v>46181.33803240741</v>
      </c>
      <c r="O4715" s="14" t="str">
        <f>HYPERLINK("https://otsuka-europe-crm.veevavault.com/ui/#object/email_activity__v/V8C00000003P625", "EN-002090880")</f>
        <v>EN-002090880</v>
      </c>
    </row>
    <row r="4716" spans="1:15" ht="32" x14ac:dyDescent="0.2">
      <c r="A4716" s="7" t="str">
        <f>HYPERLINK("https://otsuka-europe-crm.veevavault.com/ui/#object/account__v/V4TZ06G6O71VPKI", "PAOLA MERO")</f>
        <v>PAOLA MERO</v>
      </c>
      <c r="B4716" s="7" t="str">
        <f t="shared" si="472"/>
        <v>IT</v>
      </c>
      <c r="C4716" s="8" t="s">
        <v>44</v>
      </c>
      <c r="D4716" s="9" t="str">
        <f t="shared" si="473"/>
        <v>AE dialoghi di tempo fiducia e cura episodi 2-3-4</v>
      </c>
      <c r="E4716" s="10" t="str">
        <f>HYPERLINK("https://otsuka-europe-crm.veevavault.com/ui/#object/sent_email__v/VBL00000002P885", "SE-001433555")</f>
        <v>SE-001433555</v>
      </c>
      <c r="F4716" s="11"/>
      <c r="G4716" s="12">
        <v>0</v>
      </c>
      <c r="H4716" s="12">
        <v>0</v>
      </c>
      <c r="I4716" s="12">
        <v>0</v>
      </c>
      <c r="J4716" s="11"/>
      <c r="K4716" s="12">
        <v>0</v>
      </c>
      <c r="L4716" s="10" t="str">
        <f t="shared" si="474"/>
        <v>AE dialoghi di tempo fiducia e cura episodi 2-3-4</v>
      </c>
      <c r="M4716" s="10" t="str">
        <f t="shared" si="475"/>
        <v>nicoletta.vozza@crm.otsuka-europe.com</v>
      </c>
      <c r="N4716" s="13">
        <v>46181.337951388887</v>
      </c>
      <c r="O4716" s="14" t="str">
        <f>HYPERLINK("https://otsuka-europe-crm.veevavault.com/ui/#object/email_activity__v/V8C00000003O812", "EN-002090514")</f>
        <v>EN-002090514</v>
      </c>
    </row>
    <row r="4717" spans="1:15" ht="32" x14ac:dyDescent="0.2">
      <c r="A4717" s="7" t="str">
        <f>HYPERLINK("https://otsuka-europe-crm.veevavault.com/ui/#object/account__v/V4TZ06G6O71SBML", "PAOLA MIOTTO")</f>
        <v>PAOLA MIOTTO</v>
      </c>
      <c r="B4717" s="7" t="str">
        <f t="shared" si="472"/>
        <v>IT</v>
      </c>
      <c r="C4717" s="8" t="s">
        <v>44</v>
      </c>
      <c r="D4717" s="9" t="str">
        <f t="shared" si="473"/>
        <v>AE dialoghi di tempo fiducia e cura episodi 2-3-4</v>
      </c>
      <c r="E4717" s="10" t="str">
        <f>HYPERLINK("https://otsuka-europe-crm.veevavault.com/ui/#object/sent_email__v/VBL00000002P886", "SE-001433556")</f>
        <v>SE-001433556</v>
      </c>
      <c r="F4717" s="11"/>
      <c r="G4717" s="12">
        <v>0</v>
      </c>
      <c r="H4717" s="12">
        <v>0</v>
      </c>
      <c r="I4717" s="12">
        <v>0</v>
      </c>
      <c r="J4717" s="11"/>
      <c r="K4717" s="12">
        <v>0</v>
      </c>
      <c r="L4717" s="10" t="str">
        <f t="shared" si="474"/>
        <v>AE dialoghi di tempo fiducia e cura episodi 2-3-4</v>
      </c>
      <c r="M4717" s="10" t="str">
        <f t="shared" si="475"/>
        <v>nicoletta.vozza@crm.otsuka-europe.com</v>
      </c>
      <c r="N4717" s="13">
        <v>46181.337905092594</v>
      </c>
      <c r="O4717" s="15"/>
    </row>
    <row r="4718" spans="1:15" ht="32" x14ac:dyDescent="0.2">
      <c r="A4718" s="7" t="str">
        <f>HYPERLINK("https://otsuka-europe-crm.veevavault.com/ui/#object/account__v/V4TZ06G6O71SBOD", "PAOLA NATALINI")</f>
        <v>PAOLA NATALINI</v>
      </c>
      <c r="B4718" s="7" t="str">
        <f t="shared" si="472"/>
        <v>IT</v>
      </c>
      <c r="C4718" s="8" t="s">
        <v>44</v>
      </c>
      <c r="D4718" s="9" t="str">
        <f t="shared" si="473"/>
        <v>AE dialoghi di tempo fiducia e cura episodi 2-3-4</v>
      </c>
      <c r="E4718" s="10" t="str">
        <f>HYPERLINK("https://otsuka-europe-crm.veevavault.com/ui/#object/sent_email__v/VBL00000002P887", "SE-001433557")</f>
        <v>SE-001433557</v>
      </c>
      <c r="F4718" s="11"/>
      <c r="G4718" s="12">
        <v>0</v>
      </c>
      <c r="H4718" s="12">
        <v>0</v>
      </c>
      <c r="I4718" s="12">
        <v>0</v>
      </c>
      <c r="J4718" s="11"/>
      <c r="K4718" s="12">
        <v>0</v>
      </c>
      <c r="L4718" s="10" t="str">
        <f t="shared" si="474"/>
        <v>AE dialoghi di tempo fiducia e cura episodi 2-3-4</v>
      </c>
      <c r="M4718" s="10" t="str">
        <f t="shared" si="475"/>
        <v>nicoletta.vozza@crm.otsuka-europe.com</v>
      </c>
      <c r="N4718" s="13">
        <v>46181.338020833333</v>
      </c>
      <c r="O4718" s="14" t="str">
        <f>HYPERLINK("https://otsuka-europe-crm.veevavault.com/ui/#object/email_activity__v/V8C00000003Q198", "EN-002091303")</f>
        <v>EN-002091303</v>
      </c>
    </row>
    <row r="4719" spans="1:15" ht="32" x14ac:dyDescent="0.2">
      <c r="A4719" s="7" t="str">
        <f>HYPERLINK("https://otsuka-europe-crm.veevavault.com/ui/#object/account__v/V4TZ06G6O71SC2H", "PAOLA RAPONE")</f>
        <v>PAOLA RAPONE</v>
      </c>
      <c r="B4719" s="7" t="str">
        <f t="shared" si="472"/>
        <v>IT</v>
      </c>
      <c r="C4719" s="8" t="s">
        <v>44</v>
      </c>
      <c r="D4719" s="9" t="str">
        <f t="shared" si="473"/>
        <v>AE dialoghi di tempo fiducia e cura episodi 2-3-4</v>
      </c>
      <c r="E4719" s="10" t="str">
        <f>HYPERLINK("https://otsuka-europe-crm.veevavault.com/ui/#object/sent_email__v/VBL00000002P888", "SE-001433558")</f>
        <v>SE-001433558</v>
      </c>
      <c r="F4719" s="11"/>
      <c r="G4719" s="12">
        <v>0</v>
      </c>
      <c r="H4719" s="12">
        <v>0</v>
      </c>
      <c r="I4719" s="12">
        <v>0</v>
      </c>
      <c r="J4719" s="11"/>
      <c r="K4719" s="12">
        <v>0</v>
      </c>
      <c r="L4719" s="10" t="str">
        <f t="shared" si="474"/>
        <v>AE dialoghi di tempo fiducia e cura episodi 2-3-4</v>
      </c>
      <c r="M4719" s="10" t="str">
        <f t="shared" si="475"/>
        <v>nicoletta.vozza@crm.otsuka-europe.com</v>
      </c>
      <c r="N4719" s="13">
        <v>46181.338009259256</v>
      </c>
      <c r="O4719" s="14" t="str">
        <f>HYPERLINK("https://otsuka-europe-crm.veevavault.com/ui/#object/email_activity__v/V8C00000003P670", "EN-002090925")</f>
        <v>EN-002090925</v>
      </c>
    </row>
    <row r="4720" spans="1:15" ht="32" x14ac:dyDescent="0.2">
      <c r="A4720" s="7" t="str">
        <f>HYPERLINK("https://otsuka-europe-crm.veevavault.com/ui/#object/account__v/V4TZ06G6OAJNZNR", "PAOLA TEDESCO")</f>
        <v>PAOLA TEDESCO</v>
      </c>
      <c r="B4720" s="7" t="str">
        <f t="shared" si="472"/>
        <v>IT</v>
      </c>
      <c r="C4720" s="8" t="s">
        <v>44</v>
      </c>
      <c r="D4720" s="9" t="str">
        <f t="shared" si="473"/>
        <v>AE dialoghi di tempo fiducia e cura episodi 2-3-4</v>
      </c>
      <c r="E4720" s="10" t="str">
        <f>HYPERLINK("https://otsuka-europe-crm.veevavault.com/ui/#object/sent_email__v/VBL00000002P889", "SE-001433559")</f>
        <v>SE-001433559</v>
      </c>
      <c r="F4720" s="11"/>
      <c r="G4720" s="12">
        <v>0</v>
      </c>
      <c r="H4720" s="12">
        <v>0</v>
      </c>
      <c r="I4720" s="12">
        <v>0</v>
      </c>
      <c r="J4720" s="11"/>
      <c r="K4720" s="12">
        <v>0</v>
      </c>
      <c r="L4720" s="10" t="str">
        <f t="shared" si="474"/>
        <v>AE dialoghi di tempo fiducia e cura episodi 2-3-4</v>
      </c>
      <c r="M4720" s="10" t="str">
        <f t="shared" si="475"/>
        <v>nicoletta.vozza@crm.otsuka-europe.com</v>
      </c>
      <c r="N4720" s="13">
        <v>46181.338125000002</v>
      </c>
      <c r="O4720" s="14" t="str">
        <f>HYPERLINK("https://otsuka-europe-crm.veevavault.com/ui/#object/email_activity__v/V8C00000003P650", "EN-002090905")</f>
        <v>EN-002090905</v>
      </c>
    </row>
    <row r="4721" spans="1:15" ht="32" x14ac:dyDescent="0.2">
      <c r="A4721" s="7" t="str">
        <f>HYPERLINK("https://otsuka-europe-crm.veevavault.com/ui/#object/account__v/V4TZ06G6O71S9IS", "PAOLA VALERIA CALI'")</f>
        <v>PAOLA VALERIA CALI'</v>
      </c>
      <c r="B4721" s="7" t="str">
        <f t="shared" si="472"/>
        <v>IT</v>
      </c>
      <c r="C4721" s="8" t="s">
        <v>44</v>
      </c>
      <c r="D4721" s="9" t="str">
        <f t="shared" si="473"/>
        <v>AE dialoghi di tempo fiducia e cura episodi 2-3-4</v>
      </c>
      <c r="E4721" s="10" t="str">
        <f>HYPERLINK("https://otsuka-europe-crm.veevavault.com/ui/#object/sent_email__v/VBL00000002P890", "SE-001433560")</f>
        <v>SE-001433560</v>
      </c>
      <c r="F4721" s="11"/>
      <c r="G4721" s="12">
        <v>0</v>
      </c>
      <c r="H4721" s="12">
        <v>0</v>
      </c>
      <c r="I4721" s="12">
        <v>0</v>
      </c>
      <c r="J4721" s="11"/>
      <c r="K4721" s="12">
        <v>0</v>
      </c>
      <c r="L4721" s="10" t="str">
        <f t="shared" si="474"/>
        <v>AE dialoghi di tempo fiducia e cura episodi 2-3-4</v>
      </c>
      <c r="M4721" s="10" t="str">
        <f t="shared" si="475"/>
        <v>nicoletta.vozza@crm.otsuka-europe.com</v>
      </c>
      <c r="N4721" s="13">
        <v>46181.338090277779</v>
      </c>
      <c r="O4721" s="14" t="str">
        <f>HYPERLINK("https://otsuka-europe-crm.veevavault.com/ui/#object/email_activity__v/V8C00000003P610", "EN-002090865")</f>
        <v>EN-002090865</v>
      </c>
    </row>
    <row r="4722" spans="1:15" ht="16" x14ac:dyDescent="0.2">
      <c r="A4722" s="17" t="str">
        <f>HYPERLINK("https://otsuka-europe-crm.veevavault.com/ui/#object/account__v/V4TZ06G6O71SCQ6", "PAOLA VINCENZI")</f>
        <v>PAOLA VINCENZI</v>
      </c>
      <c r="B4722" s="17" t="str">
        <f t="shared" si="472"/>
        <v>IT</v>
      </c>
      <c r="C4722" s="20" t="s">
        <v>44</v>
      </c>
      <c r="D4722" s="21" t="str">
        <f t="shared" si="473"/>
        <v>AE dialoghi di tempo fiducia e cura episodi 2-3-4</v>
      </c>
      <c r="E4722" s="22" t="str">
        <f>HYPERLINK("https://otsuka-europe-crm.veevavault.com/ui/#object/sent_email__v/VBL00000002P891", "SE-001433561")</f>
        <v>SE-001433561</v>
      </c>
      <c r="F4722" s="25"/>
      <c r="G4722" s="24">
        <v>0</v>
      </c>
      <c r="H4722" s="24">
        <v>0</v>
      </c>
      <c r="I4722" s="24">
        <v>0</v>
      </c>
      <c r="J4722" s="25"/>
      <c r="K4722" s="24">
        <v>0</v>
      </c>
      <c r="L4722" s="22" t="str">
        <f t="shared" si="474"/>
        <v>AE dialoghi di tempo fiducia e cura episodi 2-3-4</v>
      </c>
      <c r="M4722" s="22" t="str">
        <f t="shared" si="475"/>
        <v>nicoletta.vozza@crm.otsuka-europe.com</v>
      </c>
      <c r="N4722" s="23">
        <v>46181.338067129633</v>
      </c>
      <c r="O4722" s="14" t="str">
        <f>HYPERLINK("https://otsuka-europe-crm.veevavault.com/ui/#object/email_activity__v/V8C00000003P710", "EN-002090965")</f>
        <v>EN-002090965</v>
      </c>
    </row>
    <row r="4723" spans="1:15" ht="16" x14ac:dyDescent="0.2">
      <c r="A4723" s="19"/>
      <c r="B4723" s="19"/>
      <c r="C4723" s="19"/>
      <c r="D4723" s="19"/>
      <c r="E4723" s="19"/>
      <c r="F4723" s="19"/>
      <c r="G4723" s="19"/>
      <c r="H4723" s="19"/>
      <c r="I4723" s="19"/>
      <c r="J4723" s="19"/>
      <c r="K4723" s="19"/>
      <c r="L4723" s="19"/>
      <c r="M4723" s="19"/>
      <c r="N4723" s="19"/>
      <c r="O4723" s="14" t="str">
        <f>HYPERLINK("https://otsuka-europe-crm.veevavault.com/ui/#object/email_activity__v/V8C00000003R050", "EN-002091782")</f>
        <v>EN-002091782</v>
      </c>
    </row>
    <row r="4724" spans="1:15" ht="32" x14ac:dyDescent="0.2">
      <c r="A4724" s="7" t="str">
        <f>HYPERLINK("https://otsuka-europe-crm.veevavault.com/ui/#object/account__v/V4TZ025E87ROPNH", "PAOLO AMPOLLINI")</f>
        <v>PAOLO AMPOLLINI</v>
      </c>
      <c r="B4724" s="7" t="str">
        <f t="shared" ref="B4724:B4736" si="476">HYPERLINK("https://otsuka-europe-crm.veevavault.com/ui/#object/vcountry__v/VENZ000004SONFQ", "IT")</f>
        <v>IT</v>
      </c>
      <c r="C4724" s="8" t="s">
        <v>44</v>
      </c>
      <c r="D4724" s="9" t="str">
        <f t="shared" ref="D4724:D4736" si="477">HYPERLINK("https://otsuka-europe-crm.veevavault.com/ui/#object/approved_document__v/V5O000000018003", "AE dialoghi di tempo fiducia e cura episodi 2-3-4")</f>
        <v>AE dialoghi di tempo fiducia e cura episodi 2-3-4</v>
      </c>
      <c r="E4724" s="10" t="str">
        <f>HYPERLINK("https://otsuka-europe-crm.veevavault.com/ui/#object/sent_email__v/VBL00000002P892", "SE-001433562")</f>
        <v>SE-001433562</v>
      </c>
      <c r="F4724" s="11"/>
      <c r="G4724" s="12">
        <v>0</v>
      </c>
      <c r="H4724" s="12">
        <v>0</v>
      </c>
      <c r="I4724" s="12">
        <v>0</v>
      </c>
      <c r="J4724" s="11"/>
      <c r="K4724" s="12">
        <v>0</v>
      </c>
      <c r="L4724" s="10" t="str">
        <f t="shared" ref="L4724:L4736" si="478">HYPERLINK("https://otsuka-europe-crm.veevavault.com/ui/#object/approved_document__v/V5O000000018003", "AE dialoghi di tempo fiducia e cura episodi 2-3-4")</f>
        <v>AE dialoghi di tempo fiducia e cura episodi 2-3-4</v>
      </c>
      <c r="M4724" s="10" t="str">
        <f t="shared" ref="M4724:M4736" si="479">HYPERLINK("mailto:nicoletta.vozza@crm.otsuka-europe.com", "nicoletta.vozza@crm.otsuka-europe.com")</f>
        <v>nicoletta.vozza@crm.otsuka-europe.com</v>
      </c>
      <c r="N4724" s="13">
        <v>46181.337962962964</v>
      </c>
      <c r="O4724" s="14" t="str">
        <f>HYPERLINK("https://otsuka-europe-crm.veevavault.com/ui/#object/email_activity__v/V8C00000003P189", "EN-002089589")</f>
        <v>EN-002089589</v>
      </c>
    </row>
    <row r="4725" spans="1:15" ht="32" x14ac:dyDescent="0.2">
      <c r="A4725" s="7" t="str">
        <f>HYPERLINK("https://otsuka-europe-crm.veevavault.com/ui/#object/account__v/V4TZ06G6O71SA35", "PAOLO BARONCINI")</f>
        <v>PAOLO BARONCINI</v>
      </c>
      <c r="B4725" s="7" t="str">
        <f t="shared" si="476"/>
        <v>IT</v>
      </c>
      <c r="C4725" s="8" t="s">
        <v>44</v>
      </c>
      <c r="D4725" s="9" t="str">
        <f t="shared" si="477"/>
        <v>AE dialoghi di tempo fiducia e cura episodi 2-3-4</v>
      </c>
      <c r="E4725" s="10" t="str">
        <f>HYPERLINK("https://otsuka-europe-crm.veevavault.com/ui/#object/sent_email__v/VBL00000002P893", "SE-001433563")</f>
        <v>SE-001433563</v>
      </c>
      <c r="F4725" s="11"/>
      <c r="G4725" s="12">
        <v>0</v>
      </c>
      <c r="H4725" s="12">
        <v>0</v>
      </c>
      <c r="I4725" s="12">
        <v>0</v>
      </c>
      <c r="J4725" s="11"/>
      <c r="K4725" s="12">
        <v>0</v>
      </c>
      <c r="L4725" s="10" t="str">
        <f t="shared" si="478"/>
        <v>AE dialoghi di tempo fiducia e cura episodi 2-3-4</v>
      </c>
      <c r="M4725" s="10" t="str">
        <f t="shared" si="479"/>
        <v>nicoletta.vozza@crm.otsuka-europe.com</v>
      </c>
      <c r="N4725" s="13">
        <v>46181.337997685187</v>
      </c>
      <c r="O4725" s="14" t="str">
        <f>HYPERLINK("https://otsuka-europe-crm.veevavault.com/ui/#object/email_activity__v/V8C00000003P438", "EN-002090682")</f>
        <v>EN-002090682</v>
      </c>
    </row>
    <row r="4726" spans="1:15" ht="32" x14ac:dyDescent="0.2">
      <c r="A4726" s="7" t="str">
        <f>HYPERLINK("https://otsuka-europe-crm.veevavault.com/ui/#object/account__v/V4TZ06G6O71SAXL", "PAOLO CACCIANI")</f>
        <v>PAOLO CACCIANI</v>
      </c>
      <c r="B4726" s="7" t="str">
        <f t="shared" si="476"/>
        <v>IT</v>
      </c>
      <c r="C4726" s="8" t="s">
        <v>44</v>
      </c>
      <c r="D4726" s="9" t="str">
        <f t="shared" si="477"/>
        <v>AE dialoghi di tempo fiducia e cura episodi 2-3-4</v>
      </c>
      <c r="E4726" s="10" t="str">
        <f>HYPERLINK("https://otsuka-europe-crm.veevavault.com/ui/#object/sent_email__v/VBL00000002P894", "SE-001433564")</f>
        <v>SE-001433564</v>
      </c>
      <c r="F4726" s="11"/>
      <c r="G4726" s="12">
        <v>0</v>
      </c>
      <c r="H4726" s="12">
        <v>0</v>
      </c>
      <c r="I4726" s="12">
        <v>0</v>
      </c>
      <c r="J4726" s="11"/>
      <c r="K4726" s="12">
        <v>0</v>
      </c>
      <c r="L4726" s="10" t="str">
        <f t="shared" si="478"/>
        <v>AE dialoghi di tempo fiducia e cura episodi 2-3-4</v>
      </c>
      <c r="M4726" s="10" t="str">
        <f t="shared" si="479"/>
        <v>nicoletta.vozza@crm.otsuka-europe.com</v>
      </c>
      <c r="N4726" s="13">
        <v>46181.33803240741</v>
      </c>
      <c r="O4726" s="14" t="str">
        <f>HYPERLINK("https://otsuka-europe-crm.veevavault.com/ui/#object/email_activity__v/V8C00000003O294", "EN-002089771")</f>
        <v>EN-002089771</v>
      </c>
    </row>
    <row r="4727" spans="1:15" ht="32" x14ac:dyDescent="0.2">
      <c r="A4727" s="7" t="str">
        <f>HYPERLINK("https://otsuka-europe-crm.veevavault.com/ui/#object/account__v/V4TZ06G6O71SAXY", "PAOLO CALIARI")</f>
        <v>PAOLO CALIARI</v>
      </c>
      <c r="B4727" s="7" t="str">
        <f t="shared" si="476"/>
        <v>IT</v>
      </c>
      <c r="C4727" s="8" t="s">
        <v>44</v>
      </c>
      <c r="D4727" s="9" t="str">
        <f t="shared" si="477"/>
        <v>AE dialoghi di tempo fiducia e cura episodi 2-3-4</v>
      </c>
      <c r="E4727" s="10" t="str">
        <f>HYPERLINK("https://otsuka-europe-crm.veevavault.com/ui/#object/sent_email__v/VBL00000002P895", "SE-001433565")</f>
        <v>SE-001433565</v>
      </c>
      <c r="F4727" s="11"/>
      <c r="G4727" s="12">
        <v>0</v>
      </c>
      <c r="H4727" s="12">
        <v>0</v>
      </c>
      <c r="I4727" s="12">
        <v>0</v>
      </c>
      <c r="J4727" s="11"/>
      <c r="K4727" s="12">
        <v>0</v>
      </c>
      <c r="L4727" s="10" t="str">
        <f t="shared" si="478"/>
        <v>AE dialoghi di tempo fiducia e cura episodi 2-3-4</v>
      </c>
      <c r="M4727" s="10" t="str">
        <f t="shared" si="479"/>
        <v>nicoletta.vozza@crm.otsuka-europe.com</v>
      </c>
      <c r="N4727" s="13">
        <v>46181.337905092594</v>
      </c>
      <c r="O4727" s="15"/>
    </row>
    <row r="4728" spans="1:15" ht="32" x14ac:dyDescent="0.2">
      <c r="A4728" s="7" t="str">
        <f>HYPERLINK("https://otsuka-europe-crm.veevavault.com/ui/#object/account__v/V4TZ06G6O7VVS70", "PAOLO CAMERA")</f>
        <v>PAOLO CAMERA</v>
      </c>
      <c r="B4728" s="7" t="str">
        <f t="shared" si="476"/>
        <v>IT</v>
      </c>
      <c r="C4728" s="8" t="s">
        <v>44</v>
      </c>
      <c r="D4728" s="9" t="str">
        <f t="shared" si="477"/>
        <v>AE dialoghi di tempo fiducia e cura episodi 2-3-4</v>
      </c>
      <c r="E4728" s="10" t="str">
        <f>HYPERLINK("https://otsuka-europe-crm.veevavault.com/ui/#object/sent_email__v/VBL00000002P896", "SE-001433566")</f>
        <v>SE-001433566</v>
      </c>
      <c r="F4728" s="11"/>
      <c r="G4728" s="12">
        <v>0</v>
      </c>
      <c r="H4728" s="12">
        <v>0</v>
      </c>
      <c r="I4728" s="12">
        <v>0</v>
      </c>
      <c r="J4728" s="11"/>
      <c r="K4728" s="12">
        <v>0</v>
      </c>
      <c r="L4728" s="10" t="str">
        <f t="shared" si="478"/>
        <v>AE dialoghi di tempo fiducia e cura episodi 2-3-4</v>
      </c>
      <c r="M4728" s="10" t="str">
        <f t="shared" si="479"/>
        <v>nicoletta.vozza@crm.otsuka-europe.com</v>
      </c>
      <c r="N4728" s="13">
        <v>46181.338020833333</v>
      </c>
      <c r="O4728" s="14" t="str">
        <f>HYPERLINK("https://otsuka-europe-crm.veevavault.com/ui/#object/email_activity__v/V8C00000003P464", "EN-002090695")</f>
        <v>EN-002090695</v>
      </c>
    </row>
    <row r="4729" spans="1:15" ht="32" x14ac:dyDescent="0.2">
      <c r="A4729" s="7" t="str">
        <f>HYPERLINK("https://otsuka-europe-crm.veevavault.com/ui/#object/account__v/V4TZ06G6O71SB1K", "PAOLO CASAMENTO")</f>
        <v>PAOLO CASAMENTO</v>
      </c>
      <c r="B4729" s="7" t="str">
        <f t="shared" si="476"/>
        <v>IT</v>
      </c>
      <c r="C4729" s="8" t="s">
        <v>44</v>
      </c>
      <c r="D4729" s="9" t="str">
        <f t="shared" si="477"/>
        <v>AE dialoghi di tempo fiducia e cura episodi 2-3-4</v>
      </c>
      <c r="E4729" s="10" t="str">
        <f>HYPERLINK("https://otsuka-europe-crm.veevavault.com/ui/#object/sent_email__v/VBL00000002P897", "SE-001433567")</f>
        <v>SE-001433567</v>
      </c>
      <c r="F4729" s="11"/>
      <c r="G4729" s="12">
        <v>0</v>
      </c>
      <c r="H4729" s="12">
        <v>0</v>
      </c>
      <c r="I4729" s="12">
        <v>0</v>
      </c>
      <c r="J4729" s="11"/>
      <c r="K4729" s="12">
        <v>0</v>
      </c>
      <c r="L4729" s="10" t="str">
        <f t="shared" si="478"/>
        <v>AE dialoghi di tempo fiducia e cura episodi 2-3-4</v>
      </c>
      <c r="M4729" s="10" t="str">
        <f t="shared" si="479"/>
        <v>nicoletta.vozza@crm.otsuka-europe.com</v>
      </c>
      <c r="N4729" s="13">
        <v>46181.33803240741</v>
      </c>
      <c r="O4729" s="14" t="str">
        <f>HYPERLINK("https://otsuka-europe-crm.veevavault.com/ui/#object/email_activity__v/V8C00000003P528", "EN-002090783")</f>
        <v>EN-002090783</v>
      </c>
    </row>
    <row r="4730" spans="1:15" ht="32" x14ac:dyDescent="0.2">
      <c r="A4730" s="7" t="str">
        <f>HYPERLINK("https://otsuka-europe-crm.veevavault.com/ui/#object/account__v/V4TZ06G6O71SCI5", "PAOLO CIOFFI")</f>
        <v>PAOLO CIOFFI</v>
      </c>
      <c r="B4730" s="7" t="str">
        <f t="shared" si="476"/>
        <v>IT</v>
      </c>
      <c r="C4730" s="8" t="s">
        <v>44</v>
      </c>
      <c r="D4730" s="9" t="str">
        <f t="shared" si="477"/>
        <v>AE dialoghi di tempo fiducia e cura episodi 2-3-4</v>
      </c>
      <c r="E4730" s="10" t="str">
        <f>HYPERLINK("https://otsuka-europe-crm.veevavault.com/ui/#object/sent_email__v/VBL00000002P898", "SE-001433568")</f>
        <v>SE-001433568</v>
      </c>
      <c r="F4730" s="11"/>
      <c r="G4730" s="12">
        <v>0</v>
      </c>
      <c r="H4730" s="12">
        <v>0</v>
      </c>
      <c r="I4730" s="12">
        <v>0</v>
      </c>
      <c r="J4730" s="11"/>
      <c r="K4730" s="12">
        <v>0</v>
      </c>
      <c r="L4730" s="10" t="str">
        <f t="shared" si="478"/>
        <v>AE dialoghi di tempo fiducia e cura episodi 2-3-4</v>
      </c>
      <c r="M4730" s="10" t="str">
        <f t="shared" si="479"/>
        <v>nicoletta.vozza@crm.otsuka-europe.com</v>
      </c>
      <c r="N4730" s="13">
        <v>46181.337997685187</v>
      </c>
      <c r="O4730" s="14" t="str">
        <f>HYPERLINK("https://otsuka-europe-crm.veevavault.com/ui/#object/email_activity__v/V8C00000003O362", "EN-002089880")</f>
        <v>EN-002089880</v>
      </c>
    </row>
    <row r="4731" spans="1:15" ht="32" x14ac:dyDescent="0.2">
      <c r="A4731" s="7" t="str">
        <f>HYPERLINK("https://otsuka-europe-crm.veevavault.com/ui/#object/account__v/V4TZ04ASGAVAV9P", "PAOLO COTTURA")</f>
        <v>PAOLO COTTURA</v>
      </c>
      <c r="B4731" s="7" t="str">
        <f t="shared" si="476"/>
        <v>IT</v>
      </c>
      <c r="C4731" s="8" t="s">
        <v>44</v>
      </c>
      <c r="D4731" s="9" t="str">
        <f t="shared" si="477"/>
        <v>AE dialoghi di tempo fiducia e cura episodi 2-3-4</v>
      </c>
      <c r="E4731" s="10" t="str">
        <f>HYPERLINK("https://otsuka-europe-crm.veevavault.com/ui/#object/sent_email__v/VBL00000002P899", "SE-001433569")</f>
        <v>SE-001433569</v>
      </c>
      <c r="F4731" s="11"/>
      <c r="G4731" s="12">
        <v>0</v>
      </c>
      <c r="H4731" s="12">
        <v>0</v>
      </c>
      <c r="I4731" s="12">
        <v>0</v>
      </c>
      <c r="J4731" s="11"/>
      <c r="K4731" s="12">
        <v>0</v>
      </c>
      <c r="L4731" s="10" t="str">
        <f t="shared" si="478"/>
        <v>AE dialoghi di tempo fiducia e cura episodi 2-3-4</v>
      </c>
      <c r="M4731" s="10" t="str">
        <f t="shared" si="479"/>
        <v>nicoletta.vozza@crm.otsuka-europe.com</v>
      </c>
      <c r="N4731" s="13">
        <v>46181.338078703702</v>
      </c>
      <c r="O4731" s="14" t="str">
        <f>HYPERLINK("https://otsuka-europe-crm.veevavault.com/ui/#object/email_activity__v/V8C00000003Q128", "EN-002091211")</f>
        <v>EN-002091211</v>
      </c>
    </row>
    <row r="4732" spans="1:15" ht="32" x14ac:dyDescent="0.2">
      <c r="A4732" s="7" t="str">
        <f>HYPERLINK("https://otsuka-europe-crm.veevavault.com/ui/#object/account__v/V4TZ04ASG6LGIVR", "PAOLO COZZAGLIO")</f>
        <v>PAOLO COZZAGLIO</v>
      </c>
      <c r="B4732" s="7" t="str">
        <f t="shared" si="476"/>
        <v>IT</v>
      </c>
      <c r="C4732" s="8" t="s">
        <v>44</v>
      </c>
      <c r="D4732" s="9" t="str">
        <f t="shared" si="477"/>
        <v>AE dialoghi di tempo fiducia e cura episodi 2-3-4</v>
      </c>
      <c r="E4732" s="10" t="str">
        <f>HYPERLINK("https://otsuka-europe-crm.veevavault.com/ui/#object/sent_email__v/VBL00000002P900", "SE-001433570")</f>
        <v>SE-001433570</v>
      </c>
      <c r="F4732" s="11"/>
      <c r="G4732" s="12">
        <v>0</v>
      </c>
      <c r="H4732" s="12">
        <v>0</v>
      </c>
      <c r="I4732" s="12">
        <v>0</v>
      </c>
      <c r="J4732" s="11"/>
      <c r="K4732" s="12">
        <v>0</v>
      </c>
      <c r="L4732" s="10" t="str">
        <f t="shared" si="478"/>
        <v>AE dialoghi di tempo fiducia e cura episodi 2-3-4</v>
      </c>
      <c r="M4732" s="10" t="str">
        <f t="shared" si="479"/>
        <v>nicoletta.vozza@crm.otsuka-europe.com</v>
      </c>
      <c r="N4732" s="13">
        <v>46181.338090277779</v>
      </c>
      <c r="O4732" s="14" t="str">
        <f>HYPERLINK("https://otsuka-europe-crm.veevavault.com/ui/#object/email_activity__v/V8C00000003P721", "EN-002090976")</f>
        <v>EN-002090976</v>
      </c>
    </row>
    <row r="4733" spans="1:15" ht="32" x14ac:dyDescent="0.2">
      <c r="A4733" s="7" t="str">
        <f>HYPERLINK("https://otsuka-europe-crm.veevavault.com/ui/#object/account__v/V4TZ06G6O71TFRG", "PAOLO DEL NERO")</f>
        <v>PAOLO DEL NERO</v>
      </c>
      <c r="B4733" s="7" t="str">
        <f t="shared" si="476"/>
        <v>IT</v>
      </c>
      <c r="C4733" s="8" t="s">
        <v>44</v>
      </c>
      <c r="D4733" s="9" t="str">
        <f t="shared" si="477"/>
        <v>AE dialoghi di tempo fiducia e cura episodi 2-3-4</v>
      </c>
      <c r="E4733" s="10" t="str">
        <f>HYPERLINK("https://otsuka-europe-crm.veevavault.com/ui/#object/sent_email__v/VBL00000002P901", "SE-001433571")</f>
        <v>SE-001433571</v>
      </c>
      <c r="F4733" s="11"/>
      <c r="G4733" s="12">
        <v>0</v>
      </c>
      <c r="H4733" s="12">
        <v>0</v>
      </c>
      <c r="I4733" s="12">
        <v>0</v>
      </c>
      <c r="J4733" s="11"/>
      <c r="K4733" s="12">
        <v>0</v>
      </c>
      <c r="L4733" s="10" t="str">
        <f t="shared" si="478"/>
        <v>AE dialoghi di tempo fiducia e cura episodi 2-3-4</v>
      </c>
      <c r="M4733" s="10" t="str">
        <f t="shared" si="479"/>
        <v>nicoletta.vozza@crm.otsuka-europe.com</v>
      </c>
      <c r="N4733" s="13">
        <v>46181.33798611111</v>
      </c>
      <c r="O4733" s="14" t="str">
        <f>HYPERLINK("https://otsuka-europe-crm.veevavault.com/ui/#object/email_activity__v/V8C00000003P264", "EN-002089842")</f>
        <v>EN-002089842</v>
      </c>
    </row>
    <row r="4734" spans="1:15" ht="32" x14ac:dyDescent="0.2">
      <c r="A4734" s="7" t="str">
        <f>HYPERLINK("https://otsuka-europe-crm.veevavault.com/ui/#object/account__v/V4TZ06G6O71SB3W", "PAOLO GIRARDI")</f>
        <v>PAOLO GIRARDI</v>
      </c>
      <c r="B4734" s="7" t="str">
        <f t="shared" si="476"/>
        <v>IT</v>
      </c>
      <c r="C4734" s="8" t="s">
        <v>44</v>
      </c>
      <c r="D4734" s="9" t="str">
        <f t="shared" si="477"/>
        <v>AE dialoghi di tempo fiducia e cura episodi 2-3-4</v>
      </c>
      <c r="E4734" s="10" t="str">
        <f>HYPERLINK("https://otsuka-europe-crm.veevavault.com/ui/#object/sent_email__v/VBL00000002P902", "SE-001433572")</f>
        <v>SE-001433572</v>
      </c>
      <c r="F4734" s="11"/>
      <c r="G4734" s="12">
        <v>0</v>
      </c>
      <c r="H4734" s="12">
        <v>0</v>
      </c>
      <c r="I4734" s="12">
        <v>0</v>
      </c>
      <c r="J4734" s="11"/>
      <c r="K4734" s="12">
        <v>0</v>
      </c>
      <c r="L4734" s="10" t="str">
        <f t="shared" si="478"/>
        <v>AE dialoghi di tempo fiducia e cura episodi 2-3-4</v>
      </c>
      <c r="M4734" s="10" t="str">
        <f t="shared" si="479"/>
        <v>nicoletta.vozza@crm.otsuka-europe.com</v>
      </c>
      <c r="N4734" s="13">
        <v>46181.33797453704</v>
      </c>
      <c r="O4734" s="14" t="str">
        <f>HYPERLINK("https://otsuka-europe-crm.veevavault.com/ui/#object/email_activity__v/V8C00000003O324", "EN-002089801")</f>
        <v>EN-002089801</v>
      </c>
    </row>
    <row r="4735" spans="1:15" ht="32" x14ac:dyDescent="0.2">
      <c r="A4735" s="7" t="str">
        <f>HYPERLINK("https://otsuka-europe-crm.veevavault.com/ui/#object/account__v/V4TZ06G6O71SB9S", "PAOLO LOMBARDINI")</f>
        <v>PAOLO LOMBARDINI</v>
      </c>
      <c r="B4735" s="7" t="str">
        <f t="shared" si="476"/>
        <v>IT</v>
      </c>
      <c r="C4735" s="8" t="s">
        <v>44</v>
      </c>
      <c r="D4735" s="9" t="str">
        <f t="shared" si="477"/>
        <v>AE dialoghi di tempo fiducia e cura episodi 2-3-4</v>
      </c>
      <c r="E4735" s="10" t="str">
        <f>HYPERLINK("https://otsuka-europe-crm.veevavault.com/ui/#object/sent_email__v/VBL00000002P903", "SE-001433573")</f>
        <v>SE-001433573</v>
      </c>
      <c r="F4735" s="11"/>
      <c r="G4735" s="12">
        <v>0</v>
      </c>
      <c r="H4735" s="12">
        <v>0</v>
      </c>
      <c r="I4735" s="12">
        <v>0</v>
      </c>
      <c r="J4735" s="11"/>
      <c r="K4735" s="12">
        <v>0</v>
      </c>
      <c r="L4735" s="10" t="str">
        <f t="shared" si="478"/>
        <v>AE dialoghi di tempo fiducia e cura episodi 2-3-4</v>
      </c>
      <c r="M4735" s="10" t="str">
        <f t="shared" si="479"/>
        <v>nicoletta.vozza@crm.otsuka-europe.com</v>
      </c>
      <c r="N4735" s="13">
        <v>46181.338020833333</v>
      </c>
      <c r="O4735" s="14" t="str">
        <f>HYPERLINK("https://otsuka-europe-crm.veevavault.com/ui/#object/email_activity__v/V8C00000003P734", "EN-002091032")</f>
        <v>EN-002091032</v>
      </c>
    </row>
    <row r="4736" spans="1:15" ht="16" x14ac:dyDescent="0.2">
      <c r="A4736" s="17" t="str">
        <f>HYPERLINK("https://otsuka-europe-crm.veevavault.com/ui/#object/account__v/V4TZ06G6O71SBA2", "PAOLO LONGHI")</f>
        <v>PAOLO LONGHI</v>
      </c>
      <c r="B4736" s="17" t="str">
        <f t="shared" si="476"/>
        <v>IT</v>
      </c>
      <c r="C4736" s="20" t="s">
        <v>44</v>
      </c>
      <c r="D4736" s="21" t="str">
        <f t="shared" si="477"/>
        <v>AE dialoghi di tempo fiducia e cura episodi 2-3-4</v>
      </c>
      <c r="E4736" s="22" t="str">
        <f>HYPERLINK("https://otsuka-europe-crm.veevavault.com/ui/#object/sent_email__v/VBL00000002P904", "SE-001433574")</f>
        <v>SE-001433574</v>
      </c>
      <c r="F4736" s="23">
        <v>46181.338252314818</v>
      </c>
      <c r="G4736" s="24">
        <v>1</v>
      </c>
      <c r="H4736" s="24">
        <v>1</v>
      </c>
      <c r="I4736" s="24">
        <v>0</v>
      </c>
      <c r="J4736" s="25"/>
      <c r="K4736" s="24">
        <v>0</v>
      </c>
      <c r="L4736" s="22" t="str">
        <f t="shared" si="478"/>
        <v>AE dialoghi di tempo fiducia e cura episodi 2-3-4</v>
      </c>
      <c r="M4736" s="22" t="str">
        <f t="shared" si="479"/>
        <v>nicoletta.vozza@crm.otsuka-europe.com</v>
      </c>
      <c r="N4736" s="23">
        <v>46181.338078703702</v>
      </c>
      <c r="O4736" s="14" t="str">
        <f>HYPERLINK("https://otsuka-europe-crm.veevavault.com/ui/#object/email_activity__v/V8C00000003P507", "EN-002090719")</f>
        <v>EN-002090719</v>
      </c>
    </row>
    <row r="4737" spans="1:15" ht="16" x14ac:dyDescent="0.2">
      <c r="A4737" s="19"/>
      <c r="B4737" s="19"/>
      <c r="C4737" s="19"/>
      <c r="D4737" s="19"/>
      <c r="E4737" s="19"/>
      <c r="F4737" s="19"/>
      <c r="G4737" s="19"/>
      <c r="H4737" s="19"/>
      <c r="I4737" s="19"/>
      <c r="J4737" s="19"/>
      <c r="K4737" s="19"/>
      <c r="L4737" s="19"/>
      <c r="M4737" s="19"/>
      <c r="N4737" s="19"/>
      <c r="O4737" s="14" t="str">
        <f>HYPERLINK("https://otsuka-europe-crm.veevavault.com/ui/#object/email_activity__v/V8C00000003Q172", "EN-002091258")</f>
        <v>EN-002091258</v>
      </c>
    </row>
    <row r="4738" spans="1:15" ht="32" x14ac:dyDescent="0.2">
      <c r="A4738" s="7" t="str">
        <f>HYPERLINK("https://otsuka-europe-crm.veevavault.com/ui/#object/account__v/V4TZ06G6O71S9QT", "PAOLO MONTINI")</f>
        <v>PAOLO MONTINI</v>
      </c>
      <c r="B4738" s="7" t="str">
        <f t="shared" ref="B4738:B4758" si="480">HYPERLINK("https://otsuka-europe-crm.veevavault.com/ui/#object/vcountry__v/VENZ000004SONFQ", "IT")</f>
        <v>IT</v>
      </c>
      <c r="C4738" s="8" t="s">
        <v>44</v>
      </c>
      <c r="D4738" s="9" t="str">
        <f t="shared" ref="D4738:D4758" si="481">HYPERLINK("https://otsuka-europe-crm.veevavault.com/ui/#object/approved_document__v/V5O000000018003", "AE dialoghi di tempo fiducia e cura episodi 2-3-4")</f>
        <v>AE dialoghi di tempo fiducia e cura episodi 2-3-4</v>
      </c>
      <c r="E4738" s="10" t="str">
        <f>HYPERLINK("https://otsuka-europe-crm.veevavault.com/ui/#object/sent_email__v/VBL00000002P905", "SE-001433575")</f>
        <v>SE-001433575</v>
      </c>
      <c r="F4738" s="11"/>
      <c r="G4738" s="12">
        <v>0</v>
      </c>
      <c r="H4738" s="12">
        <v>0</v>
      </c>
      <c r="I4738" s="12">
        <v>0</v>
      </c>
      <c r="J4738" s="11"/>
      <c r="K4738" s="12">
        <v>0</v>
      </c>
      <c r="L4738" s="10" t="str">
        <f t="shared" ref="L4738:L4758" si="482">HYPERLINK("https://otsuka-europe-crm.veevavault.com/ui/#object/approved_document__v/V5O000000018003", "AE dialoghi di tempo fiducia e cura episodi 2-3-4")</f>
        <v>AE dialoghi di tempo fiducia e cura episodi 2-3-4</v>
      </c>
      <c r="M4738" s="10" t="str">
        <f t="shared" ref="M4738:M4758" si="483">HYPERLINK("mailto:nicoletta.vozza@crm.otsuka-europe.com", "nicoletta.vozza@crm.otsuka-europe.com")</f>
        <v>nicoletta.vozza@crm.otsuka-europe.com</v>
      </c>
      <c r="N4738" s="13">
        <v>46181.33798611111</v>
      </c>
      <c r="O4738" s="14" t="str">
        <f>HYPERLINK("https://otsuka-europe-crm.veevavault.com/ui/#object/email_activity__v/V8C00000003P406", "EN-002090412")</f>
        <v>EN-002090412</v>
      </c>
    </row>
    <row r="4739" spans="1:15" ht="32" x14ac:dyDescent="0.2">
      <c r="A4739" s="7" t="str">
        <f>HYPERLINK("https://otsuka-europe-crm.veevavault.com/ui/#object/account__v/V4TZ06G6O71SBQC", "PAOLO OSSOLA")</f>
        <v>PAOLO OSSOLA</v>
      </c>
      <c r="B4739" s="7" t="str">
        <f t="shared" si="480"/>
        <v>IT</v>
      </c>
      <c r="C4739" s="8" t="s">
        <v>44</v>
      </c>
      <c r="D4739" s="9" t="str">
        <f t="shared" si="481"/>
        <v>AE dialoghi di tempo fiducia e cura episodi 2-3-4</v>
      </c>
      <c r="E4739" s="10" t="str">
        <f>HYPERLINK("https://otsuka-europe-crm.veevavault.com/ui/#object/sent_email__v/VBL00000002P906", "SE-001433576")</f>
        <v>SE-001433576</v>
      </c>
      <c r="F4739" s="11"/>
      <c r="G4739" s="12">
        <v>0</v>
      </c>
      <c r="H4739" s="12">
        <v>0</v>
      </c>
      <c r="I4739" s="12">
        <v>0</v>
      </c>
      <c r="J4739" s="11"/>
      <c r="K4739" s="12">
        <v>0</v>
      </c>
      <c r="L4739" s="10" t="str">
        <f t="shared" si="482"/>
        <v>AE dialoghi di tempo fiducia e cura episodi 2-3-4</v>
      </c>
      <c r="M4739" s="10" t="str">
        <f t="shared" si="483"/>
        <v>nicoletta.vozza@crm.otsuka-europe.com</v>
      </c>
      <c r="N4739" s="13">
        <v>46181.338055555556</v>
      </c>
      <c r="O4739" s="14" t="str">
        <f>HYPERLINK("https://otsuka-europe-crm.veevavault.com/ui/#object/email_activity__v/V8C00000003P306", "EN-002089942")</f>
        <v>EN-002089942</v>
      </c>
    </row>
    <row r="4740" spans="1:15" ht="32" x14ac:dyDescent="0.2">
      <c r="A4740" s="7" t="str">
        <f>HYPERLINK("https://otsuka-europe-crm.veevavault.com/ui/#object/account__v/V4TZ06G6O71SBWS", "PAOLO PEDROLLI")</f>
        <v>PAOLO PEDROLLI</v>
      </c>
      <c r="B4740" s="7" t="str">
        <f t="shared" si="480"/>
        <v>IT</v>
      </c>
      <c r="C4740" s="8" t="s">
        <v>44</v>
      </c>
      <c r="D4740" s="9" t="str">
        <f t="shared" si="481"/>
        <v>AE dialoghi di tempo fiducia e cura episodi 2-3-4</v>
      </c>
      <c r="E4740" s="10" t="str">
        <f>HYPERLINK("https://otsuka-europe-crm.veevavault.com/ui/#object/sent_email__v/VBL00000002P907", "SE-001433577")</f>
        <v>SE-001433577</v>
      </c>
      <c r="F4740" s="11"/>
      <c r="G4740" s="12">
        <v>0</v>
      </c>
      <c r="H4740" s="12">
        <v>0</v>
      </c>
      <c r="I4740" s="12">
        <v>0</v>
      </c>
      <c r="J4740" s="11"/>
      <c r="K4740" s="12">
        <v>0</v>
      </c>
      <c r="L4740" s="10" t="str">
        <f t="shared" si="482"/>
        <v>AE dialoghi di tempo fiducia e cura episodi 2-3-4</v>
      </c>
      <c r="M4740" s="10" t="str">
        <f t="shared" si="483"/>
        <v>nicoletta.vozza@crm.otsuka-europe.com</v>
      </c>
      <c r="N4740" s="13">
        <v>46181.337962962964</v>
      </c>
      <c r="O4740" s="14" t="str">
        <f>HYPERLINK("https://otsuka-europe-crm.veevavault.com/ui/#object/email_activity__v/V8C00000003Q254", "EN-002091364")</f>
        <v>EN-002091364</v>
      </c>
    </row>
    <row r="4741" spans="1:15" ht="32" x14ac:dyDescent="0.2">
      <c r="A4741" s="7" t="str">
        <f>HYPERLINK("https://otsuka-europe-crm.veevavault.com/ui/#object/account__v/V4TZ06G6O71SCOG", "PAOLO VALSECCHI")</f>
        <v>PAOLO VALSECCHI</v>
      </c>
      <c r="B4741" s="7" t="str">
        <f t="shared" si="480"/>
        <v>IT</v>
      </c>
      <c r="C4741" s="8" t="s">
        <v>44</v>
      </c>
      <c r="D4741" s="9" t="str">
        <f t="shared" si="481"/>
        <v>AE dialoghi di tempo fiducia e cura episodi 2-3-4</v>
      </c>
      <c r="E4741" s="10" t="str">
        <f>HYPERLINK("https://otsuka-europe-crm.veevavault.com/ui/#object/sent_email__v/VBL00000002P908", "SE-001433578")</f>
        <v>SE-001433578</v>
      </c>
      <c r="F4741" s="11"/>
      <c r="G4741" s="12">
        <v>0</v>
      </c>
      <c r="H4741" s="12">
        <v>0</v>
      </c>
      <c r="I4741" s="12">
        <v>0</v>
      </c>
      <c r="J4741" s="11"/>
      <c r="K4741" s="12">
        <v>0</v>
      </c>
      <c r="L4741" s="10" t="str">
        <f t="shared" si="482"/>
        <v>AE dialoghi di tempo fiducia e cura episodi 2-3-4</v>
      </c>
      <c r="M4741" s="10" t="str">
        <f t="shared" si="483"/>
        <v>nicoletta.vozza@crm.otsuka-europe.com</v>
      </c>
      <c r="N4741" s="13">
        <v>46181.337997685187</v>
      </c>
      <c r="O4741" s="14" t="str">
        <f>HYPERLINK("https://otsuka-europe-crm.veevavault.com/ui/#object/email_activity__v/V8C00000003O940", "EN-002090600")</f>
        <v>EN-002090600</v>
      </c>
    </row>
    <row r="4742" spans="1:15" ht="32" x14ac:dyDescent="0.2">
      <c r="A4742" s="7" t="str">
        <f>HYPERLINK("https://otsuka-europe-crm.veevavault.com/ui/#object/account__v/V4TZ06G6O71SCS8", "PAOLO ZORZI")</f>
        <v>PAOLO ZORZI</v>
      </c>
      <c r="B4742" s="7" t="str">
        <f t="shared" si="480"/>
        <v>IT</v>
      </c>
      <c r="C4742" s="8" t="s">
        <v>44</v>
      </c>
      <c r="D4742" s="9" t="str">
        <f t="shared" si="481"/>
        <v>AE dialoghi di tempo fiducia e cura episodi 2-3-4</v>
      </c>
      <c r="E4742" s="10" t="str">
        <f>HYPERLINK("https://otsuka-europe-crm.veevavault.com/ui/#object/sent_email__v/VBL00000002P909", "SE-001433579")</f>
        <v>SE-001433579</v>
      </c>
      <c r="F4742" s="11"/>
      <c r="G4742" s="12">
        <v>0</v>
      </c>
      <c r="H4742" s="12">
        <v>0</v>
      </c>
      <c r="I4742" s="12">
        <v>0</v>
      </c>
      <c r="J4742" s="11"/>
      <c r="K4742" s="12">
        <v>0</v>
      </c>
      <c r="L4742" s="10" t="str">
        <f t="shared" si="482"/>
        <v>AE dialoghi di tempo fiducia e cura episodi 2-3-4</v>
      </c>
      <c r="M4742" s="10" t="str">
        <f t="shared" si="483"/>
        <v>nicoletta.vozza@crm.otsuka-europe.com</v>
      </c>
      <c r="N4742" s="13">
        <v>46181.337951388887</v>
      </c>
      <c r="O4742" s="14" t="str">
        <f>HYPERLINK("https://otsuka-europe-crm.veevavault.com/ui/#object/email_activity__v/V8C00000003O259", "EN-002089736")</f>
        <v>EN-002089736</v>
      </c>
    </row>
    <row r="4743" spans="1:15" ht="32" x14ac:dyDescent="0.2">
      <c r="A4743" s="7" t="str">
        <f>HYPERLINK("https://otsuka-europe-crm.veevavault.com/ui/#object/account__v/V4TZ06G6O71S9YF", "PASQUALE ARCAMONE")</f>
        <v>PASQUALE ARCAMONE</v>
      </c>
      <c r="B4743" s="7" t="str">
        <f t="shared" si="480"/>
        <v>IT</v>
      </c>
      <c r="C4743" s="8" t="s">
        <v>44</v>
      </c>
      <c r="D4743" s="9" t="str">
        <f t="shared" si="481"/>
        <v>AE dialoghi di tempo fiducia e cura episodi 2-3-4</v>
      </c>
      <c r="E4743" s="10" t="str">
        <f>HYPERLINK("https://otsuka-europe-crm.veevavault.com/ui/#object/sent_email__v/VBL00000002P910", "SE-001433580")</f>
        <v>SE-001433580</v>
      </c>
      <c r="F4743" s="11"/>
      <c r="G4743" s="12">
        <v>0</v>
      </c>
      <c r="H4743" s="12">
        <v>0</v>
      </c>
      <c r="I4743" s="12">
        <v>0</v>
      </c>
      <c r="J4743" s="11"/>
      <c r="K4743" s="12">
        <v>0</v>
      </c>
      <c r="L4743" s="10" t="str">
        <f t="shared" si="482"/>
        <v>AE dialoghi di tempo fiducia e cura episodi 2-3-4</v>
      </c>
      <c r="M4743" s="10" t="str">
        <f t="shared" si="483"/>
        <v>nicoletta.vozza@crm.otsuka-europe.com</v>
      </c>
      <c r="N4743" s="13">
        <v>46181.33803240741</v>
      </c>
      <c r="O4743" s="14" t="str">
        <f>HYPERLINK("https://otsuka-europe-crm.veevavault.com/ui/#object/email_activity__v/V8C00000003Q296", "EN-002091437")</f>
        <v>EN-002091437</v>
      </c>
    </row>
    <row r="4744" spans="1:15" ht="32" x14ac:dyDescent="0.2">
      <c r="A4744" s="7" t="str">
        <f>HYPERLINK("https://otsuka-europe-crm.veevavault.com/ui/#object/account__v/V4TZ06G6O71SA7O", "PASQUALE BROGNA")</f>
        <v>PASQUALE BROGNA</v>
      </c>
      <c r="B4744" s="7" t="str">
        <f t="shared" si="480"/>
        <v>IT</v>
      </c>
      <c r="C4744" s="8" t="s">
        <v>44</v>
      </c>
      <c r="D4744" s="9" t="str">
        <f t="shared" si="481"/>
        <v>AE dialoghi di tempo fiducia e cura episodi 2-3-4</v>
      </c>
      <c r="E4744" s="10" t="str">
        <f>HYPERLINK("https://otsuka-europe-crm.veevavault.com/ui/#object/sent_email__v/VBL00000002P911", "SE-001433581")</f>
        <v>SE-001433581</v>
      </c>
      <c r="F4744" s="11"/>
      <c r="G4744" s="12">
        <v>0</v>
      </c>
      <c r="H4744" s="12">
        <v>0</v>
      </c>
      <c r="I4744" s="12">
        <v>0</v>
      </c>
      <c r="J4744" s="11"/>
      <c r="K4744" s="12">
        <v>0</v>
      </c>
      <c r="L4744" s="10" t="str">
        <f t="shared" si="482"/>
        <v>AE dialoghi di tempo fiducia e cura episodi 2-3-4</v>
      </c>
      <c r="M4744" s="10" t="str">
        <f t="shared" si="483"/>
        <v>nicoletta.vozza@crm.otsuka-europe.com</v>
      </c>
      <c r="N4744" s="13">
        <v>46181.338125000002</v>
      </c>
      <c r="O4744" s="14" t="str">
        <f>HYPERLINK("https://otsuka-europe-crm.veevavault.com/ui/#object/email_activity__v/V8C00000003O963", "EN-002090623")</f>
        <v>EN-002090623</v>
      </c>
    </row>
    <row r="4745" spans="1:15" ht="32" x14ac:dyDescent="0.2">
      <c r="A4745" s="7" t="str">
        <f>HYPERLINK("https://otsuka-europe-crm.veevavault.com/ui/#object/account__v/V4TZ06G6OB4GMO8", "PASQUALE CHIRICO PRATTICO'")</f>
        <v>PASQUALE CHIRICO PRATTICO'</v>
      </c>
      <c r="B4745" s="7" t="str">
        <f t="shared" si="480"/>
        <v>IT</v>
      </c>
      <c r="C4745" s="8" t="s">
        <v>44</v>
      </c>
      <c r="D4745" s="9" t="str">
        <f t="shared" si="481"/>
        <v>AE dialoghi di tempo fiducia e cura episodi 2-3-4</v>
      </c>
      <c r="E4745" s="10" t="str">
        <f>HYPERLINK("https://otsuka-europe-crm.veevavault.com/ui/#object/sent_email__v/VBL00000002P912", "SE-001433582")</f>
        <v>SE-001433582</v>
      </c>
      <c r="F4745" s="11"/>
      <c r="G4745" s="12">
        <v>0</v>
      </c>
      <c r="H4745" s="12">
        <v>0</v>
      </c>
      <c r="I4745" s="12">
        <v>0</v>
      </c>
      <c r="J4745" s="11"/>
      <c r="K4745" s="12">
        <v>0</v>
      </c>
      <c r="L4745" s="10" t="str">
        <f t="shared" si="482"/>
        <v>AE dialoghi di tempo fiducia e cura episodi 2-3-4</v>
      </c>
      <c r="M4745" s="10" t="str">
        <f t="shared" si="483"/>
        <v>nicoletta.vozza@crm.otsuka-europe.com</v>
      </c>
      <c r="N4745" s="13">
        <v>46181.338090277779</v>
      </c>
      <c r="O4745" s="14" t="str">
        <f>HYPERLINK("https://otsuka-europe-crm.veevavault.com/ui/#object/email_activity__v/V8C00000003P505", "EN-002090717")</f>
        <v>EN-002090717</v>
      </c>
    </row>
    <row r="4746" spans="1:15" ht="32" x14ac:dyDescent="0.2">
      <c r="A4746" s="7" t="str">
        <f>HYPERLINK("https://otsuka-europe-crm.veevavault.com/ui/#object/account__v/V4TZ025E889ESKF", "PASQUALE COZZOLINO")</f>
        <v>PASQUALE COZZOLINO</v>
      </c>
      <c r="B4746" s="7" t="str">
        <f t="shared" si="480"/>
        <v>IT</v>
      </c>
      <c r="C4746" s="8" t="s">
        <v>44</v>
      </c>
      <c r="D4746" s="9" t="str">
        <f t="shared" si="481"/>
        <v>AE dialoghi di tempo fiducia e cura episodi 2-3-4</v>
      </c>
      <c r="E4746" s="10" t="str">
        <f>HYPERLINK("https://otsuka-europe-crm.veevavault.com/ui/#object/sent_email__v/VBL00000002P913", "SE-001433583")</f>
        <v>SE-001433583</v>
      </c>
      <c r="F4746" s="11"/>
      <c r="G4746" s="12">
        <v>0</v>
      </c>
      <c r="H4746" s="12">
        <v>0</v>
      </c>
      <c r="I4746" s="12">
        <v>0</v>
      </c>
      <c r="J4746" s="11"/>
      <c r="K4746" s="12">
        <v>0</v>
      </c>
      <c r="L4746" s="10" t="str">
        <f t="shared" si="482"/>
        <v>AE dialoghi di tempo fiducia e cura episodi 2-3-4</v>
      </c>
      <c r="M4746" s="10" t="str">
        <f t="shared" si="483"/>
        <v>nicoletta.vozza@crm.otsuka-europe.com</v>
      </c>
      <c r="N4746" s="13">
        <v>46181.337905092594</v>
      </c>
      <c r="O4746" s="15"/>
    </row>
    <row r="4747" spans="1:15" ht="32" x14ac:dyDescent="0.2">
      <c r="A4747" s="7" t="str">
        <f>HYPERLINK("https://otsuka-europe-crm.veevavault.com/ui/#object/account__v/V4TZ04ASGBJDBN6", "PASQUALE DE TOMA")</f>
        <v>PASQUALE DE TOMA</v>
      </c>
      <c r="B4747" s="7" t="str">
        <f t="shared" si="480"/>
        <v>IT</v>
      </c>
      <c r="C4747" s="8" t="s">
        <v>44</v>
      </c>
      <c r="D4747" s="9" t="str">
        <f t="shared" si="481"/>
        <v>AE dialoghi di tempo fiducia e cura episodi 2-3-4</v>
      </c>
      <c r="E4747" s="10" t="str">
        <f>HYPERLINK("https://otsuka-europe-crm.veevavault.com/ui/#object/sent_email__v/VBL00000002P914", "SE-001433584")</f>
        <v>SE-001433584</v>
      </c>
      <c r="F4747" s="11"/>
      <c r="G4747" s="12">
        <v>0</v>
      </c>
      <c r="H4747" s="12">
        <v>0</v>
      </c>
      <c r="I4747" s="12">
        <v>0</v>
      </c>
      <c r="J4747" s="11"/>
      <c r="K4747" s="12">
        <v>0</v>
      </c>
      <c r="L4747" s="10" t="str">
        <f t="shared" si="482"/>
        <v>AE dialoghi di tempo fiducia e cura episodi 2-3-4</v>
      </c>
      <c r="M4747" s="10" t="str">
        <f t="shared" si="483"/>
        <v>nicoletta.vozza@crm.otsuka-europe.com</v>
      </c>
      <c r="N4747" s="13">
        <v>46181.337997685187</v>
      </c>
      <c r="O4747" s="14" t="str">
        <f>HYPERLINK("https://otsuka-europe-crm.veevavault.com/ui/#object/email_activity__v/V8C00000003O781", "EN-002090441")</f>
        <v>EN-002090441</v>
      </c>
    </row>
    <row r="4748" spans="1:15" ht="32" x14ac:dyDescent="0.2">
      <c r="A4748" s="7" t="str">
        <f>HYPERLINK("https://otsuka-europe-crm.veevavault.com/ui/#object/account__v/V4TZ06G6O71SAFY", "PASQUALE DI COSTANZO")</f>
        <v>PASQUALE DI COSTANZO</v>
      </c>
      <c r="B4748" s="7" t="str">
        <f t="shared" si="480"/>
        <v>IT</v>
      </c>
      <c r="C4748" s="8" t="s">
        <v>44</v>
      </c>
      <c r="D4748" s="9" t="str">
        <f t="shared" si="481"/>
        <v>AE dialoghi di tempo fiducia e cura episodi 2-3-4</v>
      </c>
      <c r="E4748" s="10" t="str">
        <f>HYPERLINK("https://otsuka-europe-crm.veevavault.com/ui/#object/sent_email__v/VBL00000002P915", "SE-001433585")</f>
        <v>SE-001433585</v>
      </c>
      <c r="F4748" s="11"/>
      <c r="G4748" s="12">
        <v>0</v>
      </c>
      <c r="H4748" s="12">
        <v>0</v>
      </c>
      <c r="I4748" s="12">
        <v>0</v>
      </c>
      <c r="J4748" s="11"/>
      <c r="K4748" s="12">
        <v>0</v>
      </c>
      <c r="L4748" s="10" t="str">
        <f t="shared" si="482"/>
        <v>AE dialoghi di tempo fiducia e cura episodi 2-3-4</v>
      </c>
      <c r="M4748" s="10" t="str">
        <f t="shared" si="483"/>
        <v>nicoletta.vozza@crm.otsuka-europe.com</v>
      </c>
      <c r="N4748" s="13">
        <v>46181.338101851848</v>
      </c>
      <c r="O4748" s="14" t="str">
        <f>HYPERLINK("https://otsuka-europe-crm.veevavault.com/ui/#object/email_activity__v/V8C00000003P775", "EN-002091073")</f>
        <v>EN-002091073</v>
      </c>
    </row>
    <row r="4749" spans="1:15" ht="32" x14ac:dyDescent="0.2">
      <c r="A4749" s="7" t="str">
        <f>HYPERLINK("https://otsuka-europe-crm.veevavault.com/ui/#object/account__v/V4TZ06G6O71SC6G", "PASQUALE GASPARO RIPPA")</f>
        <v>PASQUALE GASPARO RIPPA</v>
      </c>
      <c r="B4749" s="7" t="str">
        <f t="shared" si="480"/>
        <v>IT</v>
      </c>
      <c r="C4749" s="8" t="s">
        <v>44</v>
      </c>
      <c r="D4749" s="9" t="str">
        <f t="shared" si="481"/>
        <v>AE dialoghi di tempo fiducia e cura episodi 2-3-4</v>
      </c>
      <c r="E4749" s="10" t="str">
        <f>HYPERLINK("https://otsuka-europe-crm.veevavault.com/ui/#object/sent_email__v/VBL00000002P916", "SE-001433586")</f>
        <v>SE-001433586</v>
      </c>
      <c r="F4749" s="11"/>
      <c r="G4749" s="12">
        <v>0</v>
      </c>
      <c r="H4749" s="12">
        <v>0</v>
      </c>
      <c r="I4749" s="12">
        <v>0</v>
      </c>
      <c r="J4749" s="11"/>
      <c r="K4749" s="12">
        <v>0</v>
      </c>
      <c r="L4749" s="10" t="str">
        <f t="shared" si="482"/>
        <v>AE dialoghi di tempo fiducia e cura episodi 2-3-4</v>
      </c>
      <c r="M4749" s="10" t="str">
        <f t="shared" si="483"/>
        <v>nicoletta.vozza@crm.otsuka-europe.com</v>
      </c>
      <c r="N4749" s="13">
        <v>46181.33797453704</v>
      </c>
      <c r="O4749" s="14" t="str">
        <f>HYPERLINK("https://otsuka-europe-crm.veevavault.com/ui/#object/email_activity__v/V8C00000003O351", "EN-002089869")</f>
        <v>EN-002089869</v>
      </c>
    </row>
    <row r="4750" spans="1:15" ht="32" x14ac:dyDescent="0.2">
      <c r="A4750" s="7" t="str">
        <f>HYPERLINK("https://otsuka-europe-crm.veevavault.com/ui/#object/account__v/V4TZ06G6O71SBUM", "PASQUALE PARISE")</f>
        <v>PASQUALE PARISE</v>
      </c>
      <c r="B4750" s="7" t="str">
        <f t="shared" si="480"/>
        <v>IT</v>
      </c>
      <c r="C4750" s="8" t="s">
        <v>44</v>
      </c>
      <c r="D4750" s="9" t="str">
        <f t="shared" si="481"/>
        <v>AE dialoghi di tempo fiducia e cura episodi 2-3-4</v>
      </c>
      <c r="E4750" s="10" t="str">
        <f>HYPERLINK("https://otsuka-europe-crm.veevavault.com/ui/#object/sent_email__v/VBL00000002P917", "SE-001433587")</f>
        <v>SE-001433587</v>
      </c>
      <c r="F4750" s="11"/>
      <c r="G4750" s="12">
        <v>0</v>
      </c>
      <c r="H4750" s="12">
        <v>0</v>
      </c>
      <c r="I4750" s="12">
        <v>0</v>
      </c>
      <c r="J4750" s="11"/>
      <c r="K4750" s="12">
        <v>0</v>
      </c>
      <c r="L4750" s="10" t="str">
        <f t="shared" si="482"/>
        <v>AE dialoghi di tempo fiducia e cura episodi 2-3-4</v>
      </c>
      <c r="M4750" s="10" t="str">
        <f t="shared" si="483"/>
        <v>nicoletta.vozza@crm.otsuka-europe.com</v>
      </c>
      <c r="N4750" s="13">
        <v>46181.338020833333</v>
      </c>
      <c r="O4750" s="14" t="str">
        <f>HYPERLINK("https://otsuka-europe-crm.veevavault.com/ui/#object/email_activity__v/V8C00000003P790", "EN-002091088")</f>
        <v>EN-002091088</v>
      </c>
    </row>
    <row r="4751" spans="1:15" ht="32" x14ac:dyDescent="0.2">
      <c r="A4751" s="7" t="str">
        <f>HYPERLINK("https://otsuka-europe-crm.veevavault.com/ui/#object/account__v/V4TZ04ASGCDFYIJ", "PASQUALE PARISI")</f>
        <v>PASQUALE PARISI</v>
      </c>
      <c r="B4751" s="7" t="str">
        <f t="shared" si="480"/>
        <v>IT</v>
      </c>
      <c r="C4751" s="8" t="s">
        <v>44</v>
      </c>
      <c r="D4751" s="9" t="str">
        <f t="shared" si="481"/>
        <v>AE dialoghi di tempo fiducia e cura episodi 2-3-4</v>
      </c>
      <c r="E4751" s="10" t="str">
        <f>HYPERLINK("https://otsuka-europe-crm.veevavault.com/ui/#object/sent_email__v/VBL00000002P918", "SE-001433588")</f>
        <v>SE-001433588</v>
      </c>
      <c r="F4751" s="11"/>
      <c r="G4751" s="12">
        <v>0</v>
      </c>
      <c r="H4751" s="12">
        <v>0</v>
      </c>
      <c r="I4751" s="12">
        <v>0</v>
      </c>
      <c r="J4751" s="11"/>
      <c r="K4751" s="12">
        <v>0</v>
      </c>
      <c r="L4751" s="10" t="str">
        <f t="shared" si="482"/>
        <v>AE dialoghi di tempo fiducia e cura episodi 2-3-4</v>
      </c>
      <c r="M4751" s="10" t="str">
        <f t="shared" si="483"/>
        <v>nicoletta.vozza@crm.otsuka-europe.com</v>
      </c>
      <c r="N4751" s="13">
        <v>46181.338020833333</v>
      </c>
      <c r="O4751" s="14" t="str">
        <f>HYPERLINK("https://otsuka-europe-crm.veevavault.com/ui/#object/email_activity__v/V8C00000003O638", "EN-002090194")</f>
        <v>EN-002090194</v>
      </c>
    </row>
    <row r="4752" spans="1:15" ht="32" x14ac:dyDescent="0.2">
      <c r="A4752" s="7" t="str">
        <f>HYPERLINK("https://otsuka-europe-crm.veevavault.com/ui/#object/account__v/V4TZ06G6O71SCPQ", "PASQUALINA VETRO")</f>
        <v>PASQUALINA VETRO</v>
      </c>
      <c r="B4752" s="7" t="str">
        <f t="shared" si="480"/>
        <v>IT</v>
      </c>
      <c r="C4752" s="8" t="s">
        <v>44</v>
      </c>
      <c r="D4752" s="9" t="str">
        <f t="shared" si="481"/>
        <v>AE dialoghi di tempo fiducia e cura episodi 2-3-4</v>
      </c>
      <c r="E4752" s="10" t="str">
        <f>HYPERLINK("https://otsuka-europe-crm.veevavault.com/ui/#object/sent_email__v/VBL00000002P919", "SE-001433589")</f>
        <v>SE-001433589</v>
      </c>
      <c r="F4752" s="11"/>
      <c r="G4752" s="12">
        <v>0</v>
      </c>
      <c r="H4752" s="12">
        <v>0</v>
      </c>
      <c r="I4752" s="12">
        <v>0</v>
      </c>
      <c r="J4752" s="11"/>
      <c r="K4752" s="12">
        <v>0</v>
      </c>
      <c r="L4752" s="10" t="str">
        <f t="shared" si="482"/>
        <v>AE dialoghi di tempo fiducia e cura episodi 2-3-4</v>
      </c>
      <c r="M4752" s="10" t="str">
        <f t="shared" si="483"/>
        <v>nicoletta.vozza@crm.otsuka-europe.com</v>
      </c>
      <c r="N4752" s="13">
        <v>46181.338078703702</v>
      </c>
      <c r="O4752" s="14" t="str">
        <f>HYPERLINK("https://otsuka-europe-crm.veevavault.com/ui/#object/email_activity__v/V8C00000003P536", "EN-002090791")</f>
        <v>EN-002090791</v>
      </c>
    </row>
    <row r="4753" spans="1:15" ht="32" x14ac:dyDescent="0.2">
      <c r="A4753" s="7" t="str">
        <f>HYPERLINK("https://otsuka-europe-crm.veevavault.com/ui/#object/account__v/V4TZ06G6O9MZDLJ", "PATRIZIA BALDASSARRE")</f>
        <v>PATRIZIA BALDASSARRE</v>
      </c>
      <c r="B4753" s="7" t="str">
        <f t="shared" si="480"/>
        <v>IT</v>
      </c>
      <c r="C4753" s="8" t="s">
        <v>44</v>
      </c>
      <c r="D4753" s="9" t="str">
        <f t="shared" si="481"/>
        <v>AE dialoghi di tempo fiducia e cura episodi 2-3-4</v>
      </c>
      <c r="E4753" s="10" t="str">
        <f>HYPERLINK("https://otsuka-europe-crm.veevavault.com/ui/#object/sent_email__v/VBL00000002P920", "SE-001433590")</f>
        <v>SE-001433590</v>
      </c>
      <c r="F4753" s="11"/>
      <c r="G4753" s="12">
        <v>0</v>
      </c>
      <c r="H4753" s="12">
        <v>0</v>
      </c>
      <c r="I4753" s="12">
        <v>0</v>
      </c>
      <c r="J4753" s="11"/>
      <c r="K4753" s="12">
        <v>0</v>
      </c>
      <c r="L4753" s="10" t="str">
        <f t="shared" si="482"/>
        <v>AE dialoghi di tempo fiducia e cura episodi 2-3-4</v>
      </c>
      <c r="M4753" s="10" t="str">
        <f t="shared" si="483"/>
        <v>nicoletta.vozza@crm.otsuka-europe.com</v>
      </c>
      <c r="N4753" s="13">
        <v>46181.338067129633</v>
      </c>
      <c r="O4753" s="14" t="str">
        <f>HYPERLINK("https://otsuka-europe-crm.veevavault.com/ui/#object/email_activity__v/V8C00000003P305", "EN-002089941")</f>
        <v>EN-002089941</v>
      </c>
    </row>
    <row r="4754" spans="1:15" ht="32" x14ac:dyDescent="0.2">
      <c r="A4754" s="7" t="str">
        <f>HYPERLINK("https://otsuka-europe-crm.veevavault.com/ui/#object/account__v/V4TZ06G6O71SA0E", "PATRIZIA BERGANTIN")</f>
        <v>PATRIZIA BERGANTIN</v>
      </c>
      <c r="B4754" s="7" t="str">
        <f t="shared" si="480"/>
        <v>IT</v>
      </c>
      <c r="C4754" s="8" t="s">
        <v>44</v>
      </c>
      <c r="D4754" s="9" t="str">
        <f t="shared" si="481"/>
        <v>AE dialoghi di tempo fiducia e cura episodi 2-3-4</v>
      </c>
      <c r="E4754" s="10" t="str">
        <f>HYPERLINK("https://otsuka-europe-crm.veevavault.com/ui/#object/sent_email__v/VBL00000002P921", "SE-001433591")</f>
        <v>SE-001433591</v>
      </c>
      <c r="F4754" s="11"/>
      <c r="G4754" s="12">
        <v>0</v>
      </c>
      <c r="H4754" s="12">
        <v>0</v>
      </c>
      <c r="I4754" s="12">
        <v>0</v>
      </c>
      <c r="J4754" s="11"/>
      <c r="K4754" s="12">
        <v>0</v>
      </c>
      <c r="L4754" s="10" t="str">
        <f t="shared" si="482"/>
        <v>AE dialoghi di tempo fiducia e cura episodi 2-3-4</v>
      </c>
      <c r="M4754" s="10" t="str">
        <f t="shared" si="483"/>
        <v>nicoletta.vozza@crm.otsuka-europe.com</v>
      </c>
      <c r="N4754" s="13">
        <v>46181.338055555556</v>
      </c>
      <c r="O4754" s="14" t="str">
        <f>HYPERLINK("https://otsuka-europe-crm.veevavault.com/ui/#object/email_activity__v/V8C00000003P457", "EN-002090651")</f>
        <v>EN-002090651</v>
      </c>
    </row>
    <row r="4755" spans="1:15" ht="32" x14ac:dyDescent="0.2">
      <c r="A4755" s="7" t="str">
        <f>HYPERLINK("https://otsuka-europe-crm.veevavault.com/ui/#object/account__v/V4TZ06G6O71SA3I", "PATRIZIA BIANCA MARIA BARILE")</f>
        <v>PATRIZIA BIANCA MARIA BARILE</v>
      </c>
      <c r="B4755" s="7" t="str">
        <f t="shared" si="480"/>
        <v>IT</v>
      </c>
      <c r="C4755" s="8" t="s">
        <v>44</v>
      </c>
      <c r="D4755" s="9" t="str">
        <f t="shared" si="481"/>
        <v>AE dialoghi di tempo fiducia e cura episodi 2-3-4</v>
      </c>
      <c r="E4755" s="10" t="str">
        <f>HYPERLINK("https://otsuka-europe-crm.veevavault.com/ui/#object/sent_email__v/VBL00000002P922", "SE-001433592")</f>
        <v>SE-001433592</v>
      </c>
      <c r="F4755" s="11"/>
      <c r="G4755" s="12">
        <v>0</v>
      </c>
      <c r="H4755" s="12">
        <v>0</v>
      </c>
      <c r="I4755" s="12">
        <v>0</v>
      </c>
      <c r="J4755" s="11"/>
      <c r="K4755" s="12">
        <v>0</v>
      </c>
      <c r="L4755" s="10" t="str">
        <f t="shared" si="482"/>
        <v>AE dialoghi di tempo fiducia e cura episodi 2-3-4</v>
      </c>
      <c r="M4755" s="10" t="str">
        <f t="shared" si="483"/>
        <v>nicoletta.vozza@crm.otsuka-europe.com</v>
      </c>
      <c r="N4755" s="13">
        <v>46181.33803240741</v>
      </c>
      <c r="O4755" s="14" t="str">
        <f>HYPERLINK("https://otsuka-europe-crm.veevavault.com/ui/#object/email_activity__v/V8C00000003P350", "EN-002090356")</f>
        <v>EN-002090356</v>
      </c>
    </row>
    <row r="4756" spans="1:15" ht="32" x14ac:dyDescent="0.2">
      <c r="A4756" s="7" t="str">
        <f>HYPERLINK("https://otsuka-europe-crm.veevavault.com/ui/#object/account__v/V4TZ06G6O71SC7O", "PATRIZIA CERONI")</f>
        <v>PATRIZIA CERONI</v>
      </c>
      <c r="B4756" s="7" t="str">
        <f t="shared" si="480"/>
        <v>IT</v>
      </c>
      <c r="C4756" s="8" t="s">
        <v>44</v>
      </c>
      <c r="D4756" s="9" t="str">
        <f t="shared" si="481"/>
        <v>AE dialoghi di tempo fiducia e cura episodi 2-3-4</v>
      </c>
      <c r="E4756" s="10" t="str">
        <f>HYPERLINK("https://otsuka-europe-crm.veevavault.com/ui/#object/sent_email__v/VBL00000002P923", "SE-001433593")</f>
        <v>SE-001433593</v>
      </c>
      <c r="F4756" s="11"/>
      <c r="G4756" s="12">
        <v>0</v>
      </c>
      <c r="H4756" s="12">
        <v>0</v>
      </c>
      <c r="I4756" s="12">
        <v>0</v>
      </c>
      <c r="J4756" s="11"/>
      <c r="K4756" s="12">
        <v>0</v>
      </c>
      <c r="L4756" s="10" t="str">
        <f t="shared" si="482"/>
        <v>AE dialoghi di tempo fiducia e cura episodi 2-3-4</v>
      </c>
      <c r="M4756" s="10" t="str">
        <f t="shared" si="483"/>
        <v>nicoletta.vozza@crm.otsuka-europe.com</v>
      </c>
      <c r="N4756" s="13">
        <v>46181.338043981479</v>
      </c>
      <c r="O4756" s="14" t="str">
        <f>HYPERLINK("https://otsuka-europe-crm.veevavault.com/ui/#object/email_activity__v/V8C00000003P736", "EN-002091034")</f>
        <v>EN-002091034</v>
      </c>
    </row>
    <row r="4757" spans="1:15" ht="32" x14ac:dyDescent="0.2">
      <c r="A4757" s="7" t="str">
        <f>HYPERLINK("https://otsuka-europe-crm.veevavault.com/ui/#object/account__v/V4TZ06G6O71SB5B", "PATRIZIA CONVERSANO")</f>
        <v>PATRIZIA CONVERSANO</v>
      </c>
      <c r="B4757" s="7" t="str">
        <f t="shared" si="480"/>
        <v>IT</v>
      </c>
      <c r="C4757" s="8" t="s">
        <v>44</v>
      </c>
      <c r="D4757" s="9" t="str">
        <f t="shared" si="481"/>
        <v>AE dialoghi di tempo fiducia e cura episodi 2-3-4</v>
      </c>
      <c r="E4757" s="10" t="str">
        <f>HYPERLINK("https://otsuka-europe-crm.veevavault.com/ui/#object/sent_email__v/VBL00000002P924", "SE-001433594")</f>
        <v>SE-001433594</v>
      </c>
      <c r="F4757" s="11"/>
      <c r="G4757" s="12">
        <v>0</v>
      </c>
      <c r="H4757" s="12">
        <v>0</v>
      </c>
      <c r="I4757" s="12">
        <v>0</v>
      </c>
      <c r="J4757" s="11"/>
      <c r="K4757" s="12">
        <v>0</v>
      </c>
      <c r="L4757" s="10" t="str">
        <f t="shared" si="482"/>
        <v>AE dialoghi di tempo fiducia e cura episodi 2-3-4</v>
      </c>
      <c r="M4757" s="10" t="str">
        <f t="shared" si="483"/>
        <v>nicoletta.vozza@crm.otsuka-europe.com</v>
      </c>
      <c r="N4757" s="13">
        <v>46181.33792824074</v>
      </c>
      <c r="O4757" s="15"/>
    </row>
    <row r="4758" spans="1:15" ht="16" x14ac:dyDescent="0.2">
      <c r="A4758" s="17" t="str">
        <f>HYPERLINK("https://otsuka-europe-crm.veevavault.com/ui/#object/account__v/V4TZ06G6O71S9LV", "PATRIZIA DE GIGLIO")</f>
        <v>PATRIZIA DE GIGLIO</v>
      </c>
      <c r="B4758" s="17" t="str">
        <f t="shared" si="480"/>
        <v>IT</v>
      </c>
      <c r="C4758" s="20" t="s">
        <v>44</v>
      </c>
      <c r="D4758" s="21" t="str">
        <f t="shared" si="481"/>
        <v>AE dialoghi di tempo fiducia e cura episodi 2-3-4</v>
      </c>
      <c r="E4758" s="22" t="str">
        <f>HYPERLINK("https://otsuka-europe-crm.veevavault.com/ui/#object/sent_email__v/VBL00000002P925", "SE-001433595")</f>
        <v>SE-001433595</v>
      </c>
      <c r="F4758" s="25"/>
      <c r="G4758" s="24">
        <v>0</v>
      </c>
      <c r="H4758" s="24">
        <v>0</v>
      </c>
      <c r="I4758" s="24">
        <v>0</v>
      </c>
      <c r="J4758" s="25"/>
      <c r="K4758" s="24">
        <v>0</v>
      </c>
      <c r="L4758" s="22" t="str">
        <f t="shared" si="482"/>
        <v>AE dialoghi di tempo fiducia e cura episodi 2-3-4</v>
      </c>
      <c r="M4758" s="22" t="str">
        <f t="shared" si="483"/>
        <v>nicoletta.vozza@crm.otsuka-europe.com</v>
      </c>
      <c r="N4758" s="23">
        <v>46181.337962962964</v>
      </c>
      <c r="O4758" s="14" t="str">
        <f>HYPERLINK("https://otsuka-europe-crm.veevavault.com/ui/#object/email_activity__v/V8C00000003O190", "EN-002089627")</f>
        <v>EN-002089627</v>
      </c>
    </row>
    <row r="4759" spans="1:15" ht="16" x14ac:dyDescent="0.2">
      <c r="A4759" s="19"/>
      <c r="B4759" s="19"/>
      <c r="C4759" s="19"/>
      <c r="D4759" s="19"/>
      <c r="E4759" s="19"/>
      <c r="F4759" s="19"/>
      <c r="G4759" s="19"/>
      <c r="H4759" s="19"/>
      <c r="I4759" s="19"/>
      <c r="J4759" s="19"/>
      <c r="K4759" s="19"/>
      <c r="L4759" s="19"/>
      <c r="M4759" s="19"/>
      <c r="N4759" s="19"/>
      <c r="O4759" s="14" t="str">
        <f>HYPERLINK("https://otsuka-europe-crm.veevavault.com/ui/#object/email_activity__v/V8C00000003Q592", "EN-002092003")</f>
        <v>EN-002092003</v>
      </c>
    </row>
    <row r="4760" spans="1:15" ht="32" x14ac:dyDescent="0.2">
      <c r="A4760" s="7" t="str">
        <f>HYPERLINK("https://otsuka-europe-crm.veevavault.com/ui/#object/account__v/V4TZ06G6O71SANC", "PATRIZIA FIORELLINO VACCARO")</f>
        <v>PATRIZIA FIORELLINO VACCARO</v>
      </c>
      <c r="B4760" s="7" t="str">
        <f t="shared" ref="B4760:B4770" si="484">HYPERLINK("https://otsuka-europe-crm.veevavault.com/ui/#object/vcountry__v/VENZ000004SONFQ", "IT")</f>
        <v>IT</v>
      </c>
      <c r="C4760" s="8" t="s">
        <v>44</v>
      </c>
      <c r="D4760" s="9" t="str">
        <f t="shared" ref="D4760:D4770" si="485">HYPERLINK("https://otsuka-europe-crm.veevavault.com/ui/#object/approved_document__v/V5O000000018003", "AE dialoghi di tempo fiducia e cura episodi 2-3-4")</f>
        <v>AE dialoghi di tempo fiducia e cura episodi 2-3-4</v>
      </c>
      <c r="E4760" s="10" t="str">
        <f>HYPERLINK("https://otsuka-europe-crm.veevavault.com/ui/#object/sent_email__v/VBL00000002P926", "SE-001433596")</f>
        <v>SE-001433596</v>
      </c>
      <c r="F4760" s="11"/>
      <c r="G4760" s="12">
        <v>0</v>
      </c>
      <c r="H4760" s="12">
        <v>0</v>
      </c>
      <c r="I4760" s="12">
        <v>0</v>
      </c>
      <c r="J4760" s="11"/>
      <c r="K4760" s="12">
        <v>0</v>
      </c>
      <c r="L4760" s="10" t="str">
        <f t="shared" ref="L4760:L4770" si="486">HYPERLINK("https://otsuka-europe-crm.veevavault.com/ui/#object/approved_document__v/V5O000000018003", "AE dialoghi di tempo fiducia e cura episodi 2-3-4")</f>
        <v>AE dialoghi di tempo fiducia e cura episodi 2-3-4</v>
      </c>
      <c r="M4760" s="10" t="str">
        <f t="shared" ref="M4760:M4770" si="487">HYPERLINK("mailto:nicoletta.vozza@crm.otsuka-europe.com", "nicoletta.vozza@crm.otsuka-europe.com")</f>
        <v>nicoletta.vozza@crm.otsuka-europe.com</v>
      </c>
      <c r="N4760" s="13">
        <v>46181.337997685187</v>
      </c>
      <c r="O4760" s="14" t="str">
        <f>HYPERLINK("https://otsuka-europe-crm.veevavault.com/ui/#object/email_activity__v/V8C00000003O995", "EN-002090744")</f>
        <v>EN-002090744</v>
      </c>
    </row>
    <row r="4761" spans="1:15" ht="32" x14ac:dyDescent="0.2">
      <c r="A4761" s="7" t="str">
        <f>HYPERLINK("https://otsuka-europe-crm.veevavault.com/ui/#object/account__v/V4TZ06G6O71SAVZ", "PATRIZIA GIURA")</f>
        <v>PATRIZIA GIURA</v>
      </c>
      <c r="B4761" s="7" t="str">
        <f t="shared" si="484"/>
        <v>IT</v>
      </c>
      <c r="C4761" s="8" t="s">
        <v>44</v>
      </c>
      <c r="D4761" s="9" t="str">
        <f t="shared" si="485"/>
        <v>AE dialoghi di tempo fiducia e cura episodi 2-3-4</v>
      </c>
      <c r="E4761" s="10" t="str">
        <f>HYPERLINK("https://otsuka-europe-crm.veevavault.com/ui/#object/sent_email__v/VBL00000002P927", "SE-001433597")</f>
        <v>SE-001433597</v>
      </c>
      <c r="F4761" s="11"/>
      <c r="G4761" s="12">
        <v>0</v>
      </c>
      <c r="H4761" s="12">
        <v>0</v>
      </c>
      <c r="I4761" s="12">
        <v>0</v>
      </c>
      <c r="J4761" s="11"/>
      <c r="K4761" s="12">
        <v>0</v>
      </c>
      <c r="L4761" s="10" t="str">
        <f t="shared" si="486"/>
        <v>AE dialoghi di tempo fiducia e cura episodi 2-3-4</v>
      </c>
      <c r="M4761" s="10" t="str">
        <f t="shared" si="487"/>
        <v>nicoletta.vozza@crm.otsuka-europe.com</v>
      </c>
      <c r="N4761" s="13">
        <v>46181.338125000002</v>
      </c>
      <c r="O4761" s="14" t="str">
        <f>HYPERLINK("https://otsuka-europe-crm.veevavault.com/ui/#object/email_activity__v/V8C00000003P648", "EN-002090903")</f>
        <v>EN-002090903</v>
      </c>
    </row>
    <row r="4762" spans="1:15" ht="32" x14ac:dyDescent="0.2">
      <c r="A4762" s="7" t="str">
        <f>HYPERLINK("https://otsuka-europe-crm.veevavault.com/ui/#object/account__v/V4TZ06G6O71SBRP", "PATRIZIA NICOLINI")</f>
        <v>PATRIZIA NICOLINI</v>
      </c>
      <c r="B4762" s="7" t="str">
        <f t="shared" si="484"/>
        <v>IT</v>
      </c>
      <c r="C4762" s="8" t="s">
        <v>44</v>
      </c>
      <c r="D4762" s="9" t="str">
        <f t="shared" si="485"/>
        <v>AE dialoghi di tempo fiducia e cura episodi 2-3-4</v>
      </c>
      <c r="E4762" s="10" t="str">
        <f>HYPERLINK("https://otsuka-europe-crm.veevavault.com/ui/#object/sent_email__v/VBL00000002P928", "SE-001433598")</f>
        <v>SE-001433598</v>
      </c>
      <c r="F4762" s="11"/>
      <c r="G4762" s="12">
        <v>0</v>
      </c>
      <c r="H4762" s="12">
        <v>0</v>
      </c>
      <c r="I4762" s="12">
        <v>0</v>
      </c>
      <c r="J4762" s="11"/>
      <c r="K4762" s="12">
        <v>0</v>
      </c>
      <c r="L4762" s="10" t="str">
        <f t="shared" si="486"/>
        <v>AE dialoghi di tempo fiducia e cura episodi 2-3-4</v>
      </c>
      <c r="M4762" s="10" t="str">
        <f t="shared" si="487"/>
        <v>nicoletta.vozza@crm.otsuka-europe.com</v>
      </c>
      <c r="N4762" s="13">
        <v>46181.33803240741</v>
      </c>
      <c r="O4762" s="14" t="str">
        <f>HYPERLINK("https://otsuka-europe-crm.veevavault.com/ui/#object/email_activity__v/V8C00000003P752", "EN-002091050")</f>
        <v>EN-002091050</v>
      </c>
    </row>
    <row r="4763" spans="1:15" ht="32" x14ac:dyDescent="0.2">
      <c r="A4763" s="7" t="str">
        <f>HYPERLINK("https://otsuka-europe-crm.veevavault.com/ui/#object/account__v/V4TZ04ASGBJA7HN", "PATRIZIA RICCI")</f>
        <v>PATRIZIA RICCI</v>
      </c>
      <c r="B4763" s="7" t="str">
        <f t="shared" si="484"/>
        <v>IT</v>
      </c>
      <c r="C4763" s="8" t="s">
        <v>44</v>
      </c>
      <c r="D4763" s="9" t="str">
        <f t="shared" si="485"/>
        <v>AE dialoghi di tempo fiducia e cura episodi 2-3-4</v>
      </c>
      <c r="E4763" s="10" t="str">
        <f>HYPERLINK("https://otsuka-europe-crm.veevavault.com/ui/#object/sent_email__v/VBL00000002P929", "SE-001433599")</f>
        <v>SE-001433599</v>
      </c>
      <c r="F4763" s="11"/>
      <c r="G4763" s="12">
        <v>0</v>
      </c>
      <c r="H4763" s="12">
        <v>0</v>
      </c>
      <c r="I4763" s="12">
        <v>0</v>
      </c>
      <c r="J4763" s="11"/>
      <c r="K4763" s="12">
        <v>0</v>
      </c>
      <c r="L4763" s="10" t="str">
        <f t="shared" si="486"/>
        <v>AE dialoghi di tempo fiducia e cura episodi 2-3-4</v>
      </c>
      <c r="M4763" s="10" t="str">
        <f t="shared" si="487"/>
        <v>nicoletta.vozza@crm.otsuka-europe.com</v>
      </c>
      <c r="N4763" s="13">
        <v>46181.33803240741</v>
      </c>
      <c r="O4763" s="14" t="str">
        <f>HYPERLINK("https://otsuka-europe-crm.veevavault.com/ui/#object/email_activity__v/V8C00000003O575", "EN-002090131")</f>
        <v>EN-002090131</v>
      </c>
    </row>
    <row r="4764" spans="1:15" ht="32" x14ac:dyDescent="0.2">
      <c r="A4764" s="7" t="str">
        <f>HYPERLINK("https://otsuka-europe-crm.veevavault.com/ui/#object/account__v/V4TZ06G6O71SC9D", "PATRIZIA SANTINON")</f>
        <v>PATRIZIA SANTINON</v>
      </c>
      <c r="B4764" s="7" t="str">
        <f t="shared" si="484"/>
        <v>IT</v>
      </c>
      <c r="C4764" s="8" t="s">
        <v>44</v>
      </c>
      <c r="D4764" s="9" t="str">
        <f t="shared" si="485"/>
        <v>AE dialoghi di tempo fiducia e cura episodi 2-3-4</v>
      </c>
      <c r="E4764" s="10" t="str">
        <f>HYPERLINK("https://otsuka-europe-crm.veevavault.com/ui/#object/sent_email__v/VBL00000002P930", "SE-001433600")</f>
        <v>SE-001433600</v>
      </c>
      <c r="F4764" s="11"/>
      <c r="G4764" s="12">
        <v>0</v>
      </c>
      <c r="H4764" s="12">
        <v>0</v>
      </c>
      <c r="I4764" s="12">
        <v>0</v>
      </c>
      <c r="J4764" s="11"/>
      <c r="K4764" s="12">
        <v>0</v>
      </c>
      <c r="L4764" s="10" t="str">
        <f t="shared" si="486"/>
        <v>AE dialoghi di tempo fiducia e cura episodi 2-3-4</v>
      </c>
      <c r="M4764" s="10" t="str">
        <f t="shared" si="487"/>
        <v>nicoletta.vozza@crm.otsuka-europe.com</v>
      </c>
      <c r="N4764" s="13">
        <v>46181.338125000002</v>
      </c>
      <c r="O4764" s="14" t="str">
        <f>HYPERLINK("https://otsuka-europe-crm.veevavault.com/ui/#object/email_activity__v/V8C00000003P645", "EN-002090900")</f>
        <v>EN-002090900</v>
      </c>
    </row>
    <row r="4765" spans="1:15" ht="32" x14ac:dyDescent="0.2">
      <c r="A4765" s="7" t="str">
        <f>HYPERLINK("https://otsuka-europe-crm.veevavault.com/ui/#object/account__v/V4TZ06G6O71SASD", "PATRIZIA SCHIFANO")</f>
        <v>PATRIZIA SCHIFANO</v>
      </c>
      <c r="B4765" s="7" t="str">
        <f t="shared" si="484"/>
        <v>IT</v>
      </c>
      <c r="C4765" s="8" t="s">
        <v>44</v>
      </c>
      <c r="D4765" s="9" t="str">
        <f t="shared" si="485"/>
        <v>AE dialoghi di tempo fiducia e cura episodi 2-3-4</v>
      </c>
      <c r="E4765" s="10" t="str">
        <f>HYPERLINK("https://otsuka-europe-crm.veevavault.com/ui/#object/sent_email__v/VBL00000002P931", "SE-001433601")</f>
        <v>SE-001433601</v>
      </c>
      <c r="F4765" s="11"/>
      <c r="G4765" s="12">
        <v>0</v>
      </c>
      <c r="H4765" s="12">
        <v>0</v>
      </c>
      <c r="I4765" s="12">
        <v>0</v>
      </c>
      <c r="J4765" s="11"/>
      <c r="K4765" s="12">
        <v>0</v>
      </c>
      <c r="L4765" s="10" t="str">
        <f t="shared" si="486"/>
        <v>AE dialoghi di tempo fiducia e cura episodi 2-3-4</v>
      </c>
      <c r="M4765" s="10" t="str">
        <f t="shared" si="487"/>
        <v>nicoletta.vozza@crm.otsuka-europe.com</v>
      </c>
      <c r="N4765" s="13">
        <v>46181.338055555556</v>
      </c>
      <c r="O4765" s="14" t="str">
        <f>HYPERLINK("https://otsuka-europe-crm.veevavault.com/ui/#object/email_activity__v/V8C00000003P420", "EN-002090426")</f>
        <v>EN-002090426</v>
      </c>
    </row>
    <row r="4766" spans="1:15" ht="32" x14ac:dyDescent="0.2">
      <c r="A4766" s="7" t="str">
        <f>HYPERLINK("https://otsuka-europe-crm.veevavault.com/ui/#object/account__v/V4TZ06G6O71SCO6", "PATRIZIA VASCHETTO")</f>
        <v>PATRIZIA VASCHETTO</v>
      </c>
      <c r="B4766" s="7" t="str">
        <f t="shared" si="484"/>
        <v>IT</v>
      </c>
      <c r="C4766" s="8" t="s">
        <v>44</v>
      </c>
      <c r="D4766" s="9" t="str">
        <f t="shared" si="485"/>
        <v>AE dialoghi di tempo fiducia e cura episodi 2-3-4</v>
      </c>
      <c r="E4766" s="10" t="str">
        <f>HYPERLINK("https://otsuka-europe-crm.veevavault.com/ui/#object/sent_email__v/VBL00000002P932", "SE-001433602")</f>
        <v>SE-001433602</v>
      </c>
      <c r="F4766" s="11"/>
      <c r="G4766" s="12">
        <v>0</v>
      </c>
      <c r="H4766" s="12">
        <v>0</v>
      </c>
      <c r="I4766" s="12">
        <v>0</v>
      </c>
      <c r="J4766" s="11"/>
      <c r="K4766" s="12">
        <v>0</v>
      </c>
      <c r="L4766" s="10" t="str">
        <f t="shared" si="486"/>
        <v>AE dialoghi di tempo fiducia e cura episodi 2-3-4</v>
      </c>
      <c r="M4766" s="10" t="str">
        <f t="shared" si="487"/>
        <v>nicoletta.vozza@crm.otsuka-europe.com</v>
      </c>
      <c r="N4766" s="13">
        <v>46181.338078703702</v>
      </c>
      <c r="O4766" s="14" t="str">
        <f>HYPERLINK("https://otsuka-europe-crm.veevavault.com/ui/#object/email_activity__v/V8C00000003P764", "EN-002091062")</f>
        <v>EN-002091062</v>
      </c>
    </row>
    <row r="4767" spans="1:15" ht="32" x14ac:dyDescent="0.2">
      <c r="A4767" s="7" t="str">
        <f>HYPERLINK("https://otsuka-europe-crm.veevavault.com/ui/#object/account__v/V4TZ06G6O71SCH9", "PERLA STROM")</f>
        <v>PERLA STROM</v>
      </c>
      <c r="B4767" s="7" t="str">
        <f t="shared" si="484"/>
        <v>IT</v>
      </c>
      <c r="C4767" s="8" t="s">
        <v>44</v>
      </c>
      <c r="D4767" s="9" t="str">
        <f t="shared" si="485"/>
        <v>AE dialoghi di tempo fiducia e cura episodi 2-3-4</v>
      </c>
      <c r="E4767" s="10" t="str">
        <f>HYPERLINK("https://otsuka-europe-crm.veevavault.com/ui/#object/sent_email__v/VBL00000002P933", "SE-001433603")</f>
        <v>SE-001433603</v>
      </c>
      <c r="F4767" s="11"/>
      <c r="G4767" s="12">
        <v>0</v>
      </c>
      <c r="H4767" s="12">
        <v>0</v>
      </c>
      <c r="I4767" s="12">
        <v>0</v>
      </c>
      <c r="J4767" s="11"/>
      <c r="K4767" s="12">
        <v>0</v>
      </c>
      <c r="L4767" s="10" t="str">
        <f t="shared" si="486"/>
        <v>AE dialoghi di tempo fiducia e cura episodi 2-3-4</v>
      </c>
      <c r="M4767" s="10" t="str">
        <f t="shared" si="487"/>
        <v>nicoletta.vozza@crm.otsuka-europe.com</v>
      </c>
      <c r="N4767" s="13">
        <v>46181.338043981479</v>
      </c>
      <c r="O4767" s="14" t="str">
        <f>HYPERLINK("https://otsuka-europe-crm.veevavault.com/ui/#object/email_activity__v/V8C00000003P482", "EN-002090704")</f>
        <v>EN-002090704</v>
      </c>
    </row>
    <row r="4768" spans="1:15" ht="32" x14ac:dyDescent="0.2">
      <c r="A4768" s="7" t="str">
        <f>HYPERLINK("https://otsuka-europe-crm.veevavault.com/ui/#object/account__v/V4TZ06G6O71SC0R", "PHILIPPE PIERO PIOGGIOSI")</f>
        <v>PHILIPPE PIERO PIOGGIOSI</v>
      </c>
      <c r="B4768" s="7" t="str">
        <f t="shared" si="484"/>
        <v>IT</v>
      </c>
      <c r="C4768" s="8" t="s">
        <v>44</v>
      </c>
      <c r="D4768" s="9" t="str">
        <f t="shared" si="485"/>
        <v>AE dialoghi di tempo fiducia e cura episodi 2-3-4</v>
      </c>
      <c r="E4768" s="10" t="str">
        <f>HYPERLINK("https://otsuka-europe-crm.veevavault.com/ui/#object/sent_email__v/VBL00000002P934", "SE-001433604")</f>
        <v>SE-001433604</v>
      </c>
      <c r="F4768" s="11"/>
      <c r="G4768" s="12">
        <v>0</v>
      </c>
      <c r="H4768" s="12">
        <v>0</v>
      </c>
      <c r="I4768" s="12">
        <v>0</v>
      </c>
      <c r="J4768" s="11"/>
      <c r="K4768" s="12">
        <v>0</v>
      </c>
      <c r="L4768" s="10" t="str">
        <f t="shared" si="486"/>
        <v>AE dialoghi di tempo fiducia e cura episodi 2-3-4</v>
      </c>
      <c r="M4768" s="10" t="str">
        <f t="shared" si="487"/>
        <v>nicoletta.vozza@crm.otsuka-europe.com</v>
      </c>
      <c r="N4768" s="13">
        <v>46181.338090277779</v>
      </c>
      <c r="O4768" s="14" t="str">
        <f>HYPERLINK("https://otsuka-europe-crm.veevavault.com/ui/#object/email_activity__v/V8C00000003Q130", "EN-002091213")</f>
        <v>EN-002091213</v>
      </c>
    </row>
    <row r="4769" spans="1:15" ht="32" x14ac:dyDescent="0.2">
      <c r="A4769" s="7" t="str">
        <f>HYPERLINK("https://otsuka-europe-crm.veevavault.com/ui/#object/account__v/V4TZ06G6O71SAAJ", "PIER CARLO DELLA PORTA")</f>
        <v>PIER CARLO DELLA PORTA</v>
      </c>
      <c r="B4769" s="7" t="str">
        <f t="shared" si="484"/>
        <v>IT</v>
      </c>
      <c r="C4769" s="8" t="s">
        <v>44</v>
      </c>
      <c r="D4769" s="9" t="str">
        <f t="shared" si="485"/>
        <v>AE dialoghi di tempo fiducia e cura episodi 2-3-4</v>
      </c>
      <c r="E4769" s="10" t="str">
        <f>HYPERLINK("https://otsuka-europe-crm.veevavault.com/ui/#object/sent_email__v/VBL00000002P935", "SE-001433605")</f>
        <v>SE-001433605</v>
      </c>
      <c r="F4769" s="11"/>
      <c r="G4769" s="12">
        <v>0</v>
      </c>
      <c r="H4769" s="12">
        <v>0</v>
      </c>
      <c r="I4769" s="12">
        <v>0</v>
      </c>
      <c r="J4769" s="11"/>
      <c r="K4769" s="12">
        <v>0</v>
      </c>
      <c r="L4769" s="10" t="str">
        <f t="shared" si="486"/>
        <v>AE dialoghi di tempo fiducia e cura episodi 2-3-4</v>
      </c>
      <c r="M4769" s="10" t="str">
        <f t="shared" si="487"/>
        <v>nicoletta.vozza@crm.otsuka-europe.com</v>
      </c>
      <c r="N4769" s="13">
        <v>46181.338090277779</v>
      </c>
      <c r="O4769" s="14" t="str">
        <f>HYPERLINK("https://otsuka-europe-crm.veevavault.com/ui/#object/email_activity__v/V8C00000003P722", "EN-002090977")</f>
        <v>EN-002090977</v>
      </c>
    </row>
    <row r="4770" spans="1:15" ht="16" x14ac:dyDescent="0.2">
      <c r="A4770" s="17" t="str">
        <f>HYPERLINK("https://otsuka-europe-crm.veevavault.com/ui/#object/account__v/V4TZ06G6O71SAD8", "PIERGIUSEPPE DI PALO")</f>
        <v>PIERGIUSEPPE DI PALO</v>
      </c>
      <c r="B4770" s="17" t="str">
        <f t="shared" si="484"/>
        <v>IT</v>
      </c>
      <c r="C4770" s="20" t="s">
        <v>44</v>
      </c>
      <c r="D4770" s="21" t="str">
        <f t="shared" si="485"/>
        <v>AE dialoghi di tempo fiducia e cura episodi 2-3-4</v>
      </c>
      <c r="E4770" s="22" t="str">
        <f>HYPERLINK("https://otsuka-europe-crm.veevavault.com/ui/#object/sent_email__v/VBL00000002P936", "SE-001433606")</f>
        <v>SE-001433606</v>
      </c>
      <c r="F4770" s="25"/>
      <c r="G4770" s="24">
        <v>0</v>
      </c>
      <c r="H4770" s="24">
        <v>0</v>
      </c>
      <c r="I4770" s="24">
        <v>0</v>
      </c>
      <c r="J4770" s="25"/>
      <c r="K4770" s="24">
        <v>0</v>
      </c>
      <c r="L4770" s="22" t="str">
        <f t="shared" si="486"/>
        <v>AE dialoghi di tempo fiducia e cura episodi 2-3-4</v>
      </c>
      <c r="M4770" s="22" t="str">
        <f t="shared" si="487"/>
        <v>nicoletta.vozza@crm.otsuka-europe.com</v>
      </c>
      <c r="N4770" s="23">
        <v>46181.337997685187</v>
      </c>
      <c r="O4770" s="14" t="str">
        <f>HYPERLINK("https://otsuka-europe-crm.veevavault.com/ui/#object/email_activity__v/V8C00000003O364", "EN-002089882")</f>
        <v>EN-002089882</v>
      </c>
    </row>
    <row r="4771" spans="1:15" ht="16" x14ac:dyDescent="0.2">
      <c r="A4771" s="18"/>
      <c r="B4771" s="18"/>
      <c r="C4771" s="18"/>
      <c r="D4771" s="18"/>
      <c r="E4771" s="18"/>
      <c r="F4771" s="18"/>
      <c r="G4771" s="18"/>
      <c r="H4771" s="18"/>
      <c r="I4771" s="18"/>
      <c r="J4771" s="18"/>
      <c r="K4771" s="18"/>
      <c r="L4771" s="18"/>
      <c r="M4771" s="18"/>
      <c r="N4771" s="18"/>
      <c r="O4771" s="14" t="str">
        <f>HYPERLINK("https://otsuka-europe-crm.veevavault.com/ui/#object/email_activity__v/V8C00000003R101", "EN-002091864")</f>
        <v>EN-002091864</v>
      </c>
    </row>
    <row r="4772" spans="1:15" ht="16" x14ac:dyDescent="0.2">
      <c r="A4772" s="19"/>
      <c r="B4772" s="19"/>
      <c r="C4772" s="19"/>
      <c r="D4772" s="19"/>
      <c r="E4772" s="19"/>
      <c r="F4772" s="19"/>
      <c r="G4772" s="19"/>
      <c r="H4772" s="19"/>
      <c r="I4772" s="19"/>
      <c r="J4772" s="19"/>
      <c r="K4772" s="19"/>
      <c r="L4772" s="19"/>
      <c r="M4772" s="19"/>
      <c r="N4772" s="19"/>
      <c r="O4772" s="14" t="str">
        <f>HYPERLINK("https://otsuka-europe-crm.veevavault.com/ui/#object/email_activity__v/V8C00000003W315", "EN-002097347")</f>
        <v>EN-002097347</v>
      </c>
    </row>
    <row r="4773" spans="1:15" ht="16" x14ac:dyDescent="0.2">
      <c r="A4773" s="17" t="str">
        <f>HYPERLINK("https://otsuka-europe-crm.veevavault.com/ui/#object/account__v/V4TZ06G6O71SC0U", "PIERITALO MARIA POMPILI")</f>
        <v>PIERITALO MARIA POMPILI</v>
      </c>
      <c r="B4773" s="17" t="str">
        <f>HYPERLINK("https://otsuka-europe-crm.veevavault.com/ui/#object/vcountry__v/VENZ000004SONFQ", "IT")</f>
        <v>IT</v>
      </c>
      <c r="C4773" s="20" t="s">
        <v>44</v>
      </c>
      <c r="D4773" s="21" t="str">
        <f>HYPERLINK("https://otsuka-europe-crm.veevavault.com/ui/#object/approved_document__v/V5O000000018003", "AE dialoghi di tempo fiducia e cura episodi 2-3-4")</f>
        <v>AE dialoghi di tempo fiducia e cura episodi 2-3-4</v>
      </c>
      <c r="E4773" s="22" t="str">
        <f>HYPERLINK("https://otsuka-europe-crm.veevavault.com/ui/#object/sent_email__v/VBL00000002P937", "SE-001433607")</f>
        <v>SE-001433607</v>
      </c>
      <c r="F4773" s="23">
        <v>46181.35628472222</v>
      </c>
      <c r="G4773" s="24">
        <v>1</v>
      </c>
      <c r="H4773" s="24">
        <v>1</v>
      </c>
      <c r="I4773" s="24">
        <v>0</v>
      </c>
      <c r="J4773" s="25"/>
      <c r="K4773" s="24">
        <v>0</v>
      </c>
      <c r="L4773" s="22" t="str">
        <f>HYPERLINK("https://otsuka-europe-crm.veevavault.com/ui/#object/approved_document__v/V5O000000018003", "AE dialoghi di tempo fiducia e cura episodi 2-3-4")</f>
        <v>AE dialoghi di tempo fiducia e cura episodi 2-3-4</v>
      </c>
      <c r="M4773" s="22" t="str">
        <f>HYPERLINK("mailto:nicoletta.vozza@crm.otsuka-europe.com", "nicoletta.vozza@crm.otsuka-europe.com")</f>
        <v>nicoletta.vozza@crm.otsuka-europe.com</v>
      </c>
      <c r="N4773" s="23">
        <v>46181.338101851848</v>
      </c>
      <c r="O4773" s="14" t="str">
        <f>HYPERLINK("https://otsuka-europe-crm.veevavault.com/ui/#object/email_activity__v/V8C00000003P493", "EN-002090669")</f>
        <v>EN-002090669</v>
      </c>
    </row>
    <row r="4774" spans="1:15" ht="16" x14ac:dyDescent="0.2">
      <c r="A4774" s="18"/>
      <c r="B4774" s="18"/>
      <c r="C4774" s="18"/>
      <c r="D4774" s="18"/>
      <c r="E4774" s="18"/>
      <c r="F4774" s="18"/>
      <c r="G4774" s="18"/>
      <c r="H4774" s="18"/>
      <c r="I4774" s="18"/>
      <c r="J4774" s="18"/>
      <c r="K4774" s="18"/>
      <c r="L4774" s="18"/>
      <c r="M4774" s="18"/>
      <c r="N4774" s="18"/>
      <c r="O4774" s="14" t="str">
        <f>HYPERLINK("https://otsuka-europe-crm.veevavault.com/ui/#object/email_activity__v/V8C00000003P923", "EN-002091488")</f>
        <v>EN-002091488</v>
      </c>
    </row>
    <row r="4775" spans="1:15" ht="16" x14ac:dyDescent="0.2">
      <c r="A4775" s="19"/>
      <c r="B4775" s="19"/>
      <c r="C4775" s="19"/>
      <c r="D4775" s="19"/>
      <c r="E4775" s="19"/>
      <c r="F4775" s="19"/>
      <c r="G4775" s="19"/>
      <c r="H4775" s="19"/>
      <c r="I4775" s="19"/>
      <c r="J4775" s="19"/>
      <c r="K4775" s="19"/>
      <c r="L4775" s="19"/>
      <c r="M4775" s="19"/>
      <c r="N4775" s="19"/>
      <c r="O4775" s="14" t="str">
        <f>HYPERLINK("https://otsuka-europe-crm.veevavault.com/ui/#object/email_activity__v/V8C00000003R320", "EN-002092272")</f>
        <v>EN-002092272</v>
      </c>
    </row>
    <row r="4776" spans="1:15" ht="32" x14ac:dyDescent="0.2">
      <c r="A4776" s="7" t="str">
        <f>HYPERLINK("https://otsuka-europe-crm.veevavault.com/ui/#object/account__v/V4TZ025E83HE5DL", "PIERLUCA GUZZI")</f>
        <v>PIERLUCA GUZZI</v>
      </c>
      <c r="B4776" s="7" t="str">
        <f t="shared" ref="B4776:B4783" si="488">HYPERLINK("https://otsuka-europe-crm.veevavault.com/ui/#object/vcountry__v/VENZ000004SONFQ", "IT")</f>
        <v>IT</v>
      </c>
      <c r="C4776" s="8" t="s">
        <v>44</v>
      </c>
      <c r="D4776" s="9" t="str">
        <f t="shared" ref="D4776:D4783" si="489">HYPERLINK("https://otsuka-europe-crm.veevavault.com/ui/#object/approved_document__v/V5O000000018003", "AE dialoghi di tempo fiducia e cura episodi 2-3-4")</f>
        <v>AE dialoghi di tempo fiducia e cura episodi 2-3-4</v>
      </c>
      <c r="E4776" s="10" t="str">
        <f>HYPERLINK("https://otsuka-europe-crm.veevavault.com/ui/#object/sent_email__v/VBL00000002P938", "SE-001433608")</f>
        <v>SE-001433608</v>
      </c>
      <c r="F4776" s="11"/>
      <c r="G4776" s="12">
        <v>0</v>
      </c>
      <c r="H4776" s="12">
        <v>0</v>
      </c>
      <c r="I4776" s="12">
        <v>0</v>
      </c>
      <c r="J4776" s="11"/>
      <c r="K4776" s="12">
        <v>0</v>
      </c>
      <c r="L4776" s="10" t="str">
        <f t="shared" ref="L4776:L4783" si="490">HYPERLINK("https://otsuka-europe-crm.veevavault.com/ui/#object/approved_document__v/V5O000000018003", "AE dialoghi di tempo fiducia e cura episodi 2-3-4")</f>
        <v>AE dialoghi di tempo fiducia e cura episodi 2-3-4</v>
      </c>
      <c r="M4776" s="10" t="str">
        <f t="shared" ref="M4776:M4783" si="491">HYPERLINK("mailto:nicoletta.vozza@crm.otsuka-europe.com", "nicoletta.vozza@crm.otsuka-europe.com")</f>
        <v>nicoletta.vozza@crm.otsuka-europe.com</v>
      </c>
      <c r="N4776" s="13">
        <v>46181.338055555556</v>
      </c>
      <c r="O4776" s="14" t="str">
        <f>HYPERLINK("https://otsuka-europe-crm.veevavault.com/ui/#object/email_activity__v/V8C00000003P815", "EN-002091113")</f>
        <v>EN-002091113</v>
      </c>
    </row>
    <row r="4777" spans="1:15" ht="32" x14ac:dyDescent="0.2">
      <c r="A4777" s="7" t="str">
        <f>HYPERLINK("https://otsuka-europe-crm.veevavault.com/ui/#object/account__v/V4TZ06G6O71S9WL", "PIERLUIGI ALA")</f>
        <v>PIERLUIGI ALA</v>
      </c>
      <c r="B4777" s="7" t="str">
        <f t="shared" si="488"/>
        <v>IT</v>
      </c>
      <c r="C4777" s="8" t="s">
        <v>44</v>
      </c>
      <c r="D4777" s="9" t="str">
        <f t="shared" si="489"/>
        <v>AE dialoghi di tempo fiducia e cura episodi 2-3-4</v>
      </c>
      <c r="E4777" s="10" t="str">
        <f>HYPERLINK("https://otsuka-europe-crm.veevavault.com/ui/#object/sent_email__v/VBL00000002P939", "SE-001433609")</f>
        <v>SE-001433609</v>
      </c>
      <c r="F4777" s="11"/>
      <c r="G4777" s="12">
        <v>0</v>
      </c>
      <c r="H4777" s="12">
        <v>0</v>
      </c>
      <c r="I4777" s="12">
        <v>0</v>
      </c>
      <c r="J4777" s="11"/>
      <c r="K4777" s="12">
        <v>0</v>
      </c>
      <c r="L4777" s="10" t="str">
        <f t="shared" si="490"/>
        <v>AE dialoghi di tempo fiducia e cura episodi 2-3-4</v>
      </c>
      <c r="M4777" s="10" t="str">
        <f t="shared" si="491"/>
        <v>nicoletta.vozza@crm.otsuka-europe.com</v>
      </c>
      <c r="N4777" s="13">
        <v>46181.337951388887</v>
      </c>
      <c r="O4777" s="14" t="str">
        <f>HYPERLINK("https://otsuka-europe-crm.veevavault.com/ui/#object/email_activity__v/V8C00000003O811", "EN-002090513")</f>
        <v>EN-002090513</v>
      </c>
    </row>
    <row r="4778" spans="1:15" ht="32" x14ac:dyDescent="0.2">
      <c r="A4778" s="7" t="str">
        <f>HYPERLINK("https://otsuka-europe-crm.veevavault.com/ui/#object/account__v/V4TZ06G6O71SA4Y", "PIERLUIGI BOLDRI")</f>
        <v>PIERLUIGI BOLDRI</v>
      </c>
      <c r="B4778" s="7" t="str">
        <f t="shared" si="488"/>
        <v>IT</v>
      </c>
      <c r="C4778" s="8" t="s">
        <v>44</v>
      </c>
      <c r="D4778" s="9" t="str">
        <f t="shared" si="489"/>
        <v>AE dialoghi di tempo fiducia e cura episodi 2-3-4</v>
      </c>
      <c r="E4778" s="10" t="str">
        <f>HYPERLINK("https://otsuka-europe-crm.veevavault.com/ui/#object/sent_email__v/VBL00000002P940", "SE-001433610")</f>
        <v>SE-001433610</v>
      </c>
      <c r="F4778" s="11"/>
      <c r="G4778" s="12">
        <v>0</v>
      </c>
      <c r="H4778" s="12">
        <v>0</v>
      </c>
      <c r="I4778" s="12">
        <v>0</v>
      </c>
      <c r="J4778" s="11"/>
      <c r="K4778" s="12">
        <v>0</v>
      </c>
      <c r="L4778" s="10" t="str">
        <f t="shared" si="490"/>
        <v>AE dialoghi di tempo fiducia e cura episodi 2-3-4</v>
      </c>
      <c r="M4778" s="10" t="str">
        <f t="shared" si="491"/>
        <v>nicoletta.vozza@crm.otsuka-europe.com</v>
      </c>
      <c r="N4778" s="13">
        <v>46181.33803240741</v>
      </c>
      <c r="O4778" s="14" t="str">
        <f>HYPERLINK("https://otsuka-europe-crm.veevavault.com/ui/#object/email_activity__v/V8C00000003O970", "EN-002090630")</f>
        <v>EN-002090630</v>
      </c>
    </row>
    <row r="4779" spans="1:15" ht="32" x14ac:dyDescent="0.2">
      <c r="A4779" s="7" t="str">
        <f>HYPERLINK("https://otsuka-europe-crm.veevavault.com/ui/#object/account__v/V4TZ04ASG6FRBG7", "PIERLUIGI CARDONE")</f>
        <v>PIERLUIGI CARDONE</v>
      </c>
      <c r="B4779" s="7" t="str">
        <f t="shared" si="488"/>
        <v>IT</v>
      </c>
      <c r="C4779" s="8" t="s">
        <v>44</v>
      </c>
      <c r="D4779" s="9" t="str">
        <f t="shared" si="489"/>
        <v>AE dialoghi di tempo fiducia e cura episodi 2-3-4</v>
      </c>
      <c r="E4779" s="10" t="str">
        <f>HYPERLINK("https://otsuka-europe-crm.veevavault.com/ui/#object/sent_email__v/VBL00000002P941", "SE-001433611")</f>
        <v>SE-001433611</v>
      </c>
      <c r="F4779" s="11"/>
      <c r="G4779" s="12">
        <v>0</v>
      </c>
      <c r="H4779" s="12">
        <v>0</v>
      </c>
      <c r="I4779" s="12">
        <v>0</v>
      </c>
      <c r="J4779" s="11"/>
      <c r="K4779" s="12">
        <v>0</v>
      </c>
      <c r="L4779" s="10" t="str">
        <f t="shared" si="490"/>
        <v>AE dialoghi di tempo fiducia e cura episodi 2-3-4</v>
      </c>
      <c r="M4779" s="10" t="str">
        <f t="shared" si="491"/>
        <v>nicoletta.vozza@crm.otsuka-europe.com</v>
      </c>
      <c r="N4779" s="13">
        <v>46181.33798611111</v>
      </c>
      <c r="O4779" s="14" t="str">
        <f>HYPERLINK("https://otsuka-europe-crm.veevavault.com/ui/#object/email_activity__v/V8C00000003O244", "EN-002089721")</f>
        <v>EN-002089721</v>
      </c>
    </row>
    <row r="4780" spans="1:15" ht="32" x14ac:dyDescent="0.2">
      <c r="A4780" s="7" t="str">
        <f>HYPERLINK("https://otsuka-europe-crm.veevavault.com/ui/#object/account__v/V4TZ06G6O71SC7C", "PIERLUIGI CELLA")</f>
        <v>PIERLUIGI CELLA</v>
      </c>
      <c r="B4780" s="7" t="str">
        <f t="shared" si="488"/>
        <v>IT</v>
      </c>
      <c r="C4780" s="8" t="s">
        <v>44</v>
      </c>
      <c r="D4780" s="9" t="str">
        <f t="shared" si="489"/>
        <v>AE dialoghi di tempo fiducia e cura episodi 2-3-4</v>
      </c>
      <c r="E4780" s="10" t="str">
        <f>HYPERLINK("https://otsuka-europe-crm.veevavault.com/ui/#object/sent_email__v/VBL00000002P942", "SE-001433612")</f>
        <v>SE-001433612</v>
      </c>
      <c r="F4780" s="11"/>
      <c r="G4780" s="12">
        <v>0</v>
      </c>
      <c r="H4780" s="12">
        <v>0</v>
      </c>
      <c r="I4780" s="12">
        <v>0</v>
      </c>
      <c r="J4780" s="11"/>
      <c r="K4780" s="12">
        <v>0</v>
      </c>
      <c r="L4780" s="10" t="str">
        <f t="shared" si="490"/>
        <v>AE dialoghi di tempo fiducia e cura episodi 2-3-4</v>
      </c>
      <c r="M4780" s="10" t="str">
        <f t="shared" si="491"/>
        <v>nicoletta.vozza@crm.otsuka-europe.com</v>
      </c>
      <c r="N4780" s="13">
        <v>46181.33803240741</v>
      </c>
      <c r="O4780" s="14" t="str">
        <f>HYPERLINK("https://otsuka-europe-crm.veevavault.com/ui/#object/email_activity__v/V8C00000003P596", "EN-002090851")</f>
        <v>EN-002090851</v>
      </c>
    </row>
    <row r="4781" spans="1:15" ht="32" x14ac:dyDescent="0.2">
      <c r="A4781" s="7" t="str">
        <f>HYPERLINK("https://otsuka-europe-crm.veevavault.com/ui/#object/account__v/V4TZ025E82ZXO2L", "PIERLUIGI RANDI")</f>
        <v>PIERLUIGI RANDI</v>
      </c>
      <c r="B4781" s="7" t="str">
        <f t="shared" si="488"/>
        <v>IT</v>
      </c>
      <c r="C4781" s="8" t="s">
        <v>44</v>
      </c>
      <c r="D4781" s="9" t="str">
        <f t="shared" si="489"/>
        <v>AE dialoghi di tempo fiducia e cura episodi 2-3-4</v>
      </c>
      <c r="E4781" s="10" t="str">
        <f>HYPERLINK("https://otsuka-europe-crm.veevavault.com/ui/#object/sent_email__v/VBL00000002P943", "SE-001433613")</f>
        <v>SE-001433613</v>
      </c>
      <c r="F4781" s="11"/>
      <c r="G4781" s="12">
        <v>0</v>
      </c>
      <c r="H4781" s="12">
        <v>0</v>
      </c>
      <c r="I4781" s="12">
        <v>0</v>
      </c>
      <c r="J4781" s="11"/>
      <c r="K4781" s="12">
        <v>0</v>
      </c>
      <c r="L4781" s="10" t="str">
        <f t="shared" si="490"/>
        <v>AE dialoghi di tempo fiducia e cura episodi 2-3-4</v>
      </c>
      <c r="M4781" s="10" t="str">
        <f t="shared" si="491"/>
        <v>nicoletta.vozza@crm.otsuka-europe.com</v>
      </c>
      <c r="N4781" s="13">
        <v>46181.338020833333</v>
      </c>
      <c r="O4781" s="14" t="str">
        <f>HYPERLINK("https://otsuka-europe-crm.veevavault.com/ui/#object/email_activity__v/V8C00000003O993", "EN-002090742")</f>
        <v>EN-002090742</v>
      </c>
    </row>
    <row r="4782" spans="1:15" ht="32" x14ac:dyDescent="0.2">
      <c r="A4782" s="7" t="str">
        <f>HYPERLINK("https://otsuka-europe-crm.veevavault.com/ui/#object/account__v/V4TZ06G6O71S9MP", "PIERLUIGI SELVAGGI")</f>
        <v>PIERLUIGI SELVAGGI</v>
      </c>
      <c r="B4782" s="7" t="str">
        <f t="shared" si="488"/>
        <v>IT</v>
      </c>
      <c r="C4782" s="8" t="s">
        <v>44</v>
      </c>
      <c r="D4782" s="9" t="str">
        <f t="shared" si="489"/>
        <v>AE dialoghi di tempo fiducia e cura episodi 2-3-4</v>
      </c>
      <c r="E4782" s="10" t="str">
        <f>HYPERLINK("https://otsuka-europe-crm.veevavault.com/ui/#object/sent_email__v/VBL00000002P944", "SE-001433614")</f>
        <v>SE-001433614</v>
      </c>
      <c r="F4782" s="11"/>
      <c r="G4782" s="12">
        <v>0</v>
      </c>
      <c r="H4782" s="12">
        <v>0</v>
      </c>
      <c r="I4782" s="12">
        <v>0</v>
      </c>
      <c r="J4782" s="11"/>
      <c r="K4782" s="12">
        <v>0</v>
      </c>
      <c r="L4782" s="10" t="str">
        <f t="shared" si="490"/>
        <v>AE dialoghi di tempo fiducia e cura episodi 2-3-4</v>
      </c>
      <c r="M4782" s="10" t="str">
        <f t="shared" si="491"/>
        <v>nicoletta.vozza@crm.otsuka-europe.com</v>
      </c>
      <c r="N4782" s="13">
        <v>46181.337951388887</v>
      </c>
      <c r="O4782" s="14" t="str">
        <f>HYPERLINK("https://otsuka-europe-crm.veevavault.com/ui/#object/email_activity__v/V8C00000003P168", "EN-002089568")</f>
        <v>EN-002089568</v>
      </c>
    </row>
    <row r="4783" spans="1:15" ht="16" x14ac:dyDescent="0.2">
      <c r="A4783" s="17" t="str">
        <f>HYPERLINK("https://otsuka-europe-crm.veevavault.com/ui/#object/account__v/V4TZ06G6O71SBZ0", "PIERO PETRINI")</f>
        <v>PIERO PETRINI</v>
      </c>
      <c r="B4783" s="17" t="str">
        <f t="shared" si="488"/>
        <v>IT</v>
      </c>
      <c r="C4783" s="20" t="s">
        <v>44</v>
      </c>
      <c r="D4783" s="21" t="str">
        <f t="shared" si="489"/>
        <v>AE dialoghi di tempo fiducia e cura episodi 2-3-4</v>
      </c>
      <c r="E4783" s="22" t="str">
        <f>HYPERLINK("https://otsuka-europe-crm.veevavault.com/ui/#object/sent_email__v/VBL00000002P945", "SE-001433615")</f>
        <v>SE-001433615</v>
      </c>
      <c r="F4783" s="25"/>
      <c r="G4783" s="24">
        <v>0</v>
      </c>
      <c r="H4783" s="24">
        <v>0</v>
      </c>
      <c r="I4783" s="24">
        <v>0</v>
      </c>
      <c r="J4783" s="25"/>
      <c r="K4783" s="24">
        <v>0</v>
      </c>
      <c r="L4783" s="22" t="str">
        <f t="shared" si="490"/>
        <v>AE dialoghi di tempo fiducia e cura episodi 2-3-4</v>
      </c>
      <c r="M4783" s="22" t="str">
        <f t="shared" si="491"/>
        <v>nicoletta.vozza@crm.otsuka-europe.com</v>
      </c>
      <c r="N4783" s="23">
        <v>46181.33798611111</v>
      </c>
      <c r="O4783" s="14" t="str">
        <f>HYPERLINK("https://otsuka-europe-crm.veevavault.com/ui/#object/email_activity__v/V8C00000003O248", "EN-002089725")</f>
        <v>EN-002089725</v>
      </c>
    </row>
    <row r="4784" spans="1:15" ht="16" x14ac:dyDescent="0.2">
      <c r="A4784" s="19"/>
      <c r="B4784" s="19"/>
      <c r="C4784" s="19"/>
      <c r="D4784" s="19"/>
      <c r="E4784" s="19"/>
      <c r="F4784" s="19"/>
      <c r="G4784" s="19"/>
      <c r="H4784" s="19"/>
      <c r="I4784" s="19"/>
      <c r="J4784" s="19"/>
      <c r="K4784" s="19"/>
      <c r="L4784" s="19"/>
      <c r="M4784" s="19"/>
      <c r="N4784" s="19"/>
      <c r="O4784" s="14" t="str">
        <f>HYPERLINK("https://otsuka-europe-crm.veevavault.com/ui/#object/email_activity__v/V8C00000003P910", "EN-002091459")</f>
        <v>EN-002091459</v>
      </c>
    </row>
    <row r="4785" spans="1:15" ht="32" x14ac:dyDescent="0.2">
      <c r="A4785" s="7" t="str">
        <f>HYPERLINK("https://otsuka-europe-crm.veevavault.com/ui/#object/account__v/V4TZ06G6O71SBS4", "PIERO PETTI")</f>
        <v>PIERO PETTI</v>
      </c>
      <c r="B4785" s="7" t="str">
        <f>HYPERLINK("https://otsuka-europe-crm.veevavault.com/ui/#object/vcountry__v/VENZ000004SONFQ", "IT")</f>
        <v>IT</v>
      </c>
      <c r="C4785" s="8" t="s">
        <v>44</v>
      </c>
      <c r="D4785" s="9" t="str">
        <f>HYPERLINK("https://otsuka-europe-crm.veevavault.com/ui/#object/approved_document__v/V5O000000018003", "AE dialoghi di tempo fiducia e cura episodi 2-3-4")</f>
        <v>AE dialoghi di tempo fiducia e cura episodi 2-3-4</v>
      </c>
      <c r="E4785" s="10" t="str">
        <f>HYPERLINK("https://otsuka-europe-crm.veevavault.com/ui/#object/sent_email__v/VBL00000002P946", "SE-001433616")</f>
        <v>SE-001433616</v>
      </c>
      <c r="F4785" s="11"/>
      <c r="G4785" s="12">
        <v>0</v>
      </c>
      <c r="H4785" s="12">
        <v>0</v>
      </c>
      <c r="I4785" s="12">
        <v>0</v>
      </c>
      <c r="J4785" s="11"/>
      <c r="K4785" s="12">
        <v>0</v>
      </c>
      <c r="L4785" s="10" t="str">
        <f>HYPERLINK("https://otsuka-europe-crm.veevavault.com/ui/#object/approved_document__v/V5O000000018003", "AE dialoghi di tempo fiducia e cura episodi 2-3-4")</f>
        <v>AE dialoghi di tempo fiducia e cura episodi 2-3-4</v>
      </c>
      <c r="M4785" s="10" t="str">
        <f>HYPERLINK("mailto:nicoletta.vozza@crm.otsuka-europe.com", "nicoletta.vozza@crm.otsuka-europe.com")</f>
        <v>nicoletta.vozza@crm.otsuka-europe.com</v>
      </c>
      <c r="N4785" s="13">
        <v>46181.338020833333</v>
      </c>
      <c r="O4785" s="14" t="str">
        <f>HYPERLINK("https://otsuka-europe-crm.veevavault.com/ui/#object/email_activity__v/V8C00000003O389", "EN-002089907")</f>
        <v>EN-002089907</v>
      </c>
    </row>
    <row r="4786" spans="1:15" ht="32" x14ac:dyDescent="0.2">
      <c r="A4786" s="7" t="str">
        <f>HYPERLINK("https://otsuka-europe-crm.veevavault.com/ui/#object/account__v/V4TZ06G6O71SC05", "PIERO PIERETTI")</f>
        <v>PIERO PIERETTI</v>
      </c>
      <c r="B4786" s="7" t="str">
        <f>HYPERLINK("https://otsuka-europe-crm.veevavault.com/ui/#object/vcountry__v/VENZ000004SONFQ", "IT")</f>
        <v>IT</v>
      </c>
      <c r="C4786" s="8" t="s">
        <v>44</v>
      </c>
      <c r="D4786" s="9" t="str">
        <f>HYPERLINK("https://otsuka-europe-crm.veevavault.com/ui/#object/approved_document__v/V5O000000018003", "AE dialoghi di tempo fiducia e cura episodi 2-3-4")</f>
        <v>AE dialoghi di tempo fiducia e cura episodi 2-3-4</v>
      </c>
      <c r="E4786" s="10" t="str">
        <f>HYPERLINK("https://otsuka-europe-crm.veevavault.com/ui/#object/sent_email__v/VBL00000002P947", "SE-001433617")</f>
        <v>SE-001433617</v>
      </c>
      <c r="F4786" s="11"/>
      <c r="G4786" s="12">
        <v>0</v>
      </c>
      <c r="H4786" s="12">
        <v>0</v>
      </c>
      <c r="I4786" s="12">
        <v>0</v>
      </c>
      <c r="J4786" s="11"/>
      <c r="K4786" s="12">
        <v>0</v>
      </c>
      <c r="L4786" s="10" t="str">
        <f>HYPERLINK("https://otsuka-europe-crm.veevavault.com/ui/#object/approved_document__v/V5O000000018003", "AE dialoghi di tempo fiducia e cura episodi 2-3-4")</f>
        <v>AE dialoghi di tempo fiducia e cura episodi 2-3-4</v>
      </c>
      <c r="M4786" s="10" t="str">
        <f>HYPERLINK("mailto:nicoletta.vozza@crm.otsuka-europe.com", "nicoletta.vozza@crm.otsuka-europe.com")</f>
        <v>nicoletta.vozza@crm.otsuka-europe.com</v>
      </c>
      <c r="N4786" s="13">
        <v>46181.338125000002</v>
      </c>
      <c r="O4786" s="14" t="str">
        <f>HYPERLINK("https://otsuka-europe-crm.veevavault.com/ui/#object/email_activity__v/V8C00000003O550", "EN-002090106")</f>
        <v>EN-002090106</v>
      </c>
    </row>
    <row r="4787" spans="1:15" ht="32" x14ac:dyDescent="0.2">
      <c r="A4787" s="7" t="str">
        <f>HYPERLINK("https://otsuka-europe-crm.veevavault.com/ui/#object/account__v/V4TZ06G6O71S9VU", "PIETRO ABBATI")</f>
        <v>PIETRO ABBATI</v>
      </c>
      <c r="B4787" s="7" t="str">
        <f>HYPERLINK("https://otsuka-europe-crm.veevavault.com/ui/#object/vcountry__v/VENZ000004SONFQ", "IT")</f>
        <v>IT</v>
      </c>
      <c r="C4787" s="8" t="s">
        <v>44</v>
      </c>
      <c r="D4787" s="9" t="str">
        <f>HYPERLINK("https://otsuka-europe-crm.veevavault.com/ui/#object/approved_document__v/V5O000000018003", "AE dialoghi di tempo fiducia e cura episodi 2-3-4")</f>
        <v>AE dialoghi di tempo fiducia e cura episodi 2-3-4</v>
      </c>
      <c r="E4787" s="10" t="str">
        <f>HYPERLINK("https://otsuka-europe-crm.veevavault.com/ui/#object/sent_email__v/VBL00000002P948", "SE-001433618")</f>
        <v>SE-001433618</v>
      </c>
      <c r="F4787" s="11"/>
      <c r="G4787" s="12">
        <v>0</v>
      </c>
      <c r="H4787" s="12">
        <v>0</v>
      </c>
      <c r="I4787" s="12">
        <v>0</v>
      </c>
      <c r="J4787" s="11"/>
      <c r="K4787" s="12">
        <v>0</v>
      </c>
      <c r="L4787" s="10" t="str">
        <f>HYPERLINK("https://otsuka-europe-crm.veevavault.com/ui/#object/approved_document__v/V5O000000018003", "AE dialoghi di tempo fiducia e cura episodi 2-3-4")</f>
        <v>AE dialoghi di tempo fiducia e cura episodi 2-3-4</v>
      </c>
      <c r="M4787" s="10" t="str">
        <f>HYPERLINK("mailto:nicoletta.vozza@crm.otsuka-europe.com", "nicoletta.vozza@crm.otsuka-europe.com")</f>
        <v>nicoletta.vozza@crm.otsuka-europe.com</v>
      </c>
      <c r="N4787" s="13">
        <v>46181.337997685187</v>
      </c>
      <c r="O4787" s="14" t="str">
        <f>HYPERLINK("https://otsuka-europe-crm.veevavault.com/ui/#object/email_activity__v/V8C00000003P691", "EN-002090946")</f>
        <v>EN-002090946</v>
      </c>
    </row>
    <row r="4788" spans="1:15" ht="16" x14ac:dyDescent="0.2">
      <c r="A4788" s="17" t="str">
        <f>HYPERLINK("https://otsuka-europe-crm.veevavault.com/ui/#object/account__v/V4TZ06G6O71S9YH", "PIETRO ARMENISE")</f>
        <v>PIETRO ARMENISE</v>
      </c>
      <c r="B4788" s="17" t="str">
        <f>HYPERLINK("https://otsuka-europe-crm.veevavault.com/ui/#object/vcountry__v/VENZ000004SONFQ", "IT")</f>
        <v>IT</v>
      </c>
      <c r="C4788" s="20" t="s">
        <v>44</v>
      </c>
      <c r="D4788" s="21" t="str">
        <f>HYPERLINK("https://otsuka-europe-crm.veevavault.com/ui/#object/approved_document__v/V5O000000018003", "AE dialoghi di tempo fiducia e cura episodi 2-3-4")</f>
        <v>AE dialoghi di tempo fiducia e cura episodi 2-3-4</v>
      </c>
      <c r="E4788" s="22" t="str">
        <f>HYPERLINK("https://otsuka-europe-crm.veevavault.com/ui/#object/sent_email__v/VBL00000002P949", "SE-001433619")</f>
        <v>SE-001433619</v>
      </c>
      <c r="F4788" s="23">
        <v>46181.732303240744</v>
      </c>
      <c r="G4788" s="24">
        <v>1</v>
      </c>
      <c r="H4788" s="24">
        <v>1</v>
      </c>
      <c r="I4788" s="24">
        <v>0</v>
      </c>
      <c r="J4788" s="25"/>
      <c r="K4788" s="24">
        <v>0</v>
      </c>
      <c r="L4788" s="22" t="str">
        <f>HYPERLINK("https://otsuka-europe-crm.veevavault.com/ui/#object/approved_document__v/V5O000000018003", "AE dialoghi di tempo fiducia e cura episodi 2-3-4")</f>
        <v>AE dialoghi di tempo fiducia e cura episodi 2-3-4</v>
      </c>
      <c r="M4788" s="22" t="str">
        <f>HYPERLINK("mailto:nicoletta.vozza@crm.otsuka-europe.com", "nicoletta.vozza@crm.otsuka-europe.com")</f>
        <v>nicoletta.vozza@crm.otsuka-europe.com</v>
      </c>
      <c r="N4788" s="23">
        <v>46181.337997685187</v>
      </c>
      <c r="O4788" s="14" t="str">
        <f>HYPERLINK("https://otsuka-europe-crm.veevavault.com/ui/#object/email_activity__v/V8C00000003P280", "EN-002089916")</f>
        <v>EN-002089916</v>
      </c>
    </row>
    <row r="4789" spans="1:15" ht="16" x14ac:dyDescent="0.2">
      <c r="A4789" s="19"/>
      <c r="B4789" s="19"/>
      <c r="C4789" s="19"/>
      <c r="D4789" s="19"/>
      <c r="E4789" s="19"/>
      <c r="F4789" s="19"/>
      <c r="G4789" s="19"/>
      <c r="H4789" s="19"/>
      <c r="I4789" s="19"/>
      <c r="J4789" s="19"/>
      <c r="K4789" s="19"/>
      <c r="L4789" s="19"/>
      <c r="M4789" s="19"/>
      <c r="N4789" s="19"/>
      <c r="O4789" s="14" t="str">
        <f>HYPERLINK("https://otsuka-europe-crm.veevavault.com/ui/#object/email_activity__v/V8C00000003Q653", "EN-002092137")</f>
        <v>EN-002092137</v>
      </c>
    </row>
    <row r="4790" spans="1:15" ht="32" x14ac:dyDescent="0.2">
      <c r="A4790" s="7" t="str">
        <f>HYPERLINK("https://otsuka-europe-crm.veevavault.com/ui/#object/account__v/V4TZ04ASGAVAYWX", "PIETRO BONASEGLA")</f>
        <v>PIETRO BONASEGLA</v>
      </c>
      <c r="B4790" s="7" t="str">
        <f>HYPERLINK("https://otsuka-europe-crm.veevavault.com/ui/#object/vcountry__v/VENZ000004SONFQ", "IT")</f>
        <v>IT</v>
      </c>
      <c r="C4790" s="8" t="s">
        <v>44</v>
      </c>
      <c r="D4790" s="9" t="str">
        <f>HYPERLINK("https://otsuka-europe-crm.veevavault.com/ui/#object/approved_document__v/V5O000000018003", "AE dialoghi di tempo fiducia e cura episodi 2-3-4")</f>
        <v>AE dialoghi di tempo fiducia e cura episodi 2-3-4</v>
      </c>
      <c r="E4790" s="10" t="str">
        <f>HYPERLINK("https://otsuka-europe-crm.veevavault.com/ui/#object/sent_email__v/VBL00000002P950", "SE-001433620")</f>
        <v>SE-001433620</v>
      </c>
      <c r="F4790" s="11"/>
      <c r="G4790" s="12">
        <v>0</v>
      </c>
      <c r="H4790" s="12">
        <v>0</v>
      </c>
      <c r="I4790" s="12">
        <v>0</v>
      </c>
      <c r="J4790" s="11"/>
      <c r="K4790" s="12">
        <v>0</v>
      </c>
      <c r="L4790" s="10" t="str">
        <f>HYPERLINK("https://otsuka-europe-crm.veevavault.com/ui/#object/approved_document__v/V5O000000018003", "AE dialoghi di tempo fiducia e cura episodi 2-3-4")</f>
        <v>AE dialoghi di tempo fiducia e cura episodi 2-3-4</v>
      </c>
      <c r="M4790" s="10" t="str">
        <f>HYPERLINK("mailto:nicoletta.vozza@crm.otsuka-europe.com", "nicoletta.vozza@crm.otsuka-europe.com")</f>
        <v>nicoletta.vozza@crm.otsuka-europe.com</v>
      </c>
      <c r="N4790" s="13">
        <v>46181.338043981479</v>
      </c>
      <c r="O4790" s="14" t="str">
        <f>HYPERLINK("https://otsuka-europe-crm.veevavault.com/ui/#object/email_activity__v/V8C00000003P369", "EN-002090375")</f>
        <v>EN-002090375</v>
      </c>
    </row>
    <row r="4791" spans="1:15" ht="32" x14ac:dyDescent="0.2">
      <c r="A4791" s="7" t="str">
        <f>HYPERLINK("https://otsuka-europe-crm.veevavault.com/ui/#object/account__v/V4TZ04ASGE76ZA0", "PIETRO CUZZOLA")</f>
        <v>PIETRO CUZZOLA</v>
      </c>
      <c r="B4791" s="7" t="str">
        <f>HYPERLINK("https://otsuka-europe-crm.veevavault.com/ui/#object/vcountry__v/VENZ000004SONFQ", "IT")</f>
        <v>IT</v>
      </c>
      <c r="C4791" s="8" t="s">
        <v>44</v>
      </c>
      <c r="D4791" s="9" t="str">
        <f>HYPERLINK("https://otsuka-europe-crm.veevavault.com/ui/#object/approved_document__v/V5O000000018003", "AE dialoghi di tempo fiducia e cura episodi 2-3-4")</f>
        <v>AE dialoghi di tempo fiducia e cura episodi 2-3-4</v>
      </c>
      <c r="E4791" s="10" t="str">
        <f>HYPERLINK("https://otsuka-europe-crm.veevavault.com/ui/#object/sent_email__v/VBL00000002P951", "SE-001433621")</f>
        <v>SE-001433621</v>
      </c>
      <c r="F4791" s="11"/>
      <c r="G4791" s="12">
        <v>0</v>
      </c>
      <c r="H4791" s="12">
        <v>0</v>
      </c>
      <c r="I4791" s="12">
        <v>0</v>
      </c>
      <c r="J4791" s="11"/>
      <c r="K4791" s="12">
        <v>0</v>
      </c>
      <c r="L4791" s="10" t="str">
        <f>HYPERLINK("https://otsuka-europe-crm.veevavault.com/ui/#object/approved_document__v/V5O000000018003", "AE dialoghi di tempo fiducia e cura episodi 2-3-4")</f>
        <v>AE dialoghi di tempo fiducia e cura episodi 2-3-4</v>
      </c>
      <c r="M4791" s="10" t="str">
        <f>HYPERLINK("mailto:nicoletta.vozza@crm.otsuka-europe.com", "nicoletta.vozza@crm.otsuka-europe.com")</f>
        <v>nicoletta.vozza@crm.otsuka-europe.com</v>
      </c>
      <c r="N4791" s="13">
        <v>46181.338020833333</v>
      </c>
      <c r="O4791" s="14" t="str">
        <f>HYPERLINK("https://otsuka-europe-crm.veevavault.com/ui/#object/email_activity__v/V8C00000003P343", "EN-002090349")</f>
        <v>EN-002090349</v>
      </c>
    </row>
    <row r="4792" spans="1:15" ht="16" x14ac:dyDescent="0.2">
      <c r="A4792" s="17" t="str">
        <f>HYPERLINK("https://otsuka-europe-crm.veevavault.com/ui/#object/account__v/V4TZ025E82S2R45", "PIETRO DE ROSSI")</f>
        <v>PIETRO DE ROSSI</v>
      </c>
      <c r="B4792" s="17" t="str">
        <f>HYPERLINK("https://otsuka-europe-crm.veevavault.com/ui/#object/vcountry__v/VENZ000004SONFQ", "IT")</f>
        <v>IT</v>
      </c>
      <c r="C4792" s="20" t="s">
        <v>44</v>
      </c>
      <c r="D4792" s="21" t="str">
        <f>HYPERLINK("https://otsuka-europe-crm.veevavault.com/ui/#object/approved_document__v/V5O000000018003", "AE dialoghi di tempo fiducia e cura episodi 2-3-4")</f>
        <v>AE dialoghi di tempo fiducia e cura episodi 2-3-4</v>
      </c>
      <c r="E4792" s="22" t="str">
        <f>HYPERLINK("https://otsuka-europe-crm.veevavault.com/ui/#object/sent_email__v/VBL00000002P952", "SE-001433622")</f>
        <v>SE-001433622</v>
      </c>
      <c r="F4792" s="25"/>
      <c r="G4792" s="24">
        <v>0</v>
      </c>
      <c r="H4792" s="24">
        <v>0</v>
      </c>
      <c r="I4792" s="24">
        <v>0</v>
      </c>
      <c r="J4792" s="25"/>
      <c r="K4792" s="24">
        <v>0</v>
      </c>
      <c r="L4792" s="22" t="str">
        <f>HYPERLINK("https://otsuka-europe-crm.veevavault.com/ui/#object/approved_document__v/V5O000000018003", "AE dialoghi di tempo fiducia e cura episodi 2-3-4")</f>
        <v>AE dialoghi di tempo fiducia e cura episodi 2-3-4</v>
      </c>
      <c r="M4792" s="22" t="str">
        <f>HYPERLINK("mailto:nicoletta.vozza@crm.otsuka-europe.com", "nicoletta.vozza@crm.otsuka-europe.com")</f>
        <v>nicoletta.vozza@crm.otsuka-europe.com</v>
      </c>
      <c r="N4792" s="23">
        <v>46181.338113425925</v>
      </c>
      <c r="O4792" s="14" t="str">
        <f>HYPERLINK("https://otsuka-europe-crm.veevavault.com/ui/#object/email_activity__v/V8C00000003P860", "EN-002091278")</f>
        <v>EN-002091278</v>
      </c>
    </row>
    <row r="4793" spans="1:15" ht="16" x14ac:dyDescent="0.2">
      <c r="A4793" s="18"/>
      <c r="B4793" s="18"/>
      <c r="C4793" s="18"/>
      <c r="D4793" s="18"/>
      <c r="E4793" s="18"/>
      <c r="F4793" s="18"/>
      <c r="G4793" s="18"/>
      <c r="H4793" s="18"/>
      <c r="I4793" s="18"/>
      <c r="J4793" s="18"/>
      <c r="K4793" s="18"/>
      <c r="L4793" s="18"/>
      <c r="M4793" s="18"/>
      <c r="N4793" s="18"/>
      <c r="O4793" s="14" t="str">
        <f>HYPERLINK("https://otsuka-europe-crm.veevavault.com/ui/#object/email_activity__v/V8C00000003Q179", "EN-002091277")</f>
        <v>EN-002091277</v>
      </c>
    </row>
    <row r="4794" spans="1:15" ht="16" x14ac:dyDescent="0.2">
      <c r="A4794" s="18"/>
      <c r="B4794" s="18"/>
      <c r="C4794" s="18"/>
      <c r="D4794" s="18"/>
      <c r="E4794" s="18"/>
      <c r="F4794" s="18"/>
      <c r="G4794" s="18"/>
      <c r="H4794" s="18"/>
      <c r="I4794" s="18"/>
      <c r="J4794" s="18"/>
      <c r="K4794" s="18"/>
      <c r="L4794" s="18"/>
      <c r="M4794" s="18"/>
      <c r="N4794" s="18"/>
      <c r="O4794" s="14" t="str">
        <f>HYPERLINK("https://otsuka-europe-crm.veevavault.com/ui/#object/email_activity__v/V8C00000003U035", "EN-002094889")</f>
        <v>EN-002094889</v>
      </c>
    </row>
    <row r="4795" spans="1:15" ht="16" x14ac:dyDescent="0.2">
      <c r="A4795" s="19"/>
      <c r="B4795" s="19"/>
      <c r="C4795" s="19"/>
      <c r="D4795" s="19"/>
      <c r="E4795" s="19"/>
      <c r="F4795" s="19"/>
      <c r="G4795" s="19"/>
      <c r="H4795" s="19"/>
      <c r="I4795" s="19"/>
      <c r="J4795" s="19"/>
      <c r="K4795" s="19"/>
      <c r="L4795" s="19"/>
      <c r="M4795" s="19"/>
      <c r="N4795" s="19"/>
      <c r="O4795" s="14" t="str">
        <f>HYPERLINK("https://otsuka-europe-crm.veevavault.com/ui/#object/email_activity__v/V8C00000003W105", "EN-002096856")</f>
        <v>EN-002096856</v>
      </c>
    </row>
    <row r="4796" spans="1:15" ht="32" x14ac:dyDescent="0.2">
      <c r="A4796" s="7" t="str">
        <f>HYPERLINK("https://otsuka-europe-crm.veevavault.com/ui/#object/account__v/V4TZ06G6O71SASQ", "PIETRO DI MARCO")</f>
        <v>PIETRO DI MARCO</v>
      </c>
      <c r="B4796" s="7" t="str">
        <f t="shared" ref="B4796:B4808" si="492">HYPERLINK("https://otsuka-europe-crm.veevavault.com/ui/#object/vcountry__v/VENZ000004SONFQ", "IT")</f>
        <v>IT</v>
      </c>
      <c r="C4796" s="8" t="s">
        <v>44</v>
      </c>
      <c r="D4796" s="9" t="str">
        <f t="shared" ref="D4796:D4808" si="493">HYPERLINK("https://otsuka-europe-crm.veevavault.com/ui/#object/approved_document__v/V5O000000018003", "AE dialoghi di tempo fiducia e cura episodi 2-3-4")</f>
        <v>AE dialoghi di tempo fiducia e cura episodi 2-3-4</v>
      </c>
      <c r="E4796" s="10" t="str">
        <f>HYPERLINK("https://otsuka-europe-crm.veevavault.com/ui/#object/sent_email__v/VBL00000002P953", "SE-001433623")</f>
        <v>SE-001433623</v>
      </c>
      <c r="F4796" s="11"/>
      <c r="G4796" s="12">
        <v>0</v>
      </c>
      <c r="H4796" s="12">
        <v>0</v>
      </c>
      <c r="I4796" s="12">
        <v>0</v>
      </c>
      <c r="J4796" s="11"/>
      <c r="K4796" s="12">
        <v>0</v>
      </c>
      <c r="L4796" s="10" t="str">
        <f t="shared" ref="L4796:L4808" si="494">HYPERLINK("https://otsuka-europe-crm.veevavault.com/ui/#object/approved_document__v/V5O000000018003", "AE dialoghi di tempo fiducia e cura episodi 2-3-4")</f>
        <v>AE dialoghi di tempo fiducia e cura episodi 2-3-4</v>
      </c>
      <c r="M4796" s="10" t="str">
        <f t="shared" ref="M4796:M4808" si="495">HYPERLINK("mailto:nicoletta.vozza@crm.otsuka-europe.com", "nicoletta.vozza@crm.otsuka-europe.com")</f>
        <v>nicoletta.vozza@crm.otsuka-europe.com</v>
      </c>
      <c r="N4796" s="13">
        <v>46181.337997685187</v>
      </c>
      <c r="O4796" s="14" t="str">
        <f>HYPERLINK("https://otsuka-europe-crm.veevavault.com/ui/#object/email_activity__v/V8C00000003O701", "EN-002090257")</f>
        <v>EN-002090257</v>
      </c>
    </row>
    <row r="4797" spans="1:15" ht="32" x14ac:dyDescent="0.2">
      <c r="A4797" s="7" t="str">
        <f>HYPERLINK("https://otsuka-europe-crm.veevavault.com/ui/#object/account__v/V4TZ06G6O71SAGW", "PIETRO DI PAOLO")</f>
        <v>PIETRO DI PAOLO</v>
      </c>
      <c r="B4797" s="7" t="str">
        <f t="shared" si="492"/>
        <v>IT</v>
      </c>
      <c r="C4797" s="8" t="s">
        <v>44</v>
      </c>
      <c r="D4797" s="9" t="str">
        <f t="shared" si="493"/>
        <v>AE dialoghi di tempo fiducia e cura episodi 2-3-4</v>
      </c>
      <c r="E4797" s="10" t="str">
        <f>HYPERLINK("https://otsuka-europe-crm.veevavault.com/ui/#object/sent_email__v/VBL00000002P954", "SE-001433624")</f>
        <v>SE-001433624</v>
      </c>
      <c r="F4797" s="11"/>
      <c r="G4797" s="12">
        <v>0</v>
      </c>
      <c r="H4797" s="12">
        <v>0</v>
      </c>
      <c r="I4797" s="12">
        <v>0</v>
      </c>
      <c r="J4797" s="11"/>
      <c r="K4797" s="12">
        <v>0</v>
      </c>
      <c r="L4797" s="10" t="str">
        <f t="shared" si="494"/>
        <v>AE dialoghi di tempo fiducia e cura episodi 2-3-4</v>
      </c>
      <c r="M4797" s="10" t="str">
        <f t="shared" si="495"/>
        <v>nicoletta.vozza@crm.otsuka-europe.com</v>
      </c>
      <c r="N4797" s="13">
        <v>46181.338090277779</v>
      </c>
      <c r="O4797" s="14" t="str">
        <f>HYPERLINK("https://otsuka-europe-crm.veevavault.com/ui/#object/email_activity__v/V8C00000003Q069", "EN-002091134")</f>
        <v>EN-002091134</v>
      </c>
    </row>
    <row r="4798" spans="1:15" ht="32" x14ac:dyDescent="0.2">
      <c r="A4798" s="7" t="str">
        <f>HYPERLINK("https://otsuka-europe-crm.veevavault.com/ui/#object/account__v/V4TZ06G6O71SBOK", "PIETRO NIGRO")</f>
        <v>PIETRO NIGRO</v>
      </c>
      <c r="B4798" s="7" t="str">
        <f t="shared" si="492"/>
        <v>IT</v>
      </c>
      <c r="C4798" s="8" t="s">
        <v>44</v>
      </c>
      <c r="D4798" s="9" t="str">
        <f t="shared" si="493"/>
        <v>AE dialoghi di tempo fiducia e cura episodi 2-3-4</v>
      </c>
      <c r="E4798" s="10" t="str">
        <f>HYPERLINK("https://otsuka-europe-crm.veevavault.com/ui/#object/sent_email__v/VBL00000002P955", "SE-001433625")</f>
        <v>SE-001433625</v>
      </c>
      <c r="F4798" s="11"/>
      <c r="G4798" s="12">
        <v>0</v>
      </c>
      <c r="H4798" s="12">
        <v>0</v>
      </c>
      <c r="I4798" s="12">
        <v>0</v>
      </c>
      <c r="J4798" s="11"/>
      <c r="K4798" s="12">
        <v>0</v>
      </c>
      <c r="L4798" s="10" t="str">
        <f t="shared" si="494"/>
        <v>AE dialoghi di tempo fiducia e cura episodi 2-3-4</v>
      </c>
      <c r="M4798" s="10" t="str">
        <f t="shared" si="495"/>
        <v>nicoletta.vozza@crm.otsuka-europe.com</v>
      </c>
      <c r="N4798" s="13">
        <v>46181.337997685187</v>
      </c>
      <c r="O4798" s="14" t="str">
        <f>HYPERLINK("https://otsuka-europe-crm.veevavault.com/ui/#object/email_activity__v/V8C00000003O827", "EN-002090529")</f>
        <v>EN-002090529</v>
      </c>
    </row>
    <row r="4799" spans="1:15" ht="32" x14ac:dyDescent="0.2">
      <c r="A4799" s="7" t="str">
        <f>HYPERLINK("https://otsuka-europe-crm.veevavault.com/ui/#object/account__v/V4TZ06G6O71SA81", "PIETRUZZA BUCOLO")</f>
        <v>PIETRUZZA BUCOLO</v>
      </c>
      <c r="B4799" s="7" t="str">
        <f t="shared" si="492"/>
        <v>IT</v>
      </c>
      <c r="C4799" s="8" t="s">
        <v>44</v>
      </c>
      <c r="D4799" s="9" t="str">
        <f t="shared" si="493"/>
        <v>AE dialoghi di tempo fiducia e cura episodi 2-3-4</v>
      </c>
      <c r="E4799" s="10" t="str">
        <f>HYPERLINK("https://otsuka-europe-crm.veevavault.com/ui/#object/sent_email__v/VBL00000002P956", "SE-001433626")</f>
        <v>SE-001433626</v>
      </c>
      <c r="F4799" s="11"/>
      <c r="G4799" s="12">
        <v>0</v>
      </c>
      <c r="H4799" s="12">
        <v>0</v>
      </c>
      <c r="I4799" s="12">
        <v>0</v>
      </c>
      <c r="J4799" s="11"/>
      <c r="K4799" s="12">
        <v>0</v>
      </c>
      <c r="L4799" s="10" t="str">
        <f t="shared" si="494"/>
        <v>AE dialoghi di tempo fiducia e cura episodi 2-3-4</v>
      </c>
      <c r="M4799" s="10" t="str">
        <f t="shared" si="495"/>
        <v>nicoletta.vozza@crm.otsuka-europe.com</v>
      </c>
      <c r="N4799" s="13">
        <v>46181.337997685187</v>
      </c>
      <c r="O4799" s="14" t="str">
        <f>HYPERLINK("https://otsuka-europe-crm.veevavault.com/ui/#object/email_activity__v/V8C00000003P729", "EN-002091027")</f>
        <v>EN-002091027</v>
      </c>
    </row>
    <row r="4800" spans="1:15" ht="32" x14ac:dyDescent="0.2">
      <c r="A4800" s="7" t="str">
        <f>HYPERLINK("https://otsuka-europe-crm.veevavault.com/ui/#object/account__v/V4TZ06G6O71SA1P", "RACHELE BENCIVENGA")</f>
        <v>RACHELE BENCIVENGA</v>
      </c>
      <c r="B4800" s="7" t="str">
        <f t="shared" si="492"/>
        <v>IT</v>
      </c>
      <c r="C4800" s="8" t="s">
        <v>44</v>
      </c>
      <c r="D4800" s="9" t="str">
        <f t="shared" si="493"/>
        <v>AE dialoghi di tempo fiducia e cura episodi 2-3-4</v>
      </c>
      <c r="E4800" s="10" t="str">
        <f>HYPERLINK("https://otsuka-europe-crm.veevavault.com/ui/#object/sent_email__v/VBL00000002P957", "SE-001433627")</f>
        <v>SE-001433627</v>
      </c>
      <c r="F4800" s="11"/>
      <c r="G4800" s="12">
        <v>0</v>
      </c>
      <c r="H4800" s="12">
        <v>0</v>
      </c>
      <c r="I4800" s="12">
        <v>0</v>
      </c>
      <c r="J4800" s="11"/>
      <c r="K4800" s="12">
        <v>0</v>
      </c>
      <c r="L4800" s="10" t="str">
        <f t="shared" si="494"/>
        <v>AE dialoghi di tempo fiducia e cura episodi 2-3-4</v>
      </c>
      <c r="M4800" s="10" t="str">
        <f t="shared" si="495"/>
        <v>nicoletta.vozza@crm.otsuka-europe.com</v>
      </c>
      <c r="N4800" s="13">
        <v>46181.338055555556</v>
      </c>
      <c r="O4800" s="14" t="str">
        <f>HYPERLINK("https://otsuka-europe-crm.veevavault.com/ui/#object/email_activity__v/V8C00000003O391", "EN-002089909")</f>
        <v>EN-002089909</v>
      </c>
    </row>
    <row r="4801" spans="1:15" ht="32" x14ac:dyDescent="0.2">
      <c r="A4801" s="7" t="str">
        <f>HYPERLINK("https://otsuka-europe-crm.veevavault.com/ui/#object/account__v/V4TZ06G6O71S9C2", "RACHELE FERRARA")</f>
        <v>RACHELE FERRARA</v>
      </c>
      <c r="B4801" s="7" t="str">
        <f t="shared" si="492"/>
        <v>IT</v>
      </c>
      <c r="C4801" s="8" t="s">
        <v>44</v>
      </c>
      <c r="D4801" s="9" t="str">
        <f t="shared" si="493"/>
        <v>AE dialoghi di tempo fiducia e cura episodi 2-3-4</v>
      </c>
      <c r="E4801" s="10" t="str">
        <f>HYPERLINK("https://otsuka-europe-crm.veevavault.com/ui/#object/sent_email__v/VBL00000002P958", "SE-001433628")</f>
        <v>SE-001433628</v>
      </c>
      <c r="F4801" s="11"/>
      <c r="G4801" s="12">
        <v>0</v>
      </c>
      <c r="H4801" s="12">
        <v>0</v>
      </c>
      <c r="I4801" s="12">
        <v>0</v>
      </c>
      <c r="J4801" s="11"/>
      <c r="K4801" s="12">
        <v>0</v>
      </c>
      <c r="L4801" s="10" t="str">
        <f t="shared" si="494"/>
        <v>AE dialoghi di tempo fiducia e cura episodi 2-3-4</v>
      </c>
      <c r="M4801" s="10" t="str">
        <f t="shared" si="495"/>
        <v>nicoletta.vozza@crm.otsuka-europe.com</v>
      </c>
      <c r="N4801" s="13">
        <v>46181.337962962964</v>
      </c>
      <c r="O4801" s="14" t="str">
        <f>HYPERLINK("https://otsuka-europe-crm.veevavault.com/ui/#object/email_activity__v/V8C00000003P246", "EN-002089824")</f>
        <v>EN-002089824</v>
      </c>
    </row>
    <row r="4802" spans="1:15" ht="32" x14ac:dyDescent="0.2">
      <c r="A4802" s="7" t="str">
        <f>HYPERLINK("https://otsuka-europe-crm.veevavault.com/ui/#object/account__v/V4TZ06G6O71S9L0", "RAFFAELA ESPOSITO")</f>
        <v>RAFFAELA ESPOSITO</v>
      </c>
      <c r="B4802" s="7" t="str">
        <f t="shared" si="492"/>
        <v>IT</v>
      </c>
      <c r="C4802" s="8" t="s">
        <v>44</v>
      </c>
      <c r="D4802" s="9" t="str">
        <f t="shared" si="493"/>
        <v>AE dialoghi di tempo fiducia e cura episodi 2-3-4</v>
      </c>
      <c r="E4802" s="10" t="str">
        <f>HYPERLINK("https://otsuka-europe-crm.veevavault.com/ui/#object/sent_email__v/VBL00000002P959", "SE-001433629")</f>
        <v>SE-001433629</v>
      </c>
      <c r="F4802" s="11"/>
      <c r="G4802" s="12">
        <v>0</v>
      </c>
      <c r="H4802" s="12">
        <v>0</v>
      </c>
      <c r="I4802" s="12">
        <v>0</v>
      </c>
      <c r="J4802" s="11"/>
      <c r="K4802" s="12">
        <v>0</v>
      </c>
      <c r="L4802" s="10" t="str">
        <f t="shared" si="494"/>
        <v>AE dialoghi di tempo fiducia e cura episodi 2-3-4</v>
      </c>
      <c r="M4802" s="10" t="str">
        <f t="shared" si="495"/>
        <v>nicoletta.vozza@crm.otsuka-europe.com</v>
      </c>
      <c r="N4802" s="13">
        <v>46181.337997685187</v>
      </c>
      <c r="O4802" s="14" t="str">
        <f>HYPERLINK("https://otsuka-europe-crm.veevavault.com/ui/#object/email_activity__v/V8C00000003O205", "EN-002089642")</f>
        <v>EN-002089642</v>
      </c>
    </row>
    <row r="4803" spans="1:15" ht="32" x14ac:dyDescent="0.2">
      <c r="A4803" s="7" t="str">
        <f>HYPERLINK("https://otsuka-europe-crm.veevavault.com/ui/#object/account__v/V4TZ06G6O71SA3Y", "RAFFAELE BASSO")</f>
        <v>RAFFAELE BASSO</v>
      </c>
      <c r="B4803" s="7" t="str">
        <f t="shared" si="492"/>
        <v>IT</v>
      </c>
      <c r="C4803" s="8" t="s">
        <v>44</v>
      </c>
      <c r="D4803" s="9" t="str">
        <f t="shared" si="493"/>
        <v>AE dialoghi di tempo fiducia e cura episodi 2-3-4</v>
      </c>
      <c r="E4803" s="10" t="str">
        <f>HYPERLINK("https://otsuka-europe-crm.veevavault.com/ui/#object/sent_email__v/VBL00000002P960", "SE-001433630")</f>
        <v>SE-001433630</v>
      </c>
      <c r="F4803" s="11"/>
      <c r="G4803" s="12">
        <v>0</v>
      </c>
      <c r="H4803" s="12">
        <v>0</v>
      </c>
      <c r="I4803" s="12">
        <v>0</v>
      </c>
      <c r="J4803" s="11"/>
      <c r="K4803" s="12">
        <v>0</v>
      </c>
      <c r="L4803" s="10" t="str">
        <f t="shared" si="494"/>
        <v>AE dialoghi di tempo fiducia e cura episodi 2-3-4</v>
      </c>
      <c r="M4803" s="10" t="str">
        <f t="shared" si="495"/>
        <v>nicoletta.vozza@crm.otsuka-europe.com</v>
      </c>
      <c r="N4803" s="13">
        <v>46181.338090277779</v>
      </c>
      <c r="O4803" s="14" t="str">
        <f>HYPERLINK("https://otsuka-europe-crm.veevavault.com/ui/#object/email_activity__v/V8C00000003P906", "EN-002091446")</f>
        <v>EN-002091446</v>
      </c>
    </row>
    <row r="4804" spans="1:15" ht="32" x14ac:dyDescent="0.2">
      <c r="A4804" s="7" t="str">
        <f>HYPERLINK("https://otsuka-europe-crm.veevavault.com/ui/#object/account__v/V4TZ06G6O71TLL3", "RAFFAELE IOIME")</f>
        <v>RAFFAELE IOIME</v>
      </c>
      <c r="B4804" s="7" t="str">
        <f t="shared" si="492"/>
        <v>IT</v>
      </c>
      <c r="C4804" s="8" t="s">
        <v>44</v>
      </c>
      <c r="D4804" s="9" t="str">
        <f t="shared" si="493"/>
        <v>AE dialoghi di tempo fiducia e cura episodi 2-3-4</v>
      </c>
      <c r="E4804" s="10" t="str">
        <f>HYPERLINK("https://otsuka-europe-crm.veevavault.com/ui/#object/sent_email__v/VBL00000002P961", "SE-001433631")</f>
        <v>SE-001433631</v>
      </c>
      <c r="F4804" s="11"/>
      <c r="G4804" s="12">
        <v>0</v>
      </c>
      <c r="H4804" s="12">
        <v>0</v>
      </c>
      <c r="I4804" s="12">
        <v>0</v>
      </c>
      <c r="J4804" s="11"/>
      <c r="K4804" s="12">
        <v>0</v>
      </c>
      <c r="L4804" s="10" t="str">
        <f t="shared" si="494"/>
        <v>AE dialoghi di tempo fiducia e cura episodi 2-3-4</v>
      </c>
      <c r="M4804" s="10" t="str">
        <f t="shared" si="495"/>
        <v>nicoletta.vozza@crm.otsuka-europe.com</v>
      </c>
      <c r="N4804" s="13">
        <v>46181.337939814817</v>
      </c>
      <c r="O4804" s="14" t="str">
        <f>HYPERLINK("https://otsuka-europe-crm.veevavault.com/ui/#object/email_activity__v/V8C00000003P193", "EN-002089593")</f>
        <v>EN-002089593</v>
      </c>
    </row>
    <row r="4805" spans="1:15" ht="32" x14ac:dyDescent="0.2">
      <c r="A4805" s="7" t="str">
        <f>HYPERLINK("https://otsuka-europe-crm.veevavault.com/ui/#object/account__v/V4TZ025E86LOEZE", "RAFFAELE SPERANDEO")</f>
        <v>RAFFAELE SPERANDEO</v>
      </c>
      <c r="B4805" s="7" t="str">
        <f t="shared" si="492"/>
        <v>IT</v>
      </c>
      <c r="C4805" s="8" t="s">
        <v>44</v>
      </c>
      <c r="D4805" s="9" t="str">
        <f t="shared" si="493"/>
        <v>AE dialoghi di tempo fiducia e cura episodi 2-3-4</v>
      </c>
      <c r="E4805" s="10" t="str">
        <f>HYPERLINK("https://otsuka-europe-crm.veevavault.com/ui/#object/sent_email__v/VBL00000002P962", "SE-001433632")</f>
        <v>SE-001433632</v>
      </c>
      <c r="F4805" s="11"/>
      <c r="G4805" s="12">
        <v>0</v>
      </c>
      <c r="H4805" s="12">
        <v>0</v>
      </c>
      <c r="I4805" s="12">
        <v>0</v>
      </c>
      <c r="J4805" s="11"/>
      <c r="K4805" s="12">
        <v>0</v>
      </c>
      <c r="L4805" s="10" t="str">
        <f t="shared" si="494"/>
        <v>AE dialoghi di tempo fiducia e cura episodi 2-3-4</v>
      </c>
      <c r="M4805" s="10" t="str">
        <f t="shared" si="495"/>
        <v>nicoletta.vozza@crm.otsuka-europe.com</v>
      </c>
      <c r="N4805" s="13">
        <v>46181.338020833333</v>
      </c>
      <c r="O4805" s="14" t="str">
        <f>HYPERLINK("https://otsuka-europe-crm.veevavault.com/ui/#object/email_activity__v/V8C00000003P236", "EN-002089682")</f>
        <v>EN-002089682</v>
      </c>
    </row>
    <row r="4806" spans="1:15" ht="32" x14ac:dyDescent="0.2">
      <c r="A4806" s="7" t="str">
        <f>HYPERLINK("https://otsuka-europe-crm.veevavault.com/ui/#object/account__v/V4TZ06G6O71S9XM", "RAFFAELLA AMADORI")</f>
        <v>RAFFAELLA AMADORI</v>
      </c>
      <c r="B4806" s="7" t="str">
        <f t="shared" si="492"/>
        <v>IT</v>
      </c>
      <c r="C4806" s="8" t="s">
        <v>44</v>
      </c>
      <c r="D4806" s="9" t="str">
        <f t="shared" si="493"/>
        <v>AE dialoghi di tempo fiducia e cura episodi 2-3-4</v>
      </c>
      <c r="E4806" s="10" t="str">
        <f>HYPERLINK("https://otsuka-europe-crm.veevavault.com/ui/#object/sent_email__v/VBL00000002P963", "SE-001433633")</f>
        <v>SE-001433633</v>
      </c>
      <c r="F4806" s="11"/>
      <c r="G4806" s="12">
        <v>0</v>
      </c>
      <c r="H4806" s="12">
        <v>0</v>
      </c>
      <c r="I4806" s="12">
        <v>0</v>
      </c>
      <c r="J4806" s="11"/>
      <c r="K4806" s="12">
        <v>0</v>
      </c>
      <c r="L4806" s="10" t="str">
        <f t="shared" si="494"/>
        <v>AE dialoghi di tempo fiducia e cura episodi 2-3-4</v>
      </c>
      <c r="M4806" s="10" t="str">
        <f t="shared" si="495"/>
        <v>nicoletta.vozza@crm.otsuka-europe.com</v>
      </c>
      <c r="N4806" s="13">
        <v>46181.338043981479</v>
      </c>
      <c r="O4806" s="14" t="str">
        <f>HYPERLINK("https://otsuka-europe-crm.veevavault.com/ui/#object/email_activity__v/V8C00000003O446", "EN-002090002")</f>
        <v>EN-002090002</v>
      </c>
    </row>
    <row r="4807" spans="1:15" ht="32" x14ac:dyDescent="0.2">
      <c r="A4807" s="7" t="str">
        <f>HYPERLINK("https://otsuka-europe-crm.veevavault.com/ui/#object/account__v/V4TZ06G6O71SB9Z", "RAFFAELLA LONGO")</f>
        <v>RAFFAELLA LONGO</v>
      </c>
      <c r="B4807" s="7" t="str">
        <f t="shared" si="492"/>
        <v>IT</v>
      </c>
      <c r="C4807" s="8" t="s">
        <v>44</v>
      </c>
      <c r="D4807" s="9" t="str">
        <f t="shared" si="493"/>
        <v>AE dialoghi di tempo fiducia e cura episodi 2-3-4</v>
      </c>
      <c r="E4807" s="10" t="str">
        <f>HYPERLINK("https://otsuka-europe-crm.veevavault.com/ui/#object/sent_email__v/VBL00000002P964", "SE-001433634")</f>
        <v>SE-001433634</v>
      </c>
      <c r="F4807" s="11"/>
      <c r="G4807" s="12">
        <v>0</v>
      </c>
      <c r="H4807" s="12">
        <v>0</v>
      </c>
      <c r="I4807" s="12">
        <v>0</v>
      </c>
      <c r="J4807" s="11"/>
      <c r="K4807" s="12">
        <v>0</v>
      </c>
      <c r="L4807" s="10" t="str">
        <f t="shared" si="494"/>
        <v>AE dialoghi di tempo fiducia e cura episodi 2-3-4</v>
      </c>
      <c r="M4807" s="10" t="str">
        <f t="shared" si="495"/>
        <v>nicoletta.vozza@crm.otsuka-europe.com</v>
      </c>
      <c r="N4807" s="13">
        <v>46181.338136574072</v>
      </c>
      <c r="O4807" s="14" t="str">
        <f>HYPERLINK("https://otsuka-europe-crm.veevavault.com/ui/#object/email_activity__v/V8C00000003O968", "EN-002090628")</f>
        <v>EN-002090628</v>
      </c>
    </row>
    <row r="4808" spans="1:15" ht="16" x14ac:dyDescent="0.2">
      <c r="A4808" s="17" t="str">
        <f>HYPERLINK("https://otsuka-europe-crm.veevavault.com/ui/#object/account__v/V4TZ06G6O71SBI0", "RAFFAELLA MAZZIOTTI DI CELSO")</f>
        <v>RAFFAELLA MAZZIOTTI DI CELSO</v>
      </c>
      <c r="B4808" s="17" t="str">
        <f t="shared" si="492"/>
        <v>IT</v>
      </c>
      <c r="C4808" s="20" t="s">
        <v>44</v>
      </c>
      <c r="D4808" s="21" t="str">
        <f t="shared" si="493"/>
        <v>AE dialoghi di tempo fiducia e cura episodi 2-3-4</v>
      </c>
      <c r="E4808" s="22" t="str">
        <f>HYPERLINK("https://otsuka-europe-crm.veevavault.com/ui/#object/sent_email__v/VBL00000002P965", "SE-001433635")</f>
        <v>SE-001433635</v>
      </c>
      <c r="F4808" s="23">
        <v>46181.433761574073</v>
      </c>
      <c r="G4808" s="24">
        <v>1</v>
      </c>
      <c r="H4808" s="24">
        <v>1</v>
      </c>
      <c r="I4808" s="24">
        <v>0</v>
      </c>
      <c r="J4808" s="25"/>
      <c r="K4808" s="24">
        <v>0</v>
      </c>
      <c r="L4808" s="22" t="str">
        <f t="shared" si="494"/>
        <v>AE dialoghi di tempo fiducia e cura episodi 2-3-4</v>
      </c>
      <c r="M4808" s="22" t="str">
        <f t="shared" si="495"/>
        <v>nicoletta.vozza@crm.otsuka-europe.com</v>
      </c>
      <c r="N4808" s="23">
        <v>46181.338043981479</v>
      </c>
      <c r="O4808" s="14" t="str">
        <f>HYPERLINK("https://otsuka-europe-crm.veevavault.com/ui/#object/email_activity__v/V8C00000003P463", "EN-002090654")</f>
        <v>EN-002090654</v>
      </c>
    </row>
    <row r="4809" spans="1:15" ht="16" x14ac:dyDescent="0.2">
      <c r="A4809" s="19"/>
      <c r="B4809" s="19"/>
      <c r="C4809" s="19"/>
      <c r="D4809" s="19"/>
      <c r="E4809" s="19"/>
      <c r="F4809" s="19"/>
      <c r="G4809" s="19"/>
      <c r="H4809" s="19"/>
      <c r="I4809" s="19"/>
      <c r="J4809" s="19"/>
      <c r="K4809" s="19"/>
      <c r="L4809" s="19"/>
      <c r="M4809" s="19"/>
      <c r="N4809" s="19"/>
      <c r="O4809" s="14" t="str">
        <f>HYPERLINK("https://otsuka-europe-crm.veevavault.com/ui/#object/email_activity__v/V8C00000003R080", "EN-002091815")</f>
        <v>EN-002091815</v>
      </c>
    </row>
    <row r="4810" spans="1:15" ht="32" x14ac:dyDescent="0.2">
      <c r="A4810" s="7" t="str">
        <f>HYPERLINK("https://otsuka-europe-crm.veevavault.com/ui/#object/account__v/V4TZ06G6O71SBJV", "RAFFAELLA MOSCHETTA")</f>
        <v>RAFFAELLA MOSCHETTA</v>
      </c>
      <c r="B4810" s="7" t="str">
        <f t="shared" ref="B4810:B4816" si="496">HYPERLINK("https://otsuka-europe-crm.veevavault.com/ui/#object/vcountry__v/VENZ000004SONFQ", "IT")</f>
        <v>IT</v>
      </c>
      <c r="C4810" s="8" t="s">
        <v>44</v>
      </c>
      <c r="D4810" s="9" t="str">
        <f t="shared" ref="D4810:D4816" si="497">HYPERLINK("https://otsuka-europe-crm.veevavault.com/ui/#object/approved_document__v/V5O000000018003", "AE dialoghi di tempo fiducia e cura episodi 2-3-4")</f>
        <v>AE dialoghi di tempo fiducia e cura episodi 2-3-4</v>
      </c>
      <c r="E4810" s="10" t="str">
        <f>HYPERLINK("https://otsuka-europe-crm.veevavault.com/ui/#object/sent_email__v/VBL00000002P966", "SE-001433636")</f>
        <v>SE-001433636</v>
      </c>
      <c r="F4810" s="11"/>
      <c r="G4810" s="12">
        <v>0</v>
      </c>
      <c r="H4810" s="12">
        <v>0</v>
      </c>
      <c r="I4810" s="12">
        <v>0</v>
      </c>
      <c r="J4810" s="11"/>
      <c r="K4810" s="12">
        <v>0</v>
      </c>
      <c r="L4810" s="10" t="str">
        <f t="shared" ref="L4810:L4816" si="498">HYPERLINK("https://otsuka-europe-crm.veevavault.com/ui/#object/approved_document__v/V5O000000018003", "AE dialoghi di tempo fiducia e cura episodi 2-3-4")</f>
        <v>AE dialoghi di tempo fiducia e cura episodi 2-3-4</v>
      </c>
      <c r="M4810" s="10" t="str">
        <f t="shared" ref="M4810:M4816" si="499">HYPERLINK("mailto:nicoletta.vozza@crm.otsuka-europe.com", "nicoletta.vozza@crm.otsuka-europe.com")</f>
        <v>nicoletta.vozza@crm.otsuka-europe.com</v>
      </c>
      <c r="N4810" s="13">
        <v>46181.337997685187</v>
      </c>
      <c r="O4810" s="14" t="str">
        <f>HYPERLINK("https://otsuka-europe-crm.veevavault.com/ui/#object/email_activity__v/V8C00000003O888", "EN-002090491")</f>
        <v>EN-002090491</v>
      </c>
    </row>
    <row r="4811" spans="1:15" ht="32" x14ac:dyDescent="0.2">
      <c r="A4811" s="7" t="str">
        <f>HYPERLINK("https://otsuka-europe-crm.veevavault.com/ui/#object/account__v/V4TZ06G6O71SCCB", "RAFFAELLA SIGNIFREDI")</f>
        <v>RAFFAELLA SIGNIFREDI</v>
      </c>
      <c r="B4811" s="7" t="str">
        <f t="shared" si="496"/>
        <v>IT</v>
      </c>
      <c r="C4811" s="8" t="s">
        <v>44</v>
      </c>
      <c r="D4811" s="9" t="str">
        <f t="shared" si="497"/>
        <v>AE dialoghi di tempo fiducia e cura episodi 2-3-4</v>
      </c>
      <c r="E4811" s="10" t="str">
        <f>HYPERLINK("https://otsuka-europe-crm.veevavault.com/ui/#object/sent_email__v/VBL00000002P967", "SE-001433637")</f>
        <v>SE-001433637</v>
      </c>
      <c r="F4811" s="11"/>
      <c r="G4811" s="12">
        <v>0</v>
      </c>
      <c r="H4811" s="12">
        <v>0</v>
      </c>
      <c r="I4811" s="12">
        <v>0</v>
      </c>
      <c r="J4811" s="11"/>
      <c r="K4811" s="12">
        <v>0</v>
      </c>
      <c r="L4811" s="10" t="str">
        <f t="shared" si="498"/>
        <v>AE dialoghi di tempo fiducia e cura episodi 2-3-4</v>
      </c>
      <c r="M4811" s="10" t="str">
        <f t="shared" si="499"/>
        <v>nicoletta.vozza@crm.otsuka-europe.com</v>
      </c>
      <c r="N4811" s="13">
        <v>46181.338043981479</v>
      </c>
      <c r="O4811" s="14" t="str">
        <f>HYPERLINK("https://otsuka-europe-crm.veevavault.com/ui/#object/email_activity__v/V8C00000003P751", "EN-002091049")</f>
        <v>EN-002091049</v>
      </c>
    </row>
    <row r="4812" spans="1:15" ht="32" x14ac:dyDescent="0.2">
      <c r="A4812" s="7" t="str">
        <f>HYPERLINK("https://otsuka-europe-crm.veevavault.com/ui/#object/account__v/V4TZ06G6O71SCJ8", "RAFFAELLA TALLARIDA")</f>
        <v>RAFFAELLA TALLARIDA</v>
      </c>
      <c r="B4812" s="7" t="str">
        <f t="shared" si="496"/>
        <v>IT</v>
      </c>
      <c r="C4812" s="8" t="s">
        <v>44</v>
      </c>
      <c r="D4812" s="9" t="str">
        <f t="shared" si="497"/>
        <v>AE dialoghi di tempo fiducia e cura episodi 2-3-4</v>
      </c>
      <c r="E4812" s="10" t="str">
        <f>HYPERLINK("https://otsuka-europe-crm.veevavault.com/ui/#object/sent_email__v/VBL00000002P968", "SE-001433638")</f>
        <v>SE-001433638</v>
      </c>
      <c r="F4812" s="11"/>
      <c r="G4812" s="12">
        <v>0</v>
      </c>
      <c r="H4812" s="12">
        <v>0</v>
      </c>
      <c r="I4812" s="12">
        <v>0</v>
      </c>
      <c r="J4812" s="11"/>
      <c r="K4812" s="12">
        <v>0</v>
      </c>
      <c r="L4812" s="10" t="str">
        <f t="shared" si="498"/>
        <v>AE dialoghi di tempo fiducia e cura episodi 2-3-4</v>
      </c>
      <c r="M4812" s="10" t="str">
        <f t="shared" si="499"/>
        <v>nicoletta.vozza@crm.otsuka-europe.com</v>
      </c>
      <c r="N4812" s="13">
        <v>46181.337962962964</v>
      </c>
      <c r="O4812" s="14" t="str">
        <f>HYPERLINK("https://otsuka-europe-crm.veevavault.com/ui/#object/email_activity__v/V8C00000003P203", "EN-002089649")</f>
        <v>EN-002089649</v>
      </c>
    </row>
    <row r="4813" spans="1:15" ht="32" x14ac:dyDescent="0.2">
      <c r="A4813" s="7" t="str">
        <f>HYPERLINK("https://otsuka-europe-crm.veevavault.com/ui/#object/account__v/V4TZ06G6OB48WQO", "RAIMONDO VENANZINI")</f>
        <v>RAIMONDO VENANZINI</v>
      </c>
      <c r="B4813" s="7" t="str">
        <f t="shared" si="496"/>
        <v>IT</v>
      </c>
      <c r="C4813" s="8" t="s">
        <v>44</v>
      </c>
      <c r="D4813" s="9" t="str">
        <f t="shared" si="497"/>
        <v>AE dialoghi di tempo fiducia e cura episodi 2-3-4</v>
      </c>
      <c r="E4813" s="10" t="str">
        <f>HYPERLINK("https://otsuka-europe-crm.veevavault.com/ui/#object/sent_email__v/VBL00000002P969", "SE-001433639")</f>
        <v>SE-001433639</v>
      </c>
      <c r="F4813" s="11"/>
      <c r="G4813" s="12">
        <v>0</v>
      </c>
      <c r="H4813" s="12">
        <v>0</v>
      </c>
      <c r="I4813" s="12">
        <v>0</v>
      </c>
      <c r="J4813" s="11"/>
      <c r="K4813" s="12">
        <v>0</v>
      </c>
      <c r="L4813" s="10" t="str">
        <f t="shared" si="498"/>
        <v>AE dialoghi di tempo fiducia e cura episodi 2-3-4</v>
      </c>
      <c r="M4813" s="10" t="str">
        <f t="shared" si="499"/>
        <v>nicoletta.vozza@crm.otsuka-europe.com</v>
      </c>
      <c r="N4813" s="13">
        <v>46181.338090277779</v>
      </c>
      <c r="O4813" s="14" t="str">
        <f>HYPERLINK("https://otsuka-europe-crm.veevavault.com/ui/#object/email_activity__v/V8C00000003O803", "EN-002090463")</f>
        <v>EN-002090463</v>
      </c>
    </row>
    <row r="4814" spans="1:15" ht="32" x14ac:dyDescent="0.2">
      <c r="A4814" s="7" t="str">
        <f>HYPERLINK("https://otsuka-europe-crm.veevavault.com/ui/#object/account__v/V4TZ025E85BUNS3", "REBECCA SILVESTRO")</f>
        <v>REBECCA SILVESTRO</v>
      </c>
      <c r="B4814" s="7" t="str">
        <f t="shared" si="496"/>
        <v>IT</v>
      </c>
      <c r="C4814" s="8" t="s">
        <v>44</v>
      </c>
      <c r="D4814" s="9" t="str">
        <f t="shared" si="497"/>
        <v>AE dialoghi di tempo fiducia e cura episodi 2-3-4</v>
      </c>
      <c r="E4814" s="10" t="str">
        <f>HYPERLINK("https://otsuka-europe-crm.veevavault.com/ui/#object/sent_email__v/VBL00000002P970", "SE-001433640")</f>
        <v>SE-001433640</v>
      </c>
      <c r="F4814" s="11"/>
      <c r="G4814" s="12">
        <v>0</v>
      </c>
      <c r="H4814" s="12">
        <v>0</v>
      </c>
      <c r="I4814" s="12">
        <v>0</v>
      </c>
      <c r="J4814" s="11"/>
      <c r="K4814" s="12">
        <v>0</v>
      </c>
      <c r="L4814" s="10" t="str">
        <f t="shared" si="498"/>
        <v>AE dialoghi di tempo fiducia e cura episodi 2-3-4</v>
      </c>
      <c r="M4814" s="10" t="str">
        <f t="shared" si="499"/>
        <v>nicoletta.vozza@crm.otsuka-europe.com</v>
      </c>
      <c r="N4814" s="13">
        <v>46181.33797453704</v>
      </c>
      <c r="O4814" s="14" t="str">
        <f>HYPERLINK("https://otsuka-europe-crm.veevavault.com/ui/#object/email_activity__v/V8C00000003O347", "EN-002089865")</f>
        <v>EN-002089865</v>
      </c>
    </row>
    <row r="4815" spans="1:15" ht="32" x14ac:dyDescent="0.2">
      <c r="A4815" s="7" t="str">
        <f>HYPERLINK("https://otsuka-europe-crm.veevavault.com/ui/#object/account__v/V4TZ025E86H61DS", "REMO TRAMONTI")</f>
        <v>REMO TRAMONTI</v>
      </c>
      <c r="B4815" s="7" t="str">
        <f t="shared" si="496"/>
        <v>IT</v>
      </c>
      <c r="C4815" s="8" t="s">
        <v>44</v>
      </c>
      <c r="D4815" s="9" t="str">
        <f t="shared" si="497"/>
        <v>AE dialoghi di tempo fiducia e cura episodi 2-3-4</v>
      </c>
      <c r="E4815" s="10" t="str">
        <f>HYPERLINK("https://otsuka-europe-crm.veevavault.com/ui/#object/sent_email__v/VBL00000002P971", "SE-001433641")</f>
        <v>SE-001433641</v>
      </c>
      <c r="F4815" s="11"/>
      <c r="G4815" s="12">
        <v>0</v>
      </c>
      <c r="H4815" s="12">
        <v>0</v>
      </c>
      <c r="I4815" s="12">
        <v>0</v>
      </c>
      <c r="J4815" s="11"/>
      <c r="K4815" s="12">
        <v>0</v>
      </c>
      <c r="L4815" s="10" t="str">
        <f t="shared" si="498"/>
        <v>AE dialoghi di tempo fiducia e cura episodi 2-3-4</v>
      </c>
      <c r="M4815" s="10" t="str">
        <f t="shared" si="499"/>
        <v>nicoletta.vozza@crm.otsuka-europe.com</v>
      </c>
      <c r="N4815" s="13">
        <v>46181.338009259256</v>
      </c>
      <c r="O4815" s="14" t="str">
        <f>HYPERLINK("https://otsuka-europe-crm.veevavault.com/ui/#object/email_activity__v/V8C00000003O367", "EN-002089885")</f>
        <v>EN-002089885</v>
      </c>
    </row>
    <row r="4816" spans="1:15" ht="16" x14ac:dyDescent="0.2">
      <c r="A4816" s="17" t="str">
        <f>HYPERLINK("https://otsuka-europe-crm.veevavault.com/ui/#object/account__v/V4TZ06G6O71S9ZV", "RENATO BELLINELLO")</f>
        <v>RENATO BELLINELLO</v>
      </c>
      <c r="B4816" s="17" t="str">
        <f t="shared" si="496"/>
        <v>IT</v>
      </c>
      <c r="C4816" s="20" t="s">
        <v>44</v>
      </c>
      <c r="D4816" s="21" t="str">
        <f t="shared" si="497"/>
        <v>AE dialoghi di tempo fiducia e cura episodi 2-3-4</v>
      </c>
      <c r="E4816" s="22" t="str">
        <f>HYPERLINK("https://otsuka-europe-crm.veevavault.com/ui/#object/sent_email__v/VBL00000002P972", "SE-001433642")</f>
        <v>SE-001433642</v>
      </c>
      <c r="F4816" s="25"/>
      <c r="G4816" s="24">
        <v>0</v>
      </c>
      <c r="H4816" s="24">
        <v>0</v>
      </c>
      <c r="I4816" s="24">
        <v>0</v>
      </c>
      <c r="J4816" s="25"/>
      <c r="K4816" s="24">
        <v>0</v>
      </c>
      <c r="L4816" s="22" t="str">
        <f t="shared" si="498"/>
        <v>AE dialoghi di tempo fiducia e cura episodi 2-3-4</v>
      </c>
      <c r="M4816" s="22" t="str">
        <f t="shared" si="499"/>
        <v>nicoletta.vozza@crm.otsuka-europe.com</v>
      </c>
      <c r="N4816" s="23">
        <v>46181.338078703702</v>
      </c>
      <c r="O4816" s="14" t="str">
        <f>HYPERLINK("https://otsuka-europe-crm.veevavault.com/ui/#object/email_activity__v/V8C00000003O902", "EN-002090505")</f>
        <v>EN-002090505</v>
      </c>
    </row>
    <row r="4817" spans="1:15" ht="16" x14ac:dyDescent="0.2">
      <c r="A4817" s="18"/>
      <c r="B4817" s="18"/>
      <c r="C4817" s="18"/>
      <c r="D4817" s="18"/>
      <c r="E4817" s="18"/>
      <c r="F4817" s="18"/>
      <c r="G4817" s="18"/>
      <c r="H4817" s="18"/>
      <c r="I4817" s="18"/>
      <c r="J4817" s="18"/>
      <c r="K4817" s="18"/>
      <c r="L4817" s="18"/>
      <c r="M4817" s="18"/>
      <c r="N4817" s="18"/>
      <c r="O4817" s="14" t="str">
        <f>HYPERLINK("https://otsuka-europe-crm.veevavault.com/ui/#object/email_activity__v/V8C00000003P897", "EN-002091427")</f>
        <v>EN-002091427</v>
      </c>
    </row>
    <row r="4818" spans="1:15" ht="16" x14ac:dyDescent="0.2">
      <c r="A4818" s="18"/>
      <c r="B4818" s="18"/>
      <c r="C4818" s="18"/>
      <c r="D4818" s="18"/>
      <c r="E4818" s="18"/>
      <c r="F4818" s="18"/>
      <c r="G4818" s="18"/>
      <c r="H4818" s="18"/>
      <c r="I4818" s="18"/>
      <c r="J4818" s="18"/>
      <c r="K4818" s="18"/>
      <c r="L4818" s="18"/>
      <c r="M4818" s="18"/>
      <c r="N4818" s="18"/>
      <c r="O4818" s="14" t="str">
        <f>HYPERLINK("https://otsuka-europe-crm.veevavault.com/ui/#object/email_activity__v/V8C00000003T453", "EN-002094525")</f>
        <v>EN-002094525</v>
      </c>
    </row>
    <row r="4819" spans="1:15" ht="16" x14ac:dyDescent="0.2">
      <c r="A4819" s="19"/>
      <c r="B4819" s="19"/>
      <c r="C4819" s="19"/>
      <c r="D4819" s="19"/>
      <c r="E4819" s="19"/>
      <c r="F4819" s="19"/>
      <c r="G4819" s="19"/>
      <c r="H4819" s="19"/>
      <c r="I4819" s="19"/>
      <c r="J4819" s="19"/>
      <c r="K4819" s="19"/>
      <c r="L4819" s="19"/>
      <c r="M4819" s="19"/>
      <c r="N4819" s="19"/>
      <c r="O4819" s="14" t="str">
        <f>HYPERLINK("https://otsuka-europe-crm.veevavault.com/ui/#object/email_activity__v/V8C000000042281", "EN-002100269")</f>
        <v>EN-002100269</v>
      </c>
    </row>
    <row r="4820" spans="1:15" ht="16" x14ac:dyDescent="0.2">
      <c r="A4820" s="17" t="str">
        <f>HYPERLINK("https://otsuka-europe-crm.veevavault.com/ui/#object/account__v/V4TZ06G6O71SAAW", "RENATO DELLI VENERI")</f>
        <v>RENATO DELLI VENERI</v>
      </c>
      <c r="B4820" s="17" t="str">
        <f>HYPERLINK("https://otsuka-europe-crm.veevavault.com/ui/#object/vcountry__v/VENZ000004SONFQ", "IT")</f>
        <v>IT</v>
      </c>
      <c r="C4820" s="20" t="s">
        <v>44</v>
      </c>
      <c r="D4820" s="21" t="str">
        <f>HYPERLINK("https://otsuka-europe-crm.veevavault.com/ui/#object/approved_document__v/V5O000000018003", "AE dialoghi di tempo fiducia e cura episodi 2-3-4")</f>
        <v>AE dialoghi di tempo fiducia e cura episodi 2-3-4</v>
      </c>
      <c r="E4820" s="22" t="str">
        <f>HYPERLINK("https://otsuka-europe-crm.veevavault.com/ui/#object/sent_email__v/VBL00000002P973", "SE-001433643")</f>
        <v>SE-001433643</v>
      </c>
      <c r="F4820" s="25"/>
      <c r="G4820" s="24">
        <v>0</v>
      </c>
      <c r="H4820" s="24">
        <v>0</v>
      </c>
      <c r="I4820" s="24">
        <v>0</v>
      </c>
      <c r="J4820" s="25"/>
      <c r="K4820" s="24">
        <v>0</v>
      </c>
      <c r="L4820" s="22" t="str">
        <f>HYPERLINK("https://otsuka-europe-crm.veevavault.com/ui/#object/approved_document__v/V5O000000018003", "AE dialoghi di tempo fiducia e cura episodi 2-3-4")</f>
        <v>AE dialoghi di tempo fiducia e cura episodi 2-3-4</v>
      </c>
      <c r="M4820" s="22" t="str">
        <f>HYPERLINK("mailto:nicoletta.vozza@crm.otsuka-europe.com", "nicoletta.vozza@crm.otsuka-europe.com")</f>
        <v>nicoletta.vozza@crm.otsuka-europe.com</v>
      </c>
      <c r="N4820" s="23">
        <v>46181.338020833333</v>
      </c>
      <c r="O4820" s="14" t="str">
        <f>HYPERLINK("https://otsuka-europe-crm.veevavault.com/ui/#object/email_activity__v/V8C00000003P466", "EN-002090655")</f>
        <v>EN-002090655</v>
      </c>
    </row>
    <row r="4821" spans="1:15" ht="16" x14ac:dyDescent="0.2">
      <c r="A4821" s="18"/>
      <c r="B4821" s="18"/>
      <c r="C4821" s="18"/>
      <c r="D4821" s="18"/>
      <c r="E4821" s="18"/>
      <c r="F4821" s="18"/>
      <c r="G4821" s="18"/>
      <c r="H4821" s="18"/>
      <c r="I4821" s="18"/>
      <c r="J4821" s="18"/>
      <c r="K4821" s="18"/>
      <c r="L4821" s="18"/>
      <c r="M4821" s="18"/>
      <c r="N4821" s="18"/>
      <c r="O4821" s="14" t="str">
        <f>HYPERLINK("https://otsuka-europe-crm.veevavault.com/ui/#object/email_activity__v/V8C00000003P934", "EN-002091510")</f>
        <v>EN-002091510</v>
      </c>
    </row>
    <row r="4822" spans="1:15" ht="16" x14ac:dyDescent="0.2">
      <c r="A4822" s="19"/>
      <c r="B4822" s="19"/>
      <c r="C4822" s="19"/>
      <c r="D4822" s="19"/>
      <c r="E4822" s="19"/>
      <c r="F4822" s="19"/>
      <c r="G4822" s="19"/>
      <c r="H4822" s="19"/>
      <c r="I4822" s="19"/>
      <c r="J4822" s="19"/>
      <c r="K4822" s="19"/>
      <c r="L4822" s="19"/>
      <c r="M4822" s="19"/>
      <c r="N4822" s="19"/>
      <c r="O4822" s="14" t="str">
        <f>HYPERLINK("https://otsuka-europe-crm.veevavault.com/ui/#object/email_activity__v/V8C00000003Q341", "EN-002091517")</f>
        <v>EN-002091517</v>
      </c>
    </row>
    <row r="4823" spans="1:15" ht="32" x14ac:dyDescent="0.2">
      <c r="A4823" s="7" t="str">
        <f>HYPERLINK("https://otsuka-europe-crm.veevavault.com/ui/#object/account__v/V4TZ06G6O71SATY", "RENATO DONISI")</f>
        <v>RENATO DONISI</v>
      </c>
      <c r="B4823" s="7" t="str">
        <f>HYPERLINK("https://otsuka-europe-crm.veevavault.com/ui/#object/vcountry__v/VENZ000004SONFQ", "IT")</f>
        <v>IT</v>
      </c>
      <c r="C4823" s="8" t="s">
        <v>44</v>
      </c>
      <c r="D4823" s="9" t="str">
        <f>HYPERLINK("https://otsuka-europe-crm.veevavault.com/ui/#object/approved_document__v/V5O000000018003", "AE dialoghi di tempo fiducia e cura episodi 2-3-4")</f>
        <v>AE dialoghi di tempo fiducia e cura episodi 2-3-4</v>
      </c>
      <c r="E4823" s="10" t="str">
        <f>HYPERLINK("https://otsuka-europe-crm.veevavault.com/ui/#object/sent_email__v/VBL00000002P974", "SE-001433644")</f>
        <v>SE-001433644</v>
      </c>
      <c r="F4823" s="11"/>
      <c r="G4823" s="12">
        <v>0</v>
      </c>
      <c r="H4823" s="12">
        <v>0</v>
      </c>
      <c r="I4823" s="12">
        <v>0</v>
      </c>
      <c r="J4823" s="11"/>
      <c r="K4823" s="12">
        <v>0</v>
      </c>
      <c r="L4823" s="10" t="str">
        <f>HYPERLINK("https://otsuka-europe-crm.veevavault.com/ui/#object/approved_document__v/V5O000000018003", "AE dialoghi di tempo fiducia e cura episodi 2-3-4")</f>
        <v>AE dialoghi di tempo fiducia e cura episodi 2-3-4</v>
      </c>
      <c r="M4823" s="10" t="str">
        <f>HYPERLINK("mailto:nicoletta.vozza@crm.otsuka-europe.com", "nicoletta.vozza@crm.otsuka-europe.com")</f>
        <v>nicoletta.vozza@crm.otsuka-europe.com</v>
      </c>
      <c r="N4823" s="13">
        <v>46181.338009259256</v>
      </c>
      <c r="O4823" s="14" t="str">
        <f>HYPERLINK("https://otsuka-europe-crm.veevavault.com/ui/#object/email_activity__v/V8C00000003O625", "EN-002090181")</f>
        <v>EN-002090181</v>
      </c>
    </row>
    <row r="4824" spans="1:15" ht="32" x14ac:dyDescent="0.2">
      <c r="A4824" s="7" t="str">
        <f>HYPERLINK("https://otsuka-europe-crm.veevavault.com/ui/#object/account__v/V4TZ06G6O71TFY2", "RENATO PROIETTI")</f>
        <v>RENATO PROIETTI</v>
      </c>
      <c r="B4824" s="7" t="str">
        <f>HYPERLINK("https://otsuka-europe-crm.veevavault.com/ui/#object/vcountry__v/VENZ000004SONFQ", "IT")</f>
        <v>IT</v>
      </c>
      <c r="C4824" s="8" t="s">
        <v>44</v>
      </c>
      <c r="D4824" s="9" t="str">
        <f>HYPERLINK("https://otsuka-europe-crm.veevavault.com/ui/#object/approved_document__v/V5O000000018003", "AE dialoghi di tempo fiducia e cura episodi 2-3-4")</f>
        <v>AE dialoghi di tempo fiducia e cura episodi 2-3-4</v>
      </c>
      <c r="E4824" s="10" t="str">
        <f>HYPERLINK("https://otsuka-europe-crm.veevavault.com/ui/#object/sent_email__v/VBL00000002P975", "SE-001433645")</f>
        <v>SE-001433645</v>
      </c>
      <c r="F4824" s="11"/>
      <c r="G4824" s="12">
        <v>0</v>
      </c>
      <c r="H4824" s="12">
        <v>0</v>
      </c>
      <c r="I4824" s="12">
        <v>0</v>
      </c>
      <c r="J4824" s="11"/>
      <c r="K4824" s="12">
        <v>0</v>
      </c>
      <c r="L4824" s="10" t="str">
        <f>HYPERLINK("https://otsuka-europe-crm.veevavault.com/ui/#object/approved_document__v/V5O000000018003", "AE dialoghi di tempo fiducia e cura episodi 2-3-4")</f>
        <v>AE dialoghi di tempo fiducia e cura episodi 2-3-4</v>
      </c>
      <c r="M4824" s="10" t="str">
        <f>HYPERLINK("mailto:nicoletta.vozza@crm.otsuka-europe.com", "nicoletta.vozza@crm.otsuka-europe.com")</f>
        <v>nicoletta.vozza@crm.otsuka-europe.com</v>
      </c>
      <c r="N4824" s="13">
        <v>46181.338020833333</v>
      </c>
      <c r="O4824" s="14" t="str">
        <f>HYPERLINK("https://otsuka-europe-crm.veevavault.com/ui/#object/email_activity__v/V8C00000003O376", "EN-002089894")</f>
        <v>EN-002089894</v>
      </c>
    </row>
    <row r="4825" spans="1:15" ht="16" x14ac:dyDescent="0.2">
      <c r="A4825" s="17" t="str">
        <f>HYPERLINK("https://otsuka-europe-crm.veevavault.com/ui/#object/account__v/V4TZ06G6O71SBTW", "RENZO PANICCIA")</f>
        <v>RENZO PANICCIA</v>
      </c>
      <c r="B4825" s="17" t="str">
        <f>HYPERLINK("https://otsuka-europe-crm.veevavault.com/ui/#object/vcountry__v/VENZ000004SONFQ", "IT")</f>
        <v>IT</v>
      </c>
      <c r="C4825" s="20" t="s">
        <v>44</v>
      </c>
      <c r="D4825" s="21" t="str">
        <f>HYPERLINK("https://otsuka-europe-crm.veevavault.com/ui/#object/approved_document__v/V5O000000018003", "AE dialoghi di tempo fiducia e cura episodi 2-3-4")</f>
        <v>AE dialoghi di tempo fiducia e cura episodi 2-3-4</v>
      </c>
      <c r="E4825" s="22" t="str">
        <f>HYPERLINK("https://otsuka-europe-crm.veevavault.com/ui/#object/sent_email__v/VBL00000002P976", "SE-001433646")</f>
        <v>SE-001433646</v>
      </c>
      <c r="F4825" s="23">
        <v>46181.390856481485</v>
      </c>
      <c r="G4825" s="24">
        <v>1</v>
      </c>
      <c r="H4825" s="24">
        <v>1</v>
      </c>
      <c r="I4825" s="24">
        <v>0</v>
      </c>
      <c r="J4825" s="25"/>
      <c r="K4825" s="24">
        <v>0</v>
      </c>
      <c r="L4825" s="22" t="str">
        <f>HYPERLINK("https://otsuka-europe-crm.veevavault.com/ui/#object/approved_document__v/V5O000000018003", "AE dialoghi di tempo fiducia e cura episodi 2-3-4")</f>
        <v>AE dialoghi di tempo fiducia e cura episodi 2-3-4</v>
      </c>
      <c r="M4825" s="22" t="str">
        <f>HYPERLINK("mailto:nicoletta.vozza@crm.otsuka-europe.com", "nicoletta.vozza@crm.otsuka-europe.com")</f>
        <v>nicoletta.vozza@crm.otsuka-europe.com</v>
      </c>
      <c r="N4825" s="23">
        <v>46181.338090277779</v>
      </c>
      <c r="O4825" s="14" t="str">
        <f>HYPERLINK("https://otsuka-europe-crm.veevavault.com/ui/#object/email_activity__v/V8C00000003O897", "EN-002090500")</f>
        <v>EN-002090500</v>
      </c>
    </row>
    <row r="4826" spans="1:15" ht="16" x14ac:dyDescent="0.2">
      <c r="A4826" s="19"/>
      <c r="B4826" s="19"/>
      <c r="C4826" s="19"/>
      <c r="D4826" s="19"/>
      <c r="E4826" s="19"/>
      <c r="F4826" s="19"/>
      <c r="G4826" s="19"/>
      <c r="H4826" s="19"/>
      <c r="I4826" s="19"/>
      <c r="J4826" s="19"/>
      <c r="K4826" s="19"/>
      <c r="L4826" s="19"/>
      <c r="M4826" s="19"/>
      <c r="N4826" s="19"/>
      <c r="O4826" s="14" t="str">
        <f>HYPERLINK("https://otsuka-europe-crm.veevavault.com/ui/#object/email_activity__v/V8C00000003Q483", "EN-002091730")</f>
        <v>EN-002091730</v>
      </c>
    </row>
    <row r="4827" spans="1:15" ht="32" x14ac:dyDescent="0.2">
      <c r="A4827" s="7" t="str">
        <f>HYPERLINK("https://otsuka-europe-crm.veevavault.com/ui/#object/account__v/V4TZ06G6OB48HIR", "RICCARDO CHIAVETTA")</f>
        <v>RICCARDO CHIAVETTA</v>
      </c>
      <c r="B4827" s="7" t="str">
        <f>HYPERLINK("https://otsuka-europe-crm.veevavault.com/ui/#object/vcountry__v/VENZ000004SONFQ", "IT")</f>
        <v>IT</v>
      </c>
      <c r="C4827" s="8" t="s">
        <v>44</v>
      </c>
      <c r="D4827" s="9" t="str">
        <f>HYPERLINK("https://otsuka-europe-crm.veevavault.com/ui/#object/approved_document__v/V5O000000018003", "AE dialoghi di tempo fiducia e cura episodi 2-3-4")</f>
        <v>AE dialoghi di tempo fiducia e cura episodi 2-3-4</v>
      </c>
      <c r="E4827" s="10" t="str">
        <f>HYPERLINK("https://otsuka-europe-crm.veevavault.com/ui/#object/sent_email__v/VBL00000002P977", "SE-001433647")</f>
        <v>SE-001433647</v>
      </c>
      <c r="F4827" s="11"/>
      <c r="G4827" s="12">
        <v>0</v>
      </c>
      <c r="H4827" s="12">
        <v>0</v>
      </c>
      <c r="I4827" s="12">
        <v>0</v>
      </c>
      <c r="J4827" s="11"/>
      <c r="K4827" s="12">
        <v>0</v>
      </c>
      <c r="L4827" s="10" t="str">
        <f>HYPERLINK("https://otsuka-europe-crm.veevavault.com/ui/#object/approved_document__v/V5O000000018003", "AE dialoghi di tempo fiducia e cura episodi 2-3-4")</f>
        <v>AE dialoghi di tempo fiducia e cura episodi 2-3-4</v>
      </c>
      <c r="M4827" s="10" t="str">
        <f>HYPERLINK("mailto:nicoletta.vozza@crm.otsuka-europe.com", "nicoletta.vozza@crm.otsuka-europe.com")</f>
        <v>nicoletta.vozza@crm.otsuka-europe.com</v>
      </c>
      <c r="N4827" s="13">
        <v>46181.337962962964</v>
      </c>
      <c r="O4827" s="14" t="str">
        <f>HYPERLINK("https://otsuka-europe-crm.veevavault.com/ui/#object/email_activity__v/V8C00000003P391", "EN-002090397")</f>
        <v>EN-002090397</v>
      </c>
    </row>
    <row r="4828" spans="1:15" ht="32" x14ac:dyDescent="0.2">
      <c r="A4828" s="7" t="str">
        <f>HYPERLINK("https://otsuka-europe-crm.veevavault.com/ui/#object/account__v/V4TZ06G6O71SB2I", "RICCARDO COLTRINARI")</f>
        <v>RICCARDO COLTRINARI</v>
      </c>
      <c r="B4828" s="7" t="str">
        <f>HYPERLINK("https://otsuka-europe-crm.veevavault.com/ui/#object/vcountry__v/VENZ000004SONFQ", "IT")</f>
        <v>IT</v>
      </c>
      <c r="C4828" s="8" t="s">
        <v>44</v>
      </c>
      <c r="D4828" s="9" t="str">
        <f>HYPERLINK("https://otsuka-europe-crm.veevavault.com/ui/#object/approved_document__v/V5O000000018003", "AE dialoghi di tempo fiducia e cura episodi 2-3-4")</f>
        <v>AE dialoghi di tempo fiducia e cura episodi 2-3-4</v>
      </c>
      <c r="E4828" s="10" t="str">
        <f>HYPERLINK("https://otsuka-europe-crm.veevavault.com/ui/#object/sent_email__v/VBL00000002P978", "SE-001433648")</f>
        <v>SE-001433648</v>
      </c>
      <c r="F4828" s="11"/>
      <c r="G4828" s="12">
        <v>0</v>
      </c>
      <c r="H4828" s="12">
        <v>0</v>
      </c>
      <c r="I4828" s="12">
        <v>0</v>
      </c>
      <c r="J4828" s="11"/>
      <c r="K4828" s="12">
        <v>0</v>
      </c>
      <c r="L4828" s="10" t="str">
        <f>HYPERLINK("https://otsuka-europe-crm.veevavault.com/ui/#object/approved_document__v/V5O000000018003", "AE dialoghi di tempo fiducia e cura episodi 2-3-4")</f>
        <v>AE dialoghi di tempo fiducia e cura episodi 2-3-4</v>
      </c>
      <c r="M4828" s="10" t="str">
        <f>HYPERLINK("mailto:nicoletta.vozza@crm.otsuka-europe.com", "nicoletta.vozza@crm.otsuka-europe.com")</f>
        <v>nicoletta.vozza@crm.otsuka-europe.com</v>
      </c>
      <c r="N4828" s="13">
        <v>46181.339097222219</v>
      </c>
      <c r="O4828" s="14" t="str">
        <f>HYPERLINK("https://otsuka-europe-crm.veevavault.com/ui/#object/email_activity__v/V8C00000003Q271", "EN-002091389")</f>
        <v>EN-002091389</v>
      </c>
    </row>
    <row r="4829" spans="1:15" ht="32" x14ac:dyDescent="0.2">
      <c r="A4829" s="7" t="str">
        <f>HYPERLINK("https://otsuka-europe-crm.veevavault.com/ui/#object/account__v/V4TZ04ASGB04HG5", "RICCARDO DALL'OLIO")</f>
        <v>RICCARDO DALL'OLIO</v>
      </c>
      <c r="B4829" s="7" t="str">
        <f>HYPERLINK("https://otsuka-europe-crm.veevavault.com/ui/#object/vcountry__v/VENZ000004SONFQ", "IT")</f>
        <v>IT</v>
      </c>
      <c r="C4829" s="8" t="s">
        <v>44</v>
      </c>
      <c r="D4829" s="9" t="str">
        <f>HYPERLINK("https://otsuka-europe-crm.veevavault.com/ui/#object/approved_document__v/V5O000000018003", "AE dialoghi di tempo fiducia e cura episodi 2-3-4")</f>
        <v>AE dialoghi di tempo fiducia e cura episodi 2-3-4</v>
      </c>
      <c r="E4829" s="10" t="str">
        <f>HYPERLINK("https://otsuka-europe-crm.veevavault.com/ui/#object/sent_email__v/VBL00000002P979", "SE-001433649")</f>
        <v>SE-001433649</v>
      </c>
      <c r="F4829" s="11"/>
      <c r="G4829" s="12">
        <v>0</v>
      </c>
      <c r="H4829" s="12">
        <v>0</v>
      </c>
      <c r="I4829" s="12">
        <v>0</v>
      </c>
      <c r="J4829" s="11"/>
      <c r="K4829" s="12">
        <v>0</v>
      </c>
      <c r="L4829" s="10" t="str">
        <f>HYPERLINK("https://otsuka-europe-crm.veevavault.com/ui/#object/approved_document__v/V5O000000018003", "AE dialoghi di tempo fiducia e cura episodi 2-3-4")</f>
        <v>AE dialoghi di tempo fiducia e cura episodi 2-3-4</v>
      </c>
      <c r="M4829" s="10" t="str">
        <f>HYPERLINK("mailto:nicoletta.vozza@crm.otsuka-europe.com", "nicoletta.vozza@crm.otsuka-europe.com")</f>
        <v>nicoletta.vozza@crm.otsuka-europe.com</v>
      </c>
      <c r="N4829" s="13">
        <v>46181.338055555556</v>
      </c>
      <c r="O4829" s="14" t="str">
        <f>HYPERLINK("https://otsuka-europe-crm.veevavault.com/ui/#object/email_activity__v/V8C00000003Q104", "EN-002091169")</f>
        <v>EN-002091169</v>
      </c>
    </row>
    <row r="4830" spans="1:15" ht="16" x14ac:dyDescent="0.2">
      <c r="A4830" s="17" t="str">
        <f>HYPERLINK("https://otsuka-europe-crm.veevavault.com/ui/#object/account__v/V4TZ06G6O71SB3G", "RICCARDO GIONFRIDDO")</f>
        <v>RICCARDO GIONFRIDDO</v>
      </c>
      <c r="B4830" s="17" t="str">
        <f>HYPERLINK("https://otsuka-europe-crm.veevavault.com/ui/#object/vcountry__v/VENZ000004SONFQ", "IT")</f>
        <v>IT</v>
      </c>
      <c r="C4830" s="20" t="s">
        <v>44</v>
      </c>
      <c r="D4830" s="21" t="str">
        <f>HYPERLINK("https://otsuka-europe-crm.veevavault.com/ui/#object/approved_document__v/V5O000000018003", "AE dialoghi di tempo fiducia e cura episodi 2-3-4")</f>
        <v>AE dialoghi di tempo fiducia e cura episodi 2-3-4</v>
      </c>
      <c r="E4830" s="22" t="str">
        <f>HYPERLINK("https://otsuka-europe-crm.veevavault.com/ui/#object/sent_email__v/VBL00000002P980", "SE-001433650")</f>
        <v>SE-001433650</v>
      </c>
      <c r="F4830" s="23">
        <v>46181.880925925929</v>
      </c>
      <c r="G4830" s="24">
        <v>1</v>
      </c>
      <c r="H4830" s="24">
        <v>1</v>
      </c>
      <c r="I4830" s="24">
        <v>0</v>
      </c>
      <c r="J4830" s="25"/>
      <c r="K4830" s="24">
        <v>0</v>
      </c>
      <c r="L4830" s="22" t="str">
        <f>HYPERLINK("https://otsuka-europe-crm.veevavault.com/ui/#object/approved_document__v/V5O000000018003", "AE dialoghi di tempo fiducia e cura episodi 2-3-4")</f>
        <v>AE dialoghi di tempo fiducia e cura episodi 2-3-4</v>
      </c>
      <c r="M4830" s="22" t="str">
        <f>HYPERLINK("mailto:nicoletta.vozza@crm.otsuka-europe.com", "nicoletta.vozza@crm.otsuka-europe.com")</f>
        <v>nicoletta.vozza@crm.otsuka-europe.com</v>
      </c>
      <c r="N4830" s="23">
        <v>46181.338055555556</v>
      </c>
      <c r="O4830" s="14" t="str">
        <f>HYPERLINK("https://otsuka-europe-crm.veevavault.com/ui/#object/email_activity__v/V8C00000003O847", "EN-002090548")</f>
        <v>EN-002090548</v>
      </c>
    </row>
    <row r="4831" spans="1:15" ht="16" x14ac:dyDescent="0.2">
      <c r="A4831" s="19"/>
      <c r="B4831" s="19"/>
      <c r="C4831" s="19"/>
      <c r="D4831" s="19"/>
      <c r="E4831" s="19"/>
      <c r="F4831" s="19"/>
      <c r="G4831" s="19"/>
      <c r="H4831" s="19"/>
      <c r="I4831" s="19"/>
      <c r="J4831" s="19"/>
      <c r="K4831" s="19"/>
      <c r="L4831" s="19"/>
      <c r="M4831" s="19"/>
      <c r="N4831" s="19"/>
      <c r="O4831" s="14" t="str">
        <f>HYPERLINK("https://otsuka-europe-crm.veevavault.com/ui/#object/email_activity__v/V8C00000003Q699", "EN-002092238")</f>
        <v>EN-002092238</v>
      </c>
    </row>
    <row r="4832" spans="1:15" ht="32" x14ac:dyDescent="0.2">
      <c r="A4832" s="7" t="str">
        <f>HYPERLINK("https://otsuka-europe-crm.veevavault.com/ui/#object/account__v/V4TZ04ASG8ML97P", "RICCARDO MATTEO CIONI")</f>
        <v>RICCARDO MATTEO CIONI</v>
      </c>
      <c r="B4832" s="7" t="str">
        <f t="shared" ref="B4832:B4837" si="500">HYPERLINK("https://otsuka-europe-crm.veevavault.com/ui/#object/vcountry__v/VENZ000004SONFQ", "IT")</f>
        <v>IT</v>
      </c>
      <c r="C4832" s="8" t="s">
        <v>44</v>
      </c>
      <c r="D4832" s="9" t="str">
        <f t="shared" ref="D4832:D4837" si="501">HYPERLINK("https://otsuka-europe-crm.veevavault.com/ui/#object/approved_document__v/V5O000000018003", "AE dialoghi di tempo fiducia e cura episodi 2-3-4")</f>
        <v>AE dialoghi di tempo fiducia e cura episodi 2-3-4</v>
      </c>
      <c r="E4832" s="10" t="str">
        <f>HYPERLINK("https://otsuka-europe-crm.veevavault.com/ui/#object/sent_email__v/VBL00000002P981", "SE-001433651")</f>
        <v>SE-001433651</v>
      </c>
      <c r="F4832" s="11"/>
      <c r="G4832" s="12">
        <v>0</v>
      </c>
      <c r="H4832" s="12">
        <v>0</v>
      </c>
      <c r="I4832" s="12">
        <v>0</v>
      </c>
      <c r="J4832" s="11"/>
      <c r="K4832" s="12">
        <v>0</v>
      </c>
      <c r="L4832" s="10" t="str">
        <f t="shared" ref="L4832:L4837" si="502">HYPERLINK("https://otsuka-europe-crm.veevavault.com/ui/#object/approved_document__v/V5O000000018003", "AE dialoghi di tempo fiducia e cura episodi 2-3-4")</f>
        <v>AE dialoghi di tempo fiducia e cura episodi 2-3-4</v>
      </c>
      <c r="M4832" s="10" t="str">
        <f t="shared" ref="M4832:M4837" si="503">HYPERLINK("mailto:nicoletta.vozza@crm.otsuka-europe.com", "nicoletta.vozza@crm.otsuka-europe.com")</f>
        <v>nicoletta.vozza@crm.otsuka-europe.com</v>
      </c>
      <c r="N4832" s="13">
        <v>46181.338078703702</v>
      </c>
      <c r="O4832" s="14" t="str">
        <f>HYPERLINK("https://otsuka-europe-crm.veevavault.com/ui/#object/email_activity__v/V8C00000003P743", "EN-002091041")</f>
        <v>EN-002091041</v>
      </c>
    </row>
    <row r="4833" spans="1:15" ht="32" x14ac:dyDescent="0.2">
      <c r="A4833" s="7" t="str">
        <f>HYPERLINK("https://otsuka-europe-crm.veevavault.com/ui/#object/account__v/V4TZ025E882AS1V", "RICCARDO PARIANO")</f>
        <v>RICCARDO PARIANO</v>
      </c>
      <c r="B4833" s="7" t="str">
        <f t="shared" si="500"/>
        <v>IT</v>
      </c>
      <c r="C4833" s="8" t="s">
        <v>44</v>
      </c>
      <c r="D4833" s="9" t="str">
        <f t="shared" si="501"/>
        <v>AE dialoghi di tempo fiducia e cura episodi 2-3-4</v>
      </c>
      <c r="E4833" s="10" t="str">
        <f>HYPERLINK("https://otsuka-europe-crm.veevavault.com/ui/#object/sent_email__v/VBL00000002P982", "SE-001433652")</f>
        <v>SE-001433652</v>
      </c>
      <c r="F4833" s="11"/>
      <c r="G4833" s="12">
        <v>0</v>
      </c>
      <c r="H4833" s="12">
        <v>0</v>
      </c>
      <c r="I4833" s="12">
        <v>0</v>
      </c>
      <c r="J4833" s="11"/>
      <c r="K4833" s="12">
        <v>0</v>
      </c>
      <c r="L4833" s="10" t="str">
        <f t="shared" si="502"/>
        <v>AE dialoghi di tempo fiducia e cura episodi 2-3-4</v>
      </c>
      <c r="M4833" s="10" t="str">
        <f t="shared" si="503"/>
        <v>nicoletta.vozza@crm.otsuka-europe.com</v>
      </c>
      <c r="N4833" s="13">
        <v>46181.338020833333</v>
      </c>
      <c r="O4833" s="14" t="str">
        <f>HYPERLINK("https://otsuka-europe-crm.veevavault.com/ui/#object/email_activity__v/V8C00000003O523", "EN-002090079")</f>
        <v>EN-002090079</v>
      </c>
    </row>
    <row r="4834" spans="1:15" ht="32" x14ac:dyDescent="0.2">
      <c r="A4834" s="7" t="str">
        <f>HYPERLINK("https://otsuka-europe-crm.veevavault.com/ui/#object/account__v/V4TZ06G6O71SACD", "RICCARDO RUDELLO")</f>
        <v>RICCARDO RUDELLO</v>
      </c>
      <c r="B4834" s="7" t="str">
        <f t="shared" si="500"/>
        <v>IT</v>
      </c>
      <c r="C4834" s="8" t="s">
        <v>44</v>
      </c>
      <c r="D4834" s="9" t="str">
        <f t="shared" si="501"/>
        <v>AE dialoghi di tempo fiducia e cura episodi 2-3-4</v>
      </c>
      <c r="E4834" s="10" t="str">
        <f>HYPERLINK("https://otsuka-europe-crm.veevavault.com/ui/#object/sent_email__v/VBL00000002P983", "SE-001433653")</f>
        <v>SE-001433653</v>
      </c>
      <c r="F4834" s="11"/>
      <c r="G4834" s="12">
        <v>0</v>
      </c>
      <c r="H4834" s="12">
        <v>0</v>
      </c>
      <c r="I4834" s="12">
        <v>0</v>
      </c>
      <c r="J4834" s="11"/>
      <c r="K4834" s="12">
        <v>0</v>
      </c>
      <c r="L4834" s="10" t="str">
        <f t="shared" si="502"/>
        <v>AE dialoghi di tempo fiducia e cura episodi 2-3-4</v>
      </c>
      <c r="M4834" s="10" t="str">
        <f t="shared" si="503"/>
        <v>nicoletta.vozza@crm.otsuka-europe.com</v>
      </c>
      <c r="N4834" s="13">
        <v>46181.33792824074</v>
      </c>
      <c r="O4834" s="15"/>
    </row>
    <row r="4835" spans="1:15" ht="32" x14ac:dyDescent="0.2">
      <c r="A4835" s="7" t="str">
        <f>HYPERLINK("https://otsuka-europe-crm.veevavault.com/ui/#object/account__v/V4TZ06G6O71S9TX", "RICCARDO SABA")</f>
        <v>RICCARDO SABA</v>
      </c>
      <c r="B4835" s="7" t="str">
        <f t="shared" si="500"/>
        <v>IT</v>
      </c>
      <c r="C4835" s="8" t="s">
        <v>44</v>
      </c>
      <c r="D4835" s="9" t="str">
        <f t="shared" si="501"/>
        <v>AE dialoghi di tempo fiducia e cura episodi 2-3-4</v>
      </c>
      <c r="E4835" s="10" t="str">
        <f>HYPERLINK("https://otsuka-europe-crm.veevavault.com/ui/#object/sent_email__v/VBL00000002P984", "SE-001433654")</f>
        <v>SE-001433654</v>
      </c>
      <c r="F4835" s="11"/>
      <c r="G4835" s="12">
        <v>0</v>
      </c>
      <c r="H4835" s="12">
        <v>0</v>
      </c>
      <c r="I4835" s="12">
        <v>0</v>
      </c>
      <c r="J4835" s="11"/>
      <c r="K4835" s="12">
        <v>0</v>
      </c>
      <c r="L4835" s="10" t="str">
        <f t="shared" si="502"/>
        <v>AE dialoghi di tempo fiducia e cura episodi 2-3-4</v>
      </c>
      <c r="M4835" s="10" t="str">
        <f t="shared" si="503"/>
        <v>nicoletta.vozza@crm.otsuka-europe.com</v>
      </c>
      <c r="N4835" s="13">
        <v>46181.338020833333</v>
      </c>
      <c r="O4835" s="14" t="str">
        <f>HYPERLINK("https://otsuka-europe-crm.veevavault.com/ui/#object/email_activity__v/V8C00000003O522", "EN-002090078")</f>
        <v>EN-002090078</v>
      </c>
    </row>
    <row r="4836" spans="1:15" ht="32" x14ac:dyDescent="0.2">
      <c r="A4836" s="7" t="str">
        <f>HYPERLINK("https://otsuka-europe-crm.veevavault.com/ui/#object/account__v/V4TZ06G6O71S9QY", "RICCARDO SANSONETTI")</f>
        <v>RICCARDO SANSONETTI</v>
      </c>
      <c r="B4836" s="7" t="str">
        <f t="shared" si="500"/>
        <v>IT</v>
      </c>
      <c r="C4836" s="8" t="s">
        <v>44</v>
      </c>
      <c r="D4836" s="9" t="str">
        <f t="shared" si="501"/>
        <v>AE dialoghi di tempo fiducia e cura episodi 2-3-4</v>
      </c>
      <c r="E4836" s="10" t="str">
        <f>HYPERLINK("https://otsuka-europe-crm.veevavault.com/ui/#object/sent_email__v/VBL00000002P985", "SE-001433655")</f>
        <v>SE-001433655</v>
      </c>
      <c r="F4836" s="11"/>
      <c r="G4836" s="12">
        <v>0</v>
      </c>
      <c r="H4836" s="12">
        <v>0</v>
      </c>
      <c r="I4836" s="12">
        <v>0</v>
      </c>
      <c r="J4836" s="11"/>
      <c r="K4836" s="12">
        <v>0</v>
      </c>
      <c r="L4836" s="10" t="str">
        <f t="shared" si="502"/>
        <v>AE dialoghi di tempo fiducia e cura episodi 2-3-4</v>
      </c>
      <c r="M4836" s="10" t="str">
        <f t="shared" si="503"/>
        <v>nicoletta.vozza@crm.otsuka-europe.com</v>
      </c>
      <c r="N4836" s="13">
        <v>46181.338020833333</v>
      </c>
      <c r="O4836" s="14" t="str">
        <f>HYPERLINK("https://otsuka-europe-crm.veevavault.com/ui/#object/email_activity__v/V8C00000003Q276", "EN-002091394")</f>
        <v>EN-002091394</v>
      </c>
    </row>
    <row r="4837" spans="1:15" ht="16" x14ac:dyDescent="0.2">
      <c r="A4837" s="17" t="str">
        <f>HYPERLINK("https://otsuka-europe-crm.veevavault.com/ui/#object/account__v/V4TZ04ASG6ZSEBH", "RICCARDO SELLERI")</f>
        <v>RICCARDO SELLERI</v>
      </c>
      <c r="B4837" s="17" t="str">
        <f t="shared" si="500"/>
        <v>IT</v>
      </c>
      <c r="C4837" s="20" t="s">
        <v>44</v>
      </c>
      <c r="D4837" s="21" t="str">
        <f t="shared" si="501"/>
        <v>AE dialoghi di tempo fiducia e cura episodi 2-3-4</v>
      </c>
      <c r="E4837" s="22" t="str">
        <f>HYPERLINK("https://otsuka-europe-crm.veevavault.com/ui/#object/sent_email__v/VBL00000002P986", "SE-001433656")</f>
        <v>SE-001433656</v>
      </c>
      <c r="F4837" s="23">
        <v>46195.112268518518</v>
      </c>
      <c r="G4837" s="24">
        <v>1</v>
      </c>
      <c r="H4837" s="24">
        <v>1</v>
      </c>
      <c r="I4837" s="24">
        <v>0</v>
      </c>
      <c r="J4837" s="25"/>
      <c r="K4837" s="24">
        <v>0</v>
      </c>
      <c r="L4837" s="22" t="str">
        <f t="shared" si="502"/>
        <v>AE dialoghi di tempo fiducia e cura episodi 2-3-4</v>
      </c>
      <c r="M4837" s="22" t="str">
        <f t="shared" si="503"/>
        <v>nicoletta.vozza@crm.otsuka-europe.com</v>
      </c>
      <c r="N4837" s="23">
        <v>46181.33803240741</v>
      </c>
      <c r="O4837" s="14" t="str">
        <f>HYPERLINK("https://otsuka-europe-crm.veevavault.com/ui/#object/email_activity__v/V8C00000003Q027", "EN-002090993")</f>
        <v>EN-002090993</v>
      </c>
    </row>
    <row r="4838" spans="1:15" ht="16" x14ac:dyDescent="0.2">
      <c r="A4838" s="19"/>
      <c r="B4838" s="19"/>
      <c r="C4838" s="19"/>
      <c r="D4838" s="19"/>
      <c r="E4838" s="19"/>
      <c r="F4838" s="19"/>
      <c r="G4838" s="19"/>
      <c r="H4838" s="19"/>
      <c r="I4838" s="19"/>
      <c r="J4838" s="19"/>
      <c r="K4838" s="19"/>
      <c r="L4838" s="19"/>
      <c r="M4838" s="19"/>
      <c r="N4838" s="19"/>
      <c r="O4838" s="14" t="str">
        <f>HYPERLINK("https://otsuka-europe-crm.veevavault.com/ui/#object/email_activity__v/V8C000000040169", "EN-002098993")</f>
        <v>EN-002098993</v>
      </c>
    </row>
    <row r="4839" spans="1:15" ht="32" x14ac:dyDescent="0.2">
      <c r="A4839" s="7" t="str">
        <f>HYPERLINK("https://otsuka-europe-crm.veevavault.com/ui/#object/account__v/V4TZ06G6O71S9S7", "RICCARDO SERRANI")</f>
        <v>RICCARDO SERRANI</v>
      </c>
      <c r="B4839" s="7" t="str">
        <f>HYPERLINK("https://otsuka-europe-crm.veevavault.com/ui/#object/vcountry__v/VENZ000004SONFQ", "IT")</f>
        <v>IT</v>
      </c>
      <c r="C4839" s="8" t="s">
        <v>44</v>
      </c>
      <c r="D4839" s="9" t="str">
        <f>HYPERLINK("https://otsuka-europe-crm.veevavault.com/ui/#object/approved_document__v/V5O000000018003", "AE dialoghi di tempo fiducia e cura episodi 2-3-4")</f>
        <v>AE dialoghi di tempo fiducia e cura episodi 2-3-4</v>
      </c>
      <c r="E4839" s="10" t="str">
        <f>HYPERLINK("https://otsuka-europe-crm.veevavault.com/ui/#object/sent_email__v/VBL00000002P987", "SE-001433657")</f>
        <v>SE-001433657</v>
      </c>
      <c r="F4839" s="11"/>
      <c r="G4839" s="12">
        <v>0</v>
      </c>
      <c r="H4839" s="12">
        <v>0</v>
      </c>
      <c r="I4839" s="12">
        <v>0</v>
      </c>
      <c r="J4839" s="11"/>
      <c r="K4839" s="12">
        <v>0</v>
      </c>
      <c r="L4839" s="10" t="str">
        <f>HYPERLINK("https://otsuka-europe-crm.veevavault.com/ui/#object/approved_document__v/V5O000000018003", "AE dialoghi di tempo fiducia e cura episodi 2-3-4")</f>
        <v>AE dialoghi di tempo fiducia e cura episodi 2-3-4</v>
      </c>
      <c r="M4839" s="10" t="str">
        <f>HYPERLINK("mailto:nicoletta.vozza@crm.otsuka-europe.com", "nicoletta.vozza@crm.otsuka-europe.com")</f>
        <v>nicoletta.vozza@crm.otsuka-europe.com</v>
      </c>
      <c r="N4839" s="13">
        <v>46181.33803240741</v>
      </c>
      <c r="O4839" s="14" t="str">
        <f>HYPERLINK("https://otsuka-europe-crm.veevavault.com/ui/#object/email_activity__v/V8C00000003P870", "EN-002091353")</f>
        <v>EN-002091353</v>
      </c>
    </row>
    <row r="4840" spans="1:15" ht="32" x14ac:dyDescent="0.2">
      <c r="A4840" s="7" t="str">
        <f>HYPERLINK("https://otsuka-europe-crm.veevavault.com/ui/#object/account__v/V4TZ06G6O8L0XRE", "RITA CIPOLLA")</f>
        <v>RITA CIPOLLA</v>
      </c>
      <c r="B4840" s="7" t="str">
        <f>HYPERLINK("https://otsuka-europe-crm.veevavault.com/ui/#object/vcountry__v/VENZ000004SONFQ", "IT")</f>
        <v>IT</v>
      </c>
      <c r="C4840" s="8" t="s">
        <v>44</v>
      </c>
      <c r="D4840" s="9" t="str">
        <f>HYPERLINK("https://otsuka-europe-crm.veevavault.com/ui/#object/approved_document__v/V5O000000018003", "AE dialoghi di tempo fiducia e cura episodi 2-3-4")</f>
        <v>AE dialoghi di tempo fiducia e cura episodi 2-3-4</v>
      </c>
      <c r="E4840" s="10" t="str">
        <f>HYPERLINK("https://otsuka-europe-crm.veevavault.com/ui/#object/sent_email__v/VBL00000002P988", "SE-001433658")</f>
        <v>SE-001433658</v>
      </c>
      <c r="F4840" s="11"/>
      <c r="G4840" s="12">
        <v>0</v>
      </c>
      <c r="H4840" s="12">
        <v>0</v>
      </c>
      <c r="I4840" s="12">
        <v>0</v>
      </c>
      <c r="J4840" s="11"/>
      <c r="K4840" s="12">
        <v>0</v>
      </c>
      <c r="L4840" s="10" t="str">
        <f>HYPERLINK("https://otsuka-europe-crm.veevavault.com/ui/#object/approved_document__v/V5O000000018003", "AE dialoghi di tempo fiducia e cura episodi 2-3-4")</f>
        <v>AE dialoghi di tempo fiducia e cura episodi 2-3-4</v>
      </c>
      <c r="M4840" s="10" t="str">
        <f>HYPERLINK("mailto:nicoletta.vozza@crm.otsuka-europe.com", "nicoletta.vozza@crm.otsuka-europe.com")</f>
        <v>nicoletta.vozza@crm.otsuka-europe.com</v>
      </c>
      <c r="N4840" s="13">
        <v>46181.338020833333</v>
      </c>
      <c r="O4840" s="14" t="str">
        <f>HYPERLINK("https://otsuka-europe-crm.veevavault.com/ui/#object/email_activity__v/V8C00000003P709", "EN-002090964")</f>
        <v>EN-002090964</v>
      </c>
    </row>
    <row r="4841" spans="1:15" ht="32" x14ac:dyDescent="0.2">
      <c r="A4841" s="7" t="str">
        <f>HYPERLINK("https://otsuka-europe-crm.veevavault.com/ui/#object/account__v/V4TZ06G6O71SAJV", "RITA CIRIELLO")</f>
        <v>RITA CIRIELLO</v>
      </c>
      <c r="B4841" s="7" t="str">
        <f>HYPERLINK("https://otsuka-europe-crm.veevavault.com/ui/#object/vcountry__v/VENZ000004SONFQ", "IT")</f>
        <v>IT</v>
      </c>
      <c r="C4841" s="8" t="s">
        <v>44</v>
      </c>
      <c r="D4841" s="9" t="str">
        <f>HYPERLINK("https://otsuka-europe-crm.veevavault.com/ui/#object/approved_document__v/V5O000000018003", "AE dialoghi di tempo fiducia e cura episodi 2-3-4")</f>
        <v>AE dialoghi di tempo fiducia e cura episodi 2-3-4</v>
      </c>
      <c r="E4841" s="10" t="str">
        <f>HYPERLINK("https://otsuka-europe-crm.veevavault.com/ui/#object/sent_email__v/VBL00000002P989", "SE-001433659")</f>
        <v>SE-001433659</v>
      </c>
      <c r="F4841" s="11"/>
      <c r="G4841" s="12">
        <v>0</v>
      </c>
      <c r="H4841" s="12">
        <v>0</v>
      </c>
      <c r="I4841" s="12">
        <v>0</v>
      </c>
      <c r="J4841" s="11"/>
      <c r="K4841" s="12">
        <v>0</v>
      </c>
      <c r="L4841" s="10" t="str">
        <f>HYPERLINK("https://otsuka-europe-crm.veevavault.com/ui/#object/approved_document__v/V5O000000018003", "AE dialoghi di tempo fiducia e cura episodi 2-3-4")</f>
        <v>AE dialoghi di tempo fiducia e cura episodi 2-3-4</v>
      </c>
      <c r="M4841" s="10" t="str">
        <f>HYPERLINK("mailto:nicoletta.vozza@crm.otsuka-europe.com", "nicoletta.vozza@crm.otsuka-europe.com")</f>
        <v>nicoletta.vozza@crm.otsuka-europe.com</v>
      </c>
      <c r="N4841" s="13">
        <v>46181.33803240741</v>
      </c>
      <c r="O4841" s="14" t="str">
        <f>HYPERLINK("https://otsuka-europe-crm.veevavault.com/ui/#object/email_activity__v/V8C00000003O885", "EN-002090488")</f>
        <v>EN-002090488</v>
      </c>
    </row>
    <row r="4842" spans="1:15" ht="32" x14ac:dyDescent="0.2">
      <c r="A4842" s="7" t="str">
        <f>HYPERLINK("https://otsuka-europe-crm.veevavault.com/ui/#object/account__v/V4TZ06G6O71SBUJ", "RITA PARADISI")</f>
        <v>RITA PARADISI</v>
      </c>
      <c r="B4842" s="7" t="str">
        <f>HYPERLINK("https://otsuka-europe-crm.veevavault.com/ui/#object/vcountry__v/VENZ000004SONFQ", "IT")</f>
        <v>IT</v>
      </c>
      <c r="C4842" s="8" t="s">
        <v>44</v>
      </c>
      <c r="D4842" s="9" t="str">
        <f>HYPERLINK("https://otsuka-europe-crm.veevavault.com/ui/#object/approved_document__v/V5O000000018003", "AE dialoghi di tempo fiducia e cura episodi 2-3-4")</f>
        <v>AE dialoghi di tempo fiducia e cura episodi 2-3-4</v>
      </c>
      <c r="E4842" s="10" t="str">
        <f>HYPERLINK("https://otsuka-europe-crm.veevavault.com/ui/#object/sent_email__v/VBL00000002P990", "SE-001433660")</f>
        <v>SE-001433660</v>
      </c>
      <c r="F4842" s="11"/>
      <c r="G4842" s="12">
        <v>0</v>
      </c>
      <c r="H4842" s="12">
        <v>0</v>
      </c>
      <c r="I4842" s="12">
        <v>0</v>
      </c>
      <c r="J4842" s="11"/>
      <c r="K4842" s="12">
        <v>0</v>
      </c>
      <c r="L4842" s="10" t="str">
        <f>HYPERLINK("https://otsuka-europe-crm.veevavault.com/ui/#object/approved_document__v/V5O000000018003", "AE dialoghi di tempo fiducia e cura episodi 2-3-4")</f>
        <v>AE dialoghi di tempo fiducia e cura episodi 2-3-4</v>
      </c>
      <c r="M4842" s="10" t="str">
        <f>HYPERLINK("mailto:nicoletta.vozza@crm.otsuka-europe.com", "nicoletta.vozza@crm.otsuka-europe.com")</f>
        <v>nicoletta.vozza@crm.otsuka-europe.com</v>
      </c>
      <c r="N4842" s="13">
        <v>46181.33803240741</v>
      </c>
      <c r="O4842" s="14" t="str">
        <f>HYPERLINK("https://otsuka-europe-crm.veevavault.com/ui/#object/email_activity__v/V8C00000003Q215", "EN-002091321")</f>
        <v>EN-002091321</v>
      </c>
    </row>
    <row r="4843" spans="1:15" ht="16" x14ac:dyDescent="0.2">
      <c r="A4843" s="17" t="str">
        <f>HYPERLINK("https://otsuka-europe-crm.veevavault.com/ui/#object/account__v/V4TZ06G6O71SA4X", "ROBERTA BOLOGNA")</f>
        <v>ROBERTA BOLOGNA</v>
      </c>
      <c r="B4843" s="17" t="str">
        <f>HYPERLINK("https://otsuka-europe-crm.veevavault.com/ui/#object/vcountry__v/VENZ000004SONFQ", "IT")</f>
        <v>IT</v>
      </c>
      <c r="C4843" s="20" t="s">
        <v>44</v>
      </c>
      <c r="D4843" s="21" t="str">
        <f>HYPERLINK("https://otsuka-europe-crm.veevavault.com/ui/#object/approved_document__v/V5O000000018003", "AE dialoghi di tempo fiducia e cura episodi 2-3-4")</f>
        <v>AE dialoghi di tempo fiducia e cura episodi 2-3-4</v>
      </c>
      <c r="E4843" s="22" t="str">
        <f>HYPERLINK("https://otsuka-europe-crm.veevavault.com/ui/#object/sent_email__v/VBL00000002P991", "SE-001433661")</f>
        <v>SE-001433661</v>
      </c>
      <c r="F4843" s="23">
        <v>46181.880486111113</v>
      </c>
      <c r="G4843" s="24">
        <v>1</v>
      </c>
      <c r="H4843" s="24">
        <v>1</v>
      </c>
      <c r="I4843" s="24">
        <v>0</v>
      </c>
      <c r="J4843" s="25"/>
      <c r="K4843" s="24">
        <v>0</v>
      </c>
      <c r="L4843" s="22" t="str">
        <f>HYPERLINK("https://otsuka-europe-crm.veevavault.com/ui/#object/approved_document__v/V5O000000018003", "AE dialoghi di tempo fiducia e cura episodi 2-3-4")</f>
        <v>AE dialoghi di tempo fiducia e cura episodi 2-3-4</v>
      </c>
      <c r="M4843" s="22" t="str">
        <f>HYPERLINK("mailto:nicoletta.vozza@crm.otsuka-europe.com", "nicoletta.vozza@crm.otsuka-europe.com")</f>
        <v>nicoletta.vozza@crm.otsuka-europe.com</v>
      </c>
      <c r="N4843" s="23">
        <v>46181.338020833333</v>
      </c>
      <c r="O4843" s="14" t="str">
        <f>HYPERLINK("https://otsuka-europe-crm.veevavault.com/ui/#object/email_activity__v/V8C00000003O875", "EN-002090478")</f>
        <v>EN-002090478</v>
      </c>
    </row>
    <row r="4844" spans="1:15" ht="16" x14ac:dyDescent="0.2">
      <c r="A4844" s="19"/>
      <c r="B4844" s="19"/>
      <c r="C4844" s="19"/>
      <c r="D4844" s="19"/>
      <c r="E4844" s="19"/>
      <c r="F4844" s="19"/>
      <c r="G4844" s="19"/>
      <c r="H4844" s="19"/>
      <c r="I4844" s="19"/>
      <c r="J4844" s="19"/>
      <c r="K4844" s="19"/>
      <c r="L4844" s="19"/>
      <c r="M4844" s="19"/>
      <c r="N4844" s="19"/>
      <c r="O4844" s="14" t="str">
        <f>HYPERLINK("https://otsuka-europe-crm.veevavault.com/ui/#object/email_activity__v/V8C00000003R301", "EN-002092237")</f>
        <v>EN-002092237</v>
      </c>
    </row>
    <row r="4845" spans="1:15" ht="16" x14ac:dyDescent="0.2">
      <c r="A4845" s="17" t="str">
        <f>HYPERLINK("https://otsuka-europe-crm.veevavault.com/ui/#object/account__v/V4TZ06G6O8AHZBU", "ROBERTA CLEMENTE")</f>
        <v>ROBERTA CLEMENTE</v>
      </c>
      <c r="B4845" s="17" t="str">
        <f>HYPERLINK("https://otsuka-europe-crm.veevavault.com/ui/#object/vcountry__v/VENZ000004SONFQ", "IT")</f>
        <v>IT</v>
      </c>
      <c r="C4845" s="20" t="s">
        <v>44</v>
      </c>
      <c r="D4845" s="21" t="str">
        <f>HYPERLINK("https://otsuka-europe-crm.veevavault.com/ui/#object/approved_document__v/V5O000000018003", "AE dialoghi di tempo fiducia e cura episodi 2-3-4")</f>
        <v>AE dialoghi di tempo fiducia e cura episodi 2-3-4</v>
      </c>
      <c r="E4845" s="22" t="str">
        <f>HYPERLINK("https://otsuka-europe-crm.veevavault.com/ui/#object/sent_email__v/VBL00000002P992", "SE-001433662")</f>
        <v>SE-001433662</v>
      </c>
      <c r="F4845" s="25"/>
      <c r="G4845" s="24">
        <v>0</v>
      </c>
      <c r="H4845" s="24">
        <v>0</v>
      </c>
      <c r="I4845" s="24">
        <v>0</v>
      </c>
      <c r="J4845" s="25"/>
      <c r="K4845" s="24">
        <v>0</v>
      </c>
      <c r="L4845" s="22" t="str">
        <f>HYPERLINK("https://otsuka-europe-crm.veevavault.com/ui/#object/approved_document__v/V5O000000018003", "AE dialoghi di tempo fiducia e cura episodi 2-3-4")</f>
        <v>AE dialoghi di tempo fiducia e cura episodi 2-3-4</v>
      </c>
      <c r="M4845" s="22" t="str">
        <f>HYPERLINK("mailto:nicoletta.vozza@crm.otsuka-europe.com", "nicoletta.vozza@crm.otsuka-europe.com")</f>
        <v>nicoletta.vozza@crm.otsuka-europe.com</v>
      </c>
      <c r="N4845" s="23">
        <v>46181.337962962964</v>
      </c>
      <c r="O4845" s="14" t="str">
        <f>HYPERLINK("https://otsuka-europe-crm.veevavault.com/ui/#object/email_activity__v/V8C00000003O305", "EN-002089782")</f>
        <v>EN-002089782</v>
      </c>
    </row>
    <row r="4846" spans="1:15" ht="16" x14ac:dyDescent="0.2">
      <c r="A4846" s="19"/>
      <c r="B4846" s="19"/>
      <c r="C4846" s="19"/>
      <c r="D4846" s="19"/>
      <c r="E4846" s="19"/>
      <c r="F4846" s="19"/>
      <c r="G4846" s="19"/>
      <c r="H4846" s="19"/>
      <c r="I4846" s="19"/>
      <c r="J4846" s="19"/>
      <c r="K4846" s="19"/>
      <c r="L4846" s="19"/>
      <c r="M4846" s="19"/>
      <c r="N4846" s="19"/>
      <c r="O4846" s="14" t="str">
        <f>HYPERLINK("https://otsuka-europe-crm.veevavault.com/ui/#object/email_activity__v/V8C00000003Z189", "EN-002098982")</f>
        <v>EN-002098982</v>
      </c>
    </row>
    <row r="4847" spans="1:15" ht="32" x14ac:dyDescent="0.2">
      <c r="A4847" s="7" t="str">
        <f>HYPERLINK("https://otsuka-europe-crm.veevavault.com/ui/#object/account__v/V4TZ06G6O71SB3V", "ROBERTA COVEZZI")</f>
        <v>ROBERTA COVEZZI</v>
      </c>
      <c r="B4847" s="7" t="str">
        <f t="shared" ref="B4847:B4852" si="504">HYPERLINK("https://otsuka-europe-crm.veevavault.com/ui/#object/vcountry__v/VENZ000004SONFQ", "IT")</f>
        <v>IT</v>
      </c>
      <c r="C4847" s="8" t="s">
        <v>44</v>
      </c>
      <c r="D4847" s="9" t="str">
        <f t="shared" ref="D4847:D4852" si="505">HYPERLINK("https://otsuka-europe-crm.veevavault.com/ui/#object/approved_document__v/V5O000000018003", "AE dialoghi di tempo fiducia e cura episodi 2-3-4")</f>
        <v>AE dialoghi di tempo fiducia e cura episodi 2-3-4</v>
      </c>
      <c r="E4847" s="10" t="str">
        <f>HYPERLINK("https://otsuka-europe-crm.veevavault.com/ui/#object/sent_email__v/VBL00000002P993", "SE-001433663")</f>
        <v>SE-001433663</v>
      </c>
      <c r="F4847" s="11"/>
      <c r="G4847" s="12">
        <v>0</v>
      </c>
      <c r="H4847" s="12">
        <v>0</v>
      </c>
      <c r="I4847" s="12">
        <v>0</v>
      </c>
      <c r="J4847" s="11"/>
      <c r="K4847" s="12">
        <v>0</v>
      </c>
      <c r="L4847" s="10" t="str">
        <f t="shared" ref="L4847:L4852" si="506">HYPERLINK("https://otsuka-europe-crm.veevavault.com/ui/#object/approved_document__v/V5O000000018003", "AE dialoghi di tempo fiducia e cura episodi 2-3-4")</f>
        <v>AE dialoghi di tempo fiducia e cura episodi 2-3-4</v>
      </c>
      <c r="M4847" s="10" t="str">
        <f t="shared" ref="M4847:M4852" si="507">HYPERLINK("mailto:nicoletta.vozza@crm.otsuka-europe.com", "nicoletta.vozza@crm.otsuka-europe.com")</f>
        <v>nicoletta.vozza@crm.otsuka-europe.com</v>
      </c>
      <c r="N4847" s="13">
        <v>46181.33803240741</v>
      </c>
      <c r="O4847" s="14" t="str">
        <f>HYPERLINK("https://otsuka-europe-crm.veevavault.com/ui/#object/email_activity__v/V8C00000003P795", "EN-002091093")</f>
        <v>EN-002091093</v>
      </c>
    </row>
    <row r="4848" spans="1:15" ht="32" x14ac:dyDescent="0.2">
      <c r="A4848" s="7" t="str">
        <f>HYPERLINK("https://otsuka-europe-crm.veevavault.com/ui/#object/account__v/V4TZ06G6O71S9CR", "ROBERTA FRAVEGA")</f>
        <v>ROBERTA FRAVEGA</v>
      </c>
      <c r="B4848" s="7" t="str">
        <f t="shared" si="504"/>
        <v>IT</v>
      </c>
      <c r="C4848" s="8" t="s">
        <v>44</v>
      </c>
      <c r="D4848" s="9" t="str">
        <f t="shared" si="505"/>
        <v>AE dialoghi di tempo fiducia e cura episodi 2-3-4</v>
      </c>
      <c r="E4848" s="10" t="str">
        <f>HYPERLINK("https://otsuka-europe-crm.veevavault.com/ui/#object/sent_email__v/VBL00000002P994", "SE-001433664")</f>
        <v>SE-001433664</v>
      </c>
      <c r="F4848" s="11"/>
      <c r="G4848" s="12">
        <v>0</v>
      </c>
      <c r="H4848" s="12">
        <v>0</v>
      </c>
      <c r="I4848" s="12">
        <v>0</v>
      </c>
      <c r="J4848" s="11"/>
      <c r="K4848" s="12">
        <v>0</v>
      </c>
      <c r="L4848" s="10" t="str">
        <f t="shared" si="506"/>
        <v>AE dialoghi di tempo fiducia e cura episodi 2-3-4</v>
      </c>
      <c r="M4848" s="10" t="str">
        <f t="shared" si="507"/>
        <v>nicoletta.vozza@crm.otsuka-europe.com</v>
      </c>
      <c r="N4848" s="13">
        <v>46181.33797453704</v>
      </c>
      <c r="O4848" s="14" t="str">
        <f>HYPERLINK("https://otsuka-europe-crm.veevavault.com/ui/#object/email_activity__v/V8C00000003O698", "EN-002090254")</f>
        <v>EN-002090254</v>
      </c>
    </row>
    <row r="4849" spans="1:15" ht="32" x14ac:dyDescent="0.2">
      <c r="A4849" s="7" t="str">
        <f>HYPERLINK("https://otsuka-europe-crm.veevavault.com/ui/#object/account__v/V4TZ06G6O71SBTR", "ROBERTA PALEARI")</f>
        <v>ROBERTA PALEARI</v>
      </c>
      <c r="B4849" s="7" t="str">
        <f t="shared" si="504"/>
        <v>IT</v>
      </c>
      <c r="C4849" s="8" t="s">
        <v>44</v>
      </c>
      <c r="D4849" s="9" t="str">
        <f t="shared" si="505"/>
        <v>AE dialoghi di tempo fiducia e cura episodi 2-3-4</v>
      </c>
      <c r="E4849" s="10" t="str">
        <f>HYPERLINK("https://otsuka-europe-crm.veevavault.com/ui/#object/sent_email__v/VBL00000002P995", "SE-001433665")</f>
        <v>SE-001433665</v>
      </c>
      <c r="F4849" s="11"/>
      <c r="G4849" s="12">
        <v>0</v>
      </c>
      <c r="H4849" s="12">
        <v>0</v>
      </c>
      <c r="I4849" s="12">
        <v>0</v>
      </c>
      <c r="J4849" s="11"/>
      <c r="K4849" s="12">
        <v>0</v>
      </c>
      <c r="L4849" s="10" t="str">
        <f t="shared" si="506"/>
        <v>AE dialoghi di tempo fiducia e cura episodi 2-3-4</v>
      </c>
      <c r="M4849" s="10" t="str">
        <f t="shared" si="507"/>
        <v>nicoletta.vozza@crm.otsuka-europe.com</v>
      </c>
      <c r="N4849" s="13">
        <v>46181.338055555556</v>
      </c>
      <c r="O4849" s="14" t="str">
        <f>HYPERLINK("https://otsuka-europe-crm.veevavault.com/ui/#object/email_activity__v/V8C00000003Q096", "EN-002091161")</f>
        <v>EN-002091161</v>
      </c>
    </row>
    <row r="4850" spans="1:15" ht="32" x14ac:dyDescent="0.2">
      <c r="A4850" s="7" t="str">
        <f>HYPERLINK("https://otsuka-europe-crm.veevavault.com/ui/#object/account__v/V4TZ06G6O71SBYC", "ROBERTA POLETTI")</f>
        <v>ROBERTA POLETTI</v>
      </c>
      <c r="B4850" s="7" t="str">
        <f t="shared" si="504"/>
        <v>IT</v>
      </c>
      <c r="C4850" s="8" t="s">
        <v>44</v>
      </c>
      <c r="D4850" s="9" t="str">
        <f t="shared" si="505"/>
        <v>AE dialoghi di tempo fiducia e cura episodi 2-3-4</v>
      </c>
      <c r="E4850" s="10" t="str">
        <f>HYPERLINK("https://otsuka-europe-crm.veevavault.com/ui/#object/sent_email__v/VBL00000002P996", "SE-001433666")</f>
        <v>SE-001433666</v>
      </c>
      <c r="F4850" s="11"/>
      <c r="G4850" s="12">
        <v>0</v>
      </c>
      <c r="H4850" s="12">
        <v>0</v>
      </c>
      <c r="I4850" s="12">
        <v>0</v>
      </c>
      <c r="J4850" s="11"/>
      <c r="K4850" s="12">
        <v>0</v>
      </c>
      <c r="L4850" s="10" t="str">
        <f t="shared" si="506"/>
        <v>AE dialoghi di tempo fiducia e cura episodi 2-3-4</v>
      </c>
      <c r="M4850" s="10" t="str">
        <f t="shared" si="507"/>
        <v>nicoletta.vozza@crm.otsuka-europe.com</v>
      </c>
      <c r="N4850" s="13">
        <v>46181.338078703702</v>
      </c>
      <c r="O4850" s="14" t="str">
        <f>HYPERLINK("https://otsuka-europe-crm.veevavault.com/ui/#object/email_activity__v/V8C00000003P504", "EN-002090716")</f>
        <v>EN-002090716</v>
      </c>
    </row>
    <row r="4851" spans="1:15" ht="32" x14ac:dyDescent="0.2">
      <c r="A4851" s="7" t="str">
        <f>HYPERLINK("https://otsuka-europe-crm.veevavault.com/ui/#object/account__v/V4TZ025E86G562H", "ROBERTA SANTINI")</f>
        <v>ROBERTA SANTINI</v>
      </c>
      <c r="B4851" s="7" t="str">
        <f t="shared" si="504"/>
        <v>IT</v>
      </c>
      <c r="C4851" s="8" t="s">
        <v>44</v>
      </c>
      <c r="D4851" s="9" t="str">
        <f t="shared" si="505"/>
        <v>AE dialoghi di tempo fiducia e cura episodi 2-3-4</v>
      </c>
      <c r="E4851" s="10" t="str">
        <f>HYPERLINK("https://otsuka-europe-crm.veevavault.com/ui/#object/sent_email__v/VBL00000002P997", "SE-001433667")</f>
        <v>SE-001433667</v>
      </c>
      <c r="F4851" s="11"/>
      <c r="G4851" s="12">
        <v>0</v>
      </c>
      <c r="H4851" s="12">
        <v>0</v>
      </c>
      <c r="I4851" s="12">
        <v>0</v>
      </c>
      <c r="J4851" s="11"/>
      <c r="K4851" s="12">
        <v>0</v>
      </c>
      <c r="L4851" s="10" t="str">
        <f t="shared" si="506"/>
        <v>AE dialoghi di tempo fiducia e cura episodi 2-3-4</v>
      </c>
      <c r="M4851" s="10" t="str">
        <f t="shared" si="507"/>
        <v>nicoletta.vozza@crm.otsuka-europe.com</v>
      </c>
      <c r="N4851" s="13">
        <v>46181.338078703702</v>
      </c>
      <c r="O4851" s="14" t="str">
        <f>HYPERLINK("https://otsuka-europe-crm.veevavault.com/ui/#object/email_activity__v/V8C00000003Q129", "EN-002091212")</f>
        <v>EN-002091212</v>
      </c>
    </row>
    <row r="4852" spans="1:15" ht="16" x14ac:dyDescent="0.2">
      <c r="A4852" s="17" t="str">
        <f>HYPERLINK("https://otsuka-europe-crm.veevavault.com/ui/#object/account__v/V4TZ06G6O71S9DV", "ROBERTO CAFISO")</f>
        <v>ROBERTO CAFISO</v>
      </c>
      <c r="B4852" s="17" t="str">
        <f t="shared" si="504"/>
        <v>IT</v>
      </c>
      <c r="C4852" s="20" t="s">
        <v>44</v>
      </c>
      <c r="D4852" s="21" t="str">
        <f t="shared" si="505"/>
        <v>AE dialoghi di tempo fiducia e cura episodi 2-3-4</v>
      </c>
      <c r="E4852" s="22" t="str">
        <f>HYPERLINK("https://otsuka-europe-crm.veevavault.com/ui/#object/sent_email__v/VBL00000002P998", "SE-001433668")</f>
        <v>SE-001433668</v>
      </c>
      <c r="F4852" s="25"/>
      <c r="G4852" s="24">
        <v>0</v>
      </c>
      <c r="H4852" s="24">
        <v>0</v>
      </c>
      <c r="I4852" s="24">
        <v>0</v>
      </c>
      <c r="J4852" s="25"/>
      <c r="K4852" s="24">
        <v>0</v>
      </c>
      <c r="L4852" s="22" t="str">
        <f t="shared" si="506"/>
        <v>AE dialoghi di tempo fiducia e cura episodi 2-3-4</v>
      </c>
      <c r="M4852" s="22" t="str">
        <f t="shared" si="507"/>
        <v>nicoletta.vozza@crm.otsuka-europe.com</v>
      </c>
      <c r="N4852" s="23">
        <v>46181.338009259256</v>
      </c>
      <c r="O4852" s="14" t="str">
        <f>HYPERLINK("https://otsuka-europe-crm.veevavault.com/ui/#object/email_activity__v/V8C00000003P326", "EN-002090332")</f>
        <v>EN-002090332</v>
      </c>
    </row>
    <row r="4853" spans="1:15" ht="16" x14ac:dyDescent="0.2">
      <c r="A4853" s="19"/>
      <c r="B4853" s="19"/>
      <c r="C4853" s="19"/>
      <c r="D4853" s="19"/>
      <c r="E4853" s="19"/>
      <c r="F4853" s="19"/>
      <c r="G4853" s="19"/>
      <c r="H4853" s="19"/>
      <c r="I4853" s="19"/>
      <c r="J4853" s="19"/>
      <c r="K4853" s="19"/>
      <c r="L4853" s="19"/>
      <c r="M4853" s="19"/>
      <c r="N4853" s="19"/>
      <c r="O4853" s="14" t="str">
        <f>HYPERLINK("https://otsuka-europe-crm.veevavault.com/ui/#object/email_activity__v/V8C00000003Q456", "EN-002091695")</f>
        <v>EN-002091695</v>
      </c>
    </row>
    <row r="4854" spans="1:15" ht="32" x14ac:dyDescent="0.2">
      <c r="A4854" s="7" t="str">
        <f>HYPERLINK("https://otsuka-europe-crm.veevavault.com/ui/#object/account__v/V4TZ04ASG6LSDB5", "ROBERTO CARROZZINO")</f>
        <v>ROBERTO CARROZZINO</v>
      </c>
      <c r="B4854" s="7" t="str">
        <f t="shared" ref="B4854:B4861" si="508">HYPERLINK("https://otsuka-europe-crm.veevavault.com/ui/#object/vcountry__v/VENZ000004SONFQ", "IT")</f>
        <v>IT</v>
      </c>
      <c r="C4854" s="8" t="s">
        <v>44</v>
      </c>
      <c r="D4854" s="9" t="str">
        <f t="shared" ref="D4854:D4861" si="509">HYPERLINK("https://otsuka-europe-crm.veevavault.com/ui/#object/approved_document__v/V5O000000018003", "AE dialoghi di tempo fiducia e cura episodi 2-3-4")</f>
        <v>AE dialoghi di tempo fiducia e cura episodi 2-3-4</v>
      </c>
      <c r="E4854" s="10" t="str">
        <f>HYPERLINK("https://otsuka-europe-crm.veevavault.com/ui/#object/sent_email__v/VBL00000002P999", "SE-001433669")</f>
        <v>SE-001433669</v>
      </c>
      <c r="F4854" s="11"/>
      <c r="G4854" s="12">
        <v>0</v>
      </c>
      <c r="H4854" s="12">
        <v>0</v>
      </c>
      <c r="I4854" s="12">
        <v>0</v>
      </c>
      <c r="J4854" s="11"/>
      <c r="K4854" s="12">
        <v>0</v>
      </c>
      <c r="L4854" s="10" t="str">
        <f t="shared" ref="L4854:L4861" si="510">HYPERLINK("https://otsuka-europe-crm.veevavault.com/ui/#object/approved_document__v/V5O000000018003", "AE dialoghi di tempo fiducia e cura episodi 2-3-4")</f>
        <v>AE dialoghi di tempo fiducia e cura episodi 2-3-4</v>
      </c>
      <c r="M4854" s="10" t="str">
        <f t="shared" ref="M4854:M4861" si="511">HYPERLINK("mailto:nicoletta.vozza@crm.otsuka-europe.com", "nicoletta.vozza@crm.otsuka-europe.com")</f>
        <v>nicoletta.vozza@crm.otsuka-europe.com</v>
      </c>
      <c r="N4854" s="13">
        <v>46181.337962962964</v>
      </c>
      <c r="O4854" s="14" t="str">
        <f>HYPERLINK("https://otsuka-europe-crm.veevavault.com/ui/#object/email_activity__v/V8C00000003O306", "EN-002089783")</f>
        <v>EN-002089783</v>
      </c>
    </row>
    <row r="4855" spans="1:15" ht="32" x14ac:dyDescent="0.2">
      <c r="A4855" s="7" t="str">
        <f>HYPERLINK("https://otsuka-europe-crm.veevavault.com/ui/#object/account__v/V4TZ06G6O960NIR", "ROBERTO COPPINI")</f>
        <v>ROBERTO COPPINI</v>
      </c>
      <c r="B4855" s="7" t="str">
        <f t="shared" si="508"/>
        <v>IT</v>
      </c>
      <c r="C4855" s="8" t="s">
        <v>44</v>
      </c>
      <c r="D4855" s="9" t="str">
        <f t="shared" si="509"/>
        <v>AE dialoghi di tempo fiducia e cura episodi 2-3-4</v>
      </c>
      <c r="E4855" s="10" t="str">
        <f>HYPERLINK("https://otsuka-europe-crm.veevavault.com/ui/#object/sent_email__v/VBL00000002Q001", "SE-001433670")</f>
        <v>SE-001433670</v>
      </c>
      <c r="F4855" s="11"/>
      <c r="G4855" s="12">
        <v>0</v>
      </c>
      <c r="H4855" s="12">
        <v>0</v>
      </c>
      <c r="I4855" s="12">
        <v>0</v>
      </c>
      <c r="J4855" s="11"/>
      <c r="K4855" s="12">
        <v>0</v>
      </c>
      <c r="L4855" s="10" t="str">
        <f t="shared" si="510"/>
        <v>AE dialoghi di tempo fiducia e cura episodi 2-3-4</v>
      </c>
      <c r="M4855" s="10" t="str">
        <f t="shared" si="511"/>
        <v>nicoletta.vozza@crm.otsuka-europe.com</v>
      </c>
      <c r="N4855" s="13">
        <v>46181.337916666664</v>
      </c>
      <c r="O4855" s="15"/>
    </row>
    <row r="4856" spans="1:15" ht="32" x14ac:dyDescent="0.2">
      <c r="A4856" s="7" t="str">
        <f>HYPERLINK("https://otsuka-europe-crm.veevavault.com/ui/#object/account__v/V4TZ06G6O71SB1C", "ROBERTO GALTIERI")</f>
        <v>ROBERTO GALTIERI</v>
      </c>
      <c r="B4856" s="7" t="str">
        <f t="shared" si="508"/>
        <v>IT</v>
      </c>
      <c r="C4856" s="8" t="s">
        <v>44</v>
      </c>
      <c r="D4856" s="9" t="str">
        <f t="shared" si="509"/>
        <v>AE dialoghi di tempo fiducia e cura episodi 2-3-4</v>
      </c>
      <c r="E4856" s="10" t="str">
        <f>HYPERLINK("https://otsuka-europe-crm.veevavault.com/ui/#object/sent_email__v/VBL00000002Q002", "SE-001433671")</f>
        <v>SE-001433671</v>
      </c>
      <c r="F4856" s="11"/>
      <c r="G4856" s="12">
        <v>0</v>
      </c>
      <c r="H4856" s="12">
        <v>0</v>
      </c>
      <c r="I4856" s="12">
        <v>0</v>
      </c>
      <c r="J4856" s="11"/>
      <c r="K4856" s="12">
        <v>0</v>
      </c>
      <c r="L4856" s="10" t="str">
        <f t="shared" si="510"/>
        <v>AE dialoghi di tempo fiducia e cura episodi 2-3-4</v>
      </c>
      <c r="M4856" s="10" t="str">
        <f t="shared" si="511"/>
        <v>nicoletta.vozza@crm.otsuka-europe.com</v>
      </c>
      <c r="N4856" s="13">
        <v>46181.337916666664</v>
      </c>
      <c r="O4856" s="15"/>
    </row>
    <row r="4857" spans="1:15" ht="32" x14ac:dyDescent="0.2">
      <c r="A4857" s="7" t="str">
        <f>HYPERLINK("https://otsuka-europe-crm.veevavault.com/ui/#object/account__v/V4TZ06G6O71TLEN", "ROBERTO KELLER")</f>
        <v>ROBERTO KELLER</v>
      </c>
      <c r="B4857" s="7" t="str">
        <f t="shared" si="508"/>
        <v>IT</v>
      </c>
      <c r="C4857" s="8" t="s">
        <v>44</v>
      </c>
      <c r="D4857" s="9" t="str">
        <f t="shared" si="509"/>
        <v>AE dialoghi di tempo fiducia e cura episodi 2-3-4</v>
      </c>
      <c r="E4857" s="10" t="str">
        <f>HYPERLINK("https://otsuka-europe-crm.veevavault.com/ui/#object/sent_email__v/VBL00000002Q003", "SE-001433672")</f>
        <v>SE-001433672</v>
      </c>
      <c r="F4857" s="11"/>
      <c r="G4857" s="12">
        <v>0</v>
      </c>
      <c r="H4857" s="12">
        <v>0</v>
      </c>
      <c r="I4857" s="12">
        <v>0</v>
      </c>
      <c r="J4857" s="11"/>
      <c r="K4857" s="12">
        <v>0</v>
      </c>
      <c r="L4857" s="10" t="str">
        <f t="shared" si="510"/>
        <v>AE dialoghi di tempo fiducia e cura episodi 2-3-4</v>
      </c>
      <c r="M4857" s="10" t="str">
        <f t="shared" si="511"/>
        <v>nicoletta.vozza@crm.otsuka-europe.com</v>
      </c>
      <c r="N4857" s="13">
        <v>46181.338043981479</v>
      </c>
      <c r="O4857" s="14" t="str">
        <f>HYPERLINK("https://otsuka-europe-crm.veevavault.com/ui/#object/email_activity__v/V8C00000003P439", "EN-002090642")</f>
        <v>EN-002090642</v>
      </c>
    </row>
    <row r="4858" spans="1:15" ht="32" x14ac:dyDescent="0.2">
      <c r="A4858" s="7" t="str">
        <f>HYPERLINK("https://otsuka-europe-crm.veevavault.com/ui/#object/account__v/V4TZ06G6O71SBGM", "ROBERTO MASSIRONI")</f>
        <v>ROBERTO MASSIRONI</v>
      </c>
      <c r="B4858" s="7" t="str">
        <f t="shared" si="508"/>
        <v>IT</v>
      </c>
      <c r="C4858" s="8" t="s">
        <v>44</v>
      </c>
      <c r="D4858" s="9" t="str">
        <f t="shared" si="509"/>
        <v>AE dialoghi di tempo fiducia e cura episodi 2-3-4</v>
      </c>
      <c r="E4858" s="10" t="str">
        <f>HYPERLINK("https://otsuka-europe-crm.veevavault.com/ui/#object/sent_email__v/VBL00000002Q004", "SE-001433673")</f>
        <v>SE-001433673</v>
      </c>
      <c r="F4858" s="11"/>
      <c r="G4858" s="12">
        <v>0</v>
      </c>
      <c r="H4858" s="12">
        <v>0</v>
      </c>
      <c r="I4858" s="12">
        <v>0</v>
      </c>
      <c r="J4858" s="11"/>
      <c r="K4858" s="12">
        <v>0</v>
      </c>
      <c r="L4858" s="10" t="str">
        <f t="shared" si="510"/>
        <v>AE dialoghi di tempo fiducia e cura episodi 2-3-4</v>
      </c>
      <c r="M4858" s="10" t="str">
        <f t="shared" si="511"/>
        <v>nicoletta.vozza@crm.otsuka-europe.com</v>
      </c>
      <c r="N4858" s="13">
        <v>46181.33797453704</v>
      </c>
      <c r="O4858" s="14" t="str">
        <f>HYPERLINK("https://otsuka-europe-crm.veevavault.com/ui/#object/email_activity__v/V8C00000003O345", "EN-002089863")</f>
        <v>EN-002089863</v>
      </c>
    </row>
    <row r="4859" spans="1:15" ht="32" x14ac:dyDescent="0.2">
      <c r="A4859" s="7" t="str">
        <f>HYPERLINK("https://otsuka-europe-crm.veevavault.com/ui/#object/account__v/V4TZ06G6O71SBT5", "ROBERTO ORTOLEVA")</f>
        <v>ROBERTO ORTOLEVA</v>
      </c>
      <c r="B4859" s="7" t="str">
        <f t="shared" si="508"/>
        <v>IT</v>
      </c>
      <c r="C4859" s="8" t="s">
        <v>44</v>
      </c>
      <c r="D4859" s="9" t="str">
        <f t="shared" si="509"/>
        <v>AE dialoghi di tempo fiducia e cura episodi 2-3-4</v>
      </c>
      <c r="E4859" s="10" t="str">
        <f>HYPERLINK("https://otsuka-europe-crm.veevavault.com/ui/#object/sent_email__v/VBL00000002Q005", "SE-001433674")</f>
        <v>SE-001433674</v>
      </c>
      <c r="F4859" s="11"/>
      <c r="G4859" s="12">
        <v>0</v>
      </c>
      <c r="H4859" s="12">
        <v>0</v>
      </c>
      <c r="I4859" s="12">
        <v>0</v>
      </c>
      <c r="J4859" s="11"/>
      <c r="K4859" s="12">
        <v>0</v>
      </c>
      <c r="L4859" s="10" t="str">
        <f t="shared" si="510"/>
        <v>AE dialoghi di tempo fiducia e cura episodi 2-3-4</v>
      </c>
      <c r="M4859" s="10" t="str">
        <f t="shared" si="511"/>
        <v>nicoletta.vozza@crm.otsuka-europe.com</v>
      </c>
      <c r="N4859" s="13">
        <v>46181.337997685187</v>
      </c>
      <c r="O4859" s="14" t="str">
        <f>HYPERLINK("https://otsuka-europe-crm.veevavault.com/ui/#object/email_activity__v/V8C00000003P514", "EN-002090769")</f>
        <v>EN-002090769</v>
      </c>
    </row>
    <row r="4860" spans="1:15" ht="32" x14ac:dyDescent="0.2">
      <c r="A4860" s="7" t="str">
        <f>HYPERLINK("https://otsuka-europe-crm.veevavault.com/ui/#object/account__v/V4TZ06G6O71SCHH", "ROBERTO SORIANI")</f>
        <v>ROBERTO SORIANI</v>
      </c>
      <c r="B4860" s="7" t="str">
        <f t="shared" si="508"/>
        <v>IT</v>
      </c>
      <c r="C4860" s="8" t="s">
        <v>44</v>
      </c>
      <c r="D4860" s="9" t="str">
        <f t="shared" si="509"/>
        <v>AE dialoghi di tempo fiducia e cura episodi 2-3-4</v>
      </c>
      <c r="E4860" s="10" t="str">
        <f>HYPERLINK("https://otsuka-europe-crm.veevavault.com/ui/#object/sent_email__v/VBL00000002Q006", "SE-001433675")</f>
        <v>SE-001433675</v>
      </c>
      <c r="F4860" s="11"/>
      <c r="G4860" s="12">
        <v>0</v>
      </c>
      <c r="H4860" s="12">
        <v>0</v>
      </c>
      <c r="I4860" s="12">
        <v>0</v>
      </c>
      <c r="J4860" s="11"/>
      <c r="K4860" s="12">
        <v>0</v>
      </c>
      <c r="L4860" s="10" t="str">
        <f t="shared" si="510"/>
        <v>AE dialoghi di tempo fiducia e cura episodi 2-3-4</v>
      </c>
      <c r="M4860" s="10" t="str">
        <f t="shared" si="511"/>
        <v>nicoletta.vozza@crm.otsuka-europe.com</v>
      </c>
      <c r="N4860" s="13">
        <v>46181.337997685187</v>
      </c>
      <c r="O4860" s="14" t="str">
        <f>HYPERLINK("https://otsuka-europe-crm.veevavault.com/ui/#object/email_activity__v/V8C00000003P253", "EN-002089831")</f>
        <v>EN-002089831</v>
      </c>
    </row>
    <row r="4861" spans="1:15" ht="16" x14ac:dyDescent="0.2">
      <c r="A4861" s="17" t="str">
        <f>HYPERLINK("https://otsuka-europe-crm.veevavault.com/ui/#object/account__v/V4TZ06G6O71SCO8", "ROBERTO VALENTE")</f>
        <v>ROBERTO VALENTE</v>
      </c>
      <c r="B4861" s="17" t="str">
        <f t="shared" si="508"/>
        <v>IT</v>
      </c>
      <c r="C4861" s="20" t="s">
        <v>44</v>
      </c>
      <c r="D4861" s="21" t="str">
        <f t="shared" si="509"/>
        <v>AE dialoghi di tempo fiducia e cura episodi 2-3-4</v>
      </c>
      <c r="E4861" s="22" t="str">
        <f>HYPERLINK("https://otsuka-europe-crm.veevavault.com/ui/#object/sent_email__v/VBL00000002Q007", "SE-001433676")</f>
        <v>SE-001433676</v>
      </c>
      <c r="F4861" s="23">
        <v>46181.675138888888</v>
      </c>
      <c r="G4861" s="24">
        <v>1</v>
      </c>
      <c r="H4861" s="24">
        <v>1</v>
      </c>
      <c r="I4861" s="24">
        <v>1</v>
      </c>
      <c r="J4861" s="23">
        <v>46181.675138888888</v>
      </c>
      <c r="K4861" s="24">
        <v>1</v>
      </c>
      <c r="L4861" s="22" t="str">
        <f t="shared" si="510"/>
        <v>AE dialoghi di tempo fiducia e cura episodi 2-3-4</v>
      </c>
      <c r="M4861" s="22" t="str">
        <f t="shared" si="511"/>
        <v>nicoletta.vozza@crm.otsuka-europe.com</v>
      </c>
      <c r="N4861" s="23">
        <v>46181.33797453704</v>
      </c>
      <c r="O4861" s="14" t="str">
        <f>HYPERLINK("https://otsuka-europe-crm.veevavault.com/ui/#object/email_activity__v/V8C00000003O904", "EN-002090564")</f>
        <v>EN-002090564</v>
      </c>
    </row>
    <row r="4862" spans="1:15" ht="16" x14ac:dyDescent="0.2">
      <c r="A4862" s="18"/>
      <c r="B4862" s="18"/>
      <c r="C4862" s="18"/>
      <c r="D4862" s="18"/>
      <c r="E4862" s="18"/>
      <c r="F4862" s="18"/>
      <c r="G4862" s="18"/>
      <c r="H4862" s="18"/>
      <c r="I4862" s="18"/>
      <c r="J4862" s="18"/>
      <c r="K4862" s="18"/>
      <c r="L4862" s="18"/>
      <c r="M4862" s="18"/>
      <c r="N4862" s="18"/>
      <c r="O4862" s="14" t="str">
        <f>HYPERLINK("https://otsuka-europe-crm.veevavault.com/ui/#object/email_activity__v/V8C00000003R213", "EN-002092079")</f>
        <v>EN-002092079</v>
      </c>
    </row>
    <row r="4863" spans="1:15" ht="16" x14ac:dyDescent="0.2">
      <c r="A4863" s="19"/>
      <c r="B4863" s="19"/>
      <c r="C4863" s="19"/>
      <c r="D4863" s="19"/>
      <c r="E4863" s="19"/>
      <c r="F4863" s="19"/>
      <c r="G4863" s="19"/>
      <c r="H4863" s="19"/>
      <c r="I4863" s="19"/>
      <c r="J4863" s="19"/>
      <c r="K4863" s="19"/>
      <c r="L4863" s="19"/>
      <c r="M4863" s="19"/>
      <c r="N4863" s="19"/>
      <c r="O4863" s="14" t="str">
        <f>HYPERLINK("https://otsuka-europe-crm.veevavault.com/ui/#object/email_activity__v/V8C00000003R214", "EN-002092078")</f>
        <v>EN-002092078</v>
      </c>
    </row>
    <row r="4864" spans="1:15" ht="32" x14ac:dyDescent="0.2">
      <c r="A4864" s="7" t="str">
        <f>HYPERLINK("https://otsuka-europe-crm.veevavault.com/ui/#object/account__v/V4TZ04ASGAZN5RR", "ROBERTO VOLPE")</f>
        <v>ROBERTO VOLPE</v>
      </c>
      <c r="B4864" s="7" t="str">
        <f>HYPERLINK("https://otsuka-europe-crm.veevavault.com/ui/#object/vcountry__v/VENZ000004SONFQ", "IT")</f>
        <v>IT</v>
      </c>
      <c r="C4864" s="8" t="s">
        <v>44</v>
      </c>
      <c r="D4864" s="9" t="str">
        <f>HYPERLINK("https://otsuka-europe-crm.veevavault.com/ui/#object/approved_document__v/V5O000000018003", "AE dialoghi di tempo fiducia e cura episodi 2-3-4")</f>
        <v>AE dialoghi di tempo fiducia e cura episodi 2-3-4</v>
      </c>
      <c r="E4864" s="10" t="str">
        <f>HYPERLINK("https://otsuka-europe-crm.veevavault.com/ui/#object/sent_email__v/VBL00000002Q008", "SE-001433677")</f>
        <v>SE-001433677</v>
      </c>
      <c r="F4864" s="11"/>
      <c r="G4864" s="12">
        <v>0</v>
      </c>
      <c r="H4864" s="12">
        <v>0</v>
      </c>
      <c r="I4864" s="12">
        <v>0</v>
      </c>
      <c r="J4864" s="11"/>
      <c r="K4864" s="12">
        <v>0</v>
      </c>
      <c r="L4864" s="10" t="str">
        <f>HYPERLINK("https://otsuka-europe-crm.veevavault.com/ui/#object/approved_document__v/V5O000000018003", "AE dialoghi di tempo fiducia e cura episodi 2-3-4")</f>
        <v>AE dialoghi di tempo fiducia e cura episodi 2-3-4</v>
      </c>
      <c r="M4864" s="10" t="str">
        <f>HYPERLINK("mailto:nicoletta.vozza@crm.otsuka-europe.com", "nicoletta.vozza@crm.otsuka-europe.com")</f>
        <v>nicoletta.vozza@crm.otsuka-europe.com</v>
      </c>
      <c r="N4864" s="13">
        <v>46181.33803240741</v>
      </c>
      <c r="O4864" s="14" t="str">
        <f>HYPERLINK("https://otsuka-europe-crm.veevavault.com/ui/#object/email_activity__v/V8C00000003Q216", "EN-002091322")</f>
        <v>EN-002091322</v>
      </c>
    </row>
    <row r="4865" spans="1:15" ht="32" x14ac:dyDescent="0.2">
      <c r="A4865" s="7" t="str">
        <f>HYPERLINK("https://otsuka-europe-crm.veevavault.com/ui/#object/account__v/V4TZ06G6O71SBWV", "ROCCO LUIGI PICCI")</f>
        <v>ROCCO LUIGI PICCI</v>
      </c>
      <c r="B4865" s="7" t="str">
        <f>HYPERLINK("https://otsuka-europe-crm.veevavault.com/ui/#object/vcountry__v/VENZ000004SONFQ", "IT")</f>
        <v>IT</v>
      </c>
      <c r="C4865" s="8" t="s">
        <v>44</v>
      </c>
      <c r="D4865" s="9" t="str">
        <f>HYPERLINK("https://otsuka-europe-crm.veevavault.com/ui/#object/approved_document__v/V5O000000018003", "AE dialoghi di tempo fiducia e cura episodi 2-3-4")</f>
        <v>AE dialoghi di tempo fiducia e cura episodi 2-3-4</v>
      </c>
      <c r="E4865" s="10" t="str">
        <f>HYPERLINK("https://otsuka-europe-crm.veevavault.com/ui/#object/sent_email__v/VBL00000002Q009", "SE-001433678")</f>
        <v>SE-001433678</v>
      </c>
      <c r="F4865" s="11"/>
      <c r="G4865" s="12">
        <v>0</v>
      </c>
      <c r="H4865" s="12">
        <v>0</v>
      </c>
      <c r="I4865" s="12">
        <v>0</v>
      </c>
      <c r="J4865" s="11"/>
      <c r="K4865" s="12">
        <v>0</v>
      </c>
      <c r="L4865" s="10" t="str">
        <f>HYPERLINK("https://otsuka-europe-crm.veevavault.com/ui/#object/approved_document__v/V5O000000018003", "AE dialoghi di tempo fiducia e cura episodi 2-3-4")</f>
        <v>AE dialoghi di tempo fiducia e cura episodi 2-3-4</v>
      </c>
      <c r="M4865" s="10" t="str">
        <f>HYPERLINK("mailto:nicoletta.vozza@crm.otsuka-europe.com", "nicoletta.vozza@crm.otsuka-europe.com")</f>
        <v>nicoletta.vozza@crm.otsuka-europe.com</v>
      </c>
      <c r="N4865" s="13">
        <v>46181.337997685187</v>
      </c>
      <c r="O4865" s="14" t="str">
        <f>HYPERLINK("https://otsuka-europe-crm.veevavault.com/ui/#object/email_activity__v/V8C00000003O246", "EN-002089723")</f>
        <v>EN-002089723</v>
      </c>
    </row>
    <row r="4866" spans="1:15" ht="32" x14ac:dyDescent="0.2">
      <c r="A4866" s="7" t="str">
        <f>HYPERLINK("https://otsuka-europe-crm.veevavault.com/ui/#object/account__v/V4TZ06G6O71SBHX", "RODOLFO MAZZONCINI")</f>
        <v>RODOLFO MAZZONCINI</v>
      </c>
      <c r="B4866" s="7" t="str">
        <f>HYPERLINK("https://otsuka-europe-crm.veevavault.com/ui/#object/vcountry__v/VENZ000004SONFQ", "IT")</f>
        <v>IT</v>
      </c>
      <c r="C4866" s="8" t="s">
        <v>44</v>
      </c>
      <c r="D4866" s="9" t="str">
        <f>HYPERLINK("https://otsuka-europe-crm.veevavault.com/ui/#object/approved_document__v/V5O000000018003", "AE dialoghi di tempo fiducia e cura episodi 2-3-4")</f>
        <v>AE dialoghi di tempo fiducia e cura episodi 2-3-4</v>
      </c>
      <c r="E4866" s="10" t="str">
        <f>HYPERLINK("https://otsuka-europe-crm.veevavault.com/ui/#object/sent_email__v/VBL00000002Q010", "SE-001433679")</f>
        <v>SE-001433679</v>
      </c>
      <c r="F4866" s="11"/>
      <c r="G4866" s="12">
        <v>0</v>
      </c>
      <c r="H4866" s="12">
        <v>0</v>
      </c>
      <c r="I4866" s="12">
        <v>0</v>
      </c>
      <c r="J4866" s="11"/>
      <c r="K4866" s="12">
        <v>0</v>
      </c>
      <c r="L4866" s="10" t="str">
        <f>HYPERLINK("https://otsuka-europe-crm.veevavault.com/ui/#object/approved_document__v/V5O000000018003", "AE dialoghi di tempo fiducia e cura episodi 2-3-4")</f>
        <v>AE dialoghi di tempo fiducia e cura episodi 2-3-4</v>
      </c>
      <c r="M4866" s="10" t="str">
        <f>HYPERLINK("mailto:nicoletta.vozza@crm.otsuka-europe.com", "nicoletta.vozza@crm.otsuka-europe.com")</f>
        <v>nicoletta.vozza@crm.otsuka-europe.com</v>
      </c>
      <c r="N4866" s="13">
        <v>46181.338090277779</v>
      </c>
      <c r="O4866" s="14" t="str">
        <f>HYPERLINK("https://otsuka-europe-crm.veevavault.com/ui/#object/email_activity__v/V8C00000003P547", "EN-002090802")</f>
        <v>EN-002090802</v>
      </c>
    </row>
    <row r="4867" spans="1:15" ht="32" x14ac:dyDescent="0.2">
      <c r="A4867" s="7" t="str">
        <f>HYPERLINK("https://otsuka-europe-crm.veevavault.com/ui/#object/account__v/V4TZ06G6O71S9D1", "ROMANA RAMA")</f>
        <v>ROMANA RAMA</v>
      </c>
      <c r="B4867" s="7" t="str">
        <f>HYPERLINK("https://otsuka-europe-crm.veevavault.com/ui/#object/vcountry__v/VENZ000004SONFQ", "IT")</f>
        <v>IT</v>
      </c>
      <c r="C4867" s="8" t="s">
        <v>44</v>
      </c>
      <c r="D4867" s="9" t="str">
        <f>HYPERLINK("https://otsuka-europe-crm.veevavault.com/ui/#object/approved_document__v/V5O000000018003", "AE dialoghi di tempo fiducia e cura episodi 2-3-4")</f>
        <v>AE dialoghi di tempo fiducia e cura episodi 2-3-4</v>
      </c>
      <c r="E4867" s="10" t="str">
        <f>HYPERLINK("https://otsuka-europe-crm.veevavault.com/ui/#object/sent_email__v/VBL00000002Q011", "SE-001433680")</f>
        <v>SE-001433680</v>
      </c>
      <c r="F4867" s="11"/>
      <c r="G4867" s="12">
        <v>0</v>
      </c>
      <c r="H4867" s="12">
        <v>0</v>
      </c>
      <c r="I4867" s="12">
        <v>0</v>
      </c>
      <c r="J4867" s="11"/>
      <c r="K4867" s="12">
        <v>0</v>
      </c>
      <c r="L4867" s="10" t="str">
        <f>HYPERLINK("https://otsuka-europe-crm.veevavault.com/ui/#object/approved_document__v/V5O000000018003", "AE dialoghi di tempo fiducia e cura episodi 2-3-4")</f>
        <v>AE dialoghi di tempo fiducia e cura episodi 2-3-4</v>
      </c>
      <c r="M4867" s="10" t="str">
        <f>HYPERLINK("mailto:nicoletta.vozza@crm.otsuka-europe.com", "nicoletta.vozza@crm.otsuka-europe.com")</f>
        <v>nicoletta.vozza@crm.otsuka-europe.com</v>
      </c>
      <c r="N4867" s="13">
        <v>46181.338067129633</v>
      </c>
      <c r="O4867" s="14" t="str">
        <f>HYPERLINK("https://otsuka-europe-crm.veevavault.com/ui/#object/email_activity__v/V8C00000003P533", "EN-002090788")</f>
        <v>EN-002090788</v>
      </c>
    </row>
    <row r="4868" spans="1:15" ht="16" x14ac:dyDescent="0.2">
      <c r="A4868" s="17" t="str">
        <f>HYPERLINK("https://otsuka-europe-crm.veevavault.com/ui/#object/account__v/V4TZ06G6O71SA6K", "ROMINA BOSELLO")</f>
        <v>ROMINA BOSELLO</v>
      </c>
      <c r="B4868" s="17" t="str">
        <f>HYPERLINK("https://otsuka-europe-crm.veevavault.com/ui/#object/vcountry__v/VENZ000004SONFQ", "IT")</f>
        <v>IT</v>
      </c>
      <c r="C4868" s="20" t="s">
        <v>44</v>
      </c>
      <c r="D4868" s="21" t="str">
        <f>HYPERLINK("https://otsuka-europe-crm.veevavault.com/ui/#object/approved_document__v/V5O000000018003", "AE dialoghi di tempo fiducia e cura episodi 2-3-4")</f>
        <v>AE dialoghi di tempo fiducia e cura episodi 2-3-4</v>
      </c>
      <c r="E4868" s="22" t="str">
        <f>HYPERLINK("https://otsuka-europe-crm.veevavault.com/ui/#object/sent_email__v/VBL00000002Q012", "SE-001433681")</f>
        <v>SE-001433681</v>
      </c>
      <c r="F4868" s="23">
        <v>46181.409409722219</v>
      </c>
      <c r="G4868" s="24">
        <v>1</v>
      </c>
      <c r="H4868" s="24">
        <v>1</v>
      </c>
      <c r="I4868" s="24">
        <v>0</v>
      </c>
      <c r="J4868" s="25"/>
      <c r="K4868" s="24">
        <v>0</v>
      </c>
      <c r="L4868" s="22" t="str">
        <f>HYPERLINK("https://otsuka-europe-crm.veevavault.com/ui/#object/approved_document__v/V5O000000018003", "AE dialoghi di tempo fiducia e cura episodi 2-3-4")</f>
        <v>AE dialoghi di tempo fiducia e cura episodi 2-3-4</v>
      </c>
      <c r="M4868" s="22" t="str">
        <f>HYPERLINK("mailto:nicoletta.vozza@crm.otsuka-europe.com", "nicoletta.vozza@crm.otsuka-europe.com")</f>
        <v>nicoletta.vozza@crm.otsuka-europe.com</v>
      </c>
      <c r="N4868" s="23">
        <v>46181.33797453704</v>
      </c>
      <c r="O4868" s="14" t="str">
        <f>HYPERLINK("https://otsuka-europe-crm.veevavault.com/ui/#object/email_activity__v/V8C00000003P146", "EN-002089546")</f>
        <v>EN-002089546</v>
      </c>
    </row>
    <row r="4869" spans="1:15" ht="16" x14ac:dyDescent="0.2">
      <c r="A4869" s="19"/>
      <c r="B4869" s="19"/>
      <c r="C4869" s="19"/>
      <c r="D4869" s="19"/>
      <c r="E4869" s="19"/>
      <c r="F4869" s="19"/>
      <c r="G4869" s="19"/>
      <c r="H4869" s="19"/>
      <c r="I4869" s="19"/>
      <c r="J4869" s="19"/>
      <c r="K4869" s="19"/>
      <c r="L4869" s="19"/>
      <c r="M4869" s="19"/>
      <c r="N4869" s="19"/>
      <c r="O4869" s="14" t="str">
        <f>HYPERLINK("https://otsuka-europe-crm.veevavault.com/ui/#object/email_activity__v/V8C00000003Q490", "EN-002091773")</f>
        <v>EN-002091773</v>
      </c>
    </row>
    <row r="4870" spans="1:15" ht="32" x14ac:dyDescent="0.2">
      <c r="A4870" s="7" t="str">
        <f>HYPERLINK("https://otsuka-europe-crm.veevavault.com/ui/#object/account__v/V4TZ025E8762Y70", "ROMINA MANCINI")</f>
        <v>ROMINA MANCINI</v>
      </c>
      <c r="B4870" s="7" t="str">
        <f>HYPERLINK("https://otsuka-europe-crm.veevavault.com/ui/#object/vcountry__v/VENZ000004SONFQ", "IT")</f>
        <v>IT</v>
      </c>
      <c r="C4870" s="8" t="s">
        <v>44</v>
      </c>
      <c r="D4870" s="9" t="str">
        <f>HYPERLINK("https://otsuka-europe-crm.veevavault.com/ui/#object/approved_document__v/V5O000000018003", "AE dialoghi di tempo fiducia e cura episodi 2-3-4")</f>
        <v>AE dialoghi di tempo fiducia e cura episodi 2-3-4</v>
      </c>
      <c r="E4870" s="10" t="str">
        <f>HYPERLINK("https://otsuka-europe-crm.veevavault.com/ui/#object/sent_email__v/VBL00000002Q013", "SE-001433682")</f>
        <v>SE-001433682</v>
      </c>
      <c r="F4870" s="11"/>
      <c r="G4870" s="12">
        <v>0</v>
      </c>
      <c r="H4870" s="12">
        <v>0</v>
      </c>
      <c r="I4870" s="12">
        <v>0</v>
      </c>
      <c r="J4870" s="11"/>
      <c r="K4870" s="12">
        <v>0</v>
      </c>
      <c r="L4870" s="10" t="str">
        <f>HYPERLINK("https://otsuka-europe-crm.veevavault.com/ui/#object/approved_document__v/V5O000000018003", "AE dialoghi di tempo fiducia e cura episodi 2-3-4")</f>
        <v>AE dialoghi di tempo fiducia e cura episodi 2-3-4</v>
      </c>
      <c r="M4870" s="10" t="str">
        <f>HYPERLINK("mailto:nicoletta.vozza@crm.otsuka-europe.com", "nicoletta.vozza@crm.otsuka-europe.com")</f>
        <v>nicoletta.vozza@crm.otsuka-europe.com</v>
      </c>
      <c r="N4870" s="13">
        <v>46181.33798611111</v>
      </c>
      <c r="O4870" s="14" t="str">
        <f>HYPERLINK("https://otsuka-europe-crm.veevavault.com/ui/#object/email_activity__v/V8C00000003Q239", "EN-002091345")</f>
        <v>EN-002091345</v>
      </c>
    </row>
    <row r="4871" spans="1:15" ht="16" x14ac:dyDescent="0.2">
      <c r="A4871" s="17" t="str">
        <f>HYPERLINK("https://otsuka-europe-crm.veevavault.com/ui/#object/account__v/V4TZ04ASGBJGRPQ", "ROSA ANNA SARACINO")</f>
        <v>ROSA ANNA SARACINO</v>
      </c>
      <c r="B4871" s="17" t="str">
        <f>HYPERLINK("https://otsuka-europe-crm.veevavault.com/ui/#object/vcountry__v/VENZ000004SONFQ", "IT")</f>
        <v>IT</v>
      </c>
      <c r="C4871" s="20" t="s">
        <v>44</v>
      </c>
      <c r="D4871" s="21" t="str">
        <f>HYPERLINK("https://otsuka-europe-crm.veevavault.com/ui/#object/approved_document__v/V5O000000018003", "AE dialoghi di tempo fiducia e cura episodi 2-3-4")</f>
        <v>AE dialoghi di tempo fiducia e cura episodi 2-3-4</v>
      </c>
      <c r="E4871" s="22" t="str">
        <f>HYPERLINK("https://otsuka-europe-crm.veevavault.com/ui/#object/sent_email__v/VBL00000002Q014", "SE-001433683")</f>
        <v>SE-001433683</v>
      </c>
      <c r="F4871" s="23">
        <v>46181.769189814811</v>
      </c>
      <c r="G4871" s="24">
        <v>1</v>
      </c>
      <c r="H4871" s="24">
        <v>1</v>
      </c>
      <c r="I4871" s="24">
        <v>0</v>
      </c>
      <c r="J4871" s="25"/>
      <c r="K4871" s="24">
        <v>0</v>
      </c>
      <c r="L4871" s="22" t="str">
        <f>HYPERLINK("https://otsuka-europe-crm.veevavault.com/ui/#object/approved_document__v/V5O000000018003", "AE dialoghi di tempo fiducia e cura episodi 2-3-4")</f>
        <v>AE dialoghi di tempo fiducia e cura episodi 2-3-4</v>
      </c>
      <c r="M4871" s="22" t="str">
        <f>HYPERLINK("mailto:nicoletta.vozza@crm.otsuka-europe.com", "nicoletta.vozza@crm.otsuka-europe.com")</f>
        <v>nicoletta.vozza@crm.otsuka-europe.com</v>
      </c>
      <c r="N4871" s="23">
        <v>46181.338067129633</v>
      </c>
      <c r="O4871" s="14" t="str">
        <f>HYPERLINK("https://otsuka-europe-crm.veevavault.com/ui/#object/email_activity__v/V8C00000003P760", "EN-002091058")</f>
        <v>EN-002091058</v>
      </c>
    </row>
    <row r="4872" spans="1:15" ht="16" x14ac:dyDescent="0.2">
      <c r="A4872" s="19"/>
      <c r="B4872" s="19"/>
      <c r="C4872" s="19"/>
      <c r="D4872" s="19"/>
      <c r="E4872" s="19"/>
      <c r="F4872" s="19"/>
      <c r="G4872" s="19"/>
      <c r="H4872" s="19"/>
      <c r="I4872" s="19"/>
      <c r="J4872" s="19"/>
      <c r="K4872" s="19"/>
      <c r="L4872" s="19"/>
      <c r="M4872" s="19"/>
      <c r="N4872" s="19"/>
      <c r="O4872" s="14" t="str">
        <f>HYPERLINK("https://otsuka-europe-crm.veevavault.com/ui/#object/email_activity__v/V8C00000003Q672", "EN-002092185")</f>
        <v>EN-002092185</v>
      </c>
    </row>
    <row r="4873" spans="1:15" ht="16" x14ac:dyDescent="0.2">
      <c r="A4873" s="17" t="str">
        <f>HYPERLINK("https://otsuka-europe-crm.veevavault.com/ui/#object/account__v/V4TZ06G6O71SA1H", "ROSA BANDIERA")</f>
        <v>ROSA BANDIERA</v>
      </c>
      <c r="B4873" s="17" t="str">
        <f>HYPERLINK("https://otsuka-europe-crm.veevavault.com/ui/#object/vcountry__v/VENZ000004SONFQ", "IT")</f>
        <v>IT</v>
      </c>
      <c r="C4873" s="20" t="s">
        <v>44</v>
      </c>
      <c r="D4873" s="21" t="str">
        <f>HYPERLINK("https://otsuka-europe-crm.veevavault.com/ui/#object/approved_document__v/V5O000000018003", "AE dialoghi di tempo fiducia e cura episodi 2-3-4")</f>
        <v>AE dialoghi di tempo fiducia e cura episodi 2-3-4</v>
      </c>
      <c r="E4873" s="22" t="str">
        <f>HYPERLINK("https://otsuka-europe-crm.veevavault.com/ui/#object/sent_email__v/VBL00000002Q015", "SE-001433684")</f>
        <v>SE-001433684</v>
      </c>
      <c r="F4873" s="23">
        <v>46181.405752314815</v>
      </c>
      <c r="G4873" s="24">
        <v>1</v>
      </c>
      <c r="H4873" s="24">
        <v>1</v>
      </c>
      <c r="I4873" s="24">
        <v>0</v>
      </c>
      <c r="J4873" s="25"/>
      <c r="K4873" s="24">
        <v>0</v>
      </c>
      <c r="L4873" s="22" t="str">
        <f>HYPERLINK("https://otsuka-europe-crm.veevavault.com/ui/#object/approved_document__v/V5O000000018003", "AE dialoghi di tempo fiducia e cura episodi 2-3-4")</f>
        <v>AE dialoghi di tempo fiducia e cura episodi 2-3-4</v>
      </c>
      <c r="M4873" s="22" t="str">
        <f>HYPERLINK("mailto:nicoletta.vozza@crm.otsuka-europe.com", "nicoletta.vozza@crm.otsuka-europe.com")</f>
        <v>nicoletta.vozza@crm.otsuka-europe.com</v>
      </c>
      <c r="N4873" s="23">
        <v>46181.338090277779</v>
      </c>
      <c r="O4873" s="14" t="str">
        <f>HYPERLINK("https://otsuka-europe-crm.veevavault.com/ui/#object/email_activity__v/V8C00000003O896", "EN-002090499")</f>
        <v>EN-002090499</v>
      </c>
    </row>
    <row r="4874" spans="1:15" ht="16" x14ac:dyDescent="0.2">
      <c r="A4874" s="19"/>
      <c r="B4874" s="19"/>
      <c r="C4874" s="19"/>
      <c r="D4874" s="19"/>
      <c r="E4874" s="19"/>
      <c r="F4874" s="19"/>
      <c r="G4874" s="19"/>
      <c r="H4874" s="19"/>
      <c r="I4874" s="19"/>
      <c r="J4874" s="19"/>
      <c r="K4874" s="19"/>
      <c r="L4874" s="19"/>
      <c r="M4874" s="19"/>
      <c r="N4874" s="19"/>
      <c r="O4874" s="14" t="str">
        <f>HYPERLINK("https://otsuka-europe-crm.veevavault.com/ui/#object/email_activity__v/V8C00000003R039", "EN-002091765")</f>
        <v>EN-002091765</v>
      </c>
    </row>
    <row r="4875" spans="1:15" ht="32" x14ac:dyDescent="0.2">
      <c r="A4875" s="7" t="str">
        <f>HYPERLINK("https://otsuka-europe-crm.veevavault.com/ui/#object/account__v/V4TZ04ASG6T5YSB", "ROSA CASTRA")</f>
        <v>ROSA CASTRA</v>
      </c>
      <c r="B4875" s="7" t="str">
        <f>HYPERLINK("https://otsuka-europe-crm.veevavault.com/ui/#object/vcountry__v/VENZ000004SONFQ", "IT")</f>
        <v>IT</v>
      </c>
      <c r="C4875" s="8" t="s">
        <v>44</v>
      </c>
      <c r="D4875" s="9" t="str">
        <f>HYPERLINK("https://otsuka-europe-crm.veevavault.com/ui/#object/approved_document__v/V5O000000018003", "AE dialoghi di tempo fiducia e cura episodi 2-3-4")</f>
        <v>AE dialoghi di tempo fiducia e cura episodi 2-3-4</v>
      </c>
      <c r="E4875" s="10" t="str">
        <f>HYPERLINK("https://otsuka-europe-crm.veevavault.com/ui/#object/sent_email__v/VBL00000002Q016", "SE-001433685")</f>
        <v>SE-001433685</v>
      </c>
      <c r="F4875" s="11"/>
      <c r="G4875" s="12">
        <v>0</v>
      </c>
      <c r="H4875" s="12">
        <v>0</v>
      </c>
      <c r="I4875" s="12">
        <v>0</v>
      </c>
      <c r="J4875" s="11"/>
      <c r="K4875" s="12">
        <v>0</v>
      </c>
      <c r="L4875" s="10" t="str">
        <f>HYPERLINK("https://otsuka-europe-crm.veevavault.com/ui/#object/approved_document__v/V5O000000018003", "AE dialoghi di tempo fiducia e cura episodi 2-3-4")</f>
        <v>AE dialoghi di tempo fiducia e cura episodi 2-3-4</v>
      </c>
      <c r="M4875" s="10" t="str">
        <f>HYPERLINK("mailto:nicoletta.vozza@crm.otsuka-europe.com", "nicoletta.vozza@crm.otsuka-europe.com")</f>
        <v>nicoletta.vozza@crm.otsuka-europe.com</v>
      </c>
      <c r="N4875" s="13">
        <v>46181.338055555556</v>
      </c>
      <c r="O4875" s="14" t="str">
        <f>HYPERLINK("https://otsuka-europe-crm.veevavault.com/ui/#object/email_activity__v/V8C00000003O395", "EN-002089913")</f>
        <v>EN-002089913</v>
      </c>
    </row>
    <row r="4876" spans="1:15" ht="32" x14ac:dyDescent="0.2">
      <c r="A4876" s="7" t="str">
        <f>HYPERLINK("https://otsuka-europe-crm.veevavault.com/ui/#object/account__v/V4TZ06G6O71SAE4", "ROSA DAMBROSIO")</f>
        <v>ROSA DAMBROSIO</v>
      </c>
      <c r="B4876" s="7" t="str">
        <f>HYPERLINK("https://otsuka-europe-crm.veevavault.com/ui/#object/vcountry__v/VENZ000004SONFQ", "IT")</f>
        <v>IT</v>
      </c>
      <c r="C4876" s="8" t="s">
        <v>44</v>
      </c>
      <c r="D4876" s="9" t="str">
        <f>HYPERLINK("https://otsuka-europe-crm.veevavault.com/ui/#object/approved_document__v/V5O000000018003", "AE dialoghi di tempo fiducia e cura episodi 2-3-4")</f>
        <v>AE dialoghi di tempo fiducia e cura episodi 2-3-4</v>
      </c>
      <c r="E4876" s="10" t="str">
        <f>HYPERLINK("https://otsuka-europe-crm.veevavault.com/ui/#object/sent_email__v/VBL00000002Q017", "SE-001433686")</f>
        <v>SE-001433686</v>
      </c>
      <c r="F4876" s="11"/>
      <c r="G4876" s="12">
        <v>0</v>
      </c>
      <c r="H4876" s="12">
        <v>0</v>
      </c>
      <c r="I4876" s="12">
        <v>0</v>
      </c>
      <c r="J4876" s="11"/>
      <c r="K4876" s="12">
        <v>0</v>
      </c>
      <c r="L4876" s="10" t="str">
        <f>HYPERLINK("https://otsuka-europe-crm.veevavault.com/ui/#object/approved_document__v/V5O000000018003", "AE dialoghi di tempo fiducia e cura episodi 2-3-4")</f>
        <v>AE dialoghi di tempo fiducia e cura episodi 2-3-4</v>
      </c>
      <c r="M4876" s="10" t="str">
        <f>HYPERLINK("mailto:nicoletta.vozza@crm.otsuka-europe.com", "nicoletta.vozza@crm.otsuka-europe.com")</f>
        <v>nicoletta.vozza@crm.otsuka-europe.com</v>
      </c>
      <c r="N4876" s="13">
        <v>46181.338043981479</v>
      </c>
      <c r="O4876" s="14" t="str">
        <f>HYPERLINK("https://otsuka-europe-crm.veevavault.com/ui/#object/email_activity__v/V8C00000003P794", "EN-002091092")</f>
        <v>EN-002091092</v>
      </c>
    </row>
    <row r="4877" spans="1:15" ht="32" x14ac:dyDescent="0.2">
      <c r="A4877" s="7" t="str">
        <f>HYPERLINK("https://otsuka-europe-crm.veevavault.com/ui/#object/account__v/V4TZ06G6O8TAK6U", "ROSA IACONO")</f>
        <v>ROSA IACONO</v>
      </c>
      <c r="B4877" s="7" t="str">
        <f>HYPERLINK("https://otsuka-europe-crm.veevavault.com/ui/#object/vcountry__v/VENZ000004SONFQ", "IT")</f>
        <v>IT</v>
      </c>
      <c r="C4877" s="8" t="s">
        <v>44</v>
      </c>
      <c r="D4877" s="9" t="str">
        <f>HYPERLINK("https://otsuka-europe-crm.veevavault.com/ui/#object/approved_document__v/V5O000000018003", "AE dialoghi di tempo fiducia e cura episodi 2-3-4")</f>
        <v>AE dialoghi di tempo fiducia e cura episodi 2-3-4</v>
      </c>
      <c r="E4877" s="10" t="str">
        <f>HYPERLINK("https://otsuka-europe-crm.veevavault.com/ui/#object/sent_email__v/VBL00000002Q018", "SE-001433687")</f>
        <v>SE-001433687</v>
      </c>
      <c r="F4877" s="11"/>
      <c r="G4877" s="12">
        <v>0</v>
      </c>
      <c r="H4877" s="12">
        <v>0</v>
      </c>
      <c r="I4877" s="12">
        <v>0</v>
      </c>
      <c r="J4877" s="11"/>
      <c r="K4877" s="12">
        <v>0</v>
      </c>
      <c r="L4877" s="10" t="str">
        <f>HYPERLINK("https://otsuka-europe-crm.veevavault.com/ui/#object/approved_document__v/V5O000000018003", "AE dialoghi di tempo fiducia e cura episodi 2-3-4")</f>
        <v>AE dialoghi di tempo fiducia e cura episodi 2-3-4</v>
      </c>
      <c r="M4877" s="10" t="str">
        <f>HYPERLINK("mailto:nicoletta.vozza@crm.otsuka-europe.com", "nicoletta.vozza@crm.otsuka-europe.com")</f>
        <v>nicoletta.vozza@crm.otsuka-europe.com</v>
      </c>
      <c r="N4877" s="13">
        <v>46181.337997685187</v>
      </c>
      <c r="O4877" s="14" t="str">
        <f>HYPERLINK("https://otsuka-europe-crm.veevavault.com/ui/#object/email_activity__v/V8C00000003Q299", "EN-002091441")</f>
        <v>EN-002091441</v>
      </c>
    </row>
    <row r="4878" spans="1:15" ht="32" x14ac:dyDescent="0.2">
      <c r="A4878" s="7" t="str">
        <f>HYPERLINK("https://otsuka-europe-crm.veevavault.com/ui/#object/account__v/V4TZ06G6O71SBC7", "ROSA MANCA")</f>
        <v>ROSA MANCA</v>
      </c>
      <c r="B4878" s="7" t="str">
        <f>HYPERLINK("https://otsuka-europe-crm.veevavault.com/ui/#object/vcountry__v/VENZ000004SONFQ", "IT")</f>
        <v>IT</v>
      </c>
      <c r="C4878" s="8" t="s">
        <v>44</v>
      </c>
      <c r="D4878" s="9" t="str">
        <f>HYPERLINK("https://otsuka-europe-crm.veevavault.com/ui/#object/approved_document__v/V5O000000018003", "AE dialoghi di tempo fiducia e cura episodi 2-3-4")</f>
        <v>AE dialoghi di tempo fiducia e cura episodi 2-3-4</v>
      </c>
      <c r="E4878" s="10" t="str">
        <f>HYPERLINK("https://otsuka-europe-crm.veevavault.com/ui/#object/sent_email__v/VBL00000002Q019", "SE-001433688")</f>
        <v>SE-001433688</v>
      </c>
      <c r="F4878" s="11"/>
      <c r="G4878" s="12">
        <v>0</v>
      </c>
      <c r="H4878" s="12">
        <v>0</v>
      </c>
      <c r="I4878" s="12">
        <v>0</v>
      </c>
      <c r="J4878" s="11"/>
      <c r="K4878" s="12">
        <v>0</v>
      </c>
      <c r="L4878" s="10" t="str">
        <f>HYPERLINK("https://otsuka-europe-crm.veevavault.com/ui/#object/approved_document__v/V5O000000018003", "AE dialoghi di tempo fiducia e cura episodi 2-3-4")</f>
        <v>AE dialoghi di tempo fiducia e cura episodi 2-3-4</v>
      </c>
      <c r="M4878" s="10" t="str">
        <f>HYPERLINK("mailto:nicoletta.vozza@crm.otsuka-europe.com", "nicoletta.vozza@crm.otsuka-europe.com")</f>
        <v>nicoletta.vozza@crm.otsuka-europe.com</v>
      </c>
      <c r="N4878" s="13">
        <v>46181.338055555556</v>
      </c>
      <c r="O4878" s="14" t="str">
        <f>HYPERLINK("https://otsuka-europe-crm.veevavault.com/ui/#object/email_activity__v/V8C00000003O848", "EN-002090549")</f>
        <v>EN-002090549</v>
      </c>
    </row>
    <row r="4879" spans="1:15" ht="16" x14ac:dyDescent="0.2">
      <c r="A4879" s="17" t="str">
        <f>HYPERLINK("https://otsuka-europe-crm.veevavault.com/ui/#object/account__v/V4TZ06G6O71SBRM", "ROSA PERRONE")</f>
        <v>ROSA PERRONE</v>
      </c>
      <c r="B4879" s="17" t="str">
        <f>HYPERLINK("https://otsuka-europe-crm.veevavault.com/ui/#object/vcountry__v/VENZ000004SONFQ", "IT")</f>
        <v>IT</v>
      </c>
      <c r="C4879" s="20" t="s">
        <v>44</v>
      </c>
      <c r="D4879" s="21" t="str">
        <f>HYPERLINK("https://otsuka-europe-crm.veevavault.com/ui/#object/approved_document__v/V5O000000018003", "AE dialoghi di tempo fiducia e cura episodi 2-3-4")</f>
        <v>AE dialoghi di tempo fiducia e cura episodi 2-3-4</v>
      </c>
      <c r="E4879" s="22" t="str">
        <f>HYPERLINK("https://otsuka-europe-crm.veevavault.com/ui/#object/sent_email__v/VBL00000002Q020", "SE-001433689")</f>
        <v>SE-001433689</v>
      </c>
      <c r="F4879" s="23">
        <v>46181.34946759259</v>
      </c>
      <c r="G4879" s="24">
        <v>1</v>
      </c>
      <c r="H4879" s="24">
        <v>1</v>
      </c>
      <c r="I4879" s="24">
        <v>0</v>
      </c>
      <c r="J4879" s="25"/>
      <c r="K4879" s="24">
        <v>0</v>
      </c>
      <c r="L4879" s="22" t="str">
        <f>HYPERLINK("https://otsuka-europe-crm.veevavault.com/ui/#object/approved_document__v/V5O000000018003", "AE dialoghi di tempo fiducia e cura episodi 2-3-4")</f>
        <v>AE dialoghi di tempo fiducia e cura episodi 2-3-4</v>
      </c>
      <c r="M4879" s="22" t="str">
        <f>HYPERLINK("mailto:nicoletta.vozza@crm.otsuka-europe.com", "nicoletta.vozza@crm.otsuka-europe.com")</f>
        <v>nicoletta.vozza@crm.otsuka-europe.com</v>
      </c>
      <c r="N4879" s="23">
        <v>46181.337997685187</v>
      </c>
      <c r="O4879" s="14" t="str">
        <f>HYPERLINK("https://otsuka-europe-crm.veevavault.com/ui/#object/email_activity__v/V8C00000003O915", "EN-002090575")</f>
        <v>EN-002090575</v>
      </c>
    </row>
    <row r="4880" spans="1:15" ht="16" x14ac:dyDescent="0.2">
      <c r="A4880" s="19"/>
      <c r="B4880" s="19"/>
      <c r="C4880" s="19"/>
      <c r="D4880" s="19"/>
      <c r="E4880" s="19"/>
      <c r="F4880" s="19"/>
      <c r="G4880" s="19"/>
      <c r="H4880" s="19"/>
      <c r="I4880" s="19"/>
      <c r="J4880" s="19"/>
      <c r="K4880" s="19"/>
      <c r="L4880" s="19"/>
      <c r="M4880" s="19"/>
      <c r="N4880" s="19"/>
      <c r="O4880" s="14" t="str">
        <f>HYPERLINK("https://otsuka-europe-crm.veevavault.com/ui/#object/email_activity__v/V8C00000003Q315", "EN-002091471")</f>
        <v>EN-002091471</v>
      </c>
    </row>
    <row r="4881" spans="1:15" ht="32" x14ac:dyDescent="0.2">
      <c r="A4881" s="7" t="str">
        <f>HYPERLINK("https://otsuka-europe-crm.veevavault.com/ui/#object/account__v/V4TZ06G6O71SA8Z", "ROSA SUSANNA BUZZERIO")</f>
        <v>ROSA SUSANNA BUZZERIO</v>
      </c>
      <c r="B4881" s="7" t="str">
        <f>HYPERLINK("https://otsuka-europe-crm.veevavault.com/ui/#object/vcountry__v/VENZ000004SONFQ", "IT")</f>
        <v>IT</v>
      </c>
      <c r="C4881" s="8" t="s">
        <v>44</v>
      </c>
      <c r="D4881" s="9" t="str">
        <f>HYPERLINK("https://otsuka-europe-crm.veevavault.com/ui/#object/approved_document__v/V5O000000018003", "AE dialoghi di tempo fiducia e cura episodi 2-3-4")</f>
        <v>AE dialoghi di tempo fiducia e cura episodi 2-3-4</v>
      </c>
      <c r="E4881" s="10" t="str">
        <f>HYPERLINK("https://otsuka-europe-crm.veevavault.com/ui/#object/sent_email__v/VBL00000002Q021", "SE-001433690")</f>
        <v>SE-001433690</v>
      </c>
      <c r="F4881" s="11"/>
      <c r="G4881" s="12">
        <v>0</v>
      </c>
      <c r="H4881" s="12">
        <v>0</v>
      </c>
      <c r="I4881" s="12">
        <v>0</v>
      </c>
      <c r="J4881" s="11"/>
      <c r="K4881" s="12">
        <v>0</v>
      </c>
      <c r="L4881" s="10" t="str">
        <f>HYPERLINK("https://otsuka-europe-crm.veevavault.com/ui/#object/approved_document__v/V5O000000018003", "AE dialoghi di tempo fiducia e cura episodi 2-3-4")</f>
        <v>AE dialoghi di tempo fiducia e cura episodi 2-3-4</v>
      </c>
      <c r="M4881" s="10" t="str">
        <f>HYPERLINK("mailto:nicoletta.vozza@crm.otsuka-europe.com", "nicoletta.vozza@crm.otsuka-europe.com")</f>
        <v>nicoletta.vozza@crm.otsuka-europe.com</v>
      </c>
      <c r="N4881" s="13">
        <v>46181.338067129633</v>
      </c>
      <c r="O4881" s="14" t="str">
        <f>HYPERLINK("https://otsuka-europe-crm.veevavault.com/ui/#object/email_activity__v/V8C00000003O494", "EN-002090050")</f>
        <v>EN-002090050</v>
      </c>
    </row>
    <row r="4882" spans="1:15" ht="16" x14ac:dyDescent="0.2">
      <c r="A4882" s="17" t="str">
        <f>HYPERLINK("https://otsuka-europe-crm.veevavault.com/ui/#object/account__v/V4TZ06G6O71SCJL", "ROSA TARATUFOLO")</f>
        <v>ROSA TARATUFOLO</v>
      </c>
      <c r="B4882" s="17" t="str">
        <f>HYPERLINK("https://otsuka-europe-crm.veevavault.com/ui/#object/vcountry__v/VENZ000004SONFQ", "IT")</f>
        <v>IT</v>
      </c>
      <c r="C4882" s="20" t="s">
        <v>44</v>
      </c>
      <c r="D4882" s="21" t="str">
        <f>HYPERLINK("https://otsuka-europe-crm.veevavault.com/ui/#object/approved_document__v/V5O000000018003", "AE dialoghi di tempo fiducia e cura episodi 2-3-4")</f>
        <v>AE dialoghi di tempo fiducia e cura episodi 2-3-4</v>
      </c>
      <c r="E4882" s="22" t="str">
        <f>HYPERLINK("https://otsuka-europe-crm.veevavault.com/ui/#object/sent_email__v/VBL00000002Q022", "SE-001433691")</f>
        <v>SE-001433691</v>
      </c>
      <c r="F4882" s="23">
        <v>46181.338229166664</v>
      </c>
      <c r="G4882" s="24">
        <v>1</v>
      </c>
      <c r="H4882" s="24">
        <v>1</v>
      </c>
      <c r="I4882" s="24">
        <v>0</v>
      </c>
      <c r="J4882" s="25"/>
      <c r="K4882" s="24">
        <v>0</v>
      </c>
      <c r="L4882" s="22" t="str">
        <f>HYPERLINK("https://otsuka-europe-crm.veevavault.com/ui/#object/approved_document__v/V5O000000018003", "AE dialoghi di tempo fiducia e cura episodi 2-3-4")</f>
        <v>AE dialoghi di tempo fiducia e cura episodi 2-3-4</v>
      </c>
      <c r="M4882" s="22" t="str">
        <f>HYPERLINK("mailto:nicoletta.vozza@crm.otsuka-europe.com", "nicoletta.vozza@crm.otsuka-europe.com")</f>
        <v>nicoletta.vozza@crm.otsuka-europe.com</v>
      </c>
      <c r="N4882" s="23">
        <v>46181.337962962964</v>
      </c>
      <c r="O4882" s="14" t="str">
        <f>HYPERLINK("https://otsuka-europe-crm.veevavault.com/ui/#object/email_activity__v/V8C00000003O308", "EN-002089785")</f>
        <v>EN-002089785</v>
      </c>
    </row>
    <row r="4883" spans="1:15" ht="16" x14ac:dyDescent="0.2">
      <c r="A4883" s="19"/>
      <c r="B4883" s="19"/>
      <c r="C4883" s="19"/>
      <c r="D4883" s="19"/>
      <c r="E4883" s="19"/>
      <c r="F4883" s="19"/>
      <c r="G4883" s="19"/>
      <c r="H4883" s="19"/>
      <c r="I4883" s="19"/>
      <c r="J4883" s="19"/>
      <c r="K4883" s="19"/>
      <c r="L4883" s="19"/>
      <c r="M4883" s="19"/>
      <c r="N4883" s="19"/>
      <c r="O4883" s="14" t="str">
        <f>HYPERLINK("https://otsuka-europe-crm.veevavault.com/ui/#object/email_activity__v/V8C00000003Q076", "EN-002091141")</f>
        <v>EN-002091141</v>
      </c>
    </row>
    <row r="4884" spans="1:15" ht="32" x14ac:dyDescent="0.2">
      <c r="A4884" s="7" t="str">
        <f>HYPERLINK("https://otsuka-europe-crm.veevavault.com/ui/#object/account__v/V4TZ06G6O71SATD", "ROSALBA DIASPRO")</f>
        <v>ROSALBA DIASPRO</v>
      </c>
      <c r="B4884" s="7" t="str">
        <f>HYPERLINK("https://otsuka-europe-crm.veevavault.com/ui/#object/vcountry__v/VENZ000004SONFQ", "IT")</f>
        <v>IT</v>
      </c>
      <c r="C4884" s="8" t="s">
        <v>44</v>
      </c>
      <c r="D4884" s="9" t="str">
        <f>HYPERLINK("https://otsuka-europe-crm.veevavault.com/ui/#object/approved_document__v/V5O000000018003", "AE dialoghi di tempo fiducia e cura episodi 2-3-4")</f>
        <v>AE dialoghi di tempo fiducia e cura episodi 2-3-4</v>
      </c>
      <c r="E4884" s="10" t="str">
        <f>HYPERLINK("https://otsuka-europe-crm.veevavault.com/ui/#object/sent_email__v/VBL00000002Q023", "SE-001433692")</f>
        <v>SE-001433692</v>
      </c>
      <c r="F4884" s="11"/>
      <c r="G4884" s="12">
        <v>0</v>
      </c>
      <c r="H4884" s="12">
        <v>0</v>
      </c>
      <c r="I4884" s="12">
        <v>0</v>
      </c>
      <c r="J4884" s="11"/>
      <c r="K4884" s="12">
        <v>0</v>
      </c>
      <c r="L4884" s="10" t="str">
        <f>HYPERLINK("https://otsuka-europe-crm.veevavault.com/ui/#object/approved_document__v/V5O000000018003", "AE dialoghi di tempo fiducia e cura episodi 2-3-4")</f>
        <v>AE dialoghi di tempo fiducia e cura episodi 2-3-4</v>
      </c>
      <c r="M4884" s="10" t="str">
        <f>HYPERLINK("mailto:nicoletta.vozza@crm.otsuka-europe.com", "nicoletta.vozza@crm.otsuka-europe.com")</f>
        <v>nicoletta.vozza@crm.otsuka-europe.com</v>
      </c>
      <c r="N4884" s="13">
        <v>46181.338067129633</v>
      </c>
      <c r="O4884" s="14" t="str">
        <f>HYPERLINK("https://otsuka-europe-crm.veevavault.com/ui/#object/email_activity__v/V8C00000003Q306", "EN-002091453")</f>
        <v>EN-002091453</v>
      </c>
    </row>
    <row r="4885" spans="1:15" ht="16" x14ac:dyDescent="0.2">
      <c r="A4885" s="17" t="str">
        <f>HYPERLINK("https://otsuka-europe-crm.veevavault.com/ui/#object/account__v/V4TZ06G6O71SBKV", "ROSALIA MOREA")</f>
        <v>ROSALIA MOREA</v>
      </c>
      <c r="B4885" s="17" t="str">
        <f>HYPERLINK("https://otsuka-europe-crm.veevavault.com/ui/#object/vcountry__v/VENZ000004SONFQ", "IT")</f>
        <v>IT</v>
      </c>
      <c r="C4885" s="20" t="s">
        <v>44</v>
      </c>
      <c r="D4885" s="21" t="str">
        <f>HYPERLINK("https://otsuka-europe-crm.veevavault.com/ui/#object/approved_document__v/V5O000000018003", "AE dialoghi di tempo fiducia e cura episodi 2-3-4")</f>
        <v>AE dialoghi di tempo fiducia e cura episodi 2-3-4</v>
      </c>
      <c r="E4885" s="22" t="str">
        <f>HYPERLINK("https://otsuka-europe-crm.veevavault.com/ui/#object/sent_email__v/VBL00000002Q024", "SE-001433693")</f>
        <v>SE-001433693</v>
      </c>
      <c r="F4885" s="23">
        <v>46181.460486111115</v>
      </c>
      <c r="G4885" s="24">
        <v>1</v>
      </c>
      <c r="H4885" s="24">
        <v>1</v>
      </c>
      <c r="I4885" s="24">
        <v>0</v>
      </c>
      <c r="J4885" s="25"/>
      <c r="K4885" s="24">
        <v>0</v>
      </c>
      <c r="L4885" s="22" t="str">
        <f>HYPERLINK("https://otsuka-europe-crm.veevavault.com/ui/#object/approved_document__v/V5O000000018003", "AE dialoghi di tempo fiducia e cura episodi 2-3-4")</f>
        <v>AE dialoghi di tempo fiducia e cura episodi 2-3-4</v>
      </c>
      <c r="M4885" s="22" t="str">
        <f>HYPERLINK("mailto:nicoletta.vozza@crm.otsuka-europe.com", "nicoletta.vozza@crm.otsuka-europe.com")</f>
        <v>nicoletta.vozza@crm.otsuka-europe.com</v>
      </c>
      <c r="N4885" s="23">
        <v>46181.338055555556</v>
      </c>
      <c r="O4885" s="14" t="str">
        <f>HYPERLINK("https://otsuka-europe-crm.veevavault.com/ui/#object/email_activity__v/V8C00000003P503", "EN-002090715")</f>
        <v>EN-002090715</v>
      </c>
    </row>
    <row r="4886" spans="1:15" ht="16" x14ac:dyDescent="0.2">
      <c r="A4886" s="19"/>
      <c r="B4886" s="19"/>
      <c r="C4886" s="19"/>
      <c r="D4886" s="19"/>
      <c r="E4886" s="19"/>
      <c r="F4886" s="19"/>
      <c r="G4886" s="19"/>
      <c r="H4886" s="19"/>
      <c r="I4886" s="19"/>
      <c r="J4886" s="19"/>
      <c r="K4886" s="19"/>
      <c r="L4886" s="19"/>
      <c r="M4886" s="19"/>
      <c r="N4886" s="19"/>
      <c r="O4886" s="14" t="str">
        <f>HYPERLINK("https://otsuka-europe-crm.veevavault.com/ui/#object/email_activity__v/V8C00000003Q526", "EN-002091865")</f>
        <v>EN-002091865</v>
      </c>
    </row>
    <row r="4887" spans="1:15" ht="16" x14ac:dyDescent="0.2">
      <c r="A4887" s="17" t="str">
        <f>HYPERLINK("https://otsuka-europe-crm.veevavault.com/ui/#object/account__v/V4TZ06G6OBS6VJR", "ROSANGELA COLASUONNO")</f>
        <v>ROSANGELA COLASUONNO</v>
      </c>
      <c r="B4887" s="17" t="str">
        <f>HYPERLINK("https://otsuka-europe-crm.veevavault.com/ui/#object/vcountry__v/VENZ000004SONFQ", "IT")</f>
        <v>IT</v>
      </c>
      <c r="C4887" s="20" t="s">
        <v>44</v>
      </c>
      <c r="D4887" s="21" t="str">
        <f>HYPERLINK("https://otsuka-europe-crm.veevavault.com/ui/#object/approved_document__v/V5O000000018003", "AE dialoghi di tempo fiducia e cura episodi 2-3-4")</f>
        <v>AE dialoghi di tempo fiducia e cura episodi 2-3-4</v>
      </c>
      <c r="E4887" s="22" t="str">
        <f>HYPERLINK("https://otsuka-europe-crm.veevavault.com/ui/#object/sent_email__v/VBL00000002Q025", "SE-001433694")</f>
        <v>SE-001433694</v>
      </c>
      <c r="F4887" s="23">
        <v>46181.346250000002</v>
      </c>
      <c r="G4887" s="24">
        <v>1</v>
      </c>
      <c r="H4887" s="24">
        <v>4</v>
      </c>
      <c r="I4887" s="24">
        <v>0</v>
      </c>
      <c r="J4887" s="25"/>
      <c r="K4887" s="24">
        <v>0</v>
      </c>
      <c r="L4887" s="22" t="str">
        <f>HYPERLINK("https://otsuka-europe-crm.veevavault.com/ui/#object/approved_document__v/V5O000000018003", "AE dialoghi di tempo fiducia e cura episodi 2-3-4")</f>
        <v>AE dialoghi di tempo fiducia e cura episodi 2-3-4</v>
      </c>
      <c r="M4887" s="22" t="str">
        <f>HYPERLINK("mailto:nicoletta.vozza@crm.otsuka-europe.com", "nicoletta.vozza@crm.otsuka-europe.com")</f>
        <v>nicoletta.vozza@crm.otsuka-europe.com</v>
      </c>
      <c r="N4887" s="23">
        <v>46181.338067129633</v>
      </c>
      <c r="O4887" s="14" t="str">
        <f>HYPERLINK("https://otsuka-europe-crm.veevavault.com/ui/#object/email_activity__v/V8C00000003P911", "EN-002091460")</f>
        <v>EN-002091460</v>
      </c>
    </row>
    <row r="4888" spans="1:15" ht="16" x14ac:dyDescent="0.2">
      <c r="A4888" s="18"/>
      <c r="B4888" s="18"/>
      <c r="C4888" s="18"/>
      <c r="D4888" s="18"/>
      <c r="E4888" s="18"/>
      <c r="F4888" s="18"/>
      <c r="G4888" s="18"/>
      <c r="H4888" s="18"/>
      <c r="I4888" s="18"/>
      <c r="J4888" s="18"/>
      <c r="K4888" s="18"/>
      <c r="L4888" s="18"/>
      <c r="M4888" s="18"/>
      <c r="N4888" s="18"/>
      <c r="O4888" s="14" t="str">
        <f>HYPERLINK("https://otsuka-europe-crm.veevavault.com/ui/#object/email_activity__v/V8C00000003P912", "EN-002091461")</f>
        <v>EN-002091461</v>
      </c>
    </row>
    <row r="4889" spans="1:15" ht="16" x14ac:dyDescent="0.2">
      <c r="A4889" s="18"/>
      <c r="B4889" s="18"/>
      <c r="C4889" s="18"/>
      <c r="D4889" s="18"/>
      <c r="E4889" s="18"/>
      <c r="F4889" s="18"/>
      <c r="G4889" s="18"/>
      <c r="H4889" s="18"/>
      <c r="I4889" s="18"/>
      <c r="J4889" s="18"/>
      <c r="K4889" s="18"/>
      <c r="L4889" s="18"/>
      <c r="M4889" s="18"/>
      <c r="N4889" s="18"/>
      <c r="O4889" s="14" t="str">
        <f>HYPERLINK("https://otsuka-europe-crm.veevavault.com/ui/#object/email_activity__v/V8C00000003P915", "EN-002091465")</f>
        <v>EN-002091465</v>
      </c>
    </row>
    <row r="4890" spans="1:15" ht="16" x14ac:dyDescent="0.2">
      <c r="A4890" s="18"/>
      <c r="B4890" s="18"/>
      <c r="C4890" s="18"/>
      <c r="D4890" s="18"/>
      <c r="E4890" s="18"/>
      <c r="F4890" s="18"/>
      <c r="G4890" s="18"/>
      <c r="H4890" s="18"/>
      <c r="I4890" s="18"/>
      <c r="J4890" s="18"/>
      <c r="K4890" s="18"/>
      <c r="L4890" s="18"/>
      <c r="M4890" s="18"/>
      <c r="N4890" s="18"/>
      <c r="O4890" s="14" t="str">
        <f>HYPERLINK("https://otsuka-europe-crm.veevavault.com/ui/#object/email_activity__v/V8C00000003Q064", "EN-002091129")</f>
        <v>EN-002091129</v>
      </c>
    </row>
    <row r="4891" spans="1:15" ht="16" x14ac:dyDescent="0.2">
      <c r="A4891" s="19"/>
      <c r="B4891" s="19"/>
      <c r="C4891" s="19"/>
      <c r="D4891" s="19"/>
      <c r="E4891" s="19"/>
      <c r="F4891" s="19"/>
      <c r="G4891" s="19"/>
      <c r="H4891" s="19"/>
      <c r="I4891" s="19"/>
      <c r="J4891" s="19"/>
      <c r="K4891" s="19"/>
      <c r="L4891" s="19"/>
      <c r="M4891" s="19"/>
      <c r="N4891" s="19"/>
      <c r="O4891" s="14" t="str">
        <f>HYPERLINK("https://otsuka-europe-crm.veevavault.com/ui/#object/email_activity__v/V8C00000003Q308", "EN-002091456")</f>
        <v>EN-002091456</v>
      </c>
    </row>
    <row r="4892" spans="1:15" ht="16" x14ac:dyDescent="0.2">
      <c r="A4892" s="17" t="str">
        <f>HYPERLINK("https://otsuka-europe-crm.veevavault.com/ui/#object/account__v/V4TZ06G6O71SA18", "ROSANNA BARONE")</f>
        <v>ROSANNA BARONE</v>
      </c>
      <c r="B4892" s="17" t="str">
        <f>HYPERLINK("https://otsuka-europe-crm.veevavault.com/ui/#object/vcountry__v/VENZ000004SONFQ", "IT")</f>
        <v>IT</v>
      </c>
      <c r="C4892" s="20" t="s">
        <v>44</v>
      </c>
      <c r="D4892" s="21" t="str">
        <f>HYPERLINK("https://otsuka-europe-crm.veevavault.com/ui/#object/approved_document__v/V5O000000018003", "AE dialoghi di tempo fiducia e cura episodi 2-3-4")</f>
        <v>AE dialoghi di tempo fiducia e cura episodi 2-3-4</v>
      </c>
      <c r="E4892" s="22" t="str">
        <f>HYPERLINK("https://otsuka-europe-crm.veevavault.com/ui/#object/sent_email__v/VBL00000002Q026", "SE-001433695")</f>
        <v>SE-001433695</v>
      </c>
      <c r="F4892" s="23">
        <v>46183.490833333337</v>
      </c>
      <c r="G4892" s="24">
        <v>1</v>
      </c>
      <c r="H4892" s="24">
        <v>4</v>
      </c>
      <c r="I4892" s="24">
        <v>0</v>
      </c>
      <c r="J4892" s="25"/>
      <c r="K4892" s="24">
        <v>0</v>
      </c>
      <c r="L4892" s="22" t="str">
        <f>HYPERLINK("https://otsuka-europe-crm.veevavault.com/ui/#object/approved_document__v/V5O000000018003", "AE dialoghi di tempo fiducia e cura episodi 2-3-4")</f>
        <v>AE dialoghi di tempo fiducia e cura episodi 2-3-4</v>
      </c>
      <c r="M4892" s="22" t="str">
        <f>HYPERLINK("mailto:nicoletta.vozza@crm.otsuka-europe.com", "nicoletta.vozza@crm.otsuka-europe.com")</f>
        <v>nicoletta.vozza@crm.otsuka-europe.com</v>
      </c>
      <c r="N4892" s="23">
        <v>46181.338020833333</v>
      </c>
      <c r="O4892" s="14" t="str">
        <f>HYPERLINK("https://otsuka-europe-crm.veevavault.com/ui/#object/email_activity__v/V8C00000003O837", "EN-002090539")</f>
        <v>EN-002090539</v>
      </c>
    </row>
    <row r="4893" spans="1:15" ht="16" x14ac:dyDescent="0.2">
      <c r="A4893" s="18"/>
      <c r="B4893" s="18"/>
      <c r="C4893" s="18"/>
      <c r="D4893" s="18"/>
      <c r="E4893" s="18"/>
      <c r="F4893" s="18"/>
      <c r="G4893" s="18"/>
      <c r="H4893" s="18"/>
      <c r="I4893" s="18"/>
      <c r="J4893" s="18"/>
      <c r="K4893" s="18"/>
      <c r="L4893" s="18"/>
      <c r="M4893" s="18"/>
      <c r="N4893" s="18"/>
      <c r="O4893" s="14" t="str">
        <f>HYPERLINK("https://otsuka-europe-crm.veevavault.com/ui/#object/email_activity__v/V8C00000003Q688", "EN-002092212")</f>
        <v>EN-002092212</v>
      </c>
    </row>
    <row r="4894" spans="1:15" ht="16" x14ac:dyDescent="0.2">
      <c r="A4894" s="18"/>
      <c r="B4894" s="18"/>
      <c r="C4894" s="18"/>
      <c r="D4894" s="18"/>
      <c r="E4894" s="18"/>
      <c r="F4894" s="18"/>
      <c r="G4894" s="18"/>
      <c r="H4894" s="18"/>
      <c r="I4894" s="18"/>
      <c r="J4894" s="18"/>
      <c r="K4894" s="18"/>
      <c r="L4894" s="18"/>
      <c r="M4894" s="18"/>
      <c r="N4894" s="18"/>
      <c r="O4894" s="14" t="str">
        <f>HYPERLINK("https://otsuka-europe-crm.veevavault.com/ui/#object/email_activity__v/V8C00000003R285", "EN-002092210")</f>
        <v>EN-002092210</v>
      </c>
    </row>
    <row r="4895" spans="1:15" ht="16" x14ac:dyDescent="0.2">
      <c r="A4895" s="18"/>
      <c r="B4895" s="18"/>
      <c r="C4895" s="18"/>
      <c r="D4895" s="18"/>
      <c r="E4895" s="18"/>
      <c r="F4895" s="18"/>
      <c r="G4895" s="18"/>
      <c r="H4895" s="18"/>
      <c r="I4895" s="18"/>
      <c r="J4895" s="18"/>
      <c r="K4895" s="18"/>
      <c r="L4895" s="18"/>
      <c r="M4895" s="18"/>
      <c r="N4895" s="18"/>
      <c r="O4895" s="14" t="str">
        <f>HYPERLINK("https://otsuka-europe-crm.veevavault.com/ui/#object/email_activity__v/V8C00000003R286", "EN-002092211")</f>
        <v>EN-002092211</v>
      </c>
    </row>
    <row r="4896" spans="1:15" ht="16" x14ac:dyDescent="0.2">
      <c r="A4896" s="19"/>
      <c r="B4896" s="19"/>
      <c r="C4896" s="19"/>
      <c r="D4896" s="19"/>
      <c r="E4896" s="19"/>
      <c r="F4896" s="19"/>
      <c r="G4896" s="19"/>
      <c r="H4896" s="19"/>
      <c r="I4896" s="19"/>
      <c r="J4896" s="19"/>
      <c r="K4896" s="19"/>
      <c r="L4896" s="19"/>
      <c r="M4896" s="19"/>
      <c r="N4896" s="19"/>
      <c r="O4896" s="14" t="str">
        <f>HYPERLINK("https://otsuka-europe-crm.veevavault.com/ui/#object/email_activity__v/V8C00000003S652", "EN-002094196")</f>
        <v>EN-002094196</v>
      </c>
    </row>
    <row r="4897" spans="1:15" ht="32" x14ac:dyDescent="0.2">
      <c r="A4897" s="7" t="str">
        <f>HYPERLINK("https://otsuka-europe-crm.veevavault.com/ui/#object/account__v/V4TZ06G6O71SAGK", "ROSANNA CEGLIE")</f>
        <v>ROSANNA CEGLIE</v>
      </c>
      <c r="B4897" s="7" t="str">
        <f>HYPERLINK("https://otsuka-europe-crm.veevavault.com/ui/#object/vcountry__v/VENZ000004SONFQ", "IT")</f>
        <v>IT</v>
      </c>
      <c r="C4897" s="8" t="s">
        <v>44</v>
      </c>
      <c r="D4897" s="9" t="str">
        <f>HYPERLINK("https://otsuka-europe-crm.veevavault.com/ui/#object/approved_document__v/V5O000000018003", "AE dialoghi di tempo fiducia e cura episodi 2-3-4")</f>
        <v>AE dialoghi di tempo fiducia e cura episodi 2-3-4</v>
      </c>
      <c r="E4897" s="10" t="str">
        <f>HYPERLINK("https://otsuka-europe-crm.veevavault.com/ui/#object/sent_email__v/VBL00000002Q027", "SE-001433696")</f>
        <v>SE-001433696</v>
      </c>
      <c r="F4897" s="11"/>
      <c r="G4897" s="12">
        <v>0</v>
      </c>
      <c r="H4897" s="12">
        <v>0</v>
      </c>
      <c r="I4897" s="12">
        <v>0</v>
      </c>
      <c r="J4897" s="11"/>
      <c r="K4897" s="12">
        <v>0</v>
      </c>
      <c r="L4897" s="10" t="str">
        <f>HYPERLINK("https://otsuka-europe-crm.veevavault.com/ui/#object/approved_document__v/V5O000000018003", "AE dialoghi di tempo fiducia e cura episodi 2-3-4")</f>
        <v>AE dialoghi di tempo fiducia e cura episodi 2-3-4</v>
      </c>
      <c r="M4897" s="10" t="str">
        <f>HYPERLINK("mailto:nicoletta.vozza@crm.otsuka-europe.com", "nicoletta.vozza@crm.otsuka-europe.com")</f>
        <v>nicoletta.vozza@crm.otsuka-europe.com</v>
      </c>
      <c r="N4897" s="13">
        <v>46181.337997685187</v>
      </c>
      <c r="O4897" s="14" t="str">
        <f>HYPERLINK("https://otsuka-europe-crm.veevavault.com/ui/#object/email_activity__v/V8C00000003P690", "EN-002090945")</f>
        <v>EN-002090945</v>
      </c>
    </row>
    <row r="4898" spans="1:15" ht="32" x14ac:dyDescent="0.2">
      <c r="A4898" s="7" t="str">
        <f>HYPERLINK("https://otsuka-europe-crm.veevavault.com/ui/#object/account__v/V4TZ025E861O6NX", "ROSANNA CURCIO")</f>
        <v>ROSANNA CURCIO</v>
      </c>
      <c r="B4898" s="7" t="str">
        <f>HYPERLINK("https://otsuka-europe-crm.veevavault.com/ui/#object/vcountry__v/VENZ000004SONFQ", "IT")</f>
        <v>IT</v>
      </c>
      <c r="C4898" s="8" t="s">
        <v>44</v>
      </c>
      <c r="D4898" s="9" t="str">
        <f>HYPERLINK("https://otsuka-europe-crm.veevavault.com/ui/#object/approved_document__v/V5O000000018003", "AE dialoghi di tempo fiducia e cura episodi 2-3-4")</f>
        <v>AE dialoghi di tempo fiducia e cura episodi 2-3-4</v>
      </c>
      <c r="E4898" s="10" t="str">
        <f>HYPERLINK("https://otsuka-europe-crm.veevavault.com/ui/#object/sent_email__v/VBL00000002Q028", "SE-001433697")</f>
        <v>SE-001433697</v>
      </c>
      <c r="F4898" s="11"/>
      <c r="G4898" s="12">
        <v>0</v>
      </c>
      <c r="H4898" s="12">
        <v>0</v>
      </c>
      <c r="I4898" s="12">
        <v>0</v>
      </c>
      <c r="J4898" s="11"/>
      <c r="K4898" s="12">
        <v>0</v>
      </c>
      <c r="L4898" s="10" t="str">
        <f>HYPERLINK("https://otsuka-europe-crm.veevavault.com/ui/#object/approved_document__v/V5O000000018003", "AE dialoghi di tempo fiducia e cura episodi 2-3-4")</f>
        <v>AE dialoghi di tempo fiducia e cura episodi 2-3-4</v>
      </c>
      <c r="M4898" s="10" t="str">
        <f>HYPERLINK("mailto:nicoletta.vozza@crm.otsuka-europe.com", "nicoletta.vozza@crm.otsuka-europe.com")</f>
        <v>nicoletta.vozza@crm.otsuka-europe.com</v>
      </c>
      <c r="N4898" s="13">
        <v>46181.338067129633</v>
      </c>
      <c r="O4898" s="14" t="str">
        <f>HYPERLINK("https://otsuka-europe-crm.veevavault.com/ui/#object/email_activity__v/V8C00000003P639", "EN-002090894")</f>
        <v>EN-002090894</v>
      </c>
    </row>
    <row r="4899" spans="1:15" ht="32" x14ac:dyDescent="0.2">
      <c r="A4899" s="7" t="str">
        <f>HYPERLINK("https://otsuka-europe-crm.veevavault.com/ui/#object/account__v/V4TZ06G6O71SASL", "ROSARIA DI LORENZO")</f>
        <v>ROSARIA DI LORENZO</v>
      </c>
      <c r="B4899" s="7" t="str">
        <f>HYPERLINK("https://otsuka-europe-crm.veevavault.com/ui/#object/vcountry__v/VENZ000004SONFQ", "IT")</f>
        <v>IT</v>
      </c>
      <c r="C4899" s="8" t="s">
        <v>44</v>
      </c>
      <c r="D4899" s="9" t="str">
        <f>HYPERLINK("https://otsuka-europe-crm.veevavault.com/ui/#object/approved_document__v/V5O000000018003", "AE dialoghi di tempo fiducia e cura episodi 2-3-4")</f>
        <v>AE dialoghi di tempo fiducia e cura episodi 2-3-4</v>
      </c>
      <c r="E4899" s="10" t="str">
        <f>HYPERLINK("https://otsuka-europe-crm.veevavault.com/ui/#object/sent_email__v/VBL00000002Q029", "SE-001433698")</f>
        <v>SE-001433698</v>
      </c>
      <c r="F4899" s="11"/>
      <c r="G4899" s="12">
        <v>0</v>
      </c>
      <c r="H4899" s="12">
        <v>0</v>
      </c>
      <c r="I4899" s="12">
        <v>0</v>
      </c>
      <c r="J4899" s="11"/>
      <c r="K4899" s="12">
        <v>0</v>
      </c>
      <c r="L4899" s="10" t="str">
        <f>HYPERLINK("https://otsuka-europe-crm.veevavault.com/ui/#object/approved_document__v/V5O000000018003", "AE dialoghi di tempo fiducia e cura episodi 2-3-4")</f>
        <v>AE dialoghi di tempo fiducia e cura episodi 2-3-4</v>
      </c>
      <c r="M4899" s="10" t="str">
        <f>HYPERLINK("mailto:nicoletta.vozza@crm.otsuka-europe.com", "nicoletta.vozza@crm.otsuka-europe.com")</f>
        <v>nicoletta.vozza@crm.otsuka-europe.com</v>
      </c>
      <c r="N4899" s="13">
        <v>46181.337951388887</v>
      </c>
      <c r="O4899" s="14" t="str">
        <f>HYPERLINK("https://otsuka-europe-crm.veevavault.com/ui/#object/email_activity__v/V8C00000003O344", "EN-002089862")</f>
        <v>EN-002089862</v>
      </c>
    </row>
    <row r="4900" spans="1:15" ht="32" x14ac:dyDescent="0.2">
      <c r="A4900" s="7" t="str">
        <f>HYPERLINK("https://otsuka-europe-crm.veevavault.com/ui/#object/account__v/V4TZ04ASGC4KAEV", "ROSARIA RUSSO")</f>
        <v>ROSARIA RUSSO</v>
      </c>
      <c r="B4900" s="7" t="str">
        <f>HYPERLINK("https://otsuka-europe-crm.veevavault.com/ui/#object/vcountry__v/VENZ000004SONFQ", "IT")</f>
        <v>IT</v>
      </c>
      <c r="C4900" s="8" t="s">
        <v>44</v>
      </c>
      <c r="D4900" s="9" t="str">
        <f>HYPERLINK("https://otsuka-europe-crm.veevavault.com/ui/#object/approved_document__v/V5O000000018003", "AE dialoghi di tempo fiducia e cura episodi 2-3-4")</f>
        <v>AE dialoghi di tempo fiducia e cura episodi 2-3-4</v>
      </c>
      <c r="E4900" s="10" t="str">
        <f>HYPERLINK("https://otsuka-europe-crm.veevavault.com/ui/#object/sent_email__v/VBL00000002Q030", "SE-001433699")</f>
        <v>SE-001433699</v>
      </c>
      <c r="F4900" s="11"/>
      <c r="G4900" s="12">
        <v>0</v>
      </c>
      <c r="H4900" s="12">
        <v>0</v>
      </c>
      <c r="I4900" s="12">
        <v>0</v>
      </c>
      <c r="J4900" s="11"/>
      <c r="K4900" s="12">
        <v>0</v>
      </c>
      <c r="L4900" s="10" t="str">
        <f>HYPERLINK("https://otsuka-europe-crm.veevavault.com/ui/#object/approved_document__v/V5O000000018003", "AE dialoghi di tempo fiducia e cura episodi 2-3-4")</f>
        <v>AE dialoghi di tempo fiducia e cura episodi 2-3-4</v>
      </c>
      <c r="M4900" s="10" t="str">
        <f>HYPERLINK("mailto:nicoletta.vozza@crm.otsuka-europe.com", "nicoletta.vozza@crm.otsuka-europe.com")</f>
        <v>nicoletta.vozza@crm.otsuka-europe.com</v>
      </c>
      <c r="N4900" s="13">
        <v>46181.337939814817</v>
      </c>
      <c r="O4900" s="14" t="str">
        <f>HYPERLINK("https://otsuka-europe-crm.veevavault.com/ui/#object/email_activity__v/V8C00000003P379", "EN-002090385")</f>
        <v>EN-002090385</v>
      </c>
    </row>
    <row r="4901" spans="1:15" ht="16" x14ac:dyDescent="0.2">
      <c r="A4901" s="17" t="str">
        <f>HYPERLINK("https://otsuka-europe-crm.veevavault.com/ui/#object/account__v/V4TZ06G6O71SCMM", "ROSARIA TUCCILLO")</f>
        <v>ROSARIA TUCCILLO</v>
      </c>
      <c r="B4901" s="17" t="str">
        <f>HYPERLINK("https://otsuka-europe-crm.veevavault.com/ui/#object/vcountry__v/VENZ000004SONFQ", "IT")</f>
        <v>IT</v>
      </c>
      <c r="C4901" s="20" t="s">
        <v>44</v>
      </c>
      <c r="D4901" s="21" t="str">
        <f>HYPERLINK("https://otsuka-europe-crm.veevavault.com/ui/#object/approved_document__v/V5O000000018003", "AE dialoghi di tempo fiducia e cura episodi 2-3-4")</f>
        <v>AE dialoghi di tempo fiducia e cura episodi 2-3-4</v>
      </c>
      <c r="E4901" s="22" t="str">
        <f>HYPERLINK("https://otsuka-europe-crm.veevavault.com/ui/#object/sent_email__v/VBL00000002Q031", "SE-001433700")</f>
        <v>SE-001433700</v>
      </c>
      <c r="F4901" s="25"/>
      <c r="G4901" s="24">
        <v>0</v>
      </c>
      <c r="H4901" s="24">
        <v>0</v>
      </c>
      <c r="I4901" s="24">
        <v>0</v>
      </c>
      <c r="J4901" s="25"/>
      <c r="K4901" s="24">
        <v>0</v>
      </c>
      <c r="L4901" s="22" t="str">
        <f>HYPERLINK("https://otsuka-europe-crm.veevavault.com/ui/#object/approved_document__v/V5O000000018003", "AE dialoghi di tempo fiducia e cura episodi 2-3-4")</f>
        <v>AE dialoghi di tempo fiducia e cura episodi 2-3-4</v>
      </c>
      <c r="M4901" s="22" t="str">
        <f>HYPERLINK("mailto:nicoletta.vozza@crm.otsuka-europe.com", "nicoletta.vozza@crm.otsuka-europe.com")</f>
        <v>nicoletta.vozza@crm.otsuka-europe.com</v>
      </c>
      <c r="N4901" s="23">
        <v>46181.337962962964</v>
      </c>
      <c r="O4901" s="14" t="str">
        <f>HYPERLINK("https://otsuka-europe-crm.veevavault.com/ui/#object/email_activity__v/V8C00000003P171", "EN-002089571")</f>
        <v>EN-002089571</v>
      </c>
    </row>
    <row r="4902" spans="1:15" ht="16" x14ac:dyDescent="0.2">
      <c r="A4902" s="19"/>
      <c r="B4902" s="19"/>
      <c r="C4902" s="19"/>
      <c r="D4902" s="19"/>
      <c r="E4902" s="19"/>
      <c r="F4902" s="19"/>
      <c r="G4902" s="19"/>
      <c r="H4902" s="19"/>
      <c r="I4902" s="19"/>
      <c r="J4902" s="19"/>
      <c r="K4902" s="19"/>
      <c r="L4902" s="19"/>
      <c r="M4902" s="19"/>
      <c r="N4902" s="19"/>
      <c r="O4902" s="14" t="str">
        <f>HYPERLINK("https://otsuka-europe-crm.veevavault.com/ui/#object/email_activity__v/V8C00000003Q569", "EN-002091954")</f>
        <v>EN-002091954</v>
      </c>
    </row>
    <row r="4903" spans="1:15" ht="32" x14ac:dyDescent="0.2">
      <c r="A4903" s="7" t="str">
        <f>HYPERLINK("https://otsuka-europe-crm.veevavault.com/ui/#object/account__v/V4TZ06G6O71SB7O", "ROSELLA INSIRELLO")</f>
        <v>ROSELLA INSIRELLO</v>
      </c>
      <c r="B4903" s="7" t="str">
        <f t="shared" ref="B4903:B4911" si="512">HYPERLINK("https://otsuka-europe-crm.veevavault.com/ui/#object/vcountry__v/VENZ000004SONFQ", "IT")</f>
        <v>IT</v>
      </c>
      <c r="C4903" s="8" t="s">
        <v>44</v>
      </c>
      <c r="D4903" s="9" t="str">
        <f t="shared" ref="D4903:D4911" si="513">HYPERLINK("https://otsuka-europe-crm.veevavault.com/ui/#object/approved_document__v/V5O000000018003", "AE dialoghi di tempo fiducia e cura episodi 2-3-4")</f>
        <v>AE dialoghi di tempo fiducia e cura episodi 2-3-4</v>
      </c>
      <c r="E4903" s="10" t="str">
        <f>HYPERLINK("https://otsuka-europe-crm.veevavault.com/ui/#object/sent_email__v/VBL00000002Q032", "SE-001433701")</f>
        <v>SE-001433701</v>
      </c>
      <c r="F4903" s="11"/>
      <c r="G4903" s="12">
        <v>0</v>
      </c>
      <c r="H4903" s="12">
        <v>0</v>
      </c>
      <c r="I4903" s="12">
        <v>0</v>
      </c>
      <c r="J4903" s="11"/>
      <c r="K4903" s="12">
        <v>0</v>
      </c>
      <c r="L4903" s="10" t="str">
        <f t="shared" ref="L4903:L4911" si="514">HYPERLINK("https://otsuka-europe-crm.veevavault.com/ui/#object/approved_document__v/V5O000000018003", "AE dialoghi di tempo fiducia e cura episodi 2-3-4")</f>
        <v>AE dialoghi di tempo fiducia e cura episodi 2-3-4</v>
      </c>
      <c r="M4903" s="10" t="str">
        <f t="shared" ref="M4903:M4911" si="515">HYPERLINK("mailto:nicoletta.vozza@crm.otsuka-europe.com", "nicoletta.vozza@crm.otsuka-europe.com")</f>
        <v>nicoletta.vozza@crm.otsuka-europe.com</v>
      </c>
      <c r="N4903" s="13">
        <v>46181.337962962964</v>
      </c>
      <c r="O4903" s="14" t="str">
        <f>HYPERLINK("https://otsuka-europe-crm.veevavault.com/ui/#object/email_activity__v/V8C00000003O189", "EN-002089626")</f>
        <v>EN-002089626</v>
      </c>
    </row>
    <row r="4904" spans="1:15" ht="32" x14ac:dyDescent="0.2">
      <c r="A4904" s="7" t="str">
        <f>HYPERLINK("https://otsuka-europe-crm.veevavault.com/ui/#object/account__v/V4TZ06G6O856RM9", "ROSSANA RIOLO")</f>
        <v>ROSSANA RIOLO</v>
      </c>
      <c r="B4904" s="7" t="str">
        <f t="shared" si="512"/>
        <v>IT</v>
      </c>
      <c r="C4904" s="8" t="s">
        <v>44</v>
      </c>
      <c r="D4904" s="9" t="str">
        <f t="shared" si="513"/>
        <v>AE dialoghi di tempo fiducia e cura episodi 2-3-4</v>
      </c>
      <c r="E4904" s="10" t="str">
        <f>HYPERLINK("https://otsuka-europe-crm.veevavault.com/ui/#object/sent_email__v/VBL00000002Q033", "SE-001433702")</f>
        <v>SE-001433702</v>
      </c>
      <c r="F4904" s="11"/>
      <c r="G4904" s="12">
        <v>0</v>
      </c>
      <c r="H4904" s="12">
        <v>0</v>
      </c>
      <c r="I4904" s="12">
        <v>0</v>
      </c>
      <c r="J4904" s="11"/>
      <c r="K4904" s="12">
        <v>0</v>
      </c>
      <c r="L4904" s="10" t="str">
        <f t="shared" si="514"/>
        <v>AE dialoghi di tempo fiducia e cura episodi 2-3-4</v>
      </c>
      <c r="M4904" s="10" t="str">
        <f t="shared" si="515"/>
        <v>nicoletta.vozza@crm.otsuka-europe.com</v>
      </c>
      <c r="N4904" s="13">
        <v>46181.33797453704</v>
      </c>
      <c r="O4904" s="14" t="str">
        <f>HYPERLINK("https://otsuka-europe-crm.veevavault.com/ui/#object/email_activity__v/V8C00000003P429", "EN-002090678")</f>
        <v>EN-002090678</v>
      </c>
    </row>
    <row r="4905" spans="1:15" ht="32" x14ac:dyDescent="0.2">
      <c r="A4905" s="7" t="str">
        <f>HYPERLINK("https://otsuka-europe-crm.veevavault.com/ui/#object/account__v/V4TZ06G6OA5N2CU", "ROSSELLA DISTILO")</f>
        <v>ROSSELLA DISTILO</v>
      </c>
      <c r="B4905" s="7" t="str">
        <f t="shared" si="512"/>
        <v>IT</v>
      </c>
      <c r="C4905" s="8" t="s">
        <v>44</v>
      </c>
      <c r="D4905" s="9" t="str">
        <f t="shared" si="513"/>
        <v>AE dialoghi di tempo fiducia e cura episodi 2-3-4</v>
      </c>
      <c r="E4905" s="10" t="str">
        <f>HYPERLINK("https://otsuka-europe-crm.veevavault.com/ui/#object/sent_email__v/VBL00000002Q034", "SE-001433703")</f>
        <v>SE-001433703</v>
      </c>
      <c r="F4905" s="11"/>
      <c r="G4905" s="12">
        <v>0</v>
      </c>
      <c r="H4905" s="12">
        <v>0</v>
      </c>
      <c r="I4905" s="12">
        <v>0</v>
      </c>
      <c r="J4905" s="11"/>
      <c r="K4905" s="12">
        <v>0</v>
      </c>
      <c r="L4905" s="10" t="str">
        <f t="shared" si="514"/>
        <v>AE dialoghi di tempo fiducia e cura episodi 2-3-4</v>
      </c>
      <c r="M4905" s="10" t="str">
        <f t="shared" si="515"/>
        <v>nicoletta.vozza@crm.otsuka-europe.com</v>
      </c>
      <c r="N4905" s="13">
        <v>46181.338067129633</v>
      </c>
      <c r="O4905" s="14" t="str">
        <f>HYPERLINK("https://otsuka-europe-crm.veevavault.com/ui/#object/email_activity__v/V8C00000003P501", "EN-002090714")</f>
        <v>EN-002090714</v>
      </c>
    </row>
    <row r="4906" spans="1:15" ht="32" x14ac:dyDescent="0.2">
      <c r="A4906" s="7" t="str">
        <f>HYPERLINK("https://otsuka-europe-crm.veevavault.com/ui/#object/account__v/V4TZ06G6OB47KMK", "ROSSELLA MAMMANO")</f>
        <v>ROSSELLA MAMMANO</v>
      </c>
      <c r="B4906" s="7" t="str">
        <f t="shared" si="512"/>
        <v>IT</v>
      </c>
      <c r="C4906" s="8" t="s">
        <v>44</v>
      </c>
      <c r="D4906" s="9" t="str">
        <f t="shared" si="513"/>
        <v>AE dialoghi di tempo fiducia e cura episodi 2-3-4</v>
      </c>
      <c r="E4906" s="10" t="str">
        <f>HYPERLINK("https://otsuka-europe-crm.veevavault.com/ui/#object/sent_email__v/VBL00000002Q035", "SE-001433704")</f>
        <v>SE-001433704</v>
      </c>
      <c r="F4906" s="11"/>
      <c r="G4906" s="12">
        <v>0</v>
      </c>
      <c r="H4906" s="12">
        <v>0</v>
      </c>
      <c r="I4906" s="12">
        <v>0</v>
      </c>
      <c r="J4906" s="11"/>
      <c r="K4906" s="12">
        <v>0</v>
      </c>
      <c r="L4906" s="10" t="str">
        <f t="shared" si="514"/>
        <v>AE dialoghi di tempo fiducia e cura episodi 2-3-4</v>
      </c>
      <c r="M4906" s="10" t="str">
        <f t="shared" si="515"/>
        <v>nicoletta.vozza@crm.otsuka-europe.com</v>
      </c>
      <c r="N4906" s="13">
        <v>46181.338020833333</v>
      </c>
      <c r="O4906" s="14" t="str">
        <f>HYPERLINK("https://otsuka-europe-crm.veevavault.com/ui/#object/email_activity__v/V8C00000003O478", "EN-002090034")</f>
        <v>EN-002090034</v>
      </c>
    </row>
    <row r="4907" spans="1:15" ht="32" x14ac:dyDescent="0.2">
      <c r="A4907" s="7" t="str">
        <f>HYPERLINK("https://otsuka-europe-crm.veevavault.com/ui/#object/account__v/V4TZ06G6O71SBID", "ROSSELLA MICHETTI")</f>
        <v>ROSSELLA MICHETTI</v>
      </c>
      <c r="B4907" s="7" t="str">
        <f t="shared" si="512"/>
        <v>IT</v>
      </c>
      <c r="C4907" s="8" t="s">
        <v>44</v>
      </c>
      <c r="D4907" s="9" t="str">
        <f t="shared" si="513"/>
        <v>AE dialoghi di tempo fiducia e cura episodi 2-3-4</v>
      </c>
      <c r="E4907" s="10" t="str">
        <f>HYPERLINK("https://otsuka-europe-crm.veevavault.com/ui/#object/sent_email__v/VBL00000002Q036", "SE-001433705")</f>
        <v>SE-001433705</v>
      </c>
      <c r="F4907" s="11"/>
      <c r="G4907" s="12">
        <v>0</v>
      </c>
      <c r="H4907" s="12">
        <v>0</v>
      </c>
      <c r="I4907" s="12">
        <v>0</v>
      </c>
      <c r="J4907" s="11"/>
      <c r="K4907" s="12">
        <v>0</v>
      </c>
      <c r="L4907" s="10" t="str">
        <f t="shared" si="514"/>
        <v>AE dialoghi di tempo fiducia e cura episodi 2-3-4</v>
      </c>
      <c r="M4907" s="10" t="str">
        <f t="shared" si="515"/>
        <v>nicoletta.vozza@crm.otsuka-europe.com</v>
      </c>
      <c r="N4907" s="13">
        <v>46181.338067129633</v>
      </c>
      <c r="O4907" s="14" t="str">
        <f>HYPERLINK("https://otsuka-europe-crm.veevavault.com/ui/#object/email_activity__v/V8C00000003O972", "EN-002090632")</f>
        <v>EN-002090632</v>
      </c>
    </row>
    <row r="4908" spans="1:15" ht="32" x14ac:dyDescent="0.2">
      <c r="A4908" s="7" t="str">
        <f>HYPERLINK("https://otsuka-europe-crm.veevavault.com/ui/#object/account__v/V4TZ06G6O71SC79", "ROSSELLA SELLER")</f>
        <v>ROSSELLA SELLER</v>
      </c>
      <c r="B4908" s="7" t="str">
        <f t="shared" si="512"/>
        <v>IT</v>
      </c>
      <c r="C4908" s="8" t="s">
        <v>44</v>
      </c>
      <c r="D4908" s="9" t="str">
        <f t="shared" si="513"/>
        <v>AE dialoghi di tempo fiducia e cura episodi 2-3-4</v>
      </c>
      <c r="E4908" s="10" t="str">
        <f>HYPERLINK("https://otsuka-europe-crm.veevavault.com/ui/#object/sent_email__v/VBL00000002Q037", "SE-001433706")</f>
        <v>SE-001433706</v>
      </c>
      <c r="F4908" s="11"/>
      <c r="G4908" s="12">
        <v>0</v>
      </c>
      <c r="H4908" s="12">
        <v>0</v>
      </c>
      <c r="I4908" s="12">
        <v>0</v>
      </c>
      <c r="J4908" s="11"/>
      <c r="K4908" s="12">
        <v>0</v>
      </c>
      <c r="L4908" s="10" t="str">
        <f t="shared" si="514"/>
        <v>AE dialoghi di tempo fiducia e cura episodi 2-3-4</v>
      </c>
      <c r="M4908" s="10" t="str">
        <f t="shared" si="515"/>
        <v>nicoletta.vozza@crm.otsuka-europe.com</v>
      </c>
      <c r="N4908" s="13">
        <v>46181.33798611111</v>
      </c>
      <c r="O4908" s="14" t="str">
        <f>HYPERLINK("https://otsuka-europe-crm.veevavault.com/ui/#object/email_activity__v/V8C00000003O198", "EN-002089635")</f>
        <v>EN-002089635</v>
      </c>
    </row>
    <row r="4909" spans="1:15" ht="32" x14ac:dyDescent="0.2">
      <c r="A4909" s="7" t="str">
        <f>HYPERLINK("https://otsuka-europe-crm.veevavault.com/ui/#object/account__v/V4TZ06G6O71SAKL", "ROYA FALAKFARSA")</f>
        <v>ROYA FALAKFARSA</v>
      </c>
      <c r="B4909" s="7" t="str">
        <f t="shared" si="512"/>
        <v>IT</v>
      </c>
      <c r="C4909" s="8" t="s">
        <v>44</v>
      </c>
      <c r="D4909" s="9" t="str">
        <f t="shared" si="513"/>
        <v>AE dialoghi di tempo fiducia e cura episodi 2-3-4</v>
      </c>
      <c r="E4909" s="10" t="str">
        <f>HYPERLINK("https://otsuka-europe-crm.veevavault.com/ui/#object/sent_email__v/VBL00000002Q038", "SE-001433707")</f>
        <v>SE-001433707</v>
      </c>
      <c r="F4909" s="11"/>
      <c r="G4909" s="12">
        <v>0</v>
      </c>
      <c r="H4909" s="12">
        <v>0</v>
      </c>
      <c r="I4909" s="12">
        <v>0</v>
      </c>
      <c r="J4909" s="11"/>
      <c r="K4909" s="12">
        <v>0</v>
      </c>
      <c r="L4909" s="10" t="str">
        <f t="shared" si="514"/>
        <v>AE dialoghi di tempo fiducia e cura episodi 2-3-4</v>
      </c>
      <c r="M4909" s="10" t="str">
        <f t="shared" si="515"/>
        <v>nicoletta.vozza@crm.otsuka-europe.com</v>
      </c>
      <c r="N4909" s="13">
        <v>46181.33798611111</v>
      </c>
      <c r="O4909" s="14" t="str">
        <f>HYPERLINK("https://otsuka-europe-crm.veevavault.com/ui/#object/email_activity__v/V8C00000003O412", "EN-002089968")</f>
        <v>EN-002089968</v>
      </c>
    </row>
    <row r="4910" spans="1:15" ht="32" x14ac:dyDescent="0.2">
      <c r="A4910" s="7" t="str">
        <f>HYPERLINK("https://otsuka-europe-crm.veevavault.com/ui/#object/account__v/V4TZ025E85OL5EU", "SABINA BOCHICCHIO")</f>
        <v>SABINA BOCHICCHIO</v>
      </c>
      <c r="B4910" s="7" t="str">
        <f t="shared" si="512"/>
        <v>IT</v>
      </c>
      <c r="C4910" s="8" t="s">
        <v>44</v>
      </c>
      <c r="D4910" s="9" t="str">
        <f t="shared" si="513"/>
        <v>AE dialoghi di tempo fiducia e cura episodi 2-3-4</v>
      </c>
      <c r="E4910" s="10" t="str">
        <f>HYPERLINK("https://otsuka-europe-crm.veevavault.com/ui/#object/sent_email__v/VBL00000002Q039", "SE-001433708")</f>
        <v>SE-001433708</v>
      </c>
      <c r="F4910" s="11"/>
      <c r="G4910" s="12">
        <v>0</v>
      </c>
      <c r="H4910" s="12">
        <v>0</v>
      </c>
      <c r="I4910" s="12">
        <v>0</v>
      </c>
      <c r="J4910" s="11"/>
      <c r="K4910" s="12">
        <v>0</v>
      </c>
      <c r="L4910" s="10" t="str">
        <f t="shared" si="514"/>
        <v>AE dialoghi di tempo fiducia e cura episodi 2-3-4</v>
      </c>
      <c r="M4910" s="10" t="str">
        <f t="shared" si="515"/>
        <v>nicoletta.vozza@crm.otsuka-europe.com</v>
      </c>
      <c r="N4910" s="13">
        <v>46181.338020833333</v>
      </c>
      <c r="O4910" s="14" t="str">
        <f>HYPERLINK("https://otsuka-europe-crm.veevavault.com/ui/#object/email_activity__v/V8C00000003P484", "EN-002090705")</f>
        <v>EN-002090705</v>
      </c>
    </row>
    <row r="4911" spans="1:15" ht="16" x14ac:dyDescent="0.2">
      <c r="A4911" s="17" t="str">
        <f>HYPERLINK("https://otsuka-europe-crm.veevavault.com/ui/#object/account__v/V4TZ06G6O71SC1T", "SABINA RAMPINELLI")</f>
        <v>SABINA RAMPINELLI</v>
      </c>
      <c r="B4911" s="17" t="str">
        <f t="shared" si="512"/>
        <v>IT</v>
      </c>
      <c r="C4911" s="20" t="s">
        <v>44</v>
      </c>
      <c r="D4911" s="21" t="str">
        <f t="shared" si="513"/>
        <v>AE dialoghi di tempo fiducia e cura episodi 2-3-4</v>
      </c>
      <c r="E4911" s="22" t="str">
        <f>HYPERLINK("https://otsuka-europe-crm.veevavault.com/ui/#object/sent_email__v/VBL00000002Q040", "SE-001433709")</f>
        <v>SE-001433709</v>
      </c>
      <c r="F4911" s="23">
        <v>46181.623414351852</v>
      </c>
      <c r="G4911" s="24">
        <v>1</v>
      </c>
      <c r="H4911" s="24">
        <v>2</v>
      </c>
      <c r="I4911" s="24">
        <v>0</v>
      </c>
      <c r="J4911" s="25"/>
      <c r="K4911" s="24">
        <v>0</v>
      </c>
      <c r="L4911" s="22" t="str">
        <f t="shared" si="514"/>
        <v>AE dialoghi di tempo fiducia e cura episodi 2-3-4</v>
      </c>
      <c r="M4911" s="22" t="str">
        <f t="shared" si="515"/>
        <v>nicoletta.vozza@crm.otsuka-europe.com</v>
      </c>
      <c r="N4911" s="23">
        <v>46181.338067129633</v>
      </c>
      <c r="O4911" s="14" t="str">
        <f>HYPERLINK("https://otsuka-europe-crm.veevavault.com/ui/#object/email_activity__v/V8C00000003Q047", "EN-002091013")</f>
        <v>EN-002091013</v>
      </c>
    </row>
    <row r="4912" spans="1:15" ht="16" x14ac:dyDescent="0.2">
      <c r="A4912" s="18"/>
      <c r="B4912" s="18"/>
      <c r="C4912" s="18"/>
      <c r="D4912" s="18"/>
      <c r="E4912" s="18"/>
      <c r="F4912" s="18"/>
      <c r="G4912" s="18"/>
      <c r="H4912" s="18"/>
      <c r="I4912" s="18"/>
      <c r="J4912" s="18"/>
      <c r="K4912" s="18"/>
      <c r="L4912" s="18"/>
      <c r="M4912" s="18"/>
      <c r="N4912" s="18"/>
      <c r="O4912" s="14" t="str">
        <f>HYPERLINK("https://otsuka-europe-crm.veevavault.com/ui/#object/email_activity__v/V8C00000003Q605", "EN-002092021")</f>
        <v>EN-002092021</v>
      </c>
    </row>
    <row r="4913" spans="1:15" ht="16" x14ac:dyDescent="0.2">
      <c r="A4913" s="19"/>
      <c r="B4913" s="19"/>
      <c r="C4913" s="19"/>
      <c r="D4913" s="19"/>
      <c r="E4913" s="19"/>
      <c r="F4913" s="19"/>
      <c r="G4913" s="19"/>
      <c r="H4913" s="19"/>
      <c r="I4913" s="19"/>
      <c r="J4913" s="19"/>
      <c r="K4913" s="19"/>
      <c r="L4913" s="19"/>
      <c r="M4913" s="19"/>
      <c r="N4913" s="19"/>
      <c r="O4913" s="14" t="str">
        <f>HYPERLINK("https://otsuka-europe-crm.veevavault.com/ui/#object/email_activity__v/V8C00000003R170", "EN-002091999")</f>
        <v>EN-002091999</v>
      </c>
    </row>
    <row r="4914" spans="1:15" ht="32" x14ac:dyDescent="0.2">
      <c r="A4914" s="7" t="str">
        <f>HYPERLINK("https://otsuka-europe-crm.veevavault.com/ui/#object/account__v/V4TZ06G6O71SB91", "SABRINA LAURENZI")</f>
        <v>SABRINA LAURENZI</v>
      </c>
      <c r="B4914" s="7" t="str">
        <f>HYPERLINK("https://otsuka-europe-crm.veevavault.com/ui/#object/vcountry__v/VENZ000004SONFQ", "IT")</f>
        <v>IT</v>
      </c>
      <c r="C4914" s="8" t="s">
        <v>44</v>
      </c>
      <c r="D4914" s="9" t="str">
        <f>HYPERLINK("https://otsuka-europe-crm.veevavault.com/ui/#object/approved_document__v/V5O000000018003", "AE dialoghi di tempo fiducia e cura episodi 2-3-4")</f>
        <v>AE dialoghi di tempo fiducia e cura episodi 2-3-4</v>
      </c>
      <c r="E4914" s="10" t="str">
        <f>HYPERLINK("https://otsuka-europe-crm.veevavault.com/ui/#object/sent_email__v/VBL00000002Q041", "SE-001433710")</f>
        <v>SE-001433710</v>
      </c>
      <c r="F4914" s="11"/>
      <c r="G4914" s="12">
        <v>0</v>
      </c>
      <c r="H4914" s="12">
        <v>0</v>
      </c>
      <c r="I4914" s="12">
        <v>0</v>
      </c>
      <c r="J4914" s="11"/>
      <c r="K4914" s="12">
        <v>0</v>
      </c>
      <c r="L4914" s="10" t="str">
        <f>HYPERLINK("https://otsuka-europe-crm.veevavault.com/ui/#object/approved_document__v/V5O000000018003", "AE dialoghi di tempo fiducia e cura episodi 2-3-4")</f>
        <v>AE dialoghi di tempo fiducia e cura episodi 2-3-4</v>
      </c>
      <c r="M4914" s="10" t="str">
        <f>HYPERLINK("mailto:nicoletta.vozza@crm.otsuka-europe.com", "nicoletta.vozza@crm.otsuka-europe.com")</f>
        <v>nicoletta.vozza@crm.otsuka-europe.com</v>
      </c>
      <c r="N4914" s="13">
        <v>46181.33798611111</v>
      </c>
      <c r="O4914" s="14" t="str">
        <f>HYPERLINK("https://otsuka-europe-crm.veevavault.com/ui/#object/email_activity__v/V8C00000003Q213", "EN-002091319")</f>
        <v>EN-002091319</v>
      </c>
    </row>
    <row r="4915" spans="1:15" ht="32" x14ac:dyDescent="0.2">
      <c r="A4915" s="7" t="str">
        <f>HYPERLINK("https://otsuka-europe-crm.veevavault.com/ui/#object/account__v/V4TZ06G6O71SBIZ", "SABRINA MILARDI")</f>
        <v>SABRINA MILARDI</v>
      </c>
      <c r="B4915" s="7" t="str">
        <f>HYPERLINK("https://otsuka-europe-crm.veevavault.com/ui/#object/vcountry__v/VENZ000004SONFQ", "IT")</f>
        <v>IT</v>
      </c>
      <c r="C4915" s="8" t="s">
        <v>44</v>
      </c>
      <c r="D4915" s="9" t="str">
        <f>HYPERLINK("https://otsuka-europe-crm.veevavault.com/ui/#object/approved_document__v/V5O000000018003", "AE dialoghi di tempo fiducia e cura episodi 2-3-4")</f>
        <v>AE dialoghi di tempo fiducia e cura episodi 2-3-4</v>
      </c>
      <c r="E4915" s="10" t="str">
        <f>HYPERLINK("https://otsuka-europe-crm.veevavault.com/ui/#object/sent_email__v/VBL00000002Q042", "SE-001433711")</f>
        <v>SE-001433711</v>
      </c>
      <c r="F4915" s="11"/>
      <c r="G4915" s="12">
        <v>0</v>
      </c>
      <c r="H4915" s="12">
        <v>0</v>
      </c>
      <c r="I4915" s="12">
        <v>0</v>
      </c>
      <c r="J4915" s="11"/>
      <c r="K4915" s="12">
        <v>0</v>
      </c>
      <c r="L4915" s="10" t="str">
        <f>HYPERLINK("https://otsuka-europe-crm.veevavault.com/ui/#object/approved_document__v/V5O000000018003", "AE dialoghi di tempo fiducia e cura episodi 2-3-4")</f>
        <v>AE dialoghi di tempo fiducia e cura episodi 2-3-4</v>
      </c>
      <c r="M4915" s="10" t="str">
        <f>HYPERLINK("mailto:nicoletta.vozza@crm.otsuka-europe.com", "nicoletta.vozza@crm.otsuka-europe.com")</f>
        <v>nicoletta.vozza@crm.otsuka-europe.com</v>
      </c>
      <c r="N4915" s="13">
        <v>46181.33797453704</v>
      </c>
      <c r="O4915" s="14" t="str">
        <f>HYPERLINK("https://otsuka-europe-crm.veevavault.com/ui/#object/email_activity__v/V8C00000003P400", "EN-002090406")</f>
        <v>EN-002090406</v>
      </c>
    </row>
    <row r="4916" spans="1:15" ht="32" x14ac:dyDescent="0.2">
      <c r="A4916" s="7" t="str">
        <f>HYPERLINK("https://otsuka-europe-crm.veevavault.com/ui/#object/account__v/V4TZ06G6O71S9YG", "SALVATORE ARLEO")</f>
        <v>SALVATORE ARLEO</v>
      </c>
      <c r="B4916" s="7" t="str">
        <f>HYPERLINK("https://otsuka-europe-crm.veevavault.com/ui/#object/vcountry__v/VENZ000004SONFQ", "IT")</f>
        <v>IT</v>
      </c>
      <c r="C4916" s="8" t="s">
        <v>44</v>
      </c>
      <c r="D4916" s="9" t="str">
        <f>HYPERLINK("https://otsuka-europe-crm.veevavault.com/ui/#object/approved_document__v/V5O000000018003", "AE dialoghi di tempo fiducia e cura episodi 2-3-4")</f>
        <v>AE dialoghi di tempo fiducia e cura episodi 2-3-4</v>
      </c>
      <c r="E4916" s="10" t="str">
        <f>HYPERLINK("https://otsuka-europe-crm.veevavault.com/ui/#object/sent_email__v/VBL00000002Q043", "SE-001433712")</f>
        <v>SE-001433712</v>
      </c>
      <c r="F4916" s="11"/>
      <c r="G4916" s="12">
        <v>0</v>
      </c>
      <c r="H4916" s="12">
        <v>0</v>
      </c>
      <c r="I4916" s="12">
        <v>0</v>
      </c>
      <c r="J4916" s="11"/>
      <c r="K4916" s="12">
        <v>0</v>
      </c>
      <c r="L4916" s="10" t="str">
        <f>HYPERLINK("https://otsuka-europe-crm.veevavault.com/ui/#object/approved_document__v/V5O000000018003", "AE dialoghi di tempo fiducia e cura episodi 2-3-4")</f>
        <v>AE dialoghi di tempo fiducia e cura episodi 2-3-4</v>
      </c>
      <c r="M4916" s="10" t="str">
        <f>HYPERLINK("mailto:nicoletta.vozza@crm.otsuka-europe.com", "nicoletta.vozza@crm.otsuka-europe.com")</f>
        <v>nicoletta.vozza@crm.otsuka-europe.com</v>
      </c>
      <c r="N4916" s="13">
        <v>46181.338055555556</v>
      </c>
      <c r="O4916" s="14" t="str">
        <f>HYPERLINK("https://otsuka-europe-crm.veevavault.com/ui/#object/email_activity__v/V8C00000003Q204", "EN-002091310")</f>
        <v>EN-002091310</v>
      </c>
    </row>
    <row r="4917" spans="1:15" ht="16" x14ac:dyDescent="0.2">
      <c r="A4917" s="17" t="str">
        <f>HYPERLINK("https://otsuka-europe-crm.veevavault.com/ui/#object/account__v/V4TZ06G6O71SAZ2", "SALVATORE CAPPELLO")</f>
        <v>SALVATORE CAPPELLO</v>
      </c>
      <c r="B4917" s="17" t="str">
        <f>HYPERLINK("https://otsuka-europe-crm.veevavault.com/ui/#object/vcountry__v/VENZ000004SONFQ", "IT")</f>
        <v>IT</v>
      </c>
      <c r="C4917" s="20" t="s">
        <v>44</v>
      </c>
      <c r="D4917" s="21" t="str">
        <f>HYPERLINK("https://otsuka-europe-crm.veevavault.com/ui/#object/approved_document__v/V5O000000018003", "AE dialoghi di tempo fiducia e cura episodi 2-3-4")</f>
        <v>AE dialoghi di tempo fiducia e cura episodi 2-3-4</v>
      </c>
      <c r="E4917" s="22" t="str">
        <f>HYPERLINK("https://otsuka-europe-crm.veevavault.com/ui/#object/sent_email__v/VBL00000002Q044", "SE-001433713")</f>
        <v>SE-001433713</v>
      </c>
      <c r="F4917" s="23">
        <v>46183.460034722222</v>
      </c>
      <c r="G4917" s="24">
        <v>1</v>
      </c>
      <c r="H4917" s="24">
        <v>1</v>
      </c>
      <c r="I4917" s="24">
        <v>0</v>
      </c>
      <c r="J4917" s="25"/>
      <c r="K4917" s="24">
        <v>0</v>
      </c>
      <c r="L4917" s="22" t="str">
        <f>HYPERLINK("https://otsuka-europe-crm.veevavault.com/ui/#object/approved_document__v/V5O000000018003", "AE dialoghi di tempo fiducia e cura episodi 2-3-4")</f>
        <v>AE dialoghi di tempo fiducia e cura episodi 2-3-4</v>
      </c>
      <c r="M4917" s="22" t="str">
        <f>HYPERLINK("mailto:nicoletta.vozza@crm.otsuka-europe.com", "nicoletta.vozza@crm.otsuka-europe.com")</f>
        <v>nicoletta.vozza@crm.otsuka-europe.com</v>
      </c>
      <c r="N4917" s="23">
        <v>46181.338020833333</v>
      </c>
      <c r="O4917" s="14" t="str">
        <f>HYPERLINK("https://otsuka-europe-crm.veevavault.com/ui/#object/email_activity__v/V8C00000003P589", "EN-002090844")</f>
        <v>EN-002090844</v>
      </c>
    </row>
    <row r="4918" spans="1:15" ht="16" x14ac:dyDescent="0.2">
      <c r="A4918" s="19"/>
      <c r="B4918" s="19"/>
      <c r="C4918" s="19"/>
      <c r="D4918" s="19"/>
      <c r="E4918" s="19"/>
      <c r="F4918" s="19"/>
      <c r="G4918" s="19"/>
      <c r="H4918" s="19"/>
      <c r="I4918" s="19"/>
      <c r="J4918" s="19"/>
      <c r="K4918" s="19"/>
      <c r="L4918" s="19"/>
      <c r="M4918" s="19"/>
      <c r="N4918" s="19"/>
      <c r="O4918" s="14" t="str">
        <f>HYPERLINK("https://otsuka-europe-crm.veevavault.com/ui/#object/email_activity__v/V8C00000003S634", "EN-002094172")</f>
        <v>EN-002094172</v>
      </c>
    </row>
    <row r="4919" spans="1:15" ht="32" x14ac:dyDescent="0.2">
      <c r="A4919" s="7" t="str">
        <f>HYPERLINK("https://otsuka-europe-crm.veevavault.com/ui/#object/account__v/V4TZ025E85PDR1H", "SALVATORE D'ANGELO")</f>
        <v>SALVATORE D'ANGELO</v>
      </c>
      <c r="B4919" s="7" t="str">
        <f>HYPERLINK("https://otsuka-europe-crm.veevavault.com/ui/#object/vcountry__v/VENZ000004SONFQ", "IT")</f>
        <v>IT</v>
      </c>
      <c r="C4919" s="8" t="s">
        <v>44</v>
      </c>
      <c r="D4919" s="9" t="str">
        <f>HYPERLINK("https://otsuka-europe-crm.veevavault.com/ui/#object/approved_document__v/V5O000000018003", "AE dialoghi di tempo fiducia e cura episodi 2-3-4")</f>
        <v>AE dialoghi di tempo fiducia e cura episodi 2-3-4</v>
      </c>
      <c r="E4919" s="10" t="str">
        <f>HYPERLINK("https://otsuka-europe-crm.veevavault.com/ui/#object/sent_email__v/VBL00000002Q045", "SE-001433714")</f>
        <v>SE-001433714</v>
      </c>
      <c r="F4919" s="11"/>
      <c r="G4919" s="12">
        <v>0</v>
      </c>
      <c r="H4919" s="12">
        <v>0</v>
      </c>
      <c r="I4919" s="12">
        <v>0</v>
      </c>
      <c r="J4919" s="11"/>
      <c r="K4919" s="12">
        <v>0</v>
      </c>
      <c r="L4919" s="10" t="str">
        <f>HYPERLINK("https://otsuka-europe-crm.veevavault.com/ui/#object/approved_document__v/V5O000000018003", "AE dialoghi di tempo fiducia e cura episodi 2-3-4")</f>
        <v>AE dialoghi di tempo fiducia e cura episodi 2-3-4</v>
      </c>
      <c r="M4919" s="10" t="str">
        <f>HYPERLINK("mailto:nicoletta.vozza@crm.otsuka-europe.com", "nicoletta.vozza@crm.otsuka-europe.com")</f>
        <v>nicoletta.vozza@crm.otsuka-europe.com</v>
      </c>
      <c r="N4919" s="13">
        <v>46181.338055555556</v>
      </c>
      <c r="O4919" s="14" t="str">
        <f>HYPERLINK("https://otsuka-europe-crm.veevavault.com/ui/#object/email_activity__v/V8C00000003O547", "EN-002090103")</f>
        <v>EN-002090103</v>
      </c>
    </row>
    <row r="4920" spans="1:15" ht="16" x14ac:dyDescent="0.2">
      <c r="A4920" s="17" t="str">
        <f>HYPERLINK("https://otsuka-europe-crm.veevavault.com/ui/#object/account__v/V4TZ06G6O71TLER", "SALVATORE DE SIATO")</f>
        <v>SALVATORE DE SIATO</v>
      </c>
      <c r="B4920" s="17" t="str">
        <f>HYPERLINK("https://otsuka-europe-crm.veevavault.com/ui/#object/vcountry__v/VENZ000004SONFQ", "IT")</f>
        <v>IT</v>
      </c>
      <c r="C4920" s="20" t="s">
        <v>44</v>
      </c>
      <c r="D4920" s="21" t="str">
        <f>HYPERLINK("https://otsuka-europe-crm.veevavault.com/ui/#object/approved_document__v/V5O000000018003", "AE dialoghi di tempo fiducia e cura episodi 2-3-4")</f>
        <v>AE dialoghi di tempo fiducia e cura episodi 2-3-4</v>
      </c>
      <c r="E4920" s="22" t="str">
        <f>HYPERLINK("https://otsuka-europe-crm.veevavault.com/ui/#object/sent_email__v/VBL00000002Q046", "SE-001433715")</f>
        <v>SE-001433715</v>
      </c>
      <c r="F4920" s="25"/>
      <c r="G4920" s="24">
        <v>0</v>
      </c>
      <c r="H4920" s="24">
        <v>0</v>
      </c>
      <c r="I4920" s="24">
        <v>0</v>
      </c>
      <c r="J4920" s="25"/>
      <c r="K4920" s="24">
        <v>0</v>
      </c>
      <c r="L4920" s="22" t="str">
        <f>HYPERLINK("https://otsuka-europe-crm.veevavault.com/ui/#object/approved_document__v/V5O000000018003", "AE dialoghi di tempo fiducia e cura episodi 2-3-4")</f>
        <v>AE dialoghi di tempo fiducia e cura episodi 2-3-4</v>
      </c>
      <c r="M4920" s="22" t="str">
        <f>HYPERLINK("mailto:nicoletta.vozza@crm.otsuka-europe.com", "nicoletta.vozza@crm.otsuka-europe.com")</f>
        <v>nicoletta.vozza@crm.otsuka-europe.com</v>
      </c>
      <c r="N4920" s="23">
        <v>46181.337939814817</v>
      </c>
      <c r="O4920" s="14" t="str">
        <f>HYPERLINK("https://otsuka-europe-crm.veevavault.com/ui/#object/email_activity__v/V8C00000003P384", "EN-002090390")</f>
        <v>EN-002090390</v>
      </c>
    </row>
    <row r="4921" spans="1:15" ht="16" x14ac:dyDescent="0.2">
      <c r="A4921" s="18"/>
      <c r="B4921" s="18"/>
      <c r="C4921" s="18"/>
      <c r="D4921" s="18"/>
      <c r="E4921" s="18"/>
      <c r="F4921" s="18"/>
      <c r="G4921" s="18"/>
      <c r="H4921" s="18"/>
      <c r="I4921" s="18"/>
      <c r="J4921" s="18"/>
      <c r="K4921" s="18"/>
      <c r="L4921" s="18"/>
      <c r="M4921" s="18"/>
      <c r="N4921" s="18"/>
      <c r="O4921" s="14" t="str">
        <f>HYPERLINK("https://otsuka-europe-crm.veevavault.com/ui/#object/email_activity__v/V8C00000003R079", "EN-002091814")</f>
        <v>EN-002091814</v>
      </c>
    </row>
    <row r="4922" spans="1:15" ht="16" x14ac:dyDescent="0.2">
      <c r="A4922" s="18"/>
      <c r="B4922" s="18"/>
      <c r="C4922" s="18"/>
      <c r="D4922" s="18"/>
      <c r="E4922" s="18"/>
      <c r="F4922" s="18"/>
      <c r="G4922" s="18"/>
      <c r="H4922" s="18"/>
      <c r="I4922" s="18"/>
      <c r="J4922" s="18"/>
      <c r="K4922" s="18"/>
      <c r="L4922" s="18"/>
      <c r="M4922" s="18"/>
      <c r="N4922" s="18"/>
      <c r="O4922" s="14" t="str">
        <f>HYPERLINK("https://otsuka-europe-crm.veevavault.com/ui/#object/email_activity__v/V8C00000003R084", "EN-002091832")</f>
        <v>EN-002091832</v>
      </c>
    </row>
    <row r="4923" spans="1:15" ht="16" x14ac:dyDescent="0.2">
      <c r="A4923" s="19"/>
      <c r="B4923" s="19"/>
      <c r="C4923" s="19"/>
      <c r="D4923" s="19"/>
      <c r="E4923" s="19"/>
      <c r="F4923" s="19"/>
      <c r="G4923" s="19"/>
      <c r="H4923" s="19"/>
      <c r="I4923" s="19"/>
      <c r="J4923" s="19"/>
      <c r="K4923" s="19"/>
      <c r="L4923" s="19"/>
      <c r="M4923" s="19"/>
      <c r="N4923" s="19"/>
      <c r="O4923" s="14" t="str">
        <f>HYPERLINK("https://otsuka-europe-crm.veevavault.com/ui/#object/email_activity__v/V8C000000042721", "EN-002101100")</f>
        <v>EN-002101100</v>
      </c>
    </row>
    <row r="4924" spans="1:15" ht="32" x14ac:dyDescent="0.2">
      <c r="A4924" s="7" t="str">
        <f>HYPERLINK("https://otsuka-europe-crm.veevavault.com/ui/#object/account__v/V4TZ06G6O71TFSL", "SALVATORE DIELI")</f>
        <v>SALVATORE DIELI</v>
      </c>
      <c r="B4924" s="7" t="str">
        <f>HYPERLINK("https://otsuka-europe-crm.veevavault.com/ui/#object/vcountry__v/VENZ000004SONFQ", "IT")</f>
        <v>IT</v>
      </c>
      <c r="C4924" s="8" t="s">
        <v>44</v>
      </c>
      <c r="D4924" s="9" t="str">
        <f>HYPERLINK("https://otsuka-europe-crm.veevavault.com/ui/#object/approved_document__v/V5O000000018003", "AE dialoghi di tempo fiducia e cura episodi 2-3-4")</f>
        <v>AE dialoghi di tempo fiducia e cura episodi 2-3-4</v>
      </c>
      <c r="E4924" s="10" t="str">
        <f>HYPERLINK("https://otsuka-europe-crm.veevavault.com/ui/#object/sent_email__v/VBL00000002Q047", "SE-001433716")</f>
        <v>SE-001433716</v>
      </c>
      <c r="F4924" s="11"/>
      <c r="G4924" s="12">
        <v>0</v>
      </c>
      <c r="H4924" s="12">
        <v>0</v>
      </c>
      <c r="I4924" s="12">
        <v>0</v>
      </c>
      <c r="J4924" s="11"/>
      <c r="K4924" s="12">
        <v>0</v>
      </c>
      <c r="L4924" s="10" t="str">
        <f>HYPERLINK("https://otsuka-europe-crm.veevavault.com/ui/#object/approved_document__v/V5O000000018003", "AE dialoghi di tempo fiducia e cura episodi 2-3-4")</f>
        <v>AE dialoghi di tempo fiducia e cura episodi 2-3-4</v>
      </c>
      <c r="M4924" s="10" t="str">
        <f>HYPERLINK("mailto:nicoletta.vozza@crm.otsuka-europe.com", "nicoletta.vozza@crm.otsuka-europe.com")</f>
        <v>nicoletta.vozza@crm.otsuka-europe.com</v>
      </c>
      <c r="N4924" s="13">
        <v>46181.337997685187</v>
      </c>
      <c r="O4924" s="14" t="str">
        <f>HYPERLINK("https://otsuka-europe-crm.veevavault.com/ui/#object/email_activity__v/V8C00000003P223", "EN-002089669")</f>
        <v>EN-002089669</v>
      </c>
    </row>
    <row r="4925" spans="1:15" ht="32" x14ac:dyDescent="0.2">
      <c r="A4925" s="7" t="str">
        <f>HYPERLINK("https://otsuka-europe-crm.veevavault.com/ui/#object/account__v/V4TZ06G6O71SAH2", "SALVATORE DIPASQUALE")</f>
        <v>SALVATORE DIPASQUALE</v>
      </c>
      <c r="B4925" s="7" t="str">
        <f>HYPERLINK("https://otsuka-europe-crm.veevavault.com/ui/#object/vcountry__v/VENZ000004SONFQ", "IT")</f>
        <v>IT</v>
      </c>
      <c r="C4925" s="8" t="s">
        <v>44</v>
      </c>
      <c r="D4925" s="9" t="str">
        <f>HYPERLINK("https://otsuka-europe-crm.veevavault.com/ui/#object/approved_document__v/V5O000000018003", "AE dialoghi di tempo fiducia e cura episodi 2-3-4")</f>
        <v>AE dialoghi di tempo fiducia e cura episodi 2-3-4</v>
      </c>
      <c r="E4925" s="10" t="str">
        <f>HYPERLINK("https://otsuka-europe-crm.veevavault.com/ui/#object/sent_email__v/VBL00000002Q048", "SE-001433717")</f>
        <v>SE-001433717</v>
      </c>
      <c r="F4925" s="11"/>
      <c r="G4925" s="12">
        <v>0</v>
      </c>
      <c r="H4925" s="12">
        <v>0</v>
      </c>
      <c r="I4925" s="12">
        <v>0</v>
      </c>
      <c r="J4925" s="11"/>
      <c r="K4925" s="12">
        <v>0</v>
      </c>
      <c r="L4925" s="10" t="str">
        <f>HYPERLINK("https://otsuka-europe-crm.veevavault.com/ui/#object/approved_document__v/V5O000000018003", "AE dialoghi di tempo fiducia e cura episodi 2-3-4")</f>
        <v>AE dialoghi di tempo fiducia e cura episodi 2-3-4</v>
      </c>
      <c r="M4925" s="10" t="str">
        <f>HYPERLINK("mailto:nicoletta.vozza@crm.otsuka-europe.com", "nicoletta.vozza@crm.otsuka-europe.com")</f>
        <v>nicoletta.vozza@crm.otsuka-europe.com</v>
      </c>
      <c r="N4925" s="13">
        <v>46181.337997685187</v>
      </c>
      <c r="O4925" s="14" t="str">
        <f>HYPERLINK("https://otsuka-europe-crm.veevavault.com/ui/#object/email_activity__v/V8C00000003P615", "EN-002090870")</f>
        <v>EN-002090870</v>
      </c>
    </row>
    <row r="4926" spans="1:15" ht="32" x14ac:dyDescent="0.2">
      <c r="A4926" s="7" t="str">
        <f>HYPERLINK("https://otsuka-europe-crm.veevavault.com/ui/#object/account__v/V4TZ04ASGEIBVGH", "SALVATORE FERRARA")</f>
        <v>SALVATORE FERRARA</v>
      </c>
      <c r="B4926" s="7" t="str">
        <f>HYPERLINK("https://otsuka-europe-crm.veevavault.com/ui/#object/vcountry__v/VENZ000004SONFQ", "IT")</f>
        <v>IT</v>
      </c>
      <c r="C4926" s="8" t="s">
        <v>44</v>
      </c>
      <c r="D4926" s="9" t="str">
        <f>HYPERLINK("https://otsuka-europe-crm.veevavault.com/ui/#object/approved_document__v/V5O000000018003", "AE dialoghi di tempo fiducia e cura episodi 2-3-4")</f>
        <v>AE dialoghi di tempo fiducia e cura episodi 2-3-4</v>
      </c>
      <c r="E4926" s="10" t="str">
        <f>HYPERLINK("https://otsuka-europe-crm.veevavault.com/ui/#object/sent_email__v/VBL00000002Q049", "SE-001433718")</f>
        <v>SE-001433718</v>
      </c>
      <c r="F4926" s="11"/>
      <c r="G4926" s="12">
        <v>0</v>
      </c>
      <c r="H4926" s="12">
        <v>0</v>
      </c>
      <c r="I4926" s="12">
        <v>0</v>
      </c>
      <c r="J4926" s="11"/>
      <c r="K4926" s="12">
        <v>0</v>
      </c>
      <c r="L4926" s="10" t="str">
        <f>HYPERLINK("https://otsuka-europe-crm.veevavault.com/ui/#object/approved_document__v/V5O000000018003", "AE dialoghi di tempo fiducia e cura episodi 2-3-4")</f>
        <v>AE dialoghi di tempo fiducia e cura episodi 2-3-4</v>
      </c>
      <c r="M4926" s="10" t="str">
        <f>HYPERLINK("mailto:nicoletta.vozza@crm.otsuka-europe.com", "nicoletta.vozza@crm.otsuka-europe.com")</f>
        <v>nicoletta.vozza@crm.otsuka-europe.com</v>
      </c>
      <c r="N4926" s="13">
        <v>46181.337951388887</v>
      </c>
      <c r="O4926" s="14" t="str">
        <f>HYPERLINK("https://otsuka-europe-crm.veevavault.com/ui/#object/email_activity__v/V8C00000003O158", "EN-002089540")</f>
        <v>EN-002089540</v>
      </c>
    </row>
    <row r="4927" spans="1:15" ht="16" x14ac:dyDescent="0.2">
      <c r="A4927" s="17" t="str">
        <f>HYPERLINK("https://otsuka-europe-crm.veevavault.com/ui/#object/account__v/V4TZ04ASG6LSC5J", "SALVATORE FRISA")</f>
        <v>SALVATORE FRISA</v>
      </c>
      <c r="B4927" s="17" t="str">
        <f>HYPERLINK("https://otsuka-europe-crm.veevavault.com/ui/#object/vcountry__v/VENZ000004SONFQ", "IT")</f>
        <v>IT</v>
      </c>
      <c r="C4927" s="20" t="s">
        <v>44</v>
      </c>
      <c r="D4927" s="21" t="str">
        <f>HYPERLINK("https://otsuka-europe-crm.veevavault.com/ui/#object/approved_document__v/V5O000000018003", "AE dialoghi di tempo fiducia e cura episodi 2-3-4")</f>
        <v>AE dialoghi di tempo fiducia e cura episodi 2-3-4</v>
      </c>
      <c r="E4927" s="22" t="str">
        <f>HYPERLINK("https://otsuka-europe-crm.veevavault.com/ui/#object/sent_email__v/VBL00000002Q050", "SE-001433719")</f>
        <v>SE-001433719</v>
      </c>
      <c r="F4927" s="23">
        <v>46181.601736111108</v>
      </c>
      <c r="G4927" s="24">
        <v>1</v>
      </c>
      <c r="H4927" s="24">
        <v>1</v>
      </c>
      <c r="I4927" s="24">
        <v>0</v>
      </c>
      <c r="J4927" s="25"/>
      <c r="K4927" s="24">
        <v>0</v>
      </c>
      <c r="L4927" s="22" t="str">
        <f>HYPERLINK("https://otsuka-europe-crm.veevavault.com/ui/#object/approved_document__v/V5O000000018003", "AE dialoghi di tempo fiducia e cura episodi 2-3-4")</f>
        <v>AE dialoghi di tempo fiducia e cura episodi 2-3-4</v>
      </c>
      <c r="M4927" s="22" t="str">
        <f>HYPERLINK("mailto:nicoletta.vozza@crm.otsuka-europe.com", "nicoletta.vozza@crm.otsuka-europe.com")</f>
        <v>nicoletta.vozza@crm.otsuka-europe.com</v>
      </c>
      <c r="N4927" s="23">
        <v>46181.338055555556</v>
      </c>
      <c r="O4927" s="14" t="str">
        <f>HYPERLINK("https://otsuka-europe-crm.veevavault.com/ui/#object/email_activity__v/V8C00000003Q140", "EN-002091223")</f>
        <v>EN-002091223</v>
      </c>
    </row>
    <row r="4928" spans="1:15" ht="16" x14ac:dyDescent="0.2">
      <c r="A4928" s="19"/>
      <c r="B4928" s="19"/>
      <c r="C4928" s="19"/>
      <c r="D4928" s="19"/>
      <c r="E4928" s="19"/>
      <c r="F4928" s="19"/>
      <c r="G4928" s="19"/>
      <c r="H4928" s="19"/>
      <c r="I4928" s="19"/>
      <c r="J4928" s="19"/>
      <c r="K4928" s="19"/>
      <c r="L4928" s="19"/>
      <c r="M4928" s="19"/>
      <c r="N4928" s="19"/>
      <c r="O4928" s="14" t="str">
        <f>HYPERLINK("https://otsuka-europe-crm.veevavault.com/ui/#object/email_activity__v/V8C00000003R175", "EN-002092005")</f>
        <v>EN-002092005</v>
      </c>
    </row>
    <row r="4929" spans="1:15" ht="32" x14ac:dyDescent="0.2">
      <c r="A4929" s="7" t="str">
        <f>HYPERLINK("https://otsuka-europe-crm.veevavault.com/ui/#object/account__v/V4TZ06G6O71SARP", "SALVATORE GUGLIELMO")</f>
        <v>SALVATORE GUGLIELMO</v>
      </c>
      <c r="B4929" s="7" t="str">
        <f>HYPERLINK("https://otsuka-europe-crm.veevavault.com/ui/#object/vcountry__v/VENZ000004SONFQ", "IT")</f>
        <v>IT</v>
      </c>
      <c r="C4929" s="8" t="s">
        <v>44</v>
      </c>
      <c r="D4929" s="9" t="str">
        <f>HYPERLINK("https://otsuka-europe-crm.veevavault.com/ui/#object/approved_document__v/V5O000000018003", "AE dialoghi di tempo fiducia e cura episodi 2-3-4")</f>
        <v>AE dialoghi di tempo fiducia e cura episodi 2-3-4</v>
      </c>
      <c r="E4929" s="10" t="str">
        <f>HYPERLINK("https://otsuka-europe-crm.veevavault.com/ui/#object/sent_email__v/VBL00000002Q051", "SE-001433720")</f>
        <v>SE-001433720</v>
      </c>
      <c r="F4929" s="11"/>
      <c r="G4929" s="12">
        <v>0</v>
      </c>
      <c r="H4929" s="12">
        <v>0</v>
      </c>
      <c r="I4929" s="12">
        <v>0</v>
      </c>
      <c r="J4929" s="11"/>
      <c r="K4929" s="12">
        <v>0</v>
      </c>
      <c r="L4929" s="10" t="str">
        <f>HYPERLINK("https://otsuka-europe-crm.veevavault.com/ui/#object/approved_document__v/V5O000000018003", "AE dialoghi di tempo fiducia e cura episodi 2-3-4")</f>
        <v>AE dialoghi di tempo fiducia e cura episodi 2-3-4</v>
      </c>
      <c r="M4929" s="10" t="str">
        <f>HYPERLINK("mailto:nicoletta.vozza@crm.otsuka-europe.com", "nicoletta.vozza@crm.otsuka-europe.com")</f>
        <v>nicoletta.vozza@crm.otsuka-europe.com</v>
      </c>
      <c r="N4929" s="13">
        <v>46181.338055555556</v>
      </c>
      <c r="O4929" s="14" t="str">
        <f>HYPERLINK("https://otsuka-europe-crm.veevavault.com/ui/#object/email_activity__v/V8C00000003Q098", "EN-002091163")</f>
        <v>EN-002091163</v>
      </c>
    </row>
    <row r="4930" spans="1:15" ht="16" x14ac:dyDescent="0.2">
      <c r="A4930" s="17" t="str">
        <f>HYPERLINK("https://otsuka-europe-crm.veevavault.com/ui/#object/account__v/V4TZ04ASGAZO3E6", "SALVATORE MARZOLO")</f>
        <v>SALVATORE MARZOLO</v>
      </c>
      <c r="B4930" s="17" t="str">
        <f>HYPERLINK("https://otsuka-europe-crm.veevavault.com/ui/#object/vcountry__v/VENZ000004SONFQ", "IT")</f>
        <v>IT</v>
      </c>
      <c r="C4930" s="20" t="s">
        <v>44</v>
      </c>
      <c r="D4930" s="21" t="str">
        <f>HYPERLINK("https://otsuka-europe-crm.veevavault.com/ui/#object/approved_document__v/V5O000000018003", "AE dialoghi di tempo fiducia e cura episodi 2-3-4")</f>
        <v>AE dialoghi di tempo fiducia e cura episodi 2-3-4</v>
      </c>
      <c r="E4930" s="22" t="str">
        <f>HYPERLINK("https://otsuka-europe-crm.veevavault.com/ui/#object/sent_email__v/VBL00000002Q052", "SE-001433721")</f>
        <v>SE-001433721</v>
      </c>
      <c r="F4930" s="23">
        <v>46181.482604166667</v>
      </c>
      <c r="G4930" s="24">
        <v>1</v>
      </c>
      <c r="H4930" s="24">
        <v>1</v>
      </c>
      <c r="I4930" s="24">
        <v>0</v>
      </c>
      <c r="J4930" s="25"/>
      <c r="K4930" s="24">
        <v>0</v>
      </c>
      <c r="L4930" s="22" t="str">
        <f>HYPERLINK("https://otsuka-europe-crm.veevavault.com/ui/#object/approved_document__v/V5O000000018003", "AE dialoghi di tempo fiducia e cura episodi 2-3-4")</f>
        <v>AE dialoghi di tempo fiducia e cura episodi 2-3-4</v>
      </c>
      <c r="M4930" s="22" t="str">
        <f>HYPERLINK("mailto:nicoletta.vozza@crm.otsuka-europe.com", "nicoletta.vozza@crm.otsuka-europe.com")</f>
        <v>nicoletta.vozza@crm.otsuka-europe.com</v>
      </c>
      <c r="N4930" s="23">
        <v>46181.33797453704</v>
      </c>
      <c r="O4930" s="14" t="str">
        <f>HYPERLINK("https://otsuka-europe-crm.veevavault.com/ui/#object/email_activity__v/V8C00000003O174", "EN-002089611")</f>
        <v>EN-002089611</v>
      </c>
    </row>
    <row r="4931" spans="1:15" ht="16" x14ac:dyDescent="0.2">
      <c r="A4931" s="19"/>
      <c r="B4931" s="19"/>
      <c r="C4931" s="19"/>
      <c r="D4931" s="19"/>
      <c r="E4931" s="19"/>
      <c r="F4931" s="19"/>
      <c r="G4931" s="19"/>
      <c r="H4931" s="19"/>
      <c r="I4931" s="19"/>
      <c r="J4931" s="19"/>
      <c r="K4931" s="19"/>
      <c r="L4931" s="19"/>
      <c r="M4931" s="19"/>
      <c r="N4931" s="19"/>
      <c r="O4931" s="14" t="str">
        <f>HYPERLINK("https://otsuka-europe-crm.veevavault.com/ui/#object/email_activity__v/V8C00000003R118", "EN-002091904")</f>
        <v>EN-002091904</v>
      </c>
    </row>
    <row r="4932" spans="1:15" ht="32" x14ac:dyDescent="0.2">
      <c r="A4932" s="7" t="str">
        <f>HYPERLINK("https://otsuka-europe-crm.veevavault.com/ui/#object/account__v/V4TZ04ASGBX3EQX", "SALVATORE PAGANO")</f>
        <v>SALVATORE PAGANO</v>
      </c>
      <c r="B4932" s="7" t="str">
        <f t="shared" ref="B4932:B4938" si="516">HYPERLINK("https://otsuka-europe-crm.veevavault.com/ui/#object/vcountry__v/VENZ000004SONFQ", "IT")</f>
        <v>IT</v>
      </c>
      <c r="C4932" s="8" t="s">
        <v>44</v>
      </c>
      <c r="D4932" s="9" t="str">
        <f t="shared" ref="D4932:D4938" si="517">HYPERLINK("https://otsuka-europe-crm.veevavault.com/ui/#object/approved_document__v/V5O000000018003", "AE dialoghi di tempo fiducia e cura episodi 2-3-4")</f>
        <v>AE dialoghi di tempo fiducia e cura episodi 2-3-4</v>
      </c>
      <c r="E4932" s="10" t="str">
        <f>HYPERLINK("https://otsuka-europe-crm.veevavault.com/ui/#object/sent_email__v/VBL00000002Q053", "SE-001433722")</f>
        <v>SE-001433722</v>
      </c>
      <c r="F4932" s="11"/>
      <c r="G4932" s="12">
        <v>0</v>
      </c>
      <c r="H4932" s="12">
        <v>0</v>
      </c>
      <c r="I4932" s="12">
        <v>0</v>
      </c>
      <c r="J4932" s="11"/>
      <c r="K4932" s="12">
        <v>0</v>
      </c>
      <c r="L4932" s="10" t="str">
        <f t="shared" ref="L4932:L4938" si="518">HYPERLINK("https://otsuka-europe-crm.veevavault.com/ui/#object/approved_document__v/V5O000000018003", "AE dialoghi di tempo fiducia e cura episodi 2-3-4")</f>
        <v>AE dialoghi di tempo fiducia e cura episodi 2-3-4</v>
      </c>
      <c r="M4932" s="10" t="str">
        <f t="shared" ref="M4932:M4938" si="519">HYPERLINK("mailto:nicoletta.vozza@crm.otsuka-europe.com", "nicoletta.vozza@crm.otsuka-europe.com")</f>
        <v>nicoletta.vozza@crm.otsuka-europe.com</v>
      </c>
      <c r="N4932" s="13">
        <v>46181.338090277779</v>
      </c>
      <c r="O4932" s="14" t="str">
        <f>HYPERLINK("https://otsuka-europe-crm.veevavault.com/ui/#object/email_activity__v/V8C00000003P487", "EN-002090666")</f>
        <v>EN-002090666</v>
      </c>
    </row>
    <row r="4933" spans="1:15" ht="32" x14ac:dyDescent="0.2">
      <c r="A4933" s="7" t="str">
        <f>HYPERLINK("https://otsuka-europe-crm.veevavault.com/ui/#object/account__v/V4TZ06G6O71SC0I", "SALVATORE PINTO")</f>
        <v>SALVATORE PINTO</v>
      </c>
      <c r="B4933" s="7" t="str">
        <f t="shared" si="516"/>
        <v>IT</v>
      </c>
      <c r="C4933" s="8" t="s">
        <v>44</v>
      </c>
      <c r="D4933" s="9" t="str">
        <f t="shared" si="517"/>
        <v>AE dialoghi di tempo fiducia e cura episodi 2-3-4</v>
      </c>
      <c r="E4933" s="10" t="str">
        <f>HYPERLINK("https://otsuka-europe-crm.veevavault.com/ui/#object/sent_email__v/VBL00000002Q054", "SE-001433723")</f>
        <v>SE-001433723</v>
      </c>
      <c r="F4933" s="11"/>
      <c r="G4933" s="12">
        <v>0</v>
      </c>
      <c r="H4933" s="12">
        <v>0</v>
      </c>
      <c r="I4933" s="12">
        <v>0</v>
      </c>
      <c r="J4933" s="11"/>
      <c r="K4933" s="12">
        <v>0</v>
      </c>
      <c r="L4933" s="10" t="str">
        <f t="shared" si="518"/>
        <v>AE dialoghi di tempo fiducia e cura episodi 2-3-4</v>
      </c>
      <c r="M4933" s="10" t="str">
        <f t="shared" si="519"/>
        <v>nicoletta.vozza@crm.otsuka-europe.com</v>
      </c>
      <c r="N4933" s="13">
        <v>46181.337962962964</v>
      </c>
      <c r="O4933" s="14" t="str">
        <f>HYPERLINK("https://otsuka-europe-crm.veevavault.com/ui/#object/email_activity__v/V8C00000003O185", "EN-002089622")</f>
        <v>EN-002089622</v>
      </c>
    </row>
    <row r="4934" spans="1:15" ht="32" x14ac:dyDescent="0.2">
      <c r="A4934" s="7" t="str">
        <f>HYPERLINK("https://otsuka-europe-crm.veevavault.com/ui/#object/account__v/V4TZ04ASGC0IJWQ", "SALVATORE PORCELLI")</f>
        <v>SALVATORE PORCELLI</v>
      </c>
      <c r="B4934" s="7" t="str">
        <f t="shared" si="516"/>
        <v>IT</v>
      </c>
      <c r="C4934" s="8" t="s">
        <v>44</v>
      </c>
      <c r="D4934" s="9" t="str">
        <f t="shared" si="517"/>
        <v>AE dialoghi di tempo fiducia e cura episodi 2-3-4</v>
      </c>
      <c r="E4934" s="10" t="str">
        <f>HYPERLINK("https://otsuka-europe-crm.veevavault.com/ui/#object/sent_email__v/VBL00000002Q055", "SE-001433724")</f>
        <v>SE-001433724</v>
      </c>
      <c r="F4934" s="11"/>
      <c r="G4934" s="12">
        <v>0</v>
      </c>
      <c r="H4934" s="12">
        <v>0</v>
      </c>
      <c r="I4934" s="12">
        <v>0</v>
      </c>
      <c r="J4934" s="11"/>
      <c r="K4934" s="12">
        <v>0</v>
      </c>
      <c r="L4934" s="10" t="str">
        <f t="shared" si="518"/>
        <v>AE dialoghi di tempo fiducia e cura episodi 2-3-4</v>
      </c>
      <c r="M4934" s="10" t="str">
        <f t="shared" si="519"/>
        <v>nicoletta.vozza@crm.otsuka-europe.com</v>
      </c>
      <c r="N4934" s="13">
        <v>46181.337997685187</v>
      </c>
      <c r="O4934" s="14" t="str">
        <f>HYPERLINK("https://otsuka-europe-crm.veevavault.com/ui/#object/email_activity__v/V8C00000003Q627", "EN-002092077")</f>
        <v>EN-002092077</v>
      </c>
    </row>
    <row r="4935" spans="1:15" ht="32" x14ac:dyDescent="0.2">
      <c r="A4935" s="7" t="str">
        <f>HYPERLINK("https://otsuka-europe-crm.veevavault.com/ui/#object/account__v/V4TZ06G6O71S9WA", "SALVATORE ROSARIO ACCORDINO")</f>
        <v>SALVATORE ROSARIO ACCORDINO</v>
      </c>
      <c r="B4935" s="7" t="str">
        <f t="shared" si="516"/>
        <v>IT</v>
      </c>
      <c r="C4935" s="8" t="s">
        <v>44</v>
      </c>
      <c r="D4935" s="9" t="str">
        <f t="shared" si="517"/>
        <v>AE dialoghi di tempo fiducia e cura episodi 2-3-4</v>
      </c>
      <c r="E4935" s="10" t="str">
        <f>HYPERLINK("https://otsuka-europe-crm.veevavault.com/ui/#object/sent_email__v/VBL00000002Q056", "SE-001433725")</f>
        <v>SE-001433725</v>
      </c>
      <c r="F4935" s="11"/>
      <c r="G4935" s="12">
        <v>0</v>
      </c>
      <c r="H4935" s="12">
        <v>0</v>
      </c>
      <c r="I4935" s="12">
        <v>0</v>
      </c>
      <c r="J4935" s="11"/>
      <c r="K4935" s="12">
        <v>0</v>
      </c>
      <c r="L4935" s="10" t="str">
        <f t="shared" si="518"/>
        <v>AE dialoghi di tempo fiducia e cura episodi 2-3-4</v>
      </c>
      <c r="M4935" s="10" t="str">
        <f t="shared" si="519"/>
        <v>nicoletta.vozza@crm.otsuka-europe.com</v>
      </c>
      <c r="N4935" s="13">
        <v>46181.338009259256</v>
      </c>
      <c r="O4935" s="14" t="str">
        <f>HYPERLINK("https://otsuka-europe-crm.veevavault.com/ui/#object/email_activity__v/V8C00000003O467", "EN-002090023")</f>
        <v>EN-002090023</v>
      </c>
    </row>
    <row r="4936" spans="1:15" ht="32" x14ac:dyDescent="0.2">
      <c r="A4936" s="7" t="str">
        <f>HYPERLINK("https://otsuka-europe-crm.veevavault.com/ui/#object/account__v/V4TZ06G6O71SCA8", "SALVATORE SALEMI")</f>
        <v>SALVATORE SALEMI</v>
      </c>
      <c r="B4936" s="7" t="str">
        <f t="shared" si="516"/>
        <v>IT</v>
      </c>
      <c r="C4936" s="8" t="s">
        <v>44</v>
      </c>
      <c r="D4936" s="9" t="str">
        <f t="shared" si="517"/>
        <v>AE dialoghi di tempo fiducia e cura episodi 2-3-4</v>
      </c>
      <c r="E4936" s="10" t="str">
        <f>HYPERLINK("https://otsuka-europe-crm.veevavault.com/ui/#object/sent_email__v/VBL00000002Q057", "SE-001433726")</f>
        <v>SE-001433726</v>
      </c>
      <c r="F4936" s="11"/>
      <c r="G4936" s="12">
        <v>0</v>
      </c>
      <c r="H4936" s="12">
        <v>0</v>
      </c>
      <c r="I4936" s="12">
        <v>0</v>
      </c>
      <c r="J4936" s="11"/>
      <c r="K4936" s="12">
        <v>0</v>
      </c>
      <c r="L4936" s="10" t="str">
        <f t="shared" si="518"/>
        <v>AE dialoghi di tempo fiducia e cura episodi 2-3-4</v>
      </c>
      <c r="M4936" s="10" t="str">
        <f t="shared" si="519"/>
        <v>nicoletta.vozza@crm.otsuka-europe.com</v>
      </c>
      <c r="N4936" s="13">
        <v>46181.338020833333</v>
      </c>
      <c r="O4936" s="14" t="str">
        <f>HYPERLINK("https://otsuka-europe-crm.veevavault.com/ui/#object/email_activity__v/V8C00000003P349", "EN-002090355")</f>
        <v>EN-002090355</v>
      </c>
    </row>
    <row r="4937" spans="1:15" ht="32" x14ac:dyDescent="0.2">
      <c r="A4937" s="7" t="str">
        <f>HYPERLINK("https://otsuka-europe-crm.veevavault.com/ui/#object/account__v/V4TZ06G6O71SCGI", "SALVATORE SPORTIELLO")</f>
        <v>SALVATORE SPORTIELLO</v>
      </c>
      <c r="B4937" s="7" t="str">
        <f t="shared" si="516"/>
        <v>IT</v>
      </c>
      <c r="C4937" s="8" t="s">
        <v>44</v>
      </c>
      <c r="D4937" s="9" t="str">
        <f t="shared" si="517"/>
        <v>AE dialoghi di tempo fiducia e cura episodi 2-3-4</v>
      </c>
      <c r="E4937" s="10" t="str">
        <f>HYPERLINK("https://otsuka-europe-crm.veevavault.com/ui/#object/sent_email__v/VBL00000002Q058", "SE-001433727")</f>
        <v>SE-001433727</v>
      </c>
      <c r="F4937" s="11"/>
      <c r="G4937" s="12">
        <v>0</v>
      </c>
      <c r="H4937" s="12">
        <v>0</v>
      </c>
      <c r="I4937" s="12">
        <v>0</v>
      </c>
      <c r="J4937" s="11"/>
      <c r="K4937" s="12">
        <v>0</v>
      </c>
      <c r="L4937" s="10" t="str">
        <f t="shared" si="518"/>
        <v>AE dialoghi di tempo fiducia e cura episodi 2-3-4</v>
      </c>
      <c r="M4937" s="10" t="str">
        <f t="shared" si="519"/>
        <v>nicoletta.vozza@crm.otsuka-europe.com</v>
      </c>
      <c r="N4937" s="13">
        <v>46181.337939814817</v>
      </c>
      <c r="O4937" s="14" t="str">
        <f>HYPERLINK("https://otsuka-europe-crm.veevavault.com/ui/#object/email_activity__v/V8C00000003Q298", "EN-002091440")</f>
        <v>EN-002091440</v>
      </c>
    </row>
    <row r="4938" spans="1:15" ht="16" x14ac:dyDescent="0.2">
      <c r="A4938" s="17" t="str">
        <f>HYPERLINK("https://otsuka-europe-crm.veevavault.com/ui/#object/account__v/V4TZ04ASGAVB5UA", "SALVATORE VELOTTI")</f>
        <v>SALVATORE VELOTTI</v>
      </c>
      <c r="B4938" s="17" t="str">
        <f t="shared" si="516"/>
        <v>IT</v>
      </c>
      <c r="C4938" s="20" t="s">
        <v>44</v>
      </c>
      <c r="D4938" s="21" t="str">
        <f t="shared" si="517"/>
        <v>AE dialoghi di tempo fiducia e cura episodi 2-3-4</v>
      </c>
      <c r="E4938" s="22" t="str">
        <f>HYPERLINK("https://otsuka-europe-crm.veevavault.com/ui/#object/sent_email__v/VBL00000002Q059", "SE-001433728")</f>
        <v>SE-001433728</v>
      </c>
      <c r="F4938" s="25"/>
      <c r="G4938" s="24">
        <v>0</v>
      </c>
      <c r="H4938" s="24">
        <v>0</v>
      </c>
      <c r="I4938" s="24">
        <v>0</v>
      </c>
      <c r="J4938" s="25"/>
      <c r="K4938" s="24">
        <v>0</v>
      </c>
      <c r="L4938" s="22" t="str">
        <f t="shared" si="518"/>
        <v>AE dialoghi di tempo fiducia e cura episodi 2-3-4</v>
      </c>
      <c r="M4938" s="22" t="str">
        <f t="shared" si="519"/>
        <v>nicoletta.vozza@crm.otsuka-europe.com</v>
      </c>
      <c r="N4938" s="23">
        <v>46181.337962962964</v>
      </c>
      <c r="O4938" s="14" t="str">
        <f>HYPERLINK("https://otsuka-europe-crm.veevavault.com/ui/#object/email_activity__v/V8C00000003O451", "EN-002090007")</f>
        <v>EN-002090007</v>
      </c>
    </row>
    <row r="4939" spans="1:15" ht="16" x14ac:dyDescent="0.2">
      <c r="A4939" s="18"/>
      <c r="B4939" s="18"/>
      <c r="C4939" s="18"/>
      <c r="D4939" s="18"/>
      <c r="E4939" s="18"/>
      <c r="F4939" s="18"/>
      <c r="G4939" s="18"/>
      <c r="H4939" s="18"/>
      <c r="I4939" s="18"/>
      <c r="J4939" s="18"/>
      <c r="K4939" s="18"/>
      <c r="L4939" s="18"/>
      <c r="M4939" s="18"/>
      <c r="N4939" s="18"/>
      <c r="O4939" s="14" t="str">
        <f>HYPERLINK("https://otsuka-europe-crm.veevavault.com/ui/#object/email_activity__v/V8C00000003Q693", "EN-002092225")</f>
        <v>EN-002092225</v>
      </c>
    </row>
    <row r="4940" spans="1:15" ht="16" x14ac:dyDescent="0.2">
      <c r="A4940" s="19"/>
      <c r="B4940" s="19"/>
      <c r="C4940" s="19"/>
      <c r="D4940" s="19"/>
      <c r="E4940" s="19"/>
      <c r="F4940" s="19"/>
      <c r="G4940" s="19"/>
      <c r="H4940" s="19"/>
      <c r="I4940" s="19"/>
      <c r="J4940" s="19"/>
      <c r="K4940" s="19"/>
      <c r="L4940" s="19"/>
      <c r="M4940" s="19"/>
      <c r="N4940" s="19"/>
      <c r="O4940" s="14" t="str">
        <f>HYPERLINK("https://otsuka-europe-crm.veevavault.com/ui/#object/email_activity__v/V8C00000003U406", "EN-002095667")</f>
        <v>EN-002095667</v>
      </c>
    </row>
    <row r="4941" spans="1:15" ht="32" x14ac:dyDescent="0.2">
      <c r="A4941" s="7" t="str">
        <f>HYPERLINK("https://otsuka-europe-crm.veevavault.com/ui/#object/account__v/V4TZ06G6O71SA2B", "SAMANTHA BALDINI")</f>
        <v>SAMANTHA BALDINI</v>
      </c>
      <c r="B4941" s="7" t="str">
        <f t="shared" ref="B4941:B4946" si="520">HYPERLINK("https://otsuka-europe-crm.veevavault.com/ui/#object/vcountry__v/VENZ000004SONFQ", "IT")</f>
        <v>IT</v>
      </c>
      <c r="C4941" s="8" t="s">
        <v>44</v>
      </c>
      <c r="D4941" s="9" t="str">
        <f t="shared" ref="D4941:D4946" si="521">HYPERLINK("https://otsuka-europe-crm.veevavault.com/ui/#object/approved_document__v/V5O000000018003", "AE dialoghi di tempo fiducia e cura episodi 2-3-4")</f>
        <v>AE dialoghi di tempo fiducia e cura episodi 2-3-4</v>
      </c>
      <c r="E4941" s="10" t="str">
        <f>HYPERLINK("https://otsuka-europe-crm.veevavault.com/ui/#object/sent_email__v/VBL00000002Q060", "SE-001433729")</f>
        <v>SE-001433729</v>
      </c>
      <c r="F4941" s="11"/>
      <c r="G4941" s="12">
        <v>0</v>
      </c>
      <c r="H4941" s="12">
        <v>0</v>
      </c>
      <c r="I4941" s="12">
        <v>0</v>
      </c>
      <c r="J4941" s="11"/>
      <c r="K4941" s="12">
        <v>0</v>
      </c>
      <c r="L4941" s="10" t="str">
        <f t="shared" ref="L4941:L4946" si="522">HYPERLINK("https://otsuka-europe-crm.veevavault.com/ui/#object/approved_document__v/V5O000000018003", "AE dialoghi di tempo fiducia e cura episodi 2-3-4")</f>
        <v>AE dialoghi di tempo fiducia e cura episodi 2-3-4</v>
      </c>
      <c r="M4941" s="10" t="str">
        <f t="shared" ref="M4941:M4946" si="523">HYPERLINK("mailto:nicoletta.vozza@crm.otsuka-europe.com", "nicoletta.vozza@crm.otsuka-europe.com")</f>
        <v>nicoletta.vozza@crm.otsuka-europe.com</v>
      </c>
      <c r="N4941" s="13">
        <v>46181.338101851848</v>
      </c>
      <c r="O4941" s="14" t="str">
        <f>HYPERLINK("https://otsuka-europe-crm.veevavault.com/ui/#object/email_activity__v/V8C00000003Q162", "EN-002091248")</f>
        <v>EN-002091248</v>
      </c>
    </row>
    <row r="4942" spans="1:15" ht="32" x14ac:dyDescent="0.2">
      <c r="A4942" s="7" t="str">
        <f>HYPERLINK("https://otsuka-europe-crm.veevavault.com/ui/#object/account__v/V4TZ06G6O71SCB8", "SAMANTHA MARIA SILVIA SANNICANDRO")</f>
        <v>SAMANTHA MARIA SILVIA SANNICANDRO</v>
      </c>
      <c r="B4942" s="7" t="str">
        <f t="shared" si="520"/>
        <v>IT</v>
      </c>
      <c r="C4942" s="8" t="s">
        <v>44</v>
      </c>
      <c r="D4942" s="9" t="str">
        <f t="shared" si="521"/>
        <v>AE dialoghi di tempo fiducia e cura episodi 2-3-4</v>
      </c>
      <c r="E4942" s="10" t="str">
        <f>HYPERLINK("https://otsuka-europe-crm.veevavault.com/ui/#object/sent_email__v/VBL00000002Q061", "SE-001433730")</f>
        <v>SE-001433730</v>
      </c>
      <c r="F4942" s="11"/>
      <c r="G4942" s="12">
        <v>0</v>
      </c>
      <c r="H4942" s="12">
        <v>0</v>
      </c>
      <c r="I4942" s="12">
        <v>0</v>
      </c>
      <c r="J4942" s="11"/>
      <c r="K4942" s="12">
        <v>0</v>
      </c>
      <c r="L4942" s="10" t="str">
        <f t="shared" si="522"/>
        <v>AE dialoghi di tempo fiducia e cura episodi 2-3-4</v>
      </c>
      <c r="M4942" s="10" t="str">
        <f t="shared" si="523"/>
        <v>nicoletta.vozza@crm.otsuka-europe.com</v>
      </c>
      <c r="N4942" s="13">
        <v>46181.338680555556</v>
      </c>
      <c r="O4942" s="14" t="str">
        <f>HYPERLINK("https://otsuka-europe-crm.veevavault.com/ui/#object/email_activity__v/V8C00000003P852", "EN-002091266")</f>
        <v>EN-002091266</v>
      </c>
    </row>
    <row r="4943" spans="1:15" ht="32" x14ac:dyDescent="0.2">
      <c r="A4943" s="7" t="str">
        <f>HYPERLINK("https://otsuka-europe-crm.veevavault.com/ui/#object/account__v/V4TZ06G6O71S9PQ", "SAMANTHA VISIMBERGA")</f>
        <v>SAMANTHA VISIMBERGA</v>
      </c>
      <c r="B4943" s="7" t="str">
        <f t="shared" si="520"/>
        <v>IT</v>
      </c>
      <c r="C4943" s="8" t="s">
        <v>44</v>
      </c>
      <c r="D4943" s="9" t="str">
        <f t="shared" si="521"/>
        <v>AE dialoghi di tempo fiducia e cura episodi 2-3-4</v>
      </c>
      <c r="E4943" s="10" t="str">
        <f>HYPERLINK("https://otsuka-europe-crm.veevavault.com/ui/#object/sent_email__v/VBL00000002Q062", "SE-001433731")</f>
        <v>SE-001433731</v>
      </c>
      <c r="F4943" s="11"/>
      <c r="G4943" s="12">
        <v>0</v>
      </c>
      <c r="H4943" s="12">
        <v>0</v>
      </c>
      <c r="I4943" s="12">
        <v>0</v>
      </c>
      <c r="J4943" s="11"/>
      <c r="K4943" s="12">
        <v>0</v>
      </c>
      <c r="L4943" s="10" t="str">
        <f t="shared" si="522"/>
        <v>AE dialoghi di tempo fiducia e cura episodi 2-3-4</v>
      </c>
      <c r="M4943" s="10" t="str">
        <f t="shared" si="523"/>
        <v>nicoletta.vozza@crm.otsuka-europe.com</v>
      </c>
      <c r="N4943" s="13">
        <v>46181.337962962964</v>
      </c>
      <c r="O4943" s="14" t="str">
        <f>HYPERLINK("https://otsuka-europe-crm.veevavault.com/ui/#object/email_activity__v/V8C00000003P201", "EN-002089647")</f>
        <v>EN-002089647</v>
      </c>
    </row>
    <row r="4944" spans="1:15" ht="32" x14ac:dyDescent="0.2">
      <c r="A4944" s="7" t="str">
        <f>HYPERLINK("https://otsuka-europe-crm.veevavault.com/ui/#object/account__v/V4TZ06G6O71SAA2", "SAMUELE DEFILIPPI")</f>
        <v>SAMUELE DEFILIPPI</v>
      </c>
      <c r="B4944" s="7" t="str">
        <f t="shared" si="520"/>
        <v>IT</v>
      </c>
      <c r="C4944" s="8" t="s">
        <v>44</v>
      </c>
      <c r="D4944" s="9" t="str">
        <f t="shared" si="521"/>
        <v>AE dialoghi di tempo fiducia e cura episodi 2-3-4</v>
      </c>
      <c r="E4944" s="10" t="str">
        <f>HYPERLINK("https://otsuka-europe-crm.veevavault.com/ui/#object/sent_email__v/VBL00000002Q063", "SE-001433732")</f>
        <v>SE-001433732</v>
      </c>
      <c r="F4944" s="11"/>
      <c r="G4944" s="12">
        <v>0</v>
      </c>
      <c r="H4944" s="12">
        <v>0</v>
      </c>
      <c r="I4944" s="12">
        <v>0</v>
      </c>
      <c r="J4944" s="11"/>
      <c r="K4944" s="12">
        <v>0</v>
      </c>
      <c r="L4944" s="10" t="str">
        <f t="shared" si="522"/>
        <v>AE dialoghi di tempo fiducia e cura episodi 2-3-4</v>
      </c>
      <c r="M4944" s="10" t="str">
        <f t="shared" si="523"/>
        <v>nicoletta.vozza@crm.otsuka-europe.com</v>
      </c>
      <c r="N4944" s="13">
        <v>46181.337997685187</v>
      </c>
      <c r="O4944" s="14" t="str">
        <f>HYPERLINK("https://otsuka-europe-crm.veevavault.com/ui/#object/email_activity__v/V8C00000003O702", "EN-002090258")</f>
        <v>EN-002090258</v>
      </c>
    </row>
    <row r="4945" spans="1:15" ht="32" x14ac:dyDescent="0.2">
      <c r="A4945" s="7" t="str">
        <f>HYPERLINK("https://otsuka-europe-crm.veevavault.com/ui/#object/account__v/V4TZ06G6O71SB52", "SANDRA CONTI")</f>
        <v>SANDRA CONTI</v>
      </c>
      <c r="B4945" s="7" t="str">
        <f t="shared" si="520"/>
        <v>IT</v>
      </c>
      <c r="C4945" s="8" t="s">
        <v>44</v>
      </c>
      <c r="D4945" s="9" t="str">
        <f t="shared" si="521"/>
        <v>AE dialoghi di tempo fiducia e cura episodi 2-3-4</v>
      </c>
      <c r="E4945" s="10" t="str">
        <f>HYPERLINK("https://otsuka-europe-crm.veevavault.com/ui/#object/sent_email__v/VBL00000002Q064", "SE-001433733")</f>
        <v>SE-001433733</v>
      </c>
      <c r="F4945" s="11"/>
      <c r="G4945" s="12">
        <v>0</v>
      </c>
      <c r="H4945" s="12">
        <v>0</v>
      </c>
      <c r="I4945" s="12">
        <v>0</v>
      </c>
      <c r="J4945" s="11"/>
      <c r="K4945" s="12">
        <v>0</v>
      </c>
      <c r="L4945" s="10" t="str">
        <f t="shared" si="522"/>
        <v>AE dialoghi di tempo fiducia e cura episodi 2-3-4</v>
      </c>
      <c r="M4945" s="10" t="str">
        <f t="shared" si="523"/>
        <v>nicoletta.vozza@crm.otsuka-europe.com</v>
      </c>
      <c r="N4945" s="13">
        <v>46181.338043981479</v>
      </c>
      <c r="O4945" s="14" t="str">
        <f>HYPERLINK("https://otsuka-europe-crm.veevavault.com/ui/#object/email_activity__v/V8C00000003O441", "EN-002089997")</f>
        <v>EN-002089997</v>
      </c>
    </row>
    <row r="4946" spans="1:15" ht="16" x14ac:dyDescent="0.2">
      <c r="A4946" s="17" t="str">
        <f>HYPERLINK("https://otsuka-europe-crm.veevavault.com/ui/#object/account__v/V4TZ06G6O71SC2D", "SANDRA RAMACCIOTTI")</f>
        <v>SANDRA RAMACCIOTTI</v>
      </c>
      <c r="B4946" s="17" t="str">
        <f t="shared" si="520"/>
        <v>IT</v>
      </c>
      <c r="C4946" s="20" t="s">
        <v>44</v>
      </c>
      <c r="D4946" s="21" t="str">
        <f t="shared" si="521"/>
        <v>AE dialoghi di tempo fiducia e cura episodi 2-3-4</v>
      </c>
      <c r="E4946" s="22" t="str">
        <f>HYPERLINK("https://otsuka-europe-crm.veevavault.com/ui/#object/sent_email__v/VBL00000002Q065", "SE-001433734")</f>
        <v>SE-001433734</v>
      </c>
      <c r="F4946" s="23">
        <v>46181.366643518515</v>
      </c>
      <c r="G4946" s="24">
        <v>1</v>
      </c>
      <c r="H4946" s="24">
        <v>2</v>
      </c>
      <c r="I4946" s="24">
        <v>0</v>
      </c>
      <c r="J4946" s="25"/>
      <c r="K4946" s="24">
        <v>0</v>
      </c>
      <c r="L4946" s="22" t="str">
        <f t="shared" si="522"/>
        <v>AE dialoghi di tempo fiducia e cura episodi 2-3-4</v>
      </c>
      <c r="M4946" s="22" t="str">
        <f t="shared" si="523"/>
        <v>nicoletta.vozza@crm.otsuka-europe.com</v>
      </c>
      <c r="N4946" s="23">
        <v>46181.337962962964</v>
      </c>
      <c r="O4946" s="14" t="str">
        <f>HYPERLINK("https://otsuka-europe-crm.veevavault.com/ui/#object/email_activity__v/V8C00000003P175", "EN-002089575")</f>
        <v>EN-002089575</v>
      </c>
    </row>
    <row r="4947" spans="1:15" ht="16" x14ac:dyDescent="0.2">
      <c r="A4947" s="18"/>
      <c r="B4947" s="18"/>
      <c r="C4947" s="18"/>
      <c r="D4947" s="18"/>
      <c r="E4947" s="18"/>
      <c r="F4947" s="18"/>
      <c r="G4947" s="18"/>
      <c r="H4947" s="18"/>
      <c r="I4947" s="18"/>
      <c r="J4947" s="18"/>
      <c r="K4947" s="18"/>
      <c r="L4947" s="18"/>
      <c r="M4947" s="18"/>
      <c r="N4947" s="18"/>
      <c r="O4947" s="14" t="str">
        <f>HYPERLINK("https://otsuka-europe-crm.veevavault.com/ui/#object/email_activity__v/V8C00000003P800", "EN-002091098")</f>
        <v>EN-002091098</v>
      </c>
    </row>
    <row r="4948" spans="1:15" ht="16" x14ac:dyDescent="0.2">
      <c r="A4948" s="19"/>
      <c r="B4948" s="19"/>
      <c r="C4948" s="19"/>
      <c r="D4948" s="19"/>
      <c r="E4948" s="19"/>
      <c r="F4948" s="19"/>
      <c r="G4948" s="19"/>
      <c r="H4948" s="19"/>
      <c r="I4948" s="19"/>
      <c r="J4948" s="19"/>
      <c r="K4948" s="19"/>
      <c r="L4948" s="19"/>
      <c r="M4948" s="19"/>
      <c r="N4948" s="19"/>
      <c r="O4948" s="14" t="str">
        <f>HYPERLINK("https://otsuka-europe-crm.veevavault.com/ui/#object/email_activity__v/V8C00000003Q339", "EN-002091515")</f>
        <v>EN-002091515</v>
      </c>
    </row>
    <row r="4949" spans="1:15" ht="16" x14ac:dyDescent="0.2">
      <c r="A4949" s="17" t="str">
        <f>HYPERLINK("https://otsuka-europe-crm.veevavault.com/ui/#object/account__v/V4TZ06G6OBIJVEN", "SANDRO FAGIOLI")</f>
        <v>SANDRO FAGIOLI</v>
      </c>
      <c r="B4949" s="17" t="str">
        <f>HYPERLINK("https://otsuka-europe-crm.veevavault.com/ui/#object/vcountry__v/VENZ000004SONFQ", "IT")</f>
        <v>IT</v>
      </c>
      <c r="C4949" s="20" t="s">
        <v>44</v>
      </c>
      <c r="D4949" s="21" t="str">
        <f>HYPERLINK("https://otsuka-europe-crm.veevavault.com/ui/#object/approved_document__v/V5O000000018003", "AE dialoghi di tempo fiducia e cura episodi 2-3-4")</f>
        <v>AE dialoghi di tempo fiducia e cura episodi 2-3-4</v>
      </c>
      <c r="E4949" s="22" t="str">
        <f>HYPERLINK("https://otsuka-europe-crm.veevavault.com/ui/#object/sent_email__v/VBL00000002Q066", "SE-001433735")</f>
        <v>SE-001433735</v>
      </c>
      <c r="F4949" s="23">
        <v>46181.36341435185</v>
      </c>
      <c r="G4949" s="24">
        <v>1</v>
      </c>
      <c r="H4949" s="24">
        <v>1</v>
      </c>
      <c r="I4949" s="24">
        <v>0</v>
      </c>
      <c r="J4949" s="25"/>
      <c r="K4949" s="24">
        <v>0</v>
      </c>
      <c r="L4949" s="22" t="str">
        <f>HYPERLINK("https://otsuka-europe-crm.veevavault.com/ui/#object/approved_document__v/V5O000000018003", "AE dialoghi di tempo fiducia e cura episodi 2-3-4")</f>
        <v>AE dialoghi di tempo fiducia e cura episodi 2-3-4</v>
      </c>
      <c r="M4949" s="22" t="str">
        <f>HYPERLINK("mailto:nicoletta.vozza@crm.otsuka-europe.com", "nicoletta.vozza@crm.otsuka-europe.com")</f>
        <v>nicoletta.vozza@crm.otsuka-europe.com</v>
      </c>
      <c r="N4949" s="23">
        <v>46181.337997685187</v>
      </c>
      <c r="O4949" s="14" t="str">
        <f>HYPERLINK("https://otsuka-europe-crm.veevavault.com/ui/#object/email_activity__v/V8C00000003P718", "EN-002090973")</f>
        <v>EN-002090973</v>
      </c>
    </row>
    <row r="4950" spans="1:15" ht="16" x14ac:dyDescent="0.2">
      <c r="A4950" s="19"/>
      <c r="B4950" s="19"/>
      <c r="C4950" s="19"/>
      <c r="D4950" s="19"/>
      <c r="E4950" s="19"/>
      <c r="F4950" s="19"/>
      <c r="G4950" s="19"/>
      <c r="H4950" s="19"/>
      <c r="I4950" s="19"/>
      <c r="J4950" s="19"/>
      <c r="K4950" s="19"/>
      <c r="L4950" s="19"/>
      <c r="M4950" s="19"/>
      <c r="N4950" s="19"/>
      <c r="O4950" s="14" t="str">
        <f>HYPERLINK("https://otsuka-europe-crm.veevavault.com/ui/#object/email_activity__v/V8C00000003P937", "EN-002091513")</f>
        <v>EN-002091513</v>
      </c>
    </row>
    <row r="4951" spans="1:15" ht="32" x14ac:dyDescent="0.2">
      <c r="A4951" s="7" t="str">
        <f>HYPERLINK("https://otsuka-europe-crm.veevavault.com/ui/#object/account__v/V4TZ06G6O71SA5H", "SANTINA BONA")</f>
        <v>SANTINA BONA</v>
      </c>
      <c r="B4951" s="7" t="str">
        <f>HYPERLINK("https://otsuka-europe-crm.veevavault.com/ui/#object/vcountry__v/VENZ000004SONFQ", "IT")</f>
        <v>IT</v>
      </c>
      <c r="C4951" s="8" t="s">
        <v>44</v>
      </c>
      <c r="D4951" s="9" t="str">
        <f>HYPERLINK("https://otsuka-europe-crm.veevavault.com/ui/#object/approved_document__v/V5O000000018003", "AE dialoghi di tempo fiducia e cura episodi 2-3-4")</f>
        <v>AE dialoghi di tempo fiducia e cura episodi 2-3-4</v>
      </c>
      <c r="E4951" s="10" t="str">
        <f>HYPERLINK("https://otsuka-europe-crm.veevavault.com/ui/#object/sent_email__v/VBL00000002Q067", "SE-001433736")</f>
        <v>SE-001433736</v>
      </c>
      <c r="F4951" s="11"/>
      <c r="G4951" s="12">
        <v>0</v>
      </c>
      <c r="H4951" s="12">
        <v>0</v>
      </c>
      <c r="I4951" s="12">
        <v>0</v>
      </c>
      <c r="J4951" s="11"/>
      <c r="K4951" s="12">
        <v>0</v>
      </c>
      <c r="L4951" s="10" t="str">
        <f>HYPERLINK("https://otsuka-europe-crm.veevavault.com/ui/#object/approved_document__v/V5O000000018003", "AE dialoghi di tempo fiducia e cura episodi 2-3-4")</f>
        <v>AE dialoghi di tempo fiducia e cura episodi 2-3-4</v>
      </c>
      <c r="M4951" s="10" t="str">
        <f>HYPERLINK("mailto:nicoletta.vozza@crm.otsuka-europe.com", "nicoletta.vozza@crm.otsuka-europe.com")</f>
        <v>nicoletta.vozza@crm.otsuka-europe.com</v>
      </c>
      <c r="N4951" s="13">
        <v>46181.338067129633</v>
      </c>
      <c r="O4951" s="14" t="str">
        <f>HYPERLINK("https://otsuka-europe-crm.veevavault.com/ui/#object/email_activity__v/V8C00000003Q107", "EN-002091172")</f>
        <v>EN-002091172</v>
      </c>
    </row>
    <row r="4952" spans="1:15" ht="32" x14ac:dyDescent="0.2">
      <c r="A4952" s="7" t="str">
        <f>HYPERLINK("https://otsuka-europe-crm.veevavault.com/ui/#object/account__v/V4TZ06G6O71SA3Q", "SARA BARALDi")</f>
        <v>SARA BARALDi</v>
      </c>
      <c r="B4952" s="7" t="str">
        <f>HYPERLINK("https://otsuka-europe-crm.veevavault.com/ui/#object/vcountry__v/VENZ000004SONFQ", "IT")</f>
        <v>IT</v>
      </c>
      <c r="C4952" s="8" t="s">
        <v>44</v>
      </c>
      <c r="D4952" s="9" t="str">
        <f>HYPERLINK("https://otsuka-europe-crm.veevavault.com/ui/#object/approved_document__v/V5O000000018003", "AE dialoghi di tempo fiducia e cura episodi 2-3-4")</f>
        <v>AE dialoghi di tempo fiducia e cura episodi 2-3-4</v>
      </c>
      <c r="E4952" s="10" t="str">
        <f>HYPERLINK("https://otsuka-europe-crm.veevavault.com/ui/#object/sent_email__v/VBL00000002Q068", "SE-001433737")</f>
        <v>SE-001433737</v>
      </c>
      <c r="F4952" s="11"/>
      <c r="G4952" s="12">
        <v>0</v>
      </c>
      <c r="H4952" s="12">
        <v>0</v>
      </c>
      <c r="I4952" s="12">
        <v>0</v>
      </c>
      <c r="J4952" s="11"/>
      <c r="K4952" s="12">
        <v>0</v>
      </c>
      <c r="L4952" s="10" t="str">
        <f>HYPERLINK("https://otsuka-europe-crm.veevavault.com/ui/#object/approved_document__v/V5O000000018003", "AE dialoghi di tempo fiducia e cura episodi 2-3-4")</f>
        <v>AE dialoghi di tempo fiducia e cura episodi 2-3-4</v>
      </c>
      <c r="M4952" s="10" t="str">
        <f>HYPERLINK("mailto:nicoletta.vozza@crm.otsuka-europe.com", "nicoletta.vozza@crm.otsuka-europe.com")</f>
        <v>nicoletta.vozza@crm.otsuka-europe.com</v>
      </c>
      <c r="N4952" s="13">
        <v>46181.33797453704</v>
      </c>
      <c r="O4952" s="14" t="str">
        <f>HYPERLINK("https://otsuka-europe-crm.veevavault.com/ui/#object/email_activity__v/V8C00000003P428", "EN-002090636")</f>
        <v>EN-002090636</v>
      </c>
    </row>
    <row r="4953" spans="1:15" ht="32" x14ac:dyDescent="0.2">
      <c r="A4953" s="7" t="str">
        <f>HYPERLINK("https://otsuka-europe-crm.veevavault.com/ui/#object/account__v/V4TZ06G6O71SA2R", "SARA BARTOLOMEI")</f>
        <v>SARA BARTOLOMEI</v>
      </c>
      <c r="B4953" s="7" t="str">
        <f>HYPERLINK("https://otsuka-europe-crm.veevavault.com/ui/#object/vcountry__v/VENZ000004SONFQ", "IT")</f>
        <v>IT</v>
      </c>
      <c r="C4953" s="8" t="s">
        <v>44</v>
      </c>
      <c r="D4953" s="9" t="str">
        <f>HYPERLINK("https://otsuka-europe-crm.veevavault.com/ui/#object/approved_document__v/V5O000000018003", "AE dialoghi di tempo fiducia e cura episodi 2-3-4")</f>
        <v>AE dialoghi di tempo fiducia e cura episodi 2-3-4</v>
      </c>
      <c r="E4953" s="10" t="str">
        <f>HYPERLINK("https://otsuka-europe-crm.veevavault.com/ui/#object/sent_email__v/VBL00000002Q069", "SE-001433738")</f>
        <v>SE-001433738</v>
      </c>
      <c r="F4953" s="11"/>
      <c r="G4953" s="12">
        <v>0</v>
      </c>
      <c r="H4953" s="12">
        <v>0</v>
      </c>
      <c r="I4953" s="12">
        <v>0</v>
      </c>
      <c r="J4953" s="11"/>
      <c r="K4953" s="12">
        <v>0</v>
      </c>
      <c r="L4953" s="10" t="str">
        <f>HYPERLINK("https://otsuka-europe-crm.veevavault.com/ui/#object/approved_document__v/V5O000000018003", "AE dialoghi di tempo fiducia e cura episodi 2-3-4")</f>
        <v>AE dialoghi di tempo fiducia e cura episodi 2-3-4</v>
      </c>
      <c r="M4953" s="10" t="str">
        <f>HYPERLINK("mailto:nicoletta.vozza@crm.otsuka-europe.com", "nicoletta.vozza@crm.otsuka-europe.com")</f>
        <v>nicoletta.vozza@crm.otsuka-europe.com</v>
      </c>
      <c r="N4953" s="13">
        <v>46181.338020833333</v>
      </c>
      <c r="O4953" s="14" t="str">
        <f>HYPERLINK("https://otsuka-europe-crm.veevavault.com/ui/#object/email_activity__v/V8C00000003O843", "EN-002090545")</f>
        <v>EN-002090545</v>
      </c>
    </row>
    <row r="4954" spans="1:15" ht="16" x14ac:dyDescent="0.2">
      <c r="A4954" s="17" t="str">
        <f>HYPERLINK("https://otsuka-europe-crm.veevavault.com/ui/#object/account__v/V4TZ06G6O71SA7T", "SARA BOFFA")</f>
        <v>SARA BOFFA</v>
      </c>
      <c r="B4954" s="17" t="str">
        <f>HYPERLINK("https://otsuka-europe-crm.veevavault.com/ui/#object/vcountry__v/VENZ000004SONFQ", "IT")</f>
        <v>IT</v>
      </c>
      <c r="C4954" s="20" t="s">
        <v>44</v>
      </c>
      <c r="D4954" s="21" t="str">
        <f>HYPERLINK("https://otsuka-europe-crm.veevavault.com/ui/#object/approved_document__v/V5O000000018003", "AE dialoghi di tempo fiducia e cura episodi 2-3-4")</f>
        <v>AE dialoghi di tempo fiducia e cura episodi 2-3-4</v>
      </c>
      <c r="E4954" s="22" t="str">
        <f>HYPERLINK("https://otsuka-europe-crm.veevavault.com/ui/#object/sent_email__v/VBL00000002Q070", "SE-001433739")</f>
        <v>SE-001433739</v>
      </c>
      <c r="F4954" s="23">
        <v>46181.457384259258</v>
      </c>
      <c r="G4954" s="24">
        <v>1</v>
      </c>
      <c r="H4954" s="24">
        <v>1</v>
      </c>
      <c r="I4954" s="24">
        <v>0</v>
      </c>
      <c r="J4954" s="25"/>
      <c r="K4954" s="24">
        <v>0</v>
      </c>
      <c r="L4954" s="22" t="str">
        <f>HYPERLINK("https://otsuka-europe-crm.veevavault.com/ui/#object/approved_document__v/V5O000000018003", "AE dialoghi di tempo fiducia e cura episodi 2-3-4")</f>
        <v>AE dialoghi di tempo fiducia e cura episodi 2-3-4</v>
      </c>
      <c r="M4954" s="22" t="str">
        <f>HYPERLINK("mailto:nicoletta.vozza@crm.otsuka-europe.com", "nicoletta.vozza@crm.otsuka-europe.com")</f>
        <v>nicoletta.vozza@crm.otsuka-europe.com</v>
      </c>
      <c r="N4954" s="23">
        <v>46181.337962962964</v>
      </c>
      <c r="O4954" s="14" t="str">
        <f>HYPERLINK("https://otsuka-europe-crm.veevavault.com/ui/#object/email_activity__v/V8C00000003P200", "EN-002089646")</f>
        <v>EN-002089646</v>
      </c>
    </row>
    <row r="4955" spans="1:15" ht="16" x14ac:dyDescent="0.2">
      <c r="A4955" s="19"/>
      <c r="B4955" s="19"/>
      <c r="C4955" s="19"/>
      <c r="D4955" s="19"/>
      <c r="E4955" s="19"/>
      <c r="F4955" s="19"/>
      <c r="G4955" s="19"/>
      <c r="H4955" s="19"/>
      <c r="I4955" s="19"/>
      <c r="J4955" s="19"/>
      <c r="K4955" s="19"/>
      <c r="L4955" s="19"/>
      <c r="M4955" s="19"/>
      <c r="N4955" s="19"/>
      <c r="O4955" s="14" t="str">
        <f>HYPERLINK("https://otsuka-europe-crm.veevavault.com/ui/#object/email_activity__v/V8C00000003R099", "EN-002091862")</f>
        <v>EN-002091862</v>
      </c>
    </row>
    <row r="4956" spans="1:15" ht="16" x14ac:dyDescent="0.2">
      <c r="A4956" s="17" t="str">
        <f>HYPERLINK("https://otsuka-europe-crm.veevavault.com/ui/#object/account__v/V4TZ06G6O71SCCZ", "SARA CIMMAROSA")</f>
        <v>SARA CIMMAROSA</v>
      </c>
      <c r="B4956" s="17" t="str">
        <f>HYPERLINK("https://otsuka-europe-crm.veevavault.com/ui/#object/vcountry__v/VENZ000004SONFQ", "IT")</f>
        <v>IT</v>
      </c>
      <c r="C4956" s="20" t="s">
        <v>44</v>
      </c>
      <c r="D4956" s="21" t="str">
        <f>HYPERLINK("https://otsuka-europe-crm.veevavault.com/ui/#object/approved_document__v/V5O000000018003", "AE dialoghi di tempo fiducia e cura episodi 2-3-4")</f>
        <v>AE dialoghi di tempo fiducia e cura episodi 2-3-4</v>
      </c>
      <c r="E4956" s="22" t="str">
        <f>HYPERLINK("https://otsuka-europe-crm.veevavault.com/ui/#object/sent_email__v/VBL00000002Q071", "SE-001433740")</f>
        <v>SE-001433740</v>
      </c>
      <c r="F4956" s="23">
        <v>46181.351597222223</v>
      </c>
      <c r="G4956" s="24">
        <v>1</v>
      </c>
      <c r="H4956" s="24">
        <v>1</v>
      </c>
      <c r="I4956" s="24">
        <v>0</v>
      </c>
      <c r="J4956" s="25"/>
      <c r="K4956" s="24">
        <v>0</v>
      </c>
      <c r="L4956" s="22" t="str">
        <f>HYPERLINK("https://otsuka-europe-crm.veevavault.com/ui/#object/approved_document__v/V5O000000018003", "AE dialoghi di tempo fiducia e cura episodi 2-3-4")</f>
        <v>AE dialoghi di tempo fiducia e cura episodi 2-3-4</v>
      </c>
      <c r="M4956" s="22" t="str">
        <f>HYPERLINK("mailto:nicoletta.vozza@crm.otsuka-europe.com", "nicoletta.vozza@crm.otsuka-europe.com")</f>
        <v>nicoletta.vozza@crm.otsuka-europe.com</v>
      </c>
      <c r="N4956" s="23">
        <v>46181.33792824074</v>
      </c>
      <c r="O4956" s="14" t="str">
        <f>HYPERLINK("https://otsuka-europe-crm.veevavault.com/ui/#object/email_activity__v/V8C00000003O659", "EN-002090215")</f>
        <v>EN-002090215</v>
      </c>
    </row>
    <row r="4957" spans="1:15" ht="16" x14ac:dyDescent="0.2">
      <c r="A4957" s="18"/>
      <c r="B4957" s="18"/>
      <c r="C4957" s="18"/>
      <c r="D4957" s="18"/>
      <c r="E4957" s="18"/>
      <c r="F4957" s="18"/>
      <c r="G4957" s="18"/>
      <c r="H4957" s="18"/>
      <c r="I4957" s="18"/>
      <c r="J4957" s="18"/>
      <c r="K4957" s="18"/>
      <c r="L4957" s="18"/>
      <c r="M4957" s="18"/>
      <c r="N4957" s="18"/>
      <c r="O4957" s="14" t="str">
        <f>HYPERLINK("https://otsuka-europe-crm.veevavault.com/ui/#object/email_activity__v/V8C00000003Q316", "EN-002091472")</f>
        <v>EN-002091472</v>
      </c>
    </row>
    <row r="4958" spans="1:15" ht="16" x14ac:dyDescent="0.2">
      <c r="A4958" s="19"/>
      <c r="B4958" s="19"/>
      <c r="C4958" s="19"/>
      <c r="D4958" s="19"/>
      <c r="E4958" s="19"/>
      <c r="F4958" s="19"/>
      <c r="G4958" s="19"/>
      <c r="H4958" s="19"/>
      <c r="I4958" s="19"/>
      <c r="J4958" s="19"/>
      <c r="K4958" s="19"/>
      <c r="L4958" s="19"/>
      <c r="M4958" s="19"/>
      <c r="N4958" s="19"/>
      <c r="O4958" s="14" t="str">
        <f>HYPERLINK("https://otsuka-europe-crm.veevavault.com/ui/#object/email_activity__v/V8C00000003T047", "EN-002093665")</f>
        <v>EN-002093665</v>
      </c>
    </row>
    <row r="4959" spans="1:15" ht="32" x14ac:dyDescent="0.2">
      <c r="A4959" s="7" t="str">
        <f>HYPERLINK("https://otsuka-europe-crm.veevavault.com/ui/#object/account__v/V4TZ025E85EE57X", "SARA COMPARINI")</f>
        <v>SARA COMPARINI</v>
      </c>
      <c r="B4959" s="7" t="str">
        <f>HYPERLINK("https://otsuka-europe-crm.veevavault.com/ui/#object/vcountry__v/VENZ000004SONFQ", "IT")</f>
        <v>IT</v>
      </c>
      <c r="C4959" s="8" t="s">
        <v>44</v>
      </c>
      <c r="D4959" s="9" t="str">
        <f>HYPERLINK("https://otsuka-europe-crm.veevavault.com/ui/#object/approved_document__v/V5O000000018003", "AE dialoghi di tempo fiducia e cura episodi 2-3-4")</f>
        <v>AE dialoghi di tempo fiducia e cura episodi 2-3-4</v>
      </c>
      <c r="E4959" s="10" t="str">
        <f>HYPERLINK("https://otsuka-europe-crm.veevavault.com/ui/#object/sent_email__v/VBL00000002Q072", "SE-001433741")</f>
        <v>SE-001433741</v>
      </c>
      <c r="F4959" s="11"/>
      <c r="G4959" s="12">
        <v>0</v>
      </c>
      <c r="H4959" s="12">
        <v>0</v>
      </c>
      <c r="I4959" s="12">
        <v>0</v>
      </c>
      <c r="J4959" s="11"/>
      <c r="K4959" s="12">
        <v>0</v>
      </c>
      <c r="L4959" s="10" t="str">
        <f>HYPERLINK("https://otsuka-europe-crm.veevavault.com/ui/#object/approved_document__v/V5O000000018003", "AE dialoghi di tempo fiducia e cura episodi 2-3-4")</f>
        <v>AE dialoghi di tempo fiducia e cura episodi 2-3-4</v>
      </c>
      <c r="M4959" s="10" t="str">
        <f>HYPERLINK("mailto:nicoletta.vozza@crm.otsuka-europe.com", "nicoletta.vozza@crm.otsuka-europe.com")</f>
        <v>nicoletta.vozza@crm.otsuka-europe.com</v>
      </c>
      <c r="N4959" s="13">
        <v>46181.337962962964</v>
      </c>
      <c r="O4959" s="14" t="str">
        <f>HYPERLINK("https://otsuka-europe-crm.veevavault.com/ui/#object/email_activity__v/V8C00000003O239", "EN-002089716")</f>
        <v>EN-002089716</v>
      </c>
    </row>
    <row r="4960" spans="1:15" ht="16" x14ac:dyDescent="0.2">
      <c r="A4960" s="17" t="str">
        <f>HYPERLINK("https://otsuka-europe-crm.veevavault.com/ui/#object/account__v/V4TZ06G6O71S9IF", "SARA FRAIETTA")</f>
        <v>SARA FRAIETTA</v>
      </c>
      <c r="B4960" s="17" t="str">
        <f>HYPERLINK("https://otsuka-europe-crm.veevavault.com/ui/#object/vcountry__v/VENZ000004SONFQ", "IT")</f>
        <v>IT</v>
      </c>
      <c r="C4960" s="20" t="s">
        <v>44</v>
      </c>
      <c r="D4960" s="21" t="str">
        <f>HYPERLINK("https://otsuka-europe-crm.veevavault.com/ui/#object/approved_document__v/V5O000000018003", "AE dialoghi di tempo fiducia e cura episodi 2-3-4")</f>
        <v>AE dialoghi di tempo fiducia e cura episodi 2-3-4</v>
      </c>
      <c r="E4960" s="22" t="str">
        <f>HYPERLINK("https://otsuka-europe-crm.veevavault.com/ui/#object/sent_email__v/VBL00000002Q073", "SE-001433742")</f>
        <v>SE-001433742</v>
      </c>
      <c r="F4960" s="23">
        <v>46183.217812499999</v>
      </c>
      <c r="G4960" s="24">
        <v>1</v>
      </c>
      <c r="H4960" s="24">
        <v>1</v>
      </c>
      <c r="I4960" s="24">
        <v>0</v>
      </c>
      <c r="J4960" s="25"/>
      <c r="K4960" s="24">
        <v>0</v>
      </c>
      <c r="L4960" s="22" t="str">
        <f>HYPERLINK("https://otsuka-europe-crm.veevavault.com/ui/#object/approved_document__v/V5O000000018003", "AE dialoghi di tempo fiducia e cura episodi 2-3-4")</f>
        <v>AE dialoghi di tempo fiducia e cura episodi 2-3-4</v>
      </c>
      <c r="M4960" s="22" t="str">
        <f>HYPERLINK("mailto:nicoletta.vozza@crm.otsuka-europe.com", "nicoletta.vozza@crm.otsuka-europe.com")</f>
        <v>nicoletta.vozza@crm.otsuka-europe.com</v>
      </c>
      <c r="N4960" s="23">
        <v>46181.33792824074</v>
      </c>
      <c r="O4960" s="14" t="str">
        <f>HYPERLINK("https://otsuka-europe-crm.veevavault.com/ui/#object/email_activity__v/V8C00000003O142", "EN-002089524")</f>
        <v>EN-002089524</v>
      </c>
    </row>
    <row r="4961" spans="1:15" ht="16" x14ac:dyDescent="0.2">
      <c r="A4961" s="19"/>
      <c r="B4961" s="19"/>
      <c r="C4961" s="19"/>
      <c r="D4961" s="19"/>
      <c r="E4961" s="19"/>
      <c r="F4961" s="19"/>
      <c r="G4961" s="19"/>
      <c r="H4961" s="19"/>
      <c r="I4961" s="19"/>
      <c r="J4961" s="19"/>
      <c r="K4961" s="19"/>
      <c r="L4961" s="19"/>
      <c r="M4961" s="19"/>
      <c r="N4961" s="19"/>
      <c r="O4961" s="14" t="str">
        <f>HYPERLINK("https://otsuka-europe-crm.veevavault.com/ui/#object/email_activity__v/V8C00000003T129", "EN-002093812")</f>
        <v>EN-002093812</v>
      </c>
    </row>
    <row r="4962" spans="1:15" ht="32" x14ac:dyDescent="0.2">
      <c r="A4962" s="7" t="str">
        <f>HYPERLINK("https://otsuka-europe-crm.veevavault.com/ui/#object/account__v/V4TZ06G6OCBI52Z", "SARA GERI")</f>
        <v>SARA GERI</v>
      </c>
      <c r="B4962" s="7" t="str">
        <f t="shared" ref="B4962:B4969" si="524">HYPERLINK("https://otsuka-europe-crm.veevavault.com/ui/#object/vcountry__v/VENZ000004SONFQ", "IT")</f>
        <v>IT</v>
      </c>
      <c r="C4962" s="8" t="s">
        <v>44</v>
      </c>
      <c r="D4962" s="9" t="str">
        <f t="shared" ref="D4962:D4969" si="525">HYPERLINK("https://otsuka-europe-crm.veevavault.com/ui/#object/approved_document__v/V5O000000018003", "AE dialoghi di tempo fiducia e cura episodi 2-3-4")</f>
        <v>AE dialoghi di tempo fiducia e cura episodi 2-3-4</v>
      </c>
      <c r="E4962" s="10" t="str">
        <f>HYPERLINK("https://otsuka-europe-crm.veevavault.com/ui/#object/sent_email__v/VBL00000002Q074", "SE-001433743")</f>
        <v>SE-001433743</v>
      </c>
      <c r="F4962" s="11"/>
      <c r="G4962" s="12">
        <v>0</v>
      </c>
      <c r="H4962" s="12">
        <v>0</v>
      </c>
      <c r="I4962" s="12">
        <v>0</v>
      </c>
      <c r="J4962" s="11"/>
      <c r="K4962" s="12">
        <v>0</v>
      </c>
      <c r="L4962" s="10" t="str">
        <f t="shared" ref="L4962:L4969" si="526">HYPERLINK("https://otsuka-europe-crm.veevavault.com/ui/#object/approved_document__v/V5O000000018003", "AE dialoghi di tempo fiducia e cura episodi 2-3-4")</f>
        <v>AE dialoghi di tempo fiducia e cura episodi 2-3-4</v>
      </c>
      <c r="M4962" s="10" t="str">
        <f t="shared" ref="M4962:M4969" si="527">HYPERLINK("mailto:nicoletta.vozza@crm.otsuka-europe.com", "nicoletta.vozza@crm.otsuka-europe.com")</f>
        <v>nicoletta.vozza@crm.otsuka-europe.com</v>
      </c>
      <c r="N4962" s="13">
        <v>46181.337997685187</v>
      </c>
      <c r="O4962" s="14" t="str">
        <f>HYPERLINK("https://otsuka-europe-crm.veevavault.com/ui/#object/email_activity__v/V8C00000003O335", "EN-002089812")</f>
        <v>EN-002089812</v>
      </c>
    </row>
    <row r="4963" spans="1:15" ht="32" x14ac:dyDescent="0.2">
      <c r="A4963" s="7" t="str">
        <f>HYPERLINK("https://otsuka-europe-crm.veevavault.com/ui/#object/account__v/V4TZ06G6OB47KNO", "SARA GIBIINO")</f>
        <v>SARA GIBIINO</v>
      </c>
      <c r="B4963" s="7" t="str">
        <f t="shared" si="524"/>
        <v>IT</v>
      </c>
      <c r="C4963" s="8" t="s">
        <v>44</v>
      </c>
      <c r="D4963" s="9" t="str">
        <f t="shared" si="525"/>
        <v>AE dialoghi di tempo fiducia e cura episodi 2-3-4</v>
      </c>
      <c r="E4963" s="10" t="str">
        <f>HYPERLINK("https://otsuka-europe-crm.veevavault.com/ui/#object/sent_email__v/VBL00000002Q075", "SE-001433744")</f>
        <v>SE-001433744</v>
      </c>
      <c r="F4963" s="11"/>
      <c r="G4963" s="12">
        <v>0</v>
      </c>
      <c r="H4963" s="12">
        <v>0</v>
      </c>
      <c r="I4963" s="12">
        <v>0</v>
      </c>
      <c r="J4963" s="11"/>
      <c r="K4963" s="12">
        <v>0</v>
      </c>
      <c r="L4963" s="10" t="str">
        <f t="shared" si="526"/>
        <v>AE dialoghi di tempo fiducia e cura episodi 2-3-4</v>
      </c>
      <c r="M4963" s="10" t="str">
        <f t="shared" si="527"/>
        <v>nicoletta.vozza@crm.otsuka-europe.com</v>
      </c>
      <c r="N4963" s="13">
        <v>46181.33798611111</v>
      </c>
      <c r="O4963" s="14" t="str">
        <f>HYPERLINK("https://otsuka-europe-crm.veevavault.com/ui/#object/email_activity__v/V8C00000003Q106", "EN-002091171")</f>
        <v>EN-002091171</v>
      </c>
    </row>
    <row r="4964" spans="1:15" ht="32" x14ac:dyDescent="0.2">
      <c r="A4964" s="7" t="str">
        <f>HYPERLINK("https://otsuka-europe-crm.veevavault.com/ui/#object/account__v/V4TZ04ASGC01REX", "SARA LONGOBARDI")</f>
        <v>SARA LONGOBARDI</v>
      </c>
      <c r="B4964" s="7" t="str">
        <f t="shared" si="524"/>
        <v>IT</v>
      </c>
      <c r="C4964" s="8" t="s">
        <v>44</v>
      </c>
      <c r="D4964" s="9" t="str">
        <f t="shared" si="525"/>
        <v>AE dialoghi di tempo fiducia e cura episodi 2-3-4</v>
      </c>
      <c r="E4964" s="10" t="str">
        <f>HYPERLINK("https://otsuka-europe-crm.veevavault.com/ui/#object/sent_email__v/VBL00000002Q076", "SE-001433745")</f>
        <v>SE-001433745</v>
      </c>
      <c r="F4964" s="11"/>
      <c r="G4964" s="12">
        <v>0</v>
      </c>
      <c r="H4964" s="12">
        <v>0</v>
      </c>
      <c r="I4964" s="12">
        <v>0</v>
      </c>
      <c r="J4964" s="11"/>
      <c r="K4964" s="12">
        <v>0</v>
      </c>
      <c r="L4964" s="10" t="str">
        <f t="shared" si="526"/>
        <v>AE dialoghi di tempo fiducia e cura episodi 2-3-4</v>
      </c>
      <c r="M4964" s="10" t="str">
        <f t="shared" si="527"/>
        <v>nicoletta.vozza@crm.otsuka-europe.com</v>
      </c>
      <c r="N4964" s="13">
        <v>46181.338067129633</v>
      </c>
      <c r="O4964" s="14" t="str">
        <f>HYPERLINK("https://otsuka-europe-crm.veevavault.com/ui/#object/email_activity__v/V8C00000003Q135", "EN-002091218")</f>
        <v>EN-002091218</v>
      </c>
    </row>
    <row r="4965" spans="1:15" ht="32" x14ac:dyDescent="0.2">
      <c r="A4965" s="7" t="str">
        <f>HYPERLINK("https://otsuka-europe-crm.veevavault.com/ui/#object/account__v/V4TZ06G6O71SBZ2", "SARA MARIA POZZOLI")</f>
        <v>SARA MARIA POZZOLI</v>
      </c>
      <c r="B4965" s="7" t="str">
        <f t="shared" si="524"/>
        <v>IT</v>
      </c>
      <c r="C4965" s="8" t="s">
        <v>44</v>
      </c>
      <c r="D4965" s="9" t="str">
        <f t="shared" si="525"/>
        <v>AE dialoghi di tempo fiducia e cura episodi 2-3-4</v>
      </c>
      <c r="E4965" s="10" t="str">
        <f>HYPERLINK("https://otsuka-europe-crm.veevavault.com/ui/#object/sent_email__v/VBL00000002Q077", "SE-001433746")</f>
        <v>SE-001433746</v>
      </c>
      <c r="F4965" s="11"/>
      <c r="G4965" s="12">
        <v>0</v>
      </c>
      <c r="H4965" s="12">
        <v>0</v>
      </c>
      <c r="I4965" s="12">
        <v>0</v>
      </c>
      <c r="J4965" s="11"/>
      <c r="K4965" s="12">
        <v>0</v>
      </c>
      <c r="L4965" s="10" t="str">
        <f t="shared" si="526"/>
        <v>AE dialoghi di tempo fiducia e cura episodi 2-3-4</v>
      </c>
      <c r="M4965" s="10" t="str">
        <f t="shared" si="527"/>
        <v>nicoletta.vozza@crm.otsuka-europe.com</v>
      </c>
      <c r="N4965" s="13">
        <v>46181.337997685187</v>
      </c>
      <c r="O4965" s="14" t="str">
        <f>HYPERLINK("https://otsuka-europe-crm.veevavault.com/ui/#object/email_activity__v/V8C00000003P518", "EN-002090773")</f>
        <v>EN-002090773</v>
      </c>
    </row>
    <row r="4966" spans="1:15" ht="32" x14ac:dyDescent="0.2">
      <c r="A4966" s="7" t="str">
        <f>HYPERLINK("https://otsuka-europe-crm.veevavault.com/ui/#object/account__v/V4TZ04ASG6ZT9U0", "SARA PADERNI")</f>
        <v>SARA PADERNI</v>
      </c>
      <c r="B4966" s="7" t="str">
        <f t="shared" si="524"/>
        <v>IT</v>
      </c>
      <c r="C4966" s="8" t="s">
        <v>44</v>
      </c>
      <c r="D4966" s="9" t="str">
        <f t="shared" si="525"/>
        <v>AE dialoghi di tempo fiducia e cura episodi 2-3-4</v>
      </c>
      <c r="E4966" s="10" t="str">
        <f>HYPERLINK("https://otsuka-europe-crm.veevavault.com/ui/#object/sent_email__v/VBL00000002Q078", "SE-001433747")</f>
        <v>SE-001433747</v>
      </c>
      <c r="F4966" s="11"/>
      <c r="G4966" s="12">
        <v>0</v>
      </c>
      <c r="H4966" s="12">
        <v>0</v>
      </c>
      <c r="I4966" s="12">
        <v>0</v>
      </c>
      <c r="J4966" s="11"/>
      <c r="K4966" s="12">
        <v>0</v>
      </c>
      <c r="L4966" s="10" t="str">
        <f t="shared" si="526"/>
        <v>AE dialoghi di tempo fiducia e cura episodi 2-3-4</v>
      </c>
      <c r="M4966" s="10" t="str">
        <f t="shared" si="527"/>
        <v>nicoletta.vozza@crm.otsuka-europe.com</v>
      </c>
      <c r="N4966" s="13">
        <v>46181.338067129633</v>
      </c>
      <c r="O4966" s="14" t="str">
        <f>HYPERLINK("https://otsuka-europe-crm.veevavault.com/ui/#object/email_activity__v/V8C00000003O650", "EN-002090206")</f>
        <v>EN-002090206</v>
      </c>
    </row>
    <row r="4967" spans="1:15" ht="32" x14ac:dyDescent="0.2">
      <c r="A4967" s="7" t="str">
        <f>HYPERLINK("https://otsuka-europe-crm.veevavault.com/ui/#object/account__v/V4TZ06G6O71S9VC", "SARA PATTI")</f>
        <v>SARA PATTI</v>
      </c>
      <c r="B4967" s="7" t="str">
        <f t="shared" si="524"/>
        <v>IT</v>
      </c>
      <c r="C4967" s="8" t="s">
        <v>44</v>
      </c>
      <c r="D4967" s="9" t="str">
        <f t="shared" si="525"/>
        <v>AE dialoghi di tempo fiducia e cura episodi 2-3-4</v>
      </c>
      <c r="E4967" s="10" t="str">
        <f>HYPERLINK("https://otsuka-europe-crm.veevavault.com/ui/#object/sent_email__v/VBL00000002Q079", "SE-001433748")</f>
        <v>SE-001433748</v>
      </c>
      <c r="F4967" s="11"/>
      <c r="G4967" s="12">
        <v>0</v>
      </c>
      <c r="H4967" s="12">
        <v>0</v>
      </c>
      <c r="I4967" s="12">
        <v>0</v>
      </c>
      <c r="J4967" s="11"/>
      <c r="K4967" s="12">
        <v>0</v>
      </c>
      <c r="L4967" s="10" t="str">
        <f t="shared" si="526"/>
        <v>AE dialoghi di tempo fiducia e cura episodi 2-3-4</v>
      </c>
      <c r="M4967" s="10" t="str">
        <f t="shared" si="527"/>
        <v>nicoletta.vozza@crm.otsuka-europe.com</v>
      </c>
      <c r="N4967" s="13">
        <v>46181.33798611111</v>
      </c>
      <c r="O4967" s="14" t="str">
        <f>HYPERLINK("https://otsuka-europe-crm.veevavault.com/ui/#object/email_activity__v/V8C00000003O565", "EN-002090121")</f>
        <v>EN-002090121</v>
      </c>
    </row>
    <row r="4968" spans="1:15" ht="32" x14ac:dyDescent="0.2">
      <c r="A4968" s="7" t="str">
        <f>HYPERLINK("https://otsuka-europe-crm.veevavault.com/ui/#object/account__v/V4TZ025E85JGG3T", "SARA RUGGIERO")</f>
        <v>SARA RUGGIERO</v>
      </c>
      <c r="B4968" s="7" t="str">
        <f t="shared" si="524"/>
        <v>IT</v>
      </c>
      <c r="C4968" s="8" t="s">
        <v>44</v>
      </c>
      <c r="D4968" s="9" t="str">
        <f t="shared" si="525"/>
        <v>AE dialoghi di tempo fiducia e cura episodi 2-3-4</v>
      </c>
      <c r="E4968" s="10" t="str">
        <f>HYPERLINK("https://otsuka-europe-crm.veevavault.com/ui/#object/sent_email__v/VBL00000002Q080", "SE-001433749")</f>
        <v>SE-001433749</v>
      </c>
      <c r="F4968" s="11"/>
      <c r="G4968" s="12">
        <v>0</v>
      </c>
      <c r="H4968" s="12">
        <v>0</v>
      </c>
      <c r="I4968" s="12">
        <v>0</v>
      </c>
      <c r="J4968" s="11"/>
      <c r="K4968" s="12">
        <v>0</v>
      </c>
      <c r="L4968" s="10" t="str">
        <f t="shared" si="526"/>
        <v>AE dialoghi di tempo fiducia e cura episodi 2-3-4</v>
      </c>
      <c r="M4968" s="10" t="str">
        <f t="shared" si="527"/>
        <v>nicoletta.vozza@crm.otsuka-europe.com</v>
      </c>
      <c r="N4968" s="13">
        <v>46181.337939814817</v>
      </c>
      <c r="O4968" s="14" t="str">
        <f>HYPERLINK("https://otsuka-europe-crm.veevavault.com/ui/#object/email_activity__v/V8C00000003O806", "EN-002090508")</f>
        <v>EN-002090508</v>
      </c>
    </row>
    <row r="4969" spans="1:15" ht="16" x14ac:dyDescent="0.2">
      <c r="A4969" s="17" t="str">
        <f>HYPERLINK("https://otsuka-europe-crm.veevavault.com/ui/#object/account__v/V4TZ06G6O71S9CL", "SARA RUTA")</f>
        <v>SARA RUTA</v>
      </c>
      <c r="B4969" s="17" t="str">
        <f t="shared" si="524"/>
        <v>IT</v>
      </c>
      <c r="C4969" s="20" t="s">
        <v>44</v>
      </c>
      <c r="D4969" s="21" t="str">
        <f t="shared" si="525"/>
        <v>AE dialoghi di tempo fiducia e cura episodi 2-3-4</v>
      </c>
      <c r="E4969" s="22" t="str">
        <f>HYPERLINK("https://otsuka-europe-crm.veevavault.com/ui/#object/sent_email__v/VBL00000002Q081", "SE-001433750")</f>
        <v>SE-001433750</v>
      </c>
      <c r="F4969" s="23">
        <v>46181.470879629633</v>
      </c>
      <c r="G4969" s="24">
        <v>1</v>
      </c>
      <c r="H4969" s="24">
        <v>1</v>
      </c>
      <c r="I4969" s="24">
        <v>0</v>
      </c>
      <c r="J4969" s="25"/>
      <c r="K4969" s="24">
        <v>0</v>
      </c>
      <c r="L4969" s="22" t="str">
        <f t="shared" si="526"/>
        <v>AE dialoghi di tempo fiducia e cura episodi 2-3-4</v>
      </c>
      <c r="M4969" s="22" t="str">
        <f t="shared" si="527"/>
        <v>nicoletta.vozza@crm.otsuka-europe.com</v>
      </c>
      <c r="N4969" s="23">
        <v>46181.337962962964</v>
      </c>
      <c r="O4969" s="14" t="str">
        <f>HYPERLINK("https://otsuka-europe-crm.veevavault.com/ui/#object/email_activity__v/V8C00000003P387", "EN-002090393")</f>
        <v>EN-002090393</v>
      </c>
    </row>
    <row r="4970" spans="1:15" ht="16" x14ac:dyDescent="0.2">
      <c r="A4970" s="18"/>
      <c r="B4970" s="18"/>
      <c r="C4970" s="18"/>
      <c r="D4970" s="18"/>
      <c r="E4970" s="18"/>
      <c r="F4970" s="18"/>
      <c r="G4970" s="18"/>
      <c r="H4970" s="18"/>
      <c r="I4970" s="18"/>
      <c r="J4970" s="18"/>
      <c r="K4970" s="18"/>
      <c r="L4970" s="18"/>
      <c r="M4970" s="18"/>
      <c r="N4970" s="18"/>
      <c r="O4970" s="14" t="str">
        <f>HYPERLINK("https://otsuka-europe-crm.veevavault.com/ui/#object/email_activity__v/V8C00000003Q544", "EN-002091895")</f>
        <v>EN-002091895</v>
      </c>
    </row>
    <row r="4971" spans="1:15" ht="16" x14ac:dyDescent="0.2">
      <c r="A4971" s="19"/>
      <c r="B4971" s="19"/>
      <c r="C4971" s="19"/>
      <c r="D4971" s="19"/>
      <c r="E4971" s="19"/>
      <c r="F4971" s="19"/>
      <c r="G4971" s="19"/>
      <c r="H4971" s="19"/>
      <c r="I4971" s="19"/>
      <c r="J4971" s="19"/>
      <c r="K4971" s="19"/>
      <c r="L4971" s="19"/>
      <c r="M4971" s="19"/>
      <c r="N4971" s="19"/>
      <c r="O4971" s="14" t="str">
        <f>HYPERLINK("https://otsuka-europe-crm.veevavault.com/ui/#object/email_activity__v/V8C00000003Z196", "EN-002098992")</f>
        <v>EN-002098992</v>
      </c>
    </row>
    <row r="4972" spans="1:15" ht="32" x14ac:dyDescent="0.2">
      <c r="A4972" s="7" t="str">
        <f>HYPERLINK("https://otsuka-europe-crm.veevavault.com/ui/#object/account__v/V4TZ06G6O71SCAS", "SARA SALVADORI")</f>
        <v>SARA SALVADORI</v>
      </c>
      <c r="B4972" s="7" t="str">
        <f t="shared" ref="B4972:B4989" si="528">HYPERLINK("https://otsuka-europe-crm.veevavault.com/ui/#object/vcountry__v/VENZ000004SONFQ", "IT")</f>
        <v>IT</v>
      </c>
      <c r="C4972" s="8" t="s">
        <v>44</v>
      </c>
      <c r="D4972" s="9" t="str">
        <f t="shared" ref="D4972:D4989" si="529">HYPERLINK("https://otsuka-europe-crm.veevavault.com/ui/#object/approved_document__v/V5O000000018003", "AE dialoghi di tempo fiducia e cura episodi 2-3-4")</f>
        <v>AE dialoghi di tempo fiducia e cura episodi 2-3-4</v>
      </c>
      <c r="E4972" s="10" t="str">
        <f>HYPERLINK("https://otsuka-europe-crm.veevavault.com/ui/#object/sent_email__v/VBL00000002Q082", "SE-001433751")</f>
        <v>SE-001433751</v>
      </c>
      <c r="F4972" s="11"/>
      <c r="G4972" s="12">
        <v>0</v>
      </c>
      <c r="H4972" s="12">
        <v>0</v>
      </c>
      <c r="I4972" s="12">
        <v>0</v>
      </c>
      <c r="J4972" s="11"/>
      <c r="K4972" s="12">
        <v>0</v>
      </c>
      <c r="L4972" s="10" t="str">
        <f t="shared" ref="L4972:L4989" si="530">HYPERLINK("https://otsuka-europe-crm.veevavault.com/ui/#object/approved_document__v/V5O000000018003", "AE dialoghi di tempo fiducia e cura episodi 2-3-4")</f>
        <v>AE dialoghi di tempo fiducia e cura episodi 2-3-4</v>
      </c>
      <c r="M4972" s="10" t="str">
        <f t="shared" ref="M4972:M4989" si="531">HYPERLINK("mailto:nicoletta.vozza@crm.otsuka-europe.com", "nicoletta.vozza@crm.otsuka-europe.com")</f>
        <v>nicoletta.vozza@crm.otsuka-europe.com</v>
      </c>
      <c r="N4972" s="13">
        <v>46181.339062500003</v>
      </c>
      <c r="O4972" s="14" t="str">
        <f>HYPERLINK("https://otsuka-europe-crm.veevavault.com/ui/#object/email_activity__v/V8C00000003Q208", "EN-002091314")</f>
        <v>EN-002091314</v>
      </c>
    </row>
    <row r="4973" spans="1:15" ht="32" x14ac:dyDescent="0.2">
      <c r="A4973" s="7" t="str">
        <f>HYPERLINK("https://otsuka-europe-crm.veevavault.com/ui/#object/account__v/V4TZ04ASGBU0XDW", "SARA SICCARDI")</f>
        <v>SARA SICCARDI</v>
      </c>
      <c r="B4973" s="7" t="str">
        <f t="shared" si="528"/>
        <v>IT</v>
      </c>
      <c r="C4973" s="8" t="s">
        <v>44</v>
      </c>
      <c r="D4973" s="9" t="str">
        <f t="shared" si="529"/>
        <v>AE dialoghi di tempo fiducia e cura episodi 2-3-4</v>
      </c>
      <c r="E4973" s="10" t="str">
        <f>HYPERLINK("https://otsuka-europe-crm.veevavault.com/ui/#object/sent_email__v/VBL00000002Q083", "SE-001433752")</f>
        <v>SE-001433752</v>
      </c>
      <c r="F4973" s="11"/>
      <c r="G4973" s="12">
        <v>0</v>
      </c>
      <c r="H4973" s="12">
        <v>0</v>
      </c>
      <c r="I4973" s="12">
        <v>0</v>
      </c>
      <c r="J4973" s="11"/>
      <c r="K4973" s="12">
        <v>0</v>
      </c>
      <c r="L4973" s="10" t="str">
        <f t="shared" si="530"/>
        <v>AE dialoghi di tempo fiducia e cura episodi 2-3-4</v>
      </c>
      <c r="M4973" s="10" t="str">
        <f t="shared" si="531"/>
        <v>nicoletta.vozza@crm.otsuka-europe.com</v>
      </c>
      <c r="N4973" s="13">
        <v>46181.337905092594</v>
      </c>
      <c r="O4973" s="15"/>
    </row>
    <row r="4974" spans="1:15" ht="32" x14ac:dyDescent="0.2">
      <c r="A4974" s="7" t="str">
        <f>HYPERLINK("https://otsuka-europe-crm.veevavault.com/ui/#object/account__v/V4TZ04ASGAVEOO4", "SARA TOME'")</f>
        <v>SARA TOME'</v>
      </c>
      <c r="B4974" s="7" t="str">
        <f t="shared" si="528"/>
        <v>IT</v>
      </c>
      <c r="C4974" s="8" t="s">
        <v>44</v>
      </c>
      <c r="D4974" s="9" t="str">
        <f t="shared" si="529"/>
        <v>AE dialoghi di tempo fiducia e cura episodi 2-3-4</v>
      </c>
      <c r="E4974" s="10" t="str">
        <f>HYPERLINK("https://otsuka-europe-crm.veevavault.com/ui/#object/sent_email__v/VBL00000002Q084", "SE-001433753")</f>
        <v>SE-001433753</v>
      </c>
      <c r="F4974" s="11"/>
      <c r="G4974" s="12">
        <v>0</v>
      </c>
      <c r="H4974" s="12">
        <v>0</v>
      </c>
      <c r="I4974" s="12">
        <v>0</v>
      </c>
      <c r="J4974" s="11"/>
      <c r="K4974" s="12">
        <v>0</v>
      </c>
      <c r="L4974" s="10" t="str">
        <f t="shared" si="530"/>
        <v>AE dialoghi di tempo fiducia e cura episodi 2-3-4</v>
      </c>
      <c r="M4974" s="10" t="str">
        <f t="shared" si="531"/>
        <v>nicoletta.vozza@crm.otsuka-europe.com</v>
      </c>
      <c r="N4974" s="13">
        <v>46181.337962962964</v>
      </c>
      <c r="O4974" s="14" t="str">
        <f>HYPERLINK("https://otsuka-europe-crm.veevavault.com/ui/#object/email_activity__v/V8C00000003O171", "EN-002089608")</f>
        <v>EN-002089608</v>
      </c>
    </row>
    <row r="4975" spans="1:15" ht="32" x14ac:dyDescent="0.2">
      <c r="A4975" s="7" t="str">
        <f>HYPERLINK("https://otsuka-europe-crm.veevavault.com/ui/#object/account__v/V4TZ06G6O71SCNX", "SARA VENTURELLO")</f>
        <v>SARA VENTURELLO</v>
      </c>
      <c r="B4975" s="7" t="str">
        <f t="shared" si="528"/>
        <v>IT</v>
      </c>
      <c r="C4975" s="8" t="s">
        <v>44</v>
      </c>
      <c r="D4975" s="9" t="str">
        <f t="shared" si="529"/>
        <v>AE dialoghi di tempo fiducia e cura episodi 2-3-4</v>
      </c>
      <c r="E4975" s="10" t="str">
        <f>HYPERLINK("https://otsuka-europe-crm.veevavault.com/ui/#object/sent_email__v/VBL00000002Q085", "SE-001433754")</f>
        <v>SE-001433754</v>
      </c>
      <c r="F4975" s="11"/>
      <c r="G4975" s="12">
        <v>0</v>
      </c>
      <c r="H4975" s="12">
        <v>0</v>
      </c>
      <c r="I4975" s="12">
        <v>0</v>
      </c>
      <c r="J4975" s="11"/>
      <c r="K4975" s="12">
        <v>0</v>
      </c>
      <c r="L4975" s="10" t="str">
        <f t="shared" si="530"/>
        <v>AE dialoghi di tempo fiducia e cura episodi 2-3-4</v>
      </c>
      <c r="M4975" s="10" t="str">
        <f t="shared" si="531"/>
        <v>nicoletta.vozza@crm.otsuka-europe.com</v>
      </c>
      <c r="N4975" s="13">
        <v>46181.338020833333</v>
      </c>
      <c r="O4975" s="14" t="str">
        <f>HYPERLINK("https://otsuka-europe-crm.veevavault.com/ui/#object/email_activity__v/V8C00000003O628", "EN-002090184")</f>
        <v>EN-002090184</v>
      </c>
    </row>
    <row r="4976" spans="1:15" ht="32" x14ac:dyDescent="0.2">
      <c r="A4976" s="7" t="str">
        <f>HYPERLINK("https://otsuka-europe-crm.veevavault.com/ui/#object/account__v/V4TZ06G6O71SBVL", "SARINA PATTI")</f>
        <v>SARINA PATTI</v>
      </c>
      <c r="B4976" s="7" t="str">
        <f t="shared" si="528"/>
        <v>IT</v>
      </c>
      <c r="C4976" s="8" t="s">
        <v>44</v>
      </c>
      <c r="D4976" s="9" t="str">
        <f t="shared" si="529"/>
        <v>AE dialoghi di tempo fiducia e cura episodi 2-3-4</v>
      </c>
      <c r="E4976" s="10" t="str">
        <f>HYPERLINK("https://otsuka-europe-crm.veevavault.com/ui/#object/sent_email__v/VBL00000002Q086", "SE-001433755")</f>
        <v>SE-001433755</v>
      </c>
      <c r="F4976" s="11"/>
      <c r="G4976" s="12">
        <v>0</v>
      </c>
      <c r="H4976" s="12">
        <v>0</v>
      </c>
      <c r="I4976" s="12">
        <v>0</v>
      </c>
      <c r="J4976" s="11"/>
      <c r="K4976" s="12">
        <v>0</v>
      </c>
      <c r="L4976" s="10" t="str">
        <f t="shared" si="530"/>
        <v>AE dialoghi di tempo fiducia e cura episodi 2-3-4</v>
      </c>
      <c r="M4976" s="10" t="str">
        <f t="shared" si="531"/>
        <v>nicoletta.vozza@crm.otsuka-europe.com</v>
      </c>
      <c r="N4976" s="13">
        <v>46181.33798611111</v>
      </c>
      <c r="O4976" s="14" t="str">
        <f>HYPERLINK("https://otsuka-europe-crm.veevavault.com/ui/#object/email_activity__v/V8C00000003P552", "EN-002090807")</f>
        <v>EN-002090807</v>
      </c>
    </row>
    <row r="4977" spans="1:15" ht="32" x14ac:dyDescent="0.2">
      <c r="A4977" s="7" t="str">
        <f>HYPERLINK("https://otsuka-europe-crm.veevavault.com/ui/#object/account__v/V4TZ025E88V58GQ", "SAVERIO GRATTERI")</f>
        <v>SAVERIO GRATTERI</v>
      </c>
      <c r="B4977" s="7" t="str">
        <f t="shared" si="528"/>
        <v>IT</v>
      </c>
      <c r="C4977" s="8" t="s">
        <v>44</v>
      </c>
      <c r="D4977" s="9" t="str">
        <f t="shared" si="529"/>
        <v>AE dialoghi di tempo fiducia e cura episodi 2-3-4</v>
      </c>
      <c r="E4977" s="10" t="str">
        <f>HYPERLINK("https://otsuka-europe-crm.veevavault.com/ui/#object/sent_email__v/VBL00000002Q087", "SE-001433756")</f>
        <v>SE-001433756</v>
      </c>
      <c r="F4977" s="11"/>
      <c r="G4977" s="12">
        <v>0</v>
      </c>
      <c r="H4977" s="12">
        <v>0</v>
      </c>
      <c r="I4977" s="12">
        <v>0</v>
      </c>
      <c r="J4977" s="11"/>
      <c r="K4977" s="12">
        <v>0</v>
      </c>
      <c r="L4977" s="10" t="str">
        <f t="shared" si="530"/>
        <v>AE dialoghi di tempo fiducia e cura episodi 2-3-4</v>
      </c>
      <c r="M4977" s="10" t="str">
        <f t="shared" si="531"/>
        <v>nicoletta.vozza@crm.otsuka-europe.com</v>
      </c>
      <c r="N4977" s="13">
        <v>46181.33797453704</v>
      </c>
      <c r="O4977" s="14" t="str">
        <f>HYPERLINK("https://otsuka-europe-crm.veevavault.com/ui/#object/email_activity__v/V8C00000003O348", "EN-002089866")</f>
        <v>EN-002089866</v>
      </c>
    </row>
    <row r="4978" spans="1:15" ht="32" x14ac:dyDescent="0.2">
      <c r="A4978" s="7" t="str">
        <f>HYPERLINK("https://otsuka-europe-crm.veevavault.com/ui/#object/account__v/V4TZ06G6O71SBSB", "SAVINA PETRELLI")</f>
        <v>SAVINA PETRELLI</v>
      </c>
      <c r="B4978" s="7" t="str">
        <f t="shared" si="528"/>
        <v>IT</v>
      </c>
      <c r="C4978" s="8" t="s">
        <v>44</v>
      </c>
      <c r="D4978" s="9" t="str">
        <f t="shared" si="529"/>
        <v>AE dialoghi di tempo fiducia e cura episodi 2-3-4</v>
      </c>
      <c r="E4978" s="10" t="str">
        <f>HYPERLINK("https://otsuka-europe-crm.veevavault.com/ui/#object/sent_email__v/VBL00000002Q088", "SE-001433757")</f>
        <v>SE-001433757</v>
      </c>
      <c r="F4978" s="11"/>
      <c r="G4978" s="12">
        <v>0</v>
      </c>
      <c r="H4978" s="12">
        <v>0</v>
      </c>
      <c r="I4978" s="12">
        <v>0</v>
      </c>
      <c r="J4978" s="11"/>
      <c r="K4978" s="12">
        <v>0</v>
      </c>
      <c r="L4978" s="10" t="str">
        <f t="shared" si="530"/>
        <v>AE dialoghi di tempo fiducia e cura episodi 2-3-4</v>
      </c>
      <c r="M4978" s="10" t="str">
        <f t="shared" si="531"/>
        <v>nicoletta.vozza@crm.otsuka-europe.com</v>
      </c>
      <c r="N4978" s="13">
        <v>46181.337951388887</v>
      </c>
      <c r="O4978" s="14" t="str">
        <f>HYPERLINK("https://otsuka-europe-crm.veevavault.com/ui/#object/email_activity__v/V8C00000003O155", "EN-002089537")</f>
        <v>EN-002089537</v>
      </c>
    </row>
    <row r="4979" spans="1:15" ht="32" x14ac:dyDescent="0.2">
      <c r="A4979" s="7" t="str">
        <f>HYPERLINK("https://otsuka-europe-crm.veevavault.com/ui/#object/account__v/V4TZ04ASGCYXOBN", "SAVINO GORGOGLIONE")</f>
        <v>SAVINO GORGOGLIONE</v>
      </c>
      <c r="B4979" s="7" t="str">
        <f t="shared" si="528"/>
        <v>IT</v>
      </c>
      <c r="C4979" s="8" t="s">
        <v>44</v>
      </c>
      <c r="D4979" s="9" t="str">
        <f t="shared" si="529"/>
        <v>AE dialoghi di tempo fiducia e cura episodi 2-3-4</v>
      </c>
      <c r="E4979" s="10" t="str">
        <f>HYPERLINK("https://otsuka-europe-crm.veevavault.com/ui/#object/sent_email__v/VBL00000002Q089", "SE-001433758")</f>
        <v>SE-001433758</v>
      </c>
      <c r="F4979" s="11"/>
      <c r="G4979" s="12">
        <v>0</v>
      </c>
      <c r="H4979" s="12">
        <v>0</v>
      </c>
      <c r="I4979" s="12">
        <v>0</v>
      </c>
      <c r="J4979" s="11"/>
      <c r="K4979" s="12">
        <v>0</v>
      </c>
      <c r="L4979" s="10" t="str">
        <f t="shared" si="530"/>
        <v>AE dialoghi di tempo fiducia e cura episodi 2-3-4</v>
      </c>
      <c r="M4979" s="10" t="str">
        <f t="shared" si="531"/>
        <v>nicoletta.vozza@crm.otsuka-europe.com</v>
      </c>
      <c r="N4979" s="13">
        <v>46181.33797453704</v>
      </c>
      <c r="O4979" s="14" t="str">
        <f>HYPERLINK("https://otsuka-europe-crm.veevavault.com/ui/#object/email_activity__v/V8C00000003O819", "EN-002090521")</f>
        <v>EN-002090521</v>
      </c>
    </row>
    <row r="4980" spans="1:15" ht="32" x14ac:dyDescent="0.2">
      <c r="A4980" s="7" t="str">
        <f>HYPERLINK("https://otsuka-europe-crm.veevavault.com/ui/#object/account__v/V4TZ06G6O71SAYE", "SELENE CAMMARATA")</f>
        <v>SELENE CAMMARATA</v>
      </c>
      <c r="B4980" s="7" t="str">
        <f t="shared" si="528"/>
        <v>IT</v>
      </c>
      <c r="C4980" s="8" t="s">
        <v>44</v>
      </c>
      <c r="D4980" s="9" t="str">
        <f t="shared" si="529"/>
        <v>AE dialoghi di tempo fiducia e cura episodi 2-3-4</v>
      </c>
      <c r="E4980" s="10" t="str">
        <f>HYPERLINK("https://otsuka-europe-crm.veevavault.com/ui/#object/sent_email__v/VBL00000002Q090", "SE-001433759")</f>
        <v>SE-001433759</v>
      </c>
      <c r="F4980" s="11"/>
      <c r="G4980" s="12">
        <v>0</v>
      </c>
      <c r="H4980" s="12">
        <v>0</v>
      </c>
      <c r="I4980" s="12">
        <v>0</v>
      </c>
      <c r="J4980" s="11"/>
      <c r="K4980" s="12">
        <v>0</v>
      </c>
      <c r="L4980" s="10" t="str">
        <f t="shared" si="530"/>
        <v>AE dialoghi di tempo fiducia e cura episodi 2-3-4</v>
      </c>
      <c r="M4980" s="10" t="str">
        <f t="shared" si="531"/>
        <v>nicoletta.vozza@crm.otsuka-europe.com</v>
      </c>
      <c r="N4980" s="13">
        <v>46181.33797453704</v>
      </c>
      <c r="O4980" s="14" t="str">
        <f>HYPERLINK("https://otsuka-europe-crm.veevavault.com/ui/#object/email_activity__v/V8C00000003O252", "EN-002089729")</f>
        <v>EN-002089729</v>
      </c>
    </row>
    <row r="4981" spans="1:15" ht="32" x14ac:dyDescent="0.2">
      <c r="A4981" s="7" t="str">
        <f>HYPERLINK("https://otsuka-europe-crm.veevavault.com/ui/#object/account__v/V4TZ06G6O71S9HJ", "SERENA BATTISTONI")</f>
        <v>SERENA BATTISTONI</v>
      </c>
      <c r="B4981" s="7" t="str">
        <f t="shared" si="528"/>
        <v>IT</v>
      </c>
      <c r="C4981" s="8" t="s">
        <v>44</v>
      </c>
      <c r="D4981" s="9" t="str">
        <f t="shared" si="529"/>
        <v>AE dialoghi di tempo fiducia e cura episodi 2-3-4</v>
      </c>
      <c r="E4981" s="10" t="str">
        <f>HYPERLINK("https://otsuka-europe-crm.veevavault.com/ui/#object/sent_email__v/VBL00000002Q091", "SE-001433760")</f>
        <v>SE-001433760</v>
      </c>
      <c r="F4981" s="11"/>
      <c r="G4981" s="12">
        <v>0</v>
      </c>
      <c r="H4981" s="12">
        <v>0</v>
      </c>
      <c r="I4981" s="12">
        <v>0</v>
      </c>
      <c r="J4981" s="11"/>
      <c r="K4981" s="12">
        <v>0</v>
      </c>
      <c r="L4981" s="10" t="str">
        <f t="shared" si="530"/>
        <v>AE dialoghi di tempo fiducia e cura episodi 2-3-4</v>
      </c>
      <c r="M4981" s="10" t="str">
        <f t="shared" si="531"/>
        <v>nicoletta.vozza@crm.otsuka-europe.com</v>
      </c>
      <c r="N4981" s="13">
        <v>46181.339050925926</v>
      </c>
      <c r="O4981" s="14" t="str">
        <f>HYPERLINK("https://otsuka-europe-crm.veevavault.com/ui/#object/email_activity__v/V8C00000003Q202", "EN-002091308")</f>
        <v>EN-002091308</v>
      </c>
    </row>
    <row r="4982" spans="1:15" ht="32" x14ac:dyDescent="0.2">
      <c r="A4982" s="7" t="str">
        <f>HYPERLINK("https://otsuka-europe-crm.veevavault.com/ui/#object/account__v/V4TZ06G6O71S9G3", "SERENA MINELLI")</f>
        <v>SERENA MINELLI</v>
      </c>
      <c r="B4982" s="7" t="str">
        <f t="shared" si="528"/>
        <v>IT</v>
      </c>
      <c r="C4982" s="8" t="s">
        <v>44</v>
      </c>
      <c r="D4982" s="9" t="str">
        <f t="shared" si="529"/>
        <v>AE dialoghi di tempo fiducia e cura episodi 2-3-4</v>
      </c>
      <c r="E4982" s="10" t="str">
        <f>HYPERLINK("https://otsuka-europe-crm.veevavault.com/ui/#object/sent_email__v/VBL00000002Q092", "SE-001433761")</f>
        <v>SE-001433761</v>
      </c>
      <c r="F4982" s="11"/>
      <c r="G4982" s="12">
        <v>0</v>
      </c>
      <c r="H4982" s="12">
        <v>0</v>
      </c>
      <c r="I4982" s="12">
        <v>0</v>
      </c>
      <c r="J4982" s="11"/>
      <c r="K4982" s="12">
        <v>0</v>
      </c>
      <c r="L4982" s="10" t="str">
        <f t="shared" si="530"/>
        <v>AE dialoghi di tempo fiducia e cura episodi 2-3-4</v>
      </c>
      <c r="M4982" s="10" t="str">
        <f t="shared" si="531"/>
        <v>nicoletta.vozza@crm.otsuka-europe.com</v>
      </c>
      <c r="N4982" s="13">
        <v>46181.337962962964</v>
      </c>
      <c r="O4982" s="14" t="str">
        <f>HYPERLINK("https://otsuka-europe-crm.veevavault.com/ui/#object/email_activity__v/V8C00000003O169", "EN-002089606")</f>
        <v>EN-002089606</v>
      </c>
    </row>
    <row r="4983" spans="1:15" ht="32" x14ac:dyDescent="0.2">
      <c r="A4983" s="7" t="str">
        <f>HYPERLINK("https://otsuka-europe-crm.veevavault.com/ui/#object/account__v/V4TZ06G6O7VTPU8", "SERENA NAVARI")</f>
        <v>SERENA NAVARI</v>
      </c>
      <c r="B4983" s="7" t="str">
        <f t="shared" si="528"/>
        <v>IT</v>
      </c>
      <c r="C4983" s="8" t="s">
        <v>44</v>
      </c>
      <c r="D4983" s="9" t="str">
        <f t="shared" si="529"/>
        <v>AE dialoghi di tempo fiducia e cura episodi 2-3-4</v>
      </c>
      <c r="E4983" s="10" t="str">
        <f>HYPERLINK("https://otsuka-europe-crm.veevavault.com/ui/#object/sent_email__v/VBL00000002Q093", "SE-001433762")</f>
        <v>SE-001433762</v>
      </c>
      <c r="F4983" s="11"/>
      <c r="G4983" s="12">
        <v>0</v>
      </c>
      <c r="H4983" s="12">
        <v>0</v>
      </c>
      <c r="I4983" s="12">
        <v>0</v>
      </c>
      <c r="J4983" s="11"/>
      <c r="K4983" s="12">
        <v>0</v>
      </c>
      <c r="L4983" s="10" t="str">
        <f t="shared" si="530"/>
        <v>AE dialoghi di tempo fiducia e cura episodi 2-3-4</v>
      </c>
      <c r="M4983" s="10" t="str">
        <f t="shared" si="531"/>
        <v>nicoletta.vozza@crm.otsuka-europe.com</v>
      </c>
      <c r="N4983" s="13">
        <v>46181.337939814817</v>
      </c>
      <c r="O4983" s="14" t="str">
        <f>HYPERLINK("https://otsuka-europe-crm.veevavault.com/ui/#object/email_activity__v/V8C00000003O145", "EN-002089527")</f>
        <v>EN-002089527</v>
      </c>
    </row>
    <row r="4984" spans="1:15" ht="32" x14ac:dyDescent="0.2">
      <c r="A4984" s="7" t="str">
        <f>HYPERLINK("https://otsuka-europe-crm.veevavault.com/ui/#object/account__v/V4TZ06G6OBS5FN0", "SERENA PICCIONE")</f>
        <v>SERENA PICCIONE</v>
      </c>
      <c r="B4984" s="7" t="str">
        <f t="shared" si="528"/>
        <v>IT</v>
      </c>
      <c r="C4984" s="8" t="s">
        <v>44</v>
      </c>
      <c r="D4984" s="9" t="str">
        <f t="shared" si="529"/>
        <v>AE dialoghi di tempo fiducia e cura episodi 2-3-4</v>
      </c>
      <c r="E4984" s="10" t="str">
        <f>HYPERLINK("https://otsuka-europe-crm.veevavault.com/ui/#object/sent_email__v/VBL00000002Q094", "SE-001433763")</f>
        <v>SE-001433763</v>
      </c>
      <c r="F4984" s="11"/>
      <c r="G4984" s="12">
        <v>0</v>
      </c>
      <c r="H4984" s="12">
        <v>0</v>
      </c>
      <c r="I4984" s="12">
        <v>0</v>
      </c>
      <c r="J4984" s="11"/>
      <c r="K4984" s="12">
        <v>0</v>
      </c>
      <c r="L4984" s="10" t="str">
        <f t="shared" si="530"/>
        <v>AE dialoghi di tempo fiducia e cura episodi 2-3-4</v>
      </c>
      <c r="M4984" s="10" t="str">
        <f t="shared" si="531"/>
        <v>nicoletta.vozza@crm.otsuka-europe.com</v>
      </c>
      <c r="N4984" s="13">
        <v>46181.337997685187</v>
      </c>
      <c r="O4984" s="14" t="str">
        <f>HYPERLINK("https://otsuka-europe-crm.veevavault.com/ui/#object/email_activity__v/V8C00000003O997", "EN-002090746")</f>
        <v>EN-002090746</v>
      </c>
    </row>
    <row r="4985" spans="1:15" ht="32" x14ac:dyDescent="0.2">
      <c r="A4985" s="7" t="str">
        <f>HYPERLINK("https://otsuka-europe-crm.veevavault.com/ui/#object/account__v/V4TZ06G6O71SBZY", "SERENA SILVIA PUPPO")</f>
        <v>SERENA SILVIA PUPPO</v>
      </c>
      <c r="B4985" s="7" t="str">
        <f t="shared" si="528"/>
        <v>IT</v>
      </c>
      <c r="C4985" s="8" t="s">
        <v>44</v>
      </c>
      <c r="D4985" s="9" t="str">
        <f t="shared" si="529"/>
        <v>AE dialoghi di tempo fiducia e cura episodi 2-3-4</v>
      </c>
      <c r="E4985" s="10" t="str">
        <f>HYPERLINK("https://otsuka-europe-crm.veevavault.com/ui/#object/sent_email__v/VBL00000002Q095", "SE-001433764")</f>
        <v>SE-001433764</v>
      </c>
      <c r="F4985" s="11"/>
      <c r="G4985" s="12">
        <v>0</v>
      </c>
      <c r="H4985" s="12">
        <v>0</v>
      </c>
      <c r="I4985" s="12">
        <v>0</v>
      </c>
      <c r="J4985" s="11"/>
      <c r="K4985" s="12">
        <v>0</v>
      </c>
      <c r="L4985" s="10" t="str">
        <f t="shared" si="530"/>
        <v>AE dialoghi di tempo fiducia e cura episodi 2-3-4</v>
      </c>
      <c r="M4985" s="10" t="str">
        <f t="shared" si="531"/>
        <v>nicoletta.vozza@crm.otsuka-europe.com</v>
      </c>
      <c r="N4985" s="13">
        <v>46181.33797453704</v>
      </c>
      <c r="O4985" s="14" t="str">
        <f>HYPERLINK("https://otsuka-europe-crm.veevavault.com/ui/#object/email_activity__v/V8C00000003P426", "EN-002090635")</f>
        <v>EN-002090635</v>
      </c>
    </row>
    <row r="4986" spans="1:15" ht="32" x14ac:dyDescent="0.2">
      <c r="A4986" s="7" t="str">
        <f>HYPERLINK("https://otsuka-europe-crm.veevavault.com/ui/#object/account__v/V4TZ04ASGBX47I0", "SERENA SORICE")</f>
        <v>SERENA SORICE</v>
      </c>
      <c r="B4986" s="7" t="str">
        <f t="shared" si="528"/>
        <v>IT</v>
      </c>
      <c r="C4986" s="8" t="s">
        <v>44</v>
      </c>
      <c r="D4986" s="9" t="str">
        <f t="shared" si="529"/>
        <v>AE dialoghi di tempo fiducia e cura episodi 2-3-4</v>
      </c>
      <c r="E4986" s="10" t="str">
        <f>HYPERLINK("https://otsuka-europe-crm.veevavault.com/ui/#object/sent_email__v/VBL00000002Q096", "SE-001433765")</f>
        <v>SE-001433765</v>
      </c>
      <c r="F4986" s="11"/>
      <c r="G4986" s="12">
        <v>0</v>
      </c>
      <c r="H4986" s="12">
        <v>0</v>
      </c>
      <c r="I4986" s="12">
        <v>0</v>
      </c>
      <c r="J4986" s="11"/>
      <c r="K4986" s="12">
        <v>0</v>
      </c>
      <c r="L4986" s="10" t="str">
        <f t="shared" si="530"/>
        <v>AE dialoghi di tempo fiducia e cura episodi 2-3-4</v>
      </c>
      <c r="M4986" s="10" t="str">
        <f t="shared" si="531"/>
        <v>nicoletta.vozza@crm.otsuka-europe.com</v>
      </c>
      <c r="N4986" s="13">
        <v>46181.338009259256</v>
      </c>
      <c r="O4986" s="14" t="str">
        <f>HYPERLINK("https://otsuka-europe-crm.veevavault.com/ui/#object/email_activity__v/V8C00000003O673", "EN-002090229")</f>
        <v>EN-002090229</v>
      </c>
    </row>
    <row r="4987" spans="1:15" ht="32" x14ac:dyDescent="0.2">
      <c r="A4987" s="7" t="str">
        <f>HYPERLINK("https://otsuka-europe-crm.veevavault.com/ui/#object/account__v/V4TZ06G6O71S9WW", "SERENELLA ALIMENTI")</f>
        <v>SERENELLA ALIMENTI</v>
      </c>
      <c r="B4987" s="7" t="str">
        <f t="shared" si="528"/>
        <v>IT</v>
      </c>
      <c r="C4987" s="8" t="s">
        <v>44</v>
      </c>
      <c r="D4987" s="9" t="str">
        <f t="shared" si="529"/>
        <v>AE dialoghi di tempo fiducia e cura episodi 2-3-4</v>
      </c>
      <c r="E4987" s="10" t="str">
        <f>HYPERLINK("https://otsuka-europe-crm.veevavault.com/ui/#object/sent_email__v/VBL00000002Q097", "SE-001433766")</f>
        <v>SE-001433766</v>
      </c>
      <c r="F4987" s="11"/>
      <c r="G4987" s="12">
        <v>0</v>
      </c>
      <c r="H4987" s="12">
        <v>0</v>
      </c>
      <c r="I4987" s="12">
        <v>0</v>
      </c>
      <c r="J4987" s="11"/>
      <c r="K4987" s="12">
        <v>0</v>
      </c>
      <c r="L4987" s="10" t="str">
        <f t="shared" si="530"/>
        <v>AE dialoghi di tempo fiducia e cura episodi 2-3-4</v>
      </c>
      <c r="M4987" s="10" t="str">
        <f t="shared" si="531"/>
        <v>nicoletta.vozza@crm.otsuka-europe.com</v>
      </c>
      <c r="N4987" s="13">
        <v>46181.337916666664</v>
      </c>
      <c r="O4987" s="14" t="str">
        <f>HYPERLINK("https://otsuka-europe-crm.veevavault.com/ui/#object/email_activity__v/V8C00000003P190", "EN-002089590")</f>
        <v>EN-002089590</v>
      </c>
    </row>
    <row r="4988" spans="1:15" ht="32" x14ac:dyDescent="0.2">
      <c r="A4988" s="7" t="str">
        <f>HYPERLINK("https://otsuka-europe-crm.veevavault.com/ui/#object/account__v/V4TZ04ASGB9N2WB", "SERGIO BELSANTI")</f>
        <v>SERGIO BELSANTI</v>
      </c>
      <c r="B4988" s="7" t="str">
        <f t="shared" si="528"/>
        <v>IT</v>
      </c>
      <c r="C4988" s="8" t="s">
        <v>44</v>
      </c>
      <c r="D4988" s="9" t="str">
        <f t="shared" si="529"/>
        <v>AE dialoghi di tempo fiducia e cura episodi 2-3-4</v>
      </c>
      <c r="E4988" s="10" t="str">
        <f>HYPERLINK("https://otsuka-europe-crm.veevavault.com/ui/#object/sent_email__v/VBL00000002Q098", "SE-001433767")</f>
        <v>SE-001433767</v>
      </c>
      <c r="F4988" s="11"/>
      <c r="G4988" s="12">
        <v>0</v>
      </c>
      <c r="H4988" s="12">
        <v>0</v>
      </c>
      <c r="I4988" s="12">
        <v>0</v>
      </c>
      <c r="J4988" s="11"/>
      <c r="K4988" s="12">
        <v>0</v>
      </c>
      <c r="L4988" s="10" t="str">
        <f t="shared" si="530"/>
        <v>AE dialoghi di tempo fiducia e cura episodi 2-3-4</v>
      </c>
      <c r="M4988" s="10" t="str">
        <f t="shared" si="531"/>
        <v>nicoletta.vozza@crm.otsuka-europe.com</v>
      </c>
      <c r="N4988" s="13">
        <v>46181.337951388887</v>
      </c>
      <c r="O4988" s="14" t="str">
        <f>HYPERLINK("https://otsuka-europe-crm.veevavault.com/ui/#object/email_activity__v/V8C00000003O211", "EN-002089688")</f>
        <v>EN-002089688</v>
      </c>
    </row>
    <row r="4989" spans="1:15" ht="16" x14ac:dyDescent="0.2">
      <c r="A4989" s="17" t="str">
        <f>HYPERLINK("https://otsuka-europe-crm.veevavault.com/ui/#object/account__v/V4TZ06G6O71SA92", "SERGIO BIAGIOTTI")</f>
        <v>SERGIO BIAGIOTTI</v>
      </c>
      <c r="B4989" s="17" t="str">
        <f t="shared" si="528"/>
        <v>IT</v>
      </c>
      <c r="C4989" s="20" t="s">
        <v>44</v>
      </c>
      <c r="D4989" s="21" t="str">
        <f t="shared" si="529"/>
        <v>AE dialoghi di tempo fiducia e cura episodi 2-3-4</v>
      </c>
      <c r="E4989" s="22" t="str">
        <f>HYPERLINK("https://otsuka-europe-crm.veevavault.com/ui/#object/sent_email__v/VBL00000002Q099", "SE-001433768")</f>
        <v>SE-001433768</v>
      </c>
      <c r="F4989" s="25"/>
      <c r="G4989" s="24">
        <v>0</v>
      </c>
      <c r="H4989" s="24">
        <v>0</v>
      </c>
      <c r="I4989" s="24">
        <v>0</v>
      </c>
      <c r="J4989" s="25"/>
      <c r="K4989" s="24">
        <v>0</v>
      </c>
      <c r="L4989" s="22" t="str">
        <f t="shared" si="530"/>
        <v>AE dialoghi di tempo fiducia e cura episodi 2-3-4</v>
      </c>
      <c r="M4989" s="22" t="str">
        <f t="shared" si="531"/>
        <v>nicoletta.vozza@crm.otsuka-europe.com</v>
      </c>
      <c r="N4989" s="23">
        <v>46181.337951388887</v>
      </c>
      <c r="O4989" s="14" t="str">
        <f>HYPERLINK("https://otsuka-europe-crm.veevavault.com/ui/#object/email_activity__v/V8C00000003O159", "EN-002089541")</f>
        <v>EN-002089541</v>
      </c>
    </row>
    <row r="4990" spans="1:15" ht="16" x14ac:dyDescent="0.2">
      <c r="A4990" s="19"/>
      <c r="B4990" s="19"/>
      <c r="C4990" s="19"/>
      <c r="D4990" s="19"/>
      <c r="E4990" s="19"/>
      <c r="F4990" s="19"/>
      <c r="G4990" s="19"/>
      <c r="H4990" s="19"/>
      <c r="I4990" s="19"/>
      <c r="J4990" s="19"/>
      <c r="K4990" s="19"/>
      <c r="L4990" s="19"/>
      <c r="M4990" s="19"/>
      <c r="N4990" s="19"/>
      <c r="O4990" s="14" t="str">
        <f>HYPERLINK("https://otsuka-europe-crm.veevavault.com/ui/#object/email_activity__v/V8C00000003Q493", "EN-002091780")</f>
        <v>EN-002091780</v>
      </c>
    </row>
    <row r="4991" spans="1:15" ht="16" x14ac:dyDescent="0.2">
      <c r="A4991" s="17" t="str">
        <f>HYPERLINK("https://otsuka-europe-crm.veevavault.com/ui/#object/account__v/V4TZ06G6O71SAPO", "SERGIO DE MAGGIO")</f>
        <v>SERGIO DE MAGGIO</v>
      </c>
      <c r="B4991" s="17" t="str">
        <f>HYPERLINK("https://otsuka-europe-crm.veevavault.com/ui/#object/vcountry__v/VENZ000004SONFQ", "IT")</f>
        <v>IT</v>
      </c>
      <c r="C4991" s="20" t="s">
        <v>44</v>
      </c>
      <c r="D4991" s="21" t="str">
        <f>HYPERLINK("https://otsuka-europe-crm.veevavault.com/ui/#object/approved_document__v/V5O000000018003", "AE dialoghi di tempo fiducia e cura episodi 2-3-4")</f>
        <v>AE dialoghi di tempo fiducia e cura episodi 2-3-4</v>
      </c>
      <c r="E4991" s="22" t="str">
        <f>HYPERLINK("https://otsuka-europe-crm.veevavault.com/ui/#object/sent_email__v/VBL00000002Q100", "SE-001433769")</f>
        <v>SE-001433769</v>
      </c>
      <c r="F4991" s="23">
        <v>46181.385127314818</v>
      </c>
      <c r="G4991" s="24">
        <v>1</v>
      </c>
      <c r="H4991" s="24">
        <v>1</v>
      </c>
      <c r="I4991" s="24">
        <v>0</v>
      </c>
      <c r="J4991" s="25"/>
      <c r="K4991" s="24">
        <v>0</v>
      </c>
      <c r="L4991" s="22" t="str">
        <f>HYPERLINK("https://otsuka-europe-crm.veevavault.com/ui/#object/approved_document__v/V5O000000018003", "AE dialoghi di tempo fiducia e cura episodi 2-3-4")</f>
        <v>AE dialoghi di tempo fiducia e cura episodi 2-3-4</v>
      </c>
      <c r="M4991" s="22" t="str">
        <f>HYPERLINK("mailto:nicoletta.vozza@crm.otsuka-europe.com", "nicoletta.vozza@crm.otsuka-europe.com")</f>
        <v>nicoletta.vozza@crm.otsuka-europe.com</v>
      </c>
      <c r="N4991" s="23">
        <v>46181.338020833333</v>
      </c>
      <c r="O4991" s="14" t="str">
        <f>HYPERLINK("https://otsuka-europe-crm.veevavault.com/ui/#object/email_activity__v/V8C00000003O834", "EN-002090536")</f>
        <v>EN-002090536</v>
      </c>
    </row>
    <row r="4992" spans="1:15" ht="16" x14ac:dyDescent="0.2">
      <c r="A4992" s="19"/>
      <c r="B4992" s="19"/>
      <c r="C4992" s="19"/>
      <c r="D4992" s="19"/>
      <c r="E4992" s="19"/>
      <c r="F4992" s="19"/>
      <c r="G4992" s="19"/>
      <c r="H4992" s="19"/>
      <c r="I4992" s="19"/>
      <c r="J4992" s="19"/>
      <c r="K4992" s="19"/>
      <c r="L4992" s="19"/>
      <c r="M4992" s="19"/>
      <c r="N4992" s="19"/>
      <c r="O4992" s="14" t="str">
        <f>HYPERLINK("https://otsuka-europe-crm.veevavault.com/ui/#object/email_activity__v/V8C00000003R008", "EN-002091719")</f>
        <v>EN-002091719</v>
      </c>
    </row>
    <row r="4993" spans="1:15" ht="32" x14ac:dyDescent="0.2">
      <c r="A4993" s="7" t="str">
        <f>HYPERLINK("https://otsuka-europe-crm.veevavault.com/ui/#object/account__v/V4TZ06G6O71SAJJ", "SERGIO FERRO")</f>
        <v>SERGIO FERRO</v>
      </c>
      <c r="B4993" s="7" t="str">
        <f t="shared" ref="B4993:B5001" si="532">HYPERLINK("https://otsuka-europe-crm.veevavault.com/ui/#object/vcountry__v/VENZ000004SONFQ", "IT")</f>
        <v>IT</v>
      </c>
      <c r="C4993" s="8" t="s">
        <v>44</v>
      </c>
      <c r="D4993" s="9" t="str">
        <f t="shared" ref="D4993:D5001" si="533">HYPERLINK("https://otsuka-europe-crm.veevavault.com/ui/#object/approved_document__v/V5O000000018003", "AE dialoghi di tempo fiducia e cura episodi 2-3-4")</f>
        <v>AE dialoghi di tempo fiducia e cura episodi 2-3-4</v>
      </c>
      <c r="E4993" s="10" t="str">
        <f>HYPERLINK("https://otsuka-europe-crm.veevavault.com/ui/#object/sent_email__v/VBL00000002Q101", "SE-001433770")</f>
        <v>SE-001433770</v>
      </c>
      <c r="F4993" s="11"/>
      <c r="G4993" s="12">
        <v>0</v>
      </c>
      <c r="H4993" s="12">
        <v>0</v>
      </c>
      <c r="I4993" s="12">
        <v>0</v>
      </c>
      <c r="J4993" s="11"/>
      <c r="K4993" s="12">
        <v>0</v>
      </c>
      <c r="L4993" s="10" t="str">
        <f t="shared" ref="L4993:L5001" si="534">HYPERLINK("https://otsuka-europe-crm.veevavault.com/ui/#object/approved_document__v/V5O000000018003", "AE dialoghi di tempo fiducia e cura episodi 2-3-4")</f>
        <v>AE dialoghi di tempo fiducia e cura episodi 2-3-4</v>
      </c>
      <c r="M4993" s="10" t="str">
        <f t="shared" ref="M4993:M5001" si="535">HYPERLINK("mailto:nicoletta.vozza@crm.otsuka-europe.com", "nicoletta.vozza@crm.otsuka-europe.com")</f>
        <v>nicoletta.vozza@crm.otsuka-europe.com</v>
      </c>
      <c r="N4993" s="13">
        <v>46181.337997685187</v>
      </c>
      <c r="O4993" s="14" t="str">
        <f>HYPERLINK("https://otsuka-europe-crm.veevavault.com/ui/#object/email_activity__v/V8C00000003O357", "EN-002089875")</f>
        <v>EN-002089875</v>
      </c>
    </row>
    <row r="4994" spans="1:15" ht="32" x14ac:dyDescent="0.2">
      <c r="A4994" s="7" t="str">
        <f>HYPERLINK("https://otsuka-europe-crm.veevavault.com/ui/#object/account__v/V4TZ06G6O9C1SK0", "SERGIO MERLINO")</f>
        <v>SERGIO MERLINO</v>
      </c>
      <c r="B4994" s="7" t="str">
        <f t="shared" si="532"/>
        <v>IT</v>
      </c>
      <c r="C4994" s="8" t="s">
        <v>44</v>
      </c>
      <c r="D4994" s="9" t="str">
        <f t="shared" si="533"/>
        <v>AE dialoghi di tempo fiducia e cura episodi 2-3-4</v>
      </c>
      <c r="E4994" s="10" t="str">
        <f>HYPERLINK("https://otsuka-europe-crm.veevavault.com/ui/#object/sent_email__v/VBL00000002Q102", "SE-001433771")</f>
        <v>SE-001433771</v>
      </c>
      <c r="F4994" s="11"/>
      <c r="G4994" s="12">
        <v>0</v>
      </c>
      <c r="H4994" s="12">
        <v>0</v>
      </c>
      <c r="I4994" s="12">
        <v>0</v>
      </c>
      <c r="J4994" s="11"/>
      <c r="K4994" s="12">
        <v>0</v>
      </c>
      <c r="L4994" s="10" t="str">
        <f t="shared" si="534"/>
        <v>AE dialoghi di tempo fiducia e cura episodi 2-3-4</v>
      </c>
      <c r="M4994" s="10" t="str">
        <f t="shared" si="535"/>
        <v>nicoletta.vozza@crm.otsuka-europe.com</v>
      </c>
      <c r="N4994" s="13">
        <v>46181.337962962964</v>
      </c>
      <c r="O4994" s="14" t="str">
        <f>HYPERLINK("https://otsuka-europe-crm.veevavault.com/ui/#object/email_activity__v/V8C00000003P208", "EN-002089654")</f>
        <v>EN-002089654</v>
      </c>
    </row>
    <row r="4995" spans="1:15" ht="32" x14ac:dyDescent="0.2">
      <c r="A4995" s="7" t="str">
        <f>HYPERLINK("https://otsuka-europe-crm.veevavault.com/ui/#object/account__v/V4TZ025E895Q3T4", "SIEGFRIED ALBERTI")</f>
        <v>SIEGFRIED ALBERTI</v>
      </c>
      <c r="B4995" s="7" t="str">
        <f t="shared" si="532"/>
        <v>IT</v>
      </c>
      <c r="C4995" s="8" t="s">
        <v>44</v>
      </c>
      <c r="D4995" s="9" t="str">
        <f t="shared" si="533"/>
        <v>AE dialoghi di tempo fiducia e cura episodi 2-3-4</v>
      </c>
      <c r="E4995" s="10" t="str">
        <f>HYPERLINK("https://otsuka-europe-crm.veevavault.com/ui/#object/sent_email__v/VBL00000002Q103", "SE-001433772")</f>
        <v>SE-001433772</v>
      </c>
      <c r="F4995" s="11"/>
      <c r="G4995" s="12">
        <v>0</v>
      </c>
      <c r="H4995" s="12">
        <v>0</v>
      </c>
      <c r="I4995" s="12">
        <v>0</v>
      </c>
      <c r="J4995" s="11"/>
      <c r="K4995" s="12">
        <v>0</v>
      </c>
      <c r="L4995" s="10" t="str">
        <f t="shared" si="534"/>
        <v>AE dialoghi di tempo fiducia e cura episodi 2-3-4</v>
      </c>
      <c r="M4995" s="10" t="str">
        <f t="shared" si="535"/>
        <v>nicoletta.vozza@crm.otsuka-europe.com</v>
      </c>
      <c r="N4995" s="13">
        <v>46181.337997685187</v>
      </c>
      <c r="O4995" s="14" t="str">
        <f>HYPERLINK("https://otsuka-europe-crm.veevavault.com/ui/#object/email_activity__v/V8C00000003O539", "EN-002090095")</f>
        <v>EN-002090095</v>
      </c>
    </row>
    <row r="4996" spans="1:15" ht="32" x14ac:dyDescent="0.2">
      <c r="A4996" s="7" t="str">
        <f>HYPERLINK("https://otsuka-europe-crm.veevavault.com/ui/#object/account__v/V4TZ06G6O71SAEH", "SILVANA DAL BRUN")</f>
        <v>SILVANA DAL BRUN</v>
      </c>
      <c r="B4996" s="7" t="str">
        <f t="shared" si="532"/>
        <v>IT</v>
      </c>
      <c r="C4996" s="8" t="s">
        <v>44</v>
      </c>
      <c r="D4996" s="9" t="str">
        <f t="shared" si="533"/>
        <v>AE dialoghi di tempo fiducia e cura episodi 2-3-4</v>
      </c>
      <c r="E4996" s="10" t="str">
        <f>HYPERLINK("https://otsuka-europe-crm.veevavault.com/ui/#object/sent_email__v/VBL00000002Q104", "SE-001433773")</f>
        <v>SE-001433773</v>
      </c>
      <c r="F4996" s="11"/>
      <c r="G4996" s="12">
        <v>0</v>
      </c>
      <c r="H4996" s="12">
        <v>0</v>
      </c>
      <c r="I4996" s="12">
        <v>0</v>
      </c>
      <c r="J4996" s="11"/>
      <c r="K4996" s="12">
        <v>0</v>
      </c>
      <c r="L4996" s="10" t="str">
        <f t="shared" si="534"/>
        <v>AE dialoghi di tempo fiducia e cura episodi 2-3-4</v>
      </c>
      <c r="M4996" s="10" t="str">
        <f t="shared" si="535"/>
        <v>nicoletta.vozza@crm.otsuka-europe.com</v>
      </c>
      <c r="N4996" s="13">
        <v>46181.337997685187</v>
      </c>
      <c r="O4996" s="14" t="str">
        <f>HYPERLINK("https://otsuka-europe-crm.veevavault.com/ui/#object/email_activity__v/V8C00000003O429", "EN-002089985")</f>
        <v>EN-002089985</v>
      </c>
    </row>
    <row r="4997" spans="1:15" ht="32" x14ac:dyDescent="0.2">
      <c r="A4997" s="7" t="str">
        <f>HYPERLINK("https://otsuka-europe-crm.veevavault.com/ui/#object/account__v/V4TZ06G6O71SB12", "SILVANA GALDERISI")</f>
        <v>SILVANA GALDERISI</v>
      </c>
      <c r="B4997" s="7" t="str">
        <f t="shared" si="532"/>
        <v>IT</v>
      </c>
      <c r="C4997" s="8" t="s">
        <v>44</v>
      </c>
      <c r="D4997" s="9" t="str">
        <f t="shared" si="533"/>
        <v>AE dialoghi di tempo fiducia e cura episodi 2-3-4</v>
      </c>
      <c r="E4997" s="10" t="str">
        <f>HYPERLINK("https://otsuka-europe-crm.veevavault.com/ui/#object/sent_email__v/VBL00000002Q105", "SE-001433774")</f>
        <v>SE-001433774</v>
      </c>
      <c r="F4997" s="11"/>
      <c r="G4997" s="12">
        <v>0</v>
      </c>
      <c r="H4997" s="12">
        <v>0</v>
      </c>
      <c r="I4997" s="12">
        <v>0</v>
      </c>
      <c r="J4997" s="11"/>
      <c r="K4997" s="12">
        <v>0</v>
      </c>
      <c r="L4997" s="10" t="str">
        <f t="shared" si="534"/>
        <v>AE dialoghi di tempo fiducia e cura episodi 2-3-4</v>
      </c>
      <c r="M4997" s="10" t="str">
        <f t="shared" si="535"/>
        <v>nicoletta.vozza@crm.otsuka-europe.com</v>
      </c>
      <c r="N4997" s="13">
        <v>46181.338067129633</v>
      </c>
      <c r="O4997" s="14" t="str">
        <f>HYPERLINK("https://otsuka-europe-crm.veevavault.com/ui/#object/email_activity__v/V8C00000003P415", "EN-002090421")</f>
        <v>EN-002090421</v>
      </c>
    </row>
    <row r="4998" spans="1:15" ht="32" x14ac:dyDescent="0.2">
      <c r="A4998" s="7" t="str">
        <f>HYPERLINK("https://otsuka-europe-crm.veevavault.com/ui/#object/account__v/V4TZ06G6O71SB8H", "SILVANA LOBRACE")</f>
        <v>SILVANA LOBRACE</v>
      </c>
      <c r="B4998" s="7" t="str">
        <f t="shared" si="532"/>
        <v>IT</v>
      </c>
      <c r="C4998" s="8" t="s">
        <v>44</v>
      </c>
      <c r="D4998" s="9" t="str">
        <f t="shared" si="533"/>
        <v>AE dialoghi di tempo fiducia e cura episodi 2-3-4</v>
      </c>
      <c r="E4998" s="10" t="str">
        <f>HYPERLINK("https://otsuka-europe-crm.veevavault.com/ui/#object/sent_email__v/VBL00000002Q106", "SE-001433775")</f>
        <v>SE-001433775</v>
      </c>
      <c r="F4998" s="11"/>
      <c r="G4998" s="12">
        <v>0</v>
      </c>
      <c r="H4998" s="12">
        <v>0</v>
      </c>
      <c r="I4998" s="12">
        <v>0</v>
      </c>
      <c r="J4998" s="11"/>
      <c r="K4998" s="12">
        <v>0</v>
      </c>
      <c r="L4998" s="10" t="str">
        <f t="shared" si="534"/>
        <v>AE dialoghi di tempo fiducia e cura episodi 2-3-4</v>
      </c>
      <c r="M4998" s="10" t="str">
        <f t="shared" si="535"/>
        <v>nicoletta.vozza@crm.otsuka-europe.com</v>
      </c>
      <c r="N4998" s="13">
        <v>46181.337997685187</v>
      </c>
      <c r="O4998" s="14" t="str">
        <f>HYPERLINK("https://otsuka-europe-crm.veevavault.com/ui/#object/email_activity__v/V8C00000003P652", "EN-002090907")</f>
        <v>EN-002090907</v>
      </c>
    </row>
    <row r="4999" spans="1:15" ht="32" x14ac:dyDescent="0.2">
      <c r="A4999" s="7" t="str">
        <f>HYPERLINK("https://otsuka-europe-crm.veevavault.com/ui/#object/account__v/V4TZ025E856VY25", "SILVANA POTENZA")</f>
        <v>SILVANA POTENZA</v>
      </c>
      <c r="B4999" s="7" t="str">
        <f t="shared" si="532"/>
        <v>IT</v>
      </c>
      <c r="C4999" s="8" t="s">
        <v>44</v>
      </c>
      <c r="D4999" s="9" t="str">
        <f t="shared" si="533"/>
        <v>AE dialoghi di tempo fiducia e cura episodi 2-3-4</v>
      </c>
      <c r="E4999" s="10" t="str">
        <f>HYPERLINK("https://otsuka-europe-crm.veevavault.com/ui/#object/sent_email__v/VBL00000002Q107", "SE-001433776")</f>
        <v>SE-001433776</v>
      </c>
      <c r="F4999" s="11"/>
      <c r="G4999" s="12">
        <v>0</v>
      </c>
      <c r="H4999" s="12">
        <v>0</v>
      </c>
      <c r="I4999" s="12">
        <v>0</v>
      </c>
      <c r="J4999" s="11"/>
      <c r="K4999" s="12">
        <v>0</v>
      </c>
      <c r="L4999" s="10" t="str">
        <f t="shared" si="534"/>
        <v>AE dialoghi di tempo fiducia e cura episodi 2-3-4</v>
      </c>
      <c r="M4999" s="10" t="str">
        <f t="shared" si="535"/>
        <v>nicoletta.vozza@crm.otsuka-europe.com</v>
      </c>
      <c r="N4999" s="13">
        <v>46181.337997685187</v>
      </c>
      <c r="O4999" s="14" t="str">
        <f>HYPERLINK("https://otsuka-europe-crm.veevavault.com/ui/#object/email_activity__v/V8C00000003O934", "EN-002090594")</f>
        <v>EN-002090594</v>
      </c>
    </row>
    <row r="5000" spans="1:15" ht="32" x14ac:dyDescent="0.2">
      <c r="A5000" s="7" t="str">
        <f>HYPERLINK("https://otsuka-europe-crm.veevavault.com/ui/#object/account__v/V4TZ06G6O71SCRL", "SILVANA ZANASI")</f>
        <v>SILVANA ZANASI</v>
      </c>
      <c r="B5000" s="7" t="str">
        <f t="shared" si="532"/>
        <v>IT</v>
      </c>
      <c r="C5000" s="8" t="s">
        <v>44</v>
      </c>
      <c r="D5000" s="9" t="str">
        <f t="shared" si="533"/>
        <v>AE dialoghi di tempo fiducia e cura episodi 2-3-4</v>
      </c>
      <c r="E5000" s="10" t="str">
        <f>HYPERLINK("https://otsuka-europe-crm.veevavault.com/ui/#object/sent_email__v/VBL00000002Q108", "SE-001433777")</f>
        <v>SE-001433777</v>
      </c>
      <c r="F5000" s="11"/>
      <c r="G5000" s="12">
        <v>0</v>
      </c>
      <c r="H5000" s="12">
        <v>0</v>
      </c>
      <c r="I5000" s="12">
        <v>0</v>
      </c>
      <c r="J5000" s="11"/>
      <c r="K5000" s="12">
        <v>0</v>
      </c>
      <c r="L5000" s="10" t="str">
        <f t="shared" si="534"/>
        <v>AE dialoghi di tempo fiducia e cura episodi 2-3-4</v>
      </c>
      <c r="M5000" s="10" t="str">
        <f t="shared" si="535"/>
        <v>nicoletta.vozza@crm.otsuka-europe.com</v>
      </c>
      <c r="N5000" s="13">
        <v>46181.337962962964</v>
      </c>
      <c r="O5000" s="14" t="str">
        <f>HYPERLINK("https://otsuka-europe-crm.veevavault.com/ui/#object/email_activity__v/V8C00000003O304", "EN-002089781")</f>
        <v>EN-002089781</v>
      </c>
    </row>
    <row r="5001" spans="1:15" ht="16" x14ac:dyDescent="0.2">
      <c r="A5001" s="17" t="str">
        <f>HYPERLINK("https://otsuka-europe-crm.veevavault.com/ui/#object/account__v/V4TZ06G6O71S9I9", "SILVESTRO TRIZIO")</f>
        <v>SILVESTRO TRIZIO</v>
      </c>
      <c r="B5001" s="17" t="str">
        <f t="shared" si="532"/>
        <v>IT</v>
      </c>
      <c r="C5001" s="20" t="s">
        <v>44</v>
      </c>
      <c r="D5001" s="21" t="str">
        <f t="shared" si="533"/>
        <v>AE dialoghi di tempo fiducia e cura episodi 2-3-4</v>
      </c>
      <c r="E5001" s="22" t="str">
        <f>HYPERLINK("https://otsuka-europe-crm.veevavault.com/ui/#object/sent_email__v/VBL00000002Q109", "SE-001433778")</f>
        <v>SE-001433778</v>
      </c>
      <c r="F5001" s="25"/>
      <c r="G5001" s="24">
        <v>0</v>
      </c>
      <c r="H5001" s="24">
        <v>0</v>
      </c>
      <c r="I5001" s="24">
        <v>0</v>
      </c>
      <c r="J5001" s="25"/>
      <c r="K5001" s="24">
        <v>0</v>
      </c>
      <c r="L5001" s="22" t="str">
        <f t="shared" si="534"/>
        <v>AE dialoghi di tempo fiducia e cura episodi 2-3-4</v>
      </c>
      <c r="M5001" s="22" t="str">
        <f t="shared" si="535"/>
        <v>nicoletta.vozza@crm.otsuka-europe.com</v>
      </c>
      <c r="N5001" s="23">
        <v>46181.338067129633</v>
      </c>
      <c r="O5001" s="14" t="str">
        <f>HYPERLINK("https://otsuka-europe-crm.veevavault.com/ui/#object/email_activity__v/V8C00000003Q044", "EN-002091010")</f>
        <v>EN-002091010</v>
      </c>
    </row>
    <row r="5002" spans="1:15" ht="16" x14ac:dyDescent="0.2">
      <c r="A5002" s="19"/>
      <c r="B5002" s="19"/>
      <c r="C5002" s="19"/>
      <c r="D5002" s="19"/>
      <c r="E5002" s="19"/>
      <c r="F5002" s="19"/>
      <c r="G5002" s="19"/>
      <c r="H5002" s="19"/>
      <c r="I5002" s="19"/>
      <c r="J5002" s="19"/>
      <c r="K5002" s="19"/>
      <c r="L5002" s="19"/>
      <c r="M5002" s="19"/>
      <c r="N5002" s="19"/>
      <c r="O5002" s="14" t="str">
        <f>HYPERLINK("https://otsuka-europe-crm.veevavault.com/ui/#object/email_activity__v/V8C00000003Q554", "EN-002091912")</f>
        <v>EN-002091912</v>
      </c>
    </row>
    <row r="5003" spans="1:15" ht="32" x14ac:dyDescent="0.2">
      <c r="A5003" s="7" t="str">
        <f>HYPERLINK("https://otsuka-europe-crm.veevavault.com/ui/#object/account__v/V4TZ06G6O71S9MS", "SILVIA ASTORI")</f>
        <v>SILVIA ASTORI</v>
      </c>
      <c r="B5003" s="7" t="str">
        <f>HYPERLINK("https://otsuka-europe-crm.veevavault.com/ui/#object/vcountry__v/VENZ000004SONFQ", "IT")</f>
        <v>IT</v>
      </c>
      <c r="C5003" s="8" t="s">
        <v>44</v>
      </c>
      <c r="D5003" s="9" t="str">
        <f>HYPERLINK("https://otsuka-europe-crm.veevavault.com/ui/#object/approved_document__v/V5O000000018003", "AE dialoghi di tempo fiducia e cura episodi 2-3-4")</f>
        <v>AE dialoghi di tempo fiducia e cura episodi 2-3-4</v>
      </c>
      <c r="E5003" s="10" t="str">
        <f>HYPERLINK("https://otsuka-europe-crm.veevavault.com/ui/#object/sent_email__v/VBL00000002Q110", "SE-001433779")</f>
        <v>SE-001433779</v>
      </c>
      <c r="F5003" s="11"/>
      <c r="G5003" s="12">
        <v>0</v>
      </c>
      <c r="H5003" s="12">
        <v>0</v>
      </c>
      <c r="I5003" s="12">
        <v>0</v>
      </c>
      <c r="J5003" s="11"/>
      <c r="K5003" s="12">
        <v>0</v>
      </c>
      <c r="L5003" s="10" t="str">
        <f>HYPERLINK("https://otsuka-europe-crm.veevavault.com/ui/#object/approved_document__v/V5O000000018003", "AE dialoghi di tempo fiducia e cura episodi 2-3-4")</f>
        <v>AE dialoghi di tempo fiducia e cura episodi 2-3-4</v>
      </c>
      <c r="M5003" s="10" t="str">
        <f>HYPERLINK("mailto:nicoletta.vozza@crm.otsuka-europe.com", "nicoletta.vozza@crm.otsuka-europe.com")</f>
        <v>nicoletta.vozza@crm.otsuka-europe.com</v>
      </c>
      <c r="N5003" s="13">
        <v>46181.33803240741</v>
      </c>
      <c r="O5003" s="14" t="str">
        <f>HYPERLINK("https://otsuka-europe-crm.veevavault.com/ui/#object/email_activity__v/V8C00000003P682", "EN-002090937")</f>
        <v>EN-002090937</v>
      </c>
    </row>
    <row r="5004" spans="1:15" ht="32" x14ac:dyDescent="0.2">
      <c r="A5004" s="7" t="str">
        <f>HYPERLINK("https://otsuka-europe-crm.veevavault.com/ui/#object/account__v/V4TZ04ASGFPYQG1", "SILVIA BELLAGAMBA")</f>
        <v>SILVIA BELLAGAMBA</v>
      </c>
      <c r="B5004" s="7" t="str">
        <f>HYPERLINK("https://otsuka-europe-crm.veevavault.com/ui/#object/vcountry__v/VENZ000004SONFQ", "IT")</f>
        <v>IT</v>
      </c>
      <c r="C5004" s="8" t="s">
        <v>44</v>
      </c>
      <c r="D5004" s="9" t="str">
        <f>HYPERLINK("https://otsuka-europe-crm.veevavault.com/ui/#object/approved_document__v/V5O000000018003", "AE dialoghi di tempo fiducia e cura episodi 2-3-4")</f>
        <v>AE dialoghi di tempo fiducia e cura episodi 2-3-4</v>
      </c>
      <c r="E5004" s="10" t="str">
        <f>HYPERLINK("https://otsuka-europe-crm.veevavault.com/ui/#object/sent_email__v/VBL00000002Q111", "SE-001433780")</f>
        <v>SE-001433780</v>
      </c>
      <c r="F5004" s="11"/>
      <c r="G5004" s="12">
        <v>0</v>
      </c>
      <c r="H5004" s="12">
        <v>0</v>
      </c>
      <c r="I5004" s="12">
        <v>0</v>
      </c>
      <c r="J5004" s="11"/>
      <c r="K5004" s="12">
        <v>0</v>
      </c>
      <c r="L5004" s="10" t="str">
        <f>HYPERLINK("https://otsuka-europe-crm.veevavault.com/ui/#object/approved_document__v/V5O000000018003", "AE dialoghi di tempo fiducia e cura episodi 2-3-4")</f>
        <v>AE dialoghi di tempo fiducia e cura episodi 2-3-4</v>
      </c>
      <c r="M5004" s="10" t="str">
        <f>HYPERLINK("mailto:nicoletta.vozza@crm.otsuka-europe.com", "nicoletta.vozza@crm.otsuka-europe.com")</f>
        <v>nicoletta.vozza@crm.otsuka-europe.com</v>
      </c>
      <c r="N5004" s="13">
        <v>46181.337997685187</v>
      </c>
      <c r="O5004" s="14" t="str">
        <f>HYPERLINK("https://otsuka-europe-crm.veevavault.com/ui/#object/email_activity__v/V8C00000003P562", "EN-002090817")</f>
        <v>EN-002090817</v>
      </c>
    </row>
    <row r="5005" spans="1:15" ht="16" x14ac:dyDescent="0.2">
      <c r="A5005" s="17" t="str">
        <f>HYPERLINK("https://otsuka-europe-crm.veevavault.com/ui/#object/account__v/V4TZ06G6O71SA0R", "SILVIA BERARDI")</f>
        <v>SILVIA BERARDI</v>
      </c>
      <c r="B5005" s="17" t="str">
        <f>HYPERLINK("https://otsuka-europe-crm.veevavault.com/ui/#object/vcountry__v/VENZ000004SONFQ", "IT")</f>
        <v>IT</v>
      </c>
      <c r="C5005" s="20" t="s">
        <v>44</v>
      </c>
      <c r="D5005" s="21" t="str">
        <f>HYPERLINK("https://otsuka-europe-crm.veevavault.com/ui/#object/approved_document__v/V5O000000018003", "AE dialoghi di tempo fiducia e cura episodi 2-3-4")</f>
        <v>AE dialoghi di tempo fiducia e cura episodi 2-3-4</v>
      </c>
      <c r="E5005" s="22" t="str">
        <f>HYPERLINK("https://otsuka-europe-crm.veevavault.com/ui/#object/sent_email__v/VBL00000002Q112", "SE-001433781")</f>
        <v>SE-001433781</v>
      </c>
      <c r="F5005" s="23">
        <v>46181.351875</v>
      </c>
      <c r="G5005" s="24">
        <v>1</v>
      </c>
      <c r="H5005" s="24">
        <v>2</v>
      </c>
      <c r="I5005" s="24">
        <v>0</v>
      </c>
      <c r="J5005" s="25"/>
      <c r="K5005" s="24">
        <v>0</v>
      </c>
      <c r="L5005" s="22" t="str">
        <f>HYPERLINK("https://otsuka-europe-crm.veevavault.com/ui/#object/approved_document__v/V5O000000018003", "AE dialoghi di tempo fiducia e cura episodi 2-3-4")</f>
        <v>AE dialoghi di tempo fiducia e cura episodi 2-3-4</v>
      </c>
      <c r="M5005" s="22" t="str">
        <f>HYPERLINK("mailto:nicoletta.vozza@crm.otsuka-europe.com", "nicoletta.vozza@crm.otsuka-europe.com")</f>
        <v>nicoletta.vozza@crm.otsuka-europe.com</v>
      </c>
      <c r="N5005" s="23">
        <v>46181.338020833333</v>
      </c>
      <c r="O5005" s="14" t="str">
        <f>HYPERLINK("https://otsuka-europe-crm.veevavault.com/ui/#object/email_activity__v/V8C00000003O787", "EN-002090447")</f>
        <v>EN-002090447</v>
      </c>
    </row>
    <row r="5006" spans="1:15" ht="16" x14ac:dyDescent="0.2">
      <c r="A5006" s="18"/>
      <c r="B5006" s="18"/>
      <c r="C5006" s="18"/>
      <c r="D5006" s="18"/>
      <c r="E5006" s="18"/>
      <c r="F5006" s="18"/>
      <c r="G5006" s="18"/>
      <c r="H5006" s="18"/>
      <c r="I5006" s="18"/>
      <c r="J5006" s="18"/>
      <c r="K5006" s="18"/>
      <c r="L5006" s="18"/>
      <c r="M5006" s="18"/>
      <c r="N5006" s="18"/>
      <c r="O5006" s="14" t="str">
        <f>HYPERLINK("https://otsuka-europe-crm.veevavault.com/ui/#object/email_activity__v/V8C00000003Q317", "EN-002091474")</f>
        <v>EN-002091474</v>
      </c>
    </row>
    <row r="5007" spans="1:15" ht="16" x14ac:dyDescent="0.2">
      <c r="A5007" s="19"/>
      <c r="B5007" s="19"/>
      <c r="C5007" s="19"/>
      <c r="D5007" s="19"/>
      <c r="E5007" s="19"/>
      <c r="F5007" s="19"/>
      <c r="G5007" s="19"/>
      <c r="H5007" s="19"/>
      <c r="I5007" s="19"/>
      <c r="J5007" s="19"/>
      <c r="K5007" s="19"/>
      <c r="L5007" s="19"/>
      <c r="M5007" s="19"/>
      <c r="N5007" s="19"/>
      <c r="O5007" s="14" t="str">
        <f>HYPERLINK("https://otsuka-europe-crm.veevavault.com/ui/#object/email_activity__v/V8C00000003Q318", "EN-002091475")</f>
        <v>EN-002091475</v>
      </c>
    </row>
    <row r="5008" spans="1:15" ht="32" x14ac:dyDescent="0.2">
      <c r="A5008" s="7" t="str">
        <f>HYPERLINK("https://otsuka-europe-crm.veevavault.com/ui/#object/account__v/V4TZ06G6O71SA15", "SILVIA BERNARDINI")</f>
        <v>SILVIA BERNARDINI</v>
      </c>
      <c r="B5008" s="7" t="str">
        <f>HYPERLINK("https://otsuka-europe-crm.veevavault.com/ui/#object/vcountry__v/VENZ000004SONFQ", "IT")</f>
        <v>IT</v>
      </c>
      <c r="C5008" s="8" t="s">
        <v>44</v>
      </c>
      <c r="D5008" s="9" t="str">
        <f>HYPERLINK("https://otsuka-europe-crm.veevavault.com/ui/#object/approved_document__v/V5O000000018003", "AE dialoghi di tempo fiducia e cura episodi 2-3-4")</f>
        <v>AE dialoghi di tempo fiducia e cura episodi 2-3-4</v>
      </c>
      <c r="E5008" s="10" t="str">
        <f>HYPERLINK("https://otsuka-europe-crm.veevavault.com/ui/#object/sent_email__v/VBL00000002Q113", "SE-001433782")</f>
        <v>SE-001433782</v>
      </c>
      <c r="F5008" s="11"/>
      <c r="G5008" s="12">
        <v>0</v>
      </c>
      <c r="H5008" s="12">
        <v>0</v>
      </c>
      <c r="I5008" s="12">
        <v>0</v>
      </c>
      <c r="J5008" s="11"/>
      <c r="K5008" s="12">
        <v>0</v>
      </c>
      <c r="L5008" s="10" t="str">
        <f>HYPERLINK("https://otsuka-europe-crm.veevavault.com/ui/#object/approved_document__v/V5O000000018003", "AE dialoghi di tempo fiducia e cura episodi 2-3-4")</f>
        <v>AE dialoghi di tempo fiducia e cura episodi 2-3-4</v>
      </c>
      <c r="M5008" s="10" t="str">
        <f>HYPERLINK("mailto:nicoletta.vozza@crm.otsuka-europe.com", "nicoletta.vozza@crm.otsuka-europe.com")</f>
        <v>nicoletta.vozza@crm.otsuka-europe.com</v>
      </c>
      <c r="N5008" s="13">
        <v>46181.338090277779</v>
      </c>
      <c r="O5008" s="14" t="str">
        <f>HYPERLINK("https://otsuka-europe-crm.veevavault.com/ui/#object/email_activity__v/V8C00000003Q119", "EN-002091184")</f>
        <v>EN-002091184</v>
      </c>
    </row>
    <row r="5009" spans="1:15" ht="32" x14ac:dyDescent="0.2">
      <c r="A5009" s="7" t="str">
        <f>HYPERLINK("https://otsuka-europe-crm.veevavault.com/ui/#object/account__v/V4TZ06G6O71SA5C", "SILVIA BONOMI")</f>
        <v>SILVIA BONOMI</v>
      </c>
      <c r="B5009" s="7" t="str">
        <f>HYPERLINK("https://otsuka-europe-crm.veevavault.com/ui/#object/vcountry__v/VENZ000004SONFQ", "IT")</f>
        <v>IT</v>
      </c>
      <c r="C5009" s="8" t="s">
        <v>44</v>
      </c>
      <c r="D5009" s="9" t="str">
        <f>HYPERLINK("https://otsuka-europe-crm.veevavault.com/ui/#object/approved_document__v/V5O000000018003", "AE dialoghi di tempo fiducia e cura episodi 2-3-4")</f>
        <v>AE dialoghi di tempo fiducia e cura episodi 2-3-4</v>
      </c>
      <c r="E5009" s="10" t="str">
        <f>HYPERLINK("https://otsuka-europe-crm.veevavault.com/ui/#object/sent_email__v/VBL00000002Q114", "SE-001433783")</f>
        <v>SE-001433783</v>
      </c>
      <c r="F5009" s="11"/>
      <c r="G5009" s="12">
        <v>0</v>
      </c>
      <c r="H5009" s="12">
        <v>0</v>
      </c>
      <c r="I5009" s="12">
        <v>0</v>
      </c>
      <c r="J5009" s="11"/>
      <c r="K5009" s="12">
        <v>0</v>
      </c>
      <c r="L5009" s="10" t="str">
        <f>HYPERLINK("https://otsuka-europe-crm.veevavault.com/ui/#object/approved_document__v/V5O000000018003", "AE dialoghi di tempo fiducia e cura episodi 2-3-4")</f>
        <v>AE dialoghi di tempo fiducia e cura episodi 2-3-4</v>
      </c>
      <c r="M5009" s="10" t="str">
        <f>HYPERLINK("mailto:nicoletta.vozza@crm.otsuka-europe.com", "nicoletta.vozza@crm.otsuka-europe.com")</f>
        <v>nicoletta.vozza@crm.otsuka-europe.com</v>
      </c>
      <c r="N5009" s="13">
        <v>46181.337997685187</v>
      </c>
      <c r="O5009" s="14" t="str">
        <f>HYPERLINK("https://otsuka-europe-crm.veevavault.com/ui/#object/email_activity__v/V8C00000003P370", "EN-002090376")</f>
        <v>EN-002090376</v>
      </c>
    </row>
    <row r="5010" spans="1:15" ht="16" x14ac:dyDescent="0.2">
      <c r="A5010" s="17" t="str">
        <f>HYPERLINK("https://otsuka-europe-crm.veevavault.com/ui/#object/account__v/V4TZ06G6O71SA6P", "SILVIA BRESSAN")</f>
        <v>SILVIA BRESSAN</v>
      </c>
      <c r="B5010" s="17" t="str">
        <f>HYPERLINK("https://otsuka-europe-crm.veevavault.com/ui/#object/vcountry__v/VENZ000004SONFQ", "IT")</f>
        <v>IT</v>
      </c>
      <c r="C5010" s="20" t="s">
        <v>44</v>
      </c>
      <c r="D5010" s="21" t="str">
        <f>HYPERLINK("https://otsuka-europe-crm.veevavault.com/ui/#object/approved_document__v/V5O000000018003", "AE dialoghi di tempo fiducia e cura episodi 2-3-4")</f>
        <v>AE dialoghi di tempo fiducia e cura episodi 2-3-4</v>
      </c>
      <c r="E5010" s="22" t="str">
        <f>HYPERLINK("https://otsuka-europe-crm.veevavault.com/ui/#object/sent_email__v/VBL00000002Q115", "SE-001433784")</f>
        <v>SE-001433784</v>
      </c>
      <c r="F5010" s="23">
        <v>46181.389293981483</v>
      </c>
      <c r="G5010" s="24">
        <v>1</v>
      </c>
      <c r="H5010" s="24">
        <v>1</v>
      </c>
      <c r="I5010" s="24">
        <v>0</v>
      </c>
      <c r="J5010" s="25"/>
      <c r="K5010" s="24">
        <v>0</v>
      </c>
      <c r="L5010" s="22" t="str">
        <f>HYPERLINK("https://otsuka-europe-crm.veevavault.com/ui/#object/approved_document__v/V5O000000018003", "AE dialoghi di tempo fiducia e cura episodi 2-3-4")</f>
        <v>AE dialoghi di tempo fiducia e cura episodi 2-3-4</v>
      </c>
      <c r="M5010" s="22" t="str">
        <f>HYPERLINK("mailto:nicoletta.vozza@crm.otsuka-europe.com", "nicoletta.vozza@crm.otsuka-europe.com")</f>
        <v>nicoletta.vozza@crm.otsuka-europe.com</v>
      </c>
      <c r="N5010" s="23">
        <v>46181.337997685187</v>
      </c>
      <c r="O5010" s="14" t="str">
        <f>HYPERLINK("https://otsuka-europe-crm.veevavault.com/ui/#object/email_activity__v/V8C00000003O980", "EN-002090729")</f>
        <v>EN-002090729</v>
      </c>
    </row>
    <row r="5011" spans="1:15" ht="16" x14ac:dyDescent="0.2">
      <c r="A5011" s="19"/>
      <c r="B5011" s="19"/>
      <c r="C5011" s="19"/>
      <c r="D5011" s="19"/>
      <c r="E5011" s="19"/>
      <c r="F5011" s="19"/>
      <c r="G5011" s="19"/>
      <c r="H5011" s="19"/>
      <c r="I5011" s="19"/>
      <c r="J5011" s="19"/>
      <c r="K5011" s="19"/>
      <c r="L5011" s="19"/>
      <c r="M5011" s="19"/>
      <c r="N5011" s="19"/>
      <c r="O5011" s="14" t="str">
        <f>HYPERLINK("https://otsuka-europe-crm.veevavault.com/ui/#object/email_activity__v/V8C00000003Q479", "EN-002091726")</f>
        <v>EN-002091726</v>
      </c>
    </row>
    <row r="5012" spans="1:15" ht="32" x14ac:dyDescent="0.2">
      <c r="A5012" s="7" t="str">
        <f>HYPERLINK("https://otsuka-europe-crm.veevavault.com/ui/#object/account__v/V4TZ06G6O71SAYL", "SILVIA CANEGALLI")</f>
        <v>SILVIA CANEGALLI</v>
      </c>
      <c r="B5012" s="7" t="str">
        <f t="shared" ref="B5012:B5023" si="536">HYPERLINK("https://otsuka-europe-crm.veevavault.com/ui/#object/vcountry__v/VENZ000004SONFQ", "IT")</f>
        <v>IT</v>
      </c>
      <c r="C5012" s="8" t="s">
        <v>44</v>
      </c>
      <c r="D5012" s="9" t="str">
        <f t="shared" ref="D5012:D5023" si="537">HYPERLINK("https://otsuka-europe-crm.veevavault.com/ui/#object/approved_document__v/V5O000000018003", "AE dialoghi di tempo fiducia e cura episodi 2-3-4")</f>
        <v>AE dialoghi di tempo fiducia e cura episodi 2-3-4</v>
      </c>
      <c r="E5012" s="10" t="str">
        <f>HYPERLINK("https://otsuka-europe-crm.veevavault.com/ui/#object/sent_email__v/VBL00000002Q116", "SE-001433785")</f>
        <v>SE-001433785</v>
      </c>
      <c r="F5012" s="11"/>
      <c r="G5012" s="12">
        <v>0</v>
      </c>
      <c r="H5012" s="12">
        <v>0</v>
      </c>
      <c r="I5012" s="12">
        <v>0</v>
      </c>
      <c r="J5012" s="11"/>
      <c r="K5012" s="12">
        <v>0</v>
      </c>
      <c r="L5012" s="10" t="str">
        <f t="shared" ref="L5012:L5023" si="538">HYPERLINK("https://otsuka-europe-crm.veevavault.com/ui/#object/approved_document__v/V5O000000018003", "AE dialoghi di tempo fiducia e cura episodi 2-3-4")</f>
        <v>AE dialoghi di tempo fiducia e cura episodi 2-3-4</v>
      </c>
      <c r="M5012" s="10" t="str">
        <f t="shared" ref="M5012:M5023" si="539">HYPERLINK("mailto:nicoletta.vozza@crm.otsuka-europe.com", "nicoletta.vozza@crm.otsuka-europe.com")</f>
        <v>nicoletta.vozza@crm.otsuka-europe.com</v>
      </c>
      <c r="N5012" s="13">
        <v>46181.338020833333</v>
      </c>
      <c r="O5012" s="14" t="str">
        <f>HYPERLINK("https://otsuka-europe-crm.veevavault.com/ui/#object/email_activity__v/V8C00000003P365", "EN-002090371")</f>
        <v>EN-002090371</v>
      </c>
    </row>
    <row r="5013" spans="1:15" ht="32" x14ac:dyDescent="0.2">
      <c r="A5013" s="7" t="str">
        <f>HYPERLINK("https://otsuka-europe-crm.veevavault.com/ui/#object/account__v/V4TZ025E884PNR2", "SILVIA CAVANA")</f>
        <v>SILVIA CAVANA</v>
      </c>
      <c r="B5013" s="7" t="str">
        <f t="shared" si="536"/>
        <v>IT</v>
      </c>
      <c r="C5013" s="8" t="s">
        <v>44</v>
      </c>
      <c r="D5013" s="9" t="str">
        <f t="shared" si="537"/>
        <v>AE dialoghi di tempo fiducia e cura episodi 2-3-4</v>
      </c>
      <c r="E5013" s="10" t="str">
        <f>HYPERLINK("https://otsuka-europe-crm.veevavault.com/ui/#object/sent_email__v/VBL00000002Q117", "SE-001433786")</f>
        <v>SE-001433786</v>
      </c>
      <c r="F5013" s="11"/>
      <c r="G5013" s="12">
        <v>0</v>
      </c>
      <c r="H5013" s="12">
        <v>0</v>
      </c>
      <c r="I5013" s="12">
        <v>0</v>
      </c>
      <c r="J5013" s="11"/>
      <c r="K5013" s="12">
        <v>0</v>
      </c>
      <c r="L5013" s="10" t="str">
        <f t="shared" si="538"/>
        <v>AE dialoghi di tempo fiducia e cura episodi 2-3-4</v>
      </c>
      <c r="M5013" s="10" t="str">
        <f t="shared" si="539"/>
        <v>nicoletta.vozza@crm.otsuka-europe.com</v>
      </c>
      <c r="N5013" s="13">
        <v>46181.33797453704</v>
      </c>
      <c r="O5013" s="14" t="str">
        <f>HYPERLINK("https://otsuka-europe-crm.veevavault.com/ui/#object/email_activity__v/V8C00000003O660", "EN-002090216")</f>
        <v>EN-002090216</v>
      </c>
    </row>
    <row r="5014" spans="1:15" ht="32" x14ac:dyDescent="0.2">
      <c r="A5014" s="7" t="str">
        <f>HYPERLINK("https://otsuka-europe-crm.veevavault.com/ui/#object/account__v/V4TZ06G6O71SAI2", "SILVIA CHIESA")</f>
        <v>SILVIA CHIESA</v>
      </c>
      <c r="B5014" s="7" t="str">
        <f t="shared" si="536"/>
        <v>IT</v>
      </c>
      <c r="C5014" s="8" t="s">
        <v>44</v>
      </c>
      <c r="D5014" s="9" t="str">
        <f t="shared" si="537"/>
        <v>AE dialoghi di tempo fiducia e cura episodi 2-3-4</v>
      </c>
      <c r="E5014" s="10" t="str">
        <f>HYPERLINK("https://otsuka-europe-crm.veevavault.com/ui/#object/sent_email__v/VBL00000002Q118", "SE-001433787")</f>
        <v>SE-001433787</v>
      </c>
      <c r="F5014" s="11"/>
      <c r="G5014" s="12">
        <v>0</v>
      </c>
      <c r="H5014" s="12">
        <v>0</v>
      </c>
      <c r="I5014" s="12">
        <v>0</v>
      </c>
      <c r="J5014" s="11"/>
      <c r="K5014" s="12">
        <v>0</v>
      </c>
      <c r="L5014" s="10" t="str">
        <f t="shared" si="538"/>
        <v>AE dialoghi di tempo fiducia e cura episodi 2-3-4</v>
      </c>
      <c r="M5014" s="10" t="str">
        <f t="shared" si="539"/>
        <v>nicoletta.vozza@crm.otsuka-europe.com</v>
      </c>
      <c r="N5014" s="13">
        <v>46181.33798611111</v>
      </c>
      <c r="O5014" s="14" t="str">
        <f>HYPERLINK("https://otsuka-europe-crm.veevavault.com/ui/#object/email_activity__v/V8C00000003O230", "EN-002089707")</f>
        <v>EN-002089707</v>
      </c>
    </row>
    <row r="5015" spans="1:15" ht="32" x14ac:dyDescent="0.2">
      <c r="A5015" s="7" t="str">
        <f>HYPERLINK("https://otsuka-europe-crm.veevavault.com/ui/#object/account__v/V4TZ06G6O71SAA7", "SILVIA DEGARA")</f>
        <v>SILVIA DEGARA</v>
      </c>
      <c r="B5015" s="7" t="str">
        <f t="shared" si="536"/>
        <v>IT</v>
      </c>
      <c r="C5015" s="8" t="s">
        <v>44</v>
      </c>
      <c r="D5015" s="9" t="str">
        <f t="shared" si="537"/>
        <v>AE dialoghi di tempo fiducia e cura episodi 2-3-4</v>
      </c>
      <c r="E5015" s="10" t="str">
        <f>HYPERLINK("https://otsuka-europe-crm.veevavault.com/ui/#object/sent_email__v/VBL00000002Q119", "SE-001433788")</f>
        <v>SE-001433788</v>
      </c>
      <c r="F5015" s="11"/>
      <c r="G5015" s="12">
        <v>0</v>
      </c>
      <c r="H5015" s="12">
        <v>0</v>
      </c>
      <c r="I5015" s="12">
        <v>0</v>
      </c>
      <c r="J5015" s="11"/>
      <c r="K5015" s="12">
        <v>0</v>
      </c>
      <c r="L5015" s="10" t="str">
        <f t="shared" si="538"/>
        <v>AE dialoghi di tempo fiducia e cura episodi 2-3-4</v>
      </c>
      <c r="M5015" s="10" t="str">
        <f t="shared" si="539"/>
        <v>nicoletta.vozza@crm.otsuka-europe.com</v>
      </c>
      <c r="N5015" s="13">
        <v>46181.338067129633</v>
      </c>
      <c r="O5015" s="14" t="str">
        <f>HYPERLINK("https://otsuka-europe-crm.veevavault.com/ui/#object/email_activity__v/V8C00000003P705", "EN-002090960")</f>
        <v>EN-002090960</v>
      </c>
    </row>
    <row r="5016" spans="1:15" ht="32" x14ac:dyDescent="0.2">
      <c r="A5016" s="7" t="str">
        <f>HYPERLINK("https://otsuka-europe-crm.veevavault.com/ui/#object/account__v/V4TZ06G6O71SAHY", "SILVIA DONA'")</f>
        <v>SILVIA DONA'</v>
      </c>
      <c r="B5016" s="7" t="str">
        <f t="shared" si="536"/>
        <v>IT</v>
      </c>
      <c r="C5016" s="8" t="s">
        <v>44</v>
      </c>
      <c r="D5016" s="9" t="str">
        <f t="shared" si="537"/>
        <v>AE dialoghi di tempo fiducia e cura episodi 2-3-4</v>
      </c>
      <c r="E5016" s="10" t="str">
        <f>HYPERLINK("https://otsuka-europe-crm.veevavault.com/ui/#object/sent_email__v/VBL00000002Q120", "SE-001433789")</f>
        <v>SE-001433789</v>
      </c>
      <c r="F5016" s="11"/>
      <c r="G5016" s="12">
        <v>0</v>
      </c>
      <c r="H5016" s="12">
        <v>0</v>
      </c>
      <c r="I5016" s="12">
        <v>0</v>
      </c>
      <c r="J5016" s="11"/>
      <c r="K5016" s="12">
        <v>0</v>
      </c>
      <c r="L5016" s="10" t="str">
        <f t="shared" si="538"/>
        <v>AE dialoghi di tempo fiducia e cura episodi 2-3-4</v>
      </c>
      <c r="M5016" s="10" t="str">
        <f t="shared" si="539"/>
        <v>nicoletta.vozza@crm.otsuka-europe.com</v>
      </c>
      <c r="N5016" s="13">
        <v>46181.337997685187</v>
      </c>
      <c r="O5016" s="14" t="str">
        <f>HYPERLINK("https://otsuka-europe-crm.veevavault.com/ui/#object/email_activity__v/V8C00000003O992", "EN-002090741")</f>
        <v>EN-002090741</v>
      </c>
    </row>
    <row r="5017" spans="1:15" ht="32" x14ac:dyDescent="0.2">
      <c r="A5017" s="7" t="str">
        <f>HYPERLINK("https://otsuka-europe-crm.veevavault.com/ui/#object/account__v/V4TZ06G6O71SC4V", "SILVIA ELISABETTA RUSMINI")</f>
        <v>SILVIA ELISABETTA RUSMINI</v>
      </c>
      <c r="B5017" s="7" t="str">
        <f t="shared" si="536"/>
        <v>IT</v>
      </c>
      <c r="C5017" s="8" t="s">
        <v>44</v>
      </c>
      <c r="D5017" s="9" t="str">
        <f t="shared" si="537"/>
        <v>AE dialoghi di tempo fiducia e cura episodi 2-3-4</v>
      </c>
      <c r="E5017" s="10" t="str">
        <f>HYPERLINK("https://otsuka-europe-crm.veevavault.com/ui/#object/sent_email__v/VBL00000002Q121", "SE-001433790")</f>
        <v>SE-001433790</v>
      </c>
      <c r="F5017" s="11"/>
      <c r="G5017" s="12">
        <v>0</v>
      </c>
      <c r="H5017" s="12">
        <v>0</v>
      </c>
      <c r="I5017" s="12">
        <v>0</v>
      </c>
      <c r="J5017" s="11"/>
      <c r="K5017" s="12">
        <v>0</v>
      </c>
      <c r="L5017" s="10" t="str">
        <f t="shared" si="538"/>
        <v>AE dialoghi di tempo fiducia e cura episodi 2-3-4</v>
      </c>
      <c r="M5017" s="10" t="str">
        <f t="shared" si="539"/>
        <v>nicoletta.vozza@crm.otsuka-europe.com</v>
      </c>
      <c r="N5017" s="13">
        <v>46181.33797453704</v>
      </c>
      <c r="O5017" s="14" t="str">
        <f>HYPERLINK("https://otsuka-europe-crm.veevavault.com/ui/#object/email_activity__v/V8C00000003O611", "EN-002090167")</f>
        <v>EN-002090167</v>
      </c>
    </row>
    <row r="5018" spans="1:15" ht="32" x14ac:dyDescent="0.2">
      <c r="A5018" s="7" t="str">
        <f>HYPERLINK("https://otsuka-europe-crm.veevavault.com/ui/#object/account__v/V4TZ06G6O71SAJI", "SILVIA FERRARI")</f>
        <v>SILVIA FERRARI</v>
      </c>
      <c r="B5018" s="7" t="str">
        <f t="shared" si="536"/>
        <v>IT</v>
      </c>
      <c r="C5018" s="8" t="s">
        <v>44</v>
      </c>
      <c r="D5018" s="9" t="str">
        <f t="shared" si="537"/>
        <v>AE dialoghi di tempo fiducia e cura episodi 2-3-4</v>
      </c>
      <c r="E5018" s="10" t="str">
        <f>HYPERLINK("https://otsuka-europe-crm.veevavault.com/ui/#object/sent_email__v/VBL00000002Q122", "SE-001433791")</f>
        <v>SE-001433791</v>
      </c>
      <c r="F5018" s="11"/>
      <c r="G5018" s="12">
        <v>0</v>
      </c>
      <c r="H5018" s="12">
        <v>0</v>
      </c>
      <c r="I5018" s="12">
        <v>0</v>
      </c>
      <c r="J5018" s="11"/>
      <c r="K5018" s="12">
        <v>0</v>
      </c>
      <c r="L5018" s="10" t="str">
        <f t="shared" si="538"/>
        <v>AE dialoghi di tempo fiducia e cura episodi 2-3-4</v>
      </c>
      <c r="M5018" s="10" t="str">
        <f t="shared" si="539"/>
        <v>nicoletta.vozza@crm.otsuka-europe.com</v>
      </c>
      <c r="N5018" s="13">
        <v>46181.33798611111</v>
      </c>
      <c r="O5018" s="14" t="str">
        <f>HYPERLINK("https://otsuka-europe-crm.veevavault.com/ui/#object/email_activity__v/V8C00000003P210", "EN-002089656")</f>
        <v>EN-002089656</v>
      </c>
    </row>
    <row r="5019" spans="1:15" ht="32" x14ac:dyDescent="0.2">
      <c r="A5019" s="7" t="str">
        <f>HYPERLINK("https://otsuka-europe-crm.veevavault.com/ui/#object/account__v/V4TZ06G6O71SAMP", "SILVIA FRIEDERICI")</f>
        <v>SILVIA FRIEDERICI</v>
      </c>
      <c r="B5019" s="7" t="str">
        <f t="shared" si="536"/>
        <v>IT</v>
      </c>
      <c r="C5019" s="8" t="s">
        <v>44</v>
      </c>
      <c r="D5019" s="9" t="str">
        <f t="shared" si="537"/>
        <v>AE dialoghi di tempo fiducia e cura episodi 2-3-4</v>
      </c>
      <c r="E5019" s="10" t="str">
        <f>HYPERLINK("https://otsuka-europe-crm.veevavault.com/ui/#object/sent_email__v/VBL00000002Q123", "SE-001433792")</f>
        <v>SE-001433792</v>
      </c>
      <c r="F5019" s="11"/>
      <c r="G5019" s="12">
        <v>0</v>
      </c>
      <c r="H5019" s="12">
        <v>0</v>
      </c>
      <c r="I5019" s="12">
        <v>0</v>
      </c>
      <c r="J5019" s="11"/>
      <c r="K5019" s="12">
        <v>0</v>
      </c>
      <c r="L5019" s="10" t="str">
        <f t="shared" si="538"/>
        <v>AE dialoghi di tempo fiducia e cura episodi 2-3-4</v>
      </c>
      <c r="M5019" s="10" t="str">
        <f t="shared" si="539"/>
        <v>nicoletta.vozza@crm.otsuka-europe.com</v>
      </c>
      <c r="N5019" s="13">
        <v>46181.337962962964</v>
      </c>
      <c r="O5019" s="14" t="str">
        <f>HYPERLINK("https://otsuka-europe-crm.veevavault.com/ui/#object/email_activity__v/V8C00000003P214", "EN-002089660")</f>
        <v>EN-002089660</v>
      </c>
    </row>
    <row r="5020" spans="1:15" ht="32" x14ac:dyDescent="0.2">
      <c r="A5020" s="7" t="str">
        <f>HYPERLINK("https://otsuka-europe-crm.veevavault.com/ui/#object/account__v/V4TZ06G6O71SB1A", "SILVIA GALLOZZI")</f>
        <v>SILVIA GALLOZZI</v>
      </c>
      <c r="B5020" s="7" t="str">
        <f t="shared" si="536"/>
        <v>IT</v>
      </c>
      <c r="C5020" s="8" t="s">
        <v>44</v>
      </c>
      <c r="D5020" s="9" t="str">
        <f t="shared" si="537"/>
        <v>AE dialoghi di tempo fiducia e cura episodi 2-3-4</v>
      </c>
      <c r="E5020" s="10" t="str">
        <f>HYPERLINK("https://otsuka-europe-crm.veevavault.com/ui/#object/sent_email__v/VBL00000002Q124", "SE-001433793")</f>
        <v>SE-001433793</v>
      </c>
      <c r="F5020" s="11"/>
      <c r="G5020" s="12">
        <v>0</v>
      </c>
      <c r="H5020" s="12">
        <v>0</v>
      </c>
      <c r="I5020" s="12">
        <v>0</v>
      </c>
      <c r="J5020" s="11"/>
      <c r="K5020" s="12">
        <v>0</v>
      </c>
      <c r="L5020" s="10" t="str">
        <f t="shared" si="538"/>
        <v>AE dialoghi di tempo fiducia e cura episodi 2-3-4</v>
      </c>
      <c r="M5020" s="10" t="str">
        <f t="shared" si="539"/>
        <v>nicoletta.vozza@crm.otsuka-europe.com</v>
      </c>
      <c r="N5020" s="13">
        <v>46181.338020833333</v>
      </c>
      <c r="O5020" s="14" t="str">
        <f>HYPERLINK("https://otsuka-europe-crm.veevavault.com/ui/#object/email_activity__v/V8C00000003P357", "EN-002090363")</f>
        <v>EN-002090363</v>
      </c>
    </row>
    <row r="5021" spans="1:15" ht="32" x14ac:dyDescent="0.2">
      <c r="A5021" s="7" t="str">
        <f>HYPERLINK("https://otsuka-europe-crm.veevavault.com/ui/#object/account__v/V4TZ025E86J9VEA", "SILVIA MARIANO")</f>
        <v>SILVIA MARIANO</v>
      </c>
      <c r="B5021" s="7" t="str">
        <f t="shared" si="536"/>
        <v>IT</v>
      </c>
      <c r="C5021" s="8" t="s">
        <v>44</v>
      </c>
      <c r="D5021" s="9" t="str">
        <f t="shared" si="537"/>
        <v>AE dialoghi di tempo fiducia e cura episodi 2-3-4</v>
      </c>
      <c r="E5021" s="10" t="str">
        <f>HYPERLINK("https://otsuka-europe-crm.veevavault.com/ui/#object/sent_email__v/VBL00000002Q125", "SE-001433794")</f>
        <v>SE-001433794</v>
      </c>
      <c r="F5021" s="11"/>
      <c r="G5021" s="12">
        <v>0</v>
      </c>
      <c r="H5021" s="12">
        <v>0</v>
      </c>
      <c r="I5021" s="12">
        <v>0</v>
      </c>
      <c r="J5021" s="11"/>
      <c r="K5021" s="12">
        <v>0</v>
      </c>
      <c r="L5021" s="10" t="str">
        <f t="shared" si="538"/>
        <v>AE dialoghi di tempo fiducia e cura episodi 2-3-4</v>
      </c>
      <c r="M5021" s="10" t="str">
        <f t="shared" si="539"/>
        <v>nicoletta.vozza@crm.otsuka-europe.com</v>
      </c>
      <c r="N5021" s="13">
        <v>46181.337997685187</v>
      </c>
      <c r="O5021" s="14" t="str">
        <f>HYPERLINK("https://otsuka-europe-crm.veevavault.com/ui/#object/email_activity__v/V8C00000003O780", "EN-002090440")</f>
        <v>EN-002090440</v>
      </c>
    </row>
    <row r="5022" spans="1:15" ht="32" x14ac:dyDescent="0.2">
      <c r="A5022" s="7" t="str">
        <f>HYPERLINK("https://otsuka-europe-crm.veevavault.com/ui/#object/account__v/V4TZ04ASGBU4VKS", "SILVIA MERIGGI")</f>
        <v>SILVIA MERIGGI</v>
      </c>
      <c r="B5022" s="7" t="str">
        <f t="shared" si="536"/>
        <v>IT</v>
      </c>
      <c r="C5022" s="8" t="s">
        <v>44</v>
      </c>
      <c r="D5022" s="9" t="str">
        <f t="shared" si="537"/>
        <v>AE dialoghi di tempo fiducia e cura episodi 2-3-4</v>
      </c>
      <c r="E5022" s="10" t="str">
        <f>HYPERLINK("https://otsuka-europe-crm.veevavault.com/ui/#object/sent_email__v/VBL00000002Q126", "SE-001433795")</f>
        <v>SE-001433795</v>
      </c>
      <c r="F5022" s="11"/>
      <c r="G5022" s="12">
        <v>0</v>
      </c>
      <c r="H5022" s="12">
        <v>0</v>
      </c>
      <c r="I5022" s="12">
        <v>0</v>
      </c>
      <c r="J5022" s="11"/>
      <c r="K5022" s="12">
        <v>0</v>
      </c>
      <c r="L5022" s="10" t="str">
        <f t="shared" si="538"/>
        <v>AE dialoghi di tempo fiducia e cura episodi 2-3-4</v>
      </c>
      <c r="M5022" s="10" t="str">
        <f t="shared" si="539"/>
        <v>nicoletta.vozza@crm.otsuka-europe.com</v>
      </c>
      <c r="N5022" s="13">
        <v>46181.33798611111</v>
      </c>
      <c r="O5022" s="14" t="str">
        <f>HYPERLINK("https://otsuka-europe-crm.veevavault.com/ui/#object/email_activity__v/V8C00000003P405", "EN-002090411")</f>
        <v>EN-002090411</v>
      </c>
    </row>
    <row r="5023" spans="1:15" ht="16" x14ac:dyDescent="0.2">
      <c r="A5023" s="17" t="str">
        <f>HYPERLINK("https://otsuka-europe-crm.veevavault.com/ui/#object/account__v/V4TZ025E835NW2J", "SILVIA PASSERI")</f>
        <v>SILVIA PASSERI</v>
      </c>
      <c r="B5023" s="17" t="str">
        <f t="shared" si="536"/>
        <v>IT</v>
      </c>
      <c r="C5023" s="20" t="s">
        <v>44</v>
      </c>
      <c r="D5023" s="21" t="str">
        <f t="shared" si="537"/>
        <v>AE dialoghi di tempo fiducia e cura episodi 2-3-4</v>
      </c>
      <c r="E5023" s="22" t="str">
        <f>HYPERLINK("https://otsuka-europe-crm.veevavault.com/ui/#object/sent_email__v/VBL00000002Q127", "SE-001433796")</f>
        <v>SE-001433796</v>
      </c>
      <c r="F5023" s="23">
        <v>46181.950243055559</v>
      </c>
      <c r="G5023" s="24">
        <v>1</v>
      </c>
      <c r="H5023" s="24">
        <v>2</v>
      </c>
      <c r="I5023" s="24">
        <v>0</v>
      </c>
      <c r="J5023" s="25"/>
      <c r="K5023" s="24">
        <v>0</v>
      </c>
      <c r="L5023" s="22" t="str">
        <f t="shared" si="538"/>
        <v>AE dialoghi di tempo fiducia e cura episodi 2-3-4</v>
      </c>
      <c r="M5023" s="22" t="str">
        <f t="shared" si="539"/>
        <v>nicoletta.vozza@crm.otsuka-europe.com</v>
      </c>
      <c r="N5023" s="23">
        <v>46181.337997685187</v>
      </c>
      <c r="O5023" s="14" t="str">
        <f>HYPERLINK("https://otsuka-europe-crm.veevavault.com/ui/#object/email_activity__v/V8C00000003O371", "EN-002089889")</f>
        <v>EN-002089889</v>
      </c>
    </row>
    <row r="5024" spans="1:15" ht="16" x14ac:dyDescent="0.2">
      <c r="A5024" s="18"/>
      <c r="B5024" s="18"/>
      <c r="C5024" s="18"/>
      <c r="D5024" s="18"/>
      <c r="E5024" s="18"/>
      <c r="F5024" s="18"/>
      <c r="G5024" s="18"/>
      <c r="H5024" s="18"/>
      <c r="I5024" s="18"/>
      <c r="J5024" s="18"/>
      <c r="K5024" s="18"/>
      <c r="L5024" s="18"/>
      <c r="M5024" s="18"/>
      <c r="N5024" s="18"/>
      <c r="O5024" s="14" t="str">
        <f>HYPERLINK("https://otsuka-europe-crm.veevavault.com/ui/#object/email_activity__v/V8C00000003Q722", "EN-002092281")</f>
        <v>EN-002092281</v>
      </c>
    </row>
    <row r="5025" spans="1:15" ht="16" x14ac:dyDescent="0.2">
      <c r="A5025" s="19"/>
      <c r="B5025" s="19"/>
      <c r="C5025" s="19"/>
      <c r="D5025" s="19"/>
      <c r="E5025" s="19"/>
      <c r="F5025" s="19"/>
      <c r="G5025" s="19"/>
      <c r="H5025" s="19"/>
      <c r="I5025" s="19"/>
      <c r="J5025" s="19"/>
      <c r="K5025" s="19"/>
      <c r="L5025" s="19"/>
      <c r="M5025" s="19"/>
      <c r="N5025" s="19"/>
      <c r="O5025" s="14" t="str">
        <f>HYPERLINK("https://otsuka-europe-crm.veevavault.com/ui/#object/email_activity__v/V8C00000003R174", "EN-002092004")</f>
        <v>EN-002092004</v>
      </c>
    </row>
    <row r="5026" spans="1:15" ht="32" x14ac:dyDescent="0.2">
      <c r="A5026" s="7" t="str">
        <f>HYPERLINK("https://otsuka-europe-crm.veevavault.com/ui/#object/account__v/V4TZ06G6O71SBQS", "SILVIA PELLEGRINO")</f>
        <v>SILVIA PELLEGRINO</v>
      </c>
      <c r="B5026" s="7" t="str">
        <f>HYPERLINK("https://otsuka-europe-crm.veevavault.com/ui/#object/vcountry__v/VENZ000004SONFQ", "IT")</f>
        <v>IT</v>
      </c>
      <c r="C5026" s="8" t="s">
        <v>44</v>
      </c>
      <c r="D5026" s="9" t="str">
        <f>HYPERLINK("https://otsuka-europe-crm.veevavault.com/ui/#object/approved_document__v/V5O000000018003", "AE dialoghi di tempo fiducia e cura episodi 2-3-4")</f>
        <v>AE dialoghi di tempo fiducia e cura episodi 2-3-4</v>
      </c>
      <c r="E5026" s="10" t="str">
        <f>HYPERLINK("https://otsuka-europe-crm.veevavault.com/ui/#object/sent_email__v/VBL00000002Q128", "SE-001433797")</f>
        <v>SE-001433797</v>
      </c>
      <c r="F5026" s="11"/>
      <c r="G5026" s="12">
        <v>0</v>
      </c>
      <c r="H5026" s="12">
        <v>0</v>
      </c>
      <c r="I5026" s="12">
        <v>0</v>
      </c>
      <c r="J5026" s="11"/>
      <c r="K5026" s="12">
        <v>0</v>
      </c>
      <c r="L5026" s="10" t="str">
        <f>HYPERLINK("https://otsuka-europe-crm.veevavault.com/ui/#object/approved_document__v/V5O000000018003", "AE dialoghi di tempo fiducia e cura episodi 2-3-4")</f>
        <v>AE dialoghi di tempo fiducia e cura episodi 2-3-4</v>
      </c>
      <c r="M5026" s="10" t="str">
        <f>HYPERLINK("mailto:nicoletta.vozza@crm.otsuka-europe.com", "nicoletta.vozza@crm.otsuka-europe.com")</f>
        <v>nicoletta.vozza@crm.otsuka-europe.com</v>
      </c>
      <c r="N5026" s="13">
        <v>46181.338055555556</v>
      </c>
      <c r="O5026" s="14" t="str">
        <f>HYPERLINK("https://otsuka-europe-crm.veevavault.com/ui/#object/email_activity__v/V8C00000003P636", "EN-002090891")</f>
        <v>EN-002090891</v>
      </c>
    </row>
    <row r="5027" spans="1:15" ht="16" x14ac:dyDescent="0.2">
      <c r="A5027" s="17" t="str">
        <f>HYPERLINK("https://otsuka-europe-crm.veevavault.com/ui/#object/account__v/V4TZ06G6O71S9KE", "SILVIA RIGUCCI")</f>
        <v>SILVIA RIGUCCI</v>
      </c>
      <c r="B5027" s="17" t="str">
        <f>HYPERLINK("https://otsuka-europe-crm.veevavault.com/ui/#object/vcountry__v/VENZ000004SONFQ", "IT")</f>
        <v>IT</v>
      </c>
      <c r="C5027" s="20" t="s">
        <v>44</v>
      </c>
      <c r="D5027" s="21" t="str">
        <f>HYPERLINK("https://otsuka-europe-crm.veevavault.com/ui/#object/approved_document__v/V5O000000018003", "AE dialoghi di tempo fiducia e cura episodi 2-3-4")</f>
        <v>AE dialoghi di tempo fiducia e cura episodi 2-3-4</v>
      </c>
      <c r="E5027" s="22" t="str">
        <f>HYPERLINK("https://otsuka-europe-crm.veevavault.com/ui/#object/sent_email__v/VBL00000002Q129", "SE-001433798")</f>
        <v>SE-001433798</v>
      </c>
      <c r="F5027" s="23">
        <v>46181.585219907407</v>
      </c>
      <c r="G5027" s="24">
        <v>1</v>
      </c>
      <c r="H5027" s="24">
        <v>2</v>
      </c>
      <c r="I5027" s="24">
        <v>0</v>
      </c>
      <c r="J5027" s="25"/>
      <c r="K5027" s="24">
        <v>0</v>
      </c>
      <c r="L5027" s="22" t="str">
        <f>HYPERLINK("https://otsuka-europe-crm.veevavault.com/ui/#object/approved_document__v/V5O000000018003", "AE dialoghi di tempo fiducia e cura episodi 2-3-4")</f>
        <v>AE dialoghi di tempo fiducia e cura episodi 2-3-4</v>
      </c>
      <c r="M5027" s="22" t="str">
        <f>HYPERLINK("mailto:nicoletta.vozza@crm.otsuka-europe.com", "nicoletta.vozza@crm.otsuka-europe.com")</f>
        <v>nicoletta.vozza@crm.otsuka-europe.com</v>
      </c>
      <c r="N5027" s="23">
        <v>46181.338067129633</v>
      </c>
      <c r="O5027" s="14" t="str">
        <f>HYPERLINK("https://otsuka-europe-crm.veevavault.com/ui/#object/email_activity__v/V8C00000003O728", "EN-002090284")</f>
        <v>EN-002090284</v>
      </c>
    </row>
    <row r="5028" spans="1:15" ht="16" x14ac:dyDescent="0.2">
      <c r="A5028" s="18"/>
      <c r="B5028" s="18"/>
      <c r="C5028" s="18"/>
      <c r="D5028" s="18"/>
      <c r="E5028" s="18"/>
      <c r="F5028" s="18"/>
      <c r="G5028" s="18"/>
      <c r="H5028" s="18"/>
      <c r="I5028" s="18"/>
      <c r="J5028" s="18"/>
      <c r="K5028" s="18"/>
      <c r="L5028" s="18"/>
      <c r="M5028" s="18"/>
      <c r="N5028" s="18"/>
      <c r="O5028" s="14" t="str">
        <f>HYPERLINK("https://otsuka-europe-crm.veevavault.com/ui/#object/email_activity__v/V8C00000003Q583", "EN-002091982")</f>
        <v>EN-002091982</v>
      </c>
    </row>
    <row r="5029" spans="1:15" ht="16" x14ac:dyDescent="0.2">
      <c r="A5029" s="19"/>
      <c r="B5029" s="19"/>
      <c r="C5029" s="19"/>
      <c r="D5029" s="19"/>
      <c r="E5029" s="19"/>
      <c r="F5029" s="19"/>
      <c r="G5029" s="19"/>
      <c r="H5029" s="19"/>
      <c r="I5029" s="19"/>
      <c r="J5029" s="19"/>
      <c r="K5029" s="19"/>
      <c r="L5029" s="19"/>
      <c r="M5029" s="19"/>
      <c r="N5029" s="19"/>
      <c r="O5029" s="14" t="str">
        <f>HYPERLINK("https://otsuka-europe-crm.veevavault.com/ui/#object/email_activity__v/V8C00000003Q584", "EN-002091983")</f>
        <v>EN-002091983</v>
      </c>
    </row>
    <row r="5030" spans="1:15" ht="32" x14ac:dyDescent="0.2">
      <c r="A5030" s="7" t="str">
        <f>HYPERLINK("https://otsuka-europe-crm.veevavault.com/ui/#object/account__v/V4TZ06G6O71SC22", "SILVIA SANAVIO")</f>
        <v>SILVIA SANAVIO</v>
      </c>
      <c r="B5030" s="7" t="str">
        <f t="shared" ref="B5030:B5039" si="540">HYPERLINK("https://otsuka-europe-crm.veevavault.com/ui/#object/vcountry__v/VENZ000004SONFQ", "IT")</f>
        <v>IT</v>
      </c>
      <c r="C5030" s="8" t="s">
        <v>44</v>
      </c>
      <c r="D5030" s="9" t="str">
        <f t="shared" ref="D5030:D5039" si="541">HYPERLINK("https://otsuka-europe-crm.veevavault.com/ui/#object/approved_document__v/V5O000000018003", "AE dialoghi di tempo fiducia e cura episodi 2-3-4")</f>
        <v>AE dialoghi di tempo fiducia e cura episodi 2-3-4</v>
      </c>
      <c r="E5030" s="10" t="str">
        <f>HYPERLINK("https://otsuka-europe-crm.veevavault.com/ui/#object/sent_email__v/VBL00000002Q130", "SE-001433799")</f>
        <v>SE-001433799</v>
      </c>
      <c r="F5030" s="11"/>
      <c r="G5030" s="12">
        <v>0</v>
      </c>
      <c r="H5030" s="12">
        <v>0</v>
      </c>
      <c r="I5030" s="12">
        <v>0</v>
      </c>
      <c r="J5030" s="11"/>
      <c r="K5030" s="12">
        <v>0</v>
      </c>
      <c r="L5030" s="10" t="str">
        <f t="shared" ref="L5030:L5039" si="542">HYPERLINK("https://otsuka-europe-crm.veevavault.com/ui/#object/approved_document__v/V5O000000018003", "AE dialoghi di tempo fiducia e cura episodi 2-3-4")</f>
        <v>AE dialoghi di tempo fiducia e cura episodi 2-3-4</v>
      </c>
      <c r="M5030" s="10" t="str">
        <f t="shared" ref="M5030:M5039" si="543">HYPERLINK("mailto:nicoletta.vozza@crm.otsuka-europe.com", "nicoletta.vozza@crm.otsuka-europe.com")</f>
        <v>nicoletta.vozza@crm.otsuka-europe.com</v>
      </c>
      <c r="N5030" s="13">
        <v>46181.33797453704</v>
      </c>
      <c r="O5030" s="14" t="str">
        <f>HYPERLINK("https://otsuka-europe-crm.veevavault.com/ui/#object/email_activity__v/V8C00000003O225", "EN-002089702")</f>
        <v>EN-002089702</v>
      </c>
    </row>
    <row r="5031" spans="1:15" ht="32" x14ac:dyDescent="0.2">
      <c r="A5031" s="7" t="str">
        <f>HYPERLINK("https://otsuka-europe-crm.veevavault.com/ui/#object/account__v/V4TZ025E834OPBO", "SILVIA SOLAROLI")</f>
        <v>SILVIA SOLAROLI</v>
      </c>
      <c r="B5031" s="7" t="str">
        <f t="shared" si="540"/>
        <v>IT</v>
      </c>
      <c r="C5031" s="8" t="s">
        <v>44</v>
      </c>
      <c r="D5031" s="9" t="str">
        <f t="shared" si="541"/>
        <v>AE dialoghi di tempo fiducia e cura episodi 2-3-4</v>
      </c>
      <c r="E5031" s="10" t="str">
        <f>HYPERLINK("https://otsuka-europe-crm.veevavault.com/ui/#object/sent_email__v/VBL00000002Q131", "SE-001433800")</f>
        <v>SE-001433800</v>
      </c>
      <c r="F5031" s="11"/>
      <c r="G5031" s="12">
        <v>0</v>
      </c>
      <c r="H5031" s="12">
        <v>0</v>
      </c>
      <c r="I5031" s="12">
        <v>0</v>
      </c>
      <c r="J5031" s="11"/>
      <c r="K5031" s="12">
        <v>0</v>
      </c>
      <c r="L5031" s="10" t="str">
        <f t="shared" si="542"/>
        <v>AE dialoghi di tempo fiducia e cura episodi 2-3-4</v>
      </c>
      <c r="M5031" s="10" t="str">
        <f t="shared" si="543"/>
        <v>nicoletta.vozza@crm.otsuka-europe.com</v>
      </c>
      <c r="N5031" s="13">
        <v>46181.338020833333</v>
      </c>
      <c r="O5031" s="14" t="str">
        <f>HYPERLINK("https://otsuka-europe-crm.veevavault.com/ui/#object/email_activity__v/V8C00000003P468", "EN-002090697")</f>
        <v>EN-002090697</v>
      </c>
    </row>
    <row r="5032" spans="1:15" ht="32" x14ac:dyDescent="0.2">
      <c r="A5032" s="7" t="str">
        <f>HYPERLINK("https://otsuka-europe-crm.veevavault.com/ui/#object/account__v/V4TZ06G6O71S9WI", "SILVIO ANELLI")</f>
        <v>SILVIO ANELLI</v>
      </c>
      <c r="B5032" s="7" t="str">
        <f t="shared" si="540"/>
        <v>IT</v>
      </c>
      <c r="C5032" s="8" t="s">
        <v>44</v>
      </c>
      <c r="D5032" s="9" t="str">
        <f t="shared" si="541"/>
        <v>AE dialoghi di tempo fiducia e cura episodi 2-3-4</v>
      </c>
      <c r="E5032" s="10" t="str">
        <f>HYPERLINK("https://otsuka-europe-crm.veevavault.com/ui/#object/sent_email__v/VBL00000002Q132", "SE-001433801")</f>
        <v>SE-001433801</v>
      </c>
      <c r="F5032" s="11"/>
      <c r="G5032" s="12">
        <v>0</v>
      </c>
      <c r="H5032" s="12">
        <v>0</v>
      </c>
      <c r="I5032" s="12">
        <v>0</v>
      </c>
      <c r="J5032" s="11"/>
      <c r="K5032" s="12">
        <v>0</v>
      </c>
      <c r="L5032" s="10" t="str">
        <f t="shared" si="542"/>
        <v>AE dialoghi di tempo fiducia e cura episodi 2-3-4</v>
      </c>
      <c r="M5032" s="10" t="str">
        <f t="shared" si="543"/>
        <v>nicoletta.vozza@crm.otsuka-europe.com</v>
      </c>
      <c r="N5032" s="13">
        <v>46181.338009259256</v>
      </c>
      <c r="O5032" s="14" t="str">
        <f>HYPERLINK("https://otsuka-europe-crm.veevavault.com/ui/#object/email_activity__v/V8C00000003O743", "EN-002090299")</f>
        <v>EN-002090299</v>
      </c>
    </row>
    <row r="5033" spans="1:15" ht="32" x14ac:dyDescent="0.2">
      <c r="A5033" s="7" t="str">
        <f>HYPERLINK("https://otsuka-europe-crm.veevavault.com/ui/#object/account__v/V4TZ06G6O71TLDG", "SILVIO BELLINO")</f>
        <v>SILVIO BELLINO</v>
      </c>
      <c r="B5033" s="7" t="str">
        <f t="shared" si="540"/>
        <v>IT</v>
      </c>
      <c r="C5033" s="8" t="s">
        <v>44</v>
      </c>
      <c r="D5033" s="9" t="str">
        <f t="shared" si="541"/>
        <v>AE dialoghi di tempo fiducia e cura episodi 2-3-4</v>
      </c>
      <c r="E5033" s="10" t="str">
        <f>HYPERLINK("https://otsuka-europe-crm.veevavault.com/ui/#object/sent_email__v/VBL00000002Q133", "SE-001433802")</f>
        <v>SE-001433802</v>
      </c>
      <c r="F5033" s="11"/>
      <c r="G5033" s="12">
        <v>0</v>
      </c>
      <c r="H5033" s="12">
        <v>0</v>
      </c>
      <c r="I5033" s="12">
        <v>0</v>
      </c>
      <c r="J5033" s="11"/>
      <c r="K5033" s="12">
        <v>0</v>
      </c>
      <c r="L5033" s="10" t="str">
        <f t="shared" si="542"/>
        <v>AE dialoghi di tempo fiducia e cura episodi 2-3-4</v>
      </c>
      <c r="M5033" s="10" t="str">
        <f t="shared" si="543"/>
        <v>nicoletta.vozza@crm.otsuka-europe.com</v>
      </c>
      <c r="N5033" s="13">
        <v>46181.33797453704</v>
      </c>
      <c r="O5033" s="14" t="str">
        <f>HYPERLINK("https://otsuka-europe-crm.veevavault.com/ui/#object/email_activity__v/V8C00000003O697", "EN-002090253")</f>
        <v>EN-002090253</v>
      </c>
    </row>
    <row r="5034" spans="1:15" ht="32" x14ac:dyDescent="0.2">
      <c r="A5034" s="7" t="str">
        <f>HYPERLINK("https://otsuka-europe-crm.veevavault.com/ui/#object/account__v/V4TZ025E88QDR8L", "SILVIO VERSAGGI")</f>
        <v>SILVIO VERSAGGI</v>
      </c>
      <c r="B5034" s="7" t="str">
        <f t="shared" si="540"/>
        <v>IT</v>
      </c>
      <c r="C5034" s="8" t="s">
        <v>44</v>
      </c>
      <c r="D5034" s="9" t="str">
        <f t="shared" si="541"/>
        <v>AE dialoghi di tempo fiducia e cura episodi 2-3-4</v>
      </c>
      <c r="E5034" s="10" t="str">
        <f>HYPERLINK("https://otsuka-europe-crm.veevavault.com/ui/#object/sent_email__v/VBL00000002Q134", "SE-001433803")</f>
        <v>SE-001433803</v>
      </c>
      <c r="F5034" s="11"/>
      <c r="G5034" s="12">
        <v>0</v>
      </c>
      <c r="H5034" s="12">
        <v>0</v>
      </c>
      <c r="I5034" s="12">
        <v>0</v>
      </c>
      <c r="J5034" s="11"/>
      <c r="K5034" s="12">
        <v>0</v>
      </c>
      <c r="L5034" s="10" t="str">
        <f t="shared" si="542"/>
        <v>AE dialoghi di tempo fiducia e cura episodi 2-3-4</v>
      </c>
      <c r="M5034" s="10" t="str">
        <f t="shared" si="543"/>
        <v>nicoletta.vozza@crm.otsuka-europe.com</v>
      </c>
      <c r="N5034" s="13">
        <v>46181.338020833333</v>
      </c>
      <c r="O5034" s="14" t="str">
        <f>HYPERLINK("https://otsuka-europe-crm.veevavault.com/ui/#object/email_activity__v/V8C00000003P594", "EN-002090849")</f>
        <v>EN-002090849</v>
      </c>
    </row>
    <row r="5035" spans="1:15" ht="32" x14ac:dyDescent="0.2">
      <c r="A5035" s="7" t="str">
        <f>HYPERLINK("https://otsuka-europe-crm.veevavault.com/ui/#object/account__v/V4TZ06G6O71S9RI", "SILVIO ZANARDELLI")</f>
        <v>SILVIO ZANARDELLI</v>
      </c>
      <c r="B5035" s="7" t="str">
        <f t="shared" si="540"/>
        <v>IT</v>
      </c>
      <c r="C5035" s="8" t="s">
        <v>44</v>
      </c>
      <c r="D5035" s="9" t="str">
        <f t="shared" si="541"/>
        <v>AE dialoghi di tempo fiducia e cura episodi 2-3-4</v>
      </c>
      <c r="E5035" s="10" t="str">
        <f>HYPERLINK("https://otsuka-europe-crm.veevavault.com/ui/#object/sent_email__v/VBL00000002Q135", "SE-001433804")</f>
        <v>SE-001433804</v>
      </c>
      <c r="F5035" s="11"/>
      <c r="G5035" s="12">
        <v>0</v>
      </c>
      <c r="H5035" s="12">
        <v>0</v>
      </c>
      <c r="I5035" s="12">
        <v>0</v>
      </c>
      <c r="J5035" s="11"/>
      <c r="K5035" s="12">
        <v>0</v>
      </c>
      <c r="L5035" s="10" t="str">
        <f t="shared" si="542"/>
        <v>AE dialoghi di tempo fiducia e cura episodi 2-3-4</v>
      </c>
      <c r="M5035" s="10" t="str">
        <f t="shared" si="543"/>
        <v>nicoletta.vozza@crm.otsuka-europe.com</v>
      </c>
      <c r="N5035" s="13">
        <v>46181.33797453704</v>
      </c>
      <c r="O5035" s="14" t="str">
        <f>HYPERLINK("https://otsuka-europe-crm.veevavault.com/ui/#object/email_activity__v/V8C00000003P431", "EN-002090679")</f>
        <v>EN-002090679</v>
      </c>
    </row>
    <row r="5036" spans="1:15" ht="32" x14ac:dyDescent="0.2">
      <c r="A5036" s="7" t="str">
        <f>HYPERLINK("https://otsuka-europe-crm.veevavault.com/ui/#object/account__v/V4TZ06G6O71SA2Q", "SIMONA BARBERA")</f>
        <v>SIMONA BARBERA</v>
      </c>
      <c r="B5036" s="7" t="str">
        <f t="shared" si="540"/>
        <v>IT</v>
      </c>
      <c r="C5036" s="8" t="s">
        <v>44</v>
      </c>
      <c r="D5036" s="9" t="str">
        <f t="shared" si="541"/>
        <v>AE dialoghi di tempo fiducia e cura episodi 2-3-4</v>
      </c>
      <c r="E5036" s="10" t="str">
        <f>HYPERLINK("https://otsuka-europe-crm.veevavault.com/ui/#object/sent_email__v/VBL00000002Q136", "SE-001433805")</f>
        <v>SE-001433805</v>
      </c>
      <c r="F5036" s="11"/>
      <c r="G5036" s="12">
        <v>0</v>
      </c>
      <c r="H5036" s="12">
        <v>0</v>
      </c>
      <c r="I5036" s="12">
        <v>0</v>
      </c>
      <c r="J5036" s="11"/>
      <c r="K5036" s="12">
        <v>0</v>
      </c>
      <c r="L5036" s="10" t="str">
        <f t="shared" si="542"/>
        <v>AE dialoghi di tempo fiducia e cura episodi 2-3-4</v>
      </c>
      <c r="M5036" s="10" t="str">
        <f t="shared" si="543"/>
        <v>nicoletta.vozza@crm.otsuka-europe.com</v>
      </c>
      <c r="N5036" s="13">
        <v>46181.33798611111</v>
      </c>
      <c r="O5036" s="14" t="str">
        <f>HYPERLINK("https://otsuka-europe-crm.veevavault.com/ui/#object/email_activity__v/V8C00000003O739", "EN-002090295")</f>
        <v>EN-002090295</v>
      </c>
    </row>
    <row r="5037" spans="1:15" ht="32" x14ac:dyDescent="0.2">
      <c r="A5037" s="7" t="str">
        <f>HYPERLINK("https://otsuka-europe-crm.veevavault.com/ui/#object/account__v/V4TZ04ASG6P3PIV", "SIMONA CARDILLO")</f>
        <v>SIMONA CARDILLO</v>
      </c>
      <c r="B5037" s="7" t="str">
        <f t="shared" si="540"/>
        <v>IT</v>
      </c>
      <c r="C5037" s="8" t="s">
        <v>44</v>
      </c>
      <c r="D5037" s="9" t="str">
        <f t="shared" si="541"/>
        <v>AE dialoghi di tempo fiducia e cura episodi 2-3-4</v>
      </c>
      <c r="E5037" s="10" t="str">
        <f>HYPERLINK("https://otsuka-europe-crm.veevavault.com/ui/#object/sent_email__v/VBL00000002Q137", "SE-001433806")</f>
        <v>SE-001433806</v>
      </c>
      <c r="F5037" s="11"/>
      <c r="G5037" s="12">
        <v>0</v>
      </c>
      <c r="H5037" s="12">
        <v>0</v>
      </c>
      <c r="I5037" s="12">
        <v>0</v>
      </c>
      <c r="J5037" s="11"/>
      <c r="K5037" s="12">
        <v>0</v>
      </c>
      <c r="L5037" s="10" t="str">
        <f t="shared" si="542"/>
        <v>AE dialoghi di tempo fiducia e cura episodi 2-3-4</v>
      </c>
      <c r="M5037" s="10" t="str">
        <f t="shared" si="543"/>
        <v>nicoletta.vozza@crm.otsuka-europe.com</v>
      </c>
      <c r="N5037" s="13">
        <v>46181.338055555556</v>
      </c>
      <c r="O5037" s="14" t="str">
        <f>HYPERLINK("https://otsuka-europe-crm.veevavault.com/ui/#object/email_activity__v/V8C00000003P356", "EN-002090362")</f>
        <v>EN-002090362</v>
      </c>
    </row>
    <row r="5038" spans="1:15" ht="32" x14ac:dyDescent="0.2">
      <c r="A5038" s="7" t="str">
        <f>HYPERLINK("https://otsuka-europe-crm.veevavault.com/ui/#object/account__v/V4TZ06G6O71S9LK", "SIMONA DE SANTIS")</f>
        <v>SIMONA DE SANTIS</v>
      </c>
      <c r="B5038" s="7" t="str">
        <f t="shared" si="540"/>
        <v>IT</v>
      </c>
      <c r="C5038" s="8" t="s">
        <v>44</v>
      </c>
      <c r="D5038" s="9" t="str">
        <f t="shared" si="541"/>
        <v>AE dialoghi di tempo fiducia e cura episodi 2-3-4</v>
      </c>
      <c r="E5038" s="10" t="str">
        <f>HYPERLINK("https://otsuka-europe-crm.veevavault.com/ui/#object/sent_email__v/VBL00000002Q138", "SE-001433807")</f>
        <v>SE-001433807</v>
      </c>
      <c r="F5038" s="11"/>
      <c r="G5038" s="12">
        <v>0</v>
      </c>
      <c r="H5038" s="12">
        <v>0</v>
      </c>
      <c r="I5038" s="12">
        <v>0</v>
      </c>
      <c r="J5038" s="11"/>
      <c r="K5038" s="12">
        <v>0</v>
      </c>
      <c r="L5038" s="10" t="str">
        <f t="shared" si="542"/>
        <v>AE dialoghi di tempo fiducia e cura episodi 2-3-4</v>
      </c>
      <c r="M5038" s="10" t="str">
        <f t="shared" si="543"/>
        <v>nicoletta.vozza@crm.otsuka-europe.com</v>
      </c>
      <c r="N5038" s="13">
        <v>46181.33797453704</v>
      </c>
      <c r="O5038" s="14" t="str">
        <f>HYPERLINK("https://otsuka-europe-crm.veevavault.com/ui/#object/email_activity__v/V8C00000003O307", "EN-002089784")</f>
        <v>EN-002089784</v>
      </c>
    </row>
    <row r="5039" spans="1:15" ht="16" x14ac:dyDescent="0.2">
      <c r="A5039" s="17" t="str">
        <f>HYPERLINK("https://otsuka-europe-crm.veevavault.com/ui/#object/account__v/V4TZ06G6O71TFS1", "SIMONA DE VIVO")</f>
        <v>SIMONA DE VIVO</v>
      </c>
      <c r="B5039" s="17" t="str">
        <f t="shared" si="540"/>
        <v>IT</v>
      </c>
      <c r="C5039" s="20" t="s">
        <v>44</v>
      </c>
      <c r="D5039" s="21" t="str">
        <f t="shared" si="541"/>
        <v>AE dialoghi di tempo fiducia e cura episodi 2-3-4</v>
      </c>
      <c r="E5039" s="22" t="str">
        <f>HYPERLINK("https://otsuka-europe-crm.veevavault.com/ui/#object/sent_email__v/VBL00000002Q139", "SE-001433808")</f>
        <v>SE-001433808</v>
      </c>
      <c r="F5039" s="25"/>
      <c r="G5039" s="24">
        <v>0</v>
      </c>
      <c r="H5039" s="24">
        <v>0</v>
      </c>
      <c r="I5039" s="24">
        <v>0</v>
      </c>
      <c r="J5039" s="25"/>
      <c r="K5039" s="24">
        <v>0</v>
      </c>
      <c r="L5039" s="22" t="str">
        <f t="shared" si="542"/>
        <v>AE dialoghi di tempo fiducia e cura episodi 2-3-4</v>
      </c>
      <c r="M5039" s="22" t="str">
        <f t="shared" si="543"/>
        <v>nicoletta.vozza@crm.otsuka-europe.com</v>
      </c>
      <c r="N5039" s="23">
        <v>46181.337997685187</v>
      </c>
      <c r="O5039" s="14" t="str">
        <f>HYPERLINK("https://otsuka-europe-crm.veevavault.com/ui/#object/email_activity__v/V8C00000003O571", "EN-002090127")</f>
        <v>EN-002090127</v>
      </c>
    </row>
    <row r="5040" spans="1:15" ht="16" x14ac:dyDescent="0.2">
      <c r="A5040" s="19"/>
      <c r="B5040" s="19"/>
      <c r="C5040" s="19"/>
      <c r="D5040" s="19"/>
      <c r="E5040" s="19"/>
      <c r="F5040" s="19"/>
      <c r="G5040" s="19"/>
      <c r="H5040" s="19"/>
      <c r="I5040" s="19"/>
      <c r="J5040" s="19"/>
      <c r="K5040" s="19"/>
      <c r="L5040" s="19"/>
      <c r="M5040" s="19"/>
      <c r="N5040" s="19"/>
      <c r="O5040" s="14" t="str">
        <f>HYPERLINK("https://otsuka-europe-crm.veevavault.com/ui/#object/email_activity__v/V8C00000003Z244", "EN-002099078")</f>
        <v>EN-002099078</v>
      </c>
    </row>
    <row r="5041" spans="1:15" ht="32" x14ac:dyDescent="0.2">
      <c r="A5041" s="7" t="str">
        <f>HYPERLINK("https://otsuka-europe-crm.veevavault.com/ui/#object/account__v/V4TZ06G6O71SAOR", "SIMONA GALEASSI")</f>
        <v>SIMONA GALEASSI</v>
      </c>
      <c r="B5041" s="7" t="str">
        <f t="shared" ref="B5041:B5060" si="544">HYPERLINK("https://otsuka-europe-crm.veevavault.com/ui/#object/vcountry__v/VENZ000004SONFQ", "IT")</f>
        <v>IT</v>
      </c>
      <c r="C5041" s="8" t="s">
        <v>44</v>
      </c>
      <c r="D5041" s="9" t="str">
        <f t="shared" ref="D5041:D5060" si="545">HYPERLINK("https://otsuka-europe-crm.veevavault.com/ui/#object/approved_document__v/V5O000000018003", "AE dialoghi di tempo fiducia e cura episodi 2-3-4")</f>
        <v>AE dialoghi di tempo fiducia e cura episodi 2-3-4</v>
      </c>
      <c r="E5041" s="10" t="str">
        <f>HYPERLINK("https://otsuka-europe-crm.veevavault.com/ui/#object/sent_email__v/VBL00000002Q140", "SE-001433809")</f>
        <v>SE-001433809</v>
      </c>
      <c r="F5041" s="11"/>
      <c r="G5041" s="12">
        <v>0</v>
      </c>
      <c r="H5041" s="12">
        <v>0</v>
      </c>
      <c r="I5041" s="12">
        <v>0</v>
      </c>
      <c r="J5041" s="11"/>
      <c r="K5041" s="12">
        <v>0</v>
      </c>
      <c r="L5041" s="10" t="str">
        <f t="shared" ref="L5041:L5060" si="546">HYPERLINK("https://otsuka-europe-crm.veevavault.com/ui/#object/approved_document__v/V5O000000018003", "AE dialoghi di tempo fiducia e cura episodi 2-3-4")</f>
        <v>AE dialoghi di tempo fiducia e cura episodi 2-3-4</v>
      </c>
      <c r="M5041" s="10" t="str">
        <f t="shared" ref="M5041:M5060" si="547">HYPERLINK("mailto:nicoletta.vozza@crm.otsuka-europe.com", "nicoletta.vozza@crm.otsuka-europe.com")</f>
        <v>nicoletta.vozza@crm.otsuka-europe.com</v>
      </c>
      <c r="N5041" s="13">
        <v>46181.338020833333</v>
      </c>
      <c r="O5041" s="14" t="str">
        <f>HYPERLINK("https://otsuka-europe-crm.veevavault.com/ui/#object/email_activity__v/V8C00000003P592", "EN-002090847")</f>
        <v>EN-002090847</v>
      </c>
    </row>
    <row r="5042" spans="1:15" ht="32" x14ac:dyDescent="0.2">
      <c r="A5042" s="7" t="str">
        <f>HYPERLINK("https://otsuka-europe-crm.veevavault.com/ui/#object/account__v/V4TZ06G6O8IUQRT", "SIMONA GHERARDELLI")</f>
        <v>SIMONA GHERARDELLI</v>
      </c>
      <c r="B5042" s="7" t="str">
        <f t="shared" si="544"/>
        <v>IT</v>
      </c>
      <c r="C5042" s="8" t="s">
        <v>44</v>
      </c>
      <c r="D5042" s="9" t="str">
        <f t="shared" si="545"/>
        <v>AE dialoghi di tempo fiducia e cura episodi 2-3-4</v>
      </c>
      <c r="E5042" s="10" t="str">
        <f>HYPERLINK("https://otsuka-europe-crm.veevavault.com/ui/#object/sent_email__v/VBL00000002Q141", "SE-001433810")</f>
        <v>SE-001433810</v>
      </c>
      <c r="F5042" s="11"/>
      <c r="G5042" s="12">
        <v>0</v>
      </c>
      <c r="H5042" s="12">
        <v>0</v>
      </c>
      <c r="I5042" s="12">
        <v>0</v>
      </c>
      <c r="J5042" s="11"/>
      <c r="K5042" s="12">
        <v>0</v>
      </c>
      <c r="L5042" s="10" t="str">
        <f t="shared" si="546"/>
        <v>AE dialoghi di tempo fiducia e cura episodi 2-3-4</v>
      </c>
      <c r="M5042" s="10" t="str">
        <f t="shared" si="547"/>
        <v>nicoletta.vozza@crm.otsuka-europe.com</v>
      </c>
      <c r="N5042" s="13">
        <v>46181.338020833333</v>
      </c>
      <c r="O5042" s="14" t="str">
        <f>HYPERLINK("https://otsuka-europe-crm.veevavault.com/ui/#object/email_activity__v/V8C00000003P465", "EN-002090696")</f>
        <v>EN-002090696</v>
      </c>
    </row>
    <row r="5043" spans="1:15" ht="32" x14ac:dyDescent="0.2">
      <c r="A5043" s="7" t="str">
        <f>HYPERLINK("https://otsuka-europe-crm.veevavault.com/ui/#object/account__v/V4TZ06G6O71SAWE", "SIMONA GIURDANELLA")</f>
        <v>SIMONA GIURDANELLA</v>
      </c>
      <c r="B5043" s="7" t="str">
        <f t="shared" si="544"/>
        <v>IT</v>
      </c>
      <c r="C5043" s="8" t="s">
        <v>44</v>
      </c>
      <c r="D5043" s="9" t="str">
        <f t="shared" si="545"/>
        <v>AE dialoghi di tempo fiducia e cura episodi 2-3-4</v>
      </c>
      <c r="E5043" s="10" t="str">
        <f>HYPERLINK("https://otsuka-europe-crm.veevavault.com/ui/#object/sent_email__v/VBL00000002Q142", "SE-001433811")</f>
        <v>SE-001433811</v>
      </c>
      <c r="F5043" s="11"/>
      <c r="G5043" s="12">
        <v>0</v>
      </c>
      <c r="H5043" s="12">
        <v>0</v>
      </c>
      <c r="I5043" s="12">
        <v>0</v>
      </c>
      <c r="J5043" s="11"/>
      <c r="K5043" s="12">
        <v>0</v>
      </c>
      <c r="L5043" s="10" t="str">
        <f t="shared" si="546"/>
        <v>AE dialoghi di tempo fiducia e cura episodi 2-3-4</v>
      </c>
      <c r="M5043" s="10" t="str">
        <f t="shared" si="547"/>
        <v>nicoletta.vozza@crm.otsuka-europe.com</v>
      </c>
      <c r="N5043" s="13">
        <v>46181.338020833333</v>
      </c>
      <c r="O5043" s="14" t="str">
        <f>HYPERLINK("https://otsuka-europe-crm.veevavault.com/ui/#object/email_activity__v/V8C00000003P593", "EN-002090848")</f>
        <v>EN-002090848</v>
      </c>
    </row>
    <row r="5044" spans="1:15" ht="32" x14ac:dyDescent="0.2">
      <c r="A5044" s="7" t="str">
        <f>HYPERLINK("https://otsuka-europe-crm.veevavault.com/ui/#object/account__v/V4TZ06G6O71SAQL", "SIMONA GOTELLI")</f>
        <v>SIMONA GOTELLI</v>
      </c>
      <c r="B5044" s="7" t="str">
        <f t="shared" si="544"/>
        <v>IT</v>
      </c>
      <c r="C5044" s="8" t="s">
        <v>44</v>
      </c>
      <c r="D5044" s="9" t="str">
        <f t="shared" si="545"/>
        <v>AE dialoghi di tempo fiducia e cura episodi 2-3-4</v>
      </c>
      <c r="E5044" s="10" t="str">
        <f>HYPERLINK("https://otsuka-europe-crm.veevavault.com/ui/#object/sent_email__v/VBL00000002Q143", "SE-001433812")</f>
        <v>SE-001433812</v>
      </c>
      <c r="F5044" s="11"/>
      <c r="G5044" s="12">
        <v>0</v>
      </c>
      <c r="H5044" s="12">
        <v>0</v>
      </c>
      <c r="I5044" s="12">
        <v>0</v>
      </c>
      <c r="J5044" s="11"/>
      <c r="K5044" s="12">
        <v>0</v>
      </c>
      <c r="L5044" s="10" t="str">
        <f t="shared" si="546"/>
        <v>AE dialoghi di tempo fiducia e cura episodi 2-3-4</v>
      </c>
      <c r="M5044" s="10" t="str">
        <f t="shared" si="547"/>
        <v>nicoletta.vozza@crm.otsuka-europe.com</v>
      </c>
      <c r="N5044" s="13">
        <v>46181.338055555556</v>
      </c>
      <c r="O5044" s="14" t="str">
        <f>HYPERLINK("https://otsuka-europe-crm.veevavault.com/ui/#object/email_activity__v/V8C00000003P797", "EN-002091095")</f>
        <v>EN-002091095</v>
      </c>
    </row>
    <row r="5045" spans="1:15" ht="32" x14ac:dyDescent="0.2">
      <c r="A5045" s="7" t="str">
        <f>HYPERLINK("https://otsuka-europe-crm.veevavault.com/ui/#object/account__v/V4TZ06G6O71TLEP", "SIMONA PENATI")</f>
        <v>SIMONA PENATI</v>
      </c>
      <c r="B5045" s="7" t="str">
        <f t="shared" si="544"/>
        <v>IT</v>
      </c>
      <c r="C5045" s="8" t="s">
        <v>44</v>
      </c>
      <c r="D5045" s="9" t="str">
        <f t="shared" si="545"/>
        <v>AE dialoghi di tempo fiducia e cura episodi 2-3-4</v>
      </c>
      <c r="E5045" s="10" t="str">
        <f>HYPERLINK("https://otsuka-europe-crm.veevavault.com/ui/#object/sent_email__v/VBL00000002Q144", "SE-001433813")</f>
        <v>SE-001433813</v>
      </c>
      <c r="F5045" s="11"/>
      <c r="G5045" s="12">
        <v>0</v>
      </c>
      <c r="H5045" s="12">
        <v>0</v>
      </c>
      <c r="I5045" s="12">
        <v>0</v>
      </c>
      <c r="J5045" s="11"/>
      <c r="K5045" s="12">
        <v>0</v>
      </c>
      <c r="L5045" s="10" t="str">
        <f t="shared" si="546"/>
        <v>AE dialoghi di tempo fiducia e cura episodi 2-3-4</v>
      </c>
      <c r="M5045" s="10" t="str">
        <f t="shared" si="547"/>
        <v>nicoletta.vozza@crm.otsuka-europe.com</v>
      </c>
      <c r="N5045" s="13">
        <v>46181.337997685187</v>
      </c>
      <c r="O5045" s="14" t="str">
        <f>HYPERLINK("https://otsuka-europe-crm.veevavault.com/ui/#object/email_activity__v/V8C00000003P618", "EN-002090873")</f>
        <v>EN-002090873</v>
      </c>
    </row>
    <row r="5046" spans="1:15" ht="32" x14ac:dyDescent="0.2">
      <c r="A5046" s="7" t="str">
        <f>HYPERLINK("https://otsuka-europe-crm.veevavault.com/ui/#object/account__v/V4TZ06G6O71SCAT", "SIMONA SALVATI")</f>
        <v>SIMONA SALVATI</v>
      </c>
      <c r="B5046" s="7" t="str">
        <f t="shared" si="544"/>
        <v>IT</v>
      </c>
      <c r="C5046" s="8" t="s">
        <v>44</v>
      </c>
      <c r="D5046" s="9" t="str">
        <f t="shared" si="545"/>
        <v>AE dialoghi di tempo fiducia e cura episodi 2-3-4</v>
      </c>
      <c r="E5046" s="10" t="str">
        <f>HYPERLINK("https://otsuka-europe-crm.veevavault.com/ui/#object/sent_email__v/VBL00000002Q145", "SE-001433814")</f>
        <v>SE-001433814</v>
      </c>
      <c r="F5046" s="11"/>
      <c r="G5046" s="12">
        <v>0</v>
      </c>
      <c r="H5046" s="12">
        <v>0</v>
      </c>
      <c r="I5046" s="12">
        <v>0</v>
      </c>
      <c r="J5046" s="11"/>
      <c r="K5046" s="12">
        <v>0</v>
      </c>
      <c r="L5046" s="10" t="str">
        <f t="shared" si="546"/>
        <v>AE dialoghi di tempo fiducia e cura episodi 2-3-4</v>
      </c>
      <c r="M5046" s="10" t="str">
        <f t="shared" si="547"/>
        <v>nicoletta.vozza@crm.otsuka-europe.com</v>
      </c>
      <c r="N5046" s="13">
        <v>46181.337962962964</v>
      </c>
      <c r="O5046" s="14" t="str">
        <f>HYPERLINK("https://otsuka-europe-crm.veevavault.com/ui/#object/email_activity__v/V8C00000003Q240", "EN-002091346")</f>
        <v>EN-002091346</v>
      </c>
    </row>
    <row r="5047" spans="1:15" ht="32" x14ac:dyDescent="0.2">
      <c r="A5047" s="7" t="str">
        <f>HYPERLINK("https://otsuka-europe-crm.veevavault.com/ui/#object/account__v/V4TZ025E87U1405", "SIMONE CATTEDRA")</f>
        <v>SIMONE CATTEDRA</v>
      </c>
      <c r="B5047" s="7" t="str">
        <f t="shared" si="544"/>
        <v>IT</v>
      </c>
      <c r="C5047" s="8" t="s">
        <v>44</v>
      </c>
      <c r="D5047" s="9" t="str">
        <f t="shared" si="545"/>
        <v>AE dialoghi di tempo fiducia e cura episodi 2-3-4</v>
      </c>
      <c r="E5047" s="10" t="str">
        <f>HYPERLINK("https://otsuka-europe-crm.veevavault.com/ui/#object/sent_email__v/VBL00000002Q146", "SE-001433815")</f>
        <v>SE-001433815</v>
      </c>
      <c r="F5047" s="11"/>
      <c r="G5047" s="12">
        <v>0</v>
      </c>
      <c r="H5047" s="12">
        <v>0</v>
      </c>
      <c r="I5047" s="12">
        <v>0</v>
      </c>
      <c r="J5047" s="11"/>
      <c r="K5047" s="12">
        <v>0</v>
      </c>
      <c r="L5047" s="10" t="str">
        <f t="shared" si="546"/>
        <v>AE dialoghi di tempo fiducia e cura episodi 2-3-4</v>
      </c>
      <c r="M5047" s="10" t="str">
        <f t="shared" si="547"/>
        <v>nicoletta.vozza@crm.otsuka-europe.com</v>
      </c>
      <c r="N5047" s="13">
        <v>46181.33798611111</v>
      </c>
      <c r="O5047" s="14" t="str">
        <f>HYPERLINK("https://otsuka-europe-crm.veevavault.com/ui/#object/email_activity__v/V8C00000003P556", "EN-002090811")</f>
        <v>EN-002090811</v>
      </c>
    </row>
    <row r="5048" spans="1:15" ht="32" x14ac:dyDescent="0.2">
      <c r="A5048" s="7" t="str">
        <f>HYPERLINK("https://otsuka-europe-crm.veevavault.com/ui/#object/account__v/V4TZ06G6O71SBP9", "SIMONE NOVELLI")</f>
        <v>SIMONE NOVELLI</v>
      </c>
      <c r="B5048" s="7" t="str">
        <f t="shared" si="544"/>
        <v>IT</v>
      </c>
      <c r="C5048" s="8" t="s">
        <v>44</v>
      </c>
      <c r="D5048" s="9" t="str">
        <f t="shared" si="545"/>
        <v>AE dialoghi di tempo fiducia e cura episodi 2-3-4</v>
      </c>
      <c r="E5048" s="10" t="str">
        <f>HYPERLINK("https://otsuka-europe-crm.veevavault.com/ui/#object/sent_email__v/VBL00000002Q147", "SE-001433816")</f>
        <v>SE-001433816</v>
      </c>
      <c r="F5048" s="11"/>
      <c r="G5048" s="12">
        <v>0</v>
      </c>
      <c r="H5048" s="12">
        <v>0</v>
      </c>
      <c r="I5048" s="12">
        <v>0</v>
      </c>
      <c r="J5048" s="11"/>
      <c r="K5048" s="12">
        <v>0</v>
      </c>
      <c r="L5048" s="10" t="str">
        <f t="shared" si="546"/>
        <v>AE dialoghi di tempo fiducia e cura episodi 2-3-4</v>
      </c>
      <c r="M5048" s="10" t="str">
        <f t="shared" si="547"/>
        <v>nicoletta.vozza@crm.otsuka-europe.com</v>
      </c>
      <c r="N5048" s="13">
        <v>46181.33798611111</v>
      </c>
      <c r="O5048" s="14" t="str">
        <f>HYPERLINK("https://otsuka-europe-crm.veevavault.com/ui/#object/email_activity__v/V8C00000003Q194", "EN-002091299")</f>
        <v>EN-002091299</v>
      </c>
    </row>
    <row r="5049" spans="1:15" ht="32" x14ac:dyDescent="0.2">
      <c r="A5049" s="7" t="str">
        <f>HYPERLINK("https://otsuka-europe-crm.veevavault.com/ui/#object/account__v/V4TZ06G6O71SBMZ", "SIMONETTA MONTESI")</f>
        <v>SIMONETTA MONTESI</v>
      </c>
      <c r="B5049" s="7" t="str">
        <f t="shared" si="544"/>
        <v>IT</v>
      </c>
      <c r="C5049" s="8" t="s">
        <v>44</v>
      </c>
      <c r="D5049" s="9" t="str">
        <f t="shared" si="545"/>
        <v>AE dialoghi di tempo fiducia e cura episodi 2-3-4</v>
      </c>
      <c r="E5049" s="10" t="str">
        <f>HYPERLINK("https://otsuka-europe-crm.veevavault.com/ui/#object/sent_email__v/VBL00000002Q148", "SE-001433817")</f>
        <v>SE-001433817</v>
      </c>
      <c r="F5049" s="11"/>
      <c r="G5049" s="12">
        <v>0</v>
      </c>
      <c r="H5049" s="12">
        <v>0</v>
      </c>
      <c r="I5049" s="12">
        <v>0</v>
      </c>
      <c r="J5049" s="11"/>
      <c r="K5049" s="12">
        <v>0</v>
      </c>
      <c r="L5049" s="10" t="str">
        <f t="shared" si="546"/>
        <v>AE dialoghi di tempo fiducia e cura episodi 2-3-4</v>
      </c>
      <c r="M5049" s="10" t="str">
        <f t="shared" si="547"/>
        <v>nicoletta.vozza@crm.otsuka-europe.com</v>
      </c>
      <c r="N5049" s="13">
        <v>46181.338055555556</v>
      </c>
      <c r="O5049" s="14" t="str">
        <f>HYPERLINK("https://otsuka-europe-crm.veevavault.com/ui/#object/email_activity__v/V8C00000003Q197", "EN-002091302")</f>
        <v>EN-002091302</v>
      </c>
    </row>
    <row r="5050" spans="1:15" ht="32" x14ac:dyDescent="0.2">
      <c r="A5050" s="7" t="str">
        <f>HYPERLINK("https://otsuka-europe-crm.veevavault.com/ui/#object/account__v/V4TZ06G6O71SA2G", "SIRO BARBONI")</f>
        <v>SIRO BARBONI</v>
      </c>
      <c r="B5050" s="7" t="str">
        <f t="shared" si="544"/>
        <v>IT</v>
      </c>
      <c r="C5050" s="8" t="s">
        <v>44</v>
      </c>
      <c r="D5050" s="9" t="str">
        <f t="shared" si="545"/>
        <v>AE dialoghi di tempo fiducia e cura episodi 2-3-4</v>
      </c>
      <c r="E5050" s="10" t="str">
        <f>HYPERLINK("https://otsuka-europe-crm.veevavault.com/ui/#object/sent_email__v/VBL00000002Q149", "SE-001433818")</f>
        <v>SE-001433818</v>
      </c>
      <c r="F5050" s="11"/>
      <c r="G5050" s="12">
        <v>0</v>
      </c>
      <c r="H5050" s="12">
        <v>0</v>
      </c>
      <c r="I5050" s="12">
        <v>0</v>
      </c>
      <c r="J5050" s="11"/>
      <c r="K5050" s="12">
        <v>0</v>
      </c>
      <c r="L5050" s="10" t="str">
        <f t="shared" si="546"/>
        <v>AE dialoghi di tempo fiducia e cura episodi 2-3-4</v>
      </c>
      <c r="M5050" s="10" t="str">
        <f t="shared" si="547"/>
        <v>nicoletta.vozza@crm.otsuka-europe.com</v>
      </c>
      <c r="N5050" s="13">
        <v>46181.33797453704</v>
      </c>
      <c r="O5050" s="14" t="str">
        <f>HYPERLINK("https://otsuka-europe-crm.veevavault.com/ui/#object/email_activity__v/V8C00000003P148", "EN-002089548")</f>
        <v>EN-002089548</v>
      </c>
    </row>
    <row r="5051" spans="1:15" ht="32" x14ac:dyDescent="0.2">
      <c r="A5051" s="7" t="str">
        <f>HYPERLINK("https://otsuka-europe-crm.veevavault.com/ui/#object/account__v/V4TZ06G6O71SASB", "SOCRATES CHARITOS")</f>
        <v>SOCRATES CHARITOS</v>
      </c>
      <c r="B5051" s="7" t="str">
        <f t="shared" si="544"/>
        <v>IT</v>
      </c>
      <c r="C5051" s="8" t="s">
        <v>44</v>
      </c>
      <c r="D5051" s="9" t="str">
        <f t="shared" si="545"/>
        <v>AE dialoghi di tempo fiducia e cura episodi 2-3-4</v>
      </c>
      <c r="E5051" s="10" t="str">
        <f>HYPERLINK("https://otsuka-europe-crm.veevavault.com/ui/#object/sent_email__v/VBL00000002Q150", "SE-001433819")</f>
        <v>SE-001433819</v>
      </c>
      <c r="F5051" s="11"/>
      <c r="G5051" s="12">
        <v>0</v>
      </c>
      <c r="H5051" s="12">
        <v>0</v>
      </c>
      <c r="I5051" s="12">
        <v>0</v>
      </c>
      <c r="J5051" s="11"/>
      <c r="K5051" s="12">
        <v>0</v>
      </c>
      <c r="L5051" s="10" t="str">
        <f t="shared" si="546"/>
        <v>AE dialoghi di tempo fiducia e cura episodi 2-3-4</v>
      </c>
      <c r="M5051" s="10" t="str">
        <f t="shared" si="547"/>
        <v>nicoletta.vozza@crm.otsuka-europe.com</v>
      </c>
      <c r="N5051" s="13">
        <v>46181.33797453704</v>
      </c>
      <c r="O5051" s="14" t="str">
        <f>HYPERLINK("https://otsuka-europe-crm.veevavault.com/ui/#object/email_activity__v/V8C00000003O350", "EN-002089868")</f>
        <v>EN-002089868</v>
      </c>
    </row>
    <row r="5052" spans="1:15" ht="32" x14ac:dyDescent="0.2">
      <c r="A5052" s="7" t="str">
        <f>HYPERLINK("https://otsuka-europe-crm.veevavault.com/ui/#object/account__v/V4TZ025E83WWU1B", "SOFIA PACINI BIAGIOTTI")</f>
        <v>SOFIA PACINI BIAGIOTTI</v>
      </c>
      <c r="B5052" s="7" t="str">
        <f t="shared" si="544"/>
        <v>IT</v>
      </c>
      <c r="C5052" s="8" t="s">
        <v>44</v>
      </c>
      <c r="D5052" s="9" t="str">
        <f t="shared" si="545"/>
        <v>AE dialoghi di tempo fiducia e cura episodi 2-3-4</v>
      </c>
      <c r="E5052" s="10" t="str">
        <f>HYPERLINK("https://otsuka-europe-crm.veevavault.com/ui/#object/sent_email__v/VBL00000002Q151", "SE-001433820")</f>
        <v>SE-001433820</v>
      </c>
      <c r="F5052" s="11"/>
      <c r="G5052" s="12">
        <v>0</v>
      </c>
      <c r="H5052" s="12">
        <v>0</v>
      </c>
      <c r="I5052" s="12">
        <v>0</v>
      </c>
      <c r="J5052" s="11"/>
      <c r="K5052" s="12">
        <v>0</v>
      </c>
      <c r="L5052" s="10" t="str">
        <f t="shared" si="546"/>
        <v>AE dialoghi di tempo fiducia e cura episodi 2-3-4</v>
      </c>
      <c r="M5052" s="10" t="str">
        <f t="shared" si="547"/>
        <v>nicoletta.vozza@crm.otsuka-europe.com</v>
      </c>
      <c r="N5052" s="13">
        <v>46181.338993055557</v>
      </c>
      <c r="O5052" s="14" t="str">
        <f>HYPERLINK("https://otsuka-europe-crm.veevavault.com/ui/#object/email_activity__v/V8C00000003Q223", "EN-002091329")</f>
        <v>EN-002091329</v>
      </c>
    </row>
    <row r="5053" spans="1:15" ht="32" x14ac:dyDescent="0.2">
      <c r="A5053" s="7" t="str">
        <f>HYPERLINK("https://otsuka-europe-crm.veevavault.com/ui/#object/account__v/V4TZ04ASGDP8EGR", "SOLARIA FAVALE")</f>
        <v>SOLARIA FAVALE</v>
      </c>
      <c r="B5053" s="7" t="str">
        <f t="shared" si="544"/>
        <v>IT</v>
      </c>
      <c r="C5053" s="8" t="s">
        <v>44</v>
      </c>
      <c r="D5053" s="9" t="str">
        <f t="shared" si="545"/>
        <v>AE dialoghi di tempo fiducia e cura episodi 2-3-4</v>
      </c>
      <c r="E5053" s="10" t="str">
        <f>HYPERLINK("https://otsuka-europe-crm.veevavault.com/ui/#object/sent_email__v/VBL00000002Q152", "SE-001433821")</f>
        <v>SE-001433821</v>
      </c>
      <c r="F5053" s="11"/>
      <c r="G5053" s="12">
        <v>0</v>
      </c>
      <c r="H5053" s="12">
        <v>0</v>
      </c>
      <c r="I5053" s="12">
        <v>0</v>
      </c>
      <c r="J5053" s="11"/>
      <c r="K5053" s="12">
        <v>0</v>
      </c>
      <c r="L5053" s="10" t="str">
        <f t="shared" si="546"/>
        <v>AE dialoghi di tempo fiducia e cura episodi 2-3-4</v>
      </c>
      <c r="M5053" s="10" t="str">
        <f t="shared" si="547"/>
        <v>nicoletta.vozza@crm.otsuka-europe.com</v>
      </c>
      <c r="N5053" s="13">
        <v>46181.337997685187</v>
      </c>
      <c r="O5053" s="14" t="str">
        <f>HYPERLINK("https://otsuka-europe-crm.veevavault.com/ui/#object/email_activity__v/V8C00000003P334", "EN-002090340")</f>
        <v>EN-002090340</v>
      </c>
    </row>
    <row r="5054" spans="1:15" ht="32" x14ac:dyDescent="0.2">
      <c r="A5054" s="7" t="str">
        <f>HYPERLINK("https://otsuka-europe-crm.veevavault.com/ui/#object/account__v/V4TZ025E82XQXI3", "SONIA BOGGIO")</f>
        <v>SONIA BOGGIO</v>
      </c>
      <c r="B5054" s="7" t="str">
        <f t="shared" si="544"/>
        <v>IT</v>
      </c>
      <c r="C5054" s="8" t="s">
        <v>44</v>
      </c>
      <c r="D5054" s="9" t="str">
        <f t="shared" si="545"/>
        <v>AE dialoghi di tempo fiducia e cura episodi 2-3-4</v>
      </c>
      <c r="E5054" s="10" t="str">
        <f>HYPERLINK("https://otsuka-europe-crm.veevavault.com/ui/#object/sent_email__v/VBL00000002Q153", "SE-001433822")</f>
        <v>SE-001433822</v>
      </c>
      <c r="F5054" s="11"/>
      <c r="G5054" s="12">
        <v>0</v>
      </c>
      <c r="H5054" s="12">
        <v>0</v>
      </c>
      <c r="I5054" s="12">
        <v>0</v>
      </c>
      <c r="J5054" s="11"/>
      <c r="K5054" s="12">
        <v>0</v>
      </c>
      <c r="L5054" s="10" t="str">
        <f t="shared" si="546"/>
        <v>AE dialoghi di tempo fiducia e cura episodi 2-3-4</v>
      </c>
      <c r="M5054" s="10" t="str">
        <f t="shared" si="547"/>
        <v>nicoletta.vozza@crm.otsuka-europe.com</v>
      </c>
      <c r="N5054" s="13">
        <v>46181.337905092594</v>
      </c>
      <c r="O5054" s="15"/>
    </row>
    <row r="5055" spans="1:15" ht="32" x14ac:dyDescent="0.2">
      <c r="A5055" s="7" t="str">
        <f>HYPERLINK("https://otsuka-europe-crm.veevavault.com/ui/#object/account__v/V4TZ025E85AMF9P", "SONIA GINERSIO")</f>
        <v>SONIA GINERSIO</v>
      </c>
      <c r="B5055" s="7" t="str">
        <f t="shared" si="544"/>
        <v>IT</v>
      </c>
      <c r="C5055" s="8" t="s">
        <v>44</v>
      </c>
      <c r="D5055" s="9" t="str">
        <f t="shared" si="545"/>
        <v>AE dialoghi di tempo fiducia e cura episodi 2-3-4</v>
      </c>
      <c r="E5055" s="10" t="str">
        <f>HYPERLINK("https://otsuka-europe-crm.veevavault.com/ui/#object/sent_email__v/VBL00000002Q154", "SE-001433823")</f>
        <v>SE-001433823</v>
      </c>
      <c r="F5055" s="11"/>
      <c r="G5055" s="12">
        <v>0</v>
      </c>
      <c r="H5055" s="12">
        <v>0</v>
      </c>
      <c r="I5055" s="12">
        <v>0</v>
      </c>
      <c r="J5055" s="11"/>
      <c r="K5055" s="12">
        <v>0</v>
      </c>
      <c r="L5055" s="10" t="str">
        <f t="shared" si="546"/>
        <v>AE dialoghi di tempo fiducia e cura episodi 2-3-4</v>
      </c>
      <c r="M5055" s="10" t="str">
        <f t="shared" si="547"/>
        <v>nicoletta.vozza@crm.otsuka-europe.com</v>
      </c>
      <c r="N5055" s="13">
        <v>46181.338009259256</v>
      </c>
      <c r="O5055" s="14" t="str">
        <f>HYPERLINK("https://otsuka-europe-crm.veevavault.com/ui/#object/email_activity__v/V8C00000003O704", "EN-002090260")</f>
        <v>EN-002090260</v>
      </c>
    </row>
    <row r="5056" spans="1:15" ht="32" x14ac:dyDescent="0.2">
      <c r="A5056" s="7" t="str">
        <f>HYPERLINK("https://otsuka-europe-crm.veevavault.com/ui/#object/account__v/V4TZ06G6O71SAVY", "SONIA GIULIANI")</f>
        <v>SONIA GIULIANI</v>
      </c>
      <c r="B5056" s="7" t="str">
        <f t="shared" si="544"/>
        <v>IT</v>
      </c>
      <c r="C5056" s="8" t="s">
        <v>44</v>
      </c>
      <c r="D5056" s="9" t="str">
        <f t="shared" si="545"/>
        <v>AE dialoghi di tempo fiducia e cura episodi 2-3-4</v>
      </c>
      <c r="E5056" s="10" t="str">
        <f>HYPERLINK("https://otsuka-europe-crm.veevavault.com/ui/#object/sent_email__v/VBL00000002Q155", "SE-001433824")</f>
        <v>SE-001433824</v>
      </c>
      <c r="F5056" s="11"/>
      <c r="G5056" s="12">
        <v>0</v>
      </c>
      <c r="H5056" s="12">
        <v>0</v>
      </c>
      <c r="I5056" s="12">
        <v>0</v>
      </c>
      <c r="J5056" s="11"/>
      <c r="K5056" s="12">
        <v>0</v>
      </c>
      <c r="L5056" s="10" t="str">
        <f t="shared" si="546"/>
        <v>AE dialoghi di tempo fiducia e cura episodi 2-3-4</v>
      </c>
      <c r="M5056" s="10" t="str">
        <f t="shared" si="547"/>
        <v>nicoletta.vozza@crm.otsuka-europe.com</v>
      </c>
      <c r="N5056" s="13">
        <v>46181.339074074072</v>
      </c>
      <c r="O5056" s="14" t="str">
        <f>HYPERLINK("https://otsuka-europe-crm.veevavault.com/ui/#object/email_activity__v/V8C00000003Q241", "EN-002091347")</f>
        <v>EN-002091347</v>
      </c>
    </row>
    <row r="5057" spans="1:15" ht="32" x14ac:dyDescent="0.2">
      <c r="A5057" s="7" t="str">
        <f>HYPERLINK("https://otsuka-europe-crm.veevavault.com/ui/#object/account__v/V4TZ04ASGB9IGIL", "SPYRIDON ZOTOS")</f>
        <v>SPYRIDON ZOTOS</v>
      </c>
      <c r="B5057" s="7" t="str">
        <f t="shared" si="544"/>
        <v>IT</v>
      </c>
      <c r="C5057" s="8" t="s">
        <v>44</v>
      </c>
      <c r="D5057" s="9" t="str">
        <f t="shared" si="545"/>
        <v>AE dialoghi di tempo fiducia e cura episodi 2-3-4</v>
      </c>
      <c r="E5057" s="10" t="str">
        <f>HYPERLINK("https://otsuka-europe-crm.veevavault.com/ui/#object/sent_email__v/VBL00000002Q156", "SE-001433825")</f>
        <v>SE-001433825</v>
      </c>
      <c r="F5057" s="11"/>
      <c r="G5057" s="12">
        <v>0</v>
      </c>
      <c r="H5057" s="12">
        <v>0</v>
      </c>
      <c r="I5057" s="12">
        <v>0</v>
      </c>
      <c r="J5057" s="11"/>
      <c r="K5057" s="12">
        <v>0</v>
      </c>
      <c r="L5057" s="10" t="str">
        <f t="shared" si="546"/>
        <v>AE dialoghi di tempo fiducia e cura episodi 2-3-4</v>
      </c>
      <c r="M5057" s="10" t="str">
        <f t="shared" si="547"/>
        <v>nicoletta.vozza@crm.otsuka-europe.com</v>
      </c>
      <c r="N5057" s="13">
        <v>46181.337997685187</v>
      </c>
      <c r="O5057" s="14" t="str">
        <f>HYPERLINK("https://otsuka-europe-crm.veevavault.com/ui/#object/email_activity__v/V8C00000003P229", "EN-002089675")</f>
        <v>EN-002089675</v>
      </c>
    </row>
    <row r="5058" spans="1:15" ht="32" x14ac:dyDescent="0.2">
      <c r="A5058" s="7" t="str">
        <f>HYPERLINK("https://otsuka-europe-crm.veevavault.com/ui/#object/account__v/V4TZ06G6O71SA0Z", "STEFANIA BERGESE")</f>
        <v>STEFANIA BERGESE</v>
      </c>
      <c r="B5058" s="7" t="str">
        <f t="shared" si="544"/>
        <v>IT</v>
      </c>
      <c r="C5058" s="8" t="s">
        <v>44</v>
      </c>
      <c r="D5058" s="9" t="str">
        <f t="shared" si="545"/>
        <v>AE dialoghi di tempo fiducia e cura episodi 2-3-4</v>
      </c>
      <c r="E5058" s="10" t="str">
        <f>HYPERLINK("https://otsuka-europe-crm.veevavault.com/ui/#object/sent_email__v/VBL00000002Q157", "SE-001433826")</f>
        <v>SE-001433826</v>
      </c>
      <c r="F5058" s="11"/>
      <c r="G5058" s="12">
        <v>0</v>
      </c>
      <c r="H5058" s="12">
        <v>0</v>
      </c>
      <c r="I5058" s="12">
        <v>0</v>
      </c>
      <c r="J5058" s="11"/>
      <c r="K5058" s="12">
        <v>0</v>
      </c>
      <c r="L5058" s="10" t="str">
        <f t="shared" si="546"/>
        <v>AE dialoghi di tempo fiducia e cura episodi 2-3-4</v>
      </c>
      <c r="M5058" s="10" t="str">
        <f t="shared" si="547"/>
        <v>nicoletta.vozza@crm.otsuka-europe.com</v>
      </c>
      <c r="N5058" s="13">
        <v>46181.338020833333</v>
      </c>
      <c r="O5058" s="14" t="str">
        <f>HYPERLINK("https://otsuka-europe-crm.veevavault.com/ui/#object/email_activity__v/V8C00000003P470", "EN-002090698")</f>
        <v>EN-002090698</v>
      </c>
    </row>
    <row r="5059" spans="1:15" ht="32" x14ac:dyDescent="0.2">
      <c r="A5059" s="7" t="str">
        <f>HYPERLINK("https://otsuka-europe-crm.veevavault.com/ui/#object/account__v/V4TZ06G6O71S9FF", "STEFANIA CARUSO")</f>
        <v>STEFANIA CARUSO</v>
      </c>
      <c r="B5059" s="7" t="str">
        <f t="shared" si="544"/>
        <v>IT</v>
      </c>
      <c r="C5059" s="8" t="s">
        <v>44</v>
      </c>
      <c r="D5059" s="9" t="str">
        <f t="shared" si="545"/>
        <v>AE dialoghi di tempo fiducia e cura episodi 2-3-4</v>
      </c>
      <c r="E5059" s="10" t="str">
        <f>HYPERLINK("https://otsuka-europe-crm.veevavault.com/ui/#object/sent_email__v/VBL00000002Q158", "SE-001433827")</f>
        <v>SE-001433827</v>
      </c>
      <c r="F5059" s="11"/>
      <c r="G5059" s="12">
        <v>0</v>
      </c>
      <c r="H5059" s="12">
        <v>0</v>
      </c>
      <c r="I5059" s="12">
        <v>0</v>
      </c>
      <c r="J5059" s="11"/>
      <c r="K5059" s="12">
        <v>0</v>
      </c>
      <c r="L5059" s="10" t="str">
        <f t="shared" si="546"/>
        <v>AE dialoghi di tempo fiducia e cura episodi 2-3-4</v>
      </c>
      <c r="M5059" s="10" t="str">
        <f t="shared" si="547"/>
        <v>nicoletta.vozza@crm.otsuka-europe.com</v>
      </c>
      <c r="N5059" s="13">
        <v>46181.337997685187</v>
      </c>
      <c r="O5059" s="14" t="str">
        <f>HYPERLINK("https://otsuka-europe-crm.veevavault.com/ui/#object/email_activity__v/V8C00000003O644", "EN-002090200")</f>
        <v>EN-002090200</v>
      </c>
    </row>
    <row r="5060" spans="1:15" ht="16" x14ac:dyDescent="0.2">
      <c r="A5060" s="17" t="str">
        <f>HYPERLINK("https://otsuka-europe-crm.veevavault.com/ui/#object/account__v/V4TZ06G6O71S9IP", "STEFANIA CHIAPPINI")</f>
        <v>STEFANIA CHIAPPINI</v>
      </c>
      <c r="B5060" s="17" t="str">
        <f t="shared" si="544"/>
        <v>IT</v>
      </c>
      <c r="C5060" s="20" t="s">
        <v>44</v>
      </c>
      <c r="D5060" s="21" t="str">
        <f t="shared" si="545"/>
        <v>AE dialoghi di tempo fiducia e cura episodi 2-3-4</v>
      </c>
      <c r="E5060" s="22" t="str">
        <f>HYPERLINK("https://otsuka-europe-crm.veevavault.com/ui/#object/sent_email__v/VBL00000002Q159", "SE-001433828")</f>
        <v>SE-001433828</v>
      </c>
      <c r="F5060" s="23">
        <v>46181.338194444441</v>
      </c>
      <c r="G5060" s="24">
        <v>1</v>
      </c>
      <c r="H5060" s="24">
        <v>1</v>
      </c>
      <c r="I5060" s="24">
        <v>0</v>
      </c>
      <c r="J5060" s="25"/>
      <c r="K5060" s="24">
        <v>0</v>
      </c>
      <c r="L5060" s="22" t="str">
        <f t="shared" si="546"/>
        <v>AE dialoghi di tempo fiducia e cura episodi 2-3-4</v>
      </c>
      <c r="M5060" s="22" t="str">
        <f t="shared" si="547"/>
        <v>nicoletta.vozza@crm.otsuka-europe.com</v>
      </c>
      <c r="N5060" s="23">
        <v>46181.33803240741</v>
      </c>
      <c r="O5060" s="14" t="str">
        <f>HYPERLINK("https://otsuka-europe-crm.veevavault.com/ui/#object/email_activity__v/V8C00000003O574", "EN-002090130")</f>
        <v>EN-002090130</v>
      </c>
    </row>
    <row r="5061" spans="1:15" ht="16" x14ac:dyDescent="0.2">
      <c r="A5061" s="19"/>
      <c r="B5061" s="19"/>
      <c r="C5061" s="19"/>
      <c r="D5061" s="19"/>
      <c r="E5061" s="19"/>
      <c r="F5061" s="19"/>
      <c r="G5061" s="19"/>
      <c r="H5061" s="19"/>
      <c r="I5061" s="19"/>
      <c r="J5061" s="19"/>
      <c r="K5061" s="19"/>
      <c r="L5061" s="19"/>
      <c r="M5061" s="19"/>
      <c r="N5061" s="19"/>
      <c r="O5061" s="14" t="str">
        <f>HYPERLINK("https://otsuka-europe-crm.veevavault.com/ui/#object/email_activity__v/V8C00000003P845", "EN-002091231")</f>
        <v>EN-002091231</v>
      </c>
    </row>
    <row r="5062" spans="1:15" ht="32" x14ac:dyDescent="0.2">
      <c r="A5062" s="7" t="str">
        <f>HYPERLINK("https://otsuka-europe-crm.veevavault.com/ui/#object/account__v/V4TZ06G6OBUFSNB", "STEFANIA DE SIMONE")</f>
        <v>STEFANIA DE SIMONE</v>
      </c>
      <c r="B5062" s="7" t="str">
        <f>HYPERLINK("https://otsuka-europe-crm.veevavault.com/ui/#object/vcountry__v/VENZ000004SONFQ", "IT")</f>
        <v>IT</v>
      </c>
      <c r="C5062" s="8" t="s">
        <v>44</v>
      </c>
      <c r="D5062" s="9" t="str">
        <f>HYPERLINK("https://otsuka-europe-crm.veevavault.com/ui/#object/approved_document__v/V5O000000018003", "AE dialoghi di tempo fiducia e cura episodi 2-3-4")</f>
        <v>AE dialoghi di tempo fiducia e cura episodi 2-3-4</v>
      </c>
      <c r="E5062" s="10" t="str">
        <f>HYPERLINK("https://otsuka-europe-crm.veevavault.com/ui/#object/sent_email__v/VBL00000002Q160", "SE-001433829")</f>
        <v>SE-001433829</v>
      </c>
      <c r="F5062" s="11"/>
      <c r="G5062" s="12">
        <v>0</v>
      </c>
      <c r="H5062" s="12">
        <v>0</v>
      </c>
      <c r="I5062" s="12">
        <v>0</v>
      </c>
      <c r="J5062" s="11"/>
      <c r="K5062" s="12">
        <v>0</v>
      </c>
      <c r="L5062" s="10" t="str">
        <f>HYPERLINK("https://otsuka-europe-crm.veevavault.com/ui/#object/approved_document__v/V5O000000018003", "AE dialoghi di tempo fiducia e cura episodi 2-3-4")</f>
        <v>AE dialoghi di tempo fiducia e cura episodi 2-3-4</v>
      </c>
      <c r="M5062" s="10" t="str">
        <f>HYPERLINK("mailto:nicoletta.vozza@crm.otsuka-europe.com", "nicoletta.vozza@crm.otsuka-europe.com")</f>
        <v>nicoletta.vozza@crm.otsuka-europe.com</v>
      </c>
      <c r="N5062" s="13">
        <v>46181.337997685187</v>
      </c>
      <c r="O5062" s="14" t="str">
        <f>HYPERLINK("https://otsuka-europe-crm.veevavault.com/ui/#object/email_activity__v/V8C00000003O507", "EN-002090063")</f>
        <v>EN-002090063</v>
      </c>
    </row>
    <row r="5063" spans="1:15" ht="32" x14ac:dyDescent="0.2">
      <c r="A5063" s="7" t="str">
        <f>HYPERLINK("https://otsuka-europe-crm.veevavault.com/ui/#object/account__v/V4TZ06G6O71S9UM", "STEFANIA DI GIACOMO")</f>
        <v>STEFANIA DI GIACOMO</v>
      </c>
      <c r="B5063" s="7" t="str">
        <f>HYPERLINK("https://otsuka-europe-crm.veevavault.com/ui/#object/vcountry__v/VENZ000004SONFQ", "IT")</f>
        <v>IT</v>
      </c>
      <c r="C5063" s="8" t="s">
        <v>44</v>
      </c>
      <c r="D5063" s="9" t="str">
        <f>HYPERLINK("https://otsuka-europe-crm.veevavault.com/ui/#object/approved_document__v/V5O000000018003", "AE dialoghi di tempo fiducia e cura episodi 2-3-4")</f>
        <v>AE dialoghi di tempo fiducia e cura episodi 2-3-4</v>
      </c>
      <c r="E5063" s="10" t="str">
        <f>HYPERLINK("https://otsuka-europe-crm.veevavault.com/ui/#object/sent_email__v/VBL00000002Q161", "SE-001433830")</f>
        <v>SE-001433830</v>
      </c>
      <c r="F5063" s="11"/>
      <c r="G5063" s="12">
        <v>0</v>
      </c>
      <c r="H5063" s="12">
        <v>0</v>
      </c>
      <c r="I5063" s="12">
        <v>0</v>
      </c>
      <c r="J5063" s="11"/>
      <c r="K5063" s="12">
        <v>0</v>
      </c>
      <c r="L5063" s="10" t="str">
        <f>HYPERLINK("https://otsuka-europe-crm.veevavault.com/ui/#object/approved_document__v/V5O000000018003", "AE dialoghi di tempo fiducia e cura episodi 2-3-4")</f>
        <v>AE dialoghi di tempo fiducia e cura episodi 2-3-4</v>
      </c>
      <c r="M5063" s="10" t="str">
        <f>HYPERLINK("mailto:nicoletta.vozza@crm.otsuka-europe.com", "nicoletta.vozza@crm.otsuka-europe.com")</f>
        <v>nicoletta.vozza@crm.otsuka-europe.com</v>
      </c>
      <c r="N5063" s="13">
        <v>46181.338067129633</v>
      </c>
      <c r="O5063" s="14" t="str">
        <f>HYPERLINK("https://otsuka-europe-crm.veevavault.com/ui/#object/email_activity__v/V8C00000003O731", "EN-002090287")</f>
        <v>EN-002090287</v>
      </c>
    </row>
    <row r="5064" spans="1:15" ht="32" x14ac:dyDescent="0.2">
      <c r="A5064" s="7" t="str">
        <f>HYPERLINK("https://otsuka-europe-crm.veevavault.com/ui/#object/account__v/V4TZ06G6O71SAGC", "STEFANIA DI MARTINO")</f>
        <v>STEFANIA DI MARTINO</v>
      </c>
      <c r="B5064" s="7" t="str">
        <f>HYPERLINK("https://otsuka-europe-crm.veevavault.com/ui/#object/vcountry__v/VENZ000004SONFQ", "IT")</f>
        <v>IT</v>
      </c>
      <c r="C5064" s="8" t="s">
        <v>44</v>
      </c>
      <c r="D5064" s="9" t="str">
        <f>HYPERLINK("https://otsuka-europe-crm.veevavault.com/ui/#object/approved_document__v/V5O000000018003", "AE dialoghi di tempo fiducia e cura episodi 2-3-4")</f>
        <v>AE dialoghi di tempo fiducia e cura episodi 2-3-4</v>
      </c>
      <c r="E5064" s="10" t="str">
        <f>HYPERLINK("https://otsuka-europe-crm.veevavault.com/ui/#object/sent_email__v/VBL00000002Q162", "SE-001433831")</f>
        <v>SE-001433831</v>
      </c>
      <c r="F5064" s="11"/>
      <c r="G5064" s="12">
        <v>0</v>
      </c>
      <c r="H5064" s="12">
        <v>0</v>
      </c>
      <c r="I5064" s="12">
        <v>0</v>
      </c>
      <c r="J5064" s="11"/>
      <c r="K5064" s="12">
        <v>0</v>
      </c>
      <c r="L5064" s="10" t="str">
        <f>HYPERLINK("https://otsuka-europe-crm.veevavault.com/ui/#object/approved_document__v/V5O000000018003", "AE dialoghi di tempo fiducia e cura episodi 2-3-4")</f>
        <v>AE dialoghi di tempo fiducia e cura episodi 2-3-4</v>
      </c>
      <c r="M5064" s="10" t="str">
        <f>HYPERLINK("mailto:nicoletta.vozza@crm.otsuka-europe.com", "nicoletta.vozza@crm.otsuka-europe.com")</f>
        <v>nicoletta.vozza@crm.otsuka-europe.com</v>
      </c>
      <c r="N5064" s="13">
        <v>46181.337997685187</v>
      </c>
      <c r="O5064" s="14" t="str">
        <f>HYPERLINK("https://otsuka-europe-crm.veevavault.com/ui/#object/email_activity__v/V8C00000003O920", "EN-002090580")</f>
        <v>EN-002090580</v>
      </c>
    </row>
    <row r="5065" spans="1:15" ht="16" x14ac:dyDescent="0.2">
      <c r="A5065" s="17" t="str">
        <f>HYPERLINK("https://otsuka-europe-crm.veevavault.com/ui/#object/account__v/V4TZ06G6O71SAPM", "STEFANIA GARRAMONE")</f>
        <v>STEFANIA GARRAMONE</v>
      </c>
      <c r="B5065" s="17" t="str">
        <f>HYPERLINK("https://otsuka-europe-crm.veevavault.com/ui/#object/vcountry__v/VENZ000004SONFQ", "IT")</f>
        <v>IT</v>
      </c>
      <c r="C5065" s="20" t="s">
        <v>44</v>
      </c>
      <c r="D5065" s="21" t="str">
        <f>HYPERLINK("https://otsuka-europe-crm.veevavault.com/ui/#object/approved_document__v/V5O000000018003", "AE dialoghi di tempo fiducia e cura episodi 2-3-4")</f>
        <v>AE dialoghi di tempo fiducia e cura episodi 2-3-4</v>
      </c>
      <c r="E5065" s="22" t="str">
        <f>HYPERLINK("https://otsuka-europe-crm.veevavault.com/ui/#object/sent_email__v/VBL00000002Q163", "SE-001433832")</f>
        <v>SE-001433832</v>
      </c>
      <c r="F5065" s="25"/>
      <c r="G5065" s="24">
        <v>0</v>
      </c>
      <c r="H5065" s="24">
        <v>0</v>
      </c>
      <c r="I5065" s="24">
        <v>0</v>
      </c>
      <c r="J5065" s="25"/>
      <c r="K5065" s="24">
        <v>0</v>
      </c>
      <c r="L5065" s="22" t="str">
        <f>HYPERLINK("https://otsuka-europe-crm.veevavault.com/ui/#object/approved_document__v/V5O000000018003", "AE dialoghi di tempo fiducia e cura episodi 2-3-4")</f>
        <v>AE dialoghi di tempo fiducia e cura episodi 2-3-4</v>
      </c>
      <c r="M5065" s="22" t="str">
        <f>HYPERLINK("mailto:nicoletta.vozza@crm.otsuka-europe.com", "nicoletta.vozza@crm.otsuka-europe.com")</f>
        <v>nicoletta.vozza@crm.otsuka-europe.com</v>
      </c>
      <c r="N5065" s="23">
        <v>46181.338067129633</v>
      </c>
      <c r="O5065" s="14" t="str">
        <f>HYPERLINK("https://otsuka-europe-crm.veevavault.com/ui/#object/email_activity__v/V8C00000003P502", "EN-002090673")</f>
        <v>EN-002090673</v>
      </c>
    </row>
    <row r="5066" spans="1:15" ht="16" x14ac:dyDescent="0.2">
      <c r="A5066" s="19"/>
      <c r="B5066" s="19"/>
      <c r="C5066" s="19"/>
      <c r="D5066" s="19"/>
      <c r="E5066" s="19"/>
      <c r="F5066" s="19"/>
      <c r="G5066" s="19"/>
      <c r="H5066" s="19"/>
      <c r="I5066" s="19"/>
      <c r="J5066" s="19"/>
      <c r="K5066" s="19"/>
      <c r="L5066" s="19"/>
      <c r="M5066" s="19"/>
      <c r="N5066" s="19"/>
      <c r="O5066" s="14" t="str">
        <f>HYPERLINK("https://otsuka-europe-crm.veevavault.com/ui/#object/email_activity__v/V8C00000003Q535", "EN-002091880")</f>
        <v>EN-002091880</v>
      </c>
    </row>
    <row r="5067" spans="1:15" ht="32" x14ac:dyDescent="0.2">
      <c r="A5067" s="7" t="str">
        <f>HYPERLINK("https://otsuka-europe-crm.veevavault.com/ui/#object/account__v/V4TZ04ASGB9N2E8", "STEFANIA LUCANIA")</f>
        <v>STEFANIA LUCANIA</v>
      </c>
      <c r="B5067" s="7" t="str">
        <f>HYPERLINK("https://otsuka-europe-crm.veevavault.com/ui/#object/vcountry__v/VENZ000004SONFQ", "IT")</f>
        <v>IT</v>
      </c>
      <c r="C5067" s="8" t="s">
        <v>44</v>
      </c>
      <c r="D5067" s="9" t="str">
        <f>HYPERLINK("https://otsuka-europe-crm.veevavault.com/ui/#object/approved_document__v/V5O000000018003", "AE dialoghi di tempo fiducia e cura episodi 2-3-4")</f>
        <v>AE dialoghi di tempo fiducia e cura episodi 2-3-4</v>
      </c>
      <c r="E5067" s="10" t="str">
        <f>HYPERLINK("https://otsuka-europe-crm.veevavault.com/ui/#object/sent_email__v/VBL00000002Q164", "SE-001433833")</f>
        <v>SE-001433833</v>
      </c>
      <c r="F5067" s="11"/>
      <c r="G5067" s="12">
        <v>0</v>
      </c>
      <c r="H5067" s="12">
        <v>0</v>
      </c>
      <c r="I5067" s="12">
        <v>0</v>
      </c>
      <c r="J5067" s="11"/>
      <c r="K5067" s="12">
        <v>0</v>
      </c>
      <c r="L5067" s="10" t="str">
        <f>HYPERLINK("https://otsuka-europe-crm.veevavault.com/ui/#object/approved_document__v/V5O000000018003", "AE dialoghi di tempo fiducia e cura episodi 2-3-4")</f>
        <v>AE dialoghi di tempo fiducia e cura episodi 2-3-4</v>
      </c>
      <c r="M5067" s="10" t="str">
        <f>HYPERLINK("mailto:nicoletta.vozza@crm.otsuka-europe.com", "nicoletta.vozza@crm.otsuka-europe.com")</f>
        <v>nicoletta.vozza@crm.otsuka-europe.com</v>
      </c>
      <c r="N5067" s="13">
        <v>46181.338067129633</v>
      </c>
      <c r="O5067" s="14" t="str">
        <f>HYPERLINK("https://otsuka-europe-crm.veevavault.com/ui/#object/email_activity__v/V8C00000003P500", "EN-002090713")</f>
        <v>EN-002090713</v>
      </c>
    </row>
    <row r="5068" spans="1:15" ht="32" x14ac:dyDescent="0.2">
      <c r="A5068" s="7" t="str">
        <f>HYPERLINK("https://otsuka-europe-crm.veevavault.com/ui/#object/account__v/V4TZ06G6O7VSCKH", "STEFANIA RICCIARDI")</f>
        <v>STEFANIA RICCIARDI</v>
      </c>
      <c r="B5068" s="7" t="str">
        <f>HYPERLINK("https://otsuka-europe-crm.veevavault.com/ui/#object/vcountry__v/VENZ000004SONFQ", "IT")</f>
        <v>IT</v>
      </c>
      <c r="C5068" s="8" t="s">
        <v>44</v>
      </c>
      <c r="D5068" s="9" t="str">
        <f>HYPERLINK("https://otsuka-europe-crm.veevavault.com/ui/#object/approved_document__v/V5O000000018003", "AE dialoghi di tempo fiducia e cura episodi 2-3-4")</f>
        <v>AE dialoghi di tempo fiducia e cura episodi 2-3-4</v>
      </c>
      <c r="E5068" s="10" t="str">
        <f>HYPERLINK("https://otsuka-europe-crm.veevavault.com/ui/#object/sent_email__v/VBL00000002Q165", "SE-001433834")</f>
        <v>SE-001433834</v>
      </c>
      <c r="F5068" s="11"/>
      <c r="G5068" s="12">
        <v>0</v>
      </c>
      <c r="H5068" s="12">
        <v>0</v>
      </c>
      <c r="I5068" s="12">
        <v>0</v>
      </c>
      <c r="J5068" s="11"/>
      <c r="K5068" s="12">
        <v>0</v>
      </c>
      <c r="L5068" s="10" t="str">
        <f>HYPERLINK("https://otsuka-europe-crm.veevavault.com/ui/#object/approved_document__v/V5O000000018003", "AE dialoghi di tempo fiducia e cura episodi 2-3-4")</f>
        <v>AE dialoghi di tempo fiducia e cura episodi 2-3-4</v>
      </c>
      <c r="M5068" s="10" t="str">
        <f>HYPERLINK("mailto:nicoletta.vozza@crm.otsuka-europe.com", "nicoletta.vozza@crm.otsuka-europe.com")</f>
        <v>nicoletta.vozza@crm.otsuka-europe.com</v>
      </c>
      <c r="N5068" s="13">
        <v>46181.33803240741</v>
      </c>
      <c r="O5068" s="14" t="str">
        <f>HYPERLINK("https://otsuka-europe-crm.veevavault.com/ui/#object/email_activity__v/V8C00000003Q192", "EN-002091297")</f>
        <v>EN-002091297</v>
      </c>
    </row>
    <row r="5069" spans="1:15" ht="16" x14ac:dyDescent="0.2">
      <c r="A5069" s="17" t="str">
        <f>HYPERLINK("https://otsuka-europe-crm.veevavault.com/ui/#object/account__v/V4TZ06G6O71SC4O", "STEFANIA ROMA")</f>
        <v>STEFANIA ROMA</v>
      </c>
      <c r="B5069" s="17" t="str">
        <f>HYPERLINK("https://otsuka-europe-crm.veevavault.com/ui/#object/vcountry__v/VENZ000004SONFQ", "IT")</f>
        <v>IT</v>
      </c>
      <c r="C5069" s="20" t="s">
        <v>44</v>
      </c>
      <c r="D5069" s="21" t="str">
        <f>HYPERLINK("https://otsuka-europe-crm.veevavault.com/ui/#object/approved_document__v/V5O000000018003", "AE dialoghi di tempo fiducia e cura episodi 2-3-4")</f>
        <v>AE dialoghi di tempo fiducia e cura episodi 2-3-4</v>
      </c>
      <c r="E5069" s="22" t="str">
        <f>HYPERLINK("https://otsuka-europe-crm.veevavault.com/ui/#object/sent_email__v/VBL00000002Q166", "SE-001433835")</f>
        <v>SE-001433835</v>
      </c>
      <c r="F5069" s="25"/>
      <c r="G5069" s="24">
        <v>0</v>
      </c>
      <c r="H5069" s="24">
        <v>0</v>
      </c>
      <c r="I5069" s="24">
        <v>0</v>
      </c>
      <c r="J5069" s="25"/>
      <c r="K5069" s="24">
        <v>0</v>
      </c>
      <c r="L5069" s="22" t="str">
        <f>HYPERLINK("https://otsuka-europe-crm.veevavault.com/ui/#object/approved_document__v/V5O000000018003", "AE dialoghi di tempo fiducia e cura episodi 2-3-4")</f>
        <v>AE dialoghi di tempo fiducia e cura episodi 2-3-4</v>
      </c>
      <c r="M5069" s="22" t="str">
        <f>HYPERLINK("mailto:nicoletta.vozza@crm.otsuka-europe.com", "nicoletta.vozza@crm.otsuka-europe.com")</f>
        <v>nicoletta.vozza@crm.otsuka-europe.com</v>
      </c>
      <c r="N5069" s="23">
        <v>46181.338055555556</v>
      </c>
      <c r="O5069" s="14" t="str">
        <f>HYPERLINK("https://otsuka-europe-crm.veevavault.com/ui/#object/email_activity__v/V8C00000003P806", "EN-002091104")</f>
        <v>EN-002091104</v>
      </c>
    </row>
    <row r="5070" spans="1:15" ht="16" x14ac:dyDescent="0.2">
      <c r="A5070" s="18"/>
      <c r="B5070" s="18"/>
      <c r="C5070" s="18"/>
      <c r="D5070" s="18"/>
      <c r="E5070" s="18"/>
      <c r="F5070" s="18"/>
      <c r="G5070" s="18"/>
      <c r="H5070" s="18"/>
      <c r="I5070" s="18"/>
      <c r="J5070" s="18"/>
      <c r="K5070" s="18"/>
      <c r="L5070" s="18"/>
      <c r="M5070" s="18"/>
      <c r="N5070" s="18"/>
      <c r="O5070" s="14" t="str">
        <f>HYPERLINK("https://otsuka-europe-crm.veevavault.com/ui/#object/email_activity__v/V8C00000003R295", "EN-002092226")</f>
        <v>EN-002092226</v>
      </c>
    </row>
    <row r="5071" spans="1:15" ht="16" x14ac:dyDescent="0.2">
      <c r="A5071" s="18"/>
      <c r="B5071" s="18"/>
      <c r="C5071" s="18"/>
      <c r="D5071" s="18"/>
      <c r="E5071" s="18"/>
      <c r="F5071" s="18"/>
      <c r="G5071" s="18"/>
      <c r="H5071" s="18"/>
      <c r="I5071" s="18"/>
      <c r="J5071" s="18"/>
      <c r="K5071" s="18"/>
      <c r="L5071" s="18"/>
      <c r="M5071" s="18"/>
      <c r="N5071" s="18"/>
      <c r="O5071" s="14" t="str">
        <f>HYPERLINK("https://otsuka-europe-crm.veevavault.com/ui/#object/email_activity__v/V8C00000003V283", "EN-002095344")</f>
        <v>EN-002095344</v>
      </c>
    </row>
    <row r="5072" spans="1:15" ht="16" x14ac:dyDescent="0.2">
      <c r="A5072" s="19"/>
      <c r="B5072" s="19"/>
      <c r="C5072" s="19"/>
      <c r="D5072" s="19"/>
      <c r="E5072" s="19"/>
      <c r="F5072" s="19"/>
      <c r="G5072" s="19"/>
      <c r="H5072" s="19"/>
      <c r="I5072" s="19"/>
      <c r="J5072" s="19"/>
      <c r="K5072" s="19"/>
      <c r="L5072" s="19"/>
      <c r="M5072" s="19"/>
      <c r="N5072" s="19"/>
      <c r="O5072" s="14" t="str">
        <f>HYPERLINK("https://otsuka-europe-crm.veevavault.com/ui/#object/email_activity__v/V8C00000003Z113", "EN-002098862")</f>
        <v>EN-002098862</v>
      </c>
    </row>
    <row r="5073" spans="1:15" ht="32" x14ac:dyDescent="0.2">
      <c r="A5073" s="7" t="str">
        <f>HYPERLINK("https://otsuka-europe-crm.veevavault.com/ui/#object/account__v/V4TZ04ASG8QJCY7", "STEFANIA RUSSO")</f>
        <v>STEFANIA RUSSO</v>
      </c>
      <c r="B5073" s="7" t="str">
        <f>HYPERLINK("https://otsuka-europe-crm.veevavault.com/ui/#object/vcountry__v/VENZ000004SONFQ", "IT")</f>
        <v>IT</v>
      </c>
      <c r="C5073" s="8" t="s">
        <v>44</v>
      </c>
      <c r="D5073" s="9" t="str">
        <f>HYPERLINK("https://otsuka-europe-crm.veevavault.com/ui/#object/approved_document__v/V5O000000018003", "AE dialoghi di tempo fiducia e cura episodi 2-3-4")</f>
        <v>AE dialoghi di tempo fiducia e cura episodi 2-3-4</v>
      </c>
      <c r="E5073" s="10" t="str">
        <f>HYPERLINK("https://otsuka-europe-crm.veevavault.com/ui/#object/sent_email__v/VBL00000002Q167", "SE-001433836")</f>
        <v>SE-001433836</v>
      </c>
      <c r="F5073" s="11"/>
      <c r="G5073" s="12">
        <v>0</v>
      </c>
      <c r="H5073" s="12">
        <v>0</v>
      </c>
      <c r="I5073" s="12">
        <v>0</v>
      </c>
      <c r="J5073" s="11"/>
      <c r="K5073" s="12">
        <v>0</v>
      </c>
      <c r="L5073" s="10" t="str">
        <f>HYPERLINK("https://otsuka-europe-crm.veevavault.com/ui/#object/approved_document__v/V5O000000018003", "AE dialoghi di tempo fiducia e cura episodi 2-3-4")</f>
        <v>AE dialoghi di tempo fiducia e cura episodi 2-3-4</v>
      </c>
      <c r="M5073" s="10" t="str">
        <f>HYPERLINK("mailto:nicoletta.vozza@crm.otsuka-europe.com", "nicoletta.vozza@crm.otsuka-europe.com")</f>
        <v>nicoletta.vozza@crm.otsuka-europe.com</v>
      </c>
      <c r="N5073" s="13">
        <v>46181.337997685187</v>
      </c>
      <c r="O5073" s="14" t="str">
        <f>HYPERLINK("https://otsuka-europe-crm.veevavault.com/ui/#object/email_activity__v/V8C00000003P230", "EN-002089676")</f>
        <v>EN-002089676</v>
      </c>
    </row>
    <row r="5074" spans="1:15" ht="16" x14ac:dyDescent="0.2">
      <c r="A5074" s="17" t="str">
        <f>HYPERLINK("https://otsuka-europe-crm.veevavault.com/ui/#object/account__v/V4TZ06G6O71S9LE", "STEFANIA TINELLI")</f>
        <v>STEFANIA TINELLI</v>
      </c>
      <c r="B5074" s="17" t="str">
        <f>HYPERLINK("https://otsuka-europe-crm.veevavault.com/ui/#object/vcountry__v/VENZ000004SONFQ", "IT")</f>
        <v>IT</v>
      </c>
      <c r="C5074" s="20" t="s">
        <v>44</v>
      </c>
      <c r="D5074" s="21" t="str">
        <f>HYPERLINK("https://otsuka-europe-crm.veevavault.com/ui/#object/approved_document__v/V5O000000018003", "AE dialoghi di tempo fiducia e cura episodi 2-3-4")</f>
        <v>AE dialoghi di tempo fiducia e cura episodi 2-3-4</v>
      </c>
      <c r="E5074" s="22" t="str">
        <f>HYPERLINK("https://otsuka-europe-crm.veevavault.com/ui/#object/sent_email__v/VBL00000002Q168", "SE-001433837")</f>
        <v>SE-001433837</v>
      </c>
      <c r="F5074" s="23">
        <v>46181.366377314815</v>
      </c>
      <c r="G5074" s="24">
        <v>1</v>
      </c>
      <c r="H5074" s="24">
        <v>1</v>
      </c>
      <c r="I5074" s="24">
        <v>0</v>
      </c>
      <c r="J5074" s="25"/>
      <c r="K5074" s="24">
        <v>0</v>
      </c>
      <c r="L5074" s="22" t="str">
        <f>HYPERLINK("https://otsuka-europe-crm.veevavault.com/ui/#object/approved_document__v/V5O000000018003", "AE dialoghi di tempo fiducia e cura episodi 2-3-4")</f>
        <v>AE dialoghi di tempo fiducia e cura episodi 2-3-4</v>
      </c>
      <c r="M5074" s="22" t="str">
        <f>HYPERLINK("mailto:nicoletta.vozza@crm.otsuka-europe.com", "nicoletta.vozza@crm.otsuka-europe.com")</f>
        <v>nicoletta.vozza@crm.otsuka-europe.com</v>
      </c>
      <c r="N5074" s="23">
        <v>46181.33803240741</v>
      </c>
      <c r="O5074" s="14" t="str">
        <f>HYPERLINK("https://otsuka-europe-crm.veevavault.com/ui/#object/email_activity__v/V8C00000003P333", "EN-002090339")</f>
        <v>EN-002090339</v>
      </c>
    </row>
    <row r="5075" spans="1:15" ht="16" x14ac:dyDescent="0.2">
      <c r="A5075" s="19"/>
      <c r="B5075" s="19"/>
      <c r="C5075" s="19"/>
      <c r="D5075" s="19"/>
      <c r="E5075" s="19"/>
      <c r="F5075" s="19"/>
      <c r="G5075" s="19"/>
      <c r="H5075" s="19"/>
      <c r="I5075" s="19"/>
      <c r="J5075" s="19"/>
      <c r="K5075" s="19"/>
      <c r="L5075" s="19"/>
      <c r="M5075" s="19"/>
      <c r="N5075" s="19"/>
      <c r="O5075" s="14" t="str">
        <f>HYPERLINK("https://otsuka-europe-crm.veevavault.com/ui/#object/email_activity__v/V8C00000003Q338", "EN-002091514")</f>
        <v>EN-002091514</v>
      </c>
    </row>
    <row r="5076" spans="1:15" ht="32" x14ac:dyDescent="0.2">
      <c r="A5076" s="7" t="str">
        <f>HYPERLINK("https://otsuka-europe-crm.veevavault.com/ui/#object/account__v/V4TZ06G6O71S9JK", "STEFANIA TOFANI")</f>
        <v>STEFANIA TOFANI</v>
      </c>
      <c r="B5076" s="7" t="str">
        <f>HYPERLINK("https://otsuka-europe-crm.veevavault.com/ui/#object/vcountry__v/VENZ000004SONFQ", "IT")</f>
        <v>IT</v>
      </c>
      <c r="C5076" s="8" t="s">
        <v>44</v>
      </c>
      <c r="D5076" s="9" t="str">
        <f>HYPERLINK("https://otsuka-europe-crm.veevavault.com/ui/#object/approved_document__v/V5O000000018003", "AE dialoghi di tempo fiducia e cura episodi 2-3-4")</f>
        <v>AE dialoghi di tempo fiducia e cura episodi 2-3-4</v>
      </c>
      <c r="E5076" s="10" t="str">
        <f>HYPERLINK("https://otsuka-europe-crm.veevavault.com/ui/#object/sent_email__v/VBL00000002Q169", "SE-001433838")</f>
        <v>SE-001433838</v>
      </c>
      <c r="F5076" s="11"/>
      <c r="G5076" s="12">
        <v>0</v>
      </c>
      <c r="H5076" s="12">
        <v>0</v>
      </c>
      <c r="I5076" s="12">
        <v>0</v>
      </c>
      <c r="J5076" s="11"/>
      <c r="K5076" s="12">
        <v>0</v>
      </c>
      <c r="L5076" s="10" t="str">
        <f>HYPERLINK("https://otsuka-europe-crm.veevavault.com/ui/#object/approved_document__v/V5O000000018003", "AE dialoghi di tempo fiducia e cura episodi 2-3-4")</f>
        <v>AE dialoghi di tempo fiducia e cura episodi 2-3-4</v>
      </c>
      <c r="M5076" s="10" t="str">
        <f>HYPERLINK("mailto:nicoletta.vozza@crm.otsuka-europe.com", "nicoletta.vozza@crm.otsuka-europe.com")</f>
        <v>nicoletta.vozza@crm.otsuka-europe.com</v>
      </c>
      <c r="N5076" s="13">
        <v>46181.33803240741</v>
      </c>
      <c r="O5076" s="14" t="str">
        <f>HYPERLINK("https://otsuka-europe-crm.veevavault.com/ui/#object/email_activity__v/V8C00000003P432", "EN-002090638")</f>
        <v>EN-002090638</v>
      </c>
    </row>
    <row r="5077" spans="1:15" ht="32" x14ac:dyDescent="0.2">
      <c r="A5077" s="7" t="str">
        <f>HYPERLINK("https://otsuka-europe-crm.veevavault.com/ui/#object/account__v/V4TZ06G6O71SCN5", "STEFANIA UZZI")</f>
        <v>STEFANIA UZZI</v>
      </c>
      <c r="B5077" s="7" t="str">
        <f>HYPERLINK("https://otsuka-europe-crm.veevavault.com/ui/#object/vcountry__v/VENZ000004SONFQ", "IT")</f>
        <v>IT</v>
      </c>
      <c r="C5077" s="8" t="s">
        <v>44</v>
      </c>
      <c r="D5077" s="9" t="str">
        <f>HYPERLINK("https://otsuka-europe-crm.veevavault.com/ui/#object/approved_document__v/V5O000000018003", "AE dialoghi di tempo fiducia e cura episodi 2-3-4")</f>
        <v>AE dialoghi di tempo fiducia e cura episodi 2-3-4</v>
      </c>
      <c r="E5077" s="10" t="str">
        <f>HYPERLINK("https://otsuka-europe-crm.veevavault.com/ui/#object/sent_email__v/VBL00000002Q170", "SE-001433839")</f>
        <v>SE-001433839</v>
      </c>
      <c r="F5077" s="11"/>
      <c r="G5077" s="12">
        <v>0</v>
      </c>
      <c r="H5077" s="12">
        <v>0</v>
      </c>
      <c r="I5077" s="12">
        <v>0</v>
      </c>
      <c r="J5077" s="11"/>
      <c r="K5077" s="12">
        <v>0</v>
      </c>
      <c r="L5077" s="10" t="str">
        <f>HYPERLINK("https://otsuka-europe-crm.veevavault.com/ui/#object/approved_document__v/V5O000000018003", "AE dialoghi di tempo fiducia e cura episodi 2-3-4")</f>
        <v>AE dialoghi di tempo fiducia e cura episodi 2-3-4</v>
      </c>
      <c r="M5077" s="10" t="str">
        <f>HYPERLINK("mailto:nicoletta.vozza@crm.otsuka-europe.com", "nicoletta.vozza@crm.otsuka-europe.com")</f>
        <v>nicoletta.vozza@crm.otsuka-europe.com</v>
      </c>
      <c r="N5077" s="13">
        <v>46181.33803240741</v>
      </c>
      <c r="O5077" s="14" t="str">
        <f>HYPERLINK("https://otsuka-europe-crm.veevavault.com/ui/#object/email_activity__v/V8C00000003Q004", "EN-002090752")</f>
        <v>EN-002090752</v>
      </c>
    </row>
    <row r="5078" spans="1:15" ht="32" x14ac:dyDescent="0.2">
      <c r="A5078" s="7" t="str">
        <f>HYPERLINK("https://otsuka-europe-crm.veevavault.com/ui/#object/account__v/V4TZ06G6O71SCO5", "STEFANIA VAGNONI")</f>
        <v>STEFANIA VAGNONI</v>
      </c>
      <c r="B5078" s="7" t="str">
        <f>HYPERLINK("https://otsuka-europe-crm.veevavault.com/ui/#object/vcountry__v/VENZ000004SONFQ", "IT")</f>
        <v>IT</v>
      </c>
      <c r="C5078" s="8" t="s">
        <v>44</v>
      </c>
      <c r="D5078" s="9" t="str">
        <f>HYPERLINK("https://otsuka-europe-crm.veevavault.com/ui/#object/approved_document__v/V5O000000018003", "AE dialoghi di tempo fiducia e cura episodi 2-3-4")</f>
        <v>AE dialoghi di tempo fiducia e cura episodi 2-3-4</v>
      </c>
      <c r="E5078" s="10" t="str">
        <f>HYPERLINK("https://otsuka-europe-crm.veevavault.com/ui/#object/sent_email__v/VBL00000002Q171", "SE-001433840")</f>
        <v>SE-001433840</v>
      </c>
      <c r="F5078" s="11"/>
      <c r="G5078" s="12">
        <v>0</v>
      </c>
      <c r="H5078" s="12">
        <v>0</v>
      </c>
      <c r="I5078" s="12">
        <v>0</v>
      </c>
      <c r="J5078" s="11"/>
      <c r="K5078" s="12">
        <v>0</v>
      </c>
      <c r="L5078" s="10" t="str">
        <f>HYPERLINK("https://otsuka-europe-crm.veevavault.com/ui/#object/approved_document__v/V5O000000018003", "AE dialoghi di tempo fiducia e cura episodi 2-3-4")</f>
        <v>AE dialoghi di tempo fiducia e cura episodi 2-3-4</v>
      </c>
      <c r="M5078" s="10" t="str">
        <f>HYPERLINK("mailto:nicoletta.vozza@crm.otsuka-europe.com", "nicoletta.vozza@crm.otsuka-europe.com")</f>
        <v>nicoletta.vozza@crm.otsuka-europe.com</v>
      </c>
      <c r="N5078" s="13">
        <v>46181.338101851848</v>
      </c>
      <c r="O5078" s="14" t="str">
        <f>HYPERLINK("https://otsuka-europe-crm.veevavault.com/ui/#object/email_activity__v/V8C00000003Q236", "EN-002091342")</f>
        <v>EN-002091342</v>
      </c>
    </row>
    <row r="5079" spans="1:15" ht="32" x14ac:dyDescent="0.2">
      <c r="A5079" s="7" t="str">
        <f>HYPERLINK("https://otsuka-europe-crm.veevavault.com/ui/#object/account__v/V4TZ04ASGBUARX9", "STEFANIA VIMERCATI")</f>
        <v>STEFANIA VIMERCATI</v>
      </c>
      <c r="B5079" s="7" t="str">
        <f>HYPERLINK("https://otsuka-europe-crm.veevavault.com/ui/#object/vcountry__v/VENZ000004SONFQ", "IT")</f>
        <v>IT</v>
      </c>
      <c r="C5079" s="8" t="s">
        <v>44</v>
      </c>
      <c r="D5079" s="9" t="str">
        <f>HYPERLINK("https://otsuka-europe-crm.veevavault.com/ui/#object/approved_document__v/V5O000000018003", "AE dialoghi di tempo fiducia e cura episodi 2-3-4")</f>
        <v>AE dialoghi di tempo fiducia e cura episodi 2-3-4</v>
      </c>
      <c r="E5079" s="10" t="str">
        <f>HYPERLINK("https://otsuka-europe-crm.veevavault.com/ui/#object/sent_email__v/VBL00000002Q172", "SE-001433841")</f>
        <v>SE-001433841</v>
      </c>
      <c r="F5079" s="11"/>
      <c r="G5079" s="12">
        <v>0</v>
      </c>
      <c r="H5079" s="12">
        <v>0</v>
      </c>
      <c r="I5079" s="12">
        <v>0</v>
      </c>
      <c r="J5079" s="11"/>
      <c r="K5079" s="12">
        <v>0</v>
      </c>
      <c r="L5079" s="10" t="str">
        <f>HYPERLINK("https://otsuka-europe-crm.veevavault.com/ui/#object/approved_document__v/V5O000000018003", "AE dialoghi di tempo fiducia e cura episodi 2-3-4")</f>
        <v>AE dialoghi di tempo fiducia e cura episodi 2-3-4</v>
      </c>
      <c r="M5079" s="10" t="str">
        <f>HYPERLINK("mailto:nicoletta.vozza@crm.otsuka-europe.com", "nicoletta.vozza@crm.otsuka-europe.com")</f>
        <v>nicoletta.vozza@crm.otsuka-europe.com</v>
      </c>
      <c r="N5079" s="13">
        <v>46181.33798611111</v>
      </c>
      <c r="O5079" s="14" t="str">
        <f>HYPERLINK("https://otsuka-europe-crm.veevavault.com/ui/#object/email_activity__v/V8C00000003P261", "EN-002089839")</f>
        <v>EN-002089839</v>
      </c>
    </row>
    <row r="5080" spans="1:15" ht="16" x14ac:dyDescent="0.2">
      <c r="A5080" s="17" t="str">
        <f>HYPERLINK("https://otsuka-europe-crm.veevavault.com/ui/#object/account__v/V4TZ025E875NI6A", "STEFANO AMOROSI")</f>
        <v>STEFANO AMOROSI</v>
      </c>
      <c r="B5080" s="17" t="str">
        <f>HYPERLINK("https://otsuka-europe-crm.veevavault.com/ui/#object/vcountry__v/VENZ000004SONFQ", "IT")</f>
        <v>IT</v>
      </c>
      <c r="C5080" s="20" t="s">
        <v>44</v>
      </c>
      <c r="D5080" s="21" t="str">
        <f>HYPERLINK("https://otsuka-europe-crm.veevavault.com/ui/#object/approved_document__v/V5O000000018003", "AE dialoghi di tempo fiducia e cura episodi 2-3-4")</f>
        <v>AE dialoghi di tempo fiducia e cura episodi 2-3-4</v>
      </c>
      <c r="E5080" s="22" t="str">
        <f>HYPERLINK("https://otsuka-europe-crm.veevavault.com/ui/#object/sent_email__v/VBL00000002Q173", "SE-001433842")</f>
        <v>SE-001433842</v>
      </c>
      <c r="F5080" s="23">
        <v>46190.536597222221</v>
      </c>
      <c r="G5080" s="24">
        <v>1</v>
      </c>
      <c r="H5080" s="24">
        <v>3</v>
      </c>
      <c r="I5080" s="24">
        <v>0</v>
      </c>
      <c r="J5080" s="25"/>
      <c r="K5080" s="24">
        <v>0</v>
      </c>
      <c r="L5080" s="22" t="str">
        <f>HYPERLINK("https://otsuka-europe-crm.veevavault.com/ui/#object/approved_document__v/V5O000000018003", "AE dialoghi di tempo fiducia e cura episodi 2-3-4")</f>
        <v>AE dialoghi di tempo fiducia e cura episodi 2-3-4</v>
      </c>
      <c r="M5080" s="22" t="str">
        <f>HYPERLINK("mailto:nicoletta.vozza@crm.otsuka-europe.com", "nicoletta.vozza@crm.otsuka-europe.com")</f>
        <v>nicoletta.vozza@crm.otsuka-europe.com</v>
      </c>
      <c r="N5080" s="23">
        <v>46181.338090277779</v>
      </c>
      <c r="O5080" s="14" t="str">
        <f>HYPERLINK("https://otsuka-europe-crm.veevavault.com/ui/#object/email_activity__v/V8C00000003P611", "EN-002090866")</f>
        <v>EN-002090866</v>
      </c>
    </row>
    <row r="5081" spans="1:15" ht="16" x14ac:dyDescent="0.2">
      <c r="A5081" s="18"/>
      <c r="B5081" s="18"/>
      <c r="C5081" s="18"/>
      <c r="D5081" s="18"/>
      <c r="E5081" s="18"/>
      <c r="F5081" s="18"/>
      <c r="G5081" s="18"/>
      <c r="H5081" s="18"/>
      <c r="I5081" s="18"/>
      <c r="J5081" s="18"/>
      <c r="K5081" s="18"/>
      <c r="L5081" s="18"/>
      <c r="M5081" s="18"/>
      <c r="N5081" s="18"/>
      <c r="O5081" s="14" t="str">
        <f>HYPERLINK("https://otsuka-europe-crm.veevavault.com/ui/#object/email_activity__v/V8C00000003R112", "EN-002091893")</f>
        <v>EN-002091893</v>
      </c>
    </row>
    <row r="5082" spans="1:15" ht="16" x14ac:dyDescent="0.2">
      <c r="A5082" s="18"/>
      <c r="B5082" s="18"/>
      <c r="C5082" s="18"/>
      <c r="D5082" s="18"/>
      <c r="E5082" s="18"/>
      <c r="F5082" s="18"/>
      <c r="G5082" s="18"/>
      <c r="H5082" s="18"/>
      <c r="I5082" s="18"/>
      <c r="J5082" s="18"/>
      <c r="K5082" s="18"/>
      <c r="L5082" s="18"/>
      <c r="M5082" s="18"/>
      <c r="N5082" s="18"/>
      <c r="O5082" s="14" t="str">
        <f>HYPERLINK("https://otsuka-europe-crm.veevavault.com/ui/#object/email_activity__v/V8C00000003V909", "EN-002096521")</f>
        <v>EN-002096521</v>
      </c>
    </row>
    <row r="5083" spans="1:15" ht="16" x14ac:dyDescent="0.2">
      <c r="A5083" s="19"/>
      <c r="B5083" s="19"/>
      <c r="C5083" s="19"/>
      <c r="D5083" s="19"/>
      <c r="E5083" s="19"/>
      <c r="F5083" s="19"/>
      <c r="G5083" s="19"/>
      <c r="H5083" s="19"/>
      <c r="I5083" s="19"/>
      <c r="J5083" s="19"/>
      <c r="K5083" s="19"/>
      <c r="L5083" s="19"/>
      <c r="M5083" s="19"/>
      <c r="N5083" s="19"/>
      <c r="O5083" s="14" t="str">
        <f>HYPERLINK("https://otsuka-europe-crm.veevavault.com/ui/#object/email_activity__v/V8C00000003X881", "EN-002098393")</f>
        <v>EN-002098393</v>
      </c>
    </row>
    <row r="5084" spans="1:15" ht="32" x14ac:dyDescent="0.2">
      <c r="A5084" s="7" t="str">
        <f>HYPERLINK("https://otsuka-europe-crm.veevavault.com/ui/#object/account__v/V4TZ06G6O71SA4C", "STEFANO BIGNOTTI")</f>
        <v>STEFANO BIGNOTTI</v>
      </c>
      <c r="B5084" s="7" t="str">
        <f t="shared" ref="B5084:B5093" si="548">HYPERLINK("https://otsuka-europe-crm.veevavault.com/ui/#object/vcountry__v/VENZ000004SONFQ", "IT")</f>
        <v>IT</v>
      </c>
      <c r="C5084" s="8" t="s">
        <v>44</v>
      </c>
      <c r="D5084" s="9" t="str">
        <f t="shared" ref="D5084:D5093" si="549">HYPERLINK("https://otsuka-europe-crm.veevavault.com/ui/#object/approved_document__v/V5O000000018003", "AE dialoghi di tempo fiducia e cura episodi 2-3-4")</f>
        <v>AE dialoghi di tempo fiducia e cura episodi 2-3-4</v>
      </c>
      <c r="E5084" s="10" t="str">
        <f>HYPERLINK("https://otsuka-europe-crm.veevavault.com/ui/#object/sent_email__v/VBL00000002Q174", "SE-001433843")</f>
        <v>SE-001433843</v>
      </c>
      <c r="F5084" s="11"/>
      <c r="G5084" s="12">
        <v>0</v>
      </c>
      <c r="H5084" s="12">
        <v>0</v>
      </c>
      <c r="I5084" s="12">
        <v>0</v>
      </c>
      <c r="J5084" s="11"/>
      <c r="K5084" s="12">
        <v>0</v>
      </c>
      <c r="L5084" s="10" t="str">
        <f t="shared" ref="L5084:L5093" si="550">HYPERLINK("https://otsuka-europe-crm.veevavault.com/ui/#object/approved_document__v/V5O000000018003", "AE dialoghi di tempo fiducia e cura episodi 2-3-4")</f>
        <v>AE dialoghi di tempo fiducia e cura episodi 2-3-4</v>
      </c>
      <c r="M5084" s="10" t="str">
        <f t="shared" ref="M5084:M5093" si="551">HYPERLINK("mailto:nicoletta.vozza@crm.otsuka-europe.com", "nicoletta.vozza@crm.otsuka-europe.com")</f>
        <v>nicoletta.vozza@crm.otsuka-europe.com</v>
      </c>
      <c r="N5084" s="13">
        <v>46181.337997685187</v>
      </c>
      <c r="O5084" s="14" t="str">
        <f>HYPERLINK("https://otsuka-europe-crm.veevavault.com/ui/#object/email_activity__v/V8C00000003O642", "EN-002090198")</f>
        <v>EN-002090198</v>
      </c>
    </row>
    <row r="5085" spans="1:15" ht="32" x14ac:dyDescent="0.2">
      <c r="A5085" s="7" t="str">
        <f>HYPERLINK("https://otsuka-europe-crm.veevavault.com/ui/#object/account__v/V4TZ06G6O71SA68", "STEFANO BONIFAZI")</f>
        <v>STEFANO BONIFAZI</v>
      </c>
      <c r="B5085" s="7" t="str">
        <f t="shared" si="548"/>
        <v>IT</v>
      </c>
      <c r="C5085" s="8" t="s">
        <v>44</v>
      </c>
      <c r="D5085" s="9" t="str">
        <f t="shared" si="549"/>
        <v>AE dialoghi di tempo fiducia e cura episodi 2-3-4</v>
      </c>
      <c r="E5085" s="10" t="str">
        <f>HYPERLINK("https://otsuka-europe-crm.veevavault.com/ui/#object/sent_email__v/VBL00000002Q175", "SE-001433844")</f>
        <v>SE-001433844</v>
      </c>
      <c r="F5085" s="11"/>
      <c r="G5085" s="12">
        <v>0</v>
      </c>
      <c r="H5085" s="12">
        <v>0</v>
      </c>
      <c r="I5085" s="12">
        <v>0</v>
      </c>
      <c r="J5085" s="11"/>
      <c r="K5085" s="12">
        <v>0</v>
      </c>
      <c r="L5085" s="10" t="str">
        <f t="shared" si="550"/>
        <v>AE dialoghi di tempo fiducia e cura episodi 2-3-4</v>
      </c>
      <c r="M5085" s="10" t="str">
        <f t="shared" si="551"/>
        <v>nicoletta.vozza@crm.otsuka-europe.com</v>
      </c>
      <c r="N5085" s="13">
        <v>46181.33898148148</v>
      </c>
      <c r="O5085" s="14" t="str">
        <f>HYPERLINK("https://otsuka-europe-crm.veevavault.com/ui/#object/email_activity__v/V8C00000003Q228", "EN-002091334")</f>
        <v>EN-002091334</v>
      </c>
    </row>
    <row r="5086" spans="1:15" ht="32" x14ac:dyDescent="0.2">
      <c r="A5086" s="7" t="str">
        <f>HYPERLINK("https://otsuka-europe-crm.veevavault.com/ui/#object/account__v/V4TZ025E87YRABB", "STEFANO DE SIGNORIBUS")</f>
        <v>STEFANO DE SIGNORIBUS</v>
      </c>
      <c r="B5086" s="7" t="str">
        <f t="shared" si="548"/>
        <v>IT</v>
      </c>
      <c r="C5086" s="8" t="s">
        <v>44</v>
      </c>
      <c r="D5086" s="9" t="str">
        <f t="shared" si="549"/>
        <v>AE dialoghi di tempo fiducia e cura episodi 2-3-4</v>
      </c>
      <c r="E5086" s="10" t="str">
        <f>HYPERLINK("https://otsuka-europe-crm.veevavault.com/ui/#object/sent_email__v/VBL00000002Q176", "SE-001433845")</f>
        <v>SE-001433845</v>
      </c>
      <c r="F5086" s="11"/>
      <c r="G5086" s="12">
        <v>0</v>
      </c>
      <c r="H5086" s="12">
        <v>0</v>
      </c>
      <c r="I5086" s="12">
        <v>0</v>
      </c>
      <c r="J5086" s="11"/>
      <c r="K5086" s="12">
        <v>0</v>
      </c>
      <c r="L5086" s="10" t="str">
        <f t="shared" si="550"/>
        <v>AE dialoghi di tempo fiducia e cura episodi 2-3-4</v>
      </c>
      <c r="M5086" s="10" t="str">
        <f t="shared" si="551"/>
        <v>nicoletta.vozza@crm.otsuka-europe.com</v>
      </c>
      <c r="N5086" s="13">
        <v>46181.338055555556</v>
      </c>
      <c r="O5086" s="14" t="str">
        <f>HYPERLINK("https://otsuka-europe-crm.veevavault.com/ui/#object/email_activity__v/V8C00000003Q259", "EN-002091369")</f>
        <v>EN-002091369</v>
      </c>
    </row>
    <row r="5087" spans="1:15" ht="32" x14ac:dyDescent="0.2">
      <c r="A5087" s="7" t="str">
        <f>HYPERLINK("https://otsuka-europe-crm.veevavault.com/ui/#object/account__v/V4TZ06G6O9KG7PE", "STEFANO DRAGHETTI")</f>
        <v>STEFANO DRAGHETTI</v>
      </c>
      <c r="B5087" s="7" t="str">
        <f t="shared" si="548"/>
        <v>IT</v>
      </c>
      <c r="C5087" s="8" t="s">
        <v>44</v>
      </c>
      <c r="D5087" s="9" t="str">
        <f t="shared" si="549"/>
        <v>AE dialoghi di tempo fiducia e cura episodi 2-3-4</v>
      </c>
      <c r="E5087" s="10" t="str">
        <f>HYPERLINK("https://otsuka-europe-crm.veevavault.com/ui/#object/sent_email__v/VBL00000002Q177", "SE-001433846")</f>
        <v>SE-001433846</v>
      </c>
      <c r="F5087" s="11"/>
      <c r="G5087" s="12">
        <v>0</v>
      </c>
      <c r="H5087" s="12">
        <v>0</v>
      </c>
      <c r="I5087" s="12">
        <v>0</v>
      </c>
      <c r="J5087" s="11"/>
      <c r="K5087" s="12">
        <v>0</v>
      </c>
      <c r="L5087" s="10" t="str">
        <f t="shared" si="550"/>
        <v>AE dialoghi di tempo fiducia e cura episodi 2-3-4</v>
      </c>
      <c r="M5087" s="10" t="str">
        <f t="shared" si="551"/>
        <v>nicoletta.vozza@crm.otsuka-europe.com</v>
      </c>
      <c r="N5087" s="13">
        <v>46181.33803240741</v>
      </c>
      <c r="O5087" s="14" t="str">
        <f>HYPERLINK("https://otsuka-europe-crm.veevavault.com/ui/#object/email_activity__v/V8C00000003O253", "EN-002089730")</f>
        <v>EN-002089730</v>
      </c>
    </row>
    <row r="5088" spans="1:15" ht="32" x14ac:dyDescent="0.2">
      <c r="A5088" s="7" t="str">
        <f>HYPERLINK("https://otsuka-europe-crm.veevavault.com/ui/#object/account__v/V4TZ06G6O71SAVS", "STEFANO GIORDANI")</f>
        <v>STEFANO GIORDANI</v>
      </c>
      <c r="B5088" s="7" t="str">
        <f t="shared" si="548"/>
        <v>IT</v>
      </c>
      <c r="C5088" s="8" t="s">
        <v>44</v>
      </c>
      <c r="D5088" s="9" t="str">
        <f t="shared" si="549"/>
        <v>AE dialoghi di tempo fiducia e cura episodi 2-3-4</v>
      </c>
      <c r="E5088" s="10" t="str">
        <f>HYPERLINK("https://otsuka-europe-crm.veevavault.com/ui/#object/sent_email__v/VBL00000002Q178", "SE-001433847")</f>
        <v>SE-001433847</v>
      </c>
      <c r="F5088" s="11"/>
      <c r="G5088" s="12">
        <v>0</v>
      </c>
      <c r="H5088" s="12">
        <v>0</v>
      </c>
      <c r="I5088" s="12">
        <v>0</v>
      </c>
      <c r="J5088" s="11"/>
      <c r="K5088" s="12">
        <v>0</v>
      </c>
      <c r="L5088" s="10" t="str">
        <f t="shared" si="550"/>
        <v>AE dialoghi di tempo fiducia e cura episodi 2-3-4</v>
      </c>
      <c r="M5088" s="10" t="str">
        <f t="shared" si="551"/>
        <v>nicoletta.vozza@crm.otsuka-europe.com</v>
      </c>
      <c r="N5088" s="13">
        <v>46181.338043981479</v>
      </c>
      <c r="O5088" s="14" t="str">
        <f>HYPERLINK("https://otsuka-europe-crm.veevavault.com/ui/#object/email_activity__v/V8C00000003O894", "EN-002090497")</f>
        <v>EN-002090497</v>
      </c>
    </row>
    <row r="5089" spans="1:15" ht="32" x14ac:dyDescent="0.2">
      <c r="A5089" s="7" t="str">
        <f>HYPERLINK("https://otsuka-europe-crm.veevavault.com/ui/#object/account__v/V4TZ025E86H60AT", "STEFANO IERACE")</f>
        <v>STEFANO IERACE</v>
      </c>
      <c r="B5089" s="7" t="str">
        <f t="shared" si="548"/>
        <v>IT</v>
      </c>
      <c r="C5089" s="8" t="s">
        <v>44</v>
      </c>
      <c r="D5089" s="9" t="str">
        <f t="shared" si="549"/>
        <v>AE dialoghi di tempo fiducia e cura episodi 2-3-4</v>
      </c>
      <c r="E5089" s="10" t="str">
        <f>HYPERLINK("https://otsuka-europe-crm.veevavault.com/ui/#object/sent_email__v/VBL00000002Q179", "SE-001433848")</f>
        <v>SE-001433848</v>
      </c>
      <c r="F5089" s="11"/>
      <c r="G5089" s="12">
        <v>0</v>
      </c>
      <c r="H5089" s="12">
        <v>0</v>
      </c>
      <c r="I5089" s="12">
        <v>0</v>
      </c>
      <c r="J5089" s="11"/>
      <c r="K5089" s="12">
        <v>0</v>
      </c>
      <c r="L5089" s="10" t="str">
        <f t="shared" si="550"/>
        <v>AE dialoghi di tempo fiducia e cura episodi 2-3-4</v>
      </c>
      <c r="M5089" s="10" t="str">
        <f t="shared" si="551"/>
        <v>nicoletta.vozza@crm.otsuka-europe.com</v>
      </c>
      <c r="N5089" s="13">
        <v>46181.33798611111</v>
      </c>
      <c r="O5089" s="14" t="str">
        <f>HYPERLINK("https://otsuka-europe-crm.veevavault.com/ui/#object/email_activity__v/V8C00000003O218", "EN-002089695")</f>
        <v>EN-002089695</v>
      </c>
    </row>
    <row r="5090" spans="1:15" ht="32" x14ac:dyDescent="0.2">
      <c r="A5090" s="7" t="str">
        <f>HYPERLINK("https://otsuka-europe-crm.veevavault.com/ui/#object/account__v/V4TZ06G6O71S9RO", "STEFANO IERACE")</f>
        <v>STEFANO IERACE</v>
      </c>
      <c r="B5090" s="7" t="str">
        <f t="shared" si="548"/>
        <v>IT</v>
      </c>
      <c r="C5090" s="8" t="s">
        <v>44</v>
      </c>
      <c r="D5090" s="9" t="str">
        <f t="shared" si="549"/>
        <v>AE dialoghi di tempo fiducia e cura episodi 2-3-4</v>
      </c>
      <c r="E5090" s="10" t="str">
        <f>HYPERLINK("https://otsuka-europe-crm.veevavault.com/ui/#object/sent_email__v/VBL00000002Q180", "SE-001433849")</f>
        <v>SE-001433849</v>
      </c>
      <c r="F5090" s="11"/>
      <c r="G5090" s="12">
        <v>0</v>
      </c>
      <c r="H5090" s="12">
        <v>0</v>
      </c>
      <c r="I5090" s="12">
        <v>0</v>
      </c>
      <c r="J5090" s="11"/>
      <c r="K5090" s="12">
        <v>0</v>
      </c>
      <c r="L5090" s="10" t="str">
        <f t="shared" si="550"/>
        <v>AE dialoghi di tempo fiducia e cura episodi 2-3-4</v>
      </c>
      <c r="M5090" s="10" t="str">
        <f t="shared" si="551"/>
        <v>nicoletta.vozza@crm.otsuka-europe.com</v>
      </c>
      <c r="N5090" s="13">
        <v>46181.338020833333</v>
      </c>
      <c r="O5090" s="14" t="str">
        <f>HYPERLINK("https://otsuka-europe-crm.veevavault.com/ui/#object/email_activity__v/V8C00000003O723", "EN-002090279")</f>
        <v>EN-002090279</v>
      </c>
    </row>
    <row r="5091" spans="1:15" ht="32" x14ac:dyDescent="0.2">
      <c r="A5091" s="7" t="str">
        <f>HYPERLINK("https://otsuka-europe-crm.veevavault.com/ui/#object/account__v/V4TZ06G6O71SB9L", "STEFANO LUCESOLI")</f>
        <v>STEFANO LUCESOLI</v>
      </c>
      <c r="B5091" s="7" t="str">
        <f t="shared" si="548"/>
        <v>IT</v>
      </c>
      <c r="C5091" s="8" t="s">
        <v>44</v>
      </c>
      <c r="D5091" s="9" t="str">
        <f t="shared" si="549"/>
        <v>AE dialoghi di tempo fiducia e cura episodi 2-3-4</v>
      </c>
      <c r="E5091" s="10" t="str">
        <f>HYPERLINK("https://otsuka-europe-crm.veevavault.com/ui/#object/sent_email__v/VBL00000002Q181", "SE-001433850")</f>
        <v>SE-001433850</v>
      </c>
      <c r="F5091" s="11"/>
      <c r="G5091" s="12">
        <v>0</v>
      </c>
      <c r="H5091" s="12">
        <v>0</v>
      </c>
      <c r="I5091" s="12">
        <v>0</v>
      </c>
      <c r="J5091" s="11"/>
      <c r="K5091" s="12">
        <v>0</v>
      </c>
      <c r="L5091" s="10" t="str">
        <f t="shared" si="550"/>
        <v>AE dialoghi di tempo fiducia e cura episodi 2-3-4</v>
      </c>
      <c r="M5091" s="10" t="str">
        <f t="shared" si="551"/>
        <v>nicoletta.vozza@crm.otsuka-europe.com</v>
      </c>
      <c r="N5091" s="13">
        <v>46181.337997685187</v>
      </c>
      <c r="O5091" s="14" t="str">
        <f>HYPERLINK("https://otsuka-europe-crm.veevavault.com/ui/#object/email_activity__v/V8C00000003Q248", "EN-002091358")</f>
        <v>EN-002091358</v>
      </c>
    </row>
    <row r="5092" spans="1:15" ht="32" x14ac:dyDescent="0.2">
      <c r="A5092" s="7" t="str">
        <f>HYPERLINK("https://otsuka-europe-crm.veevavault.com/ui/#object/account__v/V4TZ06G6O71VPSF", "STEFANO MANSUETO")</f>
        <v>STEFANO MANSUETO</v>
      </c>
      <c r="B5092" s="7" t="str">
        <f t="shared" si="548"/>
        <v>IT</v>
      </c>
      <c r="C5092" s="8" t="s">
        <v>44</v>
      </c>
      <c r="D5092" s="9" t="str">
        <f t="shared" si="549"/>
        <v>AE dialoghi di tempo fiducia e cura episodi 2-3-4</v>
      </c>
      <c r="E5092" s="10" t="str">
        <f>HYPERLINK("https://otsuka-europe-crm.veevavault.com/ui/#object/sent_email__v/VBL00000002Q182", "SE-001433851")</f>
        <v>SE-001433851</v>
      </c>
      <c r="F5092" s="11"/>
      <c r="G5092" s="12">
        <v>0</v>
      </c>
      <c r="H5092" s="12">
        <v>0</v>
      </c>
      <c r="I5092" s="12">
        <v>0</v>
      </c>
      <c r="J5092" s="11"/>
      <c r="K5092" s="12">
        <v>0</v>
      </c>
      <c r="L5092" s="10" t="str">
        <f t="shared" si="550"/>
        <v>AE dialoghi di tempo fiducia e cura episodi 2-3-4</v>
      </c>
      <c r="M5092" s="10" t="str">
        <f t="shared" si="551"/>
        <v>nicoletta.vozza@crm.otsuka-europe.com</v>
      </c>
      <c r="N5092" s="13">
        <v>46181.337962962964</v>
      </c>
      <c r="O5092" s="14" t="str">
        <f>HYPERLINK("https://otsuka-europe-crm.veevavault.com/ui/#object/email_activity__v/V8C00000003P395", "EN-002090401")</f>
        <v>EN-002090401</v>
      </c>
    </row>
    <row r="5093" spans="1:15" ht="16" x14ac:dyDescent="0.2">
      <c r="A5093" s="17" t="str">
        <f>HYPERLINK("https://otsuka-europe-crm.veevavault.com/ui/#object/account__v/V4TZ06G6O71S9RK", "STEFANO MARIA TAMORRI")</f>
        <v>STEFANO MARIA TAMORRI</v>
      </c>
      <c r="B5093" s="17" t="str">
        <f t="shared" si="548"/>
        <v>IT</v>
      </c>
      <c r="C5093" s="20" t="s">
        <v>44</v>
      </c>
      <c r="D5093" s="21" t="str">
        <f t="shared" si="549"/>
        <v>AE dialoghi di tempo fiducia e cura episodi 2-3-4</v>
      </c>
      <c r="E5093" s="22" t="str">
        <f>HYPERLINK("https://otsuka-europe-crm.veevavault.com/ui/#object/sent_email__v/VBL00000002Q183", "SE-001433852")</f>
        <v>SE-001433852</v>
      </c>
      <c r="F5093" s="25"/>
      <c r="G5093" s="24">
        <v>0</v>
      </c>
      <c r="H5093" s="24">
        <v>0</v>
      </c>
      <c r="I5093" s="24">
        <v>0</v>
      </c>
      <c r="J5093" s="25"/>
      <c r="K5093" s="24">
        <v>0</v>
      </c>
      <c r="L5093" s="22" t="str">
        <f t="shared" si="550"/>
        <v>AE dialoghi di tempo fiducia e cura episodi 2-3-4</v>
      </c>
      <c r="M5093" s="22" t="str">
        <f t="shared" si="551"/>
        <v>nicoletta.vozza@crm.otsuka-europe.com</v>
      </c>
      <c r="N5093" s="23">
        <v>46181.337997685187</v>
      </c>
      <c r="O5093" s="14" t="str">
        <f>HYPERLINK("https://otsuka-europe-crm.veevavault.com/ui/#object/email_activity__v/V8C00000003O745", "EN-002090301")</f>
        <v>EN-002090301</v>
      </c>
    </row>
    <row r="5094" spans="1:15" ht="16" x14ac:dyDescent="0.2">
      <c r="A5094" s="19"/>
      <c r="B5094" s="19"/>
      <c r="C5094" s="19"/>
      <c r="D5094" s="19"/>
      <c r="E5094" s="19"/>
      <c r="F5094" s="19"/>
      <c r="G5094" s="19"/>
      <c r="H5094" s="19"/>
      <c r="I5094" s="19"/>
      <c r="J5094" s="19"/>
      <c r="K5094" s="19"/>
      <c r="L5094" s="19"/>
      <c r="M5094" s="19"/>
      <c r="N5094" s="19"/>
      <c r="O5094" s="14" t="str">
        <f>HYPERLINK("https://otsuka-europe-crm.veevavault.com/ui/#object/email_activity__v/V8C00000003R026", "EN-002091751")</f>
        <v>EN-002091751</v>
      </c>
    </row>
    <row r="5095" spans="1:15" ht="32" x14ac:dyDescent="0.2">
      <c r="A5095" s="7" t="str">
        <f>HYPERLINK("https://otsuka-europe-crm.veevavault.com/ui/#object/account__v/V4TZ06G6O71SBFA", "STEFANO MARINO")</f>
        <v>STEFANO MARINO</v>
      </c>
      <c r="B5095" s="7" t="str">
        <f>HYPERLINK("https://otsuka-europe-crm.veevavault.com/ui/#object/vcountry__v/VENZ000004SONFQ", "IT")</f>
        <v>IT</v>
      </c>
      <c r="C5095" s="8" t="s">
        <v>44</v>
      </c>
      <c r="D5095" s="9" t="str">
        <f>HYPERLINK("https://otsuka-europe-crm.veevavault.com/ui/#object/approved_document__v/V5O000000018003", "AE dialoghi di tempo fiducia e cura episodi 2-3-4")</f>
        <v>AE dialoghi di tempo fiducia e cura episodi 2-3-4</v>
      </c>
      <c r="E5095" s="10" t="str">
        <f>HYPERLINK("https://otsuka-europe-crm.veevavault.com/ui/#object/sent_email__v/VBL00000002Q184", "SE-001433853")</f>
        <v>SE-001433853</v>
      </c>
      <c r="F5095" s="11"/>
      <c r="G5095" s="12">
        <v>0</v>
      </c>
      <c r="H5095" s="12">
        <v>0</v>
      </c>
      <c r="I5095" s="12">
        <v>0</v>
      </c>
      <c r="J5095" s="11"/>
      <c r="K5095" s="12">
        <v>0</v>
      </c>
      <c r="L5095" s="10" t="str">
        <f>HYPERLINK("https://otsuka-europe-crm.veevavault.com/ui/#object/approved_document__v/V5O000000018003", "AE dialoghi di tempo fiducia e cura episodi 2-3-4")</f>
        <v>AE dialoghi di tempo fiducia e cura episodi 2-3-4</v>
      </c>
      <c r="M5095" s="10" t="str">
        <f>HYPERLINK("mailto:nicoletta.vozza@crm.otsuka-europe.com", "nicoletta.vozza@crm.otsuka-europe.com")</f>
        <v>nicoletta.vozza@crm.otsuka-europe.com</v>
      </c>
      <c r="N5095" s="13">
        <v>46181.338009259256</v>
      </c>
      <c r="O5095" s="14" t="str">
        <f>HYPERLINK("https://otsuka-europe-crm.veevavault.com/ui/#object/email_activity__v/V8C00000003P578", "EN-002090833")</f>
        <v>EN-002090833</v>
      </c>
    </row>
    <row r="5096" spans="1:15" ht="32" x14ac:dyDescent="0.2">
      <c r="A5096" s="7" t="str">
        <f>HYPERLINK("https://otsuka-europe-crm.veevavault.com/ui/#object/account__v/V4TZ06G6O71VPE9", "STEFANO NAIM")</f>
        <v>STEFANO NAIM</v>
      </c>
      <c r="B5096" s="7" t="str">
        <f>HYPERLINK("https://otsuka-europe-crm.veevavault.com/ui/#object/vcountry__v/VENZ000004SONFQ", "IT")</f>
        <v>IT</v>
      </c>
      <c r="C5096" s="8" t="s">
        <v>44</v>
      </c>
      <c r="D5096" s="9" t="str">
        <f>HYPERLINK("https://otsuka-europe-crm.veevavault.com/ui/#object/approved_document__v/V5O000000018003", "AE dialoghi di tempo fiducia e cura episodi 2-3-4")</f>
        <v>AE dialoghi di tempo fiducia e cura episodi 2-3-4</v>
      </c>
      <c r="E5096" s="10" t="str">
        <f>HYPERLINK("https://otsuka-europe-crm.veevavault.com/ui/#object/sent_email__v/VBL00000002Q185", "SE-001433854")</f>
        <v>SE-001433854</v>
      </c>
      <c r="F5096" s="11"/>
      <c r="G5096" s="12">
        <v>0</v>
      </c>
      <c r="H5096" s="12">
        <v>0</v>
      </c>
      <c r="I5096" s="12">
        <v>0</v>
      </c>
      <c r="J5096" s="11"/>
      <c r="K5096" s="12">
        <v>0</v>
      </c>
      <c r="L5096" s="10" t="str">
        <f>HYPERLINK("https://otsuka-europe-crm.veevavault.com/ui/#object/approved_document__v/V5O000000018003", "AE dialoghi di tempo fiducia e cura episodi 2-3-4")</f>
        <v>AE dialoghi di tempo fiducia e cura episodi 2-3-4</v>
      </c>
      <c r="M5096" s="10" t="str">
        <f>HYPERLINK("mailto:nicoletta.vozza@crm.otsuka-europe.com", "nicoletta.vozza@crm.otsuka-europe.com")</f>
        <v>nicoletta.vozza@crm.otsuka-europe.com</v>
      </c>
      <c r="N5096" s="13">
        <v>46181.33797453704</v>
      </c>
      <c r="O5096" s="14" t="str">
        <f>HYPERLINK("https://otsuka-europe-crm.veevavault.com/ui/#object/email_activity__v/V8C00000003O777", "EN-002090437")</f>
        <v>EN-002090437</v>
      </c>
    </row>
    <row r="5097" spans="1:15" ht="32" x14ac:dyDescent="0.2">
      <c r="A5097" s="7" t="str">
        <f>HYPERLINK("https://otsuka-europe-crm.veevavault.com/ui/#object/account__v/V4TZ06G6O71SBO8", "STEFANO NASSINI")</f>
        <v>STEFANO NASSINI</v>
      </c>
      <c r="B5097" s="7" t="str">
        <f>HYPERLINK("https://otsuka-europe-crm.veevavault.com/ui/#object/vcountry__v/VENZ000004SONFQ", "IT")</f>
        <v>IT</v>
      </c>
      <c r="C5097" s="8" t="s">
        <v>44</v>
      </c>
      <c r="D5097" s="9" t="str">
        <f>HYPERLINK("https://otsuka-europe-crm.veevavault.com/ui/#object/approved_document__v/V5O000000018003", "AE dialoghi di tempo fiducia e cura episodi 2-3-4")</f>
        <v>AE dialoghi di tempo fiducia e cura episodi 2-3-4</v>
      </c>
      <c r="E5097" s="10" t="str">
        <f>HYPERLINK("https://otsuka-europe-crm.veevavault.com/ui/#object/sent_email__v/VBL00000002Q186", "SE-001433855")</f>
        <v>SE-001433855</v>
      </c>
      <c r="F5097" s="11"/>
      <c r="G5097" s="12">
        <v>0</v>
      </c>
      <c r="H5097" s="12">
        <v>0</v>
      </c>
      <c r="I5097" s="12">
        <v>0</v>
      </c>
      <c r="J5097" s="11"/>
      <c r="K5097" s="12">
        <v>0</v>
      </c>
      <c r="L5097" s="10" t="str">
        <f>HYPERLINK("https://otsuka-europe-crm.veevavault.com/ui/#object/approved_document__v/V5O000000018003", "AE dialoghi di tempo fiducia e cura episodi 2-3-4")</f>
        <v>AE dialoghi di tempo fiducia e cura episodi 2-3-4</v>
      </c>
      <c r="M5097" s="10" t="str">
        <f>HYPERLINK("mailto:nicoletta.vozza@crm.otsuka-europe.com", "nicoletta.vozza@crm.otsuka-europe.com")</f>
        <v>nicoletta.vozza@crm.otsuka-europe.com</v>
      </c>
      <c r="N5097" s="13">
        <v>46181.337962962964</v>
      </c>
      <c r="O5097" s="14" t="str">
        <f>HYPERLINK("https://otsuka-europe-crm.veevavault.com/ui/#object/email_activity__v/V8C00000003Q277", "EN-002091395")</f>
        <v>EN-002091395</v>
      </c>
    </row>
    <row r="5098" spans="1:15" ht="16" x14ac:dyDescent="0.2">
      <c r="A5098" s="17" t="str">
        <f>HYPERLINK("https://otsuka-europe-crm.veevavault.com/ui/#object/account__v/V4TZ06G6O71SC0E", "STEFANO PILATI")</f>
        <v>STEFANO PILATI</v>
      </c>
      <c r="B5098" s="17" t="str">
        <f>HYPERLINK("https://otsuka-europe-crm.veevavault.com/ui/#object/vcountry__v/VENZ000004SONFQ", "IT")</f>
        <v>IT</v>
      </c>
      <c r="C5098" s="20" t="s">
        <v>44</v>
      </c>
      <c r="D5098" s="21" t="str">
        <f>HYPERLINK("https://otsuka-europe-crm.veevavault.com/ui/#object/approved_document__v/V5O000000018003", "AE dialoghi di tempo fiducia e cura episodi 2-3-4")</f>
        <v>AE dialoghi di tempo fiducia e cura episodi 2-3-4</v>
      </c>
      <c r="E5098" s="22" t="str">
        <f>HYPERLINK("https://otsuka-europe-crm.veevavault.com/ui/#object/sent_email__v/VBL00000002Q187", "SE-001433856")</f>
        <v>SE-001433856</v>
      </c>
      <c r="F5098" s="25"/>
      <c r="G5098" s="24">
        <v>0</v>
      </c>
      <c r="H5098" s="24">
        <v>0</v>
      </c>
      <c r="I5098" s="24">
        <v>0</v>
      </c>
      <c r="J5098" s="25"/>
      <c r="K5098" s="24">
        <v>0</v>
      </c>
      <c r="L5098" s="22" t="str">
        <f>HYPERLINK("https://otsuka-europe-crm.veevavault.com/ui/#object/approved_document__v/V5O000000018003", "AE dialoghi di tempo fiducia e cura episodi 2-3-4")</f>
        <v>AE dialoghi di tempo fiducia e cura episodi 2-3-4</v>
      </c>
      <c r="M5098" s="22" t="str">
        <f>HYPERLINK("mailto:nicoletta.vozza@crm.otsuka-europe.com", "nicoletta.vozza@crm.otsuka-europe.com")</f>
        <v>nicoletta.vozza@crm.otsuka-europe.com</v>
      </c>
      <c r="N5098" s="23">
        <v>46181.33798611111</v>
      </c>
      <c r="O5098" s="14" t="str">
        <f>HYPERLINK("https://otsuka-europe-crm.veevavault.com/ui/#object/email_activity__v/V8C00000003O219", "EN-002089696")</f>
        <v>EN-002089696</v>
      </c>
    </row>
    <row r="5099" spans="1:15" ht="16" x14ac:dyDescent="0.2">
      <c r="A5099" s="19"/>
      <c r="B5099" s="19"/>
      <c r="C5099" s="19"/>
      <c r="D5099" s="19"/>
      <c r="E5099" s="19"/>
      <c r="F5099" s="19"/>
      <c r="G5099" s="19"/>
      <c r="H5099" s="19"/>
      <c r="I5099" s="19"/>
      <c r="J5099" s="19"/>
      <c r="K5099" s="19"/>
      <c r="L5099" s="19"/>
      <c r="M5099" s="19"/>
      <c r="N5099" s="19"/>
      <c r="O5099" s="14" t="str">
        <f>HYPERLINK("https://otsuka-europe-crm.veevavault.com/ui/#object/email_activity__v/V8C00000003Q732", "EN-002092294")</f>
        <v>EN-002092294</v>
      </c>
    </row>
    <row r="5100" spans="1:15" ht="32" x14ac:dyDescent="0.2">
      <c r="A5100" s="7" t="str">
        <f>HYPERLINK("https://otsuka-europe-crm.veevavault.com/ui/#object/account__v/V4TZ06G6O71SC0P", "STEFANO PIOTTI")</f>
        <v>STEFANO PIOTTI</v>
      </c>
      <c r="B5100" s="7" t="str">
        <f>HYPERLINK("https://otsuka-europe-crm.veevavault.com/ui/#object/vcountry__v/VENZ000004SONFQ", "IT")</f>
        <v>IT</v>
      </c>
      <c r="C5100" s="8" t="s">
        <v>44</v>
      </c>
      <c r="D5100" s="9" t="str">
        <f>HYPERLINK("https://otsuka-europe-crm.veevavault.com/ui/#object/approved_document__v/V5O000000018003", "AE dialoghi di tempo fiducia e cura episodi 2-3-4")</f>
        <v>AE dialoghi di tempo fiducia e cura episodi 2-3-4</v>
      </c>
      <c r="E5100" s="10" t="str">
        <f>HYPERLINK("https://otsuka-europe-crm.veevavault.com/ui/#object/sent_email__v/VBL00000002Q188", "SE-001433857")</f>
        <v>SE-001433857</v>
      </c>
      <c r="F5100" s="11"/>
      <c r="G5100" s="12">
        <v>0</v>
      </c>
      <c r="H5100" s="12">
        <v>0</v>
      </c>
      <c r="I5100" s="12">
        <v>0</v>
      </c>
      <c r="J5100" s="11"/>
      <c r="K5100" s="12">
        <v>0</v>
      </c>
      <c r="L5100" s="10" t="str">
        <f>HYPERLINK("https://otsuka-europe-crm.veevavault.com/ui/#object/approved_document__v/V5O000000018003", "AE dialoghi di tempo fiducia e cura episodi 2-3-4")</f>
        <v>AE dialoghi di tempo fiducia e cura episodi 2-3-4</v>
      </c>
      <c r="M5100" s="10" t="str">
        <f>HYPERLINK("mailto:nicoletta.vozza@crm.otsuka-europe.com", "nicoletta.vozza@crm.otsuka-europe.com")</f>
        <v>nicoletta.vozza@crm.otsuka-europe.com</v>
      </c>
      <c r="N5100" s="13">
        <v>46181.338020833333</v>
      </c>
      <c r="O5100" s="14" t="str">
        <f>HYPERLINK("https://otsuka-europe-crm.veevavault.com/ui/#object/email_activity__v/V8C00000003P521", "EN-002090776")</f>
        <v>EN-002090776</v>
      </c>
    </row>
    <row r="5101" spans="1:15" ht="32" x14ac:dyDescent="0.2">
      <c r="A5101" s="7" t="str">
        <f>HYPERLINK("https://otsuka-europe-crm.veevavault.com/ui/#object/account__v/V4TZ06G6O71SC47", "STEFANO ROCCATO")</f>
        <v>STEFANO ROCCATO</v>
      </c>
      <c r="B5101" s="7" t="str">
        <f>HYPERLINK("https://otsuka-europe-crm.veevavault.com/ui/#object/vcountry__v/VENZ000004SONFQ", "IT")</f>
        <v>IT</v>
      </c>
      <c r="C5101" s="8" t="s">
        <v>44</v>
      </c>
      <c r="D5101" s="9" t="str">
        <f>HYPERLINK("https://otsuka-europe-crm.veevavault.com/ui/#object/approved_document__v/V5O000000018003", "AE dialoghi di tempo fiducia e cura episodi 2-3-4")</f>
        <v>AE dialoghi di tempo fiducia e cura episodi 2-3-4</v>
      </c>
      <c r="E5101" s="10" t="str">
        <f>HYPERLINK("https://otsuka-europe-crm.veevavault.com/ui/#object/sent_email__v/VBL00000002Q189", "SE-001433858")</f>
        <v>SE-001433858</v>
      </c>
      <c r="F5101" s="11"/>
      <c r="G5101" s="12">
        <v>0</v>
      </c>
      <c r="H5101" s="12">
        <v>0</v>
      </c>
      <c r="I5101" s="12">
        <v>0</v>
      </c>
      <c r="J5101" s="11"/>
      <c r="K5101" s="12">
        <v>0</v>
      </c>
      <c r="L5101" s="10" t="str">
        <f>HYPERLINK("https://otsuka-europe-crm.veevavault.com/ui/#object/approved_document__v/V5O000000018003", "AE dialoghi di tempo fiducia e cura episodi 2-3-4")</f>
        <v>AE dialoghi di tempo fiducia e cura episodi 2-3-4</v>
      </c>
      <c r="M5101" s="10" t="str">
        <f>HYPERLINK("mailto:nicoletta.vozza@crm.otsuka-europe.com", "nicoletta.vozza@crm.otsuka-europe.com")</f>
        <v>nicoletta.vozza@crm.otsuka-europe.com</v>
      </c>
      <c r="N5101" s="13">
        <v>46181.337997685187</v>
      </c>
      <c r="O5101" s="14" t="str">
        <f>HYPERLINK("https://otsuka-europe-crm.veevavault.com/ui/#object/email_activity__v/V8C00000003O511", "EN-002090067")</f>
        <v>EN-002090067</v>
      </c>
    </row>
    <row r="5102" spans="1:15" ht="32" x14ac:dyDescent="0.2">
      <c r="A5102" s="7" t="str">
        <f>HYPERLINK("https://otsuka-europe-crm.veevavault.com/ui/#object/account__v/V4TZ06G6O71SC96", "STEFANO SANTARELLI")</f>
        <v>STEFANO SANTARELLI</v>
      </c>
      <c r="B5102" s="7" t="str">
        <f>HYPERLINK("https://otsuka-europe-crm.veevavault.com/ui/#object/vcountry__v/VENZ000004SONFQ", "IT")</f>
        <v>IT</v>
      </c>
      <c r="C5102" s="8" t="s">
        <v>44</v>
      </c>
      <c r="D5102" s="9" t="str">
        <f>HYPERLINK("https://otsuka-europe-crm.veevavault.com/ui/#object/approved_document__v/V5O000000018003", "AE dialoghi di tempo fiducia e cura episodi 2-3-4")</f>
        <v>AE dialoghi di tempo fiducia e cura episodi 2-3-4</v>
      </c>
      <c r="E5102" s="10" t="str">
        <f>HYPERLINK("https://otsuka-europe-crm.veevavault.com/ui/#object/sent_email__v/VBL00000002Q190", "SE-001433859")</f>
        <v>SE-001433859</v>
      </c>
      <c r="F5102" s="11"/>
      <c r="G5102" s="12">
        <v>0</v>
      </c>
      <c r="H5102" s="12">
        <v>0</v>
      </c>
      <c r="I5102" s="12">
        <v>0</v>
      </c>
      <c r="J5102" s="11"/>
      <c r="K5102" s="12">
        <v>0</v>
      </c>
      <c r="L5102" s="10" t="str">
        <f>HYPERLINK("https://otsuka-europe-crm.veevavault.com/ui/#object/approved_document__v/V5O000000018003", "AE dialoghi di tempo fiducia e cura episodi 2-3-4")</f>
        <v>AE dialoghi di tempo fiducia e cura episodi 2-3-4</v>
      </c>
      <c r="M5102" s="10" t="str">
        <f>HYPERLINK("mailto:nicoletta.vozza@crm.otsuka-europe.com", "nicoletta.vozza@crm.otsuka-europe.com")</f>
        <v>nicoletta.vozza@crm.otsuka-europe.com</v>
      </c>
      <c r="N5102" s="13">
        <v>46181.338067129633</v>
      </c>
      <c r="O5102" s="14" t="str">
        <f>HYPERLINK("https://otsuka-europe-crm.veevavault.com/ui/#object/email_activity__v/V8C00000003Q212", "EN-002091318")</f>
        <v>EN-002091318</v>
      </c>
    </row>
    <row r="5103" spans="1:15" ht="16" x14ac:dyDescent="0.2">
      <c r="A5103" s="17" t="str">
        <f>HYPERLINK("https://otsuka-europe-crm.veevavault.com/ui/#object/account__v/V4TZ06G6O71S9PH", "STELLA MARIS DE MARCO")</f>
        <v>STELLA MARIS DE MARCO</v>
      </c>
      <c r="B5103" s="17" t="str">
        <f>HYPERLINK("https://otsuka-europe-crm.veevavault.com/ui/#object/vcountry__v/VENZ000004SONFQ", "IT")</f>
        <v>IT</v>
      </c>
      <c r="C5103" s="20" t="s">
        <v>44</v>
      </c>
      <c r="D5103" s="21" t="str">
        <f>HYPERLINK("https://otsuka-europe-crm.veevavault.com/ui/#object/approved_document__v/V5O000000018003", "AE dialoghi di tempo fiducia e cura episodi 2-3-4")</f>
        <v>AE dialoghi di tempo fiducia e cura episodi 2-3-4</v>
      </c>
      <c r="E5103" s="22" t="str">
        <f>HYPERLINK("https://otsuka-europe-crm.veevavault.com/ui/#object/sent_email__v/VBL00000002Q191", "SE-001433860")</f>
        <v>SE-001433860</v>
      </c>
      <c r="F5103" s="25"/>
      <c r="G5103" s="24">
        <v>0</v>
      </c>
      <c r="H5103" s="24">
        <v>0</v>
      </c>
      <c r="I5103" s="24">
        <v>0</v>
      </c>
      <c r="J5103" s="25"/>
      <c r="K5103" s="24">
        <v>0</v>
      </c>
      <c r="L5103" s="22" t="str">
        <f>HYPERLINK("https://otsuka-europe-crm.veevavault.com/ui/#object/approved_document__v/V5O000000018003", "AE dialoghi di tempo fiducia e cura episodi 2-3-4")</f>
        <v>AE dialoghi di tempo fiducia e cura episodi 2-3-4</v>
      </c>
      <c r="M5103" s="22" t="str">
        <f>HYPERLINK("mailto:nicoletta.vozza@crm.otsuka-europe.com", "nicoletta.vozza@crm.otsuka-europe.com")</f>
        <v>nicoletta.vozza@crm.otsuka-europe.com</v>
      </c>
      <c r="N5103" s="23">
        <v>46181.33803240741</v>
      </c>
      <c r="O5103" s="14" t="str">
        <f>HYPERLINK("https://otsuka-europe-crm.veevavault.com/ui/#object/email_activity__v/V8C00000003P237", "EN-002089683")</f>
        <v>EN-002089683</v>
      </c>
    </row>
    <row r="5104" spans="1:15" ht="16" x14ac:dyDescent="0.2">
      <c r="A5104" s="18"/>
      <c r="B5104" s="18"/>
      <c r="C5104" s="18"/>
      <c r="D5104" s="18"/>
      <c r="E5104" s="18"/>
      <c r="F5104" s="18"/>
      <c r="G5104" s="18"/>
      <c r="H5104" s="18"/>
      <c r="I5104" s="18"/>
      <c r="J5104" s="18"/>
      <c r="K5104" s="18"/>
      <c r="L5104" s="18"/>
      <c r="M5104" s="18"/>
      <c r="N5104" s="18"/>
      <c r="O5104" s="14" t="str">
        <f>HYPERLINK("https://otsuka-europe-crm.veevavault.com/ui/#object/email_activity__v/V8C00000003V714", "EN-002096223")</f>
        <v>EN-002096223</v>
      </c>
    </row>
    <row r="5105" spans="1:15" ht="16" x14ac:dyDescent="0.2">
      <c r="A5105" s="19"/>
      <c r="B5105" s="19"/>
      <c r="C5105" s="19"/>
      <c r="D5105" s="19"/>
      <c r="E5105" s="19"/>
      <c r="F5105" s="19"/>
      <c r="G5105" s="19"/>
      <c r="H5105" s="19"/>
      <c r="I5105" s="19"/>
      <c r="J5105" s="19"/>
      <c r="K5105" s="19"/>
      <c r="L5105" s="19"/>
      <c r="M5105" s="19"/>
      <c r="N5105" s="19"/>
      <c r="O5105" s="14" t="str">
        <f>HYPERLINK("https://otsuka-europe-crm.veevavault.com/ui/#object/email_activity__v/V8C000000041691", "EN-002101064")</f>
        <v>EN-002101064</v>
      </c>
    </row>
    <row r="5106" spans="1:15" ht="32" x14ac:dyDescent="0.2">
      <c r="A5106" s="7" t="str">
        <f>HYPERLINK("https://otsuka-europe-crm.veevavault.com/ui/#object/account__v/V4TZ06G6O71VPHQ", "STELLA ROSSON")</f>
        <v>STELLA ROSSON</v>
      </c>
      <c r="B5106" s="7" t="str">
        <f>HYPERLINK("https://otsuka-europe-crm.veevavault.com/ui/#object/vcountry__v/VENZ000004SONFQ", "IT")</f>
        <v>IT</v>
      </c>
      <c r="C5106" s="8" t="s">
        <v>44</v>
      </c>
      <c r="D5106" s="9" t="str">
        <f>HYPERLINK("https://otsuka-europe-crm.veevavault.com/ui/#object/approved_document__v/V5O000000018003", "AE dialoghi di tempo fiducia e cura episodi 2-3-4")</f>
        <v>AE dialoghi di tempo fiducia e cura episodi 2-3-4</v>
      </c>
      <c r="E5106" s="10" t="str">
        <f>HYPERLINK("https://otsuka-europe-crm.veevavault.com/ui/#object/sent_email__v/VBL00000002Q192", "SE-001433861")</f>
        <v>SE-001433861</v>
      </c>
      <c r="F5106" s="11"/>
      <c r="G5106" s="12">
        <v>0</v>
      </c>
      <c r="H5106" s="12">
        <v>0</v>
      </c>
      <c r="I5106" s="12">
        <v>0</v>
      </c>
      <c r="J5106" s="11"/>
      <c r="K5106" s="12">
        <v>0</v>
      </c>
      <c r="L5106" s="10" t="str">
        <f>HYPERLINK("https://otsuka-europe-crm.veevavault.com/ui/#object/approved_document__v/V5O000000018003", "AE dialoghi di tempo fiducia e cura episodi 2-3-4")</f>
        <v>AE dialoghi di tempo fiducia e cura episodi 2-3-4</v>
      </c>
      <c r="M5106" s="10" t="str">
        <f>HYPERLINK("mailto:nicoletta.vozza@crm.otsuka-europe.com", "nicoletta.vozza@crm.otsuka-europe.com")</f>
        <v>nicoletta.vozza@crm.otsuka-europe.com</v>
      </c>
      <c r="N5106" s="13">
        <v>46181.33798611111</v>
      </c>
      <c r="O5106" s="14" t="str">
        <f>HYPERLINK("https://otsuka-europe-crm.veevavault.com/ui/#object/email_activity__v/V8C00000003P559", "EN-002090814")</f>
        <v>EN-002090814</v>
      </c>
    </row>
    <row r="5107" spans="1:15" ht="16" x14ac:dyDescent="0.2">
      <c r="A5107" s="17" t="str">
        <f>HYPERLINK("https://otsuka-europe-crm.veevavault.com/ui/#object/account__v/V4TZ06G6O71SBFQ", "SUSANNA MAROZIO")</f>
        <v>SUSANNA MAROZIO</v>
      </c>
      <c r="B5107" s="17" t="str">
        <f>HYPERLINK("https://otsuka-europe-crm.veevavault.com/ui/#object/vcountry__v/VENZ000004SONFQ", "IT")</f>
        <v>IT</v>
      </c>
      <c r="C5107" s="20" t="s">
        <v>44</v>
      </c>
      <c r="D5107" s="21" t="str">
        <f>HYPERLINK("https://otsuka-europe-crm.veevavault.com/ui/#object/approved_document__v/V5O000000018003", "AE dialoghi di tempo fiducia e cura episodi 2-3-4")</f>
        <v>AE dialoghi di tempo fiducia e cura episodi 2-3-4</v>
      </c>
      <c r="E5107" s="22" t="str">
        <f>HYPERLINK("https://otsuka-europe-crm.veevavault.com/ui/#object/sent_email__v/VBL00000002Q193", "SE-001433862")</f>
        <v>SE-001433862</v>
      </c>
      <c r="F5107" s="23">
        <v>46187.74658564815</v>
      </c>
      <c r="G5107" s="24">
        <v>1</v>
      </c>
      <c r="H5107" s="24">
        <v>2</v>
      </c>
      <c r="I5107" s="24">
        <v>0</v>
      </c>
      <c r="J5107" s="25"/>
      <c r="K5107" s="24">
        <v>0</v>
      </c>
      <c r="L5107" s="22" t="str">
        <f>HYPERLINK("https://otsuka-europe-crm.veevavault.com/ui/#object/approved_document__v/V5O000000018003", "AE dialoghi di tempo fiducia e cura episodi 2-3-4")</f>
        <v>AE dialoghi di tempo fiducia e cura episodi 2-3-4</v>
      </c>
      <c r="M5107" s="22" t="str">
        <f>HYPERLINK("mailto:nicoletta.vozza@crm.otsuka-europe.com", "nicoletta.vozza@crm.otsuka-europe.com")</f>
        <v>nicoletta.vozza@crm.otsuka-europe.com</v>
      </c>
      <c r="N5107" s="23">
        <v>46181.337997685187</v>
      </c>
      <c r="O5107" s="14" t="str">
        <f>HYPERLINK("https://otsuka-europe-crm.veevavault.com/ui/#object/email_activity__v/V8C00000003P564", "EN-002090819")</f>
        <v>EN-002090819</v>
      </c>
    </row>
    <row r="5108" spans="1:15" ht="16" x14ac:dyDescent="0.2">
      <c r="A5108" s="18"/>
      <c r="B5108" s="18"/>
      <c r="C5108" s="18"/>
      <c r="D5108" s="18"/>
      <c r="E5108" s="18"/>
      <c r="F5108" s="18"/>
      <c r="G5108" s="18"/>
      <c r="H5108" s="18"/>
      <c r="I5108" s="18"/>
      <c r="J5108" s="18"/>
      <c r="K5108" s="18"/>
      <c r="L5108" s="18"/>
      <c r="M5108" s="18"/>
      <c r="N5108" s="18"/>
      <c r="O5108" s="14" t="str">
        <f>HYPERLINK("https://otsuka-europe-crm.veevavault.com/ui/#object/email_activity__v/V8C00000003U428", "EN-002095712")</f>
        <v>EN-002095712</v>
      </c>
    </row>
    <row r="5109" spans="1:15" ht="16" x14ac:dyDescent="0.2">
      <c r="A5109" s="19"/>
      <c r="B5109" s="19"/>
      <c r="C5109" s="19"/>
      <c r="D5109" s="19"/>
      <c r="E5109" s="19"/>
      <c r="F5109" s="19"/>
      <c r="G5109" s="19"/>
      <c r="H5109" s="19"/>
      <c r="I5109" s="19"/>
      <c r="J5109" s="19"/>
      <c r="K5109" s="19"/>
      <c r="L5109" s="19"/>
      <c r="M5109" s="19"/>
      <c r="N5109" s="19"/>
      <c r="O5109" s="14" t="str">
        <f>HYPERLINK("https://otsuka-europe-crm.veevavault.com/ui/#object/email_activity__v/V8C00000003U429", "EN-002095713")</f>
        <v>EN-002095713</v>
      </c>
    </row>
    <row r="5110" spans="1:15" ht="32" x14ac:dyDescent="0.2">
      <c r="A5110" s="7" t="str">
        <f>HYPERLINK("https://otsuka-europe-crm.veevavault.com/ui/#object/account__v/V4TZ04ASGE7AJOA", "SUSANNA PIACENTI")</f>
        <v>SUSANNA PIACENTI</v>
      </c>
      <c r="B5110" s="7" t="str">
        <f t="shared" ref="B5110:B5116" si="552">HYPERLINK("https://otsuka-europe-crm.veevavault.com/ui/#object/vcountry__v/VENZ000004SONFQ", "IT")</f>
        <v>IT</v>
      </c>
      <c r="C5110" s="8" t="s">
        <v>44</v>
      </c>
      <c r="D5110" s="9" t="str">
        <f t="shared" ref="D5110:D5116" si="553">HYPERLINK("https://otsuka-europe-crm.veevavault.com/ui/#object/approved_document__v/V5O000000018003", "AE dialoghi di tempo fiducia e cura episodi 2-3-4")</f>
        <v>AE dialoghi di tempo fiducia e cura episodi 2-3-4</v>
      </c>
      <c r="E5110" s="10" t="str">
        <f>HYPERLINK("https://otsuka-europe-crm.veevavault.com/ui/#object/sent_email__v/VBL00000002Q194", "SE-001433863")</f>
        <v>SE-001433863</v>
      </c>
      <c r="F5110" s="11"/>
      <c r="G5110" s="12">
        <v>0</v>
      </c>
      <c r="H5110" s="12">
        <v>0</v>
      </c>
      <c r="I5110" s="12">
        <v>0</v>
      </c>
      <c r="J5110" s="11"/>
      <c r="K5110" s="12">
        <v>0</v>
      </c>
      <c r="L5110" s="10" t="str">
        <f t="shared" ref="L5110:L5116" si="554">HYPERLINK("https://otsuka-europe-crm.veevavault.com/ui/#object/approved_document__v/V5O000000018003", "AE dialoghi di tempo fiducia e cura episodi 2-3-4")</f>
        <v>AE dialoghi di tempo fiducia e cura episodi 2-3-4</v>
      </c>
      <c r="M5110" s="10" t="str">
        <f t="shared" ref="M5110:M5116" si="555">HYPERLINK("mailto:nicoletta.vozza@crm.otsuka-europe.com", "nicoletta.vozza@crm.otsuka-europe.com")</f>
        <v>nicoletta.vozza@crm.otsuka-europe.com</v>
      </c>
      <c r="N5110" s="13">
        <v>46181.33798611111</v>
      </c>
      <c r="O5110" s="14" t="str">
        <f>HYPERLINK("https://otsuka-europe-crm.veevavault.com/ui/#object/email_activity__v/V8C00000003P554", "EN-002090809")</f>
        <v>EN-002090809</v>
      </c>
    </row>
    <row r="5111" spans="1:15" ht="32" x14ac:dyDescent="0.2">
      <c r="A5111" s="7" t="str">
        <f>HYPERLINK("https://otsuka-europe-crm.veevavault.com/ui/#object/account__v/V4TZ06G6O71SC30", "SYLVIA RIGARDETTO")</f>
        <v>SYLVIA RIGARDETTO</v>
      </c>
      <c r="B5111" s="7" t="str">
        <f t="shared" si="552"/>
        <v>IT</v>
      </c>
      <c r="C5111" s="8" t="s">
        <v>44</v>
      </c>
      <c r="D5111" s="9" t="str">
        <f t="shared" si="553"/>
        <v>AE dialoghi di tempo fiducia e cura episodi 2-3-4</v>
      </c>
      <c r="E5111" s="10" t="str">
        <f>HYPERLINK("https://otsuka-europe-crm.veevavault.com/ui/#object/sent_email__v/VBL00000002Q195", "SE-001433864")</f>
        <v>SE-001433864</v>
      </c>
      <c r="F5111" s="11"/>
      <c r="G5111" s="12">
        <v>0</v>
      </c>
      <c r="H5111" s="12">
        <v>0</v>
      </c>
      <c r="I5111" s="12">
        <v>0</v>
      </c>
      <c r="J5111" s="11"/>
      <c r="K5111" s="12">
        <v>0</v>
      </c>
      <c r="L5111" s="10" t="str">
        <f t="shared" si="554"/>
        <v>AE dialoghi di tempo fiducia e cura episodi 2-3-4</v>
      </c>
      <c r="M5111" s="10" t="str">
        <f t="shared" si="555"/>
        <v>nicoletta.vozza@crm.otsuka-europe.com</v>
      </c>
      <c r="N5111" s="13">
        <v>46181.33803240741</v>
      </c>
      <c r="O5111" s="14" t="str">
        <f>HYPERLINK("https://otsuka-europe-crm.veevavault.com/ui/#object/email_activity__v/V8C00000003O682", "EN-002090238")</f>
        <v>EN-002090238</v>
      </c>
    </row>
    <row r="5112" spans="1:15" ht="32" x14ac:dyDescent="0.2">
      <c r="A5112" s="7" t="str">
        <f>HYPERLINK("https://otsuka-europe-crm.veevavault.com/ui/#object/account__v/V4TZ06G6O71SAO0", "TANIA GAMBERONI")</f>
        <v>TANIA GAMBERONI</v>
      </c>
      <c r="B5112" s="7" t="str">
        <f t="shared" si="552"/>
        <v>IT</v>
      </c>
      <c r="C5112" s="8" t="s">
        <v>44</v>
      </c>
      <c r="D5112" s="9" t="str">
        <f t="shared" si="553"/>
        <v>AE dialoghi di tempo fiducia e cura episodi 2-3-4</v>
      </c>
      <c r="E5112" s="10" t="str">
        <f>HYPERLINK("https://otsuka-europe-crm.veevavault.com/ui/#object/sent_email__v/VBL00000002Q196", "SE-001433865")</f>
        <v>SE-001433865</v>
      </c>
      <c r="F5112" s="11"/>
      <c r="G5112" s="12">
        <v>0</v>
      </c>
      <c r="H5112" s="12">
        <v>0</v>
      </c>
      <c r="I5112" s="12">
        <v>0</v>
      </c>
      <c r="J5112" s="11"/>
      <c r="K5112" s="12">
        <v>0</v>
      </c>
      <c r="L5112" s="10" t="str">
        <f t="shared" si="554"/>
        <v>AE dialoghi di tempo fiducia e cura episodi 2-3-4</v>
      </c>
      <c r="M5112" s="10" t="str">
        <f t="shared" si="555"/>
        <v>nicoletta.vozza@crm.otsuka-europe.com</v>
      </c>
      <c r="N5112" s="13">
        <v>46181.338043981479</v>
      </c>
      <c r="O5112" s="14" t="str">
        <f>HYPERLINK("https://otsuka-europe-crm.veevavault.com/ui/#object/email_activity__v/V8C00000003O445", "EN-002090001")</f>
        <v>EN-002090001</v>
      </c>
    </row>
    <row r="5113" spans="1:15" ht="32" x14ac:dyDescent="0.2">
      <c r="A5113" s="7" t="str">
        <f>HYPERLINK("https://otsuka-europe-crm.veevavault.com/ui/#object/account__v/V4TZ06G6O71SC32", "TARCISIO RICCHI")</f>
        <v>TARCISIO RICCHI</v>
      </c>
      <c r="B5113" s="7" t="str">
        <f t="shared" si="552"/>
        <v>IT</v>
      </c>
      <c r="C5113" s="8" t="s">
        <v>44</v>
      </c>
      <c r="D5113" s="9" t="str">
        <f t="shared" si="553"/>
        <v>AE dialoghi di tempo fiducia e cura episodi 2-3-4</v>
      </c>
      <c r="E5113" s="10" t="str">
        <f>HYPERLINK("https://otsuka-europe-crm.veevavault.com/ui/#object/sent_email__v/VBL00000002Q197", "SE-001433866")</f>
        <v>SE-001433866</v>
      </c>
      <c r="F5113" s="11"/>
      <c r="G5113" s="12">
        <v>0</v>
      </c>
      <c r="H5113" s="12">
        <v>0</v>
      </c>
      <c r="I5113" s="12">
        <v>0</v>
      </c>
      <c r="J5113" s="11"/>
      <c r="K5113" s="12">
        <v>0</v>
      </c>
      <c r="L5113" s="10" t="str">
        <f t="shared" si="554"/>
        <v>AE dialoghi di tempo fiducia e cura episodi 2-3-4</v>
      </c>
      <c r="M5113" s="10" t="str">
        <f t="shared" si="555"/>
        <v>nicoletta.vozza@crm.otsuka-europe.com</v>
      </c>
      <c r="N5113" s="13">
        <v>46181.338020833333</v>
      </c>
      <c r="O5113" s="14" t="str">
        <f>HYPERLINK("https://otsuka-europe-crm.veevavault.com/ui/#object/email_activity__v/V8C00000003P585", "EN-002090840")</f>
        <v>EN-002090840</v>
      </c>
    </row>
    <row r="5114" spans="1:15" ht="32" x14ac:dyDescent="0.2">
      <c r="A5114" s="7" t="str">
        <f>HYPERLINK("https://otsuka-europe-crm.veevavault.com/ui/#object/account__v/V4TZ025E85G1A2T", "TEA FLORIO")</f>
        <v>TEA FLORIO</v>
      </c>
      <c r="B5114" s="7" t="str">
        <f t="shared" si="552"/>
        <v>IT</v>
      </c>
      <c r="C5114" s="8" t="s">
        <v>44</v>
      </c>
      <c r="D5114" s="9" t="str">
        <f t="shared" si="553"/>
        <v>AE dialoghi di tempo fiducia e cura episodi 2-3-4</v>
      </c>
      <c r="E5114" s="10" t="str">
        <f>HYPERLINK("https://otsuka-europe-crm.veevavault.com/ui/#object/sent_email__v/VBL00000002Q198", "SE-001433867")</f>
        <v>SE-001433867</v>
      </c>
      <c r="F5114" s="11"/>
      <c r="G5114" s="12">
        <v>0</v>
      </c>
      <c r="H5114" s="12">
        <v>0</v>
      </c>
      <c r="I5114" s="12">
        <v>0</v>
      </c>
      <c r="J5114" s="11"/>
      <c r="K5114" s="12">
        <v>0</v>
      </c>
      <c r="L5114" s="10" t="str">
        <f t="shared" si="554"/>
        <v>AE dialoghi di tempo fiducia e cura episodi 2-3-4</v>
      </c>
      <c r="M5114" s="10" t="str">
        <f t="shared" si="555"/>
        <v>nicoletta.vozza@crm.otsuka-europe.com</v>
      </c>
      <c r="N5114" s="13">
        <v>46181.33803240741</v>
      </c>
      <c r="O5114" s="14" t="str">
        <f>HYPERLINK("https://otsuka-europe-crm.veevavault.com/ui/#object/email_activity__v/V8C00000003O717", "EN-002090273")</f>
        <v>EN-002090273</v>
      </c>
    </row>
    <row r="5115" spans="1:15" ht="32" x14ac:dyDescent="0.2">
      <c r="A5115" s="7" t="str">
        <f>HYPERLINK("https://otsuka-europe-crm.veevavault.com/ui/#object/account__v/V4TZ04ASGG55ZZY", "TEA IVALDI")</f>
        <v>TEA IVALDI</v>
      </c>
      <c r="B5115" s="7" t="str">
        <f t="shared" si="552"/>
        <v>IT</v>
      </c>
      <c r="C5115" s="8" t="s">
        <v>44</v>
      </c>
      <c r="D5115" s="9" t="str">
        <f t="shared" si="553"/>
        <v>AE dialoghi di tempo fiducia e cura episodi 2-3-4</v>
      </c>
      <c r="E5115" s="10" t="str">
        <f>HYPERLINK("https://otsuka-europe-crm.veevavault.com/ui/#object/sent_email__v/VBL00000002Q199", "SE-001433868")</f>
        <v>SE-001433868</v>
      </c>
      <c r="F5115" s="11"/>
      <c r="G5115" s="12">
        <v>0</v>
      </c>
      <c r="H5115" s="12">
        <v>0</v>
      </c>
      <c r="I5115" s="12">
        <v>0</v>
      </c>
      <c r="J5115" s="11"/>
      <c r="K5115" s="12">
        <v>0</v>
      </c>
      <c r="L5115" s="10" t="str">
        <f t="shared" si="554"/>
        <v>AE dialoghi di tempo fiducia e cura episodi 2-3-4</v>
      </c>
      <c r="M5115" s="10" t="str">
        <f t="shared" si="555"/>
        <v>nicoletta.vozza@crm.otsuka-europe.com</v>
      </c>
      <c r="N5115" s="13">
        <v>46181.33798611111</v>
      </c>
      <c r="O5115" s="14" t="str">
        <f>HYPERLINK("https://otsuka-europe-crm.veevavault.com/ui/#object/email_activity__v/V8C00000003O408", "EN-002089964")</f>
        <v>EN-002089964</v>
      </c>
    </row>
    <row r="5116" spans="1:15" ht="16" x14ac:dyDescent="0.2">
      <c r="A5116" s="17" t="str">
        <f>HYPERLINK("https://otsuka-europe-crm.veevavault.com/ui/#object/account__v/V4TZ06G6O71S9JD", "TERESA CAMPANA")</f>
        <v>TERESA CAMPANA</v>
      </c>
      <c r="B5116" s="17" t="str">
        <f t="shared" si="552"/>
        <v>IT</v>
      </c>
      <c r="C5116" s="20" t="s">
        <v>44</v>
      </c>
      <c r="D5116" s="21" t="str">
        <f t="shared" si="553"/>
        <v>AE dialoghi di tempo fiducia e cura episodi 2-3-4</v>
      </c>
      <c r="E5116" s="22" t="str">
        <f>HYPERLINK("https://otsuka-europe-crm.veevavault.com/ui/#object/sent_email__v/VBL00000002Q200", "SE-001433869")</f>
        <v>SE-001433869</v>
      </c>
      <c r="F5116" s="25"/>
      <c r="G5116" s="24">
        <v>0</v>
      </c>
      <c r="H5116" s="24">
        <v>0</v>
      </c>
      <c r="I5116" s="24">
        <v>0</v>
      </c>
      <c r="J5116" s="25"/>
      <c r="K5116" s="24">
        <v>0</v>
      </c>
      <c r="L5116" s="22" t="str">
        <f t="shared" si="554"/>
        <v>AE dialoghi di tempo fiducia e cura episodi 2-3-4</v>
      </c>
      <c r="M5116" s="22" t="str">
        <f t="shared" si="555"/>
        <v>nicoletta.vozza@crm.otsuka-europe.com</v>
      </c>
      <c r="N5116" s="23">
        <v>46181.337939814817</v>
      </c>
      <c r="O5116" s="14" t="str">
        <f>HYPERLINK("https://otsuka-europe-crm.veevavault.com/ui/#object/email_activity__v/V8C00000003P381", "EN-002090387")</f>
        <v>EN-002090387</v>
      </c>
    </row>
    <row r="5117" spans="1:15" ht="16" x14ac:dyDescent="0.2">
      <c r="A5117" s="18"/>
      <c r="B5117" s="18"/>
      <c r="C5117" s="18"/>
      <c r="D5117" s="18"/>
      <c r="E5117" s="18"/>
      <c r="F5117" s="18"/>
      <c r="G5117" s="18"/>
      <c r="H5117" s="18"/>
      <c r="I5117" s="18"/>
      <c r="J5117" s="18"/>
      <c r="K5117" s="18"/>
      <c r="L5117" s="18"/>
      <c r="M5117" s="18"/>
      <c r="N5117" s="18"/>
      <c r="O5117" s="14" t="str">
        <f>HYPERLINK("https://otsuka-europe-crm.veevavault.com/ui/#object/email_activity__v/V8C00000003Q459", "EN-002091698")</f>
        <v>EN-002091698</v>
      </c>
    </row>
    <row r="5118" spans="1:15" ht="16" x14ac:dyDescent="0.2">
      <c r="A5118" s="19"/>
      <c r="B5118" s="19"/>
      <c r="C5118" s="19"/>
      <c r="D5118" s="19"/>
      <c r="E5118" s="19"/>
      <c r="F5118" s="19"/>
      <c r="G5118" s="19"/>
      <c r="H5118" s="19"/>
      <c r="I5118" s="19"/>
      <c r="J5118" s="19"/>
      <c r="K5118" s="19"/>
      <c r="L5118" s="19"/>
      <c r="M5118" s="19"/>
      <c r="N5118" s="19"/>
      <c r="O5118" s="14" t="str">
        <f>HYPERLINK("https://otsuka-europe-crm.veevavault.com/ui/#object/email_activity__v/V8C00000003V430", "EN-002095631")</f>
        <v>EN-002095631</v>
      </c>
    </row>
    <row r="5119" spans="1:15" ht="32" x14ac:dyDescent="0.2">
      <c r="A5119" s="7" t="str">
        <f>HYPERLINK("https://otsuka-europe-crm.veevavault.com/ui/#object/account__v/V4TZ04ASGC2GT4N", "TERESA CATACCHIO")</f>
        <v>TERESA CATACCHIO</v>
      </c>
      <c r="B5119" s="7" t="str">
        <f>HYPERLINK("https://otsuka-europe-crm.veevavault.com/ui/#object/vcountry__v/VENZ000004SONFQ", "IT")</f>
        <v>IT</v>
      </c>
      <c r="C5119" s="8" t="s">
        <v>44</v>
      </c>
      <c r="D5119" s="9" t="str">
        <f>HYPERLINK("https://otsuka-europe-crm.veevavault.com/ui/#object/approved_document__v/V5O000000018003", "AE dialoghi di tempo fiducia e cura episodi 2-3-4")</f>
        <v>AE dialoghi di tempo fiducia e cura episodi 2-3-4</v>
      </c>
      <c r="E5119" s="10" t="str">
        <f>HYPERLINK("https://otsuka-europe-crm.veevavault.com/ui/#object/sent_email__v/VBL00000002Q201", "SE-001433870")</f>
        <v>SE-001433870</v>
      </c>
      <c r="F5119" s="11"/>
      <c r="G5119" s="12">
        <v>0</v>
      </c>
      <c r="H5119" s="12">
        <v>0</v>
      </c>
      <c r="I5119" s="12">
        <v>0</v>
      </c>
      <c r="J5119" s="11"/>
      <c r="K5119" s="12">
        <v>0</v>
      </c>
      <c r="L5119" s="10" t="str">
        <f>HYPERLINK("https://otsuka-europe-crm.veevavault.com/ui/#object/approved_document__v/V5O000000018003", "AE dialoghi di tempo fiducia e cura episodi 2-3-4")</f>
        <v>AE dialoghi di tempo fiducia e cura episodi 2-3-4</v>
      </c>
      <c r="M5119" s="10" t="str">
        <f>HYPERLINK("mailto:nicoletta.vozza@crm.otsuka-europe.com", "nicoletta.vozza@crm.otsuka-europe.com")</f>
        <v>nicoletta.vozza@crm.otsuka-europe.com</v>
      </c>
      <c r="N5119" s="13">
        <v>46181.338020833333</v>
      </c>
      <c r="O5119" s="14" t="str">
        <f>HYPERLINK("https://otsuka-europe-crm.veevavault.com/ui/#object/email_activity__v/V8C00000003O881", "EN-002090484")</f>
        <v>EN-002090484</v>
      </c>
    </row>
    <row r="5120" spans="1:15" ht="32" x14ac:dyDescent="0.2">
      <c r="A5120" s="7" t="str">
        <f>HYPERLINK("https://otsuka-europe-crm.veevavault.com/ui/#object/account__v/V4TZ06G6O71SCQS", "TERESA IAPICHINO")</f>
        <v>TERESA IAPICHINO</v>
      </c>
      <c r="B5120" s="7" t="str">
        <f>HYPERLINK("https://otsuka-europe-crm.veevavault.com/ui/#object/vcountry__v/VENZ000004SONFQ", "IT")</f>
        <v>IT</v>
      </c>
      <c r="C5120" s="8" t="s">
        <v>44</v>
      </c>
      <c r="D5120" s="9" t="str">
        <f>HYPERLINK("https://otsuka-europe-crm.veevavault.com/ui/#object/approved_document__v/V5O000000018003", "AE dialoghi di tempo fiducia e cura episodi 2-3-4")</f>
        <v>AE dialoghi di tempo fiducia e cura episodi 2-3-4</v>
      </c>
      <c r="E5120" s="10" t="str">
        <f>HYPERLINK("https://otsuka-europe-crm.veevavault.com/ui/#object/sent_email__v/VBL00000002Q202", "SE-001433871")</f>
        <v>SE-001433871</v>
      </c>
      <c r="F5120" s="11"/>
      <c r="G5120" s="12">
        <v>0</v>
      </c>
      <c r="H5120" s="12">
        <v>0</v>
      </c>
      <c r="I5120" s="12">
        <v>0</v>
      </c>
      <c r="J5120" s="11"/>
      <c r="K5120" s="12">
        <v>0</v>
      </c>
      <c r="L5120" s="10" t="str">
        <f>HYPERLINK("https://otsuka-europe-crm.veevavault.com/ui/#object/approved_document__v/V5O000000018003", "AE dialoghi di tempo fiducia e cura episodi 2-3-4")</f>
        <v>AE dialoghi di tempo fiducia e cura episodi 2-3-4</v>
      </c>
      <c r="M5120" s="10" t="str">
        <f>HYPERLINK("mailto:nicoletta.vozza@crm.otsuka-europe.com", "nicoletta.vozza@crm.otsuka-europe.com")</f>
        <v>nicoletta.vozza@crm.otsuka-europe.com</v>
      </c>
      <c r="N5120" s="13">
        <v>46181.337997685187</v>
      </c>
      <c r="O5120" s="14" t="str">
        <f>HYPERLINK("https://otsuka-europe-crm.veevavault.com/ui/#object/email_activity__v/V8C00000003O708", "EN-002090264")</f>
        <v>EN-002090264</v>
      </c>
    </row>
    <row r="5121" spans="1:15" ht="32" x14ac:dyDescent="0.2">
      <c r="A5121" s="7" t="str">
        <f>HYPERLINK("https://otsuka-europe-crm.veevavault.com/ui/#object/account__v/V4TZ06G6OC6N9LP", "TERESA MARIA GUGLIUZZA")</f>
        <v>TERESA MARIA GUGLIUZZA</v>
      </c>
      <c r="B5121" s="7" t="str">
        <f>HYPERLINK("https://otsuka-europe-crm.veevavault.com/ui/#object/vcountry__v/VENZ000004SONFQ", "IT")</f>
        <v>IT</v>
      </c>
      <c r="C5121" s="8" t="s">
        <v>44</v>
      </c>
      <c r="D5121" s="9" t="str">
        <f>HYPERLINK("https://otsuka-europe-crm.veevavault.com/ui/#object/approved_document__v/V5O000000018003", "AE dialoghi di tempo fiducia e cura episodi 2-3-4")</f>
        <v>AE dialoghi di tempo fiducia e cura episodi 2-3-4</v>
      </c>
      <c r="E5121" s="10" t="str">
        <f>HYPERLINK("https://otsuka-europe-crm.veevavault.com/ui/#object/sent_email__v/VBL00000002Q203", "SE-001433872")</f>
        <v>SE-001433872</v>
      </c>
      <c r="F5121" s="11"/>
      <c r="G5121" s="12">
        <v>0</v>
      </c>
      <c r="H5121" s="12">
        <v>0</v>
      </c>
      <c r="I5121" s="12">
        <v>0</v>
      </c>
      <c r="J5121" s="11"/>
      <c r="K5121" s="12">
        <v>0</v>
      </c>
      <c r="L5121" s="10" t="str">
        <f>HYPERLINK("https://otsuka-europe-crm.veevavault.com/ui/#object/approved_document__v/V5O000000018003", "AE dialoghi di tempo fiducia e cura episodi 2-3-4")</f>
        <v>AE dialoghi di tempo fiducia e cura episodi 2-3-4</v>
      </c>
      <c r="M5121" s="10" t="str">
        <f>HYPERLINK("mailto:nicoletta.vozza@crm.otsuka-europe.com", "nicoletta.vozza@crm.otsuka-europe.com")</f>
        <v>nicoletta.vozza@crm.otsuka-europe.com</v>
      </c>
      <c r="N5121" s="13">
        <v>46181.338055555556</v>
      </c>
      <c r="O5121" s="14" t="str">
        <f>HYPERLINK("https://otsuka-europe-crm.veevavault.com/ui/#object/email_activity__v/V8C00000003O387", "EN-002089905")</f>
        <v>EN-002089905</v>
      </c>
    </row>
    <row r="5122" spans="1:15" ht="16" x14ac:dyDescent="0.2">
      <c r="A5122" s="17" t="str">
        <f>HYPERLINK("https://otsuka-europe-crm.veevavault.com/ui/#object/account__v/V4TZ06G6O71SB2N", "TERESA MARIA ROSA GERACE")</f>
        <v>TERESA MARIA ROSA GERACE</v>
      </c>
      <c r="B5122" s="17" t="str">
        <f>HYPERLINK("https://otsuka-europe-crm.veevavault.com/ui/#object/vcountry__v/VENZ000004SONFQ", "IT")</f>
        <v>IT</v>
      </c>
      <c r="C5122" s="20" t="s">
        <v>44</v>
      </c>
      <c r="D5122" s="21" t="str">
        <f>HYPERLINK("https://otsuka-europe-crm.veevavault.com/ui/#object/approved_document__v/V5O000000018003", "AE dialoghi di tempo fiducia e cura episodi 2-3-4")</f>
        <v>AE dialoghi di tempo fiducia e cura episodi 2-3-4</v>
      </c>
      <c r="E5122" s="22" t="str">
        <f>HYPERLINK("https://otsuka-europe-crm.veevavault.com/ui/#object/sent_email__v/VBL00000002Q204", "SE-001433873")</f>
        <v>SE-001433873</v>
      </c>
      <c r="F5122" s="23">
        <v>46190.410775462966</v>
      </c>
      <c r="G5122" s="24">
        <v>1</v>
      </c>
      <c r="H5122" s="24">
        <v>2</v>
      </c>
      <c r="I5122" s="24">
        <v>0</v>
      </c>
      <c r="J5122" s="25"/>
      <c r="K5122" s="24">
        <v>0</v>
      </c>
      <c r="L5122" s="22" t="str">
        <f>HYPERLINK("https://otsuka-europe-crm.veevavault.com/ui/#object/approved_document__v/V5O000000018003", "AE dialoghi di tempo fiducia e cura episodi 2-3-4")</f>
        <v>AE dialoghi di tempo fiducia e cura episodi 2-3-4</v>
      </c>
      <c r="M5122" s="22" t="str">
        <f>HYPERLINK("mailto:nicoletta.vozza@crm.otsuka-europe.com", "nicoletta.vozza@crm.otsuka-europe.com")</f>
        <v>nicoletta.vozza@crm.otsuka-europe.com</v>
      </c>
      <c r="N5122" s="23">
        <v>46181.33798611111</v>
      </c>
      <c r="O5122" s="14" t="str">
        <f>HYPERLINK("https://otsuka-europe-crm.veevavault.com/ui/#object/email_activity__v/V8C00000003P441", "EN-002090684")</f>
        <v>EN-002090684</v>
      </c>
    </row>
    <row r="5123" spans="1:15" ht="16" x14ac:dyDescent="0.2">
      <c r="A5123" s="18"/>
      <c r="B5123" s="18"/>
      <c r="C5123" s="18"/>
      <c r="D5123" s="18"/>
      <c r="E5123" s="18"/>
      <c r="F5123" s="18"/>
      <c r="G5123" s="18"/>
      <c r="H5123" s="18"/>
      <c r="I5123" s="18"/>
      <c r="J5123" s="18"/>
      <c r="K5123" s="18"/>
      <c r="L5123" s="18"/>
      <c r="M5123" s="18"/>
      <c r="N5123" s="18"/>
      <c r="O5123" s="14" t="str">
        <f>HYPERLINK("https://otsuka-europe-crm.veevavault.com/ui/#object/email_activity__v/V8C00000003Q573", "EN-002091959")</f>
        <v>EN-002091959</v>
      </c>
    </row>
    <row r="5124" spans="1:15" ht="16" x14ac:dyDescent="0.2">
      <c r="A5124" s="19"/>
      <c r="B5124" s="19"/>
      <c r="C5124" s="19"/>
      <c r="D5124" s="19"/>
      <c r="E5124" s="19"/>
      <c r="F5124" s="19"/>
      <c r="G5124" s="19"/>
      <c r="H5124" s="19"/>
      <c r="I5124" s="19"/>
      <c r="J5124" s="19"/>
      <c r="K5124" s="19"/>
      <c r="L5124" s="19"/>
      <c r="M5124" s="19"/>
      <c r="N5124" s="19"/>
      <c r="O5124" s="14" t="str">
        <f>HYPERLINK("https://otsuka-europe-crm.veevavault.com/ui/#object/email_activity__v/V8C00000003W660", "EN-002098303")</f>
        <v>EN-002098303</v>
      </c>
    </row>
    <row r="5125" spans="1:15" ht="16" x14ac:dyDescent="0.2">
      <c r="A5125" s="17" t="str">
        <f>HYPERLINK("https://otsuka-europe-crm.veevavault.com/ui/#object/account__v/V4TZ06G6O71SBIJ", "TERESA MICCOLIS")</f>
        <v>TERESA MICCOLIS</v>
      </c>
      <c r="B5125" s="17" t="str">
        <f>HYPERLINK("https://otsuka-europe-crm.veevavault.com/ui/#object/vcountry__v/VENZ000004SONFQ", "IT")</f>
        <v>IT</v>
      </c>
      <c r="C5125" s="20" t="s">
        <v>44</v>
      </c>
      <c r="D5125" s="21" t="str">
        <f>HYPERLINK("https://otsuka-europe-crm.veevavault.com/ui/#object/approved_document__v/V5O000000018003", "AE dialoghi di tempo fiducia e cura episodi 2-3-4")</f>
        <v>AE dialoghi di tempo fiducia e cura episodi 2-3-4</v>
      </c>
      <c r="E5125" s="22" t="str">
        <f>HYPERLINK("https://otsuka-europe-crm.veevavault.com/ui/#object/sent_email__v/VBL00000002Q205", "SE-001433874")</f>
        <v>SE-001433874</v>
      </c>
      <c r="F5125" s="25"/>
      <c r="G5125" s="24">
        <v>0</v>
      </c>
      <c r="H5125" s="24">
        <v>0</v>
      </c>
      <c r="I5125" s="24">
        <v>0</v>
      </c>
      <c r="J5125" s="25"/>
      <c r="K5125" s="24">
        <v>0</v>
      </c>
      <c r="L5125" s="22" t="str">
        <f>HYPERLINK("https://otsuka-europe-crm.veevavault.com/ui/#object/approved_document__v/V5O000000018003", "AE dialoghi di tempo fiducia e cura episodi 2-3-4")</f>
        <v>AE dialoghi di tempo fiducia e cura episodi 2-3-4</v>
      </c>
      <c r="M5125" s="22" t="str">
        <f>HYPERLINK("mailto:nicoletta.vozza@crm.otsuka-europe.com", "nicoletta.vozza@crm.otsuka-europe.com")</f>
        <v>nicoletta.vozza@crm.otsuka-europe.com</v>
      </c>
      <c r="N5125" s="23">
        <v>46181.337997685187</v>
      </c>
      <c r="O5125" s="14" t="str">
        <f>HYPERLINK("https://otsuka-europe-crm.veevavault.com/ui/#object/email_activity__v/V8C00000003P566", "EN-002090821")</f>
        <v>EN-002090821</v>
      </c>
    </row>
    <row r="5126" spans="1:15" ht="16" x14ac:dyDescent="0.2">
      <c r="A5126" s="18"/>
      <c r="B5126" s="18"/>
      <c r="C5126" s="18"/>
      <c r="D5126" s="18"/>
      <c r="E5126" s="18"/>
      <c r="F5126" s="18"/>
      <c r="G5126" s="18"/>
      <c r="H5126" s="18"/>
      <c r="I5126" s="18"/>
      <c r="J5126" s="18"/>
      <c r="K5126" s="18"/>
      <c r="L5126" s="18"/>
      <c r="M5126" s="18"/>
      <c r="N5126" s="18"/>
      <c r="O5126" s="14" t="str">
        <f>HYPERLINK("https://otsuka-europe-crm.veevavault.com/ui/#object/email_activity__v/V8C00000003P898", "EN-002091429")</f>
        <v>EN-002091429</v>
      </c>
    </row>
    <row r="5127" spans="1:15" ht="16" x14ac:dyDescent="0.2">
      <c r="A5127" s="18"/>
      <c r="B5127" s="18"/>
      <c r="C5127" s="18"/>
      <c r="D5127" s="18"/>
      <c r="E5127" s="18"/>
      <c r="F5127" s="18"/>
      <c r="G5127" s="18"/>
      <c r="H5127" s="18"/>
      <c r="I5127" s="18"/>
      <c r="J5127" s="18"/>
      <c r="K5127" s="18"/>
      <c r="L5127" s="18"/>
      <c r="M5127" s="18"/>
      <c r="N5127" s="18"/>
      <c r="O5127" s="14" t="str">
        <f>HYPERLINK("https://otsuka-europe-crm.veevavault.com/ui/#object/email_activity__v/V8C00000003P917", "EN-002091468")</f>
        <v>EN-002091468</v>
      </c>
    </row>
    <row r="5128" spans="1:15" ht="16" x14ac:dyDescent="0.2">
      <c r="A5128" s="19"/>
      <c r="B5128" s="19"/>
      <c r="C5128" s="19"/>
      <c r="D5128" s="19"/>
      <c r="E5128" s="19"/>
      <c r="F5128" s="19"/>
      <c r="G5128" s="19"/>
      <c r="H5128" s="19"/>
      <c r="I5128" s="19"/>
      <c r="J5128" s="19"/>
      <c r="K5128" s="19"/>
      <c r="L5128" s="19"/>
      <c r="M5128" s="19"/>
      <c r="N5128" s="19"/>
      <c r="O5128" s="14" t="str">
        <f>HYPERLINK("https://otsuka-europe-crm.veevavault.com/ui/#object/email_activity__v/V8C00000003R821", "EN-002093235")</f>
        <v>EN-002093235</v>
      </c>
    </row>
    <row r="5129" spans="1:15" ht="16" x14ac:dyDescent="0.2">
      <c r="A5129" s="17" t="str">
        <f>HYPERLINK("https://otsuka-europe-crm.veevavault.com/ui/#object/account__v/V4TZ025E875ETAF", "TERESA SISSY MARINIELLO")</f>
        <v>TERESA SISSY MARINIELLO</v>
      </c>
      <c r="B5129" s="17" t="str">
        <f>HYPERLINK("https://otsuka-europe-crm.veevavault.com/ui/#object/vcountry__v/VENZ000004SONFQ", "IT")</f>
        <v>IT</v>
      </c>
      <c r="C5129" s="20" t="s">
        <v>44</v>
      </c>
      <c r="D5129" s="21" t="str">
        <f>HYPERLINK("https://otsuka-europe-crm.veevavault.com/ui/#object/approved_document__v/V5O000000018003", "AE dialoghi di tempo fiducia e cura episodi 2-3-4")</f>
        <v>AE dialoghi di tempo fiducia e cura episodi 2-3-4</v>
      </c>
      <c r="E5129" s="22" t="str">
        <f>HYPERLINK("https://otsuka-europe-crm.veevavault.com/ui/#object/sent_email__v/VBL00000002Q206", "SE-001433875")</f>
        <v>SE-001433875</v>
      </c>
      <c r="F5129" s="23">
        <v>46181.947083333333</v>
      </c>
      <c r="G5129" s="24">
        <v>1</v>
      </c>
      <c r="H5129" s="24">
        <v>1</v>
      </c>
      <c r="I5129" s="24">
        <v>0</v>
      </c>
      <c r="J5129" s="25"/>
      <c r="K5129" s="24">
        <v>0</v>
      </c>
      <c r="L5129" s="22" t="str">
        <f>HYPERLINK("https://otsuka-europe-crm.veevavault.com/ui/#object/approved_document__v/V5O000000018003", "AE dialoghi di tempo fiducia e cura episodi 2-3-4")</f>
        <v>AE dialoghi di tempo fiducia e cura episodi 2-3-4</v>
      </c>
      <c r="M5129" s="22" t="str">
        <f>HYPERLINK("mailto:nicoletta.vozza@crm.otsuka-europe.com", "nicoletta.vozza@crm.otsuka-europe.com")</f>
        <v>nicoletta.vozza@crm.otsuka-europe.com</v>
      </c>
      <c r="N5129" s="23">
        <v>46181.337997685187</v>
      </c>
      <c r="O5129" s="14" t="str">
        <f>HYPERLINK("https://otsuka-europe-crm.veevavault.com/ui/#object/email_activity__v/V8C00000003O938", "EN-002090598")</f>
        <v>EN-002090598</v>
      </c>
    </row>
    <row r="5130" spans="1:15" ht="16" x14ac:dyDescent="0.2">
      <c r="A5130" s="19"/>
      <c r="B5130" s="19"/>
      <c r="C5130" s="19"/>
      <c r="D5130" s="19"/>
      <c r="E5130" s="19"/>
      <c r="F5130" s="19"/>
      <c r="G5130" s="19"/>
      <c r="H5130" s="19"/>
      <c r="I5130" s="19"/>
      <c r="J5130" s="19"/>
      <c r="K5130" s="19"/>
      <c r="L5130" s="19"/>
      <c r="M5130" s="19"/>
      <c r="N5130" s="19"/>
      <c r="O5130" s="14" t="str">
        <f>HYPERLINK("https://otsuka-europe-crm.veevavault.com/ui/#object/email_activity__v/V8C00000003Q718", "EN-002092277")</f>
        <v>EN-002092277</v>
      </c>
    </row>
    <row r="5131" spans="1:15" ht="32" x14ac:dyDescent="0.2">
      <c r="A5131" s="7" t="str">
        <f>HYPERLINK("https://otsuka-europe-crm.veevavault.com/ui/#object/account__v/V4TZ06G6O71SCIO", "TERESA TENAGLIA")</f>
        <v>TERESA TENAGLIA</v>
      </c>
      <c r="B5131" s="7" t="str">
        <f t="shared" ref="B5131:B5138" si="556">HYPERLINK("https://otsuka-europe-crm.veevavault.com/ui/#object/vcountry__v/VENZ000004SONFQ", "IT")</f>
        <v>IT</v>
      </c>
      <c r="C5131" s="8" t="s">
        <v>44</v>
      </c>
      <c r="D5131" s="9" t="str">
        <f t="shared" ref="D5131:D5138" si="557">HYPERLINK("https://otsuka-europe-crm.veevavault.com/ui/#object/approved_document__v/V5O000000018003", "AE dialoghi di tempo fiducia e cura episodi 2-3-4")</f>
        <v>AE dialoghi di tempo fiducia e cura episodi 2-3-4</v>
      </c>
      <c r="E5131" s="10" t="str">
        <f>HYPERLINK("https://otsuka-europe-crm.veevavault.com/ui/#object/sent_email__v/VBL00000002Q207", "SE-001433876")</f>
        <v>SE-001433876</v>
      </c>
      <c r="F5131" s="11"/>
      <c r="G5131" s="12">
        <v>0</v>
      </c>
      <c r="H5131" s="12">
        <v>0</v>
      </c>
      <c r="I5131" s="12">
        <v>0</v>
      </c>
      <c r="J5131" s="11"/>
      <c r="K5131" s="12">
        <v>0</v>
      </c>
      <c r="L5131" s="10" t="str">
        <f t="shared" ref="L5131:L5138" si="558">HYPERLINK("https://otsuka-europe-crm.veevavault.com/ui/#object/approved_document__v/V5O000000018003", "AE dialoghi di tempo fiducia e cura episodi 2-3-4")</f>
        <v>AE dialoghi di tempo fiducia e cura episodi 2-3-4</v>
      </c>
      <c r="M5131" s="10" t="str">
        <f t="shared" ref="M5131:M5138" si="559">HYPERLINK("mailto:nicoletta.vozza@crm.otsuka-europe.com", "nicoletta.vozza@crm.otsuka-europe.com")</f>
        <v>nicoletta.vozza@crm.otsuka-europe.com</v>
      </c>
      <c r="N5131" s="13">
        <v>46181.337997685187</v>
      </c>
      <c r="O5131" s="14" t="str">
        <f>HYPERLINK("https://otsuka-europe-crm.veevavault.com/ui/#object/email_activity__v/V8C00000003O883", "EN-002090486")</f>
        <v>EN-002090486</v>
      </c>
    </row>
    <row r="5132" spans="1:15" ht="32" x14ac:dyDescent="0.2">
      <c r="A5132" s="7" t="str">
        <f>HYPERLINK("https://otsuka-europe-crm.veevavault.com/ui/#object/account__v/V4TZ06G6O71S9VD", "TERESINA TALLERICO")</f>
        <v>TERESINA TALLERICO</v>
      </c>
      <c r="B5132" s="7" t="str">
        <f t="shared" si="556"/>
        <v>IT</v>
      </c>
      <c r="C5132" s="8" t="s">
        <v>44</v>
      </c>
      <c r="D5132" s="9" t="str">
        <f t="shared" si="557"/>
        <v>AE dialoghi di tempo fiducia e cura episodi 2-3-4</v>
      </c>
      <c r="E5132" s="10" t="str">
        <f>HYPERLINK("https://otsuka-europe-crm.veevavault.com/ui/#object/sent_email__v/VBL00000002Q208", "SE-001433877")</f>
        <v>SE-001433877</v>
      </c>
      <c r="F5132" s="11"/>
      <c r="G5132" s="12">
        <v>0</v>
      </c>
      <c r="H5132" s="12">
        <v>0</v>
      </c>
      <c r="I5132" s="12">
        <v>0</v>
      </c>
      <c r="J5132" s="11"/>
      <c r="K5132" s="12">
        <v>0</v>
      </c>
      <c r="L5132" s="10" t="str">
        <f t="shared" si="558"/>
        <v>AE dialoghi di tempo fiducia e cura episodi 2-3-4</v>
      </c>
      <c r="M5132" s="10" t="str">
        <f t="shared" si="559"/>
        <v>nicoletta.vozza@crm.otsuka-europe.com</v>
      </c>
      <c r="N5132" s="13">
        <v>46181.33798611111</v>
      </c>
      <c r="O5132" s="14" t="str">
        <f>HYPERLINK("https://otsuka-europe-crm.veevavault.com/ui/#object/email_activity__v/V8C00000003P880", "EN-002091397")</f>
        <v>EN-002091397</v>
      </c>
    </row>
    <row r="5133" spans="1:15" ht="32" x14ac:dyDescent="0.2">
      <c r="A5133" s="7" t="str">
        <f>HYPERLINK("https://otsuka-europe-crm.veevavault.com/ui/#object/account__v/V4TZ06G6O71SBNZ", "TIBERIO MONARI")</f>
        <v>TIBERIO MONARI</v>
      </c>
      <c r="B5133" s="7" t="str">
        <f t="shared" si="556"/>
        <v>IT</v>
      </c>
      <c r="C5133" s="8" t="s">
        <v>44</v>
      </c>
      <c r="D5133" s="9" t="str">
        <f t="shared" si="557"/>
        <v>AE dialoghi di tempo fiducia e cura episodi 2-3-4</v>
      </c>
      <c r="E5133" s="10" t="str">
        <f>HYPERLINK("https://otsuka-europe-crm.veevavault.com/ui/#object/sent_email__v/VBL00000002Q209", "SE-001433878")</f>
        <v>SE-001433878</v>
      </c>
      <c r="F5133" s="11"/>
      <c r="G5133" s="12">
        <v>0</v>
      </c>
      <c r="H5133" s="12">
        <v>0</v>
      </c>
      <c r="I5133" s="12">
        <v>0</v>
      </c>
      <c r="J5133" s="11"/>
      <c r="K5133" s="12">
        <v>0</v>
      </c>
      <c r="L5133" s="10" t="str">
        <f t="shared" si="558"/>
        <v>AE dialoghi di tempo fiducia e cura episodi 2-3-4</v>
      </c>
      <c r="M5133" s="10" t="str">
        <f t="shared" si="559"/>
        <v>nicoletta.vozza@crm.otsuka-europe.com</v>
      </c>
      <c r="N5133" s="13">
        <v>46181.33798611111</v>
      </c>
      <c r="O5133" s="14" t="str">
        <f>HYPERLINK("https://otsuka-europe-crm.veevavault.com/ui/#object/email_activity__v/V8C00000003O266", "EN-002089743")</f>
        <v>EN-002089743</v>
      </c>
    </row>
    <row r="5134" spans="1:15" ht="32" x14ac:dyDescent="0.2">
      <c r="A5134" s="7" t="str">
        <f>HYPERLINK("https://otsuka-europe-crm.veevavault.com/ui/#object/account__v/V4TZ06G6O71SAJD", "TIZIANA FERA")</f>
        <v>TIZIANA FERA</v>
      </c>
      <c r="B5134" s="7" t="str">
        <f t="shared" si="556"/>
        <v>IT</v>
      </c>
      <c r="C5134" s="8" t="s">
        <v>44</v>
      </c>
      <c r="D5134" s="9" t="str">
        <f t="shared" si="557"/>
        <v>AE dialoghi di tempo fiducia e cura episodi 2-3-4</v>
      </c>
      <c r="E5134" s="10" t="str">
        <f>HYPERLINK("https://otsuka-europe-crm.veevavault.com/ui/#object/sent_email__v/VBL00000002Q210", "SE-001433879")</f>
        <v>SE-001433879</v>
      </c>
      <c r="F5134" s="11"/>
      <c r="G5134" s="12">
        <v>0</v>
      </c>
      <c r="H5134" s="12">
        <v>0</v>
      </c>
      <c r="I5134" s="12">
        <v>0</v>
      </c>
      <c r="J5134" s="11"/>
      <c r="K5134" s="12">
        <v>0</v>
      </c>
      <c r="L5134" s="10" t="str">
        <f t="shared" si="558"/>
        <v>AE dialoghi di tempo fiducia e cura episodi 2-3-4</v>
      </c>
      <c r="M5134" s="10" t="str">
        <f t="shared" si="559"/>
        <v>nicoletta.vozza@crm.otsuka-europe.com</v>
      </c>
      <c r="N5134" s="13">
        <v>46181.338055555556</v>
      </c>
      <c r="O5134" s="14" t="str">
        <f>HYPERLINK("https://otsuka-europe-crm.veevavault.com/ui/#object/email_activity__v/V8C00000003O536", "EN-002090092")</f>
        <v>EN-002090092</v>
      </c>
    </row>
    <row r="5135" spans="1:15" ht="32" x14ac:dyDescent="0.2">
      <c r="A5135" s="7" t="str">
        <f>HYPERLINK("https://otsuka-europe-crm.veevavault.com/ui/#object/account__v/V4TZ06G6O71SANX", "TIZIANA GUERRIERO")</f>
        <v>TIZIANA GUERRIERO</v>
      </c>
      <c r="B5135" s="7" t="str">
        <f t="shared" si="556"/>
        <v>IT</v>
      </c>
      <c r="C5135" s="8" t="s">
        <v>44</v>
      </c>
      <c r="D5135" s="9" t="str">
        <f t="shared" si="557"/>
        <v>AE dialoghi di tempo fiducia e cura episodi 2-3-4</v>
      </c>
      <c r="E5135" s="10" t="str">
        <f>HYPERLINK("https://otsuka-europe-crm.veevavault.com/ui/#object/sent_email__v/VBL00000002Q211", "SE-001433880")</f>
        <v>SE-001433880</v>
      </c>
      <c r="F5135" s="11"/>
      <c r="G5135" s="12">
        <v>0</v>
      </c>
      <c r="H5135" s="12">
        <v>0</v>
      </c>
      <c r="I5135" s="12">
        <v>0</v>
      </c>
      <c r="J5135" s="11"/>
      <c r="K5135" s="12">
        <v>0</v>
      </c>
      <c r="L5135" s="10" t="str">
        <f t="shared" si="558"/>
        <v>AE dialoghi di tempo fiducia e cura episodi 2-3-4</v>
      </c>
      <c r="M5135" s="10" t="str">
        <f t="shared" si="559"/>
        <v>nicoletta.vozza@crm.otsuka-europe.com</v>
      </c>
      <c r="N5135" s="13">
        <v>46181.338078703702</v>
      </c>
      <c r="O5135" s="14" t="str">
        <f>HYPERLINK("https://otsuka-europe-crm.veevavault.com/ui/#object/email_activity__v/V8C00000003O899", "EN-002090502")</f>
        <v>EN-002090502</v>
      </c>
    </row>
    <row r="5136" spans="1:15" ht="32" x14ac:dyDescent="0.2">
      <c r="A5136" s="7" t="str">
        <f>HYPERLINK("https://otsuka-europe-crm.veevavault.com/ui/#object/account__v/V4TZ06G6O71SB8Z", "TIZIANA LORINI")</f>
        <v>TIZIANA LORINI</v>
      </c>
      <c r="B5136" s="7" t="str">
        <f t="shared" si="556"/>
        <v>IT</v>
      </c>
      <c r="C5136" s="8" t="s">
        <v>44</v>
      </c>
      <c r="D5136" s="9" t="str">
        <f t="shared" si="557"/>
        <v>AE dialoghi di tempo fiducia e cura episodi 2-3-4</v>
      </c>
      <c r="E5136" s="10" t="str">
        <f>HYPERLINK("https://otsuka-europe-crm.veevavault.com/ui/#object/sent_email__v/VBL00000002Q212", "SE-001433881")</f>
        <v>SE-001433881</v>
      </c>
      <c r="F5136" s="11"/>
      <c r="G5136" s="12">
        <v>0</v>
      </c>
      <c r="H5136" s="12">
        <v>0</v>
      </c>
      <c r="I5136" s="12">
        <v>0</v>
      </c>
      <c r="J5136" s="11"/>
      <c r="K5136" s="12">
        <v>0</v>
      </c>
      <c r="L5136" s="10" t="str">
        <f t="shared" si="558"/>
        <v>AE dialoghi di tempo fiducia e cura episodi 2-3-4</v>
      </c>
      <c r="M5136" s="10" t="str">
        <f t="shared" si="559"/>
        <v>nicoletta.vozza@crm.otsuka-europe.com</v>
      </c>
      <c r="N5136" s="13">
        <v>46181.337951388887</v>
      </c>
      <c r="O5136" s="14" t="str">
        <f>HYPERLINK("https://otsuka-europe-crm.veevavault.com/ui/#object/email_activity__v/V8C00000003P195", "EN-002089595")</f>
        <v>EN-002089595</v>
      </c>
    </row>
    <row r="5137" spans="1:15" ht="32" x14ac:dyDescent="0.2">
      <c r="A5137" s="7" t="str">
        <f>HYPERLINK("https://otsuka-europe-crm.veevavault.com/ui/#object/account__v/V4TZ06G6O71SB9G", "TIZIANA LUMACHINI")</f>
        <v>TIZIANA LUMACHINI</v>
      </c>
      <c r="B5137" s="7" t="str">
        <f t="shared" si="556"/>
        <v>IT</v>
      </c>
      <c r="C5137" s="8" t="s">
        <v>44</v>
      </c>
      <c r="D5137" s="9" t="str">
        <f t="shared" si="557"/>
        <v>AE dialoghi di tempo fiducia e cura episodi 2-3-4</v>
      </c>
      <c r="E5137" s="10" t="str">
        <f>HYPERLINK("https://otsuka-europe-crm.veevavault.com/ui/#object/sent_email__v/VBL00000002Q213", "SE-001433882")</f>
        <v>SE-001433882</v>
      </c>
      <c r="F5137" s="11"/>
      <c r="G5137" s="12">
        <v>0</v>
      </c>
      <c r="H5137" s="12">
        <v>0</v>
      </c>
      <c r="I5137" s="12">
        <v>0</v>
      </c>
      <c r="J5137" s="11"/>
      <c r="K5137" s="12">
        <v>0</v>
      </c>
      <c r="L5137" s="10" t="str">
        <f t="shared" si="558"/>
        <v>AE dialoghi di tempo fiducia e cura episodi 2-3-4</v>
      </c>
      <c r="M5137" s="10" t="str">
        <f t="shared" si="559"/>
        <v>nicoletta.vozza@crm.otsuka-europe.com</v>
      </c>
      <c r="N5137" s="13">
        <v>46181.338078703702</v>
      </c>
      <c r="O5137" s="14" t="str">
        <f>HYPERLINK("https://otsuka-europe-crm.veevavault.com/ui/#object/email_activity__v/V8C00000003Q227", "EN-002091333")</f>
        <v>EN-002091333</v>
      </c>
    </row>
    <row r="5138" spans="1:15" ht="16" x14ac:dyDescent="0.2">
      <c r="A5138" s="17" t="str">
        <f>HYPERLINK("https://otsuka-europe-crm.veevavault.com/ui/#object/account__v/V4TZ06G6O71TFX9", "TIZIANA NIRCHI")</f>
        <v>TIZIANA NIRCHI</v>
      </c>
      <c r="B5138" s="17" t="str">
        <f t="shared" si="556"/>
        <v>IT</v>
      </c>
      <c r="C5138" s="20" t="s">
        <v>44</v>
      </c>
      <c r="D5138" s="21" t="str">
        <f t="shared" si="557"/>
        <v>AE dialoghi di tempo fiducia e cura episodi 2-3-4</v>
      </c>
      <c r="E5138" s="22" t="str">
        <f>HYPERLINK("https://otsuka-europe-crm.veevavault.com/ui/#object/sent_email__v/VBL00000002Q214", "SE-001433883")</f>
        <v>SE-001433883</v>
      </c>
      <c r="F5138" s="25"/>
      <c r="G5138" s="24">
        <v>0</v>
      </c>
      <c r="H5138" s="24">
        <v>0</v>
      </c>
      <c r="I5138" s="24">
        <v>0</v>
      </c>
      <c r="J5138" s="25"/>
      <c r="K5138" s="24">
        <v>0</v>
      </c>
      <c r="L5138" s="22" t="str">
        <f t="shared" si="558"/>
        <v>AE dialoghi di tempo fiducia e cura episodi 2-3-4</v>
      </c>
      <c r="M5138" s="22" t="str">
        <f t="shared" si="559"/>
        <v>nicoletta.vozza@crm.otsuka-europe.com</v>
      </c>
      <c r="N5138" s="23">
        <v>46181.338125000002</v>
      </c>
      <c r="O5138" s="14" t="str">
        <f>HYPERLINK("https://otsuka-europe-crm.veevavault.com/ui/#object/email_activity__v/V8C00000003Q171", "EN-002091257")</f>
        <v>EN-002091257</v>
      </c>
    </row>
    <row r="5139" spans="1:15" ht="16" x14ac:dyDescent="0.2">
      <c r="A5139" s="19"/>
      <c r="B5139" s="19"/>
      <c r="C5139" s="19"/>
      <c r="D5139" s="19"/>
      <c r="E5139" s="19"/>
      <c r="F5139" s="19"/>
      <c r="G5139" s="19"/>
      <c r="H5139" s="19"/>
      <c r="I5139" s="19"/>
      <c r="J5139" s="19"/>
      <c r="K5139" s="19"/>
      <c r="L5139" s="19"/>
      <c r="M5139" s="19"/>
      <c r="N5139" s="19"/>
      <c r="O5139" s="14" t="str">
        <f>HYPERLINK("https://otsuka-europe-crm.veevavault.com/ui/#object/email_activity__v/V8C00000003Q310", "EN-002091458")</f>
        <v>EN-002091458</v>
      </c>
    </row>
    <row r="5140" spans="1:15" ht="32" x14ac:dyDescent="0.2">
      <c r="A5140" s="7" t="str">
        <f>HYPERLINK("https://otsuka-europe-crm.veevavault.com/ui/#object/account__v/V4TZ04ASGC4ELYJ", "TIZIANA PIERA VIOLETTA FRIGIONE")</f>
        <v>TIZIANA PIERA VIOLETTA FRIGIONE</v>
      </c>
      <c r="B5140" s="7" t="str">
        <f t="shared" ref="B5140:B5160" si="560">HYPERLINK("https://otsuka-europe-crm.veevavault.com/ui/#object/vcountry__v/VENZ000004SONFQ", "IT")</f>
        <v>IT</v>
      </c>
      <c r="C5140" s="8" t="s">
        <v>44</v>
      </c>
      <c r="D5140" s="9" t="str">
        <f t="shared" ref="D5140:D5160" si="561">HYPERLINK("https://otsuka-europe-crm.veevavault.com/ui/#object/approved_document__v/V5O000000018003", "AE dialoghi di tempo fiducia e cura episodi 2-3-4")</f>
        <v>AE dialoghi di tempo fiducia e cura episodi 2-3-4</v>
      </c>
      <c r="E5140" s="10" t="str">
        <f>HYPERLINK("https://otsuka-europe-crm.veevavault.com/ui/#object/sent_email__v/VBL00000002Q215", "SE-001433884")</f>
        <v>SE-001433884</v>
      </c>
      <c r="F5140" s="11"/>
      <c r="G5140" s="12">
        <v>0</v>
      </c>
      <c r="H5140" s="12">
        <v>0</v>
      </c>
      <c r="I5140" s="12">
        <v>0</v>
      </c>
      <c r="J5140" s="11"/>
      <c r="K5140" s="12">
        <v>0</v>
      </c>
      <c r="L5140" s="10" t="str">
        <f t="shared" ref="L5140:L5160" si="562">HYPERLINK("https://otsuka-europe-crm.veevavault.com/ui/#object/approved_document__v/V5O000000018003", "AE dialoghi di tempo fiducia e cura episodi 2-3-4")</f>
        <v>AE dialoghi di tempo fiducia e cura episodi 2-3-4</v>
      </c>
      <c r="M5140" s="10" t="str">
        <f t="shared" ref="M5140:M5160" si="563">HYPERLINK("mailto:nicoletta.vozza@crm.otsuka-europe.com", "nicoletta.vozza@crm.otsuka-europe.com")</f>
        <v>nicoletta.vozza@crm.otsuka-europe.com</v>
      </c>
      <c r="N5140" s="13">
        <v>46181.338009259256</v>
      </c>
      <c r="O5140" s="14" t="str">
        <f>HYPERLINK("https://otsuka-europe-crm.veevavault.com/ui/#object/email_activity__v/V8C00000003O674", "EN-002090230")</f>
        <v>EN-002090230</v>
      </c>
    </row>
    <row r="5141" spans="1:15" ht="32" x14ac:dyDescent="0.2">
      <c r="A5141" s="7" t="str">
        <f>HYPERLINK("https://otsuka-europe-crm.veevavault.com/ui/#object/account__v/V4TZ06G6OB46CMX", "TIZIANA PIRODDI")</f>
        <v>TIZIANA PIRODDI</v>
      </c>
      <c r="B5141" s="7" t="str">
        <f t="shared" si="560"/>
        <v>IT</v>
      </c>
      <c r="C5141" s="8" t="s">
        <v>44</v>
      </c>
      <c r="D5141" s="9" t="str">
        <f t="shared" si="561"/>
        <v>AE dialoghi di tempo fiducia e cura episodi 2-3-4</v>
      </c>
      <c r="E5141" s="10" t="str">
        <f>HYPERLINK("https://otsuka-europe-crm.veevavault.com/ui/#object/sent_email__v/VBL00000002Q216", "SE-001433885")</f>
        <v>SE-001433885</v>
      </c>
      <c r="F5141" s="11"/>
      <c r="G5141" s="12">
        <v>0</v>
      </c>
      <c r="H5141" s="12">
        <v>0</v>
      </c>
      <c r="I5141" s="12">
        <v>0</v>
      </c>
      <c r="J5141" s="11"/>
      <c r="K5141" s="12">
        <v>0</v>
      </c>
      <c r="L5141" s="10" t="str">
        <f t="shared" si="562"/>
        <v>AE dialoghi di tempo fiducia e cura episodi 2-3-4</v>
      </c>
      <c r="M5141" s="10" t="str">
        <f t="shared" si="563"/>
        <v>nicoletta.vozza@crm.otsuka-europe.com</v>
      </c>
      <c r="N5141" s="13">
        <v>46181.339050925926</v>
      </c>
      <c r="O5141" s="14" t="str">
        <f>HYPERLINK("https://otsuka-europe-crm.veevavault.com/ui/#object/email_activity__v/V8C00000003Q207", "EN-002091313")</f>
        <v>EN-002091313</v>
      </c>
    </row>
    <row r="5142" spans="1:15" ht="32" x14ac:dyDescent="0.2">
      <c r="A5142" s="7" t="str">
        <f>HYPERLINK("https://otsuka-europe-crm.veevavault.com/ui/#object/account__v/V4TZ06G6O71SC5V", "TIZIANA RULLO")</f>
        <v>TIZIANA RULLO</v>
      </c>
      <c r="B5142" s="7" t="str">
        <f t="shared" si="560"/>
        <v>IT</v>
      </c>
      <c r="C5142" s="8" t="s">
        <v>44</v>
      </c>
      <c r="D5142" s="9" t="str">
        <f t="shared" si="561"/>
        <v>AE dialoghi di tempo fiducia e cura episodi 2-3-4</v>
      </c>
      <c r="E5142" s="10" t="str">
        <f>HYPERLINK("https://otsuka-europe-crm.veevavault.com/ui/#object/sent_email__v/VBL00000002Q217", "SE-001433886")</f>
        <v>SE-001433886</v>
      </c>
      <c r="F5142" s="11"/>
      <c r="G5142" s="12">
        <v>0</v>
      </c>
      <c r="H5142" s="12">
        <v>0</v>
      </c>
      <c r="I5142" s="12">
        <v>0</v>
      </c>
      <c r="J5142" s="11"/>
      <c r="K5142" s="12">
        <v>0</v>
      </c>
      <c r="L5142" s="10" t="str">
        <f t="shared" si="562"/>
        <v>AE dialoghi di tempo fiducia e cura episodi 2-3-4</v>
      </c>
      <c r="M5142" s="10" t="str">
        <f t="shared" si="563"/>
        <v>nicoletta.vozza@crm.otsuka-europe.com</v>
      </c>
      <c r="N5142" s="13">
        <v>46181.338043981479</v>
      </c>
      <c r="O5142" s="14" t="str">
        <f>HYPERLINK("https://otsuka-europe-crm.veevavault.com/ui/#object/email_activity__v/V8C00000003P467", "EN-002090656")</f>
        <v>EN-002090656</v>
      </c>
    </row>
    <row r="5143" spans="1:15" ht="32" x14ac:dyDescent="0.2">
      <c r="A5143" s="7" t="str">
        <f>HYPERLINK("https://otsuka-europe-crm.veevavault.com/ui/#object/account__v/V4TZ06G6O71S9HN", "TOBIAS ATTILI")</f>
        <v>TOBIAS ATTILI</v>
      </c>
      <c r="B5143" s="7" t="str">
        <f t="shared" si="560"/>
        <v>IT</v>
      </c>
      <c r="C5143" s="8" t="s">
        <v>44</v>
      </c>
      <c r="D5143" s="9" t="str">
        <f t="shared" si="561"/>
        <v>AE dialoghi di tempo fiducia e cura episodi 2-3-4</v>
      </c>
      <c r="E5143" s="10" t="str">
        <f>HYPERLINK("https://otsuka-europe-crm.veevavault.com/ui/#object/sent_email__v/VBL00000002Q218", "SE-001433887")</f>
        <v>SE-001433887</v>
      </c>
      <c r="F5143" s="11"/>
      <c r="G5143" s="12">
        <v>0</v>
      </c>
      <c r="H5143" s="12">
        <v>0</v>
      </c>
      <c r="I5143" s="12">
        <v>0</v>
      </c>
      <c r="J5143" s="11"/>
      <c r="K5143" s="12">
        <v>0</v>
      </c>
      <c r="L5143" s="10" t="str">
        <f t="shared" si="562"/>
        <v>AE dialoghi di tempo fiducia e cura episodi 2-3-4</v>
      </c>
      <c r="M5143" s="10" t="str">
        <f t="shared" si="563"/>
        <v>nicoletta.vozza@crm.otsuka-europe.com</v>
      </c>
      <c r="N5143" s="13">
        <v>46181.337962962964</v>
      </c>
      <c r="O5143" s="14" t="str">
        <f>HYPERLINK("https://otsuka-europe-crm.veevavault.com/ui/#object/email_activity__v/V8C00000003O271", "EN-002089748")</f>
        <v>EN-002089748</v>
      </c>
    </row>
    <row r="5144" spans="1:15" ht="32" x14ac:dyDescent="0.2">
      <c r="A5144" s="7" t="str">
        <f>HYPERLINK("https://otsuka-europe-crm.veevavault.com/ui/#object/account__v/V4TZ025E8561BQW", "TOMMASO BONACCINI")</f>
        <v>TOMMASO BONACCINI</v>
      </c>
      <c r="B5144" s="7" t="str">
        <f t="shared" si="560"/>
        <v>IT</v>
      </c>
      <c r="C5144" s="8" t="s">
        <v>44</v>
      </c>
      <c r="D5144" s="9" t="str">
        <f t="shared" si="561"/>
        <v>AE dialoghi di tempo fiducia e cura episodi 2-3-4</v>
      </c>
      <c r="E5144" s="10" t="str">
        <f>HYPERLINK("https://otsuka-europe-crm.veevavault.com/ui/#object/sent_email__v/VBL00000002Q219", "SE-001433888")</f>
        <v>SE-001433888</v>
      </c>
      <c r="F5144" s="11"/>
      <c r="G5144" s="12">
        <v>0</v>
      </c>
      <c r="H5144" s="12">
        <v>0</v>
      </c>
      <c r="I5144" s="12">
        <v>0</v>
      </c>
      <c r="J5144" s="11"/>
      <c r="K5144" s="12">
        <v>0</v>
      </c>
      <c r="L5144" s="10" t="str">
        <f t="shared" si="562"/>
        <v>AE dialoghi di tempo fiducia e cura episodi 2-3-4</v>
      </c>
      <c r="M5144" s="10" t="str">
        <f t="shared" si="563"/>
        <v>nicoletta.vozza@crm.otsuka-europe.com</v>
      </c>
      <c r="N5144" s="13">
        <v>46181.338078703702</v>
      </c>
      <c r="O5144" s="14" t="str">
        <f>HYPERLINK("https://otsuka-europe-crm.veevavault.com/ui/#object/email_activity__v/V8C00000003Q111", "EN-002091176")</f>
        <v>EN-002091176</v>
      </c>
    </row>
    <row r="5145" spans="1:15" ht="32" x14ac:dyDescent="0.2">
      <c r="A5145" s="7" t="str">
        <f>HYPERLINK("https://otsuka-europe-crm.veevavault.com/ui/#object/account__v/V4TZ06G6O71SAX3", "TOMMASO CANTE")</f>
        <v>TOMMASO CANTE</v>
      </c>
      <c r="B5145" s="7" t="str">
        <f t="shared" si="560"/>
        <v>IT</v>
      </c>
      <c r="C5145" s="8" t="s">
        <v>44</v>
      </c>
      <c r="D5145" s="9" t="str">
        <f t="shared" si="561"/>
        <v>AE dialoghi di tempo fiducia e cura episodi 2-3-4</v>
      </c>
      <c r="E5145" s="10" t="str">
        <f>HYPERLINK("https://otsuka-europe-crm.veevavault.com/ui/#object/sent_email__v/VBL00000002Q220", "SE-001433889")</f>
        <v>SE-001433889</v>
      </c>
      <c r="F5145" s="11"/>
      <c r="G5145" s="12">
        <v>0</v>
      </c>
      <c r="H5145" s="12">
        <v>0</v>
      </c>
      <c r="I5145" s="12">
        <v>0</v>
      </c>
      <c r="J5145" s="11"/>
      <c r="K5145" s="12">
        <v>0</v>
      </c>
      <c r="L5145" s="10" t="str">
        <f t="shared" si="562"/>
        <v>AE dialoghi di tempo fiducia e cura episodi 2-3-4</v>
      </c>
      <c r="M5145" s="10" t="str">
        <f t="shared" si="563"/>
        <v>nicoletta.vozza@crm.otsuka-europe.com</v>
      </c>
      <c r="N5145" s="13">
        <v>46181.33797453704</v>
      </c>
      <c r="O5145" s="14" t="str">
        <f>HYPERLINK("https://otsuka-europe-crm.veevavault.com/ui/#object/email_activity__v/V8C00000003O768", "EN-002090428")</f>
        <v>EN-002090428</v>
      </c>
    </row>
    <row r="5146" spans="1:15" ht="32" x14ac:dyDescent="0.2">
      <c r="A5146" s="7" t="str">
        <f>HYPERLINK("https://otsuka-europe-crm.veevavault.com/ui/#object/account__v/V4TZ04ASGE7HY95", "TOMMASO FERRARA")</f>
        <v>TOMMASO FERRARA</v>
      </c>
      <c r="B5146" s="7" t="str">
        <f t="shared" si="560"/>
        <v>IT</v>
      </c>
      <c r="C5146" s="8" t="s">
        <v>44</v>
      </c>
      <c r="D5146" s="9" t="str">
        <f t="shared" si="561"/>
        <v>AE dialoghi di tempo fiducia e cura episodi 2-3-4</v>
      </c>
      <c r="E5146" s="10" t="str">
        <f>HYPERLINK("https://otsuka-europe-crm.veevavault.com/ui/#object/sent_email__v/VBL00000002Q221", "SE-001433890")</f>
        <v>SE-001433890</v>
      </c>
      <c r="F5146" s="11"/>
      <c r="G5146" s="12">
        <v>0</v>
      </c>
      <c r="H5146" s="12">
        <v>0</v>
      </c>
      <c r="I5146" s="12">
        <v>0</v>
      </c>
      <c r="J5146" s="11"/>
      <c r="K5146" s="12">
        <v>0</v>
      </c>
      <c r="L5146" s="10" t="str">
        <f t="shared" si="562"/>
        <v>AE dialoghi di tempo fiducia e cura episodi 2-3-4</v>
      </c>
      <c r="M5146" s="10" t="str">
        <f t="shared" si="563"/>
        <v>nicoletta.vozza@crm.otsuka-europe.com</v>
      </c>
      <c r="N5146" s="13">
        <v>46181.338009259256</v>
      </c>
      <c r="O5146" s="14" t="str">
        <f>HYPERLINK("https://otsuka-europe-crm.veevavault.com/ui/#object/email_activity__v/V8C00000003O678", "EN-002090234")</f>
        <v>EN-002090234</v>
      </c>
    </row>
    <row r="5147" spans="1:15" ht="32" x14ac:dyDescent="0.2">
      <c r="A5147" s="7" t="str">
        <f>HYPERLINK("https://otsuka-europe-crm.veevavault.com/ui/#object/account__v/V4TZ06G6O71SC2Y", "TOMMASO RIGONI")</f>
        <v>TOMMASO RIGONI</v>
      </c>
      <c r="B5147" s="7" t="str">
        <f t="shared" si="560"/>
        <v>IT</v>
      </c>
      <c r="C5147" s="8" t="s">
        <v>44</v>
      </c>
      <c r="D5147" s="9" t="str">
        <f t="shared" si="561"/>
        <v>AE dialoghi di tempo fiducia e cura episodi 2-3-4</v>
      </c>
      <c r="E5147" s="10" t="str">
        <f>HYPERLINK("https://otsuka-europe-crm.veevavault.com/ui/#object/sent_email__v/VBL00000002Q222", "SE-001433891")</f>
        <v>SE-001433891</v>
      </c>
      <c r="F5147" s="11"/>
      <c r="G5147" s="12">
        <v>0</v>
      </c>
      <c r="H5147" s="12">
        <v>0</v>
      </c>
      <c r="I5147" s="12">
        <v>0</v>
      </c>
      <c r="J5147" s="11"/>
      <c r="K5147" s="12">
        <v>0</v>
      </c>
      <c r="L5147" s="10" t="str">
        <f t="shared" si="562"/>
        <v>AE dialoghi di tempo fiducia e cura episodi 2-3-4</v>
      </c>
      <c r="M5147" s="10" t="str">
        <f t="shared" si="563"/>
        <v>nicoletta.vozza@crm.otsuka-europe.com</v>
      </c>
      <c r="N5147" s="13">
        <v>46181.33797453704</v>
      </c>
      <c r="O5147" s="14" t="str">
        <f>HYPERLINK("https://otsuka-europe-crm.veevavault.com/ui/#object/email_activity__v/V8C00000003O696", "EN-002090252")</f>
        <v>EN-002090252</v>
      </c>
    </row>
    <row r="5148" spans="1:15" ht="32" x14ac:dyDescent="0.2">
      <c r="A5148" s="7" t="str">
        <f>HYPERLINK("https://otsuka-europe-crm.veevavault.com/ui/#object/account__v/V4TZ06G6O71SC9Y", "UBALDO SAGRIPANTI")</f>
        <v>UBALDO SAGRIPANTI</v>
      </c>
      <c r="B5148" s="7" t="str">
        <f t="shared" si="560"/>
        <v>IT</v>
      </c>
      <c r="C5148" s="8" t="s">
        <v>44</v>
      </c>
      <c r="D5148" s="9" t="str">
        <f t="shared" si="561"/>
        <v>AE dialoghi di tempo fiducia e cura episodi 2-3-4</v>
      </c>
      <c r="E5148" s="10" t="str">
        <f>HYPERLINK("https://otsuka-europe-crm.veevavault.com/ui/#object/sent_email__v/VBL00000002Q223", "SE-001433892")</f>
        <v>SE-001433892</v>
      </c>
      <c r="F5148" s="11"/>
      <c r="G5148" s="12">
        <v>0</v>
      </c>
      <c r="H5148" s="12">
        <v>0</v>
      </c>
      <c r="I5148" s="12">
        <v>0</v>
      </c>
      <c r="J5148" s="11"/>
      <c r="K5148" s="12">
        <v>0</v>
      </c>
      <c r="L5148" s="10" t="str">
        <f t="shared" si="562"/>
        <v>AE dialoghi di tempo fiducia e cura episodi 2-3-4</v>
      </c>
      <c r="M5148" s="10" t="str">
        <f t="shared" si="563"/>
        <v>nicoletta.vozza@crm.otsuka-europe.com</v>
      </c>
      <c r="N5148" s="13">
        <v>46181.337997685187</v>
      </c>
      <c r="O5148" s="14" t="str">
        <f>HYPERLINK("https://otsuka-europe-crm.veevavault.com/ui/#object/email_activity__v/V8C00000003P868", "EN-002091351")</f>
        <v>EN-002091351</v>
      </c>
    </row>
    <row r="5149" spans="1:15" ht="32" x14ac:dyDescent="0.2">
      <c r="A5149" s="7" t="str">
        <f>HYPERLINK("https://otsuka-europe-crm.veevavault.com/ui/#object/account__v/V4TZ06G6O71SA6C", "UGHETTA BOSCO UBERTINO")</f>
        <v>UGHETTA BOSCO UBERTINO</v>
      </c>
      <c r="B5149" s="7" t="str">
        <f t="shared" si="560"/>
        <v>IT</v>
      </c>
      <c r="C5149" s="8" t="s">
        <v>44</v>
      </c>
      <c r="D5149" s="9" t="str">
        <f t="shared" si="561"/>
        <v>AE dialoghi di tempo fiducia e cura episodi 2-3-4</v>
      </c>
      <c r="E5149" s="10" t="str">
        <f>HYPERLINK("https://otsuka-europe-crm.veevavault.com/ui/#object/sent_email__v/VBL00000002Q224", "SE-001433893")</f>
        <v>SE-001433893</v>
      </c>
      <c r="F5149" s="11"/>
      <c r="G5149" s="12">
        <v>0</v>
      </c>
      <c r="H5149" s="12">
        <v>0</v>
      </c>
      <c r="I5149" s="12">
        <v>0</v>
      </c>
      <c r="J5149" s="11"/>
      <c r="K5149" s="12">
        <v>0</v>
      </c>
      <c r="L5149" s="10" t="str">
        <f t="shared" si="562"/>
        <v>AE dialoghi di tempo fiducia e cura episodi 2-3-4</v>
      </c>
      <c r="M5149" s="10" t="str">
        <f t="shared" si="563"/>
        <v>nicoletta.vozza@crm.otsuka-europe.com</v>
      </c>
      <c r="N5149" s="13">
        <v>46181.337997685187</v>
      </c>
      <c r="O5149" s="14" t="str">
        <f>HYPERLINK("https://otsuka-europe-crm.veevavault.com/ui/#object/email_activity__v/V8C00000003O640", "EN-002090196")</f>
        <v>EN-002090196</v>
      </c>
    </row>
    <row r="5150" spans="1:15" ht="32" x14ac:dyDescent="0.2">
      <c r="A5150" s="7" t="str">
        <f>HYPERLINK("https://otsuka-europe-crm.veevavault.com/ui/#object/account__v/V4TZ06G6O71TFVP", "UGO ALFREDO MERLO")</f>
        <v>UGO ALFREDO MERLO</v>
      </c>
      <c r="B5150" s="7" t="str">
        <f t="shared" si="560"/>
        <v>IT</v>
      </c>
      <c r="C5150" s="8" t="s">
        <v>44</v>
      </c>
      <c r="D5150" s="9" t="str">
        <f t="shared" si="561"/>
        <v>AE dialoghi di tempo fiducia e cura episodi 2-3-4</v>
      </c>
      <c r="E5150" s="10" t="str">
        <f>HYPERLINK("https://otsuka-europe-crm.veevavault.com/ui/#object/sent_email__v/VBL00000002Q225", "SE-001433894")</f>
        <v>SE-001433894</v>
      </c>
      <c r="F5150" s="11"/>
      <c r="G5150" s="12">
        <v>0</v>
      </c>
      <c r="H5150" s="12">
        <v>0</v>
      </c>
      <c r="I5150" s="12">
        <v>0</v>
      </c>
      <c r="J5150" s="11"/>
      <c r="K5150" s="12">
        <v>0</v>
      </c>
      <c r="L5150" s="10" t="str">
        <f t="shared" si="562"/>
        <v>AE dialoghi di tempo fiducia e cura episodi 2-3-4</v>
      </c>
      <c r="M5150" s="10" t="str">
        <f t="shared" si="563"/>
        <v>nicoletta.vozza@crm.otsuka-europe.com</v>
      </c>
      <c r="N5150" s="13">
        <v>46181.337962962964</v>
      </c>
      <c r="O5150" s="14" t="str">
        <f>HYPERLINK("https://otsuka-europe-crm.veevavault.com/ui/#object/email_activity__v/V8C00000003P390", "EN-002090396")</f>
        <v>EN-002090396</v>
      </c>
    </row>
    <row r="5151" spans="1:15" ht="32" x14ac:dyDescent="0.2">
      <c r="A5151" s="7" t="str">
        <f>HYPERLINK("https://otsuka-europe-crm.veevavault.com/ui/#object/account__v/V4TZ06G6OB42UP2", "UMBERTO MORETTO")</f>
        <v>UMBERTO MORETTO</v>
      </c>
      <c r="B5151" s="7" t="str">
        <f t="shared" si="560"/>
        <v>IT</v>
      </c>
      <c r="C5151" s="8" t="s">
        <v>44</v>
      </c>
      <c r="D5151" s="9" t="str">
        <f t="shared" si="561"/>
        <v>AE dialoghi di tempo fiducia e cura episodi 2-3-4</v>
      </c>
      <c r="E5151" s="10" t="str">
        <f>HYPERLINK("https://otsuka-europe-crm.veevavault.com/ui/#object/sent_email__v/VBL00000002Q226", "SE-001433895")</f>
        <v>SE-001433895</v>
      </c>
      <c r="F5151" s="11"/>
      <c r="G5151" s="12">
        <v>0</v>
      </c>
      <c r="H5151" s="12">
        <v>0</v>
      </c>
      <c r="I5151" s="12">
        <v>0</v>
      </c>
      <c r="J5151" s="11"/>
      <c r="K5151" s="12">
        <v>0</v>
      </c>
      <c r="L5151" s="10" t="str">
        <f t="shared" si="562"/>
        <v>AE dialoghi di tempo fiducia e cura episodi 2-3-4</v>
      </c>
      <c r="M5151" s="10" t="str">
        <f t="shared" si="563"/>
        <v>nicoletta.vozza@crm.otsuka-europe.com</v>
      </c>
      <c r="N5151" s="13">
        <v>46181.337997685187</v>
      </c>
      <c r="O5151" s="14" t="str">
        <f>HYPERLINK("https://otsuka-europe-crm.veevavault.com/ui/#object/email_activity__v/V8C00000003Q112", "EN-002091177")</f>
        <v>EN-002091177</v>
      </c>
    </row>
    <row r="5152" spans="1:15" ht="32" x14ac:dyDescent="0.2">
      <c r="A5152" s="7" t="str">
        <f>HYPERLINK("https://otsuka-europe-crm.veevavault.com/ui/#object/account__v/V4TZ04ASG7NK6RP", "VALENTINA CAROCCI")</f>
        <v>VALENTINA CAROCCI</v>
      </c>
      <c r="B5152" s="7" t="str">
        <f t="shared" si="560"/>
        <v>IT</v>
      </c>
      <c r="C5152" s="8" t="s">
        <v>44</v>
      </c>
      <c r="D5152" s="9" t="str">
        <f t="shared" si="561"/>
        <v>AE dialoghi di tempo fiducia e cura episodi 2-3-4</v>
      </c>
      <c r="E5152" s="10" t="str">
        <f>HYPERLINK("https://otsuka-europe-crm.veevavault.com/ui/#object/sent_email__v/VBL00000002Q227", "SE-001433896")</f>
        <v>SE-001433896</v>
      </c>
      <c r="F5152" s="11"/>
      <c r="G5152" s="12">
        <v>0</v>
      </c>
      <c r="H5152" s="12">
        <v>0</v>
      </c>
      <c r="I5152" s="12">
        <v>0</v>
      </c>
      <c r="J5152" s="11"/>
      <c r="K5152" s="12">
        <v>0</v>
      </c>
      <c r="L5152" s="10" t="str">
        <f t="shared" si="562"/>
        <v>AE dialoghi di tempo fiducia e cura episodi 2-3-4</v>
      </c>
      <c r="M5152" s="10" t="str">
        <f t="shared" si="563"/>
        <v>nicoletta.vozza@crm.otsuka-europe.com</v>
      </c>
      <c r="N5152" s="13">
        <v>46181.33797453704</v>
      </c>
      <c r="O5152" s="14" t="str">
        <f>HYPERLINK("https://otsuka-europe-crm.veevavault.com/ui/#object/email_activity__v/V8C00000003P421", "EN-002090633")</f>
        <v>EN-002090633</v>
      </c>
    </row>
    <row r="5153" spans="1:15" ht="32" x14ac:dyDescent="0.2">
      <c r="A5153" s="7" t="str">
        <f>HYPERLINK("https://otsuka-europe-crm.veevavault.com/ui/#object/account__v/V4TZ06G6O71S9T0", "VALENTINA CORIGLIANO")</f>
        <v>VALENTINA CORIGLIANO</v>
      </c>
      <c r="B5153" s="7" t="str">
        <f t="shared" si="560"/>
        <v>IT</v>
      </c>
      <c r="C5153" s="8" t="s">
        <v>44</v>
      </c>
      <c r="D5153" s="9" t="str">
        <f t="shared" si="561"/>
        <v>AE dialoghi di tempo fiducia e cura episodi 2-3-4</v>
      </c>
      <c r="E5153" s="10" t="str">
        <f>HYPERLINK("https://otsuka-europe-crm.veevavault.com/ui/#object/sent_email__v/VBL00000002Q228", "SE-001433897")</f>
        <v>SE-001433897</v>
      </c>
      <c r="F5153" s="11"/>
      <c r="G5153" s="12">
        <v>0</v>
      </c>
      <c r="H5153" s="12">
        <v>0</v>
      </c>
      <c r="I5153" s="12">
        <v>0</v>
      </c>
      <c r="J5153" s="11"/>
      <c r="K5153" s="12">
        <v>0</v>
      </c>
      <c r="L5153" s="10" t="str">
        <f t="shared" si="562"/>
        <v>AE dialoghi di tempo fiducia e cura episodi 2-3-4</v>
      </c>
      <c r="M5153" s="10" t="str">
        <f t="shared" si="563"/>
        <v>nicoletta.vozza@crm.otsuka-europe.com</v>
      </c>
      <c r="N5153" s="13">
        <v>46181.338090277779</v>
      </c>
      <c r="O5153" s="14" t="str">
        <f>HYPERLINK("https://otsuka-europe-crm.veevavault.com/ui/#object/email_activity__v/V8C00000003P836", "EN-002091195")</f>
        <v>EN-002091195</v>
      </c>
    </row>
    <row r="5154" spans="1:15" ht="32" x14ac:dyDescent="0.2">
      <c r="A5154" s="7" t="str">
        <f>HYPERLINK("https://otsuka-europe-crm.veevavault.com/ui/#object/account__v/V4TZ06G6O71S9Q0", "VALENTINA LEUCCI")</f>
        <v>VALENTINA LEUCCI</v>
      </c>
      <c r="B5154" s="7" t="str">
        <f t="shared" si="560"/>
        <v>IT</v>
      </c>
      <c r="C5154" s="8" t="s">
        <v>44</v>
      </c>
      <c r="D5154" s="9" t="str">
        <f t="shared" si="561"/>
        <v>AE dialoghi di tempo fiducia e cura episodi 2-3-4</v>
      </c>
      <c r="E5154" s="10" t="str">
        <f>HYPERLINK("https://otsuka-europe-crm.veevavault.com/ui/#object/sent_email__v/VBL00000002Q229", "SE-001433898")</f>
        <v>SE-001433898</v>
      </c>
      <c r="F5154" s="11"/>
      <c r="G5154" s="12">
        <v>0</v>
      </c>
      <c r="H5154" s="12">
        <v>0</v>
      </c>
      <c r="I5154" s="12">
        <v>0</v>
      </c>
      <c r="J5154" s="11"/>
      <c r="K5154" s="12">
        <v>0</v>
      </c>
      <c r="L5154" s="10" t="str">
        <f t="shared" si="562"/>
        <v>AE dialoghi di tempo fiducia e cura episodi 2-3-4</v>
      </c>
      <c r="M5154" s="10" t="str">
        <f t="shared" si="563"/>
        <v>nicoletta.vozza@crm.otsuka-europe.com</v>
      </c>
      <c r="N5154" s="13">
        <v>46181.33798611111</v>
      </c>
      <c r="O5154" s="14" t="str">
        <f>HYPERLINK("https://otsuka-europe-crm.veevavault.com/ui/#object/email_activity__v/V8C00000003O352", "EN-002089870")</f>
        <v>EN-002089870</v>
      </c>
    </row>
    <row r="5155" spans="1:15" ht="32" x14ac:dyDescent="0.2">
      <c r="A5155" s="7" t="str">
        <f>HYPERLINK("https://otsuka-europe-crm.veevavault.com/ui/#object/account__v/V4TZ06G6O80K0DH", "VALENTINA MANZO")</f>
        <v>VALENTINA MANZO</v>
      </c>
      <c r="B5155" s="7" t="str">
        <f t="shared" si="560"/>
        <v>IT</v>
      </c>
      <c r="C5155" s="8" t="s">
        <v>44</v>
      </c>
      <c r="D5155" s="9" t="str">
        <f t="shared" si="561"/>
        <v>AE dialoghi di tempo fiducia e cura episodi 2-3-4</v>
      </c>
      <c r="E5155" s="10" t="str">
        <f>HYPERLINK("https://otsuka-europe-crm.veevavault.com/ui/#object/sent_email__v/VBL00000002Q230", "SE-001433899")</f>
        <v>SE-001433899</v>
      </c>
      <c r="F5155" s="11"/>
      <c r="G5155" s="12">
        <v>0</v>
      </c>
      <c r="H5155" s="12">
        <v>0</v>
      </c>
      <c r="I5155" s="12">
        <v>0</v>
      </c>
      <c r="J5155" s="11"/>
      <c r="K5155" s="12">
        <v>0</v>
      </c>
      <c r="L5155" s="10" t="str">
        <f t="shared" si="562"/>
        <v>AE dialoghi di tempo fiducia e cura episodi 2-3-4</v>
      </c>
      <c r="M5155" s="10" t="str">
        <f t="shared" si="563"/>
        <v>nicoletta.vozza@crm.otsuka-europe.com</v>
      </c>
      <c r="N5155" s="13">
        <v>46181.338055555556</v>
      </c>
      <c r="O5155" s="14" t="str">
        <f>HYPERLINK("https://otsuka-europe-crm.veevavault.com/ui/#object/email_activity__v/V8C00000003Q054", "EN-002091020")</f>
        <v>EN-002091020</v>
      </c>
    </row>
    <row r="5156" spans="1:15" ht="32" x14ac:dyDescent="0.2">
      <c r="A5156" s="7" t="str">
        <f>HYPERLINK("https://otsuka-europe-crm.veevavault.com/ui/#object/account__v/V4TZ06G6O71SCEZ", "VALENTINA MARIAGOSTINA SCROFANI")</f>
        <v>VALENTINA MARIAGOSTINA SCROFANI</v>
      </c>
      <c r="B5156" s="7" t="str">
        <f t="shared" si="560"/>
        <v>IT</v>
      </c>
      <c r="C5156" s="8" t="s">
        <v>44</v>
      </c>
      <c r="D5156" s="9" t="str">
        <f t="shared" si="561"/>
        <v>AE dialoghi di tempo fiducia e cura episodi 2-3-4</v>
      </c>
      <c r="E5156" s="10" t="str">
        <f>HYPERLINK("https://otsuka-europe-crm.veevavault.com/ui/#object/sent_email__v/VBL00000002Q231", "SE-001433900")</f>
        <v>SE-001433900</v>
      </c>
      <c r="F5156" s="11"/>
      <c r="G5156" s="12">
        <v>0</v>
      </c>
      <c r="H5156" s="12">
        <v>0</v>
      </c>
      <c r="I5156" s="12">
        <v>0</v>
      </c>
      <c r="J5156" s="11"/>
      <c r="K5156" s="12">
        <v>0</v>
      </c>
      <c r="L5156" s="10" t="str">
        <f t="shared" si="562"/>
        <v>AE dialoghi di tempo fiducia e cura episodi 2-3-4</v>
      </c>
      <c r="M5156" s="10" t="str">
        <f t="shared" si="563"/>
        <v>nicoletta.vozza@crm.otsuka-europe.com</v>
      </c>
      <c r="N5156" s="13">
        <v>46181.337997685187</v>
      </c>
      <c r="O5156" s="14" t="str">
        <f>HYPERLINK("https://otsuka-europe-crm.veevavault.com/ui/#object/email_activity__v/V8C00000003O426", "EN-002089982")</f>
        <v>EN-002089982</v>
      </c>
    </row>
    <row r="5157" spans="1:15" ht="32" x14ac:dyDescent="0.2">
      <c r="A5157" s="7" t="str">
        <f>HYPERLINK("https://otsuka-europe-crm.veevavault.com/ui/#object/account__v/V4TZ06G6O90JJCB", "VALENTINA MAROZZI")</f>
        <v>VALENTINA MAROZZI</v>
      </c>
      <c r="B5157" s="7" t="str">
        <f t="shared" si="560"/>
        <v>IT</v>
      </c>
      <c r="C5157" s="8" t="s">
        <v>44</v>
      </c>
      <c r="D5157" s="9" t="str">
        <f t="shared" si="561"/>
        <v>AE dialoghi di tempo fiducia e cura episodi 2-3-4</v>
      </c>
      <c r="E5157" s="10" t="str">
        <f>HYPERLINK("https://otsuka-europe-crm.veevavault.com/ui/#object/sent_email__v/VBL00000002Q232", "SE-001433901")</f>
        <v>SE-001433901</v>
      </c>
      <c r="F5157" s="11"/>
      <c r="G5157" s="12">
        <v>0</v>
      </c>
      <c r="H5157" s="12">
        <v>0</v>
      </c>
      <c r="I5157" s="12">
        <v>0</v>
      </c>
      <c r="J5157" s="11"/>
      <c r="K5157" s="12">
        <v>0</v>
      </c>
      <c r="L5157" s="10" t="str">
        <f t="shared" si="562"/>
        <v>AE dialoghi di tempo fiducia e cura episodi 2-3-4</v>
      </c>
      <c r="M5157" s="10" t="str">
        <f t="shared" si="563"/>
        <v>nicoletta.vozza@crm.otsuka-europe.com</v>
      </c>
      <c r="N5157" s="13">
        <v>46181.338055555556</v>
      </c>
      <c r="O5157" s="14" t="str">
        <f>HYPERLINK("https://otsuka-europe-crm.veevavault.com/ui/#object/email_activity__v/V8C00000003P812", "EN-002091110")</f>
        <v>EN-002091110</v>
      </c>
    </row>
    <row r="5158" spans="1:15" ht="32" x14ac:dyDescent="0.2">
      <c r="A5158" s="7" t="str">
        <f>HYPERLINK("https://otsuka-europe-crm.veevavault.com/ui/#object/account__v/V4TZ06G6O71SBI7", "VALENTINA MEUTI")</f>
        <v>VALENTINA MEUTI</v>
      </c>
      <c r="B5158" s="7" t="str">
        <f t="shared" si="560"/>
        <v>IT</v>
      </c>
      <c r="C5158" s="8" t="s">
        <v>44</v>
      </c>
      <c r="D5158" s="9" t="str">
        <f t="shared" si="561"/>
        <v>AE dialoghi di tempo fiducia e cura episodi 2-3-4</v>
      </c>
      <c r="E5158" s="10" t="str">
        <f>HYPERLINK("https://otsuka-europe-crm.veevavault.com/ui/#object/sent_email__v/VBL00000002Q233", "SE-001433902")</f>
        <v>SE-001433902</v>
      </c>
      <c r="F5158" s="11"/>
      <c r="G5158" s="12">
        <v>0</v>
      </c>
      <c r="H5158" s="12">
        <v>0</v>
      </c>
      <c r="I5158" s="12">
        <v>0</v>
      </c>
      <c r="J5158" s="11"/>
      <c r="K5158" s="12">
        <v>0</v>
      </c>
      <c r="L5158" s="10" t="str">
        <f t="shared" si="562"/>
        <v>AE dialoghi di tempo fiducia e cura episodi 2-3-4</v>
      </c>
      <c r="M5158" s="10" t="str">
        <f t="shared" si="563"/>
        <v>nicoletta.vozza@crm.otsuka-europe.com</v>
      </c>
      <c r="N5158" s="13">
        <v>46181.337962962964</v>
      </c>
      <c r="O5158" s="14" t="str">
        <f>HYPERLINK("https://otsuka-europe-crm.veevavault.com/ui/#object/email_activity__v/V8C00000003P248", "EN-002089826")</f>
        <v>EN-002089826</v>
      </c>
    </row>
    <row r="5159" spans="1:15" ht="32" x14ac:dyDescent="0.2">
      <c r="A5159" s="7" t="str">
        <f>HYPERLINK("https://otsuka-europe-crm.veevavault.com/ui/#object/account__v/V4TZ06G6O71S9FI", "VALENTINA MORETTI")</f>
        <v>VALENTINA MORETTI</v>
      </c>
      <c r="B5159" s="7" t="str">
        <f t="shared" si="560"/>
        <v>IT</v>
      </c>
      <c r="C5159" s="8" t="s">
        <v>44</v>
      </c>
      <c r="D5159" s="9" t="str">
        <f t="shared" si="561"/>
        <v>AE dialoghi di tempo fiducia e cura episodi 2-3-4</v>
      </c>
      <c r="E5159" s="10" t="str">
        <f>HYPERLINK("https://otsuka-europe-crm.veevavault.com/ui/#object/sent_email__v/VBL00000002Q234", "SE-001433903")</f>
        <v>SE-001433903</v>
      </c>
      <c r="F5159" s="11"/>
      <c r="G5159" s="12">
        <v>0</v>
      </c>
      <c r="H5159" s="12">
        <v>0</v>
      </c>
      <c r="I5159" s="12">
        <v>0</v>
      </c>
      <c r="J5159" s="11"/>
      <c r="K5159" s="12">
        <v>0</v>
      </c>
      <c r="L5159" s="10" t="str">
        <f t="shared" si="562"/>
        <v>AE dialoghi di tempo fiducia e cura episodi 2-3-4</v>
      </c>
      <c r="M5159" s="10" t="str">
        <f t="shared" si="563"/>
        <v>nicoletta.vozza@crm.otsuka-europe.com</v>
      </c>
      <c r="N5159" s="13">
        <v>46181.338078703702</v>
      </c>
      <c r="O5159" s="14" t="str">
        <f>HYPERLINK("https://otsuka-europe-crm.veevavault.com/ui/#object/email_activity__v/V8C00000003P534", "EN-002090789")</f>
        <v>EN-002090789</v>
      </c>
    </row>
    <row r="5160" spans="1:15" ht="16" x14ac:dyDescent="0.2">
      <c r="A5160" s="17" t="str">
        <f>HYPERLINK("https://otsuka-europe-crm.veevavault.com/ui/#object/account__v/V4TZ06G6O71S9BU", "VALENTINA MORINI")</f>
        <v>VALENTINA MORINI</v>
      </c>
      <c r="B5160" s="17" t="str">
        <f t="shared" si="560"/>
        <v>IT</v>
      </c>
      <c r="C5160" s="20" t="s">
        <v>44</v>
      </c>
      <c r="D5160" s="21" t="str">
        <f t="shared" si="561"/>
        <v>AE dialoghi di tempo fiducia e cura episodi 2-3-4</v>
      </c>
      <c r="E5160" s="22" t="str">
        <f>HYPERLINK("https://otsuka-europe-crm.veevavault.com/ui/#object/sent_email__v/VBL00000002Q235", "SE-001433904")</f>
        <v>SE-001433904</v>
      </c>
      <c r="F5160" s="25"/>
      <c r="G5160" s="24">
        <v>0</v>
      </c>
      <c r="H5160" s="24">
        <v>0</v>
      </c>
      <c r="I5160" s="24">
        <v>0</v>
      </c>
      <c r="J5160" s="25"/>
      <c r="K5160" s="24">
        <v>0</v>
      </c>
      <c r="L5160" s="22" t="str">
        <f t="shared" si="562"/>
        <v>AE dialoghi di tempo fiducia e cura episodi 2-3-4</v>
      </c>
      <c r="M5160" s="22" t="str">
        <f t="shared" si="563"/>
        <v>nicoletta.vozza@crm.otsuka-europe.com</v>
      </c>
      <c r="N5160" s="23">
        <v>46181.338043981479</v>
      </c>
      <c r="O5160" s="14" t="str">
        <f>HYPERLINK("https://otsuka-europe-crm.veevavault.com/ui/#object/email_activity__v/V8C00000003O480", "EN-002090036")</f>
        <v>EN-002090036</v>
      </c>
    </row>
    <row r="5161" spans="1:15" ht="16" x14ac:dyDescent="0.2">
      <c r="A5161" s="19"/>
      <c r="B5161" s="19"/>
      <c r="C5161" s="19"/>
      <c r="D5161" s="19"/>
      <c r="E5161" s="19"/>
      <c r="F5161" s="19"/>
      <c r="G5161" s="19"/>
      <c r="H5161" s="19"/>
      <c r="I5161" s="19"/>
      <c r="J5161" s="19"/>
      <c r="K5161" s="19"/>
      <c r="L5161" s="19"/>
      <c r="M5161" s="19"/>
      <c r="N5161" s="19"/>
      <c r="O5161" s="14" t="str">
        <f>HYPERLINK("https://otsuka-europe-crm.veevavault.com/ui/#object/email_activity__v/V8C00000003Q729", "EN-002092291")</f>
        <v>EN-002092291</v>
      </c>
    </row>
    <row r="5162" spans="1:15" ht="32" x14ac:dyDescent="0.2">
      <c r="A5162" s="7" t="str">
        <f>HYPERLINK("https://otsuka-europe-crm.veevavault.com/ui/#object/account__v/V4TZ06G6O71S9TI", "VALENTINA RAMELLA CRAVARO")</f>
        <v>VALENTINA RAMELLA CRAVARO</v>
      </c>
      <c r="B5162" s="7" t="str">
        <f t="shared" ref="B5162:B5168" si="564">HYPERLINK("https://otsuka-europe-crm.veevavault.com/ui/#object/vcountry__v/VENZ000004SONFQ", "IT")</f>
        <v>IT</v>
      </c>
      <c r="C5162" s="8" t="s">
        <v>44</v>
      </c>
      <c r="D5162" s="9" t="str">
        <f t="shared" ref="D5162:D5168" si="565">HYPERLINK("https://otsuka-europe-crm.veevavault.com/ui/#object/approved_document__v/V5O000000018003", "AE dialoghi di tempo fiducia e cura episodi 2-3-4")</f>
        <v>AE dialoghi di tempo fiducia e cura episodi 2-3-4</v>
      </c>
      <c r="E5162" s="10" t="str">
        <f>HYPERLINK("https://otsuka-europe-crm.veevavault.com/ui/#object/sent_email__v/VBL00000002Q236", "SE-001433905")</f>
        <v>SE-001433905</v>
      </c>
      <c r="F5162" s="11"/>
      <c r="G5162" s="12">
        <v>0</v>
      </c>
      <c r="H5162" s="12">
        <v>0</v>
      </c>
      <c r="I5162" s="12">
        <v>0</v>
      </c>
      <c r="J5162" s="11"/>
      <c r="K5162" s="12">
        <v>0</v>
      </c>
      <c r="L5162" s="10" t="str">
        <f t="shared" ref="L5162:L5168" si="566">HYPERLINK("https://otsuka-europe-crm.veevavault.com/ui/#object/approved_document__v/V5O000000018003", "AE dialoghi di tempo fiducia e cura episodi 2-3-4")</f>
        <v>AE dialoghi di tempo fiducia e cura episodi 2-3-4</v>
      </c>
      <c r="M5162" s="10" t="str">
        <f t="shared" ref="M5162:M5168" si="567">HYPERLINK("mailto:nicoletta.vozza@crm.otsuka-europe.com", "nicoletta.vozza@crm.otsuka-europe.com")</f>
        <v>nicoletta.vozza@crm.otsuka-europe.com</v>
      </c>
      <c r="N5162" s="13">
        <v>46181.337962962964</v>
      </c>
      <c r="O5162" s="14" t="str">
        <f>HYPERLINK("https://otsuka-europe-crm.veevavault.com/ui/#object/email_activity__v/V8C00000003P245", "EN-002089823")</f>
        <v>EN-002089823</v>
      </c>
    </row>
    <row r="5163" spans="1:15" ht="32" x14ac:dyDescent="0.2">
      <c r="A5163" s="7" t="str">
        <f>HYPERLINK("https://otsuka-europe-crm.veevavault.com/ui/#object/account__v/V4TZ04ASG8QC5ZV", "VALERIA ACCARDI")</f>
        <v>VALERIA ACCARDI</v>
      </c>
      <c r="B5163" s="7" t="str">
        <f t="shared" si="564"/>
        <v>IT</v>
      </c>
      <c r="C5163" s="8" t="s">
        <v>44</v>
      </c>
      <c r="D5163" s="9" t="str">
        <f t="shared" si="565"/>
        <v>AE dialoghi di tempo fiducia e cura episodi 2-3-4</v>
      </c>
      <c r="E5163" s="10" t="str">
        <f>HYPERLINK("https://otsuka-europe-crm.veevavault.com/ui/#object/sent_email__v/VBL00000002Q237", "SE-001433906")</f>
        <v>SE-001433906</v>
      </c>
      <c r="F5163" s="11"/>
      <c r="G5163" s="12">
        <v>0</v>
      </c>
      <c r="H5163" s="12">
        <v>0</v>
      </c>
      <c r="I5163" s="12">
        <v>0</v>
      </c>
      <c r="J5163" s="11"/>
      <c r="K5163" s="12">
        <v>0</v>
      </c>
      <c r="L5163" s="10" t="str">
        <f t="shared" si="566"/>
        <v>AE dialoghi di tempo fiducia e cura episodi 2-3-4</v>
      </c>
      <c r="M5163" s="10" t="str">
        <f t="shared" si="567"/>
        <v>nicoletta.vozza@crm.otsuka-europe.com</v>
      </c>
      <c r="N5163" s="13">
        <v>46181.33803240741</v>
      </c>
      <c r="O5163" s="14" t="str">
        <f>HYPERLINK("https://otsuka-europe-crm.veevavault.com/ui/#object/email_activity__v/V8C00000003O849", "EN-002090550")</f>
        <v>EN-002090550</v>
      </c>
    </row>
    <row r="5164" spans="1:15" ht="32" x14ac:dyDescent="0.2">
      <c r="A5164" s="7" t="str">
        <f>HYPERLINK("https://otsuka-europe-crm.veevavault.com/ui/#object/account__v/V4TZ06G6O71S9CP", "VALERIA DE BIASIO")</f>
        <v>VALERIA DE BIASIO</v>
      </c>
      <c r="B5164" s="7" t="str">
        <f t="shared" si="564"/>
        <v>IT</v>
      </c>
      <c r="C5164" s="8" t="s">
        <v>44</v>
      </c>
      <c r="D5164" s="9" t="str">
        <f t="shared" si="565"/>
        <v>AE dialoghi di tempo fiducia e cura episodi 2-3-4</v>
      </c>
      <c r="E5164" s="10" t="str">
        <f>HYPERLINK("https://otsuka-europe-crm.veevavault.com/ui/#object/sent_email__v/VBL00000002Q238", "SE-001433907")</f>
        <v>SE-001433907</v>
      </c>
      <c r="F5164" s="11"/>
      <c r="G5164" s="12">
        <v>0</v>
      </c>
      <c r="H5164" s="12">
        <v>0</v>
      </c>
      <c r="I5164" s="12">
        <v>0</v>
      </c>
      <c r="J5164" s="11"/>
      <c r="K5164" s="12">
        <v>0</v>
      </c>
      <c r="L5164" s="10" t="str">
        <f t="shared" si="566"/>
        <v>AE dialoghi di tempo fiducia e cura episodi 2-3-4</v>
      </c>
      <c r="M5164" s="10" t="str">
        <f t="shared" si="567"/>
        <v>nicoletta.vozza@crm.otsuka-europe.com</v>
      </c>
      <c r="N5164" s="13">
        <v>46181.337997685187</v>
      </c>
      <c r="O5164" s="14" t="str">
        <f>HYPERLINK("https://otsuka-europe-crm.veevavault.com/ui/#object/email_activity__v/V8C00000003Q305", "EN-002091452")</f>
        <v>EN-002091452</v>
      </c>
    </row>
    <row r="5165" spans="1:15" ht="32" x14ac:dyDescent="0.2">
      <c r="A5165" s="7" t="str">
        <f>HYPERLINK("https://otsuka-europe-crm.veevavault.com/ui/#object/account__v/V4TZ025E890MYWQ", "VALERIA FERRARI")</f>
        <v>VALERIA FERRARI</v>
      </c>
      <c r="B5165" s="7" t="str">
        <f t="shared" si="564"/>
        <v>IT</v>
      </c>
      <c r="C5165" s="8" t="s">
        <v>44</v>
      </c>
      <c r="D5165" s="9" t="str">
        <f t="shared" si="565"/>
        <v>AE dialoghi di tempo fiducia e cura episodi 2-3-4</v>
      </c>
      <c r="E5165" s="10" t="str">
        <f>HYPERLINK("https://otsuka-europe-crm.veevavault.com/ui/#object/sent_email__v/VBL00000002Q239", "SE-001433908")</f>
        <v>SE-001433908</v>
      </c>
      <c r="F5165" s="11"/>
      <c r="G5165" s="12">
        <v>0</v>
      </c>
      <c r="H5165" s="12">
        <v>0</v>
      </c>
      <c r="I5165" s="12">
        <v>0</v>
      </c>
      <c r="J5165" s="11"/>
      <c r="K5165" s="12">
        <v>0</v>
      </c>
      <c r="L5165" s="10" t="str">
        <f t="shared" si="566"/>
        <v>AE dialoghi di tempo fiducia e cura episodi 2-3-4</v>
      </c>
      <c r="M5165" s="10" t="str">
        <f t="shared" si="567"/>
        <v>nicoletta.vozza@crm.otsuka-europe.com</v>
      </c>
      <c r="N5165" s="13">
        <v>46181.338090277779</v>
      </c>
      <c r="O5165" s="14" t="str">
        <f>HYPERLINK("https://otsuka-europe-crm.veevavault.com/ui/#object/email_activity__v/V8C00000003Q110", "EN-002091175")</f>
        <v>EN-002091175</v>
      </c>
    </row>
    <row r="5166" spans="1:15" ht="32" x14ac:dyDescent="0.2">
      <c r="A5166" s="7" t="str">
        <f>HYPERLINK("https://otsuka-europe-crm.veevavault.com/ui/#object/account__v/V4TZ06G6O71SANQ", "VALERIA FONZO")</f>
        <v>VALERIA FONZO</v>
      </c>
      <c r="B5166" s="7" t="str">
        <f t="shared" si="564"/>
        <v>IT</v>
      </c>
      <c r="C5166" s="8" t="s">
        <v>44</v>
      </c>
      <c r="D5166" s="9" t="str">
        <f t="shared" si="565"/>
        <v>AE dialoghi di tempo fiducia e cura episodi 2-3-4</v>
      </c>
      <c r="E5166" s="10" t="str">
        <f>HYPERLINK("https://otsuka-europe-crm.veevavault.com/ui/#object/sent_email__v/VBL00000002Q240", "SE-001433909")</f>
        <v>SE-001433909</v>
      </c>
      <c r="F5166" s="11"/>
      <c r="G5166" s="12">
        <v>0</v>
      </c>
      <c r="H5166" s="12">
        <v>0</v>
      </c>
      <c r="I5166" s="12">
        <v>0</v>
      </c>
      <c r="J5166" s="11"/>
      <c r="K5166" s="12">
        <v>0</v>
      </c>
      <c r="L5166" s="10" t="str">
        <f t="shared" si="566"/>
        <v>AE dialoghi di tempo fiducia e cura episodi 2-3-4</v>
      </c>
      <c r="M5166" s="10" t="str">
        <f t="shared" si="567"/>
        <v>nicoletta.vozza@crm.otsuka-europe.com</v>
      </c>
      <c r="N5166" s="13">
        <v>46181.338020833333</v>
      </c>
      <c r="O5166" s="14" t="str">
        <f>HYPERLINK("https://otsuka-europe-crm.veevavault.com/ui/#object/email_activity__v/V8C00000003O529", "EN-002090085")</f>
        <v>EN-002090085</v>
      </c>
    </row>
    <row r="5167" spans="1:15" ht="32" x14ac:dyDescent="0.2">
      <c r="A5167" s="7" t="str">
        <f>HYPERLINK("https://otsuka-europe-crm.veevavault.com/ui/#object/account__v/V4TZ06G6O8SF0O9", "VALERIA IANNUZZI")</f>
        <v>VALERIA IANNUZZI</v>
      </c>
      <c r="B5167" s="7" t="str">
        <f t="shared" si="564"/>
        <v>IT</v>
      </c>
      <c r="C5167" s="8" t="s">
        <v>44</v>
      </c>
      <c r="D5167" s="9" t="str">
        <f t="shared" si="565"/>
        <v>AE dialoghi di tempo fiducia e cura episodi 2-3-4</v>
      </c>
      <c r="E5167" s="10" t="str">
        <f>HYPERLINK("https://otsuka-europe-crm.veevavault.com/ui/#object/sent_email__v/VBL00000002Q241", "SE-001433910")</f>
        <v>SE-001433910</v>
      </c>
      <c r="F5167" s="11"/>
      <c r="G5167" s="12">
        <v>0</v>
      </c>
      <c r="H5167" s="12">
        <v>0</v>
      </c>
      <c r="I5167" s="12">
        <v>0</v>
      </c>
      <c r="J5167" s="11"/>
      <c r="K5167" s="12">
        <v>0</v>
      </c>
      <c r="L5167" s="10" t="str">
        <f t="shared" si="566"/>
        <v>AE dialoghi di tempo fiducia e cura episodi 2-3-4</v>
      </c>
      <c r="M5167" s="10" t="str">
        <f t="shared" si="567"/>
        <v>nicoletta.vozza@crm.otsuka-europe.com</v>
      </c>
      <c r="N5167" s="13">
        <v>46181.338090277779</v>
      </c>
      <c r="O5167" s="14" t="str">
        <f>HYPERLINK("https://otsuka-europe-crm.veevavault.com/ui/#object/email_activity__v/V8C00000003Q124", "EN-002091207")</f>
        <v>EN-002091207</v>
      </c>
    </row>
    <row r="5168" spans="1:15" ht="16" x14ac:dyDescent="0.2">
      <c r="A5168" s="17" t="str">
        <f>HYPERLINK("https://otsuka-europe-crm.veevavault.com/ui/#object/account__v/V4TZ04ASG9B0HRN", "VALERIA MEO")</f>
        <v>VALERIA MEO</v>
      </c>
      <c r="B5168" s="17" t="str">
        <f t="shared" si="564"/>
        <v>IT</v>
      </c>
      <c r="C5168" s="20" t="s">
        <v>44</v>
      </c>
      <c r="D5168" s="21" t="str">
        <f t="shared" si="565"/>
        <v>AE dialoghi di tempo fiducia e cura episodi 2-3-4</v>
      </c>
      <c r="E5168" s="22" t="str">
        <f>HYPERLINK("https://otsuka-europe-crm.veevavault.com/ui/#object/sent_email__v/VBL00000002Q242", "SE-001433911")</f>
        <v>SE-001433911</v>
      </c>
      <c r="F5168" s="25"/>
      <c r="G5168" s="24">
        <v>0</v>
      </c>
      <c r="H5168" s="24">
        <v>0</v>
      </c>
      <c r="I5168" s="24">
        <v>0</v>
      </c>
      <c r="J5168" s="25"/>
      <c r="K5168" s="24">
        <v>0</v>
      </c>
      <c r="L5168" s="22" t="str">
        <f t="shared" si="566"/>
        <v>AE dialoghi di tempo fiducia e cura episodi 2-3-4</v>
      </c>
      <c r="M5168" s="22" t="str">
        <f t="shared" si="567"/>
        <v>nicoletta.vozza@crm.otsuka-europe.com</v>
      </c>
      <c r="N5168" s="23">
        <v>46181.337962962964</v>
      </c>
      <c r="O5168" s="14" t="str">
        <f>HYPERLINK("https://otsuka-europe-crm.veevavault.com/ui/#object/email_activity__v/V8C00000003O170", "EN-002089607")</f>
        <v>EN-002089607</v>
      </c>
    </row>
    <row r="5169" spans="1:15" ht="16" x14ac:dyDescent="0.2">
      <c r="A5169" s="19"/>
      <c r="B5169" s="19"/>
      <c r="C5169" s="19"/>
      <c r="D5169" s="19"/>
      <c r="E5169" s="19"/>
      <c r="F5169" s="19"/>
      <c r="G5169" s="19"/>
      <c r="H5169" s="19"/>
      <c r="I5169" s="19"/>
      <c r="J5169" s="19"/>
      <c r="K5169" s="19"/>
      <c r="L5169" s="19"/>
      <c r="M5169" s="19"/>
      <c r="N5169" s="19"/>
      <c r="O5169" s="14" t="str">
        <f>HYPERLINK("https://otsuka-europe-crm.veevavault.com/ui/#object/email_activity__v/V8C00000003Q550", "EN-002091907")</f>
        <v>EN-002091907</v>
      </c>
    </row>
    <row r="5170" spans="1:15" ht="32" x14ac:dyDescent="0.2">
      <c r="A5170" s="7" t="str">
        <f>HYPERLINK("https://otsuka-europe-crm.veevavault.com/ui/#object/account__v/V4TZ06G6O71SBME", "VALERIA MUSIANI")</f>
        <v>VALERIA MUSIANI</v>
      </c>
      <c r="B5170" s="7" t="str">
        <f t="shared" ref="B5170:B5178" si="568">HYPERLINK("https://otsuka-europe-crm.veevavault.com/ui/#object/vcountry__v/VENZ000004SONFQ", "IT")</f>
        <v>IT</v>
      </c>
      <c r="C5170" s="8" t="s">
        <v>44</v>
      </c>
      <c r="D5170" s="9" t="str">
        <f t="shared" ref="D5170:D5178" si="569">HYPERLINK("https://otsuka-europe-crm.veevavault.com/ui/#object/approved_document__v/V5O000000018003", "AE dialoghi di tempo fiducia e cura episodi 2-3-4")</f>
        <v>AE dialoghi di tempo fiducia e cura episodi 2-3-4</v>
      </c>
      <c r="E5170" s="10" t="str">
        <f>HYPERLINK("https://otsuka-europe-crm.veevavault.com/ui/#object/sent_email__v/VBL00000002Q243", "SE-001433912")</f>
        <v>SE-001433912</v>
      </c>
      <c r="F5170" s="11"/>
      <c r="G5170" s="12">
        <v>0</v>
      </c>
      <c r="H5170" s="12">
        <v>0</v>
      </c>
      <c r="I5170" s="12">
        <v>0</v>
      </c>
      <c r="J5170" s="11"/>
      <c r="K5170" s="12">
        <v>0</v>
      </c>
      <c r="L5170" s="10" t="str">
        <f t="shared" ref="L5170:L5178" si="570">HYPERLINK("https://otsuka-europe-crm.veevavault.com/ui/#object/approved_document__v/V5O000000018003", "AE dialoghi di tempo fiducia e cura episodi 2-3-4")</f>
        <v>AE dialoghi di tempo fiducia e cura episodi 2-3-4</v>
      </c>
      <c r="M5170" s="10" t="str">
        <f t="shared" ref="M5170:M5178" si="571">HYPERLINK("mailto:nicoletta.vozza@crm.otsuka-europe.com", "nicoletta.vozza@crm.otsuka-europe.com")</f>
        <v>nicoletta.vozza@crm.otsuka-europe.com</v>
      </c>
      <c r="N5170" s="13">
        <v>46181.337997685187</v>
      </c>
      <c r="O5170" s="14" t="str">
        <f>HYPERLINK("https://otsuka-europe-crm.veevavault.com/ui/#object/email_activity__v/V8C00000003O631", "EN-002090187")</f>
        <v>EN-002090187</v>
      </c>
    </row>
    <row r="5171" spans="1:15" ht="32" x14ac:dyDescent="0.2">
      <c r="A5171" s="7" t="str">
        <f>HYPERLINK("https://otsuka-europe-crm.veevavault.com/ui/#object/account__v/V4TZ06G6O71SBV7", "VALERIA PASQUALONI")</f>
        <v>VALERIA PASQUALONI</v>
      </c>
      <c r="B5171" s="7" t="str">
        <f t="shared" si="568"/>
        <v>IT</v>
      </c>
      <c r="C5171" s="8" t="s">
        <v>44</v>
      </c>
      <c r="D5171" s="9" t="str">
        <f t="shared" si="569"/>
        <v>AE dialoghi di tempo fiducia e cura episodi 2-3-4</v>
      </c>
      <c r="E5171" s="10" t="str">
        <f>HYPERLINK("https://otsuka-europe-crm.veevavault.com/ui/#object/sent_email__v/VBL00000002Q244", "SE-001433913")</f>
        <v>SE-001433913</v>
      </c>
      <c r="F5171" s="11"/>
      <c r="G5171" s="12">
        <v>0</v>
      </c>
      <c r="H5171" s="12">
        <v>0</v>
      </c>
      <c r="I5171" s="12">
        <v>0</v>
      </c>
      <c r="J5171" s="11"/>
      <c r="K5171" s="12">
        <v>0</v>
      </c>
      <c r="L5171" s="10" t="str">
        <f t="shared" si="570"/>
        <v>AE dialoghi di tempo fiducia e cura episodi 2-3-4</v>
      </c>
      <c r="M5171" s="10" t="str">
        <f t="shared" si="571"/>
        <v>nicoletta.vozza@crm.otsuka-europe.com</v>
      </c>
      <c r="N5171" s="13">
        <v>46181.33798611111</v>
      </c>
      <c r="O5171" s="14" t="str">
        <f>HYPERLINK("https://otsuka-europe-crm.veevavault.com/ui/#object/email_activity__v/V8C00000003P882", "EN-002091400")</f>
        <v>EN-002091400</v>
      </c>
    </row>
    <row r="5172" spans="1:15" ht="32" x14ac:dyDescent="0.2">
      <c r="A5172" s="7" t="str">
        <f>HYPERLINK("https://otsuka-europe-crm.veevavault.com/ui/#object/account__v/V4TZ06G6O71SC0H", "VALERIA PIASENTIN")</f>
        <v>VALERIA PIASENTIN</v>
      </c>
      <c r="B5172" s="7" t="str">
        <f t="shared" si="568"/>
        <v>IT</v>
      </c>
      <c r="C5172" s="8" t="s">
        <v>44</v>
      </c>
      <c r="D5172" s="9" t="str">
        <f t="shared" si="569"/>
        <v>AE dialoghi di tempo fiducia e cura episodi 2-3-4</v>
      </c>
      <c r="E5172" s="10" t="str">
        <f>HYPERLINK("https://otsuka-europe-crm.veevavault.com/ui/#object/sent_email__v/VBL00000002Q245", "SE-001433914")</f>
        <v>SE-001433914</v>
      </c>
      <c r="F5172" s="11"/>
      <c r="G5172" s="12">
        <v>0</v>
      </c>
      <c r="H5172" s="12">
        <v>0</v>
      </c>
      <c r="I5172" s="12">
        <v>0</v>
      </c>
      <c r="J5172" s="11"/>
      <c r="K5172" s="12">
        <v>0</v>
      </c>
      <c r="L5172" s="10" t="str">
        <f t="shared" si="570"/>
        <v>AE dialoghi di tempo fiducia e cura episodi 2-3-4</v>
      </c>
      <c r="M5172" s="10" t="str">
        <f t="shared" si="571"/>
        <v>nicoletta.vozza@crm.otsuka-europe.com</v>
      </c>
      <c r="N5172" s="13">
        <v>46181.337939814817</v>
      </c>
      <c r="O5172" s="14" t="str">
        <f>HYPERLINK("https://otsuka-europe-crm.veevavault.com/ui/#object/email_activity__v/V8C00000003P165", "EN-002089565")</f>
        <v>EN-002089565</v>
      </c>
    </row>
    <row r="5173" spans="1:15" ht="32" x14ac:dyDescent="0.2">
      <c r="A5173" s="7" t="str">
        <f>HYPERLINK("https://otsuka-europe-crm.veevavault.com/ui/#object/account__v/V4TZ025E87J4U5Y", "VALERIA PLACENTI")</f>
        <v>VALERIA PLACENTI</v>
      </c>
      <c r="B5173" s="7" t="str">
        <f t="shared" si="568"/>
        <v>IT</v>
      </c>
      <c r="C5173" s="8" t="s">
        <v>44</v>
      </c>
      <c r="D5173" s="9" t="str">
        <f t="shared" si="569"/>
        <v>AE dialoghi di tempo fiducia e cura episodi 2-3-4</v>
      </c>
      <c r="E5173" s="10" t="str">
        <f>HYPERLINK("https://otsuka-europe-crm.veevavault.com/ui/#object/sent_email__v/VBL00000002Q246", "SE-001433915")</f>
        <v>SE-001433915</v>
      </c>
      <c r="F5173" s="11"/>
      <c r="G5173" s="12">
        <v>0</v>
      </c>
      <c r="H5173" s="12">
        <v>0</v>
      </c>
      <c r="I5173" s="12">
        <v>0</v>
      </c>
      <c r="J5173" s="11"/>
      <c r="K5173" s="12">
        <v>0</v>
      </c>
      <c r="L5173" s="10" t="str">
        <f t="shared" si="570"/>
        <v>AE dialoghi di tempo fiducia e cura episodi 2-3-4</v>
      </c>
      <c r="M5173" s="10" t="str">
        <f t="shared" si="571"/>
        <v>nicoletta.vozza@crm.otsuka-europe.com</v>
      </c>
      <c r="N5173" s="13">
        <v>46181.337997685187</v>
      </c>
      <c r="O5173" s="14" t="str">
        <f>HYPERLINK("https://otsuka-europe-crm.veevavault.com/ui/#object/email_activity__v/V8C00000003P654", "EN-002090909")</f>
        <v>EN-002090909</v>
      </c>
    </row>
    <row r="5174" spans="1:15" ht="32" x14ac:dyDescent="0.2">
      <c r="A5174" s="7" t="str">
        <f>HYPERLINK("https://otsuka-europe-crm.veevavault.com/ui/#object/account__v/V4TZ06G6O71SBZX", "VALERIA PUPPO")</f>
        <v>VALERIA PUPPO</v>
      </c>
      <c r="B5174" s="7" t="str">
        <f t="shared" si="568"/>
        <v>IT</v>
      </c>
      <c r="C5174" s="8" t="s">
        <v>44</v>
      </c>
      <c r="D5174" s="9" t="str">
        <f t="shared" si="569"/>
        <v>AE dialoghi di tempo fiducia e cura episodi 2-3-4</v>
      </c>
      <c r="E5174" s="10" t="str">
        <f>HYPERLINK("https://otsuka-europe-crm.veevavault.com/ui/#object/sent_email__v/VBL00000002Q247", "SE-001433916")</f>
        <v>SE-001433916</v>
      </c>
      <c r="F5174" s="11"/>
      <c r="G5174" s="12">
        <v>0</v>
      </c>
      <c r="H5174" s="12">
        <v>0</v>
      </c>
      <c r="I5174" s="12">
        <v>0</v>
      </c>
      <c r="J5174" s="11"/>
      <c r="K5174" s="12">
        <v>0</v>
      </c>
      <c r="L5174" s="10" t="str">
        <f t="shared" si="570"/>
        <v>AE dialoghi di tempo fiducia e cura episodi 2-3-4</v>
      </c>
      <c r="M5174" s="10" t="str">
        <f t="shared" si="571"/>
        <v>nicoletta.vozza@crm.otsuka-europe.com</v>
      </c>
      <c r="N5174" s="13">
        <v>46181.337997685187</v>
      </c>
      <c r="O5174" s="14" t="str">
        <f>HYPERLINK("https://otsuka-europe-crm.veevavault.com/ui/#object/email_activity__v/V8C00000003O823", "EN-002090525")</f>
        <v>EN-002090525</v>
      </c>
    </row>
    <row r="5175" spans="1:15" ht="32" x14ac:dyDescent="0.2">
      <c r="A5175" s="7" t="str">
        <f>HYPERLINK("https://otsuka-europe-crm.veevavault.com/ui/#object/account__v/V4TZ06G6O71SC5N", "VALERIA RUBINO")</f>
        <v>VALERIA RUBINO</v>
      </c>
      <c r="B5175" s="7" t="str">
        <f t="shared" si="568"/>
        <v>IT</v>
      </c>
      <c r="C5175" s="8" t="s">
        <v>44</v>
      </c>
      <c r="D5175" s="9" t="str">
        <f t="shared" si="569"/>
        <v>AE dialoghi di tempo fiducia e cura episodi 2-3-4</v>
      </c>
      <c r="E5175" s="10" t="str">
        <f>HYPERLINK("https://otsuka-europe-crm.veevavault.com/ui/#object/sent_email__v/VBL00000002Q248", "SE-001433917")</f>
        <v>SE-001433917</v>
      </c>
      <c r="F5175" s="11"/>
      <c r="G5175" s="12">
        <v>0</v>
      </c>
      <c r="H5175" s="12">
        <v>0</v>
      </c>
      <c r="I5175" s="12">
        <v>0</v>
      </c>
      <c r="J5175" s="11"/>
      <c r="K5175" s="12">
        <v>0</v>
      </c>
      <c r="L5175" s="10" t="str">
        <f t="shared" si="570"/>
        <v>AE dialoghi di tempo fiducia e cura episodi 2-3-4</v>
      </c>
      <c r="M5175" s="10" t="str">
        <f t="shared" si="571"/>
        <v>nicoletta.vozza@crm.otsuka-europe.com</v>
      </c>
      <c r="N5175" s="13">
        <v>46181.338078703702</v>
      </c>
      <c r="O5175" s="14" t="str">
        <f>HYPERLINK("https://otsuka-europe-crm.veevavault.com/ui/#object/email_activity__v/V8C00000003O932", "EN-002090592")</f>
        <v>EN-002090592</v>
      </c>
    </row>
    <row r="5176" spans="1:15" ht="32" x14ac:dyDescent="0.2">
      <c r="A5176" s="7" t="str">
        <f>HYPERLINK("https://otsuka-europe-crm.veevavault.com/ui/#object/account__v/V4TZ04ASG6LG793", "VALERIA SANNICANDRO")</f>
        <v>VALERIA SANNICANDRO</v>
      </c>
      <c r="B5176" s="7" t="str">
        <f t="shared" si="568"/>
        <v>IT</v>
      </c>
      <c r="C5176" s="8" t="s">
        <v>44</v>
      </c>
      <c r="D5176" s="9" t="str">
        <f t="shared" si="569"/>
        <v>AE dialoghi di tempo fiducia e cura episodi 2-3-4</v>
      </c>
      <c r="E5176" s="10" t="str">
        <f>HYPERLINK("https://otsuka-europe-crm.veevavault.com/ui/#object/sent_email__v/VBL00000002Q249", "SE-001433918")</f>
        <v>SE-001433918</v>
      </c>
      <c r="F5176" s="11"/>
      <c r="G5176" s="12">
        <v>0</v>
      </c>
      <c r="H5176" s="12">
        <v>0</v>
      </c>
      <c r="I5176" s="12">
        <v>0</v>
      </c>
      <c r="J5176" s="11"/>
      <c r="K5176" s="12">
        <v>0</v>
      </c>
      <c r="L5176" s="10" t="str">
        <f t="shared" si="570"/>
        <v>AE dialoghi di tempo fiducia e cura episodi 2-3-4</v>
      </c>
      <c r="M5176" s="10" t="str">
        <f t="shared" si="571"/>
        <v>nicoletta.vozza@crm.otsuka-europe.com</v>
      </c>
      <c r="N5176" s="13">
        <v>46181.33797453704</v>
      </c>
      <c r="O5176" s="14" t="str">
        <f>HYPERLINK("https://otsuka-europe-crm.veevavault.com/ui/#object/email_activity__v/V8C00000003O227", "EN-002089704")</f>
        <v>EN-002089704</v>
      </c>
    </row>
    <row r="5177" spans="1:15" ht="32" x14ac:dyDescent="0.2">
      <c r="A5177" s="7" t="str">
        <f>HYPERLINK("https://otsuka-europe-crm.veevavault.com/ui/#object/account__v/V4TZ025E85AMXUX", "VALERIA SBRILLI")</f>
        <v>VALERIA SBRILLI</v>
      </c>
      <c r="B5177" s="7" t="str">
        <f t="shared" si="568"/>
        <v>IT</v>
      </c>
      <c r="C5177" s="8" t="s">
        <v>44</v>
      </c>
      <c r="D5177" s="9" t="str">
        <f t="shared" si="569"/>
        <v>AE dialoghi di tempo fiducia e cura episodi 2-3-4</v>
      </c>
      <c r="E5177" s="10" t="str">
        <f>HYPERLINK("https://otsuka-europe-crm.veevavault.com/ui/#object/sent_email__v/VBL00000002Q250", "SE-001433919")</f>
        <v>SE-001433919</v>
      </c>
      <c r="F5177" s="11"/>
      <c r="G5177" s="12">
        <v>0</v>
      </c>
      <c r="H5177" s="12">
        <v>0</v>
      </c>
      <c r="I5177" s="12">
        <v>0</v>
      </c>
      <c r="J5177" s="11"/>
      <c r="K5177" s="12">
        <v>0</v>
      </c>
      <c r="L5177" s="10" t="str">
        <f t="shared" si="570"/>
        <v>AE dialoghi di tempo fiducia e cura episodi 2-3-4</v>
      </c>
      <c r="M5177" s="10" t="str">
        <f t="shared" si="571"/>
        <v>nicoletta.vozza@crm.otsuka-europe.com</v>
      </c>
      <c r="N5177" s="13">
        <v>46181.338055555556</v>
      </c>
      <c r="O5177" s="14" t="str">
        <f>HYPERLINK("https://otsuka-europe-crm.veevavault.com/ui/#object/email_activity__v/V8C00000003P497", "EN-002090671")</f>
        <v>EN-002090671</v>
      </c>
    </row>
    <row r="5178" spans="1:15" ht="16" x14ac:dyDescent="0.2">
      <c r="A5178" s="17" t="str">
        <f>HYPERLINK("https://otsuka-europe-crm.veevavault.com/ui/#object/account__v/V4TZ06G6O71SCM7", "VALERIA TRINCIA")</f>
        <v>VALERIA TRINCIA</v>
      </c>
      <c r="B5178" s="17" t="str">
        <f t="shared" si="568"/>
        <v>IT</v>
      </c>
      <c r="C5178" s="20" t="s">
        <v>44</v>
      </c>
      <c r="D5178" s="21" t="str">
        <f t="shared" si="569"/>
        <v>AE dialoghi di tempo fiducia e cura episodi 2-3-4</v>
      </c>
      <c r="E5178" s="22" t="str">
        <f>HYPERLINK("https://otsuka-europe-crm.veevavault.com/ui/#object/sent_email__v/VBL00000002Q251", "SE-001433920")</f>
        <v>SE-001433920</v>
      </c>
      <c r="F5178" s="25"/>
      <c r="G5178" s="24">
        <v>0</v>
      </c>
      <c r="H5178" s="24">
        <v>0</v>
      </c>
      <c r="I5178" s="24">
        <v>0</v>
      </c>
      <c r="J5178" s="25"/>
      <c r="K5178" s="24">
        <v>0</v>
      </c>
      <c r="L5178" s="22" t="str">
        <f t="shared" si="570"/>
        <v>AE dialoghi di tempo fiducia e cura episodi 2-3-4</v>
      </c>
      <c r="M5178" s="22" t="str">
        <f t="shared" si="571"/>
        <v>nicoletta.vozza@crm.otsuka-europe.com</v>
      </c>
      <c r="N5178" s="23">
        <v>46181.337997685187</v>
      </c>
      <c r="O5178" s="14" t="str">
        <f>HYPERLINK("https://otsuka-europe-crm.veevavault.com/ui/#object/email_activity__v/V8C00000003O619", "EN-002090175")</f>
        <v>EN-002090175</v>
      </c>
    </row>
    <row r="5179" spans="1:15" ht="16" x14ac:dyDescent="0.2">
      <c r="A5179" s="19"/>
      <c r="B5179" s="19"/>
      <c r="C5179" s="19"/>
      <c r="D5179" s="19"/>
      <c r="E5179" s="19"/>
      <c r="F5179" s="19"/>
      <c r="G5179" s="19"/>
      <c r="H5179" s="19"/>
      <c r="I5179" s="19"/>
      <c r="J5179" s="19"/>
      <c r="K5179" s="19"/>
      <c r="L5179" s="19"/>
      <c r="M5179" s="19"/>
      <c r="N5179" s="19"/>
      <c r="O5179" s="14" t="str">
        <f>HYPERLINK("https://otsuka-europe-crm.veevavault.com/ui/#object/email_activity__v/V8C00000003P999", "EN-002091662")</f>
        <v>EN-002091662</v>
      </c>
    </row>
    <row r="5180" spans="1:15" ht="32" x14ac:dyDescent="0.2">
      <c r="A5180" s="7" t="str">
        <f>HYPERLINK("https://otsuka-europe-crm.veevavault.com/ui/#object/account__v/V4TZ06G6O71S9FJ", "VALERIO MANZO")</f>
        <v>VALERIO MANZO</v>
      </c>
      <c r="B5180" s="7" t="str">
        <f t="shared" ref="B5180:B5185" si="572">HYPERLINK("https://otsuka-europe-crm.veevavault.com/ui/#object/vcountry__v/VENZ000004SONFQ", "IT")</f>
        <v>IT</v>
      </c>
      <c r="C5180" s="8" t="s">
        <v>44</v>
      </c>
      <c r="D5180" s="9" t="str">
        <f t="shared" ref="D5180:D5185" si="573">HYPERLINK("https://otsuka-europe-crm.veevavault.com/ui/#object/approved_document__v/V5O000000018003", "AE dialoghi di tempo fiducia e cura episodi 2-3-4")</f>
        <v>AE dialoghi di tempo fiducia e cura episodi 2-3-4</v>
      </c>
      <c r="E5180" s="10" t="str">
        <f>HYPERLINK("https://otsuka-europe-crm.veevavault.com/ui/#object/sent_email__v/VBL00000002Q252", "SE-001433921")</f>
        <v>SE-001433921</v>
      </c>
      <c r="F5180" s="11"/>
      <c r="G5180" s="12">
        <v>0</v>
      </c>
      <c r="H5180" s="12">
        <v>0</v>
      </c>
      <c r="I5180" s="12">
        <v>0</v>
      </c>
      <c r="J5180" s="11"/>
      <c r="K5180" s="12">
        <v>0</v>
      </c>
      <c r="L5180" s="10" t="str">
        <f t="shared" ref="L5180:L5185" si="574">HYPERLINK("https://otsuka-europe-crm.veevavault.com/ui/#object/approved_document__v/V5O000000018003", "AE dialoghi di tempo fiducia e cura episodi 2-3-4")</f>
        <v>AE dialoghi di tempo fiducia e cura episodi 2-3-4</v>
      </c>
      <c r="M5180" s="10" t="str">
        <f t="shared" ref="M5180:M5185" si="575">HYPERLINK("mailto:nicoletta.vozza@crm.otsuka-europe.com", "nicoletta.vozza@crm.otsuka-europe.com")</f>
        <v>nicoletta.vozza@crm.otsuka-europe.com</v>
      </c>
      <c r="N5180" s="13">
        <v>46181.338078703702</v>
      </c>
      <c r="O5180" s="14" t="str">
        <f>HYPERLINK("https://otsuka-europe-crm.veevavault.com/ui/#object/email_activity__v/V8C00000003Q123", "EN-002091206")</f>
        <v>EN-002091206</v>
      </c>
    </row>
    <row r="5181" spans="1:15" ht="32" x14ac:dyDescent="0.2">
      <c r="A5181" s="7" t="str">
        <f>HYPERLINK("https://otsuka-europe-crm.veevavault.com/ui/#object/account__v/V4TZ06G6O71SB87", "VALERIO MICHELE SERGIO LO VULLO")</f>
        <v>VALERIO MICHELE SERGIO LO VULLO</v>
      </c>
      <c r="B5181" s="7" t="str">
        <f t="shared" si="572"/>
        <v>IT</v>
      </c>
      <c r="C5181" s="8" t="s">
        <v>44</v>
      </c>
      <c r="D5181" s="9" t="str">
        <f t="shared" si="573"/>
        <v>AE dialoghi di tempo fiducia e cura episodi 2-3-4</v>
      </c>
      <c r="E5181" s="10" t="str">
        <f>HYPERLINK("https://otsuka-europe-crm.veevavault.com/ui/#object/sent_email__v/VBL00000002Q253", "SE-001433922")</f>
        <v>SE-001433922</v>
      </c>
      <c r="F5181" s="11"/>
      <c r="G5181" s="12">
        <v>0</v>
      </c>
      <c r="H5181" s="12">
        <v>0</v>
      </c>
      <c r="I5181" s="12">
        <v>0</v>
      </c>
      <c r="J5181" s="11"/>
      <c r="K5181" s="12">
        <v>0</v>
      </c>
      <c r="L5181" s="10" t="str">
        <f t="shared" si="574"/>
        <v>AE dialoghi di tempo fiducia e cura episodi 2-3-4</v>
      </c>
      <c r="M5181" s="10" t="str">
        <f t="shared" si="575"/>
        <v>nicoletta.vozza@crm.otsuka-europe.com</v>
      </c>
      <c r="N5181" s="13">
        <v>46181.337997685187</v>
      </c>
      <c r="O5181" s="14" t="str">
        <f>HYPERLINK("https://otsuka-europe-crm.veevavault.com/ui/#object/email_activity__v/V8C00000003O975", "EN-002090724")</f>
        <v>EN-002090724</v>
      </c>
    </row>
    <row r="5182" spans="1:15" ht="32" x14ac:dyDescent="0.2">
      <c r="A5182" s="7" t="str">
        <f>HYPERLINK("https://otsuka-europe-crm.veevavault.com/ui/#object/account__v/V4TZ06G6O71SCG8", "VALERIO SPINEDI")</f>
        <v>VALERIO SPINEDI</v>
      </c>
      <c r="B5182" s="7" t="str">
        <f t="shared" si="572"/>
        <v>IT</v>
      </c>
      <c r="C5182" s="8" t="s">
        <v>44</v>
      </c>
      <c r="D5182" s="9" t="str">
        <f t="shared" si="573"/>
        <v>AE dialoghi di tempo fiducia e cura episodi 2-3-4</v>
      </c>
      <c r="E5182" s="10" t="str">
        <f>HYPERLINK("https://otsuka-europe-crm.veevavault.com/ui/#object/sent_email__v/VBL00000002Q254", "SE-001433923")</f>
        <v>SE-001433923</v>
      </c>
      <c r="F5182" s="11"/>
      <c r="G5182" s="12">
        <v>0</v>
      </c>
      <c r="H5182" s="12">
        <v>0</v>
      </c>
      <c r="I5182" s="12">
        <v>0</v>
      </c>
      <c r="J5182" s="11"/>
      <c r="K5182" s="12">
        <v>0</v>
      </c>
      <c r="L5182" s="10" t="str">
        <f t="shared" si="574"/>
        <v>AE dialoghi di tempo fiducia e cura episodi 2-3-4</v>
      </c>
      <c r="M5182" s="10" t="str">
        <f t="shared" si="575"/>
        <v>nicoletta.vozza@crm.otsuka-europe.com</v>
      </c>
      <c r="N5182" s="13">
        <v>46181.33798611111</v>
      </c>
      <c r="O5182" s="14" t="str">
        <f>HYPERLINK("https://otsuka-europe-crm.veevavault.com/ui/#object/email_activity__v/V8C00000003P250", "EN-002089828")</f>
        <v>EN-002089828</v>
      </c>
    </row>
    <row r="5183" spans="1:15" ht="32" x14ac:dyDescent="0.2">
      <c r="A5183" s="7" t="str">
        <f>HYPERLINK("https://otsuka-europe-crm.veevavault.com/ui/#object/account__v/V4TZ06G6O8T9WF6", "VANESSA LEONE")</f>
        <v>VANESSA LEONE</v>
      </c>
      <c r="B5183" s="7" t="str">
        <f t="shared" si="572"/>
        <v>IT</v>
      </c>
      <c r="C5183" s="8" t="s">
        <v>44</v>
      </c>
      <c r="D5183" s="9" t="str">
        <f t="shared" si="573"/>
        <v>AE dialoghi di tempo fiducia e cura episodi 2-3-4</v>
      </c>
      <c r="E5183" s="10" t="str">
        <f>HYPERLINK("https://otsuka-europe-crm.veevavault.com/ui/#object/sent_email__v/VBL00000002Q255", "SE-001433924")</f>
        <v>SE-001433924</v>
      </c>
      <c r="F5183" s="11"/>
      <c r="G5183" s="12">
        <v>0</v>
      </c>
      <c r="H5183" s="12">
        <v>0</v>
      </c>
      <c r="I5183" s="12">
        <v>0</v>
      </c>
      <c r="J5183" s="11"/>
      <c r="K5183" s="12">
        <v>0</v>
      </c>
      <c r="L5183" s="10" t="str">
        <f t="shared" si="574"/>
        <v>AE dialoghi di tempo fiducia e cura episodi 2-3-4</v>
      </c>
      <c r="M5183" s="10" t="str">
        <f t="shared" si="575"/>
        <v>nicoletta.vozza@crm.otsuka-europe.com</v>
      </c>
      <c r="N5183" s="13">
        <v>46181.338078703702</v>
      </c>
      <c r="O5183" s="14" t="str">
        <f>HYPERLINK("https://otsuka-europe-crm.veevavault.com/ui/#object/email_activity__v/V8C00000003Q045", "EN-002091011")</f>
        <v>EN-002091011</v>
      </c>
    </row>
    <row r="5184" spans="1:15" ht="32" x14ac:dyDescent="0.2">
      <c r="A5184" s="7" t="str">
        <f>HYPERLINK("https://otsuka-europe-crm.veevavault.com/ui/#object/account__v/V4TZ06G6O71SBIA", "VANINA MIGLIORINI")</f>
        <v>VANINA MIGLIORINI</v>
      </c>
      <c r="B5184" s="7" t="str">
        <f t="shared" si="572"/>
        <v>IT</v>
      </c>
      <c r="C5184" s="8" t="s">
        <v>44</v>
      </c>
      <c r="D5184" s="9" t="str">
        <f t="shared" si="573"/>
        <v>AE dialoghi di tempo fiducia e cura episodi 2-3-4</v>
      </c>
      <c r="E5184" s="10" t="str">
        <f>HYPERLINK("https://otsuka-europe-crm.veevavault.com/ui/#object/sent_email__v/VBL00000002Q256", "SE-001433925")</f>
        <v>SE-001433925</v>
      </c>
      <c r="F5184" s="11"/>
      <c r="G5184" s="12">
        <v>0</v>
      </c>
      <c r="H5184" s="12">
        <v>0</v>
      </c>
      <c r="I5184" s="12">
        <v>0</v>
      </c>
      <c r="J5184" s="11"/>
      <c r="K5184" s="12">
        <v>0</v>
      </c>
      <c r="L5184" s="10" t="str">
        <f t="shared" si="574"/>
        <v>AE dialoghi di tempo fiducia e cura episodi 2-3-4</v>
      </c>
      <c r="M5184" s="10" t="str">
        <f t="shared" si="575"/>
        <v>nicoletta.vozza@crm.otsuka-europe.com</v>
      </c>
      <c r="N5184" s="13">
        <v>46181.338043981479</v>
      </c>
      <c r="O5184" s="14" t="str">
        <f>HYPERLINK("https://otsuka-europe-crm.veevavault.com/ui/#object/email_activity__v/V8C00000003Q095", "EN-002091160")</f>
        <v>EN-002091160</v>
      </c>
    </row>
    <row r="5185" spans="1:15" ht="16" x14ac:dyDescent="0.2">
      <c r="A5185" s="17" t="str">
        <f>HYPERLINK("https://otsuka-europe-crm.veevavault.com/ui/#object/account__v/V4TZ06G6O71S9D3", "VASSILIJ DI GIORGIO")</f>
        <v>VASSILIJ DI GIORGIO</v>
      </c>
      <c r="B5185" s="17" t="str">
        <f t="shared" si="572"/>
        <v>IT</v>
      </c>
      <c r="C5185" s="20" t="s">
        <v>44</v>
      </c>
      <c r="D5185" s="21" t="str">
        <f t="shared" si="573"/>
        <v>AE dialoghi di tempo fiducia e cura episodi 2-3-4</v>
      </c>
      <c r="E5185" s="22" t="str">
        <f>HYPERLINK("https://otsuka-europe-crm.veevavault.com/ui/#object/sent_email__v/VBL00000002Q257", "SE-001433926")</f>
        <v>SE-001433926</v>
      </c>
      <c r="F5185" s="25"/>
      <c r="G5185" s="24">
        <v>0</v>
      </c>
      <c r="H5185" s="24">
        <v>0</v>
      </c>
      <c r="I5185" s="24">
        <v>0</v>
      </c>
      <c r="J5185" s="25"/>
      <c r="K5185" s="24">
        <v>0</v>
      </c>
      <c r="L5185" s="22" t="str">
        <f t="shared" si="574"/>
        <v>AE dialoghi di tempo fiducia e cura episodi 2-3-4</v>
      </c>
      <c r="M5185" s="22" t="str">
        <f t="shared" si="575"/>
        <v>nicoletta.vozza@crm.otsuka-europe.com</v>
      </c>
      <c r="N5185" s="23">
        <v>46181.338125000002</v>
      </c>
      <c r="O5185" s="14" t="str">
        <f>HYPERLINK("https://otsuka-europe-crm.veevavault.com/ui/#object/email_activity__v/V8C00000003O965", "EN-002090625")</f>
        <v>EN-002090625</v>
      </c>
    </row>
    <row r="5186" spans="1:15" ht="16" x14ac:dyDescent="0.2">
      <c r="A5186" s="19"/>
      <c r="B5186" s="19"/>
      <c r="C5186" s="19"/>
      <c r="D5186" s="19"/>
      <c r="E5186" s="19"/>
      <c r="F5186" s="19"/>
      <c r="G5186" s="19"/>
      <c r="H5186" s="19"/>
      <c r="I5186" s="19"/>
      <c r="J5186" s="19"/>
      <c r="K5186" s="19"/>
      <c r="L5186" s="19"/>
      <c r="M5186" s="19"/>
      <c r="N5186" s="19"/>
      <c r="O5186" s="14" t="str">
        <f>HYPERLINK("https://otsuka-europe-crm.veevavault.com/ui/#object/email_activity__v/V8C00000003Q704", "EN-002092248")</f>
        <v>EN-002092248</v>
      </c>
    </row>
    <row r="5187" spans="1:15" ht="32" x14ac:dyDescent="0.2">
      <c r="A5187" s="7" t="str">
        <f>HYPERLINK("https://otsuka-europe-crm.veevavault.com/ui/#object/account__v/V4TZ06G6O71S9JM", "VERONICA AIELLO")</f>
        <v>VERONICA AIELLO</v>
      </c>
      <c r="B5187" s="7" t="str">
        <f>HYPERLINK("https://otsuka-europe-crm.veevavault.com/ui/#object/vcountry__v/VENZ000004SONFQ", "IT")</f>
        <v>IT</v>
      </c>
      <c r="C5187" s="8" t="s">
        <v>44</v>
      </c>
      <c r="D5187" s="9" t="str">
        <f>HYPERLINK("https://otsuka-europe-crm.veevavault.com/ui/#object/approved_document__v/V5O000000018003", "AE dialoghi di tempo fiducia e cura episodi 2-3-4")</f>
        <v>AE dialoghi di tempo fiducia e cura episodi 2-3-4</v>
      </c>
      <c r="E5187" s="10" t="str">
        <f>HYPERLINK("https://otsuka-europe-crm.veevavault.com/ui/#object/sent_email__v/VBL00000002Q258", "SE-001433927")</f>
        <v>SE-001433927</v>
      </c>
      <c r="F5187" s="11"/>
      <c r="G5187" s="12">
        <v>0</v>
      </c>
      <c r="H5187" s="12">
        <v>0</v>
      </c>
      <c r="I5187" s="12">
        <v>0</v>
      </c>
      <c r="J5187" s="11"/>
      <c r="K5187" s="12">
        <v>0</v>
      </c>
      <c r="L5187" s="10" t="str">
        <f>HYPERLINK("https://otsuka-europe-crm.veevavault.com/ui/#object/approved_document__v/V5O000000018003", "AE dialoghi di tempo fiducia e cura episodi 2-3-4")</f>
        <v>AE dialoghi di tempo fiducia e cura episodi 2-3-4</v>
      </c>
      <c r="M5187" s="10" t="str">
        <f>HYPERLINK("mailto:nicoletta.vozza@crm.otsuka-europe.com", "nicoletta.vozza@crm.otsuka-europe.com")</f>
        <v>nicoletta.vozza@crm.otsuka-europe.com</v>
      </c>
      <c r="N5187" s="13">
        <v>46181.338078703702</v>
      </c>
      <c r="O5187" s="14" t="str">
        <f>HYPERLINK("https://otsuka-europe-crm.veevavault.com/ui/#object/email_activity__v/V8C00000003Q127", "EN-002091210")</f>
        <v>EN-002091210</v>
      </c>
    </row>
    <row r="5188" spans="1:15" ht="32" x14ac:dyDescent="0.2">
      <c r="A5188" s="7" t="str">
        <f>HYPERLINK("https://otsuka-europe-crm.veevavault.com/ui/#object/account__v/V4TZ06G6O71SA3J", "VERONICA BARBANTI SILVA")</f>
        <v>VERONICA BARBANTI SILVA</v>
      </c>
      <c r="B5188" s="7" t="str">
        <f>HYPERLINK("https://otsuka-europe-crm.veevavault.com/ui/#object/vcountry__v/VENZ000004SONFQ", "IT")</f>
        <v>IT</v>
      </c>
      <c r="C5188" s="8" t="s">
        <v>44</v>
      </c>
      <c r="D5188" s="9" t="str">
        <f>HYPERLINK("https://otsuka-europe-crm.veevavault.com/ui/#object/approved_document__v/V5O000000018003", "AE dialoghi di tempo fiducia e cura episodi 2-3-4")</f>
        <v>AE dialoghi di tempo fiducia e cura episodi 2-3-4</v>
      </c>
      <c r="E5188" s="10" t="str">
        <f>HYPERLINK("https://otsuka-europe-crm.veevavault.com/ui/#object/sent_email__v/VBL00000002Q259", "SE-001433928")</f>
        <v>SE-001433928</v>
      </c>
      <c r="F5188" s="11"/>
      <c r="G5188" s="12">
        <v>0</v>
      </c>
      <c r="H5188" s="12">
        <v>0</v>
      </c>
      <c r="I5188" s="12">
        <v>0</v>
      </c>
      <c r="J5188" s="11"/>
      <c r="K5188" s="12">
        <v>0</v>
      </c>
      <c r="L5188" s="10" t="str">
        <f>HYPERLINK("https://otsuka-europe-crm.veevavault.com/ui/#object/approved_document__v/V5O000000018003", "AE dialoghi di tempo fiducia e cura episodi 2-3-4")</f>
        <v>AE dialoghi di tempo fiducia e cura episodi 2-3-4</v>
      </c>
      <c r="M5188" s="10" t="str">
        <f>HYPERLINK("mailto:nicoletta.vozza@crm.otsuka-europe.com", "nicoletta.vozza@crm.otsuka-europe.com")</f>
        <v>nicoletta.vozza@crm.otsuka-europe.com</v>
      </c>
      <c r="N5188" s="13">
        <v>46181.337997685187</v>
      </c>
      <c r="O5188" s="14" t="str">
        <f>HYPERLINK("https://otsuka-europe-crm.veevavault.com/ui/#object/email_activity__v/V8C00000003P339", "EN-002090345")</f>
        <v>EN-002090345</v>
      </c>
    </row>
    <row r="5189" spans="1:15" ht="32" x14ac:dyDescent="0.2">
      <c r="A5189" s="7" t="str">
        <f>HYPERLINK("https://otsuka-europe-crm.veevavault.com/ui/#object/account__v/V4TZ06G6O71SAKN", "VERONICA FALCIONI")</f>
        <v>VERONICA FALCIONI</v>
      </c>
      <c r="B5189" s="7" t="str">
        <f>HYPERLINK("https://otsuka-europe-crm.veevavault.com/ui/#object/vcountry__v/VENZ000004SONFQ", "IT")</f>
        <v>IT</v>
      </c>
      <c r="C5189" s="8" t="s">
        <v>44</v>
      </c>
      <c r="D5189" s="9" t="str">
        <f>HYPERLINK("https://otsuka-europe-crm.veevavault.com/ui/#object/approved_document__v/V5O000000018003", "AE dialoghi di tempo fiducia e cura episodi 2-3-4")</f>
        <v>AE dialoghi di tempo fiducia e cura episodi 2-3-4</v>
      </c>
      <c r="E5189" s="10" t="str">
        <f>HYPERLINK("https://otsuka-europe-crm.veevavault.com/ui/#object/sent_email__v/VBL00000002Q260", "SE-001433929")</f>
        <v>SE-001433929</v>
      </c>
      <c r="F5189" s="11"/>
      <c r="G5189" s="12">
        <v>0</v>
      </c>
      <c r="H5189" s="12">
        <v>0</v>
      </c>
      <c r="I5189" s="12">
        <v>0</v>
      </c>
      <c r="J5189" s="11"/>
      <c r="K5189" s="12">
        <v>0</v>
      </c>
      <c r="L5189" s="10" t="str">
        <f>HYPERLINK("https://otsuka-europe-crm.veevavault.com/ui/#object/approved_document__v/V5O000000018003", "AE dialoghi di tempo fiducia e cura episodi 2-3-4")</f>
        <v>AE dialoghi di tempo fiducia e cura episodi 2-3-4</v>
      </c>
      <c r="M5189" s="10" t="str">
        <f>HYPERLINK("mailto:nicoletta.vozza@crm.otsuka-europe.com", "nicoletta.vozza@crm.otsuka-europe.com")</f>
        <v>nicoletta.vozza@crm.otsuka-europe.com</v>
      </c>
      <c r="N5189" s="13">
        <v>46181.338101851848</v>
      </c>
      <c r="O5189" s="14" t="str">
        <f>HYPERLINK("https://otsuka-europe-crm.veevavault.com/ui/#object/email_activity__v/V8C00000003Q249", "EN-002091359")</f>
        <v>EN-002091359</v>
      </c>
    </row>
    <row r="5190" spans="1:15" ht="32" x14ac:dyDescent="0.2">
      <c r="A5190" s="7" t="str">
        <f>HYPERLINK("https://otsuka-europe-crm.veevavault.com/ui/#object/account__v/V4TZ06G6O71SBO6", "VERONICA LUTGARDA NAPOLITANO")</f>
        <v>VERONICA LUTGARDA NAPOLITANO</v>
      </c>
      <c r="B5190" s="7" t="str">
        <f>HYPERLINK("https://otsuka-europe-crm.veevavault.com/ui/#object/vcountry__v/VENZ000004SONFQ", "IT")</f>
        <v>IT</v>
      </c>
      <c r="C5190" s="8" t="s">
        <v>44</v>
      </c>
      <c r="D5190" s="9" t="str">
        <f>HYPERLINK("https://otsuka-europe-crm.veevavault.com/ui/#object/approved_document__v/V5O000000018003", "AE dialoghi di tempo fiducia e cura episodi 2-3-4")</f>
        <v>AE dialoghi di tempo fiducia e cura episodi 2-3-4</v>
      </c>
      <c r="E5190" s="10" t="str">
        <f>HYPERLINK("https://otsuka-europe-crm.veevavault.com/ui/#object/sent_email__v/VBL00000002Q261", "SE-001433930")</f>
        <v>SE-001433930</v>
      </c>
      <c r="F5190" s="11"/>
      <c r="G5190" s="12">
        <v>0</v>
      </c>
      <c r="H5190" s="12">
        <v>0</v>
      </c>
      <c r="I5190" s="12">
        <v>0</v>
      </c>
      <c r="J5190" s="11"/>
      <c r="K5190" s="12">
        <v>0</v>
      </c>
      <c r="L5190" s="10" t="str">
        <f>HYPERLINK("https://otsuka-europe-crm.veevavault.com/ui/#object/approved_document__v/V5O000000018003", "AE dialoghi di tempo fiducia e cura episodi 2-3-4")</f>
        <v>AE dialoghi di tempo fiducia e cura episodi 2-3-4</v>
      </c>
      <c r="M5190" s="10" t="str">
        <f>HYPERLINK("mailto:nicoletta.vozza@crm.otsuka-europe.com", "nicoletta.vozza@crm.otsuka-europe.com")</f>
        <v>nicoletta.vozza@crm.otsuka-europe.com</v>
      </c>
      <c r="N5190" s="13">
        <v>46181.338020833333</v>
      </c>
      <c r="O5190" s="14" t="str">
        <f>HYPERLINK("https://otsuka-europe-crm.veevavault.com/ui/#object/email_activity__v/V8C00000003Q182", "EN-002091283")</f>
        <v>EN-002091283</v>
      </c>
    </row>
    <row r="5191" spans="1:15" ht="16" x14ac:dyDescent="0.2">
      <c r="A5191" s="17" t="str">
        <f>HYPERLINK("https://otsuka-europe-crm.veevavault.com/ui/#object/account__v/V4TZ06G6O71SBDG", "VERONICA MALTA")</f>
        <v>VERONICA MALTA</v>
      </c>
      <c r="B5191" s="17" t="str">
        <f>HYPERLINK("https://otsuka-europe-crm.veevavault.com/ui/#object/vcountry__v/VENZ000004SONFQ", "IT")</f>
        <v>IT</v>
      </c>
      <c r="C5191" s="20" t="s">
        <v>44</v>
      </c>
      <c r="D5191" s="21" t="str">
        <f>HYPERLINK("https://otsuka-europe-crm.veevavault.com/ui/#object/approved_document__v/V5O000000018003", "AE dialoghi di tempo fiducia e cura episodi 2-3-4")</f>
        <v>AE dialoghi di tempo fiducia e cura episodi 2-3-4</v>
      </c>
      <c r="E5191" s="22" t="str">
        <f>HYPERLINK("https://otsuka-europe-crm.veevavault.com/ui/#object/sent_email__v/VBL00000002Q262", "SE-001433931")</f>
        <v>SE-001433931</v>
      </c>
      <c r="F5191" s="25"/>
      <c r="G5191" s="24">
        <v>0</v>
      </c>
      <c r="H5191" s="24">
        <v>0</v>
      </c>
      <c r="I5191" s="24">
        <v>0</v>
      </c>
      <c r="J5191" s="25"/>
      <c r="K5191" s="24">
        <v>0</v>
      </c>
      <c r="L5191" s="22" t="str">
        <f>HYPERLINK("https://otsuka-europe-crm.veevavault.com/ui/#object/approved_document__v/V5O000000018003", "AE dialoghi di tempo fiducia e cura episodi 2-3-4")</f>
        <v>AE dialoghi di tempo fiducia e cura episodi 2-3-4</v>
      </c>
      <c r="M5191" s="22" t="str">
        <f>HYPERLINK("mailto:nicoletta.vozza@crm.otsuka-europe.com", "nicoletta.vozza@crm.otsuka-europe.com")</f>
        <v>nicoletta.vozza@crm.otsuka-europe.com</v>
      </c>
      <c r="N5191" s="23">
        <v>46181.338090277779</v>
      </c>
      <c r="O5191" s="14" t="str">
        <f>HYPERLINK("https://otsuka-europe-crm.veevavault.com/ui/#object/email_activity__v/V8C00000003O540", "EN-002090096")</f>
        <v>EN-002090096</v>
      </c>
    </row>
    <row r="5192" spans="1:15" ht="16" x14ac:dyDescent="0.2">
      <c r="A5192" s="19"/>
      <c r="B5192" s="19"/>
      <c r="C5192" s="19"/>
      <c r="D5192" s="19"/>
      <c r="E5192" s="19"/>
      <c r="F5192" s="19"/>
      <c r="G5192" s="19"/>
      <c r="H5192" s="19"/>
      <c r="I5192" s="19"/>
      <c r="J5192" s="19"/>
      <c r="K5192" s="19"/>
      <c r="L5192" s="19"/>
      <c r="M5192" s="19"/>
      <c r="N5192" s="19"/>
      <c r="O5192" s="14" t="str">
        <f>HYPERLINK("https://otsuka-europe-crm.veevavault.com/ui/#object/email_activity__v/V8C00000003Q744", "EN-002092313")</f>
        <v>EN-002092313</v>
      </c>
    </row>
    <row r="5193" spans="1:15" ht="32" x14ac:dyDescent="0.2">
      <c r="A5193" s="7" t="str">
        <f>HYPERLINK("https://otsuka-europe-crm.veevavault.com/ui/#object/account__v/V4TZ025E85ANDU0", "VICTOR ATTILIO CAMPAGNA")</f>
        <v>VICTOR ATTILIO CAMPAGNA</v>
      </c>
      <c r="B5193" s="7" t="str">
        <f t="shared" ref="B5193:B5199" si="576">HYPERLINK("https://otsuka-europe-crm.veevavault.com/ui/#object/vcountry__v/VENZ000004SONFQ", "IT")</f>
        <v>IT</v>
      </c>
      <c r="C5193" s="8" t="s">
        <v>44</v>
      </c>
      <c r="D5193" s="9" t="str">
        <f t="shared" ref="D5193:D5199" si="577">HYPERLINK("https://otsuka-europe-crm.veevavault.com/ui/#object/approved_document__v/V5O000000018003", "AE dialoghi di tempo fiducia e cura episodi 2-3-4")</f>
        <v>AE dialoghi di tempo fiducia e cura episodi 2-3-4</v>
      </c>
      <c r="E5193" s="10" t="str">
        <f>HYPERLINK("https://otsuka-europe-crm.veevavault.com/ui/#object/sent_email__v/VBL00000002Q263", "SE-001433932")</f>
        <v>SE-001433932</v>
      </c>
      <c r="F5193" s="11"/>
      <c r="G5193" s="12">
        <v>0</v>
      </c>
      <c r="H5193" s="12">
        <v>0</v>
      </c>
      <c r="I5193" s="12">
        <v>0</v>
      </c>
      <c r="J5193" s="11"/>
      <c r="K5193" s="12">
        <v>0</v>
      </c>
      <c r="L5193" s="10" t="str">
        <f t="shared" ref="L5193:L5199" si="578">HYPERLINK("https://otsuka-europe-crm.veevavault.com/ui/#object/approved_document__v/V5O000000018003", "AE dialoghi di tempo fiducia e cura episodi 2-3-4")</f>
        <v>AE dialoghi di tempo fiducia e cura episodi 2-3-4</v>
      </c>
      <c r="M5193" s="10" t="str">
        <f t="shared" ref="M5193:M5199" si="579">HYPERLINK("mailto:nicoletta.vozza@crm.otsuka-europe.com", "nicoletta.vozza@crm.otsuka-europe.com")</f>
        <v>nicoletta.vozza@crm.otsuka-europe.com</v>
      </c>
      <c r="N5193" s="13">
        <v>46181.338078703702</v>
      </c>
      <c r="O5193" s="14" t="str">
        <f>HYPERLINK("https://otsuka-europe-crm.veevavault.com/ui/#object/email_activity__v/V8C00000003P774", "EN-002091072")</f>
        <v>EN-002091072</v>
      </c>
    </row>
    <row r="5194" spans="1:15" ht="32" x14ac:dyDescent="0.2">
      <c r="A5194" s="7" t="str">
        <f>HYPERLINK("https://otsuka-europe-crm.veevavault.com/ui/#object/account__v/V4TZ06G6O71S9V8", "VINCENZA ALFANO")</f>
        <v>VINCENZA ALFANO</v>
      </c>
      <c r="B5194" s="7" t="str">
        <f t="shared" si="576"/>
        <v>IT</v>
      </c>
      <c r="C5194" s="8" t="s">
        <v>44</v>
      </c>
      <c r="D5194" s="9" t="str">
        <f t="shared" si="577"/>
        <v>AE dialoghi di tempo fiducia e cura episodi 2-3-4</v>
      </c>
      <c r="E5194" s="10" t="str">
        <f>HYPERLINK("https://otsuka-europe-crm.veevavault.com/ui/#object/sent_email__v/VBL00000002Q264", "SE-001433933")</f>
        <v>SE-001433933</v>
      </c>
      <c r="F5194" s="11"/>
      <c r="G5194" s="12">
        <v>0</v>
      </c>
      <c r="H5194" s="12">
        <v>0</v>
      </c>
      <c r="I5194" s="12">
        <v>0</v>
      </c>
      <c r="J5194" s="11"/>
      <c r="K5194" s="12">
        <v>0</v>
      </c>
      <c r="L5194" s="10" t="str">
        <f t="shared" si="578"/>
        <v>AE dialoghi di tempo fiducia e cura episodi 2-3-4</v>
      </c>
      <c r="M5194" s="10" t="str">
        <f t="shared" si="579"/>
        <v>nicoletta.vozza@crm.otsuka-europe.com</v>
      </c>
      <c r="N5194" s="13">
        <v>46181.33797453704</v>
      </c>
      <c r="O5194" s="14" t="str">
        <f>HYPERLINK("https://otsuka-europe-crm.veevavault.com/ui/#object/email_activity__v/V8C00000003P847", "EN-002091234")</f>
        <v>EN-002091234</v>
      </c>
    </row>
    <row r="5195" spans="1:15" ht="32" x14ac:dyDescent="0.2">
      <c r="A5195" s="7" t="str">
        <f>HYPERLINK("https://otsuka-europe-crm.veevavault.com/ui/#object/account__v/V4TZ025E888Y76Q", "VINCENZA FETONI")</f>
        <v>VINCENZA FETONI</v>
      </c>
      <c r="B5195" s="7" t="str">
        <f t="shared" si="576"/>
        <v>IT</v>
      </c>
      <c r="C5195" s="8" t="s">
        <v>44</v>
      </c>
      <c r="D5195" s="9" t="str">
        <f t="shared" si="577"/>
        <v>AE dialoghi di tempo fiducia e cura episodi 2-3-4</v>
      </c>
      <c r="E5195" s="10" t="str">
        <f>HYPERLINK("https://otsuka-europe-crm.veevavault.com/ui/#object/sent_email__v/VBL00000002Q265", "SE-001433934")</f>
        <v>SE-001433934</v>
      </c>
      <c r="F5195" s="11"/>
      <c r="G5195" s="12">
        <v>0</v>
      </c>
      <c r="H5195" s="12">
        <v>0</v>
      </c>
      <c r="I5195" s="12">
        <v>0</v>
      </c>
      <c r="J5195" s="11"/>
      <c r="K5195" s="12">
        <v>0</v>
      </c>
      <c r="L5195" s="10" t="str">
        <f t="shared" si="578"/>
        <v>AE dialoghi di tempo fiducia e cura episodi 2-3-4</v>
      </c>
      <c r="M5195" s="10" t="str">
        <f t="shared" si="579"/>
        <v>nicoletta.vozza@crm.otsuka-europe.com</v>
      </c>
      <c r="N5195" s="13">
        <v>46181.338020833333</v>
      </c>
      <c r="O5195" s="14" t="str">
        <f>HYPERLINK("https://otsuka-europe-crm.veevavault.com/ui/#object/email_activity__v/V8C00000003O945", "EN-002090605")</f>
        <v>EN-002090605</v>
      </c>
    </row>
    <row r="5196" spans="1:15" ht="32" x14ac:dyDescent="0.2">
      <c r="A5196" s="7" t="str">
        <f>HYPERLINK("https://otsuka-europe-crm.veevavault.com/ui/#object/account__v/V4TZ06G6O71SCQP", "VINCENZA IANNACE")</f>
        <v>VINCENZA IANNACE</v>
      </c>
      <c r="B5196" s="7" t="str">
        <f t="shared" si="576"/>
        <v>IT</v>
      </c>
      <c r="C5196" s="8" t="s">
        <v>44</v>
      </c>
      <c r="D5196" s="9" t="str">
        <f t="shared" si="577"/>
        <v>AE dialoghi di tempo fiducia e cura episodi 2-3-4</v>
      </c>
      <c r="E5196" s="10" t="str">
        <f>HYPERLINK("https://otsuka-europe-crm.veevavault.com/ui/#object/sent_email__v/VBL00000002Q266", "SE-001433935")</f>
        <v>SE-001433935</v>
      </c>
      <c r="F5196" s="11"/>
      <c r="G5196" s="12">
        <v>0</v>
      </c>
      <c r="H5196" s="12">
        <v>0</v>
      </c>
      <c r="I5196" s="12">
        <v>0</v>
      </c>
      <c r="J5196" s="11"/>
      <c r="K5196" s="12">
        <v>0</v>
      </c>
      <c r="L5196" s="10" t="str">
        <f t="shared" si="578"/>
        <v>AE dialoghi di tempo fiducia e cura episodi 2-3-4</v>
      </c>
      <c r="M5196" s="10" t="str">
        <f t="shared" si="579"/>
        <v>nicoletta.vozza@crm.otsuka-europe.com</v>
      </c>
      <c r="N5196" s="13">
        <v>46181.338043981479</v>
      </c>
      <c r="O5196" s="14" t="str">
        <f>HYPERLINK("https://otsuka-europe-crm.veevavault.com/ui/#object/email_activity__v/V8C00000003P459", "EN-002090652")</f>
        <v>EN-002090652</v>
      </c>
    </row>
    <row r="5197" spans="1:15" ht="32" x14ac:dyDescent="0.2">
      <c r="A5197" s="7" t="str">
        <f>HYPERLINK("https://otsuka-europe-crm.veevavault.com/ui/#object/account__v/V4TZ04ASGB4KSMT", "VINCENZA SCHIAVA")</f>
        <v>VINCENZA SCHIAVA</v>
      </c>
      <c r="B5197" s="7" t="str">
        <f t="shared" si="576"/>
        <v>IT</v>
      </c>
      <c r="C5197" s="8" t="s">
        <v>44</v>
      </c>
      <c r="D5197" s="9" t="str">
        <f t="shared" si="577"/>
        <v>AE dialoghi di tempo fiducia e cura episodi 2-3-4</v>
      </c>
      <c r="E5197" s="10" t="str">
        <f>HYPERLINK("https://otsuka-europe-crm.veevavault.com/ui/#object/sent_email__v/VBL00000002Q267", "SE-001433936")</f>
        <v>SE-001433936</v>
      </c>
      <c r="F5197" s="11"/>
      <c r="G5197" s="12">
        <v>0</v>
      </c>
      <c r="H5197" s="12">
        <v>0</v>
      </c>
      <c r="I5197" s="12">
        <v>0</v>
      </c>
      <c r="J5197" s="11"/>
      <c r="K5197" s="12">
        <v>0</v>
      </c>
      <c r="L5197" s="10" t="str">
        <f t="shared" si="578"/>
        <v>AE dialoghi di tempo fiducia e cura episodi 2-3-4</v>
      </c>
      <c r="M5197" s="10" t="str">
        <f t="shared" si="579"/>
        <v>nicoletta.vozza@crm.otsuka-europe.com</v>
      </c>
      <c r="N5197" s="13">
        <v>46181.337997685187</v>
      </c>
      <c r="O5197" s="14" t="str">
        <f>HYPERLINK("https://otsuka-europe-crm.veevavault.com/ui/#object/email_activity__v/V8C00000003O988", "EN-002090737")</f>
        <v>EN-002090737</v>
      </c>
    </row>
    <row r="5198" spans="1:15" ht="32" x14ac:dyDescent="0.2">
      <c r="A5198" s="7" t="str">
        <f>HYPERLINK("https://otsuka-europe-crm.veevavault.com/ui/#object/account__v/V4TZ06G6O71SB45", "VINCENZO ALBERTO GIUFFRE'")</f>
        <v>VINCENZO ALBERTO GIUFFRE'</v>
      </c>
      <c r="B5198" s="7" t="str">
        <f t="shared" si="576"/>
        <v>IT</v>
      </c>
      <c r="C5198" s="8" t="s">
        <v>44</v>
      </c>
      <c r="D5198" s="9" t="str">
        <f t="shared" si="577"/>
        <v>AE dialoghi di tempo fiducia e cura episodi 2-3-4</v>
      </c>
      <c r="E5198" s="10" t="str">
        <f>HYPERLINK("https://otsuka-europe-crm.veevavault.com/ui/#object/sent_email__v/VBL00000002Q268", "SE-001433937")</f>
        <v>SE-001433937</v>
      </c>
      <c r="F5198" s="11"/>
      <c r="G5198" s="12">
        <v>0</v>
      </c>
      <c r="H5198" s="12">
        <v>0</v>
      </c>
      <c r="I5198" s="12">
        <v>0</v>
      </c>
      <c r="J5198" s="11"/>
      <c r="K5198" s="12">
        <v>0</v>
      </c>
      <c r="L5198" s="10" t="str">
        <f t="shared" si="578"/>
        <v>AE dialoghi di tempo fiducia e cura episodi 2-3-4</v>
      </c>
      <c r="M5198" s="10" t="str">
        <f t="shared" si="579"/>
        <v>nicoletta.vozza@crm.otsuka-europe.com</v>
      </c>
      <c r="N5198" s="13">
        <v>46181.338101851848</v>
      </c>
      <c r="O5198" s="14" t="str">
        <f>HYPERLINK("https://otsuka-europe-crm.veevavault.com/ui/#object/email_activity__v/V8C00000003P548", "EN-002090803")</f>
        <v>EN-002090803</v>
      </c>
    </row>
    <row r="5199" spans="1:15" ht="16" x14ac:dyDescent="0.2">
      <c r="A5199" s="17" t="str">
        <f>HYPERLINK("https://otsuka-europe-crm.veevavault.com/ui/#object/account__v/V4TZ06G6O71S9WT", "VINCENZO ALFANO")</f>
        <v>VINCENZO ALFANO</v>
      </c>
      <c r="B5199" s="17" t="str">
        <f t="shared" si="576"/>
        <v>IT</v>
      </c>
      <c r="C5199" s="20" t="s">
        <v>44</v>
      </c>
      <c r="D5199" s="21" t="str">
        <f t="shared" si="577"/>
        <v>AE dialoghi di tempo fiducia e cura episodi 2-3-4</v>
      </c>
      <c r="E5199" s="22" t="str">
        <f>HYPERLINK("https://otsuka-europe-crm.veevavault.com/ui/#object/sent_email__v/VBL00000002Q269", "SE-001433938")</f>
        <v>SE-001433938</v>
      </c>
      <c r="F5199" s="25"/>
      <c r="G5199" s="24">
        <v>0</v>
      </c>
      <c r="H5199" s="24">
        <v>0</v>
      </c>
      <c r="I5199" s="24">
        <v>0</v>
      </c>
      <c r="J5199" s="25"/>
      <c r="K5199" s="24">
        <v>0</v>
      </c>
      <c r="L5199" s="22" t="str">
        <f t="shared" si="578"/>
        <v>AE dialoghi di tempo fiducia e cura episodi 2-3-4</v>
      </c>
      <c r="M5199" s="22" t="str">
        <f t="shared" si="579"/>
        <v>nicoletta.vozza@crm.otsuka-europe.com</v>
      </c>
      <c r="N5199" s="23">
        <v>46181.338020833333</v>
      </c>
      <c r="O5199" s="14" t="str">
        <f>HYPERLINK("https://otsuka-europe-crm.veevavault.com/ui/#object/email_activity__v/V8C00000003O876", "EN-002090479")</f>
        <v>EN-002090479</v>
      </c>
    </row>
    <row r="5200" spans="1:15" ht="16" x14ac:dyDescent="0.2">
      <c r="A5200" s="19"/>
      <c r="B5200" s="19"/>
      <c r="C5200" s="19"/>
      <c r="D5200" s="19"/>
      <c r="E5200" s="19"/>
      <c r="F5200" s="19"/>
      <c r="G5200" s="19"/>
      <c r="H5200" s="19"/>
      <c r="I5200" s="19"/>
      <c r="J5200" s="19"/>
      <c r="K5200" s="19"/>
      <c r="L5200" s="19"/>
      <c r="M5200" s="19"/>
      <c r="N5200" s="19"/>
      <c r="O5200" s="14" t="str">
        <f>HYPERLINK("https://otsuka-europe-crm.veevavault.com/ui/#object/email_activity__v/V8C00000003R045", "EN-002091772")</f>
        <v>EN-002091772</v>
      </c>
    </row>
    <row r="5201" spans="1:15" ht="32" x14ac:dyDescent="0.2">
      <c r="A5201" s="7" t="str">
        <f>HYPERLINK("https://otsuka-europe-crm.veevavault.com/ui/#object/account__v/V4TZ06G6O71S9YU", "VINCENZO ASCOLESE")</f>
        <v>VINCENZO ASCOLESE</v>
      </c>
      <c r="B5201" s="7" t="str">
        <f t="shared" ref="B5201:B5216" si="580">HYPERLINK("https://otsuka-europe-crm.veevavault.com/ui/#object/vcountry__v/VENZ000004SONFQ", "IT")</f>
        <v>IT</v>
      </c>
      <c r="C5201" s="8" t="s">
        <v>44</v>
      </c>
      <c r="D5201" s="9" t="str">
        <f t="shared" ref="D5201:D5216" si="581">HYPERLINK("https://otsuka-europe-crm.veevavault.com/ui/#object/approved_document__v/V5O000000018003", "AE dialoghi di tempo fiducia e cura episodi 2-3-4")</f>
        <v>AE dialoghi di tempo fiducia e cura episodi 2-3-4</v>
      </c>
      <c r="E5201" s="10" t="str">
        <f>HYPERLINK("https://otsuka-europe-crm.veevavault.com/ui/#object/sent_email__v/VBL00000002Q270", "SE-001433939")</f>
        <v>SE-001433939</v>
      </c>
      <c r="F5201" s="11"/>
      <c r="G5201" s="12">
        <v>0</v>
      </c>
      <c r="H5201" s="12">
        <v>0</v>
      </c>
      <c r="I5201" s="12">
        <v>0</v>
      </c>
      <c r="J5201" s="11"/>
      <c r="K5201" s="12">
        <v>0</v>
      </c>
      <c r="L5201" s="10" t="str">
        <f t="shared" ref="L5201:L5216" si="582">HYPERLINK("https://otsuka-europe-crm.veevavault.com/ui/#object/approved_document__v/V5O000000018003", "AE dialoghi di tempo fiducia e cura episodi 2-3-4")</f>
        <v>AE dialoghi di tempo fiducia e cura episodi 2-3-4</v>
      </c>
      <c r="M5201" s="10" t="str">
        <f t="shared" ref="M5201:M5216" si="583">HYPERLINK("mailto:nicoletta.vozza@crm.otsuka-europe.com", "nicoletta.vozza@crm.otsuka-europe.com")</f>
        <v>nicoletta.vozza@crm.otsuka-europe.com</v>
      </c>
      <c r="N5201" s="13">
        <v>46181.337962962964</v>
      </c>
      <c r="O5201" s="14" t="str">
        <f>HYPERLINK("https://otsuka-europe-crm.veevavault.com/ui/#object/email_activity__v/V8C00000003P186", "EN-002089586")</f>
        <v>EN-002089586</v>
      </c>
    </row>
    <row r="5202" spans="1:15" ht="32" x14ac:dyDescent="0.2">
      <c r="A5202" s="7" t="str">
        <f>HYPERLINK("https://otsuka-europe-crm.veevavault.com/ui/#object/account__v/V4TZ06G6O8ANI5P", "VINCENZO BERTINO")</f>
        <v>VINCENZO BERTINO</v>
      </c>
      <c r="B5202" s="7" t="str">
        <f t="shared" si="580"/>
        <v>IT</v>
      </c>
      <c r="C5202" s="8" t="s">
        <v>44</v>
      </c>
      <c r="D5202" s="9" t="str">
        <f t="shared" si="581"/>
        <v>AE dialoghi di tempo fiducia e cura episodi 2-3-4</v>
      </c>
      <c r="E5202" s="10" t="str">
        <f>HYPERLINK("https://otsuka-europe-crm.veevavault.com/ui/#object/sent_email__v/VBL00000002Q271", "SE-001433940")</f>
        <v>SE-001433940</v>
      </c>
      <c r="F5202" s="11"/>
      <c r="G5202" s="12">
        <v>0</v>
      </c>
      <c r="H5202" s="12">
        <v>0</v>
      </c>
      <c r="I5202" s="12">
        <v>0</v>
      </c>
      <c r="J5202" s="11"/>
      <c r="K5202" s="12">
        <v>0</v>
      </c>
      <c r="L5202" s="10" t="str">
        <f t="shared" si="582"/>
        <v>AE dialoghi di tempo fiducia e cura episodi 2-3-4</v>
      </c>
      <c r="M5202" s="10" t="str">
        <f t="shared" si="583"/>
        <v>nicoletta.vozza@crm.otsuka-europe.com</v>
      </c>
      <c r="N5202" s="13">
        <v>46181.338055555556</v>
      </c>
      <c r="O5202" s="14" t="str">
        <f>HYPERLINK("https://otsuka-europe-crm.veevavault.com/ui/#object/email_activity__v/V8C00000003O603", "EN-002090159")</f>
        <v>EN-002090159</v>
      </c>
    </row>
    <row r="5203" spans="1:15" ht="32" x14ac:dyDescent="0.2">
      <c r="A5203" s="7" t="str">
        <f>HYPERLINK("https://otsuka-europe-crm.veevavault.com/ui/#object/account__v/V4TZ06G6O71SA8E", "VINCENZO BUTERA")</f>
        <v>VINCENZO BUTERA</v>
      </c>
      <c r="B5203" s="7" t="str">
        <f t="shared" si="580"/>
        <v>IT</v>
      </c>
      <c r="C5203" s="8" t="s">
        <v>44</v>
      </c>
      <c r="D5203" s="9" t="str">
        <f t="shared" si="581"/>
        <v>AE dialoghi di tempo fiducia e cura episodi 2-3-4</v>
      </c>
      <c r="E5203" s="10" t="str">
        <f>HYPERLINK("https://otsuka-europe-crm.veevavault.com/ui/#object/sent_email__v/VBL00000002Q272", "SE-001433941")</f>
        <v>SE-001433941</v>
      </c>
      <c r="F5203" s="11"/>
      <c r="G5203" s="12">
        <v>0</v>
      </c>
      <c r="H5203" s="12">
        <v>0</v>
      </c>
      <c r="I5203" s="12">
        <v>0</v>
      </c>
      <c r="J5203" s="11"/>
      <c r="K5203" s="12">
        <v>0</v>
      </c>
      <c r="L5203" s="10" t="str">
        <f t="shared" si="582"/>
        <v>AE dialoghi di tempo fiducia e cura episodi 2-3-4</v>
      </c>
      <c r="M5203" s="10" t="str">
        <f t="shared" si="583"/>
        <v>nicoletta.vozza@crm.otsuka-europe.com</v>
      </c>
      <c r="N5203" s="13">
        <v>46181.33798611111</v>
      </c>
      <c r="O5203" s="14" t="str">
        <f>HYPERLINK("https://otsuka-europe-crm.veevavault.com/ui/#object/email_activity__v/V8C00000003Q146", "EN-002091229")</f>
        <v>EN-002091229</v>
      </c>
    </row>
    <row r="5204" spans="1:15" ht="32" x14ac:dyDescent="0.2">
      <c r="A5204" s="7" t="str">
        <f>HYPERLINK("https://otsuka-europe-crm.veevavault.com/ui/#object/account__v/V4TZ025E85GVJ76", "VINCENZO CAPONE")</f>
        <v>VINCENZO CAPONE</v>
      </c>
      <c r="B5204" s="7" t="str">
        <f t="shared" si="580"/>
        <v>IT</v>
      </c>
      <c r="C5204" s="8" t="s">
        <v>44</v>
      </c>
      <c r="D5204" s="9" t="str">
        <f t="shared" si="581"/>
        <v>AE dialoghi di tempo fiducia e cura episodi 2-3-4</v>
      </c>
      <c r="E5204" s="10" t="str">
        <f>HYPERLINK("https://otsuka-europe-crm.veevavault.com/ui/#object/sent_email__v/VBL00000002Q273", "SE-001433942")</f>
        <v>SE-001433942</v>
      </c>
      <c r="F5204" s="11"/>
      <c r="G5204" s="12">
        <v>0</v>
      </c>
      <c r="H5204" s="12">
        <v>0</v>
      </c>
      <c r="I5204" s="12">
        <v>0</v>
      </c>
      <c r="J5204" s="11"/>
      <c r="K5204" s="12">
        <v>0</v>
      </c>
      <c r="L5204" s="10" t="str">
        <f t="shared" si="582"/>
        <v>AE dialoghi di tempo fiducia e cura episodi 2-3-4</v>
      </c>
      <c r="M5204" s="10" t="str">
        <f t="shared" si="583"/>
        <v>nicoletta.vozza@crm.otsuka-europe.com</v>
      </c>
      <c r="N5204" s="13">
        <v>46181.338043981479</v>
      </c>
      <c r="O5204" s="14" t="str">
        <f>HYPERLINK("https://otsuka-europe-crm.veevavault.com/ui/#object/email_activity__v/V8C00000003P747", "EN-002091045")</f>
        <v>EN-002091045</v>
      </c>
    </row>
    <row r="5205" spans="1:15" ht="32" x14ac:dyDescent="0.2">
      <c r="A5205" s="7" t="str">
        <f>HYPERLINK("https://otsuka-europe-crm.veevavault.com/ui/#object/account__v/V4TZ06G6O71SAIA", "VINCENZO CIAMPA")</f>
        <v>VINCENZO CIAMPA</v>
      </c>
      <c r="B5205" s="7" t="str">
        <f t="shared" si="580"/>
        <v>IT</v>
      </c>
      <c r="C5205" s="8" t="s">
        <v>44</v>
      </c>
      <c r="D5205" s="9" t="str">
        <f t="shared" si="581"/>
        <v>AE dialoghi di tempo fiducia e cura episodi 2-3-4</v>
      </c>
      <c r="E5205" s="10" t="str">
        <f>HYPERLINK("https://otsuka-europe-crm.veevavault.com/ui/#object/sent_email__v/VBL00000002Q274", "SE-001433943")</f>
        <v>SE-001433943</v>
      </c>
      <c r="F5205" s="11"/>
      <c r="G5205" s="12">
        <v>0</v>
      </c>
      <c r="H5205" s="12">
        <v>0</v>
      </c>
      <c r="I5205" s="12">
        <v>0</v>
      </c>
      <c r="J5205" s="11"/>
      <c r="K5205" s="12">
        <v>0</v>
      </c>
      <c r="L5205" s="10" t="str">
        <f t="shared" si="582"/>
        <v>AE dialoghi di tempo fiducia e cura episodi 2-3-4</v>
      </c>
      <c r="M5205" s="10" t="str">
        <f t="shared" si="583"/>
        <v>nicoletta.vozza@crm.otsuka-europe.com</v>
      </c>
      <c r="N5205" s="13">
        <v>46181.338020833333</v>
      </c>
      <c r="O5205" s="14" t="str">
        <f>HYPERLINK("https://otsuka-europe-crm.veevavault.com/ui/#object/email_activity__v/V8C00000003Q303", "EN-002091450")</f>
        <v>EN-002091450</v>
      </c>
    </row>
    <row r="5206" spans="1:15" ht="32" x14ac:dyDescent="0.2">
      <c r="A5206" s="7" t="str">
        <f>HYPERLINK("https://otsuka-europe-crm.veevavault.com/ui/#object/account__v/V4TZ06G6O71SAIP", "VINCENZO CILIA")</f>
        <v>VINCENZO CILIA</v>
      </c>
      <c r="B5206" s="7" t="str">
        <f t="shared" si="580"/>
        <v>IT</v>
      </c>
      <c r="C5206" s="8" t="s">
        <v>44</v>
      </c>
      <c r="D5206" s="9" t="str">
        <f t="shared" si="581"/>
        <v>AE dialoghi di tempo fiducia e cura episodi 2-3-4</v>
      </c>
      <c r="E5206" s="10" t="str">
        <f>HYPERLINK("https://otsuka-europe-crm.veevavault.com/ui/#object/sent_email__v/VBL00000002Q275", "SE-001433944")</f>
        <v>SE-001433944</v>
      </c>
      <c r="F5206" s="11"/>
      <c r="G5206" s="12">
        <v>0</v>
      </c>
      <c r="H5206" s="12">
        <v>0</v>
      </c>
      <c r="I5206" s="12">
        <v>0</v>
      </c>
      <c r="J5206" s="11"/>
      <c r="K5206" s="12">
        <v>0</v>
      </c>
      <c r="L5206" s="10" t="str">
        <f t="shared" si="582"/>
        <v>AE dialoghi di tempo fiducia e cura episodi 2-3-4</v>
      </c>
      <c r="M5206" s="10" t="str">
        <f t="shared" si="583"/>
        <v>nicoletta.vozza@crm.otsuka-europe.com</v>
      </c>
      <c r="N5206" s="13">
        <v>46181.337905092594</v>
      </c>
      <c r="O5206" s="15"/>
    </row>
    <row r="5207" spans="1:15" ht="32" x14ac:dyDescent="0.2">
      <c r="A5207" s="7" t="str">
        <f>HYPERLINK("https://otsuka-europe-crm.veevavault.com/ui/#object/account__v/V4TZ06G6O71SB8T", "VINCENZO LOLLI")</f>
        <v>VINCENZO LOLLI</v>
      </c>
      <c r="B5207" s="7" t="str">
        <f t="shared" si="580"/>
        <v>IT</v>
      </c>
      <c r="C5207" s="8" t="s">
        <v>44</v>
      </c>
      <c r="D5207" s="9" t="str">
        <f t="shared" si="581"/>
        <v>AE dialoghi di tempo fiducia e cura episodi 2-3-4</v>
      </c>
      <c r="E5207" s="10" t="str">
        <f>HYPERLINK("https://otsuka-europe-crm.veevavault.com/ui/#object/sent_email__v/VBL00000002Q276", "SE-001433945")</f>
        <v>SE-001433945</v>
      </c>
      <c r="F5207" s="11"/>
      <c r="G5207" s="12">
        <v>0</v>
      </c>
      <c r="H5207" s="12">
        <v>0</v>
      </c>
      <c r="I5207" s="12">
        <v>0</v>
      </c>
      <c r="J5207" s="11"/>
      <c r="K5207" s="12">
        <v>0</v>
      </c>
      <c r="L5207" s="10" t="str">
        <f t="shared" si="582"/>
        <v>AE dialoghi di tempo fiducia e cura episodi 2-3-4</v>
      </c>
      <c r="M5207" s="10" t="str">
        <f t="shared" si="583"/>
        <v>nicoletta.vozza@crm.otsuka-europe.com</v>
      </c>
      <c r="N5207" s="13">
        <v>46181.338090277779</v>
      </c>
      <c r="O5207" s="14" t="str">
        <f>HYPERLINK("https://otsuka-europe-crm.veevavault.com/ui/#object/email_activity__v/V8C00000003P833", "EN-002091192")</f>
        <v>EN-002091192</v>
      </c>
    </row>
    <row r="5208" spans="1:15" ht="32" x14ac:dyDescent="0.2">
      <c r="A5208" s="7" t="str">
        <f>HYPERLINK("https://otsuka-europe-crm.veevavault.com/ui/#object/account__v/V4TZ06G6O71SBCU", "VINCENZO MAGLIANO")</f>
        <v>VINCENZO MAGLIANO</v>
      </c>
      <c r="B5208" s="7" t="str">
        <f t="shared" si="580"/>
        <v>IT</v>
      </c>
      <c r="C5208" s="8" t="s">
        <v>44</v>
      </c>
      <c r="D5208" s="9" t="str">
        <f t="shared" si="581"/>
        <v>AE dialoghi di tempo fiducia e cura episodi 2-3-4</v>
      </c>
      <c r="E5208" s="10" t="str">
        <f>HYPERLINK("https://otsuka-europe-crm.veevavault.com/ui/#object/sent_email__v/VBL00000002Q277", "SE-001433946")</f>
        <v>SE-001433946</v>
      </c>
      <c r="F5208" s="11"/>
      <c r="G5208" s="12">
        <v>0</v>
      </c>
      <c r="H5208" s="12">
        <v>0</v>
      </c>
      <c r="I5208" s="12">
        <v>0</v>
      </c>
      <c r="J5208" s="11"/>
      <c r="K5208" s="12">
        <v>0</v>
      </c>
      <c r="L5208" s="10" t="str">
        <f t="shared" si="582"/>
        <v>AE dialoghi di tempo fiducia e cura episodi 2-3-4</v>
      </c>
      <c r="M5208" s="10" t="str">
        <f t="shared" si="583"/>
        <v>nicoletta.vozza@crm.otsuka-europe.com</v>
      </c>
      <c r="N5208" s="13">
        <v>46181.338067129633</v>
      </c>
      <c r="O5208" s="14" t="str">
        <f>HYPERLINK("https://otsuka-europe-crm.veevavault.com/ui/#object/email_activity__v/V8C00000003P603", "EN-002090858")</f>
        <v>EN-002090858</v>
      </c>
    </row>
    <row r="5209" spans="1:15" ht="32" x14ac:dyDescent="0.2">
      <c r="A5209" s="7" t="str">
        <f>HYPERLINK("https://otsuka-europe-crm.veevavault.com/ui/#object/account__v/V4TZ06G6O71SBG9", "VINCENZO MANNA")</f>
        <v>VINCENZO MANNA</v>
      </c>
      <c r="B5209" s="7" t="str">
        <f t="shared" si="580"/>
        <v>IT</v>
      </c>
      <c r="C5209" s="8" t="s">
        <v>44</v>
      </c>
      <c r="D5209" s="9" t="str">
        <f t="shared" si="581"/>
        <v>AE dialoghi di tempo fiducia e cura episodi 2-3-4</v>
      </c>
      <c r="E5209" s="10" t="str">
        <f>HYPERLINK("https://otsuka-europe-crm.veevavault.com/ui/#object/sent_email__v/VBL00000002Q278", "SE-001433947")</f>
        <v>SE-001433947</v>
      </c>
      <c r="F5209" s="11"/>
      <c r="G5209" s="12">
        <v>0</v>
      </c>
      <c r="H5209" s="12">
        <v>0</v>
      </c>
      <c r="I5209" s="12">
        <v>0</v>
      </c>
      <c r="J5209" s="11"/>
      <c r="K5209" s="12">
        <v>0</v>
      </c>
      <c r="L5209" s="10" t="str">
        <f t="shared" si="582"/>
        <v>AE dialoghi di tempo fiducia e cura episodi 2-3-4</v>
      </c>
      <c r="M5209" s="10" t="str">
        <f t="shared" si="583"/>
        <v>nicoletta.vozza@crm.otsuka-europe.com</v>
      </c>
      <c r="N5209" s="13">
        <v>46181.338101851848</v>
      </c>
      <c r="O5209" s="14" t="str">
        <f>HYPERLINK("https://otsuka-europe-crm.veevavault.com/ui/#object/email_activity__v/V8C00000003P719", "EN-002090974")</f>
        <v>EN-002090974</v>
      </c>
    </row>
    <row r="5210" spans="1:15" ht="32" x14ac:dyDescent="0.2">
      <c r="A5210" s="7" t="str">
        <f>HYPERLINK("https://otsuka-europe-crm.veevavault.com/ui/#object/account__v/V4TZ06G6O71SBLP", "VINCENZO MARIA MERLI")</f>
        <v>VINCENZO MARIA MERLI</v>
      </c>
      <c r="B5210" s="7" t="str">
        <f t="shared" si="580"/>
        <v>IT</v>
      </c>
      <c r="C5210" s="8" t="s">
        <v>44</v>
      </c>
      <c r="D5210" s="9" t="str">
        <f t="shared" si="581"/>
        <v>AE dialoghi di tempo fiducia e cura episodi 2-3-4</v>
      </c>
      <c r="E5210" s="10" t="str">
        <f>HYPERLINK("https://otsuka-europe-crm.veevavault.com/ui/#object/sent_email__v/VBL00000002Q279", "SE-001433948")</f>
        <v>SE-001433948</v>
      </c>
      <c r="F5210" s="11"/>
      <c r="G5210" s="12">
        <v>0</v>
      </c>
      <c r="H5210" s="12">
        <v>0</v>
      </c>
      <c r="I5210" s="12">
        <v>0</v>
      </c>
      <c r="J5210" s="11"/>
      <c r="K5210" s="12">
        <v>0</v>
      </c>
      <c r="L5210" s="10" t="str">
        <f t="shared" si="582"/>
        <v>AE dialoghi di tempo fiducia e cura episodi 2-3-4</v>
      </c>
      <c r="M5210" s="10" t="str">
        <f t="shared" si="583"/>
        <v>nicoletta.vozza@crm.otsuka-europe.com</v>
      </c>
      <c r="N5210" s="13">
        <v>46181.338055555556</v>
      </c>
      <c r="O5210" s="14" t="str">
        <f>HYPERLINK("https://otsuka-europe-crm.veevavault.com/ui/#object/email_activity__v/V8C00000003O581", "EN-002090137")</f>
        <v>EN-002090137</v>
      </c>
    </row>
    <row r="5211" spans="1:15" ht="32" x14ac:dyDescent="0.2">
      <c r="A5211" s="7" t="str">
        <f>HYPERLINK("https://otsuka-europe-crm.veevavault.com/ui/#object/account__v/V4TZ06G6O71S9D6", "VINCENZO MESSINA")</f>
        <v>VINCENZO MESSINA</v>
      </c>
      <c r="B5211" s="7" t="str">
        <f t="shared" si="580"/>
        <v>IT</v>
      </c>
      <c r="C5211" s="8" t="s">
        <v>44</v>
      </c>
      <c r="D5211" s="9" t="str">
        <f t="shared" si="581"/>
        <v>AE dialoghi di tempo fiducia e cura episodi 2-3-4</v>
      </c>
      <c r="E5211" s="10" t="str">
        <f>HYPERLINK("https://otsuka-europe-crm.veevavault.com/ui/#object/sent_email__v/VBL00000002Q280", "SE-001433949")</f>
        <v>SE-001433949</v>
      </c>
      <c r="F5211" s="11"/>
      <c r="G5211" s="12">
        <v>0</v>
      </c>
      <c r="H5211" s="12">
        <v>0</v>
      </c>
      <c r="I5211" s="12">
        <v>0</v>
      </c>
      <c r="J5211" s="11"/>
      <c r="K5211" s="12">
        <v>0</v>
      </c>
      <c r="L5211" s="10" t="str">
        <f t="shared" si="582"/>
        <v>AE dialoghi di tempo fiducia e cura episodi 2-3-4</v>
      </c>
      <c r="M5211" s="10" t="str">
        <f t="shared" si="583"/>
        <v>nicoletta.vozza@crm.otsuka-europe.com</v>
      </c>
      <c r="N5211" s="13">
        <v>46181.338043981479</v>
      </c>
      <c r="O5211" s="14" t="str">
        <f>HYPERLINK("https://otsuka-europe-crm.veevavault.com/ui/#object/email_activity__v/V8C00000003O593", "EN-002090149")</f>
        <v>EN-002090149</v>
      </c>
    </row>
    <row r="5212" spans="1:15" ht="32" x14ac:dyDescent="0.2">
      <c r="A5212" s="7" t="str">
        <f>HYPERLINK("https://otsuka-europe-crm.veevavault.com/ui/#object/account__v/V4TZ06G6O71SBMD", "VINCENZO MUSELLA")</f>
        <v>VINCENZO MUSELLA</v>
      </c>
      <c r="B5212" s="7" t="str">
        <f t="shared" si="580"/>
        <v>IT</v>
      </c>
      <c r="C5212" s="8" t="s">
        <v>44</v>
      </c>
      <c r="D5212" s="9" t="str">
        <f t="shared" si="581"/>
        <v>AE dialoghi di tempo fiducia e cura episodi 2-3-4</v>
      </c>
      <c r="E5212" s="10" t="str">
        <f>HYPERLINK("https://otsuka-europe-crm.veevavault.com/ui/#object/sent_email__v/VBL00000002Q281", "SE-001433950")</f>
        <v>SE-001433950</v>
      </c>
      <c r="F5212" s="11"/>
      <c r="G5212" s="12">
        <v>0</v>
      </c>
      <c r="H5212" s="12">
        <v>0</v>
      </c>
      <c r="I5212" s="12">
        <v>0</v>
      </c>
      <c r="J5212" s="11"/>
      <c r="K5212" s="12">
        <v>0</v>
      </c>
      <c r="L5212" s="10" t="str">
        <f t="shared" si="582"/>
        <v>AE dialoghi di tempo fiducia e cura episodi 2-3-4</v>
      </c>
      <c r="M5212" s="10" t="str">
        <f t="shared" si="583"/>
        <v>nicoletta.vozza@crm.otsuka-europe.com</v>
      </c>
      <c r="N5212" s="13">
        <v>46181.338101851848</v>
      </c>
      <c r="O5212" s="14" t="str">
        <f>HYPERLINK("https://otsuka-europe-crm.veevavault.com/ui/#object/email_activity__v/V8C00000003O960", "EN-002090620")</f>
        <v>EN-002090620</v>
      </c>
    </row>
    <row r="5213" spans="1:15" ht="32" x14ac:dyDescent="0.2">
      <c r="A5213" s="7" t="str">
        <f>HYPERLINK("https://otsuka-europe-crm.veevavault.com/ui/#object/account__v/V4TZ025E8950KLJ", "VINCENZO PECORARO")</f>
        <v>VINCENZO PECORARO</v>
      </c>
      <c r="B5213" s="7" t="str">
        <f t="shared" si="580"/>
        <v>IT</v>
      </c>
      <c r="C5213" s="8" t="s">
        <v>44</v>
      </c>
      <c r="D5213" s="9" t="str">
        <f t="shared" si="581"/>
        <v>AE dialoghi di tempo fiducia e cura episodi 2-3-4</v>
      </c>
      <c r="E5213" s="10" t="str">
        <f>HYPERLINK("https://otsuka-europe-crm.veevavault.com/ui/#object/sent_email__v/VBL00000002Q282", "SE-001433951")</f>
        <v>SE-001433951</v>
      </c>
      <c r="F5213" s="11"/>
      <c r="G5213" s="12">
        <v>0</v>
      </c>
      <c r="H5213" s="12">
        <v>0</v>
      </c>
      <c r="I5213" s="12">
        <v>0</v>
      </c>
      <c r="J5213" s="11"/>
      <c r="K5213" s="12">
        <v>0</v>
      </c>
      <c r="L5213" s="10" t="str">
        <f t="shared" si="582"/>
        <v>AE dialoghi di tempo fiducia e cura episodi 2-3-4</v>
      </c>
      <c r="M5213" s="10" t="str">
        <f t="shared" si="583"/>
        <v>nicoletta.vozza@crm.otsuka-europe.com</v>
      </c>
      <c r="N5213" s="13">
        <v>46181.33803240741</v>
      </c>
      <c r="O5213" s="14" t="str">
        <f>HYPERLINK("https://otsuka-europe-crm.veevavault.com/ui/#object/email_activity__v/V8C00000003Q290", "EN-002091419")</f>
        <v>EN-002091419</v>
      </c>
    </row>
    <row r="5214" spans="1:15" ht="32" x14ac:dyDescent="0.2">
      <c r="A5214" s="7" t="str">
        <f>HYPERLINK("https://otsuka-europe-crm.veevavault.com/ui/#object/account__v/V4TZ04ASGBJT50J", "VINCENZO RAFFA")</f>
        <v>VINCENZO RAFFA</v>
      </c>
      <c r="B5214" s="7" t="str">
        <f t="shared" si="580"/>
        <v>IT</v>
      </c>
      <c r="C5214" s="8" t="s">
        <v>44</v>
      </c>
      <c r="D5214" s="9" t="str">
        <f t="shared" si="581"/>
        <v>AE dialoghi di tempo fiducia e cura episodi 2-3-4</v>
      </c>
      <c r="E5214" s="10" t="str">
        <f>HYPERLINK("https://otsuka-europe-crm.veevavault.com/ui/#object/sent_email__v/VBL00000002Q283", "SE-001433952")</f>
        <v>SE-001433952</v>
      </c>
      <c r="F5214" s="11"/>
      <c r="G5214" s="12">
        <v>0</v>
      </c>
      <c r="H5214" s="12">
        <v>0</v>
      </c>
      <c r="I5214" s="12">
        <v>0</v>
      </c>
      <c r="J5214" s="11"/>
      <c r="K5214" s="12">
        <v>0</v>
      </c>
      <c r="L5214" s="10" t="str">
        <f t="shared" si="582"/>
        <v>AE dialoghi di tempo fiducia e cura episodi 2-3-4</v>
      </c>
      <c r="M5214" s="10" t="str">
        <f t="shared" si="583"/>
        <v>nicoletta.vozza@crm.otsuka-europe.com</v>
      </c>
      <c r="N5214" s="13">
        <v>46181.338125000002</v>
      </c>
      <c r="O5214" s="14" t="str">
        <f>HYPERLINK("https://otsuka-europe-crm.veevavault.com/ui/#object/email_activity__v/V8C00000003O865", "EN-002090562")</f>
        <v>EN-002090562</v>
      </c>
    </row>
    <row r="5215" spans="1:15" ht="32" x14ac:dyDescent="0.2">
      <c r="A5215" s="7" t="str">
        <f>HYPERLINK("https://otsuka-europe-crm.veevavault.com/ui/#object/account__v/V4TZ06G6O71SC1A", "VINCENZO REMOLI")</f>
        <v>VINCENZO REMOLI</v>
      </c>
      <c r="B5215" s="7" t="str">
        <f t="shared" si="580"/>
        <v>IT</v>
      </c>
      <c r="C5215" s="8" t="s">
        <v>44</v>
      </c>
      <c r="D5215" s="9" t="str">
        <f t="shared" si="581"/>
        <v>AE dialoghi di tempo fiducia e cura episodi 2-3-4</v>
      </c>
      <c r="E5215" s="10" t="str">
        <f>HYPERLINK("https://otsuka-europe-crm.veevavault.com/ui/#object/sent_email__v/VBL00000002Q284", "SE-001433953")</f>
        <v>SE-001433953</v>
      </c>
      <c r="F5215" s="11"/>
      <c r="G5215" s="12">
        <v>0</v>
      </c>
      <c r="H5215" s="12">
        <v>0</v>
      </c>
      <c r="I5215" s="12">
        <v>0</v>
      </c>
      <c r="J5215" s="11"/>
      <c r="K5215" s="12">
        <v>0</v>
      </c>
      <c r="L5215" s="10" t="str">
        <f t="shared" si="582"/>
        <v>AE dialoghi di tempo fiducia e cura episodi 2-3-4</v>
      </c>
      <c r="M5215" s="10" t="str">
        <f t="shared" si="583"/>
        <v>nicoletta.vozza@crm.otsuka-europe.com</v>
      </c>
      <c r="N5215" s="13">
        <v>46181.337997685187</v>
      </c>
      <c r="O5215" s="14" t="str">
        <f>HYPERLINK("https://otsuka-europe-crm.veevavault.com/ui/#object/email_activity__v/V8C00000003P300", "EN-002089936")</f>
        <v>EN-002089936</v>
      </c>
    </row>
    <row r="5216" spans="1:15" ht="16" x14ac:dyDescent="0.2">
      <c r="A5216" s="17" t="str">
        <f>HYPERLINK("https://otsuka-europe-crm.veevavault.com/ui/#object/account__v/V4TZ025E87FS7SX", "VINCENZO SOLLO")</f>
        <v>VINCENZO SOLLO</v>
      </c>
      <c r="B5216" s="17" t="str">
        <f t="shared" si="580"/>
        <v>IT</v>
      </c>
      <c r="C5216" s="20" t="s">
        <v>44</v>
      </c>
      <c r="D5216" s="21" t="str">
        <f t="shared" si="581"/>
        <v>AE dialoghi di tempo fiducia e cura episodi 2-3-4</v>
      </c>
      <c r="E5216" s="22" t="str">
        <f>HYPERLINK("https://otsuka-europe-crm.veevavault.com/ui/#object/sent_email__v/VBL00000002Q285", "SE-001433954")</f>
        <v>SE-001433954</v>
      </c>
      <c r="F5216" s="23">
        <v>46182.450069444443</v>
      </c>
      <c r="G5216" s="24">
        <v>1</v>
      </c>
      <c r="H5216" s="24">
        <v>1</v>
      </c>
      <c r="I5216" s="24">
        <v>0</v>
      </c>
      <c r="J5216" s="25"/>
      <c r="K5216" s="24">
        <v>0</v>
      </c>
      <c r="L5216" s="22" t="str">
        <f t="shared" si="582"/>
        <v>AE dialoghi di tempo fiducia e cura episodi 2-3-4</v>
      </c>
      <c r="M5216" s="22" t="str">
        <f t="shared" si="583"/>
        <v>nicoletta.vozza@crm.otsuka-europe.com</v>
      </c>
      <c r="N5216" s="23">
        <v>46181.337962962964</v>
      </c>
      <c r="O5216" s="14" t="str">
        <f>HYPERLINK("https://otsuka-europe-crm.veevavault.com/ui/#object/email_activity__v/V8C00000003O318", "EN-002089795")</f>
        <v>EN-002089795</v>
      </c>
    </row>
    <row r="5217" spans="1:15" ht="16" x14ac:dyDescent="0.2">
      <c r="A5217" s="19"/>
      <c r="B5217" s="19"/>
      <c r="C5217" s="19"/>
      <c r="D5217" s="19"/>
      <c r="E5217" s="19"/>
      <c r="F5217" s="19"/>
      <c r="G5217" s="19"/>
      <c r="H5217" s="19"/>
      <c r="I5217" s="19"/>
      <c r="J5217" s="19"/>
      <c r="K5217" s="19"/>
      <c r="L5217" s="19"/>
      <c r="M5217" s="19"/>
      <c r="N5217" s="19"/>
      <c r="O5217" s="14" t="str">
        <f>HYPERLINK("https://otsuka-europe-crm.veevavault.com/ui/#object/email_activity__v/V8C00000003R584", "EN-002092822")</f>
        <v>EN-002092822</v>
      </c>
    </row>
    <row r="5218" spans="1:15" ht="32" x14ac:dyDescent="0.2">
      <c r="A5218" s="7" t="str">
        <f>HYPERLINK("https://otsuka-europe-crm.veevavault.com/ui/#object/account__v/V4TZ06G6O71SCGE", "VINCENZO SPIGONARDO")</f>
        <v>VINCENZO SPIGONARDO</v>
      </c>
      <c r="B5218" s="7" t="str">
        <f>HYPERLINK("https://otsuka-europe-crm.veevavault.com/ui/#object/vcountry__v/VENZ000004SONFQ", "IT")</f>
        <v>IT</v>
      </c>
      <c r="C5218" s="8" t="s">
        <v>44</v>
      </c>
      <c r="D5218" s="9" t="str">
        <f>HYPERLINK("https://otsuka-europe-crm.veevavault.com/ui/#object/approved_document__v/V5O000000018003", "AE dialoghi di tempo fiducia e cura episodi 2-3-4")</f>
        <v>AE dialoghi di tempo fiducia e cura episodi 2-3-4</v>
      </c>
      <c r="E5218" s="10" t="str">
        <f>HYPERLINK("https://otsuka-europe-crm.veevavault.com/ui/#object/sent_email__v/VBL00000002Q286", "SE-001433955")</f>
        <v>SE-001433955</v>
      </c>
      <c r="F5218" s="11"/>
      <c r="G5218" s="12">
        <v>0</v>
      </c>
      <c r="H5218" s="12">
        <v>0</v>
      </c>
      <c r="I5218" s="12">
        <v>0</v>
      </c>
      <c r="J5218" s="11"/>
      <c r="K5218" s="12">
        <v>0</v>
      </c>
      <c r="L5218" s="10" t="str">
        <f>HYPERLINK("https://otsuka-europe-crm.veevavault.com/ui/#object/approved_document__v/V5O000000018003", "AE dialoghi di tempo fiducia e cura episodi 2-3-4")</f>
        <v>AE dialoghi di tempo fiducia e cura episodi 2-3-4</v>
      </c>
      <c r="M5218" s="10" t="str">
        <f>HYPERLINK("mailto:nicoletta.vozza@crm.otsuka-europe.com", "nicoletta.vozza@crm.otsuka-europe.com")</f>
        <v>nicoletta.vozza@crm.otsuka-europe.com</v>
      </c>
      <c r="N5218" s="13">
        <v>46181.338055555556</v>
      </c>
      <c r="O5218" s="14" t="str">
        <f>HYPERLINK("https://otsuka-europe-crm.veevavault.com/ui/#object/email_activity__v/V8C00000003P411", "EN-002090417")</f>
        <v>EN-002090417</v>
      </c>
    </row>
    <row r="5219" spans="1:15" ht="32" x14ac:dyDescent="0.2">
      <c r="A5219" s="7" t="str">
        <f>HYPERLINK("https://otsuka-europe-crm.veevavault.com/ui/#object/account__v/V4TZ06G6O71SCJ7", "VINCENZO TALLARICO")</f>
        <v>VINCENZO TALLARICO</v>
      </c>
      <c r="B5219" s="7" t="str">
        <f>HYPERLINK("https://otsuka-europe-crm.veevavault.com/ui/#object/vcountry__v/VENZ000004SONFQ", "IT")</f>
        <v>IT</v>
      </c>
      <c r="C5219" s="8" t="s">
        <v>44</v>
      </c>
      <c r="D5219" s="9" t="str">
        <f>HYPERLINK("https://otsuka-europe-crm.veevavault.com/ui/#object/approved_document__v/V5O000000018003", "AE dialoghi di tempo fiducia e cura episodi 2-3-4")</f>
        <v>AE dialoghi di tempo fiducia e cura episodi 2-3-4</v>
      </c>
      <c r="E5219" s="10" t="str">
        <f>HYPERLINK("https://otsuka-europe-crm.veevavault.com/ui/#object/sent_email__v/VBL00000002Q287", "SE-001433956")</f>
        <v>SE-001433956</v>
      </c>
      <c r="F5219" s="11"/>
      <c r="G5219" s="12">
        <v>0</v>
      </c>
      <c r="H5219" s="12">
        <v>0</v>
      </c>
      <c r="I5219" s="12">
        <v>0</v>
      </c>
      <c r="J5219" s="11"/>
      <c r="K5219" s="12">
        <v>0</v>
      </c>
      <c r="L5219" s="10" t="str">
        <f>HYPERLINK("https://otsuka-europe-crm.veevavault.com/ui/#object/approved_document__v/V5O000000018003", "AE dialoghi di tempo fiducia e cura episodi 2-3-4")</f>
        <v>AE dialoghi di tempo fiducia e cura episodi 2-3-4</v>
      </c>
      <c r="M5219" s="10" t="str">
        <f>HYPERLINK("mailto:nicoletta.vozza@crm.otsuka-europe.com", "nicoletta.vozza@crm.otsuka-europe.com")</f>
        <v>nicoletta.vozza@crm.otsuka-europe.com</v>
      </c>
      <c r="N5219" s="13">
        <v>46181.338067129633</v>
      </c>
      <c r="O5219" s="14" t="str">
        <f>HYPERLINK("https://otsuka-europe-crm.veevavault.com/ui/#object/email_activity__v/V8C00000003P537", "EN-002090792")</f>
        <v>EN-002090792</v>
      </c>
    </row>
    <row r="5220" spans="1:15" ht="32" x14ac:dyDescent="0.2">
      <c r="A5220" s="7" t="str">
        <f>HYPERLINK("https://otsuka-europe-crm.veevavault.com/ui/#object/account__v/V4TZ025E85EE328", "VIRGINIA MARIA MILESI")</f>
        <v>VIRGINIA MARIA MILESI</v>
      </c>
      <c r="B5220" s="7" t="str">
        <f>HYPERLINK("https://otsuka-europe-crm.veevavault.com/ui/#object/vcountry__v/VENZ000004SONFQ", "IT")</f>
        <v>IT</v>
      </c>
      <c r="C5220" s="8" t="s">
        <v>44</v>
      </c>
      <c r="D5220" s="9" t="str">
        <f>HYPERLINK("https://otsuka-europe-crm.veevavault.com/ui/#object/approved_document__v/V5O000000018003", "AE dialoghi di tempo fiducia e cura episodi 2-3-4")</f>
        <v>AE dialoghi di tempo fiducia e cura episodi 2-3-4</v>
      </c>
      <c r="E5220" s="10" t="str">
        <f>HYPERLINK("https://otsuka-europe-crm.veevavault.com/ui/#object/sent_email__v/VBL00000002Q288", "SE-001433957")</f>
        <v>SE-001433957</v>
      </c>
      <c r="F5220" s="11"/>
      <c r="G5220" s="12">
        <v>0</v>
      </c>
      <c r="H5220" s="12">
        <v>0</v>
      </c>
      <c r="I5220" s="12">
        <v>0</v>
      </c>
      <c r="J5220" s="11"/>
      <c r="K5220" s="12">
        <v>0</v>
      </c>
      <c r="L5220" s="10" t="str">
        <f>HYPERLINK("https://otsuka-europe-crm.veevavault.com/ui/#object/approved_document__v/V5O000000018003", "AE dialoghi di tempo fiducia e cura episodi 2-3-4")</f>
        <v>AE dialoghi di tempo fiducia e cura episodi 2-3-4</v>
      </c>
      <c r="M5220" s="10" t="str">
        <f>HYPERLINK("mailto:nicoletta.vozza@crm.otsuka-europe.com", "nicoletta.vozza@crm.otsuka-europe.com")</f>
        <v>nicoletta.vozza@crm.otsuka-europe.com</v>
      </c>
      <c r="N5220" s="13">
        <v>46181.33803240741</v>
      </c>
      <c r="O5220" s="14" t="str">
        <f>HYPERLINK("https://otsuka-europe-crm.veevavault.com/ui/#object/email_activity__v/V8C00000003O722", "EN-002090278")</f>
        <v>EN-002090278</v>
      </c>
    </row>
    <row r="5221" spans="1:15" ht="16" x14ac:dyDescent="0.2">
      <c r="A5221" s="17" t="str">
        <f>HYPERLINK("https://otsuka-europe-crm.veevavault.com/ui/#object/account__v/V4TZ06G6O71SCO4", "VIRGINIA VAGNINI")</f>
        <v>VIRGINIA VAGNINI</v>
      </c>
      <c r="B5221" s="17" t="str">
        <f>HYPERLINK("https://otsuka-europe-crm.veevavault.com/ui/#object/vcountry__v/VENZ000004SONFQ", "IT")</f>
        <v>IT</v>
      </c>
      <c r="C5221" s="20" t="s">
        <v>44</v>
      </c>
      <c r="D5221" s="21" t="str">
        <f>HYPERLINK("https://otsuka-europe-crm.veevavault.com/ui/#object/approved_document__v/V5O000000018003", "AE dialoghi di tempo fiducia e cura episodi 2-3-4")</f>
        <v>AE dialoghi di tempo fiducia e cura episodi 2-3-4</v>
      </c>
      <c r="E5221" s="22" t="str">
        <f>HYPERLINK("https://otsuka-europe-crm.veevavault.com/ui/#object/sent_email__v/VBL00000002Q289", "SE-001433958")</f>
        <v>SE-001433958</v>
      </c>
      <c r="F5221" s="25"/>
      <c r="G5221" s="24">
        <v>0</v>
      </c>
      <c r="H5221" s="24">
        <v>0</v>
      </c>
      <c r="I5221" s="24">
        <v>0</v>
      </c>
      <c r="J5221" s="25"/>
      <c r="K5221" s="24">
        <v>0</v>
      </c>
      <c r="L5221" s="22" t="str">
        <f>HYPERLINK("https://otsuka-europe-crm.veevavault.com/ui/#object/approved_document__v/V5O000000018003", "AE dialoghi di tempo fiducia e cura episodi 2-3-4")</f>
        <v>AE dialoghi di tempo fiducia e cura episodi 2-3-4</v>
      </c>
      <c r="M5221" s="22" t="str">
        <f>HYPERLINK("mailto:nicoletta.vozza@crm.otsuka-europe.com", "nicoletta.vozza@crm.otsuka-europe.com")</f>
        <v>nicoletta.vozza@crm.otsuka-europe.com</v>
      </c>
      <c r="N5221" s="23">
        <v>46181.33797453704</v>
      </c>
      <c r="O5221" s="14" t="str">
        <f>HYPERLINK("https://otsuka-europe-crm.veevavault.com/ui/#object/email_activity__v/V8C00000003P185", "EN-002089585")</f>
        <v>EN-002089585</v>
      </c>
    </row>
    <row r="5222" spans="1:15" ht="16" x14ac:dyDescent="0.2">
      <c r="A5222" s="19"/>
      <c r="B5222" s="19"/>
      <c r="C5222" s="19"/>
      <c r="D5222" s="19"/>
      <c r="E5222" s="19"/>
      <c r="F5222" s="19"/>
      <c r="G5222" s="19"/>
      <c r="H5222" s="19"/>
      <c r="I5222" s="19"/>
      <c r="J5222" s="19"/>
      <c r="K5222" s="19"/>
      <c r="L5222" s="19"/>
      <c r="M5222" s="19"/>
      <c r="N5222" s="19"/>
      <c r="O5222" s="14" t="str">
        <f>HYPERLINK("https://otsuka-europe-crm.veevavault.com/ui/#object/email_activity__v/V8C00000003Q521", "EN-002091855")</f>
        <v>EN-002091855</v>
      </c>
    </row>
    <row r="5223" spans="1:15" ht="32" x14ac:dyDescent="0.2">
      <c r="A5223" s="7" t="str">
        <f>HYPERLINK("https://otsuka-europe-crm.veevavault.com/ui/#object/account__v/V4TZ06G6O71SAFK", "VITO DI BLASIO")</f>
        <v>VITO DI BLASIO</v>
      </c>
      <c r="B5223" s="7" t="str">
        <f t="shared" ref="B5223:B5228" si="584">HYPERLINK("https://otsuka-europe-crm.veevavault.com/ui/#object/vcountry__v/VENZ000004SONFQ", "IT")</f>
        <v>IT</v>
      </c>
      <c r="C5223" s="8" t="s">
        <v>44</v>
      </c>
      <c r="D5223" s="9" t="str">
        <f t="shared" ref="D5223:D5228" si="585">HYPERLINK("https://otsuka-europe-crm.veevavault.com/ui/#object/approved_document__v/V5O000000018003", "AE dialoghi di tempo fiducia e cura episodi 2-3-4")</f>
        <v>AE dialoghi di tempo fiducia e cura episodi 2-3-4</v>
      </c>
      <c r="E5223" s="10" t="str">
        <f>HYPERLINK("https://otsuka-europe-crm.veevavault.com/ui/#object/sent_email__v/VBL00000002Q290", "SE-001433959")</f>
        <v>SE-001433959</v>
      </c>
      <c r="F5223" s="11"/>
      <c r="G5223" s="12">
        <v>0</v>
      </c>
      <c r="H5223" s="12">
        <v>0</v>
      </c>
      <c r="I5223" s="12">
        <v>0</v>
      </c>
      <c r="J5223" s="11"/>
      <c r="K5223" s="12">
        <v>0</v>
      </c>
      <c r="L5223" s="10" t="str">
        <f t="shared" ref="L5223:L5228" si="586">HYPERLINK("https://otsuka-europe-crm.veevavault.com/ui/#object/approved_document__v/V5O000000018003", "AE dialoghi di tempo fiducia e cura episodi 2-3-4")</f>
        <v>AE dialoghi di tempo fiducia e cura episodi 2-3-4</v>
      </c>
      <c r="M5223" s="10" t="str">
        <f t="shared" ref="M5223:M5228" si="587">HYPERLINK("mailto:nicoletta.vozza@crm.otsuka-europe.com", "nicoletta.vozza@crm.otsuka-europe.com")</f>
        <v>nicoletta.vozza@crm.otsuka-europe.com</v>
      </c>
      <c r="N5223" s="13">
        <v>46181.338043981479</v>
      </c>
      <c r="O5223" s="14" t="str">
        <f>HYPERLINK("https://otsuka-europe-crm.veevavault.com/ui/#object/email_activity__v/V8C00000003O386", "EN-002089904")</f>
        <v>EN-002089904</v>
      </c>
    </row>
    <row r="5224" spans="1:15" ht="32" x14ac:dyDescent="0.2">
      <c r="A5224" s="7" t="str">
        <f>HYPERLINK("https://otsuka-europe-crm.veevavault.com/ui/#object/account__v/V4TZ06G6O71SAG0", "VITO DI CAGNO")</f>
        <v>VITO DI CAGNO</v>
      </c>
      <c r="B5224" s="7" t="str">
        <f t="shared" si="584"/>
        <v>IT</v>
      </c>
      <c r="C5224" s="8" t="s">
        <v>44</v>
      </c>
      <c r="D5224" s="9" t="str">
        <f t="shared" si="585"/>
        <v>AE dialoghi di tempo fiducia e cura episodi 2-3-4</v>
      </c>
      <c r="E5224" s="10" t="str">
        <f>HYPERLINK("https://otsuka-europe-crm.veevavault.com/ui/#object/sent_email__v/VBL00000002Q291", "SE-001433960")</f>
        <v>SE-001433960</v>
      </c>
      <c r="F5224" s="11"/>
      <c r="G5224" s="12">
        <v>0</v>
      </c>
      <c r="H5224" s="12">
        <v>0</v>
      </c>
      <c r="I5224" s="12">
        <v>0</v>
      </c>
      <c r="J5224" s="11"/>
      <c r="K5224" s="12">
        <v>0</v>
      </c>
      <c r="L5224" s="10" t="str">
        <f t="shared" si="586"/>
        <v>AE dialoghi di tempo fiducia e cura episodi 2-3-4</v>
      </c>
      <c r="M5224" s="10" t="str">
        <f t="shared" si="587"/>
        <v>nicoletta.vozza@crm.otsuka-europe.com</v>
      </c>
      <c r="N5224" s="13">
        <v>46181.338043981479</v>
      </c>
      <c r="O5224" s="14" t="str">
        <f>HYPERLINK("https://otsuka-europe-crm.veevavault.com/ui/#object/email_activity__v/V8C00000003P749", "EN-002091047")</f>
        <v>EN-002091047</v>
      </c>
    </row>
    <row r="5225" spans="1:15" ht="32" x14ac:dyDescent="0.2">
      <c r="A5225" s="7" t="str">
        <f>HYPERLINK("https://otsuka-europe-crm.veevavault.com/ui/#object/account__v/V4TZ025E87MI98D", "VITO FABIO PATERNO'")</f>
        <v>VITO FABIO PATERNO'</v>
      </c>
      <c r="B5225" s="7" t="str">
        <f t="shared" si="584"/>
        <v>IT</v>
      </c>
      <c r="C5225" s="8" t="s">
        <v>44</v>
      </c>
      <c r="D5225" s="9" t="str">
        <f t="shared" si="585"/>
        <v>AE dialoghi di tempo fiducia e cura episodi 2-3-4</v>
      </c>
      <c r="E5225" s="10" t="str">
        <f>HYPERLINK("https://otsuka-europe-crm.veevavault.com/ui/#object/sent_email__v/VBL00000002Q292", "SE-001433961")</f>
        <v>SE-001433961</v>
      </c>
      <c r="F5225" s="11"/>
      <c r="G5225" s="12">
        <v>0</v>
      </c>
      <c r="H5225" s="12">
        <v>0</v>
      </c>
      <c r="I5225" s="12">
        <v>0</v>
      </c>
      <c r="J5225" s="11"/>
      <c r="K5225" s="12">
        <v>0</v>
      </c>
      <c r="L5225" s="10" t="str">
        <f t="shared" si="586"/>
        <v>AE dialoghi di tempo fiducia e cura episodi 2-3-4</v>
      </c>
      <c r="M5225" s="10" t="str">
        <f t="shared" si="587"/>
        <v>nicoletta.vozza@crm.otsuka-europe.com</v>
      </c>
      <c r="N5225" s="13">
        <v>46181.337997685187</v>
      </c>
      <c r="O5225" s="14" t="str">
        <f>HYPERLINK("https://otsuka-europe-crm.veevavault.com/ui/#object/email_activity__v/V8C00000003O916", "EN-002090576")</f>
        <v>EN-002090576</v>
      </c>
    </row>
    <row r="5226" spans="1:15" ht="32" x14ac:dyDescent="0.2">
      <c r="A5226" s="7" t="str">
        <f>HYPERLINK("https://otsuka-europe-crm.veevavault.com/ui/#object/account__v/V4TZ025E87FYSMX", "VITO NAPOLETANO")</f>
        <v>VITO NAPOLETANO</v>
      </c>
      <c r="B5226" s="7" t="str">
        <f t="shared" si="584"/>
        <v>IT</v>
      </c>
      <c r="C5226" s="8" t="s">
        <v>44</v>
      </c>
      <c r="D5226" s="9" t="str">
        <f t="shared" si="585"/>
        <v>AE dialoghi di tempo fiducia e cura episodi 2-3-4</v>
      </c>
      <c r="E5226" s="10" t="str">
        <f>HYPERLINK("https://otsuka-europe-crm.veevavault.com/ui/#object/sent_email__v/VBL00000002Q293", "SE-001433962")</f>
        <v>SE-001433962</v>
      </c>
      <c r="F5226" s="11"/>
      <c r="G5226" s="12">
        <v>0</v>
      </c>
      <c r="H5226" s="12">
        <v>0</v>
      </c>
      <c r="I5226" s="12">
        <v>0</v>
      </c>
      <c r="J5226" s="11"/>
      <c r="K5226" s="12">
        <v>0</v>
      </c>
      <c r="L5226" s="10" t="str">
        <f t="shared" si="586"/>
        <v>AE dialoghi di tempo fiducia e cura episodi 2-3-4</v>
      </c>
      <c r="M5226" s="10" t="str">
        <f t="shared" si="587"/>
        <v>nicoletta.vozza@crm.otsuka-europe.com</v>
      </c>
      <c r="N5226" s="13">
        <v>46181.337997685187</v>
      </c>
      <c r="O5226" s="14" t="str">
        <f>HYPERLINK("https://otsuka-europe-crm.veevavault.com/ui/#object/email_activity__v/V8C00000003P289", "EN-002089925")</f>
        <v>EN-002089925</v>
      </c>
    </row>
    <row r="5227" spans="1:15" ht="32" x14ac:dyDescent="0.2">
      <c r="A5227" s="7" t="str">
        <f>HYPERLINK("https://otsuka-europe-crm.veevavault.com/ui/#object/account__v/V4TZ06G6O71SBTZ", "VITTORIA PANARO")</f>
        <v>VITTORIA PANARO</v>
      </c>
      <c r="B5227" s="7" t="str">
        <f t="shared" si="584"/>
        <v>IT</v>
      </c>
      <c r="C5227" s="8" t="s">
        <v>44</v>
      </c>
      <c r="D5227" s="9" t="str">
        <f t="shared" si="585"/>
        <v>AE dialoghi di tempo fiducia e cura episodi 2-3-4</v>
      </c>
      <c r="E5227" s="10" t="str">
        <f>HYPERLINK("https://otsuka-europe-crm.veevavault.com/ui/#object/sent_email__v/VBL00000002Q294", "SE-001433963")</f>
        <v>SE-001433963</v>
      </c>
      <c r="F5227" s="11"/>
      <c r="G5227" s="12">
        <v>0</v>
      </c>
      <c r="H5227" s="12">
        <v>0</v>
      </c>
      <c r="I5227" s="12">
        <v>0</v>
      </c>
      <c r="J5227" s="11"/>
      <c r="K5227" s="12">
        <v>0</v>
      </c>
      <c r="L5227" s="10" t="str">
        <f t="shared" si="586"/>
        <v>AE dialoghi di tempo fiducia e cura episodi 2-3-4</v>
      </c>
      <c r="M5227" s="10" t="str">
        <f t="shared" si="587"/>
        <v>nicoletta.vozza@crm.otsuka-europe.com</v>
      </c>
      <c r="N5227" s="13">
        <v>46181.338078703702</v>
      </c>
      <c r="O5227" s="14" t="str">
        <f>HYPERLINK("https://otsuka-europe-crm.veevavault.com/ui/#object/email_activity__v/V8C00000003O543", "EN-002090099")</f>
        <v>EN-002090099</v>
      </c>
    </row>
    <row r="5228" spans="1:15" ht="16" x14ac:dyDescent="0.2">
      <c r="A5228" s="17" t="str">
        <f>HYPERLINK("https://otsuka-europe-crm.veevavault.com/ui/#object/account__v/V4TZ06G6O71SAYY", "VITTORIO CAPPA")</f>
        <v>VITTORIO CAPPA</v>
      </c>
      <c r="B5228" s="17" t="str">
        <f t="shared" si="584"/>
        <v>IT</v>
      </c>
      <c r="C5228" s="20" t="s">
        <v>44</v>
      </c>
      <c r="D5228" s="21" t="str">
        <f t="shared" si="585"/>
        <v>AE dialoghi di tempo fiducia e cura episodi 2-3-4</v>
      </c>
      <c r="E5228" s="22" t="str">
        <f>HYPERLINK("https://otsuka-europe-crm.veevavault.com/ui/#object/sent_email__v/VBL00000002Q295", "SE-001433964")</f>
        <v>SE-001433964</v>
      </c>
      <c r="F5228" s="23">
        <v>46181.461493055554</v>
      </c>
      <c r="G5228" s="24">
        <v>1</v>
      </c>
      <c r="H5228" s="24">
        <v>2</v>
      </c>
      <c r="I5228" s="24">
        <v>0</v>
      </c>
      <c r="J5228" s="25"/>
      <c r="K5228" s="24">
        <v>0</v>
      </c>
      <c r="L5228" s="22" t="str">
        <f t="shared" si="586"/>
        <v>AE dialoghi di tempo fiducia e cura episodi 2-3-4</v>
      </c>
      <c r="M5228" s="22" t="str">
        <f t="shared" si="587"/>
        <v>nicoletta.vozza@crm.otsuka-europe.com</v>
      </c>
      <c r="N5228" s="23">
        <v>46181.33798611111</v>
      </c>
      <c r="O5228" s="14" t="str">
        <f>HYPERLINK("https://otsuka-europe-crm.veevavault.com/ui/#object/email_activity__v/V8C00000003O214", "EN-002089691")</f>
        <v>EN-002089691</v>
      </c>
    </row>
    <row r="5229" spans="1:15" ht="16" x14ac:dyDescent="0.2">
      <c r="A5229" s="18"/>
      <c r="B5229" s="18"/>
      <c r="C5229" s="18"/>
      <c r="D5229" s="18"/>
      <c r="E5229" s="18"/>
      <c r="F5229" s="18"/>
      <c r="G5229" s="18"/>
      <c r="H5229" s="18"/>
      <c r="I5229" s="18"/>
      <c r="J5229" s="18"/>
      <c r="K5229" s="18"/>
      <c r="L5229" s="18"/>
      <c r="M5229" s="18"/>
      <c r="N5229" s="18"/>
      <c r="O5229" s="14" t="str">
        <f>HYPERLINK("https://otsuka-europe-crm.veevavault.com/ui/#object/email_activity__v/V8C00000003Q161", "EN-002091247")</f>
        <v>EN-002091247</v>
      </c>
    </row>
    <row r="5230" spans="1:15" ht="16" x14ac:dyDescent="0.2">
      <c r="A5230" s="19"/>
      <c r="B5230" s="19"/>
      <c r="C5230" s="19"/>
      <c r="D5230" s="19"/>
      <c r="E5230" s="19"/>
      <c r="F5230" s="19"/>
      <c r="G5230" s="19"/>
      <c r="H5230" s="19"/>
      <c r="I5230" s="19"/>
      <c r="J5230" s="19"/>
      <c r="K5230" s="19"/>
      <c r="L5230" s="19"/>
      <c r="M5230" s="19"/>
      <c r="N5230" s="19"/>
      <c r="O5230" s="14" t="str">
        <f>HYPERLINK("https://otsuka-europe-crm.veevavault.com/ui/#object/email_activity__v/V8C00000003R103", "EN-002091867")</f>
        <v>EN-002091867</v>
      </c>
    </row>
    <row r="5231" spans="1:15" ht="32" x14ac:dyDescent="0.2">
      <c r="A5231" s="7" t="str">
        <f>HYPERLINK("https://otsuka-europe-crm.veevavault.com/ui/#object/account__v/V4TZ06G6O71TFTD", "VITTORIO SCHIAVONE")</f>
        <v>VITTORIO SCHIAVONE</v>
      </c>
      <c r="B5231" s="7" t="str">
        <f>HYPERLINK("https://otsuka-europe-crm.veevavault.com/ui/#object/vcountry__v/VENZ000004SONFQ", "IT")</f>
        <v>IT</v>
      </c>
      <c r="C5231" s="8" t="s">
        <v>44</v>
      </c>
      <c r="D5231" s="9" t="str">
        <f>HYPERLINK("https://otsuka-europe-crm.veevavault.com/ui/#object/approved_document__v/V5O000000018003", "AE dialoghi di tempo fiducia e cura episodi 2-3-4")</f>
        <v>AE dialoghi di tempo fiducia e cura episodi 2-3-4</v>
      </c>
      <c r="E5231" s="10" t="str">
        <f>HYPERLINK("https://otsuka-europe-crm.veevavault.com/ui/#object/sent_email__v/VBL00000002Q296", "SE-001433965")</f>
        <v>SE-001433965</v>
      </c>
      <c r="F5231" s="11"/>
      <c r="G5231" s="12">
        <v>0</v>
      </c>
      <c r="H5231" s="12">
        <v>0</v>
      </c>
      <c r="I5231" s="12">
        <v>0</v>
      </c>
      <c r="J5231" s="11"/>
      <c r="K5231" s="12">
        <v>0</v>
      </c>
      <c r="L5231" s="10" t="str">
        <f>HYPERLINK("https://otsuka-europe-crm.veevavault.com/ui/#object/approved_document__v/V5O000000018003", "AE dialoghi di tempo fiducia e cura episodi 2-3-4")</f>
        <v>AE dialoghi di tempo fiducia e cura episodi 2-3-4</v>
      </c>
      <c r="M5231" s="10" t="str">
        <f>HYPERLINK("mailto:nicoletta.vozza@crm.otsuka-europe.com", "nicoletta.vozza@crm.otsuka-europe.com")</f>
        <v>nicoletta.vozza@crm.otsuka-europe.com</v>
      </c>
      <c r="N5231" s="13">
        <v>46181.338043981479</v>
      </c>
      <c r="O5231" s="14" t="str">
        <f>HYPERLINK("https://otsuka-europe-crm.veevavault.com/ui/#object/email_activity__v/V8C00000003O534", "EN-002090090")</f>
        <v>EN-002090090</v>
      </c>
    </row>
    <row r="5232" spans="1:15" ht="32" x14ac:dyDescent="0.2">
      <c r="A5232" s="7" t="str">
        <f>HYPERLINK("https://otsuka-europe-crm.veevavault.com/ui/#object/account__v/V4TZ06G6O71TLKM", "VITTORIO VANDELLI")</f>
        <v>VITTORIO VANDELLI</v>
      </c>
      <c r="B5232" s="7" t="str">
        <f>HYPERLINK("https://otsuka-europe-crm.veevavault.com/ui/#object/vcountry__v/VENZ000004SONFQ", "IT")</f>
        <v>IT</v>
      </c>
      <c r="C5232" s="8" t="s">
        <v>44</v>
      </c>
      <c r="D5232" s="9" t="str">
        <f>HYPERLINK("https://otsuka-europe-crm.veevavault.com/ui/#object/approved_document__v/V5O000000018003", "AE dialoghi di tempo fiducia e cura episodi 2-3-4")</f>
        <v>AE dialoghi di tempo fiducia e cura episodi 2-3-4</v>
      </c>
      <c r="E5232" s="10" t="str">
        <f>HYPERLINK("https://otsuka-europe-crm.veevavault.com/ui/#object/sent_email__v/VBL00000002Q297", "SE-001433966")</f>
        <v>SE-001433966</v>
      </c>
      <c r="F5232" s="11"/>
      <c r="G5232" s="12">
        <v>0</v>
      </c>
      <c r="H5232" s="12">
        <v>0</v>
      </c>
      <c r="I5232" s="12">
        <v>0</v>
      </c>
      <c r="J5232" s="11"/>
      <c r="K5232" s="12">
        <v>0</v>
      </c>
      <c r="L5232" s="10" t="str">
        <f>HYPERLINK("https://otsuka-europe-crm.veevavault.com/ui/#object/approved_document__v/V5O000000018003", "AE dialoghi di tempo fiducia e cura episodi 2-3-4")</f>
        <v>AE dialoghi di tempo fiducia e cura episodi 2-3-4</v>
      </c>
      <c r="M5232" s="10" t="str">
        <f>HYPERLINK("mailto:nicoletta.vozza@crm.otsuka-europe.com", "nicoletta.vozza@crm.otsuka-europe.com")</f>
        <v>nicoletta.vozza@crm.otsuka-europe.com</v>
      </c>
      <c r="N5232" s="13">
        <v>46181.337997685187</v>
      </c>
      <c r="O5232" s="14" t="str">
        <f>HYPERLINK("https://otsuka-europe-crm.veevavault.com/ui/#object/email_activity__v/V8C00000003O750", "EN-002090306")</f>
        <v>EN-002090306</v>
      </c>
    </row>
    <row r="5233" spans="1:15" ht="32" x14ac:dyDescent="0.2">
      <c r="A5233" s="7" t="str">
        <f>HYPERLINK("https://otsuka-europe-crm.veevavault.com/ui/#object/account__v/V4TZ06G6O71SAN5", "VIVIANA FUSCO")</f>
        <v>VIVIANA FUSCO</v>
      </c>
      <c r="B5233" s="7" t="str">
        <f>HYPERLINK("https://otsuka-europe-crm.veevavault.com/ui/#object/vcountry__v/VENZ000004SONFQ", "IT")</f>
        <v>IT</v>
      </c>
      <c r="C5233" s="8" t="s">
        <v>44</v>
      </c>
      <c r="D5233" s="9" t="str">
        <f>HYPERLINK("https://otsuka-europe-crm.veevavault.com/ui/#object/approved_document__v/V5O000000018003", "AE dialoghi di tempo fiducia e cura episodi 2-3-4")</f>
        <v>AE dialoghi di tempo fiducia e cura episodi 2-3-4</v>
      </c>
      <c r="E5233" s="10" t="str">
        <f>HYPERLINK("https://otsuka-europe-crm.veevavault.com/ui/#object/sent_email__v/VBL00000002Q298", "SE-001433967")</f>
        <v>SE-001433967</v>
      </c>
      <c r="F5233" s="11"/>
      <c r="G5233" s="12">
        <v>0</v>
      </c>
      <c r="H5233" s="12">
        <v>0</v>
      </c>
      <c r="I5233" s="12">
        <v>0</v>
      </c>
      <c r="J5233" s="11"/>
      <c r="K5233" s="12">
        <v>0</v>
      </c>
      <c r="L5233" s="10" t="str">
        <f>HYPERLINK("https://otsuka-europe-crm.veevavault.com/ui/#object/approved_document__v/V5O000000018003", "AE dialoghi di tempo fiducia e cura episodi 2-3-4")</f>
        <v>AE dialoghi di tempo fiducia e cura episodi 2-3-4</v>
      </c>
      <c r="M5233" s="10" t="str">
        <f>HYPERLINK("mailto:nicoletta.vozza@crm.otsuka-europe.com", "nicoletta.vozza@crm.otsuka-europe.com")</f>
        <v>nicoletta.vozza@crm.otsuka-europe.com</v>
      </c>
      <c r="N5233" s="13">
        <v>46181.337962962964</v>
      </c>
      <c r="O5233" s="14" t="str">
        <f>HYPERLINK("https://otsuka-europe-crm.veevavault.com/ui/#object/email_activity__v/V8C00000003P908", "EN-002091449")</f>
        <v>EN-002091449</v>
      </c>
    </row>
    <row r="5234" spans="1:15" ht="16" x14ac:dyDescent="0.2">
      <c r="A5234" s="17" t="str">
        <f>HYPERLINK("https://otsuka-europe-crm.veevavault.com/ui/#object/account__v/V4TZ06G6O71S9V7", "VIVIANA STORBINI")</f>
        <v>VIVIANA STORBINI</v>
      </c>
      <c r="B5234" s="17" t="str">
        <f>HYPERLINK("https://otsuka-europe-crm.veevavault.com/ui/#object/vcountry__v/VENZ000004SONFQ", "IT")</f>
        <v>IT</v>
      </c>
      <c r="C5234" s="20" t="s">
        <v>44</v>
      </c>
      <c r="D5234" s="21" t="str">
        <f>HYPERLINK("https://otsuka-europe-crm.veevavault.com/ui/#object/approved_document__v/V5O000000018003", "AE dialoghi di tempo fiducia e cura episodi 2-3-4")</f>
        <v>AE dialoghi di tempo fiducia e cura episodi 2-3-4</v>
      </c>
      <c r="E5234" s="22" t="str">
        <f>HYPERLINK("https://otsuka-europe-crm.veevavault.com/ui/#object/sent_email__v/VBL00000002Q299", "SE-001433968")</f>
        <v>SE-001433968</v>
      </c>
      <c r="F5234" s="23">
        <v>46182.566087962965</v>
      </c>
      <c r="G5234" s="24">
        <v>1</v>
      </c>
      <c r="H5234" s="24">
        <v>1</v>
      </c>
      <c r="I5234" s="24">
        <v>0</v>
      </c>
      <c r="J5234" s="25"/>
      <c r="K5234" s="24">
        <v>0</v>
      </c>
      <c r="L5234" s="22" t="str">
        <f>HYPERLINK("https://otsuka-europe-crm.veevavault.com/ui/#object/approved_document__v/V5O000000018003", "AE dialoghi di tempo fiducia e cura episodi 2-3-4")</f>
        <v>AE dialoghi di tempo fiducia e cura episodi 2-3-4</v>
      </c>
      <c r="M5234" s="22" t="str">
        <f>HYPERLINK("mailto:nicoletta.vozza@crm.otsuka-europe.com", "nicoletta.vozza@crm.otsuka-europe.com")</f>
        <v>nicoletta.vozza@crm.otsuka-europe.com</v>
      </c>
      <c r="N5234" s="23">
        <v>46181.338090277779</v>
      </c>
      <c r="O5234" s="14" t="str">
        <f>HYPERLINK("https://otsuka-europe-crm.veevavault.com/ui/#object/email_activity__v/V8C00000003O599", "EN-002090155")</f>
        <v>EN-002090155</v>
      </c>
    </row>
    <row r="5235" spans="1:15" ht="16" x14ac:dyDescent="0.2">
      <c r="A5235" s="19"/>
      <c r="B5235" s="19"/>
      <c r="C5235" s="19"/>
      <c r="D5235" s="19"/>
      <c r="E5235" s="19"/>
      <c r="F5235" s="19"/>
      <c r="G5235" s="19"/>
      <c r="H5235" s="19"/>
      <c r="I5235" s="19"/>
      <c r="J5235" s="19"/>
      <c r="K5235" s="19"/>
      <c r="L5235" s="19"/>
      <c r="M5235" s="19"/>
      <c r="N5235" s="19"/>
      <c r="O5235" s="14" t="str">
        <f>HYPERLINK("https://otsuka-europe-crm.veevavault.com/ui/#object/email_activity__v/V8C00000003R662", "EN-002092954")</f>
        <v>EN-002092954</v>
      </c>
    </row>
    <row r="5236" spans="1:15" ht="32" x14ac:dyDescent="0.2">
      <c r="A5236" s="7" t="str">
        <f>HYPERLINK("https://otsuka-europe-crm.veevavault.com/ui/#object/account__v/V4TZ06G6O71SC9H", "WANDA SANTAMATO")</f>
        <v>WANDA SANTAMATO</v>
      </c>
      <c r="B5236" s="7" t="str">
        <f>HYPERLINK("https://otsuka-europe-crm.veevavault.com/ui/#object/vcountry__v/VENZ000004SONFQ", "IT")</f>
        <v>IT</v>
      </c>
      <c r="C5236" s="8" t="s">
        <v>44</v>
      </c>
      <c r="D5236" s="9" t="str">
        <f>HYPERLINK("https://otsuka-europe-crm.veevavault.com/ui/#object/approved_document__v/V5O000000018003", "AE dialoghi di tempo fiducia e cura episodi 2-3-4")</f>
        <v>AE dialoghi di tempo fiducia e cura episodi 2-3-4</v>
      </c>
      <c r="E5236" s="10" t="str">
        <f>HYPERLINK("https://otsuka-europe-crm.veevavault.com/ui/#object/sent_email__v/VBL00000002Q300", "SE-001433969")</f>
        <v>SE-001433969</v>
      </c>
      <c r="F5236" s="11"/>
      <c r="G5236" s="12">
        <v>0</v>
      </c>
      <c r="H5236" s="12">
        <v>0</v>
      </c>
      <c r="I5236" s="12">
        <v>0</v>
      </c>
      <c r="J5236" s="11"/>
      <c r="K5236" s="12">
        <v>0</v>
      </c>
      <c r="L5236" s="10" t="str">
        <f>HYPERLINK("https://otsuka-europe-crm.veevavault.com/ui/#object/approved_document__v/V5O000000018003", "AE dialoghi di tempo fiducia e cura episodi 2-3-4")</f>
        <v>AE dialoghi di tempo fiducia e cura episodi 2-3-4</v>
      </c>
      <c r="M5236" s="10" t="str">
        <f>HYPERLINK("mailto:nicoletta.vozza@crm.otsuka-europe.com", "nicoletta.vozza@crm.otsuka-europe.com")</f>
        <v>nicoletta.vozza@crm.otsuka-europe.com</v>
      </c>
      <c r="N5236" s="13">
        <v>46181.338043981479</v>
      </c>
      <c r="O5236" s="14" t="str">
        <f>HYPERLINK("https://otsuka-europe-crm.veevavault.com/ui/#object/email_activity__v/V8C00000003P336", "EN-002090342")</f>
        <v>EN-002090342</v>
      </c>
    </row>
    <row r="5237" spans="1:15" ht="16" x14ac:dyDescent="0.2">
      <c r="A5237" s="17" t="str">
        <f>HYPERLINK("https://otsuka-europe-crm.veevavault.com/ui/#object/account__v/V4TZ06G6O71SBOC", "WERNER MARIA NATTA")</f>
        <v>WERNER MARIA NATTA</v>
      </c>
      <c r="B5237" s="17" t="str">
        <f>HYPERLINK("https://otsuka-europe-crm.veevavault.com/ui/#object/vcountry__v/VENZ000004SONFQ", "IT")</f>
        <v>IT</v>
      </c>
      <c r="C5237" s="20" t="s">
        <v>44</v>
      </c>
      <c r="D5237" s="21" t="str">
        <f>HYPERLINK("https://otsuka-europe-crm.veevavault.com/ui/#object/approved_document__v/V5O000000018003", "AE dialoghi di tempo fiducia e cura episodi 2-3-4")</f>
        <v>AE dialoghi di tempo fiducia e cura episodi 2-3-4</v>
      </c>
      <c r="E5237" s="22" t="str">
        <f>HYPERLINK("https://otsuka-europe-crm.veevavault.com/ui/#object/sent_email__v/VBL00000002Q301", "SE-001433970")</f>
        <v>SE-001433970</v>
      </c>
      <c r="F5237" s="25"/>
      <c r="G5237" s="24">
        <v>0</v>
      </c>
      <c r="H5237" s="24">
        <v>0</v>
      </c>
      <c r="I5237" s="24">
        <v>0</v>
      </c>
      <c r="J5237" s="25"/>
      <c r="K5237" s="24">
        <v>0</v>
      </c>
      <c r="L5237" s="22" t="str">
        <f>HYPERLINK("https://otsuka-europe-crm.veevavault.com/ui/#object/approved_document__v/V5O000000018003", "AE dialoghi di tempo fiducia e cura episodi 2-3-4")</f>
        <v>AE dialoghi di tempo fiducia e cura episodi 2-3-4</v>
      </c>
      <c r="M5237" s="22" t="str">
        <f>HYPERLINK("mailto:nicoletta.vozza@crm.otsuka-europe.com", "nicoletta.vozza@crm.otsuka-europe.com")</f>
        <v>nicoletta.vozza@crm.otsuka-europe.com</v>
      </c>
      <c r="N5237" s="23">
        <v>46181.338043981479</v>
      </c>
      <c r="O5237" s="14" t="str">
        <f>HYPERLINK("https://otsuka-europe-crm.veevavault.com/ui/#object/email_activity__v/V8C00000003P368", "EN-002090374")</f>
        <v>EN-002090374</v>
      </c>
    </row>
    <row r="5238" spans="1:15" ht="16" x14ac:dyDescent="0.2">
      <c r="A5238" s="19"/>
      <c r="B5238" s="19"/>
      <c r="C5238" s="19"/>
      <c r="D5238" s="19"/>
      <c r="E5238" s="19"/>
      <c r="F5238" s="19"/>
      <c r="G5238" s="19"/>
      <c r="H5238" s="19"/>
      <c r="I5238" s="19"/>
      <c r="J5238" s="19"/>
      <c r="K5238" s="19"/>
      <c r="L5238" s="19"/>
      <c r="M5238" s="19"/>
      <c r="N5238" s="19"/>
      <c r="O5238" s="14" t="str">
        <f>HYPERLINK("https://otsuka-europe-crm.veevavault.com/ui/#object/email_activity__v/V8C00000003Q523", "EN-002091858")</f>
        <v>EN-002091858</v>
      </c>
    </row>
    <row r="5239" spans="1:15" ht="32" x14ac:dyDescent="0.2">
      <c r="A5239" s="7" t="str">
        <f>HYPERLINK("https://otsuka-europe-crm.veevavault.com/ui/#object/account__v/V4TZ06G6O71SC17", "YACOB LEVIN REIBMAN")</f>
        <v>YACOB LEVIN REIBMAN</v>
      </c>
      <c r="B5239" s="7" t="str">
        <f>HYPERLINK("https://otsuka-europe-crm.veevavault.com/ui/#object/vcountry__v/VENZ000004SONFQ", "IT")</f>
        <v>IT</v>
      </c>
      <c r="C5239" s="8" t="s">
        <v>44</v>
      </c>
      <c r="D5239" s="9" t="str">
        <f>HYPERLINK("https://otsuka-europe-crm.veevavault.com/ui/#object/approved_document__v/V5O000000018003", "AE dialoghi di tempo fiducia e cura episodi 2-3-4")</f>
        <v>AE dialoghi di tempo fiducia e cura episodi 2-3-4</v>
      </c>
      <c r="E5239" s="10" t="str">
        <f>HYPERLINK("https://otsuka-europe-crm.veevavault.com/ui/#object/sent_email__v/VBL00000002Q302", "SE-001433971")</f>
        <v>SE-001433971</v>
      </c>
      <c r="F5239" s="11"/>
      <c r="G5239" s="12">
        <v>0</v>
      </c>
      <c r="H5239" s="12">
        <v>0</v>
      </c>
      <c r="I5239" s="12">
        <v>0</v>
      </c>
      <c r="J5239" s="11"/>
      <c r="K5239" s="12">
        <v>0</v>
      </c>
      <c r="L5239" s="10" t="str">
        <f>HYPERLINK("https://otsuka-europe-crm.veevavault.com/ui/#object/approved_document__v/V5O000000018003", "AE dialoghi di tempo fiducia e cura episodi 2-3-4")</f>
        <v>AE dialoghi di tempo fiducia e cura episodi 2-3-4</v>
      </c>
      <c r="M5239" s="10" t="str">
        <f>HYPERLINK("mailto:nicoletta.vozza@crm.otsuka-europe.com", "nicoletta.vozza@crm.otsuka-europe.com")</f>
        <v>nicoletta.vozza@crm.otsuka-europe.com</v>
      </c>
      <c r="N5239" s="13">
        <v>46181.337962962964</v>
      </c>
      <c r="O5239" s="14" t="str">
        <f>HYPERLINK("https://otsuka-europe-crm.veevavault.com/ui/#object/email_activity__v/V8C00000003P319", "EN-002090325")</f>
        <v>EN-002090325</v>
      </c>
    </row>
    <row r="5240" spans="1:15" ht="32" x14ac:dyDescent="0.2">
      <c r="A5240" s="7" t="str">
        <f>HYPERLINK("https://otsuka-europe-crm.veevavault.com/ui/#object/account__v/V4TZ04ASGALJNR6", "YLENIA BARONE")</f>
        <v>YLENIA BARONE</v>
      </c>
      <c r="B5240" s="7" t="str">
        <f>HYPERLINK("https://otsuka-europe-crm.veevavault.com/ui/#object/vcountry__v/VENZ000004SONFQ", "IT")</f>
        <v>IT</v>
      </c>
      <c r="C5240" s="8" t="s">
        <v>44</v>
      </c>
      <c r="D5240" s="9" t="str">
        <f>HYPERLINK("https://otsuka-europe-crm.veevavault.com/ui/#object/approved_document__v/V5O000000018003", "AE dialoghi di tempo fiducia e cura episodi 2-3-4")</f>
        <v>AE dialoghi di tempo fiducia e cura episodi 2-3-4</v>
      </c>
      <c r="E5240" s="10" t="str">
        <f>HYPERLINK("https://otsuka-europe-crm.veevavault.com/ui/#object/sent_email__v/VBL00000002Q303", "SE-001433972")</f>
        <v>SE-001433972</v>
      </c>
      <c r="F5240" s="11"/>
      <c r="G5240" s="12">
        <v>0</v>
      </c>
      <c r="H5240" s="12">
        <v>0</v>
      </c>
      <c r="I5240" s="12">
        <v>0</v>
      </c>
      <c r="J5240" s="11"/>
      <c r="K5240" s="12">
        <v>0</v>
      </c>
      <c r="L5240" s="10" t="str">
        <f>HYPERLINK("https://otsuka-europe-crm.veevavault.com/ui/#object/approved_document__v/V5O000000018003", "AE dialoghi di tempo fiducia e cura episodi 2-3-4")</f>
        <v>AE dialoghi di tempo fiducia e cura episodi 2-3-4</v>
      </c>
      <c r="M5240" s="10" t="str">
        <f>HYPERLINK("mailto:nicoletta.vozza@crm.otsuka-europe.com", "nicoletta.vozza@crm.otsuka-europe.com")</f>
        <v>nicoletta.vozza@crm.otsuka-europe.com</v>
      </c>
      <c r="N5240" s="13">
        <v>46181.338055555556</v>
      </c>
      <c r="O5240" s="14" t="str">
        <f>HYPERLINK("https://otsuka-europe-crm.veevavault.com/ui/#object/email_activity__v/V8C00000003O530", "EN-002090086")</f>
        <v>EN-002090086</v>
      </c>
    </row>
    <row r="5241" spans="1:15" ht="16" x14ac:dyDescent="0.2">
      <c r="A5241" s="17" t="str">
        <f>HYPERLINK("https://otsuka-europe-crm.veevavault.com/ui/#object/account__v/V4TZ0000062PIL8", "Animesh Tripathi")</f>
        <v>Animesh Tripathi</v>
      </c>
      <c r="B5241" s="17" t="str">
        <f>HYPERLINK("https://otsuka-europe-crm.veevavault.com/ui/#object/vcountry__v/VENZ000004SONFK", "GB")</f>
        <v>GB</v>
      </c>
      <c r="C5241" s="20" t="s">
        <v>39</v>
      </c>
      <c r="D5241" s="21" t="str">
        <f>HYPERLINK("https://otsuka-europe-crm.veevavault.com/ui/#object/approved_document__v/V5O00000001H007", "DR P2P Invite 18-Jun-26 [digital]")</f>
        <v>DR P2P Invite 18-Jun-26 [digital]</v>
      </c>
      <c r="E5241" s="22" t="str">
        <f>HYPERLINK("https://otsuka-europe-crm.veevavault.com/ui/#object/sent_email__v/VBL00000002N851", "SE-001433973")</f>
        <v>SE-001433973</v>
      </c>
      <c r="F5241" s="23">
        <v>46176.765520833331</v>
      </c>
      <c r="G5241" s="24">
        <v>1</v>
      </c>
      <c r="H5241" s="24">
        <v>4</v>
      </c>
      <c r="I5241" s="24">
        <v>0</v>
      </c>
      <c r="J5241" s="25"/>
      <c r="K5241" s="24">
        <v>0</v>
      </c>
      <c r="L5241" s="22" t="str">
        <f>HYPERLINK("https://otsuka-europe-crm.veevavault.com/ui/#object/approved_document__v/V5O00000001H007", "DR P2P Invite 18-Jun-26 [digital]")</f>
        <v>DR P2P Invite 18-Jun-26 [digital]</v>
      </c>
      <c r="M5241" s="22" t="str">
        <f>HYPERLINK("mailto:draval@crm.otsuka-europe.com", "draval@crm.otsuka-europe.com")</f>
        <v>draval@crm.otsuka-europe.com</v>
      </c>
      <c r="N5241" s="23">
        <v>46176.690509259257</v>
      </c>
      <c r="O5241" s="14" t="str">
        <f>HYPERLINK("https://otsuka-europe-crm.veevavault.com/ui/#object/email_activity__v/V8C00000003N483", "EN-002088763")</f>
        <v>EN-002088763</v>
      </c>
    </row>
    <row r="5242" spans="1:15" ht="16" x14ac:dyDescent="0.2">
      <c r="A5242" s="18"/>
      <c r="B5242" s="18"/>
      <c r="C5242" s="18"/>
      <c r="D5242" s="18"/>
      <c r="E5242" s="18"/>
      <c r="F5242" s="18"/>
      <c r="G5242" s="18"/>
      <c r="H5242" s="18"/>
      <c r="I5242" s="18"/>
      <c r="J5242" s="18"/>
      <c r="K5242" s="18"/>
      <c r="L5242" s="18"/>
      <c r="M5242" s="18"/>
      <c r="N5242" s="18"/>
      <c r="O5242" s="14" t="str">
        <f>HYPERLINK("https://otsuka-europe-crm.veevavault.com/ui/#object/email_activity__v/V8C00000003N489", "EN-002088769")</f>
        <v>EN-002088769</v>
      </c>
    </row>
    <row r="5243" spans="1:15" ht="16" x14ac:dyDescent="0.2">
      <c r="A5243" s="18"/>
      <c r="B5243" s="18"/>
      <c r="C5243" s="18"/>
      <c r="D5243" s="18"/>
      <c r="E5243" s="18"/>
      <c r="F5243" s="18"/>
      <c r="G5243" s="18"/>
      <c r="H5243" s="18"/>
      <c r="I5243" s="18"/>
      <c r="J5243" s="18"/>
      <c r="K5243" s="18"/>
      <c r="L5243" s="18"/>
      <c r="M5243" s="18"/>
      <c r="N5243" s="18"/>
      <c r="O5243" s="14" t="str">
        <f>HYPERLINK("https://otsuka-europe-crm.veevavault.com/ui/#object/email_activity__v/V8C00000003N490", "EN-002088770")</f>
        <v>EN-002088770</v>
      </c>
    </row>
    <row r="5244" spans="1:15" ht="16" x14ac:dyDescent="0.2">
      <c r="A5244" s="18"/>
      <c r="B5244" s="18"/>
      <c r="C5244" s="18"/>
      <c r="D5244" s="18"/>
      <c r="E5244" s="18"/>
      <c r="F5244" s="18"/>
      <c r="G5244" s="18"/>
      <c r="H5244" s="18"/>
      <c r="I5244" s="18"/>
      <c r="J5244" s="18"/>
      <c r="K5244" s="18"/>
      <c r="L5244" s="18"/>
      <c r="M5244" s="18"/>
      <c r="N5244" s="18"/>
      <c r="O5244" s="14" t="str">
        <f>HYPERLINK("https://otsuka-europe-crm.veevavault.com/ui/#object/email_activity__v/V8C00000003N506", "EN-002088803")</f>
        <v>EN-002088803</v>
      </c>
    </row>
    <row r="5245" spans="1:15" ht="16" x14ac:dyDescent="0.2">
      <c r="A5245" s="19"/>
      <c r="B5245" s="19"/>
      <c r="C5245" s="19"/>
      <c r="D5245" s="19"/>
      <c r="E5245" s="19"/>
      <c r="F5245" s="19"/>
      <c r="G5245" s="19"/>
      <c r="H5245" s="19"/>
      <c r="I5245" s="19"/>
      <c r="J5245" s="19"/>
      <c r="K5245" s="19"/>
      <c r="L5245" s="19"/>
      <c r="M5245" s="19"/>
      <c r="N5245" s="19"/>
      <c r="O5245" s="14" t="str">
        <f>HYPERLINK("https://otsuka-europe-crm.veevavault.com/ui/#object/email_activity__v/V8C00000003N507", "EN-002088804")</f>
        <v>EN-002088804</v>
      </c>
    </row>
    <row r="5246" spans="1:15" ht="16" x14ac:dyDescent="0.2">
      <c r="A5246" s="17" t="str">
        <f>HYPERLINK("https://otsuka-europe-crm.veevavault.com/ui/#object/account__v/V4TZ0000062PIL8", "Animesh Tripathi")</f>
        <v>Animesh Tripathi</v>
      </c>
      <c r="B5246" s="17" t="str">
        <f>HYPERLINK("https://otsuka-europe-crm.veevavault.com/ui/#object/vcountry__v/VENZ000004SONFK", "GB")</f>
        <v>GB</v>
      </c>
      <c r="C5246" s="20" t="s">
        <v>39</v>
      </c>
      <c r="D5246" s="21" t="str">
        <f>HYPERLINK("https://otsuka-europe-crm.veevavault.com/ui/#object/approved_document__v/V5O00000001H005", "LDM DR P2P Invite 23-Jun-26 [digital]")</f>
        <v>LDM DR P2P Invite 23-Jun-26 [digital]</v>
      </c>
      <c r="E5246" s="22" t="str">
        <f>HYPERLINK("https://otsuka-europe-crm.veevavault.com/ui/#object/sent_email__v/VBL00000002N852", "SE-001433974")</f>
        <v>SE-001433974</v>
      </c>
      <c r="F5246" s="23">
        <v>46176.765497685185</v>
      </c>
      <c r="G5246" s="24">
        <v>1</v>
      </c>
      <c r="H5246" s="24">
        <v>5</v>
      </c>
      <c r="I5246" s="24">
        <v>0</v>
      </c>
      <c r="J5246" s="25"/>
      <c r="K5246" s="24">
        <v>0</v>
      </c>
      <c r="L5246" s="22" t="str">
        <f>HYPERLINK("https://otsuka-europe-crm.veevavault.com/ui/#object/approved_document__v/V5O00000001H005", "LDM DR P2P Invite 23-Jun-26 [digital]")</f>
        <v>LDM DR P2P Invite 23-Jun-26 [digital]</v>
      </c>
      <c r="M5246" s="22" t="str">
        <f>HYPERLINK("mailto:draval@crm.otsuka-europe.com", "draval@crm.otsuka-europe.com")</f>
        <v>draval@crm.otsuka-europe.com</v>
      </c>
      <c r="N5246" s="23">
        <v>46176.690520833334</v>
      </c>
      <c r="O5246" s="14" t="str">
        <f>HYPERLINK("https://otsuka-europe-crm.veevavault.com/ui/#object/email_activity__v/V8C00000003M379", "EN-002088776")</f>
        <v>EN-002088776</v>
      </c>
    </row>
    <row r="5247" spans="1:15" ht="16" x14ac:dyDescent="0.2">
      <c r="A5247" s="18"/>
      <c r="B5247" s="18"/>
      <c r="C5247" s="18"/>
      <c r="D5247" s="18"/>
      <c r="E5247" s="18"/>
      <c r="F5247" s="18"/>
      <c r="G5247" s="18"/>
      <c r="H5247" s="18"/>
      <c r="I5247" s="18"/>
      <c r="J5247" s="18"/>
      <c r="K5247" s="18"/>
      <c r="L5247" s="18"/>
      <c r="M5247" s="18"/>
      <c r="N5247" s="18"/>
      <c r="O5247" s="14" t="str">
        <f>HYPERLINK("https://otsuka-europe-crm.veevavault.com/ui/#object/email_activity__v/V8C00000003M380", "EN-002088777")</f>
        <v>EN-002088777</v>
      </c>
    </row>
    <row r="5248" spans="1:15" ht="16" x14ac:dyDescent="0.2">
      <c r="A5248" s="18"/>
      <c r="B5248" s="18"/>
      <c r="C5248" s="18"/>
      <c r="D5248" s="18"/>
      <c r="E5248" s="18"/>
      <c r="F5248" s="18"/>
      <c r="G5248" s="18"/>
      <c r="H5248" s="18"/>
      <c r="I5248" s="18"/>
      <c r="J5248" s="18"/>
      <c r="K5248" s="18"/>
      <c r="L5248" s="18"/>
      <c r="M5248" s="18"/>
      <c r="N5248" s="18"/>
      <c r="O5248" s="14" t="str">
        <f>HYPERLINK("https://otsuka-europe-crm.veevavault.com/ui/#object/email_activity__v/V8C00000003N484", "EN-002088764")</f>
        <v>EN-002088764</v>
      </c>
    </row>
    <row r="5249" spans="1:15" ht="16" x14ac:dyDescent="0.2">
      <c r="A5249" s="18"/>
      <c r="B5249" s="18"/>
      <c r="C5249" s="18"/>
      <c r="D5249" s="18"/>
      <c r="E5249" s="18"/>
      <c r="F5249" s="18"/>
      <c r="G5249" s="18"/>
      <c r="H5249" s="18"/>
      <c r="I5249" s="18"/>
      <c r="J5249" s="18"/>
      <c r="K5249" s="18"/>
      <c r="L5249" s="18"/>
      <c r="M5249" s="18"/>
      <c r="N5249" s="18"/>
      <c r="O5249" s="14" t="str">
        <f>HYPERLINK("https://otsuka-europe-crm.veevavault.com/ui/#object/email_activity__v/V8C00000003N487", "EN-002088767")</f>
        <v>EN-002088767</v>
      </c>
    </row>
    <row r="5250" spans="1:15" ht="16" x14ac:dyDescent="0.2">
      <c r="A5250" s="18"/>
      <c r="B5250" s="18"/>
      <c r="C5250" s="18"/>
      <c r="D5250" s="18"/>
      <c r="E5250" s="18"/>
      <c r="F5250" s="18"/>
      <c r="G5250" s="18"/>
      <c r="H5250" s="18"/>
      <c r="I5250" s="18"/>
      <c r="J5250" s="18"/>
      <c r="K5250" s="18"/>
      <c r="L5250" s="18"/>
      <c r="M5250" s="18"/>
      <c r="N5250" s="18"/>
      <c r="O5250" s="14" t="str">
        <f>HYPERLINK("https://otsuka-europe-crm.veevavault.com/ui/#object/email_activity__v/V8C00000003N488", "EN-002088768")</f>
        <v>EN-002088768</v>
      </c>
    </row>
    <row r="5251" spans="1:15" ht="16" x14ac:dyDescent="0.2">
      <c r="A5251" s="19"/>
      <c r="B5251" s="19"/>
      <c r="C5251" s="19"/>
      <c r="D5251" s="19"/>
      <c r="E5251" s="19"/>
      <c r="F5251" s="19"/>
      <c r="G5251" s="19"/>
      <c r="H5251" s="19"/>
      <c r="I5251" s="19"/>
      <c r="J5251" s="19"/>
      <c r="K5251" s="19"/>
      <c r="L5251" s="19"/>
      <c r="M5251" s="19"/>
      <c r="N5251" s="19"/>
      <c r="O5251" s="14" t="str">
        <f>HYPERLINK("https://otsuka-europe-crm.veevavault.com/ui/#object/email_activity__v/V8C00000003N508", "EN-002088805")</f>
        <v>EN-002088805</v>
      </c>
    </row>
    <row r="5252" spans="1:15" ht="48" x14ac:dyDescent="0.2">
      <c r="A5252" s="7" t="str">
        <f>HYPERLINK("https://otsuka-europe-crm.veevavault.com/ui/#object/account__v/V4TZ025E838QQQ9", "RAPHAEL VOLTZ")</f>
        <v>RAPHAEL VOLTZ</v>
      </c>
      <c r="B5252" s="7" t="str">
        <f>HYPERLINK("https://otsuka-europe-crm.veevavault.com/ui/#object/vcountry__v/VENZ000004SONFA", "FR")</f>
        <v>FR</v>
      </c>
      <c r="C5252" s="8" t="s">
        <v>42</v>
      </c>
      <c r="D5252" s="9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E5252" s="10" t="str">
        <f>HYPERLINK("https://otsuka-europe-crm.veevavault.com/ui/#object/sent_email__v/VBL00000002N853", "SE-001433975")</f>
        <v>SE-001433975</v>
      </c>
      <c r="F5252" s="11"/>
      <c r="G5252" s="12">
        <v>0</v>
      </c>
      <c r="H5252" s="12">
        <v>0</v>
      </c>
      <c r="I5252" s="12">
        <v>0</v>
      </c>
      <c r="J5252" s="11"/>
      <c r="K5252" s="12">
        <v>0</v>
      </c>
      <c r="L5252" s="10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M5252" s="10" t="str">
        <f>HYPERLINK("mailto:sblancheland@crm.otsuka-europe.com", "sblancheland@crm.otsuka-europe.com")</f>
        <v>sblancheland@crm.otsuka-europe.com</v>
      </c>
      <c r="N5252" s="13">
        <v>46176.800578703704</v>
      </c>
      <c r="O5252" s="14" t="str">
        <f>HYPERLINK("https://otsuka-europe-crm.veevavault.com/ui/#object/email_activity__v/V8C00000003N514", "EN-002088815")</f>
        <v>EN-002088815</v>
      </c>
    </row>
    <row r="5253" spans="1:15" ht="16" x14ac:dyDescent="0.2">
      <c r="A5253" s="17" t="str">
        <f>HYPERLINK("https://otsuka-europe-crm.veevavault.com/ui/#object/account__v/V4TZ025E891UT5A", "Wunmi Olajide")</f>
        <v>Wunmi Olajide</v>
      </c>
      <c r="B5253" s="17" t="str">
        <f>HYPERLINK("https://otsuka-europe-crm.veevavault.com/ui/#object/vcountry__v/VENZ000004SONFK", "GB")</f>
        <v>GB</v>
      </c>
      <c r="C5253" s="20" t="s">
        <v>39</v>
      </c>
      <c r="D5253" s="21" t="str">
        <f>HYPERLINK("https://otsuka-europe-crm.veevavault.com/ui/#object/approved_document__v/V5O00000001H007", "DR P2P Invite 18-Jun-26 [digital]")</f>
        <v>DR P2P Invite 18-Jun-26 [digital]</v>
      </c>
      <c r="E5253" s="22" t="str">
        <f>HYPERLINK("https://otsuka-europe-crm.veevavault.com/ui/#object/sent_email__v/VBL00000002N854", "SE-001433976")</f>
        <v>SE-001433976</v>
      </c>
      <c r="F5253" s="23">
        <v>46177.384259259263</v>
      </c>
      <c r="G5253" s="24">
        <v>1</v>
      </c>
      <c r="H5253" s="24">
        <v>1</v>
      </c>
      <c r="I5253" s="24">
        <v>0</v>
      </c>
      <c r="J5253" s="25"/>
      <c r="K5253" s="24">
        <v>0</v>
      </c>
      <c r="L5253" s="22" t="str">
        <f>HYPERLINK("https://otsuka-europe-crm.veevavault.com/ui/#object/approved_document__v/V5O00000001H007", "DR P2P Invite 18-Jun-26 [digital]")</f>
        <v>DR P2P Invite 18-Jun-26 [digital]</v>
      </c>
      <c r="M5253" s="22" t="str">
        <f>HYPERLINK("mailto:draval@crm.otsuka-europe.com", "draval@crm.otsuka-europe.com")</f>
        <v>draval@crm.otsuka-europe.com</v>
      </c>
      <c r="N5253" s="23">
        <v>46176.69222222222</v>
      </c>
      <c r="O5253" s="14" t="str">
        <f>HYPERLINK("https://otsuka-europe-crm.veevavault.com/ui/#object/email_activity__v/V8C00000003M442", "EN-002088913")</f>
        <v>EN-002088913</v>
      </c>
    </row>
    <row r="5254" spans="1:15" ht="16" x14ac:dyDescent="0.2">
      <c r="A5254" s="19"/>
      <c r="B5254" s="19"/>
      <c r="C5254" s="19"/>
      <c r="D5254" s="19"/>
      <c r="E5254" s="19"/>
      <c r="F5254" s="19"/>
      <c r="G5254" s="19"/>
      <c r="H5254" s="19"/>
      <c r="I5254" s="19"/>
      <c r="J5254" s="19"/>
      <c r="K5254" s="19"/>
      <c r="L5254" s="19"/>
      <c r="M5254" s="19"/>
      <c r="N5254" s="19"/>
      <c r="O5254" s="14" t="str">
        <f>HYPERLINK("https://otsuka-europe-crm.veevavault.com/ui/#object/email_activity__v/V8C00000003N486", "EN-002088766")</f>
        <v>EN-002088766</v>
      </c>
    </row>
    <row r="5255" spans="1:15" ht="16" x14ac:dyDescent="0.2">
      <c r="A5255" s="17" t="str">
        <f>HYPERLINK("https://otsuka-europe-crm.veevavault.com/ui/#object/account__v/V4TZ025E891UT5A", "Wunmi Olajide")</f>
        <v>Wunmi Olajide</v>
      </c>
      <c r="B5255" s="17" t="str">
        <f>HYPERLINK("https://otsuka-europe-crm.veevavault.com/ui/#object/vcountry__v/VENZ000004SONFK", "GB")</f>
        <v>GB</v>
      </c>
      <c r="C5255" s="20" t="s">
        <v>39</v>
      </c>
      <c r="D5255" s="21" t="str">
        <f>HYPERLINK("https://otsuka-europe-crm.veevavault.com/ui/#object/approved_document__v/V5O00000001H005", "LDM DR P2P Invite 23-Jun-26 [digital]")</f>
        <v>LDM DR P2P Invite 23-Jun-26 [digital]</v>
      </c>
      <c r="E5255" s="22" t="str">
        <f>HYPERLINK("https://otsuka-europe-crm.veevavault.com/ui/#object/sent_email__v/VBL00000002N855", "SE-001433977")</f>
        <v>SE-001433977</v>
      </c>
      <c r="F5255" s="23">
        <v>46177.384837962964</v>
      </c>
      <c r="G5255" s="24">
        <v>1</v>
      </c>
      <c r="H5255" s="24">
        <v>1</v>
      </c>
      <c r="I5255" s="24">
        <v>0</v>
      </c>
      <c r="J5255" s="25"/>
      <c r="K5255" s="24">
        <v>0</v>
      </c>
      <c r="L5255" s="22" t="str">
        <f>HYPERLINK("https://otsuka-europe-crm.veevavault.com/ui/#object/approved_document__v/V5O00000001H005", "LDM DR P2P Invite 23-Jun-26 [digital]")</f>
        <v>LDM DR P2P Invite 23-Jun-26 [digital]</v>
      </c>
      <c r="M5255" s="22" t="str">
        <f>HYPERLINK("mailto:draval@crm.otsuka-europe.com", "draval@crm.otsuka-europe.com")</f>
        <v>draval@crm.otsuka-europe.com</v>
      </c>
      <c r="N5255" s="23">
        <v>46176.692291666666</v>
      </c>
      <c r="O5255" s="14" t="str">
        <f>HYPERLINK("https://otsuka-europe-crm.veevavault.com/ui/#object/email_activity__v/V8C00000003N485", "EN-002088765")</f>
        <v>EN-002088765</v>
      </c>
    </row>
    <row r="5256" spans="1:15" ht="16" x14ac:dyDescent="0.2">
      <c r="A5256" s="19"/>
      <c r="B5256" s="19"/>
      <c r="C5256" s="19"/>
      <c r="D5256" s="19"/>
      <c r="E5256" s="19"/>
      <c r="F5256" s="19"/>
      <c r="G5256" s="19"/>
      <c r="H5256" s="19"/>
      <c r="I5256" s="19"/>
      <c r="J5256" s="19"/>
      <c r="K5256" s="19"/>
      <c r="L5256" s="19"/>
      <c r="M5256" s="19"/>
      <c r="N5256" s="19"/>
      <c r="O5256" s="14" t="str">
        <f>HYPERLINK("https://otsuka-europe-crm.veevavault.com/ui/#object/email_activity__v/V8C00000003N568", "EN-002088914")</f>
        <v>EN-002088914</v>
      </c>
    </row>
    <row r="5257" spans="1:15" ht="32" x14ac:dyDescent="0.2">
      <c r="A5257" s="7" t="str">
        <f>HYPERLINK("https://otsuka-europe-crm.veevavault.com/ui/#object/account__v/V4TZ00000633UNS", "AURELIEN LAURENT")</f>
        <v>AURELIEN LAURENT</v>
      </c>
      <c r="B5257" s="7" t="str">
        <f>HYPERLINK("https://otsuka-europe-crm.veevavault.com/ui/#object/vcountry__v/VENZ000004SONFA", "FR")</f>
        <v>FR</v>
      </c>
      <c r="C5257" s="8" t="s">
        <v>42</v>
      </c>
      <c r="D5257" s="9" t="str">
        <f>HYPERLINK("https://otsuka-europe-crm.veevavault.com/ui/#object/approved_document__v/V5OZ04ASG4G02Y6", "INVITATION_VAD_2023")</f>
        <v>INVITATION_VAD_2023</v>
      </c>
      <c r="E5257" s="10" t="str">
        <f>HYPERLINK("https://otsuka-europe-crm.veevavault.com/ui/#object/sent_email__v/VBL00000002Q304", "SE-001433978")</f>
        <v>SE-001433978</v>
      </c>
      <c r="F5257" s="11"/>
      <c r="G5257" s="12">
        <v>0</v>
      </c>
      <c r="H5257" s="12">
        <v>0</v>
      </c>
      <c r="I5257" s="12">
        <v>0</v>
      </c>
      <c r="J5257" s="11"/>
      <c r="K5257" s="12">
        <v>0</v>
      </c>
      <c r="L5257" s="10" t="str">
        <f>HYPERLINK("https://otsuka-europe-crm.veevavault.com/ui/#object/approved_document__v/V5OZ04ASG4G02Y6", "INVITATION_VAD_2023")</f>
        <v>INVITATION_VAD_2023</v>
      </c>
      <c r="M5257" s="10" t="str">
        <f>HYPERLINK("mailto:cchevalliermiserole@crm.otsuka-europe.com", "cchevalliermiserole@crm.otsuka-europe.com")</f>
        <v>cchevalliermiserole@crm.otsuka-europe.com</v>
      </c>
      <c r="N5257" s="13">
        <v>46176.720231481479</v>
      </c>
      <c r="O5257" s="14" t="str">
        <f>HYPERLINK("https://otsuka-europe-crm.veevavault.com/ui/#object/email_activity__v/V8C00000003M390", "EN-002088791")</f>
        <v>EN-002088791</v>
      </c>
    </row>
    <row r="5258" spans="1:15" ht="16" x14ac:dyDescent="0.2">
      <c r="A5258" s="17" t="str">
        <f>HYPERLINK("https://otsuka-europe-crm.veevavault.com/ui/#object/account__v/V4TZ00000633HA4", "PIERRE MESSENDE")</f>
        <v>PIERRE MESSENDE</v>
      </c>
      <c r="B5258" s="17" t="str">
        <f>HYPERLINK("https://otsuka-europe-crm.veevavault.com/ui/#object/vcountry__v/VENZ000004SONFA", "FR")</f>
        <v>FR</v>
      </c>
      <c r="C5258" s="20" t="s">
        <v>42</v>
      </c>
      <c r="D5258" s="21" t="str">
        <f>HYPERLINK("https://otsuka-europe-crm.veevavault.com/ui/#object/approved_document__v/V5OZ04ASG4G02Y6", "INVITATION_VAD_2023")</f>
        <v>INVITATION_VAD_2023</v>
      </c>
      <c r="E5258" s="22" t="str">
        <f>HYPERLINK("https://otsuka-europe-crm.veevavault.com/ui/#object/sent_email__v/VBL00000002Q305", "SE-001433979")</f>
        <v>SE-001433979</v>
      </c>
      <c r="F5258" s="23">
        <v>46176.737997685188</v>
      </c>
      <c r="G5258" s="24">
        <v>1</v>
      </c>
      <c r="H5258" s="24">
        <v>1</v>
      </c>
      <c r="I5258" s="24">
        <v>0</v>
      </c>
      <c r="J5258" s="25"/>
      <c r="K5258" s="24">
        <v>0</v>
      </c>
      <c r="L5258" s="22" t="str">
        <f>HYPERLINK("https://otsuka-europe-crm.veevavault.com/ui/#object/approved_document__v/V5OZ04ASG4G02Y6", "INVITATION_VAD_2023")</f>
        <v>INVITATION_VAD_2023</v>
      </c>
      <c r="M5258" s="22" t="str">
        <f>HYPERLINK("mailto:cchevalliermiserole@crm.otsuka-europe.com", "cchevalliermiserole@crm.otsuka-europe.com")</f>
        <v>cchevalliermiserole@crm.otsuka-europe.com</v>
      </c>
      <c r="N5258" s="23">
        <v>46176.721099537041</v>
      </c>
      <c r="O5258" s="14" t="str">
        <f>HYPERLINK("https://otsuka-europe-crm.veevavault.com/ui/#object/email_activity__v/V8C00000003N498", "EN-002088792")</f>
        <v>EN-002088792</v>
      </c>
    </row>
    <row r="5259" spans="1:15" ht="16" x14ac:dyDescent="0.2">
      <c r="A5259" s="19"/>
      <c r="B5259" s="19"/>
      <c r="C5259" s="19"/>
      <c r="D5259" s="19"/>
      <c r="E5259" s="19"/>
      <c r="F5259" s="19"/>
      <c r="G5259" s="19"/>
      <c r="H5259" s="19"/>
      <c r="I5259" s="19"/>
      <c r="J5259" s="19"/>
      <c r="K5259" s="19"/>
      <c r="L5259" s="19"/>
      <c r="M5259" s="19"/>
      <c r="N5259" s="19"/>
      <c r="O5259" s="14" t="str">
        <f>HYPERLINK("https://otsuka-europe-crm.veevavault.com/ui/#object/email_activity__v/V8C00000003N501", "EN-002088796")</f>
        <v>EN-002088796</v>
      </c>
    </row>
    <row r="5260" spans="1:15" ht="16" x14ac:dyDescent="0.2">
      <c r="A5260" s="17" t="str">
        <f>HYPERLINK("https://otsuka-europe-crm.veevavault.com/ui/#object/account__v/V4TZ06G6O9N3TT5", "JULIEN TOURIGNY")</f>
        <v>JULIEN TOURIGNY</v>
      </c>
      <c r="B5260" s="17" t="str">
        <f>HYPERLINK("https://otsuka-europe-crm.veevavault.com/ui/#object/vcountry__v/VENZ000004SONFA", "FR")</f>
        <v>FR</v>
      </c>
      <c r="C5260" s="20" t="s">
        <v>42</v>
      </c>
      <c r="D5260" s="21" t="str">
        <f>HYPERLINK("https://otsuka-europe-crm.veevavault.com/ui/#object/approved_document__v/V5OZ04ASG4G02Y6", "INVITATION_VAD_2023")</f>
        <v>INVITATION_VAD_2023</v>
      </c>
      <c r="E5260" s="22" t="str">
        <f>HYPERLINK("https://otsuka-europe-crm.veevavault.com/ui/#object/sent_email__v/VBL00000002Q306", "SE-001433980")</f>
        <v>SE-001433980</v>
      </c>
      <c r="F5260" s="23">
        <v>46177.399733796294</v>
      </c>
      <c r="G5260" s="24">
        <v>1</v>
      </c>
      <c r="H5260" s="24">
        <v>3</v>
      </c>
      <c r="I5260" s="24">
        <v>0</v>
      </c>
      <c r="J5260" s="25"/>
      <c r="K5260" s="24">
        <v>0</v>
      </c>
      <c r="L5260" s="22" t="str">
        <f>HYPERLINK("https://otsuka-europe-crm.veevavault.com/ui/#object/approved_document__v/V5OZ04ASG4G02Y6", "INVITATION_VAD_2023")</f>
        <v>INVITATION_VAD_2023</v>
      </c>
      <c r="M5260" s="22" t="str">
        <f>HYPERLINK("mailto:cmaillegarnier@crm.otsuka-europe.com", "cmaillegarnier@crm.otsuka-europe.com")</f>
        <v>cmaillegarnier@crm.otsuka-europe.com</v>
      </c>
      <c r="N5260" s="23">
        <v>46177.341331018521</v>
      </c>
      <c r="O5260" s="14" t="str">
        <f>HYPERLINK("https://otsuka-europe-crm.veevavault.com/ui/#object/email_activity__v/V8C00000003M430", "EN-002088879")</f>
        <v>EN-002088879</v>
      </c>
    </row>
    <row r="5261" spans="1:15" ht="16" x14ac:dyDescent="0.2">
      <c r="A5261" s="18"/>
      <c r="B5261" s="18"/>
      <c r="C5261" s="18"/>
      <c r="D5261" s="18"/>
      <c r="E5261" s="18"/>
      <c r="F5261" s="18"/>
      <c r="G5261" s="18"/>
      <c r="H5261" s="18"/>
      <c r="I5261" s="18"/>
      <c r="J5261" s="18"/>
      <c r="K5261" s="18"/>
      <c r="L5261" s="18"/>
      <c r="M5261" s="18"/>
      <c r="N5261" s="18"/>
      <c r="O5261" s="14" t="str">
        <f>HYPERLINK("https://otsuka-europe-crm.veevavault.com/ui/#object/email_activity__v/V8C00000003M446", "EN-002088923")</f>
        <v>EN-002088923</v>
      </c>
    </row>
    <row r="5262" spans="1:15" ht="16" x14ac:dyDescent="0.2">
      <c r="A5262" s="18"/>
      <c r="B5262" s="18"/>
      <c r="C5262" s="18"/>
      <c r="D5262" s="18"/>
      <c r="E5262" s="18"/>
      <c r="F5262" s="18"/>
      <c r="G5262" s="18"/>
      <c r="H5262" s="18"/>
      <c r="I5262" s="18"/>
      <c r="J5262" s="18"/>
      <c r="K5262" s="18"/>
      <c r="L5262" s="18"/>
      <c r="M5262" s="18"/>
      <c r="N5262" s="18"/>
      <c r="O5262" s="14" t="str">
        <f>HYPERLINK("https://otsuka-europe-crm.veevavault.com/ui/#object/email_activity__v/V8C00000003N563", "EN-002088908")</f>
        <v>EN-002088908</v>
      </c>
    </row>
    <row r="5263" spans="1:15" ht="16" x14ac:dyDescent="0.2">
      <c r="A5263" s="19"/>
      <c r="B5263" s="19"/>
      <c r="C5263" s="19"/>
      <c r="D5263" s="19"/>
      <c r="E5263" s="19"/>
      <c r="F5263" s="19"/>
      <c r="G5263" s="19"/>
      <c r="H5263" s="19"/>
      <c r="I5263" s="19"/>
      <c r="J5263" s="19"/>
      <c r="K5263" s="19"/>
      <c r="L5263" s="19"/>
      <c r="M5263" s="19"/>
      <c r="N5263" s="19"/>
      <c r="O5263" s="14" t="str">
        <f>HYPERLINK("https://otsuka-europe-crm.veevavault.com/ui/#object/email_activity__v/V8C00000003N564", "EN-002088909")</f>
        <v>EN-002088909</v>
      </c>
    </row>
    <row r="5264" spans="1:15" ht="16" x14ac:dyDescent="0.2">
      <c r="A5264" s="17" t="str">
        <f>HYPERLINK("https://otsuka-europe-crm.veevavault.com/ui/#object/account__v/V4TZ06G6OA5WQFG", "TEST OPSA HCP TEST OPSA HCP")</f>
        <v>TEST OPSA HCP TEST OPSA HCP</v>
      </c>
      <c r="B5264" s="17" t="str">
        <f>HYPERLINK("https://otsuka-europe-crm.veevavault.com/ui/#object/vcountry__v/VENZ000004SONF5", "ES")</f>
        <v>ES</v>
      </c>
      <c r="C5264" s="20" t="s">
        <v>41</v>
      </c>
      <c r="D5264" s="21" t="str">
        <f>HYPERLINK("https://otsuka-europe-crm.veevavault.com/ui/#object/approved_document__v/V5O00000001K002", "Programa 4º edición Curso Simulación clínica en psiquiatría Hospital 12-Octubre")</f>
        <v>Programa 4º edición Curso Simulación clínica en psiquiatría Hospital 12-Octubre</v>
      </c>
      <c r="E5264" s="22" t="str">
        <f>HYPERLINK("https://otsuka-europe-crm.veevavault.com/ui/#object/sent_email__v/VBL00000002Q307", "SE-001433981")</f>
        <v>SE-001433981</v>
      </c>
      <c r="F5264" s="23">
        <v>46177.352627314816</v>
      </c>
      <c r="G5264" s="24">
        <v>1</v>
      </c>
      <c r="H5264" s="24">
        <v>1</v>
      </c>
      <c r="I5264" s="24">
        <v>1</v>
      </c>
      <c r="J5264" s="23">
        <v>46177.35297453704</v>
      </c>
      <c r="K5264" s="24">
        <v>3</v>
      </c>
      <c r="L5264" s="22" t="str">
        <f>HYPERLINK("https://otsuka-europe-crm.veevavault.com/ui/#object/approved_document__v/V5O00000001K002", "Programa 4º edición Curso Simulación clínica en psiquiatría Hospital 12-Octubre")</f>
        <v>Programa 4º edición Curso Simulación clínica en psiquiatría Hospital 12-Octubre</v>
      </c>
      <c r="M5264" s="22" t="str">
        <f>HYPERLINK("mailto:msala@crm.otsuka-europe.com", "msala@crm.otsuka-europe.com")</f>
        <v>msala@crm.otsuka-europe.com</v>
      </c>
      <c r="N5264" s="23">
        <v>46177.352453703701</v>
      </c>
      <c r="O5264" s="14" t="str">
        <f>HYPERLINK("https://otsuka-europe-crm.veevavault.com/ui/#object/email_activity__v/V8C00000003M431", "EN-002088882")</f>
        <v>EN-002088882</v>
      </c>
    </row>
    <row r="5265" spans="1:15" ht="16" x14ac:dyDescent="0.2">
      <c r="A5265" s="18"/>
      <c r="B5265" s="18"/>
      <c r="C5265" s="18"/>
      <c r="D5265" s="18"/>
      <c r="E5265" s="18"/>
      <c r="F5265" s="18"/>
      <c r="G5265" s="18"/>
      <c r="H5265" s="18"/>
      <c r="I5265" s="18"/>
      <c r="J5265" s="18"/>
      <c r="K5265" s="18"/>
      <c r="L5265" s="18"/>
      <c r="M5265" s="18"/>
      <c r="N5265" s="18"/>
      <c r="O5265" s="14" t="str">
        <f>HYPERLINK("https://otsuka-europe-crm.veevavault.com/ui/#object/email_activity__v/V8C00000003M432", "EN-002088884")</f>
        <v>EN-002088884</v>
      </c>
    </row>
    <row r="5266" spans="1:15" ht="16" x14ac:dyDescent="0.2">
      <c r="A5266" s="18"/>
      <c r="B5266" s="18"/>
      <c r="C5266" s="18"/>
      <c r="D5266" s="18"/>
      <c r="E5266" s="18"/>
      <c r="F5266" s="18"/>
      <c r="G5266" s="18"/>
      <c r="H5266" s="18"/>
      <c r="I5266" s="18"/>
      <c r="J5266" s="18"/>
      <c r="K5266" s="18"/>
      <c r="L5266" s="18"/>
      <c r="M5266" s="18"/>
      <c r="N5266" s="18"/>
      <c r="O5266" s="14" t="str">
        <f>HYPERLINK("https://otsuka-europe-crm.veevavault.com/ui/#object/email_activity__v/V8C00000003M433", "EN-002088886")</f>
        <v>EN-002088886</v>
      </c>
    </row>
    <row r="5267" spans="1:15" ht="16" x14ac:dyDescent="0.2">
      <c r="A5267" s="18"/>
      <c r="B5267" s="18"/>
      <c r="C5267" s="18"/>
      <c r="D5267" s="18"/>
      <c r="E5267" s="18"/>
      <c r="F5267" s="18"/>
      <c r="G5267" s="18"/>
      <c r="H5267" s="18"/>
      <c r="I5267" s="18"/>
      <c r="J5267" s="18"/>
      <c r="K5267" s="18"/>
      <c r="L5267" s="18"/>
      <c r="M5267" s="18"/>
      <c r="N5267" s="18"/>
      <c r="O5267" s="14" t="str">
        <f>HYPERLINK("https://otsuka-europe-crm.veevavault.com/ui/#object/email_activity__v/V8C00000003N548", "EN-002088883")</f>
        <v>EN-002088883</v>
      </c>
    </row>
    <row r="5268" spans="1:15" ht="16" x14ac:dyDescent="0.2">
      <c r="A5268" s="18"/>
      <c r="B5268" s="18"/>
      <c r="C5268" s="18"/>
      <c r="D5268" s="18"/>
      <c r="E5268" s="18"/>
      <c r="F5268" s="18"/>
      <c r="G5268" s="18"/>
      <c r="H5268" s="18"/>
      <c r="I5268" s="18"/>
      <c r="J5268" s="18"/>
      <c r="K5268" s="18"/>
      <c r="L5268" s="18"/>
      <c r="M5268" s="18"/>
      <c r="N5268" s="18"/>
      <c r="O5268" s="14" t="str">
        <f>HYPERLINK("https://otsuka-europe-crm.veevavault.com/ui/#object/email_activity__v/V8C00000003N549", "EN-002088885")</f>
        <v>EN-002088885</v>
      </c>
    </row>
    <row r="5269" spans="1:15" ht="16" x14ac:dyDescent="0.2">
      <c r="A5269" s="19"/>
      <c r="B5269" s="19"/>
      <c r="C5269" s="19"/>
      <c r="D5269" s="19"/>
      <c r="E5269" s="19"/>
      <c r="F5269" s="19"/>
      <c r="G5269" s="19"/>
      <c r="H5269" s="19"/>
      <c r="I5269" s="19"/>
      <c r="J5269" s="19"/>
      <c r="K5269" s="19"/>
      <c r="L5269" s="19"/>
      <c r="M5269" s="19"/>
      <c r="N5269" s="19"/>
      <c r="O5269" s="14" t="str">
        <f>HYPERLINK("https://otsuka-europe-crm.veevavault.com/ui/#object/email_activity__v/V8C00000003N567", "EN-002088912")</f>
        <v>EN-002088912</v>
      </c>
    </row>
    <row r="5270" spans="1:15" ht="48" x14ac:dyDescent="0.2">
      <c r="A5270" s="7" t="str">
        <f>HYPERLINK("https://otsuka-europe-crm.veevavault.com/ui/#object/account__v/V4TZ06G6OB44RCJ", "OLIVIER FAIN")</f>
        <v>OLIVIER FAIN</v>
      </c>
      <c r="B5270" s="7" t="str">
        <f>HYPERLINK("https://otsuka-europe-crm.veevavault.com/ui/#object/vcountry__v/VENZ000004SONFA", "FR")</f>
        <v>FR</v>
      </c>
      <c r="C5270" s="8" t="s">
        <v>42</v>
      </c>
      <c r="D5270" s="9" t="str">
        <f>HYPERLINK("https://otsuka-europe-crm.veevavault.com/ui/#object/approved_document__v/V5O000000019009", "REMERCIEMENTS VAD DAWNZERA 2026")</f>
        <v>REMERCIEMENTS VAD DAWNZERA 2026</v>
      </c>
      <c r="E5270" s="10" t="str">
        <f>HYPERLINK("https://otsuka-europe-crm.veevavault.com/ui/#object/sent_email__v/VBL00000002N856", "SE-001433982")</f>
        <v>SE-001433982</v>
      </c>
      <c r="F5270" s="11"/>
      <c r="G5270" s="12">
        <v>0</v>
      </c>
      <c r="H5270" s="12">
        <v>0</v>
      </c>
      <c r="I5270" s="12">
        <v>0</v>
      </c>
      <c r="J5270" s="11"/>
      <c r="K5270" s="12">
        <v>0</v>
      </c>
      <c r="L5270" s="10" t="str">
        <f>HYPERLINK("https://otsuka-europe-crm.veevavault.com/ui/#object/approved_document__v/V5O000000019009", "REMERCIEMENTS VAD DAWNZERA 2026")</f>
        <v>REMERCIEMENTS VAD DAWNZERA 2026</v>
      </c>
      <c r="M5270" s="10" t="str">
        <f>HYPERLINK("mailto:lopizzi-delerat@crm.otsuka-europe.com", "lopizzi-delerat@crm.otsuka-europe.com")</f>
        <v>lopizzi-delerat@crm.otsuka-europe.com</v>
      </c>
      <c r="N5270" s="13">
        <v>46177.375960648147</v>
      </c>
      <c r="O5270" s="14" t="str">
        <f>HYPERLINK("https://otsuka-europe-crm.veevavault.com/ui/#object/email_activity__v/V8C00000003N565", "EN-002088910")</f>
        <v>EN-002088910</v>
      </c>
    </row>
    <row r="5271" spans="1:15" ht="32" x14ac:dyDescent="0.2">
      <c r="A5271" s="7" t="str">
        <f>HYPERLINK("https://otsuka-europe-crm.veevavault.com/ui/#object/account__v/V4TZ025E85JSC1F", "Rohin Sharma")</f>
        <v>Rohin Sharma</v>
      </c>
      <c r="B5271" s="7" t="str">
        <f>HYPERLINK("https://otsuka-europe-crm.veevavault.com/ui/#object/vcountry__v/VENZ000004SONFK", "GB")</f>
        <v>GB</v>
      </c>
      <c r="C5271" s="8" t="s">
        <v>39</v>
      </c>
      <c r="D5271" s="9" t="str">
        <f>HYPERLINK("https://otsuka-europe-crm.veevavault.com/ui/#object/approved_document__v/V5O00000001H007", "DR P2P Invite 18-Jun-26 [digital]")</f>
        <v>DR P2P Invite 18-Jun-26 [digital]</v>
      </c>
      <c r="E5271" s="10" t="str">
        <f>HYPERLINK("https://otsuka-europe-crm.veevavault.com/ui/#object/sent_email__v/VBL00000002N857", "SE-001433983")</f>
        <v>SE-001433983</v>
      </c>
      <c r="F5271" s="11"/>
      <c r="G5271" s="12">
        <v>0</v>
      </c>
      <c r="H5271" s="12">
        <v>0</v>
      </c>
      <c r="I5271" s="12">
        <v>0</v>
      </c>
      <c r="J5271" s="11"/>
      <c r="K5271" s="12">
        <v>0</v>
      </c>
      <c r="L5271" s="10" t="str">
        <f>HYPERLINK("https://otsuka-europe-crm.veevavault.com/ui/#object/approved_document__v/V5O00000001H007", "DR P2P Invite 18-Jun-26 [digital]")</f>
        <v>DR P2P Invite 18-Jun-26 [digital]</v>
      </c>
      <c r="M5271" s="10" t="str">
        <f>HYPERLINK("mailto:draval@crm.otsuka-europe.com", "draval@crm.otsuka-europe.com")</f>
        <v>draval@crm.otsuka-europe.com</v>
      </c>
      <c r="N5271" s="13">
        <v>46177.385659722226</v>
      </c>
      <c r="O5271" s="14" t="str">
        <f>HYPERLINK("https://otsuka-europe-crm.veevavault.com/ui/#object/email_activity__v/V8C00000003N570", "EN-002088916")</f>
        <v>EN-002088916</v>
      </c>
    </row>
    <row r="5272" spans="1:15" ht="32" x14ac:dyDescent="0.2">
      <c r="A5272" s="7" t="str">
        <f>HYPERLINK("https://otsuka-europe-crm.veevavault.com/ui/#object/account__v/V4TZ025E85JSC1F", "Rohin Sharma")</f>
        <v>Rohin Sharma</v>
      </c>
      <c r="B5272" s="7" t="str">
        <f>HYPERLINK("https://otsuka-europe-crm.veevavault.com/ui/#object/vcountry__v/VENZ000004SONFK", "GB")</f>
        <v>GB</v>
      </c>
      <c r="C5272" s="8" t="s">
        <v>39</v>
      </c>
      <c r="D5272" s="9" t="str">
        <f>HYPERLINK("https://otsuka-europe-crm.veevavault.com/ui/#object/approved_document__v/V5O00000001H005", "LDM DR P2P Invite 23-Jun-26 [digital]")</f>
        <v>LDM DR P2P Invite 23-Jun-26 [digital]</v>
      </c>
      <c r="E5272" s="10" t="str">
        <f>HYPERLINK("https://otsuka-europe-crm.veevavault.com/ui/#object/sent_email__v/VBL00000002N858", "SE-001433984")</f>
        <v>SE-001433984</v>
      </c>
      <c r="F5272" s="11"/>
      <c r="G5272" s="12">
        <v>0</v>
      </c>
      <c r="H5272" s="12">
        <v>0</v>
      </c>
      <c r="I5272" s="12">
        <v>0</v>
      </c>
      <c r="J5272" s="11"/>
      <c r="K5272" s="12">
        <v>0</v>
      </c>
      <c r="L5272" s="10" t="str">
        <f>HYPERLINK("https://otsuka-europe-crm.veevavault.com/ui/#object/approved_document__v/V5O00000001H005", "LDM DR P2P Invite 23-Jun-26 [digital]")</f>
        <v>LDM DR P2P Invite 23-Jun-26 [digital]</v>
      </c>
      <c r="M5272" s="10" t="str">
        <f>HYPERLINK("mailto:draval@crm.otsuka-europe.com", "draval@crm.otsuka-europe.com")</f>
        <v>draval@crm.otsuka-europe.com</v>
      </c>
      <c r="N5272" s="13">
        <v>46177.385659722226</v>
      </c>
      <c r="O5272" s="14" t="str">
        <f>HYPERLINK("https://otsuka-europe-crm.veevavault.com/ui/#object/email_activity__v/V8C00000003N569", "EN-002088915")</f>
        <v>EN-002088915</v>
      </c>
    </row>
    <row r="5273" spans="1:15" ht="32" x14ac:dyDescent="0.2">
      <c r="A5273" s="7" t="str">
        <f>HYPERLINK("https://otsuka-europe-crm.veevavault.com/ui/#object/account__v/V4T000000021064", "Joseph Clubb")</f>
        <v>Joseph Clubb</v>
      </c>
      <c r="B5273" s="7" t="str">
        <f>HYPERLINK("https://otsuka-europe-crm.veevavault.com/ui/#object/vcountry__v/VENZ000004SONFK", "GB")</f>
        <v>GB</v>
      </c>
      <c r="C5273" s="8" t="s">
        <v>39</v>
      </c>
      <c r="D5273" s="9" t="str">
        <f>HYPERLINK("https://otsuka-europe-crm.veevavault.com/ui/#object/approved_document__v/V5OZ025E82PXJSL", "Otsuka Privacy Notice - UK (v2)")</f>
        <v>Otsuka Privacy Notice - UK (v2)</v>
      </c>
      <c r="E5273" s="10" t="str">
        <f>HYPERLINK("https://otsuka-europe-crm.veevavault.com/ui/#object/sent_email__v/VBL00000002Q308", "SE-001433985")</f>
        <v>SE-001433985</v>
      </c>
      <c r="F5273" s="11"/>
      <c r="G5273" s="12">
        <v>0</v>
      </c>
      <c r="H5273" s="12">
        <v>0</v>
      </c>
      <c r="I5273" s="12">
        <v>0</v>
      </c>
      <c r="J5273" s="11"/>
      <c r="K5273" s="12">
        <v>0</v>
      </c>
      <c r="L5273" s="10" t="str">
        <f>HYPERLINK("https://otsuka-europe-crm.veevavault.com/ui/#object/approved_document__v/V5OZ025E82PXJSL", "Otsuka Privacy Notice - UK (v2)")</f>
        <v>Otsuka Privacy Notice - UK (v2)</v>
      </c>
      <c r="M5273" s="10" t="str">
        <f>HYPERLINK("mailto:ldimambro@crm.otsuka-europe.com", "ldimambro@crm.otsuka-europe.com")</f>
        <v>ldimambro@crm.otsuka-europe.com</v>
      </c>
      <c r="N5273" s="13">
        <v>46177.391770833332</v>
      </c>
      <c r="O5273" s="14" t="str">
        <f>HYPERLINK("https://otsuka-europe-crm.veevavault.com/ui/#object/email_activity__v/V8C00000003M444", "EN-002088919")</f>
        <v>EN-002088919</v>
      </c>
    </row>
    <row r="5274" spans="1:15" ht="32" x14ac:dyDescent="0.2">
      <c r="A5274" s="7" t="str">
        <f>HYPERLINK("https://otsuka-europe-crm.veevavault.com/ui/#object/account__v/V4T000000021064", "Joseph Clubb")</f>
        <v>Joseph Clubb</v>
      </c>
      <c r="B5274" s="7" t="str">
        <f>HYPERLINK("https://otsuka-europe-crm.veevavault.com/ui/#object/vcountry__v/VENZ000004SONFK", "GB")</f>
        <v>GB</v>
      </c>
      <c r="C5274" s="8" t="s">
        <v>39</v>
      </c>
      <c r="D5274" s="9" t="str">
        <f>HYPERLINK("https://otsuka-europe-crm.veevavault.com/ui/#object/approved_document__v/V5O00000000D081", "UK - Consent Email 1 Aug 25")</f>
        <v>UK - Consent Email 1 Aug 25</v>
      </c>
      <c r="E5274" s="10" t="str">
        <f>HYPERLINK("https://otsuka-europe-crm.veevavault.com/ui/#object/sent_email__v/VBL00000002Q309", "SE-001433986")</f>
        <v>SE-001433986</v>
      </c>
      <c r="F5274" s="11"/>
      <c r="G5274" s="12">
        <v>0</v>
      </c>
      <c r="H5274" s="12">
        <v>0</v>
      </c>
      <c r="I5274" s="12">
        <v>0</v>
      </c>
      <c r="J5274" s="11"/>
      <c r="K5274" s="12">
        <v>0</v>
      </c>
      <c r="L5274" s="10" t="str">
        <f>HYPERLINK("https://otsuka-europe-crm.veevavault.com/ui/#object/approved_document__v/V5O00000000D081", "UK - Consent Email 1 Aug 25")</f>
        <v>UK - Consent Email 1 Aug 25</v>
      </c>
      <c r="M5274" s="10" t="str">
        <f>HYPERLINK("mailto:ldimambro@crm.otsuka-europe.com", "ldimambro@crm.otsuka-europe.com")</f>
        <v>ldimambro@crm.otsuka-europe.com</v>
      </c>
      <c r="N5274" s="13">
        <v>46177.392974537041</v>
      </c>
      <c r="O5274" s="14" t="str">
        <f>HYPERLINK("https://otsuka-europe-crm.veevavault.com/ui/#object/email_activity__v/V8C00000003N572", "EN-002088920")</f>
        <v>EN-002088920</v>
      </c>
    </row>
    <row r="5275" spans="1:15" ht="16" x14ac:dyDescent="0.2">
      <c r="A5275" s="17" t="str">
        <f>HYPERLINK("https://otsuka-europe-crm.veevavault.com/ui/#object/account__v/V4T000000020064", "Carolyn Coleman")</f>
        <v>Carolyn Coleman</v>
      </c>
      <c r="B5275" s="17" t="str">
        <f>HYPERLINK("https://otsuka-europe-crm.veevavault.com/ui/#object/vcountry__v/VENZ000004SONFK", "GB")</f>
        <v>GB</v>
      </c>
      <c r="C5275" s="20" t="s">
        <v>39</v>
      </c>
      <c r="D5275" s="21" t="str">
        <f>HYPERLINK("https://otsuka-europe-crm.veevavault.com/ui/#object/approved_document__v/V5OZ025E82PXJSL", "Otsuka Privacy Notice - UK (v2)")</f>
        <v>Otsuka Privacy Notice - UK (v2)</v>
      </c>
      <c r="E5275" s="22" t="str">
        <f>HYPERLINK("https://otsuka-europe-crm.veevavault.com/ui/#object/sent_email__v/VBL00000002Q310", "SE-001433987")</f>
        <v>SE-001433987</v>
      </c>
      <c r="F5275" s="23">
        <v>46177.446111111109</v>
      </c>
      <c r="G5275" s="24">
        <v>1</v>
      </c>
      <c r="H5275" s="24">
        <v>1</v>
      </c>
      <c r="I5275" s="24">
        <v>0</v>
      </c>
      <c r="J5275" s="25"/>
      <c r="K5275" s="24">
        <v>0</v>
      </c>
      <c r="L5275" s="22" t="str">
        <f>HYPERLINK("https://otsuka-europe-crm.veevavault.com/ui/#object/approved_document__v/V5OZ025E82PXJSL", "Otsuka Privacy Notice - UK (v2)")</f>
        <v>Otsuka Privacy Notice - UK (v2)</v>
      </c>
      <c r="M5275" s="22" t="str">
        <f>HYPERLINK("mailto:ldimambro@crm.otsuka-europe.com", "ldimambro@crm.otsuka-europe.com")</f>
        <v>ldimambro@crm.otsuka-europe.com</v>
      </c>
      <c r="N5275" s="23">
        <v>46177.397847222222</v>
      </c>
      <c r="O5275" s="14" t="str">
        <f>HYPERLINK("https://otsuka-europe-crm.veevavault.com/ui/#object/email_activity__v/V8C00000003N573", "EN-002088921")</f>
        <v>EN-002088921</v>
      </c>
    </row>
    <row r="5276" spans="1:15" ht="16" x14ac:dyDescent="0.2">
      <c r="A5276" s="19"/>
      <c r="B5276" s="19"/>
      <c r="C5276" s="19"/>
      <c r="D5276" s="19"/>
      <c r="E5276" s="19"/>
      <c r="F5276" s="19"/>
      <c r="G5276" s="19"/>
      <c r="H5276" s="19"/>
      <c r="I5276" s="19"/>
      <c r="J5276" s="19"/>
      <c r="K5276" s="19"/>
      <c r="L5276" s="19"/>
      <c r="M5276" s="19"/>
      <c r="N5276" s="19"/>
      <c r="O5276" s="14" t="str">
        <f>HYPERLINK("https://otsuka-europe-crm.veevavault.com/ui/#object/email_activity__v/V8C00000003N600", "EN-002088995")</f>
        <v>EN-002088995</v>
      </c>
    </row>
    <row r="5277" spans="1:15" ht="16" x14ac:dyDescent="0.2">
      <c r="A5277" s="17" t="str">
        <f>HYPERLINK("https://otsuka-europe-crm.veevavault.com/ui/#object/account__v/V4T000000020064", "Carolyn Coleman")</f>
        <v>Carolyn Coleman</v>
      </c>
      <c r="B5277" s="17" t="str">
        <f>HYPERLINK("https://otsuka-europe-crm.veevavault.com/ui/#object/vcountry__v/VENZ000004SONFK", "GB")</f>
        <v>GB</v>
      </c>
      <c r="C5277" s="20" t="s">
        <v>39</v>
      </c>
      <c r="D5277" s="21" t="str">
        <f>HYPERLINK("https://otsuka-europe-crm.veevavault.com/ui/#object/approved_document__v/V5O00000000D081", "UK - Consent Email 1 Aug 25")</f>
        <v>UK - Consent Email 1 Aug 25</v>
      </c>
      <c r="E5277" s="22" t="str">
        <f>HYPERLINK("https://otsuka-europe-crm.veevavault.com/ui/#object/sent_email__v/VBL00000002Q311", "SE-001433988")</f>
        <v>SE-001433988</v>
      </c>
      <c r="F5277" s="23">
        <v>46177.446226851855</v>
      </c>
      <c r="G5277" s="24">
        <v>1</v>
      </c>
      <c r="H5277" s="24">
        <v>1</v>
      </c>
      <c r="I5277" s="24">
        <v>1</v>
      </c>
      <c r="J5277" s="23">
        <v>46177.446562500001</v>
      </c>
      <c r="K5277" s="24">
        <v>1</v>
      </c>
      <c r="L5277" s="22" t="str">
        <f>HYPERLINK("https://otsuka-europe-crm.veevavault.com/ui/#object/approved_document__v/V5O00000000D081", "UK - Consent Email 1 Aug 25")</f>
        <v>UK - Consent Email 1 Aug 25</v>
      </c>
      <c r="M5277" s="22" t="str">
        <f>HYPERLINK("mailto:ldimambro@crm.otsuka-europe.com", "ldimambro@crm.otsuka-europe.com")</f>
        <v>ldimambro@crm.otsuka-europe.com</v>
      </c>
      <c r="N5277" s="23">
        <v>46177.398912037039</v>
      </c>
      <c r="O5277" s="14" t="str">
        <f>HYPERLINK("https://otsuka-europe-crm.veevavault.com/ui/#object/email_activity__v/V8C00000003M445", "EN-002088922")</f>
        <v>EN-002088922</v>
      </c>
    </row>
    <row r="5278" spans="1:15" ht="16" x14ac:dyDescent="0.2">
      <c r="A5278" s="18"/>
      <c r="B5278" s="18"/>
      <c r="C5278" s="18"/>
      <c r="D5278" s="18"/>
      <c r="E5278" s="18"/>
      <c r="F5278" s="18"/>
      <c r="G5278" s="18"/>
      <c r="H5278" s="18"/>
      <c r="I5278" s="18"/>
      <c r="J5278" s="18"/>
      <c r="K5278" s="18"/>
      <c r="L5278" s="18"/>
      <c r="M5278" s="18"/>
      <c r="N5278" s="18"/>
      <c r="O5278" s="14" t="str">
        <f>HYPERLINK("https://otsuka-europe-crm.veevavault.com/ui/#object/email_activity__v/V8C00000003M495", "EN-002089011")</f>
        <v>EN-002089011</v>
      </c>
    </row>
    <row r="5279" spans="1:15" ht="16" x14ac:dyDescent="0.2">
      <c r="A5279" s="19"/>
      <c r="B5279" s="19"/>
      <c r="C5279" s="19"/>
      <c r="D5279" s="19"/>
      <c r="E5279" s="19"/>
      <c r="F5279" s="19"/>
      <c r="G5279" s="19"/>
      <c r="H5279" s="19"/>
      <c r="I5279" s="19"/>
      <c r="J5279" s="19"/>
      <c r="K5279" s="19"/>
      <c r="L5279" s="19"/>
      <c r="M5279" s="19"/>
      <c r="N5279" s="19"/>
      <c r="O5279" s="14" t="str">
        <f>HYPERLINK("https://otsuka-europe-crm.veevavault.com/ui/#object/email_activity__v/V8C00000003N601", "EN-002088996")</f>
        <v>EN-002088996</v>
      </c>
    </row>
    <row r="5280" spans="1:15" ht="16" x14ac:dyDescent="0.2">
      <c r="A5280" s="17" t="str">
        <f>HYPERLINK("https://otsuka-europe-crm.veevavault.com/ui/#object/account__v/V4T000000020062", "Gareth Peeples")</f>
        <v>Gareth Peeples</v>
      </c>
      <c r="B5280" s="17" t="str">
        <f>HYPERLINK("https://otsuka-europe-crm.veevavault.com/ui/#object/vcountry__v/VENZ000004SONFK", "GB")</f>
        <v>GB</v>
      </c>
      <c r="C5280" s="20" t="s">
        <v>39</v>
      </c>
      <c r="D5280" s="21" t="str">
        <f>HYPERLINK("https://otsuka-europe-crm.veevavault.com/ui/#object/approved_document__v/V5OZ025E82PXJSL", "Otsuka Privacy Notice - UK (v2)")</f>
        <v>Otsuka Privacy Notice - UK (v2)</v>
      </c>
      <c r="E5280" s="22" t="str">
        <f>HYPERLINK("https://otsuka-europe-crm.veevavault.com/ui/#object/sent_email__v/VBL00000002N859", "SE-001433989")</f>
        <v>SE-001433989</v>
      </c>
      <c r="F5280" s="23">
        <v>46177.583020833335</v>
      </c>
      <c r="G5280" s="24">
        <v>1</v>
      </c>
      <c r="H5280" s="24">
        <v>2</v>
      </c>
      <c r="I5280" s="24">
        <v>0</v>
      </c>
      <c r="J5280" s="25"/>
      <c r="K5280" s="24">
        <v>0</v>
      </c>
      <c r="L5280" s="22" t="str">
        <f>HYPERLINK("https://otsuka-europe-crm.veevavault.com/ui/#object/approved_document__v/V5OZ025E82PXJSL", "Otsuka Privacy Notice - UK (v2)")</f>
        <v>Otsuka Privacy Notice - UK (v2)</v>
      </c>
      <c r="M5280" s="22" t="str">
        <f>HYPERLINK("mailto:ldimambro@crm.otsuka-europe.com", "ldimambro@crm.otsuka-europe.com")</f>
        <v>ldimambro@crm.otsuka-europe.com</v>
      </c>
      <c r="N5280" s="23">
        <v>46177.401504629626</v>
      </c>
      <c r="O5280" s="14" t="str">
        <f>HYPERLINK("https://otsuka-europe-crm.veevavault.com/ui/#object/email_activity__v/V8C00000003M545", "EN-002089114")</f>
        <v>EN-002089114</v>
      </c>
    </row>
    <row r="5281" spans="1:15" ht="16" x14ac:dyDescent="0.2">
      <c r="A5281" s="18"/>
      <c r="B5281" s="18"/>
      <c r="C5281" s="18"/>
      <c r="D5281" s="18"/>
      <c r="E5281" s="18"/>
      <c r="F5281" s="18"/>
      <c r="G5281" s="18"/>
      <c r="H5281" s="18"/>
      <c r="I5281" s="18"/>
      <c r="J5281" s="18"/>
      <c r="K5281" s="18"/>
      <c r="L5281" s="18"/>
      <c r="M5281" s="18"/>
      <c r="N5281" s="18"/>
      <c r="O5281" s="14" t="str">
        <f>HYPERLINK("https://otsuka-europe-crm.veevavault.com/ui/#object/email_activity__v/V8C00000003N578", "EN-002088930")</f>
        <v>EN-002088930</v>
      </c>
    </row>
    <row r="5282" spans="1:15" ht="16" x14ac:dyDescent="0.2">
      <c r="A5282" s="19"/>
      <c r="B5282" s="19"/>
      <c r="C5282" s="19"/>
      <c r="D5282" s="19"/>
      <c r="E5282" s="19"/>
      <c r="F5282" s="19"/>
      <c r="G5282" s="19"/>
      <c r="H5282" s="19"/>
      <c r="I5282" s="19"/>
      <c r="J5282" s="19"/>
      <c r="K5282" s="19"/>
      <c r="L5282" s="19"/>
      <c r="M5282" s="19"/>
      <c r="N5282" s="19"/>
      <c r="O5282" s="14" t="str">
        <f>HYPERLINK("https://otsuka-europe-crm.veevavault.com/ui/#object/email_activity__v/V8C00000003N667", "EN-002089117")</f>
        <v>EN-002089117</v>
      </c>
    </row>
    <row r="5283" spans="1:15" ht="16" x14ac:dyDescent="0.2">
      <c r="A5283" s="17" t="str">
        <f>HYPERLINK("https://otsuka-europe-crm.veevavault.com/ui/#object/account__v/V4T000000020062", "Gareth Peeples")</f>
        <v>Gareth Peeples</v>
      </c>
      <c r="B5283" s="17" t="str">
        <f>HYPERLINK("https://otsuka-europe-crm.veevavault.com/ui/#object/vcountry__v/VENZ000004SONFK", "GB")</f>
        <v>GB</v>
      </c>
      <c r="C5283" s="20" t="s">
        <v>39</v>
      </c>
      <c r="D5283" s="21" t="str">
        <f>HYPERLINK("https://otsuka-europe-crm.veevavault.com/ui/#object/approved_document__v/V5O00000000D081", "UK - Consent Email 1 Aug 25")</f>
        <v>UK - Consent Email 1 Aug 25</v>
      </c>
      <c r="E5283" s="22" t="str">
        <f>HYPERLINK("https://otsuka-europe-crm.veevavault.com/ui/#object/sent_email__v/VBL00000002N860", "SE-001433990")</f>
        <v>SE-001433990</v>
      </c>
      <c r="F5283" s="23">
        <v>46177.582407407404</v>
      </c>
      <c r="G5283" s="24">
        <v>1</v>
      </c>
      <c r="H5283" s="24">
        <v>1</v>
      </c>
      <c r="I5283" s="24">
        <v>1</v>
      </c>
      <c r="J5283" s="23">
        <v>46177.582719907405</v>
      </c>
      <c r="K5283" s="24">
        <v>1</v>
      </c>
      <c r="L5283" s="22" t="str">
        <f>HYPERLINK("https://otsuka-europe-crm.veevavault.com/ui/#object/approved_document__v/V5O00000000D081", "UK - Consent Email 1 Aug 25")</f>
        <v>UK - Consent Email 1 Aug 25</v>
      </c>
      <c r="M5283" s="22" t="str">
        <f>HYPERLINK("mailto:ldimambro@crm.otsuka-europe.com", "ldimambro@crm.otsuka-europe.com")</f>
        <v>ldimambro@crm.otsuka-europe.com</v>
      </c>
      <c r="N5283" s="23">
        <v>46177.402546296296</v>
      </c>
      <c r="O5283" s="14" t="str">
        <f>HYPERLINK("https://otsuka-europe-crm.veevavault.com/ui/#object/email_activity__v/V8C00000003M449", "EN-002088931")</f>
        <v>EN-002088931</v>
      </c>
    </row>
    <row r="5284" spans="1:15" ht="16" x14ac:dyDescent="0.2">
      <c r="A5284" s="18"/>
      <c r="B5284" s="18"/>
      <c r="C5284" s="18"/>
      <c r="D5284" s="18"/>
      <c r="E5284" s="18"/>
      <c r="F5284" s="18"/>
      <c r="G5284" s="18"/>
      <c r="H5284" s="18"/>
      <c r="I5284" s="18"/>
      <c r="J5284" s="18"/>
      <c r="K5284" s="18"/>
      <c r="L5284" s="18"/>
      <c r="M5284" s="18"/>
      <c r="N5284" s="18"/>
      <c r="O5284" s="14" t="str">
        <f>HYPERLINK("https://otsuka-europe-crm.veevavault.com/ui/#object/email_activity__v/V8C00000003M546", "EN-002089116")</f>
        <v>EN-002089116</v>
      </c>
    </row>
    <row r="5285" spans="1:15" ht="16" x14ac:dyDescent="0.2">
      <c r="A5285" s="19"/>
      <c r="B5285" s="19"/>
      <c r="C5285" s="19"/>
      <c r="D5285" s="19"/>
      <c r="E5285" s="19"/>
      <c r="F5285" s="19"/>
      <c r="G5285" s="19"/>
      <c r="H5285" s="19"/>
      <c r="I5285" s="19"/>
      <c r="J5285" s="19"/>
      <c r="K5285" s="19"/>
      <c r="L5285" s="19"/>
      <c r="M5285" s="19"/>
      <c r="N5285" s="19"/>
      <c r="O5285" s="14" t="str">
        <f>HYPERLINK("https://otsuka-europe-crm.veevavault.com/ui/#object/email_activity__v/V8C00000003N666", "EN-002089115")</f>
        <v>EN-002089115</v>
      </c>
    </row>
    <row r="5286" spans="1:15" ht="48" x14ac:dyDescent="0.2">
      <c r="A5286" s="7" t="str">
        <f>HYPERLINK("https://otsuka-europe-crm.veevavault.com/ui/#object/account__v/V4TZ06G6O9N3TT5", "JULIEN TOURIGNY")</f>
        <v>JULIEN TOURIGNY</v>
      </c>
      <c r="B5286" s="7" t="str">
        <f>HYPERLINK("https://otsuka-europe-crm.veevavault.com/ui/#object/vcountry__v/VENZ000004SONFA", "FR")</f>
        <v>FR</v>
      </c>
      <c r="C5286" s="8" t="s">
        <v>42</v>
      </c>
      <c r="D5286" s="9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E5286" s="10" t="str">
        <f>HYPERLINK("https://otsuka-europe-crm.veevavault.com/ui/#object/sent_email__v/VBL00000002Q312", "SE-001433991")</f>
        <v>SE-001433991</v>
      </c>
      <c r="F5286" s="11"/>
      <c r="G5286" s="12">
        <v>0</v>
      </c>
      <c r="H5286" s="12">
        <v>0</v>
      </c>
      <c r="I5286" s="12">
        <v>0</v>
      </c>
      <c r="J5286" s="11"/>
      <c r="K5286" s="12">
        <v>0</v>
      </c>
      <c r="L5286" s="10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M5286" s="10" t="str">
        <f>HYPERLINK("mailto:cmaillegarnier@crm.otsuka-europe.com", "cmaillegarnier@crm.otsuka-europe.com")</f>
        <v>cmaillegarnier@crm.otsuka-europe.com</v>
      </c>
      <c r="N5286" s="13">
        <v>46178.175706018519</v>
      </c>
      <c r="O5286" s="14" t="str">
        <f>HYPERLINK("https://otsuka-europe-crm.veevavault.com/ui/#object/email_activity__v/V8C00000003P005", "EN-002089259")</f>
        <v>EN-002089259</v>
      </c>
    </row>
    <row r="5287" spans="1:15" ht="32" x14ac:dyDescent="0.2">
      <c r="A5287" s="7" t="str">
        <f>HYPERLINK("https://otsuka-europe-crm.veevavault.com/ui/#object/account__v/V4TZ06G6O9N3TT5", "JULIEN TOURIGNY")</f>
        <v>JULIEN TOURIGNY</v>
      </c>
      <c r="B5287" s="7" t="str">
        <f>HYPERLINK("https://otsuka-europe-crm.veevavault.com/ui/#object/vcountry__v/VENZ000004SONFA", "FR")</f>
        <v>FR</v>
      </c>
      <c r="C5287" s="8" t="s">
        <v>42</v>
      </c>
      <c r="D5287" s="9" t="str">
        <f>HYPERLINK("https://otsuka-europe-crm.veevavault.com/ui/#object/approved_document__v/V5OZ04ASG4G02Y7", "REMERCIEMENTS_VAD_2023")</f>
        <v>REMERCIEMENTS_VAD_2023</v>
      </c>
      <c r="E5287" s="10" t="str">
        <f>HYPERLINK("https://otsuka-europe-crm.veevavault.com/ui/#object/sent_email__v/VBL00000002Q313", "SE-001433992")</f>
        <v>SE-001433992</v>
      </c>
      <c r="F5287" s="11"/>
      <c r="G5287" s="12">
        <v>0</v>
      </c>
      <c r="H5287" s="12">
        <v>0</v>
      </c>
      <c r="I5287" s="12">
        <v>0</v>
      </c>
      <c r="J5287" s="11"/>
      <c r="K5287" s="12">
        <v>0</v>
      </c>
      <c r="L5287" s="10" t="str">
        <f>HYPERLINK("https://otsuka-europe-crm.veevavault.com/ui/#object/approved_document__v/V5OZ04ASG4G02Y7", "REMERCIEMENTS_VAD_2023")</f>
        <v>REMERCIEMENTS_VAD_2023</v>
      </c>
      <c r="M5287" s="10" t="str">
        <f>HYPERLINK("mailto:cmaillegarnier@crm.otsuka-europe.com", "cmaillegarnier@crm.otsuka-europe.com")</f>
        <v>cmaillegarnier@crm.otsuka-europe.com</v>
      </c>
      <c r="N5287" s="13">
        <v>46177.404305555552</v>
      </c>
      <c r="O5287" s="14" t="str">
        <f>HYPERLINK("https://otsuka-europe-crm.veevavault.com/ui/#object/email_activity__v/V8C00000003M455", "EN-002088937")</f>
        <v>EN-002088937</v>
      </c>
    </row>
    <row r="5288" spans="1:15" ht="32" x14ac:dyDescent="0.2">
      <c r="A5288" s="7" t="str">
        <f>HYPERLINK("https://otsuka-europe-crm.veevavault.com/ui/#object/account__v/V4TZ06G6O965KMF", "NOEMI CABELLO CLOTET")</f>
        <v>NOEMI CABELLO CLOTET</v>
      </c>
      <c r="B5288" s="7" t="str">
        <f>HYPERLINK("https://otsuka-europe-crm.veevavault.com/ui/#object/vcountry__v/VENZ000004SONF5", "ES")</f>
        <v>ES</v>
      </c>
      <c r="C5288" s="8" t="s">
        <v>41</v>
      </c>
      <c r="D5288" s="9" t="str">
        <f>HYPERLINK("https://otsuka-europe-crm.veevavault.com/ui/#object/approved_document__v/V5O00000000D100", "Spain - Consent Email 1 Aug 25")</f>
        <v>Spain - Consent Email 1 Aug 25</v>
      </c>
      <c r="E5288" s="10" t="str">
        <f>HYPERLINK("https://otsuka-europe-crm.veevavault.com/ui/#object/sent_email__v/VBL00000002N864", "SE-001433993")</f>
        <v>SE-001433993</v>
      </c>
      <c r="F5288" s="11"/>
      <c r="G5288" s="12">
        <v>0</v>
      </c>
      <c r="H5288" s="12">
        <v>0</v>
      </c>
      <c r="I5288" s="12">
        <v>0</v>
      </c>
      <c r="J5288" s="11"/>
      <c r="K5288" s="12">
        <v>0</v>
      </c>
      <c r="L5288" s="10" t="str">
        <f>HYPERLINK("https://otsuka-europe-crm.veevavault.com/ui/#object/approved_document__v/V5O00000000D100", "Spain - Consent Email 1 Aug 25")</f>
        <v>Spain - Consent Email 1 Aug 25</v>
      </c>
      <c r="M5288" s="10" t="str">
        <f>HYPERLINK("mailto:jguri@crm.otsuka-europe.com", "jguri@crm.otsuka-europe.com")</f>
        <v>jguri@crm.otsuka-europe.com</v>
      </c>
      <c r="N5288" s="13">
        <v>46177.426736111112</v>
      </c>
      <c r="O5288" s="14" t="str">
        <f>HYPERLINK("https://otsuka-europe-crm.veevavault.com/ui/#object/email_activity__v/V8C00000003M460", "EN-002088945")</f>
        <v>EN-002088945</v>
      </c>
    </row>
    <row r="5289" spans="1:15" ht="32" x14ac:dyDescent="0.2">
      <c r="A5289" s="7" t="str">
        <f>HYPERLINK("https://otsuka-europe-crm.veevavault.com/ui/#object/account__v/V4TZ04ASGB4W0FR", "NOELIA CUBINO BOVEDA")</f>
        <v>NOELIA CUBINO BOVEDA</v>
      </c>
      <c r="B5289" s="7" t="str">
        <f>HYPERLINK("https://otsuka-europe-crm.veevavault.com/ui/#object/vcountry__v/VENZ000004SONF5", "ES")</f>
        <v>ES</v>
      </c>
      <c r="C5289" s="8" t="s">
        <v>41</v>
      </c>
      <c r="D5289" s="9" t="str">
        <f>HYPERLINK("https://otsuka-europe-crm.veevavault.com/ui/#object/approved_document__v/V5O00000000D100", "Spain - Consent Email 1 Aug 25")</f>
        <v>Spain - Consent Email 1 Aug 25</v>
      </c>
      <c r="E5289" s="10" t="str">
        <f>HYPERLINK("https://otsuka-europe-crm.veevavault.com/ui/#object/sent_email__v/VBL00000002N865", "SE-001433994")</f>
        <v>SE-001433994</v>
      </c>
      <c r="F5289" s="11"/>
      <c r="G5289" s="12">
        <v>0</v>
      </c>
      <c r="H5289" s="12">
        <v>0</v>
      </c>
      <c r="I5289" s="12">
        <v>0</v>
      </c>
      <c r="J5289" s="11"/>
      <c r="K5289" s="12">
        <v>0</v>
      </c>
      <c r="L5289" s="10" t="str">
        <f>HYPERLINK("https://otsuka-europe-crm.veevavault.com/ui/#object/approved_document__v/V5O00000000D100", "Spain - Consent Email 1 Aug 25")</f>
        <v>Spain - Consent Email 1 Aug 25</v>
      </c>
      <c r="M5289" s="10" t="str">
        <f>HYPERLINK("mailto:jguri@crm.otsuka-europe.com", "jguri@crm.otsuka-europe.com")</f>
        <v>jguri@crm.otsuka-europe.com</v>
      </c>
      <c r="N5289" s="13">
        <v>46177.426759259259</v>
      </c>
      <c r="O5289" s="14" t="str">
        <f>HYPERLINK("https://otsuka-europe-crm.veevavault.com/ui/#object/email_activity__v/V8C00000003M461", "EN-002088946")</f>
        <v>EN-002088946</v>
      </c>
    </row>
    <row r="5290" spans="1:15" ht="32" x14ac:dyDescent="0.2">
      <c r="A5290" s="7" t="str">
        <f>HYPERLINK("https://otsuka-europe-crm.veevavault.com/ui/#object/account__v/V4TZ06G6O71T82W", "MARIAM FARID-ZAHRAN OSUNA")</f>
        <v>MARIAM FARID-ZAHRAN OSUNA</v>
      </c>
      <c r="B5290" s="7" t="str">
        <f>HYPERLINK("https://otsuka-europe-crm.veevavault.com/ui/#object/vcountry__v/VENZ000004SONF5", "ES")</f>
        <v>ES</v>
      </c>
      <c r="C5290" s="8" t="s">
        <v>41</v>
      </c>
      <c r="D5290" s="9" t="str">
        <f>HYPERLINK("https://otsuka-europe-crm.veevavault.com/ui/#object/approved_document__v/V5O00000000D100", "Spain - Consent Email 1 Aug 25")</f>
        <v>Spain - Consent Email 1 Aug 25</v>
      </c>
      <c r="E5290" s="10" t="str">
        <f>HYPERLINK("https://otsuka-europe-crm.veevavault.com/ui/#object/sent_email__v/VBL00000002N866", "SE-001433995")</f>
        <v>SE-001433995</v>
      </c>
      <c r="F5290" s="11"/>
      <c r="G5290" s="12">
        <v>0</v>
      </c>
      <c r="H5290" s="12">
        <v>0</v>
      </c>
      <c r="I5290" s="12">
        <v>0</v>
      </c>
      <c r="J5290" s="11"/>
      <c r="K5290" s="12">
        <v>0</v>
      </c>
      <c r="L5290" s="10" t="str">
        <f>HYPERLINK("https://otsuka-europe-crm.veevavault.com/ui/#object/approved_document__v/V5O00000000D100", "Spain - Consent Email 1 Aug 25")</f>
        <v>Spain - Consent Email 1 Aug 25</v>
      </c>
      <c r="M5290" s="10" t="str">
        <f>HYPERLINK("mailto:jguri@crm.otsuka-europe.com", "jguri@crm.otsuka-europe.com")</f>
        <v>jguri@crm.otsuka-europe.com</v>
      </c>
      <c r="N5290" s="13">
        <v>46177.428819444445</v>
      </c>
      <c r="O5290" s="14" t="str">
        <f>HYPERLINK("https://otsuka-europe-crm.veevavault.com/ui/#object/email_activity__v/V8C00000003M462", "EN-002088947")</f>
        <v>EN-002088947</v>
      </c>
    </row>
    <row r="5291" spans="1:15" ht="16" x14ac:dyDescent="0.2">
      <c r="A5291" s="17" t="str">
        <f>HYPERLINK("https://otsuka-europe-crm.veevavault.com/ui/#object/account__v/V4TZ06G6O71T7EG", "JOSE LUIS GARCIA KLEPZIG")</f>
        <v>JOSE LUIS GARCIA KLEPZIG</v>
      </c>
      <c r="B5291" s="17" t="str">
        <f>HYPERLINK("https://otsuka-europe-crm.veevavault.com/ui/#object/vcountry__v/VENZ000004SONF5", "ES")</f>
        <v>ES</v>
      </c>
      <c r="C5291" s="20" t="s">
        <v>41</v>
      </c>
      <c r="D5291" s="21" t="str">
        <f>HYPERLINK("https://otsuka-europe-crm.veevavault.com/ui/#object/approved_document__v/V5O00000000D100", "Spain - Consent Email 1 Aug 25")</f>
        <v>Spain - Consent Email 1 Aug 25</v>
      </c>
      <c r="E5291" s="22" t="str">
        <f>HYPERLINK("https://otsuka-europe-crm.veevavault.com/ui/#object/sent_email__v/VBL00000002Q318", "SE-001433996")</f>
        <v>SE-001433996</v>
      </c>
      <c r="F5291" s="25"/>
      <c r="G5291" s="24">
        <v>0</v>
      </c>
      <c r="H5291" s="24">
        <v>0</v>
      </c>
      <c r="I5291" s="24">
        <v>0</v>
      </c>
      <c r="J5291" s="25"/>
      <c r="K5291" s="24">
        <v>0</v>
      </c>
      <c r="L5291" s="22" t="str">
        <f>HYPERLINK("https://otsuka-europe-crm.veevavault.com/ui/#object/approved_document__v/V5O00000000D100", "Spain - Consent Email 1 Aug 25")</f>
        <v>Spain - Consent Email 1 Aug 25</v>
      </c>
      <c r="M5291" s="22" t="str">
        <f>HYPERLINK("mailto:jguri@crm.otsuka-europe.com", "jguri@crm.otsuka-europe.com")</f>
        <v>jguri@crm.otsuka-europe.com</v>
      </c>
      <c r="N5291" s="23">
        <v>46177.429872685185</v>
      </c>
      <c r="O5291" s="14" t="str">
        <f>HYPERLINK("https://otsuka-europe-crm.veevavault.com/ui/#object/email_activity__v/V8C00000003N582", "EN-002088948")</f>
        <v>EN-002088948</v>
      </c>
    </row>
    <row r="5292" spans="1:15" ht="16" x14ac:dyDescent="0.2">
      <c r="A5292" s="18"/>
      <c r="B5292" s="18"/>
      <c r="C5292" s="18"/>
      <c r="D5292" s="18"/>
      <c r="E5292" s="18"/>
      <c r="F5292" s="18"/>
      <c r="G5292" s="18"/>
      <c r="H5292" s="18"/>
      <c r="I5292" s="18"/>
      <c r="J5292" s="18"/>
      <c r="K5292" s="18"/>
      <c r="L5292" s="18"/>
      <c r="M5292" s="18"/>
      <c r="N5292" s="18"/>
      <c r="O5292" s="14" t="str">
        <f>HYPERLINK("https://otsuka-europe-crm.veevavault.com/ui/#object/email_activity__v/V8C00000003N652", "EN-002089088")</f>
        <v>EN-002089088</v>
      </c>
    </row>
    <row r="5293" spans="1:15" ht="16" x14ac:dyDescent="0.2">
      <c r="A5293" s="18"/>
      <c r="B5293" s="18"/>
      <c r="C5293" s="18"/>
      <c r="D5293" s="18"/>
      <c r="E5293" s="18"/>
      <c r="F5293" s="18"/>
      <c r="G5293" s="18"/>
      <c r="H5293" s="18"/>
      <c r="I5293" s="18"/>
      <c r="J5293" s="18"/>
      <c r="K5293" s="18"/>
      <c r="L5293" s="18"/>
      <c r="M5293" s="18"/>
      <c r="N5293" s="18"/>
      <c r="O5293" s="14" t="str">
        <f>HYPERLINK("https://otsuka-europe-crm.veevavault.com/ui/#object/email_activity__v/V8C00000003V467", "EN-002095707")</f>
        <v>EN-002095707</v>
      </c>
    </row>
    <row r="5294" spans="1:15" ht="16" x14ac:dyDescent="0.2">
      <c r="A5294" s="19"/>
      <c r="B5294" s="19"/>
      <c r="C5294" s="19"/>
      <c r="D5294" s="19"/>
      <c r="E5294" s="19"/>
      <c r="F5294" s="19"/>
      <c r="G5294" s="19"/>
      <c r="H5294" s="19"/>
      <c r="I5294" s="19"/>
      <c r="J5294" s="19"/>
      <c r="K5294" s="19"/>
      <c r="L5294" s="19"/>
      <c r="M5294" s="19"/>
      <c r="N5294" s="19"/>
      <c r="O5294" s="14" t="str">
        <f>HYPERLINK("https://otsuka-europe-crm.veevavault.com/ui/#object/email_activity__v/V8C00000003W825", "EN-002098659")</f>
        <v>EN-002098659</v>
      </c>
    </row>
    <row r="5295" spans="1:15" ht="32" x14ac:dyDescent="0.2">
      <c r="A5295" s="7" t="str">
        <f>HYPERLINK("https://otsuka-europe-crm.veevavault.com/ui/#object/account__v/V4TZ06G6O71TA4W", "GONZALO GARCIA-CASASOLA SANCHEZ")</f>
        <v>GONZALO GARCIA-CASASOLA SANCHEZ</v>
      </c>
      <c r="B5295" s="7" t="str">
        <f>HYPERLINK("https://otsuka-europe-crm.veevavault.com/ui/#object/vcountry__v/VENZ000004SONF5", "ES")</f>
        <v>ES</v>
      </c>
      <c r="C5295" s="8" t="s">
        <v>41</v>
      </c>
      <c r="D5295" s="9" t="str">
        <f>HYPERLINK("https://otsuka-europe-crm.veevavault.com/ui/#object/approved_document__v/V5O00000000D100", "Spain - Consent Email 1 Aug 25")</f>
        <v>Spain - Consent Email 1 Aug 25</v>
      </c>
      <c r="E5295" s="10" t="str">
        <f>HYPERLINK("https://otsuka-europe-crm.veevavault.com/ui/#object/sent_email__v/VBL00000002Q319", "SE-001433997")</f>
        <v>SE-001433997</v>
      </c>
      <c r="F5295" s="11"/>
      <c r="G5295" s="12">
        <v>0</v>
      </c>
      <c r="H5295" s="12">
        <v>0</v>
      </c>
      <c r="I5295" s="12">
        <v>0</v>
      </c>
      <c r="J5295" s="11"/>
      <c r="K5295" s="12">
        <v>0</v>
      </c>
      <c r="L5295" s="10" t="str">
        <f>HYPERLINK("https://otsuka-europe-crm.veevavault.com/ui/#object/approved_document__v/V5O00000000D100", "Spain - Consent Email 1 Aug 25")</f>
        <v>Spain - Consent Email 1 Aug 25</v>
      </c>
      <c r="M5295" s="10" t="str">
        <f>HYPERLINK("mailto:jguri@crm.otsuka-europe.com", "jguri@crm.otsuka-europe.com")</f>
        <v>jguri@crm.otsuka-europe.com</v>
      </c>
      <c r="N5295" s="13">
        <v>46177.430555555555</v>
      </c>
      <c r="O5295" s="14" t="str">
        <f>HYPERLINK("https://otsuka-europe-crm.veevavault.com/ui/#object/email_activity__v/V8C00000003N583", "EN-002088949")</f>
        <v>EN-002088949</v>
      </c>
    </row>
    <row r="5296" spans="1:15" ht="32" x14ac:dyDescent="0.2">
      <c r="A5296" s="7" t="str">
        <f>HYPERLINK("https://otsuka-europe-crm.veevavault.com/ui/#object/account__v/V4TZ06G6O71TAEI", "SONIA GONZALO PASCUA")</f>
        <v>SONIA GONZALO PASCUA</v>
      </c>
      <c r="B5296" s="7" t="str">
        <f>HYPERLINK("https://otsuka-europe-crm.veevavault.com/ui/#object/vcountry__v/VENZ000004SONF5", "ES")</f>
        <v>ES</v>
      </c>
      <c r="C5296" s="8" t="s">
        <v>41</v>
      </c>
      <c r="D5296" s="9" t="str">
        <f>HYPERLINK("https://otsuka-europe-crm.veevavault.com/ui/#object/approved_document__v/V5O00000000D100", "Spain - Consent Email 1 Aug 25")</f>
        <v>Spain - Consent Email 1 Aug 25</v>
      </c>
      <c r="E5296" s="10" t="str">
        <f>HYPERLINK("https://otsuka-europe-crm.veevavault.com/ui/#object/sent_email__v/VBL00000002Q320", "SE-001433998")</f>
        <v>SE-001433998</v>
      </c>
      <c r="F5296" s="11"/>
      <c r="G5296" s="12">
        <v>0</v>
      </c>
      <c r="H5296" s="12">
        <v>0</v>
      </c>
      <c r="I5296" s="12">
        <v>0</v>
      </c>
      <c r="J5296" s="11"/>
      <c r="K5296" s="12">
        <v>0</v>
      </c>
      <c r="L5296" s="10" t="str">
        <f>HYPERLINK("https://otsuka-europe-crm.veevavault.com/ui/#object/approved_document__v/V5O00000000D100", "Spain - Consent Email 1 Aug 25")</f>
        <v>Spain - Consent Email 1 Aug 25</v>
      </c>
      <c r="M5296" s="10" t="str">
        <f>HYPERLINK("mailto:jguri@crm.otsuka-europe.com", "jguri@crm.otsuka-europe.com")</f>
        <v>jguri@crm.otsuka-europe.com</v>
      </c>
      <c r="N5296" s="13">
        <v>46177.430902777778</v>
      </c>
      <c r="O5296" s="14" t="str">
        <f>HYPERLINK("https://otsuka-europe-crm.veevavault.com/ui/#object/email_activity__v/V8C00000003M463", "EN-002088950")</f>
        <v>EN-002088950</v>
      </c>
    </row>
    <row r="5297" spans="1:15" ht="16" x14ac:dyDescent="0.2">
      <c r="A5297" s="17" t="str">
        <f>HYPERLINK("https://otsuka-europe-crm.veevavault.com/ui/#object/account__v/V4TZ06G6OB4BK01", "JUAN LUENGO ALVAREZ")</f>
        <v>JUAN LUENGO ALVAREZ</v>
      </c>
      <c r="B5297" s="17" t="str">
        <f>HYPERLINK("https://otsuka-europe-crm.veevavault.com/ui/#object/vcountry__v/VENZ000004SONF5", "ES")</f>
        <v>ES</v>
      </c>
      <c r="C5297" s="20" t="s">
        <v>41</v>
      </c>
      <c r="D5297" s="21" t="str">
        <f>HYPERLINK("https://otsuka-europe-crm.veevavault.com/ui/#object/approved_document__v/V5O00000000D100", "Spain - Consent Email 1 Aug 25")</f>
        <v>Spain - Consent Email 1 Aug 25</v>
      </c>
      <c r="E5297" s="22" t="str">
        <f>HYPERLINK("https://otsuka-europe-crm.veevavault.com/ui/#object/sent_email__v/VBL00000002Q321", "SE-001433999")</f>
        <v>SE-001433999</v>
      </c>
      <c r="F5297" s="23">
        <v>46177.565775462965</v>
      </c>
      <c r="G5297" s="24">
        <v>1</v>
      </c>
      <c r="H5297" s="24">
        <v>1</v>
      </c>
      <c r="I5297" s="24">
        <v>0</v>
      </c>
      <c r="J5297" s="25"/>
      <c r="K5297" s="24">
        <v>0</v>
      </c>
      <c r="L5297" s="22" t="str">
        <f>HYPERLINK("https://otsuka-europe-crm.veevavault.com/ui/#object/approved_document__v/V5O00000000D100", "Spain - Consent Email 1 Aug 25")</f>
        <v>Spain - Consent Email 1 Aug 25</v>
      </c>
      <c r="M5297" s="22" t="str">
        <f>HYPERLINK("mailto:jguri@crm.otsuka-europe.com", "jguri@crm.otsuka-europe.com")</f>
        <v>jguri@crm.otsuka-europe.com</v>
      </c>
      <c r="N5297" s="23">
        <v>46177.431435185186</v>
      </c>
      <c r="O5297" s="14" t="str">
        <f>HYPERLINK("https://otsuka-europe-crm.veevavault.com/ui/#object/email_activity__v/V8C00000003M542", "EN-002089108")</f>
        <v>EN-002089108</v>
      </c>
    </row>
    <row r="5298" spans="1:15" ht="16" x14ac:dyDescent="0.2">
      <c r="A5298" s="19"/>
      <c r="B5298" s="19"/>
      <c r="C5298" s="19"/>
      <c r="D5298" s="19"/>
      <c r="E5298" s="19"/>
      <c r="F5298" s="19"/>
      <c r="G5298" s="19"/>
      <c r="H5298" s="19"/>
      <c r="I5298" s="19"/>
      <c r="J5298" s="19"/>
      <c r="K5298" s="19"/>
      <c r="L5298" s="19"/>
      <c r="M5298" s="19"/>
      <c r="N5298" s="19"/>
      <c r="O5298" s="14" t="str">
        <f>HYPERLINK("https://otsuka-europe-crm.veevavault.com/ui/#object/email_activity__v/V8C00000003N584", "EN-002088951")</f>
        <v>EN-002088951</v>
      </c>
    </row>
    <row r="5299" spans="1:15" ht="16" x14ac:dyDescent="0.2">
      <c r="A5299" s="17" t="str">
        <f>HYPERLINK("https://otsuka-europe-crm.veevavault.com/ui/#object/account__v/V4TZ06G6O71TB2H", "MIGUEL MARCOS MARTIN")</f>
        <v>MIGUEL MARCOS MARTIN</v>
      </c>
      <c r="B5299" s="17" t="str">
        <f>HYPERLINK("https://otsuka-europe-crm.veevavault.com/ui/#object/vcountry__v/VENZ000004SONF5", "ES")</f>
        <v>ES</v>
      </c>
      <c r="C5299" s="20" t="s">
        <v>41</v>
      </c>
      <c r="D5299" s="21" t="str">
        <f>HYPERLINK("https://otsuka-europe-crm.veevavault.com/ui/#object/approved_document__v/V5O00000000D100", "Spain - Consent Email 1 Aug 25")</f>
        <v>Spain - Consent Email 1 Aug 25</v>
      </c>
      <c r="E5299" s="22" t="str">
        <f>HYPERLINK("https://otsuka-europe-crm.veevavault.com/ui/#object/sent_email__v/VBL00000002N867", "SE-001434000")</f>
        <v>SE-001434000</v>
      </c>
      <c r="F5299" s="23">
        <v>46177.962442129632</v>
      </c>
      <c r="G5299" s="24">
        <v>1</v>
      </c>
      <c r="H5299" s="24">
        <v>1</v>
      </c>
      <c r="I5299" s="24">
        <v>1</v>
      </c>
      <c r="J5299" s="23">
        <v>46177.969918981478</v>
      </c>
      <c r="K5299" s="24">
        <v>2</v>
      </c>
      <c r="L5299" s="22" t="str">
        <f>HYPERLINK("https://otsuka-europe-crm.veevavault.com/ui/#object/approved_document__v/V5O00000000D100", "Spain - Consent Email 1 Aug 25")</f>
        <v>Spain - Consent Email 1 Aug 25</v>
      </c>
      <c r="M5299" s="22" t="str">
        <f>HYPERLINK("mailto:jguri@crm.otsuka-europe.com", "jguri@crm.otsuka-europe.com")</f>
        <v>jguri@crm.otsuka-europe.com</v>
      </c>
      <c r="N5299" s="23">
        <v>46177.431770833333</v>
      </c>
      <c r="O5299" s="14" t="str">
        <f>HYPERLINK("https://otsuka-europe-crm.veevavault.com/ui/#object/email_activity__v/V8C00000003N585", "EN-002088952")</f>
        <v>EN-002088952</v>
      </c>
    </row>
    <row r="5300" spans="1:15" ht="16" x14ac:dyDescent="0.2">
      <c r="A5300" s="18"/>
      <c r="B5300" s="18"/>
      <c r="C5300" s="18"/>
      <c r="D5300" s="18"/>
      <c r="E5300" s="18"/>
      <c r="F5300" s="18"/>
      <c r="G5300" s="18"/>
      <c r="H5300" s="18"/>
      <c r="I5300" s="18"/>
      <c r="J5300" s="18"/>
      <c r="K5300" s="18"/>
      <c r="L5300" s="18"/>
      <c r="M5300" s="18"/>
      <c r="N5300" s="18"/>
      <c r="O5300" s="14" t="str">
        <f>HYPERLINK("https://otsuka-europe-crm.veevavault.com/ui/#object/email_activity__v/V8C00000003O005", "EN-002089245")</f>
        <v>EN-002089245</v>
      </c>
    </row>
    <row r="5301" spans="1:15" ht="16" x14ac:dyDescent="0.2">
      <c r="A5301" s="18"/>
      <c r="B5301" s="18"/>
      <c r="C5301" s="18"/>
      <c r="D5301" s="18"/>
      <c r="E5301" s="18"/>
      <c r="F5301" s="18"/>
      <c r="G5301" s="18"/>
      <c r="H5301" s="18"/>
      <c r="I5301" s="18"/>
      <c r="J5301" s="18"/>
      <c r="K5301" s="18"/>
      <c r="L5301" s="18"/>
      <c r="M5301" s="18"/>
      <c r="N5301" s="18"/>
      <c r="O5301" s="14" t="str">
        <f>HYPERLINK("https://otsuka-europe-crm.veevavault.com/ui/#object/email_activity__v/V8C00000003O006", "EN-002089247")</f>
        <v>EN-002089247</v>
      </c>
    </row>
    <row r="5302" spans="1:15" ht="16" x14ac:dyDescent="0.2">
      <c r="A5302" s="19"/>
      <c r="B5302" s="19"/>
      <c r="C5302" s="19"/>
      <c r="D5302" s="19"/>
      <c r="E5302" s="19"/>
      <c r="F5302" s="19"/>
      <c r="G5302" s="19"/>
      <c r="H5302" s="19"/>
      <c r="I5302" s="19"/>
      <c r="J5302" s="19"/>
      <c r="K5302" s="19"/>
      <c r="L5302" s="19"/>
      <c r="M5302" s="19"/>
      <c r="N5302" s="19"/>
      <c r="O5302" s="14" t="str">
        <f>HYPERLINK("https://otsuka-europe-crm.veevavault.com/ui/#object/email_activity__v/V8C00000003P001", "EN-002089246")</f>
        <v>EN-002089246</v>
      </c>
    </row>
    <row r="5303" spans="1:15" ht="16" x14ac:dyDescent="0.2">
      <c r="A5303" s="17" t="str">
        <f>HYPERLINK("https://otsuka-europe-crm.veevavault.com/ui/#object/account__v/V4TZ06G6O71TB16", "JORGE MARRERO FRANCES")</f>
        <v>JORGE MARRERO FRANCES</v>
      </c>
      <c r="B5303" s="17" t="str">
        <f>HYPERLINK("https://otsuka-europe-crm.veevavault.com/ui/#object/vcountry__v/VENZ000004SONF5", "ES")</f>
        <v>ES</v>
      </c>
      <c r="C5303" s="20" t="s">
        <v>41</v>
      </c>
      <c r="D5303" s="21" t="str">
        <f>HYPERLINK("https://otsuka-europe-crm.veevavault.com/ui/#object/approved_document__v/V5O00000000D100", "Spain - Consent Email 1 Aug 25")</f>
        <v>Spain - Consent Email 1 Aug 25</v>
      </c>
      <c r="E5303" s="22" t="str">
        <f>HYPERLINK("https://otsuka-europe-crm.veevavault.com/ui/#object/sent_email__v/VBL00000002Q322", "SE-001434001")</f>
        <v>SE-001434001</v>
      </c>
      <c r="F5303" s="25"/>
      <c r="G5303" s="24">
        <v>0</v>
      </c>
      <c r="H5303" s="24">
        <v>0</v>
      </c>
      <c r="I5303" s="24">
        <v>0</v>
      </c>
      <c r="J5303" s="25"/>
      <c r="K5303" s="24">
        <v>0</v>
      </c>
      <c r="L5303" s="22" t="str">
        <f>HYPERLINK("https://otsuka-europe-crm.veevavault.com/ui/#object/approved_document__v/V5O00000000D100", "Spain - Consent Email 1 Aug 25")</f>
        <v>Spain - Consent Email 1 Aug 25</v>
      </c>
      <c r="M5303" s="22" t="str">
        <f>HYPERLINK("mailto:jguri@crm.otsuka-europe.com", "jguri@crm.otsuka-europe.com")</f>
        <v>jguri@crm.otsuka-europe.com</v>
      </c>
      <c r="N5303" s="23">
        <v>46177.432118055556</v>
      </c>
      <c r="O5303" s="14" t="str">
        <f>HYPERLINK("https://otsuka-europe-crm.veevavault.com/ui/#object/email_activity__v/V8C00000003M472", "EN-002088967")</f>
        <v>EN-002088967</v>
      </c>
    </row>
    <row r="5304" spans="1:15" ht="16" x14ac:dyDescent="0.2">
      <c r="A5304" s="19"/>
      <c r="B5304" s="19"/>
      <c r="C5304" s="19"/>
      <c r="D5304" s="19"/>
      <c r="E5304" s="19"/>
      <c r="F5304" s="19"/>
      <c r="G5304" s="19"/>
      <c r="H5304" s="19"/>
      <c r="I5304" s="19"/>
      <c r="J5304" s="19"/>
      <c r="K5304" s="19"/>
      <c r="L5304" s="19"/>
      <c r="M5304" s="19"/>
      <c r="N5304" s="19"/>
      <c r="O5304" s="14" t="str">
        <f>HYPERLINK("https://otsuka-europe-crm.veevavault.com/ui/#object/email_activity__v/V8C00000003N586", "EN-002088953")</f>
        <v>EN-002088953</v>
      </c>
    </row>
    <row r="5305" spans="1:15" ht="32" x14ac:dyDescent="0.2">
      <c r="A5305" s="7" t="str">
        <f>HYPERLINK("https://otsuka-europe-crm.veevavault.com/ui/#object/account__v/V4TZ04ASGBX6VWD", "HELENA AFRICA MARTIN ALVAREZ")</f>
        <v>HELENA AFRICA MARTIN ALVAREZ</v>
      </c>
      <c r="B5305" s="7" t="str">
        <f>HYPERLINK("https://otsuka-europe-crm.veevavault.com/ui/#object/vcountry__v/VENZ000004SONF5", "ES")</f>
        <v>ES</v>
      </c>
      <c r="C5305" s="8" t="s">
        <v>41</v>
      </c>
      <c r="D5305" s="9" t="str">
        <f>HYPERLINK("https://otsuka-europe-crm.veevavault.com/ui/#object/approved_document__v/V5O00000000D100", "Spain - Consent Email 1 Aug 25")</f>
        <v>Spain - Consent Email 1 Aug 25</v>
      </c>
      <c r="E5305" s="10" t="str">
        <f>HYPERLINK("https://otsuka-europe-crm.veevavault.com/ui/#object/sent_email__v/VBL00000002Q323", "SE-001434002")</f>
        <v>SE-001434002</v>
      </c>
      <c r="F5305" s="11"/>
      <c r="G5305" s="12">
        <v>0</v>
      </c>
      <c r="H5305" s="12">
        <v>0</v>
      </c>
      <c r="I5305" s="12">
        <v>0</v>
      </c>
      <c r="J5305" s="11"/>
      <c r="K5305" s="12">
        <v>0</v>
      </c>
      <c r="L5305" s="10" t="str">
        <f>HYPERLINK("https://otsuka-europe-crm.veevavault.com/ui/#object/approved_document__v/V5O00000000D100", "Spain - Consent Email 1 Aug 25")</f>
        <v>Spain - Consent Email 1 Aug 25</v>
      </c>
      <c r="M5305" s="10" t="str">
        <f>HYPERLINK("mailto:jguri@crm.otsuka-europe.com", "jguri@crm.otsuka-europe.com")</f>
        <v>jguri@crm.otsuka-europe.com</v>
      </c>
      <c r="N5305" s="13">
        <v>46177.432256944441</v>
      </c>
      <c r="O5305" s="14" t="str">
        <f>HYPERLINK("https://otsuka-europe-crm.veevavault.com/ui/#object/email_activity__v/V8C00000003N587", "EN-002088954")</f>
        <v>EN-002088954</v>
      </c>
    </row>
    <row r="5306" spans="1:15" ht="16" x14ac:dyDescent="0.2">
      <c r="A5306" s="17" t="str">
        <f>HYPERLINK("https://otsuka-europe-crm.veevavault.com/ui/#object/account__v/V4TZ06G6OB4BK1Z", "MARIA ISABEL MARTIN MARTIN")</f>
        <v>MARIA ISABEL MARTIN MARTIN</v>
      </c>
      <c r="B5306" s="17" t="str">
        <f>HYPERLINK("https://otsuka-europe-crm.veevavault.com/ui/#object/vcountry__v/VENZ000004SONF5", "ES")</f>
        <v>ES</v>
      </c>
      <c r="C5306" s="20" t="s">
        <v>41</v>
      </c>
      <c r="D5306" s="21" t="str">
        <f>HYPERLINK("https://otsuka-europe-crm.veevavault.com/ui/#object/approved_document__v/V5O00000000D100", "Spain - Consent Email 1 Aug 25")</f>
        <v>Spain - Consent Email 1 Aug 25</v>
      </c>
      <c r="E5306" s="22" t="str">
        <f>HYPERLINK("https://otsuka-europe-crm.veevavault.com/ui/#object/sent_email__v/VBL00000002Q324", "SE-001434003")</f>
        <v>SE-001434003</v>
      </c>
      <c r="F5306" s="23">
        <v>46177.433206018519</v>
      </c>
      <c r="G5306" s="24">
        <v>1</v>
      </c>
      <c r="H5306" s="24">
        <v>1</v>
      </c>
      <c r="I5306" s="24">
        <v>1</v>
      </c>
      <c r="J5306" s="23">
        <v>46177.433206018519</v>
      </c>
      <c r="K5306" s="24">
        <v>1</v>
      </c>
      <c r="L5306" s="22" t="str">
        <f>HYPERLINK("https://otsuka-europe-crm.veevavault.com/ui/#object/approved_document__v/V5O00000000D100", "Spain - Consent Email 1 Aug 25")</f>
        <v>Spain - Consent Email 1 Aug 25</v>
      </c>
      <c r="M5306" s="22" t="str">
        <f>HYPERLINK("mailto:jguri@crm.otsuka-europe.com", "jguri@crm.otsuka-europe.com")</f>
        <v>jguri@crm.otsuka-europe.com</v>
      </c>
      <c r="N5306" s="23">
        <v>46177.432685185187</v>
      </c>
      <c r="O5306" s="14" t="str">
        <f>HYPERLINK("https://otsuka-europe-crm.veevavault.com/ui/#object/email_activity__v/V8C00000003M465", "EN-002088956")</f>
        <v>EN-002088956</v>
      </c>
    </row>
    <row r="5307" spans="1:15" ht="16" x14ac:dyDescent="0.2">
      <c r="A5307" s="18"/>
      <c r="B5307" s="18"/>
      <c r="C5307" s="18"/>
      <c r="D5307" s="18"/>
      <c r="E5307" s="18"/>
      <c r="F5307" s="18"/>
      <c r="G5307" s="18"/>
      <c r="H5307" s="18"/>
      <c r="I5307" s="18"/>
      <c r="J5307" s="18"/>
      <c r="K5307" s="18"/>
      <c r="L5307" s="18"/>
      <c r="M5307" s="18"/>
      <c r="N5307" s="18"/>
      <c r="O5307" s="14" t="str">
        <f>HYPERLINK("https://otsuka-europe-crm.veevavault.com/ui/#object/email_activity__v/V8C00000003M468", "EN-002088961")</f>
        <v>EN-002088961</v>
      </c>
    </row>
    <row r="5308" spans="1:15" ht="16" x14ac:dyDescent="0.2">
      <c r="A5308" s="19"/>
      <c r="B5308" s="19"/>
      <c r="C5308" s="19"/>
      <c r="D5308" s="19"/>
      <c r="E5308" s="19"/>
      <c r="F5308" s="19"/>
      <c r="G5308" s="19"/>
      <c r="H5308" s="19"/>
      <c r="I5308" s="19"/>
      <c r="J5308" s="19"/>
      <c r="K5308" s="19"/>
      <c r="L5308" s="19"/>
      <c r="M5308" s="19"/>
      <c r="N5308" s="19"/>
      <c r="O5308" s="14" t="str">
        <f>HYPERLINK("https://otsuka-europe-crm.veevavault.com/ui/#object/email_activity__v/V8C00000003M469", "EN-002088960")</f>
        <v>EN-002088960</v>
      </c>
    </row>
    <row r="5309" spans="1:15" ht="16" x14ac:dyDescent="0.2">
      <c r="A5309" s="17" t="str">
        <f>HYPERLINK("https://otsuka-europe-crm.veevavault.com/ui/#object/account__v/V4TZ04ASGB03E04", "MARIA ANGELES MATIAS DE LA MANO")</f>
        <v>MARIA ANGELES MATIAS DE LA MANO</v>
      </c>
      <c r="B5309" s="17" t="str">
        <f>HYPERLINK("https://otsuka-europe-crm.veevavault.com/ui/#object/vcountry__v/VENZ000004SONF5", "ES")</f>
        <v>ES</v>
      </c>
      <c r="C5309" s="20" t="s">
        <v>41</v>
      </c>
      <c r="D5309" s="21" t="str">
        <f>HYPERLINK("https://otsuka-europe-crm.veevavault.com/ui/#object/approved_document__v/V5O00000000D100", "Spain - Consent Email 1 Aug 25")</f>
        <v>Spain - Consent Email 1 Aug 25</v>
      </c>
      <c r="E5309" s="22" t="str">
        <f>HYPERLINK("https://otsuka-europe-crm.veevavault.com/ui/#object/sent_email__v/VBL00000002Q325", "SE-001434004")</f>
        <v>SE-001434004</v>
      </c>
      <c r="F5309" s="25"/>
      <c r="G5309" s="24">
        <v>0</v>
      </c>
      <c r="H5309" s="24">
        <v>0</v>
      </c>
      <c r="I5309" s="24">
        <v>0</v>
      </c>
      <c r="J5309" s="25"/>
      <c r="K5309" s="24">
        <v>0</v>
      </c>
      <c r="L5309" s="22" t="str">
        <f>HYPERLINK("https://otsuka-europe-crm.veevavault.com/ui/#object/approved_document__v/V5O00000000D100", "Spain - Consent Email 1 Aug 25")</f>
        <v>Spain - Consent Email 1 Aug 25</v>
      </c>
      <c r="M5309" s="22" t="str">
        <f>HYPERLINK("mailto:jguri@crm.otsuka-europe.com", "jguri@crm.otsuka-europe.com")</f>
        <v>jguri@crm.otsuka-europe.com</v>
      </c>
      <c r="N5309" s="23">
        <v>46177.433009259257</v>
      </c>
      <c r="O5309" s="14" t="str">
        <f>HYPERLINK("https://otsuka-europe-crm.veevavault.com/ui/#object/email_activity__v/V8C00000003M466", "EN-002088958")</f>
        <v>EN-002088958</v>
      </c>
    </row>
    <row r="5310" spans="1:15" ht="16" x14ac:dyDescent="0.2">
      <c r="A5310" s="19"/>
      <c r="B5310" s="19"/>
      <c r="C5310" s="19"/>
      <c r="D5310" s="19"/>
      <c r="E5310" s="19"/>
      <c r="F5310" s="19"/>
      <c r="G5310" s="19"/>
      <c r="H5310" s="19"/>
      <c r="I5310" s="19"/>
      <c r="J5310" s="19"/>
      <c r="K5310" s="19"/>
      <c r="L5310" s="19"/>
      <c r="M5310" s="19"/>
      <c r="N5310" s="19"/>
      <c r="O5310" s="14" t="str">
        <f>HYPERLINK("https://otsuka-europe-crm.veevavault.com/ui/#object/email_activity__v/V8C00000003M532", "EN-002089087")</f>
        <v>EN-002089087</v>
      </c>
    </row>
    <row r="5311" spans="1:15" ht="32" x14ac:dyDescent="0.2">
      <c r="A5311" s="7" t="str">
        <f>HYPERLINK("https://otsuka-europe-crm.veevavault.com/ui/#object/account__v/V4TZ06G6O71TAYD", "MANUEL MENDEZ BAILON")</f>
        <v>MANUEL MENDEZ BAILON</v>
      </c>
      <c r="B5311" s="7" t="str">
        <f>HYPERLINK("https://otsuka-europe-crm.veevavault.com/ui/#object/vcountry__v/VENZ000004SONF5", "ES")</f>
        <v>ES</v>
      </c>
      <c r="C5311" s="8" t="s">
        <v>41</v>
      </c>
      <c r="D5311" s="9" t="str">
        <f>HYPERLINK("https://otsuka-europe-crm.veevavault.com/ui/#object/approved_document__v/V5O00000000D100", "Spain - Consent Email 1 Aug 25")</f>
        <v>Spain - Consent Email 1 Aug 25</v>
      </c>
      <c r="E5311" s="10" t="str">
        <f>HYPERLINK("https://otsuka-europe-crm.veevavault.com/ui/#object/sent_email__v/VBL00000002N868", "SE-001434005")</f>
        <v>SE-001434005</v>
      </c>
      <c r="F5311" s="11"/>
      <c r="G5311" s="12">
        <v>0</v>
      </c>
      <c r="H5311" s="12">
        <v>0</v>
      </c>
      <c r="I5311" s="12">
        <v>0</v>
      </c>
      <c r="J5311" s="11"/>
      <c r="K5311" s="12">
        <v>0</v>
      </c>
      <c r="L5311" s="10" t="str">
        <f>HYPERLINK("https://otsuka-europe-crm.veevavault.com/ui/#object/approved_document__v/V5O00000000D100", "Spain - Consent Email 1 Aug 25")</f>
        <v>Spain - Consent Email 1 Aug 25</v>
      </c>
      <c r="M5311" s="10" t="str">
        <f>HYPERLINK("mailto:jguri@crm.otsuka-europe.com", "jguri@crm.otsuka-europe.com")</f>
        <v>jguri@crm.otsuka-europe.com</v>
      </c>
      <c r="N5311" s="13">
        <v>46177.433113425926</v>
      </c>
      <c r="O5311" s="14" t="str">
        <f>HYPERLINK("https://otsuka-europe-crm.veevavault.com/ui/#object/email_activity__v/V8C00000003M467", "EN-002088959")</f>
        <v>EN-002088959</v>
      </c>
    </row>
    <row r="5312" spans="1:15" ht="32" x14ac:dyDescent="0.2">
      <c r="A5312" s="7" t="str">
        <f>HYPERLINK("https://otsuka-europe-crm.veevavault.com/ui/#object/account__v/V4TZ025E891GGEL", "HUMBERTO FRANCISCO MENDOZA RUIZ DE ZUAZU")</f>
        <v>HUMBERTO FRANCISCO MENDOZA RUIZ DE ZUAZU</v>
      </c>
      <c r="B5312" s="7" t="str">
        <f>HYPERLINK("https://otsuka-europe-crm.veevavault.com/ui/#object/vcountry__v/VENZ000004SONF5", "ES")</f>
        <v>ES</v>
      </c>
      <c r="C5312" s="8" t="s">
        <v>41</v>
      </c>
      <c r="D5312" s="9" t="str">
        <f>HYPERLINK("https://otsuka-europe-crm.veevavault.com/ui/#object/approved_document__v/V5O00000000D100", "Spain - Consent Email 1 Aug 25")</f>
        <v>Spain - Consent Email 1 Aug 25</v>
      </c>
      <c r="E5312" s="10" t="str">
        <f>HYPERLINK("https://otsuka-europe-crm.veevavault.com/ui/#object/sent_email__v/VBL00000002Q326", "SE-001434006")</f>
        <v>SE-001434006</v>
      </c>
      <c r="F5312" s="11"/>
      <c r="G5312" s="12">
        <v>0</v>
      </c>
      <c r="H5312" s="12">
        <v>0</v>
      </c>
      <c r="I5312" s="12">
        <v>0</v>
      </c>
      <c r="J5312" s="11"/>
      <c r="K5312" s="12">
        <v>0</v>
      </c>
      <c r="L5312" s="10" t="str">
        <f>HYPERLINK("https://otsuka-europe-crm.veevavault.com/ui/#object/approved_document__v/V5O00000000D100", "Spain - Consent Email 1 Aug 25")</f>
        <v>Spain - Consent Email 1 Aug 25</v>
      </c>
      <c r="M5312" s="10" t="str">
        <f>HYPERLINK("mailto:jguri@crm.otsuka-europe.com", "jguri@crm.otsuka-europe.com")</f>
        <v>jguri@crm.otsuka-europe.com</v>
      </c>
      <c r="N5312" s="13">
        <v>46177.433530092596</v>
      </c>
      <c r="O5312" s="14" t="str">
        <f>HYPERLINK("https://otsuka-europe-crm.veevavault.com/ui/#object/email_activity__v/V8C00000003M470", "EN-002088962")</f>
        <v>EN-002088962</v>
      </c>
    </row>
    <row r="5313" spans="1:15" ht="16" x14ac:dyDescent="0.2">
      <c r="A5313" s="17" t="str">
        <f>HYPERLINK("https://otsuka-europe-crm.veevavault.com/ui/#object/account__v/V4TZ04ASGGBYXTS", "MARIA EUGENIA MIRANDA CARUS")</f>
        <v>MARIA EUGENIA MIRANDA CARUS</v>
      </c>
      <c r="B5313" s="17" t="str">
        <f>HYPERLINK("https://otsuka-europe-crm.veevavault.com/ui/#object/vcountry__v/VENZ000004SONF5", "ES")</f>
        <v>ES</v>
      </c>
      <c r="C5313" s="20" t="s">
        <v>41</v>
      </c>
      <c r="D5313" s="21" t="str">
        <f>HYPERLINK("https://otsuka-europe-crm.veevavault.com/ui/#object/approved_document__v/V5O00000000D100", "Spain - Consent Email 1 Aug 25")</f>
        <v>Spain - Consent Email 1 Aug 25</v>
      </c>
      <c r="E5313" s="22" t="str">
        <f>HYPERLINK("https://otsuka-europe-crm.veevavault.com/ui/#object/sent_email__v/VBL00000002N869", "SE-001434007")</f>
        <v>SE-001434007</v>
      </c>
      <c r="F5313" s="23">
        <v>46177.43478009259</v>
      </c>
      <c r="G5313" s="24">
        <v>1</v>
      </c>
      <c r="H5313" s="24">
        <v>1</v>
      </c>
      <c r="I5313" s="24">
        <v>0</v>
      </c>
      <c r="J5313" s="25"/>
      <c r="K5313" s="24">
        <v>0</v>
      </c>
      <c r="L5313" s="22" t="str">
        <f>HYPERLINK("https://otsuka-europe-crm.veevavault.com/ui/#object/approved_document__v/V5O00000000D100", "Spain - Consent Email 1 Aug 25")</f>
        <v>Spain - Consent Email 1 Aug 25</v>
      </c>
      <c r="M5313" s="22" t="str">
        <f>HYPERLINK("mailto:jguri@crm.otsuka-europe.com", "jguri@crm.otsuka-europe.com")</f>
        <v>jguri@crm.otsuka-europe.com</v>
      </c>
      <c r="N5313" s="23">
        <v>46177.433865740742</v>
      </c>
      <c r="O5313" s="14" t="str">
        <f>HYPERLINK("https://otsuka-europe-crm.veevavault.com/ui/#object/email_activity__v/V8C00000003M473", "EN-002088968")</f>
        <v>EN-002088968</v>
      </c>
    </row>
    <row r="5314" spans="1:15" ht="16" x14ac:dyDescent="0.2">
      <c r="A5314" s="19"/>
      <c r="B5314" s="19"/>
      <c r="C5314" s="19"/>
      <c r="D5314" s="19"/>
      <c r="E5314" s="19"/>
      <c r="F5314" s="19"/>
      <c r="G5314" s="19"/>
      <c r="H5314" s="19"/>
      <c r="I5314" s="19"/>
      <c r="J5314" s="19"/>
      <c r="K5314" s="19"/>
      <c r="L5314" s="19"/>
      <c r="M5314" s="19"/>
      <c r="N5314" s="19"/>
      <c r="O5314" s="14" t="str">
        <f>HYPERLINK("https://otsuka-europe-crm.veevavault.com/ui/#object/email_activity__v/V8C00000003N589", "EN-002088963")</f>
        <v>EN-002088963</v>
      </c>
    </row>
    <row r="5315" spans="1:15" ht="16" x14ac:dyDescent="0.2">
      <c r="A5315" s="17" t="str">
        <f>HYPERLINK("https://otsuka-europe-crm.veevavault.com/ui/#object/account__v/V4TZ06G6OB4BK4R", "ITZIAR MARIA MONTERO DIAZ")</f>
        <v>ITZIAR MARIA MONTERO DIAZ</v>
      </c>
      <c r="B5315" s="17" t="str">
        <f>HYPERLINK("https://otsuka-europe-crm.veevavault.com/ui/#object/vcountry__v/VENZ000004SONF5", "ES")</f>
        <v>ES</v>
      </c>
      <c r="C5315" s="20" t="s">
        <v>41</v>
      </c>
      <c r="D5315" s="21" t="str">
        <f>HYPERLINK("https://otsuka-europe-crm.veevavault.com/ui/#object/approved_document__v/V5O00000000D100", "Spain - Consent Email 1 Aug 25")</f>
        <v>Spain - Consent Email 1 Aug 25</v>
      </c>
      <c r="E5315" s="22" t="str">
        <f>HYPERLINK("https://otsuka-europe-crm.veevavault.com/ui/#object/sent_email__v/VBL00000002N870", "SE-001434008")</f>
        <v>SE-001434008</v>
      </c>
      <c r="F5315" s="23">
        <v>46178.300219907411</v>
      </c>
      <c r="G5315" s="24">
        <v>1</v>
      </c>
      <c r="H5315" s="24">
        <v>1</v>
      </c>
      <c r="I5315" s="24">
        <v>0</v>
      </c>
      <c r="J5315" s="25"/>
      <c r="K5315" s="24">
        <v>0</v>
      </c>
      <c r="L5315" s="22" t="str">
        <f>HYPERLINK("https://otsuka-europe-crm.veevavault.com/ui/#object/approved_document__v/V5O00000000D100", "Spain - Consent Email 1 Aug 25")</f>
        <v>Spain - Consent Email 1 Aug 25</v>
      </c>
      <c r="M5315" s="22" t="str">
        <f>HYPERLINK("mailto:jguri@crm.otsuka-europe.com", "jguri@crm.otsuka-europe.com")</f>
        <v>jguri@crm.otsuka-europe.com</v>
      </c>
      <c r="N5315" s="23">
        <v>46177.433981481481</v>
      </c>
      <c r="O5315" s="14" t="str">
        <f>HYPERLINK("https://otsuka-europe-crm.veevavault.com/ui/#object/email_activity__v/V8C00000003M471", "EN-002088964")</f>
        <v>EN-002088964</v>
      </c>
    </row>
    <row r="5316" spans="1:15" ht="16" x14ac:dyDescent="0.2">
      <c r="A5316" s="19"/>
      <c r="B5316" s="19"/>
      <c r="C5316" s="19"/>
      <c r="D5316" s="19"/>
      <c r="E5316" s="19"/>
      <c r="F5316" s="19"/>
      <c r="G5316" s="19"/>
      <c r="H5316" s="19"/>
      <c r="I5316" s="19"/>
      <c r="J5316" s="19"/>
      <c r="K5316" s="19"/>
      <c r="L5316" s="19"/>
      <c r="M5316" s="19"/>
      <c r="N5316" s="19"/>
      <c r="O5316" s="14" t="str">
        <f>HYPERLINK("https://otsuka-europe-crm.veevavault.com/ui/#object/email_activity__v/V8C00000003P011", "EN-002089270")</f>
        <v>EN-002089270</v>
      </c>
    </row>
    <row r="5317" spans="1:15" ht="32" x14ac:dyDescent="0.2">
      <c r="A5317" s="7" t="str">
        <f>HYPERLINK("https://otsuka-europe-crm.veevavault.com/ui/#object/account__v/V4TZ04ASG6ZJENA", "MARIA CARMEN MONTESERIN BERMEJO")</f>
        <v>MARIA CARMEN MONTESERIN BERMEJO</v>
      </c>
      <c r="B5317" s="7" t="str">
        <f>HYPERLINK("https://otsuka-europe-crm.veevavault.com/ui/#object/vcountry__v/VENZ000004SONF5", "ES")</f>
        <v>ES</v>
      </c>
      <c r="C5317" s="8" t="s">
        <v>41</v>
      </c>
      <c r="D5317" s="9" t="str">
        <f>HYPERLINK("https://otsuka-europe-crm.veevavault.com/ui/#object/approved_document__v/V5O00000000D100", "Spain - Consent Email 1 Aug 25")</f>
        <v>Spain - Consent Email 1 Aug 25</v>
      </c>
      <c r="E5317" s="10" t="str">
        <f>HYPERLINK("https://otsuka-europe-crm.veevavault.com/ui/#object/sent_email__v/VBL00000002Q327", "SE-001434009")</f>
        <v>SE-001434009</v>
      </c>
      <c r="F5317" s="11"/>
      <c r="G5317" s="12">
        <v>0</v>
      </c>
      <c r="H5317" s="12">
        <v>0</v>
      </c>
      <c r="I5317" s="12">
        <v>0</v>
      </c>
      <c r="J5317" s="11"/>
      <c r="K5317" s="12">
        <v>0</v>
      </c>
      <c r="L5317" s="10" t="str">
        <f>HYPERLINK("https://otsuka-europe-crm.veevavault.com/ui/#object/approved_document__v/V5O00000000D100", "Spain - Consent Email 1 Aug 25")</f>
        <v>Spain - Consent Email 1 Aug 25</v>
      </c>
      <c r="M5317" s="10" t="str">
        <f>HYPERLINK("mailto:jguri@crm.otsuka-europe.com", "jguri@crm.otsuka-europe.com")</f>
        <v>jguri@crm.otsuka-europe.com</v>
      </c>
      <c r="N5317" s="13">
        <v>46177.434398148151</v>
      </c>
      <c r="O5317" s="14" t="str">
        <f>HYPERLINK("https://otsuka-europe-crm.veevavault.com/ui/#object/email_activity__v/V8C00000003N590", "EN-002088965")</f>
        <v>EN-002088965</v>
      </c>
    </row>
    <row r="5318" spans="1:15" ht="16" x14ac:dyDescent="0.2">
      <c r="A5318" s="17" t="str">
        <f>HYPERLINK("https://otsuka-europe-crm.veevavault.com/ui/#object/account__v/V4TZ06G6O8A4CBJ", "JORGE NAVARRO LOPEZ")</f>
        <v>JORGE NAVARRO LOPEZ</v>
      </c>
      <c r="B5318" s="17" t="str">
        <f>HYPERLINK("https://otsuka-europe-crm.veevavault.com/ui/#object/vcountry__v/VENZ000004SONF5", "ES")</f>
        <v>ES</v>
      </c>
      <c r="C5318" s="20" t="s">
        <v>41</v>
      </c>
      <c r="D5318" s="21" t="str">
        <f>HYPERLINK("https://otsuka-europe-crm.veevavault.com/ui/#object/approved_document__v/V5O00000000D100", "Spain - Consent Email 1 Aug 25")</f>
        <v>Spain - Consent Email 1 Aug 25</v>
      </c>
      <c r="E5318" s="22" t="str">
        <f>HYPERLINK("https://otsuka-europe-crm.veevavault.com/ui/#object/sent_email__v/VBL00000002N871", "SE-001434010")</f>
        <v>SE-001434010</v>
      </c>
      <c r="F5318" s="25"/>
      <c r="G5318" s="24">
        <v>0</v>
      </c>
      <c r="H5318" s="24">
        <v>0</v>
      </c>
      <c r="I5318" s="24">
        <v>0</v>
      </c>
      <c r="J5318" s="25"/>
      <c r="K5318" s="24">
        <v>0</v>
      </c>
      <c r="L5318" s="22" t="str">
        <f>HYPERLINK("https://otsuka-europe-crm.veevavault.com/ui/#object/approved_document__v/V5O00000000D100", "Spain - Consent Email 1 Aug 25")</f>
        <v>Spain - Consent Email 1 Aug 25</v>
      </c>
      <c r="M5318" s="22" t="str">
        <f>HYPERLINK("mailto:jguri@crm.otsuka-europe.com", "jguri@crm.otsuka-europe.com")</f>
        <v>jguri@crm.otsuka-europe.com</v>
      </c>
      <c r="N5318" s="23">
        <v>46177.434560185182</v>
      </c>
      <c r="O5318" s="14" t="str">
        <f>HYPERLINK("https://otsuka-europe-crm.veevavault.com/ui/#object/email_activity__v/V8C00000003N591", "EN-002088966")</f>
        <v>EN-002088966</v>
      </c>
    </row>
    <row r="5319" spans="1:15" ht="16" x14ac:dyDescent="0.2">
      <c r="A5319" s="19"/>
      <c r="B5319" s="19"/>
      <c r="C5319" s="19"/>
      <c r="D5319" s="19"/>
      <c r="E5319" s="19"/>
      <c r="F5319" s="19"/>
      <c r="G5319" s="19"/>
      <c r="H5319" s="19"/>
      <c r="I5319" s="19"/>
      <c r="J5319" s="19"/>
      <c r="K5319" s="19"/>
      <c r="L5319" s="19"/>
      <c r="M5319" s="19"/>
      <c r="N5319" s="19"/>
      <c r="O5319" s="14" t="str">
        <f>HYPERLINK("https://otsuka-europe-crm.veevavault.com/ui/#object/email_activity__v/V8C00000003O010", "EN-002089253")</f>
        <v>EN-002089253</v>
      </c>
    </row>
    <row r="5320" spans="1:15" ht="16" x14ac:dyDescent="0.2">
      <c r="A5320" s="17" t="str">
        <f>HYPERLINK("https://otsuka-europe-crm.veevavault.com/ui/#object/account__v/V4TZ04ASG6ZJENP", "NAZARET PACHECO GOMEZ")</f>
        <v>NAZARET PACHECO GOMEZ</v>
      </c>
      <c r="B5320" s="17" t="str">
        <f>HYPERLINK("https://otsuka-europe-crm.veevavault.com/ui/#object/vcountry__v/VENZ000004SONF5", "ES")</f>
        <v>ES</v>
      </c>
      <c r="C5320" s="20" t="s">
        <v>41</v>
      </c>
      <c r="D5320" s="21" t="str">
        <f>HYPERLINK("https://otsuka-europe-crm.veevavault.com/ui/#object/approved_document__v/V5O00000000D100", "Spain - Consent Email 1 Aug 25")</f>
        <v>Spain - Consent Email 1 Aug 25</v>
      </c>
      <c r="E5320" s="22" t="str">
        <f>HYPERLINK("https://otsuka-europe-crm.veevavault.com/ui/#object/sent_email__v/VBL00000002N872", "SE-001434011")</f>
        <v>SE-001434011</v>
      </c>
      <c r="F5320" s="23">
        <v>46177.435636574075</v>
      </c>
      <c r="G5320" s="24">
        <v>1</v>
      </c>
      <c r="H5320" s="24">
        <v>1</v>
      </c>
      <c r="I5320" s="24">
        <v>0</v>
      </c>
      <c r="J5320" s="25"/>
      <c r="K5320" s="24">
        <v>0</v>
      </c>
      <c r="L5320" s="22" t="str">
        <f>HYPERLINK("https://otsuka-europe-crm.veevavault.com/ui/#object/approved_document__v/V5O00000000D100", "Spain - Consent Email 1 Aug 25")</f>
        <v>Spain - Consent Email 1 Aug 25</v>
      </c>
      <c r="M5320" s="22" t="str">
        <f>HYPERLINK("mailto:jguri@crm.otsuka-europe.com", "jguri@crm.otsuka-europe.com")</f>
        <v>jguri@crm.otsuka-europe.com</v>
      </c>
      <c r="N5320" s="23">
        <v>46177.435266203705</v>
      </c>
      <c r="O5320" s="14" t="str">
        <f>HYPERLINK("https://otsuka-europe-crm.veevavault.com/ui/#object/email_activity__v/V8C00000003M474", "EN-002088969")</f>
        <v>EN-002088969</v>
      </c>
    </row>
    <row r="5321" spans="1:15" ht="16" x14ac:dyDescent="0.2">
      <c r="A5321" s="19"/>
      <c r="B5321" s="19"/>
      <c r="C5321" s="19"/>
      <c r="D5321" s="19"/>
      <c r="E5321" s="19"/>
      <c r="F5321" s="19"/>
      <c r="G5321" s="19"/>
      <c r="H5321" s="19"/>
      <c r="I5321" s="19"/>
      <c r="J5321" s="19"/>
      <c r="K5321" s="19"/>
      <c r="L5321" s="19"/>
      <c r="M5321" s="19"/>
      <c r="N5321" s="19"/>
      <c r="O5321" s="14" t="str">
        <f>HYPERLINK("https://otsuka-europe-crm.veevavault.com/ui/#object/email_activity__v/V8C00000003N592", "EN-002088971")</f>
        <v>EN-002088971</v>
      </c>
    </row>
    <row r="5322" spans="1:15" ht="16" x14ac:dyDescent="0.2">
      <c r="A5322" s="17" t="str">
        <f>HYPERLINK("https://otsuka-europe-crm.veevavault.com/ui/#object/account__v/V4T000000010104", "IDOIA PAGAI VALCARCEL")</f>
        <v>IDOIA PAGAI VALCARCEL</v>
      </c>
      <c r="B5322" s="17" t="str">
        <f>HYPERLINK("https://otsuka-europe-crm.veevavault.com/ui/#object/vcountry__v/VENZ000004SONF5", "ES")</f>
        <v>ES</v>
      </c>
      <c r="C5322" s="20" t="s">
        <v>41</v>
      </c>
      <c r="D5322" s="21" t="str">
        <f>HYPERLINK("https://otsuka-europe-crm.veevavault.com/ui/#object/approved_document__v/V5O00000000D100", "Spain - Consent Email 1 Aug 25")</f>
        <v>Spain - Consent Email 1 Aug 25</v>
      </c>
      <c r="E5322" s="22" t="str">
        <f>HYPERLINK("https://otsuka-europe-crm.veevavault.com/ui/#object/sent_email__v/VBL00000002N873", "SE-001434012")</f>
        <v>SE-001434012</v>
      </c>
      <c r="F5322" s="25"/>
      <c r="G5322" s="24">
        <v>0</v>
      </c>
      <c r="H5322" s="24">
        <v>0</v>
      </c>
      <c r="I5322" s="24">
        <v>0</v>
      </c>
      <c r="J5322" s="25"/>
      <c r="K5322" s="24">
        <v>0</v>
      </c>
      <c r="L5322" s="22" t="str">
        <f>HYPERLINK("https://otsuka-europe-crm.veevavault.com/ui/#object/approved_document__v/V5O00000000D100", "Spain - Consent Email 1 Aug 25")</f>
        <v>Spain - Consent Email 1 Aug 25</v>
      </c>
      <c r="M5322" s="22" t="str">
        <f>HYPERLINK("mailto:jguri@crm.otsuka-europe.com", "jguri@crm.otsuka-europe.com")</f>
        <v>jguri@crm.otsuka-europe.com</v>
      </c>
      <c r="N5322" s="23">
        <v>46177.435358796298</v>
      </c>
      <c r="O5322" s="14" t="str">
        <f>HYPERLINK("https://otsuka-europe-crm.veevavault.com/ui/#object/email_activity__v/V8C00000003M475", "EN-002088970")</f>
        <v>EN-002088970</v>
      </c>
    </row>
    <row r="5323" spans="1:15" ht="16" x14ac:dyDescent="0.2">
      <c r="A5323" s="19"/>
      <c r="B5323" s="19"/>
      <c r="C5323" s="19"/>
      <c r="D5323" s="19"/>
      <c r="E5323" s="19"/>
      <c r="F5323" s="19"/>
      <c r="G5323" s="19"/>
      <c r="H5323" s="19"/>
      <c r="I5323" s="19"/>
      <c r="J5323" s="19"/>
      <c r="K5323" s="19"/>
      <c r="L5323" s="19"/>
      <c r="M5323" s="19"/>
      <c r="N5323" s="19"/>
      <c r="O5323" s="14" t="str">
        <f>HYPERLINK("https://otsuka-europe-crm.veevavault.com/ui/#object/email_activity__v/V8C00000003P114", "EN-002089454")</f>
        <v>EN-002089454</v>
      </c>
    </row>
    <row r="5324" spans="1:15" ht="16" x14ac:dyDescent="0.2">
      <c r="A5324" s="17" t="str">
        <f>HYPERLINK("https://otsuka-europe-crm.veevavault.com/ui/#object/account__v/V4TZ04ASGFHXEDJ", "JUAN JOSE RIOS BLANCO")</f>
        <v>JUAN JOSE RIOS BLANCO</v>
      </c>
      <c r="B5324" s="17" t="str">
        <f>HYPERLINK("https://otsuka-europe-crm.veevavault.com/ui/#object/vcountry__v/VENZ000004SONF5", "ES")</f>
        <v>ES</v>
      </c>
      <c r="C5324" s="20" t="s">
        <v>41</v>
      </c>
      <c r="D5324" s="21" t="str">
        <f>HYPERLINK("https://otsuka-europe-crm.veevavault.com/ui/#object/approved_document__v/V5O00000000D100", "Spain - Consent Email 1 Aug 25")</f>
        <v>Spain - Consent Email 1 Aug 25</v>
      </c>
      <c r="E5324" s="22" t="str">
        <f>HYPERLINK("https://otsuka-europe-crm.veevavault.com/ui/#object/sent_email__v/VBL00000002Q328", "SE-001434013")</f>
        <v>SE-001434013</v>
      </c>
      <c r="F5324" s="25"/>
      <c r="G5324" s="24">
        <v>0</v>
      </c>
      <c r="H5324" s="24">
        <v>0</v>
      </c>
      <c r="I5324" s="24">
        <v>0</v>
      </c>
      <c r="J5324" s="25"/>
      <c r="K5324" s="24">
        <v>0</v>
      </c>
      <c r="L5324" s="22" t="str">
        <f>HYPERLINK("https://otsuka-europe-crm.veevavault.com/ui/#object/approved_document__v/V5O00000000D100", "Spain - Consent Email 1 Aug 25")</f>
        <v>Spain - Consent Email 1 Aug 25</v>
      </c>
      <c r="M5324" s="22" t="str">
        <f>HYPERLINK("mailto:jguri@crm.otsuka-europe.com", "jguri@crm.otsuka-europe.com")</f>
        <v>jguri@crm.otsuka-europe.com</v>
      </c>
      <c r="N5324" s="23">
        <v>46177.438564814816</v>
      </c>
      <c r="O5324" s="14" t="str">
        <f>HYPERLINK("https://otsuka-europe-crm.veevavault.com/ui/#object/email_activity__v/V8C00000003N594", "EN-002088975")</f>
        <v>EN-002088975</v>
      </c>
    </row>
    <row r="5325" spans="1:15" ht="16" x14ac:dyDescent="0.2">
      <c r="A5325" s="19"/>
      <c r="B5325" s="19"/>
      <c r="C5325" s="19"/>
      <c r="D5325" s="19"/>
      <c r="E5325" s="19"/>
      <c r="F5325" s="19"/>
      <c r="G5325" s="19"/>
      <c r="H5325" s="19"/>
      <c r="I5325" s="19"/>
      <c r="J5325" s="19"/>
      <c r="K5325" s="19"/>
      <c r="L5325" s="19"/>
      <c r="M5325" s="19"/>
      <c r="N5325" s="19"/>
      <c r="O5325" s="14" t="str">
        <f>HYPERLINK("https://otsuka-europe-crm.veevavault.com/ui/#object/email_activity__v/V8C00000003N696", "EN-002089183")</f>
        <v>EN-002089183</v>
      </c>
    </row>
    <row r="5326" spans="1:15" ht="16" x14ac:dyDescent="0.2">
      <c r="A5326" s="17" t="str">
        <f>HYPERLINK("https://otsuka-europe-crm.veevavault.com/ui/#object/account__v/V4TZ06G6O71TYGS", "XAVIER RIVAS REGAIRA")</f>
        <v>XAVIER RIVAS REGAIRA</v>
      </c>
      <c r="B5326" s="17" t="str">
        <f>HYPERLINK("https://otsuka-europe-crm.veevavault.com/ui/#object/vcountry__v/VENZ000004SONF5", "ES")</f>
        <v>ES</v>
      </c>
      <c r="C5326" s="20" t="s">
        <v>41</v>
      </c>
      <c r="D5326" s="21" t="str">
        <f>HYPERLINK("https://otsuka-europe-crm.veevavault.com/ui/#object/approved_document__v/V5O00000000D100", "Spain - Consent Email 1 Aug 25")</f>
        <v>Spain - Consent Email 1 Aug 25</v>
      </c>
      <c r="E5326" s="22" t="str">
        <f>HYPERLINK("https://otsuka-europe-crm.veevavault.com/ui/#object/sent_email__v/VBL00000002N874", "SE-001434014")</f>
        <v>SE-001434014</v>
      </c>
      <c r="F5326" s="25"/>
      <c r="G5326" s="24">
        <v>0</v>
      </c>
      <c r="H5326" s="24">
        <v>0</v>
      </c>
      <c r="I5326" s="24">
        <v>1</v>
      </c>
      <c r="J5326" s="23">
        <v>46177.498981481483</v>
      </c>
      <c r="K5326" s="24">
        <v>1</v>
      </c>
      <c r="L5326" s="22" t="str">
        <f>HYPERLINK("https://otsuka-europe-crm.veevavault.com/ui/#object/approved_document__v/V5O00000000D100", "Spain - Consent Email 1 Aug 25")</f>
        <v>Spain - Consent Email 1 Aug 25</v>
      </c>
      <c r="M5326" s="22" t="str">
        <f>HYPERLINK("mailto:jguri@crm.otsuka-europe.com", "jguri@crm.otsuka-europe.com")</f>
        <v>jguri@crm.otsuka-europe.com</v>
      </c>
      <c r="N5326" s="23">
        <v>46177.438715277778</v>
      </c>
      <c r="O5326" s="14" t="str">
        <f>HYPERLINK("https://otsuka-europe-crm.veevavault.com/ui/#object/email_activity__v/V8C00000003M521", "EN-002089065")</f>
        <v>EN-002089065</v>
      </c>
    </row>
    <row r="5327" spans="1:15" ht="16" x14ac:dyDescent="0.2">
      <c r="A5327" s="18"/>
      <c r="B5327" s="18"/>
      <c r="C5327" s="18"/>
      <c r="D5327" s="18"/>
      <c r="E5327" s="18"/>
      <c r="F5327" s="18"/>
      <c r="G5327" s="18"/>
      <c r="H5327" s="18"/>
      <c r="I5327" s="18"/>
      <c r="J5327" s="18"/>
      <c r="K5327" s="18"/>
      <c r="L5327" s="18"/>
      <c r="M5327" s="18"/>
      <c r="N5327" s="18"/>
      <c r="O5327" s="14" t="str">
        <f>HYPERLINK("https://otsuka-europe-crm.veevavault.com/ui/#object/email_activity__v/V8C00000003M522", "EN-002089066")</f>
        <v>EN-002089066</v>
      </c>
    </row>
    <row r="5328" spans="1:15" ht="16" x14ac:dyDescent="0.2">
      <c r="A5328" s="19"/>
      <c r="B5328" s="19"/>
      <c r="C5328" s="19"/>
      <c r="D5328" s="19"/>
      <c r="E5328" s="19"/>
      <c r="F5328" s="19"/>
      <c r="G5328" s="19"/>
      <c r="H5328" s="19"/>
      <c r="I5328" s="19"/>
      <c r="J5328" s="19"/>
      <c r="K5328" s="19"/>
      <c r="L5328" s="19"/>
      <c r="M5328" s="19"/>
      <c r="N5328" s="19"/>
      <c r="O5328" s="14" t="str">
        <f>HYPERLINK("https://otsuka-europe-crm.veevavault.com/ui/#object/email_activity__v/V8C00000003N595", "EN-002088976")</f>
        <v>EN-002088976</v>
      </c>
    </row>
    <row r="5329" spans="1:15" ht="32" x14ac:dyDescent="0.2">
      <c r="A5329" s="7" t="str">
        <f>HYPERLINK("https://otsuka-europe-crm.veevavault.com/ui/#object/account__v/V4TZ06G6O71TC3P", "NURIA RUIZ-GIMENEZ ARRIETA")</f>
        <v>NURIA RUIZ-GIMENEZ ARRIETA</v>
      </c>
      <c r="B5329" s="7" t="str">
        <f t="shared" ref="B5329:B5334" si="588">HYPERLINK("https://otsuka-europe-crm.veevavault.com/ui/#object/vcountry__v/VENZ000004SONF5", "ES")</f>
        <v>ES</v>
      </c>
      <c r="C5329" s="8" t="s">
        <v>41</v>
      </c>
      <c r="D5329" s="9" t="str">
        <f t="shared" ref="D5329:D5334" si="589">HYPERLINK("https://otsuka-europe-crm.veevavault.com/ui/#object/approved_document__v/V5O00000000D100", "Spain - Consent Email 1 Aug 25")</f>
        <v>Spain - Consent Email 1 Aug 25</v>
      </c>
      <c r="E5329" s="10" t="str">
        <f>HYPERLINK("https://otsuka-europe-crm.veevavault.com/ui/#object/sent_email__v/VBL00000002Q329", "SE-001434015")</f>
        <v>SE-001434015</v>
      </c>
      <c r="F5329" s="11"/>
      <c r="G5329" s="12">
        <v>0</v>
      </c>
      <c r="H5329" s="12">
        <v>0</v>
      </c>
      <c r="I5329" s="12">
        <v>0</v>
      </c>
      <c r="J5329" s="11"/>
      <c r="K5329" s="12">
        <v>0</v>
      </c>
      <c r="L5329" s="10" t="str">
        <f t="shared" ref="L5329:L5334" si="590">HYPERLINK("https://otsuka-europe-crm.veevavault.com/ui/#object/approved_document__v/V5O00000000D100", "Spain - Consent Email 1 Aug 25")</f>
        <v>Spain - Consent Email 1 Aug 25</v>
      </c>
      <c r="M5329" s="10" t="str">
        <f t="shared" ref="M5329:M5334" si="591">HYPERLINK("mailto:jguri@crm.otsuka-europe.com", "jguri@crm.otsuka-europe.com")</f>
        <v>jguri@crm.otsuka-europe.com</v>
      </c>
      <c r="N5329" s="13">
        <v>46177.439074074071</v>
      </c>
      <c r="O5329" s="14" t="str">
        <f>HYPERLINK("https://otsuka-europe-crm.veevavault.com/ui/#object/email_activity__v/V8C00000003N596", "EN-002088977")</f>
        <v>EN-002088977</v>
      </c>
    </row>
    <row r="5330" spans="1:15" ht="32" x14ac:dyDescent="0.2">
      <c r="A5330" s="7" t="str">
        <f>HYPERLINK("https://otsuka-europe-crm.veevavault.com/ui/#object/account__v/V4TZ025E87FZG4X", "JOSE MARIA RAFAEL SAPONI CORTES")</f>
        <v>JOSE MARIA RAFAEL SAPONI CORTES</v>
      </c>
      <c r="B5330" s="7" t="str">
        <f t="shared" si="588"/>
        <v>ES</v>
      </c>
      <c r="C5330" s="8" t="s">
        <v>41</v>
      </c>
      <c r="D5330" s="9" t="str">
        <f t="shared" si="589"/>
        <v>Spain - Consent Email 1 Aug 25</v>
      </c>
      <c r="E5330" s="10" t="str">
        <f>HYPERLINK("https://otsuka-europe-crm.veevavault.com/ui/#object/sent_email__v/VBL00000002N875", "SE-001434016")</f>
        <v>SE-001434016</v>
      </c>
      <c r="F5330" s="11"/>
      <c r="G5330" s="12">
        <v>0</v>
      </c>
      <c r="H5330" s="12">
        <v>0</v>
      </c>
      <c r="I5330" s="12">
        <v>0</v>
      </c>
      <c r="J5330" s="11"/>
      <c r="K5330" s="12">
        <v>0</v>
      </c>
      <c r="L5330" s="10" t="str">
        <f t="shared" si="590"/>
        <v>Spain - Consent Email 1 Aug 25</v>
      </c>
      <c r="M5330" s="10" t="str">
        <f t="shared" si="591"/>
        <v>jguri@crm.otsuka-europe.com</v>
      </c>
      <c r="N5330" s="13">
        <v>46177.439988425926</v>
      </c>
      <c r="O5330" s="14" t="str">
        <f>HYPERLINK("https://otsuka-europe-crm.veevavault.com/ui/#object/email_activity__v/V8C00000003M478", "EN-002088978")</f>
        <v>EN-002088978</v>
      </c>
    </row>
    <row r="5331" spans="1:15" ht="32" x14ac:dyDescent="0.2">
      <c r="A5331" s="7" t="str">
        <f>HYPERLINK("https://otsuka-europe-crm.veevavault.com/ui/#object/account__v/V4TZ06G6O71TC6H", "JOSE ANGEL SATUE BARTOLOME")</f>
        <v>JOSE ANGEL SATUE BARTOLOME</v>
      </c>
      <c r="B5331" s="7" t="str">
        <f t="shared" si="588"/>
        <v>ES</v>
      </c>
      <c r="C5331" s="8" t="s">
        <v>41</v>
      </c>
      <c r="D5331" s="9" t="str">
        <f t="shared" si="589"/>
        <v>Spain - Consent Email 1 Aug 25</v>
      </c>
      <c r="E5331" s="10" t="str">
        <f>HYPERLINK("https://otsuka-europe-crm.veevavault.com/ui/#object/sent_email__v/VBL00000002Q330", "SE-001434017")</f>
        <v>SE-001434017</v>
      </c>
      <c r="F5331" s="11"/>
      <c r="G5331" s="12">
        <v>0</v>
      </c>
      <c r="H5331" s="12">
        <v>0</v>
      </c>
      <c r="I5331" s="12">
        <v>0</v>
      </c>
      <c r="J5331" s="11"/>
      <c r="K5331" s="12">
        <v>0</v>
      </c>
      <c r="L5331" s="10" t="str">
        <f t="shared" si="590"/>
        <v>Spain - Consent Email 1 Aug 25</v>
      </c>
      <c r="M5331" s="10" t="str">
        <f t="shared" si="591"/>
        <v>jguri@crm.otsuka-europe.com</v>
      </c>
      <c r="N5331" s="13">
        <v>46177.440486111111</v>
      </c>
      <c r="O5331" s="14" t="str">
        <f>HYPERLINK("https://otsuka-europe-crm.veevavault.com/ui/#object/email_activity__v/V8C00000003N597", "EN-002088979")</f>
        <v>EN-002088979</v>
      </c>
    </row>
    <row r="5332" spans="1:15" ht="32" x14ac:dyDescent="0.2">
      <c r="A5332" s="7" t="str">
        <f>HYPERLINK("https://otsuka-europe-crm.veevavault.com/ui/#object/account__v/V4TZ025E891GDS5", "WALTER ALBERTO SIFUENTES GIRALDO")</f>
        <v>WALTER ALBERTO SIFUENTES GIRALDO</v>
      </c>
      <c r="B5332" s="7" t="str">
        <f t="shared" si="588"/>
        <v>ES</v>
      </c>
      <c r="C5332" s="8" t="s">
        <v>41</v>
      </c>
      <c r="D5332" s="9" t="str">
        <f t="shared" si="589"/>
        <v>Spain - Consent Email 1 Aug 25</v>
      </c>
      <c r="E5332" s="10" t="str">
        <f>HYPERLINK("https://otsuka-europe-crm.veevavault.com/ui/#object/sent_email__v/VBL00000002Q331", "SE-001434018")</f>
        <v>SE-001434018</v>
      </c>
      <c r="F5332" s="11"/>
      <c r="G5332" s="12">
        <v>0</v>
      </c>
      <c r="H5332" s="12">
        <v>0</v>
      </c>
      <c r="I5332" s="12">
        <v>0</v>
      </c>
      <c r="J5332" s="11"/>
      <c r="K5332" s="12">
        <v>0</v>
      </c>
      <c r="L5332" s="10" t="str">
        <f t="shared" si="590"/>
        <v>Spain - Consent Email 1 Aug 25</v>
      </c>
      <c r="M5332" s="10" t="str">
        <f t="shared" si="591"/>
        <v>jguri@crm.otsuka-europe.com</v>
      </c>
      <c r="N5332" s="13">
        <v>46177.440821759257</v>
      </c>
      <c r="O5332" s="14" t="str">
        <f>HYPERLINK("https://otsuka-europe-crm.veevavault.com/ui/#object/email_activity__v/V8C00000003M479", "EN-002088980")</f>
        <v>EN-002088980</v>
      </c>
    </row>
    <row r="5333" spans="1:15" ht="32" x14ac:dyDescent="0.2">
      <c r="A5333" s="7" t="str">
        <f>HYPERLINK("https://otsuka-europe-crm.veevavault.com/ui/#object/account__v/V4TZ025E891V8I4", "MARIA CARMEN TORRES MARTIN")</f>
        <v>MARIA CARMEN TORRES MARTIN</v>
      </c>
      <c r="B5333" s="7" t="str">
        <f t="shared" si="588"/>
        <v>ES</v>
      </c>
      <c r="C5333" s="8" t="s">
        <v>41</v>
      </c>
      <c r="D5333" s="9" t="str">
        <f t="shared" si="589"/>
        <v>Spain - Consent Email 1 Aug 25</v>
      </c>
      <c r="E5333" s="10" t="str">
        <f>HYPERLINK("https://otsuka-europe-crm.veevavault.com/ui/#object/sent_email__v/VBL00000002N876", "SE-001434019")</f>
        <v>SE-001434019</v>
      </c>
      <c r="F5333" s="11"/>
      <c r="G5333" s="12">
        <v>0</v>
      </c>
      <c r="H5333" s="12">
        <v>0</v>
      </c>
      <c r="I5333" s="12">
        <v>0</v>
      </c>
      <c r="J5333" s="11"/>
      <c r="K5333" s="12">
        <v>0</v>
      </c>
      <c r="L5333" s="10" t="str">
        <f t="shared" si="590"/>
        <v>Spain - Consent Email 1 Aug 25</v>
      </c>
      <c r="M5333" s="10" t="str">
        <f t="shared" si="591"/>
        <v>jguri@crm.otsuka-europe.com</v>
      </c>
      <c r="N5333" s="13">
        <v>46177.441157407404</v>
      </c>
      <c r="O5333" s="14" t="str">
        <f>HYPERLINK("https://otsuka-europe-crm.veevavault.com/ui/#object/email_activity__v/V8C00000003N598", "EN-002088981")</f>
        <v>EN-002088981</v>
      </c>
    </row>
    <row r="5334" spans="1:15" ht="16" x14ac:dyDescent="0.2">
      <c r="A5334" s="17" t="str">
        <f>HYPERLINK("https://otsuka-europe-crm.veevavault.com/ui/#object/account__v/V4TZ06G6O71T989", "CARLOS ARANDA COSGAYA")</f>
        <v>CARLOS ARANDA COSGAYA</v>
      </c>
      <c r="B5334" s="17" t="str">
        <f t="shared" si="588"/>
        <v>ES</v>
      </c>
      <c r="C5334" s="20" t="s">
        <v>41</v>
      </c>
      <c r="D5334" s="21" t="str">
        <f t="shared" si="589"/>
        <v>Spain - Consent Email 1 Aug 25</v>
      </c>
      <c r="E5334" s="22" t="str">
        <f>HYPERLINK("https://otsuka-europe-crm.veevavault.com/ui/#object/sent_email__v/VBL00000002N877", "SE-001434020")</f>
        <v>SE-001434020</v>
      </c>
      <c r="F5334" s="23">
        <v>46177.442465277774</v>
      </c>
      <c r="G5334" s="24">
        <v>1</v>
      </c>
      <c r="H5334" s="24">
        <v>1</v>
      </c>
      <c r="I5334" s="24">
        <v>0</v>
      </c>
      <c r="J5334" s="25"/>
      <c r="K5334" s="24">
        <v>0</v>
      </c>
      <c r="L5334" s="22" t="str">
        <f t="shared" si="590"/>
        <v>Spain - Consent Email 1 Aug 25</v>
      </c>
      <c r="M5334" s="22" t="str">
        <f t="shared" si="591"/>
        <v>jguri@crm.otsuka-europe.com</v>
      </c>
      <c r="N5334" s="23">
        <v>46177.442384259259</v>
      </c>
      <c r="O5334" s="14" t="str">
        <f>HYPERLINK("https://otsuka-europe-crm.veevavault.com/ui/#object/email_activity__v/V8C00000003M480", "EN-002088982")</f>
        <v>EN-002088982</v>
      </c>
    </row>
    <row r="5335" spans="1:15" ht="16" x14ac:dyDescent="0.2">
      <c r="A5335" s="19"/>
      <c r="B5335" s="19"/>
      <c r="C5335" s="19"/>
      <c r="D5335" s="19"/>
      <c r="E5335" s="19"/>
      <c r="F5335" s="19"/>
      <c r="G5335" s="19"/>
      <c r="H5335" s="19"/>
      <c r="I5335" s="19"/>
      <c r="J5335" s="19"/>
      <c r="K5335" s="19"/>
      <c r="L5335" s="19"/>
      <c r="M5335" s="19"/>
      <c r="N5335" s="19"/>
      <c r="O5335" s="14" t="str">
        <f>HYPERLINK("https://otsuka-europe-crm.veevavault.com/ui/#object/email_activity__v/V8C00000003M481", "EN-002088983")</f>
        <v>EN-002088983</v>
      </c>
    </row>
    <row r="5336" spans="1:15" ht="16" x14ac:dyDescent="0.2">
      <c r="A5336" s="17" t="str">
        <f>HYPERLINK("https://otsuka-europe-crm.veevavault.com/ui/#object/account__v/V4TZ025E87BV290", "ANTONIO CERDAN MORALA")</f>
        <v>ANTONIO CERDAN MORALA</v>
      </c>
      <c r="B5336" s="17" t="str">
        <f>HYPERLINK("https://otsuka-europe-crm.veevavault.com/ui/#object/vcountry__v/VENZ000004SONF5", "ES")</f>
        <v>ES</v>
      </c>
      <c r="C5336" s="20" t="s">
        <v>41</v>
      </c>
      <c r="D5336" s="21" t="str">
        <f>HYPERLINK("https://otsuka-europe-crm.veevavault.com/ui/#object/approved_document__v/V5O00000000D100", "Spain - Consent Email 1 Aug 25")</f>
        <v>Spain - Consent Email 1 Aug 25</v>
      </c>
      <c r="E5336" s="22" t="str">
        <f>HYPERLINK("https://otsuka-europe-crm.veevavault.com/ui/#object/sent_email__v/VBL00000002Q332", "SE-001434021")</f>
        <v>SE-001434021</v>
      </c>
      <c r="F5336" s="23">
        <v>46177.453414351854</v>
      </c>
      <c r="G5336" s="24">
        <v>1</v>
      </c>
      <c r="H5336" s="24">
        <v>1</v>
      </c>
      <c r="I5336" s="24">
        <v>1</v>
      </c>
      <c r="J5336" s="23">
        <v>46177.453414351854</v>
      </c>
      <c r="K5336" s="24">
        <v>1</v>
      </c>
      <c r="L5336" s="22" t="str">
        <f>HYPERLINK("https://otsuka-europe-crm.veevavault.com/ui/#object/approved_document__v/V5O00000000D100", "Spain - Consent Email 1 Aug 25")</f>
        <v>Spain - Consent Email 1 Aug 25</v>
      </c>
      <c r="M5336" s="22" t="str">
        <f>HYPERLINK("mailto:jguri@crm.otsuka-europe.com", "jguri@crm.otsuka-europe.com")</f>
        <v>jguri@crm.otsuka-europe.com</v>
      </c>
      <c r="N5336" s="23">
        <v>46177.442731481482</v>
      </c>
      <c r="O5336" s="14" t="str">
        <f>HYPERLINK("https://otsuka-europe-crm.veevavault.com/ui/#object/email_activity__v/V8C00000003M482", "EN-002088984")</f>
        <v>EN-002088984</v>
      </c>
    </row>
    <row r="5337" spans="1:15" ht="16" x14ac:dyDescent="0.2">
      <c r="A5337" s="18"/>
      <c r="B5337" s="18"/>
      <c r="C5337" s="18"/>
      <c r="D5337" s="18"/>
      <c r="E5337" s="18"/>
      <c r="F5337" s="18"/>
      <c r="G5337" s="18"/>
      <c r="H5337" s="18"/>
      <c r="I5337" s="18"/>
      <c r="J5337" s="18"/>
      <c r="K5337" s="18"/>
      <c r="L5337" s="18"/>
      <c r="M5337" s="18"/>
      <c r="N5337" s="18"/>
      <c r="O5337" s="14" t="str">
        <f>HYPERLINK("https://otsuka-europe-crm.veevavault.com/ui/#object/email_activity__v/V8C00000003M506", "EN-002089031")</f>
        <v>EN-002089031</v>
      </c>
    </row>
    <row r="5338" spans="1:15" ht="16" x14ac:dyDescent="0.2">
      <c r="A5338" s="19"/>
      <c r="B5338" s="19"/>
      <c r="C5338" s="19"/>
      <c r="D5338" s="19"/>
      <c r="E5338" s="19"/>
      <c r="F5338" s="19"/>
      <c r="G5338" s="19"/>
      <c r="H5338" s="19"/>
      <c r="I5338" s="19"/>
      <c r="J5338" s="19"/>
      <c r="K5338" s="19"/>
      <c r="L5338" s="19"/>
      <c r="M5338" s="19"/>
      <c r="N5338" s="19"/>
      <c r="O5338" s="14" t="str">
        <f>HYPERLINK("https://otsuka-europe-crm.veevavault.com/ui/#object/email_activity__v/V8C00000003M507", "EN-002089030")</f>
        <v>EN-002089030</v>
      </c>
    </row>
    <row r="5339" spans="1:15" ht="16" x14ac:dyDescent="0.2">
      <c r="A5339" s="17" t="str">
        <f>HYPERLINK("https://otsuka-europe-crm.veevavault.com/ui/#object/account__v/V4TZ06G6O71TA8R", "ANTONIO JAVIER CHAMORRO FERNANDEZ")</f>
        <v>ANTONIO JAVIER CHAMORRO FERNANDEZ</v>
      </c>
      <c r="B5339" s="17" t="str">
        <f>HYPERLINK("https://otsuka-europe-crm.veevavault.com/ui/#object/vcountry__v/VENZ000004SONF5", "ES")</f>
        <v>ES</v>
      </c>
      <c r="C5339" s="20" t="s">
        <v>41</v>
      </c>
      <c r="D5339" s="21" t="str">
        <f>HYPERLINK("https://otsuka-europe-crm.veevavault.com/ui/#object/approved_document__v/V5O00000000D100", "Spain - Consent Email 1 Aug 25")</f>
        <v>Spain - Consent Email 1 Aug 25</v>
      </c>
      <c r="E5339" s="22" t="str">
        <f>HYPERLINK("https://otsuka-europe-crm.veevavault.com/ui/#object/sent_email__v/VBL00000002Q333", "SE-001434022")</f>
        <v>SE-001434022</v>
      </c>
      <c r="F5339" s="23">
        <v>46177.452465277776</v>
      </c>
      <c r="G5339" s="24">
        <v>1</v>
      </c>
      <c r="H5339" s="24">
        <v>1</v>
      </c>
      <c r="I5339" s="24">
        <v>1</v>
      </c>
      <c r="J5339" s="23">
        <v>46177.45275462963</v>
      </c>
      <c r="K5339" s="24">
        <v>4</v>
      </c>
      <c r="L5339" s="22" t="str">
        <f>HYPERLINK("https://otsuka-europe-crm.veevavault.com/ui/#object/approved_document__v/V5O00000000D100", "Spain - Consent Email 1 Aug 25")</f>
        <v>Spain - Consent Email 1 Aug 25</v>
      </c>
      <c r="M5339" s="22" t="str">
        <f>HYPERLINK("mailto:jguri@crm.otsuka-europe.com", "jguri@crm.otsuka-europe.com")</f>
        <v>jguri@crm.otsuka-europe.com</v>
      </c>
      <c r="N5339" s="23">
        <v>46177.44326388889</v>
      </c>
      <c r="O5339" s="14" t="str">
        <f>HYPERLINK("https://otsuka-europe-crm.veevavault.com/ui/#object/email_activity__v/V8C00000003M484", "EN-002088986")</f>
        <v>EN-002088986</v>
      </c>
    </row>
    <row r="5340" spans="1:15" ht="16" x14ac:dyDescent="0.2">
      <c r="A5340" s="18"/>
      <c r="B5340" s="18"/>
      <c r="C5340" s="18"/>
      <c r="D5340" s="18"/>
      <c r="E5340" s="18"/>
      <c r="F5340" s="18"/>
      <c r="G5340" s="18"/>
      <c r="H5340" s="18"/>
      <c r="I5340" s="18"/>
      <c r="J5340" s="18"/>
      <c r="K5340" s="18"/>
      <c r="L5340" s="18"/>
      <c r="M5340" s="18"/>
      <c r="N5340" s="18"/>
      <c r="O5340" s="14" t="str">
        <f>HYPERLINK("https://otsuka-europe-crm.veevavault.com/ui/#object/email_activity__v/V8C00000003M505", "EN-002089025")</f>
        <v>EN-002089025</v>
      </c>
    </row>
    <row r="5341" spans="1:15" ht="16" x14ac:dyDescent="0.2">
      <c r="A5341" s="18"/>
      <c r="B5341" s="18"/>
      <c r="C5341" s="18"/>
      <c r="D5341" s="18"/>
      <c r="E5341" s="18"/>
      <c r="F5341" s="18"/>
      <c r="G5341" s="18"/>
      <c r="H5341" s="18"/>
      <c r="I5341" s="18"/>
      <c r="J5341" s="18"/>
      <c r="K5341" s="18"/>
      <c r="L5341" s="18"/>
      <c r="M5341" s="18"/>
      <c r="N5341" s="18"/>
      <c r="O5341" s="14" t="str">
        <f>HYPERLINK("https://otsuka-europe-crm.veevavault.com/ui/#object/email_activity__v/V8C00000003N616", "EN-002089024")</f>
        <v>EN-002089024</v>
      </c>
    </row>
    <row r="5342" spans="1:15" ht="16" x14ac:dyDescent="0.2">
      <c r="A5342" s="18"/>
      <c r="B5342" s="18"/>
      <c r="C5342" s="18"/>
      <c r="D5342" s="18"/>
      <c r="E5342" s="18"/>
      <c r="F5342" s="18"/>
      <c r="G5342" s="18"/>
      <c r="H5342" s="18"/>
      <c r="I5342" s="18"/>
      <c r="J5342" s="18"/>
      <c r="K5342" s="18"/>
      <c r="L5342" s="18"/>
      <c r="M5342" s="18"/>
      <c r="N5342" s="18"/>
      <c r="O5342" s="14" t="str">
        <f>HYPERLINK("https://otsuka-europe-crm.veevavault.com/ui/#object/email_activity__v/V8C00000003N617", "EN-002089026")</f>
        <v>EN-002089026</v>
      </c>
    </row>
    <row r="5343" spans="1:15" ht="16" x14ac:dyDescent="0.2">
      <c r="A5343" s="18"/>
      <c r="B5343" s="18"/>
      <c r="C5343" s="18"/>
      <c r="D5343" s="18"/>
      <c r="E5343" s="18"/>
      <c r="F5343" s="18"/>
      <c r="G5343" s="18"/>
      <c r="H5343" s="18"/>
      <c r="I5343" s="18"/>
      <c r="J5343" s="18"/>
      <c r="K5343" s="18"/>
      <c r="L5343" s="18"/>
      <c r="M5343" s="18"/>
      <c r="N5343" s="18"/>
      <c r="O5343" s="14" t="str">
        <f>HYPERLINK("https://otsuka-europe-crm.veevavault.com/ui/#object/email_activity__v/V8C00000003N618", "EN-002089027")</f>
        <v>EN-002089027</v>
      </c>
    </row>
    <row r="5344" spans="1:15" ht="16" x14ac:dyDescent="0.2">
      <c r="A5344" s="19"/>
      <c r="B5344" s="19"/>
      <c r="C5344" s="19"/>
      <c r="D5344" s="19"/>
      <c r="E5344" s="19"/>
      <c r="F5344" s="19"/>
      <c r="G5344" s="19"/>
      <c r="H5344" s="19"/>
      <c r="I5344" s="19"/>
      <c r="J5344" s="19"/>
      <c r="K5344" s="19"/>
      <c r="L5344" s="19"/>
      <c r="M5344" s="19"/>
      <c r="N5344" s="19"/>
      <c r="O5344" s="14" t="str">
        <f>HYPERLINK("https://otsuka-europe-crm.veevavault.com/ui/#object/email_activity__v/V8C00000003N619", "EN-002089028")</f>
        <v>EN-002089028</v>
      </c>
    </row>
    <row r="5345" spans="1:15" ht="16" x14ac:dyDescent="0.2">
      <c r="A5345" s="17" t="str">
        <f>HYPERLINK("https://otsuka-europe-crm.veevavault.com/ui/#object/account__v/V4TZ04ASGB4W29K", "ANGEL PEDRO CRISOLINO POZAS")</f>
        <v>ANGEL PEDRO CRISOLINO POZAS</v>
      </c>
      <c r="B5345" s="17" t="str">
        <f>HYPERLINK("https://otsuka-europe-crm.veevavault.com/ui/#object/vcountry__v/VENZ000004SONF5", "ES")</f>
        <v>ES</v>
      </c>
      <c r="C5345" s="20" t="s">
        <v>41</v>
      </c>
      <c r="D5345" s="21" t="str">
        <f>HYPERLINK("https://otsuka-europe-crm.veevavault.com/ui/#object/approved_document__v/V5O00000000D100", "Spain - Consent Email 1 Aug 25")</f>
        <v>Spain - Consent Email 1 Aug 25</v>
      </c>
      <c r="E5345" s="22" t="str">
        <f>HYPERLINK("https://otsuka-europe-crm.veevavault.com/ui/#object/sent_email__v/VBL00000002N878", "SE-001434023")</f>
        <v>SE-001434023</v>
      </c>
      <c r="F5345" s="23">
        <v>46177.544351851851</v>
      </c>
      <c r="G5345" s="24">
        <v>1</v>
      </c>
      <c r="H5345" s="24">
        <v>2</v>
      </c>
      <c r="I5345" s="24">
        <v>1</v>
      </c>
      <c r="J5345" s="23">
        <v>46177.544351851851</v>
      </c>
      <c r="K5345" s="24">
        <v>1</v>
      </c>
      <c r="L5345" s="22" t="str">
        <f>HYPERLINK("https://otsuka-europe-crm.veevavault.com/ui/#object/approved_document__v/V5O00000000D100", "Spain - Consent Email 1 Aug 25")</f>
        <v>Spain - Consent Email 1 Aug 25</v>
      </c>
      <c r="M5345" s="22" t="str">
        <f>HYPERLINK("mailto:jguri@crm.otsuka-europe.com", "jguri@crm.otsuka-europe.com")</f>
        <v>jguri@crm.otsuka-europe.com</v>
      </c>
      <c r="N5345" s="23">
        <v>46177.443611111114</v>
      </c>
      <c r="O5345" s="14" t="str">
        <f>HYPERLINK("https://otsuka-europe-crm.veevavault.com/ui/#object/email_activity__v/V8C00000003M485", "EN-002088987")</f>
        <v>EN-002088987</v>
      </c>
    </row>
    <row r="5346" spans="1:15" ht="16" x14ac:dyDescent="0.2">
      <c r="A5346" s="18"/>
      <c r="B5346" s="18"/>
      <c r="C5346" s="18"/>
      <c r="D5346" s="18"/>
      <c r="E5346" s="18"/>
      <c r="F5346" s="18"/>
      <c r="G5346" s="18"/>
      <c r="H5346" s="18"/>
      <c r="I5346" s="18"/>
      <c r="J5346" s="18"/>
      <c r="K5346" s="18"/>
      <c r="L5346" s="18"/>
      <c r="M5346" s="18"/>
      <c r="N5346" s="18"/>
      <c r="O5346" s="14" t="str">
        <f>HYPERLINK("https://otsuka-europe-crm.veevavault.com/ui/#object/email_activity__v/V8C00000003M533", "EN-002089091")</f>
        <v>EN-002089091</v>
      </c>
    </row>
    <row r="5347" spans="1:15" ht="16" x14ac:dyDescent="0.2">
      <c r="A5347" s="18"/>
      <c r="B5347" s="18"/>
      <c r="C5347" s="18"/>
      <c r="D5347" s="18"/>
      <c r="E5347" s="18"/>
      <c r="F5347" s="18"/>
      <c r="G5347" s="18"/>
      <c r="H5347" s="18"/>
      <c r="I5347" s="18"/>
      <c r="J5347" s="18"/>
      <c r="K5347" s="18"/>
      <c r="L5347" s="18"/>
      <c r="M5347" s="18"/>
      <c r="N5347" s="18"/>
      <c r="O5347" s="14" t="str">
        <f>HYPERLINK("https://otsuka-europe-crm.veevavault.com/ui/#object/email_activity__v/V8C00000003M534", "EN-002089090")</f>
        <v>EN-002089090</v>
      </c>
    </row>
    <row r="5348" spans="1:15" ht="16" x14ac:dyDescent="0.2">
      <c r="A5348" s="19"/>
      <c r="B5348" s="19"/>
      <c r="C5348" s="19"/>
      <c r="D5348" s="19"/>
      <c r="E5348" s="19"/>
      <c r="F5348" s="19"/>
      <c r="G5348" s="19"/>
      <c r="H5348" s="19"/>
      <c r="I5348" s="19"/>
      <c r="J5348" s="19"/>
      <c r="K5348" s="19"/>
      <c r="L5348" s="19"/>
      <c r="M5348" s="19"/>
      <c r="N5348" s="19"/>
      <c r="O5348" s="14" t="str">
        <f>HYPERLINK("https://otsuka-europe-crm.veevavault.com/ui/#object/email_activity__v/V8C00000003N653", "EN-002089089")</f>
        <v>EN-002089089</v>
      </c>
    </row>
    <row r="5349" spans="1:15" ht="16" x14ac:dyDescent="0.2">
      <c r="A5349" s="17" t="str">
        <f>HYPERLINK("https://otsuka-europe-crm.veevavault.com/ui/#object/account__v/V4TZ06G6OB4BJYS", "ANTONIO GONZALEZ NIETO")</f>
        <v>ANTONIO GONZALEZ NIETO</v>
      </c>
      <c r="B5349" s="17" t="str">
        <f>HYPERLINK("https://otsuka-europe-crm.veevavault.com/ui/#object/vcountry__v/VENZ000004SONF5", "ES")</f>
        <v>ES</v>
      </c>
      <c r="C5349" s="20" t="s">
        <v>41</v>
      </c>
      <c r="D5349" s="21" t="str">
        <f>HYPERLINK("https://otsuka-europe-crm.veevavault.com/ui/#object/approved_document__v/V5O00000000D100", "Spain - Consent Email 1 Aug 25")</f>
        <v>Spain - Consent Email 1 Aug 25</v>
      </c>
      <c r="E5349" s="22" t="str">
        <f>HYPERLINK("https://otsuka-europe-crm.veevavault.com/ui/#object/sent_email__v/VBL00000002Q334", "SE-001434024")</f>
        <v>SE-001434024</v>
      </c>
      <c r="F5349" s="23">
        <v>46178.297905092593</v>
      </c>
      <c r="G5349" s="24">
        <v>1</v>
      </c>
      <c r="H5349" s="24">
        <v>2</v>
      </c>
      <c r="I5349" s="24">
        <v>0</v>
      </c>
      <c r="J5349" s="25"/>
      <c r="K5349" s="24">
        <v>0</v>
      </c>
      <c r="L5349" s="22" t="str">
        <f>HYPERLINK("https://otsuka-europe-crm.veevavault.com/ui/#object/approved_document__v/V5O00000000D100", "Spain - Consent Email 1 Aug 25")</f>
        <v>Spain - Consent Email 1 Aug 25</v>
      </c>
      <c r="M5349" s="22" t="str">
        <f>HYPERLINK("mailto:jguri@crm.otsuka-europe.com", "jguri@crm.otsuka-europe.com")</f>
        <v>jguri@crm.otsuka-europe.com</v>
      </c>
      <c r="N5349" s="23">
        <v>46177.443796296298</v>
      </c>
      <c r="O5349" s="14" t="str">
        <f>HYPERLINK("https://otsuka-europe-crm.veevavault.com/ui/#object/email_activity__v/V8C00000003M486", "EN-002088988")</f>
        <v>EN-002088988</v>
      </c>
    </row>
    <row r="5350" spans="1:15" ht="16" x14ac:dyDescent="0.2">
      <c r="A5350" s="18"/>
      <c r="B5350" s="18"/>
      <c r="C5350" s="18"/>
      <c r="D5350" s="18"/>
      <c r="E5350" s="18"/>
      <c r="F5350" s="18"/>
      <c r="G5350" s="18"/>
      <c r="H5350" s="18"/>
      <c r="I5350" s="18"/>
      <c r="J5350" s="18"/>
      <c r="K5350" s="18"/>
      <c r="L5350" s="18"/>
      <c r="M5350" s="18"/>
      <c r="N5350" s="18"/>
      <c r="O5350" s="14" t="str">
        <f>HYPERLINK("https://otsuka-europe-crm.veevavault.com/ui/#object/email_activity__v/V8C00000003M519", "EN-002089057")</f>
        <v>EN-002089057</v>
      </c>
    </row>
    <row r="5351" spans="1:15" ht="16" x14ac:dyDescent="0.2">
      <c r="A5351" s="19"/>
      <c r="B5351" s="19"/>
      <c r="C5351" s="19"/>
      <c r="D5351" s="19"/>
      <c r="E5351" s="19"/>
      <c r="F5351" s="19"/>
      <c r="G5351" s="19"/>
      <c r="H5351" s="19"/>
      <c r="I5351" s="19"/>
      <c r="J5351" s="19"/>
      <c r="K5351" s="19"/>
      <c r="L5351" s="19"/>
      <c r="M5351" s="19"/>
      <c r="N5351" s="19"/>
      <c r="O5351" s="14" t="str">
        <f>HYPERLINK("https://otsuka-europe-crm.veevavault.com/ui/#object/email_activity__v/V8C00000003P010", "EN-002089268")</f>
        <v>EN-002089268</v>
      </c>
    </row>
    <row r="5352" spans="1:15" ht="32" x14ac:dyDescent="0.2">
      <c r="A5352" s="7" t="str">
        <f>HYPERLINK("https://otsuka-europe-crm.veevavault.com/ui/#object/account__v/V4TZ06G6O95XG6Q", "CARLOS MARTIN RUIZ")</f>
        <v>CARLOS MARTIN RUIZ</v>
      </c>
      <c r="B5352" s="7" t="str">
        <f>HYPERLINK("https://otsuka-europe-crm.veevavault.com/ui/#object/vcountry__v/VENZ000004SONF5", "ES")</f>
        <v>ES</v>
      </c>
      <c r="C5352" s="8" t="s">
        <v>41</v>
      </c>
      <c r="D5352" s="9" t="str">
        <f>HYPERLINK("https://otsuka-europe-crm.veevavault.com/ui/#object/approved_document__v/V5O00000000D100", "Spain - Consent Email 1 Aug 25")</f>
        <v>Spain - Consent Email 1 Aug 25</v>
      </c>
      <c r="E5352" s="10" t="str">
        <f>HYPERLINK("https://otsuka-europe-crm.veevavault.com/ui/#object/sent_email__v/VBL00000002Q335", "SE-001434025")</f>
        <v>SE-001434025</v>
      </c>
      <c r="F5352" s="11"/>
      <c r="G5352" s="12">
        <v>0</v>
      </c>
      <c r="H5352" s="12">
        <v>0</v>
      </c>
      <c r="I5352" s="12">
        <v>0</v>
      </c>
      <c r="J5352" s="11"/>
      <c r="K5352" s="12">
        <v>0</v>
      </c>
      <c r="L5352" s="10" t="str">
        <f>HYPERLINK("https://otsuka-europe-crm.veevavault.com/ui/#object/approved_document__v/V5O00000000D100", "Spain - Consent Email 1 Aug 25")</f>
        <v>Spain - Consent Email 1 Aug 25</v>
      </c>
      <c r="M5352" s="10" t="str">
        <f>HYPERLINK("mailto:jguri@crm.otsuka-europe.com", "jguri@crm.otsuka-europe.com")</f>
        <v>jguri@crm.otsuka-europe.com</v>
      </c>
      <c r="N5352" s="13">
        <v>46177.444143518522</v>
      </c>
      <c r="O5352" s="14" t="str">
        <f>HYPERLINK("https://otsuka-europe-crm.veevavault.com/ui/#object/email_activity__v/V8C00000003M487", "EN-002088989")</f>
        <v>EN-002088989</v>
      </c>
    </row>
    <row r="5353" spans="1:15" ht="16" x14ac:dyDescent="0.2">
      <c r="A5353" s="17" t="str">
        <f>HYPERLINK("https://otsuka-europe-crm.veevavault.com/ui/#object/account__v/V4TZ04ASGBTZDF9", "ANGEL JULIAN ROBLES MARHUENDA")</f>
        <v>ANGEL JULIAN ROBLES MARHUENDA</v>
      </c>
      <c r="B5353" s="17" t="str">
        <f>HYPERLINK("https://otsuka-europe-crm.veevavault.com/ui/#object/vcountry__v/VENZ000004SONF5", "ES")</f>
        <v>ES</v>
      </c>
      <c r="C5353" s="20" t="s">
        <v>41</v>
      </c>
      <c r="D5353" s="21" t="str">
        <f>HYPERLINK("https://otsuka-europe-crm.veevavault.com/ui/#object/approved_document__v/V5O00000000D100", "Spain - Consent Email 1 Aug 25")</f>
        <v>Spain - Consent Email 1 Aug 25</v>
      </c>
      <c r="E5353" s="22" t="str">
        <f>HYPERLINK("https://otsuka-europe-crm.veevavault.com/ui/#object/sent_email__v/VBL00000002Q336", "SE-001434026")</f>
        <v>SE-001434026</v>
      </c>
      <c r="F5353" s="23">
        <v>46177.758692129632</v>
      </c>
      <c r="G5353" s="24">
        <v>1</v>
      </c>
      <c r="H5353" s="24">
        <v>1</v>
      </c>
      <c r="I5353" s="24">
        <v>0</v>
      </c>
      <c r="J5353" s="25"/>
      <c r="K5353" s="24">
        <v>0</v>
      </c>
      <c r="L5353" s="22" t="str">
        <f>HYPERLINK("https://otsuka-europe-crm.veevavault.com/ui/#object/approved_document__v/V5O00000000D100", "Spain - Consent Email 1 Aug 25")</f>
        <v>Spain - Consent Email 1 Aug 25</v>
      </c>
      <c r="M5353" s="22" t="str">
        <f>HYPERLINK("mailto:jguri@crm.otsuka-europe.com", "jguri@crm.otsuka-europe.com")</f>
        <v>jguri@crm.otsuka-europe.com</v>
      </c>
      <c r="N5353" s="23">
        <v>46177.444479166668</v>
      </c>
      <c r="O5353" s="14" t="str">
        <f>HYPERLINK("https://otsuka-europe-crm.veevavault.com/ui/#object/email_activity__v/V8C00000003M488", "EN-002088990")</f>
        <v>EN-002088990</v>
      </c>
    </row>
    <row r="5354" spans="1:15" ht="16" x14ac:dyDescent="0.2">
      <c r="A5354" s="18"/>
      <c r="B5354" s="18"/>
      <c r="C5354" s="18"/>
      <c r="D5354" s="18"/>
      <c r="E5354" s="18"/>
      <c r="F5354" s="18"/>
      <c r="G5354" s="18"/>
      <c r="H5354" s="18"/>
      <c r="I5354" s="18"/>
      <c r="J5354" s="18"/>
      <c r="K5354" s="18"/>
      <c r="L5354" s="18"/>
      <c r="M5354" s="18"/>
      <c r="N5354" s="18"/>
      <c r="O5354" s="14" t="str">
        <f>HYPERLINK("https://otsuka-europe-crm.veevavault.com/ui/#object/email_activity__v/V8C00000003N705", "EN-002089199")</f>
        <v>EN-002089199</v>
      </c>
    </row>
    <row r="5355" spans="1:15" ht="16" x14ac:dyDescent="0.2">
      <c r="A5355" s="19"/>
      <c r="B5355" s="19"/>
      <c r="C5355" s="19"/>
      <c r="D5355" s="19"/>
      <c r="E5355" s="19"/>
      <c r="F5355" s="19"/>
      <c r="G5355" s="19"/>
      <c r="H5355" s="19"/>
      <c r="I5355" s="19"/>
      <c r="J5355" s="19"/>
      <c r="K5355" s="19"/>
      <c r="L5355" s="19"/>
      <c r="M5355" s="19"/>
      <c r="N5355" s="19"/>
      <c r="O5355" s="14" t="str">
        <f>HYPERLINK("https://otsuka-europe-crm.veevavault.com/ui/#object/email_activity__v/V8C00000003N727", "EN-002089240")</f>
        <v>EN-002089240</v>
      </c>
    </row>
    <row r="5356" spans="1:15" ht="32" x14ac:dyDescent="0.2">
      <c r="A5356" s="7" t="str">
        <f>HYPERLINK("https://otsuka-europe-crm.veevavault.com/ui/#object/account__v/V4TZ04ASGBTZDM0", "ANA MARIA NOBLEJAS MOZO")</f>
        <v>ANA MARIA NOBLEJAS MOZO</v>
      </c>
      <c r="B5356" s="7" t="str">
        <f>HYPERLINK("https://otsuka-europe-crm.veevavault.com/ui/#object/vcountry__v/VENZ000004SONF5", "ES")</f>
        <v>ES</v>
      </c>
      <c r="C5356" s="8" t="s">
        <v>41</v>
      </c>
      <c r="D5356" s="9" t="str">
        <f>HYPERLINK("https://otsuka-europe-crm.veevavault.com/ui/#object/approved_document__v/V5O00000000D100", "Spain - Consent Email 1 Aug 25")</f>
        <v>Spain - Consent Email 1 Aug 25</v>
      </c>
      <c r="E5356" s="10" t="str">
        <f>HYPERLINK("https://otsuka-europe-crm.veevavault.com/ui/#object/sent_email__v/VBL00000002Q337", "SE-001434027")</f>
        <v>SE-001434027</v>
      </c>
      <c r="F5356" s="11"/>
      <c r="G5356" s="12">
        <v>0</v>
      </c>
      <c r="H5356" s="12">
        <v>0</v>
      </c>
      <c r="I5356" s="12">
        <v>0</v>
      </c>
      <c r="J5356" s="11"/>
      <c r="K5356" s="12">
        <v>0</v>
      </c>
      <c r="L5356" s="10" t="str">
        <f>HYPERLINK("https://otsuka-europe-crm.veevavault.com/ui/#object/approved_document__v/V5O00000000D100", "Spain - Consent Email 1 Aug 25")</f>
        <v>Spain - Consent Email 1 Aug 25</v>
      </c>
      <c r="M5356" s="10" t="str">
        <f>HYPERLINK("mailto:jguri@crm.otsuka-europe.com", "jguri@crm.otsuka-europe.com")</f>
        <v>jguri@crm.otsuka-europe.com</v>
      </c>
      <c r="N5356" s="13">
        <v>46177.444814814815</v>
      </c>
      <c r="O5356" s="14" t="str">
        <f>HYPERLINK("https://otsuka-europe-crm.veevavault.com/ui/#object/email_activity__v/V8C00000003M489", "EN-002088991")</f>
        <v>EN-002088991</v>
      </c>
    </row>
    <row r="5357" spans="1:15" ht="32" x14ac:dyDescent="0.2">
      <c r="A5357" s="7" t="str">
        <f>HYPERLINK("https://otsuka-europe-crm.veevavault.com/ui/#object/account__v/V4TZ06G6O71TB9F", "BENJAMIN FRANCISCO MUÑOZ CALVO")</f>
        <v>BENJAMIN FRANCISCO MUÑOZ CALVO</v>
      </c>
      <c r="B5357" s="7" t="str">
        <f>HYPERLINK("https://otsuka-europe-crm.veevavault.com/ui/#object/vcountry__v/VENZ000004SONF5", "ES")</f>
        <v>ES</v>
      </c>
      <c r="C5357" s="8" t="s">
        <v>41</v>
      </c>
      <c r="D5357" s="9" t="str">
        <f>HYPERLINK("https://otsuka-europe-crm.veevavault.com/ui/#object/approved_document__v/V5O00000000D100", "Spain - Consent Email 1 Aug 25")</f>
        <v>Spain - Consent Email 1 Aug 25</v>
      </c>
      <c r="E5357" s="10" t="str">
        <f>HYPERLINK("https://otsuka-europe-crm.veevavault.com/ui/#object/sent_email__v/VBL00000002N879", "SE-001434028")</f>
        <v>SE-001434028</v>
      </c>
      <c r="F5357" s="11"/>
      <c r="G5357" s="12">
        <v>0</v>
      </c>
      <c r="H5357" s="12">
        <v>0</v>
      </c>
      <c r="I5357" s="12">
        <v>0</v>
      </c>
      <c r="J5357" s="11"/>
      <c r="K5357" s="12">
        <v>0</v>
      </c>
      <c r="L5357" s="10" t="str">
        <f>HYPERLINK("https://otsuka-europe-crm.veevavault.com/ui/#object/approved_document__v/V5O00000000D100", "Spain - Consent Email 1 Aug 25")</f>
        <v>Spain - Consent Email 1 Aug 25</v>
      </c>
      <c r="M5357" s="10" t="str">
        <f>HYPERLINK("mailto:jguri@crm.otsuka-europe.com", "jguri@crm.otsuka-europe.com")</f>
        <v>jguri@crm.otsuka-europe.com</v>
      </c>
      <c r="N5357" s="13">
        <v>46177.44494212963</v>
      </c>
      <c r="O5357" s="14" t="str">
        <f>HYPERLINK("https://otsuka-europe-crm.veevavault.com/ui/#object/email_activity__v/V8C00000003M490", "EN-002088992")</f>
        <v>EN-002088992</v>
      </c>
    </row>
    <row r="5358" spans="1:15" ht="16" x14ac:dyDescent="0.2">
      <c r="A5358" s="17" t="str">
        <f>HYPERLINK("https://otsuka-europe-crm.veevavault.com/ui/#object/account__v/V4TZ06G6O71TCJO", "ANTONIO ZAPATERO GAVIRIA")</f>
        <v>ANTONIO ZAPATERO GAVIRIA</v>
      </c>
      <c r="B5358" s="17" t="str">
        <f>HYPERLINK("https://otsuka-europe-crm.veevavault.com/ui/#object/vcountry__v/VENZ000004SONF5", "ES")</f>
        <v>ES</v>
      </c>
      <c r="C5358" s="20" t="s">
        <v>41</v>
      </c>
      <c r="D5358" s="21" t="str">
        <f>HYPERLINK("https://otsuka-europe-crm.veevavault.com/ui/#object/approved_document__v/V5O00000000D100", "Spain - Consent Email 1 Aug 25")</f>
        <v>Spain - Consent Email 1 Aug 25</v>
      </c>
      <c r="E5358" s="22" t="str">
        <f>HYPERLINK("https://otsuka-europe-crm.veevavault.com/ui/#object/sent_email__v/VBL00000002Q338", "SE-001434029")</f>
        <v>SE-001434029</v>
      </c>
      <c r="F5358" s="23">
        <v>46177.445960648147</v>
      </c>
      <c r="G5358" s="24">
        <v>1</v>
      </c>
      <c r="H5358" s="24">
        <v>1</v>
      </c>
      <c r="I5358" s="24">
        <v>1</v>
      </c>
      <c r="J5358" s="23">
        <v>46177.446192129632</v>
      </c>
      <c r="K5358" s="24">
        <v>1</v>
      </c>
      <c r="L5358" s="22" t="str">
        <f>HYPERLINK("https://otsuka-europe-crm.veevavault.com/ui/#object/approved_document__v/V5O00000000D100", "Spain - Consent Email 1 Aug 25")</f>
        <v>Spain - Consent Email 1 Aug 25</v>
      </c>
      <c r="M5358" s="22" t="str">
        <f>HYPERLINK("mailto:jguri@crm.otsuka-europe.com", "jguri@crm.otsuka-europe.com")</f>
        <v>jguri@crm.otsuka-europe.com</v>
      </c>
      <c r="N5358" s="23">
        <v>46177.445520833331</v>
      </c>
      <c r="O5358" s="14" t="str">
        <f>HYPERLINK("https://otsuka-europe-crm.veevavault.com/ui/#object/email_activity__v/V8C00000003M491", "EN-002088993")</f>
        <v>EN-002088993</v>
      </c>
    </row>
    <row r="5359" spans="1:15" ht="16" x14ac:dyDescent="0.2">
      <c r="A5359" s="18"/>
      <c r="B5359" s="18"/>
      <c r="C5359" s="18"/>
      <c r="D5359" s="18"/>
      <c r="E5359" s="18"/>
      <c r="F5359" s="18"/>
      <c r="G5359" s="18"/>
      <c r="H5359" s="18"/>
      <c r="I5359" s="18"/>
      <c r="J5359" s="18"/>
      <c r="K5359" s="18"/>
      <c r="L5359" s="18"/>
      <c r="M5359" s="18"/>
      <c r="N5359" s="18"/>
      <c r="O5359" s="14" t="str">
        <f>HYPERLINK("https://otsuka-europe-crm.veevavault.com/ui/#object/email_activity__v/V8C00000003M497", "EN-002089015")</f>
        <v>EN-002089015</v>
      </c>
    </row>
    <row r="5360" spans="1:15" ht="16" x14ac:dyDescent="0.2">
      <c r="A5360" s="18"/>
      <c r="B5360" s="18"/>
      <c r="C5360" s="18"/>
      <c r="D5360" s="18"/>
      <c r="E5360" s="18"/>
      <c r="F5360" s="18"/>
      <c r="G5360" s="18"/>
      <c r="H5360" s="18"/>
      <c r="I5360" s="18"/>
      <c r="J5360" s="18"/>
      <c r="K5360" s="18"/>
      <c r="L5360" s="18"/>
      <c r="M5360" s="18"/>
      <c r="N5360" s="18"/>
      <c r="O5360" s="14" t="str">
        <f>HYPERLINK("https://otsuka-europe-crm.veevavault.com/ui/#object/email_activity__v/V8C00000003N599", "EN-002088994")</f>
        <v>EN-002088994</v>
      </c>
    </row>
    <row r="5361" spans="1:15" ht="16" x14ac:dyDescent="0.2">
      <c r="A5361" s="19"/>
      <c r="B5361" s="19"/>
      <c r="C5361" s="19"/>
      <c r="D5361" s="19"/>
      <c r="E5361" s="19"/>
      <c r="F5361" s="19"/>
      <c r="G5361" s="19"/>
      <c r="H5361" s="19"/>
      <c r="I5361" s="19"/>
      <c r="J5361" s="19"/>
      <c r="K5361" s="19"/>
      <c r="L5361" s="19"/>
      <c r="M5361" s="19"/>
      <c r="N5361" s="19"/>
      <c r="O5361" s="14" t="str">
        <f>HYPERLINK("https://otsuka-europe-crm.veevavault.com/ui/#object/email_activity__v/V8C00000003N602", "EN-002088997")</f>
        <v>EN-002088997</v>
      </c>
    </row>
    <row r="5362" spans="1:15" ht="16" x14ac:dyDescent="0.2">
      <c r="A5362" s="17" t="str">
        <f>HYPERLINK("https://otsuka-europe-crm.veevavault.com/ui/#object/account__v/V4TZ04ASG6ZY3G5", "Leslie Rodrigues")</f>
        <v>Leslie Rodrigues</v>
      </c>
      <c r="B5362" s="17" t="str">
        <f>HYPERLINK("https://otsuka-europe-crm.veevavault.com/ui/#object/vcountry__v/VENZ000004SONFK", "GB")</f>
        <v>GB</v>
      </c>
      <c r="C5362" s="20" t="s">
        <v>39</v>
      </c>
      <c r="D5362" s="21" t="str">
        <f>HYPERLINK("https://otsuka-europe-crm.veevavault.com/ui/#object/approved_document__v/V5O00000000D081", "UK - Consent Email 1 Aug 25")</f>
        <v>UK - Consent Email 1 Aug 25</v>
      </c>
      <c r="E5362" s="22" t="str">
        <f>HYPERLINK("https://otsuka-europe-crm.veevavault.com/ui/#object/sent_email__v/VBL00000002N880", "SE-001434030")</f>
        <v>SE-001434030</v>
      </c>
      <c r="F5362" s="23">
        <v>46196.679375</v>
      </c>
      <c r="G5362" s="24">
        <v>1</v>
      </c>
      <c r="H5362" s="24">
        <v>3</v>
      </c>
      <c r="I5362" s="24">
        <v>1</v>
      </c>
      <c r="J5362" s="23">
        <v>46177.449282407404</v>
      </c>
      <c r="K5362" s="24">
        <v>3</v>
      </c>
      <c r="L5362" s="22" t="str">
        <f>HYPERLINK("https://otsuka-europe-crm.veevavault.com/ui/#object/approved_document__v/V5O00000000D081", "UK - Consent Email 1 Aug 25")</f>
        <v>UK - Consent Email 1 Aug 25</v>
      </c>
      <c r="M5362" s="22" t="str">
        <f>HYPERLINK("mailto:ldimambro@crm.otsuka-europe.com", "ldimambro@crm.otsuka-europe.com")</f>
        <v>ldimambro@crm.otsuka-europe.com</v>
      </c>
      <c r="N5362" s="23">
        <v>46177.446226851855</v>
      </c>
      <c r="O5362" s="14" t="str">
        <f>HYPERLINK("https://otsuka-europe-crm.veevavault.com/ui/#object/email_activity__v/V8C00000003M492", "EN-002088998")</f>
        <v>EN-002088998</v>
      </c>
    </row>
    <row r="5363" spans="1:15" ht="16" x14ac:dyDescent="0.2">
      <c r="A5363" s="18"/>
      <c r="B5363" s="18"/>
      <c r="C5363" s="18"/>
      <c r="D5363" s="18"/>
      <c r="E5363" s="18"/>
      <c r="F5363" s="18"/>
      <c r="G5363" s="18"/>
      <c r="H5363" s="18"/>
      <c r="I5363" s="18"/>
      <c r="J5363" s="18"/>
      <c r="K5363" s="18"/>
      <c r="L5363" s="18"/>
      <c r="M5363" s="18"/>
      <c r="N5363" s="18"/>
      <c r="O5363" s="14" t="str">
        <f>HYPERLINK("https://otsuka-europe-crm.veevavault.com/ui/#object/email_activity__v/V8C00000003M498", "EN-002089016")</f>
        <v>EN-002089016</v>
      </c>
    </row>
    <row r="5364" spans="1:15" ht="16" x14ac:dyDescent="0.2">
      <c r="A5364" s="18"/>
      <c r="B5364" s="18"/>
      <c r="C5364" s="18"/>
      <c r="D5364" s="18"/>
      <c r="E5364" s="18"/>
      <c r="F5364" s="18"/>
      <c r="G5364" s="18"/>
      <c r="H5364" s="18"/>
      <c r="I5364" s="18"/>
      <c r="J5364" s="18"/>
      <c r="K5364" s="18"/>
      <c r="L5364" s="18"/>
      <c r="M5364" s="18"/>
      <c r="N5364" s="18"/>
      <c r="O5364" s="14" t="str">
        <f>HYPERLINK("https://otsuka-europe-crm.veevavault.com/ui/#object/email_activity__v/V8C00000003M499", "EN-002089018")</f>
        <v>EN-002089018</v>
      </c>
    </row>
    <row r="5365" spans="1:15" ht="16" x14ac:dyDescent="0.2">
      <c r="A5365" s="18"/>
      <c r="B5365" s="18"/>
      <c r="C5365" s="18"/>
      <c r="D5365" s="18"/>
      <c r="E5365" s="18"/>
      <c r="F5365" s="18"/>
      <c r="G5365" s="18"/>
      <c r="H5365" s="18"/>
      <c r="I5365" s="18"/>
      <c r="J5365" s="18"/>
      <c r="K5365" s="18"/>
      <c r="L5365" s="18"/>
      <c r="M5365" s="18"/>
      <c r="N5365" s="18"/>
      <c r="O5365" s="14" t="str">
        <f>HYPERLINK("https://otsuka-europe-crm.veevavault.com/ui/#object/email_activity__v/V8C00000003M500", "EN-002089019")</f>
        <v>EN-002089019</v>
      </c>
    </row>
    <row r="5366" spans="1:15" ht="16" x14ac:dyDescent="0.2">
      <c r="A5366" s="18"/>
      <c r="B5366" s="18"/>
      <c r="C5366" s="18"/>
      <c r="D5366" s="18"/>
      <c r="E5366" s="18"/>
      <c r="F5366" s="18"/>
      <c r="G5366" s="18"/>
      <c r="H5366" s="18"/>
      <c r="I5366" s="18"/>
      <c r="J5366" s="18"/>
      <c r="K5366" s="18"/>
      <c r="L5366" s="18"/>
      <c r="M5366" s="18"/>
      <c r="N5366" s="18"/>
      <c r="O5366" s="14" t="str">
        <f>HYPERLINK("https://otsuka-europe-crm.veevavault.com/ui/#object/email_activity__v/V8C00000003N613", "EN-002089013")</f>
        <v>EN-002089013</v>
      </c>
    </row>
    <row r="5367" spans="1:15" ht="16" x14ac:dyDescent="0.2">
      <c r="A5367" s="18"/>
      <c r="B5367" s="18"/>
      <c r="C5367" s="18"/>
      <c r="D5367" s="18"/>
      <c r="E5367" s="18"/>
      <c r="F5367" s="18"/>
      <c r="G5367" s="18"/>
      <c r="H5367" s="18"/>
      <c r="I5367" s="18"/>
      <c r="J5367" s="18"/>
      <c r="K5367" s="18"/>
      <c r="L5367" s="18"/>
      <c r="M5367" s="18"/>
      <c r="N5367" s="18"/>
      <c r="O5367" s="14" t="str">
        <f>HYPERLINK("https://otsuka-europe-crm.veevavault.com/ui/#object/email_activity__v/V8C00000003N614", "EN-002089012")</f>
        <v>EN-002089012</v>
      </c>
    </row>
    <row r="5368" spans="1:15" ht="16" x14ac:dyDescent="0.2">
      <c r="A5368" s="18"/>
      <c r="B5368" s="18"/>
      <c r="C5368" s="18"/>
      <c r="D5368" s="18"/>
      <c r="E5368" s="18"/>
      <c r="F5368" s="18"/>
      <c r="G5368" s="18"/>
      <c r="H5368" s="18"/>
      <c r="I5368" s="18"/>
      <c r="J5368" s="18"/>
      <c r="K5368" s="18"/>
      <c r="L5368" s="18"/>
      <c r="M5368" s="18"/>
      <c r="N5368" s="18"/>
      <c r="O5368" s="14" t="str">
        <f>HYPERLINK("https://otsuka-europe-crm.veevavault.com/ui/#object/email_activity__v/V8C00000003N615", "EN-002089017")</f>
        <v>EN-002089017</v>
      </c>
    </row>
    <row r="5369" spans="1:15" ht="16" x14ac:dyDescent="0.2">
      <c r="A5369" s="18"/>
      <c r="B5369" s="18"/>
      <c r="C5369" s="18"/>
      <c r="D5369" s="18"/>
      <c r="E5369" s="18"/>
      <c r="F5369" s="18"/>
      <c r="G5369" s="18"/>
      <c r="H5369" s="18"/>
      <c r="I5369" s="18"/>
      <c r="J5369" s="18"/>
      <c r="K5369" s="18"/>
      <c r="L5369" s="18"/>
      <c r="M5369" s="18"/>
      <c r="N5369" s="18"/>
      <c r="O5369" s="14" t="str">
        <f>HYPERLINK("https://otsuka-europe-crm.veevavault.com/ui/#object/email_activity__v/V8C00000003N645", "EN-002089072")</f>
        <v>EN-002089072</v>
      </c>
    </row>
    <row r="5370" spans="1:15" ht="16" x14ac:dyDescent="0.2">
      <c r="A5370" s="19"/>
      <c r="B5370" s="19"/>
      <c r="C5370" s="19"/>
      <c r="D5370" s="19"/>
      <c r="E5370" s="19"/>
      <c r="F5370" s="19"/>
      <c r="G5370" s="19"/>
      <c r="H5370" s="19"/>
      <c r="I5370" s="19"/>
      <c r="J5370" s="19"/>
      <c r="K5370" s="19"/>
      <c r="L5370" s="19"/>
      <c r="M5370" s="19"/>
      <c r="N5370" s="19"/>
      <c r="O5370" s="14" t="str">
        <f>HYPERLINK("https://otsuka-europe-crm.veevavault.com/ui/#object/email_activity__v/V8C00000003Z386", "EN-002099442")</f>
        <v>EN-002099442</v>
      </c>
    </row>
    <row r="5371" spans="1:15" ht="32" x14ac:dyDescent="0.2">
      <c r="A5371" s="7" t="str">
        <f>HYPERLINK("https://otsuka-europe-crm.veevavault.com/ui/#object/account__v/V4T000000020064", "Carolyn Coleman")</f>
        <v>Carolyn Coleman</v>
      </c>
      <c r="B5371" s="7" t="str">
        <f>HYPERLINK("https://otsuka-europe-crm.veevavault.com/ui/#object/vcountry__v/VENZ000004SONFK", "GB")</f>
        <v>GB</v>
      </c>
      <c r="C5371" s="8" t="s">
        <v>39</v>
      </c>
      <c r="D5371" s="9" t="str">
        <f>HYPERLINK("https://otsuka-europe-crm.veevavault.com/ui/#object/approved_document__v/V5OZ025E82UYOBH", "Aripiprazole 300mg PFS Available VAE")</f>
        <v>Aripiprazole 300mg PFS Available VAE</v>
      </c>
      <c r="E5371" s="10" t="str">
        <f>HYPERLINK("https://otsuka-europe-crm.veevavault.com/ui/#object/sent_email__v/VBL00000002Q339", "SE-001434031")</f>
        <v>SE-001434031</v>
      </c>
      <c r="F5371" s="11"/>
      <c r="G5371" s="12">
        <v>0</v>
      </c>
      <c r="H5371" s="12">
        <v>0</v>
      </c>
      <c r="I5371" s="12">
        <v>0</v>
      </c>
      <c r="J5371" s="11"/>
      <c r="K5371" s="12">
        <v>0</v>
      </c>
      <c r="L5371" s="10" t="str">
        <f>HYPERLINK("https://otsuka-europe-crm.veevavault.com/ui/#object/approved_document__v/V5OZ025E82UYOBH", "Aripiprazole 300mg PFS Available VAE")</f>
        <v>Aripiprazole 300mg PFS Available VAE</v>
      </c>
      <c r="M5371" s="10" t="str">
        <f>HYPERLINK("mailto:ldimambro@crm.otsuka-europe.com", "ldimambro@crm.otsuka-europe.com")</f>
        <v>ldimambro@crm.otsuka-europe.com</v>
      </c>
      <c r="N5371" s="13">
        <v>46177.450914351852</v>
      </c>
      <c r="O5371" s="14" t="str">
        <f>HYPERLINK("https://otsuka-europe-crm.veevavault.com/ui/#object/email_activity__v/V8C00000003M502", "EN-002089021")</f>
        <v>EN-002089021</v>
      </c>
    </row>
    <row r="5372" spans="1:15" ht="32" x14ac:dyDescent="0.2">
      <c r="A5372" s="7" t="str">
        <f>HYPERLINK("https://otsuka-europe-crm.veevavault.com/ui/#object/account__v/V4T000000020064", "Carolyn Coleman")</f>
        <v>Carolyn Coleman</v>
      </c>
      <c r="B5372" s="7" t="str">
        <f>HYPERLINK("https://otsuka-europe-crm.veevavault.com/ui/#object/vcountry__v/VENZ000004SONFK", "GB")</f>
        <v>GB</v>
      </c>
      <c r="C5372" s="8" t="s">
        <v>39</v>
      </c>
      <c r="D5372" s="9" t="str">
        <f>HYPERLINK("https://otsuka-europe-crm.veevavault.com/ui/#object/approved_document__v/V5OZ025E82TSZBI", "Aripiprazole 960mg Fragment VAE")</f>
        <v>Aripiprazole 960mg Fragment VAE</v>
      </c>
      <c r="E5372" s="10" t="str">
        <f>HYPERLINK("https://otsuka-europe-crm.veevavault.com/ui/#object/sent_email__v/VBL00000002Q340", "SE-001434032")</f>
        <v>SE-001434032</v>
      </c>
      <c r="F5372" s="11"/>
      <c r="G5372" s="12">
        <v>0</v>
      </c>
      <c r="H5372" s="12">
        <v>0</v>
      </c>
      <c r="I5372" s="12">
        <v>0</v>
      </c>
      <c r="J5372" s="11"/>
      <c r="K5372" s="12">
        <v>0</v>
      </c>
      <c r="L5372" s="10" t="str">
        <f>HYPERLINK("https://otsuka-europe-crm.veevavault.com/ui/#object/approved_document__v/V5OZ025E82TSZBI", "Aripiprazole 960mg Fragment VAE")</f>
        <v>Aripiprazole 960mg Fragment VAE</v>
      </c>
      <c r="M5372" s="10" t="str">
        <f>HYPERLINK("mailto:ldimambro@crm.otsuka-europe.com", "ldimambro@crm.otsuka-europe.com")</f>
        <v>ldimambro@crm.otsuka-europe.com</v>
      </c>
      <c r="N5372" s="13">
        <v>46177.450949074075</v>
      </c>
      <c r="O5372" s="14" t="str">
        <f>HYPERLINK("https://otsuka-europe-crm.veevavault.com/ui/#object/email_activity__v/V8C00000003M503", "EN-002089022")</f>
        <v>EN-002089022</v>
      </c>
    </row>
    <row r="5373" spans="1:15" ht="32" x14ac:dyDescent="0.2">
      <c r="A5373" s="7" t="str">
        <f>HYPERLINK("https://otsuka-europe-crm.veevavault.com/ui/#object/account__v/V4TZ04ASG6ZY3G5", "Leslie Rodrigues")</f>
        <v>Leslie Rodrigues</v>
      </c>
      <c r="B5373" s="7" t="str">
        <f>HYPERLINK("https://otsuka-europe-crm.veevavault.com/ui/#object/vcountry__v/VENZ000004SONFK", "GB")</f>
        <v>GB</v>
      </c>
      <c r="C5373" s="8" t="s">
        <v>39</v>
      </c>
      <c r="D5373" s="9" t="str">
        <f>HYPERLINK("https://otsuka-europe-crm.veevavault.com/ui/#object/approved_document__v/V5O00000001H005", "LDM DR P2P Invite 23-Jun-26 [digital]")</f>
        <v>LDM DR P2P Invite 23-Jun-26 [digital]</v>
      </c>
      <c r="E5373" s="10" t="str">
        <f>HYPERLINK("https://otsuka-europe-crm.veevavault.com/ui/#object/sent_email__v/VBL00000002N881", "SE-001434033")</f>
        <v>SE-001434033</v>
      </c>
      <c r="F5373" s="11"/>
      <c r="G5373" s="12">
        <v>0</v>
      </c>
      <c r="H5373" s="12">
        <v>0</v>
      </c>
      <c r="I5373" s="12">
        <v>0</v>
      </c>
      <c r="J5373" s="11"/>
      <c r="K5373" s="12">
        <v>0</v>
      </c>
      <c r="L5373" s="10" t="str">
        <f>HYPERLINK("https://otsuka-europe-crm.veevavault.com/ui/#object/approved_document__v/V5O00000001H005", "LDM DR P2P Invite 23-Jun-26 [digital]")</f>
        <v>LDM DR P2P Invite 23-Jun-26 [digital]</v>
      </c>
      <c r="M5373" s="10" t="str">
        <f>HYPERLINK("mailto:ldimambro@crm.otsuka-europe.com", "ldimambro@crm.otsuka-europe.com")</f>
        <v>ldimambro@crm.otsuka-europe.com</v>
      </c>
      <c r="N5373" s="13">
        <v>46177.453182870369</v>
      </c>
      <c r="O5373" s="14" t="str">
        <f>HYPERLINK("https://otsuka-europe-crm.veevavault.com/ui/#object/email_activity__v/V8C00000003N620", "EN-002089029")</f>
        <v>EN-002089029</v>
      </c>
    </row>
    <row r="5374" spans="1:15" ht="16" x14ac:dyDescent="0.2">
      <c r="A5374" s="17" t="str">
        <f>HYPERLINK("https://otsuka-europe-crm.veevavault.com/ui/#object/account__v/V4TZ06G6O71S9GJ", "CRISTIANO CARLONE")</f>
        <v>CRISTIANO CARLONE</v>
      </c>
      <c r="B5374" s="17" t="str">
        <f>HYPERLINK("https://otsuka-europe-crm.veevavault.com/ui/#object/vcountry__v/VENZ000004SONFQ", "IT")</f>
        <v>IT</v>
      </c>
      <c r="C5374" s="20" t="s">
        <v>44</v>
      </c>
      <c r="D5374" s="21" t="str">
        <f>HYPERLINK("https://otsuka-europe-crm.veevavault.com/ui/#object/approved_document__v/V5OZ025E82UFNWM", "ABILIFY 960720_Branded_AE Fagiolini_IT-AM2-2500131")</f>
        <v>ABILIFY 960720_Branded_AE Fagiolini_IT-AM2-2500131</v>
      </c>
      <c r="E5374" s="22" t="str">
        <f>HYPERLINK("https://otsuka-europe-crm.veevavault.com/ui/#object/sent_email__v/VBL00000002Q341", "SE-001434034")</f>
        <v>SE-001434034</v>
      </c>
      <c r="F5374" s="23">
        <v>46177.474548611113</v>
      </c>
      <c r="G5374" s="24">
        <v>1</v>
      </c>
      <c r="H5374" s="24">
        <v>1</v>
      </c>
      <c r="I5374" s="24">
        <v>1</v>
      </c>
      <c r="J5374" s="23">
        <v>46177.476053240738</v>
      </c>
      <c r="K5374" s="24">
        <v>1</v>
      </c>
      <c r="L5374" s="22" t="str">
        <f>HYPERLINK("https://otsuka-europe-crm.veevavault.com/ui/#object/approved_document__v/V5OZ025E82UFNWM", "ABILIFY 960720_Branded_AE Fagiolini_IT-AM2-2500131")</f>
        <v>ABILIFY 960720_Branded_AE Fagiolini_IT-AM2-2500131</v>
      </c>
      <c r="M5374" s="22" t="str">
        <f>HYPERLINK("mailto:marina.maccaglia@crm.otsuka-europe.com", "marina.maccaglia@crm.otsuka-europe.com")</f>
        <v>marina.maccaglia@crm.otsuka-europe.com</v>
      </c>
      <c r="N5374" s="23">
        <v>46177.460497685184</v>
      </c>
      <c r="O5374" s="14" t="str">
        <f>HYPERLINK("https://otsuka-europe-crm.veevavault.com/ui/#object/email_activity__v/V8C00000003M510", "EN-002089041")</f>
        <v>EN-002089041</v>
      </c>
    </row>
    <row r="5375" spans="1:15" ht="16" x14ac:dyDescent="0.2">
      <c r="A5375" s="18"/>
      <c r="B5375" s="18"/>
      <c r="C5375" s="18"/>
      <c r="D5375" s="18"/>
      <c r="E5375" s="18"/>
      <c r="F5375" s="18"/>
      <c r="G5375" s="18"/>
      <c r="H5375" s="18"/>
      <c r="I5375" s="18"/>
      <c r="J5375" s="18"/>
      <c r="K5375" s="18"/>
      <c r="L5375" s="18"/>
      <c r="M5375" s="18"/>
      <c r="N5375" s="18"/>
      <c r="O5375" s="14" t="str">
        <f>HYPERLINK("https://otsuka-europe-crm.veevavault.com/ui/#object/email_activity__v/V8C00000003N624", "EN-002089035")</f>
        <v>EN-002089035</v>
      </c>
    </row>
    <row r="5376" spans="1:15" ht="16" x14ac:dyDescent="0.2">
      <c r="A5376" s="18"/>
      <c r="B5376" s="18"/>
      <c r="C5376" s="18"/>
      <c r="D5376" s="18"/>
      <c r="E5376" s="18"/>
      <c r="F5376" s="18"/>
      <c r="G5376" s="18"/>
      <c r="H5376" s="18"/>
      <c r="I5376" s="18"/>
      <c r="J5376" s="18"/>
      <c r="K5376" s="18"/>
      <c r="L5376" s="18"/>
      <c r="M5376" s="18"/>
      <c r="N5376" s="18"/>
      <c r="O5376" s="14" t="str">
        <f>HYPERLINK("https://otsuka-europe-crm.veevavault.com/ui/#object/email_activity__v/V8C00000003N630", "EN-002089044")</f>
        <v>EN-002089044</v>
      </c>
    </row>
    <row r="5377" spans="1:15" ht="16" x14ac:dyDescent="0.2">
      <c r="A5377" s="18"/>
      <c r="B5377" s="18"/>
      <c r="C5377" s="18"/>
      <c r="D5377" s="18"/>
      <c r="E5377" s="18"/>
      <c r="F5377" s="18"/>
      <c r="G5377" s="18"/>
      <c r="H5377" s="18"/>
      <c r="I5377" s="18"/>
      <c r="J5377" s="18"/>
      <c r="K5377" s="18"/>
      <c r="L5377" s="18"/>
      <c r="M5377" s="18"/>
      <c r="N5377" s="18"/>
      <c r="O5377" s="14" t="str">
        <f>HYPERLINK("https://otsuka-europe-crm.veevavault.com/ui/#object/email_activity__v/V8C00000003N641", "EN-002089067")</f>
        <v>EN-002089067</v>
      </c>
    </row>
    <row r="5378" spans="1:15" ht="16" x14ac:dyDescent="0.2">
      <c r="A5378" s="18"/>
      <c r="B5378" s="18"/>
      <c r="C5378" s="18"/>
      <c r="D5378" s="18"/>
      <c r="E5378" s="18"/>
      <c r="F5378" s="18"/>
      <c r="G5378" s="18"/>
      <c r="H5378" s="18"/>
      <c r="I5378" s="18"/>
      <c r="J5378" s="18"/>
      <c r="K5378" s="18"/>
      <c r="L5378" s="18"/>
      <c r="M5378" s="18"/>
      <c r="N5378" s="18"/>
      <c r="O5378" s="14" t="str">
        <f>HYPERLINK("https://otsuka-europe-crm.veevavault.com/ui/#object/email_activity__v/V8C00000003N642", "EN-002089068")</f>
        <v>EN-002089068</v>
      </c>
    </row>
    <row r="5379" spans="1:15" ht="16" x14ac:dyDescent="0.2">
      <c r="A5379" s="19"/>
      <c r="B5379" s="19"/>
      <c r="C5379" s="19"/>
      <c r="D5379" s="19"/>
      <c r="E5379" s="19"/>
      <c r="F5379" s="19"/>
      <c r="G5379" s="19"/>
      <c r="H5379" s="19"/>
      <c r="I5379" s="19"/>
      <c r="J5379" s="19"/>
      <c r="K5379" s="19"/>
      <c r="L5379" s="19"/>
      <c r="M5379" s="19"/>
      <c r="N5379" s="19"/>
      <c r="O5379" s="14" t="str">
        <f>HYPERLINK("https://otsuka-europe-crm.veevavault.com/ui/#object/email_activity__v/V8C00000003N643", "EN-002089069")</f>
        <v>EN-002089069</v>
      </c>
    </row>
    <row r="5380" spans="1:15" ht="48" x14ac:dyDescent="0.2">
      <c r="A5380" s="7" t="str">
        <f>HYPERLINK("https://otsuka-europe-crm.veevavault.com/ui/#object/account__v/V4TZ06G6O964HE6", "SILVIA TORGE")</f>
        <v>SILVIA TORGE</v>
      </c>
      <c r="B5380" s="7" t="str">
        <f>HYPERLINK("https://otsuka-europe-crm.veevavault.com/ui/#object/vcountry__v/VENZ000004SONFQ", "IT")</f>
        <v>IT</v>
      </c>
      <c r="C5380" s="8" t="s">
        <v>44</v>
      </c>
      <c r="D5380" s="9" t="str">
        <f>HYPERLINK("https://otsuka-europe-crm.veevavault.com/ui/#object/approved_document__v/V5OZ025E82UFNWM", "ABILIFY 960720_Branded_AE Fagiolini_IT-AM2-2500131")</f>
        <v>ABILIFY 960720_Branded_AE Fagiolini_IT-AM2-2500131</v>
      </c>
      <c r="E5380" s="10" t="str">
        <f>HYPERLINK("https://otsuka-europe-crm.veevavault.com/ui/#object/sent_email__v/VBL00000002Q342", "SE-001434035")</f>
        <v>SE-001434035</v>
      </c>
      <c r="F5380" s="11"/>
      <c r="G5380" s="12">
        <v>0</v>
      </c>
      <c r="H5380" s="12">
        <v>0</v>
      </c>
      <c r="I5380" s="12">
        <v>0</v>
      </c>
      <c r="J5380" s="11"/>
      <c r="K5380" s="12">
        <v>0</v>
      </c>
      <c r="L5380" s="10" t="str">
        <f>HYPERLINK("https://otsuka-europe-crm.veevavault.com/ui/#object/approved_document__v/V5OZ025E82UFNWM", "ABILIFY 960720_Branded_AE Fagiolini_IT-AM2-2500131")</f>
        <v>ABILIFY 960720_Branded_AE Fagiolini_IT-AM2-2500131</v>
      </c>
      <c r="M5380" s="10" t="str">
        <f>HYPERLINK("mailto:marina.maccaglia@crm.otsuka-europe.com", "marina.maccaglia@crm.otsuka-europe.com")</f>
        <v>marina.maccaglia@crm.otsuka-europe.com</v>
      </c>
      <c r="N5380" s="13">
        <v>46177.464502314811</v>
      </c>
      <c r="O5380" s="14" t="str">
        <f>HYPERLINK("https://otsuka-europe-crm.veevavault.com/ui/#object/email_activity__v/V8C00000003N627", "EN-002089038")</f>
        <v>EN-002089038</v>
      </c>
    </row>
    <row r="5381" spans="1:15" ht="32" x14ac:dyDescent="0.2">
      <c r="A5381" s="7" t="str">
        <f>HYPERLINK("https://otsuka-europe-crm.veevavault.com/ui/#object/account__v/V4TZ06G6O71TAZC", "MARIA MERCEDES MADRE RULL")</f>
        <v>MARIA MERCEDES MADRE RULL</v>
      </c>
      <c r="B5381" s="7" t="str">
        <f>HYPERLINK("https://otsuka-europe-crm.veevavault.com/ui/#object/vcountry__v/VENZ000004SONF5", "ES")</f>
        <v>ES</v>
      </c>
      <c r="C5381" s="8" t="s">
        <v>41</v>
      </c>
      <c r="D5381" s="9" t="str">
        <f>HYPERLINK("https://otsuka-europe-crm.veevavault.com/ui/#object/approved_document__v/V5O000000006001", "RXULTI - Comparativa antipsicóticos")</f>
        <v>RXULTI - Comparativa antipsicóticos</v>
      </c>
      <c r="E5381" s="10" t="str">
        <f>HYPERLINK("https://otsuka-europe-crm.veevavault.com/ui/#object/sent_email__v/VBL00000002N882", "SE-001434036")</f>
        <v>SE-001434036</v>
      </c>
      <c r="F5381" s="11"/>
      <c r="G5381" s="12">
        <v>0</v>
      </c>
      <c r="H5381" s="12">
        <v>0</v>
      </c>
      <c r="I5381" s="12">
        <v>0</v>
      </c>
      <c r="J5381" s="11"/>
      <c r="K5381" s="12">
        <v>0</v>
      </c>
      <c r="L5381" s="10" t="str">
        <f>HYPERLINK("https://otsuka-europe-crm.veevavault.com/ui/#object/approved_document__v/V5O000000006001", "RXULTI - Comparativa antipsicóticos")</f>
        <v>RXULTI - Comparativa antipsicóticos</v>
      </c>
      <c r="M5381" s="10" t="str">
        <f>HYPERLINK("mailto:iortega@crm.otsuka-europe.com", "iortega@crm.otsuka-europe.com")</f>
        <v>iortega@crm.otsuka-europe.com</v>
      </c>
      <c r="N5381" s="13">
        <v>46177.475844907407</v>
      </c>
      <c r="O5381" s="14" t="str">
        <f>HYPERLINK("https://otsuka-europe-crm.veevavault.com/ui/#object/email_activity__v/V8C00000003N628", "EN-002089042")</f>
        <v>EN-002089042</v>
      </c>
    </row>
    <row r="5382" spans="1:15" ht="16" x14ac:dyDescent="0.2">
      <c r="A5382" s="17" t="str">
        <f>HYPERLINK("https://otsuka-europe-crm.veevavault.com/ui/#object/account__v/V4TZ06G6O71TAZC", "MARIA MERCEDES MADRE RULL")</f>
        <v>MARIA MERCEDES MADRE RULL</v>
      </c>
      <c r="B5382" s="17" t="str">
        <f>HYPERLINK("https://otsuka-europe-crm.veevavault.com/ui/#object/vcountry__v/VENZ000004SONF5", "ES")</f>
        <v>ES</v>
      </c>
      <c r="C5382" s="20" t="s">
        <v>41</v>
      </c>
      <c r="D5382" s="21" t="str">
        <f>HYPERLINK("https://otsuka-europe-crm.veevavault.com/ui/#object/approved_document__v/V5O00000001I001", "RXULTI - Programa webinar RXPERTS 11 junio")</f>
        <v>RXULTI - Programa webinar RXPERTS 11 junio</v>
      </c>
      <c r="E5382" s="22" t="str">
        <f>HYPERLINK("https://otsuka-europe-crm.veevavault.com/ui/#object/sent_email__v/VBL00000002N883", "SE-001434037")</f>
        <v>SE-001434037</v>
      </c>
      <c r="F5382" s="23">
        <v>46177.494837962964</v>
      </c>
      <c r="G5382" s="24">
        <v>1</v>
      </c>
      <c r="H5382" s="24">
        <v>2</v>
      </c>
      <c r="I5382" s="24">
        <v>1</v>
      </c>
      <c r="J5382" s="23">
        <v>46178.332314814812</v>
      </c>
      <c r="K5382" s="24">
        <v>5</v>
      </c>
      <c r="L5382" s="22" t="str">
        <f>HYPERLINK("https://otsuka-europe-crm.veevavault.com/ui/#object/approved_document__v/V5O00000001I001", "RXULTI - Programa webinar RXPERTS 11 junio")</f>
        <v>RXULTI - Programa webinar RXPERTS 11 junio</v>
      </c>
      <c r="M5382" s="22" t="str">
        <f>HYPERLINK("mailto:iortega@crm.otsuka-europe.com", "iortega@crm.otsuka-europe.com")</f>
        <v>iortega@crm.otsuka-europe.com</v>
      </c>
      <c r="N5382" s="23">
        <v>46177.47587962963</v>
      </c>
      <c r="O5382" s="14" t="str">
        <f>HYPERLINK("https://otsuka-europe-crm.veevavault.com/ui/#object/email_activity__v/V8C00000003N629", "EN-002089043")</f>
        <v>EN-002089043</v>
      </c>
    </row>
    <row r="5383" spans="1:15" ht="16" x14ac:dyDescent="0.2">
      <c r="A5383" s="18"/>
      <c r="B5383" s="18"/>
      <c r="C5383" s="18"/>
      <c r="D5383" s="18"/>
      <c r="E5383" s="18"/>
      <c r="F5383" s="18"/>
      <c r="G5383" s="18"/>
      <c r="H5383" s="18"/>
      <c r="I5383" s="18"/>
      <c r="J5383" s="18"/>
      <c r="K5383" s="18"/>
      <c r="L5383" s="18"/>
      <c r="M5383" s="18"/>
      <c r="N5383" s="18"/>
      <c r="O5383" s="14" t="str">
        <f>HYPERLINK("https://otsuka-europe-crm.veevavault.com/ui/#object/email_activity__v/V8C00000003N636", "EN-002089060")</f>
        <v>EN-002089060</v>
      </c>
    </row>
    <row r="5384" spans="1:15" ht="16" x14ac:dyDescent="0.2">
      <c r="A5384" s="18"/>
      <c r="B5384" s="18"/>
      <c r="C5384" s="18"/>
      <c r="D5384" s="18"/>
      <c r="E5384" s="18"/>
      <c r="F5384" s="18"/>
      <c r="G5384" s="18"/>
      <c r="H5384" s="18"/>
      <c r="I5384" s="18"/>
      <c r="J5384" s="18"/>
      <c r="K5384" s="18"/>
      <c r="L5384" s="18"/>
      <c r="M5384" s="18"/>
      <c r="N5384" s="18"/>
      <c r="O5384" s="14" t="str">
        <f>HYPERLINK("https://otsuka-europe-crm.veevavault.com/ui/#object/email_activity__v/V8C00000003N637", "EN-002089059")</f>
        <v>EN-002089059</v>
      </c>
    </row>
    <row r="5385" spans="1:15" ht="16" x14ac:dyDescent="0.2">
      <c r="A5385" s="18"/>
      <c r="B5385" s="18"/>
      <c r="C5385" s="18"/>
      <c r="D5385" s="18"/>
      <c r="E5385" s="18"/>
      <c r="F5385" s="18"/>
      <c r="G5385" s="18"/>
      <c r="H5385" s="18"/>
      <c r="I5385" s="18"/>
      <c r="J5385" s="18"/>
      <c r="K5385" s="18"/>
      <c r="L5385" s="18"/>
      <c r="M5385" s="18"/>
      <c r="N5385" s="18"/>
      <c r="O5385" s="14" t="str">
        <f>HYPERLINK("https://otsuka-europe-crm.veevavault.com/ui/#object/email_activity__v/V8C00000003N638", "EN-002089062")</f>
        <v>EN-002089062</v>
      </c>
    </row>
    <row r="5386" spans="1:15" ht="16" x14ac:dyDescent="0.2">
      <c r="A5386" s="18"/>
      <c r="B5386" s="18"/>
      <c r="C5386" s="18"/>
      <c r="D5386" s="18"/>
      <c r="E5386" s="18"/>
      <c r="F5386" s="18"/>
      <c r="G5386" s="18"/>
      <c r="H5386" s="18"/>
      <c r="I5386" s="18"/>
      <c r="J5386" s="18"/>
      <c r="K5386" s="18"/>
      <c r="L5386" s="18"/>
      <c r="M5386" s="18"/>
      <c r="N5386" s="18"/>
      <c r="O5386" s="14" t="str">
        <f>HYPERLINK("https://otsuka-europe-crm.veevavault.com/ui/#object/email_activity__v/V8C00000003N639", "EN-002089061")</f>
        <v>EN-002089061</v>
      </c>
    </row>
    <row r="5387" spans="1:15" ht="16" x14ac:dyDescent="0.2">
      <c r="A5387" s="18"/>
      <c r="B5387" s="18"/>
      <c r="C5387" s="18"/>
      <c r="D5387" s="18"/>
      <c r="E5387" s="18"/>
      <c r="F5387" s="18"/>
      <c r="G5387" s="18"/>
      <c r="H5387" s="18"/>
      <c r="I5387" s="18"/>
      <c r="J5387" s="18"/>
      <c r="K5387" s="18"/>
      <c r="L5387" s="18"/>
      <c r="M5387" s="18"/>
      <c r="N5387" s="18"/>
      <c r="O5387" s="14" t="str">
        <f>HYPERLINK("https://otsuka-europe-crm.veevavault.com/ui/#object/email_activity__v/V8C00000003N640", "EN-002089063")</f>
        <v>EN-002089063</v>
      </c>
    </row>
    <row r="5388" spans="1:15" ht="16" x14ac:dyDescent="0.2">
      <c r="A5388" s="18"/>
      <c r="B5388" s="18"/>
      <c r="C5388" s="18"/>
      <c r="D5388" s="18"/>
      <c r="E5388" s="18"/>
      <c r="F5388" s="18"/>
      <c r="G5388" s="18"/>
      <c r="H5388" s="18"/>
      <c r="I5388" s="18"/>
      <c r="J5388" s="18"/>
      <c r="K5388" s="18"/>
      <c r="L5388" s="18"/>
      <c r="M5388" s="18"/>
      <c r="N5388" s="18"/>
      <c r="O5388" s="14" t="str">
        <f>HYPERLINK("https://otsuka-europe-crm.veevavault.com/ui/#object/email_activity__v/V8C00000003O021", "EN-002089274")</f>
        <v>EN-002089274</v>
      </c>
    </row>
    <row r="5389" spans="1:15" ht="16" x14ac:dyDescent="0.2">
      <c r="A5389" s="19"/>
      <c r="B5389" s="19"/>
      <c r="C5389" s="19"/>
      <c r="D5389" s="19"/>
      <c r="E5389" s="19"/>
      <c r="F5389" s="19"/>
      <c r="G5389" s="19"/>
      <c r="H5389" s="19"/>
      <c r="I5389" s="19"/>
      <c r="J5389" s="19"/>
      <c r="K5389" s="19"/>
      <c r="L5389" s="19"/>
      <c r="M5389" s="19"/>
      <c r="N5389" s="19"/>
      <c r="O5389" s="14" t="str">
        <f>HYPERLINK("https://otsuka-europe-crm.veevavault.com/ui/#object/email_activity__v/V8C00000003O022", "EN-002089275")</f>
        <v>EN-002089275</v>
      </c>
    </row>
    <row r="5390" spans="1:15" ht="32" x14ac:dyDescent="0.2">
      <c r="A5390" s="7" t="str">
        <f>HYPERLINK("https://otsuka-europe-crm.veevavault.com/ui/#object/account__v/V4T000000020084", "LUISA ROSADO TEJERO")</f>
        <v>LUISA ROSADO TEJERO</v>
      </c>
      <c r="B5390" s="7" t="str">
        <f>HYPERLINK("https://otsuka-europe-crm.veevavault.com/ui/#object/vcountry__v/VENZ000004SONF5", "ES")</f>
        <v>ES</v>
      </c>
      <c r="C5390" s="8" t="s">
        <v>41</v>
      </c>
      <c r="D5390" s="9" t="str">
        <f>HYPERLINK("https://otsuka-europe-crm.veevavault.com/ui/#object/approved_document__v/V5OZ06G6O6RFL1P", "ES Veeva Privacy Notice Email")</f>
        <v>ES Veeva Privacy Notice Email</v>
      </c>
      <c r="E5390" s="10" t="str">
        <f>HYPERLINK("https://otsuka-europe-crm.veevavault.com/ui/#object/sent_email__v/VBL00000002Q343", "SE-001434038")</f>
        <v>SE-001434038</v>
      </c>
      <c r="F5390" s="11"/>
      <c r="G5390" s="12">
        <v>0</v>
      </c>
      <c r="H5390" s="12">
        <v>0</v>
      </c>
      <c r="I5390" s="12">
        <v>0</v>
      </c>
      <c r="J5390" s="11"/>
      <c r="K5390" s="12">
        <v>0</v>
      </c>
      <c r="L5390" s="10" t="str">
        <f>HYPERLINK("https://otsuka-europe-crm.veevavault.com/ui/#object/approved_document__v/V5OZ06G6O6RFL1P", "ES Veeva Privacy Notice Email")</f>
        <v>ES Veeva Privacy Notice Email</v>
      </c>
      <c r="M5390" s="10" t="str">
        <f>HYPERLINK("mailto:mgravan@crm.otsuka-europe.com", "mgravan@crm.otsuka-europe.com")</f>
        <v>mgravan@crm.otsuka-europe.com</v>
      </c>
      <c r="N5390" s="13">
        <v>46177.478055555555</v>
      </c>
      <c r="O5390" s="14" t="str">
        <f>HYPERLINK("https://otsuka-europe-crm.veevavault.com/ui/#object/email_activity__v/V8C00000003N632", "EN-002089046")</f>
        <v>EN-002089046</v>
      </c>
    </row>
    <row r="5391" spans="1:15" ht="16" x14ac:dyDescent="0.2">
      <c r="A5391" s="17" t="str">
        <f>HYPERLINK("https://otsuka-europe-crm.veevavault.com/ui/#object/account__v/V4T000000020084", "LUISA ROSADO TEJERO")</f>
        <v>LUISA ROSADO TEJERO</v>
      </c>
      <c r="B5391" s="17" t="str">
        <f>HYPERLINK("https://otsuka-europe-crm.veevavault.com/ui/#object/vcountry__v/VENZ000004SONF5", "ES")</f>
        <v>ES</v>
      </c>
      <c r="C5391" s="20" t="s">
        <v>41</v>
      </c>
      <c r="D5391" s="21" t="str">
        <f>HYPERLINK("https://otsuka-europe-crm.veevavault.com/ui/#object/approved_document__v/V5OZ04ASG4FWKA7", "Reuniones Online Consent - 2")</f>
        <v>Reuniones Online Consent - 2</v>
      </c>
      <c r="E5391" s="22" t="str">
        <f>HYPERLINK("https://otsuka-europe-crm.veevavault.com/ui/#object/sent_email__v/VBL00000002N884", "SE-001434039")</f>
        <v>SE-001434039</v>
      </c>
      <c r="F5391" s="23">
        <v>46177.538680555554</v>
      </c>
      <c r="G5391" s="24">
        <v>1</v>
      </c>
      <c r="H5391" s="24">
        <v>1</v>
      </c>
      <c r="I5391" s="24">
        <v>1</v>
      </c>
      <c r="J5391" s="23">
        <v>46177.539074074077</v>
      </c>
      <c r="K5391" s="24">
        <v>2</v>
      </c>
      <c r="L5391" s="22" t="str">
        <f>HYPERLINK("https://otsuka-europe-crm.veevavault.com/ui/#object/approved_document__v/V5OZ04ASG4FWKA7", "Reuniones Online Consent - 2")</f>
        <v>Reuniones Online Consent - 2</v>
      </c>
      <c r="M5391" s="22" t="str">
        <f>HYPERLINK("mailto:mgravan@crm.otsuka-europe.com", "mgravan@crm.otsuka-europe.com")</f>
        <v>mgravan@crm.otsuka-europe.com</v>
      </c>
      <c r="N5391" s="23">
        <v>46177.478391203702</v>
      </c>
      <c r="O5391" s="14" t="str">
        <f>HYPERLINK("https://otsuka-europe-crm.veevavault.com/ui/#object/email_activity__v/V8C00000003M512", "EN-002089048")</f>
        <v>EN-002089048</v>
      </c>
    </row>
    <row r="5392" spans="1:15" ht="16" x14ac:dyDescent="0.2">
      <c r="A5392" s="18"/>
      <c r="B5392" s="18"/>
      <c r="C5392" s="18"/>
      <c r="D5392" s="18"/>
      <c r="E5392" s="18"/>
      <c r="F5392" s="18"/>
      <c r="G5392" s="18"/>
      <c r="H5392" s="18"/>
      <c r="I5392" s="18"/>
      <c r="J5392" s="18"/>
      <c r="K5392" s="18"/>
      <c r="L5392" s="18"/>
      <c r="M5392" s="18"/>
      <c r="N5392" s="18"/>
      <c r="O5392" s="14" t="str">
        <f>HYPERLINK("https://otsuka-europe-crm.veevavault.com/ui/#object/email_activity__v/V8C00000003N649", "EN-002089085")</f>
        <v>EN-002089085</v>
      </c>
    </row>
    <row r="5393" spans="1:15" ht="16" x14ac:dyDescent="0.2">
      <c r="A5393" s="18"/>
      <c r="B5393" s="18"/>
      <c r="C5393" s="18"/>
      <c r="D5393" s="18"/>
      <c r="E5393" s="18"/>
      <c r="F5393" s="18"/>
      <c r="G5393" s="18"/>
      <c r="H5393" s="18"/>
      <c r="I5393" s="18"/>
      <c r="J5393" s="18"/>
      <c r="K5393" s="18"/>
      <c r="L5393" s="18"/>
      <c r="M5393" s="18"/>
      <c r="N5393" s="18"/>
      <c r="O5393" s="14" t="str">
        <f>HYPERLINK("https://otsuka-europe-crm.veevavault.com/ui/#object/email_activity__v/V8C00000003N650", "EN-002089084")</f>
        <v>EN-002089084</v>
      </c>
    </row>
    <row r="5394" spans="1:15" ht="16" x14ac:dyDescent="0.2">
      <c r="A5394" s="19"/>
      <c r="B5394" s="19"/>
      <c r="C5394" s="19"/>
      <c r="D5394" s="19"/>
      <c r="E5394" s="19"/>
      <c r="F5394" s="19"/>
      <c r="G5394" s="19"/>
      <c r="H5394" s="19"/>
      <c r="I5394" s="19"/>
      <c r="J5394" s="19"/>
      <c r="K5394" s="19"/>
      <c r="L5394" s="19"/>
      <c r="M5394" s="19"/>
      <c r="N5394" s="19"/>
      <c r="O5394" s="14" t="str">
        <f>HYPERLINK("https://otsuka-europe-crm.veevavault.com/ui/#object/email_activity__v/V8C00000003N651", "EN-002089086")</f>
        <v>EN-002089086</v>
      </c>
    </row>
    <row r="5395" spans="1:15" ht="16" x14ac:dyDescent="0.2">
      <c r="A5395" s="17" t="str">
        <f>HYPERLINK("https://otsuka-europe-crm.veevavault.com/ui/#object/account__v/V4T000000020084", "LUISA ROSADO TEJERO")</f>
        <v>LUISA ROSADO TEJERO</v>
      </c>
      <c r="B5395" s="17" t="str">
        <f>HYPERLINK("https://otsuka-europe-crm.veevavault.com/ui/#object/vcountry__v/VENZ000004SONF5", "ES")</f>
        <v>ES</v>
      </c>
      <c r="C5395" s="20" t="s">
        <v>41</v>
      </c>
      <c r="D5395" s="21" t="str">
        <f>HYPERLINK("https://otsuka-europe-crm.veevavault.com/ui/#object/approved_document__v/V5O00000000D100", "Spain - Consent Email 1 Aug 25")</f>
        <v>Spain - Consent Email 1 Aug 25</v>
      </c>
      <c r="E5395" s="22" t="str">
        <f>HYPERLINK("https://otsuka-europe-crm.veevavault.com/ui/#object/sent_email__v/VBL00000002N885", "SE-001434040")</f>
        <v>SE-001434040</v>
      </c>
      <c r="F5395" s="23">
        <v>46177.795474537037</v>
      </c>
      <c r="G5395" s="24">
        <v>1</v>
      </c>
      <c r="H5395" s="24">
        <v>3</v>
      </c>
      <c r="I5395" s="24">
        <v>1</v>
      </c>
      <c r="J5395" s="23">
        <v>46177.7969212963</v>
      </c>
      <c r="K5395" s="24">
        <v>1</v>
      </c>
      <c r="L5395" s="22" t="str">
        <f>HYPERLINK("https://otsuka-europe-crm.veevavault.com/ui/#object/approved_document__v/V5O00000000D100", "Spain - Consent Email 1 Aug 25")</f>
        <v>Spain - Consent Email 1 Aug 25</v>
      </c>
      <c r="M5395" s="22" t="str">
        <f>HYPERLINK("mailto:mgravan@crm.otsuka-europe.com", "mgravan@crm.otsuka-europe.com")</f>
        <v>mgravan@crm.otsuka-europe.com</v>
      </c>
      <c r="N5395" s="23">
        <v>46177.478402777779</v>
      </c>
      <c r="O5395" s="14" t="str">
        <f>HYPERLINK("https://otsuka-europe-crm.veevavault.com/ui/#object/email_activity__v/V8C00000003M511", "EN-002089047")</f>
        <v>EN-002089047</v>
      </c>
    </row>
    <row r="5396" spans="1:15" ht="16" x14ac:dyDescent="0.2">
      <c r="A5396" s="18"/>
      <c r="B5396" s="18"/>
      <c r="C5396" s="18"/>
      <c r="D5396" s="18"/>
      <c r="E5396" s="18"/>
      <c r="F5396" s="18"/>
      <c r="G5396" s="18"/>
      <c r="H5396" s="18"/>
      <c r="I5396" s="18"/>
      <c r="J5396" s="18"/>
      <c r="K5396" s="18"/>
      <c r="L5396" s="18"/>
      <c r="M5396" s="18"/>
      <c r="N5396" s="18"/>
      <c r="O5396" s="14" t="str">
        <f>HYPERLINK("https://otsuka-europe-crm.veevavault.com/ui/#object/email_activity__v/V8C00000003M595", "EN-002089212")</f>
        <v>EN-002089212</v>
      </c>
    </row>
    <row r="5397" spans="1:15" ht="16" x14ac:dyDescent="0.2">
      <c r="A5397" s="18"/>
      <c r="B5397" s="18"/>
      <c r="C5397" s="18"/>
      <c r="D5397" s="18"/>
      <c r="E5397" s="18"/>
      <c r="F5397" s="18"/>
      <c r="G5397" s="18"/>
      <c r="H5397" s="18"/>
      <c r="I5397" s="18"/>
      <c r="J5397" s="18"/>
      <c r="K5397" s="18"/>
      <c r="L5397" s="18"/>
      <c r="M5397" s="18"/>
      <c r="N5397" s="18"/>
      <c r="O5397" s="14" t="str">
        <f>HYPERLINK("https://otsuka-europe-crm.veevavault.com/ui/#object/email_activity__v/V8C00000003M596", "EN-002089213")</f>
        <v>EN-002089213</v>
      </c>
    </row>
    <row r="5398" spans="1:15" ht="16" x14ac:dyDescent="0.2">
      <c r="A5398" s="18"/>
      <c r="B5398" s="18"/>
      <c r="C5398" s="18"/>
      <c r="D5398" s="18"/>
      <c r="E5398" s="18"/>
      <c r="F5398" s="18"/>
      <c r="G5398" s="18"/>
      <c r="H5398" s="18"/>
      <c r="I5398" s="18"/>
      <c r="J5398" s="18"/>
      <c r="K5398" s="18"/>
      <c r="L5398" s="18"/>
      <c r="M5398" s="18"/>
      <c r="N5398" s="18"/>
      <c r="O5398" s="14" t="str">
        <f>HYPERLINK("https://otsuka-europe-crm.veevavault.com/ui/#object/email_activity__v/V8C00000003N715", "EN-002089214")</f>
        <v>EN-002089214</v>
      </c>
    </row>
    <row r="5399" spans="1:15" ht="16" x14ac:dyDescent="0.2">
      <c r="A5399" s="19"/>
      <c r="B5399" s="19"/>
      <c r="C5399" s="19"/>
      <c r="D5399" s="19"/>
      <c r="E5399" s="19"/>
      <c r="F5399" s="19"/>
      <c r="G5399" s="19"/>
      <c r="H5399" s="19"/>
      <c r="I5399" s="19"/>
      <c r="J5399" s="19"/>
      <c r="K5399" s="19"/>
      <c r="L5399" s="19"/>
      <c r="M5399" s="19"/>
      <c r="N5399" s="19"/>
      <c r="O5399" s="14" t="str">
        <f>HYPERLINK("https://otsuka-europe-crm.veevavault.com/ui/#object/email_activity__v/V8C00000003N716", "EN-002089215")</f>
        <v>EN-002089215</v>
      </c>
    </row>
    <row r="5400" spans="1:15" ht="32" x14ac:dyDescent="0.2">
      <c r="A5400" s="7" t="str">
        <f>HYPERLINK("https://otsuka-europe-crm.veevavault.com/ui/#object/account__v/V4TZ06G6O71T8EA", "MIGUEL ANGEL HEREDERO SANZ")</f>
        <v>MIGUEL ANGEL HEREDERO SANZ</v>
      </c>
      <c r="B5400" s="7" t="str">
        <f>HYPERLINK("https://otsuka-europe-crm.veevavault.com/ui/#object/vcountry__v/VENZ000004SONF5", "ES")</f>
        <v>ES</v>
      </c>
      <c r="C5400" s="8" t="s">
        <v>41</v>
      </c>
      <c r="D5400" s="9" t="str">
        <f>HYPERLINK("https://otsuka-europe-crm.veevavault.com/ui/#object/approved_document__v/V5O00000000R009", "AM2M - PSIQUIATRIA - Guía manejo práctico AM2M")</f>
        <v>AM2M - PSIQUIATRIA - Guía manejo práctico AM2M</v>
      </c>
      <c r="E5400" s="10" t="str">
        <f>HYPERLINK("https://otsuka-europe-crm.veevavault.com/ui/#object/sent_email__v/VBL00000002Q344", "SE-001434041")</f>
        <v>SE-001434041</v>
      </c>
      <c r="F5400" s="11"/>
      <c r="G5400" s="12">
        <v>0</v>
      </c>
      <c r="H5400" s="12">
        <v>0</v>
      </c>
      <c r="I5400" s="12">
        <v>0</v>
      </c>
      <c r="J5400" s="11"/>
      <c r="K5400" s="12">
        <v>0</v>
      </c>
      <c r="L5400" s="10" t="str">
        <f>HYPERLINK("https://otsuka-europe-crm.veevavault.com/ui/#object/approved_document__v/V5O00000000R009", "AM2M - PSIQUIATRIA - Guía manejo práctico AM2M")</f>
        <v>AM2M - PSIQUIATRIA - Guía manejo práctico AM2M</v>
      </c>
      <c r="M5400" s="10" t="str">
        <f>HYPERLINK("mailto:fdiaz@crm.otsuka-europe.com", "fdiaz@crm.otsuka-europe.com")</f>
        <v>fdiaz@crm.otsuka-europe.com</v>
      </c>
      <c r="N5400" s="13">
        <v>46177.482418981483</v>
      </c>
      <c r="O5400" s="14" t="str">
        <f>HYPERLINK("https://otsuka-europe-crm.veevavault.com/ui/#object/email_activity__v/V8C00000003N634", "EN-002089051")</f>
        <v>EN-002089051</v>
      </c>
    </row>
    <row r="5401" spans="1:15" ht="32" x14ac:dyDescent="0.2">
      <c r="A5401" s="7" t="str">
        <f>HYPERLINK("https://otsuka-europe-crm.veevavault.com/ui/#object/account__v/V4T000000021080", "VALERIA ESTEFANIA DELGADO PINOS")</f>
        <v>VALERIA ESTEFANIA DELGADO PINOS</v>
      </c>
      <c r="B5401" s="7" t="str">
        <f>HYPERLINK("https://otsuka-europe-crm.veevavault.com/ui/#object/vcountry__v/VENZ000004SONF5", "ES")</f>
        <v>ES</v>
      </c>
      <c r="C5401" s="8" t="s">
        <v>41</v>
      </c>
      <c r="D5401" s="9" t="str">
        <f>HYPERLINK("https://otsuka-europe-crm.veevavault.com/ui/#object/approved_document__v/V5OZ06G6O6RFL1P", "ES Veeva Privacy Notice Email")</f>
        <v>ES Veeva Privacy Notice Email</v>
      </c>
      <c r="E5401" s="10" t="str">
        <f>HYPERLINK("https://otsuka-europe-crm.veevavault.com/ui/#object/sent_email__v/VBL00000002Q345", "SE-001434042")</f>
        <v>SE-001434042</v>
      </c>
      <c r="F5401" s="11"/>
      <c r="G5401" s="12">
        <v>0</v>
      </c>
      <c r="H5401" s="12">
        <v>0</v>
      </c>
      <c r="I5401" s="12">
        <v>0</v>
      </c>
      <c r="J5401" s="11"/>
      <c r="K5401" s="12">
        <v>0</v>
      </c>
      <c r="L5401" s="10" t="str">
        <f>HYPERLINK("https://otsuka-europe-crm.veevavault.com/ui/#object/approved_document__v/V5OZ06G6O6RFL1P", "ES Veeva Privacy Notice Email")</f>
        <v>ES Veeva Privacy Notice Email</v>
      </c>
      <c r="M5401" s="10" t="str">
        <f>HYPERLINK("mailto:gsammali@crm.otsuka-europe.com", "gsammali@crm.otsuka-europe.com")</f>
        <v>gsammali@crm.otsuka-europe.com</v>
      </c>
      <c r="N5401" s="13">
        <v>46177.493368055555</v>
      </c>
      <c r="O5401" s="14" t="str">
        <f>HYPERLINK("https://otsuka-europe-crm.veevavault.com/ui/#object/email_activity__v/V8C00000003N635", "EN-002089058")</f>
        <v>EN-002089058</v>
      </c>
    </row>
    <row r="5402" spans="1:15" ht="16" x14ac:dyDescent="0.2">
      <c r="A5402" s="17" t="str">
        <f>HYPERLINK("https://otsuka-europe-crm.veevavault.com/ui/#object/account__v/V4TZ025E83D7RPY", "BENCHENE MASSAR")</f>
        <v>BENCHENE MASSAR</v>
      </c>
      <c r="B5402" s="17" t="str">
        <f>HYPERLINK("https://otsuka-europe-crm.veevavault.com/ui/#object/vcountry__v/VENZ000004SONFA", "FR")</f>
        <v>FR</v>
      </c>
      <c r="C5402" s="20" t="s">
        <v>42</v>
      </c>
      <c r="D5402" s="21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E5402" s="22" t="str">
        <f>HYPERLINK("https://otsuka-europe-crm.veevavault.com/ui/#object/sent_email__v/VBL00000002N886", "SE-001434043")</f>
        <v>SE-001434043</v>
      </c>
      <c r="F5402" s="23">
        <v>46178.68886574074</v>
      </c>
      <c r="G5402" s="24">
        <v>1</v>
      </c>
      <c r="H5402" s="24">
        <v>3</v>
      </c>
      <c r="I5402" s="24">
        <v>0</v>
      </c>
      <c r="J5402" s="25"/>
      <c r="K5402" s="24">
        <v>0</v>
      </c>
      <c r="L5402" s="22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M5402" s="22" t="str">
        <f>HYPERLINK("mailto:mvernoux@crm.otsuka-europe.com", "mvernoux@crm.otsuka-europe.com")</f>
        <v>mvernoux@crm.otsuka-europe.com</v>
      </c>
      <c r="N5402" s="23">
        <v>46178.342349537037</v>
      </c>
      <c r="O5402" s="14" t="str">
        <f>HYPERLINK("https://otsuka-europe-crm.veevavault.com/ui/#object/email_activity__v/V8C00000003O024", "EN-002089280")</f>
        <v>EN-002089280</v>
      </c>
    </row>
    <row r="5403" spans="1:15" ht="16" x14ac:dyDescent="0.2">
      <c r="A5403" s="18"/>
      <c r="B5403" s="18"/>
      <c r="C5403" s="18"/>
      <c r="D5403" s="18"/>
      <c r="E5403" s="18"/>
      <c r="F5403" s="18"/>
      <c r="G5403" s="18"/>
      <c r="H5403" s="18"/>
      <c r="I5403" s="18"/>
      <c r="J5403" s="18"/>
      <c r="K5403" s="18"/>
      <c r="L5403" s="18"/>
      <c r="M5403" s="18"/>
      <c r="N5403" s="18"/>
      <c r="O5403" s="14" t="str">
        <f>HYPERLINK("https://otsuka-europe-crm.veevavault.com/ui/#object/email_activity__v/V8C00000003O067", "EN-002089390")</f>
        <v>EN-002089390</v>
      </c>
    </row>
    <row r="5404" spans="1:15" ht="16" x14ac:dyDescent="0.2">
      <c r="A5404" s="18"/>
      <c r="B5404" s="18"/>
      <c r="C5404" s="18"/>
      <c r="D5404" s="18"/>
      <c r="E5404" s="18"/>
      <c r="F5404" s="18"/>
      <c r="G5404" s="18"/>
      <c r="H5404" s="18"/>
      <c r="I5404" s="18"/>
      <c r="J5404" s="18"/>
      <c r="K5404" s="18"/>
      <c r="L5404" s="18"/>
      <c r="M5404" s="18"/>
      <c r="N5404" s="18"/>
      <c r="O5404" s="14" t="str">
        <f>HYPERLINK("https://otsuka-europe-crm.veevavault.com/ui/#object/email_activity__v/V8C00000003O068", "EN-002089392")</f>
        <v>EN-002089392</v>
      </c>
    </row>
    <row r="5405" spans="1:15" ht="16" x14ac:dyDescent="0.2">
      <c r="A5405" s="19"/>
      <c r="B5405" s="19"/>
      <c r="C5405" s="19"/>
      <c r="D5405" s="19"/>
      <c r="E5405" s="19"/>
      <c r="F5405" s="19"/>
      <c r="G5405" s="19"/>
      <c r="H5405" s="19"/>
      <c r="I5405" s="19"/>
      <c r="J5405" s="19"/>
      <c r="K5405" s="19"/>
      <c r="L5405" s="19"/>
      <c r="M5405" s="19"/>
      <c r="N5405" s="19"/>
      <c r="O5405" s="14" t="str">
        <f>HYPERLINK("https://otsuka-europe-crm.veevavault.com/ui/#object/email_activity__v/V8C00000003P084", "EN-002089391")</f>
        <v>EN-002089391</v>
      </c>
    </row>
    <row r="5406" spans="1:15" ht="16" x14ac:dyDescent="0.2">
      <c r="A5406" s="17" t="str">
        <f>HYPERLINK("https://otsuka-europe-crm.veevavault.com/ui/#object/account__v/V4TZ00000633WQP", "CHRISTELLE PAILLARD")</f>
        <v>CHRISTELLE PAILLARD</v>
      </c>
      <c r="B5406" s="17" t="str">
        <f>HYPERLINK("https://otsuka-europe-crm.veevavault.com/ui/#object/vcountry__v/VENZ000004SONFA", "FR")</f>
        <v>FR</v>
      </c>
      <c r="C5406" s="20" t="s">
        <v>42</v>
      </c>
      <c r="D5406" s="21" t="str">
        <f>HYPERLINK("https://otsuka-europe-crm.veevavault.com/ui/#object/approved_document__v/V5OZ04ASG4G02Y6", "INVITATION_VAD_2023")</f>
        <v>INVITATION_VAD_2023</v>
      </c>
      <c r="E5406" s="22" t="str">
        <f>HYPERLINK("https://otsuka-europe-crm.veevavault.com/ui/#object/sent_email__v/VBL00000002Q346", "SE-001434044")</f>
        <v>SE-001434044</v>
      </c>
      <c r="F5406" s="25"/>
      <c r="G5406" s="24">
        <v>0</v>
      </c>
      <c r="H5406" s="24">
        <v>0</v>
      </c>
      <c r="I5406" s="24">
        <v>0</v>
      </c>
      <c r="J5406" s="25"/>
      <c r="K5406" s="24">
        <v>0</v>
      </c>
      <c r="L5406" s="22" t="str">
        <f>HYPERLINK("https://otsuka-europe-crm.veevavault.com/ui/#object/approved_document__v/V5OZ04ASG4G02Y6", "INVITATION_VAD_2023")</f>
        <v>INVITATION_VAD_2023</v>
      </c>
      <c r="M5406" s="22" t="str">
        <f>HYPERLINK("mailto:mvernoux@crm.otsuka-europe.com", "mvernoux@crm.otsuka-europe.com")</f>
        <v>mvernoux@crm.otsuka-europe.com</v>
      </c>
      <c r="N5406" s="23">
        <v>46177.510046296295</v>
      </c>
      <c r="O5406" s="14" t="str">
        <f>HYPERLINK("https://otsuka-europe-crm.veevavault.com/ui/#object/email_activity__v/V8C00000003N644", "EN-002089070")</f>
        <v>EN-002089070</v>
      </c>
    </row>
    <row r="5407" spans="1:15" ht="16" x14ac:dyDescent="0.2">
      <c r="A5407" s="19"/>
      <c r="B5407" s="19"/>
      <c r="C5407" s="19"/>
      <c r="D5407" s="19"/>
      <c r="E5407" s="19"/>
      <c r="F5407" s="19"/>
      <c r="G5407" s="19"/>
      <c r="H5407" s="19"/>
      <c r="I5407" s="19"/>
      <c r="J5407" s="19"/>
      <c r="K5407" s="19"/>
      <c r="L5407" s="19"/>
      <c r="M5407" s="19"/>
      <c r="N5407" s="19"/>
      <c r="O5407" s="14" t="str">
        <f>HYPERLINK("https://otsuka-europe-crm.veevavault.com/ui/#object/email_activity__v/V8C00000003O004", "EN-002089244")</f>
        <v>EN-002089244</v>
      </c>
    </row>
    <row r="5408" spans="1:15" ht="48" x14ac:dyDescent="0.2">
      <c r="A5408" s="7" t="str">
        <f>HYPERLINK("https://otsuka-europe-crm.veevavault.com/ui/#object/account__v/V4T000000021080", "VALERIA ESTEFANIA DELGADO PINOS")</f>
        <v>VALERIA ESTEFANIA DELGADO PINOS</v>
      </c>
      <c r="B5408" s="7" t="str">
        <f>HYPERLINK("https://otsuka-europe-crm.veevavault.com/ui/#object/vcountry__v/VENZ000004SONF5", "ES")</f>
        <v>ES</v>
      </c>
      <c r="C5408" s="8" t="s">
        <v>41</v>
      </c>
      <c r="D5408" s="9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5408" s="10" t="str">
        <f>HYPERLINK("https://otsuka-europe-crm.veevavault.com/ui/#object/sent_email__v/VBL00000002Q347", "SE-001434045")</f>
        <v>SE-001434045</v>
      </c>
      <c r="F5408" s="11"/>
      <c r="G5408" s="12">
        <v>0</v>
      </c>
      <c r="H5408" s="12">
        <v>0</v>
      </c>
      <c r="I5408" s="12">
        <v>0</v>
      </c>
      <c r="J5408" s="11"/>
      <c r="K5408" s="12">
        <v>0</v>
      </c>
      <c r="L5408" s="10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5408" s="10" t="str">
        <f>HYPERLINK("mailto:gsammali@crm.otsuka-europe.com", "gsammali@crm.otsuka-europe.com")</f>
        <v>gsammali@crm.otsuka-europe.com</v>
      </c>
      <c r="N5408" s="13">
        <v>46177.518796296295</v>
      </c>
      <c r="O5408" s="14" t="str">
        <f>HYPERLINK("https://otsuka-europe-crm.veevavault.com/ui/#object/email_activity__v/V8C00000003M525", "EN-002089074")</f>
        <v>EN-002089074</v>
      </c>
    </row>
    <row r="5409" spans="1:15" ht="16" x14ac:dyDescent="0.2">
      <c r="A5409" s="17" t="str">
        <f>HYPERLINK("https://otsuka-europe-crm.veevavault.com/ui/#object/account__v/V4T00000001E035", "EDUARDO GONZALEZ GOMEZ")</f>
        <v>EDUARDO GONZALEZ GOMEZ</v>
      </c>
      <c r="B5409" s="17" t="str">
        <f>HYPERLINK("https://otsuka-europe-crm.veevavault.com/ui/#object/vcountry__v/VENZ000004SONF5", "ES")</f>
        <v>ES</v>
      </c>
      <c r="C5409" s="20" t="s">
        <v>41</v>
      </c>
      <c r="D5409" s="21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5409" s="22" t="str">
        <f>HYPERLINK("https://otsuka-europe-crm.veevavault.com/ui/#object/sent_email__v/VBL00000002Q348", "SE-001434046")</f>
        <v>SE-001434046</v>
      </c>
      <c r="F5409" s="23">
        <v>46183.573541666665</v>
      </c>
      <c r="G5409" s="24">
        <v>1</v>
      </c>
      <c r="H5409" s="24">
        <v>1</v>
      </c>
      <c r="I5409" s="24">
        <v>0</v>
      </c>
      <c r="J5409" s="25"/>
      <c r="K5409" s="24">
        <v>0</v>
      </c>
      <c r="L5409" s="22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5409" s="22" t="str">
        <f>HYPERLINK("mailto:gsammali@crm.otsuka-europe.com", "gsammali@crm.otsuka-europe.com")</f>
        <v>gsammali@crm.otsuka-europe.com</v>
      </c>
      <c r="N5409" s="23">
        <v>46177.518796296295</v>
      </c>
      <c r="O5409" s="14" t="str">
        <f>HYPERLINK("https://otsuka-europe-crm.veevavault.com/ui/#object/email_activity__v/V8C00000003M524", "EN-002089073")</f>
        <v>EN-002089073</v>
      </c>
    </row>
    <row r="5410" spans="1:15" ht="16" x14ac:dyDescent="0.2">
      <c r="A5410" s="19"/>
      <c r="B5410" s="19"/>
      <c r="C5410" s="19"/>
      <c r="D5410" s="19"/>
      <c r="E5410" s="19"/>
      <c r="F5410" s="19"/>
      <c r="G5410" s="19"/>
      <c r="H5410" s="19"/>
      <c r="I5410" s="19"/>
      <c r="J5410" s="19"/>
      <c r="K5410" s="19"/>
      <c r="L5410" s="19"/>
      <c r="M5410" s="19"/>
      <c r="N5410" s="19"/>
      <c r="O5410" s="14" t="str">
        <f>HYPERLINK("https://otsuka-europe-crm.veevavault.com/ui/#object/email_activity__v/V8C00000003S685", "EN-002094262")</f>
        <v>EN-002094262</v>
      </c>
    </row>
    <row r="5411" spans="1:15" ht="48" x14ac:dyDescent="0.2">
      <c r="A5411" s="7" t="str">
        <f>HYPERLINK("https://otsuka-europe-crm.veevavault.com/ui/#object/account__v/V4T00000001E036", "ANA GOMEZ MARTINEZ")</f>
        <v>ANA GOMEZ MARTINEZ</v>
      </c>
      <c r="B5411" s="7" t="str">
        <f>HYPERLINK("https://otsuka-europe-crm.veevavault.com/ui/#object/vcountry__v/VENZ000004SONF5", "ES")</f>
        <v>ES</v>
      </c>
      <c r="C5411" s="8" t="s">
        <v>41</v>
      </c>
      <c r="D5411" s="9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5411" s="10" t="str">
        <f>HYPERLINK("https://otsuka-europe-crm.veevavault.com/ui/#object/sent_email__v/VBL00000002N887", "SE-001434047")</f>
        <v>SE-001434047</v>
      </c>
      <c r="F5411" s="11"/>
      <c r="G5411" s="12">
        <v>0</v>
      </c>
      <c r="H5411" s="12">
        <v>0</v>
      </c>
      <c r="I5411" s="12">
        <v>0</v>
      </c>
      <c r="J5411" s="11"/>
      <c r="K5411" s="12">
        <v>0</v>
      </c>
      <c r="L5411" s="10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5411" s="10" t="str">
        <f>HYPERLINK("mailto:gsammali@crm.otsuka-europe.com", "gsammali@crm.otsuka-europe.com")</f>
        <v>gsammali@crm.otsuka-europe.com</v>
      </c>
      <c r="N5411" s="13">
        <v>46177.519085648149</v>
      </c>
      <c r="O5411" s="14" t="str">
        <f>HYPERLINK("https://otsuka-europe-crm.veevavault.com/ui/#object/email_activity__v/V8C00000003M526", "EN-002089075")</f>
        <v>EN-002089075</v>
      </c>
    </row>
    <row r="5412" spans="1:15" ht="32" x14ac:dyDescent="0.2">
      <c r="A5412" s="7" t="str">
        <f>HYPERLINK("https://otsuka-europe-crm.veevavault.com/ui/#object/account__v/V4TZ025E87IKQBL", "ELSA LOPEZ BARDON")</f>
        <v>ELSA LOPEZ BARDON</v>
      </c>
      <c r="B5412" s="7" t="str">
        <f>HYPERLINK("https://otsuka-europe-crm.veevavault.com/ui/#object/vcountry__v/VENZ000004SONF5", "ES")</f>
        <v>ES</v>
      </c>
      <c r="C5412" s="8" t="s">
        <v>41</v>
      </c>
      <c r="D5412" s="9" t="str">
        <f>HYPERLINK("https://otsuka-europe-crm.veevavault.com/ui/#object/approved_document__v/V5O00000000R009", "AM2M - PSIQUIATRIA - Guía manejo práctico AM2M")</f>
        <v>AM2M - PSIQUIATRIA - Guía manejo práctico AM2M</v>
      </c>
      <c r="E5412" s="10" t="str">
        <f>HYPERLINK("https://otsuka-europe-crm.veevavault.com/ui/#object/sent_email__v/VBL00000002Q349", "SE-001434048")</f>
        <v>SE-001434048</v>
      </c>
      <c r="F5412" s="11"/>
      <c r="G5412" s="12">
        <v>0</v>
      </c>
      <c r="H5412" s="12">
        <v>0</v>
      </c>
      <c r="I5412" s="12">
        <v>0</v>
      </c>
      <c r="J5412" s="11"/>
      <c r="K5412" s="12">
        <v>0</v>
      </c>
      <c r="L5412" s="10" t="str">
        <f>HYPERLINK("https://otsuka-europe-crm.veevavault.com/ui/#object/approved_document__v/V5O00000000R009", "AM2M - PSIQUIATRIA - Guía manejo práctico AM2M")</f>
        <v>AM2M - PSIQUIATRIA - Guía manejo práctico AM2M</v>
      </c>
      <c r="M5412" s="10" t="str">
        <f>HYPERLINK("mailto:fdiaz@crm.otsuka-europe.com", "fdiaz@crm.otsuka-europe.com")</f>
        <v>fdiaz@crm.otsuka-europe.com</v>
      </c>
      <c r="N5412" s="13">
        <v>46177.521724537037</v>
      </c>
      <c r="O5412" s="14" t="str">
        <f>HYPERLINK("https://otsuka-europe-crm.veevavault.com/ui/#object/email_activity__v/V8C00000003N646", "EN-002089078")</f>
        <v>EN-002089078</v>
      </c>
    </row>
    <row r="5413" spans="1:15" ht="48" x14ac:dyDescent="0.2">
      <c r="A5413" s="7" t="str">
        <f>HYPERLINK("https://otsuka-europe-crm.veevavault.com/ui/#object/account__v/V4TZ025E87PPRHK", "PEDRO JOSE PAUL VIDALLER")</f>
        <v>PEDRO JOSE PAUL VIDALLER</v>
      </c>
      <c r="B5413" s="7" t="str">
        <f>HYPERLINK("https://otsuka-europe-crm.veevavault.com/ui/#object/vcountry__v/VENZ000004SONF5", "ES")</f>
        <v>ES</v>
      </c>
      <c r="C5413" s="8" t="s">
        <v>41</v>
      </c>
      <c r="D5413" s="9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5413" s="10" t="str">
        <f>HYPERLINK("https://otsuka-europe-crm.veevavault.com/ui/#object/sent_email__v/VBL00000002Q350", "SE-001434049")</f>
        <v>SE-001434049</v>
      </c>
      <c r="F5413" s="11"/>
      <c r="G5413" s="12">
        <v>0</v>
      </c>
      <c r="H5413" s="12">
        <v>0</v>
      </c>
      <c r="I5413" s="12">
        <v>0</v>
      </c>
      <c r="J5413" s="11"/>
      <c r="K5413" s="12">
        <v>0</v>
      </c>
      <c r="L5413" s="10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5413" s="10" t="str">
        <f>HYPERLINK("mailto:gsammali@crm.otsuka-europe.com", "gsammali@crm.otsuka-europe.com")</f>
        <v>gsammali@crm.otsuka-europe.com</v>
      </c>
      <c r="N5413" s="13">
        <v>46177.526446759257</v>
      </c>
      <c r="O5413" s="14" t="str">
        <f>HYPERLINK("https://otsuka-europe-crm.veevavault.com/ui/#object/email_activity__v/V8C00000003M529", "EN-002089079")</f>
        <v>EN-002089079</v>
      </c>
    </row>
    <row r="5414" spans="1:15" ht="16" x14ac:dyDescent="0.2">
      <c r="A5414" s="17" t="str">
        <f>HYPERLINK("https://otsuka-europe-crm.veevavault.com/ui/#object/account__v/V4TZ025E887JSRB", "Emmanuel Attakpah")</f>
        <v>Emmanuel Attakpah</v>
      </c>
      <c r="B5414" s="17" t="str">
        <f>HYPERLINK("https://otsuka-europe-crm.veevavault.com/ui/#object/vcountry__v/VENZ000004SONFK", "GB")</f>
        <v>GB</v>
      </c>
      <c r="C5414" s="20" t="s">
        <v>39</v>
      </c>
      <c r="D5414" s="21" t="str">
        <f>HYPERLINK("https://otsuka-europe-crm.veevavault.com/ui/#object/approved_document__v/V5O00000000D081", "UK - Consent Email 1 Aug 25")</f>
        <v>UK - Consent Email 1 Aug 25</v>
      </c>
      <c r="E5414" s="22" t="str">
        <f>HYPERLINK("https://otsuka-europe-crm.veevavault.com/ui/#object/sent_email__v/VBL00000002Q351", "SE-001434050")</f>
        <v>SE-001434050</v>
      </c>
      <c r="F5414" s="23">
        <v>46178.409166666665</v>
      </c>
      <c r="G5414" s="24">
        <v>1</v>
      </c>
      <c r="H5414" s="24">
        <v>5</v>
      </c>
      <c r="I5414" s="24">
        <v>1</v>
      </c>
      <c r="J5414" s="23">
        <v>46177.55195601852</v>
      </c>
      <c r="K5414" s="24">
        <v>2</v>
      </c>
      <c r="L5414" s="22" t="str">
        <f>HYPERLINK("https://otsuka-europe-crm.veevavault.com/ui/#object/approved_document__v/V5O00000000D081", "UK - Consent Email 1 Aug 25")</f>
        <v>UK - Consent Email 1 Aug 25</v>
      </c>
      <c r="M5414" s="22" t="str">
        <f>HYPERLINK("mailto:draval@crm.otsuka-europe.com", "draval@crm.otsuka-europe.com")</f>
        <v>draval@crm.otsuka-europe.com</v>
      </c>
      <c r="N5414" s="23">
        <v>46177.545393518521</v>
      </c>
      <c r="O5414" s="14" t="str">
        <f>HYPERLINK("https://otsuka-europe-crm.veevavault.com/ui/#object/email_activity__v/V8C00000003M535", "EN-002089092")</f>
        <v>EN-002089092</v>
      </c>
    </row>
    <row r="5415" spans="1:15" ht="16" x14ac:dyDescent="0.2">
      <c r="A5415" s="18"/>
      <c r="B5415" s="18"/>
      <c r="C5415" s="18"/>
      <c r="D5415" s="18"/>
      <c r="E5415" s="18"/>
      <c r="F5415" s="18"/>
      <c r="G5415" s="18"/>
      <c r="H5415" s="18"/>
      <c r="I5415" s="18"/>
      <c r="J5415" s="18"/>
      <c r="K5415" s="18"/>
      <c r="L5415" s="18"/>
      <c r="M5415" s="18"/>
      <c r="N5415" s="18"/>
      <c r="O5415" s="14" t="str">
        <f>HYPERLINK("https://otsuka-europe-crm.veevavault.com/ui/#object/email_activity__v/V8C00000003M537", "EN-002089095")</f>
        <v>EN-002089095</v>
      </c>
    </row>
    <row r="5416" spans="1:15" ht="16" x14ac:dyDescent="0.2">
      <c r="A5416" s="18"/>
      <c r="B5416" s="18"/>
      <c r="C5416" s="18"/>
      <c r="D5416" s="18"/>
      <c r="E5416" s="18"/>
      <c r="F5416" s="18"/>
      <c r="G5416" s="18"/>
      <c r="H5416" s="18"/>
      <c r="I5416" s="18"/>
      <c r="J5416" s="18"/>
      <c r="K5416" s="18"/>
      <c r="L5416" s="18"/>
      <c r="M5416" s="18"/>
      <c r="N5416" s="18"/>
      <c r="O5416" s="14" t="str">
        <f>HYPERLINK("https://otsuka-europe-crm.veevavault.com/ui/#object/email_activity__v/V8C00000003M538", "EN-002089096")</f>
        <v>EN-002089096</v>
      </c>
    </row>
    <row r="5417" spans="1:15" ht="16" x14ac:dyDescent="0.2">
      <c r="A5417" s="18"/>
      <c r="B5417" s="18"/>
      <c r="C5417" s="18"/>
      <c r="D5417" s="18"/>
      <c r="E5417" s="18"/>
      <c r="F5417" s="18"/>
      <c r="G5417" s="18"/>
      <c r="H5417" s="18"/>
      <c r="I5417" s="18"/>
      <c r="J5417" s="18"/>
      <c r="K5417" s="18"/>
      <c r="L5417" s="18"/>
      <c r="M5417" s="18"/>
      <c r="N5417" s="18"/>
      <c r="O5417" s="14" t="str">
        <f>HYPERLINK("https://otsuka-europe-crm.veevavault.com/ui/#object/email_activity__v/V8C00000003N656", "EN-002089098")</f>
        <v>EN-002089098</v>
      </c>
    </row>
    <row r="5418" spans="1:15" ht="16" x14ac:dyDescent="0.2">
      <c r="A5418" s="18"/>
      <c r="B5418" s="18"/>
      <c r="C5418" s="18"/>
      <c r="D5418" s="18"/>
      <c r="E5418" s="18"/>
      <c r="F5418" s="18"/>
      <c r="G5418" s="18"/>
      <c r="H5418" s="18"/>
      <c r="I5418" s="18"/>
      <c r="J5418" s="18"/>
      <c r="K5418" s="18"/>
      <c r="L5418" s="18"/>
      <c r="M5418" s="18"/>
      <c r="N5418" s="18"/>
      <c r="O5418" s="14" t="str">
        <f>HYPERLINK("https://otsuka-europe-crm.veevavault.com/ui/#object/email_activity__v/V8C00000003N657", "EN-002089099")</f>
        <v>EN-002089099</v>
      </c>
    </row>
    <row r="5419" spans="1:15" ht="16" x14ac:dyDescent="0.2">
      <c r="A5419" s="18"/>
      <c r="B5419" s="18"/>
      <c r="C5419" s="18"/>
      <c r="D5419" s="18"/>
      <c r="E5419" s="18"/>
      <c r="F5419" s="18"/>
      <c r="G5419" s="18"/>
      <c r="H5419" s="18"/>
      <c r="I5419" s="18"/>
      <c r="J5419" s="18"/>
      <c r="K5419" s="18"/>
      <c r="L5419" s="18"/>
      <c r="M5419" s="18"/>
      <c r="N5419" s="18"/>
      <c r="O5419" s="14" t="str">
        <f>HYPERLINK("https://otsuka-europe-crm.veevavault.com/ui/#object/email_activity__v/V8C00000003N658", "EN-002089100")</f>
        <v>EN-002089100</v>
      </c>
    </row>
    <row r="5420" spans="1:15" ht="16" x14ac:dyDescent="0.2">
      <c r="A5420" s="18"/>
      <c r="B5420" s="18"/>
      <c r="C5420" s="18"/>
      <c r="D5420" s="18"/>
      <c r="E5420" s="18"/>
      <c r="F5420" s="18"/>
      <c r="G5420" s="18"/>
      <c r="H5420" s="18"/>
      <c r="I5420" s="18"/>
      <c r="J5420" s="18"/>
      <c r="K5420" s="18"/>
      <c r="L5420" s="18"/>
      <c r="M5420" s="18"/>
      <c r="N5420" s="18"/>
      <c r="O5420" s="14" t="str">
        <f>HYPERLINK("https://otsuka-europe-crm.veevavault.com/ui/#object/email_activity__v/V8C00000003N659", "EN-002089101")</f>
        <v>EN-002089101</v>
      </c>
    </row>
    <row r="5421" spans="1:15" ht="16" x14ac:dyDescent="0.2">
      <c r="A5421" s="19"/>
      <c r="B5421" s="19"/>
      <c r="C5421" s="19"/>
      <c r="D5421" s="19"/>
      <c r="E5421" s="19"/>
      <c r="F5421" s="19"/>
      <c r="G5421" s="19"/>
      <c r="H5421" s="19"/>
      <c r="I5421" s="19"/>
      <c r="J5421" s="19"/>
      <c r="K5421" s="19"/>
      <c r="L5421" s="19"/>
      <c r="M5421" s="19"/>
      <c r="N5421" s="19"/>
      <c r="O5421" s="14" t="str">
        <f>HYPERLINK("https://otsuka-europe-crm.veevavault.com/ui/#object/email_activity__v/V8C00000003P038", "EN-002089313")</f>
        <v>EN-002089313</v>
      </c>
    </row>
    <row r="5422" spans="1:15" ht="16" x14ac:dyDescent="0.2">
      <c r="A5422" s="17" t="str">
        <f>HYPERLINK("https://otsuka-europe-crm.veevavault.com/ui/#object/account__v/V4TZ025E887JSRB", "Emmanuel Attakpah")</f>
        <v>Emmanuel Attakpah</v>
      </c>
      <c r="B5422" s="17" t="str">
        <f>HYPERLINK("https://otsuka-europe-crm.veevavault.com/ui/#object/vcountry__v/VENZ000004SONFK", "GB")</f>
        <v>GB</v>
      </c>
      <c r="C5422" s="20" t="s">
        <v>39</v>
      </c>
      <c r="D5422" s="21" t="str">
        <f>HYPERLINK("https://otsuka-europe-crm.veevavault.com/ui/#object/approved_document__v/V5O00000001H007", "DR P2P Invite 18-Jun-26 [digital]")</f>
        <v>DR P2P Invite 18-Jun-26 [digital]</v>
      </c>
      <c r="E5422" s="22" t="str">
        <f>HYPERLINK("https://otsuka-europe-crm.veevavault.com/ui/#object/sent_email__v/VBL00000002Q352", "SE-001434051")</f>
        <v>SE-001434051</v>
      </c>
      <c r="F5422" s="23">
        <v>46182.612187500003</v>
      </c>
      <c r="G5422" s="24">
        <v>1</v>
      </c>
      <c r="H5422" s="24">
        <v>8</v>
      </c>
      <c r="I5422" s="24">
        <v>0</v>
      </c>
      <c r="J5422" s="25"/>
      <c r="K5422" s="24">
        <v>0</v>
      </c>
      <c r="L5422" s="22" t="str">
        <f>HYPERLINK("https://otsuka-europe-crm.veevavault.com/ui/#object/approved_document__v/V5O00000001H007", "DR P2P Invite 18-Jun-26 [digital]")</f>
        <v>DR P2P Invite 18-Jun-26 [digital]</v>
      </c>
      <c r="M5422" s="22" t="str">
        <f>HYPERLINK("mailto:draval@crm.otsuka-europe.com", "draval@crm.otsuka-europe.com")</f>
        <v>draval@crm.otsuka-europe.com</v>
      </c>
      <c r="N5422" s="23">
        <v>46177.556168981479</v>
      </c>
      <c r="O5422" s="14" t="str">
        <f>HYPERLINK("https://otsuka-europe-crm.veevavault.com/ui/#object/email_activity__v/V8C00000003M540", "EN-002089105")</f>
        <v>EN-002089105</v>
      </c>
    </row>
    <row r="5423" spans="1:15" ht="16" x14ac:dyDescent="0.2">
      <c r="A5423" s="18"/>
      <c r="B5423" s="18"/>
      <c r="C5423" s="18"/>
      <c r="D5423" s="18"/>
      <c r="E5423" s="18"/>
      <c r="F5423" s="18"/>
      <c r="G5423" s="18"/>
      <c r="H5423" s="18"/>
      <c r="I5423" s="18"/>
      <c r="J5423" s="18"/>
      <c r="K5423" s="18"/>
      <c r="L5423" s="18"/>
      <c r="M5423" s="18"/>
      <c r="N5423" s="18"/>
      <c r="O5423" s="14" t="str">
        <f>HYPERLINK("https://otsuka-europe-crm.veevavault.com/ui/#object/email_activity__v/V8C00000003M541", "EN-002089106")</f>
        <v>EN-002089106</v>
      </c>
    </row>
    <row r="5424" spans="1:15" ht="16" x14ac:dyDescent="0.2">
      <c r="A5424" s="18"/>
      <c r="B5424" s="18"/>
      <c r="C5424" s="18"/>
      <c r="D5424" s="18"/>
      <c r="E5424" s="18"/>
      <c r="F5424" s="18"/>
      <c r="G5424" s="18"/>
      <c r="H5424" s="18"/>
      <c r="I5424" s="18"/>
      <c r="J5424" s="18"/>
      <c r="K5424" s="18"/>
      <c r="L5424" s="18"/>
      <c r="M5424" s="18"/>
      <c r="N5424" s="18"/>
      <c r="O5424" s="14" t="str">
        <f>HYPERLINK("https://otsuka-europe-crm.veevavault.com/ui/#object/email_activity__v/V8C00000003N661", "EN-002089103")</f>
        <v>EN-002089103</v>
      </c>
    </row>
    <row r="5425" spans="1:15" ht="16" x14ac:dyDescent="0.2">
      <c r="A5425" s="18"/>
      <c r="B5425" s="18"/>
      <c r="C5425" s="18"/>
      <c r="D5425" s="18"/>
      <c r="E5425" s="18"/>
      <c r="F5425" s="18"/>
      <c r="G5425" s="18"/>
      <c r="H5425" s="18"/>
      <c r="I5425" s="18"/>
      <c r="J5425" s="18"/>
      <c r="K5425" s="18"/>
      <c r="L5425" s="18"/>
      <c r="M5425" s="18"/>
      <c r="N5425" s="18"/>
      <c r="O5425" s="14" t="str">
        <f>HYPERLINK("https://otsuka-europe-crm.veevavault.com/ui/#object/email_activity__v/V8C00000003N662", "EN-002089107")</f>
        <v>EN-002089107</v>
      </c>
    </row>
    <row r="5426" spans="1:15" ht="16" x14ac:dyDescent="0.2">
      <c r="A5426" s="18"/>
      <c r="B5426" s="18"/>
      <c r="C5426" s="18"/>
      <c r="D5426" s="18"/>
      <c r="E5426" s="18"/>
      <c r="F5426" s="18"/>
      <c r="G5426" s="18"/>
      <c r="H5426" s="18"/>
      <c r="I5426" s="18"/>
      <c r="J5426" s="18"/>
      <c r="K5426" s="18"/>
      <c r="L5426" s="18"/>
      <c r="M5426" s="18"/>
      <c r="N5426" s="18"/>
      <c r="O5426" s="14" t="str">
        <f>HYPERLINK("https://otsuka-europe-crm.veevavault.com/ui/#object/email_activity__v/V8C00000003P031", "EN-002089299")</f>
        <v>EN-002089299</v>
      </c>
    </row>
    <row r="5427" spans="1:15" ht="16" x14ac:dyDescent="0.2">
      <c r="A5427" s="18"/>
      <c r="B5427" s="18"/>
      <c r="C5427" s="18"/>
      <c r="D5427" s="18"/>
      <c r="E5427" s="18"/>
      <c r="F5427" s="18"/>
      <c r="G5427" s="18"/>
      <c r="H5427" s="18"/>
      <c r="I5427" s="18"/>
      <c r="J5427" s="18"/>
      <c r="K5427" s="18"/>
      <c r="L5427" s="18"/>
      <c r="M5427" s="18"/>
      <c r="N5427" s="18"/>
      <c r="O5427" s="14" t="str">
        <f>HYPERLINK("https://otsuka-europe-crm.veevavault.com/ui/#object/email_activity__v/V8C00000003R700", "EN-002093027")</f>
        <v>EN-002093027</v>
      </c>
    </row>
    <row r="5428" spans="1:15" ht="16" x14ac:dyDescent="0.2">
      <c r="A5428" s="18"/>
      <c r="B5428" s="18"/>
      <c r="C5428" s="18"/>
      <c r="D5428" s="18"/>
      <c r="E5428" s="18"/>
      <c r="F5428" s="18"/>
      <c r="G5428" s="18"/>
      <c r="H5428" s="18"/>
      <c r="I5428" s="18"/>
      <c r="J5428" s="18"/>
      <c r="K5428" s="18"/>
      <c r="L5428" s="18"/>
      <c r="M5428" s="18"/>
      <c r="N5428" s="18"/>
      <c r="O5428" s="14" t="str">
        <f>HYPERLINK("https://otsuka-europe-crm.veevavault.com/ui/#object/email_activity__v/V8C00000003S089", "EN-002093025")</f>
        <v>EN-002093025</v>
      </c>
    </row>
    <row r="5429" spans="1:15" ht="16" x14ac:dyDescent="0.2">
      <c r="A5429" s="18"/>
      <c r="B5429" s="18"/>
      <c r="C5429" s="18"/>
      <c r="D5429" s="18"/>
      <c r="E5429" s="18"/>
      <c r="F5429" s="18"/>
      <c r="G5429" s="18"/>
      <c r="H5429" s="18"/>
      <c r="I5429" s="18"/>
      <c r="J5429" s="18"/>
      <c r="K5429" s="18"/>
      <c r="L5429" s="18"/>
      <c r="M5429" s="18"/>
      <c r="N5429" s="18"/>
      <c r="O5429" s="14" t="str">
        <f>HYPERLINK("https://otsuka-europe-crm.veevavault.com/ui/#object/email_activity__v/V8C00000003S108", "EN-002093048")</f>
        <v>EN-002093048</v>
      </c>
    </row>
    <row r="5430" spans="1:15" ht="16" x14ac:dyDescent="0.2">
      <c r="A5430" s="19"/>
      <c r="B5430" s="19"/>
      <c r="C5430" s="19"/>
      <c r="D5430" s="19"/>
      <c r="E5430" s="19"/>
      <c r="F5430" s="19"/>
      <c r="G5430" s="19"/>
      <c r="H5430" s="19"/>
      <c r="I5430" s="19"/>
      <c r="J5430" s="19"/>
      <c r="K5430" s="19"/>
      <c r="L5430" s="19"/>
      <c r="M5430" s="19"/>
      <c r="N5430" s="19"/>
      <c r="O5430" s="14" t="str">
        <f>HYPERLINK("https://otsuka-europe-crm.veevavault.com/ui/#object/email_activity__v/V8C00000003S110", "EN-002093051")</f>
        <v>EN-002093051</v>
      </c>
    </row>
    <row r="5431" spans="1:15" ht="16" x14ac:dyDescent="0.2">
      <c r="A5431" s="17" t="str">
        <f>HYPERLINK("https://otsuka-europe-crm.veevavault.com/ui/#object/account__v/V4TZ025E887JSRB", "Emmanuel Attakpah")</f>
        <v>Emmanuel Attakpah</v>
      </c>
      <c r="B5431" s="17" t="str">
        <f>HYPERLINK("https://otsuka-europe-crm.veevavault.com/ui/#object/vcountry__v/VENZ000004SONFK", "GB")</f>
        <v>GB</v>
      </c>
      <c r="C5431" s="20" t="s">
        <v>39</v>
      </c>
      <c r="D5431" s="21" t="str">
        <f>HYPERLINK("https://otsuka-europe-crm.veevavault.com/ui/#object/approved_document__v/V5O00000001H005", "LDM DR P2P Invite 23-Jun-26 [digital]")</f>
        <v>LDM DR P2P Invite 23-Jun-26 [digital]</v>
      </c>
      <c r="E5431" s="22" t="str">
        <f>HYPERLINK("https://otsuka-europe-crm.veevavault.com/ui/#object/sent_email__v/VBL00000002N888", "SE-001434052")</f>
        <v>SE-001434052</v>
      </c>
      <c r="F5431" s="23">
        <v>46177.568703703706</v>
      </c>
      <c r="G5431" s="24">
        <v>1</v>
      </c>
      <c r="H5431" s="24">
        <v>1</v>
      </c>
      <c r="I5431" s="24">
        <v>0</v>
      </c>
      <c r="J5431" s="25"/>
      <c r="K5431" s="24">
        <v>0</v>
      </c>
      <c r="L5431" s="22" t="str">
        <f>HYPERLINK("https://otsuka-europe-crm.veevavault.com/ui/#object/approved_document__v/V5O00000001H005", "LDM DR P2P Invite 23-Jun-26 [digital]")</f>
        <v>LDM DR P2P Invite 23-Jun-26 [digital]</v>
      </c>
      <c r="M5431" s="22" t="str">
        <f>HYPERLINK("mailto:draval@crm.otsuka-europe.com", "draval@crm.otsuka-europe.com")</f>
        <v>draval@crm.otsuka-europe.com</v>
      </c>
      <c r="N5431" s="23">
        <v>46177.556168981479</v>
      </c>
      <c r="O5431" s="14" t="str">
        <f>HYPERLINK("https://otsuka-europe-crm.veevavault.com/ui/#object/email_activity__v/V8C00000003M539", "EN-002089104")</f>
        <v>EN-002089104</v>
      </c>
    </row>
    <row r="5432" spans="1:15" ht="16" x14ac:dyDescent="0.2">
      <c r="A5432" s="19"/>
      <c r="B5432" s="19"/>
      <c r="C5432" s="19"/>
      <c r="D5432" s="19"/>
      <c r="E5432" s="19"/>
      <c r="F5432" s="19"/>
      <c r="G5432" s="19"/>
      <c r="H5432" s="19"/>
      <c r="I5432" s="19"/>
      <c r="J5432" s="19"/>
      <c r="K5432" s="19"/>
      <c r="L5432" s="19"/>
      <c r="M5432" s="19"/>
      <c r="N5432" s="19"/>
      <c r="O5432" s="14" t="str">
        <f>HYPERLINK("https://otsuka-europe-crm.veevavault.com/ui/#object/email_activity__v/V8C00000003N663", "EN-002089109")</f>
        <v>EN-002089109</v>
      </c>
    </row>
    <row r="5433" spans="1:15" ht="32" x14ac:dyDescent="0.2">
      <c r="A5433" s="7" t="str">
        <f>HYPERLINK("https://otsuka-europe-crm.veevavault.com/ui/#object/account__v/V4TZ025E83POQRE", "Eric Marchand")</f>
        <v>Eric Marchand</v>
      </c>
      <c r="B5433" s="7" t="str">
        <f>HYPERLINK("https://otsuka-europe-crm.veevavault.com/ui/#object/vcountry__v/VENZ000004SONFA", "FR")</f>
        <v>FR</v>
      </c>
      <c r="C5433" s="8" t="s">
        <v>42</v>
      </c>
      <c r="D5433" s="9" t="str">
        <f>HYPERLINK("https://otsuka-europe-crm.veevavault.com/ui/#object/approved_document__v/V5OZ04ASG4G02Y6", "INVITATION_VAD_2023")</f>
        <v>INVITATION_VAD_2023</v>
      </c>
      <c r="E5433" s="10" t="str">
        <f>HYPERLINK("https://otsuka-europe-crm.veevavault.com/ui/#object/sent_email__v/VBL00000002N889", "SE-001434053")</f>
        <v>SE-001434053</v>
      </c>
      <c r="F5433" s="11"/>
      <c r="G5433" s="12">
        <v>0</v>
      </c>
      <c r="H5433" s="12">
        <v>0</v>
      </c>
      <c r="I5433" s="12">
        <v>0</v>
      </c>
      <c r="J5433" s="11"/>
      <c r="K5433" s="12">
        <v>0</v>
      </c>
      <c r="L5433" s="10" t="str">
        <f>HYPERLINK("https://otsuka-europe-crm.veevavault.com/ui/#object/approved_document__v/V5OZ04ASG4G02Y6", "INVITATION_VAD_2023")</f>
        <v>INVITATION_VAD_2023</v>
      </c>
      <c r="M5433" s="10" t="str">
        <f>HYPERLINK("mailto:emarchand@crm.otsuka-europe.com", "emarchand@crm.otsuka-europe.com")</f>
        <v>emarchand@crm.otsuka-europe.com</v>
      </c>
      <c r="N5433" s="13">
        <v>46177.574988425928</v>
      </c>
      <c r="O5433" s="14" t="str">
        <f>HYPERLINK("https://otsuka-europe-crm.veevavault.com/ui/#object/email_activity__v/V8C00000003M544", "EN-002089111")</f>
        <v>EN-002089111</v>
      </c>
    </row>
    <row r="5434" spans="1:15" ht="16" x14ac:dyDescent="0.2">
      <c r="A5434" s="17" t="str">
        <f>HYPERLINK("https://otsuka-europe-crm.veevavault.com/ui/#object/account__v/V4T000000020062", "Gareth Peeples")</f>
        <v>Gareth Peeples</v>
      </c>
      <c r="B5434" s="17" t="str">
        <f>HYPERLINK("https://otsuka-europe-crm.veevavault.com/ui/#object/vcountry__v/VENZ000004SONFK", "GB")</f>
        <v>GB</v>
      </c>
      <c r="C5434" s="20" t="s">
        <v>39</v>
      </c>
      <c r="D5434" s="21" t="str">
        <f>HYPERLINK("https://otsuka-europe-crm.veevavault.com/ui/#object/approved_document__v/V5OZ025E82TSZBI", "Aripiprazole 960mg Fragment VAE")</f>
        <v>Aripiprazole 960mg Fragment VAE</v>
      </c>
      <c r="E5434" s="22" t="str">
        <f>HYPERLINK("https://otsuka-europe-crm.veevavault.com/ui/#object/sent_email__v/VBL00000002Q353", "SE-001434054")</f>
        <v>SE-001434054</v>
      </c>
      <c r="F5434" s="23">
        <v>46177.605081018519</v>
      </c>
      <c r="G5434" s="24">
        <v>1</v>
      </c>
      <c r="H5434" s="24">
        <v>2</v>
      </c>
      <c r="I5434" s="24">
        <v>1</v>
      </c>
      <c r="J5434" s="23">
        <v>46177.605150462965</v>
      </c>
      <c r="K5434" s="24">
        <v>1</v>
      </c>
      <c r="L5434" s="22" t="str">
        <f>HYPERLINK("https://otsuka-europe-crm.veevavault.com/ui/#object/approved_document__v/V5OZ025E82TSZBI", "Aripiprazole 960mg Fragment VAE")</f>
        <v>Aripiprazole 960mg Fragment VAE</v>
      </c>
      <c r="M5434" s="22" t="str">
        <f>HYPERLINK("mailto:ldimambro@crm.otsuka-europe.com", "ldimambro@crm.otsuka-europe.com")</f>
        <v>ldimambro@crm.otsuka-europe.com</v>
      </c>
      <c r="N5434" s="23">
        <v>46177.58766203704</v>
      </c>
      <c r="O5434" s="14" t="str">
        <f>HYPERLINK("https://otsuka-europe-crm.veevavault.com/ui/#object/email_activity__v/V8C00000003M548", "EN-002089121")</f>
        <v>EN-002089121</v>
      </c>
    </row>
    <row r="5435" spans="1:15" ht="16" x14ac:dyDescent="0.2">
      <c r="A5435" s="18"/>
      <c r="B5435" s="18"/>
      <c r="C5435" s="18"/>
      <c r="D5435" s="18"/>
      <c r="E5435" s="18"/>
      <c r="F5435" s="18"/>
      <c r="G5435" s="18"/>
      <c r="H5435" s="18"/>
      <c r="I5435" s="18"/>
      <c r="J5435" s="18"/>
      <c r="K5435" s="18"/>
      <c r="L5435" s="18"/>
      <c r="M5435" s="18"/>
      <c r="N5435" s="18"/>
      <c r="O5435" s="14" t="str">
        <f>HYPERLINK("https://otsuka-europe-crm.veevavault.com/ui/#object/email_activity__v/V8C00000003M559", "EN-002089140")</f>
        <v>EN-002089140</v>
      </c>
    </row>
    <row r="5436" spans="1:15" ht="16" x14ac:dyDescent="0.2">
      <c r="A5436" s="18"/>
      <c r="B5436" s="18"/>
      <c r="C5436" s="18"/>
      <c r="D5436" s="18"/>
      <c r="E5436" s="18"/>
      <c r="F5436" s="18"/>
      <c r="G5436" s="18"/>
      <c r="H5436" s="18"/>
      <c r="I5436" s="18"/>
      <c r="J5436" s="18"/>
      <c r="K5436" s="18"/>
      <c r="L5436" s="18"/>
      <c r="M5436" s="18"/>
      <c r="N5436" s="18"/>
      <c r="O5436" s="14" t="str">
        <f>HYPERLINK("https://otsuka-europe-crm.veevavault.com/ui/#object/email_activity__v/V8C00000003M560", "EN-002089141")</f>
        <v>EN-002089141</v>
      </c>
    </row>
    <row r="5437" spans="1:15" ht="16" x14ac:dyDescent="0.2">
      <c r="A5437" s="18"/>
      <c r="B5437" s="18"/>
      <c r="C5437" s="18"/>
      <c r="D5437" s="18"/>
      <c r="E5437" s="18"/>
      <c r="F5437" s="18"/>
      <c r="G5437" s="18"/>
      <c r="H5437" s="18"/>
      <c r="I5437" s="18"/>
      <c r="J5437" s="18"/>
      <c r="K5437" s="18"/>
      <c r="L5437" s="18"/>
      <c r="M5437" s="18"/>
      <c r="N5437" s="18"/>
      <c r="O5437" s="14" t="str">
        <f>HYPERLINK("https://otsuka-europe-crm.veevavault.com/ui/#object/email_activity__v/V8C00000003M561", "EN-002089142")</f>
        <v>EN-002089142</v>
      </c>
    </row>
    <row r="5438" spans="1:15" ht="16" x14ac:dyDescent="0.2">
      <c r="A5438" s="18"/>
      <c r="B5438" s="18"/>
      <c r="C5438" s="18"/>
      <c r="D5438" s="18"/>
      <c r="E5438" s="18"/>
      <c r="F5438" s="18"/>
      <c r="G5438" s="18"/>
      <c r="H5438" s="18"/>
      <c r="I5438" s="18"/>
      <c r="J5438" s="18"/>
      <c r="K5438" s="18"/>
      <c r="L5438" s="18"/>
      <c r="M5438" s="18"/>
      <c r="N5438" s="18"/>
      <c r="O5438" s="14" t="str">
        <f>HYPERLINK("https://otsuka-europe-crm.veevavault.com/ui/#object/email_activity__v/V8C00000003M562", "EN-002089143")</f>
        <v>EN-002089143</v>
      </c>
    </row>
    <row r="5439" spans="1:15" ht="16" x14ac:dyDescent="0.2">
      <c r="A5439" s="18"/>
      <c r="B5439" s="18"/>
      <c r="C5439" s="18"/>
      <c r="D5439" s="18"/>
      <c r="E5439" s="18"/>
      <c r="F5439" s="18"/>
      <c r="G5439" s="18"/>
      <c r="H5439" s="18"/>
      <c r="I5439" s="18"/>
      <c r="J5439" s="18"/>
      <c r="K5439" s="18"/>
      <c r="L5439" s="18"/>
      <c r="M5439" s="18"/>
      <c r="N5439" s="18"/>
      <c r="O5439" s="14" t="str">
        <f>HYPERLINK("https://otsuka-europe-crm.veevavault.com/ui/#object/email_activity__v/V8C00000003N670", "EN-002089126")</f>
        <v>EN-002089126</v>
      </c>
    </row>
    <row r="5440" spans="1:15" ht="16" x14ac:dyDescent="0.2">
      <c r="A5440" s="18"/>
      <c r="B5440" s="18"/>
      <c r="C5440" s="18"/>
      <c r="D5440" s="18"/>
      <c r="E5440" s="18"/>
      <c r="F5440" s="18"/>
      <c r="G5440" s="18"/>
      <c r="H5440" s="18"/>
      <c r="I5440" s="18"/>
      <c r="J5440" s="18"/>
      <c r="K5440" s="18"/>
      <c r="L5440" s="18"/>
      <c r="M5440" s="18"/>
      <c r="N5440" s="18"/>
      <c r="O5440" s="14" t="str">
        <f>HYPERLINK("https://otsuka-europe-crm.veevavault.com/ui/#object/email_activity__v/V8C00000003N673", "EN-002089131")</f>
        <v>EN-002089131</v>
      </c>
    </row>
    <row r="5441" spans="1:15" ht="16" x14ac:dyDescent="0.2">
      <c r="A5441" s="19"/>
      <c r="B5441" s="19"/>
      <c r="C5441" s="19"/>
      <c r="D5441" s="19"/>
      <c r="E5441" s="19"/>
      <c r="F5441" s="19"/>
      <c r="G5441" s="19"/>
      <c r="H5441" s="19"/>
      <c r="I5441" s="19"/>
      <c r="J5441" s="19"/>
      <c r="K5441" s="19"/>
      <c r="L5441" s="19"/>
      <c r="M5441" s="19"/>
      <c r="N5441" s="19"/>
      <c r="O5441" s="14" t="str">
        <f>HYPERLINK("https://otsuka-europe-crm.veevavault.com/ui/#object/email_activity__v/V8C00000003N674", "EN-002089133")</f>
        <v>EN-002089133</v>
      </c>
    </row>
    <row r="5442" spans="1:15" ht="16" x14ac:dyDescent="0.2">
      <c r="A5442" s="17" t="str">
        <f>HYPERLINK("https://otsuka-europe-crm.veevavault.com/ui/#object/account__v/V4T000000020062", "Gareth Peeples")</f>
        <v>Gareth Peeples</v>
      </c>
      <c r="B5442" s="17" t="str">
        <f>HYPERLINK("https://otsuka-europe-crm.veevavault.com/ui/#object/vcountry__v/VENZ000004SONFK", "GB")</f>
        <v>GB</v>
      </c>
      <c r="C5442" s="20" t="s">
        <v>39</v>
      </c>
      <c r="D5442" s="21" t="str">
        <f>HYPERLINK("https://otsuka-europe-crm.veevavault.com/ui/#object/approved_document__v/V5OZ025E82UYOBH", "Aripiprazole 300mg PFS Available VAE")</f>
        <v>Aripiprazole 300mg PFS Available VAE</v>
      </c>
      <c r="E5442" s="22" t="str">
        <f>HYPERLINK("https://otsuka-europe-crm.veevavault.com/ui/#object/sent_email__v/VBL00000002Q354", "SE-001434055")</f>
        <v>SE-001434055</v>
      </c>
      <c r="F5442" s="23">
        <v>46177.641504629632</v>
      </c>
      <c r="G5442" s="24">
        <v>1</v>
      </c>
      <c r="H5442" s="24">
        <v>2</v>
      </c>
      <c r="I5442" s="24">
        <v>0</v>
      </c>
      <c r="J5442" s="25"/>
      <c r="K5442" s="24">
        <v>0</v>
      </c>
      <c r="L5442" s="22" t="str">
        <f>HYPERLINK("https://otsuka-europe-crm.veevavault.com/ui/#object/approved_document__v/V5OZ025E82UYOBH", "Aripiprazole 300mg PFS Available VAE")</f>
        <v>Aripiprazole 300mg PFS Available VAE</v>
      </c>
      <c r="M5442" s="22" t="str">
        <f>HYPERLINK("mailto:ldimambro@crm.otsuka-europe.com", "ldimambro@crm.otsuka-europe.com")</f>
        <v>ldimambro@crm.otsuka-europe.com</v>
      </c>
      <c r="N5442" s="23">
        <v>46177.587800925925</v>
      </c>
      <c r="O5442" s="14" t="str">
        <f>HYPERLINK("https://otsuka-europe-crm.veevavault.com/ui/#object/email_activity__v/V8C00000003M549", "EN-002089122")</f>
        <v>EN-002089122</v>
      </c>
    </row>
    <row r="5443" spans="1:15" ht="16" x14ac:dyDescent="0.2">
      <c r="A5443" s="18"/>
      <c r="B5443" s="18"/>
      <c r="C5443" s="18"/>
      <c r="D5443" s="18"/>
      <c r="E5443" s="18"/>
      <c r="F5443" s="18"/>
      <c r="G5443" s="18"/>
      <c r="H5443" s="18"/>
      <c r="I5443" s="18"/>
      <c r="J5443" s="18"/>
      <c r="K5443" s="18"/>
      <c r="L5443" s="18"/>
      <c r="M5443" s="18"/>
      <c r="N5443" s="18"/>
      <c r="O5443" s="14" t="str">
        <f>HYPERLINK("https://otsuka-europe-crm.veevavault.com/ui/#object/email_activity__v/V8C00000003M570", "EN-002089152")</f>
        <v>EN-002089152</v>
      </c>
    </row>
    <row r="5444" spans="1:15" ht="16" x14ac:dyDescent="0.2">
      <c r="A5444" s="19"/>
      <c r="B5444" s="19"/>
      <c r="C5444" s="19"/>
      <c r="D5444" s="19"/>
      <c r="E5444" s="19"/>
      <c r="F5444" s="19"/>
      <c r="G5444" s="19"/>
      <c r="H5444" s="19"/>
      <c r="I5444" s="19"/>
      <c r="J5444" s="19"/>
      <c r="K5444" s="19"/>
      <c r="L5444" s="19"/>
      <c r="M5444" s="19"/>
      <c r="N5444" s="19"/>
      <c r="O5444" s="14" t="str">
        <f>HYPERLINK("https://otsuka-europe-crm.veevavault.com/ui/#object/email_activity__v/V8C00000003N671", "EN-002089127")</f>
        <v>EN-002089127</v>
      </c>
    </row>
    <row r="5445" spans="1:15" ht="16" x14ac:dyDescent="0.2">
      <c r="A5445" s="17" t="str">
        <f>HYPERLINK("https://otsuka-europe-crm.veevavault.com/ui/#object/account__v/V4TZ06G6OA5WQFG", "TEST OPSA HCP TEST OPSA HCP")</f>
        <v>TEST OPSA HCP TEST OPSA HCP</v>
      </c>
      <c r="B5445" s="17" t="str">
        <f>HYPERLINK("https://otsuka-europe-crm.veevavault.com/ui/#object/vcountry__v/VENZ000004SONF5", "ES")</f>
        <v>ES</v>
      </c>
      <c r="C5445" s="20" t="s">
        <v>41</v>
      </c>
      <c r="D5445" s="21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5445" s="22" t="str">
        <f>HYPERLINK("https://otsuka-europe-crm.veevavault.com/ui/#object/sent_email__v/VBL00000002Q355", "SE-001434056")</f>
        <v>SE-001434056</v>
      </c>
      <c r="F5445" s="23">
        <v>46177.818043981482</v>
      </c>
      <c r="G5445" s="24">
        <v>1</v>
      </c>
      <c r="H5445" s="24">
        <v>4</v>
      </c>
      <c r="I5445" s="24">
        <v>1</v>
      </c>
      <c r="J5445" s="23">
        <v>46177.642743055556</v>
      </c>
      <c r="K5445" s="24">
        <v>3</v>
      </c>
      <c r="L5445" s="22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5445" s="22" t="str">
        <f>HYPERLINK("mailto:amarsal@crm.otsuka-europe.com", "amarsal@crm.otsuka-europe.com")</f>
        <v>amarsal@crm.otsuka-europe.com</v>
      </c>
      <c r="N5445" s="23">
        <v>46177.63722222222</v>
      </c>
      <c r="O5445" s="14" t="str">
        <f>HYPERLINK("https://otsuka-europe-crm.veevavault.com/ui/#object/email_activity__v/V8C00000003M565", "EN-002089147")</f>
        <v>EN-002089147</v>
      </c>
    </row>
    <row r="5446" spans="1:15" ht="16" x14ac:dyDescent="0.2">
      <c r="A5446" s="18"/>
      <c r="B5446" s="18"/>
      <c r="C5446" s="18"/>
      <c r="D5446" s="18"/>
      <c r="E5446" s="18"/>
      <c r="F5446" s="18"/>
      <c r="G5446" s="18"/>
      <c r="H5446" s="18"/>
      <c r="I5446" s="18"/>
      <c r="J5446" s="18"/>
      <c r="K5446" s="18"/>
      <c r="L5446" s="18"/>
      <c r="M5446" s="18"/>
      <c r="N5446" s="18"/>
      <c r="O5446" s="14" t="str">
        <f>HYPERLINK("https://otsuka-europe-crm.veevavault.com/ui/#object/email_activity__v/V8C00000003M566", "EN-002089148")</f>
        <v>EN-002089148</v>
      </c>
    </row>
    <row r="5447" spans="1:15" ht="16" x14ac:dyDescent="0.2">
      <c r="A5447" s="18"/>
      <c r="B5447" s="18"/>
      <c r="C5447" s="18"/>
      <c r="D5447" s="18"/>
      <c r="E5447" s="18"/>
      <c r="F5447" s="18"/>
      <c r="G5447" s="18"/>
      <c r="H5447" s="18"/>
      <c r="I5447" s="18"/>
      <c r="J5447" s="18"/>
      <c r="K5447" s="18"/>
      <c r="L5447" s="18"/>
      <c r="M5447" s="18"/>
      <c r="N5447" s="18"/>
      <c r="O5447" s="14" t="str">
        <f>HYPERLINK("https://otsuka-europe-crm.veevavault.com/ui/#object/email_activity__v/V8C00000003M567", "EN-002089149")</f>
        <v>EN-002089149</v>
      </c>
    </row>
    <row r="5448" spans="1:15" ht="16" x14ac:dyDescent="0.2">
      <c r="A5448" s="18"/>
      <c r="B5448" s="18"/>
      <c r="C5448" s="18"/>
      <c r="D5448" s="18"/>
      <c r="E5448" s="18"/>
      <c r="F5448" s="18"/>
      <c r="G5448" s="18"/>
      <c r="H5448" s="18"/>
      <c r="I5448" s="18"/>
      <c r="J5448" s="18"/>
      <c r="K5448" s="18"/>
      <c r="L5448" s="18"/>
      <c r="M5448" s="18"/>
      <c r="N5448" s="18"/>
      <c r="O5448" s="14" t="str">
        <f>HYPERLINK("https://otsuka-europe-crm.veevavault.com/ui/#object/email_activity__v/V8C00000003M568", "EN-002089150")</f>
        <v>EN-002089150</v>
      </c>
    </row>
    <row r="5449" spans="1:15" ht="16" x14ac:dyDescent="0.2">
      <c r="A5449" s="18"/>
      <c r="B5449" s="18"/>
      <c r="C5449" s="18"/>
      <c r="D5449" s="18"/>
      <c r="E5449" s="18"/>
      <c r="F5449" s="18"/>
      <c r="G5449" s="18"/>
      <c r="H5449" s="18"/>
      <c r="I5449" s="18"/>
      <c r="J5449" s="18"/>
      <c r="K5449" s="18"/>
      <c r="L5449" s="18"/>
      <c r="M5449" s="18"/>
      <c r="N5449" s="18"/>
      <c r="O5449" s="14" t="str">
        <f>HYPERLINK("https://otsuka-europe-crm.veevavault.com/ui/#object/email_activity__v/V8C00000003M569", "EN-002089151")</f>
        <v>EN-002089151</v>
      </c>
    </row>
    <row r="5450" spans="1:15" ht="16" x14ac:dyDescent="0.2">
      <c r="A5450" s="18"/>
      <c r="B5450" s="18"/>
      <c r="C5450" s="18"/>
      <c r="D5450" s="18"/>
      <c r="E5450" s="18"/>
      <c r="F5450" s="18"/>
      <c r="G5450" s="18"/>
      <c r="H5450" s="18"/>
      <c r="I5450" s="18"/>
      <c r="J5450" s="18"/>
      <c r="K5450" s="18"/>
      <c r="L5450" s="18"/>
      <c r="M5450" s="18"/>
      <c r="N5450" s="18"/>
      <c r="O5450" s="14" t="str">
        <f>HYPERLINK("https://otsuka-europe-crm.veevavault.com/ui/#object/email_activity__v/V8C00000003N678", "EN-002089145")</f>
        <v>EN-002089145</v>
      </c>
    </row>
    <row r="5451" spans="1:15" ht="16" x14ac:dyDescent="0.2">
      <c r="A5451" s="18"/>
      <c r="B5451" s="18"/>
      <c r="C5451" s="18"/>
      <c r="D5451" s="18"/>
      <c r="E5451" s="18"/>
      <c r="F5451" s="18"/>
      <c r="G5451" s="18"/>
      <c r="H5451" s="18"/>
      <c r="I5451" s="18"/>
      <c r="J5451" s="18"/>
      <c r="K5451" s="18"/>
      <c r="L5451" s="18"/>
      <c r="M5451" s="18"/>
      <c r="N5451" s="18"/>
      <c r="O5451" s="14" t="str">
        <f>HYPERLINK("https://otsuka-europe-crm.veevavault.com/ui/#object/email_activity__v/V8C00000003N679", "EN-002089153")</f>
        <v>EN-002089153</v>
      </c>
    </row>
    <row r="5452" spans="1:15" ht="16" x14ac:dyDescent="0.2">
      <c r="A5452" s="19"/>
      <c r="B5452" s="19"/>
      <c r="C5452" s="19"/>
      <c r="D5452" s="19"/>
      <c r="E5452" s="19"/>
      <c r="F5452" s="19"/>
      <c r="G5452" s="19"/>
      <c r="H5452" s="19"/>
      <c r="I5452" s="19"/>
      <c r="J5452" s="19"/>
      <c r="K5452" s="19"/>
      <c r="L5452" s="19"/>
      <c r="M5452" s="19"/>
      <c r="N5452" s="19"/>
      <c r="O5452" s="14" t="str">
        <f>HYPERLINK("https://otsuka-europe-crm.veevavault.com/ui/#object/email_activity__v/V8C00000003N719", "EN-002089225")</f>
        <v>EN-002089225</v>
      </c>
    </row>
    <row r="5453" spans="1:15" ht="32" x14ac:dyDescent="0.2">
      <c r="A5453" s="7" t="str">
        <f>HYPERLINK("https://otsuka-europe-crm.veevavault.com/ui/#object/account__v/V4TZ0000062PGZE", "Meena Naguib Tadros")</f>
        <v>Meena Naguib Tadros</v>
      </c>
      <c r="B5453" s="7" t="str">
        <f>HYPERLINK("https://otsuka-europe-crm.veevavault.com/ui/#object/vcountry__v/VENZ000004SONFK", "GB")</f>
        <v>GB</v>
      </c>
      <c r="C5453" s="8" t="s">
        <v>39</v>
      </c>
      <c r="D5453" s="9" t="str">
        <f>HYPERLINK("https://otsuka-europe-crm.veevavault.com/ui/#object/approved_document__v/V5O00000000D081", "UK - Consent Email 1 Aug 25")</f>
        <v>UK - Consent Email 1 Aug 25</v>
      </c>
      <c r="E5453" s="10" t="str">
        <f>HYPERLINK("https://otsuka-europe-crm.veevavault.com/ui/#object/sent_email__v/VBL00000002Q356", "SE-001434057")</f>
        <v>SE-001434057</v>
      </c>
      <c r="F5453" s="11"/>
      <c r="G5453" s="12">
        <v>0</v>
      </c>
      <c r="H5453" s="12">
        <v>0</v>
      </c>
      <c r="I5453" s="12">
        <v>0</v>
      </c>
      <c r="J5453" s="11"/>
      <c r="K5453" s="12">
        <v>0</v>
      </c>
      <c r="L5453" s="10" t="str">
        <f>HYPERLINK("https://otsuka-europe-crm.veevavault.com/ui/#object/approved_document__v/V5O00000000D081", "UK - Consent Email 1 Aug 25")</f>
        <v>UK - Consent Email 1 Aug 25</v>
      </c>
      <c r="M5453" s="10" t="str">
        <f>HYPERLINK("mailto:draval@crm.otsuka-europe.com", "draval@crm.otsuka-europe.com")</f>
        <v>draval@crm.otsuka-europe.com</v>
      </c>
      <c r="N5453" s="13">
        <v>46177.644733796296</v>
      </c>
      <c r="O5453" s="14" t="str">
        <f>HYPERLINK("https://otsuka-europe-crm.veevavault.com/ui/#object/email_activity__v/V8C00000003M571", "EN-002089154")</f>
        <v>EN-002089154</v>
      </c>
    </row>
    <row r="5454" spans="1:15" ht="32" x14ac:dyDescent="0.2">
      <c r="A5454" s="7" t="str">
        <f>HYPERLINK("https://otsuka-europe-crm.veevavault.com/ui/#object/account__v/V4TZ025E881E57Q", "Ijeoma Onwere")</f>
        <v>Ijeoma Onwere</v>
      </c>
      <c r="B5454" s="7" t="str">
        <f>HYPERLINK("https://otsuka-europe-crm.veevavault.com/ui/#object/vcountry__v/VENZ000004SONFK", "GB")</f>
        <v>GB</v>
      </c>
      <c r="C5454" s="8" t="s">
        <v>39</v>
      </c>
      <c r="D5454" s="9" t="str">
        <f>HYPERLINK("https://otsuka-europe-crm.veevavault.com/ui/#object/approved_document__v/V5O00000001H007", "DR P2P Invite 18-Jun-26 [digital]")</f>
        <v>DR P2P Invite 18-Jun-26 [digital]</v>
      </c>
      <c r="E5454" s="10" t="str">
        <f>HYPERLINK("https://otsuka-europe-crm.veevavault.com/ui/#object/sent_email__v/VBL00000002Q357", "SE-001434058")</f>
        <v>SE-001434058</v>
      </c>
      <c r="F5454" s="11"/>
      <c r="G5454" s="12">
        <v>0</v>
      </c>
      <c r="H5454" s="12">
        <v>0</v>
      </c>
      <c r="I5454" s="12">
        <v>0</v>
      </c>
      <c r="J5454" s="11"/>
      <c r="K5454" s="12">
        <v>0</v>
      </c>
      <c r="L5454" s="10" t="str">
        <f>HYPERLINK("https://otsuka-europe-crm.veevavault.com/ui/#object/approved_document__v/V5O00000001H007", "DR P2P Invite 18-Jun-26 [digital]")</f>
        <v>DR P2P Invite 18-Jun-26 [digital]</v>
      </c>
      <c r="M5454" s="10" t="str">
        <f>HYPERLINK("mailto:draval@crm.otsuka-europe.com", "draval@crm.otsuka-europe.com")</f>
        <v>draval@crm.otsuka-europe.com</v>
      </c>
      <c r="N5454" s="13">
        <v>46177.647835648146</v>
      </c>
      <c r="O5454" s="14" t="str">
        <f>HYPERLINK("https://otsuka-europe-crm.veevavault.com/ui/#object/email_activity__v/V8C00000003M574", "EN-002089158")</f>
        <v>EN-002089158</v>
      </c>
    </row>
    <row r="5455" spans="1:15" ht="32" x14ac:dyDescent="0.2">
      <c r="A5455" s="7" t="str">
        <f>HYPERLINK("https://otsuka-europe-crm.veevavault.com/ui/#object/account__v/V4TZ025E881E57Q", "Ijeoma Onwere")</f>
        <v>Ijeoma Onwere</v>
      </c>
      <c r="B5455" s="7" t="str">
        <f>HYPERLINK("https://otsuka-europe-crm.veevavault.com/ui/#object/vcountry__v/VENZ000004SONFK", "GB")</f>
        <v>GB</v>
      </c>
      <c r="C5455" s="8" t="s">
        <v>39</v>
      </c>
      <c r="D5455" s="9" t="str">
        <f>HYPERLINK("https://otsuka-europe-crm.veevavault.com/ui/#object/approved_document__v/V5O00000001H005", "LDM DR P2P Invite 23-Jun-26 [digital]")</f>
        <v>LDM DR P2P Invite 23-Jun-26 [digital]</v>
      </c>
      <c r="E5455" s="10" t="str">
        <f>HYPERLINK("https://otsuka-europe-crm.veevavault.com/ui/#object/sent_email__v/VBL00000002Q358", "SE-001434059")</f>
        <v>SE-001434059</v>
      </c>
      <c r="F5455" s="11"/>
      <c r="G5455" s="12">
        <v>0</v>
      </c>
      <c r="H5455" s="12">
        <v>0</v>
      </c>
      <c r="I5455" s="12">
        <v>0</v>
      </c>
      <c r="J5455" s="11"/>
      <c r="K5455" s="12">
        <v>0</v>
      </c>
      <c r="L5455" s="10" t="str">
        <f>HYPERLINK("https://otsuka-europe-crm.veevavault.com/ui/#object/approved_document__v/V5O00000001H005", "LDM DR P2P Invite 23-Jun-26 [digital]")</f>
        <v>LDM DR P2P Invite 23-Jun-26 [digital]</v>
      </c>
      <c r="M5455" s="10" t="str">
        <f>HYPERLINK("mailto:draval@crm.otsuka-europe.com", "draval@crm.otsuka-europe.com")</f>
        <v>draval@crm.otsuka-europe.com</v>
      </c>
      <c r="N5455" s="13">
        <v>46177.647835648146</v>
      </c>
      <c r="O5455" s="14" t="str">
        <f>HYPERLINK("https://otsuka-europe-crm.veevavault.com/ui/#object/email_activity__v/V8C00000003M573", "EN-002089157")</f>
        <v>EN-002089157</v>
      </c>
    </row>
    <row r="5456" spans="1:15" ht="16" x14ac:dyDescent="0.2">
      <c r="A5456" s="17" t="str">
        <f>HYPERLINK("https://otsuka-europe-crm.veevavault.com/ui/#object/account__v/V4TZ0000062PBNZ", "Rana Sahebpour-Lighvan")</f>
        <v>Rana Sahebpour-Lighvan</v>
      </c>
      <c r="B5456" s="17" t="str">
        <f>HYPERLINK("https://otsuka-europe-crm.veevavault.com/ui/#object/vcountry__v/VENZ000004SONFK", "GB")</f>
        <v>GB</v>
      </c>
      <c r="C5456" s="20" t="s">
        <v>39</v>
      </c>
      <c r="D5456" s="21" t="str">
        <f>HYPERLINK("https://otsuka-europe-crm.veevavault.com/ui/#object/approved_document__v/V5O00000001H007", "DR P2P Invite 18-Jun-26 [digital]")</f>
        <v>DR P2P Invite 18-Jun-26 [digital]</v>
      </c>
      <c r="E5456" s="22" t="str">
        <f>HYPERLINK("https://otsuka-europe-crm.veevavault.com/ui/#object/sent_email__v/VBL00000002N890", "SE-001434060")</f>
        <v>SE-001434060</v>
      </c>
      <c r="F5456" s="23">
        <v>46181.643807870372</v>
      </c>
      <c r="G5456" s="24">
        <v>1</v>
      </c>
      <c r="H5456" s="24">
        <v>3</v>
      </c>
      <c r="I5456" s="24">
        <v>0</v>
      </c>
      <c r="J5456" s="25"/>
      <c r="K5456" s="24">
        <v>0</v>
      </c>
      <c r="L5456" s="22" t="str">
        <f>HYPERLINK("https://otsuka-europe-crm.veevavault.com/ui/#object/approved_document__v/V5O00000001H007", "DR P2P Invite 18-Jun-26 [digital]")</f>
        <v>DR P2P Invite 18-Jun-26 [digital]</v>
      </c>
      <c r="M5456" s="22" t="str">
        <f>HYPERLINK("mailto:draval@crm.otsuka-europe.com", "draval@crm.otsuka-europe.com")</f>
        <v>draval@crm.otsuka-europe.com</v>
      </c>
      <c r="N5456" s="23">
        <v>46177.6481712963</v>
      </c>
      <c r="O5456" s="14" t="str">
        <f>HYPERLINK("https://otsuka-europe-crm.veevavault.com/ui/#object/email_activity__v/V8C00000003N681", "EN-002089159")</f>
        <v>EN-002089159</v>
      </c>
    </row>
    <row r="5457" spans="1:15" ht="16" x14ac:dyDescent="0.2">
      <c r="A5457" s="18"/>
      <c r="B5457" s="18"/>
      <c r="C5457" s="18"/>
      <c r="D5457" s="18"/>
      <c r="E5457" s="18"/>
      <c r="F5457" s="18"/>
      <c r="G5457" s="18"/>
      <c r="H5457" s="18"/>
      <c r="I5457" s="18"/>
      <c r="J5457" s="18"/>
      <c r="K5457" s="18"/>
      <c r="L5457" s="18"/>
      <c r="M5457" s="18"/>
      <c r="N5457" s="18"/>
      <c r="O5457" s="14" t="str">
        <f>HYPERLINK("https://otsuka-europe-crm.veevavault.com/ui/#object/email_activity__v/V8C00000003O109", "EN-002089465")</f>
        <v>EN-002089465</v>
      </c>
    </row>
    <row r="5458" spans="1:15" ht="16" x14ac:dyDescent="0.2">
      <c r="A5458" s="18"/>
      <c r="B5458" s="18"/>
      <c r="C5458" s="18"/>
      <c r="D5458" s="18"/>
      <c r="E5458" s="18"/>
      <c r="F5458" s="18"/>
      <c r="G5458" s="18"/>
      <c r="H5458" s="18"/>
      <c r="I5458" s="18"/>
      <c r="J5458" s="18"/>
      <c r="K5458" s="18"/>
      <c r="L5458" s="18"/>
      <c r="M5458" s="18"/>
      <c r="N5458" s="18"/>
      <c r="O5458" s="14" t="str">
        <f>HYPERLINK("https://otsuka-europe-crm.veevavault.com/ui/#object/email_activity__v/V8C00000003O129", "EN-002089498")</f>
        <v>EN-002089498</v>
      </c>
    </row>
    <row r="5459" spans="1:15" ht="16" x14ac:dyDescent="0.2">
      <c r="A5459" s="19"/>
      <c r="B5459" s="19"/>
      <c r="C5459" s="19"/>
      <c r="D5459" s="19"/>
      <c r="E5459" s="19"/>
      <c r="F5459" s="19"/>
      <c r="G5459" s="19"/>
      <c r="H5459" s="19"/>
      <c r="I5459" s="19"/>
      <c r="J5459" s="19"/>
      <c r="K5459" s="19"/>
      <c r="L5459" s="19"/>
      <c r="M5459" s="19"/>
      <c r="N5459" s="19"/>
      <c r="O5459" s="14" t="str">
        <f>HYPERLINK("https://otsuka-europe-crm.veevavault.com/ui/#object/email_activity__v/V8C00000003R195", "EN-002092045")</f>
        <v>EN-002092045</v>
      </c>
    </row>
    <row r="5460" spans="1:15" ht="32" x14ac:dyDescent="0.2">
      <c r="A5460" s="7" t="str">
        <f>HYPERLINK("https://otsuka-europe-crm.veevavault.com/ui/#object/account__v/V4TZ0000062PBNZ", "Rana Sahebpour-Lighvan")</f>
        <v>Rana Sahebpour-Lighvan</v>
      </c>
      <c r="B5460" s="7" t="str">
        <f>HYPERLINK("https://otsuka-europe-crm.veevavault.com/ui/#object/vcountry__v/VENZ000004SONFK", "GB")</f>
        <v>GB</v>
      </c>
      <c r="C5460" s="8" t="s">
        <v>39</v>
      </c>
      <c r="D5460" s="9" t="str">
        <f>HYPERLINK("https://otsuka-europe-crm.veevavault.com/ui/#object/approved_document__v/V5O00000001H005", "LDM DR P2P Invite 23-Jun-26 [digital]")</f>
        <v>LDM DR P2P Invite 23-Jun-26 [digital]</v>
      </c>
      <c r="E5460" s="10" t="str">
        <f>HYPERLINK("https://otsuka-europe-crm.veevavault.com/ui/#object/sent_email__v/VBL00000002Q359", "SE-001434061")</f>
        <v>SE-001434061</v>
      </c>
      <c r="F5460" s="11"/>
      <c r="G5460" s="12">
        <v>0</v>
      </c>
      <c r="H5460" s="12">
        <v>0</v>
      </c>
      <c r="I5460" s="12">
        <v>0</v>
      </c>
      <c r="J5460" s="11"/>
      <c r="K5460" s="12">
        <v>0</v>
      </c>
      <c r="L5460" s="10" t="str">
        <f>HYPERLINK("https://otsuka-europe-crm.veevavault.com/ui/#object/approved_document__v/V5O00000001H005", "LDM DR P2P Invite 23-Jun-26 [digital]")</f>
        <v>LDM DR P2P Invite 23-Jun-26 [digital]</v>
      </c>
      <c r="M5460" s="10" t="str">
        <f>HYPERLINK("mailto:draval@crm.otsuka-europe.com", "draval@crm.otsuka-europe.com")</f>
        <v>draval@crm.otsuka-europe.com</v>
      </c>
      <c r="N5460" s="13">
        <v>46177.648182870369</v>
      </c>
      <c r="O5460" s="14" t="str">
        <f>HYPERLINK("https://otsuka-europe-crm.veevavault.com/ui/#object/email_activity__v/V8C00000003N682", "EN-002089160")</f>
        <v>EN-002089160</v>
      </c>
    </row>
    <row r="5461" spans="1:15" ht="16" x14ac:dyDescent="0.2">
      <c r="A5461" s="17" t="str">
        <f>HYPERLINK("https://otsuka-europe-crm.veevavault.com/ui/#object/account__v/V4TZ06G6O71UQRM", "MARIA MEDINA SANCHEZ")</f>
        <v>MARIA MEDINA SANCHEZ</v>
      </c>
      <c r="B5461" s="17" t="str">
        <f>HYPERLINK("https://otsuka-europe-crm.veevavault.com/ui/#object/vcountry__v/VENZ000004SONF5", "ES")</f>
        <v>ES</v>
      </c>
      <c r="C5461" s="20" t="s">
        <v>41</v>
      </c>
      <c r="D5461" s="21" t="str">
        <f>HYPERLINK("https://otsuka-europe-crm.veevavault.com/ui/#object/approved_document__v/V5OZ06G6O6RFL1P", "ES Veeva Privacy Notice Email")</f>
        <v>ES Veeva Privacy Notice Email</v>
      </c>
      <c r="E5461" s="22" t="str">
        <f>HYPERLINK("https://otsuka-europe-crm.veevavault.com/ui/#object/sent_email__v/VBL00000002N891", "SE-001434062")</f>
        <v>SE-001434062</v>
      </c>
      <c r="F5461" s="23">
        <v>46177.905358796299</v>
      </c>
      <c r="G5461" s="24">
        <v>1</v>
      </c>
      <c r="H5461" s="24">
        <v>2</v>
      </c>
      <c r="I5461" s="24">
        <v>0</v>
      </c>
      <c r="J5461" s="25"/>
      <c r="K5461" s="24">
        <v>0</v>
      </c>
      <c r="L5461" s="22" t="str">
        <f>HYPERLINK("https://otsuka-europe-crm.veevavault.com/ui/#object/approved_document__v/V5OZ06G6O6RFL1P", "ES Veeva Privacy Notice Email")</f>
        <v>ES Veeva Privacy Notice Email</v>
      </c>
      <c r="M5461" s="22" t="str">
        <f>HYPERLINK("mailto:mgravan@crm.otsuka-europe.com", "mgravan@crm.otsuka-europe.com")</f>
        <v>mgravan@crm.otsuka-europe.com</v>
      </c>
      <c r="N5461" s="23">
        <v>46177.767592592594</v>
      </c>
      <c r="O5461" s="14" t="str">
        <f>HYPERLINK("https://otsuka-europe-crm.veevavault.com/ui/#object/email_activity__v/V8C00000003M592", "EN-002089200")</f>
        <v>EN-002089200</v>
      </c>
    </row>
    <row r="5462" spans="1:15" ht="16" x14ac:dyDescent="0.2">
      <c r="A5462" s="18"/>
      <c r="B5462" s="18"/>
      <c r="C5462" s="18"/>
      <c r="D5462" s="18"/>
      <c r="E5462" s="18"/>
      <c r="F5462" s="18"/>
      <c r="G5462" s="18"/>
      <c r="H5462" s="18"/>
      <c r="I5462" s="18"/>
      <c r="J5462" s="18"/>
      <c r="K5462" s="18"/>
      <c r="L5462" s="18"/>
      <c r="M5462" s="18"/>
      <c r="N5462" s="18"/>
      <c r="O5462" s="14" t="str">
        <f>HYPERLINK("https://otsuka-europe-crm.veevavault.com/ui/#object/email_activity__v/V8C00000003N725", "EN-002089238")</f>
        <v>EN-002089238</v>
      </c>
    </row>
    <row r="5463" spans="1:15" ht="16" x14ac:dyDescent="0.2">
      <c r="A5463" s="19"/>
      <c r="B5463" s="19"/>
      <c r="C5463" s="19"/>
      <c r="D5463" s="19"/>
      <c r="E5463" s="19"/>
      <c r="F5463" s="19"/>
      <c r="G5463" s="19"/>
      <c r="H5463" s="19"/>
      <c r="I5463" s="19"/>
      <c r="J5463" s="19"/>
      <c r="K5463" s="19"/>
      <c r="L5463" s="19"/>
      <c r="M5463" s="19"/>
      <c r="N5463" s="19"/>
      <c r="O5463" s="14" t="str">
        <f>HYPERLINK("https://otsuka-europe-crm.veevavault.com/ui/#object/email_activity__v/V8C00000003N726", "EN-002089239")</f>
        <v>EN-002089239</v>
      </c>
    </row>
    <row r="5464" spans="1:15" ht="16" x14ac:dyDescent="0.2">
      <c r="A5464" s="17" t="str">
        <f>HYPERLINK("https://otsuka-europe-crm.veevavault.com/ui/#object/account__v/V4T000000021019", "MIRIAM TERRERO FERNANDEZ")</f>
        <v>MIRIAM TERRERO FERNANDEZ</v>
      </c>
      <c r="B5464" s="17" t="str">
        <f>HYPERLINK("https://otsuka-europe-crm.veevavault.com/ui/#object/vcountry__v/VENZ000004SONF5", "ES")</f>
        <v>ES</v>
      </c>
      <c r="C5464" s="20" t="s">
        <v>41</v>
      </c>
      <c r="D5464" s="21" t="str">
        <f>HYPERLINK("https://otsuka-europe-crm.veevavault.com/ui/#object/approved_document__v/V5O00000000D100", "Spain - Consent Email 1 Aug 25")</f>
        <v>Spain - Consent Email 1 Aug 25</v>
      </c>
      <c r="E5464" s="22" t="str">
        <f>HYPERLINK("https://otsuka-europe-crm.veevavault.com/ui/#object/sent_email__v/VBL00000002N892", "SE-001434063")</f>
        <v>SE-001434063</v>
      </c>
      <c r="F5464" s="23">
        <v>46180.371678240743</v>
      </c>
      <c r="G5464" s="24">
        <v>1</v>
      </c>
      <c r="H5464" s="24">
        <v>2</v>
      </c>
      <c r="I5464" s="24">
        <v>1</v>
      </c>
      <c r="J5464" s="23">
        <v>46180.371678240743</v>
      </c>
      <c r="K5464" s="24">
        <v>1</v>
      </c>
      <c r="L5464" s="22" t="str">
        <f>HYPERLINK("https://otsuka-europe-crm.veevavault.com/ui/#object/approved_document__v/V5O00000000D100", "Spain - Consent Email 1 Aug 25")</f>
        <v>Spain - Consent Email 1 Aug 25</v>
      </c>
      <c r="M5464" s="22" t="str">
        <f>HYPERLINK("mailto:mgravan@crm.otsuka-europe.com", "mgravan@crm.otsuka-europe.com")</f>
        <v>mgravan@crm.otsuka-europe.com</v>
      </c>
      <c r="N5464" s="23">
        <v>46177.77171296296</v>
      </c>
      <c r="O5464" s="14" t="str">
        <f>HYPERLINK("https://otsuka-europe-crm.veevavault.com/ui/#object/email_activity__v/V8C00000003N706", "EN-002089201")</f>
        <v>EN-002089201</v>
      </c>
    </row>
    <row r="5465" spans="1:15" ht="16" x14ac:dyDescent="0.2">
      <c r="A5465" s="18"/>
      <c r="B5465" s="18"/>
      <c r="C5465" s="18"/>
      <c r="D5465" s="18"/>
      <c r="E5465" s="18"/>
      <c r="F5465" s="18"/>
      <c r="G5465" s="18"/>
      <c r="H5465" s="18"/>
      <c r="I5465" s="18"/>
      <c r="J5465" s="18"/>
      <c r="K5465" s="18"/>
      <c r="L5465" s="18"/>
      <c r="M5465" s="18"/>
      <c r="N5465" s="18"/>
      <c r="O5465" s="14" t="str">
        <f>HYPERLINK("https://otsuka-europe-crm.veevavault.com/ui/#object/email_activity__v/V8C00000003O105", "EN-002089461")</f>
        <v>EN-002089461</v>
      </c>
    </row>
    <row r="5466" spans="1:15" ht="16" x14ac:dyDescent="0.2">
      <c r="A5466" s="18"/>
      <c r="B5466" s="18"/>
      <c r="C5466" s="18"/>
      <c r="D5466" s="18"/>
      <c r="E5466" s="18"/>
      <c r="F5466" s="18"/>
      <c r="G5466" s="18"/>
      <c r="H5466" s="18"/>
      <c r="I5466" s="18"/>
      <c r="J5466" s="18"/>
      <c r="K5466" s="18"/>
      <c r="L5466" s="18"/>
      <c r="M5466" s="18"/>
      <c r="N5466" s="18"/>
      <c r="O5466" s="14" t="str">
        <f>HYPERLINK("https://otsuka-europe-crm.veevavault.com/ui/#object/email_activity__v/V8C00000003O106", "EN-002089459")</f>
        <v>EN-002089459</v>
      </c>
    </row>
    <row r="5467" spans="1:15" ht="16" x14ac:dyDescent="0.2">
      <c r="A5467" s="19"/>
      <c r="B5467" s="19"/>
      <c r="C5467" s="19"/>
      <c r="D5467" s="19"/>
      <c r="E5467" s="19"/>
      <c r="F5467" s="19"/>
      <c r="G5467" s="19"/>
      <c r="H5467" s="19"/>
      <c r="I5467" s="19"/>
      <c r="J5467" s="19"/>
      <c r="K5467" s="19"/>
      <c r="L5467" s="19"/>
      <c r="M5467" s="19"/>
      <c r="N5467" s="19"/>
      <c r="O5467" s="14" t="str">
        <f>HYPERLINK("https://otsuka-europe-crm.veevavault.com/ui/#object/email_activity__v/V8C00000003O107", "EN-002089460")</f>
        <v>EN-002089460</v>
      </c>
    </row>
    <row r="5468" spans="1:15" ht="32" x14ac:dyDescent="0.2">
      <c r="A5468" s="7" t="str">
        <f>HYPERLINK("https://otsuka-europe-crm.veevavault.com/ui/#object/account__v/V4T000000020084", "LUISA ROSADO TEJERO")</f>
        <v>LUISA ROSADO TEJERO</v>
      </c>
      <c r="B5468" s="7" t="str">
        <f>HYPERLINK("https://otsuka-europe-crm.veevavault.com/ui/#object/vcountry__v/VENZ000004SONF5", "ES")</f>
        <v>ES</v>
      </c>
      <c r="C5468" s="8" t="s">
        <v>41</v>
      </c>
      <c r="D5468" s="9" t="str">
        <f>HYPERLINK("https://otsuka-europe-crm.veevavault.com/ui/#object/approved_document__v/V5O00000000D100", "Spain - Consent Email 1 Aug 25")</f>
        <v>Spain - Consent Email 1 Aug 25</v>
      </c>
      <c r="E5468" s="10" t="str">
        <f>HYPERLINK("https://otsuka-europe-crm.veevavault.com/ui/#object/sent_email__v/VBL00000002Q362", "SE-001434064")</f>
        <v>SE-001434064</v>
      </c>
      <c r="F5468" s="11"/>
      <c r="G5468" s="12">
        <v>0</v>
      </c>
      <c r="H5468" s="12">
        <v>0</v>
      </c>
      <c r="I5468" s="12">
        <v>0</v>
      </c>
      <c r="J5468" s="11"/>
      <c r="K5468" s="12">
        <v>0</v>
      </c>
      <c r="L5468" s="10" t="str">
        <f>HYPERLINK("https://otsuka-europe-crm.veevavault.com/ui/#object/approved_document__v/V5O00000000D100", "Spain - Consent Email 1 Aug 25")</f>
        <v>Spain - Consent Email 1 Aug 25</v>
      </c>
      <c r="M5468" s="10" t="str">
        <f>HYPERLINK("mailto:mgravan@crm.otsuka-europe.com", "mgravan@crm.otsuka-europe.com")</f>
        <v>mgravan@crm.otsuka-europe.com</v>
      </c>
      <c r="N5468" s="13">
        <v>46177.772268518522</v>
      </c>
      <c r="O5468" s="14" t="str">
        <f>HYPERLINK("https://otsuka-europe-crm.veevavault.com/ui/#object/email_activity__v/V8C00000003N707", "EN-002089202")</f>
        <v>EN-002089202</v>
      </c>
    </row>
    <row r="5469" spans="1:15" ht="16" x14ac:dyDescent="0.2">
      <c r="A5469" s="17" t="str">
        <f>HYPERLINK("https://otsuka-europe-crm.veevavault.com/ui/#object/account__v/V4TZ04ASGFD2I2Y", "ELENA ISABEL CABALLERO MORENO")</f>
        <v>ELENA ISABEL CABALLERO MORENO</v>
      </c>
      <c r="B5469" s="17" t="str">
        <f>HYPERLINK("https://otsuka-europe-crm.veevavault.com/ui/#object/vcountry__v/VENZ000004SONF5", "ES")</f>
        <v>ES</v>
      </c>
      <c r="C5469" s="20" t="s">
        <v>41</v>
      </c>
      <c r="D5469" s="21" t="str">
        <f>HYPERLINK("https://otsuka-europe-crm.veevavault.com/ui/#object/approved_document__v/V5O00000001K002", "Programa 4º edición Curso Simulación clínica en psiquiatría Hospital 12-Octubre")</f>
        <v>Programa 4º edición Curso Simulación clínica en psiquiatría Hospital 12-Octubre</v>
      </c>
      <c r="E5469" s="22" t="str">
        <f>HYPERLINK("https://otsuka-europe-crm.veevavault.com/ui/#object/sent_email__v/VBL00000002N893", "SE-001434065")</f>
        <v>SE-001434065</v>
      </c>
      <c r="F5469" s="23">
        <v>46180.830243055556</v>
      </c>
      <c r="G5469" s="24">
        <v>1</v>
      </c>
      <c r="H5469" s="24">
        <v>1</v>
      </c>
      <c r="I5469" s="24">
        <v>1</v>
      </c>
      <c r="J5469" s="23">
        <v>46178.287592592591</v>
      </c>
      <c r="K5469" s="24">
        <v>1</v>
      </c>
      <c r="L5469" s="22" t="str">
        <f>HYPERLINK("https://otsuka-europe-crm.veevavault.com/ui/#object/approved_document__v/V5O00000001K002", "Programa 4º edición Curso Simulación clínica en psiquiatría Hospital 12-Octubre")</f>
        <v>Programa 4º edición Curso Simulación clínica en psiquiatría Hospital 12-Octubre</v>
      </c>
      <c r="M5469" s="22" t="str">
        <f>HYPERLINK("mailto:mgravan@crm.otsuka-europe.com", "mgravan@crm.otsuka-europe.com")</f>
        <v>mgravan@crm.otsuka-europe.com</v>
      </c>
      <c r="N5469" s="23">
        <v>46177.774305555555</v>
      </c>
      <c r="O5469" s="14" t="str">
        <f>HYPERLINK("https://otsuka-europe-crm.veevavault.com/ui/#object/email_activity__v/V8C00000003N709", "EN-002089204")</f>
        <v>EN-002089204</v>
      </c>
    </row>
    <row r="5470" spans="1:15" ht="16" x14ac:dyDescent="0.2">
      <c r="A5470" s="18"/>
      <c r="B5470" s="18"/>
      <c r="C5470" s="18"/>
      <c r="D5470" s="18"/>
      <c r="E5470" s="18"/>
      <c r="F5470" s="18"/>
      <c r="G5470" s="18"/>
      <c r="H5470" s="18"/>
      <c r="I5470" s="18"/>
      <c r="J5470" s="18"/>
      <c r="K5470" s="18"/>
      <c r="L5470" s="18"/>
      <c r="M5470" s="18"/>
      <c r="N5470" s="18"/>
      <c r="O5470" s="14" t="str">
        <f>HYPERLINK("https://otsuka-europe-crm.veevavault.com/ui/#object/email_activity__v/V8C00000003O019", "EN-002089269")</f>
        <v>EN-002089269</v>
      </c>
    </row>
    <row r="5471" spans="1:15" ht="16" x14ac:dyDescent="0.2">
      <c r="A5471" s="18"/>
      <c r="B5471" s="18"/>
      <c r="C5471" s="18"/>
      <c r="D5471" s="18"/>
      <c r="E5471" s="18"/>
      <c r="F5471" s="18"/>
      <c r="G5471" s="18"/>
      <c r="H5471" s="18"/>
      <c r="I5471" s="18"/>
      <c r="J5471" s="18"/>
      <c r="K5471" s="18"/>
      <c r="L5471" s="18"/>
      <c r="M5471" s="18"/>
      <c r="N5471" s="18"/>
      <c r="O5471" s="14" t="str">
        <f>HYPERLINK("https://otsuka-europe-crm.veevavault.com/ui/#object/email_activity__v/V8C00000003O118", "EN-002089483")</f>
        <v>EN-002089483</v>
      </c>
    </row>
    <row r="5472" spans="1:15" ht="16" x14ac:dyDescent="0.2">
      <c r="A5472" s="18"/>
      <c r="B5472" s="18"/>
      <c r="C5472" s="18"/>
      <c r="D5472" s="18"/>
      <c r="E5472" s="18"/>
      <c r="F5472" s="18"/>
      <c r="G5472" s="18"/>
      <c r="H5472" s="18"/>
      <c r="I5472" s="18"/>
      <c r="J5472" s="18"/>
      <c r="K5472" s="18"/>
      <c r="L5472" s="18"/>
      <c r="M5472" s="18"/>
      <c r="N5472" s="18"/>
      <c r="O5472" s="14" t="str">
        <f>HYPERLINK("https://otsuka-europe-crm.veevavault.com/ui/#object/email_activity__v/V8C00000003O130", "EN-002089499")</f>
        <v>EN-002089499</v>
      </c>
    </row>
    <row r="5473" spans="1:15" ht="16" x14ac:dyDescent="0.2">
      <c r="A5473" s="18"/>
      <c r="B5473" s="18"/>
      <c r="C5473" s="18"/>
      <c r="D5473" s="18"/>
      <c r="E5473" s="18"/>
      <c r="F5473" s="18"/>
      <c r="G5473" s="18"/>
      <c r="H5473" s="18"/>
      <c r="I5473" s="18"/>
      <c r="J5473" s="18"/>
      <c r="K5473" s="18"/>
      <c r="L5473" s="18"/>
      <c r="M5473" s="18"/>
      <c r="N5473" s="18"/>
      <c r="O5473" s="14" t="str">
        <f>HYPERLINK("https://otsuka-europe-crm.veevavault.com/ui/#object/email_activity__v/V8C00000003P007", "EN-002089263")</f>
        <v>EN-002089263</v>
      </c>
    </row>
    <row r="5474" spans="1:15" ht="16" x14ac:dyDescent="0.2">
      <c r="A5474" s="18"/>
      <c r="B5474" s="18"/>
      <c r="C5474" s="18"/>
      <c r="D5474" s="18"/>
      <c r="E5474" s="18"/>
      <c r="F5474" s="18"/>
      <c r="G5474" s="18"/>
      <c r="H5474" s="18"/>
      <c r="I5474" s="18"/>
      <c r="J5474" s="18"/>
      <c r="K5474" s="18"/>
      <c r="L5474" s="18"/>
      <c r="M5474" s="18"/>
      <c r="N5474" s="18"/>
      <c r="O5474" s="14" t="str">
        <f>HYPERLINK("https://otsuka-europe-crm.veevavault.com/ui/#object/email_activity__v/V8C00000003P008", "EN-002089264")</f>
        <v>EN-002089264</v>
      </c>
    </row>
    <row r="5475" spans="1:15" ht="16" x14ac:dyDescent="0.2">
      <c r="A5475" s="19"/>
      <c r="B5475" s="19"/>
      <c r="C5475" s="19"/>
      <c r="D5475" s="19"/>
      <c r="E5475" s="19"/>
      <c r="F5475" s="19"/>
      <c r="G5475" s="19"/>
      <c r="H5475" s="19"/>
      <c r="I5475" s="19"/>
      <c r="J5475" s="19"/>
      <c r="K5475" s="19"/>
      <c r="L5475" s="19"/>
      <c r="M5475" s="19"/>
      <c r="N5475" s="19"/>
      <c r="O5475" s="14" t="str">
        <f>HYPERLINK("https://otsuka-europe-crm.veevavault.com/ui/#object/email_activity__v/V8C00000003P076", "EN-002089381")</f>
        <v>EN-002089381</v>
      </c>
    </row>
    <row r="5476" spans="1:15" ht="16" x14ac:dyDescent="0.2">
      <c r="A5476" s="17" t="str">
        <f>HYPERLINK("https://otsuka-europe-crm.veevavault.com/ui/#object/account__v/V4TZ025E85IAZ7I", "DANIEL GONZALEZ MORA")</f>
        <v>DANIEL GONZALEZ MORA</v>
      </c>
      <c r="B5476" s="17" t="str">
        <f>HYPERLINK("https://otsuka-europe-crm.veevavault.com/ui/#object/vcountry__v/VENZ000004SONF5", "ES")</f>
        <v>ES</v>
      </c>
      <c r="C5476" s="20" t="s">
        <v>41</v>
      </c>
      <c r="D5476" s="21" t="str">
        <f>HYPERLINK("https://otsuka-europe-crm.veevavault.com/ui/#object/approved_document__v/V5O00000001K002", "Programa 4º edición Curso Simulación clínica en psiquiatría Hospital 12-Octubre")</f>
        <v>Programa 4º edición Curso Simulación clínica en psiquiatría Hospital 12-Octubre</v>
      </c>
      <c r="E5476" s="22" t="str">
        <f>HYPERLINK("https://otsuka-europe-crm.veevavault.com/ui/#object/sent_email__v/VBL00000002N894", "SE-001434066")</f>
        <v>SE-001434066</v>
      </c>
      <c r="F5476" s="23">
        <v>46204.493206018517</v>
      </c>
      <c r="G5476" s="24">
        <v>1</v>
      </c>
      <c r="H5476" s="24">
        <v>2</v>
      </c>
      <c r="I5476" s="24">
        <v>1</v>
      </c>
      <c r="J5476" s="23">
        <v>46177.879756944443</v>
      </c>
      <c r="K5476" s="24">
        <v>1</v>
      </c>
      <c r="L5476" s="22" t="str">
        <f>HYPERLINK("https://otsuka-europe-crm.veevavault.com/ui/#object/approved_document__v/V5O00000001K002", "Programa 4º edición Curso Simulación clínica en psiquiatría Hospital 12-Octubre")</f>
        <v>Programa 4º edición Curso Simulación clínica en psiquiatría Hospital 12-Octubre</v>
      </c>
      <c r="M5476" s="22" t="str">
        <f>HYPERLINK("mailto:mgravan@crm.otsuka-europe.com", "mgravan@crm.otsuka-europe.com")</f>
        <v>mgravan@crm.otsuka-europe.com</v>
      </c>
      <c r="N5476" s="23">
        <v>46177.774305555555</v>
      </c>
      <c r="O5476" s="14" t="str">
        <f>HYPERLINK("https://otsuka-europe-crm.veevavault.com/ui/#object/email_activity__v/V8C00000003M607", "EN-002089234")</f>
        <v>EN-002089234</v>
      </c>
    </row>
    <row r="5477" spans="1:15" ht="16" x14ac:dyDescent="0.2">
      <c r="A5477" s="18"/>
      <c r="B5477" s="18"/>
      <c r="C5477" s="18"/>
      <c r="D5477" s="18"/>
      <c r="E5477" s="18"/>
      <c r="F5477" s="18"/>
      <c r="G5477" s="18"/>
      <c r="H5477" s="18"/>
      <c r="I5477" s="18"/>
      <c r="J5477" s="18"/>
      <c r="K5477" s="18"/>
      <c r="L5477" s="18"/>
      <c r="M5477" s="18"/>
      <c r="N5477" s="18"/>
      <c r="O5477" s="14" t="str">
        <f>HYPERLINK("https://otsuka-europe-crm.veevavault.com/ui/#object/email_activity__v/V8C00000003M608", "EN-002089235")</f>
        <v>EN-002089235</v>
      </c>
    </row>
    <row r="5478" spans="1:15" ht="16" x14ac:dyDescent="0.2">
      <c r="A5478" s="18"/>
      <c r="B5478" s="18"/>
      <c r="C5478" s="18"/>
      <c r="D5478" s="18"/>
      <c r="E5478" s="18"/>
      <c r="F5478" s="18"/>
      <c r="G5478" s="18"/>
      <c r="H5478" s="18"/>
      <c r="I5478" s="18"/>
      <c r="J5478" s="18"/>
      <c r="K5478" s="18"/>
      <c r="L5478" s="18"/>
      <c r="M5478" s="18"/>
      <c r="N5478" s="18"/>
      <c r="O5478" s="14" t="str">
        <f>HYPERLINK("https://otsuka-europe-crm.veevavault.com/ui/#object/email_activity__v/V8C00000003M609", "EN-002089236")</f>
        <v>EN-002089236</v>
      </c>
    </row>
    <row r="5479" spans="1:15" ht="16" x14ac:dyDescent="0.2">
      <c r="A5479" s="18"/>
      <c r="B5479" s="18"/>
      <c r="C5479" s="18"/>
      <c r="D5479" s="18"/>
      <c r="E5479" s="18"/>
      <c r="F5479" s="18"/>
      <c r="G5479" s="18"/>
      <c r="H5479" s="18"/>
      <c r="I5479" s="18"/>
      <c r="J5479" s="18"/>
      <c r="K5479" s="18"/>
      <c r="L5479" s="18"/>
      <c r="M5479" s="18"/>
      <c r="N5479" s="18"/>
      <c r="O5479" s="14" t="str">
        <f>HYPERLINK("https://otsuka-europe-crm.veevavault.com/ui/#object/email_activity__v/V8C00000003N711", "EN-002089206")</f>
        <v>EN-002089206</v>
      </c>
    </row>
    <row r="5480" spans="1:15" ht="16" x14ac:dyDescent="0.2">
      <c r="A5480" s="19"/>
      <c r="B5480" s="19"/>
      <c r="C5480" s="19"/>
      <c r="D5480" s="19"/>
      <c r="E5480" s="19"/>
      <c r="F5480" s="19"/>
      <c r="G5480" s="19"/>
      <c r="H5480" s="19"/>
      <c r="I5480" s="19"/>
      <c r="J5480" s="19"/>
      <c r="K5480" s="19"/>
      <c r="L5480" s="19"/>
      <c r="M5480" s="19"/>
      <c r="N5480" s="19"/>
      <c r="O5480" s="14" t="str">
        <f>HYPERLINK("https://otsuka-europe-crm.veevavault.com/ui/#object/email_activity__v/V8C000000041842", "EN-002101397")</f>
        <v>EN-002101397</v>
      </c>
    </row>
    <row r="5481" spans="1:15" ht="64" x14ac:dyDescent="0.2">
      <c r="A5481" s="7" t="str">
        <f>HYPERLINK("https://otsuka-europe-crm.veevavault.com/ui/#object/account__v/V4TZ04ASGGC094O", "LAURA RAMIREZ MARTINEZ")</f>
        <v>LAURA RAMIREZ MARTINEZ</v>
      </c>
      <c r="B5481" s="7" t="str">
        <f>HYPERLINK("https://otsuka-europe-crm.veevavault.com/ui/#object/vcountry__v/VENZ000004SONF5", "ES")</f>
        <v>ES</v>
      </c>
      <c r="C5481" s="8" t="s">
        <v>41</v>
      </c>
      <c r="D5481" s="9" t="str">
        <f>HYPERLINK("https://otsuka-europe-crm.veevavault.com/ui/#object/approved_document__v/V5O00000001K002", "Programa 4º edición Curso Simulación clínica en psiquiatría Hospital 12-Octubre")</f>
        <v>Programa 4º edición Curso Simulación clínica en psiquiatría Hospital 12-Octubre</v>
      </c>
      <c r="E5481" s="10" t="str">
        <f>HYPERLINK("https://otsuka-europe-crm.veevavault.com/ui/#object/sent_email__v/VBL00000002N895", "SE-001434067")</f>
        <v>SE-001434067</v>
      </c>
      <c r="F5481" s="11"/>
      <c r="G5481" s="12">
        <v>0</v>
      </c>
      <c r="H5481" s="12">
        <v>0</v>
      </c>
      <c r="I5481" s="12">
        <v>0</v>
      </c>
      <c r="J5481" s="11"/>
      <c r="K5481" s="12">
        <v>0</v>
      </c>
      <c r="L5481" s="10" t="str">
        <f>HYPERLINK("https://otsuka-europe-crm.veevavault.com/ui/#object/approved_document__v/V5O00000001K002", "Programa 4º edición Curso Simulación clínica en psiquiatría Hospital 12-Octubre")</f>
        <v>Programa 4º edición Curso Simulación clínica en psiquiatría Hospital 12-Octubre</v>
      </c>
      <c r="M5481" s="10" t="str">
        <f>HYPERLINK("mailto:mgravan@crm.otsuka-europe.com", "mgravan@crm.otsuka-europe.com")</f>
        <v>mgravan@crm.otsuka-europe.com</v>
      </c>
      <c r="N5481" s="13">
        <v>46177.774305555555</v>
      </c>
      <c r="O5481" s="14" t="str">
        <f>HYPERLINK("https://otsuka-europe-crm.veevavault.com/ui/#object/email_activity__v/V8C00000003N708", "EN-002089203")</f>
        <v>EN-002089203</v>
      </c>
    </row>
    <row r="5482" spans="1:15" ht="16" x14ac:dyDescent="0.2">
      <c r="A5482" s="17" t="str">
        <f>HYPERLINK("https://otsuka-europe-crm.veevavault.com/ui/#object/account__v/V4TZ04ASGE0F8TT", "MOHIT LALWANI GOVIND")</f>
        <v>MOHIT LALWANI GOVIND</v>
      </c>
      <c r="B5482" s="17" t="str">
        <f>HYPERLINK("https://otsuka-europe-crm.veevavault.com/ui/#object/vcountry__v/VENZ000004SONF5", "ES")</f>
        <v>ES</v>
      </c>
      <c r="C5482" s="20" t="s">
        <v>41</v>
      </c>
      <c r="D5482" s="21" t="str">
        <f>HYPERLINK("https://otsuka-europe-crm.veevavault.com/ui/#object/approved_document__v/V5O00000001K002", "Programa 4º edición Curso Simulación clínica en psiquiatría Hospital 12-Octubre")</f>
        <v>Programa 4º edición Curso Simulación clínica en psiquiatría Hospital 12-Octubre</v>
      </c>
      <c r="E5482" s="22" t="str">
        <f>HYPERLINK("https://otsuka-europe-crm.veevavault.com/ui/#object/sent_email__v/VBL00000002N896", "SE-001434068")</f>
        <v>SE-001434068</v>
      </c>
      <c r="F5482" s="25"/>
      <c r="G5482" s="24">
        <v>0</v>
      </c>
      <c r="H5482" s="24">
        <v>0</v>
      </c>
      <c r="I5482" s="24">
        <v>1</v>
      </c>
      <c r="J5482" s="23">
        <v>46177.836365740739</v>
      </c>
      <c r="K5482" s="24">
        <v>1</v>
      </c>
      <c r="L5482" s="22" t="str">
        <f>HYPERLINK("https://otsuka-europe-crm.veevavault.com/ui/#object/approved_document__v/V5O00000001K002", "Programa 4º edición Curso Simulación clínica en psiquiatría Hospital 12-Octubre")</f>
        <v>Programa 4º edición Curso Simulación clínica en psiquiatría Hospital 12-Octubre</v>
      </c>
      <c r="M5482" s="22" t="str">
        <f>HYPERLINK("mailto:mgravan@crm.otsuka-europe.com", "mgravan@crm.otsuka-europe.com")</f>
        <v>mgravan@crm.otsuka-europe.com</v>
      </c>
      <c r="N5482" s="23">
        <v>46177.774305555555</v>
      </c>
      <c r="O5482" s="14" t="str">
        <f>HYPERLINK("https://otsuka-europe-crm.veevavault.com/ui/#object/email_activity__v/V8C00000003M606", "EN-002089230")</f>
        <v>EN-002089230</v>
      </c>
    </row>
    <row r="5483" spans="1:15" ht="16" x14ac:dyDescent="0.2">
      <c r="A5483" s="18"/>
      <c r="B5483" s="18"/>
      <c r="C5483" s="18"/>
      <c r="D5483" s="18"/>
      <c r="E5483" s="18"/>
      <c r="F5483" s="18"/>
      <c r="G5483" s="18"/>
      <c r="H5483" s="18"/>
      <c r="I5483" s="18"/>
      <c r="J5483" s="18"/>
      <c r="K5483" s="18"/>
      <c r="L5483" s="18"/>
      <c r="M5483" s="18"/>
      <c r="N5483" s="18"/>
      <c r="O5483" s="14" t="str">
        <f>HYPERLINK("https://otsuka-europe-crm.veevavault.com/ui/#object/email_activity__v/V8C00000003N710", "EN-002089205")</f>
        <v>EN-002089205</v>
      </c>
    </row>
    <row r="5484" spans="1:15" ht="16" x14ac:dyDescent="0.2">
      <c r="A5484" s="18"/>
      <c r="B5484" s="18"/>
      <c r="C5484" s="18"/>
      <c r="D5484" s="18"/>
      <c r="E5484" s="18"/>
      <c r="F5484" s="18"/>
      <c r="G5484" s="18"/>
      <c r="H5484" s="18"/>
      <c r="I5484" s="18"/>
      <c r="J5484" s="18"/>
      <c r="K5484" s="18"/>
      <c r="L5484" s="18"/>
      <c r="M5484" s="18"/>
      <c r="N5484" s="18"/>
      <c r="O5484" s="14" t="str">
        <f>HYPERLINK("https://otsuka-europe-crm.veevavault.com/ui/#object/email_activity__v/V8C00000003N721", "EN-002089229")</f>
        <v>EN-002089229</v>
      </c>
    </row>
    <row r="5485" spans="1:15" ht="16" x14ac:dyDescent="0.2">
      <c r="A5485" s="19"/>
      <c r="B5485" s="19"/>
      <c r="C5485" s="19"/>
      <c r="D5485" s="19"/>
      <c r="E5485" s="19"/>
      <c r="F5485" s="19"/>
      <c r="G5485" s="19"/>
      <c r="H5485" s="19"/>
      <c r="I5485" s="19"/>
      <c r="J5485" s="19"/>
      <c r="K5485" s="19"/>
      <c r="L5485" s="19"/>
      <c r="M5485" s="19"/>
      <c r="N5485" s="19"/>
      <c r="O5485" s="14" t="str">
        <f>HYPERLINK("https://otsuka-europe-crm.veevavault.com/ui/#object/email_activity__v/V8C00000003N723", "EN-002089232")</f>
        <v>EN-002089232</v>
      </c>
    </row>
    <row r="5486" spans="1:15" ht="16" x14ac:dyDescent="0.2">
      <c r="A5486" s="17" t="str">
        <f>HYPERLINK("https://otsuka-europe-crm.veevavault.com/ui/#object/account__v/V4TZ025E87AK7AG", "LISSETTE PILAR COSTILLA BARRIGA")</f>
        <v>LISSETTE PILAR COSTILLA BARRIGA</v>
      </c>
      <c r="B5486" s="17" t="str">
        <f>HYPERLINK("https://otsuka-europe-crm.veevavault.com/ui/#object/vcountry__v/VENZ000004SONF5", "ES")</f>
        <v>ES</v>
      </c>
      <c r="C5486" s="20" t="s">
        <v>41</v>
      </c>
      <c r="D5486" s="21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5486" s="22" t="str">
        <f>HYPERLINK("https://otsuka-europe-crm.veevavault.com/ui/#object/sent_email__v/VBL00000002R001", "SE-001434069")</f>
        <v>SE-001434069</v>
      </c>
      <c r="F5486" s="25"/>
      <c r="G5486" s="24">
        <v>0</v>
      </c>
      <c r="H5486" s="24">
        <v>0</v>
      </c>
      <c r="I5486" s="24">
        <v>0</v>
      </c>
      <c r="J5486" s="25"/>
      <c r="K5486" s="24">
        <v>0</v>
      </c>
      <c r="L5486" s="22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5486" s="22" t="str">
        <f>HYPERLINK("mailto:gsammali@crm.otsuka-europe.com", "gsammali@crm.otsuka-europe.com")</f>
        <v>gsammali@crm.otsuka-europe.com</v>
      </c>
      <c r="N5486" s="23">
        <v>46178.217465277776</v>
      </c>
      <c r="O5486" s="14" t="str">
        <f>HYPERLINK("https://otsuka-europe-crm.veevavault.com/ui/#object/email_activity__v/V8C00000003O016", "EN-002089261")</f>
        <v>EN-002089261</v>
      </c>
    </row>
    <row r="5487" spans="1:15" ht="16" x14ac:dyDescent="0.2">
      <c r="A5487" s="19"/>
      <c r="B5487" s="19"/>
      <c r="C5487" s="19"/>
      <c r="D5487" s="19"/>
      <c r="E5487" s="19"/>
      <c r="F5487" s="19"/>
      <c r="G5487" s="19"/>
      <c r="H5487" s="19"/>
      <c r="I5487" s="19"/>
      <c r="J5487" s="19"/>
      <c r="K5487" s="19"/>
      <c r="L5487" s="19"/>
      <c r="M5487" s="19"/>
      <c r="N5487" s="19"/>
      <c r="O5487" s="14" t="str">
        <f>HYPERLINK("https://otsuka-europe-crm.veevavault.com/ui/#object/email_activity__v/V8C00000003O044", "EN-002089328")</f>
        <v>EN-002089328</v>
      </c>
    </row>
    <row r="5488" spans="1:15" ht="16" x14ac:dyDescent="0.2">
      <c r="A5488" s="17" t="str">
        <f>HYPERLINK("https://otsuka-europe-crm.veevavault.com/ui/#object/account__v/V4T000000022001", "MARIA DEL CARMEN PORTILLO SOTELO")</f>
        <v>MARIA DEL CARMEN PORTILLO SOTELO</v>
      </c>
      <c r="B5488" s="17" t="str">
        <f>HYPERLINK("https://otsuka-europe-crm.veevavault.com/ui/#object/vcountry__v/VENZ000004SONF5", "ES")</f>
        <v>ES</v>
      </c>
      <c r="C5488" s="20" t="s">
        <v>41</v>
      </c>
      <c r="D5488" s="21" t="str">
        <f>HYPERLINK("https://otsuka-europe-crm.veevavault.com/ui/#object/approved_document__v/V5OZ06G6O6RFL1P", "ES Veeva Privacy Notice Email")</f>
        <v>ES Veeva Privacy Notice Email</v>
      </c>
      <c r="E5488" s="22" t="str">
        <f>HYPERLINK("https://otsuka-europe-crm.veevavault.com/ui/#object/sent_email__v/VBL00000002S001", "SE-001434070")</f>
        <v>SE-001434070</v>
      </c>
      <c r="F5488" s="23">
        <v>46178.343958333331</v>
      </c>
      <c r="G5488" s="24">
        <v>1</v>
      </c>
      <c r="H5488" s="24">
        <v>2</v>
      </c>
      <c r="I5488" s="24">
        <v>0</v>
      </c>
      <c r="J5488" s="25"/>
      <c r="K5488" s="24">
        <v>0</v>
      </c>
      <c r="L5488" s="22" t="str">
        <f>HYPERLINK("https://otsuka-europe-crm.veevavault.com/ui/#object/approved_document__v/V5OZ06G6O6RFL1P", "ES Veeva Privacy Notice Email")</f>
        <v>ES Veeva Privacy Notice Email</v>
      </c>
      <c r="M5488" s="22" t="str">
        <f>HYPERLINK("mailto:mgravan@crm.otsuka-europe.com", "mgravan@crm.otsuka-europe.com")</f>
        <v>mgravan@crm.otsuka-europe.com</v>
      </c>
      <c r="N5488" s="23">
        <v>46178.288472222222</v>
      </c>
      <c r="O5488" s="14" t="str">
        <f>HYPERLINK("https://otsuka-europe-crm.veevavault.com/ui/#object/email_activity__v/V8C00000003O017", "EN-002089265")</f>
        <v>EN-002089265</v>
      </c>
    </row>
    <row r="5489" spans="1:15" ht="16" x14ac:dyDescent="0.2">
      <c r="A5489" s="18"/>
      <c r="B5489" s="18"/>
      <c r="C5489" s="18"/>
      <c r="D5489" s="18"/>
      <c r="E5489" s="18"/>
      <c r="F5489" s="18"/>
      <c r="G5489" s="18"/>
      <c r="H5489" s="18"/>
      <c r="I5489" s="18"/>
      <c r="J5489" s="18"/>
      <c r="K5489" s="18"/>
      <c r="L5489" s="18"/>
      <c r="M5489" s="18"/>
      <c r="N5489" s="18"/>
      <c r="O5489" s="14" t="str">
        <f>HYPERLINK("https://otsuka-europe-crm.veevavault.com/ui/#object/email_activity__v/V8C00000003P019", "EN-002089283")</f>
        <v>EN-002089283</v>
      </c>
    </row>
    <row r="5490" spans="1:15" ht="16" x14ac:dyDescent="0.2">
      <c r="A5490" s="19"/>
      <c r="B5490" s="19"/>
      <c r="C5490" s="19"/>
      <c r="D5490" s="19"/>
      <c r="E5490" s="19"/>
      <c r="F5490" s="19"/>
      <c r="G5490" s="19"/>
      <c r="H5490" s="19"/>
      <c r="I5490" s="19"/>
      <c r="J5490" s="19"/>
      <c r="K5490" s="19"/>
      <c r="L5490" s="19"/>
      <c r="M5490" s="19"/>
      <c r="N5490" s="19"/>
      <c r="O5490" s="14" t="str">
        <f>HYPERLINK("https://otsuka-europe-crm.veevavault.com/ui/#object/email_activity__v/V8C00000003P021", "EN-002089285")</f>
        <v>EN-002089285</v>
      </c>
    </row>
    <row r="5491" spans="1:15" ht="16" x14ac:dyDescent="0.2">
      <c r="A5491" s="17" t="str">
        <f>HYPERLINK("https://otsuka-europe-crm.veevavault.com/ui/#object/account__v/V4T000000022001", "MARIA DEL CARMEN PORTILLO SOTELO")</f>
        <v>MARIA DEL CARMEN PORTILLO SOTELO</v>
      </c>
      <c r="B5491" s="17" t="str">
        <f>HYPERLINK("https://otsuka-europe-crm.veevavault.com/ui/#object/vcountry__v/VENZ000004SONF5", "ES")</f>
        <v>ES</v>
      </c>
      <c r="C5491" s="20" t="s">
        <v>41</v>
      </c>
      <c r="D5491" s="21" t="str">
        <f>HYPERLINK("https://otsuka-europe-crm.veevavault.com/ui/#object/approved_document__v/V5O00000000D100", "Spain - Consent Email 1 Aug 25")</f>
        <v>Spain - Consent Email 1 Aug 25</v>
      </c>
      <c r="E5491" s="22" t="str">
        <f>HYPERLINK("https://otsuka-europe-crm.veevavault.com/ui/#object/sent_email__v/VBL00000002S002", "SE-001434071")</f>
        <v>SE-001434071</v>
      </c>
      <c r="F5491" s="23">
        <v>46178.459374999999</v>
      </c>
      <c r="G5491" s="24">
        <v>1</v>
      </c>
      <c r="H5491" s="24">
        <v>1</v>
      </c>
      <c r="I5491" s="24">
        <v>1</v>
      </c>
      <c r="J5491" s="23">
        <v>46178.459456018521</v>
      </c>
      <c r="K5491" s="24">
        <v>1</v>
      </c>
      <c r="L5491" s="22" t="str">
        <f>HYPERLINK("https://otsuka-europe-crm.veevavault.com/ui/#object/approved_document__v/V5O00000000D100", "Spain - Consent Email 1 Aug 25")</f>
        <v>Spain - Consent Email 1 Aug 25</v>
      </c>
      <c r="M5491" s="22" t="str">
        <f>HYPERLINK("mailto:mgravan@crm.otsuka-europe.com", "mgravan@crm.otsuka-europe.com")</f>
        <v>mgravan@crm.otsuka-europe.com</v>
      </c>
      <c r="N5491" s="23">
        <v>46178.289143518516</v>
      </c>
      <c r="O5491" s="14" t="str">
        <f>HYPERLINK("https://otsuka-europe-crm.veevavault.com/ui/#object/email_activity__v/V8C00000003O018", "EN-002089267")</f>
        <v>EN-002089267</v>
      </c>
    </row>
    <row r="5492" spans="1:15" ht="16" x14ac:dyDescent="0.2">
      <c r="A5492" s="18"/>
      <c r="B5492" s="18"/>
      <c r="C5492" s="18"/>
      <c r="D5492" s="18"/>
      <c r="E5492" s="18"/>
      <c r="F5492" s="18"/>
      <c r="G5492" s="18"/>
      <c r="H5492" s="18"/>
      <c r="I5492" s="18"/>
      <c r="J5492" s="18"/>
      <c r="K5492" s="18"/>
      <c r="L5492" s="18"/>
      <c r="M5492" s="18"/>
      <c r="N5492" s="18"/>
      <c r="O5492" s="14" t="str">
        <f>HYPERLINK("https://otsuka-europe-crm.veevavault.com/ui/#object/email_activity__v/V8C00000003P041", "EN-002089318")</f>
        <v>EN-002089318</v>
      </c>
    </row>
    <row r="5493" spans="1:15" ht="16" x14ac:dyDescent="0.2">
      <c r="A5493" s="19"/>
      <c r="B5493" s="19"/>
      <c r="C5493" s="19"/>
      <c r="D5493" s="19"/>
      <c r="E5493" s="19"/>
      <c r="F5493" s="19"/>
      <c r="G5493" s="19"/>
      <c r="H5493" s="19"/>
      <c r="I5493" s="19"/>
      <c r="J5493" s="19"/>
      <c r="K5493" s="19"/>
      <c r="L5493" s="19"/>
      <c r="M5493" s="19"/>
      <c r="N5493" s="19"/>
      <c r="O5493" s="14" t="str">
        <f>HYPERLINK("https://otsuka-europe-crm.veevavault.com/ui/#object/email_activity__v/V8C00000003P042", "EN-002089319")</f>
        <v>EN-002089319</v>
      </c>
    </row>
    <row r="5494" spans="1:15" ht="16" x14ac:dyDescent="0.2">
      <c r="A5494" s="17" t="str">
        <f>HYPERLINK("https://otsuka-europe-crm.veevavault.com/ui/#object/account__v/V4T000000022001", "MARIA DEL CARMEN PORTILLO SOTELO")</f>
        <v>MARIA DEL CARMEN PORTILLO SOTELO</v>
      </c>
      <c r="B5494" s="17" t="str">
        <f>HYPERLINK("https://otsuka-europe-crm.veevavault.com/ui/#object/vcountry__v/VENZ000004SONF5", "ES")</f>
        <v>ES</v>
      </c>
      <c r="C5494" s="20" t="s">
        <v>41</v>
      </c>
      <c r="D5494" s="21" t="str">
        <f>HYPERLINK("https://otsuka-europe-crm.veevavault.com/ui/#object/approved_document__v/V5OZ04ASG4FWKA7", "Reuniones Online Consent - 2")</f>
        <v>Reuniones Online Consent - 2</v>
      </c>
      <c r="E5494" s="22" t="str">
        <f>HYPERLINK("https://otsuka-europe-crm.veevavault.com/ui/#object/sent_email__v/VBL00000002S003", "SE-001434072")</f>
        <v>SE-001434072</v>
      </c>
      <c r="F5494" s="23">
        <v>46178.343900462962</v>
      </c>
      <c r="G5494" s="24">
        <v>1</v>
      </c>
      <c r="H5494" s="24">
        <v>2</v>
      </c>
      <c r="I5494" s="24">
        <v>1</v>
      </c>
      <c r="J5494" s="23">
        <v>46178.343634259261</v>
      </c>
      <c r="K5494" s="24">
        <v>1</v>
      </c>
      <c r="L5494" s="22" t="str">
        <f>HYPERLINK("https://otsuka-europe-crm.veevavault.com/ui/#object/approved_document__v/V5OZ04ASG4FWKA7", "Reuniones Online Consent - 2")</f>
        <v>Reuniones Online Consent - 2</v>
      </c>
      <c r="M5494" s="22" t="str">
        <f>HYPERLINK("mailto:mgravan@crm.otsuka-europe.com", "mgravan@crm.otsuka-europe.com")</f>
        <v>mgravan@crm.otsuka-europe.com</v>
      </c>
      <c r="N5494" s="23">
        <v>46178.289143518516</v>
      </c>
      <c r="O5494" s="14" t="str">
        <f>HYPERLINK("https://otsuka-europe-crm.veevavault.com/ui/#object/email_activity__v/V8C00000003P009", "EN-002089266")</f>
        <v>EN-002089266</v>
      </c>
    </row>
    <row r="5495" spans="1:15" ht="16" x14ac:dyDescent="0.2">
      <c r="A5495" s="18"/>
      <c r="B5495" s="18"/>
      <c r="C5495" s="18"/>
      <c r="D5495" s="18"/>
      <c r="E5495" s="18"/>
      <c r="F5495" s="18"/>
      <c r="G5495" s="18"/>
      <c r="H5495" s="18"/>
      <c r="I5495" s="18"/>
      <c r="J5495" s="18"/>
      <c r="K5495" s="18"/>
      <c r="L5495" s="18"/>
      <c r="M5495" s="18"/>
      <c r="N5495" s="18"/>
      <c r="O5495" s="14" t="str">
        <f>HYPERLINK("https://otsuka-europe-crm.veevavault.com/ui/#object/email_activity__v/V8C00000003P017", "EN-002089281")</f>
        <v>EN-002089281</v>
      </c>
    </row>
    <row r="5496" spans="1:15" ht="16" x14ac:dyDescent="0.2">
      <c r="A5496" s="18"/>
      <c r="B5496" s="18"/>
      <c r="C5496" s="18"/>
      <c r="D5496" s="18"/>
      <c r="E5496" s="18"/>
      <c r="F5496" s="18"/>
      <c r="G5496" s="18"/>
      <c r="H5496" s="18"/>
      <c r="I5496" s="18"/>
      <c r="J5496" s="18"/>
      <c r="K5496" s="18"/>
      <c r="L5496" s="18"/>
      <c r="M5496" s="18"/>
      <c r="N5496" s="18"/>
      <c r="O5496" s="14" t="str">
        <f>HYPERLINK("https://otsuka-europe-crm.veevavault.com/ui/#object/email_activity__v/V8C00000003P018", "EN-002089282")</f>
        <v>EN-002089282</v>
      </c>
    </row>
    <row r="5497" spans="1:15" ht="16" x14ac:dyDescent="0.2">
      <c r="A5497" s="19"/>
      <c r="B5497" s="19"/>
      <c r="C5497" s="19"/>
      <c r="D5497" s="19"/>
      <c r="E5497" s="19"/>
      <c r="F5497" s="19"/>
      <c r="G5497" s="19"/>
      <c r="H5497" s="19"/>
      <c r="I5497" s="19"/>
      <c r="J5497" s="19"/>
      <c r="K5497" s="19"/>
      <c r="L5497" s="19"/>
      <c r="M5497" s="19"/>
      <c r="N5497" s="19"/>
      <c r="O5497" s="14" t="str">
        <f>HYPERLINK("https://otsuka-europe-crm.veevavault.com/ui/#object/email_activity__v/V8C00000003P020", "EN-002089284")</f>
        <v>EN-002089284</v>
      </c>
    </row>
    <row r="5498" spans="1:15" ht="32" x14ac:dyDescent="0.2">
      <c r="A5498" s="7" t="str">
        <f>HYPERLINK("https://otsuka-europe-crm.veevavault.com/ui/#object/account__v/V4T000000023005", "James Allen")</f>
        <v>James Allen</v>
      </c>
      <c r="B5498" s="7" t="str">
        <f t="shared" ref="B5498:B5504" si="592">HYPERLINK("https://otsuka-europe-crm.veevavault.com/ui/#object/vcountry__v/VENZ000004SONFK", "GB")</f>
        <v>GB</v>
      </c>
      <c r="C5498" s="8" t="s">
        <v>39</v>
      </c>
      <c r="D5498" s="9" t="str">
        <f>HYPERLINK("https://otsuka-europe-crm.veevavault.com/ui/#object/approved_document__v/V5OZ025E82PXJSL", "Otsuka Privacy Notice - UK (v2)")</f>
        <v>Otsuka Privacy Notice - UK (v2)</v>
      </c>
      <c r="E5498" s="10" t="str">
        <f>HYPERLINK("https://otsuka-europe-crm.veevavault.com/ui/#object/sent_email__v/VBL00000002R002", "SE-001434073")</f>
        <v>SE-001434073</v>
      </c>
      <c r="F5498" s="11"/>
      <c r="G5498" s="12">
        <v>0</v>
      </c>
      <c r="H5498" s="12">
        <v>0</v>
      </c>
      <c r="I5498" s="12">
        <v>0</v>
      </c>
      <c r="J5498" s="11"/>
      <c r="K5498" s="12">
        <v>0</v>
      </c>
      <c r="L5498" s="10" t="str">
        <f>HYPERLINK("https://otsuka-europe-crm.veevavault.com/ui/#object/approved_document__v/V5OZ025E82PXJSL", "Otsuka Privacy Notice - UK (v2)")</f>
        <v>Otsuka Privacy Notice - UK (v2)</v>
      </c>
      <c r="M5498" s="10" t="str">
        <f t="shared" ref="M5498:M5503" si="593">HYPERLINK("mailto:ldimambro@crm.otsuka-europe.com", "ldimambro@crm.otsuka-europe.com")</f>
        <v>ldimambro@crm.otsuka-europe.com</v>
      </c>
      <c r="N5498" s="13">
        <v>46178.391631944447</v>
      </c>
      <c r="O5498" s="14" t="str">
        <f>HYPERLINK("https://otsuka-europe-crm.veevavault.com/ui/#object/email_activity__v/V8C00000003P028", "EN-002089295")</f>
        <v>EN-002089295</v>
      </c>
    </row>
    <row r="5499" spans="1:15" ht="32" x14ac:dyDescent="0.2">
      <c r="A5499" s="7" t="str">
        <f>HYPERLINK("https://otsuka-europe-crm.veevavault.com/ui/#object/account__v/V4T000000023005", "James Allen")</f>
        <v>James Allen</v>
      </c>
      <c r="B5499" s="7" t="str">
        <f t="shared" si="592"/>
        <v>GB</v>
      </c>
      <c r="C5499" s="8" t="s">
        <v>39</v>
      </c>
      <c r="D5499" s="9" t="str">
        <f>HYPERLINK("https://otsuka-europe-crm.veevavault.com/ui/#object/approved_document__v/V5O00000000D081", "UK - Consent Email 1 Aug 25")</f>
        <v>UK - Consent Email 1 Aug 25</v>
      </c>
      <c r="E5499" s="10" t="str">
        <f>HYPERLINK("https://otsuka-europe-crm.veevavault.com/ui/#object/sent_email__v/VBL00000002R003", "SE-001434074")</f>
        <v>SE-001434074</v>
      </c>
      <c r="F5499" s="11"/>
      <c r="G5499" s="12">
        <v>0</v>
      </c>
      <c r="H5499" s="12">
        <v>0</v>
      </c>
      <c r="I5499" s="12">
        <v>0</v>
      </c>
      <c r="J5499" s="11"/>
      <c r="K5499" s="12">
        <v>0</v>
      </c>
      <c r="L5499" s="10" t="str">
        <f>HYPERLINK("https://otsuka-europe-crm.veevavault.com/ui/#object/approved_document__v/V5O00000000D081", "UK - Consent Email 1 Aug 25")</f>
        <v>UK - Consent Email 1 Aug 25</v>
      </c>
      <c r="M5499" s="10" t="str">
        <f t="shared" si="593"/>
        <v>ldimambro@crm.otsuka-europe.com</v>
      </c>
      <c r="N5499" s="13">
        <v>46178.392488425925</v>
      </c>
      <c r="O5499" s="14" t="str">
        <f>HYPERLINK("https://otsuka-europe-crm.veevavault.com/ui/#object/email_activity__v/V8C00000003P029", "EN-002089296")</f>
        <v>EN-002089296</v>
      </c>
    </row>
    <row r="5500" spans="1:15" ht="32" x14ac:dyDescent="0.2">
      <c r="A5500" s="7" t="str">
        <f>HYPERLINK("https://otsuka-europe-crm.veevavault.com/ui/#object/account__v/V4T000000022004", "Stefana Lapadean")</f>
        <v>Stefana Lapadean</v>
      </c>
      <c r="B5500" s="7" t="str">
        <f t="shared" si="592"/>
        <v>GB</v>
      </c>
      <c r="C5500" s="8" t="s">
        <v>39</v>
      </c>
      <c r="D5500" s="9" t="str">
        <f>HYPERLINK("https://otsuka-europe-crm.veevavault.com/ui/#object/approved_document__v/V5OZ025E82PXJSL", "Otsuka Privacy Notice - UK (v2)")</f>
        <v>Otsuka Privacy Notice - UK (v2)</v>
      </c>
      <c r="E5500" s="10" t="str">
        <f>HYPERLINK("https://otsuka-europe-crm.veevavault.com/ui/#object/sent_email__v/VBL00000002S004", "SE-001434075")</f>
        <v>SE-001434075</v>
      </c>
      <c r="F5500" s="11"/>
      <c r="G5500" s="12">
        <v>0</v>
      </c>
      <c r="H5500" s="12">
        <v>0</v>
      </c>
      <c r="I5500" s="12">
        <v>0</v>
      </c>
      <c r="J5500" s="11"/>
      <c r="K5500" s="12">
        <v>0</v>
      </c>
      <c r="L5500" s="10" t="str">
        <f>HYPERLINK("https://otsuka-europe-crm.veevavault.com/ui/#object/approved_document__v/V5OZ025E82PXJSL", "Otsuka Privacy Notice - UK (v2)")</f>
        <v>Otsuka Privacy Notice - UK (v2)</v>
      </c>
      <c r="M5500" s="10" t="str">
        <f t="shared" si="593"/>
        <v>ldimambro@crm.otsuka-europe.com</v>
      </c>
      <c r="N5500" s="13">
        <v>46178.394895833335</v>
      </c>
      <c r="O5500" s="14" t="str">
        <f>HYPERLINK("https://otsuka-europe-crm.veevavault.com/ui/#object/email_activity__v/V8C00000003P030", "EN-002089297")</f>
        <v>EN-002089297</v>
      </c>
    </row>
    <row r="5501" spans="1:15" ht="32" x14ac:dyDescent="0.2">
      <c r="A5501" s="7" t="str">
        <f>HYPERLINK("https://otsuka-europe-crm.veevavault.com/ui/#object/account__v/V4T000000022004", "Stefana Lapadean")</f>
        <v>Stefana Lapadean</v>
      </c>
      <c r="B5501" s="7" t="str">
        <f t="shared" si="592"/>
        <v>GB</v>
      </c>
      <c r="C5501" s="8" t="s">
        <v>39</v>
      </c>
      <c r="D5501" s="9" t="str">
        <f>HYPERLINK("https://otsuka-europe-crm.veevavault.com/ui/#object/approved_document__v/V5O00000000D081", "UK - Consent Email 1 Aug 25")</f>
        <v>UK - Consent Email 1 Aug 25</v>
      </c>
      <c r="E5501" s="10" t="str">
        <f>HYPERLINK("https://otsuka-europe-crm.veevavault.com/ui/#object/sent_email__v/VBL00000002S005", "SE-001434076")</f>
        <v>SE-001434076</v>
      </c>
      <c r="F5501" s="11"/>
      <c r="G5501" s="12">
        <v>0</v>
      </c>
      <c r="H5501" s="12">
        <v>0</v>
      </c>
      <c r="I5501" s="12">
        <v>0</v>
      </c>
      <c r="J5501" s="11"/>
      <c r="K5501" s="12">
        <v>0</v>
      </c>
      <c r="L5501" s="10" t="str">
        <f>HYPERLINK("https://otsuka-europe-crm.veevavault.com/ui/#object/approved_document__v/V5O00000000D081", "UK - Consent Email 1 Aug 25")</f>
        <v>UK - Consent Email 1 Aug 25</v>
      </c>
      <c r="M5501" s="10" t="str">
        <f t="shared" si="593"/>
        <v>ldimambro@crm.otsuka-europe.com</v>
      </c>
      <c r="N5501" s="13">
        <v>46178.395810185182</v>
      </c>
      <c r="O5501" s="14" t="str">
        <f>HYPERLINK("https://otsuka-europe-crm.veevavault.com/ui/#object/email_activity__v/V8C00000003O028", "EN-002089298")</f>
        <v>EN-002089298</v>
      </c>
    </row>
    <row r="5502" spans="1:15" ht="32" x14ac:dyDescent="0.2">
      <c r="A5502" s="7" t="str">
        <f>HYPERLINK("https://otsuka-europe-crm.veevavault.com/ui/#object/account__v/V4T000000023004", "Charlotte Rawlings")</f>
        <v>Charlotte Rawlings</v>
      </c>
      <c r="B5502" s="7" t="str">
        <f t="shared" si="592"/>
        <v>GB</v>
      </c>
      <c r="C5502" s="8" t="s">
        <v>39</v>
      </c>
      <c r="D5502" s="9" t="str">
        <f>HYPERLINK("https://otsuka-europe-crm.veevavault.com/ui/#object/approved_document__v/V5OZ025E82PXJSL", "Otsuka Privacy Notice - UK (v2)")</f>
        <v>Otsuka Privacy Notice - UK (v2)</v>
      </c>
      <c r="E5502" s="10" t="str">
        <f>HYPERLINK("https://otsuka-europe-crm.veevavault.com/ui/#object/sent_email__v/VBL00000002S006", "SE-001434077")</f>
        <v>SE-001434077</v>
      </c>
      <c r="F5502" s="11"/>
      <c r="G5502" s="12">
        <v>0</v>
      </c>
      <c r="H5502" s="12">
        <v>0</v>
      </c>
      <c r="I5502" s="12">
        <v>0</v>
      </c>
      <c r="J5502" s="11"/>
      <c r="K5502" s="12">
        <v>0</v>
      </c>
      <c r="L5502" s="10" t="str">
        <f>HYPERLINK("https://otsuka-europe-crm.veevavault.com/ui/#object/approved_document__v/V5OZ025E82PXJSL", "Otsuka Privacy Notice - UK (v2)")</f>
        <v>Otsuka Privacy Notice - UK (v2)</v>
      </c>
      <c r="M5502" s="10" t="str">
        <f t="shared" si="593"/>
        <v>ldimambro@crm.otsuka-europe.com</v>
      </c>
      <c r="N5502" s="13">
        <v>46178.398020833331</v>
      </c>
      <c r="O5502" s="14" t="str">
        <f>HYPERLINK("https://otsuka-europe-crm.veevavault.com/ui/#object/email_activity__v/V8C00000003O030", "EN-002089301")</f>
        <v>EN-002089301</v>
      </c>
    </row>
    <row r="5503" spans="1:15" ht="32" x14ac:dyDescent="0.2">
      <c r="A5503" s="7" t="str">
        <f>HYPERLINK("https://otsuka-europe-crm.veevavault.com/ui/#object/account__v/V4T000000023004", "Charlotte Rawlings")</f>
        <v>Charlotte Rawlings</v>
      </c>
      <c r="B5503" s="7" t="str">
        <f t="shared" si="592"/>
        <v>GB</v>
      </c>
      <c r="C5503" s="8" t="s">
        <v>39</v>
      </c>
      <c r="D5503" s="9" t="str">
        <f>HYPERLINK("https://otsuka-europe-crm.veevavault.com/ui/#object/approved_document__v/V5O00000000D081", "UK - Consent Email 1 Aug 25")</f>
        <v>UK - Consent Email 1 Aug 25</v>
      </c>
      <c r="E5503" s="10" t="str">
        <f>HYPERLINK("https://otsuka-europe-crm.veevavault.com/ui/#object/sent_email__v/VBL00000002S007", "SE-001434078")</f>
        <v>SE-001434078</v>
      </c>
      <c r="F5503" s="11"/>
      <c r="G5503" s="12">
        <v>0</v>
      </c>
      <c r="H5503" s="12">
        <v>0</v>
      </c>
      <c r="I5503" s="12">
        <v>0</v>
      </c>
      <c r="J5503" s="11"/>
      <c r="K5503" s="12">
        <v>0</v>
      </c>
      <c r="L5503" s="10" t="str">
        <f>HYPERLINK("https://otsuka-europe-crm.veevavault.com/ui/#object/approved_document__v/V5O00000000D081", "UK - Consent Email 1 Aug 25")</f>
        <v>UK - Consent Email 1 Aug 25</v>
      </c>
      <c r="M5503" s="10" t="str">
        <f t="shared" si="593"/>
        <v>ldimambro@crm.otsuka-europe.com</v>
      </c>
      <c r="N5503" s="13">
        <v>46178.399108796293</v>
      </c>
      <c r="O5503" s="14" t="str">
        <f>HYPERLINK("https://otsuka-europe-crm.veevavault.com/ui/#object/email_activity__v/V8C00000003O031", "EN-002089302")</f>
        <v>EN-002089302</v>
      </c>
    </row>
    <row r="5504" spans="1:15" ht="16" x14ac:dyDescent="0.2">
      <c r="A5504" s="17" t="str">
        <f>HYPERLINK("https://otsuka-europe-crm.veevavault.com/ui/#object/account__v/V4T000000021081", "Zoe Taylor")</f>
        <v>Zoe Taylor</v>
      </c>
      <c r="B5504" s="17" t="str">
        <f t="shared" si="592"/>
        <v>GB</v>
      </c>
      <c r="C5504" s="20" t="s">
        <v>39</v>
      </c>
      <c r="D5504" s="21" t="str">
        <f>HYPERLINK("https://otsuka-europe-crm.veevavault.com/ui/#object/approved_document__v/V5OZ025E82PXJSL", "Otsuka Privacy Notice - UK (v2)")</f>
        <v>Otsuka Privacy Notice - UK (v2)</v>
      </c>
      <c r="E5504" s="22" t="str">
        <f>HYPERLINK("https://otsuka-europe-crm.veevavault.com/ui/#object/sent_email__v/VBL00000002R004", "SE-001434079")</f>
        <v>SE-001434079</v>
      </c>
      <c r="F5504" s="23">
        <v>46203.590104166666</v>
      </c>
      <c r="G5504" s="24">
        <v>1</v>
      </c>
      <c r="H5504" s="24">
        <v>75</v>
      </c>
      <c r="I5504" s="24">
        <v>0</v>
      </c>
      <c r="J5504" s="25"/>
      <c r="K5504" s="24">
        <v>0</v>
      </c>
      <c r="L5504" s="22" t="str">
        <f>HYPERLINK("https://otsuka-europe-crm.veevavault.com/ui/#object/approved_document__v/V5OZ025E82PXJSL", "Otsuka Privacy Notice - UK (v2)")</f>
        <v>Otsuka Privacy Notice - UK (v2)</v>
      </c>
      <c r="M5504" s="22" t="str">
        <f>HYPERLINK("mailto:PStyler@crm.otsuka-europe.com", "PStyler@crm.otsuka-europe.com")</f>
        <v>PStyler@crm.otsuka-europe.com</v>
      </c>
      <c r="N5504" s="23">
        <v>46178.400995370372</v>
      </c>
      <c r="O5504" s="14" t="str">
        <f>HYPERLINK("https://otsuka-europe-crm.veevavault.com/ui/#object/email_activity__v/V8C00000003O032", "EN-002089303")</f>
        <v>EN-002089303</v>
      </c>
    </row>
    <row r="5505" spans="1:15" ht="16" x14ac:dyDescent="0.2">
      <c r="A5505" s="18"/>
      <c r="B5505" s="18"/>
      <c r="C5505" s="18"/>
      <c r="D5505" s="18"/>
      <c r="E5505" s="18"/>
      <c r="F5505" s="18"/>
      <c r="G5505" s="18"/>
      <c r="H5505" s="18"/>
      <c r="I5505" s="18"/>
      <c r="J5505" s="18"/>
      <c r="K5505" s="18"/>
      <c r="L5505" s="18"/>
      <c r="M5505" s="18"/>
      <c r="N5505" s="18"/>
      <c r="O5505" s="14" t="str">
        <f>HYPERLINK("https://otsuka-europe-crm.veevavault.com/ui/#object/email_activity__v/V8C00000003Z212", "EN-002099015")</f>
        <v>EN-002099015</v>
      </c>
    </row>
    <row r="5506" spans="1:15" ht="16" x14ac:dyDescent="0.2">
      <c r="A5506" s="18"/>
      <c r="B5506" s="18"/>
      <c r="C5506" s="18"/>
      <c r="D5506" s="18"/>
      <c r="E5506" s="18"/>
      <c r="F5506" s="18"/>
      <c r="G5506" s="18"/>
      <c r="H5506" s="18"/>
      <c r="I5506" s="18"/>
      <c r="J5506" s="18"/>
      <c r="K5506" s="18"/>
      <c r="L5506" s="18"/>
      <c r="M5506" s="18"/>
      <c r="N5506" s="18"/>
      <c r="O5506" s="14" t="str">
        <f>HYPERLINK("https://otsuka-europe-crm.veevavault.com/ui/#object/email_activity__v/V8C00000003Z213", "EN-002099016")</f>
        <v>EN-002099016</v>
      </c>
    </row>
    <row r="5507" spans="1:15" ht="16" x14ac:dyDescent="0.2">
      <c r="A5507" s="18"/>
      <c r="B5507" s="18"/>
      <c r="C5507" s="18"/>
      <c r="D5507" s="18"/>
      <c r="E5507" s="18"/>
      <c r="F5507" s="18"/>
      <c r="G5507" s="18"/>
      <c r="H5507" s="18"/>
      <c r="I5507" s="18"/>
      <c r="J5507" s="18"/>
      <c r="K5507" s="18"/>
      <c r="L5507" s="18"/>
      <c r="M5507" s="18"/>
      <c r="N5507" s="18"/>
      <c r="O5507" s="14" t="str">
        <f>HYPERLINK("https://otsuka-europe-crm.veevavault.com/ui/#object/email_activity__v/V8C00000003Z215", "EN-002099022")</f>
        <v>EN-002099022</v>
      </c>
    </row>
    <row r="5508" spans="1:15" ht="16" x14ac:dyDescent="0.2">
      <c r="A5508" s="18"/>
      <c r="B5508" s="18"/>
      <c r="C5508" s="18"/>
      <c r="D5508" s="18"/>
      <c r="E5508" s="18"/>
      <c r="F5508" s="18"/>
      <c r="G5508" s="18"/>
      <c r="H5508" s="18"/>
      <c r="I5508" s="18"/>
      <c r="J5508" s="18"/>
      <c r="K5508" s="18"/>
      <c r="L5508" s="18"/>
      <c r="M5508" s="18"/>
      <c r="N5508" s="18"/>
      <c r="O5508" s="14" t="str">
        <f>HYPERLINK("https://otsuka-europe-crm.veevavault.com/ui/#object/email_activity__v/V8C00000003Z216", "EN-002099023")</f>
        <v>EN-002099023</v>
      </c>
    </row>
    <row r="5509" spans="1:15" ht="16" x14ac:dyDescent="0.2">
      <c r="A5509" s="18"/>
      <c r="B5509" s="18"/>
      <c r="C5509" s="18"/>
      <c r="D5509" s="18"/>
      <c r="E5509" s="18"/>
      <c r="F5509" s="18"/>
      <c r="G5509" s="18"/>
      <c r="H5509" s="18"/>
      <c r="I5509" s="18"/>
      <c r="J5509" s="18"/>
      <c r="K5509" s="18"/>
      <c r="L5509" s="18"/>
      <c r="M5509" s="18"/>
      <c r="N5509" s="18"/>
      <c r="O5509" s="14" t="str">
        <f>HYPERLINK("https://otsuka-europe-crm.veevavault.com/ui/#object/email_activity__v/V8C00000003Z217", "EN-002099030")</f>
        <v>EN-002099030</v>
      </c>
    </row>
    <row r="5510" spans="1:15" ht="16" x14ac:dyDescent="0.2">
      <c r="A5510" s="18"/>
      <c r="B5510" s="18"/>
      <c r="C5510" s="18"/>
      <c r="D5510" s="18"/>
      <c r="E5510" s="18"/>
      <c r="F5510" s="18"/>
      <c r="G5510" s="18"/>
      <c r="H5510" s="18"/>
      <c r="I5510" s="18"/>
      <c r="J5510" s="18"/>
      <c r="K5510" s="18"/>
      <c r="L5510" s="18"/>
      <c r="M5510" s="18"/>
      <c r="N5510" s="18"/>
      <c r="O5510" s="14" t="str">
        <f>HYPERLINK("https://otsuka-europe-crm.veevavault.com/ui/#object/email_activity__v/V8C00000003Z222", "EN-002099040")</f>
        <v>EN-002099040</v>
      </c>
    </row>
    <row r="5511" spans="1:15" ht="16" x14ac:dyDescent="0.2">
      <c r="A5511" s="18"/>
      <c r="B5511" s="18"/>
      <c r="C5511" s="18"/>
      <c r="D5511" s="18"/>
      <c r="E5511" s="18"/>
      <c r="F5511" s="18"/>
      <c r="G5511" s="18"/>
      <c r="H5511" s="18"/>
      <c r="I5511" s="18"/>
      <c r="J5511" s="18"/>
      <c r="K5511" s="18"/>
      <c r="L5511" s="18"/>
      <c r="M5511" s="18"/>
      <c r="N5511" s="18"/>
      <c r="O5511" s="14" t="str">
        <f>HYPERLINK("https://otsuka-europe-crm.veevavault.com/ui/#object/email_activity__v/V8C00000003Z223", "EN-002099041")</f>
        <v>EN-002099041</v>
      </c>
    </row>
    <row r="5512" spans="1:15" ht="16" x14ac:dyDescent="0.2">
      <c r="A5512" s="18"/>
      <c r="B5512" s="18"/>
      <c r="C5512" s="18"/>
      <c r="D5512" s="18"/>
      <c r="E5512" s="18"/>
      <c r="F5512" s="18"/>
      <c r="G5512" s="18"/>
      <c r="H5512" s="18"/>
      <c r="I5512" s="18"/>
      <c r="J5512" s="18"/>
      <c r="K5512" s="18"/>
      <c r="L5512" s="18"/>
      <c r="M5512" s="18"/>
      <c r="N5512" s="18"/>
      <c r="O5512" s="14" t="str">
        <f>HYPERLINK("https://otsuka-europe-crm.veevavault.com/ui/#object/email_activity__v/V8C00000003Z225", "EN-002099049")</f>
        <v>EN-002099049</v>
      </c>
    </row>
    <row r="5513" spans="1:15" ht="16" x14ac:dyDescent="0.2">
      <c r="A5513" s="18"/>
      <c r="B5513" s="18"/>
      <c r="C5513" s="18"/>
      <c r="D5513" s="18"/>
      <c r="E5513" s="18"/>
      <c r="F5513" s="18"/>
      <c r="G5513" s="18"/>
      <c r="H5513" s="18"/>
      <c r="I5513" s="18"/>
      <c r="J5513" s="18"/>
      <c r="K5513" s="18"/>
      <c r="L5513" s="18"/>
      <c r="M5513" s="18"/>
      <c r="N5513" s="18"/>
      <c r="O5513" s="14" t="str">
        <f>HYPERLINK("https://otsuka-europe-crm.veevavault.com/ui/#object/email_activity__v/V8C00000003Z226", "EN-002099050")</f>
        <v>EN-002099050</v>
      </c>
    </row>
    <row r="5514" spans="1:15" ht="16" x14ac:dyDescent="0.2">
      <c r="A5514" s="18"/>
      <c r="B5514" s="18"/>
      <c r="C5514" s="18"/>
      <c r="D5514" s="18"/>
      <c r="E5514" s="18"/>
      <c r="F5514" s="18"/>
      <c r="G5514" s="18"/>
      <c r="H5514" s="18"/>
      <c r="I5514" s="18"/>
      <c r="J5514" s="18"/>
      <c r="K5514" s="18"/>
      <c r="L5514" s="18"/>
      <c r="M5514" s="18"/>
      <c r="N5514" s="18"/>
      <c r="O5514" s="14" t="str">
        <f>HYPERLINK("https://otsuka-europe-crm.veevavault.com/ui/#object/email_activity__v/V8C00000003Z227", "EN-002099051")</f>
        <v>EN-002099051</v>
      </c>
    </row>
    <row r="5515" spans="1:15" ht="16" x14ac:dyDescent="0.2">
      <c r="A5515" s="18"/>
      <c r="B5515" s="18"/>
      <c r="C5515" s="18"/>
      <c r="D5515" s="18"/>
      <c r="E5515" s="18"/>
      <c r="F5515" s="18"/>
      <c r="G5515" s="18"/>
      <c r="H5515" s="18"/>
      <c r="I5515" s="18"/>
      <c r="J5515" s="18"/>
      <c r="K5515" s="18"/>
      <c r="L5515" s="18"/>
      <c r="M5515" s="18"/>
      <c r="N5515" s="18"/>
      <c r="O5515" s="14" t="str">
        <f>HYPERLINK("https://otsuka-europe-crm.veevavault.com/ui/#object/email_activity__v/V8C00000003Z228", "EN-002099052")</f>
        <v>EN-002099052</v>
      </c>
    </row>
    <row r="5516" spans="1:15" ht="16" x14ac:dyDescent="0.2">
      <c r="A5516" s="18"/>
      <c r="B5516" s="18"/>
      <c r="C5516" s="18"/>
      <c r="D5516" s="18"/>
      <c r="E5516" s="18"/>
      <c r="F5516" s="18"/>
      <c r="G5516" s="18"/>
      <c r="H5516" s="18"/>
      <c r="I5516" s="18"/>
      <c r="J5516" s="18"/>
      <c r="K5516" s="18"/>
      <c r="L5516" s="18"/>
      <c r="M5516" s="18"/>
      <c r="N5516" s="18"/>
      <c r="O5516" s="14" t="str">
        <f>HYPERLINK("https://otsuka-europe-crm.veevavault.com/ui/#object/email_activity__v/V8C00000003Z229", "EN-002099053")</f>
        <v>EN-002099053</v>
      </c>
    </row>
    <row r="5517" spans="1:15" ht="16" x14ac:dyDescent="0.2">
      <c r="A5517" s="18"/>
      <c r="B5517" s="18"/>
      <c r="C5517" s="18"/>
      <c r="D5517" s="18"/>
      <c r="E5517" s="18"/>
      <c r="F5517" s="18"/>
      <c r="G5517" s="18"/>
      <c r="H5517" s="18"/>
      <c r="I5517" s="18"/>
      <c r="J5517" s="18"/>
      <c r="K5517" s="18"/>
      <c r="L5517" s="18"/>
      <c r="M5517" s="18"/>
      <c r="N5517" s="18"/>
      <c r="O5517" s="14" t="str">
        <f>HYPERLINK("https://otsuka-europe-crm.veevavault.com/ui/#object/email_activity__v/V8C00000003Z230", "EN-002099060")</f>
        <v>EN-002099060</v>
      </c>
    </row>
    <row r="5518" spans="1:15" ht="16" x14ac:dyDescent="0.2">
      <c r="A5518" s="18"/>
      <c r="B5518" s="18"/>
      <c r="C5518" s="18"/>
      <c r="D5518" s="18"/>
      <c r="E5518" s="18"/>
      <c r="F5518" s="18"/>
      <c r="G5518" s="18"/>
      <c r="H5518" s="18"/>
      <c r="I5518" s="18"/>
      <c r="J5518" s="18"/>
      <c r="K5518" s="18"/>
      <c r="L5518" s="18"/>
      <c r="M5518" s="18"/>
      <c r="N5518" s="18"/>
      <c r="O5518" s="14" t="str">
        <f>HYPERLINK("https://otsuka-europe-crm.veevavault.com/ui/#object/email_activity__v/V8C00000003Z231", "EN-002099061")</f>
        <v>EN-002099061</v>
      </c>
    </row>
    <row r="5519" spans="1:15" ht="16" x14ac:dyDescent="0.2">
      <c r="A5519" s="18"/>
      <c r="B5519" s="18"/>
      <c r="C5519" s="18"/>
      <c r="D5519" s="18"/>
      <c r="E5519" s="18"/>
      <c r="F5519" s="18"/>
      <c r="G5519" s="18"/>
      <c r="H5519" s="18"/>
      <c r="I5519" s="18"/>
      <c r="J5519" s="18"/>
      <c r="K5519" s="18"/>
      <c r="L5519" s="18"/>
      <c r="M5519" s="18"/>
      <c r="N5519" s="18"/>
      <c r="O5519" s="14" t="str">
        <f>HYPERLINK("https://otsuka-europe-crm.veevavault.com/ui/#object/email_activity__v/V8C00000003Z235", "EN-002099066")</f>
        <v>EN-002099066</v>
      </c>
    </row>
    <row r="5520" spans="1:15" ht="16" x14ac:dyDescent="0.2">
      <c r="A5520" s="18"/>
      <c r="B5520" s="18"/>
      <c r="C5520" s="18"/>
      <c r="D5520" s="18"/>
      <c r="E5520" s="18"/>
      <c r="F5520" s="18"/>
      <c r="G5520" s="18"/>
      <c r="H5520" s="18"/>
      <c r="I5520" s="18"/>
      <c r="J5520" s="18"/>
      <c r="K5520" s="18"/>
      <c r="L5520" s="18"/>
      <c r="M5520" s="18"/>
      <c r="N5520" s="18"/>
      <c r="O5520" s="14" t="str">
        <f>HYPERLINK("https://otsuka-europe-crm.veevavault.com/ui/#object/email_activity__v/V8C00000003Z236", "EN-002099067")</f>
        <v>EN-002099067</v>
      </c>
    </row>
    <row r="5521" spans="1:15" ht="16" x14ac:dyDescent="0.2">
      <c r="A5521" s="18"/>
      <c r="B5521" s="18"/>
      <c r="C5521" s="18"/>
      <c r="D5521" s="18"/>
      <c r="E5521" s="18"/>
      <c r="F5521" s="18"/>
      <c r="G5521" s="18"/>
      <c r="H5521" s="18"/>
      <c r="I5521" s="18"/>
      <c r="J5521" s="18"/>
      <c r="K5521" s="18"/>
      <c r="L5521" s="18"/>
      <c r="M5521" s="18"/>
      <c r="N5521" s="18"/>
      <c r="O5521" s="14" t="str">
        <f>HYPERLINK("https://otsuka-europe-crm.veevavault.com/ui/#object/email_activity__v/V8C00000003Z237", "EN-002099068")</f>
        <v>EN-002099068</v>
      </c>
    </row>
    <row r="5522" spans="1:15" ht="16" x14ac:dyDescent="0.2">
      <c r="A5522" s="18"/>
      <c r="B5522" s="18"/>
      <c r="C5522" s="18"/>
      <c r="D5522" s="18"/>
      <c r="E5522" s="18"/>
      <c r="F5522" s="18"/>
      <c r="G5522" s="18"/>
      <c r="H5522" s="18"/>
      <c r="I5522" s="18"/>
      <c r="J5522" s="18"/>
      <c r="K5522" s="18"/>
      <c r="L5522" s="18"/>
      <c r="M5522" s="18"/>
      <c r="N5522" s="18"/>
      <c r="O5522" s="14" t="str">
        <f>HYPERLINK("https://otsuka-europe-crm.veevavault.com/ui/#object/email_activity__v/V8C00000003Z238", "EN-002099069")</f>
        <v>EN-002099069</v>
      </c>
    </row>
    <row r="5523" spans="1:15" ht="16" x14ac:dyDescent="0.2">
      <c r="A5523" s="18"/>
      <c r="B5523" s="18"/>
      <c r="C5523" s="18"/>
      <c r="D5523" s="18"/>
      <c r="E5523" s="18"/>
      <c r="F5523" s="18"/>
      <c r="G5523" s="18"/>
      <c r="H5523" s="18"/>
      <c r="I5523" s="18"/>
      <c r="J5523" s="18"/>
      <c r="K5523" s="18"/>
      <c r="L5523" s="18"/>
      <c r="M5523" s="18"/>
      <c r="N5523" s="18"/>
      <c r="O5523" s="14" t="str">
        <f>HYPERLINK("https://otsuka-europe-crm.veevavault.com/ui/#object/email_activity__v/V8C00000003Z242", "EN-002099076")</f>
        <v>EN-002099076</v>
      </c>
    </row>
    <row r="5524" spans="1:15" ht="16" x14ac:dyDescent="0.2">
      <c r="A5524" s="18"/>
      <c r="B5524" s="18"/>
      <c r="C5524" s="18"/>
      <c r="D5524" s="18"/>
      <c r="E5524" s="18"/>
      <c r="F5524" s="18"/>
      <c r="G5524" s="18"/>
      <c r="H5524" s="18"/>
      <c r="I5524" s="18"/>
      <c r="J5524" s="18"/>
      <c r="K5524" s="18"/>
      <c r="L5524" s="18"/>
      <c r="M5524" s="18"/>
      <c r="N5524" s="18"/>
      <c r="O5524" s="14" t="str">
        <f>HYPERLINK("https://otsuka-europe-crm.veevavault.com/ui/#object/email_activity__v/V8C00000003Z243", "EN-002099077")</f>
        <v>EN-002099077</v>
      </c>
    </row>
    <row r="5525" spans="1:15" ht="16" x14ac:dyDescent="0.2">
      <c r="A5525" s="18"/>
      <c r="B5525" s="18"/>
      <c r="C5525" s="18"/>
      <c r="D5525" s="18"/>
      <c r="E5525" s="18"/>
      <c r="F5525" s="18"/>
      <c r="G5525" s="18"/>
      <c r="H5525" s="18"/>
      <c r="I5525" s="18"/>
      <c r="J5525" s="18"/>
      <c r="K5525" s="18"/>
      <c r="L5525" s="18"/>
      <c r="M5525" s="18"/>
      <c r="N5525" s="18"/>
      <c r="O5525" s="14" t="str">
        <f>HYPERLINK("https://otsuka-europe-crm.veevavault.com/ui/#object/email_activity__v/V8C00000003Z245", "EN-002099079")</f>
        <v>EN-002099079</v>
      </c>
    </row>
    <row r="5526" spans="1:15" ht="16" x14ac:dyDescent="0.2">
      <c r="A5526" s="18"/>
      <c r="B5526" s="18"/>
      <c r="C5526" s="18"/>
      <c r="D5526" s="18"/>
      <c r="E5526" s="18"/>
      <c r="F5526" s="18"/>
      <c r="G5526" s="18"/>
      <c r="H5526" s="18"/>
      <c r="I5526" s="18"/>
      <c r="J5526" s="18"/>
      <c r="K5526" s="18"/>
      <c r="L5526" s="18"/>
      <c r="M5526" s="18"/>
      <c r="N5526" s="18"/>
      <c r="O5526" s="14" t="str">
        <f>HYPERLINK("https://otsuka-europe-crm.veevavault.com/ui/#object/email_activity__v/V8C00000003Z247", "EN-002099082")</f>
        <v>EN-002099082</v>
      </c>
    </row>
    <row r="5527" spans="1:15" ht="16" x14ac:dyDescent="0.2">
      <c r="A5527" s="18"/>
      <c r="B5527" s="18"/>
      <c r="C5527" s="18"/>
      <c r="D5527" s="18"/>
      <c r="E5527" s="18"/>
      <c r="F5527" s="18"/>
      <c r="G5527" s="18"/>
      <c r="H5527" s="18"/>
      <c r="I5527" s="18"/>
      <c r="J5527" s="18"/>
      <c r="K5527" s="18"/>
      <c r="L5527" s="18"/>
      <c r="M5527" s="18"/>
      <c r="N5527" s="18"/>
      <c r="O5527" s="14" t="str">
        <f>HYPERLINK("https://otsuka-europe-crm.veevavault.com/ui/#object/email_activity__v/V8C00000003Z248", "EN-002099083")</f>
        <v>EN-002099083</v>
      </c>
    </row>
    <row r="5528" spans="1:15" ht="16" x14ac:dyDescent="0.2">
      <c r="A5528" s="18"/>
      <c r="B5528" s="18"/>
      <c r="C5528" s="18"/>
      <c r="D5528" s="18"/>
      <c r="E5528" s="18"/>
      <c r="F5528" s="18"/>
      <c r="G5528" s="18"/>
      <c r="H5528" s="18"/>
      <c r="I5528" s="18"/>
      <c r="J5528" s="18"/>
      <c r="K5528" s="18"/>
      <c r="L5528" s="18"/>
      <c r="M5528" s="18"/>
      <c r="N5528" s="18"/>
      <c r="O5528" s="14" t="str">
        <f>HYPERLINK("https://otsuka-europe-crm.veevavault.com/ui/#object/email_activity__v/V8C00000003Z249", "EN-002099089")</f>
        <v>EN-002099089</v>
      </c>
    </row>
    <row r="5529" spans="1:15" ht="16" x14ac:dyDescent="0.2">
      <c r="A5529" s="18"/>
      <c r="B5529" s="18"/>
      <c r="C5529" s="18"/>
      <c r="D5529" s="18"/>
      <c r="E5529" s="18"/>
      <c r="F5529" s="18"/>
      <c r="G5529" s="18"/>
      <c r="H5529" s="18"/>
      <c r="I5529" s="18"/>
      <c r="J5529" s="18"/>
      <c r="K5529" s="18"/>
      <c r="L5529" s="18"/>
      <c r="M5529" s="18"/>
      <c r="N5529" s="18"/>
      <c r="O5529" s="14" t="str">
        <f>HYPERLINK("https://otsuka-europe-crm.veevavault.com/ui/#object/email_activity__v/V8C00000003Z250", "EN-002099093")</f>
        <v>EN-002099093</v>
      </c>
    </row>
    <row r="5530" spans="1:15" ht="16" x14ac:dyDescent="0.2">
      <c r="A5530" s="18"/>
      <c r="B5530" s="18"/>
      <c r="C5530" s="18"/>
      <c r="D5530" s="18"/>
      <c r="E5530" s="18"/>
      <c r="F5530" s="18"/>
      <c r="G5530" s="18"/>
      <c r="H5530" s="18"/>
      <c r="I5530" s="18"/>
      <c r="J5530" s="18"/>
      <c r="K5530" s="18"/>
      <c r="L5530" s="18"/>
      <c r="M5530" s="18"/>
      <c r="N5530" s="18"/>
      <c r="O5530" s="14" t="str">
        <f>HYPERLINK("https://otsuka-europe-crm.veevavault.com/ui/#object/email_activity__v/V8C00000003Z251", "EN-002099096")</f>
        <v>EN-002099096</v>
      </c>
    </row>
    <row r="5531" spans="1:15" ht="16" x14ac:dyDescent="0.2">
      <c r="A5531" s="18"/>
      <c r="B5531" s="18"/>
      <c r="C5531" s="18"/>
      <c r="D5531" s="18"/>
      <c r="E5531" s="18"/>
      <c r="F5531" s="18"/>
      <c r="G5531" s="18"/>
      <c r="H5531" s="18"/>
      <c r="I5531" s="18"/>
      <c r="J5531" s="18"/>
      <c r="K5531" s="18"/>
      <c r="L5531" s="18"/>
      <c r="M5531" s="18"/>
      <c r="N5531" s="18"/>
      <c r="O5531" s="14" t="str">
        <f>HYPERLINK("https://otsuka-europe-crm.veevavault.com/ui/#object/email_activity__v/V8C00000003Z252", "EN-002099097")</f>
        <v>EN-002099097</v>
      </c>
    </row>
    <row r="5532" spans="1:15" ht="16" x14ac:dyDescent="0.2">
      <c r="A5532" s="18"/>
      <c r="B5532" s="18"/>
      <c r="C5532" s="18"/>
      <c r="D5532" s="18"/>
      <c r="E5532" s="18"/>
      <c r="F5532" s="18"/>
      <c r="G5532" s="18"/>
      <c r="H5532" s="18"/>
      <c r="I5532" s="18"/>
      <c r="J5532" s="18"/>
      <c r="K5532" s="18"/>
      <c r="L5532" s="18"/>
      <c r="M5532" s="18"/>
      <c r="N5532" s="18"/>
      <c r="O5532" s="14" t="str">
        <f>HYPERLINK("https://otsuka-europe-crm.veevavault.com/ui/#object/email_activity__v/V8C00000003Z254", "EN-002099101")</f>
        <v>EN-002099101</v>
      </c>
    </row>
    <row r="5533" spans="1:15" ht="16" x14ac:dyDescent="0.2">
      <c r="A5533" s="18"/>
      <c r="B5533" s="18"/>
      <c r="C5533" s="18"/>
      <c r="D5533" s="18"/>
      <c r="E5533" s="18"/>
      <c r="F5533" s="18"/>
      <c r="G5533" s="18"/>
      <c r="H5533" s="18"/>
      <c r="I5533" s="18"/>
      <c r="J5533" s="18"/>
      <c r="K5533" s="18"/>
      <c r="L5533" s="18"/>
      <c r="M5533" s="18"/>
      <c r="N5533" s="18"/>
      <c r="O5533" s="14" t="str">
        <f>HYPERLINK("https://otsuka-europe-crm.veevavault.com/ui/#object/email_activity__v/V8C00000003Z256", "EN-002099105")</f>
        <v>EN-002099105</v>
      </c>
    </row>
    <row r="5534" spans="1:15" ht="16" x14ac:dyDescent="0.2">
      <c r="A5534" s="18"/>
      <c r="B5534" s="18"/>
      <c r="C5534" s="18"/>
      <c r="D5534" s="18"/>
      <c r="E5534" s="18"/>
      <c r="F5534" s="18"/>
      <c r="G5534" s="18"/>
      <c r="H5534" s="18"/>
      <c r="I5534" s="18"/>
      <c r="J5534" s="18"/>
      <c r="K5534" s="18"/>
      <c r="L5534" s="18"/>
      <c r="M5534" s="18"/>
      <c r="N5534" s="18"/>
      <c r="O5534" s="14" t="str">
        <f>HYPERLINK("https://otsuka-europe-crm.veevavault.com/ui/#object/email_activity__v/V8C00000003Z257", "EN-002099108")</f>
        <v>EN-002099108</v>
      </c>
    </row>
    <row r="5535" spans="1:15" ht="16" x14ac:dyDescent="0.2">
      <c r="A5535" s="18"/>
      <c r="B5535" s="18"/>
      <c r="C5535" s="18"/>
      <c r="D5535" s="18"/>
      <c r="E5535" s="18"/>
      <c r="F5535" s="18"/>
      <c r="G5535" s="18"/>
      <c r="H5535" s="18"/>
      <c r="I5535" s="18"/>
      <c r="J5535" s="18"/>
      <c r="K5535" s="18"/>
      <c r="L5535" s="18"/>
      <c r="M5535" s="18"/>
      <c r="N5535" s="18"/>
      <c r="O5535" s="14" t="str">
        <f>HYPERLINK("https://otsuka-europe-crm.veevavault.com/ui/#object/email_activity__v/V8C00000003Z258", "EN-002099110")</f>
        <v>EN-002099110</v>
      </c>
    </row>
    <row r="5536" spans="1:15" ht="16" x14ac:dyDescent="0.2">
      <c r="A5536" s="18"/>
      <c r="B5536" s="18"/>
      <c r="C5536" s="18"/>
      <c r="D5536" s="18"/>
      <c r="E5536" s="18"/>
      <c r="F5536" s="18"/>
      <c r="G5536" s="18"/>
      <c r="H5536" s="18"/>
      <c r="I5536" s="18"/>
      <c r="J5536" s="18"/>
      <c r="K5536" s="18"/>
      <c r="L5536" s="18"/>
      <c r="M5536" s="18"/>
      <c r="N5536" s="18"/>
      <c r="O5536" s="14" t="str">
        <f>HYPERLINK("https://otsuka-europe-crm.veevavault.com/ui/#object/email_activity__v/V8C00000003Z274", "EN-002099146")</f>
        <v>EN-002099146</v>
      </c>
    </row>
    <row r="5537" spans="1:15" ht="16" x14ac:dyDescent="0.2">
      <c r="A5537" s="18"/>
      <c r="B5537" s="18"/>
      <c r="C5537" s="18"/>
      <c r="D5537" s="18"/>
      <c r="E5537" s="18"/>
      <c r="F5537" s="18"/>
      <c r="G5537" s="18"/>
      <c r="H5537" s="18"/>
      <c r="I5537" s="18"/>
      <c r="J5537" s="18"/>
      <c r="K5537" s="18"/>
      <c r="L5537" s="18"/>
      <c r="M5537" s="18"/>
      <c r="N5537" s="18"/>
      <c r="O5537" s="14" t="str">
        <f>HYPERLINK("https://otsuka-europe-crm.veevavault.com/ui/#object/email_activity__v/V8C00000003Z275", "EN-002099147")</f>
        <v>EN-002099147</v>
      </c>
    </row>
    <row r="5538" spans="1:15" ht="16" x14ac:dyDescent="0.2">
      <c r="A5538" s="18"/>
      <c r="B5538" s="18"/>
      <c r="C5538" s="18"/>
      <c r="D5538" s="18"/>
      <c r="E5538" s="18"/>
      <c r="F5538" s="18"/>
      <c r="G5538" s="18"/>
      <c r="H5538" s="18"/>
      <c r="I5538" s="18"/>
      <c r="J5538" s="18"/>
      <c r="K5538" s="18"/>
      <c r="L5538" s="18"/>
      <c r="M5538" s="18"/>
      <c r="N5538" s="18"/>
      <c r="O5538" s="14" t="str">
        <f>HYPERLINK("https://otsuka-europe-crm.veevavault.com/ui/#object/email_activity__v/V8C00000003Z292", "EN-002099169")</f>
        <v>EN-002099169</v>
      </c>
    </row>
    <row r="5539" spans="1:15" ht="16" x14ac:dyDescent="0.2">
      <c r="A5539" s="18"/>
      <c r="B5539" s="18"/>
      <c r="C5539" s="18"/>
      <c r="D5539" s="18"/>
      <c r="E5539" s="18"/>
      <c r="F5539" s="18"/>
      <c r="G5539" s="18"/>
      <c r="H5539" s="18"/>
      <c r="I5539" s="18"/>
      <c r="J5539" s="18"/>
      <c r="K5539" s="18"/>
      <c r="L5539" s="18"/>
      <c r="M5539" s="18"/>
      <c r="N5539" s="18"/>
      <c r="O5539" s="14" t="str">
        <f>HYPERLINK("https://otsuka-europe-crm.veevavault.com/ui/#object/email_activity__v/V8C00000003Z483", "EN-002099656")</f>
        <v>EN-002099656</v>
      </c>
    </row>
    <row r="5540" spans="1:15" ht="16" x14ac:dyDescent="0.2">
      <c r="A5540" s="18"/>
      <c r="B5540" s="18"/>
      <c r="C5540" s="18"/>
      <c r="D5540" s="18"/>
      <c r="E5540" s="18"/>
      <c r="F5540" s="18"/>
      <c r="G5540" s="18"/>
      <c r="H5540" s="18"/>
      <c r="I5540" s="18"/>
      <c r="J5540" s="18"/>
      <c r="K5540" s="18"/>
      <c r="L5540" s="18"/>
      <c r="M5540" s="18"/>
      <c r="N5540" s="18"/>
      <c r="O5540" s="14" t="str">
        <f>HYPERLINK("https://otsuka-europe-crm.veevavault.com/ui/#object/email_activity__v/V8C000000040178", "EN-002099018")</f>
        <v>EN-002099018</v>
      </c>
    </row>
    <row r="5541" spans="1:15" ht="16" x14ac:dyDescent="0.2">
      <c r="A5541" s="18"/>
      <c r="B5541" s="18"/>
      <c r="C5541" s="18"/>
      <c r="D5541" s="18"/>
      <c r="E5541" s="18"/>
      <c r="F5541" s="18"/>
      <c r="G5541" s="18"/>
      <c r="H5541" s="18"/>
      <c r="I5541" s="18"/>
      <c r="J5541" s="18"/>
      <c r="K5541" s="18"/>
      <c r="L5541" s="18"/>
      <c r="M5541" s="18"/>
      <c r="N5541" s="18"/>
      <c r="O5541" s="14" t="str">
        <f>HYPERLINK("https://otsuka-europe-crm.veevavault.com/ui/#object/email_activity__v/V8C000000040179", "EN-002099019")</f>
        <v>EN-002099019</v>
      </c>
    </row>
    <row r="5542" spans="1:15" ht="16" x14ac:dyDescent="0.2">
      <c r="A5542" s="18"/>
      <c r="B5542" s="18"/>
      <c r="C5542" s="18"/>
      <c r="D5542" s="18"/>
      <c r="E5542" s="18"/>
      <c r="F5542" s="18"/>
      <c r="G5542" s="18"/>
      <c r="H5542" s="18"/>
      <c r="I5542" s="18"/>
      <c r="J5542" s="18"/>
      <c r="K5542" s="18"/>
      <c r="L5542" s="18"/>
      <c r="M5542" s="18"/>
      <c r="N5542" s="18"/>
      <c r="O5542" s="14" t="str">
        <f>HYPERLINK("https://otsuka-europe-crm.veevavault.com/ui/#object/email_activity__v/V8C000000040180", "EN-002099020")</f>
        <v>EN-002099020</v>
      </c>
    </row>
    <row r="5543" spans="1:15" ht="16" x14ac:dyDescent="0.2">
      <c r="A5543" s="18"/>
      <c r="B5543" s="18"/>
      <c r="C5543" s="18"/>
      <c r="D5543" s="18"/>
      <c r="E5543" s="18"/>
      <c r="F5543" s="18"/>
      <c r="G5543" s="18"/>
      <c r="H5543" s="18"/>
      <c r="I5543" s="18"/>
      <c r="J5543" s="18"/>
      <c r="K5543" s="18"/>
      <c r="L5543" s="18"/>
      <c r="M5543" s="18"/>
      <c r="N5543" s="18"/>
      <c r="O5543" s="14" t="str">
        <f>HYPERLINK("https://otsuka-europe-crm.veevavault.com/ui/#object/email_activity__v/V8C000000040181", "EN-002099021")</f>
        <v>EN-002099021</v>
      </c>
    </row>
    <row r="5544" spans="1:15" ht="16" x14ac:dyDescent="0.2">
      <c r="A5544" s="18"/>
      <c r="B5544" s="18"/>
      <c r="C5544" s="18"/>
      <c r="D5544" s="18"/>
      <c r="E5544" s="18"/>
      <c r="F5544" s="18"/>
      <c r="G5544" s="18"/>
      <c r="H5544" s="18"/>
      <c r="I5544" s="18"/>
      <c r="J5544" s="18"/>
      <c r="K5544" s="18"/>
      <c r="L5544" s="18"/>
      <c r="M5544" s="18"/>
      <c r="N5544" s="18"/>
      <c r="O5544" s="14" t="str">
        <f>HYPERLINK("https://otsuka-europe-crm.veevavault.com/ui/#object/email_activity__v/V8C000000040182", "EN-002099024")</f>
        <v>EN-002099024</v>
      </c>
    </row>
    <row r="5545" spans="1:15" ht="16" x14ac:dyDescent="0.2">
      <c r="A5545" s="18"/>
      <c r="B5545" s="18"/>
      <c r="C5545" s="18"/>
      <c r="D5545" s="18"/>
      <c r="E5545" s="18"/>
      <c r="F5545" s="18"/>
      <c r="G5545" s="18"/>
      <c r="H5545" s="18"/>
      <c r="I5545" s="18"/>
      <c r="J5545" s="18"/>
      <c r="K5545" s="18"/>
      <c r="L5545" s="18"/>
      <c r="M5545" s="18"/>
      <c r="N5545" s="18"/>
      <c r="O5545" s="14" t="str">
        <f>HYPERLINK("https://otsuka-europe-crm.veevavault.com/ui/#object/email_activity__v/V8C000000040183", "EN-002099025")</f>
        <v>EN-002099025</v>
      </c>
    </row>
    <row r="5546" spans="1:15" ht="16" x14ac:dyDescent="0.2">
      <c r="A5546" s="18"/>
      <c r="B5546" s="18"/>
      <c r="C5546" s="18"/>
      <c r="D5546" s="18"/>
      <c r="E5546" s="18"/>
      <c r="F5546" s="18"/>
      <c r="G5546" s="18"/>
      <c r="H5546" s="18"/>
      <c r="I5546" s="18"/>
      <c r="J5546" s="18"/>
      <c r="K5546" s="18"/>
      <c r="L5546" s="18"/>
      <c r="M5546" s="18"/>
      <c r="N5546" s="18"/>
      <c r="O5546" s="14" t="str">
        <f>HYPERLINK("https://otsuka-europe-crm.veevavault.com/ui/#object/email_activity__v/V8C000000040184", "EN-002099026")</f>
        <v>EN-002099026</v>
      </c>
    </row>
    <row r="5547" spans="1:15" ht="16" x14ac:dyDescent="0.2">
      <c r="A5547" s="18"/>
      <c r="B5547" s="18"/>
      <c r="C5547" s="18"/>
      <c r="D5547" s="18"/>
      <c r="E5547" s="18"/>
      <c r="F5547" s="18"/>
      <c r="G5547" s="18"/>
      <c r="H5547" s="18"/>
      <c r="I5547" s="18"/>
      <c r="J5547" s="18"/>
      <c r="K5547" s="18"/>
      <c r="L5547" s="18"/>
      <c r="M5547" s="18"/>
      <c r="N5547" s="18"/>
      <c r="O5547" s="14" t="str">
        <f>HYPERLINK("https://otsuka-europe-crm.veevavault.com/ui/#object/email_activity__v/V8C000000040185", "EN-002099027")</f>
        <v>EN-002099027</v>
      </c>
    </row>
    <row r="5548" spans="1:15" ht="16" x14ac:dyDescent="0.2">
      <c r="A5548" s="18"/>
      <c r="B5548" s="18"/>
      <c r="C5548" s="18"/>
      <c r="D5548" s="18"/>
      <c r="E5548" s="18"/>
      <c r="F5548" s="18"/>
      <c r="G5548" s="18"/>
      <c r="H5548" s="18"/>
      <c r="I5548" s="18"/>
      <c r="J5548" s="18"/>
      <c r="K5548" s="18"/>
      <c r="L5548" s="18"/>
      <c r="M5548" s="18"/>
      <c r="N5548" s="18"/>
      <c r="O5548" s="14" t="str">
        <f>HYPERLINK("https://otsuka-europe-crm.veevavault.com/ui/#object/email_activity__v/V8C000000040186", "EN-002099028")</f>
        <v>EN-002099028</v>
      </c>
    </row>
    <row r="5549" spans="1:15" ht="16" x14ac:dyDescent="0.2">
      <c r="A5549" s="18"/>
      <c r="B5549" s="18"/>
      <c r="C5549" s="18"/>
      <c r="D5549" s="18"/>
      <c r="E5549" s="18"/>
      <c r="F5549" s="18"/>
      <c r="G5549" s="18"/>
      <c r="H5549" s="18"/>
      <c r="I5549" s="18"/>
      <c r="J5549" s="18"/>
      <c r="K5549" s="18"/>
      <c r="L5549" s="18"/>
      <c r="M5549" s="18"/>
      <c r="N5549" s="18"/>
      <c r="O5549" s="14" t="str">
        <f>HYPERLINK("https://otsuka-europe-crm.veevavault.com/ui/#object/email_activity__v/V8C000000040187", "EN-002099029")</f>
        <v>EN-002099029</v>
      </c>
    </row>
    <row r="5550" spans="1:15" ht="16" x14ac:dyDescent="0.2">
      <c r="A5550" s="18"/>
      <c r="B5550" s="18"/>
      <c r="C5550" s="18"/>
      <c r="D5550" s="18"/>
      <c r="E5550" s="18"/>
      <c r="F5550" s="18"/>
      <c r="G5550" s="18"/>
      <c r="H5550" s="18"/>
      <c r="I5550" s="18"/>
      <c r="J5550" s="18"/>
      <c r="K5550" s="18"/>
      <c r="L5550" s="18"/>
      <c r="M5550" s="18"/>
      <c r="N5550" s="18"/>
      <c r="O5550" s="14" t="str">
        <f>HYPERLINK("https://otsuka-europe-crm.veevavault.com/ui/#object/email_activity__v/V8C000000040188", "EN-002099031")</f>
        <v>EN-002099031</v>
      </c>
    </row>
    <row r="5551" spans="1:15" ht="16" x14ac:dyDescent="0.2">
      <c r="A5551" s="18"/>
      <c r="B5551" s="18"/>
      <c r="C5551" s="18"/>
      <c r="D5551" s="18"/>
      <c r="E5551" s="18"/>
      <c r="F5551" s="18"/>
      <c r="G5551" s="18"/>
      <c r="H5551" s="18"/>
      <c r="I5551" s="18"/>
      <c r="J5551" s="18"/>
      <c r="K5551" s="18"/>
      <c r="L5551" s="18"/>
      <c r="M5551" s="18"/>
      <c r="N5551" s="18"/>
      <c r="O5551" s="14" t="str">
        <f>HYPERLINK("https://otsuka-europe-crm.veevavault.com/ui/#object/email_activity__v/V8C000000040189", "EN-002099032")</f>
        <v>EN-002099032</v>
      </c>
    </row>
    <row r="5552" spans="1:15" ht="16" x14ac:dyDescent="0.2">
      <c r="A5552" s="18"/>
      <c r="B5552" s="18"/>
      <c r="C5552" s="18"/>
      <c r="D5552" s="18"/>
      <c r="E5552" s="18"/>
      <c r="F5552" s="18"/>
      <c r="G5552" s="18"/>
      <c r="H5552" s="18"/>
      <c r="I5552" s="18"/>
      <c r="J5552" s="18"/>
      <c r="K5552" s="18"/>
      <c r="L5552" s="18"/>
      <c r="M5552" s="18"/>
      <c r="N5552" s="18"/>
      <c r="O5552" s="14" t="str">
        <f>HYPERLINK("https://otsuka-europe-crm.veevavault.com/ui/#object/email_activity__v/V8C000000040193", "EN-002099043")</f>
        <v>EN-002099043</v>
      </c>
    </row>
    <row r="5553" spans="1:15" ht="16" x14ac:dyDescent="0.2">
      <c r="A5553" s="18"/>
      <c r="B5553" s="18"/>
      <c r="C5553" s="18"/>
      <c r="D5553" s="18"/>
      <c r="E5553" s="18"/>
      <c r="F5553" s="18"/>
      <c r="G5553" s="18"/>
      <c r="H5553" s="18"/>
      <c r="I5553" s="18"/>
      <c r="J5553" s="18"/>
      <c r="K5553" s="18"/>
      <c r="L5553" s="18"/>
      <c r="M5553" s="18"/>
      <c r="N5553" s="18"/>
      <c r="O5553" s="14" t="str">
        <f>HYPERLINK("https://otsuka-europe-crm.veevavault.com/ui/#object/email_activity__v/V8C000000040194", "EN-002099044")</f>
        <v>EN-002099044</v>
      </c>
    </row>
    <row r="5554" spans="1:15" ht="16" x14ac:dyDescent="0.2">
      <c r="A5554" s="18"/>
      <c r="B5554" s="18"/>
      <c r="C5554" s="18"/>
      <c r="D5554" s="18"/>
      <c r="E5554" s="18"/>
      <c r="F5554" s="18"/>
      <c r="G5554" s="18"/>
      <c r="H5554" s="18"/>
      <c r="I5554" s="18"/>
      <c r="J5554" s="18"/>
      <c r="K5554" s="18"/>
      <c r="L5554" s="18"/>
      <c r="M5554" s="18"/>
      <c r="N5554" s="18"/>
      <c r="O5554" s="14" t="str">
        <f>HYPERLINK("https://otsuka-europe-crm.veevavault.com/ui/#object/email_activity__v/V8C000000040197", "EN-002099047")</f>
        <v>EN-002099047</v>
      </c>
    </row>
    <row r="5555" spans="1:15" ht="16" x14ac:dyDescent="0.2">
      <c r="A5555" s="18"/>
      <c r="B5555" s="18"/>
      <c r="C5555" s="18"/>
      <c r="D5555" s="18"/>
      <c r="E5555" s="18"/>
      <c r="F5555" s="18"/>
      <c r="G5555" s="18"/>
      <c r="H5555" s="18"/>
      <c r="I5555" s="18"/>
      <c r="J5555" s="18"/>
      <c r="K5555" s="18"/>
      <c r="L5555" s="18"/>
      <c r="M5555" s="18"/>
      <c r="N5555" s="18"/>
      <c r="O5555" s="14" t="str">
        <f>HYPERLINK("https://otsuka-europe-crm.veevavault.com/ui/#object/email_activity__v/V8C000000040198", "EN-002099048")</f>
        <v>EN-002099048</v>
      </c>
    </row>
    <row r="5556" spans="1:15" ht="16" x14ac:dyDescent="0.2">
      <c r="A5556" s="18"/>
      <c r="B5556" s="18"/>
      <c r="C5556" s="18"/>
      <c r="D5556" s="18"/>
      <c r="E5556" s="18"/>
      <c r="F5556" s="18"/>
      <c r="G5556" s="18"/>
      <c r="H5556" s="18"/>
      <c r="I5556" s="18"/>
      <c r="J5556" s="18"/>
      <c r="K5556" s="18"/>
      <c r="L5556" s="18"/>
      <c r="M5556" s="18"/>
      <c r="N5556" s="18"/>
      <c r="O5556" s="14" t="str">
        <f>HYPERLINK("https://otsuka-europe-crm.veevavault.com/ui/#object/email_activity__v/V8C000000040199", "EN-002099054")</f>
        <v>EN-002099054</v>
      </c>
    </row>
    <row r="5557" spans="1:15" ht="16" x14ac:dyDescent="0.2">
      <c r="A5557" s="18"/>
      <c r="B5557" s="18"/>
      <c r="C5557" s="18"/>
      <c r="D5557" s="18"/>
      <c r="E5557" s="18"/>
      <c r="F5557" s="18"/>
      <c r="G5557" s="18"/>
      <c r="H5557" s="18"/>
      <c r="I5557" s="18"/>
      <c r="J5557" s="18"/>
      <c r="K5557" s="18"/>
      <c r="L5557" s="18"/>
      <c r="M5557" s="18"/>
      <c r="N5557" s="18"/>
      <c r="O5557" s="14" t="str">
        <f>HYPERLINK("https://otsuka-europe-crm.veevavault.com/ui/#object/email_activity__v/V8C000000040200", "EN-002099055")</f>
        <v>EN-002099055</v>
      </c>
    </row>
    <row r="5558" spans="1:15" ht="16" x14ac:dyDescent="0.2">
      <c r="A5558" s="18"/>
      <c r="B5558" s="18"/>
      <c r="C5558" s="18"/>
      <c r="D5558" s="18"/>
      <c r="E5558" s="18"/>
      <c r="F5558" s="18"/>
      <c r="G5558" s="18"/>
      <c r="H5558" s="18"/>
      <c r="I5558" s="18"/>
      <c r="J5558" s="18"/>
      <c r="K5558" s="18"/>
      <c r="L5558" s="18"/>
      <c r="M5558" s="18"/>
      <c r="N5558" s="18"/>
      <c r="O5558" s="14" t="str">
        <f>HYPERLINK("https://otsuka-europe-crm.veevavault.com/ui/#object/email_activity__v/V8C000000040201", "EN-002099056")</f>
        <v>EN-002099056</v>
      </c>
    </row>
    <row r="5559" spans="1:15" ht="16" x14ac:dyDescent="0.2">
      <c r="A5559" s="18"/>
      <c r="B5559" s="18"/>
      <c r="C5559" s="18"/>
      <c r="D5559" s="18"/>
      <c r="E5559" s="18"/>
      <c r="F5559" s="18"/>
      <c r="G5559" s="18"/>
      <c r="H5559" s="18"/>
      <c r="I5559" s="18"/>
      <c r="J5559" s="18"/>
      <c r="K5559" s="18"/>
      <c r="L5559" s="18"/>
      <c r="M5559" s="18"/>
      <c r="N5559" s="18"/>
      <c r="O5559" s="14" t="str">
        <f>HYPERLINK("https://otsuka-europe-crm.veevavault.com/ui/#object/email_activity__v/V8C000000040202", "EN-002099057")</f>
        <v>EN-002099057</v>
      </c>
    </row>
    <row r="5560" spans="1:15" ht="16" x14ac:dyDescent="0.2">
      <c r="A5560" s="18"/>
      <c r="B5560" s="18"/>
      <c r="C5560" s="18"/>
      <c r="D5560" s="18"/>
      <c r="E5560" s="18"/>
      <c r="F5560" s="18"/>
      <c r="G5560" s="18"/>
      <c r="H5560" s="18"/>
      <c r="I5560" s="18"/>
      <c r="J5560" s="18"/>
      <c r="K5560" s="18"/>
      <c r="L5560" s="18"/>
      <c r="M5560" s="18"/>
      <c r="N5560" s="18"/>
      <c r="O5560" s="14" t="str">
        <f>HYPERLINK("https://otsuka-europe-crm.veevavault.com/ui/#object/email_activity__v/V8C000000040204", "EN-002099059")</f>
        <v>EN-002099059</v>
      </c>
    </row>
    <row r="5561" spans="1:15" ht="16" x14ac:dyDescent="0.2">
      <c r="A5561" s="18"/>
      <c r="B5561" s="18"/>
      <c r="C5561" s="18"/>
      <c r="D5561" s="18"/>
      <c r="E5561" s="18"/>
      <c r="F5561" s="18"/>
      <c r="G5561" s="18"/>
      <c r="H5561" s="18"/>
      <c r="I5561" s="18"/>
      <c r="J5561" s="18"/>
      <c r="K5561" s="18"/>
      <c r="L5561" s="18"/>
      <c r="M5561" s="18"/>
      <c r="N5561" s="18"/>
      <c r="O5561" s="14" t="str">
        <f>HYPERLINK("https://otsuka-europe-crm.veevavault.com/ui/#object/email_activity__v/V8C000000040208", "EN-002099075")</f>
        <v>EN-002099075</v>
      </c>
    </row>
    <row r="5562" spans="1:15" ht="16" x14ac:dyDescent="0.2">
      <c r="A5562" s="18"/>
      <c r="B5562" s="18"/>
      <c r="C5562" s="18"/>
      <c r="D5562" s="18"/>
      <c r="E5562" s="18"/>
      <c r="F5562" s="18"/>
      <c r="G5562" s="18"/>
      <c r="H5562" s="18"/>
      <c r="I5562" s="18"/>
      <c r="J5562" s="18"/>
      <c r="K5562" s="18"/>
      <c r="L5562" s="18"/>
      <c r="M5562" s="18"/>
      <c r="N5562" s="18"/>
      <c r="O5562" s="14" t="str">
        <f>HYPERLINK("https://otsuka-europe-crm.veevavault.com/ui/#object/email_activity__v/V8C000000040209", "EN-002099080")</f>
        <v>EN-002099080</v>
      </c>
    </row>
    <row r="5563" spans="1:15" ht="16" x14ac:dyDescent="0.2">
      <c r="A5563" s="18"/>
      <c r="B5563" s="18"/>
      <c r="C5563" s="18"/>
      <c r="D5563" s="18"/>
      <c r="E5563" s="18"/>
      <c r="F5563" s="18"/>
      <c r="G5563" s="18"/>
      <c r="H5563" s="18"/>
      <c r="I5563" s="18"/>
      <c r="J5563" s="18"/>
      <c r="K5563" s="18"/>
      <c r="L5563" s="18"/>
      <c r="M5563" s="18"/>
      <c r="N5563" s="18"/>
      <c r="O5563" s="14" t="str">
        <f>HYPERLINK("https://otsuka-europe-crm.veevavault.com/ui/#object/email_activity__v/V8C000000040210", "EN-002099084")</f>
        <v>EN-002099084</v>
      </c>
    </row>
    <row r="5564" spans="1:15" ht="16" x14ac:dyDescent="0.2">
      <c r="A5564" s="18"/>
      <c r="B5564" s="18"/>
      <c r="C5564" s="18"/>
      <c r="D5564" s="18"/>
      <c r="E5564" s="18"/>
      <c r="F5564" s="18"/>
      <c r="G5564" s="18"/>
      <c r="H5564" s="18"/>
      <c r="I5564" s="18"/>
      <c r="J5564" s="18"/>
      <c r="K5564" s="18"/>
      <c r="L5564" s="18"/>
      <c r="M5564" s="18"/>
      <c r="N5564" s="18"/>
      <c r="O5564" s="14" t="str">
        <f>HYPERLINK("https://otsuka-europe-crm.veevavault.com/ui/#object/email_activity__v/V8C000000040211", "EN-002099085")</f>
        <v>EN-002099085</v>
      </c>
    </row>
    <row r="5565" spans="1:15" ht="16" x14ac:dyDescent="0.2">
      <c r="A5565" s="18"/>
      <c r="B5565" s="18"/>
      <c r="C5565" s="18"/>
      <c r="D5565" s="18"/>
      <c r="E5565" s="18"/>
      <c r="F5565" s="18"/>
      <c r="G5565" s="18"/>
      <c r="H5565" s="18"/>
      <c r="I5565" s="18"/>
      <c r="J5565" s="18"/>
      <c r="K5565" s="18"/>
      <c r="L5565" s="18"/>
      <c r="M5565" s="18"/>
      <c r="N5565" s="18"/>
      <c r="O5565" s="14" t="str">
        <f>HYPERLINK("https://otsuka-europe-crm.veevavault.com/ui/#object/email_activity__v/V8C000000040212", "EN-002099086")</f>
        <v>EN-002099086</v>
      </c>
    </row>
    <row r="5566" spans="1:15" ht="16" x14ac:dyDescent="0.2">
      <c r="A5566" s="18"/>
      <c r="B5566" s="18"/>
      <c r="C5566" s="18"/>
      <c r="D5566" s="18"/>
      <c r="E5566" s="18"/>
      <c r="F5566" s="18"/>
      <c r="G5566" s="18"/>
      <c r="H5566" s="18"/>
      <c r="I5566" s="18"/>
      <c r="J5566" s="18"/>
      <c r="K5566" s="18"/>
      <c r="L5566" s="18"/>
      <c r="M5566" s="18"/>
      <c r="N5566" s="18"/>
      <c r="O5566" s="14" t="str">
        <f>HYPERLINK("https://otsuka-europe-crm.veevavault.com/ui/#object/email_activity__v/V8C000000040213", "EN-002099087")</f>
        <v>EN-002099087</v>
      </c>
    </row>
    <row r="5567" spans="1:15" ht="16" x14ac:dyDescent="0.2">
      <c r="A5567" s="18"/>
      <c r="B5567" s="18"/>
      <c r="C5567" s="18"/>
      <c r="D5567" s="18"/>
      <c r="E5567" s="18"/>
      <c r="F5567" s="18"/>
      <c r="G5567" s="18"/>
      <c r="H5567" s="18"/>
      <c r="I5567" s="18"/>
      <c r="J5567" s="18"/>
      <c r="K5567" s="18"/>
      <c r="L5567" s="18"/>
      <c r="M5567" s="18"/>
      <c r="N5567" s="18"/>
      <c r="O5567" s="14" t="str">
        <f>HYPERLINK("https://otsuka-europe-crm.veevavault.com/ui/#object/email_activity__v/V8C000000040216", "EN-002099091")</f>
        <v>EN-002099091</v>
      </c>
    </row>
    <row r="5568" spans="1:15" ht="16" x14ac:dyDescent="0.2">
      <c r="A5568" s="18"/>
      <c r="B5568" s="18"/>
      <c r="C5568" s="18"/>
      <c r="D5568" s="18"/>
      <c r="E5568" s="18"/>
      <c r="F5568" s="18"/>
      <c r="G5568" s="18"/>
      <c r="H5568" s="18"/>
      <c r="I5568" s="18"/>
      <c r="J5568" s="18"/>
      <c r="K5568" s="18"/>
      <c r="L5568" s="18"/>
      <c r="M5568" s="18"/>
      <c r="N5568" s="18"/>
      <c r="O5568" s="14" t="str">
        <f>HYPERLINK("https://otsuka-europe-crm.veevavault.com/ui/#object/email_activity__v/V8C000000040217", "EN-002099092")</f>
        <v>EN-002099092</v>
      </c>
    </row>
    <row r="5569" spans="1:15" ht="16" x14ac:dyDescent="0.2">
      <c r="A5569" s="18"/>
      <c r="B5569" s="18"/>
      <c r="C5569" s="18"/>
      <c r="D5569" s="18"/>
      <c r="E5569" s="18"/>
      <c r="F5569" s="18"/>
      <c r="G5569" s="18"/>
      <c r="H5569" s="18"/>
      <c r="I5569" s="18"/>
      <c r="J5569" s="18"/>
      <c r="K5569" s="18"/>
      <c r="L5569" s="18"/>
      <c r="M5569" s="18"/>
      <c r="N5569" s="18"/>
      <c r="O5569" s="14" t="str">
        <f>HYPERLINK("https://otsuka-europe-crm.veevavault.com/ui/#object/email_activity__v/V8C000000040218", "EN-002099094")</f>
        <v>EN-002099094</v>
      </c>
    </row>
    <row r="5570" spans="1:15" ht="16" x14ac:dyDescent="0.2">
      <c r="A5570" s="18"/>
      <c r="B5570" s="18"/>
      <c r="C5570" s="18"/>
      <c r="D5570" s="18"/>
      <c r="E5570" s="18"/>
      <c r="F5570" s="18"/>
      <c r="G5570" s="18"/>
      <c r="H5570" s="18"/>
      <c r="I5570" s="18"/>
      <c r="J5570" s="18"/>
      <c r="K5570" s="18"/>
      <c r="L5570" s="18"/>
      <c r="M5570" s="18"/>
      <c r="N5570" s="18"/>
      <c r="O5570" s="14" t="str">
        <f>HYPERLINK("https://otsuka-europe-crm.veevavault.com/ui/#object/email_activity__v/V8C000000040219", "EN-002099095")</f>
        <v>EN-002099095</v>
      </c>
    </row>
    <row r="5571" spans="1:15" ht="16" x14ac:dyDescent="0.2">
      <c r="A5571" s="18"/>
      <c r="B5571" s="18"/>
      <c r="C5571" s="18"/>
      <c r="D5571" s="18"/>
      <c r="E5571" s="18"/>
      <c r="F5571" s="18"/>
      <c r="G5571" s="18"/>
      <c r="H5571" s="18"/>
      <c r="I5571" s="18"/>
      <c r="J5571" s="18"/>
      <c r="K5571" s="18"/>
      <c r="L5571" s="18"/>
      <c r="M5571" s="18"/>
      <c r="N5571" s="18"/>
      <c r="O5571" s="14" t="str">
        <f>HYPERLINK("https://otsuka-europe-crm.veevavault.com/ui/#object/email_activity__v/V8C000000040220", "EN-002099098")</f>
        <v>EN-002099098</v>
      </c>
    </row>
    <row r="5572" spans="1:15" ht="16" x14ac:dyDescent="0.2">
      <c r="A5572" s="18"/>
      <c r="B5572" s="18"/>
      <c r="C5572" s="18"/>
      <c r="D5572" s="18"/>
      <c r="E5572" s="18"/>
      <c r="F5572" s="18"/>
      <c r="G5572" s="18"/>
      <c r="H5572" s="18"/>
      <c r="I5572" s="18"/>
      <c r="J5572" s="18"/>
      <c r="K5572" s="18"/>
      <c r="L5572" s="18"/>
      <c r="M5572" s="18"/>
      <c r="N5572" s="18"/>
      <c r="O5572" s="14" t="str">
        <f>HYPERLINK("https://otsuka-europe-crm.veevavault.com/ui/#object/email_activity__v/V8C000000040221", "EN-002099099")</f>
        <v>EN-002099099</v>
      </c>
    </row>
    <row r="5573" spans="1:15" ht="16" x14ac:dyDescent="0.2">
      <c r="A5573" s="18"/>
      <c r="B5573" s="18"/>
      <c r="C5573" s="18"/>
      <c r="D5573" s="18"/>
      <c r="E5573" s="18"/>
      <c r="F5573" s="18"/>
      <c r="G5573" s="18"/>
      <c r="H5573" s="18"/>
      <c r="I5573" s="18"/>
      <c r="J5573" s="18"/>
      <c r="K5573" s="18"/>
      <c r="L5573" s="18"/>
      <c r="M5573" s="18"/>
      <c r="N5573" s="18"/>
      <c r="O5573" s="14" t="str">
        <f>HYPERLINK("https://otsuka-europe-crm.veevavault.com/ui/#object/email_activity__v/V8C000000040224", "EN-002099106")</f>
        <v>EN-002099106</v>
      </c>
    </row>
    <row r="5574" spans="1:15" ht="16" x14ac:dyDescent="0.2">
      <c r="A5574" s="18"/>
      <c r="B5574" s="18"/>
      <c r="C5574" s="18"/>
      <c r="D5574" s="18"/>
      <c r="E5574" s="18"/>
      <c r="F5574" s="18"/>
      <c r="G5574" s="18"/>
      <c r="H5574" s="18"/>
      <c r="I5574" s="18"/>
      <c r="J5574" s="18"/>
      <c r="K5574" s="18"/>
      <c r="L5574" s="18"/>
      <c r="M5574" s="18"/>
      <c r="N5574" s="18"/>
      <c r="O5574" s="14" t="str">
        <f>HYPERLINK("https://otsuka-europe-crm.veevavault.com/ui/#object/email_activity__v/V8C000000040225", "EN-002099107")</f>
        <v>EN-002099107</v>
      </c>
    </row>
    <row r="5575" spans="1:15" ht="16" x14ac:dyDescent="0.2">
      <c r="A5575" s="18"/>
      <c r="B5575" s="18"/>
      <c r="C5575" s="18"/>
      <c r="D5575" s="18"/>
      <c r="E5575" s="18"/>
      <c r="F5575" s="18"/>
      <c r="G5575" s="18"/>
      <c r="H5575" s="18"/>
      <c r="I5575" s="18"/>
      <c r="J5575" s="18"/>
      <c r="K5575" s="18"/>
      <c r="L5575" s="18"/>
      <c r="M5575" s="18"/>
      <c r="N5575" s="18"/>
      <c r="O5575" s="14" t="str">
        <f>HYPERLINK("https://otsuka-europe-crm.veevavault.com/ui/#object/email_activity__v/V8C000000040226", "EN-002099109")</f>
        <v>EN-002099109</v>
      </c>
    </row>
    <row r="5576" spans="1:15" ht="16" x14ac:dyDescent="0.2">
      <c r="A5576" s="18"/>
      <c r="B5576" s="18"/>
      <c r="C5576" s="18"/>
      <c r="D5576" s="18"/>
      <c r="E5576" s="18"/>
      <c r="F5576" s="18"/>
      <c r="G5576" s="18"/>
      <c r="H5576" s="18"/>
      <c r="I5576" s="18"/>
      <c r="J5576" s="18"/>
      <c r="K5576" s="18"/>
      <c r="L5576" s="18"/>
      <c r="M5576" s="18"/>
      <c r="N5576" s="18"/>
      <c r="O5576" s="14" t="str">
        <f>HYPERLINK("https://otsuka-europe-crm.veevavault.com/ui/#object/email_activity__v/V8C000000040251", "EN-002099168")</f>
        <v>EN-002099168</v>
      </c>
    </row>
    <row r="5577" spans="1:15" ht="16" x14ac:dyDescent="0.2">
      <c r="A5577" s="18"/>
      <c r="B5577" s="18"/>
      <c r="C5577" s="18"/>
      <c r="D5577" s="18"/>
      <c r="E5577" s="18"/>
      <c r="F5577" s="18"/>
      <c r="G5577" s="18"/>
      <c r="H5577" s="18"/>
      <c r="I5577" s="18"/>
      <c r="J5577" s="18"/>
      <c r="K5577" s="18"/>
      <c r="L5577" s="18"/>
      <c r="M5577" s="18"/>
      <c r="N5577" s="18"/>
      <c r="O5577" s="14" t="str">
        <f>HYPERLINK("https://otsuka-europe-crm.veevavault.com/ui/#object/email_activity__v/V8C000000040340", "EN-002099293")</f>
        <v>EN-002099293</v>
      </c>
    </row>
    <row r="5578" spans="1:15" ht="16" x14ac:dyDescent="0.2">
      <c r="A5578" s="18"/>
      <c r="B5578" s="18"/>
      <c r="C5578" s="18"/>
      <c r="D5578" s="18"/>
      <c r="E5578" s="18"/>
      <c r="F5578" s="18"/>
      <c r="G5578" s="18"/>
      <c r="H5578" s="18"/>
      <c r="I5578" s="18"/>
      <c r="J5578" s="18"/>
      <c r="K5578" s="18"/>
      <c r="L5578" s="18"/>
      <c r="M5578" s="18"/>
      <c r="N5578" s="18"/>
      <c r="O5578" s="14" t="str">
        <f>HYPERLINK("https://otsuka-europe-crm.veevavault.com/ui/#object/email_activity__v/V8C000000040548", "EN-002099657")</f>
        <v>EN-002099657</v>
      </c>
    </row>
    <row r="5579" spans="1:15" ht="16" x14ac:dyDescent="0.2">
      <c r="A5579" s="19"/>
      <c r="B5579" s="19"/>
      <c r="C5579" s="19"/>
      <c r="D5579" s="19"/>
      <c r="E5579" s="19"/>
      <c r="F5579" s="19"/>
      <c r="G5579" s="19"/>
      <c r="H5579" s="19"/>
      <c r="I5579" s="19"/>
      <c r="J5579" s="19"/>
      <c r="K5579" s="19"/>
      <c r="L5579" s="19"/>
      <c r="M5579" s="19"/>
      <c r="N5579" s="19"/>
      <c r="O5579" s="14" t="str">
        <f>HYPERLINK("https://otsuka-europe-crm.veevavault.com/ui/#object/email_activity__v/V8C000000042587", "EN-002100879")</f>
        <v>EN-002100879</v>
      </c>
    </row>
    <row r="5580" spans="1:15" ht="32" x14ac:dyDescent="0.2">
      <c r="A5580" s="7" t="str">
        <f>HYPERLINK("https://otsuka-europe-crm.veevavault.com/ui/#object/account__v/V4T000000022003", "Aleksandra Moore-Hemsley")</f>
        <v>Aleksandra Moore-Hemsley</v>
      </c>
      <c r="B5580" s="7" t="str">
        <f>HYPERLINK("https://otsuka-europe-crm.veevavault.com/ui/#object/vcountry__v/VENZ000004SONFK", "GB")</f>
        <v>GB</v>
      </c>
      <c r="C5580" s="8" t="s">
        <v>39</v>
      </c>
      <c r="D5580" s="9" t="str">
        <f>HYPERLINK("https://otsuka-europe-crm.veevavault.com/ui/#object/approved_document__v/V5OZ025E82PXJSL", "Otsuka Privacy Notice - UK (v2)")</f>
        <v>Otsuka Privacy Notice - UK (v2)</v>
      </c>
      <c r="E5580" s="10" t="str">
        <f>HYPERLINK("https://otsuka-europe-crm.veevavault.com/ui/#object/sent_email__v/VBL00000002S008", "SE-001434080")</f>
        <v>SE-001434080</v>
      </c>
      <c r="F5580" s="11"/>
      <c r="G5580" s="12">
        <v>0</v>
      </c>
      <c r="H5580" s="12">
        <v>0</v>
      </c>
      <c r="I5580" s="12">
        <v>0</v>
      </c>
      <c r="J5580" s="11"/>
      <c r="K5580" s="12">
        <v>0</v>
      </c>
      <c r="L5580" s="10" t="str">
        <f>HYPERLINK("https://otsuka-europe-crm.veevavault.com/ui/#object/approved_document__v/V5OZ025E82PXJSL", "Otsuka Privacy Notice - UK (v2)")</f>
        <v>Otsuka Privacy Notice - UK (v2)</v>
      </c>
      <c r="M5580" s="10" t="str">
        <f>HYPERLINK("mailto:ldimambro@crm.otsuka-europe.com", "ldimambro@crm.otsuka-europe.com")</f>
        <v>ldimambro@crm.otsuka-europe.com</v>
      </c>
      <c r="N5580" s="13">
        <v>46178.40185185185</v>
      </c>
      <c r="O5580" s="14" t="str">
        <f>HYPERLINK("https://otsuka-europe-crm.veevavault.com/ui/#object/email_activity__v/V8C00000003P032", "EN-002089304")</f>
        <v>EN-002089304</v>
      </c>
    </row>
    <row r="5581" spans="1:15" ht="32" x14ac:dyDescent="0.2">
      <c r="A5581" s="7" t="str">
        <f>HYPERLINK("https://otsuka-europe-crm.veevavault.com/ui/#object/account__v/V4T000000022003", "Aleksandra Moore-Hemsley")</f>
        <v>Aleksandra Moore-Hemsley</v>
      </c>
      <c r="B5581" s="7" t="str">
        <f>HYPERLINK("https://otsuka-europe-crm.veevavault.com/ui/#object/vcountry__v/VENZ000004SONFK", "GB")</f>
        <v>GB</v>
      </c>
      <c r="C5581" s="8" t="s">
        <v>39</v>
      </c>
      <c r="D5581" s="9" t="str">
        <f>HYPERLINK("https://otsuka-europe-crm.veevavault.com/ui/#object/approved_document__v/V5O00000000D081", "UK - Consent Email 1 Aug 25")</f>
        <v>UK - Consent Email 1 Aug 25</v>
      </c>
      <c r="E5581" s="10" t="str">
        <f>HYPERLINK("https://otsuka-europe-crm.veevavault.com/ui/#object/sent_email__v/VBL00000002S009", "SE-001434081")</f>
        <v>SE-001434081</v>
      </c>
      <c r="F5581" s="11"/>
      <c r="G5581" s="12">
        <v>0</v>
      </c>
      <c r="H5581" s="12">
        <v>0</v>
      </c>
      <c r="I5581" s="12">
        <v>0</v>
      </c>
      <c r="J5581" s="11"/>
      <c r="K5581" s="12">
        <v>0</v>
      </c>
      <c r="L5581" s="10" t="str">
        <f>HYPERLINK("https://otsuka-europe-crm.veevavault.com/ui/#object/approved_document__v/V5O00000000D081", "UK - Consent Email 1 Aug 25")</f>
        <v>UK - Consent Email 1 Aug 25</v>
      </c>
      <c r="M5581" s="10" t="str">
        <f>HYPERLINK("mailto:ldimambro@crm.otsuka-europe.com", "ldimambro@crm.otsuka-europe.com")</f>
        <v>ldimambro@crm.otsuka-europe.com</v>
      </c>
      <c r="N5581" s="13">
        <v>46178.402928240743</v>
      </c>
      <c r="O5581" s="14" t="str">
        <f>HYPERLINK("https://otsuka-europe-crm.veevavault.com/ui/#object/email_activity__v/V8C00000003P034", "EN-002089306")</f>
        <v>EN-002089306</v>
      </c>
    </row>
    <row r="5582" spans="1:15" ht="48" x14ac:dyDescent="0.2">
      <c r="A5582" s="7" t="str">
        <f>HYPERLINK("https://otsuka-europe-crm.veevavault.com/ui/#object/account__v/V4T000000021081", "Zoe Taylor")</f>
        <v>Zoe Taylor</v>
      </c>
      <c r="B5582" s="7" t="str">
        <f>HYPERLINK("https://otsuka-europe-crm.veevavault.com/ui/#object/vcountry__v/VENZ000004SONFK", "GB")</f>
        <v>GB</v>
      </c>
      <c r="C5582" s="8" t="s">
        <v>39</v>
      </c>
      <c r="D5582" s="9" t="str">
        <f>HYPERLINK("https://otsuka-europe-crm.veevavault.com/ui/#object/approved_document__v/V5OZ06G6O6RH9XL", "UK Veeva Double Opt-In Remote Meetings Email Receipt v4")</f>
        <v>UK Veeva Double Opt-In Remote Meetings Email Receipt v4</v>
      </c>
      <c r="E5582" s="10" t="str">
        <f>HYPERLINK("https://otsuka-europe-crm.veevavault.com/ui/#object/sent_email__v/VBL00000002R005", "SE-001434082")</f>
        <v>SE-001434082</v>
      </c>
      <c r="F5582" s="11"/>
      <c r="G5582" s="12">
        <v>0</v>
      </c>
      <c r="H5582" s="12">
        <v>0</v>
      </c>
      <c r="I5582" s="12">
        <v>0</v>
      </c>
      <c r="J5582" s="11"/>
      <c r="K5582" s="12">
        <v>0</v>
      </c>
      <c r="L5582" s="10" t="str">
        <f>HYPERLINK("https://otsuka-europe-crm.veevavault.com/ui/#object/approved_document__v/V5OZ06G6O6RH9XL", "UK Veeva Double Opt-In Remote Meetings Email Receipt v4")</f>
        <v>UK Veeva Double Opt-In Remote Meetings Email Receipt v4</v>
      </c>
      <c r="M5582" s="10" t="str">
        <f>HYPERLINK("mailto:PStyler@crm.otsuka-europe.com", "PStyler@crm.otsuka-europe.com")</f>
        <v>PStyler@crm.otsuka-europe.com</v>
      </c>
      <c r="N5582" s="13">
        <v>46178.404999999999</v>
      </c>
      <c r="O5582" s="14" t="str">
        <f>HYPERLINK("https://otsuka-europe-crm.veevavault.com/ui/#object/email_activity__v/V8C00000003O033", "EN-002089307")</f>
        <v>EN-002089307</v>
      </c>
    </row>
    <row r="5583" spans="1:15" ht="32" x14ac:dyDescent="0.2">
      <c r="A5583" s="7" t="str">
        <f>HYPERLINK("https://otsuka-europe-crm.veevavault.com/ui/#object/account__v/V4T000000022001", "MARIA DEL CARMEN PORTILLO SOTELO")</f>
        <v>MARIA DEL CARMEN PORTILLO SOTELO</v>
      </c>
      <c r="B5583" s="7" t="str">
        <f>HYPERLINK("https://otsuka-europe-crm.veevavault.com/ui/#object/vcountry__v/VENZ000004SONF5", "ES")</f>
        <v>ES</v>
      </c>
      <c r="C5583" s="8" t="s">
        <v>41</v>
      </c>
      <c r="D5583" s="9" t="str">
        <f>HYPERLINK("https://otsuka-europe-crm.veevavault.com/ui/#object/approved_document__v/V5O00000000D100", "Spain - Consent Email 1 Aug 25")</f>
        <v>Spain - Consent Email 1 Aug 25</v>
      </c>
      <c r="E5583" s="10" t="str">
        <f>HYPERLINK("https://otsuka-europe-crm.veevavault.com/ui/#object/sent_email__v/VBL00000002R006", "SE-001434083")</f>
        <v>SE-001434083</v>
      </c>
      <c r="F5583" s="11"/>
      <c r="G5583" s="12">
        <v>0</v>
      </c>
      <c r="H5583" s="12">
        <v>0</v>
      </c>
      <c r="I5583" s="12">
        <v>0</v>
      </c>
      <c r="J5583" s="11"/>
      <c r="K5583" s="12">
        <v>0</v>
      </c>
      <c r="L5583" s="10" t="str">
        <f>HYPERLINK("https://otsuka-europe-crm.veevavault.com/ui/#object/approved_document__v/V5O00000000D100", "Spain - Consent Email 1 Aug 25")</f>
        <v>Spain - Consent Email 1 Aug 25</v>
      </c>
      <c r="M5583" s="10" t="str">
        <f>HYPERLINK("mailto:mgravan@crm.otsuka-europe.com", "mgravan@crm.otsuka-europe.com")</f>
        <v>mgravan@crm.otsuka-europe.com</v>
      </c>
      <c r="N5583" s="13">
        <v>46178.443807870368</v>
      </c>
      <c r="O5583" s="14" t="str">
        <f>HYPERLINK("https://otsuka-europe-crm.veevavault.com/ui/#object/email_activity__v/V8C00000003O036", "EN-002089314")</f>
        <v>EN-002089314</v>
      </c>
    </row>
    <row r="5584" spans="1:15" ht="32" x14ac:dyDescent="0.2">
      <c r="A5584" s="7" t="str">
        <f>HYPERLINK("https://otsuka-europe-crm.veevavault.com/ui/#object/account__v/V4TZ025E82MADC9", "Adam Hussain")</f>
        <v>Adam Hussain</v>
      </c>
      <c r="B5584" s="7" t="str">
        <f>HYPERLINK("https://otsuka-europe-crm.veevavault.com/ui/#object/vcountry__v/VENZ000004SONFK", "GB")</f>
        <v>GB</v>
      </c>
      <c r="C5584" s="8" t="s">
        <v>39</v>
      </c>
      <c r="D5584" s="9" t="str">
        <f>HYPERLINK("https://otsuka-europe-crm.veevavault.com/ui/#object/approved_document__v/V5O00000000D081", "UK - Consent Email 1 Aug 25")</f>
        <v>UK - Consent Email 1 Aug 25</v>
      </c>
      <c r="E5584" s="10" t="str">
        <f>HYPERLINK("https://otsuka-europe-crm.veevavault.com/ui/#object/sent_email__v/VBL00000002S059", "SE-001434130")</f>
        <v>SE-001434130</v>
      </c>
      <c r="F5584" s="11"/>
      <c r="G5584" s="12">
        <v>0</v>
      </c>
      <c r="H5584" s="12">
        <v>0</v>
      </c>
      <c r="I5584" s="12">
        <v>0</v>
      </c>
      <c r="J5584" s="11"/>
      <c r="K5584" s="12">
        <v>0</v>
      </c>
      <c r="L5584" s="10" t="str">
        <f>HYPERLINK("https://otsuka-europe-crm.veevavault.com/ui/#object/approved_document__v/V5O00000000D081", "UK - Consent Email 1 Aug 25")</f>
        <v>UK - Consent Email 1 Aug 25</v>
      </c>
      <c r="M5584" s="10" t="str">
        <f>HYPERLINK("mailto:ldimambro@crm.otsuka-europe.com", "ldimambro@crm.otsuka-europe.com")</f>
        <v>ldimambro@crm.otsuka-europe.com</v>
      </c>
      <c r="N5584" s="13">
        <v>46178.516180555554</v>
      </c>
      <c r="O5584" s="14" t="str">
        <f>HYPERLINK("https://otsuka-europe-crm.veevavault.com/ui/#object/email_activity__v/V8C00000003P046", "EN-002089330")</f>
        <v>EN-002089330</v>
      </c>
    </row>
    <row r="5585" spans="1:15" ht="16" x14ac:dyDescent="0.2">
      <c r="A5585" s="17" t="str">
        <f>HYPERLINK("https://otsuka-europe-crm.veevavault.com/ui/#object/account__v/V4TZ04ASGAVB5RF", "ANGEL GARCIA MANZANARES")</f>
        <v>ANGEL GARCIA MANZANARES</v>
      </c>
      <c r="B5585" s="17" t="str">
        <f>HYPERLINK("https://otsuka-europe-crm.veevavault.com/ui/#object/vcountry__v/VENZ000004SONF5", "ES")</f>
        <v>ES</v>
      </c>
      <c r="C5585" s="20" t="s">
        <v>41</v>
      </c>
      <c r="D5585" s="21" t="str">
        <f>HYPERLINK("https://otsuka-europe-crm.veevavault.com/ui/#object/approved_document__v/V5O00000000D100", "Spain - Consent Email 1 Aug 25")</f>
        <v>Spain - Consent Email 1 Aug 25</v>
      </c>
      <c r="E5585" s="22" t="str">
        <f>HYPERLINK("https://otsuka-europe-crm.veevavault.com/ui/#object/sent_email__v/VBL00000002R013", "SE-001434131")</f>
        <v>SE-001434131</v>
      </c>
      <c r="F5585" s="23">
        <v>46178.800694444442</v>
      </c>
      <c r="G5585" s="24">
        <v>1</v>
      </c>
      <c r="H5585" s="24">
        <v>2</v>
      </c>
      <c r="I5585" s="24">
        <v>1</v>
      </c>
      <c r="J5585" s="23">
        <v>46178.578275462962</v>
      </c>
      <c r="K5585" s="24">
        <v>1</v>
      </c>
      <c r="L5585" s="22" t="str">
        <f>HYPERLINK("https://otsuka-europe-crm.veevavault.com/ui/#object/approved_document__v/V5O00000000D100", "Spain - Consent Email 1 Aug 25")</f>
        <v>Spain - Consent Email 1 Aug 25</v>
      </c>
      <c r="M5585" s="22" t="str">
        <f>HYPERLINK("mailto:ccalero@crm.otsuka-europe.com", "ccalero@crm.otsuka-europe.com")</f>
        <v>ccalero@crm.otsuka-europe.com</v>
      </c>
      <c r="N5585" s="23">
        <v>46178.520185185182</v>
      </c>
      <c r="O5585" s="14" t="str">
        <f>HYPERLINK("https://otsuka-europe-crm.veevavault.com/ui/#object/email_activity__v/V8C00000003O046", "EN-002089332")</f>
        <v>EN-002089332</v>
      </c>
    </row>
    <row r="5586" spans="1:15" ht="16" x14ac:dyDescent="0.2">
      <c r="A5586" s="18"/>
      <c r="B5586" s="18"/>
      <c r="C5586" s="18"/>
      <c r="D5586" s="18"/>
      <c r="E5586" s="18"/>
      <c r="F5586" s="18"/>
      <c r="G5586" s="18"/>
      <c r="H5586" s="18"/>
      <c r="I5586" s="18"/>
      <c r="J5586" s="18"/>
      <c r="K5586" s="18"/>
      <c r="L5586" s="18"/>
      <c r="M5586" s="18"/>
      <c r="N5586" s="18"/>
      <c r="O5586" s="14" t="str">
        <f>HYPERLINK("https://otsuka-europe-crm.veevavault.com/ui/#object/email_activity__v/V8C00000003O062", "EN-002089374")</f>
        <v>EN-002089374</v>
      </c>
    </row>
    <row r="5587" spans="1:15" ht="16" x14ac:dyDescent="0.2">
      <c r="A5587" s="18"/>
      <c r="B5587" s="18"/>
      <c r="C5587" s="18"/>
      <c r="D5587" s="18"/>
      <c r="E5587" s="18"/>
      <c r="F5587" s="18"/>
      <c r="G5587" s="18"/>
      <c r="H5587" s="18"/>
      <c r="I5587" s="18"/>
      <c r="J5587" s="18"/>
      <c r="K5587" s="18"/>
      <c r="L5587" s="18"/>
      <c r="M5587" s="18"/>
      <c r="N5587" s="18"/>
      <c r="O5587" s="14" t="str">
        <f>HYPERLINK("https://otsuka-europe-crm.veevavault.com/ui/#object/email_activity__v/V8C00000003P073", "EN-002089376")</f>
        <v>EN-002089376</v>
      </c>
    </row>
    <row r="5588" spans="1:15" ht="16" x14ac:dyDescent="0.2">
      <c r="A5588" s="19"/>
      <c r="B5588" s="19"/>
      <c r="C5588" s="19"/>
      <c r="D5588" s="19"/>
      <c r="E5588" s="19"/>
      <c r="F5588" s="19"/>
      <c r="G5588" s="19"/>
      <c r="H5588" s="19"/>
      <c r="I5588" s="19"/>
      <c r="J5588" s="19"/>
      <c r="K5588" s="19"/>
      <c r="L5588" s="19"/>
      <c r="M5588" s="19"/>
      <c r="N5588" s="19"/>
      <c r="O5588" s="14" t="str">
        <f>HYPERLINK("https://otsuka-europe-crm.veevavault.com/ui/#object/email_activity__v/V8C00000003P087", "EN-002089399")</f>
        <v>EN-002089399</v>
      </c>
    </row>
    <row r="5589" spans="1:15" ht="16" x14ac:dyDescent="0.2">
      <c r="A5589" s="17" t="str">
        <f>HYPERLINK("https://otsuka-europe-crm.veevavault.com/ui/#object/account__v/V4TZ04ASGAVB5RF", "ANGEL GARCIA MANZANARES")</f>
        <v>ANGEL GARCIA MANZANARES</v>
      </c>
      <c r="B5589" s="17" t="str">
        <f>HYPERLINK("https://otsuka-europe-crm.veevavault.com/ui/#object/vcountry__v/VENZ000004SONF5", "ES")</f>
        <v>ES</v>
      </c>
      <c r="C5589" s="20" t="s">
        <v>41</v>
      </c>
      <c r="D5589" s="21" t="str">
        <f>HYPERLINK("https://otsuka-europe-crm.veevavault.com/ui/#object/approved_document__v/V5OZ04ASG4FWKA7", "Reuniones Online Consent - 2")</f>
        <v>Reuniones Online Consent - 2</v>
      </c>
      <c r="E5589" s="22" t="str">
        <f>HYPERLINK("https://otsuka-europe-crm.veevavault.com/ui/#object/sent_email__v/VBL00000002R014", "SE-001434132")</f>
        <v>SE-001434132</v>
      </c>
      <c r="F5589" s="23">
        <v>46178.800706018519</v>
      </c>
      <c r="G5589" s="24">
        <v>1</v>
      </c>
      <c r="H5589" s="24">
        <v>2</v>
      </c>
      <c r="I5589" s="24">
        <v>1</v>
      </c>
      <c r="J5589" s="23">
        <v>46178.578067129631</v>
      </c>
      <c r="K5589" s="24">
        <v>1</v>
      </c>
      <c r="L5589" s="22" t="str">
        <f>HYPERLINK("https://otsuka-europe-crm.veevavault.com/ui/#object/approved_document__v/V5OZ04ASG4FWKA7", "Reuniones Online Consent - 2")</f>
        <v>Reuniones Online Consent - 2</v>
      </c>
      <c r="M5589" s="22" t="str">
        <f>HYPERLINK("mailto:ccalero@crm.otsuka-europe.com", "ccalero@crm.otsuka-europe.com")</f>
        <v>ccalero@crm.otsuka-europe.com</v>
      </c>
      <c r="N5589" s="23">
        <v>46178.520162037035</v>
      </c>
      <c r="O5589" s="14" t="str">
        <f>HYPERLINK("https://otsuka-europe-crm.veevavault.com/ui/#object/email_activity__v/V8C00000003O047", "EN-002089333")</f>
        <v>EN-002089333</v>
      </c>
    </row>
    <row r="5590" spans="1:15" ht="16" x14ac:dyDescent="0.2">
      <c r="A5590" s="18"/>
      <c r="B5590" s="18"/>
      <c r="C5590" s="18"/>
      <c r="D5590" s="18"/>
      <c r="E5590" s="18"/>
      <c r="F5590" s="18"/>
      <c r="G5590" s="18"/>
      <c r="H5590" s="18"/>
      <c r="I5590" s="18"/>
      <c r="J5590" s="18"/>
      <c r="K5590" s="18"/>
      <c r="L5590" s="18"/>
      <c r="M5590" s="18"/>
      <c r="N5590" s="18"/>
      <c r="O5590" s="14" t="str">
        <f>HYPERLINK("https://otsuka-europe-crm.veevavault.com/ui/#object/email_activity__v/V8C00000003O061", "EN-002089373")</f>
        <v>EN-002089373</v>
      </c>
    </row>
    <row r="5591" spans="1:15" ht="16" x14ac:dyDescent="0.2">
      <c r="A5591" s="18"/>
      <c r="B5591" s="18"/>
      <c r="C5591" s="18"/>
      <c r="D5591" s="18"/>
      <c r="E5591" s="18"/>
      <c r="F5591" s="18"/>
      <c r="G5591" s="18"/>
      <c r="H5591" s="18"/>
      <c r="I5591" s="18"/>
      <c r="J5591" s="18"/>
      <c r="K5591" s="18"/>
      <c r="L5591" s="18"/>
      <c r="M5591" s="18"/>
      <c r="N5591" s="18"/>
      <c r="O5591" s="14" t="str">
        <f>HYPERLINK("https://otsuka-europe-crm.veevavault.com/ui/#object/email_activity__v/V8C00000003O063", "EN-002089375")</f>
        <v>EN-002089375</v>
      </c>
    </row>
    <row r="5592" spans="1:15" ht="16" x14ac:dyDescent="0.2">
      <c r="A5592" s="19"/>
      <c r="B5592" s="19"/>
      <c r="C5592" s="19"/>
      <c r="D5592" s="19"/>
      <c r="E5592" s="19"/>
      <c r="F5592" s="19"/>
      <c r="G5592" s="19"/>
      <c r="H5592" s="19"/>
      <c r="I5592" s="19"/>
      <c r="J5592" s="19"/>
      <c r="K5592" s="19"/>
      <c r="L5592" s="19"/>
      <c r="M5592" s="19"/>
      <c r="N5592" s="19"/>
      <c r="O5592" s="14" t="str">
        <f>HYPERLINK("https://otsuka-europe-crm.veevavault.com/ui/#object/email_activity__v/V8C00000003O073", "EN-002089400")</f>
        <v>EN-002089400</v>
      </c>
    </row>
    <row r="5593" spans="1:15" ht="16" x14ac:dyDescent="0.2">
      <c r="A5593" s="17" t="str">
        <f>HYPERLINK("https://otsuka-europe-crm.veevavault.com/ui/#object/account__v/V4TZ04ASGAVB5RF", "ANGEL GARCIA MANZANARES")</f>
        <v>ANGEL GARCIA MANZANARES</v>
      </c>
      <c r="B5593" s="17" t="str">
        <f>HYPERLINK("https://otsuka-europe-crm.veevavault.com/ui/#object/vcountry__v/VENZ000004SONF5", "ES")</f>
        <v>ES</v>
      </c>
      <c r="C5593" s="20" t="s">
        <v>41</v>
      </c>
      <c r="D5593" s="21" t="str">
        <f>HYPERLINK("https://otsuka-europe-crm.veevavault.com/ui/#object/approved_document__v/V5OZ04ASG4FWKA9", "Documento Autorizaciขn Centro Empleador")</f>
        <v>Documento Autorizaciขn Centro Empleador</v>
      </c>
      <c r="E5593" s="22" t="str">
        <f>HYPERLINK("https://otsuka-europe-crm.veevavault.com/ui/#object/sent_email__v/VBL00000002R015", "SE-001434133")</f>
        <v>SE-001434133</v>
      </c>
      <c r="F5593" s="23">
        <v>46178.752858796295</v>
      </c>
      <c r="G5593" s="24">
        <v>1</v>
      </c>
      <c r="H5593" s="24">
        <v>2</v>
      </c>
      <c r="I5593" s="24">
        <v>1</v>
      </c>
      <c r="J5593" s="23">
        <v>46178.577743055554</v>
      </c>
      <c r="K5593" s="24">
        <v>1</v>
      </c>
      <c r="L5593" s="22" t="str">
        <f>HYPERLINK("https://otsuka-europe-crm.veevavault.com/ui/#object/approved_document__v/V5OZ04ASG4FWKA9", "Documento Autorizaciขn Centro Empleador")</f>
        <v>Documento Autorizaciขn Centro Empleador</v>
      </c>
      <c r="M5593" s="22" t="str">
        <f>HYPERLINK("mailto:ccalero@crm.otsuka-europe.com", "ccalero@crm.otsuka-europe.com")</f>
        <v>ccalero@crm.otsuka-europe.com</v>
      </c>
      <c r="N5593" s="23">
        <v>46178.520173611112</v>
      </c>
      <c r="O5593" s="14" t="str">
        <f>HYPERLINK("https://otsuka-europe-crm.veevavault.com/ui/#object/email_activity__v/V8C00000003O048", "EN-002089334")</f>
        <v>EN-002089334</v>
      </c>
    </row>
    <row r="5594" spans="1:15" ht="16" x14ac:dyDescent="0.2">
      <c r="A5594" s="18"/>
      <c r="B5594" s="18"/>
      <c r="C5594" s="18"/>
      <c r="D5594" s="18"/>
      <c r="E5594" s="18"/>
      <c r="F5594" s="18"/>
      <c r="G5594" s="18"/>
      <c r="H5594" s="18"/>
      <c r="I5594" s="18"/>
      <c r="J5594" s="18"/>
      <c r="K5594" s="18"/>
      <c r="L5594" s="18"/>
      <c r="M5594" s="18"/>
      <c r="N5594" s="18"/>
      <c r="O5594" s="14" t="str">
        <f>HYPERLINK("https://otsuka-europe-crm.veevavault.com/ui/#object/email_activity__v/V8C00000003O059", "EN-002089371")</f>
        <v>EN-002089371</v>
      </c>
    </row>
    <row r="5595" spans="1:15" ht="16" x14ac:dyDescent="0.2">
      <c r="A5595" s="18"/>
      <c r="B5595" s="18"/>
      <c r="C5595" s="18"/>
      <c r="D5595" s="18"/>
      <c r="E5595" s="18"/>
      <c r="F5595" s="18"/>
      <c r="G5595" s="18"/>
      <c r="H5595" s="18"/>
      <c r="I5595" s="18"/>
      <c r="J5595" s="18"/>
      <c r="K5595" s="18"/>
      <c r="L5595" s="18"/>
      <c r="M5595" s="18"/>
      <c r="N5595" s="18"/>
      <c r="O5595" s="14" t="str">
        <f>HYPERLINK("https://otsuka-europe-crm.veevavault.com/ui/#object/email_activity__v/V8C00000003O060", "EN-002089372")</f>
        <v>EN-002089372</v>
      </c>
    </row>
    <row r="5596" spans="1:15" ht="16" x14ac:dyDescent="0.2">
      <c r="A5596" s="19"/>
      <c r="B5596" s="19"/>
      <c r="C5596" s="19"/>
      <c r="D5596" s="19"/>
      <c r="E5596" s="19"/>
      <c r="F5596" s="19"/>
      <c r="G5596" s="19"/>
      <c r="H5596" s="19"/>
      <c r="I5596" s="19"/>
      <c r="J5596" s="19"/>
      <c r="K5596" s="19"/>
      <c r="L5596" s="19"/>
      <c r="M5596" s="19"/>
      <c r="N5596" s="19"/>
      <c r="O5596" s="14" t="str">
        <f>HYPERLINK("https://otsuka-europe-crm.veevavault.com/ui/#object/email_activity__v/V8C00000003O072", "EN-002089398")</f>
        <v>EN-002089398</v>
      </c>
    </row>
    <row r="5597" spans="1:15" ht="16" x14ac:dyDescent="0.2">
      <c r="A5597" s="17" t="str">
        <f>HYPERLINK("https://otsuka-europe-crm.veevavault.com/ui/#object/account__v/V4TZ0000062PBT8", "Petar Kolarov")</f>
        <v>Petar Kolarov</v>
      </c>
      <c r="B5597" s="17" t="str">
        <f>HYPERLINK("https://otsuka-europe-crm.veevavault.com/ui/#object/vcountry__v/VENZ000004SONFK", "GB")</f>
        <v>GB</v>
      </c>
      <c r="C5597" s="20" t="s">
        <v>39</v>
      </c>
      <c r="D5597" s="21" t="str">
        <f>HYPERLINK("https://otsuka-europe-crm.veevavault.com/ui/#object/approved_document__v/V5O00000001H007", "DR P2P Invite 18-Jun-26 [digital]")</f>
        <v>DR P2P Invite 18-Jun-26 [digital]</v>
      </c>
      <c r="E5597" s="22" t="str">
        <f>HYPERLINK("https://otsuka-europe-crm.veevavault.com/ui/#object/sent_email__v/VBL00000002S060", "SE-001434134")</f>
        <v>SE-001434134</v>
      </c>
      <c r="F5597" s="25"/>
      <c r="G5597" s="24">
        <v>0</v>
      </c>
      <c r="H5597" s="24">
        <v>0</v>
      </c>
      <c r="I5597" s="24">
        <v>0</v>
      </c>
      <c r="J5597" s="25"/>
      <c r="K5597" s="24">
        <v>0</v>
      </c>
      <c r="L5597" s="22" t="str">
        <f>HYPERLINK("https://otsuka-europe-crm.veevavault.com/ui/#object/approved_document__v/V5O00000001H007", "DR P2P Invite 18-Jun-26 [digital]")</f>
        <v>DR P2P Invite 18-Jun-26 [digital]</v>
      </c>
      <c r="M5597" s="22" t="str">
        <f>HYPERLINK("mailto:draval@crm.otsuka-europe.com", "draval@crm.otsuka-europe.com")</f>
        <v>draval@crm.otsuka-europe.com</v>
      </c>
      <c r="N5597" s="23">
        <v>46178.558333333334</v>
      </c>
      <c r="O5597" s="14" t="str">
        <f>HYPERLINK("https://otsuka-europe-crm.veevavault.com/ui/#object/email_activity__v/V8C00000003O052", "EN-002089352")</f>
        <v>EN-002089352</v>
      </c>
    </row>
    <row r="5598" spans="1:15" ht="16" x14ac:dyDescent="0.2">
      <c r="A5598" s="19"/>
      <c r="B5598" s="19"/>
      <c r="C5598" s="19"/>
      <c r="D5598" s="19"/>
      <c r="E5598" s="19"/>
      <c r="F5598" s="19"/>
      <c r="G5598" s="19"/>
      <c r="H5598" s="19"/>
      <c r="I5598" s="19"/>
      <c r="J5598" s="19"/>
      <c r="K5598" s="19"/>
      <c r="L5598" s="19"/>
      <c r="M5598" s="19"/>
      <c r="N5598" s="19"/>
      <c r="O5598" s="14" t="str">
        <f>HYPERLINK("https://otsuka-europe-crm.veevavault.com/ui/#object/email_activity__v/V8C00000003O064", "EN-002089377")</f>
        <v>EN-002089377</v>
      </c>
    </row>
    <row r="5599" spans="1:15" ht="32" x14ac:dyDescent="0.2">
      <c r="A5599" s="7" t="str">
        <f>HYPERLINK("https://otsuka-europe-crm.veevavault.com/ui/#object/account__v/V4TZ0000062PBT8", "Petar Kolarov")</f>
        <v>Petar Kolarov</v>
      </c>
      <c r="B5599" s="7" t="str">
        <f>HYPERLINK("https://otsuka-europe-crm.veevavault.com/ui/#object/vcountry__v/VENZ000004SONFK", "GB")</f>
        <v>GB</v>
      </c>
      <c r="C5599" s="8" t="s">
        <v>39</v>
      </c>
      <c r="D5599" s="9" t="str">
        <f>HYPERLINK("https://otsuka-europe-crm.veevavault.com/ui/#object/approved_document__v/V5O00000001H005", "LDM DR P2P Invite 23-Jun-26 [digital]")</f>
        <v>LDM DR P2P Invite 23-Jun-26 [digital]</v>
      </c>
      <c r="E5599" s="10" t="str">
        <f>HYPERLINK("https://otsuka-europe-crm.veevavault.com/ui/#object/sent_email__v/VBL00000002R016", "SE-001434135")</f>
        <v>SE-001434135</v>
      </c>
      <c r="F5599" s="11"/>
      <c r="G5599" s="12">
        <v>0</v>
      </c>
      <c r="H5599" s="12">
        <v>0</v>
      </c>
      <c r="I5599" s="12">
        <v>0</v>
      </c>
      <c r="J5599" s="11"/>
      <c r="K5599" s="12">
        <v>0</v>
      </c>
      <c r="L5599" s="10" t="str">
        <f>HYPERLINK("https://otsuka-europe-crm.veevavault.com/ui/#object/approved_document__v/V5O00000001H005", "LDM DR P2P Invite 23-Jun-26 [digital]")</f>
        <v>LDM DR P2P Invite 23-Jun-26 [digital]</v>
      </c>
      <c r="M5599" s="10" t="str">
        <f>HYPERLINK("mailto:draval@crm.otsuka-europe.com", "draval@crm.otsuka-europe.com")</f>
        <v>draval@crm.otsuka-europe.com</v>
      </c>
      <c r="N5599" s="13">
        <v>46178.558333333334</v>
      </c>
      <c r="O5599" s="14" t="str">
        <f>HYPERLINK("https://otsuka-europe-crm.veevavault.com/ui/#object/email_activity__v/V8C00000003O053", "EN-002089353")</f>
        <v>EN-002089353</v>
      </c>
    </row>
    <row r="5600" spans="1:15" ht="16" x14ac:dyDescent="0.2">
      <c r="A5600" s="17" t="str">
        <f>HYPERLINK("https://otsuka-europe-crm.veevavault.com/ui/#object/account__v/V4TZ0000062PN90", "Krishan Sahota")</f>
        <v>Krishan Sahota</v>
      </c>
      <c r="B5600" s="17" t="str">
        <f>HYPERLINK("https://otsuka-europe-crm.veevavault.com/ui/#object/vcountry__v/VENZ000004SONFK", "GB")</f>
        <v>GB</v>
      </c>
      <c r="C5600" s="20" t="s">
        <v>39</v>
      </c>
      <c r="D5600" s="21" t="str">
        <f>HYPERLINK("https://otsuka-europe-crm.veevavault.com/ui/#object/approved_document__v/V5O00000001H005", "LDM DR P2P Invite 23-Jun-26 [digital]")</f>
        <v>LDM DR P2P Invite 23-Jun-26 [digital]</v>
      </c>
      <c r="E5600" s="22" t="str">
        <f>HYPERLINK("https://otsuka-europe-crm.veevavault.com/ui/#object/sent_email__v/VBL00000002S061", "SE-001434136")</f>
        <v>SE-001434136</v>
      </c>
      <c r="F5600" s="23">
        <v>46178.55872685185</v>
      </c>
      <c r="G5600" s="24">
        <v>1</v>
      </c>
      <c r="H5600" s="24">
        <v>1</v>
      </c>
      <c r="I5600" s="24">
        <v>0</v>
      </c>
      <c r="J5600" s="25"/>
      <c r="K5600" s="24">
        <v>0</v>
      </c>
      <c r="L5600" s="22" t="str">
        <f>HYPERLINK("https://otsuka-europe-crm.veevavault.com/ui/#object/approved_document__v/V5O00000001H005", "LDM DR P2P Invite 23-Jun-26 [digital]")</f>
        <v>LDM DR P2P Invite 23-Jun-26 [digital]</v>
      </c>
      <c r="M5600" s="22" t="str">
        <f>HYPERLINK("mailto:draval@crm.otsuka-europe.com", "draval@crm.otsuka-europe.com")</f>
        <v>draval@crm.otsuka-europe.com</v>
      </c>
      <c r="N5600" s="23">
        <v>46178.558611111112</v>
      </c>
      <c r="O5600" s="14" t="str">
        <f>HYPERLINK("https://otsuka-europe-crm.veevavault.com/ui/#object/email_activity__v/V8C00000003O054", "EN-002089354")</f>
        <v>EN-002089354</v>
      </c>
    </row>
    <row r="5601" spans="1:15" ht="16" x14ac:dyDescent="0.2">
      <c r="A5601" s="19"/>
      <c r="B5601" s="19"/>
      <c r="C5601" s="19"/>
      <c r="D5601" s="19"/>
      <c r="E5601" s="19"/>
      <c r="F5601" s="19"/>
      <c r="G5601" s="19"/>
      <c r="H5601" s="19"/>
      <c r="I5601" s="19"/>
      <c r="J5601" s="19"/>
      <c r="K5601" s="19"/>
      <c r="L5601" s="19"/>
      <c r="M5601" s="19"/>
      <c r="N5601" s="19"/>
      <c r="O5601" s="14" t="str">
        <f>HYPERLINK("https://otsuka-europe-crm.veevavault.com/ui/#object/email_activity__v/V8C00000003O055", "EN-002089355")</f>
        <v>EN-002089355</v>
      </c>
    </row>
    <row r="5602" spans="1:15" ht="32" x14ac:dyDescent="0.2">
      <c r="A5602" s="7" t="str">
        <f>HYPERLINK("https://otsuka-europe-crm.veevavault.com/ui/#object/account__v/V4TZ06G6OB497T2", "Sally Elzayat")</f>
        <v>Sally Elzayat</v>
      </c>
      <c r="B5602" s="7" t="str">
        <f>HYPERLINK("https://otsuka-europe-crm.veevavault.com/ui/#object/vcountry__v/VENZ000004SONFK", "GB")</f>
        <v>GB</v>
      </c>
      <c r="C5602" s="8" t="s">
        <v>39</v>
      </c>
      <c r="D5602" s="9" t="str">
        <f>HYPERLINK("https://otsuka-europe-crm.veevavault.com/ui/#object/approved_document__v/V5O00000001H007", "DR P2P Invite 18-Jun-26 [digital]")</f>
        <v>DR P2P Invite 18-Jun-26 [digital]</v>
      </c>
      <c r="E5602" s="10" t="str">
        <f>HYPERLINK("https://otsuka-europe-crm.veevavault.com/ui/#object/sent_email__v/VBL00000002S062", "SE-001434137")</f>
        <v>SE-001434137</v>
      </c>
      <c r="F5602" s="11"/>
      <c r="G5602" s="12">
        <v>0</v>
      </c>
      <c r="H5602" s="12">
        <v>0</v>
      </c>
      <c r="I5602" s="12">
        <v>0</v>
      </c>
      <c r="J5602" s="11"/>
      <c r="K5602" s="12">
        <v>0</v>
      </c>
      <c r="L5602" s="10" t="str">
        <f>HYPERLINK("https://otsuka-europe-crm.veevavault.com/ui/#object/approved_document__v/V5O00000001H007", "DR P2P Invite 18-Jun-26 [digital]")</f>
        <v>DR P2P Invite 18-Jun-26 [digital]</v>
      </c>
      <c r="M5602" s="10" t="str">
        <f>HYPERLINK("mailto:draval@crm.otsuka-europe.com", "draval@crm.otsuka-europe.com")</f>
        <v>draval@crm.otsuka-europe.com</v>
      </c>
      <c r="N5602" s="13">
        <v>46178.567141203705</v>
      </c>
      <c r="O5602" s="14" t="str">
        <f>HYPERLINK("https://otsuka-europe-crm.veevavault.com/ui/#object/email_activity__v/V8C00000003P062", "EN-002089357")</f>
        <v>EN-002089357</v>
      </c>
    </row>
    <row r="5603" spans="1:15" ht="32" x14ac:dyDescent="0.2">
      <c r="A5603" s="7" t="str">
        <f>HYPERLINK("https://otsuka-europe-crm.veevavault.com/ui/#object/account__v/V4TZ06G6OB497T2", "Sally Elzayat")</f>
        <v>Sally Elzayat</v>
      </c>
      <c r="B5603" s="7" t="str">
        <f>HYPERLINK("https://otsuka-europe-crm.veevavault.com/ui/#object/vcountry__v/VENZ000004SONFK", "GB")</f>
        <v>GB</v>
      </c>
      <c r="C5603" s="8" t="s">
        <v>39</v>
      </c>
      <c r="D5603" s="9" t="str">
        <f>HYPERLINK("https://otsuka-europe-crm.veevavault.com/ui/#object/approved_document__v/V5O00000001H005", "LDM DR P2P Invite 23-Jun-26 [digital]")</f>
        <v>LDM DR P2P Invite 23-Jun-26 [digital]</v>
      </c>
      <c r="E5603" s="10" t="str">
        <f>HYPERLINK("https://otsuka-europe-crm.veevavault.com/ui/#object/sent_email__v/VBL00000002R017", "SE-001434138")</f>
        <v>SE-001434138</v>
      </c>
      <c r="F5603" s="11"/>
      <c r="G5603" s="12">
        <v>0</v>
      </c>
      <c r="H5603" s="12">
        <v>0</v>
      </c>
      <c r="I5603" s="12">
        <v>0</v>
      </c>
      <c r="J5603" s="11"/>
      <c r="K5603" s="12">
        <v>0</v>
      </c>
      <c r="L5603" s="10" t="str">
        <f>HYPERLINK("https://otsuka-europe-crm.veevavault.com/ui/#object/approved_document__v/V5O00000001H005", "LDM DR P2P Invite 23-Jun-26 [digital]")</f>
        <v>LDM DR P2P Invite 23-Jun-26 [digital]</v>
      </c>
      <c r="M5603" s="10" t="str">
        <f>HYPERLINK("mailto:draval@crm.otsuka-europe.com", "draval@crm.otsuka-europe.com")</f>
        <v>draval@crm.otsuka-europe.com</v>
      </c>
      <c r="N5603" s="13">
        <v>46178.567152777781</v>
      </c>
      <c r="O5603" s="14" t="str">
        <f>HYPERLINK("https://otsuka-europe-crm.veevavault.com/ui/#object/email_activity__v/V8C00000003O056", "EN-002089359")</f>
        <v>EN-002089359</v>
      </c>
    </row>
    <row r="5604" spans="1:15" ht="16" x14ac:dyDescent="0.2">
      <c r="A5604" s="17" t="str">
        <f>HYPERLINK("https://otsuka-europe-crm.veevavault.com/ui/#object/account__v/V4TZ0000062PAXC", "Ruchit Patel")</f>
        <v>Ruchit Patel</v>
      </c>
      <c r="B5604" s="17" t="str">
        <f>HYPERLINK("https://otsuka-europe-crm.veevavault.com/ui/#object/vcountry__v/VENZ000004SONFK", "GB")</f>
        <v>GB</v>
      </c>
      <c r="C5604" s="20" t="s">
        <v>39</v>
      </c>
      <c r="D5604" s="21" t="str">
        <f>HYPERLINK("https://otsuka-europe-crm.veevavault.com/ui/#object/approved_document__v/V5O00000001H007", "DR P2P Invite 18-Jun-26 [digital]")</f>
        <v>DR P2P Invite 18-Jun-26 [digital]</v>
      </c>
      <c r="E5604" s="22" t="str">
        <f>HYPERLINK("https://otsuka-europe-crm.veevavault.com/ui/#object/sent_email__v/VBL00000002R018", "SE-001434139")</f>
        <v>SE-001434139</v>
      </c>
      <c r="F5604" s="25"/>
      <c r="G5604" s="24">
        <v>0</v>
      </c>
      <c r="H5604" s="24">
        <v>0</v>
      </c>
      <c r="I5604" s="24">
        <v>0</v>
      </c>
      <c r="J5604" s="25"/>
      <c r="K5604" s="24">
        <v>0</v>
      </c>
      <c r="L5604" s="22" t="str">
        <f>HYPERLINK("https://otsuka-europe-crm.veevavault.com/ui/#object/approved_document__v/V5O00000001H007", "DR P2P Invite 18-Jun-26 [digital]")</f>
        <v>DR P2P Invite 18-Jun-26 [digital]</v>
      </c>
      <c r="M5604" s="22" t="str">
        <f>HYPERLINK("mailto:draval@crm.otsuka-europe.com", "draval@crm.otsuka-europe.com")</f>
        <v>draval@crm.otsuka-europe.com</v>
      </c>
      <c r="N5604" s="23">
        <v>46178.568506944444</v>
      </c>
      <c r="O5604" s="14" t="str">
        <f>HYPERLINK("https://otsuka-europe-crm.veevavault.com/ui/#object/email_activity__v/V8C00000003P069", "EN-002089365")</f>
        <v>EN-002089365</v>
      </c>
    </row>
    <row r="5605" spans="1:15" ht="16" x14ac:dyDescent="0.2">
      <c r="A5605" s="19"/>
      <c r="B5605" s="19"/>
      <c r="C5605" s="19"/>
      <c r="D5605" s="19"/>
      <c r="E5605" s="19"/>
      <c r="F5605" s="19"/>
      <c r="G5605" s="19"/>
      <c r="H5605" s="19"/>
      <c r="I5605" s="19"/>
      <c r="J5605" s="19"/>
      <c r="K5605" s="19"/>
      <c r="L5605" s="19"/>
      <c r="M5605" s="19"/>
      <c r="N5605" s="19"/>
      <c r="O5605" s="14" t="str">
        <f>HYPERLINK("https://otsuka-europe-crm.veevavault.com/ui/#object/email_activity__v/V8C00000003P074", "EN-002089378")</f>
        <v>EN-002089378</v>
      </c>
    </row>
    <row r="5606" spans="1:15" ht="16" x14ac:dyDescent="0.2">
      <c r="A5606" s="17" t="str">
        <f>HYPERLINK("https://otsuka-europe-crm.veevavault.com/ui/#object/account__v/V4TZ0000062PAXC", "Ruchit Patel")</f>
        <v>Ruchit Patel</v>
      </c>
      <c r="B5606" s="17" t="str">
        <f>HYPERLINK("https://otsuka-europe-crm.veevavault.com/ui/#object/vcountry__v/VENZ000004SONFK", "GB")</f>
        <v>GB</v>
      </c>
      <c r="C5606" s="20" t="s">
        <v>39</v>
      </c>
      <c r="D5606" s="21" t="str">
        <f>HYPERLINK("https://otsuka-europe-crm.veevavault.com/ui/#object/approved_document__v/V5O00000001H005", "LDM DR P2P Invite 23-Jun-26 [digital]")</f>
        <v>LDM DR P2P Invite 23-Jun-26 [digital]</v>
      </c>
      <c r="E5606" s="22" t="str">
        <f>HYPERLINK("https://otsuka-europe-crm.veevavault.com/ui/#object/sent_email__v/VBL00000002R019", "SE-001434140")</f>
        <v>SE-001434140</v>
      </c>
      <c r="F5606" s="25"/>
      <c r="G5606" s="24">
        <v>0</v>
      </c>
      <c r="H5606" s="24">
        <v>0</v>
      </c>
      <c r="I5606" s="24">
        <v>0</v>
      </c>
      <c r="J5606" s="25"/>
      <c r="K5606" s="24">
        <v>0</v>
      </c>
      <c r="L5606" s="22" t="str">
        <f>HYPERLINK("https://otsuka-europe-crm.veevavault.com/ui/#object/approved_document__v/V5O00000001H005", "LDM DR P2P Invite 23-Jun-26 [digital]")</f>
        <v>LDM DR P2P Invite 23-Jun-26 [digital]</v>
      </c>
      <c r="M5606" s="22" t="str">
        <f>HYPERLINK("mailto:draval@crm.otsuka-europe.com", "draval@crm.otsuka-europe.com")</f>
        <v>draval@crm.otsuka-europe.com</v>
      </c>
      <c r="N5606" s="23">
        <v>46178.568553240744</v>
      </c>
      <c r="O5606" s="14" t="str">
        <f>HYPERLINK("https://otsuka-europe-crm.veevavault.com/ui/#object/email_activity__v/V8C00000003P070", "EN-002089366")</f>
        <v>EN-002089366</v>
      </c>
    </row>
    <row r="5607" spans="1:15" ht="16" x14ac:dyDescent="0.2">
      <c r="A5607" s="19"/>
      <c r="B5607" s="19"/>
      <c r="C5607" s="19"/>
      <c r="D5607" s="19"/>
      <c r="E5607" s="19"/>
      <c r="F5607" s="19"/>
      <c r="G5607" s="19"/>
      <c r="H5607" s="19"/>
      <c r="I5607" s="19"/>
      <c r="J5607" s="19"/>
      <c r="K5607" s="19"/>
      <c r="L5607" s="19"/>
      <c r="M5607" s="19"/>
      <c r="N5607" s="19"/>
      <c r="O5607" s="14" t="str">
        <f>HYPERLINK("https://otsuka-europe-crm.veevavault.com/ui/#object/email_activity__v/V8C00000003P075", "EN-002089379")</f>
        <v>EN-002089379</v>
      </c>
    </row>
    <row r="5608" spans="1:15" ht="32" x14ac:dyDescent="0.2">
      <c r="A5608" s="7" t="str">
        <f>HYPERLINK("https://otsuka-europe-crm.veevavault.com/ui/#object/account__v/V4TZ0000062PC21", "Asma Bhutto")</f>
        <v>Asma Bhutto</v>
      </c>
      <c r="B5608" s="7" t="str">
        <f>HYPERLINK("https://otsuka-europe-crm.veevavault.com/ui/#object/vcountry__v/VENZ000004SONFK", "GB")</f>
        <v>GB</v>
      </c>
      <c r="C5608" s="8" t="s">
        <v>39</v>
      </c>
      <c r="D5608" s="9" t="str">
        <f>HYPERLINK("https://otsuka-europe-crm.veevavault.com/ui/#object/approved_document__v/V5O00000001H005", "LDM DR P2P Invite 23-Jun-26 [digital]")</f>
        <v>LDM DR P2P Invite 23-Jun-26 [digital]</v>
      </c>
      <c r="E5608" s="10" t="str">
        <f>HYPERLINK("https://otsuka-europe-crm.veevavault.com/ui/#object/sent_email__v/VBL00000002R020", "SE-001434141")</f>
        <v>SE-001434141</v>
      </c>
      <c r="F5608" s="11"/>
      <c r="G5608" s="12">
        <v>0</v>
      </c>
      <c r="H5608" s="12">
        <v>0</v>
      </c>
      <c r="I5608" s="12">
        <v>0</v>
      </c>
      <c r="J5608" s="11"/>
      <c r="K5608" s="12">
        <v>0</v>
      </c>
      <c r="L5608" s="10" t="str">
        <f>HYPERLINK("https://otsuka-europe-crm.veevavault.com/ui/#object/approved_document__v/V5O00000001H005", "LDM DR P2P Invite 23-Jun-26 [digital]")</f>
        <v>LDM DR P2P Invite 23-Jun-26 [digital]</v>
      </c>
      <c r="M5608" s="10" t="str">
        <f>HYPERLINK("mailto:draval@crm.otsuka-europe.com", "draval@crm.otsuka-europe.com")</f>
        <v>draval@crm.otsuka-europe.com</v>
      </c>
      <c r="N5608" s="13">
        <v>46178.569050925929</v>
      </c>
      <c r="O5608" s="14" t="str">
        <f>HYPERLINK("https://otsuka-europe-crm.veevavault.com/ui/#object/email_activity__v/V8C00000003P071", "EN-002089367")</f>
        <v>EN-002089367</v>
      </c>
    </row>
    <row r="5609" spans="1:15" ht="16" x14ac:dyDescent="0.2">
      <c r="A5609" s="17" t="str">
        <f>HYPERLINK("https://otsuka-europe-crm.veevavault.com/ui/#object/account__v/V4TZ0000062PH9G", "Felix Osode")</f>
        <v>Felix Osode</v>
      </c>
      <c r="B5609" s="17" t="str">
        <f>HYPERLINK("https://otsuka-europe-crm.veevavault.com/ui/#object/vcountry__v/VENZ000004SONFK", "GB")</f>
        <v>GB</v>
      </c>
      <c r="C5609" s="20" t="s">
        <v>39</v>
      </c>
      <c r="D5609" s="21" t="str">
        <f>HYPERLINK("https://otsuka-europe-crm.veevavault.com/ui/#object/approved_document__v/V5O00000001H005", "LDM DR P2P Invite 23-Jun-26 [digital]")</f>
        <v>LDM DR P2P Invite 23-Jun-26 [digital]</v>
      </c>
      <c r="E5609" s="22" t="str">
        <f>HYPERLINK("https://otsuka-europe-crm.veevavault.com/ui/#object/sent_email__v/VBL00000002R021", "SE-001434142")</f>
        <v>SE-001434142</v>
      </c>
      <c r="F5609" s="23">
        <v>46178.897731481484</v>
      </c>
      <c r="G5609" s="24">
        <v>1</v>
      </c>
      <c r="H5609" s="24">
        <v>1</v>
      </c>
      <c r="I5609" s="24">
        <v>0</v>
      </c>
      <c r="J5609" s="25"/>
      <c r="K5609" s="24">
        <v>0</v>
      </c>
      <c r="L5609" s="22" t="str">
        <f>HYPERLINK("https://otsuka-europe-crm.veevavault.com/ui/#object/approved_document__v/V5O00000001H005", "LDM DR P2P Invite 23-Jun-26 [digital]")</f>
        <v>LDM DR P2P Invite 23-Jun-26 [digital]</v>
      </c>
      <c r="M5609" s="22" t="str">
        <f>HYPERLINK("mailto:draval@crm.otsuka-europe.com", "draval@crm.otsuka-europe.com")</f>
        <v>draval@crm.otsuka-europe.com</v>
      </c>
      <c r="N5609" s="23">
        <v>46178.56925925926</v>
      </c>
      <c r="O5609" s="14" t="str">
        <f>HYPERLINK("https://otsuka-europe-crm.veevavault.com/ui/#object/email_activity__v/V8C00000003O057", "EN-002089368")</f>
        <v>EN-002089368</v>
      </c>
    </row>
    <row r="5610" spans="1:15" ht="16" x14ac:dyDescent="0.2">
      <c r="A5610" s="19"/>
      <c r="B5610" s="19"/>
      <c r="C5610" s="19"/>
      <c r="D5610" s="19"/>
      <c r="E5610" s="19"/>
      <c r="F5610" s="19"/>
      <c r="G5610" s="19"/>
      <c r="H5610" s="19"/>
      <c r="I5610" s="19"/>
      <c r="J5610" s="19"/>
      <c r="K5610" s="19"/>
      <c r="L5610" s="19"/>
      <c r="M5610" s="19"/>
      <c r="N5610" s="19"/>
      <c r="O5610" s="14" t="str">
        <f>HYPERLINK("https://otsuka-europe-crm.veevavault.com/ui/#object/email_activity__v/V8C00000003P088", "EN-002089401")</f>
        <v>EN-002089401</v>
      </c>
    </row>
    <row r="5611" spans="1:15" ht="32" x14ac:dyDescent="0.2">
      <c r="A5611" s="7" t="str">
        <f>HYPERLINK("https://otsuka-europe-crm.veevavault.com/ui/#object/account__v/V4TZ0000062PAPE", "Matthew Sawa")</f>
        <v>Matthew Sawa</v>
      </c>
      <c r="B5611" s="7" t="str">
        <f>HYPERLINK("https://otsuka-europe-crm.veevavault.com/ui/#object/vcountry__v/VENZ000004SONFK", "GB")</f>
        <v>GB</v>
      </c>
      <c r="C5611" s="8" t="s">
        <v>39</v>
      </c>
      <c r="D5611" s="9" t="str">
        <f>HYPERLINK("https://otsuka-europe-crm.veevavault.com/ui/#object/approved_document__v/V5O00000001H005", "LDM DR P2P Invite 23-Jun-26 [digital]")</f>
        <v>LDM DR P2P Invite 23-Jun-26 [digital]</v>
      </c>
      <c r="E5611" s="10" t="str">
        <f>HYPERLINK("https://otsuka-europe-crm.veevavault.com/ui/#object/sent_email__v/VBL00000002R022", "SE-001434143")</f>
        <v>SE-001434143</v>
      </c>
      <c r="F5611" s="11"/>
      <c r="G5611" s="12">
        <v>0</v>
      </c>
      <c r="H5611" s="12">
        <v>0</v>
      </c>
      <c r="I5611" s="12">
        <v>0</v>
      </c>
      <c r="J5611" s="11"/>
      <c r="K5611" s="12">
        <v>0</v>
      </c>
      <c r="L5611" s="10" t="str">
        <f>HYPERLINK("https://otsuka-europe-crm.veevavault.com/ui/#object/approved_document__v/V5O00000001H005", "LDM DR P2P Invite 23-Jun-26 [digital]")</f>
        <v>LDM DR P2P Invite 23-Jun-26 [digital]</v>
      </c>
      <c r="M5611" s="10" t="str">
        <f>HYPERLINK("mailto:draval@crm.otsuka-europe.com", "draval@crm.otsuka-europe.com")</f>
        <v>draval@crm.otsuka-europe.com</v>
      </c>
      <c r="N5611" s="13">
        <v>46178.569444444445</v>
      </c>
      <c r="O5611" s="14" t="str">
        <f>HYPERLINK("https://otsuka-europe-crm.veevavault.com/ui/#object/email_activity__v/V8C00000003P072", "EN-002089369")</f>
        <v>EN-002089369</v>
      </c>
    </row>
    <row r="5612" spans="1:15" ht="16" x14ac:dyDescent="0.2">
      <c r="A5612" s="17" t="str">
        <f>HYPERLINK("https://otsuka-europe-crm.veevavault.com/ui/#object/account__v/V4TZ0000062PDLI", "Manjeestha Das")</f>
        <v>Manjeestha Das</v>
      </c>
      <c r="B5612" s="17" t="str">
        <f>HYPERLINK("https://otsuka-europe-crm.veevavault.com/ui/#object/vcountry__v/VENZ000004SONFK", "GB")</f>
        <v>GB</v>
      </c>
      <c r="C5612" s="20" t="s">
        <v>39</v>
      </c>
      <c r="D5612" s="21" t="str">
        <f>HYPERLINK("https://otsuka-europe-crm.veevavault.com/ui/#object/approved_document__v/V5O00000001H005", "LDM DR P2P Invite 23-Jun-26 [digital]")</f>
        <v>LDM DR P2P Invite 23-Jun-26 [digital]</v>
      </c>
      <c r="E5612" s="22" t="str">
        <f>HYPERLINK("https://otsuka-europe-crm.veevavault.com/ui/#object/sent_email__v/VBL00000002R023", "SE-001434144")</f>
        <v>SE-001434144</v>
      </c>
      <c r="F5612" s="25"/>
      <c r="G5612" s="24">
        <v>0</v>
      </c>
      <c r="H5612" s="24">
        <v>0</v>
      </c>
      <c r="I5612" s="24">
        <v>0</v>
      </c>
      <c r="J5612" s="25"/>
      <c r="K5612" s="24">
        <v>0</v>
      </c>
      <c r="L5612" s="22" t="str">
        <f>HYPERLINK("https://otsuka-europe-crm.veevavault.com/ui/#object/approved_document__v/V5O00000001H005", "LDM DR P2P Invite 23-Jun-26 [digital]")</f>
        <v>LDM DR P2P Invite 23-Jun-26 [digital]</v>
      </c>
      <c r="M5612" s="22" t="str">
        <f>HYPERLINK("mailto:draval@crm.otsuka-europe.com", "draval@crm.otsuka-europe.com")</f>
        <v>draval@crm.otsuka-europe.com</v>
      </c>
      <c r="N5612" s="23">
        <v>46178.569918981484</v>
      </c>
      <c r="O5612" s="14" t="str">
        <f>HYPERLINK("https://otsuka-europe-crm.veevavault.com/ui/#object/email_activity__v/V8C00000003O058", "EN-002089370")</f>
        <v>EN-002089370</v>
      </c>
    </row>
    <row r="5613" spans="1:15" ht="16" x14ac:dyDescent="0.2">
      <c r="A5613" s="19"/>
      <c r="B5613" s="19"/>
      <c r="C5613" s="19"/>
      <c r="D5613" s="19"/>
      <c r="E5613" s="19"/>
      <c r="F5613" s="19"/>
      <c r="G5613" s="19"/>
      <c r="H5613" s="19"/>
      <c r="I5613" s="19"/>
      <c r="J5613" s="19"/>
      <c r="K5613" s="19"/>
      <c r="L5613" s="19"/>
      <c r="M5613" s="19"/>
      <c r="N5613" s="19"/>
      <c r="O5613" s="14" t="str">
        <f>HYPERLINK("https://otsuka-europe-crm.veevavault.com/ui/#object/email_activity__v/V8C00000003O104", "EN-002089458")</f>
        <v>EN-002089458</v>
      </c>
    </row>
    <row r="5614" spans="1:15" ht="32" x14ac:dyDescent="0.2">
      <c r="A5614" s="7" t="str">
        <f>HYPERLINK("https://otsuka-europe-crm.veevavault.com/ui/#object/account__v/V4TZ025E86URB9P", "VALERIA CALAFIORE")</f>
        <v>VALERIA CALAFIORE</v>
      </c>
      <c r="B5614" s="7" t="str">
        <f>HYPERLINK("https://otsuka-europe-crm.veevavault.com/ui/#object/vcountry__v/VENZ000004SONFQ", "IT")</f>
        <v>IT</v>
      </c>
      <c r="C5614" s="8" t="s">
        <v>44</v>
      </c>
      <c r="D5614" s="9" t="str">
        <f>HYPERLINK("https://otsuka-europe-crm.veevavault.com/ui/#object/approved_document__v/V5OZ025E82TI1KD", "DEM MUTAZIONE tp53")</f>
        <v>DEM MUTAZIONE tp53</v>
      </c>
      <c r="E5614" s="10" t="str">
        <f>HYPERLINK("https://otsuka-europe-crm.veevavault.com/ui/#object/sent_email__v/VBL00000002S063", "SE-001434145")</f>
        <v>SE-001434145</v>
      </c>
      <c r="F5614" s="11"/>
      <c r="G5614" s="12">
        <v>0</v>
      </c>
      <c r="H5614" s="12">
        <v>0</v>
      </c>
      <c r="I5614" s="12">
        <v>0</v>
      </c>
      <c r="J5614" s="11"/>
      <c r="K5614" s="12">
        <v>0</v>
      </c>
      <c r="L5614" s="10" t="str">
        <f>HYPERLINK("https://otsuka-europe-crm.veevavault.com/ui/#object/approved_document__v/V5OZ025E82TI1KD", "DEM MUTAZIONE tp53")</f>
        <v>DEM MUTAZIONE tp53</v>
      </c>
      <c r="M5614" s="10" t="str">
        <f>HYPERLINK("mailto:vincenzo.marchese@crm.otsuka-europe.com", "vincenzo.marchese@crm.otsuka-europe.com")</f>
        <v>vincenzo.marchese@crm.otsuka-europe.com</v>
      </c>
      <c r="N5614" s="13">
        <v>46178.635671296295</v>
      </c>
      <c r="O5614" s="14" t="str">
        <f>HYPERLINK("https://otsuka-europe-crm.veevavault.com/ui/#object/email_activity__v/V8C00000003P078", "EN-002089383")</f>
        <v>EN-002089383</v>
      </c>
    </row>
    <row r="5615" spans="1:15" ht="16" x14ac:dyDescent="0.2">
      <c r="A5615" s="17" t="str">
        <f>HYPERLINK("https://otsuka-europe-crm.veevavault.com/ui/#object/account__v/V4T000000023025", "Dyna George")</f>
        <v>Dyna George</v>
      </c>
      <c r="B5615" s="17" t="str">
        <f>HYPERLINK("https://otsuka-europe-crm.veevavault.com/ui/#object/vcountry__v/VENZ000004SONFK", "GB")</f>
        <v>GB</v>
      </c>
      <c r="C5615" s="20" t="s">
        <v>39</v>
      </c>
      <c r="D5615" s="21" t="str">
        <f>HYPERLINK("https://otsuka-europe-crm.veevavault.com/ui/#object/approved_document__v/V5OZ025E82PXJSL", "Otsuka Privacy Notice - UK (v2)")</f>
        <v>Otsuka Privacy Notice - UK (v2)</v>
      </c>
      <c r="E5615" s="22" t="str">
        <f>HYPERLINK("https://otsuka-europe-crm.veevavault.com/ui/#object/sent_email__v/VBL00000002S064", "SE-001434146")</f>
        <v>SE-001434146</v>
      </c>
      <c r="F5615" s="23">
        <v>46178.681504629632</v>
      </c>
      <c r="G5615" s="24">
        <v>1</v>
      </c>
      <c r="H5615" s="24">
        <v>1</v>
      </c>
      <c r="I5615" s="24">
        <v>0</v>
      </c>
      <c r="J5615" s="25"/>
      <c r="K5615" s="24">
        <v>0</v>
      </c>
      <c r="L5615" s="22" t="str">
        <f>HYPERLINK("https://otsuka-europe-crm.veevavault.com/ui/#object/approved_document__v/V5OZ025E82PXJSL", "Otsuka Privacy Notice - UK (v2)")</f>
        <v>Otsuka Privacy Notice - UK (v2)</v>
      </c>
      <c r="M5615" s="22" t="str">
        <f>HYPERLINK("mailto:KWood@crm.otsuka-europe.com", "KWood@crm.otsuka-europe.com")</f>
        <v>KWood@crm.otsuka-europe.com</v>
      </c>
      <c r="N5615" s="23">
        <v>46178.68072916667</v>
      </c>
      <c r="O5615" s="14" t="str">
        <f>HYPERLINK("https://otsuka-europe-crm.veevavault.com/ui/#object/email_activity__v/V8C00000003P082", "EN-002089388")</f>
        <v>EN-002089388</v>
      </c>
    </row>
    <row r="5616" spans="1:15" ht="16" x14ac:dyDescent="0.2">
      <c r="A5616" s="19"/>
      <c r="B5616" s="19"/>
      <c r="C5616" s="19"/>
      <c r="D5616" s="19"/>
      <c r="E5616" s="19"/>
      <c r="F5616" s="19"/>
      <c r="G5616" s="19"/>
      <c r="H5616" s="19"/>
      <c r="I5616" s="19"/>
      <c r="J5616" s="19"/>
      <c r="K5616" s="19"/>
      <c r="L5616" s="19"/>
      <c r="M5616" s="19"/>
      <c r="N5616" s="19"/>
      <c r="O5616" s="14" t="str">
        <f>HYPERLINK("https://otsuka-europe-crm.veevavault.com/ui/#object/email_activity__v/V8C00000003P083", "EN-002089389")</f>
        <v>EN-002089389</v>
      </c>
    </row>
    <row r="5617" spans="1:15" ht="32" x14ac:dyDescent="0.2">
      <c r="A5617" s="7" t="str">
        <f>HYPERLINK("https://otsuka-europe-crm.veevavault.com/ui/#object/account__v/V4T000000022026", "ALBERTO DECIMO")</f>
        <v>ALBERTO DECIMO</v>
      </c>
      <c r="B5617" s="7" t="str">
        <f>HYPERLINK("https://otsuka-europe-crm.veevavault.com/ui/#object/vcountry__v/VENZ000004SONFQ", "IT")</f>
        <v>IT</v>
      </c>
      <c r="C5617" s="8" t="s">
        <v>44</v>
      </c>
      <c r="D5617" s="9" t="str">
        <f>HYPERLINK("https://otsuka-europe-crm.veevavault.com/ui/#object/approved_document__v/V5OZ025E82LS9PY", "IT ToV Veeva Privacy Notice Email")</f>
        <v>IT ToV Veeva Privacy Notice Email</v>
      </c>
      <c r="E5617" s="10" t="str">
        <f>HYPERLINK("https://otsuka-europe-crm.veevavault.com/ui/#object/sent_email__v/VBL00000002S065", "SE-001434147")</f>
        <v>SE-001434147</v>
      </c>
      <c r="F5617" s="11"/>
      <c r="G5617" s="12">
        <v>0</v>
      </c>
      <c r="H5617" s="12">
        <v>0</v>
      </c>
      <c r="I5617" s="12">
        <v>0</v>
      </c>
      <c r="J5617" s="11"/>
      <c r="K5617" s="12">
        <v>0</v>
      </c>
      <c r="L5617" s="10" t="str">
        <f>HYPERLINK("https://otsuka-europe-crm.veevavault.com/ui/#object/approved_document__v/V5OZ025E82LS9PY", "IT ToV Veeva Privacy Notice Email")</f>
        <v>IT ToV Veeva Privacy Notice Email</v>
      </c>
      <c r="M5617" s="10" t="str">
        <f>HYPERLINK("mailto:maria.gargiulo@crm.otsuka-europe.com", "maria.gargiulo@crm.otsuka-europe.com")</f>
        <v>maria.gargiulo@crm.otsuka-europe.com</v>
      </c>
      <c r="N5617" s="13">
        <v>46180.696099537039</v>
      </c>
      <c r="O5617" s="14" t="str">
        <f>HYPERLINK("https://otsuka-europe-crm.veevavault.com/ui/#object/email_activity__v/V8C00000003P122", "EN-002089476")</f>
        <v>EN-002089476</v>
      </c>
    </row>
    <row r="5618" spans="1:15" ht="48" x14ac:dyDescent="0.2">
      <c r="A5618" s="7" t="str">
        <f>HYPERLINK("https://otsuka-europe-crm.veevavault.com/ui/#object/account__v/V4TZ025E83FFVTQ", "JORGE LABRADOR GOMEZ")</f>
        <v>JORGE LABRADOR GOMEZ</v>
      </c>
      <c r="B5618" s="7" t="str">
        <f>HYPERLINK("https://otsuka-europe-crm.veevavault.com/ui/#object/vcountry__v/VENZ000004SONF5", "ES")</f>
        <v>ES</v>
      </c>
      <c r="C5618" s="8" t="s">
        <v>41</v>
      </c>
      <c r="D5618" s="9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5618" s="10" t="str">
        <f>HYPERLINK("https://otsuka-europe-crm.veevavault.com/ui/#object/sent_email__v/VBL00000002R024", "SE-001434148")</f>
        <v>SE-001434148</v>
      </c>
      <c r="F5618" s="11"/>
      <c r="G5618" s="12">
        <v>0</v>
      </c>
      <c r="H5618" s="12">
        <v>0</v>
      </c>
      <c r="I5618" s="12">
        <v>0</v>
      </c>
      <c r="J5618" s="11"/>
      <c r="K5618" s="12">
        <v>0</v>
      </c>
      <c r="L5618" s="10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5618" s="10" t="str">
        <f>HYPERLINK("mailto:pmartinez@crm.otsuka-europe.com", "pmartinez@crm.otsuka-europe.com")</f>
        <v>pmartinez@crm.otsuka-europe.com</v>
      </c>
      <c r="N5618" s="13">
        <v>46181.348958333336</v>
      </c>
      <c r="O5618" s="14" t="str">
        <f>HYPERLINK("https://otsuka-europe-crm.veevavault.com/ui/#object/email_activity__v/V8C00000003Q314", "EN-002091470")</f>
        <v>EN-002091470</v>
      </c>
    </row>
    <row r="5619" spans="1:15" ht="32" x14ac:dyDescent="0.2">
      <c r="A5619" s="7" t="str">
        <f>HYPERLINK("https://otsuka-europe-crm.veevavault.com/ui/#object/account__v/V4TZ00000633KDZ", "NICOLAS SALOME")</f>
        <v>NICOLAS SALOME</v>
      </c>
      <c r="B5619" s="7" t="str">
        <f>HYPERLINK("https://otsuka-europe-crm.veevavault.com/ui/#object/vcountry__v/VENZ000004SONFA", "FR")</f>
        <v>FR</v>
      </c>
      <c r="C5619" s="8" t="s">
        <v>42</v>
      </c>
      <c r="D5619" s="9" t="str">
        <f>HYPERLINK("https://otsuka-europe-crm.veevavault.com/ui/#object/approved_document__v/V5OZ04ASG4G02Y6", "INVITATION_VAD_2023")</f>
        <v>INVITATION_VAD_2023</v>
      </c>
      <c r="E5619" s="10" t="str">
        <f>HYPERLINK("https://otsuka-europe-crm.veevavault.com/ui/#object/sent_email__v/VBL00000002S066", "SE-001434149")</f>
        <v>SE-001434149</v>
      </c>
      <c r="F5619" s="11"/>
      <c r="G5619" s="12">
        <v>0</v>
      </c>
      <c r="H5619" s="12">
        <v>0</v>
      </c>
      <c r="I5619" s="12">
        <v>0</v>
      </c>
      <c r="J5619" s="11"/>
      <c r="K5619" s="12">
        <v>0</v>
      </c>
      <c r="L5619" s="10" t="str">
        <f>HYPERLINK("https://otsuka-europe-crm.veevavault.com/ui/#object/approved_document__v/V5OZ04ASG4G02Y6", "INVITATION_VAD_2023")</f>
        <v>INVITATION_VAD_2023</v>
      </c>
      <c r="M5619" s="10" t="str">
        <f>HYPERLINK("mailto:cchevalliermiserole@crm.otsuka-europe.com", "cchevalliermiserole@crm.otsuka-europe.com")</f>
        <v>cchevalliermiserole@crm.otsuka-europe.com</v>
      </c>
      <c r="N5619" s="13">
        <v>46181.371562499997</v>
      </c>
      <c r="O5619" s="14" t="str">
        <f>HYPERLINK("https://otsuka-europe-crm.veevavault.com/ui/#object/email_activity__v/V8C00000003P940", "EN-002091520")</f>
        <v>EN-002091520</v>
      </c>
    </row>
    <row r="5620" spans="1:15" ht="32" x14ac:dyDescent="0.2">
      <c r="A5620" s="7" t="str">
        <f>HYPERLINK("https://otsuka-europe-crm.veevavault.com/ui/#object/account__v/V4TZ0000062PH48", "Chan Nyein")</f>
        <v>Chan Nyein</v>
      </c>
      <c r="B5620" s="7" t="str">
        <f>HYPERLINK("https://otsuka-europe-crm.veevavault.com/ui/#object/vcountry__v/VENZ000004SONFK", "GB")</f>
        <v>GB</v>
      </c>
      <c r="C5620" s="8" t="s">
        <v>39</v>
      </c>
      <c r="D5620" s="9" t="str">
        <f>HYPERLINK("https://otsuka-europe-crm.veevavault.com/ui/#object/approved_document__v/V5O00000001H005", "LDM DR P2P Invite 23-Jun-26 [digital]")</f>
        <v>LDM DR P2P Invite 23-Jun-26 [digital]</v>
      </c>
      <c r="E5620" s="10" t="str">
        <f>HYPERLINK("https://otsuka-europe-crm.veevavault.com/ui/#object/sent_email__v/VBL00000002S067", "SE-001434150")</f>
        <v>SE-001434150</v>
      </c>
      <c r="F5620" s="11"/>
      <c r="G5620" s="12">
        <v>0</v>
      </c>
      <c r="H5620" s="12">
        <v>0</v>
      </c>
      <c r="I5620" s="12">
        <v>0</v>
      </c>
      <c r="J5620" s="11"/>
      <c r="K5620" s="12">
        <v>0</v>
      </c>
      <c r="L5620" s="10" t="str">
        <f>HYPERLINK("https://otsuka-europe-crm.veevavault.com/ui/#object/approved_document__v/V5O00000001H005", "LDM DR P2P Invite 23-Jun-26 [digital]")</f>
        <v>LDM DR P2P Invite 23-Jun-26 [digital]</v>
      </c>
      <c r="M5620" s="10" t="str">
        <f>HYPERLINK("mailto:draval@crm.otsuka-europe.com", "draval@crm.otsuka-europe.com")</f>
        <v>draval@crm.otsuka-europe.com</v>
      </c>
      <c r="N5620" s="13">
        <v>46181.373981481483</v>
      </c>
      <c r="O5620" s="14" t="str">
        <f>HYPERLINK("https://otsuka-europe-crm.veevavault.com/ui/#object/email_activity__v/V8C00000003Q346", "EN-002091525")</f>
        <v>EN-002091525</v>
      </c>
    </row>
    <row r="5621" spans="1:15" ht="32" x14ac:dyDescent="0.2">
      <c r="A5621" s="7" t="str">
        <f>HYPERLINK("https://otsuka-europe-crm.veevavault.com/ui/#object/account__v/V4TZ025E8562V85", "Blessing Nyahora")</f>
        <v>Blessing Nyahora</v>
      </c>
      <c r="B5621" s="7" t="str">
        <f>HYPERLINK("https://otsuka-europe-crm.veevavault.com/ui/#object/vcountry__v/VENZ000004SONFK", "GB")</f>
        <v>GB</v>
      </c>
      <c r="C5621" s="8" t="s">
        <v>39</v>
      </c>
      <c r="D5621" s="9" t="str">
        <f>HYPERLINK("https://otsuka-europe-crm.veevavault.com/ui/#object/approved_document__v/V5O00000001H005", "LDM DR P2P Invite 23-Jun-26 [digital]")</f>
        <v>LDM DR P2P Invite 23-Jun-26 [digital]</v>
      </c>
      <c r="E5621" s="10" t="str">
        <f>HYPERLINK("https://otsuka-europe-crm.veevavault.com/ui/#object/sent_email__v/VBL00000002S068", "SE-001434151")</f>
        <v>SE-001434151</v>
      </c>
      <c r="F5621" s="11"/>
      <c r="G5621" s="12">
        <v>0</v>
      </c>
      <c r="H5621" s="12">
        <v>0</v>
      </c>
      <c r="I5621" s="12">
        <v>0</v>
      </c>
      <c r="J5621" s="11"/>
      <c r="K5621" s="12">
        <v>0</v>
      </c>
      <c r="L5621" s="10" t="str">
        <f>HYPERLINK("https://otsuka-europe-crm.veevavault.com/ui/#object/approved_document__v/V5O00000001H005", "LDM DR P2P Invite 23-Jun-26 [digital]")</f>
        <v>LDM DR P2P Invite 23-Jun-26 [digital]</v>
      </c>
      <c r="M5621" s="10" t="str">
        <f>HYPERLINK("mailto:draval@crm.otsuka-europe.com", "draval@crm.otsuka-europe.com")</f>
        <v>draval@crm.otsuka-europe.com</v>
      </c>
      <c r="N5621" s="13">
        <v>46181.374502314815</v>
      </c>
      <c r="O5621" s="14" t="str">
        <f>HYPERLINK("https://otsuka-europe-crm.veevavault.com/ui/#object/email_activity__v/V8C00000003Q347", "EN-002091526")</f>
        <v>EN-002091526</v>
      </c>
    </row>
    <row r="5622" spans="1:15" ht="16" x14ac:dyDescent="0.2">
      <c r="A5622" s="17" t="str">
        <f>HYPERLINK("https://otsuka-europe-crm.veevavault.com/ui/#object/account__v/V4TZ06G6O71TCJO", "ANTONIO ZAPATERO GAVIRIA")</f>
        <v>ANTONIO ZAPATERO GAVIRIA</v>
      </c>
      <c r="B5622" s="17" t="str">
        <f>HYPERLINK("https://otsuka-europe-crm.veevavault.com/ui/#object/vcountry__v/VENZ000004SONF5", "ES")</f>
        <v>ES</v>
      </c>
      <c r="C5622" s="20" t="s">
        <v>41</v>
      </c>
      <c r="D5622" s="21" t="str">
        <f>HYPERLINK("https://otsuka-europe-crm.veevavault.com/ui/#object/approved_document__v/V5O00000001H025", "LUP - VAE invitación simposio SEN-SER - Reuma")</f>
        <v>LUP - VAE invitación simposio SEN-SER - Reuma</v>
      </c>
      <c r="E5622" s="22" t="str">
        <f>HYPERLINK("https://otsuka-europe-crm.veevavault.com/ui/#object/sent_email__v/VBL00000002R025", "SE-001434152")</f>
        <v>SE-001434152</v>
      </c>
      <c r="F5622" s="23">
        <v>46181.376261574071</v>
      </c>
      <c r="G5622" s="24">
        <v>1</v>
      </c>
      <c r="H5622" s="24">
        <v>1</v>
      </c>
      <c r="I5622" s="24">
        <v>1</v>
      </c>
      <c r="J5622" s="23">
        <v>46181.376261574071</v>
      </c>
      <c r="K5622" s="24">
        <v>1</v>
      </c>
      <c r="L5622" s="22" t="str">
        <f>HYPERLINK("https://otsuka-europe-crm.veevavault.com/ui/#object/approved_document__v/V5O00000001H025", "LUP - VAE invitación simposio SEN-SER - Reuma")</f>
        <v>LUP - VAE invitación simposio SEN-SER - Reuma</v>
      </c>
      <c r="M5622" s="22" t="str">
        <f>HYPERLINK("mailto:jguri@crm.otsuka-europe.com", "jguri@crm.otsuka-europe.com")</f>
        <v>jguri@crm.otsuka-europe.com</v>
      </c>
      <c r="N5622" s="23">
        <v>46181.37572916667</v>
      </c>
      <c r="O5622" s="14" t="str">
        <f>HYPERLINK("https://otsuka-europe-crm.veevavault.com/ui/#object/email_activity__v/V8C00000003P955", "EN-002091577")</f>
        <v>EN-002091577</v>
      </c>
    </row>
    <row r="5623" spans="1:15" ht="16" x14ac:dyDescent="0.2">
      <c r="A5623" s="18"/>
      <c r="B5623" s="18"/>
      <c r="C5623" s="18"/>
      <c r="D5623" s="18"/>
      <c r="E5623" s="18"/>
      <c r="F5623" s="18"/>
      <c r="G5623" s="18"/>
      <c r="H5623" s="18"/>
      <c r="I5623" s="18"/>
      <c r="J5623" s="18"/>
      <c r="K5623" s="18"/>
      <c r="L5623" s="18"/>
      <c r="M5623" s="18"/>
      <c r="N5623" s="18"/>
      <c r="O5623" s="14" t="str">
        <f>HYPERLINK("https://otsuka-europe-crm.veevavault.com/ui/#object/email_activity__v/V8C00000003P956", "EN-002091575")</f>
        <v>EN-002091575</v>
      </c>
    </row>
    <row r="5624" spans="1:15" ht="16" x14ac:dyDescent="0.2">
      <c r="A5624" s="18"/>
      <c r="B5624" s="18"/>
      <c r="C5624" s="18"/>
      <c r="D5624" s="18"/>
      <c r="E5624" s="18"/>
      <c r="F5624" s="18"/>
      <c r="G5624" s="18"/>
      <c r="H5624" s="18"/>
      <c r="I5624" s="18"/>
      <c r="J5624" s="18"/>
      <c r="K5624" s="18"/>
      <c r="L5624" s="18"/>
      <c r="M5624" s="18"/>
      <c r="N5624" s="18"/>
      <c r="O5624" s="14" t="str">
        <f>HYPERLINK("https://otsuka-europe-crm.veevavault.com/ui/#object/email_activity__v/V8C00000003Q372", "EN-002091558")</f>
        <v>EN-002091558</v>
      </c>
    </row>
    <row r="5625" spans="1:15" ht="16" x14ac:dyDescent="0.2">
      <c r="A5625" s="18"/>
      <c r="B5625" s="18"/>
      <c r="C5625" s="18"/>
      <c r="D5625" s="18"/>
      <c r="E5625" s="18"/>
      <c r="F5625" s="18"/>
      <c r="G5625" s="18"/>
      <c r="H5625" s="18"/>
      <c r="I5625" s="18"/>
      <c r="J5625" s="18"/>
      <c r="K5625" s="18"/>
      <c r="L5625" s="18"/>
      <c r="M5625" s="18"/>
      <c r="N5625" s="18"/>
      <c r="O5625" s="14" t="str">
        <f>HYPERLINK("https://otsuka-europe-crm.veevavault.com/ui/#object/email_activity__v/V8C00000003Q462", "EN-002091703")</f>
        <v>EN-002091703</v>
      </c>
    </row>
    <row r="5626" spans="1:15" ht="16" x14ac:dyDescent="0.2">
      <c r="A5626" s="19"/>
      <c r="B5626" s="19"/>
      <c r="C5626" s="19"/>
      <c r="D5626" s="19"/>
      <c r="E5626" s="19"/>
      <c r="F5626" s="19"/>
      <c r="G5626" s="19"/>
      <c r="H5626" s="19"/>
      <c r="I5626" s="19"/>
      <c r="J5626" s="19"/>
      <c r="K5626" s="19"/>
      <c r="L5626" s="19"/>
      <c r="M5626" s="19"/>
      <c r="N5626" s="19"/>
      <c r="O5626" s="14" t="str">
        <f>HYPERLINK("https://otsuka-europe-crm.veevavault.com/ui/#object/email_activity__v/V8C00000003R109", "EN-002091890")</f>
        <v>EN-002091890</v>
      </c>
    </row>
    <row r="5627" spans="1:15" ht="16" x14ac:dyDescent="0.2">
      <c r="A5627" s="17" t="str">
        <f>HYPERLINK("https://otsuka-europe-crm.veevavault.com/ui/#object/account__v/V4TZ04ASGAPA4VX", "MARIA ESTHER TOLEDANO MARTINEZ")</f>
        <v>MARIA ESTHER TOLEDANO MARTINEZ</v>
      </c>
      <c r="B5627" s="17" t="str">
        <f>HYPERLINK("https://otsuka-europe-crm.veevavault.com/ui/#object/vcountry__v/VENZ000004SONF5", "ES")</f>
        <v>ES</v>
      </c>
      <c r="C5627" s="20" t="s">
        <v>41</v>
      </c>
      <c r="D5627" s="21" t="str">
        <f>HYPERLINK("https://otsuka-europe-crm.veevavault.com/ui/#object/approved_document__v/V5O00000001H025", "LUP - VAE invitación simposio SEN-SER - Reuma")</f>
        <v>LUP - VAE invitación simposio SEN-SER - Reuma</v>
      </c>
      <c r="E5627" s="22" t="str">
        <f>HYPERLINK("https://otsuka-europe-crm.veevavault.com/ui/#object/sent_email__v/VBL00000002R026", "SE-001434153")</f>
        <v>SE-001434153</v>
      </c>
      <c r="F5627" s="25"/>
      <c r="G5627" s="24">
        <v>0</v>
      </c>
      <c r="H5627" s="24">
        <v>0</v>
      </c>
      <c r="I5627" s="24">
        <v>0</v>
      </c>
      <c r="J5627" s="25"/>
      <c r="K5627" s="24">
        <v>0</v>
      </c>
      <c r="L5627" s="22" t="str">
        <f>HYPERLINK("https://otsuka-europe-crm.veevavault.com/ui/#object/approved_document__v/V5O00000001H025", "LUP - VAE invitación simposio SEN-SER - Reuma")</f>
        <v>LUP - VAE invitación simposio SEN-SER - Reuma</v>
      </c>
      <c r="M5627" s="22" t="str">
        <f>HYPERLINK("mailto:jguri@crm.otsuka-europe.com", "jguri@crm.otsuka-europe.com")</f>
        <v>jguri@crm.otsuka-europe.com</v>
      </c>
      <c r="N5627" s="23">
        <v>46181.37572916667</v>
      </c>
      <c r="O5627" s="14" t="str">
        <f>HYPERLINK("https://otsuka-europe-crm.veevavault.com/ui/#object/email_activity__v/V8C00000003P947", "EN-002091555")</f>
        <v>EN-002091555</v>
      </c>
    </row>
    <row r="5628" spans="1:15" ht="16" x14ac:dyDescent="0.2">
      <c r="A5628" s="19"/>
      <c r="B5628" s="19"/>
      <c r="C5628" s="19"/>
      <c r="D5628" s="19"/>
      <c r="E5628" s="19"/>
      <c r="F5628" s="19"/>
      <c r="G5628" s="19"/>
      <c r="H5628" s="19"/>
      <c r="I5628" s="19"/>
      <c r="J5628" s="19"/>
      <c r="K5628" s="19"/>
      <c r="L5628" s="19"/>
      <c r="M5628" s="19"/>
      <c r="N5628" s="19"/>
      <c r="O5628" s="14" t="str">
        <f>HYPERLINK("https://otsuka-europe-crm.veevavault.com/ui/#object/email_activity__v/V8C00000003Q733", "EN-002092295")</f>
        <v>EN-002092295</v>
      </c>
    </row>
    <row r="5629" spans="1:15" ht="16" x14ac:dyDescent="0.2">
      <c r="A5629" s="17" t="str">
        <f>HYPERLINK("https://otsuka-europe-crm.veevavault.com/ui/#object/account__v/V4TZ04ASGAZZYJK", "CELIA ARCONADA LOPEZ")</f>
        <v>CELIA ARCONADA LOPEZ</v>
      </c>
      <c r="B5629" s="17" t="str">
        <f>HYPERLINK("https://otsuka-europe-crm.veevavault.com/ui/#object/vcountry__v/VENZ000004SONF5", "ES")</f>
        <v>ES</v>
      </c>
      <c r="C5629" s="20" t="s">
        <v>41</v>
      </c>
      <c r="D5629" s="21" t="str">
        <f>HYPERLINK("https://otsuka-europe-crm.veevavault.com/ui/#object/approved_document__v/V5O00000001H025", "LUP - VAE invitación simposio SEN-SER - Reuma")</f>
        <v>LUP - VAE invitación simposio SEN-SER - Reuma</v>
      </c>
      <c r="E5629" s="22" t="str">
        <f>HYPERLINK("https://otsuka-europe-crm.veevavault.com/ui/#object/sent_email__v/VBL00000002R027", "SE-001434154")</f>
        <v>SE-001434154</v>
      </c>
      <c r="F5629" s="25"/>
      <c r="G5629" s="24">
        <v>0</v>
      </c>
      <c r="H5629" s="24">
        <v>0</v>
      </c>
      <c r="I5629" s="24">
        <v>0</v>
      </c>
      <c r="J5629" s="25"/>
      <c r="K5629" s="24">
        <v>0</v>
      </c>
      <c r="L5629" s="22" t="str">
        <f>HYPERLINK("https://otsuka-europe-crm.veevavault.com/ui/#object/approved_document__v/V5O00000001H025", "LUP - VAE invitación simposio SEN-SER - Reuma")</f>
        <v>LUP - VAE invitación simposio SEN-SER - Reuma</v>
      </c>
      <c r="M5629" s="22" t="str">
        <f>HYPERLINK("mailto:jguri@crm.otsuka-europe.com", "jguri@crm.otsuka-europe.com")</f>
        <v>jguri@crm.otsuka-europe.com</v>
      </c>
      <c r="N5629" s="23">
        <v>46181.37572916667</v>
      </c>
      <c r="O5629" s="14" t="str">
        <f>HYPERLINK("https://otsuka-europe-crm.veevavault.com/ui/#object/email_activity__v/V8C00000003P944", "EN-002091552")</f>
        <v>EN-002091552</v>
      </c>
    </row>
    <row r="5630" spans="1:15" ht="16" x14ac:dyDescent="0.2">
      <c r="A5630" s="19"/>
      <c r="B5630" s="19"/>
      <c r="C5630" s="19"/>
      <c r="D5630" s="19"/>
      <c r="E5630" s="19"/>
      <c r="F5630" s="19"/>
      <c r="G5630" s="19"/>
      <c r="H5630" s="19"/>
      <c r="I5630" s="19"/>
      <c r="J5630" s="19"/>
      <c r="K5630" s="19"/>
      <c r="L5630" s="19"/>
      <c r="M5630" s="19"/>
      <c r="N5630" s="19"/>
      <c r="O5630" s="14" t="str">
        <f>HYPERLINK("https://otsuka-europe-crm.veevavault.com/ui/#object/email_activity__v/V8C00000003Q478", "EN-002091725")</f>
        <v>EN-002091725</v>
      </c>
    </row>
    <row r="5631" spans="1:15" ht="32" x14ac:dyDescent="0.2">
      <c r="A5631" s="7" t="str">
        <f>HYPERLINK("https://otsuka-europe-crm.veevavault.com/ui/#object/account__v/V4TZ025E86JDZUQ", "MARIA JESUS MARTINEZ BLASCO")</f>
        <v>MARIA JESUS MARTINEZ BLASCO</v>
      </c>
      <c r="B5631" s="7" t="str">
        <f t="shared" ref="B5631:B5636" si="594">HYPERLINK("https://otsuka-europe-crm.veevavault.com/ui/#object/vcountry__v/VENZ000004SONF5", "ES")</f>
        <v>ES</v>
      </c>
      <c r="C5631" s="8" t="s">
        <v>41</v>
      </c>
      <c r="D5631" s="9" t="str">
        <f t="shared" ref="D5631:D5636" si="595">HYPERLINK("https://otsuka-europe-crm.veevavault.com/ui/#object/approved_document__v/V5O00000001H025", "LUP - VAE invitación simposio SEN-SER - Reuma")</f>
        <v>LUP - VAE invitación simposio SEN-SER - Reuma</v>
      </c>
      <c r="E5631" s="10" t="str">
        <f>HYPERLINK("https://otsuka-europe-crm.veevavault.com/ui/#object/sent_email__v/VBL00000002R028", "SE-001434155")</f>
        <v>SE-001434155</v>
      </c>
      <c r="F5631" s="11"/>
      <c r="G5631" s="12">
        <v>0</v>
      </c>
      <c r="H5631" s="12">
        <v>0</v>
      </c>
      <c r="I5631" s="12">
        <v>0</v>
      </c>
      <c r="J5631" s="11"/>
      <c r="K5631" s="12">
        <v>0</v>
      </c>
      <c r="L5631" s="10" t="str">
        <f t="shared" ref="L5631:L5636" si="596">HYPERLINK("https://otsuka-europe-crm.veevavault.com/ui/#object/approved_document__v/V5O00000001H025", "LUP - VAE invitación simposio SEN-SER - Reuma")</f>
        <v>LUP - VAE invitación simposio SEN-SER - Reuma</v>
      </c>
      <c r="M5631" s="10" t="str">
        <f t="shared" ref="M5631:M5636" si="597">HYPERLINK("mailto:jguri@crm.otsuka-europe.com", "jguri@crm.otsuka-europe.com")</f>
        <v>jguri@crm.otsuka-europe.com</v>
      </c>
      <c r="N5631" s="13">
        <v>46181.37572916667</v>
      </c>
      <c r="O5631" s="14" t="str">
        <f>HYPERLINK("https://otsuka-europe-crm.veevavault.com/ui/#object/email_activity__v/V8C00000003Q362", "EN-002091544")</f>
        <v>EN-002091544</v>
      </c>
    </row>
    <row r="5632" spans="1:15" ht="32" x14ac:dyDescent="0.2">
      <c r="A5632" s="7" t="str">
        <f>HYPERLINK("https://otsuka-europe-crm.veevavault.com/ui/#object/account__v/V4TZ025E86L31XA", "JOSE CAMPOS ESTEBAN")</f>
        <v>JOSE CAMPOS ESTEBAN</v>
      </c>
      <c r="B5632" s="7" t="str">
        <f t="shared" si="594"/>
        <v>ES</v>
      </c>
      <c r="C5632" s="8" t="s">
        <v>41</v>
      </c>
      <c r="D5632" s="9" t="str">
        <f t="shared" si="595"/>
        <v>LUP - VAE invitación simposio SEN-SER - Reuma</v>
      </c>
      <c r="E5632" s="10" t="str">
        <f>HYPERLINK("https://otsuka-europe-crm.veevavault.com/ui/#object/sent_email__v/VBL00000002R029", "SE-001434156")</f>
        <v>SE-001434156</v>
      </c>
      <c r="F5632" s="11"/>
      <c r="G5632" s="12">
        <v>0</v>
      </c>
      <c r="H5632" s="12">
        <v>0</v>
      </c>
      <c r="I5632" s="12">
        <v>0</v>
      </c>
      <c r="J5632" s="11"/>
      <c r="K5632" s="12">
        <v>0</v>
      </c>
      <c r="L5632" s="10" t="str">
        <f t="shared" si="596"/>
        <v>LUP - VAE invitación simposio SEN-SER - Reuma</v>
      </c>
      <c r="M5632" s="10" t="str">
        <f t="shared" si="597"/>
        <v>jguri@crm.otsuka-europe.com</v>
      </c>
      <c r="N5632" s="13">
        <v>46181.37572916667</v>
      </c>
      <c r="O5632" s="14" t="str">
        <f>HYPERLINK("https://otsuka-europe-crm.veevavault.com/ui/#object/email_activity__v/V8C00000003Q373", "EN-002091559")</f>
        <v>EN-002091559</v>
      </c>
    </row>
    <row r="5633" spans="1:15" ht="32" x14ac:dyDescent="0.2">
      <c r="A5633" s="7" t="str">
        <f>HYPERLINK("https://otsuka-europe-crm.veevavault.com/ui/#object/account__v/V4TZ025E86NY4VR", "LUCIA RUIZ GUTIERREZ")</f>
        <v>LUCIA RUIZ GUTIERREZ</v>
      </c>
      <c r="B5633" s="7" t="str">
        <f t="shared" si="594"/>
        <v>ES</v>
      </c>
      <c r="C5633" s="8" t="s">
        <v>41</v>
      </c>
      <c r="D5633" s="9" t="str">
        <f t="shared" si="595"/>
        <v>LUP - VAE invitación simposio SEN-SER - Reuma</v>
      </c>
      <c r="E5633" s="10" t="str">
        <f>HYPERLINK("https://otsuka-europe-crm.veevavault.com/ui/#object/sent_email__v/VBL00000002R030", "SE-001434157")</f>
        <v>SE-001434157</v>
      </c>
      <c r="F5633" s="11"/>
      <c r="G5633" s="12">
        <v>0</v>
      </c>
      <c r="H5633" s="12">
        <v>0</v>
      </c>
      <c r="I5633" s="12">
        <v>0</v>
      </c>
      <c r="J5633" s="11"/>
      <c r="K5633" s="12">
        <v>0</v>
      </c>
      <c r="L5633" s="10" t="str">
        <f t="shared" si="596"/>
        <v>LUP - VAE invitación simposio SEN-SER - Reuma</v>
      </c>
      <c r="M5633" s="10" t="str">
        <f t="shared" si="597"/>
        <v>jguri@crm.otsuka-europe.com</v>
      </c>
      <c r="N5633" s="13">
        <v>46181.375763888886</v>
      </c>
      <c r="O5633" s="14" t="str">
        <f>HYPERLINK("https://otsuka-europe-crm.veevavault.com/ui/#object/email_activity__v/V8C00000003Q378", "EN-002091565")</f>
        <v>EN-002091565</v>
      </c>
    </row>
    <row r="5634" spans="1:15" ht="32" x14ac:dyDescent="0.2">
      <c r="A5634" s="7" t="str">
        <f>HYPERLINK("https://otsuka-europe-crm.veevavault.com/ui/#object/account__v/V4TZ04ASGBJHXOM", "MARINA GONZALEZ PEÑAS")</f>
        <v>MARINA GONZALEZ PEÑAS</v>
      </c>
      <c r="B5634" s="7" t="str">
        <f t="shared" si="594"/>
        <v>ES</v>
      </c>
      <c r="C5634" s="8" t="s">
        <v>41</v>
      </c>
      <c r="D5634" s="9" t="str">
        <f t="shared" si="595"/>
        <v>LUP - VAE invitación simposio SEN-SER - Reuma</v>
      </c>
      <c r="E5634" s="10" t="str">
        <f>HYPERLINK("https://otsuka-europe-crm.veevavault.com/ui/#object/sent_email__v/VBL00000002R031", "SE-001434158")</f>
        <v>SE-001434158</v>
      </c>
      <c r="F5634" s="11"/>
      <c r="G5634" s="12">
        <v>0</v>
      </c>
      <c r="H5634" s="12">
        <v>0</v>
      </c>
      <c r="I5634" s="12">
        <v>0</v>
      </c>
      <c r="J5634" s="11"/>
      <c r="K5634" s="12">
        <v>0</v>
      </c>
      <c r="L5634" s="10" t="str">
        <f t="shared" si="596"/>
        <v>LUP - VAE invitación simposio SEN-SER - Reuma</v>
      </c>
      <c r="M5634" s="10" t="str">
        <f t="shared" si="597"/>
        <v>jguri@crm.otsuka-europe.com</v>
      </c>
      <c r="N5634" s="13">
        <v>46181.375763888886</v>
      </c>
      <c r="O5634" s="14" t="str">
        <f>HYPERLINK("https://otsuka-europe-crm.veevavault.com/ui/#object/email_activity__v/V8C00000003Q354", "EN-002091536")</f>
        <v>EN-002091536</v>
      </c>
    </row>
    <row r="5635" spans="1:15" ht="32" x14ac:dyDescent="0.2">
      <c r="A5635" s="7" t="str">
        <f>HYPERLINK("https://otsuka-europe-crm.veevavault.com/ui/#object/account__v/V4TZ04ASG95OJU4", "CRISTINA JESUS LAJAS PETISCO")</f>
        <v>CRISTINA JESUS LAJAS PETISCO</v>
      </c>
      <c r="B5635" s="7" t="str">
        <f t="shared" si="594"/>
        <v>ES</v>
      </c>
      <c r="C5635" s="8" t="s">
        <v>41</v>
      </c>
      <c r="D5635" s="9" t="str">
        <f t="shared" si="595"/>
        <v>LUP - VAE invitación simposio SEN-SER - Reuma</v>
      </c>
      <c r="E5635" s="10" t="str">
        <f>HYPERLINK("https://otsuka-europe-crm.veevavault.com/ui/#object/sent_email__v/VBL00000002R032", "SE-001434159")</f>
        <v>SE-001434159</v>
      </c>
      <c r="F5635" s="11"/>
      <c r="G5635" s="12">
        <v>0</v>
      </c>
      <c r="H5635" s="12">
        <v>0</v>
      </c>
      <c r="I5635" s="12">
        <v>0</v>
      </c>
      <c r="J5635" s="11"/>
      <c r="K5635" s="12">
        <v>0</v>
      </c>
      <c r="L5635" s="10" t="str">
        <f t="shared" si="596"/>
        <v>LUP - VAE invitación simposio SEN-SER - Reuma</v>
      </c>
      <c r="M5635" s="10" t="str">
        <f t="shared" si="597"/>
        <v>jguri@crm.otsuka-europe.com</v>
      </c>
      <c r="N5635" s="13">
        <v>46181.375763888886</v>
      </c>
      <c r="O5635" s="14" t="str">
        <f>HYPERLINK("https://otsuka-europe-crm.veevavault.com/ui/#object/email_activity__v/V8C00000003P943", "EN-002091530")</f>
        <v>EN-002091530</v>
      </c>
    </row>
    <row r="5636" spans="1:15" ht="16" x14ac:dyDescent="0.2">
      <c r="A5636" s="17" t="str">
        <f>HYPERLINK("https://otsuka-europe-crm.veevavault.com/ui/#object/account__v/V4TZ04ASGB9IXXV", "MIGUEL ANGEL DUARTE MILLAN")</f>
        <v>MIGUEL ANGEL DUARTE MILLAN</v>
      </c>
      <c r="B5636" s="17" t="str">
        <f t="shared" si="594"/>
        <v>ES</v>
      </c>
      <c r="C5636" s="20" t="s">
        <v>41</v>
      </c>
      <c r="D5636" s="21" t="str">
        <f t="shared" si="595"/>
        <v>LUP - VAE invitación simposio SEN-SER - Reuma</v>
      </c>
      <c r="E5636" s="22" t="str">
        <f>HYPERLINK("https://otsuka-europe-crm.veevavault.com/ui/#object/sent_email__v/VBL00000002R033", "SE-001434160")</f>
        <v>SE-001434160</v>
      </c>
      <c r="F5636" s="23">
        <v>46183.325868055559</v>
      </c>
      <c r="G5636" s="24">
        <v>1</v>
      </c>
      <c r="H5636" s="24">
        <v>2</v>
      </c>
      <c r="I5636" s="24">
        <v>0</v>
      </c>
      <c r="J5636" s="25"/>
      <c r="K5636" s="24">
        <v>0</v>
      </c>
      <c r="L5636" s="22" t="str">
        <f t="shared" si="596"/>
        <v>LUP - VAE invitación simposio SEN-SER - Reuma</v>
      </c>
      <c r="M5636" s="22" t="str">
        <f t="shared" si="597"/>
        <v>jguri@crm.otsuka-europe.com</v>
      </c>
      <c r="N5636" s="23">
        <v>46181.375763888886</v>
      </c>
      <c r="O5636" s="14" t="str">
        <f>HYPERLINK("https://otsuka-europe-crm.veevavault.com/ui/#object/email_activity__v/V8C00000003Q358", "EN-002091540")</f>
        <v>EN-002091540</v>
      </c>
    </row>
    <row r="5637" spans="1:15" ht="16" x14ac:dyDescent="0.2">
      <c r="A5637" s="18"/>
      <c r="B5637" s="18"/>
      <c r="C5637" s="18"/>
      <c r="D5637" s="18"/>
      <c r="E5637" s="18"/>
      <c r="F5637" s="18"/>
      <c r="G5637" s="18"/>
      <c r="H5637" s="18"/>
      <c r="I5637" s="18"/>
      <c r="J5637" s="18"/>
      <c r="K5637" s="18"/>
      <c r="L5637" s="18"/>
      <c r="M5637" s="18"/>
      <c r="N5637" s="18"/>
      <c r="O5637" s="14" t="str">
        <f>HYPERLINK("https://otsuka-europe-crm.veevavault.com/ui/#object/email_activity__v/V8C00000003T151", "EN-002093869")</f>
        <v>EN-002093869</v>
      </c>
    </row>
    <row r="5638" spans="1:15" ht="16" x14ac:dyDescent="0.2">
      <c r="A5638" s="19"/>
      <c r="B5638" s="19"/>
      <c r="C5638" s="19"/>
      <c r="D5638" s="19"/>
      <c r="E5638" s="19"/>
      <c r="F5638" s="19"/>
      <c r="G5638" s="19"/>
      <c r="H5638" s="19"/>
      <c r="I5638" s="19"/>
      <c r="J5638" s="19"/>
      <c r="K5638" s="19"/>
      <c r="L5638" s="19"/>
      <c r="M5638" s="19"/>
      <c r="N5638" s="19"/>
      <c r="O5638" s="14" t="str">
        <f>HYPERLINK("https://otsuka-europe-crm.veevavault.com/ui/#object/email_activity__v/V8C00000003T152", "EN-002093870")</f>
        <v>EN-002093870</v>
      </c>
    </row>
    <row r="5639" spans="1:15" ht="32" x14ac:dyDescent="0.2">
      <c r="A5639" s="7" t="str">
        <f>HYPERLINK("https://otsuka-europe-crm.veevavault.com/ui/#object/account__v/V4TZ04ASG9UATWS", "MARIA ANGELES GANTES PEDRAZA")</f>
        <v>MARIA ANGELES GANTES PEDRAZA</v>
      </c>
      <c r="B5639" s="7" t="str">
        <f t="shared" ref="B5639:B5644" si="598">HYPERLINK("https://otsuka-europe-crm.veevavault.com/ui/#object/vcountry__v/VENZ000004SONF5", "ES")</f>
        <v>ES</v>
      </c>
      <c r="C5639" s="8" t="s">
        <v>41</v>
      </c>
      <c r="D5639" s="9" t="str">
        <f t="shared" ref="D5639:D5644" si="599">HYPERLINK("https://otsuka-europe-crm.veevavault.com/ui/#object/approved_document__v/V5O00000001H025", "LUP - VAE invitación simposio SEN-SER - Reuma")</f>
        <v>LUP - VAE invitación simposio SEN-SER - Reuma</v>
      </c>
      <c r="E5639" s="10" t="str">
        <f>HYPERLINK("https://otsuka-europe-crm.veevavault.com/ui/#object/sent_email__v/VBL00000002R034", "SE-001434161")</f>
        <v>SE-001434161</v>
      </c>
      <c r="F5639" s="11"/>
      <c r="G5639" s="12">
        <v>0</v>
      </c>
      <c r="H5639" s="12">
        <v>0</v>
      </c>
      <c r="I5639" s="12">
        <v>0</v>
      </c>
      <c r="J5639" s="11"/>
      <c r="K5639" s="12">
        <v>0</v>
      </c>
      <c r="L5639" s="10" t="str">
        <f t="shared" ref="L5639:L5644" si="600">HYPERLINK("https://otsuka-europe-crm.veevavault.com/ui/#object/approved_document__v/V5O00000001H025", "LUP - VAE invitación simposio SEN-SER - Reuma")</f>
        <v>LUP - VAE invitación simposio SEN-SER - Reuma</v>
      </c>
      <c r="M5639" s="10" t="str">
        <f t="shared" ref="M5639:M5644" si="601">HYPERLINK("mailto:jguri@crm.otsuka-europe.com", "jguri@crm.otsuka-europe.com")</f>
        <v>jguri@crm.otsuka-europe.com</v>
      </c>
      <c r="N5639" s="13">
        <v>46181.375763888886</v>
      </c>
      <c r="O5639" s="14" t="str">
        <f>HYPERLINK("https://otsuka-europe-crm.veevavault.com/ui/#object/email_activity__v/V8C00000003Q357", "EN-002091539")</f>
        <v>EN-002091539</v>
      </c>
    </row>
    <row r="5640" spans="1:15" ht="32" x14ac:dyDescent="0.2">
      <c r="A5640" s="7" t="str">
        <f>HYPERLINK("https://otsuka-europe-crm.veevavault.com/ui/#object/account__v/V4TZ025E86JEFD2", "LUIS GONZAGA SALA ICARDO")</f>
        <v>LUIS GONZAGA SALA ICARDO</v>
      </c>
      <c r="B5640" s="7" t="str">
        <f t="shared" si="598"/>
        <v>ES</v>
      </c>
      <c r="C5640" s="8" t="s">
        <v>41</v>
      </c>
      <c r="D5640" s="9" t="str">
        <f t="shared" si="599"/>
        <v>LUP - VAE invitación simposio SEN-SER - Reuma</v>
      </c>
      <c r="E5640" s="10" t="str">
        <f>HYPERLINK("https://otsuka-europe-crm.veevavault.com/ui/#object/sent_email__v/VBL00000002R035", "SE-001434162")</f>
        <v>SE-001434162</v>
      </c>
      <c r="F5640" s="11"/>
      <c r="G5640" s="12">
        <v>0</v>
      </c>
      <c r="H5640" s="12">
        <v>0</v>
      </c>
      <c r="I5640" s="12">
        <v>0</v>
      </c>
      <c r="J5640" s="11"/>
      <c r="K5640" s="12">
        <v>0</v>
      </c>
      <c r="L5640" s="10" t="str">
        <f t="shared" si="600"/>
        <v>LUP - VAE invitación simposio SEN-SER - Reuma</v>
      </c>
      <c r="M5640" s="10" t="str">
        <f t="shared" si="601"/>
        <v>jguri@crm.otsuka-europe.com</v>
      </c>
      <c r="N5640" s="13">
        <v>46181.375763888886</v>
      </c>
      <c r="O5640" s="14" t="str">
        <f>HYPERLINK("https://otsuka-europe-crm.veevavault.com/ui/#object/email_activity__v/V8C00000003P952", "EN-002091572")</f>
        <v>EN-002091572</v>
      </c>
    </row>
    <row r="5641" spans="1:15" ht="32" x14ac:dyDescent="0.2">
      <c r="A5641" s="7" t="str">
        <f>HYPERLINK("https://otsuka-europe-crm.veevavault.com/ui/#object/account__v/V4TZ06G6OBUD7C5", "JOSE GARCIA TORON")</f>
        <v>JOSE GARCIA TORON</v>
      </c>
      <c r="B5641" s="7" t="str">
        <f t="shared" si="598"/>
        <v>ES</v>
      </c>
      <c r="C5641" s="8" t="s">
        <v>41</v>
      </c>
      <c r="D5641" s="9" t="str">
        <f t="shared" si="599"/>
        <v>LUP - VAE invitación simposio SEN-SER - Reuma</v>
      </c>
      <c r="E5641" s="10" t="str">
        <f>HYPERLINK("https://otsuka-europe-crm.veevavault.com/ui/#object/sent_email__v/VBL00000002R036", "SE-001434163")</f>
        <v>SE-001434163</v>
      </c>
      <c r="F5641" s="11"/>
      <c r="G5641" s="12">
        <v>0</v>
      </c>
      <c r="H5641" s="12">
        <v>0</v>
      </c>
      <c r="I5641" s="12">
        <v>0</v>
      </c>
      <c r="J5641" s="11"/>
      <c r="K5641" s="12">
        <v>0</v>
      </c>
      <c r="L5641" s="10" t="str">
        <f t="shared" si="600"/>
        <v>LUP - VAE invitación simposio SEN-SER - Reuma</v>
      </c>
      <c r="M5641" s="10" t="str">
        <f t="shared" si="601"/>
        <v>jguri@crm.otsuka-europe.com</v>
      </c>
      <c r="N5641" s="13">
        <v>46181.375763888886</v>
      </c>
      <c r="O5641" s="14" t="str">
        <f>HYPERLINK("https://otsuka-europe-crm.veevavault.com/ui/#object/email_activity__v/V8C00000003Q359", "EN-002091541")</f>
        <v>EN-002091541</v>
      </c>
    </row>
    <row r="5642" spans="1:15" ht="32" x14ac:dyDescent="0.2">
      <c r="A5642" s="7" t="str">
        <f>HYPERLINK("https://otsuka-europe-crm.veevavault.com/ui/#object/account__v/V4TZ04ASGALKWZK", "MARTA RAMIREZ LAPAUSA")</f>
        <v>MARTA RAMIREZ LAPAUSA</v>
      </c>
      <c r="B5642" s="7" t="str">
        <f t="shared" si="598"/>
        <v>ES</v>
      </c>
      <c r="C5642" s="8" t="s">
        <v>41</v>
      </c>
      <c r="D5642" s="9" t="str">
        <f t="shared" si="599"/>
        <v>LUP - VAE invitación simposio SEN-SER - Reuma</v>
      </c>
      <c r="E5642" s="10" t="str">
        <f>HYPERLINK("https://otsuka-europe-crm.veevavault.com/ui/#object/sent_email__v/VBL00000002R037", "SE-001434164")</f>
        <v>SE-001434164</v>
      </c>
      <c r="F5642" s="11"/>
      <c r="G5642" s="12">
        <v>0</v>
      </c>
      <c r="H5642" s="12">
        <v>0</v>
      </c>
      <c r="I5642" s="12">
        <v>0</v>
      </c>
      <c r="J5642" s="11"/>
      <c r="K5642" s="12">
        <v>0</v>
      </c>
      <c r="L5642" s="10" t="str">
        <f t="shared" si="600"/>
        <v>LUP - VAE invitación simposio SEN-SER - Reuma</v>
      </c>
      <c r="M5642" s="10" t="str">
        <f t="shared" si="601"/>
        <v>jguri@crm.otsuka-europe.com</v>
      </c>
      <c r="N5642" s="13">
        <v>46181.375763888886</v>
      </c>
      <c r="O5642" s="14" t="str">
        <f>HYPERLINK("https://otsuka-europe-crm.veevavault.com/ui/#object/email_activity__v/V8C00000003P951", "EN-002091571")</f>
        <v>EN-002091571</v>
      </c>
    </row>
    <row r="5643" spans="1:15" ht="32" x14ac:dyDescent="0.2">
      <c r="A5643" s="7" t="str">
        <f>HYPERLINK("https://otsuka-europe-crm.veevavault.com/ui/#object/account__v/V4TZ04ASG9UATU5", "MIGUEL ANGEL ABAD HERNANDEZ")</f>
        <v>MIGUEL ANGEL ABAD HERNANDEZ</v>
      </c>
      <c r="B5643" s="7" t="str">
        <f t="shared" si="598"/>
        <v>ES</v>
      </c>
      <c r="C5643" s="8" t="s">
        <v>41</v>
      </c>
      <c r="D5643" s="9" t="str">
        <f t="shared" si="599"/>
        <v>LUP - VAE invitación simposio SEN-SER - Reuma</v>
      </c>
      <c r="E5643" s="10" t="str">
        <f>HYPERLINK("https://otsuka-europe-crm.veevavault.com/ui/#object/sent_email__v/VBL00000002R038", "SE-001434165")</f>
        <v>SE-001434165</v>
      </c>
      <c r="F5643" s="11"/>
      <c r="G5643" s="12">
        <v>0</v>
      </c>
      <c r="H5643" s="12">
        <v>0</v>
      </c>
      <c r="I5643" s="12">
        <v>0</v>
      </c>
      <c r="J5643" s="11"/>
      <c r="K5643" s="12">
        <v>0</v>
      </c>
      <c r="L5643" s="10" t="str">
        <f t="shared" si="600"/>
        <v>LUP - VAE invitación simposio SEN-SER - Reuma</v>
      </c>
      <c r="M5643" s="10" t="str">
        <f t="shared" si="601"/>
        <v>jguri@crm.otsuka-europe.com</v>
      </c>
      <c r="N5643" s="13">
        <v>46181.375763888886</v>
      </c>
      <c r="O5643" s="14" t="str">
        <f>HYPERLINK("https://otsuka-europe-crm.veevavault.com/ui/#object/email_activity__v/V8C00000003Q368", "EN-002091550")</f>
        <v>EN-002091550</v>
      </c>
    </row>
    <row r="5644" spans="1:15" ht="16" x14ac:dyDescent="0.2">
      <c r="A5644" s="17" t="str">
        <f>HYPERLINK("https://otsuka-europe-crm.veevavault.com/ui/#object/account__v/V4TZ04ASG9U5CNS", "ESTHER DEL RINCON PADILLA")</f>
        <v>ESTHER DEL RINCON PADILLA</v>
      </c>
      <c r="B5644" s="17" t="str">
        <f t="shared" si="598"/>
        <v>ES</v>
      </c>
      <c r="C5644" s="20" t="s">
        <v>41</v>
      </c>
      <c r="D5644" s="21" t="str">
        <f t="shared" si="599"/>
        <v>LUP - VAE invitación simposio SEN-SER - Reuma</v>
      </c>
      <c r="E5644" s="22" t="str">
        <f>HYPERLINK("https://otsuka-europe-crm.veevavault.com/ui/#object/sent_email__v/VBL00000002R039", "SE-001434166")</f>
        <v>SE-001434166</v>
      </c>
      <c r="F5644" s="23">
        <v>46181.629247685189</v>
      </c>
      <c r="G5644" s="24">
        <v>1</v>
      </c>
      <c r="H5644" s="24">
        <v>1</v>
      </c>
      <c r="I5644" s="24">
        <v>0</v>
      </c>
      <c r="J5644" s="25"/>
      <c r="K5644" s="24">
        <v>0</v>
      </c>
      <c r="L5644" s="22" t="str">
        <f t="shared" si="600"/>
        <v>LUP - VAE invitación simposio SEN-SER - Reuma</v>
      </c>
      <c r="M5644" s="22" t="str">
        <f t="shared" si="601"/>
        <v>jguri@crm.otsuka-europe.com</v>
      </c>
      <c r="N5644" s="23">
        <v>46181.375763888886</v>
      </c>
      <c r="O5644" s="14" t="str">
        <f>HYPERLINK("https://otsuka-europe-crm.veevavault.com/ui/#object/email_activity__v/V8C00000003Q349", "EN-002091531")</f>
        <v>EN-002091531</v>
      </c>
    </row>
    <row r="5645" spans="1:15" ht="16" x14ac:dyDescent="0.2">
      <c r="A5645" s="19"/>
      <c r="B5645" s="19"/>
      <c r="C5645" s="19"/>
      <c r="D5645" s="19"/>
      <c r="E5645" s="19"/>
      <c r="F5645" s="19"/>
      <c r="G5645" s="19"/>
      <c r="H5645" s="19"/>
      <c r="I5645" s="19"/>
      <c r="J5645" s="19"/>
      <c r="K5645" s="19"/>
      <c r="L5645" s="19"/>
      <c r="M5645" s="19"/>
      <c r="N5645" s="19"/>
      <c r="O5645" s="14" t="str">
        <f>HYPERLINK("https://otsuka-europe-crm.veevavault.com/ui/#object/email_activity__v/V8C00000003Q610", "EN-002092032")</f>
        <v>EN-002092032</v>
      </c>
    </row>
    <row r="5646" spans="1:15" ht="32" x14ac:dyDescent="0.2">
      <c r="A5646" s="7" t="str">
        <f>HYPERLINK("https://otsuka-europe-crm.veevavault.com/ui/#object/account__v/V4TZ025E83ASNDO", "PIA MERCEDES LOIS BERMEJO")</f>
        <v>PIA MERCEDES LOIS BERMEJO</v>
      </c>
      <c r="B5646" s="7" t="str">
        <f>HYPERLINK("https://otsuka-europe-crm.veevavault.com/ui/#object/vcountry__v/VENZ000004SONF5", "ES")</f>
        <v>ES</v>
      </c>
      <c r="C5646" s="8" t="s">
        <v>41</v>
      </c>
      <c r="D5646" s="9" t="str">
        <f>HYPERLINK("https://otsuka-europe-crm.veevavault.com/ui/#object/approved_document__v/V5O00000001H025", "LUP - VAE invitación simposio SEN-SER - Reuma")</f>
        <v>LUP - VAE invitación simposio SEN-SER - Reuma</v>
      </c>
      <c r="E5646" s="10" t="str">
        <f>HYPERLINK("https://otsuka-europe-crm.veevavault.com/ui/#object/sent_email__v/VBL00000002R040", "SE-001434167")</f>
        <v>SE-001434167</v>
      </c>
      <c r="F5646" s="11"/>
      <c r="G5646" s="12">
        <v>0</v>
      </c>
      <c r="H5646" s="12">
        <v>0</v>
      </c>
      <c r="I5646" s="12">
        <v>0</v>
      </c>
      <c r="J5646" s="11"/>
      <c r="K5646" s="12">
        <v>0</v>
      </c>
      <c r="L5646" s="10" t="str">
        <f>HYPERLINK("https://otsuka-europe-crm.veevavault.com/ui/#object/approved_document__v/V5O00000001H025", "LUP - VAE invitación simposio SEN-SER - Reuma")</f>
        <v>LUP - VAE invitación simposio SEN-SER - Reuma</v>
      </c>
      <c r="M5646" s="10" t="str">
        <f>HYPERLINK("mailto:jguri@crm.otsuka-europe.com", "jguri@crm.otsuka-europe.com")</f>
        <v>jguri@crm.otsuka-europe.com</v>
      </c>
      <c r="N5646" s="13">
        <v>46181.375763888886</v>
      </c>
      <c r="O5646" s="14" t="str">
        <f>HYPERLINK("https://otsuka-europe-crm.veevavault.com/ui/#object/email_activity__v/V8C00000003Q361", "EN-002091543")</f>
        <v>EN-002091543</v>
      </c>
    </row>
    <row r="5647" spans="1:15" ht="16" x14ac:dyDescent="0.2">
      <c r="A5647" s="17" t="str">
        <f>HYPERLINK("https://otsuka-europe-crm.veevavault.com/ui/#object/account__v/V4TZ04ASG9UCFT5", "CRISTINA BOHORQUEZ HERAS")</f>
        <v>CRISTINA BOHORQUEZ HERAS</v>
      </c>
      <c r="B5647" s="17" t="str">
        <f>HYPERLINK("https://otsuka-europe-crm.veevavault.com/ui/#object/vcountry__v/VENZ000004SONF5", "ES")</f>
        <v>ES</v>
      </c>
      <c r="C5647" s="20" t="s">
        <v>41</v>
      </c>
      <c r="D5647" s="21" t="str">
        <f>HYPERLINK("https://otsuka-europe-crm.veevavault.com/ui/#object/approved_document__v/V5O00000001H025", "LUP - VAE invitación simposio SEN-SER - Reuma")</f>
        <v>LUP - VAE invitación simposio SEN-SER - Reuma</v>
      </c>
      <c r="E5647" s="22" t="str">
        <f>HYPERLINK("https://otsuka-europe-crm.veevavault.com/ui/#object/sent_email__v/VBL00000002R041", "SE-001434168")</f>
        <v>SE-001434168</v>
      </c>
      <c r="F5647" s="23">
        <v>46182.411435185182</v>
      </c>
      <c r="G5647" s="24">
        <v>1</v>
      </c>
      <c r="H5647" s="24">
        <v>1</v>
      </c>
      <c r="I5647" s="24">
        <v>1</v>
      </c>
      <c r="J5647" s="23">
        <v>46182.412060185183</v>
      </c>
      <c r="K5647" s="24">
        <v>2</v>
      </c>
      <c r="L5647" s="22" t="str">
        <f>HYPERLINK("https://otsuka-europe-crm.veevavault.com/ui/#object/approved_document__v/V5O00000001H025", "LUP - VAE invitación simposio SEN-SER - Reuma")</f>
        <v>LUP - VAE invitación simposio SEN-SER - Reuma</v>
      </c>
      <c r="M5647" s="22" t="str">
        <f>HYPERLINK("mailto:jguri@crm.otsuka-europe.com", "jguri@crm.otsuka-europe.com")</f>
        <v>jguri@crm.otsuka-europe.com</v>
      </c>
      <c r="N5647" s="23">
        <v>46181.375763888886</v>
      </c>
      <c r="O5647" s="14" t="str">
        <f>HYPERLINK("https://otsuka-europe-crm.veevavault.com/ui/#object/email_activity__v/V8C00000003P950", "EN-002091570")</f>
        <v>EN-002091570</v>
      </c>
    </row>
    <row r="5648" spans="1:15" ht="16" x14ac:dyDescent="0.2">
      <c r="A5648" s="18"/>
      <c r="B5648" s="18"/>
      <c r="C5648" s="18"/>
      <c r="D5648" s="18"/>
      <c r="E5648" s="18"/>
      <c r="F5648" s="18"/>
      <c r="G5648" s="18"/>
      <c r="H5648" s="18"/>
      <c r="I5648" s="18"/>
      <c r="J5648" s="18"/>
      <c r="K5648" s="18"/>
      <c r="L5648" s="18"/>
      <c r="M5648" s="18"/>
      <c r="N5648" s="18"/>
      <c r="O5648" s="14" t="str">
        <f>HYPERLINK("https://otsuka-europe-crm.veevavault.com/ui/#object/email_activity__v/V8C00000003Q966", "EN-002092750")</f>
        <v>EN-002092750</v>
      </c>
    </row>
    <row r="5649" spans="1:15" ht="16" x14ac:dyDescent="0.2">
      <c r="A5649" s="18"/>
      <c r="B5649" s="18"/>
      <c r="C5649" s="18"/>
      <c r="D5649" s="18"/>
      <c r="E5649" s="18"/>
      <c r="F5649" s="18"/>
      <c r="G5649" s="18"/>
      <c r="H5649" s="18"/>
      <c r="I5649" s="18"/>
      <c r="J5649" s="18"/>
      <c r="K5649" s="18"/>
      <c r="L5649" s="18"/>
      <c r="M5649" s="18"/>
      <c r="N5649" s="18"/>
      <c r="O5649" s="14" t="str">
        <f>HYPERLINK("https://otsuka-europe-crm.veevavault.com/ui/#object/email_activity__v/V8C00000003Q970", "EN-002092754")</f>
        <v>EN-002092754</v>
      </c>
    </row>
    <row r="5650" spans="1:15" ht="16" x14ac:dyDescent="0.2">
      <c r="A5650" s="18"/>
      <c r="B5650" s="18"/>
      <c r="C5650" s="18"/>
      <c r="D5650" s="18"/>
      <c r="E5650" s="18"/>
      <c r="F5650" s="18"/>
      <c r="G5650" s="18"/>
      <c r="H5650" s="18"/>
      <c r="I5650" s="18"/>
      <c r="J5650" s="18"/>
      <c r="K5650" s="18"/>
      <c r="L5650" s="18"/>
      <c r="M5650" s="18"/>
      <c r="N5650" s="18"/>
      <c r="O5650" s="14" t="str">
        <f>HYPERLINK("https://otsuka-europe-crm.veevavault.com/ui/#object/email_activity__v/V8C00000003R546", "EN-002092749")</f>
        <v>EN-002092749</v>
      </c>
    </row>
    <row r="5651" spans="1:15" ht="16" x14ac:dyDescent="0.2">
      <c r="A5651" s="18"/>
      <c r="B5651" s="18"/>
      <c r="C5651" s="18"/>
      <c r="D5651" s="18"/>
      <c r="E5651" s="18"/>
      <c r="F5651" s="18"/>
      <c r="G5651" s="18"/>
      <c r="H5651" s="18"/>
      <c r="I5651" s="18"/>
      <c r="J5651" s="18"/>
      <c r="K5651" s="18"/>
      <c r="L5651" s="18"/>
      <c r="M5651" s="18"/>
      <c r="N5651" s="18"/>
      <c r="O5651" s="14" t="str">
        <f>HYPERLINK("https://otsuka-europe-crm.veevavault.com/ui/#object/email_activity__v/V8C00000003R569", "EN-002092788")</f>
        <v>EN-002092788</v>
      </c>
    </row>
    <row r="5652" spans="1:15" ht="16" x14ac:dyDescent="0.2">
      <c r="A5652" s="19"/>
      <c r="B5652" s="19"/>
      <c r="C5652" s="19"/>
      <c r="D5652" s="19"/>
      <c r="E5652" s="19"/>
      <c r="F5652" s="19"/>
      <c r="G5652" s="19"/>
      <c r="H5652" s="19"/>
      <c r="I5652" s="19"/>
      <c r="J5652" s="19"/>
      <c r="K5652" s="19"/>
      <c r="L5652" s="19"/>
      <c r="M5652" s="19"/>
      <c r="N5652" s="19"/>
      <c r="O5652" s="14" t="str">
        <f>HYPERLINK("https://otsuka-europe-crm.veevavault.com/ui/#object/email_activity__v/V8C00000003R570", "EN-002092789")</f>
        <v>EN-002092789</v>
      </c>
    </row>
    <row r="5653" spans="1:15" ht="32" x14ac:dyDescent="0.2">
      <c r="A5653" s="7" t="str">
        <f>HYPERLINK("https://otsuka-europe-crm.veevavault.com/ui/#object/account__v/V4TZ04ASGAPA4WR", "CRISTINA MARTINEZ PRADA")</f>
        <v>CRISTINA MARTINEZ PRADA</v>
      </c>
      <c r="B5653" s="7" t="str">
        <f>HYPERLINK("https://otsuka-europe-crm.veevavault.com/ui/#object/vcountry__v/VENZ000004SONF5", "ES")</f>
        <v>ES</v>
      </c>
      <c r="C5653" s="8" t="s">
        <v>41</v>
      </c>
      <c r="D5653" s="9" t="str">
        <f>HYPERLINK("https://otsuka-europe-crm.veevavault.com/ui/#object/approved_document__v/V5O00000001H025", "LUP - VAE invitación simposio SEN-SER - Reuma")</f>
        <v>LUP - VAE invitación simposio SEN-SER - Reuma</v>
      </c>
      <c r="E5653" s="10" t="str">
        <f>HYPERLINK("https://otsuka-europe-crm.veevavault.com/ui/#object/sent_email__v/VBL00000002R042", "SE-001434169")</f>
        <v>SE-001434169</v>
      </c>
      <c r="F5653" s="11"/>
      <c r="G5653" s="12">
        <v>0</v>
      </c>
      <c r="H5653" s="12">
        <v>0</v>
      </c>
      <c r="I5653" s="12">
        <v>0</v>
      </c>
      <c r="J5653" s="11"/>
      <c r="K5653" s="12">
        <v>0</v>
      </c>
      <c r="L5653" s="10" t="str">
        <f>HYPERLINK("https://otsuka-europe-crm.veevavault.com/ui/#object/approved_document__v/V5O00000001H025", "LUP - VAE invitación simposio SEN-SER - Reuma")</f>
        <v>LUP - VAE invitación simposio SEN-SER - Reuma</v>
      </c>
      <c r="M5653" s="10" t="str">
        <f>HYPERLINK("mailto:jguri@crm.otsuka-europe.com", "jguri@crm.otsuka-europe.com")</f>
        <v>jguri@crm.otsuka-europe.com</v>
      </c>
      <c r="N5653" s="13">
        <v>46181.375763888886</v>
      </c>
      <c r="O5653" s="14" t="str">
        <f>HYPERLINK("https://otsuka-europe-crm.veevavault.com/ui/#object/email_activity__v/V8C00000003P949", "EN-002091569")</f>
        <v>EN-002091569</v>
      </c>
    </row>
    <row r="5654" spans="1:15" ht="32" x14ac:dyDescent="0.2">
      <c r="A5654" s="7" t="str">
        <f>HYPERLINK("https://otsuka-europe-crm.veevavault.com/ui/#object/account__v/V4TZ04ASGE05LGU", "DALIFER DAYANIRA FREITES NUÑEZ")</f>
        <v>DALIFER DAYANIRA FREITES NUÑEZ</v>
      </c>
      <c r="B5654" s="7" t="str">
        <f>HYPERLINK("https://otsuka-europe-crm.veevavault.com/ui/#object/vcountry__v/VENZ000004SONF5", "ES")</f>
        <v>ES</v>
      </c>
      <c r="C5654" s="8" t="s">
        <v>41</v>
      </c>
      <c r="D5654" s="9" t="str">
        <f>HYPERLINK("https://otsuka-europe-crm.veevavault.com/ui/#object/approved_document__v/V5O00000001H025", "LUP - VAE invitación simposio SEN-SER - Reuma")</f>
        <v>LUP - VAE invitación simposio SEN-SER - Reuma</v>
      </c>
      <c r="E5654" s="10" t="str">
        <f>HYPERLINK("https://otsuka-europe-crm.veevavault.com/ui/#object/sent_email__v/VBL00000002R043", "SE-001434170")</f>
        <v>SE-001434170</v>
      </c>
      <c r="F5654" s="11"/>
      <c r="G5654" s="12">
        <v>0</v>
      </c>
      <c r="H5654" s="12">
        <v>0</v>
      </c>
      <c r="I5654" s="12">
        <v>0</v>
      </c>
      <c r="J5654" s="11"/>
      <c r="K5654" s="12">
        <v>0</v>
      </c>
      <c r="L5654" s="10" t="str">
        <f>HYPERLINK("https://otsuka-europe-crm.veevavault.com/ui/#object/approved_document__v/V5O00000001H025", "LUP - VAE invitación simposio SEN-SER - Reuma")</f>
        <v>LUP - VAE invitación simposio SEN-SER - Reuma</v>
      </c>
      <c r="M5654" s="10" t="str">
        <f>HYPERLINK("mailto:jguri@crm.otsuka-europe.com", "jguri@crm.otsuka-europe.com")</f>
        <v>jguri@crm.otsuka-europe.com</v>
      </c>
      <c r="N5654" s="13">
        <v>46181.375763888886</v>
      </c>
      <c r="O5654" s="14" t="str">
        <f>HYPERLINK("https://otsuka-europe-crm.veevavault.com/ui/#object/email_activity__v/V8C00000003Q377", "EN-002091564")</f>
        <v>EN-002091564</v>
      </c>
    </row>
    <row r="5655" spans="1:15" ht="16" x14ac:dyDescent="0.2">
      <c r="A5655" s="17" t="str">
        <f>HYPERLINK("https://otsuka-europe-crm.veevavault.com/ui/#object/account__v/V4TZ04ASG6LNDP5", "CRISTINA HIDALGO CALLEJA")</f>
        <v>CRISTINA HIDALGO CALLEJA</v>
      </c>
      <c r="B5655" s="17" t="str">
        <f>HYPERLINK("https://otsuka-europe-crm.veevavault.com/ui/#object/vcountry__v/VENZ000004SONF5", "ES")</f>
        <v>ES</v>
      </c>
      <c r="C5655" s="20" t="s">
        <v>41</v>
      </c>
      <c r="D5655" s="21" t="str">
        <f>HYPERLINK("https://otsuka-europe-crm.veevavault.com/ui/#object/approved_document__v/V5O00000001H025", "LUP - VAE invitación simposio SEN-SER - Reuma")</f>
        <v>LUP - VAE invitación simposio SEN-SER - Reuma</v>
      </c>
      <c r="E5655" s="22" t="str">
        <f>HYPERLINK("https://otsuka-europe-crm.veevavault.com/ui/#object/sent_email__v/VBL00000002R044", "SE-001434171")</f>
        <v>SE-001434171</v>
      </c>
      <c r="F5655" s="23">
        <v>46181.535196759258</v>
      </c>
      <c r="G5655" s="24">
        <v>1</v>
      </c>
      <c r="H5655" s="24">
        <v>1</v>
      </c>
      <c r="I5655" s="24">
        <v>0</v>
      </c>
      <c r="J5655" s="25"/>
      <c r="K5655" s="24">
        <v>0</v>
      </c>
      <c r="L5655" s="22" t="str">
        <f>HYPERLINK("https://otsuka-europe-crm.veevavault.com/ui/#object/approved_document__v/V5O00000001H025", "LUP - VAE invitación simposio SEN-SER - Reuma")</f>
        <v>LUP - VAE invitación simposio SEN-SER - Reuma</v>
      </c>
      <c r="M5655" s="22" t="str">
        <f>HYPERLINK("mailto:jguri@crm.otsuka-europe.com", "jguri@crm.otsuka-europe.com")</f>
        <v>jguri@crm.otsuka-europe.com</v>
      </c>
      <c r="N5655" s="23">
        <v>46181.375763888886</v>
      </c>
      <c r="O5655" s="14" t="str">
        <f>HYPERLINK("https://otsuka-europe-crm.veevavault.com/ui/#object/email_activity__v/V8C00000003P942", "EN-002091529")</f>
        <v>EN-002091529</v>
      </c>
    </row>
    <row r="5656" spans="1:15" ht="16" x14ac:dyDescent="0.2">
      <c r="A5656" s="19"/>
      <c r="B5656" s="19"/>
      <c r="C5656" s="19"/>
      <c r="D5656" s="19"/>
      <c r="E5656" s="19"/>
      <c r="F5656" s="19"/>
      <c r="G5656" s="19"/>
      <c r="H5656" s="19"/>
      <c r="I5656" s="19"/>
      <c r="J5656" s="19"/>
      <c r="K5656" s="19"/>
      <c r="L5656" s="19"/>
      <c r="M5656" s="19"/>
      <c r="N5656" s="19"/>
      <c r="O5656" s="14" t="str">
        <f>HYPERLINK("https://otsuka-europe-crm.veevavault.com/ui/#object/email_activity__v/V8C00000003R137", "EN-002091937")</f>
        <v>EN-002091937</v>
      </c>
    </row>
    <row r="5657" spans="1:15" ht="16" x14ac:dyDescent="0.2">
      <c r="A5657" s="17" t="str">
        <f>HYPERLINK("https://otsuka-europe-crm.veevavault.com/ui/#object/account__v/V4TZ025E84XGITZ", "PATRICIA LOPEZ VIEJO")</f>
        <v>PATRICIA LOPEZ VIEJO</v>
      </c>
      <c r="B5657" s="17" t="str">
        <f>HYPERLINK("https://otsuka-europe-crm.veevavault.com/ui/#object/vcountry__v/VENZ000004SONF5", "ES")</f>
        <v>ES</v>
      </c>
      <c r="C5657" s="20" t="s">
        <v>41</v>
      </c>
      <c r="D5657" s="21" t="str">
        <f>HYPERLINK("https://otsuka-europe-crm.veevavault.com/ui/#object/approved_document__v/V5O00000001H025", "LUP - VAE invitación simposio SEN-SER - Reuma")</f>
        <v>LUP - VAE invitación simposio SEN-SER - Reuma</v>
      </c>
      <c r="E5657" s="22" t="str">
        <f>HYPERLINK("https://otsuka-europe-crm.veevavault.com/ui/#object/sent_email__v/VBL00000002R045", "SE-001434172")</f>
        <v>SE-001434172</v>
      </c>
      <c r="F5657" s="23">
        <v>46181.456597222219</v>
      </c>
      <c r="G5657" s="24">
        <v>1</v>
      </c>
      <c r="H5657" s="24">
        <v>1</v>
      </c>
      <c r="I5657" s="24">
        <v>0</v>
      </c>
      <c r="J5657" s="25"/>
      <c r="K5657" s="24">
        <v>0</v>
      </c>
      <c r="L5657" s="22" t="str">
        <f>HYPERLINK("https://otsuka-europe-crm.veevavault.com/ui/#object/approved_document__v/V5O00000001H025", "LUP - VAE invitación simposio SEN-SER - Reuma")</f>
        <v>LUP - VAE invitación simposio SEN-SER - Reuma</v>
      </c>
      <c r="M5657" s="22" t="str">
        <f>HYPERLINK("mailto:jguri@crm.otsuka-europe.com", "jguri@crm.otsuka-europe.com")</f>
        <v>jguri@crm.otsuka-europe.com</v>
      </c>
      <c r="N5657" s="23">
        <v>46181.375763888886</v>
      </c>
      <c r="O5657" s="14" t="str">
        <f>HYPERLINK("https://otsuka-europe-crm.veevavault.com/ui/#object/email_activity__v/V8C00000003Q369", "EN-002091551")</f>
        <v>EN-002091551</v>
      </c>
    </row>
    <row r="5658" spans="1:15" ht="16" x14ac:dyDescent="0.2">
      <c r="A5658" s="19"/>
      <c r="B5658" s="19"/>
      <c r="C5658" s="19"/>
      <c r="D5658" s="19"/>
      <c r="E5658" s="19"/>
      <c r="F5658" s="19"/>
      <c r="G5658" s="19"/>
      <c r="H5658" s="19"/>
      <c r="I5658" s="19"/>
      <c r="J5658" s="19"/>
      <c r="K5658" s="19"/>
      <c r="L5658" s="19"/>
      <c r="M5658" s="19"/>
      <c r="N5658" s="19"/>
      <c r="O5658" s="14" t="str">
        <f>HYPERLINK("https://otsuka-europe-crm.veevavault.com/ui/#object/email_activity__v/V8C00000003Q524", "EN-002091860")</f>
        <v>EN-002091860</v>
      </c>
    </row>
    <row r="5659" spans="1:15" ht="16" x14ac:dyDescent="0.2">
      <c r="A5659" s="17" t="str">
        <f>HYPERLINK("https://otsuka-europe-crm.veevavault.com/ui/#object/account__v/V4TZ04ASGAAGMZJ", "PATRICIA CASTRO PEREZ")</f>
        <v>PATRICIA CASTRO PEREZ</v>
      </c>
      <c r="B5659" s="17" t="str">
        <f>HYPERLINK("https://otsuka-europe-crm.veevavault.com/ui/#object/vcountry__v/VENZ000004SONF5", "ES")</f>
        <v>ES</v>
      </c>
      <c r="C5659" s="20" t="s">
        <v>41</v>
      </c>
      <c r="D5659" s="21" t="str">
        <f>HYPERLINK("https://otsuka-europe-crm.veevavault.com/ui/#object/approved_document__v/V5O00000001H025", "LUP - VAE invitación simposio SEN-SER - Reuma")</f>
        <v>LUP - VAE invitación simposio SEN-SER - Reuma</v>
      </c>
      <c r="E5659" s="22" t="str">
        <f>HYPERLINK("https://otsuka-europe-crm.veevavault.com/ui/#object/sent_email__v/VBL00000002R046", "SE-001434173")</f>
        <v>SE-001434173</v>
      </c>
      <c r="F5659" s="25"/>
      <c r="G5659" s="24">
        <v>0</v>
      </c>
      <c r="H5659" s="24">
        <v>0</v>
      </c>
      <c r="I5659" s="24">
        <v>0</v>
      </c>
      <c r="J5659" s="25"/>
      <c r="K5659" s="24">
        <v>0</v>
      </c>
      <c r="L5659" s="22" t="str">
        <f>HYPERLINK("https://otsuka-europe-crm.veevavault.com/ui/#object/approved_document__v/V5O00000001H025", "LUP - VAE invitación simposio SEN-SER - Reuma")</f>
        <v>LUP - VAE invitación simposio SEN-SER - Reuma</v>
      </c>
      <c r="M5659" s="22" t="str">
        <f>HYPERLINK("mailto:jguri@crm.otsuka-europe.com", "jguri@crm.otsuka-europe.com")</f>
        <v>jguri@crm.otsuka-europe.com</v>
      </c>
      <c r="N5659" s="23">
        <v>46181.37572916667</v>
      </c>
      <c r="O5659" s="14" t="str">
        <f>HYPERLINK("https://otsuka-europe-crm.veevavault.com/ui/#object/email_activity__v/V8C00000003P945", "EN-002091553")</f>
        <v>EN-002091553</v>
      </c>
    </row>
    <row r="5660" spans="1:15" ht="16" x14ac:dyDescent="0.2">
      <c r="A5660" s="19"/>
      <c r="B5660" s="19"/>
      <c r="C5660" s="19"/>
      <c r="D5660" s="19"/>
      <c r="E5660" s="19"/>
      <c r="F5660" s="19"/>
      <c r="G5660" s="19"/>
      <c r="H5660" s="19"/>
      <c r="I5660" s="19"/>
      <c r="J5660" s="19"/>
      <c r="K5660" s="19"/>
      <c r="L5660" s="19"/>
      <c r="M5660" s="19"/>
      <c r="N5660" s="19"/>
      <c r="O5660" s="14" t="str">
        <f>HYPERLINK("https://otsuka-europe-crm.veevavault.com/ui/#object/email_activity__v/V8C00000003R059", "EN-002091792")</f>
        <v>EN-002091792</v>
      </c>
    </row>
    <row r="5661" spans="1:15" ht="32" x14ac:dyDescent="0.2">
      <c r="A5661" s="7" t="str">
        <f>HYPERLINK("https://otsuka-europe-crm.veevavault.com/ui/#object/account__v/V4TZ025E86GSW01", "EMILIO RICO SANCHEZ-MATEOS")</f>
        <v>EMILIO RICO SANCHEZ-MATEOS</v>
      </c>
      <c r="B5661" s="7" t="str">
        <f>HYPERLINK("https://otsuka-europe-crm.veevavault.com/ui/#object/vcountry__v/VENZ000004SONF5", "ES")</f>
        <v>ES</v>
      </c>
      <c r="C5661" s="8" t="s">
        <v>41</v>
      </c>
      <c r="D5661" s="9" t="str">
        <f>HYPERLINK("https://otsuka-europe-crm.veevavault.com/ui/#object/approved_document__v/V5O00000001H025", "LUP - VAE invitación simposio SEN-SER - Reuma")</f>
        <v>LUP - VAE invitación simposio SEN-SER - Reuma</v>
      </c>
      <c r="E5661" s="10" t="str">
        <f>HYPERLINK("https://otsuka-europe-crm.veevavault.com/ui/#object/sent_email__v/VBL00000002R047", "SE-001434174")</f>
        <v>SE-001434174</v>
      </c>
      <c r="F5661" s="11"/>
      <c r="G5661" s="12">
        <v>0</v>
      </c>
      <c r="H5661" s="12">
        <v>0</v>
      </c>
      <c r="I5661" s="12">
        <v>0</v>
      </c>
      <c r="J5661" s="11"/>
      <c r="K5661" s="12">
        <v>0</v>
      </c>
      <c r="L5661" s="10" t="str">
        <f>HYPERLINK("https://otsuka-europe-crm.veevavault.com/ui/#object/approved_document__v/V5O00000001H025", "LUP - VAE invitación simposio SEN-SER - Reuma")</f>
        <v>LUP - VAE invitación simposio SEN-SER - Reuma</v>
      </c>
      <c r="M5661" s="10" t="str">
        <f>HYPERLINK("mailto:jguri@crm.otsuka-europe.com", "jguri@crm.otsuka-europe.com")</f>
        <v>jguri@crm.otsuka-europe.com</v>
      </c>
      <c r="N5661" s="13">
        <v>46181.375763888886</v>
      </c>
      <c r="O5661" s="14" t="str">
        <f>HYPERLINK("https://otsuka-europe-crm.veevavault.com/ui/#object/email_activity__v/V8C00000003Q367", "EN-002091549")</f>
        <v>EN-002091549</v>
      </c>
    </row>
    <row r="5662" spans="1:15" ht="16" x14ac:dyDescent="0.2">
      <c r="A5662" s="17" t="str">
        <f>HYPERLINK("https://otsuka-europe-crm.veevavault.com/ui/#object/account__v/V4TZ04ASG9ZBEGG", "MARIA CARMEN ORTEGA DE LA O")</f>
        <v>MARIA CARMEN ORTEGA DE LA O</v>
      </c>
      <c r="B5662" s="17" t="str">
        <f>HYPERLINK("https://otsuka-europe-crm.veevavault.com/ui/#object/vcountry__v/VENZ000004SONF5", "ES")</f>
        <v>ES</v>
      </c>
      <c r="C5662" s="20" t="s">
        <v>41</v>
      </c>
      <c r="D5662" s="21" t="str">
        <f>HYPERLINK("https://otsuka-europe-crm.veevavault.com/ui/#object/approved_document__v/V5O00000001H025", "LUP - VAE invitación simposio SEN-SER - Reuma")</f>
        <v>LUP - VAE invitación simposio SEN-SER - Reuma</v>
      </c>
      <c r="E5662" s="22" t="str">
        <f>HYPERLINK("https://otsuka-europe-crm.veevavault.com/ui/#object/sent_email__v/VBL00000002R048", "SE-001434175")</f>
        <v>SE-001434175</v>
      </c>
      <c r="F5662" s="23">
        <v>46181.414282407408</v>
      </c>
      <c r="G5662" s="24">
        <v>1</v>
      </c>
      <c r="H5662" s="24">
        <v>1</v>
      </c>
      <c r="I5662" s="24">
        <v>1</v>
      </c>
      <c r="J5662" s="23">
        <v>46181.414537037039</v>
      </c>
      <c r="K5662" s="24">
        <v>1</v>
      </c>
      <c r="L5662" s="22" t="str">
        <f>HYPERLINK("https://otsuka-europe-crm.veevavault.com/ui/#object/approved_document__v/V5O00000001H025", "LUP - VAE invitación simposio SEN-SER - Reuma")</f>
        <v>LUP - VAE invitación simposio SEN-SER - Reuma</v>
      </c>
      <c r="M5662" s="22" t="str">
        <f>HYPERLINK("mailto:jguri@crm.otsuka-europe.com", "jguri@crm.otsuka-europe.com")</f>
        <v>jguri@crm.otsuka-europe.com</v>
      </c>
      <c r="N5662" s="23">
        <v>46181.37572916667</v>
      </c>
      <c r="O5662" s="14" t="str">
        <f>HYPERLINK("https://otsuka-europe-crm.veevavault.com/ui/#object/email_activity__v/V8C00000003Q370", "EN-002091556")</f>
        <v>EN-002091556</v>
      </c>
    </row>
    <row r="5663" spans="1:15" ht="16" x14ac:dyDescent="0.2">
      <c r="A5663" s="18"/>
      <c r="B5663" s="18"/>
      <c r="C5663" s="18"/>
      <c r="D5663" s="18"/>
      <c r="E5663" s="18"/>
      <c r="F5663" s="18"/>
      <c r="G5663" s="18"/>
      <c r="H5663" s="18"/>
      <c r="I5663" s="18"/>
      <c r="J5663" s="18"/>
      <c r="K5663" s="18"/>
      <c r="L5663" s="18"/>
      <c r="M5663" s="18"/>
      <c r="N5663" s="18"/>
      <c r="O5663" s="14" t="str">
        <f>HYPERLINK("https://otsuka-europe-crm.veevavault.com/ui/#object/email_activity__v/V8C00000003Q743", "EN-002092312")</f>
        <v>EN-002092312</v>
      </c>
    </row>
    <row r="5664" spans="1:15" ht="16" x14ac:dyDescent="0.2">
      <c r="A5664" s="18"/>
      <c r="B5664" s="18"/>
      <c r="C5664" s="18"/>
      <c r="D5664" s="18"/>
      <c r="E5664" s="18"/>
      <c r="F5664" s="18"/>
      <c r="G5664" s="18"/>
      <c r="H5664" s="18"/>
      <c r="I5664" s="18"/>
      <c r="J5664" s="18"/>
      <c r="K5664" s="18"/>
      <c r="L5664" s="18"/>
      <c r="M5664" s="18"/>
      <c r="N5664" s="18"/>
      <c r="O5664" s="14" t="str">
        <f>HYPERLINK("https://otsuka-europe-crm.veevavault.com/ui/#object/email_activity__v/V8C00000003R047", "EN-002091776")</f>
        <v>EN-002091776</v>
      </c>
    </row>
    <row r="5665" spans="1:15" ht="16" x14ac:dyDescent="0.2">
      <c r="A5665" s="18"/>
      <c r="B5665" s="18"/>
      <c r="C5665" s="18"/>
      <c r="D5665" s="18"/>
      <c r="E5665" s="18"/>
      <c r="F5665" s="18"/>
      <c r="G5665" s="18"/>
      <c r="H5665" s="18"/>
      <c r="I5665" s="18"/>
      <c r="J5665" s="18"/>
      <c r="K5665" s="18"/>
      <c r="L5665" s="18"/>
      <c r="M5665" s="18"/>
      <c r="N5665" s="18"/>
      <c r="O5665" s="14" t="str">
        <f>HYPERLINK("https://otsuka-europe-crm.veevavault.com/ui/#object/email_activity__v/V8C00000003R048", "EN-002091777")</f>
        <v>EN-002091777</v>
      </c>
    </row>
    <row r="5666" spans="1:15" ht="16" x14ac:dyDescent="0.2">
      <c r="A5666" s="18"/>
      <c r="B5666" s="18"/>
      <c r="C5666" s="18"/>
      <c r="D5666" s="18"/>
      <c r="E5666" s="18"/>
      <c r="F5666" s="18"/>
      <c r="G5666" s="18"/>
      <c r="H5666" s="18"/>
      <c r="I5666" s="18"/>
      <c r="J5666" s="18"/>
      <c r="K5666" s="18"/>
      <c r="L5666" s="18"/>
      <c r="M5666" s="18"/>
      <c r="N5666" s="18"/>
      <c r="O5666" s="14" t="str">
        <f>HYPERLINK("https://otsuka-europe-crm.veevavault.com/ui/#object/email_activity__v/V8C00000003R064", "EN-002091797")</f>
        <v>EN-002091797</v>
      </c>
    </row>
    <row r="5667" spans="1:15" ht="16" x14ac:dyDescent="0.2">
      <c r="A5667" s="18"/>
      <c r="B5667" s="18"/>
      <c r="C5667" s="18"/>
      <c r="D5667" s="18"/>
      <c r="E5667" s="18"/>
      <c r="F5667" s="18"/>
      <c r="G5667" s="18"/>
      <c r="H5667" s="18"/>
      <c r="I5667" s="18"/>
      <c r="J5667" s="18"/>
      <c r="K5667" s="18"/>
      <c r="L5667" s="18"/>
      <c r="M5667" s="18"/>
      <c r="N5667" s="18"/>
      <c r="O5667" s="14" t="str">
        <f>HYPERLINK("https://otsuka-europe-crm.veevavault.com/ui/#object/email_activity__v/V8C00000003R065", "EN-002091798")</f>
        <v>EN-002091798</v>
      </c>
    </row>
    <row r="5668" spans="1:15" ht="16" x14ac:dyDescent="0.2">
      <c r="A5668" s="18"/>
      <c r="B5668" s="18"/>
      <c r="C5668" s="18"/>
      <c r="D5668" s="18"/>
      <c r="E5668" s="18"/>
      <c r="F5668" s="18"/>
      <c r="G5668" s="18"/>
      <c r="H5668" s="18"/>
      <c r="I5668" s="18"/>
      <c r="J5668" s="18"/>
      <c r="K5668" s="18"/>
      <c r="L5668" s="18"/>
      <c r="M5668" s="18"/>
      <c r="N5668" s="18"/>
      <c r="O5668" s="14" t="str">
        <f>HYPERLINK("https://otsuka-europe-crm.veevavault.com/ui/#object/email_activity__v/V8C00000003R066", "EN-002091799")</f>
        <v>EN-002091799</v>
      </c>
    </row>
    <row r="5669" spans="1:15" ht="16" x14ac:dyDescent="0.2">
      <c r="A5669" s="18"/>
      <c r="B5669" s="18"/>
      <c r="C5669" s="18"/>
      <c r="D5669" s="18"/>
      <c r="E5669" s="18"/>
      <c r="F5669" s="18"/>
      <c r="G5669" s="18"/>
      <c r="H5669" s="18"/>
      <c r="I5669" s="18"/>
      <c r="J5669" s="18"/>
      <c r="K5669" s="18"/>
      <c r="L5669" s="18"/>
      <c r="M5669" s="18"/>
      <c r="N5669" s="18"/>
      <c r="O5669" s="14" t="str">
        <f>HYPERLINK("https://otsuka-europe-crm.veevavault.com/ui/#object/email_activity__v/V8C00000003T060", "EN-002093683")</f>
        <v>EN-002093683</v>
      </c>
    </row>
    <row r="5670" spans="1:15" ht="16" x14ac:dyDescent="0.2">
      <c r="A5670" s="18"/>
      <c r="B5670" s="18"/>
      <c r="C5670" s="18"/>
      <c r="D5670" s="18"/>
      <c r="E5670" s="18"/>
      <c r="F5670" s="18"/>
      <c r="G5670" s="18"/>
      <c r="H5670" s="18"/>
      <c r="I5670" s="18"/>
      <c r="J5670" s="18"/>
      <c r="K5670" s="18"/>
      <c r="L5670" s="18"/>
      <c r="M5670" s="18"/>
      <c r="N5670" s="18"/>
      <c r="O5670" s="14" t="str">
        <f>HYPERLINK("https://otsuka-europe-crm.veevavault.com/ui/#object/email_activity__v/V8C00000003T093", "EN-002093749")</f>
        <v>EN-002093749</v>
      </c>
    </row>
    <row r="5671" spans="1:15" ht="16" x14ac:dyDescent="0.2">
      <c r="A5671" s="19"/>
      <c r="B5671" s="19"/>
      <c r="C5671" s="19"/>
      <c r="D5671" s="19"/>
      <c r="E5671" s="19"/>
      <c r="F5671" s="19"/>
      <c r="G5671" s="19"/>
      <c r="H5671" s="19"/>
      <c r="I5671" s="19"/>
      <c r="J5671" s="19"/>
      <c r="K5671" s="19"/>
      <c r="L5671" s="19"/>
      <c r="M5671" s="19"/>
      <c r="N5671" s="19"/>
      <c r="O5671" s="14" t="str">
        <f>HYPERLINK("https://otsuka-europe-crm.veevavault.com/ui/#object/email_activity__v/V8C00000003X184", "EN-002097268")</f>
        <v>EN-002097268</v>
      </c>
    </row>
    <row r="5672" spans="1:15" ht="32" x14ac:dyDescent="0.2">
      <c r="A5672" s="7" t="str">
        <f>HYPERLINK("https://otsuka-europe-crm.veevavault.com/ui/#object/account__v/V4TZ04ASGABZCPT", "BEGOÑA GUADALUPE FRUTOS PEREZ")</f>
        <v>BEGOÑA GUADALUPE FRUTOS PEREZ</v>
      </c>
      <c r="B5672" s="7" t="str">
        <f>HYPERLINK("https://otsuka-europe-crm.veevavault.com/ui/#object/vcountry__v/VENZ000004SONF5", "ES")</f>
        <v>ES</v>
      </c>
      <c r="C5672" s="8" t="s">
        <v>41</v>
      </c>
      <c r="D5672" s="9" t="str">
        <f>HYPERLINK("https://otsuka-europe-crm.veevavault.com/ui/#object/approved_document__v/V5O00000001H025", "LUP - VAE invitación simposio SEN-SER - Reuma")</f>
        <v>LUP - VAE invitación simposio SEN-SER - Reuma</v>
      </c>
      <c r="E5672" s="10" t="str">
        <f>HYPERLINK("https://otsuka-europe-crm.veevavault.com/ui/#object/sent_email__v/VBL00000002R049", "SE-001434176")</f>
        <v>SE-001434176</v>
      </c>
      <c r="F5672" s="11"/>
      <c r="G5672" s="12">
        <v>0</v>
      </c>
      <c r="H5672" s="12">
        <v>0</v>
      </c>
      <c r="I5672" s="12">
        <v>0</v>
      </c>
      <c r="J5672" s="11"/>
      <c r="K5672" s="12">
        <v>0</v>
      </c>
      <c r="L5672" s="10" t="str">
        <f>HYPERLINK("https://otsuka-europe-crm.veevavault.com/ui/#object/approved_document__v/V5O00000001H025", "LUP - VAE invitación simposio SEN-SER - Reuma")</f>
        <v>LUP - VAE invitación simposio SEN-SER - Reuma</v>
      </c>
      <c r="M5672" s="10" t="str">
        <f>HYPERLINK("mailto:jguri@crm.otsuka-europe.com", "jguri@crm.otsuka-europe.com")</f>
        <v>jguri@crm.otsuka-europe.com</v>
      </c>
      <c r="N5672" s="13">
        <v>46181.37572916667</v>
      </c>
      <c r="O5672" s="14" t="str">
        <f>HYPERLINK("https://otsuka-europe-crm.veevavault.com/ui/#object/email_activity__v/V8C00000003P946", "EN-002091554")</f>
        <v>EN-002091554</v>
      </c>
    </row>
    <row r="5673" spans="1:15" ht="32" x14ac:dyDescent="0.2">
      <c r="A5673" s="7" t="str">
        <f>HYPERLINK("https://otsuka-europe-crm.veevavault.com/ui/#object/account__v/V4TZ025E885S4VN", "ATUSA MOVASAT HAJKHAN")</f>
        <v>ATUSA MOVASAT HAJKHAN</v>
      </c>
      <c r="B5673" s="7" t="str">
        <f>HYPERLINK("https://otsuka-europe-crm.veevavault.com/ui/#object/vcountry__v/VENZ000004SONF5", "ES")</f>
        <v>ES</v>
      </c>
      <c r="C5673" s="8" t="s">
        <v>41</v>
      </c>
      <c r="D5673" s="9" t="str">
        <f>HYPERLINK("https://otsuka-europe-crm.veevavault.com/ui/#object/approved_document__v/V5O00000001H025", "LUP - VAE invitación simposio SEN-SER - Reuma")</f>
        <v>LUP - VAE invitación simposio SEN-SER - Reuma</v>
      </c>
      <c r="E5673" s="10" t="str">
        <f>HYPERLINK("https://otsuka-europe-crm.veevavault.com/ui/#object/sent_email__v/VBL00000002R050", "SE-001434177")</f>
        <v>SE-001434177</v>
      </c>
      <c r="F5673" s="11"/>
      <c r="G5673" s="12">
        <v>0</v>
      </c>
      <c r="H5673" s="12">
        <v>0</v>
      </c>
      <c r="I5673" s="12">
        <v>0</v>
      </c>
      <c r="J5673" s="11"/>
      <c r="K5673" s="12">
        <v>0</v>
      </c>
      <c r="L5673" s="10" t="str">
        <f>HYPERLINK("https://otsuka-europe-crm.veevavault.com/ui/#object/approved_document__v/V5O00000001H025", "LUP - VAE invitación simposio SEN-SER - Reuma")</f>
        <v>LUP - VAE invitación simposio SEN-SER - Reuma</v>
      </c>
      <c r="M5673" s="10" t="str">
        <f>HYPERLINK("mailto:jguri@crm.otsuka-europe.com", "jguri@crm.otsuka-europe.com")</f>
        <v>jguri@crm.otsuka-europe.com</v>
      </c>
      <c r="N5673" s="13">
        <v>46181.375763888886</v>
      </c>
      <c r="O5673" s="14" t="str">
        <f>HYPERLINK("https://otsuka-europe-crm.veevavault.com/ui/#object/email_activity__v/V8C00000003Q355", "EN-002091537")</f>
        <v>EN-002091537</v>
      </c>
    </row>
    <row r="5674" spans="1:15" ht="32" x14ac:dyDescent="0.2">
      <c r="A5674" s="7" t="str">
        <f>HYPERLINK("https://otsuka-europe-crm.veevavault.com/ui/#object/account__v/V4TZ04ASG95OKJU", "ZULEMA ROSALES ROSADO")</f>
        <v>ZULEMA ROSALES ROSADO</v>
      </c>
      <c r="B5674" s="7" t="str">
        <f>HYPERLINK("https://otsuka-europe-crm.veevavault.com/ui/#object/vcountry__v/VENZ000004SONF5", "ES")</f>
        <v>ES</v>
      </c>
      <c r="C5674" s="8" t="s">
        <v>41</v>
      </c>
      <c r="D5674" s="9" t="str">
        <f>HYPERLINK("https://otsuka-europe-crm.veevavault.com/ui/#object/approved_document__v/V5O00000001H025", "LUP - VAE invitación simposio SEN-SER - Reuma")</f>
        <v>LUP - VAE invitación simposio SEN-SER - Reuma</v>
      </c>
      <c r="E5674" s="10" t="str">
        <f>HYPERLINK("https://otsuka-europe-crm.veevavault.com/ui/#object/sent_email__v/VBL00000002R051", "SE-001434178")</f>
        <v>SE-001434178</v>
      </c>
      <c r="F5674" s="11"/>
      <c r="G5674" s="12">
        <v>0</v>
      </c>
      <c r="H5674" s="12">
        <v>0</v>
      </c>
      <c r="I5674" s="12">
        <v>0</v>
      </c>
      <c r="J5674" s="11"/>
      <c r="K5674" s="12">
        <v>0</v>
      </c>
      <c r="L5674" s="10" t="str">
        <f>HYPERLINK("https://otsuka-europe-crm.veevavault.com/ui/#object/approved_document__v/V5O00000001H025", "LUP - VAE invitación simposio SEN-SER - Reuma")</f>
        <v>LUP - VAE invitación simposio SEN-SER - Reuma</v>
      </c>
      <c r="M5674" s="10" t="str">
        <f>HYPERLINK("mailto:jguri@crm.otsuka-europe.com", "jguri@crm.otsuka-europe.com")</f>
        <v>jguri@crm.otsuka-europe.com</v>
      </c>
      <c r="N5674" s="13">
        <v>46181.375763888886</v>
      </c>
      <c r="O5674" s="14" t="str">
        <f>HYPERLINK("https://otsuka-europe-crm.veevavault.com/ui/#object/email_activity__v/V8C00000003Q379", "EN-002091566")</f>
        <v>EN-002091566</v>
      </c>
    </row>
    <row r="5675" spans="1:15" ht="16" x14ac:dyDescent="0.2">
      <c r="A5675" s="17" t="str">
        <f>HYPERLINK("https://otsuka-europe-crm.veevavault.com/ui/#object/account__v/V4TZ025E837V42M", "FERNANDO ALBARRAN HERNANDEZ")</f>
        <v>FERNANDO ALBARRAN HERNANDEZ</v>
      </c>
      <c r="B5675" s="17" t="str">
        <f>HYPERLINK("https://otsuka-europe-crm.veevavault.com/ui/#object/vcountry__v/VENZ000004SONF5", "ES")</f>
        <v>ES</v>
      </c>
      <c r="C5675" s="20" t="s">
        <v>41</v>
      </c>
      <c r="D5675" s="21" t="str">
        <f>HYPERLINK("https://otsuka-europe-crm.veevavault.com/ui/#object/approved_document__v/V5O00000001H025", "LUP - VAE invitación simposio SEN-SER - Reuma")</f>
        <v>LUP - VAE invitación simposio SEN-SER - Reuma</v>
      </c>
      <c r="E5675" s="22" t="str">
        <f>HYPERLINK("https://otsuka-europe-crm.veevavault.com/ui/#object/sent_email__v/VBL00000002R052", "SE-001434179")</f>
        <v>SE-001434179</v>
      </c>
      <c r="F5675" s="23">
        <v>46181.756412037037</v>
      </c>
      <c r="G5675" s="24">
        <v>1</v>
      </c>
      <c r="H5675" s="24">
        <v>3</v>
      </c>
      <c r="I5675" s="24">
        <v>0</v>
      </c>
      <c r="J5675" s="25"/>
      <c r="K5675" s="24">
        <v>0</v>
      </c>
      <c r="L5675" s="22" t="str">
        <f>HYPERLINK("https://otsuka-europe-crm.veevavault.com/ui/#object/approved_document__v/V5O00000001H025", "LUP - VAE invitación simposio SEN-SER - Reuma")</f>
        <v>LUP - VAE invitación simposio SEN-SER - Reuma</v>
      </c>
      <c r="M5675" s="22" t="str">
        <f>HYPERLINK("mailto:jguri@crm.otsuka-europe.com", "jguri@crm.otsuka-europe.com")</f>
        <v>jguri@crm.otsuka-europe.com</v>
      </c>
      <c r="N5675" s="23">
        <v>46181.375763888886</v>
      </c>
      <c r="O5675" s="14" t="str">
        <f>HYPERLINK("https://otsuka-europe-crm.veevavault.com/ui/#object/email_activity__v/V8C00000003Q363", "EN-002091545")</f>
        <v>EN-002091545</v>
      </c>
    </row>
    <row r="5676" spans="1:15" ht="16" x14ac:dyDescent="0.2">
      <c r="A5676" s="18"/>
      <c r="B5676" s="18"/>
      <c r="C5676" s="18"/>
      <c r="D5676" s="18"/>
      <c r="E5676" s="18"/>
      <c r="F5676" s="18"/>
      <c r="G5676" s="18"/>
      <c r="H5676" s="18"/>
      <c r="I5676" s="18"/>
      <c r="J5676" s="18"/>
      <c r="K5676" s="18"/>
      <c r="L5676" s="18"/>
      <c r="M5676" s="18"/>
      <c r="N5676" s="18"/>
      <c r="O5676" s="14" t="str">
        <f>HYPERLINK("https://otsuka-europe-crm.veevavault.com/ui/#object/email_activity__v/V8C00000003Q665", "EN-002092170")</f>
        <v>EN-002092170</v>
      </c>
    </row>
    <row r="5677" spans="1:15" ht="16" x14ac:dyDescent="0.2">
      <c r="A5677" s="18"/>
      <c r="B5677" s="18"/>
      <c r="C5677" s="18"/>
      <c r="D5677" s="18"/>
      <c r="E5677" s="18"/>
      <c r="F5677" s="18"/>
      <c r="G5677" s="18"/>
      <c r="H5677" s="18"/>
      <c r="I5677" s="18"/>
      <c r="J5677" s="18"/>
      <c r="K5677" s="18"/>
      <c r="L5677" s="18"/>
      <c r="M5677" s="18"/>
      <c r="N5677" s="18"/>
      <c r="O5677" s="14" t="str">
        <f>HYPERLINK("https://otsuka-europe-crm.veevavault.com/ui/#object/email_activity__v/V8C00000003Q666", "EN-002092171")</f>
        <v>EN-002092171</v>
      </c>
    </row>
    <row r="5678" spans="1:15" ht="16" x14ac:dyDescent="0.2">
      <c r="A5678" s="19"/>
      <c r="B5678" s="19"/>
      <c r="C5678" s="19"/>
      <c r="D5678" s="19"/>
      <c r="E5678" s="19"/>
      <c r="F5678" s="19"/>
      <c r="G5678" s="19"/>
      <c r="H5678" s="19"/>
      <c r="I5678" s="19"/>
      <c r="J5678" s="19"/>
      <c r="K5678" s="19"/>
      <c r="L5678" s="19"/>
      <c r="M5678" s="19"/>
      <c r="N5678" s="19"/>
      <c r="O5678" s="14" t="str">
        <f>HYPERLINK("https://otsuka-europe-crm.veevavault.com/ui/#object/email_activity__v/V8C00000003Q667", "EN-002092172")</f>
        <v>EN-002092172</v>
      </c>
    </row>
    <row r="5679" spans="1:15" ht="16" x14ac:dyDescent="0.2">
      <c r="A5679" s="17" t="str">
        <f>HYPERLINK("https://otsuka-europe-crm.veevavault.com/ui/#object/account__v/V4TZ025E853JOL2", "MARIA PILAR AHIJADO GUZMAN")</f>
        <v>MARIA PILAR AHIJADO GUZMAN</v>
      </c>
      <c r="B5679" s="17" t="str">
        <f>HYPERLINK("https://otsuka-europe-crm.veevavault.com/ui/#object/vcountry__v/VENZ000004SONF5", "ES")</f>
        <v>ES</v>
      </c>
      <c r="C5679" s="20" t="s">
        <v>41</v>
      </c>
      <c r="D5679" s="21" t="str">
        <f>HYPERLINK("https://otsuka-europe-crm.veevavault.com/ui/#object/approved_document__v/V5O00000001H025", "LUP - VAE invitación simposio SEN-SER - Reuma")</f>
        <v>LUP - VAE invitación simposio SEN-SER - Reuma</v>
      </c>
      <c r="E5679" s="22" t="str">
        <f>HYPERLINK("https://otsuka-europe-crm.veevavault.com/ui/#object/sent_email__v/VBL00000002R053", "SE-001434180")</f>
        <v>SE-001434180</v>
      </c>
      <c r="F5679" s="25"/>
      <c r="G5679" s="24">
        <v>0</v>
      </c>
      <c r="H5679" s="24">
        <v>0</v>
      </c>
      <c r="I5679" s="24">
        <v>0</v>
      </c>
      <c r="J5679" s="25"/>
      <c r="K5679" s="24">
        <v>0</v>
      </c>
      <c r="L5679" s="22" t="str">
        <f>HYPERLINK("https://otsuka-europe-crm.veevavault.com/ui/#object/approved_document__v/V5O00000001H025", "LUP - VAE invitación simposio SEN-SER - Reuma")</f>
        <v>LUP - VAE invitación simposio SEN-SER - Reuma</v>
      </c>
      <c r="M5679" s="22" t="str">
        <f>HYPERLINK("mailto:jguri@crm.otsuka-europe.com", "jguri@crm.otsuka-europe.com")</f>
        <v>jguri@crm.otsuka-europe.com</v>
      </c>
      <c r="N5679" s="23">
        <v>46181.375763888886</v>
      </c>
      <c r="O5679" s="14" t="str">
        <f>HYPERLINK("https://otsuka-europe-crm.veevavault.com/ui/#object/email_activity__v/V8C00000003Q350", "EN-002091532")</f>
        <v>EN-002091532</v>
      </c>
    </row>
    <row r="5680" spans="1:15" ht="16" x14ac:dyDescent="0.2">
      <c r="A5680" s="19"/>
      <c r="B5680" s="19"/>
      <c r="C5680" s="19"/>
      <c r="D5680" s="19"/>
      <c r="E5680" s="19"/>
      <c r="F5680" s="19"/>
      <c r="G5680" s="19"/>
      <c r="H5680" s="19"/>
      <c r="I5680" s="19"/>
      <c r="J5680" s="19"/>
      <c r="K5680" s="19"/>
      <c r="L5680" s="19"/>
      <c r="M5680" s="19"/>
      <c r="N5680" s="19"/>
      <c r="O5680" s="14" t="str">
        <f>HYPERLINK("https://otsuka-europe-crm.veevavault.com/ui/#object/email_activity__v/V8C00000003Q646", "EN-002092110")</f>
        <v>EN-002092110</v>
      </c>
    </row>
    <row r="5681" spans="1:15" ht="16" x14ac:dyDescent="0.2">
      <c r="A5681" s="17" t="str">
        <f>HYPERLINK("https://otsuka-europe-crm.veevavault.com/ui/#object/account__v/V4TZ04ASGALKW70", "RAQUEL ALVAREZ FRANCO")</f>
        <v>RAQUEL ALVAREZ FRANCO</v>
      </c>
      <c r="B5681" s="17" t="str">
        <f>HYPERLINK("https://otsuka-europe-crm.veevavault.com/ui/#object/vcountry__v/VENZ000004SONF5", "ES")</f>
        <v>ES</v>
      </c>
      <c r="C5681" s="20" t="s">
        <v>41</v>
      </c>
      <c r="D5681" s="21" t="str">
        <f>HYPERLINK("https://otsuka-europe-crm.veevavault.com/ui/#object/approved_document__v/V5O00000001H025", "LUP - VAE invitación simposio SEN-SER - Reuma")</f>
        <v>LUP - VAE invitación simposio SEN-SER - Reuma</v>
      </c>
      <c r="E5681" s="22" t="str">
        <f>HYPERLINK("https://otsuka-europe-crm.veevavault.com/ui/#object/sent_email__v/VBL00000002R054", "SE-001434181")</f>
        <v>SE-001434181</v>
      </c>
      <c r="F5681" s="25"/>
      <c r="G5681" s="24">
        <v>0</v>
      </c>
      <c r="H5681" s="24">
        <v>0</v>
      </c>
      <c r="I5681" s="24">
        <v>0</v>
      </c>
      <c r="J5681" s="25"/>
      <c r="K5681" s="24">
        <v>0</v>
      </c>
      <c r="L5681" s="22" t="str">
        <f>HYPERLINK("https://otsuka-europe-crm.veevavault.com/ui/#object/approved_document__v/V5O00000001H025", "LUP - VAE invitación simposio SEN-SER - Reuma")</f>
        <v>LUP - VAE invitación simposio SEN-SER - Reuma</v>
      </c>
      <c r="M5681" s="22" t="str">
        <f>HYPERLINK("mailto:jguri@crm.otsuka-europe.com", "jguri@crm.otsuka-europe.com")</f>
        <v>jguri@crm.otsuka-europe.com</v>
      </c>
      <c r="N5681" s="23">
        <v>46181.375763888886</v>
      </c>
      <c r="O5681" s="14" t="str">
        <f>HYPERLINK("https://otsuka-europe-crm.veevavault.com/ui/#object/email_activity__v/V8C00000003Q364", "EN-002091546")</f>
        <v>EN-002091546</v>
      </c>
    </row>
    <row r="5682" spans="1:15" ht="16" x14ac:dyDescent="0.2">
      <c r="A5682" s="19"/>
      <c r="B5682" s="19"/>
      <c r="C5682" s="19"/>
      <c r="D5682" s="19"/>
      <c r="E5682" s="19"/>
      <c r="F5682" s="19"/>
      <c r="G5682" s="19"/>
      <c r="H5682" s="19"/>
      <c r="I5682" s="19"/>
      <c r="J5682" s="19"/>
      <c r="K5682" s="19"/>
      <c r="L5682" s="19"/>
      <c r="M5682" s="19"/>
      <c r="N5682" s="19"/>
      <c r="O5682" s="14" t="str">
        <f>HYPERLINK("https://otsuka-europe-crm.veevavault.com/ui/#object/email_activity__v/V8C00000003R002", "EN-002091699")</f>
        <v>EN-002091699</v>
      </c>
    </row>
    <row r="5683" spans="1:15" ht="16" x14ac:dyDescent="0.2">
      <c r="A5683" s="17" t="str">
        <f>HYPERLINK("https://otsuka-europe-crm.veevavault.com/ui/#object/account__v/V4TZ06G6O71T9D5", "DAVID BERNAL BELLO")</f>
        <v>DAVID BERNAL BELLO</v>
      </c>
      <c r="B5683" s="17" t="str">
        <f>HYPERLINK("https://otsuka-europe-crm.veevavault.com/ui/#object/vcountry__v/VENZ000004SONF5", "ES")</f>
        <v>ES</v>
      </c>
      <c r="C5683" s="20" t="s">
        <v>41</v>
      </c>
      <c r="D5683" s="21" t="str">
        <f>HYPERLINK("https://otsuka-europe-crm.veevavault.com/ui/#object/approved_document__v/V5O00000001H025", "LUP - VAE invitación simposio SEN-SER - Reuma")</f>
        <v>LUP - VAE invitación simposio SEN-SER - Reuma</v>
      </c>
      <c r="E5683" s="22" t="str">
        <f>HYPERLINK("https://otsuka-europe-crm.veevavault.com/ui/#object/sent_email__v/VBL00000002R055", "SE-001434182")</f>
        <v>SE-001434182</v>
      </c>
      <c r="F5683" s="25"/>
      <c r="G5683" s="24">
        <v>0</v>
      </c>
      <c r="H5683" s="24">
        <v>0</v>
      </c>
      <c r="I5683" s="24">
        <v>0</v>
      </c>
      <c r="J5683" s="25"/>
      <c r="K5683" s="24">
        <v>0</v>
      </c>
      <c r="L5683" s="22" t="str">
        <f>HYPERLINK("https://otsuka-europe-crm.veevavault.com/ui/#object/approved_document__v/V5O00000001H025", "LUP - VAE invitación simposio SEN-SER - Reuma")</f>
        <v>LUP - VAE invitación simposio SEN-SER - Reuma</v>
      </c>
      <c r="M5683" s="22" t="str">
        <f>HYPERLINK("mailto:jguri@crm.otsuka-europe.com", "jguri@crm.otsuka-europe.com")</f>
        <v>jguri@crm.otsuka-europe.com</v>
      </c>
      <c r="N5683" s="23">
        <v>46181.375763888886</v>
      </c>
      <c r="O5683" s="14" t="str">
        <f>HYPERLINK("https://otsuka-europe-crm.veevavault.com/ui/#object/email_activity__v/V8C00000003Q366", "EN-002091548")</f>
        <v>EN-002091548</v>
      </c>
    </row>
    <row r="5684" spans="1:15" ht="16" x14ac:dyDescent="0.2">
      <c r="A5684" s="19"/>
      <c r="B5684" s="19"/>
      <c r="C5684" s="19"/>
      <c r="D5684" s="19"/>
      <c r="E5684" s="19"/>
      <c r="F5684" s="19"/>
      <c r="G5684" s="19"/>
      <c r="H5684" s="19"/>
      <c r="I5684" s="19"/>
      <c r="J5684" s="19"/>
      <c r="K5684" s="19"/>
      <c r="L5684" s="19"/>
      <c r="M5684" s="19"/>
      <c r="N5684" s="19"/>
      <c r="O5684" s="14" t="str">
        <f>HYPERLINK("https://otsuka-europe-crm.veevavault.com/ui/#object/email_activity__v/V8C00000003Q382", "EN-002091576")</f>
        <v>EN-002091576</v>
      </c>
    </row>
    <row r="5685" spans="1:15" ht="16" x14ac:dyDescent="0.2">
      <c r="A5685" s="17" t="str">
        <f>HYPERLINK("https://otsuka-europe-crm.veevavault.com/ui/#object/account__v/V4TZ04ASG9UCG39", "ELENA RABADAN RUBIO")</f>
        <v>ELENA RABADAN RUBIO</v>
      </c>
      <c r="B5685" s="17" t="str">
        <f>HYPERLINK("https://otsuka-europe-crm.veevavault.com/ui/#object/vcountry__v/VENZ000004SONF5", "ES")</f>
        <v>ES</v>
      </c>
      <c r="C5685" s="20" t="s">
        <v>41</v>
      </c>
      <c r="D5685" s="21" t="str">
        <f>HYPERLINK("https://otsuka-europe-crm.veevavault.com/ui/#object/approved_document__v/V5O00000001H025", "LUP - VAE invitación simposio SEN-SER - Reuma")</f>
        <v>LUP - VAE invitación simposio SEN-SER - Reuma</v>
      </c>
      <c r="E5685" s="22" t="str">
        <f>HYPERLINK("https://otsuka-europe-crm.veevavault.com/ui/#object/sent_email__v/VBL00000002R056", "SE-001434183")</f>
        <v>SE-001434183</v>
      </c>
      <c r="F5685" s="25"/>
      <c r="G5685" s="24">
        <v>0</v>
      </c>
      <c r="H5685" s="24">
        <v>0</v>
      </c>
      <c r="I5685" s="24">
        <v>0</v>
      </c>
      <c r="J5685" s="25"/>
      <c r="K5685" s="24">
        <v>0</v>
      </c>
      <c r="L5685" s="22" t="str">
        <f>HYPERLINK("https://otsuka-europe-crm.veevavault.com/ui/#object/approved_document__v/V5O00000001H025", "LUP - VAE invitación simposio SEN-SER - Reuma")</f>
        <v>LUP - VAE invitación simposio SEN-SER - Reuma</v>
      </c>
      <c r="M5685" s="22" t="str">
        <f>HYPERLINK("mailto:jguri@crm.otsuka-europe.com", "jguri@crm.otsuka-europe.com")</f>
        <v>jguri@crm.otsuka-europe.com</v>
      </c>
      <c r="N5685" s="23">
        <v>46181.375763888886</v>
      </c>
      <c r="O5685" s="14" t="str">
        <f>HYPERLINK("https://otsuka-europe-crm.veevavault.com/ui/#object/email_activity__v/V8C00000003Q353", "EN-002091535")</f>
        <v>EN-002091535</v>
      </c>
    </row>
    <row r="5686" spans="1:15" ht="16" x14ac:dyDescent="0.2">
      <c r="A5686" s="19"/>
      <c r="B5686" s="19"/>
      <c r="C5686" s="19"/>
      <c r="D5686" s="19"/>
      <c r="E5686" s="19"/>
      <c r="F5686" s="19"/>
      <c r="G5686" s="19"/>
      <c r="H5686" s="19"/>
      <c r="I5686" s="19"/>
      <c r="J5686" s="19"/>
      <c r="K5686" s="19"/>
      <c r="L5686" s="19"/>
      <c r="M5686" s="19"/>
      <c r="N5686" s="19"/>
      <c r="O5686" s="14" t="str">
        <f>HYPERLINK("https://otsuka-europe-crm.veevavault.com/ui/#object/email_activity__v/V8C00000003S398", "EN-002093702")</f>
        <v>EN-002093702</v>
      </c>
    </row>
    <row r="5687" spans="1:15" ht="32" x14ac:dyDescent="0.2">
      <c r="A5687" s="7" t="str">
        <f>HYPERLINK("https://otsuka-europe-crm.veevavault.com/ui/#object/account__v/V4TZ04ASG9U8TBF", "MARIA PUERTO MORENO GIL")</f>
        <v>MARIA PUERTO MORENO GIL</v>
      </c>
      <c r="B5687" s="7" t="str">
        <f>HYPERLINK("https://otsuka-europe-crm.veevavault.com/ui/#object/vcountry__v/VENZ000004SONF5", "ES")</f>
        <v>ES</v>
      </c>
      <c r="C5687" s="8" t="s">
        <v>41</v>
      </c>
      <c r="D5687" s="9" t="str">
        <f>HYPERLINK("https://otsuka-europe-crm.veevavault.com/ui/#object/approved_document__v/V5O00000001H025", "LUP - VAE invitación simposio SEN-SER - Reuma")</f>
        <v>LUP - VAE invitación simposio SEN-SER - Reuma</v>
      </c>
      <c r="E5687" s="10" t="str">
        <f>HYPERLINK("https://otsuka-europe-crm.veevavault.com/ui/#object/sent_email__v/VBL00000002R057", "SE-001434184")</f>
        <v>SE-001434184</v>
      </c>
      <c r="F5687" s="11"/>
      <c r="G5687" s="12">
        <v>0</v>
      </c>
      <c r="H5687" s="12">
        <v>0</v>
      </c>
      <c r="I5687" s="12">
        <v>0</v>
      </c>
      <c r="J5687" s="11"/>
      <c r="K5687" s="12">
        <v>0</v>
      </c>
      <c r="L5687" s="10" t="str">
        <f>HYPERLINK("https://otsuka-europe-crm.veevavault.com/ui/#object/approved_document__v/V5O00000001H025", "LUP - VAE invitación simposio SEN-SER - Reuma")</f>
        <v>LUP - VAE invitación simposio SEN-SER - Reuma</v>
      </c>
      <c r="M5687" s="10" t="str">
        <f>HYPERLINK("mailto:jguri@crm.otsuka-europe.com", "jguri@crm.otsuka-europe.com")</f>
        <v>jguri@crm.otsuka-europe.com</v>
      </c>
      <c r="N5687" s="13">
        <v>46181.375763888886</v>
      </c>
      <c r="O5687" s="14" t="str">
        <f>HYPERLINK("https://otsuka-europe-crm.veevavault.com/ui/#object/email_activity__v/V8C00000003P953", "EN-002091573")</f>
        <v>EN-002091573</v>
      </c>
    </row>
    <row r="5688" spans="1:15" ht="32" x14ac:dyDescent="0.2">
      <c r="A5688" s="7" t="str">
        <f>HYPERLINK("https://otsuka-europe-crm.veevavault.com/ui/#object/account__v/V4TZ04ASG9ZN0LL", "MARINA SALIDO OLIVARES")</f>
        <v>MARINA SALIDO OLIVARES</v>
      </c>
      <c r="B5688" s="7" t="str">
        <f>HYPERLINK("https://otsuka-europe-crm.veevavault.com/ui/#object/vcountry__v/VENZ000004SONF5", "ES")</f>
        <v>ES</v>
      </c>
      <c r="C5688" s="8" t="s">
        <v>41</v>
      </c>
      <c r="D5688" s="9" t="str">
        <f>HYPERLINK("https://otsuka-europe-crm.veevavault.com/ui/#object/approved_document__v/V5O00000001H025", "LUP - VAE invitación simposio SEN-SER - Reuma")</f>
        <v>LUP - VAE invitación simposio SEN-SER - Reuma</v>
      </c>
      <c r="E5688" s="10" t="str">
        <f>HYPERLINK("https://otsuka-europe-crm.veevavault.com/ui/#object/sent_email__v/VBL00000002R058", "SE-001434185")</f>
        <v>SE-001434185</v>
      </c>
      <c r="F5688" s="11"/>
      <c r="G5688" s="12">
        <v>0</v>
      </c>
      <c r="H5688" s="12">
        <v>0</v>
      </c>
      <c r="I5688" s="12">
        <v>0</v>
      </c>
      <c r="J5688" s="11"/>
      <c r="K5688" s="12">
        <v>0</v>
      </c>
      <c r="L5688" s="10" t="str">
        <f>HYPERLINK("https://otsuka-europe-crm.veevavault.com/ui/#object/approved_document__v/V5O00000001H025", "LUP - VAE invitación simposio SEN-SER - Reuma")</f>
        <v>LUP - VAE invitación simposio SEN-SER - Reuma</v>
      </c>
      <c r="M5688" s="10" t="str">
        <f>HYPERLINK("mailto:jguri@crm.otsuka-europe.com", "jguri@crm.otsuka-europe.com")</f>
        <v>jguri@crm.otsuka-europe.com</v>
      </c>
      <c r="N5688" s="13">
        <v>46181.375763888886</v>
      </c>
      <c r="O5688" s="14" t="str">
        <f>HYPERLINK("https://otsuka-europe-crm.veevavault.com/ui/#object/email_activity__v/V8C00000003Q360", "EN-002091542")</f>
        <v>EN-002091542</v>
      </c>
    </row>
    <row r="5689" spans="1:15" ht="32" x14ac:dyDescent="0.2">
      <c r="A5689" s="7" t="str">
        <f>HYPERLINK("https://otsuka-europe-crm.veevavault.com/ui/#object/account__v/V4TZ06G6OB4BK1Z", "MARIA ISABEL MARTIN MARTIN")</f>
        <v>MARIA ISABEL MARTIN MARTIN</v>
      </c>
      <c r="B5689" s="7" t="str">
        <f>HYPERLINK("https://otsuka-europe-crm.veevavault.com/ui/#object/vcountry__v/VENZ000004SONF5", "ES")</f>
        <v>ES</v>
      </c>
      <c r="C5689" s="8" t="s">
        <v>41</v>
      </c>
      <c r="D5689" s="9" t="str">
        <f>HYPERLINK("https://otsuka-europe-crm.veevavault.com/ui/#object/approved_document__v/V5O00000001H025", "LUP - VAE invitación simposio SEN-SER - Reuma")</f>
        <v>LUP - VAE invitación simposio SEN-SER - Reuma</v>
      </c>
      <c r="E5689" s="10" t="str">
        <f>HYPERLINK("https://otsuka-europe-crm.veevavault.com/ui/#object/sent_email__v/VBL00000002R059", "SE-001434186")</f>
        <v>SE-001434186</v>
      </c>
      <c r="F5689" s="11"/>
      <c r="G5689" s="12">
        <v>0</v>
      </c>
      <c r="H5689" s="12">
        <v>0</v>
      </c>
      <c r="I5689" s="12">
        <v>0</v>
      </c>
      <c r="J5689" s="11"/>
      <c r="K5689" s="12">
        <v>0</v>
      </c>
      <c r="L5689" s="10" t="str">
        <f>HYPERLINK("https://otsuka-europe-crm.veevavault.com/ui/#object/approved_document__v/V5O00000001H025", "LUP - VAE invitación simposio SEN-SER - Reuma")</f>
        <v>LUP - VAE invitación simposio SEN-SER - Reuma</v>
      </c>
      <c r="M5689" s="10" t="str">
        <f>HYPERLINK("mailto:jguri@crm.otsuka-europe.com", "jguri@crm.otsuka-europe.com")</f>
        <v>jguri@crm.otsuka-europe.com</v>
      </c>
      <c r="N5689" s="13">
        <v>46181.375763888886</v>
      </c>
      <c r="O5689" s="14" t="str">
        <f>HYPERLINK("https://otsuka-europe-crm.veevavault.com/ui/#object/email_activity__v/V8C00000003Q356", "EN-002091538")</f>
        <v>EN-002091538</v>
      </c>
    </row>
    <row r="5690" spans="1:15" ht="16" x14ac:dyDescent="0.2">
      <c r="A5690" s="17" t="str">
        <f>HYPERLINK("https://otsuka-europe-crm.veevavault.com/ui/#object/account__v/V4TZ06G6O71TYGS", "XAVIER RIVAS REGAIRA")</f>
        <v>XAVIER RIVAS REGAIRA</v>
      </c>
      <c r="B5690" s="17" t="str">
        <f>HYPERLINK("https://otsuka-europe-crm.veevavault.com/ui/#object/vcountry__v/VENZ000004SONF5", "ES")</f>
        <v>ES</v>
      </c>
      <c r="C5690" s="20" t="s">
        <v>41</v>
      </c>
      <c r="D5690" s="21" t="str">
        <f>HYPERLINK("https://otsuka-europe-crm.veevavault.com/ui/#object/approved_document__v/V5O00000001H025", "LUP - VAE invitación simposio SEN-SER - Reuma")</f>
        <v>LUP - VAE invitación simposio SEN-SER - Reuma</v>
      </c>
      <c r="E5690" s="22" t="str">
        <f>HYPERLINK("https://otsuka-europe-crm.veevavault.com/ui/#object/sent_email__v/VBL00000002R060", "SE-001434187")</f>
        <v>SE-001434187</v>
      </c>
      <c r="F5690" s="25"/>
      <c r="G5690" s="24">
        <v>0</v>
      </c>
      <c r="H5690" s="24">
        <v>0</v>
      </c>
      <c r="I5690" s="24">
        <v>0</v>
      </c>
      <c r="J5690" s="25"/>
      <c r="K5690" s="24">
        <v>0</v>
      </c>
      <c r="L5690" s="22" t="str">
        <f>HYPERLINK("https://otsuka-europe-crm.veevavault.com/ui/#object/approved_document__v/V5O00000001H025", "LUP - VAE invitación simposio SEN-SER - Reuma")</f>
        <v>LUP - VAE invitación simposio SEN-SER - Reuma</v>
      </c>
      <c r="M5690" s="22" t="str">
        <f>HYPERLINK("mailto:jguri@crm.otsuka-europe.com", "jguri@crm.otsuka-europe.com")</f>
        <v>jguri@crm.otsuka-europe.com</v>
      </c>
      <c r="N5690" s="23">
        <v>46181.375763888886</v>
      </c>
      <c r="O5690" s="14" t="str">
        <f>HYPERLINK("https://otsuka-europe-crm.veevavault.com/ui/#object/email_activity__v/V8C00000003Q365", "EN-002091547")</f>
        <v>EN-002091547</v>
      </c>
    </row>
    <row r="5691" spans="1:15" ht="16" x14ac:dyDescent="0.2">
      <c r="A5691" s="19"/>
      <c r="B5691" s="19"/>
      <c r="C5691" s="19"/>
      <c r="D5691" s="19"/>
      <c r="E5691" s="19"/>
      <c r="F5691" s="19"/>
      <c r="G5691" s="19"/>
      <c r="H5691" s="19"/>
      <c r="I5691" s="19"/>
      <c r="J5691" s="19"/>
      <c r="K5691" s="19"/>
      <c r="L5691" s="19"/>
      <c r="M5691" s="19"/>
      <c r="N5691" s="19"/>
      <c r="O5691" s="14" t="str">
        <f>HYPERLINK("https://otsuka-europe-crm.veevavault.com/ui/#object/email_activity__v/V8C00000003Q742", "EN-002092309")</f>
        <v>EN-002092309</v>
      </c>
    </row>
    <row r="5692" spans="1:15" ht="32" x14ac:dyDescent="0.2">
      <c r="A5692" s="7" t="str">
        <f>HYPERLINK("https://otsuka-europe-crm.veevavault.com/ui/#object/account__v/V4TZ04ASG9UAT00", "JANIRE MALAVE CALZADA")</f>
        <v>JANIRE MALAVE CALZADA</v>
      </c>
      <c r="B5692" s="7" t="str">
        <f>HYPERLINK("https://otsuka-europe-crm.veevavault.com/ui/#object/vcountry__v/VENZ000004SONF5", "ES")</f>
        <v>ES</v>
      </c>
      <c r="C5692" s="8" t="s">
        <v>41</v>
      </c>
      <c r="D5692" s="9" t="str">
        <f>HYPERLINK("https://otsuka-europe-crm.veevavault.com/ui/#object/approved_document__v/V5O00000001H025", "LUP - VAE invitación simposio SEN-SER - Reuma")</f>
        <v>LUP - VAE invitación simposio SEN-SER - Reuma</v>
      </c>
      <c r="E5692" s="10" t="str">
        <f>HYPERLINK("https://otsuka-europe-crm.veevavault.com/ui/#object/sent_email__v/VBL00000002R061", "SE-001434188")</f>
        <v>SE-001434188</v>
      </c>
      <c r="F5692" s="11"/>
      <c r="G5692" s="12">
        <v>0</v>
      </c>
      <c r="H5692" s="12">
        <v>0</v>
      </c>
      <c r="I5692" s="12">
        <v>0</v>
      </c>
      <c r="J5692" s="11"/>
      <c r="K5692" s="12">
        <v>0</v>
      </c>
      <c r="L5692" s="10" t="str">
        <f>HYPERLINK("https://otsuka-europe-crm.veevavault.com/ui/#object/approved_document__v/V5O00000001H025", "LUP - VAE invitación simposio SEN-SER - Reuma")</f>
        <v>LUP - VAE invitación simposio SEN-SER - Reuma</v>
      </c>
      <c r="M5692" s="10" t="str">
        <f>HYPERLINK("mailto:jguri@crm.otsuka-europe.com", "jguri@crm.otsuka-europe.com")</f>
        <v>jguri@crm.otsuka-europe.com</v>
      </c>
      <c r="N5692" s="13">
        <v>46181.375763888886</v>
      </c>
      <c r="O5692" s="14" t="str">
        <f>HYPERLINK("https://otsuka-europe-crm.veevavault.com/ui/#object/email_activity__v/V8C00000003Q381", "EN-002091568")</f>
        <v>EN-002091568</v>
      </c>
    </row>
    <row r="5693" spans="1:15" ht="16" x14ac:dyDescent="0.2">
      <c r="A5693" s="17" t="str">
        <f>HYPERLINK("https://otsuka-europe-crm.veevavault.com/ui/#object/account__v/V4TZ04ASG9UAU21", "MARIA TORRESANO ANDRES")</f>
        <v>MARIA TORRESANO ANDRES</v>
      </c>
      <c r="B5693" s="17" t="str">
        <f>HYPERLINK("https://otsuka-europe-crm.veevavault.com/ui/#object/vcountry__v/VENZ000004SONF5", "ES")</f>
        <v>ES</v>
      </c>
      <c r="C5693" s="20" t="s">
        <v>41</v>
      </c>
      <c r="D5693" s="21" t="str">
        <f>HYPERLINK("https://otsuka-europe-crm.veevavault.com/ui/#object/approved_document__v/V5O00000001H025", "LUP - VAE invitación simposio SEN-SER - Reuma")</f>
        <v>LUP - VAE invitación simposio SEN-SER - Reuma</v>
      </c>
      <c r="E5693" s="22" t="str">
        <f>HYPERLINK("https://otsuka-europe-crm.veevavault.com/ui/#object/sent_email__v/VBL00000002R062", "SE-001434189")</f>
        <v>SE-001434189</v>
      </c>
      <c r="F5693" s="23">
        <v>46181.489201388889</v>
      </c>
      <c r="G5693" s="24">
        <v>1</v>
      </c>
      <c r="H5693" s="24">
        <v>2</v>
      </c>
      <c r="I5693" s="24">
        <v>0</v>
      </c>
      <c r="J5693" s="25"/>
      <c r="K5693" s="24">
        <v>0</v>
      </c>
      <c r="L5693" s="22" t="str">
        <f>HYPERLINK("https://otsuka-europe-crm.veevavault.com/ui/#object/approved_document__v/V5O00000001H025", "LUP - VAE invitación simposio SEN-SER - Reuma")</f>
        <v>LUP - VAE invitación simposio SEN-SER - Reuma</v>
      </c>
      <c r="M5693" s="22" t="str">
        <f>HYPERLINK("mailto:jguri@crm.otsuka-europe.com", "jguri@crm.otsuka-europe.com")</f>
        <v>jguri@crm.otsuka-europe.com</v>
      </c>
      <c r="N5693" s="23">
        <v>46181.375763888886</v>
      </c>
      <c r="O5693" s="14" t="str">
        <f>HYPERLINK("https://otsuka-europe-crm.veevavault.com/ui/#object/email_activity__v/V8C00000003Q375", "EN-002091561")</f>
        <v>EN-002091561</v>
      </c>
    </row>
    <row r="5694" spans="1:15" ht="16" x14ac:dyDescent="0.2">
      <c r="A5694" s="18"/>
      <c r="B5694" s="18"/>
      <c r="C5694" s="18"/>
      <c r="D5694" s="18"/>
      <c r="E5694" s="18"/>
      <c r="F5694" s="18"/>
      <c r="G5694" s="18"/>
      <c r="H5694" s="18"/>
      <c r="I5694" s="18"/>
      <c r="J5694" s="18"/>
      <c r="K5694" s="18"/>
      <c r="L5694" s="18"/>
      <c r="M5694" s="18"/>
      <c r="N5694" s="18"/>
      <c r="O5694" s="14" t="str">
        <f>HYPERLINK("https://otsuka-europe-crm.veevavault.com/ui/#object/email_activity__v/V8C00000003Q553", "EN-002091911")</f>
        <v>EN-002091911</v>
      </c>
    </row>
    <row r="5695" spans="1:15" ht="16" x14ac:dyDescent="0.2">
      <c r="A5695" s="19"/>
      <c r="B5695" s="19"/>
      <c r="C5695" s="19"/>
      <c r="D5695" s="19"/>
      <c r="E5695" s="19"/>
      <c r="F5695" s="19"/>
      <c r="G5695" s="19"/>
      <c r="H5695" s="19"/>
      <c r="I5695" s="19"/>
      <c r="J5695" s="19"/>
      <c r="K5695" s="19"/>
      <c r="L5695" s="19"/>
      <c r="M5695" s="19"/>
      <c r="N5695" s="19"/>
      <c r="O5695" s="14" t="str">
        <f>HYPERLINK("https://otsuka-europe-crm.veevavault.com/ui/#object/email_activity__v/V8C00000003R120", "EN-002091910")</f>
        <v>EN-002091910</v>
      </c>
    </row>
    <row r="5696" spans="1:15" ht="32" x14ac:dyDescent="0.2">
      <c r="A5696" s="7" t="str">
        <f>HYPERLINK("https://otsuka-europe-crm.veevavault.com/ui/#object/account__v/V4TZ04ASGBTZCJT", "ELISA FERNANDEZ FERNANDEZ")</f>
        <v>ELISA FERNANDEZ FERNANDEZ</v>
      </c>
      <c r="B5696" s="7" t="str">
        <f>HYPERLINK("https://otsuka-europe-crm.veevavault.com/ui/#object/vcountry__v/VENZ000004SONF5", "ES")</f>
        <v>ES</v>
      </c>
      <c r="C5696" s="8" t="s">
        <v>41</v>
      </c>
      <c r="D5696" s="9" t="str">
        <f>HYPERLINK("https://otsuka-europe-crm.veevavault.com/ui/#object/approved_document__v/V5O00000001H025", "LUP - VAE invitación simposio SEN-SER - Reuma")</f>
        <v>LUP - VAE invitación simposio SEN-SER - Reuma</v>
      </c>
      <c r="E5696" s="10" t="str">
        <f>HYPERLINK("https://otsuka-europe-crm.veevavault.com/ui/#object/sent_email__v/VBL00000002R063", "SE-001434190")</f>
        <v>SE-001434190</v>
      </c>
      <c r="F5696" s="11"/>
      <c r="G5696" s="12">
        <v>0</v>
      </c>
      <c r="H5696" s="12">
        <v>0</v>
      </c>
      <c r="I5696" s="12">
        <v>0</v>
      </c>
      <c r="J5696" s="11"/>
      <c r="K5696" s="12">
        <v>0</v>
      </c>
      <c r="L5696" s="10" t="str">
        <f>HYPERLINK("https://otsuka-europe-crm.veevavault.com/ui/#object/approved_document__v/V5O00000001H025", "LUP - VAE invitación simposio SEN-SER - Reuma")</f>
        <v>LUP - VAE invitación simposio SEN-SER - Reuma</v>
      </c>
      <c r="M5696" s="10" t="str">
        <f>HYPERLINK("mailto:jguri@crm.otsuka-europe.com", "jguri@crm.otsuka-europe.com")</f>
        <v>jguri@crm.otsuka-europe.com</v>
      </c>
      <c r="N5696" s="13">
        <v>46181.375763888886</v>
      </c>
      <c r="O5696" s="14" t="str">
        <f>HYPERLINK("https://otsuka-europe-crm.veevavault.com/ui/#object/email_activity__v/V8C00000003Q376", "EN-002091563")</f>
        <v>EN-002091563</v>
      </c>
    </row>
    <row r="5697" spans="1:15" ht="16" x14ac:dyDescent="0.2">
      <c r="A5697" s="17" t="str">
        <f>HYPERLINK("https://otsuka-europe-crm.veevavault.com/ui/#object/account__v/V4TZ04ASGBTZCJS", "MARIA GEMA BONILLA HERNAN")</f>
        <v>MARIA GEMA BONILLA HERNAN</v>
      </c>
      <c r="B5697" s="17" t="str">
        <f>HYPERLINK("https://otsuka-europe-crm.veevavault.com/ui/#object/vcountry__v/VENZ000004SONF5", "ES")</f>
        <v>ES</v>
      </c>
      <c r="C5697" s="20" t="s">
        <v>41</v>
      </c>
      <c r="D5697" s="21" t="str">
        <f>HYPERLINK("https://otsuka-europe-crm.veevavault.com/ui/#object/approved_document__v/V5O00000001H025", "LUP - VAE invitación simposio SEN-SER - Reuma")</f>
        <v>LUP - VAE invitación simposio SEN-SER - Reuma</v>
      </c>
      <c r="E5697" s="22" t="str">
        <f>HYPERLINK("https://otsuka-europe-crm.veevavault.com/ui/#object/sent_email__v/VBL00000002R064", "SE-001434191")</f>
        <v>SE-001434191</v>
      </c>
      <c r="F5697" s="25"/>
      <c r="G5697" s="24">
        <v>0</v>
      </c>
      <c r="H5697" s="24">
        <v>0</v>
      </c>
      <c r="I5697" s="24">
        <v>0</v>
      </c>
      <c r="J5697" s="25"/>
      <c r="K5697" s="24">
        <v>0</v>
      </c>
      <c r="L5697" s="22" t="str">
        <f>HYPERLINK("https://otsuka-europe-crm.veevavault.com/ui/#object/approved_document__v/V5O00000001H025", "LUP - VAE invitación simposio SEN-SER - Reuma")</f>
        <v>LUP - VAE invitación simposio SEN-SER - Reuma</v>
      </c>
      <c r="M5697" s="22" t="str">
        <f>HYPERLINK("mailto:jguri@crm.otsuka-europe.com", "jguri@crm.otsuka-europe.com")</f>
        <v>jguri@crm.otsuka-europe.com</v>
      </c>
      <c r="N5697" s="23">
        <v>46181.375763888886</v>
      </c>
      <c r="O5697" s="14" t="str">
        <f>HYPERLINK("https://otsuka-europe-crm.veevavault.com/ui/#object/email_activity__v/V8C00000003P948", "EN-002091562")</f>
        <v>EN-002091562</v>
      </c>
    </row>
    <row r="5698" spans="1:15" ht="16" x14ac:dyDescent="0.2">
      <c r="A5698" s="19"/>
      <c r="B5698" s="19"/>
      <c r="C5698" s="19"/>
      <c r="D5698" s="19"/>
      <c r="E5698" s="19"/>
      <c r="F5698" s="19"/>
      <c r="G5698" s="19"/>
      <c r="H5698" s="19"/>
      <c r="I5698" s="19"/>
      <c r="J5698" s="19"/>
      <c r="K5698" s="19"/>
      <c r="L5698" s="19"/>
      <c r="M5698" s="19"/>
      <c r="N5698" s="19"/>
      <c r="O5698" s="14" t="str">
        <f>HYPERLINK("https://otsuka-europe-crm.veevavault.com/ui/#object/email_activity__v/V8C00000003R017", "EN-002091741")</f>
        <v>EN-002091741</v>
      </c>
    </row>
    <row r="5699" spans="1:15" ht="16" x14ac:dyDescent="0.2">
      <c r="A5699" s="17" t="str">
        <f>HYPERLINK("https://otsuka-europe-crm.veevavault.com/ui/#object/account__v/V4TZ06G6O71TB2H", "MIGUEL MARCOS MARTIN")</f>
        <v>MIGUEL MARCOS MARTIN</v>
      </c>
      <c r="B5699" s="17" t="str">
        <f>HYPERLINK("https://otsuka-europe-crm.veevavault.com/ui/#object/vcountry__v/VENZ000004SONF5", "ES")</f>
        <v>ES</v>
      </c>
      <c r="C5699" s="20" t="s">
        <v>41</v>
      </c>
      <c r="D5699" s="21" t="str">
        <f>HYPERLINK("https://otsuka-europe-crm.veevavault.com/ui/#object/approved_document__v/V5O00000001H025", "LUP - VAE invitación simposio SEN-SER - Reuma")</f>
        <v>LUP - VAE invitación simposio SEN-SER - Reuma</v>
      </c>
      <c r="E5699" s="22" t="str">
        <f>HYPERLINK("https://otsuka-europe-crm.veevavault.com/ui/#object/sent_email__v/VBL00000002R065", "SE-001434192")</f>
        <v>SE-001434192</v>
      </c>
      <c r="F5699" s="23">
        <v>46181.420960648145</v>
      </c>
      <c r="G5699" s="24">
        <v>1</v>
      </c>
      <c r="H5699" s="24">
        <v>3</v>
      </c>
      <c r="I5699" s="24">
        <v>0</v>
      </c>
      <c r="J5699" s="25"/>
      <c r="K5699" s="24">
        <v>0</v>
      </c>
      <c r="L5699" s="22" t="str">
        <f>HYPERLINK("https://otsuka-europe-crm.veevavault.com/ui/#object/approved_document__v/V5O00000001H025", "LUP - VAE invitación simposio SEN-SER - Reuma")</f>
        <v>LUP - VAE invitación simposio SEN-SER - Reuma</v>
      </c>
      <c r="M5699" s="22" t="str">
        <f>HYPERLINK("mailto:jguri@crm.otsuka-europe.com", "jguri@crm.otsuka-europe.com")</f>
        <v>jguri@crm.otsuka-europe.com</v>
      </c>
      <c r="N5699" s="23">
        <v>46181.375763888886</v>
      </c>
      <c r="O5699" s="14" t="str">
        <f>HYPERLINK("https://otsuka-europe-crm.veevavault.com/ui/#object/email_activity__v/V8C00000003Q352", "EN-002091534")</f>
        <v>EN-002091534</v>
      </c>
    </row>
    <row r="5700" spans="1:15" ht="16" x14ac:dyDescent="0.2">
      <c r="A5700" s="18"/>
      <c r="B5700" s="18"/>
      <c r="C5700" s="18"/>
      <c r="D5700" s="18"/>
      <c r="E5700" s="18"/>
      <c r="F5700" s="18"/>
      <c r="G5700" s="18"/>
      <c r="H5700" s="18"/>
      <c r="I5700" s="18"/>
      <c r="J5700" s="18"/>
      <c r="K5700" s="18"/>
      <c r="L5700" s="18"/>
      <c r="M5700" s="18"/>
      <c r="N5700" s="18"/>
      <c r="O5700" s="14" t="str">
        <f>HYPERLINK("https://otsuka-europe-crm.veevavault.com/ui/#object/email_activity__v/V8C00000003Q390", "EN-002091588")</f>
        <v>EN-002091588</v>
      </c>
    </row>
    <row r="5701" spans="1:15" ht="16" x14ac:dyDescent="0.2">
      <c r="A5701" s="18"/>
      <c r="B5701" s="18"/>
      <c r="C5701" s="18"/>
      <c r="D5701" s="18"/>
      <c r="E5701" s="18"/>
      <c r="F5701" s="18"/>
      <c r="G5701" s="18"/>
      <c r="H5701" s="18"/>
      <c r="I5701" s="18"/>
      <c r="J5701" s="18"/>
      <c r="K5701" s="18"/>
      <c r="L5701" s="18"/>
      <c r="M5701" s="18"/>
      <c r="N5701" s="18"/>
      <c r="O5701" s="14" t="str">
        <f>HYPERLINK("https://otsuka-europe-crm.veevavault.com/ui/#object/email_activity__v/V8C00000003Q463", "EN-002091704")</f>
        <v>EN-002091704</v>
      </c>
    </row>
    <row r="5702" spans="1:15" ht="16" x14ac:dyDescent="0.2">
      <c r="A5702" s="18"/>
      <c r="B5702" s="18"/>
      <c r="C5702" s="18"/>
      <c r="D5702" s="18"/>
      <c r="E5702" s="18"/>
      <c r="F5702" s="18"/>
      <c r="G5702" s="18"/>
      <c r="H5702" s="18"/>
      <c r="I5702" s="18"/>
      <c r="J5702" s="18"/>
      <c r="K5702" s="18"/>
      <c r="L5702" s="18"/>
      <c r="M5702" s="18"/>
      <c r="N5702" s="18"/>
      <c r="O5702" s="14" t="str">
        <f>HYPERLINK("https://otsuka-europe-crm.veevavault.com/ui/#object/email_activity__v/V8C00000003R054", "EN-002091787")</f>
        <v>EN-002091787</v>
      </c>
    </row>
    <row r="5703" spans="1:15" ht="16" x14ac:dyDescent="0.2">
      <c r="A5703" s="19"/>
      <c r="B5703" s="19"/>
      <c r="C5703" s="19"/>
      <c r="D5703" s="19"/>
      <c r="E5703" s="19"/>
      <c r="F5703" s="19"/>
      <c r="G5703" s="19"/>
      <c r="H5703" s="19"/>
      <c r="I5703" s="19"/>
      <c r="J5703" s="19"/>
      <c r="K5703" s="19"/>
      <c r="L5703" s="19"/>
      <c r="M5703" s="19"/>
      <c r="N5703" s="19"/>
      <c r="O5703" s="14" t="str">
        <f>HYPERLINK("https://otsuka-europe-crm.veevavault.com/ui/#object/email_activity__v/V8C00000003S635", "EN-002094173")</f>
        <v>EN-002094173</v>
      </c>
    </row>
    <row r="5704" spans="1:15" ht="16" x14ac:dyDescent="0.2">
      <c r="A5704" s="17" t="str">
        <f>HYPERLINK("https://otsuka-europe-crm.veevavault.com/ui/#object/account__v/V4TZ04ASG9UCG7Z", "MELCHOR ALVAREZ DE MON SOTO")</f>
        <v>MELCHOR ALVAREZ DE MON SOTO</v>
      </c>
      <c r="B5704" s="17" t="str">
        <f>HYPERLINK("https://otsuka-europe-crm.veevavault.com/ui/#object/vcountry__v/VENZ000004SONF5", "ES")</f>
        <v>ES</v>
      </c>
      <c r="C5704" s="20" t="s">
        <v>41</v>
      </c>
      <c r="D5704" s="21" t="str">
        <f>HYPERLINK("https://otsuka-europe-crm.veevavault.com/ui/#object/approved_document__v/V5O00000001H025", "LUP - VAE invitación simposio SEN-SER - Reuma")</f>
        <v>LUP - VAE invitación simposio SEN-SER - Reuma</v>
      </c>
      <c r="E5704" s="22" t="str">
        <f>HYPERLINK("https://otsuka-europe-crm.veevavault.com/ui/#object/sent_email__v/VBL00000002R066", "SE-001434193")</f>
        <v>SE-001434193</v>
      </c>
      <c r="F5704" s="25"/>
      <c r="G5704" s="24">
        <v>0</v>
      </c>
      <c r="H5704" s="24">
        <v>0</v>
      </c>
      <c r="I5704" s="24">
        <v>0</v>
      </c>
      <c r="J5704" s="25"/>
      <c r="K5704" s="24">
        <v>0</v>
      </c>
      <c r="L5704" s="22" t="str">
        <f>HYPERLINK("https://otsuka-europe-crm.veevavault.com/ui/#object/approved_document__v/V5O00000001H025", "LUP - VAE invitación simposio SEN-SER - Reuma")</f>
        <v>LUP - VAE invitación simposio SEN-SER - Reuma</v>
      </c>
      <c r="M5704" s="22" t="str">
        <f>HYPERLINK("mailto:jguri@crm.otsuka-europe.com", "jguri@crm.otsuka-europe.com")</f>
        <v>jguri@crm.otsuka-europe.com</v>
      </c>
      <c r="N5704" s="23">
        <v>46181.375763888886</v>
      </c>
      <c r="O5704" s="14" t="str">
        <f>HYPERLINK("https://otsuka-europe-crm.veevavault.com/ui/#object/email_activity__v/V8C00000003Q374", "EN-002091560")</f>
        <v>EN-002091560</v>
      </c>
    </row>
    <row r="5705" spans="1:15" ht="16" x14ac:dyDescent="0.2">
      <c r="A5705" s="18"/>
      <c r="B5705" s="18"/>
      <c r="C5705" s="18"/>
      <c r="D5705" s="18"/>
      <c r="E5705" s="18"/>
      <c r="F5705" s="18"/>
      <c r="G5705" s="18"/>
      <c r="H5705" s="18"/>
      <c r="I5705" s="18"/>
      <c r="J5705" s="18"/>
      <c r="K5705" s="18"/>
      <c r="L5705" s="18"/>
      <c r="M5705" s="18"/>
      <c r="N5705" s="18"/>
      <c r="O5705" s="14" t="str">
        <f>HYPERLINK("https://otsuka-europe-crm.veevavault.com/ui/#object/email_activity__v/V8C00000003R321", "EN-002092276")</f>
        <v>EN-002092276</v>
      </c>
    </row>
    <row r="5706" spans="1:15" ht="16" x14ac:dyDescent="0.2">
      <c r="A5706" s="18"/>
      <c r="B5706" s="18"/>
      <c r="C5706" s="18"/>
      <c r="D5706" s="18"/>
      <c r="E5706" s="18"/>
      <c r="F5706" s="18"/>
      <c r="G5706" s="18"/>
      <c r="H5706" s="18"/>
      <c r="I5706" s="18"/>
      <c r="J5706" s="18"/>
      <c r="K5706" s="18"/>
      <c r="L5706" s="18"/>
      <c r="M5706" s="18"/>
      <c r="N5706" s="18"/>
      <c r="O5706" s="14" t="str">
        <f>HYPERLINK("https://otsuka-europe-crm.veevavault.com/ui/#object/email_activity__v/V8C00000003S814", "EN-002094481")</f>
        <v>EN-002094481</v>
      </c>
    </row>
    <row r="5707" spans="1:15" ht="16" x14ac:dyDescent="0.2">
      <c r="A5707" s="18"/>
      <c r="B5707" s="18"/>
      <c r="C5707" s="18"/>
      <c r="D5707" s="18"/>
      <c r="E5707" s="18"/>
      <c r="F5707" s="18"/>
      <c r="G5707" s="18"/>
      <c r="H5707" s="18"/>
      <c r="I5707" s="18"/>
      <c r="J5707" s="18"/>
      <c r="K5707" s="18"/>
      <c r="L5707" s="18"/>
      <c r="M5707" s="18"/>
      <c r="N5707" s="18"/>
      <c r="O5707" s="14" t="str">
        <f>HYPERLINK("https://otsuka-europe-crm.veevavault.com/ui/#object/email_activity__v/V8C00000003Z175", "EN-002098950")</f>
        <v>EN-002098950</v>
      </c>
    </row>
    <row r="5708" spans="1:15" ht="16" x14ac:dyDescent="0.2">
      <c r="A5708" s="19"/>
      <c r="B5708" s="19"/>
      <c r="C5708" s="19"/>
      <c r="D5708" s="19"/>
      <c r="E5708" s="19"/>
      <c r="F5708" s="19"/>
      <c r="G5708" s="19"/>
      <c r="H5708" s="19"/>
      <c r="I5708" s="19"/>
      <c r="J5708" s="19"/>
      <c r="K5708" s="19"/>
      <c r="L5708" s="19"/>
      <c r="M5708" s="19"/>
      <c r="N5708" s="19"/>
      <c r="O5708" s="14" t="str">
        <f>HYPERLINK("https://otsuka-europe-crm.veevavault.com/ui/#object/email_activity__v/V8C000000041303", "EN-002100277")</f>
        <v>EN-002100277</v>
      </c>
    </row>
    <row r="5709" spans="1:15" ht="16" x14ac:dyDescent="0.2">
      <c r="A5709" s="17" t="str">
        <f>HYPERLINK("https://otsuka-europe-crm.veevavault.com/ui/#object/account__v/V4TZ04ASG9UATYL", "NATALIA LUCAS COLLADO")</f>
        <v>NATALIA LUCAS COLLADO</v>
      </c>
      <c r="B5709" s="17" t="str">
        <f>HYPERLINK("https://otsuka-europe-crm.veevavault.com/ui/#object/vcountry__v/VENZ000004SONF5", "ES")</f>
        <v>ES</v>
      </c>
      <c r="C5709" s="20" t="s">
        <v>41</v>
      </c>
      <c r="D5709" s="21" t="str">
        <f>HYPERLINK("https://otsuka-europe-crm.veevavault.com/ui/#object/approved_document__v/V5O00000001H025", "LUP - VAE invitación simposio SEN-SER - Reuma")</f>
        <v>LUP - VAE invitación simposio SEN-SER - Reuma</v>
      </c>
      <c r="E5709" s="22" t="str">
        <f>HYPERLINK("https://otsuka-europe-crm.veevavault.com/ui/#object/sent_email__v/VBL00000002R067", "SE-001434194")</f>
        <v>SE-001434194</v>
      </c>
      <c r="F5709" s="23">
        <v>46181.722071759257</v>
      </c>
      <c r="G5709" s="24">
        <v>1</v>
      </c>
      <c r="H5709" s="24">
        <v>1</v>
      </c>
      <c r="I5709" s="24">
        <v>1</v>
      </c>
      <c r="J5709" s="23">
        <v>46181.722754629627</v>
      </c>
      <c r="K5709" s="24">
        <v>4</v>
      </c>
      <c r="L5709" s="22" t="str">
        <f>HYPERLINK("https://otsuka-europe-crm.veevavault.com/ui/#object/approved_document__v/V5O00000001H025", "LUP - VAE invitación simposio SEN-SER - Reuma")</f>
        <v>LUP - VAE invitación simposio SEN-SER - Reuma</v>
      </c>
      <c r="M5709" s="22" t="str">
        <f>HYPERLINK("mailto:jguri@crm.otsuka-europe.com", "jguri@crm.otsuka-europe.com")</f>
        <v>jguri@crm.otsuka-europe.com</v>
      </c>
      <c r="N5709" s="23">
        <v>46181.375763888886</v>
      </c>
      <c r="O5709" s="14" t="str">
        <f>HYPERLINK("https://otsuka-europe-crm.veevavault.com/ui/#object/email_activity__v/V8C00000003Q351", "EN-002091533")</f>
        <v>EN-002091533</v>
      </c>
    </row>
    <row r="5710" spans="1:15" ht="16" x14ac:dyDescent="0.2">
      <c r="A5710" s="18"/>
      <c r="B5710" s="18"/>
      <c r="C5710" s="18"/>
      <c r="D5710" s="18"/>
      <c r="E5710" s="18"/>
      <c r="F5710" s="18"/>
      <c r="G5710" s="18"/>
      <c r="H5710" s="18"/>
      <c r="I5710" s="18"/>
      <c r="J5710" s="18"/>
      <c r="K5710" s="18"/>
      <c r="L5710" s="18"/>
      <c r="M5710" s="18"/>
      <c r="N5710" s="18"/>
      <c r="O5710" s="14" t="str">
        <f>HYPERLINK("https://otsuka-europe-crm.veevavault.com/ui/#object/email_activity__v/V8C00000003R234", "EN-002092123")</f>
        <v>EN-002092123</v>
      </c>
    </row>
    <row r="5711" spans="1:15" ht="16" x14ac:dyDescent="0.2">
      <c r="A5711" s="18"/>
      <c r="B5711" s="18"/>
      <c r="C5711" s="18"/>
      <c r="D5711" s="18"/>
      <c r="E5711" s="18"/>
      <c r="F5711" s="18"/>
      <c r="G5711" s="18"/>
      <c r="H5711" s="18"/>
      <c r="I5711" s="18"/>
      <c r="J5711" s="18"/>
      <c r="K5711" s="18"/>
      <c r="L5711" s="18"/>
      <c r="M5711" s="18"/>
      <c r="N5711" s="18"/>
      <c r="O5711" s="14" t="str">
        <f>HYPERLINK("https://otsuka-europe-crm.veevavault.com/ui/#object/email_activity__v/V8C00000003R235", "EN-002092124")</f>
        <v>EN-002092124</v>
      </c>
    </row>
    <row r="5712" spans="1:15" ht="16" x14ac:dyDescent="0.2">
      <c r="A5712" s="18"/>
      <c r="B5712" s="18"/>
      <c r="C5712" s="18"/>
      <c r="D5712" s="18"/>
      <c r="E5712" s="18"/>
      <c r="F5712" s="18"/>
      <c r="G5712" s="18"/>
      <c r="H5712" s="18"/>
      <c r="I5712" s="18"/>
      <c r="J5712" s="18"/>
      <c r="K5712" s="18"/>
      <c r="L5712" s="18"/>
      <c r="M5712" s="18"/>
      <c r="N5712" s="18"/>
      <c r="O5712" s="14" t="str">
        <f>HYPERLINK("https://otsuka-europe-crm.veevavault.com/ui/#object/email_activity__v/V8C00000003R236", "EN-002092125")</f>
        <v>EN-002092125</v>
      </c>
    </row>
    <row r="5713" spans="1:15" ht="16" x14ac:dyDescent="0.2">
      <c r="A5713" s="18"/>
      <c r="B5713" s="18"/>
      <c r="C5713" s="18"/>
      <c r="D5713" s="18"/>
      <c r="E5713" s="18"/>
      <c r="F5713" s="18"/>
      <c r="G5713" s="18"/>
      <c r="H5713" s="18"/>
      <c r="I5713" s="18"/>
      <c r="J5713" s="18"/>
      <c r="K5713" s="18"/>
      <c r="L5713" s="18"/>
      <c r="M5713" s="18"/>
      <c r="N5713" s="18"/>
      <c r="O5713" s="14" t="str">
        <f>HYPERLINK("https://otsuka-europe-crm.veevavault.com/ui/#object/email_activity__v/V8C00000003R237", "EN-002092126")</f>
        <v>EN-002092126</v>
      </c>
    </row>
    <row r="5714" spans="1:15" ht="16" x14ac:dyDescent="0.2">
      <c r="A5714" s="19"/>
      <c r="B5714" s="19"/>
      <c r="C5714" s="19"/>
      <c r="D5714" s="19"/>
      <c r="E5714" s="19"/>
      <c r="F5714" s="19"/>
      <c r="G5714" s="19"/>
      <c r="H5714" s="19"/>
      <c r="I5714" s="19"/>
      <c r="J5714" s="19"/>
      <c r="K5714" s="19"/>
      <c r="L5714" s="19"/>
      <c r="M5714" s="19"/>
      <c r="N5714" s="19"/>
      <c r="O5714" s="14" t="str">
        <f>HYPERLINK("https://otsuka-europe-crm.veevavault.com/ui/#object/email_activity__v/V8C00000003R238", "EN-002092127")</f>
        <v>EN-002092127</v>
      </c>
    </row>
    <row r="5715" spans="1:15" ht="32" x14ac:dyDescent="0.2">
      <c r="A5715" s="7" t="str">
        <f>HYPERLINK("https://otsuka-europe-crm.veevavault.com/ui/#object/account__v/V4TZ04ASGE77EI5", "ESPERANZA PATO COUR")</f>
        <v>ESPERANZA PATO COUR</v>
      </c>
      <c r="B5715" s="7" t="str">
        <f>HYPERLINK("https://otsuka-europe-crm.veevavault.com/ui/#object/vcountry__v/VENZ000004SONF5", "ES")</f>
        <v>ES</v>
      </c>
      <c r="C5715" s="8" t="s">
        <v>41</v>
      </c>
      <c r="D5715" s="9" t="str">
        <f>HYPERLINK("https://otsuka-europe-crm.veevavault.com/ui/#object/approved_document__v/V5O00000001H025", "LUP - VAE invitación simposio SEN-SER - Reuma")</f>
        <v>LUP - VAE invitación simposio SEN-SER - Reuma</v>
      </c>
      <c r="E5715" s="10" t="str">
        <f>HYPERLINK("https://otsuka-europe-crm.veevavault.com/ui/#object/sent_email__v/VBL00000002R068", "SE-001434195")</f>
        <v>SE-001434195</v>
      </c>
      <c r="F5715" s="11"/>
      <c r="G5715" s="12">
        <v>0</v>
      </c>
      <c r="H5715" s="12">
        <v>0</v>
      </c>
      <c r="I5715" s="12">
        <v>0</v>
      </c>
      <c r="J5715" s="11"/>
      <c r="K5715" s="12">
        <v>0</v>
      </c>
      <c r="L5715" s="10" t="str">
        <f>HYPERLINK("https://otsuka-europe-crm.veevavault.com/ui/#object/approved_document__v/V5O00000001H025", "LUP - VAE invitación simposio SEN-SER - Reuma")</f>
        <v>LUP - VAE invitación simposio SEN-SER - Reuma</v>
      </c>
      <c r="M5715" s="10" t="str">
        <f>HYPERLINK("mailto:jguri@crm.otsuka-europe.com", "jguri@crm.otsuka-europe.com")</f>
        <v>jguri@crm.otsuka-europe.com</v>
      </c>
      <c r="N5715" s="13">
        <v>46181.37572916667</v>
      </c>
      <c r="O5715" s="14" t="str">
        <f>HYPERLINK("https://otsuka-europe-crm.veevavault.com/ui/#object/email_activity__v/V8C00000003Q371", "EN-002091557")</f>
        <v>EN-002091557</v>
      </c>
    </row>
    <row r="5716" spans="1:15" ht="32" x14ac:dyDescent="0.2">
      <c r="A5716" s="7" t="str">
        <f>HYPERLINK("https://otsuka-europe-crm.veevavault.com/ui/#object/account__v/V4TZ04ASG95OK44", "CRISTINA VADILLO FONT")</f>
        <v>CRISTINA VADILLO FONT</v>
      </c>
      <c r="B5716" s="7" t="str">
        <f>HYPERLINK("https://otsuka-europe-crm.veevavault.com/ui/#object/vcountry__v/VENZ000004SONF5", "ES")</f>
        <v>ES</v>
      </c>
      <c r="C5716" s="8" t="s">
        <v>41</v>
      </c>
      <c r="D5716" s="9" t="str">
        <f>HYPERLINK("https://otsuka-europe-crm.veevavault.com/ui/#object/approved_document__v/V5O00000001H025", "LUP - VAE invitación simposio SEN-SER - Reuma")</f>
        <v>LUP - VAE invitación simposio SEN-SER - Reuma</v>
      </c>
      <c r="E5716" s="10" t="str">
        <f>HYPERLINK("https://otsuka-europe-crm.veevavault.com/ui/#object/sent_email__v/VBL00000002R069", "SE-001434196")</f>
        <v>SE-001434196</v>
      </c>
      <c r="F5716" s="11"/>
      <c r="G5716" s="12">
        <v>0</v>
      </c>
      <c r="H5716" s="12">
        <v>0</v>
      </c>
      <c r="I5716" s="12">
        <v>0</v>
      </c>
      <c r="J5716" s="11"/>
      <c r="K5716" s="12">
        <v>0</v>
      </c>
      <c r="L5716" s="10" t="str">
        <f>HYPERLINK("https://otsuka-europe-crm.veevavault.com/ui/#object/approved_document__v/V5O00000001H025", "LUP - VAE invitación simposio SEN-SER - Reuma")</f>
        <v>LUP - VAE invitación simposio SEN-SER - Reuma</v>
      </c>
      <c r="M5716" s="10" t="str">
        <f>HYPERLINK("mailto:jguri@crm.otsuka-europe.com", "jguri@crm.otsuka-europe.com")</f>
        <v>jguri@crm.otsuka-europe.com</v>
      </c>
      <c r="N5716" s="13">
        <v>46181.375763888886</v>
      </c>
      <c r="O5716" s="14" t="str">
        <f>HYPERLINK("https://otsuka-europe-crm.veevavault.com/ui/#object/email_activity__v/V8C00000003Q380", "EN-002091567")</f>
        <v>EN-002091567</v>
      </c>
    </row>
    <row r="5717" spans="1:15" ht="16" x14ac:dyDescent="0.2">
      <c r="A5717" s="17" t="str">
        <f>HYPERLINK("https://otsuka-europe-crm.veevavault.com/ui/#object/account__v/V4TZ04ASG9UCG0W", "PAULA PRETEL RUIZ")</f>
        <v>PAULA PRETEL RUIZ</v>
      </c>
      <c r="B5717" s="17" t="str">
        <f>HYPERLINK("https://otsuka-europe-crm.veevavault.com/ui/#object/vcountry__v/VENZ000004SONF5", "ES")</f>
        <v>ES</v>
      </c>
      <c r="C5717" s="20" t="s">
        <v>41</v>
      </c>
      <c r="D5717" s="21" t="str">
        <f>HYPERLINK("https://otsuka-europe-crm.veevavault.com/ui/#object/approved_document__v/V5O00000001H025", "LUP - VAE invitación simposio SEN-SER - Reuma")</f>
        <v>LUP - VAE invitación simposio SEN-SER - Reuma</v>
      </c>
      <c r="E5717" s="22" t="str">
        <f>HYPERLINK("https://otsuka-europe-crm.veevavault.com/ui/#object/sent_email__v/VBL00000002R070", "SE-001434197")</f>
        <v>SE-001434197</v>
      </c>
      <c r="F5717" s="25"/>
      <c r="G5717" s="24">
        <v>0</v>
      </c>
      <c r="H5717" s="24">
        <v>0</v>
      </c>
      <c r="I5717" s="24">
        <v>0</v>
      </c>
      <c r="J5717" s="25"/>
      <c r="K5717" s="24">
        <v>0</v>
      </c>
      <c r="L5717" s="22" t="str">
        <f>HYPERLINK("https://otsuka-europe-crm.veevavault.com/ui/#object/approved_document__v/V5O00000001H025", "LUP - VAE invitación simposio SEN-SER - Reuma")</f>
        <v>LUP - VAE invitación simposio SEN-SER - Reuma</v>
      </c>
      <c r="M5717" s="22" t="str">
        <f>HYPERLINK("mailto:jguri@crm.otsuka-europe.com", "jguri@crm.otsuka-europe.com")</f>
        <v>jguri@crm.otsuka-europe.com</v>
      </c>
      <c r="N5717" s="23">
        <v>46181.375763888886</v>
      </c>
      <c r="O5717" s="14" t="str">
        <f>HYPERLINK("https://otsuka-europe-crm.veevavault.com/ui/#object/email_activity__v/V8C00000003P941", "EN-002091528")</f>
        <v>EN-002091528</v>
      </c>
    </row>
    <row r="5718" spans="1:15" ht="16" x14ac:dyDescent="0.2">
      <c r="A5718" s="19"/>
      <c r="B5718" s="19"/>
      <c r="C5718" s="19"/>
      <c r="D5718" s="19"/>
      <c r="E5718" s="19"/>
      <c r="F5718" s="19"/>
      <c r="G5718" s="19"/>
      <c r="H5718" s="19"/>
      <c r="I5718" s="19"/>
      <c r="J5718" s="19"/>
      <c r="K5718" s="19"/>
      <c r="L5718" s="19"/>
      <c r="M5718" s="19"/>
      <c r="N5718" s="19"/>
      <c r="O5718" s="14" t="str">
        <f>HYPERLINK("https://otsuka-europe-crm.veevavault.com/ui/#object/email_activity__v/V8C00000003Q687", "EN-002092209")</f>
        <v>EN-002092209</v>
      </c>
    </row>
    <row r="5719" spans="1:15" ht="16" x14ac:dyDescent="0.2">
      <c r="A5719" s="17" t="str">
        <f>HYPERLINK("https://otsuka-europe-crm.veevavault.com/ui/#object/account__v/V4TZ025E87BV290", "ANTONIO CERDAN MORALA")</f>
        <v>ANTONIO CERDAN MORALA</v>
      </c>
      <c r="B5719" s="17" t="str">
        <f>HYPERLINK("https://otsuka-europe-crm.veevavault.com/ui/#object/vcountry__v/VENZ000004SONF5", "ES")</f>
        <v>ES</v>
      </c>
      <c r="C5719" s="20" t="s">
        <v>41</v>
      </c>
      <c r="D5719" s="21" t="str">
        <f>HYPERLINK("https://otsuka-europe-crm.veevavault.com/ui/#object/approved_document__v/V5O00000001H025", "LUP - VAE invitación simposio SEN-SER - Reuma")</f>
        <v>LUP - VAE invitación simposio SEN-SER - Reuma</v>
      </c>
      <c r="E5719" s="22" t="str">
        <f>HYPERLINK("https://otsuka-europe-crm.veevavault.com/ui/#object/sent_email__v/VBL00000002S069", "SE-001434198")</f>
        <v>SE-001434198</v>
      </c>
      <c r="F5719" s="23">
        <v>46182.255324074074</v>
      </c>
      <c r="G5719" s="24">
        <v>1</v>
      </c>
      <c r="H5719" s="24">
        <v>2</v>
      </c>
      <c r="I5719" s="24">
        <v>0</v>
      </c>
      <c r="J5719" s="25"/>
      <c r="K5719" s="24">
        <v>0</v>
      </c>
      <c r="L5719" s="22" t="str">
        <f>HYPERLINK("https://otsuka-europe-crm.veevavault.com/ui/#object/approved_document__v/V5O00000001H025", "LUP - VAE invitación simposio SEN-SER - Reuma")</f>
        <v>LUP - VAE invitación simposio SEN-SER - Reuma</v>
      </c>
      <c r="M5719" s="22" t="str">
        <f>HYPERLINK("mailto:jguri@crm.otsuka-europe.com", "jguri@crm.otsuka-europe.com")</f>
        <v>jguri@crm.otsuka-europe.com</v>
      </c>
      <c r="N5719" s="23">
        <v>46181.376805555556</v>
      </c>
      <c r="O5719" s="14" t="str">
        <f>HYPERLINK("https://otsuka-europe-crm.veevavault.com/ui/#object/email_activity__v/V8C00000003Q387", "EN-002091585")</f>
        <v>EN-002091585</v>
      </c>
    </row>
    <row r="5720" spans="1:15" ht="16" x14ac:dyDescent="0.2">
      <c r="A5720" s="18"/>
      <c r="B5720" s="18"/>
      <c r="C5720" s="18"/>
      <c r="D5720" s="18"/>
      <c r="E5720" s="18"/>
      <c r="F5720" s="18"/>
      <c r="G5720" s="18"/>
      <c r="H5720" s="18"/>
      <c r="I5720" s="18"/>
      <c r="J5720" s="18"/>
      <c r="K5720" s="18"/>
      <c r="L5720" s="18"/>
      <c r="M5720" s="18"/>
      <c r="N5720" s="18"/>
      <c r="O5720" s="14" t="str">
        <f>HYPERLINK("https://otsuka-europe-crm.veevavault.com/ui/#object/email_activity__v/V8C00000003Q571", "EN-002091957")</f>
        <v>EN-002091957</v>
      </c>
    </row>
    <row r="5721" spans="1:15" ht="16" x14ac:dyDescent="0.2">
      <c r="A5721" s="19"/>
      <c r="B5721" s="19"/>
      <c r="C5721" s="19"/>
      <c r="D5721" s="19"/>
      <c r="E5721" s="19"/>
      <c r="F5721" s="19"/>
      <c r="G5721" s="19"/>
      <c r="H5721" s="19"/>
      <c r="I5721" s="19"/>
      <c r="J5721" s="19"/>
      <c r="K5721" s="19"/>
      <c r="L5721" s="19"/>
      <c r="M5721" s="19"/>
      <c r="N5721" s="19"/>
      <c r="O5721" s="14" t="str">
        <f>HYPERLINK("https://otsuka-europe-crm.veevavault.com/ui/#object/email_activity__v/V8C00000003Q745", "EN-002092315")</f>
        <v>EN-002092315</v>
      </c>
    </row>
    <row r="5722" spans="1:15" ht="16" x14ac:dyDescent="0.2">
      <c r="A5722" s="17" t="str">
        <f>HYPERLINK("https://otsuka-europe-crm.veevavault.com/ui/#object/account__v/V4TZ04ASGB4W29K", "ANGEL PEDRO CRISOLINO POZAS")</f>
        <v>ANGEL PEDRO CRISOLINO POZAS</v>
      </c>
      <c r="B5722" s="17" t="str">
        <f>HYPERLINK("https://otsuka-europe-crm.veevavault.com/ui/#object/vcountry__v/VENZ000004SONF5", "ES")</f>
        <v>ES</v>
      </c>
      <c r="C5722" s="20" t="s">
        <v>41</v>
      </c>
      <c r="D5722" s="21" t="str">
        <f>HYPERLINK("https://otsuka-europe-crm.veevavault.com/ui/#object/approved_document__v/V5O00000001H025", "LUP - VAE invitación simposio SEN-SER - Reuma")</f>
        <v>LUP - VAE invitación simposio SEN-SER - Reuma</v>
      </c>
      <c r="E5722" s="22" t="str">
        <f>HYPERLINK("https://otsuka-europe-crm.veevavault.com/ui/#object/sent_email__v/VBL00000002S070", "SE-001434199")</f>
        <v>SE-001434199</v>
      </c>
      <c r="F5722" s="23">
        <v>46181.896469907406</v>
      </c>
      <c r="G5722" s="24">
        <v>1</v>
      </c>
      <c r="H5722" s="24">
        <v>1</v>
      </c>
      <c r="I5722" s="24">
        <v>1</v>
      </c>
      <c r="J5722" s="23">
        <v>46181.897037037037</v>
      </c>
      <c r="K5722" s="24">
        <v>1</v>
      </c>
      <c r="L5722" s="22" t="str">
        <f>HYPERLINK("https://otsuka-europe-crm.veevavault.com/ui/#object/approved_document__v/V5O00000001H025", "LUP - VAE invitación simposio SEN-SER - Reuma")</f>
        <v>LUP - VAE invitación simposio SEN-SER - Reuma</v>
      </c>
      <c r="M5722" s="22" t="str">
        <f>HYPERLINK("mailto:jguri@crm.otsuka-europe.com", "jguri@crm.otsuka-europe.com")</f>
        <v>jguri@crm.otsuka-europe.com</v>
      </c>
      <c r="N5722" s="23">
        <v>46181.376770833333</v>
      </c>
      <c r="O5722" s="14" t="str">
        <f>HYPERLINK("https://otsuka-europe-crm.veevavault.com/ui/#object/email_activity__v/V8C00000003Q385", "EN-002091581")</f>
        <v>EN-002091581</v>
      </c>
    </row>
    <row r="5723" spans="1:15" ht="16" x14ac:dyDescent="0.2">
      <c r="A5723" s="18"/>
      <c r="B5723" s="18"/>
      <c r="C5723" s="18"/>
      <c r="D5723" s="18"/>
      <c r="E5723" s="18"/>
      <c r="F5723" s="18"/>
      <c r="G5723" s="18"/>
      <c r="H5723" s="18"/>
      <c r="I5723" s="18"/>
      <c r="J5723" s="18"/>
      <c r="K5723" s="18"/>
      <c r="L5723" s="18"/>
      <c r="M5723" s="18"/>
      <c r="N5723" s="18"/>
      <c r="O5723" s="14" t="str">
        <f>HYPERLINK("https://otsuka-europe-crm.veevavault.com/ui/#object/email_activity__v/V8C00000003R305", "EN-002092246")</f>
        <v>EN-002092246</v>
      </c>
    </row>
    <row r="5724" spans="1:15" ht="16" x14ac:dyDescent="0.2">
      <c r="A5724" s="18"/>
      <c r="B5724" s="18"/>
      <c r="C5724" s="18"/>
      <c r="D5724" s="18"/>
      <c r="E5724" s="18"/>
      <c r="F5724" s="18"/>
      <c r="G5724" s="18"/>
      <c r="H5724" s="18"/>
      <c r="I5724" s="18"/>
      <c r="J5724" s="18"/>
      <c r="K5724" s="18"/>
      <c r="L5724" s="18"/>
      <c r="M5724" s="18"/>
      <c r="N5724" s="18"/>
      <c r="O5724" s="14" t="str">
        <f>HYPERLINK("https://otsuka-europe-crm.veevavault.com/ui/#object/email_activity__v/V8C00000003R306", "EN-002092247")</f>
        <v>EN-002092247</v>
      </c>
    </row>
    <row r="5725" spans="1:15" ht="16" x14ac:dyDescent="0.2">
      <c r="A5725" s="18"/>
      <c r="B5725" s="18"/>
      <c r="C5725" s="18"/>
      <c r="D5725" s="18"/>
      <c r="E5725" s="18"/>
      <c r="F5725" s="18"/>
      <c r="G5725" s="18"/>
      <c r="H5725" s="18"/>
      <c r="I5725" s="18"/>
      <c r="J5725" s="18"/>
      <c r="K5725" s="18"/>
      <c r="L5725" s="18"/>
      <c r="M5725" s="18"/>
      <c r="N5725" s="18"/>
      <c r="O5725" s="14" t="str">
        <f>HYPERLINK("https://otsuka-europe-crm.veevavault.com/ui/#object/email_activity__v/V8C00000003R312", "EN-002092259")</f>
        <v>EN-002092259</v>
      </c>
    </row>
    <row r="5726" spans="1:15" ht="16" x14ac:dyDescent="0.2">
      <c r="A5726" s="18"/>
      <c r="B5726" s="18"/>
      <c r="C5726" s="18"/>
      <c r="D5726" s="18"/>
      <c r="E5726" s="18"/>
      <c r="F5726" s="18"/>
      <c r="G5726" s="18"/>
      <c r="H5726" s="18"/>
      <c r="I5726" s="18"/>
      <c r="J5726" s="18"/>
      <c r="K5726" s="18"/>
      <c r="L5726" s="18"/>
      <c r="M5726" s="18"/>
      <c r="N5726" s="18"/>
      <c r="O5726" s="14" t="str">
        <f>HYPERLINK("https://otsuka-europe-crm.veevavault.com/ui/#object/email_activity__v/V8C00000003R314", "EN-002092261")</f>
        <v>EN-002092261</v>
      </c>
    </row>
    <row r="5727" spans="1:15" ht="16" x14ac:dyDescent="0.2">
      <c r="A5727" s="18"/>
      <c r="B5727" s="18"/>
      <c r="C5727" s="18"/>
      <c r="D5727" s="18"/>
      <c r="E5727" s="18"/>
      <c r="F5727" s="18"/>
      <c r="G5727" s="18"/>
      <c r="H5727" s="18"/>
      <c r="I5727" s="18"/>
      <c r="J5727" s="18"/>
      <c r="K5727" s="18"/>
      <c r="L5727" s="18"/>
      <c r="M5727" s="18"/>
      <c r="N5727" s="18"/>
      <c r="O5727" s="14" t="str">
        <f>HYPERLINK("https://otsuka-europe-crm.veevavault.com/ui/#object/email_activity__v/V8C00000003R315", "EN-002092262")</f>
        <v>EN-002092262</v>
      </c>
    </row>
    <row r="5728" spans="1:15" ht="16" x14ac:dyDescent="0.2">
      <c r="A5728" s="19"/>
      <c r="B5728" s="19"/>
      <c r="C5728" s="19"/>
      <c r="D5728" s="19"/>
      <c r="E5728" s="19"/>
      <c r="F5728" s="19"/>
      <c r="G5728" s="19"/>
      <c r="H5728" s="19"/>
      <c r="I5728" s="19"/>
      <c r="J5728" s="19"/>
      <c r="K5728" s="19"/>
      <c r="L5728" s="19"/>
      <c r="M5728" s="19"/>
      <c r="N5728" s="19"/>
      <c r="O5728" s="14" t="str">
        <f>HYPERLINK("https://otsuka-europe-crm.veevavault.com/ui/#object/email_activity__v/V8C00000003R316", "EN-002092263")</f>
        <v>EN-002092263</v>
      </c>
    </row>
    <row r="5729" spans="1:15" ht="16" x14ac:dyDescent="0.2">
      <c r="A5729" s="17" t="str">
        <f>HYPERLINK("https://otsuka-europe-crm.veevavault.com/ui/#object/account__v/V4TZ025E86JEEZ5", "ANA MELISSA ANZOLA ALFARO")</f>
        <v>ANA MELISSA ANZOLA ALFARO</v>
      </c>
      <c r="B5729" s="17" t="str">
        <f>HYPERLINK("https://otsuka-europe-crm.veevavault.com/ui/#object/vcountry__v/VENZ000004SONF5", "ES")</f>
        <v>ES</v>
      </c>
      <c r="C5729" s="20" t="s">
        <v>41</v>
      </c>
      <c r="D5729" s="21" t="str">
        <f>HYPERLINK("https://otsuka-europe-crm.veevavault.com/ui/#object/approved_document__v/V5O00000001H025", "LUP - VAE invitación simposio SEN-SER - Reuma")</f>
        <v>LUP - VAE invitación simposio SEN-SER - Reuma</v>
      </c>
      <c r="E5729" s="22" t="str">
        <f>HYPERLINK("https://otsuka-europe-crm.veevavault.com/ui/#object/sent_email__v/VBL00000002S071", "SE-001434200")</f>
        <v>SE-001434200</v>
      </c>
      <c r="F5729" s="25"/>
      <c r="G5729" s="24">
        <v>0</v>
      </c>
      <c r="H5729" s="24">
        <v>0</v>
      </c>
      <c r="I5729" s="24">
        <v>1</v>
      </c>
      <c r="J5729" s="23">
        <v>46184.618645833332</v>
      </c>
      <c r="K5729" s="24">
        <v>1</v>
      </c>
      <c r="L5729" s="22" t="str">
        <f>HYPERLINK("https://otsuka-europe-crm.veevavault.com/ui/#object/approved_document__v/V5O00000001H025", "LUP - VAE invitación simposio SEN-SER - Reuma")</f>
        <v>LUP - VAE invitación simposio SEN-SER - Reuma</v>
      </c>
      <c r="M5729" s="22" t="str">
        <f>HYPERLINK("mailto:jguri@crm.otsuka-europe.com", "jguri@crm.otsuka-europe.com")</f>
        <v>jguri@crm.otsuka-europe.com</v>
      </c>
      <c r="N5729" s="23">
        <v>46181.376770833333</v>
      </c>
      <c r="O5729" s="14" t="str">
        <f>HYPERLINK("https://otsuka-europe-crm.veevavault.com/ui/#object/email_activity__v/V8C00000003P959", "EN-002091583")</f>
        <v>EN-002091583</v>
      </c>
    </row>
    <row r="5730" spans="1:15" ht="16" x14ac:dyDescent="0.2">
      <c r="A5730" s="18"/>
      <c r="B5730" s="18"/>
      <c r="C5730" s="18"/>
      <c r="D5730" s="18"/>
      <c r="E5730" s="18"/>
      <c r="F5730" s="18"/>
      <c r="G5730" s="18"/>
      <c r="H5730" s="18"/>
      <c r="I5730" s="18"/>
      <c r="J5730" s="18"/>
      <c r="K5730" s="18"/>
      <c r="L5730" s="18"/>
      <c r="M5730" s="18"/>
      <c r="N5730" s="18"/>
      <c r="O5730" s="14" t="str">
        <f>HYPERLINK("https://otsuka-europe-crm.veevavault.com/ui/#object/email_activity__v/V8C00000003Q692", "EN-002092223")</f>
        <v>EN-002092223</v>
      </c>
    </row>
    <row r="5731" spans="1:15" ht="16" x14ac:dyDescent="0.2">
      <c r="A5731" s="18"/>
      <c r="B5731" s="18"/>
      <c r="C5731" s="18"/>
      <c r="D5731" s="18"/>
      <c r="E5731" s="18"/>
      <c r="F5731" s="18"/>
      <c r="G5731" s="18"/>
      <c r="H5731" s="18"/>
      <c r="I5731" s="18"/>
      <c r="J5731" s="18"/>
      <c r="K5731" s="18"/>
      <c r="L5731" s="18"/>
      <c r="M5731" s="18"/>
      <c r="N5731" s="18"/>
      <c r="O5731" s="14" t="str">
        <f>HYPERLINK("https://otsuka-europe-crm.veevavault.com/ui/#object/email_activity__v/V8C00000003S938", "EN-002094726")</f>
        <v>EN-002094726</v>
      </c>
    </row>
    <row r="5732" spans="1:15" ht="16" x14ac:dyDescent="0.2">
      <c r="A5732" s="18"/>
      <c r="B5732" s="18"/>
      <c r="C5732" s="18"/>
      <c r="D5732" s="18"/>
      <c r="E5732" s="18"/>
      <c r="F5732" s="18"/>
      <c r="G5732" s="18"/>
      <c r="H5732" s="18"/>
      <c r="I5732" s="18"/>
      <c r="J5732" s="18"/>
      <c r="K5732" s="18"/>
      <c r="L5732" s="18"/>
      <c r="M5732" s="18"/>
      <c r="N5732" s="18"/>
      <c r="O5732" s="14" t="str">
        <f>HYPERLINK("https://otsuka-europe-crm.veevavault.com/ui/#object/email_activity__v/V8C00000003T553", "EN-002094725")</f>
        <v>EN-002094725</v>
      </c>
    </row>
    <row r="5733" spans="1:15" ht="16" x14ac:dyDescent="0.2">
      <c r="A5733" s="18"/>
      <c r="B5733" s="18"/>
      <c r="C5733" s="18"/>
      <c r="D5733" s="18"/>
      <c r="E5733" s="18"/>
      <c r="F5733" s="18"/>
      <c r="G5733" s="18"/>
      <c r="H5733" s="18"/>
      <c r="I5733" s="18"/>
      <c r="J5733" s="18"/>
      <c r="K5733" s="18"/>
      <c r="L5733" s="18"/>
      <c r="M5733" s="18"/>
      <c r="N5733" s="18"/>
      <c r="O5733" s="14" t="str">
        <f>HYPERLINK("https://otsuka-europe-crm.veevavault.com/ui/#object/email_activity__v/V8C00000003U950", "EN-002096882")</f>
        <v>EN-002096882</v>
      </c>
    </row>
    <row r="5734" spans="1:15" ht="16" x14ac:dyDescent="0.2">
      <c r="A5734" s="19"/>
      <c r="B5734" s="19"/>
      <c r="C5734" s="19"/>
      <c r="D5734" s="19"/>
      <c r="E5734" s="19"/>
      <c r="F5734" s="19"/>
      <c r="G5734" s="19"/>
      <c r="H5734" s="19"/>
      <c r="I5734" s="19"/>
      <c r="J5734" s="19"/>
      <c r="K5734" s="19"/>
      <c r="L5734" s="19"/>
      <c r="M5734" s="19"/>
      <c r="N5734" s="19"/>
      <c r="O5734" s="14" t="str">
        <f>HYPERLINK("https://otsuka-europe-crm.veevavault.com/ui/#object/email_activity__v/V8C000000042233", "EN-002100176")</f>
        <v>EN-002100176</v>
      </c>
    </row>
    <row r="5735" spans="1:15" ht="16" x14ac:dyDescent="0.2">
      <c r="A5735" s="17" t="str">
        <f>HYPERLINK("https://otsuka-europe-crm.veevavault.com/ui/#object/account__v/V4TZ025E8484OM1", "ADRIAN ABBASI PEREZ")</f>
        <v>ADRIAN ABBASI PEREZ</v>
      </c>
      <c r="B5735" s="17" t="str">
        <f>HYPERLINK("https://otsuka-europe-crm.veevavault.com/ui/#object/vcountry__v/VENZ000004SONF5", "ES")</f>
        <v>ES</v>
      </c>
      <c r="C5735" s="20" t="s">
        <v>41</v>
      </c>
      <c r="D5735" s="21" t="str">
        <f>HYPERLINK("https://otsuka-europe-crm.veevavault.com/ui/#object/approved_document__v/V5O00000001H025", "LUP - VAE invitación simposio SEN-SER - Reuma")</f>
        <v>LUP - VAE invitación simposio SEN-SER - Reuma</v>
      </c>
      <c r="E5735" s="22" t="str">
        <f>HYPERLINK("https://otsuka-europe-crm.veevavault.com/ui/#object/sent_email__v/VBL00000002S072", "SE-001434201")</f>
        <v>SE-001434201</v>
      </c>
      <c r="F5735" s="23">
        <v>46181.381458333337</v>
      </c>
      <c r="G5735" s="24">
        <v>1</v>
      </c>
      <c r="H5735" s="24">
        <v>1</v>
      </c>
      <c r="I5735" s="24">
        <v>0</v>
      </c>
      <c r="J5735" s="25"/>
      <c r="K5735" s="24">
        <v>0</v>
      </c>
      <c r="L5735" s="22" t="str">
        <f>HYPERLINK("https://otsuka-europe-crm.veevavault.com/ui/#object/approved_document__v/V5O00000001H025", "LUP - VAE invitación simposio SEN-SER - Reuma")</f>
        <v>LUP - VAE invitación simposio SEN-SER - Reuma</v>
      </c>
      <c r="M5735" s="22" t="str">
        <f>HYPERLINK("mailto:jguri@crm.otsuka-europe.com", "jguri@crm.otsuka-europe.com")</f>
        <v>jguri@crm.otsuka-europe.com</v>
      </c>
      <c r="N5735" s="23">
        <v>46181.376782407409</v>
      </c>
      <c r="O5735" s="14" t="str">
        <f>HYPERLINK("https://otsuka-europe-crm.veevavault.com/ui/#object/email_activity__v/V8C00000003Q386", "EN-002091584")</f>
        <v>EN-002091584</v>
      </c>
    </row>
    <row r="5736" spans="1:15" ht="16" x14ac:dyDescent="0.2">
      <c r="A5736" s="19"/>
      <c r="B5736" s="19"/>
      <c r="C5736" s="19"/>
      <c r="D5736" s="19"/>
      <c r="E5736" s="19"/>
      <c r="F5736" s="19"/>
      <c r="G5736" s="19"/>
      <c r="H5736" s="19"/>
      <c r="I5736" s="19"/>
      <c r="J5736" s="19"/>
      <c r="K5736" s="19"/>
      <c r="L5736" s="19"/>
      <c r="M5736" s="19"/>
      <c r="N5736" s="19"/>
      <c r="O5736" s="14" t="str">
        <f>HYPERLINK("https://otsuka-europe-crm.veevavault.com/ui/#object/email_activity__v/V8C00000003Q460", "EN-002091700")</f>
        <v>EN-002091700</v>
      </c>
    </row>
    <row r="5737" spans="1:15" ht="16" x14ac:dyDescent="0.2">
      <c r="A5737" s="17" t="str">
        <f>HYPERLINK("https://otsuka-europe-crm.veevavault.com/ui/#object/account__v/V4TZ04ASG9R9KOK", "ANA PEREZ GOMEZ")</f>
        <v>ANA PEREZ GOMEZ</v>
      </c>
      <c r="B5737" s="17" t="str">
        <f>HYPERLINK("https://otsuka-europe-crm.veevavault.com/ui/#object/vcountry__v/VENZ000004SONF5", "ES")</f>
        <v>ES</v>
      </c>
      <c r="C5737" s="20" t="s">
        <v>41</v>
      </c>
      <c r="D5737" s="21" t="str">
        <f>HYPERLINK("https://otsuka-europe-crm.veevavault.com/ui/#object/approved_document__v/V5O00000001H025", "LUP - VAE invitación simposio SEN-SER - Reuma")</f>
        <v>LUP - VAE invitación simposio SEN-SER - Reuma</v>
      </c>
      <c r="E5737" s="22" t="str">
        <f>HYPERLINK("https://otsuka-europe-crm.veevavault.com/ui/#object/sent_email__v/VBL00000002S073", "SE-001434202")</f>
        <v>SE-001434202</v>
      </c>
      <c r="F5737" s="23">
        <v>46181.415358796294</v>
      </c>
      <c r="G5737" s="24">
        <v>1</v>
      </c>
      <c r="H5737" s="24">
        <v>1</v>
      </c>
      <c r="I5737" s="24">
        <v>0</v>
      </c>
      <c r="J5737" s="25"/>
      <c r="K5737" s="24">
        <v>0</v>
      </c>
      <c r="L5737" s="22" t="str">
        <f>HYPERLINK("https://otsuka-europe-crm.veevavault.com/ui/#object/approved_document__v/V5O00000001H025", "LUP - VAE invitación simposio SEN-SER - Reuma")</f>
        <v>LUP - VAE invitación simposio SEN-SER - Reuma</v>
      </c>
      <c r="M5737" s="22" t="str">
        <f>HYPERLINK("mailto:jguri@crm.otsuka-europe.com", "jguri@crm.otsuka-europe.com")</f>
        <v>jguri@crm.otsuka-europe.com</v>
      </c>
      <c r="N5737" s="23">
        <v>46181.376770833333</v>
      </c>
      <c r="O5737" s="14" t="str">
        <f>HYPERLINK("https://otsuka-europe-crm.veevavault.com/ui/#object/email_activity__v/V8C00000003Q384", "EN-002091580")</f>
        <v>EN-002091580</v>
      </c>
    </row>
    <row r="5738" spans="1:15" ht="16" x14ac:dyDescent="0.2">
      <c r="A5738" s="18"/>
      <c r="B5738" s="18"/>
      <c r="C5738" s="18"/>
      <c r="D5738" s="18"/>
      <c r="E5738" s="18"/>
      <c r="F5738" s="18"/>
      <c r="G5738" s="18"/>
      <c r="H5738" s="18"/>
      <c r="I5738" s="18"/>
      <c r="J5738" s="18"/>
      <c r="K5738" s="18"/>
      <c r="L5738" s="18"/>
      <c r="M5738" s="18"/>
      <c r="N5738" s="18"/>
      <c r="O5738" s="14" t="str">
        <f>HYPERLINK("https://otsuka-europe-crm.veevavault.com/ui/#object/email_activity__v/V8C00000003Q494", "EN-002091781")</f>
        <v>EN-002091781</v>
      </c>
    </row>
    <row r="5739" spans="1:15" ht="16" x14ac:dyDescent="0.2">
      <c r="A5739" s="18"/>
      <c r="B5739" s="18"/>
      <c r="C5739" s="18"/>
      <c r="D5739" s="18"/>
      <c r="E5739" s="18"/>
      <c r="F5739" s="18"/>
      <c r="G5739" s="18"/>
      <c r="H5739" s="18"/>
      <c r="I5739" s="18"/>
      <c r="J5739" s="18"/>
      <c r="K5739" s="18"/>
      <c r="L5739" s="18"/>
      <c r="M5739" s="18"/>
      <c r="N5739" s="18"/>
      <c r="O5739" s="14" t="str">
        <f>HYPERLINK("https://otsuka-europe-crm.veevavault.com/ui/#object/email_activity__v/V8C00000003R326", "EN-002092300")</f>
        <v>EN-002092300</v>
      </c>
    </row>
    <row r="5740" spans="1:15" ht="16" x14ac:dyDescent="0.2">
      <c r="A5740" s="19"/>
      <c r="B5740" s="19"/>
      <c r="C5740" s="19"/>
      <c r="D5740" s="19"/>
      <c r="E5740" s="19"/>
      <c r="F5740" s="19"/>
      <c r="G5740" s="19"/>
      <c r="H5740" s="19"/>
      <c r="I5740" s="19"/>
      <c r="J5740" s="19"/>
      <c r="K5740" s="19"/>
      <c r="L5740" s="19"/>
      <c r="M5740" s="19"/>
      <c r="N5740" s="19"/>
      <c r="O5740" s="14" t="str">
        <f>HYPERLINK("https://otsuka-europe-crm.veevavault.com/ui/#object/email_activity__v/V8C00000003R337", "EN-002092321")</f>
        <v>EN-002092321</v>
      </c>
    </row>
    <row r="5741" spans="1:15" ht="32" x14ac:dyDescent="0.2">
      <c r="A5741" s="7" t="str">
        <f>HYPERLINK("https://otsuka-europe-crm.veevavault.com/ui/#object/account__v/V4TZ06G6O71TA8R", "ANTONIO JAVIER CHAMORRO FERNANDEZ")</f>
        <v>ANTONIO JAVIER CHAMORRO FERNANDEZ</v>
      </c>
      <c r="B5741" s="7" t="str">
        <f t="shared" ref="B5741:B5748" si="602">HYPERLINK("https://otsuka-europe-crm.veevavault.com/ui/#object/vcountry__v/VENZ000004SONF5", "ES")</f>
        <v>ES</v>
      </c>
      <c r="C5741" s="8" t="s">
        <v>41</v>
      </c>
      <c r="D5741" s="9" t="str">
        <f>HYPERLINK("https://otsuka-europe-crm.veevavault.com/ui/#object/approved_document__v/V5O00000001H025", "LUP - VAE invitación simposio SEN-SER - Reuma")</f>
        <v>LUP - VAE invitación simposio SEN-SER - Reuma</v>
      </c>
      <c r="E5741" s="10" t="str">
        <f>HYPERLINK("https://otsuka-europe-crm.veevavault.com/ui/#object/sent_email__v/VBL00000002S074", "SE-001434203")</f>
        <v>SE-001434203</v>
      </c>
      <c r="F5741" s="11"/>
      <c r="G5741" s="12">
        <v>0</v>
      </c>
      <c r="H5741" s="12">
        <v>0</v>
      </c>
      <c r="I5741" s="12">
        <v>0</v>
      </c>
      <c r="J5741" s="11"/>
      <c r="K5741" s="12">
        <v>0</v>
      </c>
      <c r="L5741" s="10" t="str">
        <f>HYPERLINK("https://otsuka-europe-crm.veevavault.com/ui/#object/approved_document__v/V5O00000001H025", "LUP - VAE invitación simposio SEN-SER - Reuma")</f>
        <v>LUP - VAE invitación simposio SEN-SER - Reuma</v>
      </c>
      <c r="M5741" s="10" t="str">
        <f t="shared" ref="M5741:M5748" si="603">HYPERLINK("mailto:jguri@crm.otsuka-europe.com", "jguri@crm.otsuka-europe.com")</f>
        <v>jguri@crm.otsuka-europe.com</v>
      </c>
      <c r="N5741" s="13">
        <v>46181.376770833333</v>
      </c>
      <c r="O5741" s="14" t="str">
        <f>HYPERLINK("https://otsuka-europe-crm.veevavault.com/ui/#object/email_activity__v/V8C00000003P958", "EN-002091582")</f>
        <v>EN-002091582</v>
      </c>
    </row>
    <row r="5742" spans="1:15" ht="32" x14ac:dyDescent="0.2">
      <c r="A5742" s="7" t="str">
        <f>HYPERLINK("https://otsuka-europe-crm.veevavault.com/ui/#object/account__v/V4TZ04ASGB4G2W4", "ANGELA HERRANZ VARELA")</f>
        <v>ANGELA HERRANZ VARELA</v>
      </c>
      <c r="B5742" s="7" t="str">
        <f t="shared" si="602"/>
        <v>ES</v>
      </c>
      <c r="C5742" s="8" t="s">
        <v>41</v>
      </c>
      <c r="D5742" s="9" t="str">
        <f>HYPERLINK("https://otsuka-europe-crm.veevavault.com/ui/#object/approved_document__v/V5O00000001H025", "LUP - VAE invitación simposio SEN-SER - Reuma")</f>
        <v>LUP - VAE invitación simposio SEN-SER - Reuma</v>
      </c>
      <c r="E5742" s="10" t="str">
        <f>HYPERLINK("https://otsuka-europe-crm.veevavault.com/ui/#object/sent_email__v/VBL00000002S075", "SE-001434204")</f>
        <v>SE-001434204</v>
      </c>
      <c r="F5742" s="11"/>
      <c r="G5742" s="12">
        <v>0</v>
      </c>
      <c r="H5742" s="12">
        <v>0</v>
      </c>
      <c r="I5742" s="12">
        <v>0</v>
      </c>
      <c r="J5742" s="11"/>
      <c r="K5742" s="12">
        <v>0</v>
      </c>
      <c r="L5742" s="10" t="str">
        <f>HYPERLINK("https://otsuka-europe-crm.veevavault.com/ui/#object/approved_document__v/V5O00000001H025", "LUP - VAE invitación simposio SEN-SER - Reuma")</f>
        <v>LUP - VAE invitación simposio SEN-SER - Reuma</v>
      </c>
      <c r="M5742" s="10" t="str">
        <f t="shared" si="603"/>
        <v>jguri@crm.otsuka-europe.com</v>
      </c>
      <c r="N5742" s="13">
        <v>46181.376770833333</v>
      </c>
      <c r="O5742" s="14" t="str">
        <f>HYPERLINK("https://otsuka-europe-crm.veevavault.com/ui/#object/email_activity__v/V8C00000003Q389", "EN-002091587")</f>
        <v>EN-002091587</v>
      </c>
    </row>
    <row r="5743" spans="1:15" ht="32" x14ac:dyDescent="0.2">
      <c r="A5743" s="7" t="str">
        <f>HYPERLINK("https://otsuka-europe-crm.veevavault.com/ui/#object/account__v/V4TZ04ASGAAGQD0", "ANGEL GALLEGOS CID")</f>
        <v>ANGEL GALLEGOS CID</v>
      </c>
      <c r="B5743" s="7" t="str">
        <f t="shared" si="602"/>
        <v>ES</v>
      </c>
      <c r="C5743" s="8" t="s">
        <v>41</v>
      </c>
      <c r="D5743" s="9" t="str">
        <f>HYPERLINK("https://otsuka-europe-crm.veevavault.com/ui/#object/approved_document__v/V5O00000001H025", "LUP - VAE invitación simposio SEN-SER - Reuma")</f>
        <v>LUP - VAE invitación simposio SEN-SER - Reuma</v>
      </c>
      <c r="E5743" s="10" t="str">
        <f>HYPERLINK("https://otsuka-europe-crm.veevavault.com/ui/#object/sent_email__v/VBL00000002S076", "SE-001434205")</f>
        <v>SE-001434205</v>
      </c>
      <c r="F5743" s="11"/>
      <c r="G5743" s="12">
        <v>0</v>
      </c>
      <c r="H5743" s="12">
        <v>0</v>
      </c>
      <c r="I5743" s="12">
        <v>0</v>
      </c>
      <c r="J5743" s="11"/>
      <c r="K5743" s="12">
        <v>0</v>
      </c>
      <c r="L5743" s="10" t="str">
        <f>HYPERLINK("https://otsuka-europe-crm.veevavault.com/ui/#object/approved_document__v/V5O00000001H025", "LUP - VAE invitación simposio SEN-SER - Reuma")</f>
        <v>LUP - VAE invitación simposio SEN-SER - Reuma</v>
      </c>
      <c r="M5743" s="10" t="str">
        <f t="shared" si="603"/>
        <v>jguri@crm.otsuka-europe.com</v>
      </c>
      <c r="N5743" s="13">
        <v>46181.376770833333</v>
      </c>
      <c r="O5743" s="14" t="str">
        <f>HYPERLINK("https://otsuka-europe-crm.veevavault.com/ui/#object/email_activity__v/V8C00000003Q388", "EN-002091586")</f>
        <v>EN-002091586</v>
      </c>
    </row>
    <row r="5744" spans="1:15" ht="32" x14ac:dyDescent="0.2">
      <c r="A5744" s="7" t="str">
        <f>HYPERLINK("https://otsuka-europe-crm.veevavault.com/ui/#object/account__v/V4TZ06G6O71T7SJ", "MARIA FERNANDEZ NIETO")</f>
        <v>MARIA FERNANDEZ NIETO</v>
      </c>
      <c r="B5744" s="7" t="str">
        <f t="shared" si="602"/>
        <v>ES</v>
      </c>
      <c r="C5744" s="8" t="s">
        <v>41</v>
      </c>
      <c r="D5744" s="9" t="str">
        <f>HYPERLINK("https://otsuka-europe-crm.veevavault.com/ui/#object/approved_document__v/V5O00000001H022", "LUP - VAE invitación simposio SEN-SER - Nefro")</f>
        <v>LUP - VAE invitación simposio SEN-SER - Nefro</v>
      </c>
      <c r="E5744" s="10" t="str">
        <f>HYPERLINK("https://otsuka-europe-crm.veevavault.com/ui/#object/sent_email__v/VBL00000002S077", "SE-001434206")</f>
        <v>SE-001434206</v>
      </c>
      <c r="F5744" s="11"/>
      <c r="G5744" s="12">
        <v>0</v>
      </c>
      <c r="H5744" s="12">
        <v>0</v>
      </c>
      <c r="I5744" s="12">
        <v>0</v>
      </c>
      <c r="J5744" s="11"/>
      <c r="K5744" s="12">
        <v>0</v>
      </c>
      <c r="L5744" s="10" t="str">
        <f>HYPERLINK("https://otsuka-europe-crm.veevavault.com/ui/#object/approved_document__v/V5O00000001H022", "LUP - VAE invitación simposio SEN-SER - Nefro")</f>
        <v>LUP - VAE invitación simposio SEN-SER - Nefro</v>
      </c>
      <c r="M5744" s="10" t="str">
        <f t="shared" si="603"/>
        <v>jguri@crm.otsuka-europe.com</v>
      </c>
      <c r="N5744" s="13">
        <v>46181.378020833334</v>
      </c>
      <c r="O5744" s="14" t="str">
        <f>HYPERLINK("https://otsuka-europe-crm.veevavault.com/ui/#object/email_activity__v/V8C00000003P998", "EN-002091661")</f>
        <v>EN-002091661</v>
      </c>
    </row>
    <row r="5745" spans="1:15" ht="32" x14ac:dyDescent="0.2">
      <c r="A5745" s="7" t="str">
        <f>HYPERLINK("https://otsuka-europe-crm.veevavault.com/ui/#object/account__v/V4TZ06G6O8A8I8D", "TERESA BADA BOSCH")</f>
        <v>TERESA BADA BOSCH</v>
      </c>
      <c r="B5745" s="7" t="str">
        <f t="shared" si="602"/>
        <v>ES</v>
      </c>
      <c r="C5745" s="8" t="s">
        <v>41</v>
      </c>
      <c r="D5745" s="9" t="str">
        <f>HYPERLINK("https://otsuka-europe-crm.veevavault.com/ui/#object/approved_document__v/V5O00000001H022", "LUP - VAE invitación simposio SEN-SER - Nefro")</f>
        <v>LUP - VAE invitación simposio SEN-SER - Nefro</v>
      </c>
      <c r="E5745" s="10" t="str">
        <f>HYPERLINK("https://otsuka-europe-crm.veevavault.com/ui/#object/sent_email__v/VBL00000002S078", "SE-001434207")</f>
        <v>SE-001434207</v>
      </c>
      <c r="F5745" s="11"/>
      <c r="G5745" s="12">
        <v>0</v>
      </c>
      <c r="H5745" s="12">
        <v>0</v>
      </c>
      <c r="I5745" s="12">
        <v>0</v>
      </c>
      <c r="J5745" s="11"/>
      <c r="K5745" s="12">
        <v>0</v>
      </c>
      <c r="L5745" s="10" t="str">
        <f>HYPERLINK("https://otsuka-europe-crm.veevavault.com/ui/#object/approved_document__v/V5O00000001H022", "LUP - VAE invitación simposio SEN-SER - Nefro")</f>
        <v>LUP - VAE invitación simposio SEN-SER - Nefro</v>
      </c>
      <c r="M5745" s="10" t="str">
        <f t="shared" si="603"/>
        <v>jguri@crm.otsuka-europe.com</v>
      </c>
      <c r="N5745" s="13">
        <v>46181.378020833334</v>
      </c>
      <c r="O5745" s="14" t="str">
        <f>HYPERLINK("https://otsuka-europe-crm.veevavault.com/ui/#object/email_activity__v/V8C00000003Q399", "EN-002091616")</f>
        <v>EN-002091616</v>
      </c>
    </row>
    <row r="5746" spans="1:15" ht="32" x14ac:dyDescent="0.2">
      <c r="A5746" s="7" t="str">
        <f>HYPERLINK("https://otsuka-europe-crm.veevavault.com/ui/#object/account__v/V4TZ06G6O71TCBM", "LAURA SALANOVA VILLANUEVA")</f>
        <v>LAURA SALANOVA VILLANUEVA</v>
      </c>
      <c r="B5746" s="7" t="str">
        <f t="shared" si="602"/>
        <v>ES</v>
      </c>
      <c r="C5746" s="8" t="s">
        <v>41</v>
      </c>
      <c r="D5746" s="9" t="str">
        <f>HYPERLINK("https://otsuka-europe-crm.veevavault.com/ui/#object/approved_document__v/V5O00000001H022", "LUP - VAE invitación simposio SEN-SER - Nefro")</f>
        <v>LUP - VAE invitación simposio SEN-SER - Nefro</v>
      </c>
      <c r="E5746" s="10" t="str">
        <f>HYPERLINK("https://otsuka-europe-crm.veevavault.com/ui/#object/sent_email__v/VBL00000002S079", "SE-001434208")</f>
        <v>SE-001434208</v>
      </c>
      <c r="F5746" s="11"/>
      <c r="G5746" s="12">
        <v>0</v>
      </c>
      <c r="H5746" s="12">
        <v>0</v>
      </c>
      <c r="I5746" s="12">
        <v>0</v>
      </c>
      <c r="J5746" s="11"/>
      <c r="K5746" s="12">
        <v>0</v>
      </c>
      <c r="L5746" s="10" t="str">
        <f>HYPERLINK("https://otsuka-europe-crm.veevavault.com/ui/#object/approved_document__v/V5O00000001H022", "LUP - VAE invitación simposio SEN-SER - Nefro")</f>
        <v>LUP - VAE invitación simposio SEN-SER - Nefro</v>
      </c>
      <c r="M5746" s="10" t="str">
        <f t="shared" si="603"/>
        <v>jguri@crm.otsuka-europe.com</v>
      </c>
      <c r="N5746" s="13">
        <v>46181.37804398148</v>
      </c>
      <c r="O5746" s="14" t="str">
        <f>HYPERLINK("https://otsuka-europe-crm.veevavault.com/ui/#object/email_activity__v/V8C00000003P967", "EN-002091600")</f>
        <v>EN-002091600</v>
      </c>
    </row>
    <row r="5747" spans="1:15" ht="32" x14ac:dyDescent="0.2">
      <c r="A5747" s="7" t="str">
        <f>HYPERLINK("https://otsuka-europe-crm.veevavault.com/ui/#object/account__v/V4TZ06G6O95XGQS", "SELENE NUÑEZ GASPAR")</f>
        <v>SELENE NUÑEZ GASPAR</v>
      </c>
      <c r="B5747" s="7" t="str">
        <f t="shared" si="602"/>
        <v>ES</v>
      </c>
      <c r="C5747" s="8" t="s">
        <v>41</v>
      </c>
      <c r="D5747" s="9" t="str">
        <f>HYPERLINK("https://otsuka-europe-crm.veevavault.com/ui/#object/approved_document__v/V5O00000001H022", "LUP - VAE invitación simposio SEN-SER - Nefro")</f>
        <v>LUP - VAE invitación simposio SEN-SER - Nefro</v>
      </c>
      <c r="E5747" s="10" t="str">
        <f>HYPERLINK("https://otsuka-europe-crm.veevavault.com/ui/#object/sent_email__v/VBL00000002S080", "SE-001434209")</f>
        <v>SE-001434209</v>
      </c>
      <c r="F5747" s="11"/>
      <c r="G5747" s="12">
        <v>0</v>
      </c>
      <c r="H5747" s="12">
        <v>0</v>
      </c>
      <c r="I5747" s="12">
        <v>0</v>
      </c>
      <c r="J5747" s="11"/>
      <c r="K5747" s="12">
        <v>0</v>
      </c>
      <c r="L5747" s="10" t="str">
        <f>HYPERLINK("https://otsuka-europe-crm.veevavault.com/ui/#object/approved_document__v/V5O00000001H022", "LUP - VAE invitación simposio SEN-SER - Nefro")</f>
        <v>LUP - VAE invitación simposio SEN-SER - Nefro</v>
      </c>
      <c r="M5747" s="10" t="str">
        <f t="shared" si="603"/>
        <v>jguri@crm.otsuka-europe.com</v>
      </c>
      <c r="N5747" s="13">
        <v>46181.378020833334</v>
      </c>
      <c r="O5747" s="14" t="str">
        <f>HYPERLINK("https://otsuka-europe-crm.veevavault.com/ui/#object/email_activity__v/V8C00000003Q422", "EN-002091658")</f>
        <v>EN-002091658</v>
      </c>
    </row>
    <row r="5748" spans="1:15" ht="16" x14ac:dyDescent="0.2">
      <c r="A5748" s="17" t="str">
        <f>HYPERLINK("https://otsuka-europe-crm.veevavault.com/ui/#object/account__v/V4TZ04ASG6ZLHYV", "MARIA DE LAS MERCEDES ACOSTA ROJAS")</f>
        <v>MARIA DE LAS MERCEDES ACOSTA ROJAS</v>
      </c>
      <c r="B5748" s="17" t="str">
        <f t="shared" si="602"/>
        <v>ES</v>
      </c>
      <c r="C5748" s="20" t="s">
        <v>41</v>
      </c>
      <c r="D5748" s="21" t="str">
        <f>HYPERLINK("https://otsuka-europe-crm.veevavault.com/ui/#object/approved_document__v/V5O00000001H022", "LUP - VAE invitación simposio SEN-SER - Nefro")</f>
        <v>LUP - VAE invitación simposio SEN-SER - Nefro</v>
      </c>
      <c r="E5748" s="22" t="str">
        <f>HYPERLINK("https://otsuka-europe-crm.veevavault.com/ui/#object/sent_email__v/VBL00000002S081", "SE-001434210")</f>
        <v>SE-001434210</v>
      </c>
      <c r="F5748" s="25"/>
      <c r="G5748" s="24">
        <v>0</v>
      </c>
      <c r="H5748" s="24">
        <v>0</v>
      </c>
      <c r="I5748" s="24">
        <v>0</v>
      </c>
      <c r="J5748" s="25"/>
      <c r="K5748" s="24">
        <v>0</v>
      </c>
      <c r="L5748" s="22" t="str">
        <f>HYPERLINK("https://otsuka-europe-crm.veevavault.com/ui/#object/approved_document__v/V5O00000001H022", "LUP - VAE invitación simposio SEN-SER - Nefro")</f>
        <v>LUP - VAE invitación simposio SEN-SER - Nefro</v>
      </c>
      <c r="M5748" s="22" t="str">
        <f t="shared" si="603"/>
        <v>jguri@crm.otsuka-europe.com</v>
      </c>
      <c r="N5748" s="23">
        <v>46181.378020833334</v>
      </c>
      <c r="O5748" s="14" t="str">
        <f>HYPERLINK("https://otsuka-europe-crm.veevavault.com/ui/#object/email_activity__v/V8C00000003P961", "EN-002091590")</f>
        <v>EN-002091590</v>
      </c>
    </row>
    <row r="5749" spans="1:15" ht="16" x14ac:dyDescent="0.2">
      <c r="A5749" s="18"/>
      <c r="B5749" s="18"/>
      <c r="C5749" s="18"/>
      <c r="D5749" s="18"/>
      <c r="E5749" s="18"/>
      <c r="F5749" s="18"/>
      <c r="G5749" s="18"/>
      <c r="H5749" s="18"/>
      <c r="I5749" s="18"/>
      <c r="J5749" s="18"/>
      <c r="K5749" s="18"/>
      <c r="L5749" s="18"/>
      <c r="M5749" s="18"/>
      <c r="N5749" s="18"/>
      <c r="O5749" s="14" t="str">
        <f>HYPERLINK("https://otsuka-europe-crm.veevavault.com/ui/#object/email_activity__v/V8C00000003R325", "EN-002092296")</f>
        <v>EN-002092296</v>
      </c>
    </row>
    <row r="5750" spans="1:15" ht="16" x14ac:dyDescent="0.2">
      <c r="A5750" s="19"/>
      <c r="B5750" s="19"/>
      <c r="C5750" s="19"/>
      <c r="D5750" s="19"/>
      <c r="E5750" s="19"/>
      <c r="F5750" s="19"/>
      <c r="G5750" s="19"/>
      <c r="H5750" s="19"/>
      <c r="I5750" s="19"/>
      <c r="J5750" s="19"/>
      <c r="K5750" s="19"/>
      <c r="L5750" s="19"/>
      <c r="M5750" s="19"/>
      <c r="N5750" s="19"/>
      <c r="O5750" s="14" t="str">
        <f>HYPERLINK("https://otsuka-europe-crm.veevavault.com/ui/#object/email_activity__v/V8C00000003Z403", "EN-002099477")</f>
        <v>EN-002099477</v>
      </c>
    </row>
    <row r="5751" spans="1:15" ht="16" x14ac:dyDescent="0.2">
      <c r="A5751" s="17" t="str">
        <f>HYPERLINK("https://otsuka-europe-crm.veevavault.com/ui/#object/account__v/V4TZ06G6O71T7KQ", "MARTA CALVO AREVALO")</f>
        <v>MARTA CALVO AREVALO</v>
      </c>
      <c r="B5751" s="17" t="str">
        <f>HYPERLINK("https://otsuka-europe-crm.veevavault.com/ui/#object/vcountry__v/VENZ000004SONF5", "ES")</f>
        <v>ES</v>
      </c>
      <c r="C5751" s="20" t="s">
        <v>41</v>
      </c>
      <c r="D5751" s="21" t="str">
        <f>HYPERLINK("https://otsuka-europe-crm.veevavault.com/ui/#object/approved_document__v/V5O00000001H022", "LUP - VAE invitación simposio SEN-SER - Nefro")</f>
        <v>LUP - VAE invitación simposio SEN-SER - Nefro</v>
      </c>
      <c r="E5751" s="22" t="str">
        <f>HYPERLINK("https://otsuka-europe-crm.veevavault.com/ui/#object/sent_email__v/VBL00000002S082", "SE-001434211")</f>
        <v>SE-001434211</v>
      </c>
      <c r="F5751" s="23">
        <v>46181.391793981478</v>
      </c>
      <c r="G5751" s="24">
        <v>1</v>
      </c>
      <c r="H5751" s="24">
        <v>2</v>
      </c>
      <c r="I5751" s="24">
        <v>1</v>
      </c>
      <c r="J5751" s="23">
        <v>46181.391793981478</v>
      </c>
      <c r="K5751" s="24">
        <v>1</v>
      </c>
      <c r="L5751" s="22" t="str">
        <f>HYPERLINK("https://otsuka-europe-crm.veevavault.com/ui/#object/approved_document__v/V5O00000001H022", "LUP - VAE invitación simposio SEN-SER - Nefro")</f>
        <v>LUP - VAE invitación simposio SEN-SER - Nefro</v>
      </c>
      <c r="M5751" s="22" t="str">
        <f>HYPERLINK("mailto:jguri@crm.otsuka-europe.com", "jguri@crm.otsuka-europe.com")</f>
        <v>jguri@crm.otsuka-europe.com</v>
      </c>
      <c r="N5751" s="23">
        <v>46181.378020833334</v>
      </c>
      <c r="O5751" s="14" t="str">
        <f>HYPERLINK("https://otsuka-europe-crm.veevavault.com/ui/#object/email_activity__v/V8C00000003Q393", "EN-002091597")</f>
        <v>EN-002091597</v>
      </c>
    </row>
    <row r="5752" spans="1:15" ht="16" x14ac:dyDescent="0.2">
      <c r="A5752" s="18"/>
      <c r="B5752" s="18"/>
      <c r="C5752" s="18"/>
      <c r="D5752" s="18"/>
      <c r="E5752" s="18"/>
      <c r="F5752" s="18"/>
      <c r="G5752" s="18"/>
      <c r="H5752" s="18"/>
      <c r="I5752" s="18"/>
      <c r="J5752" s="18"/>
      <c r="K5752" s="18"/>
      <c r="L5752" s="18"/>
      <c r="M5752" s="18"/>
      <c r="N5752" s="18"/>
      <c r="O5752" s="14" t="str">
        <f>HYPERLINK("https://otsuka-europe-crm.veevavault.com/ui/#object/email_activity__v/V8C00000003Q484", "EN-002091733")</f>
        <v>EN-002091733</v>
      </c>
    </row>
    <row r="5753" spans="1:15" ht="16" x14ac:dyDescent="0.2">
      <c r="A5753" s="18"/>
      <c r="B5753" s="18"/>
      <c r="C5753" s="18"/>
      <c r="D5753" s="18"/>
      <c r="E5753" s="18"/>
      <c r="F5753" s="18"/>
      <c r="G5753" s="18"/>
      <c r="H5753" s="18"/>
      <c r="I5753" s="18"/>
      <c r="J5753" s="18"/>
      <c r="K5753" s="18"/>
      <c r="L5753" s="18"/>
      <c r="M5753" s="18"/>
      <c r="N5753" s="18"/>
      <c r="O5753" s="14" t="str">
        <f>HYPERLINK("https://otsuka-europe-crm.veevavault.com/ui/#object/email_activity__v/V8C00000003Q485", "EN-002091732")</f>
        <v>EN-002091732</v>
      </c>
    </row>
    <row r="5754" spans="1:15" ht="16" x14ac:dyDescent="0.2">
      <c r="A5754" s="18"/>
      <c r="B5754" s="18"/>
      <c r="C5754" s="18"/>
      <c r="D5754" s="18"/>
      <c r="E5754" s="18"/>
      <c r="F5754" s="18"/>
      <c r="G5754" s="18"/>
      <c r="H5754" s="18"/>
      <c r="I5754" s="18"/>
      <c r="J5754" s="18"/>
      <c r="K5754" s="18"/>
      <c r="L5754" s="18"/>
      <c r="M5754" s="18"/>
      <c r="N5754" s="18"/>
      <c r="O5754" s="14" t="str">
        <f>HYPERLINK("https://otsuka-europe-crm.veevavault.com/ui/#object/email_activity__v/V8C00000003R011", "EN-002091734")</f>
        <v>EN-002091734</v>
      </c>
    </row>
    <row r="5755" spans="1:15" ht="16" x14ac:dyDescent="0.2">
      <c r="A5755" s="19"/>
      <c r="B5755" s="19"/>
      <c r="C5755" s="19"/>
      <c r="D5755" s="19"/>
      <c r="E5755" s="19"/>
      <c r="F5755" s="19"/>
      <c r="G5755" s="19"/>
      <c r="H5755" s="19"/>
      <c r="I5755" s="19"/>
      <c r="J5755" s="19"/>
      <c r="K5755" s="19"/>
      <c r="L5755" s="19"/>
      <c r="M5755" s="19"/>
      <c r="N5755" s="19"/>
      <c r="O5755" s="14" t="str">
        <f>HYPERLINK("https://otsuka-europe-crm.veevavault.com/ui/#object/email_activity__v/V8C00000003R062", "EN-002091795")</f>
        <v>EN-002091795</v>
      </c>
    </row>
    <row r="5756" spans="1:15" ht="16" x14ac:dyDescent="0.2">
      <c r="A5756" s="17" t="str">
        <f>HYPERLINK("https://otsuka-europe-crm.veevavault.com/ui/#object/account__v/V4TZ06G6O71T8MR", "RAMON JESUS MIRANDA HERNANDEZ")</f>
        <v>RAMON JESUS MIRANDA HERNANDEZ</v>
      </c>
      <c r="B5756" s="17" t="str">
        <f>HYPERLINK("https://otsuka-europe-crm.veevavault.com/ui/#object/vcountry__v/VENZ000004SONF5", "ES")</f>
        <v>ES</v>
      </c>
      <c r="C5756" s="20" t="s">
        <v>41</v>
      </c>
      <c r="D5756" s="21" t="str">
        <f>HYPERLINK("https://otsuka-europe-crm.veevavault.com/ui/#object/approved_document__v/V5O00000001H022", "LUP - VAE invitación simposio SEN-SER - Nefro")</f>
        <v>LUP - VAE invitación simposio SEN-SER - Nefro</v>
      </c>
      <c r="E5756" s="22" t="str">
        <f>HYPERLINK("https://otsuka-europe-crm.veevavault.com/ui/#object/sent_email__v/VBL00000002S083", "SE-001434212")</f>
        <v>SE-001434212</v>
      </c>
      <c r="F5756" s="23">
        <v>46181.417546296296</v>
      </c>
      <c r="G5756" s="24">
        <v>1</v>
      </c>
      <c r="H5756" s="24">
        <v>2</v>
      </c>
      <c r="I5756" s="24">
        <v>0</v>
      </c>
      <c r="J5756" s="25"/>
      <c r="K5756" s="24">
        <v>0</v>
      </c>
      <c r="L5756" s="22" t="str">
        <f>HYPERLINK("https://otsuka-europe-crm.veevavault.com/ui/#object/approved_document__v/V5O00000001H022", "LUP - VAE invitación simposio SEN-SER - Nefro")</f>
        <v>LUP - VAE invitación simposio SEN-SER - Nefro</v>
      </c>
      <c r="M5756" s="22" t="str">
        <f>HYPERLINK("mailto:jguri@crm.otsuka-europe.com", "jguri@crm.otsuka-europe.com")</f>
        <v>jguri@crm.otsuka-europe.com</v>
      </c>
      <c r="N5756" s="23">
        <v>46181.378020833334</v>
      </c>
      <c r="O5756" s="14" t="str">
        <f>HYPERLINK("https://otsuka-europe-crm.veevavault.com/ui/#object/email_activity__v/V8C00000003Q408", "EN-002091629")</f>
        <v>EN-002091629</v>
      </c>
    </row>
    <row r="5757" spans="1:15" ht="16" x14ac:dyDescent="0.2">
      <c r="A5757" s="18"/>
      <c r="B5757" s="18"/>
      <c r="C5757" s="18"/>
      <c r="D5757" s="18"/>
      <c r="E5757" s="18"/>
      <c r="F5757" s="18"/>
      <c r="G5757" s="18"/>
      <c r="H5757" s="18"/>
      <c r="I5757" s="18"/>
      <c r="J5757" s="18"/>
      <c r="K5757" s="18"/>
      <c r="L5757" s="18"/>
      <c r="M5757" s="18"/>
      <c r="N5757" s="18"/>
      <c r="O5757" s="14" t="str">
        <f>HYPERLINK("https://otsuka-europe-crm.veevavault.com/ui/#object/email_activity__v/V8C00000003R001", "EN-002091663")</f>
        <v>EN-002091663</v>
      </c>
    </row>
    <row r="5758" spans="1:15" ht="16" x14ac:dyDescent="0.2">
      <c r="A5758" s="19"/>
      <c r="B5758" s="19"/>
      <c r="C5758" s="19"/>
      <c r="D5758" s="19"/>
      <c r="E5758" s="19"/>
      <c r="F5758" s="19"/>
      <c r="G5758" s="19"/>
      <c r="H5758" s="19"/>
      <c r="I5758" s="19"/>
      <c r="J5758" s="19"/>
      <c r="K5758" s="19"/>
      <c r="L5758" s="19"/>
      <c r="M5758" s="19"/>
      <c r="N5758" s="19"/>
      <c r="O5758" s="14" t="str">
        <f>HYPERLINK("https://otsuka-europe-crm.veevavault.com/ui/#object/email_activity__v/V8C00000003R051", "EN-002091784")</f>
        <v>EN-002091784</v>
      </c>
    </row>
    <row r="5759" spans="1:15" ht="32" x14ac:dyDescent="0.2">
      <c r="A5759" s="7" t="str">
        <f>HYPERLINK("https://otsuka-europe-crm.veevavault.com/ui/#object/account__v/V4TZ06G6O71T8N0", "MARIA PEREZ FERNANDEZ")</f>
        <v>MARIA PEREZ FERNANDEZ</v>
      </c>
      <c r="B5759" s="7" t="str">
        <f>HYPERLINK("https://otsuka-europe-crm.veevavault.com/ui/#object/vcountry__v/VENZ000004SONF5", "ES")</f>
        <v>ES</v>
      </c>
      <c r="C5759" s="8" t="s">
        <v>41</v>
      </c>
      <c r="D5759" s="9" t="str">
        <f>HYPERLINK("https://otsuka-europe-crm.veevavault.com/ui/#object/approved_document__v/V5O00000001H022", "LUP - VAE invitación simposio SEN-SER - Nefro")</f>
        <v>LUP - VAE invitación simposio SEN-SER - Nefro</v>
      </c>
      <c r="E5759" s="10" t="str">
        <f>HYPERLINK("https://otsuka-europe-crm.veevavault.com/ui/#object/sent_email__v/VBL00000002S084", "SE-001434213")</f>
        <v>SE-001434213</v>
      </c>
      <c r="F5759" s="11"/>
      <c r="G5759" s="12">
        <v>0</v>
      </c>
      <c r="H5759" s="12">
        <v>0</v>
      </c>
      <c r="I5759" s="12">
        <v>0</v>
      </c>
      <c r="J5759" s="11"/>
      <c r="K5759" s="12">
        <v>0</v>
      </c>
      <c r="L5759" s="10" t="str">
        <f>HYPERLINK("https://otsuka-europe-crm.veevavault.com/ui/#object/approved_document__v/V5O00000001H022", "LUP - VAE invitación simposio SEN-SER - Nefro")</f>
        <v>LUP - VAE invitación simposio SEN-SER - Nefro</v>
      </c>
      <c r="M5759" s="10" t="str">
        <f>HYPERLINK("mailto:jguri@crm.otsuka-europe.com", "jguri@crm.otsuka-europe.com")</f>
        <v>jguri@crm.otsuka-europe.com</v>
      </c>
      <c r="N5759" s="13">
        <v>46181.378020833334</v>
      </c>
      <c r="O5759" s="14" t="str">
        <f>HYPERLINK("https://otsuka-europe-crm.veevavault.com/ui/#object/email_activity__v/V8C00000003Q402", "EN-002091619")</f>
        <v>EN-002091619</v>
      </c>
    </row>
    <row r="5760" spans="1:15" ht="32" x14ac:dyDescent="0.2">
      <c r="A5760" s="7" t="str">
        <f>HYPERLINK("https://otsuka-europe-crm.veevavault.com/ui/#object/account__v/V4TZ06G6OCEHPOR", "MARTA ALVAREZ NADAL")</f>
        <v>MARTA ALVAREZ NADAL</v>
      </c>
      <c r="B5760" s="7" t="str">
        <f>HYPERLINK("https://otsuka-europe-crm.veevavault.com/ui/#object/vcountry__v/VENZ000004SONF5", "ES")</f>
        <v>ES</v>
      </c>
      <c r="C5760" s="8" t="s">
        <v>41</v>
      </c>
      <c r="D5760" s="9" t="str">
        <f>HYPERLINK("https://otsuka-europe-crm.veevavault.com/ui/#object/approved_document__v/V5O00000001H022", "LUP - VAE invitación simposio SEN-SER - Nefro")</f>
        <v>LUP - VAE invitación simposio SEN-SER - Nefro</v>
      </c>
      <c r="E5760" s="10" t="str">
        <f>HYPERLINK("https://otsuka-europe-crm.veevavault.com/ui/#object/sent_email__v/VBL00000002S085", "SE-001434214")</f>
        <v>SE-001434214</v>
      </c>
      <c r="F5760" s="11"/>
      <c r="G5760" s="12">
        <v>0</v>
      </c>
      <c r="H5760" s="12">
        <v>0</v>
      </c>
      <c r="I5760" s="12">
        <v>0</v>
      </c>
      <c r="J5760" s="11"/>
      <c r="K5760" s="12">
        <v>0</v>
      </c>
      <c r="L5760" s="10" t="str">
        <f>HYPERLINK("https://otsuka-europe-crm.veevavault.com/ui/#object/approved_document__v/V5O00000001H022", "LUP - VAE invitación simposio SEN-SER - Nefro")</f>
        <v>LUP - VAE invitación simposio SEN-SER - Nefro</v>
      </c>
      <c r="M5760" s="10" t="str">
        <f>HYPERLINK("mailto:jguri@crm.otsuka-europe.com", "jguri@crm.otsuka-europe.com")</f>
        <v>jguri@crm.otsuka-europe.com</v>
      </c>
      <c r="N5760" s="13">
        <v>46181.378020833334</v>
      </c>
      <c r="O5760" s="14" t="str">
        <f>HYPERLINK("https://otsuka-europe-crm.veevavault.com/ui/#object/email_activity__v/V8C00000003Q406", "EN-002091627")</f>
        <v>EN-002091627</v>
      </c>
    </row>
    <row r="5761" spans="1:15" ht="32" x14ac:dyDescent="0.2">
      <c r="A5761" s="7" t="str">
        <f>HYPERLINK("https://otsuka-europe-crm.veevavault.com/ui/#object/account__v/V4TZ06G6O71TBB3", "MARIA TERESA NAYA NIETO")</f>
        <v>MARIA TERESA NAYA NIETO</v>
      </c>
      <c r="B5761" s="7" t="str">
        <f>HYPERLINK("https://otsuka-europe-crm.veevavault.com/ui/#object/vcountry__v/VENZ000004SONF5", "ES")</f>
        <v>ES</v>
      </c>
      <c r="C5761" s="8" t="s">
        <v>41</v>
      </c>
      <c r="D5761" s="9" t="str">
        <f>HYPERLINK("https://otsuka-europe-crm.veevavault.com/ui/#object/approved_document__v/V5O00000001H022", "LUP - VAE invitación simposio SEN-SER - Nefro")</f>
        <v>LUP - VAE invitación simposio SEN-SER - Nefro</v>
      </c>
      <c r="E5761" s="10" t="str">
        <f>HYPERLINK("https://otsuka-europe-crm.veevavault.com/ui/#object/sent_email__v/VBL00000002S086", "SE-001434215")</f>
        <v>SE-001434215</v>
      </c>
      <c r="F5761" s="11"/>
      <c r="G5761" s="12">
        <v>0</v>
      </c>
      <c r="H5761" s="12">
        <v>0</v>
      </c>
      <c r="I5761" s="12">
        <v>0</v>
      </c>
      <c r="J5761" s="11"/>
      <c r="K5761" s="12">
        <v>0</v>
      </c>
      <c r="L5761" s="10" t="str">
        <f>HYPERLINK("https://otsuka-europe-crm.veevavault.com/ui/#object/approved_document__v/V5O00000001H022", "LUP - VAE invitación simposio SEN-SER - Nefro")</f>
        <v>LUP - VAE invitación simposio SEN-SER - Nefro</v>
      </c>
      <c r="M5761" s="10" t="str">
        <f>HYPERLINK("mailto:jguri@crm.otsuka-europe.com", "jguri@crm.otsuka-europe.com")</f>
        <v>jguri@crm.otsuka-europe.com</v>
      </c>
      <c r="N5761" s="13">
        <v>46181.378020833334</v>
      </c>
      <c r="O5761" s="14" t="str">
        <f>HYPERLINK("https://otsuka-europe-crm.veevavault.com/ui/#object/email_activity__v/V8C00000003Q403", "EN-002091620")</f>
        <v>EN-002091620</v>
      </c>
    </row>
    <row r="5762" spans="1:15" ht="32" x14ac:dyDescent="0.2">
      <c r="A5762" s="7" t="str">
        <f>HYPERLINK("https://otsuka-europe-crm.veevavault.com/ui/#object/account__v/V4TZ025E82EN0J5", "RUTH MARTINEZ GALINDO")</f>
        <v>RUTH MARTINEZ GALINDO</v>
      </c>
      <c r="B5762" s="7" t="str">
        <f>HYPERLINK("https://otsuka-europe-crm.veevavault.com/ui/#object/vcountry__v/VENZ000004SONF5", "ES")</f>
        <v>ES</v>
      </c>
      <c r="C5762" s="8" t="s">
        <v>41</v>
      </c>
      <c r="D5762" s="9" t="str">
        <f>HYPERLINK("https://otsuka-europe-crm.veevavault.com/ui/#object/approved_document__v/V5O00000001H022", "LUP - VAE invitación simposio SEN-SER - Nefro")</f>
        <v>LUP - VAE invitación simposio SEN-SER - Nefro</v>
      </c>
      <c r="E5762" s="10" t="str">
        <f>HYPERLINK("https://otsuka-europe-crm.veevavault.com/ui/#object/sent_email__v/VBL00000002S087", "SE-001434216")</f>
        <v>SE-001434216</v>
      </c>
      <c r="F5762" s="11"/>
      <c r="G5762" s="12">
        <v>0</v>
      </c>
      <c r="H5762" s="12">
        <v>0</v>
      </c>
      <c r="I5762" s="12">
        <v>0</v>
      </c>
      <c r="J5762" s="11"/>
      <c r="K5762" s="12">
        <v>0</v>
      </c>
      <c r="L5762" s="10" t="str">
        <f>HYPERLINK("https://otsuka-europe-crm.veevavault.com/ui/#object/approved_document__v/V5O00000001H022", "LUP - VAE invitación simposio SEN-SER - Nefro")</f>
        <v>LUP - VAE invitación simposio SEN-SER - Nefro</v>
      </c>
      <c r="M5762" s="10" t="str">
        <f>HYPERLINK("mailto:jguri@crm.otsuka-europe.com", "jguri@crm.otsuka-europe.com")</f>
        <v>jguri@crm.otsuka-europe.com</v>
      </c>
      <c r="N5762" s="13">
        <v>46181.378020833334</v>
      </c>
      <c r="O5762" s="14" t="str">
        <f>HYPERLINK("https://otsuka-europe-crm.veevavault.com/ui/#object/email_activity__v/V8C00000003P962", "EN-002091591")</f>
        <v>EN-002091591</v>
      </c>
    </row>
    <row r="5763" spans="1:15" ht="16" x14ac:dyDescent="0.2">
      <c r="A5763" s="17" t="str">
        <f>HYPERLINK("https://otsuka-europe-crm.veevavault.com/ui/#object/account__v/V4TZ06G6O71TAGN", "LEONARDO CALLE GARCIA")</f>
        <v>LEONARDO CALLE GARCIA</v>
      </c>
      <c r="B5763" s="17" t="str">
        <f>HYPERLINK("https://otsuka-europe-crm.veevavault.com/ui/#object/vcountry__v/VENZ000004SONF5", "ES")</f>
        <v>ES</v>
      </c>
      <c r="C5763" s="20" t="s">
        <v>41</v>
      </c>
      <c r="D5763" s="21" t="str">
        <f>HYPERLINK("https://otsuka-europe-crm.veevavault.com/ui/#object/approved_document__v/V5O00000001H022", "LUP - VAE invitación simposio SEN-SER - Nefro")</f>
        <v>LUP - VAE invitación simposio SEN-SER - Nefro</v>
      </c>
      <c r="E5763" s="22" t="str">
        <f>HYPERLINK("https://otsuka-europe-crm.veevavault.com/ui/#object/sent_email__v/VBL00000002S088", "SE-001434217")</f>
        <v>SE-001434217</v>
      </c>
      <c r="F5763" s="25"/>
      <c r="G5763" s="24">
        <v>0</v>
      </c>
      <c r="H5763" s="24">
        <v>0</v>
      </c>
      <c r="I5763" s="24">
        <v>0</v>
      </c>
      <c r="J5763" s="25"/>
      <c r="K5763" s="24">
        <v>0</v>
      </c>
      <c r="L5763" s="22" t="str">
        <f>HYPERLINK("https://otsuka-europe-crm.veevavault.com/ui/#object/approved_document__v/V5O00000001H022", "LUP - VAE invitación simposio SEN-SER - Nefro")</f>
        <v>LUP - VAE invitación simposio SEN-SER - Nefro</v>
      </c>
      <c r="M5763" s="22" t="str">
        <f>HYPERLINK("mailto:jguri@crm.otsuka-europe.com", "jguri@crm.otsuka-europe.com")</f>
        <v>jguri@crm.otsuka-europe.com</v>
      </c>
      <c r="N5763" s="23">
        <v>46181.378020833334</v>
      </c>
      <c r="O5763" s="14" t="str">
        <f>HYPERLINK("https://otsuka-europe-crm.veevavault.com/ui/#object/email_activity__v/V8C00000003P995", "EN-002091654")</f>
        <v>EN-002091654</v>
      </c>
    </row>
    <row r="5764" spans="1:15" ht="16" x14ac:dyDescent="0.2">
      <c r="A5764" s="19"/>
      <c r="B5764" s="19"/>
      <c r="C5764" s="19"/>
      <c r="D5764" s="19"/>
      <c r="E5764" s="19"/>
      <c r="F5764" s="19"/>
      <c r="G5764" s="19"/>
      <c r="H5764" s="19"/>
      <c r="I5764" s="19"/>
      <c r="J5764" s="19"/>
      <c r="K5764" s="19"/>
      <c r="L5764" s="19"/>
      <c r="M5764" s="19"/>
      <c r="N5764" s="19"/>
      <c r="O5764" s="14" t="str">
        <f>HYPERLINK("https://otsuka-europe-crm.veevavault.com/ui/#object/email_activity__v/V8C00000003T101", "EN-002093764")</f>
        <v>EN-002093764</v>
      </c>
    </row>
    <row r="5765" spans="1:15" ht="32" x14ac:dyDescent="0.2">
      <c r="A5765" s="7" t="str">
        <f>HYPERLINK("https://otsuka-europe-crm.veevavault.com/ui/#object/account__v/V4TZ025E83BMBTH", "MARIA SORIANO GUILLEN")</f>
        <v>MARIA SORIANO GUILLEN</v>
      </c>
      <c r="B5765" s="7" t="str">
        <f>HYPERLINK("https://otsuka-europe-crm.veevavault.com/ui/#object/vcountry__v/VENZ000004SONF5", "ES")</f>
        <v>ES</v>
      </c>
      <c r="C5765" s="8" t="s">
        <v>41</v>
      </c>
      <c r="D5765" s="9" t="str">
        <f>HYPERLINK("https://otsuka-europe-crm.veevavault.com/ui/#object/approved_document__v/V5O00000001H022", "LUP - VAE invitación simposio SEN-SER - Nefro")</f>
        <v>LUP - VAE invitación simposio SEN-SER - Nefro</v>
      </c>
      <c r="E5765" s="10" t="str">
        <f>HYPERLINK("https://otsuka-europe-crm.veevavault.com/ui/#object/sent_email__v/VBL00000002S089", "SE-001434218")</f>
        <v>SE-001434218</v>
      </c>
      <c r="F5765" s="11"/>
      <c r="G5765" s="12">
        <v>0</v>
      </c>
      <c r="H5765" s="12">
        <v>0</v>
      </c>
      <c r="I5765" s="12">
        <v>0</v>
      </c>
      <c r="J5765" s="11"/>
      <c r="K5765" s="12">
        <v>0</v>
      </c>
      <c r="L5765" s="10" t="str">
        <f>HYPERLINK("https://otsuka-europe-crm.veevavault.com/ui/#object/approved_document__v/V5O00000001H022", "LUP - VAE invitación simposio SEN-SER - Nefro")</f>
        <v>LUP - VAE invitación simposio SEN-SER - Nefro</v>
      </c>
      <c r="M5765" s="10" t="str">
        <f>HYPERLINK("mailto:jguri@crm.otsuka-europe.com", "jguri@crm.otsuka-europe.com")</f>
        <v>jguri@crm.otsuka-europe.com</v>
      </c>
      <c r="N5765" s="13">
        <v>46181.378020833334</v>
      </c>
      <c r="O5765" s="14" t="str">
        <f>HYPERLINK("https://otsuka-europe-crm.veevavault.com/ui/#object/email_activity__v/V8C00000003Q391", "EN-002091595")</f>
        <v>EN-002091595</v>
      </c>
    </row>
    <row r="5766" spans="1:15" ht="32" x14ac:dyDescent="0.2">
      <c r="A5766" s="7" t="str">
        <f>HYPERLINK("https://otsuka-europe-crm.veevavault.com/ui/#object/account__v/V4TZ06G6O71TB1M", "PATRICIA MARTINEZ MIGUEL")</f>
        <v>PATRICIA MARTINEZ MIGUEL</v>
      </c>
      <c r="B5766" s="7" t="str">
        <f>HYPERLINK("https://otsuka-europe-crm.veevavault.com/ui/#object/vcountry__v/VENZ000004SONF5", "ES")</f>
        <v>ES</v>
      </c>
      <c r="C5766" s="8" t="s">
        <v>41</v>
      </c>
      <c r="D5766" s="9" t="str">
        <f>HYPERLINK("https://otsuka-europe-crm.veevavault.com/ui/#object/approved_document__v/V5O00000001H022", "LUP - VAE invitación simposio SEN-SER - Nefro")</f>
        <v>LUP - VAE invitación simposio SEN-SER - Nefro</v>
      </c>
      <c r="E5766" s="10" t="str">
        <f>HYPERLINK("https://otsuka-europe-crm.veevavault.com/ui/#object/sent_email__v/VBL00000002S090", "SE-001434219")</f>
        <v>SE-001434219</v>
      </c>
      <c r="F5766" s="11"/>
      <c r="G5766" s="12">
        <v>0</v>
      </c>
      <c r="H5766" s="12">
        <v>0</v>
      </c>
      <c r="I5766" s="12">
        <v>0</v>
      </c>
      <c r="J5766" s="11"/>
      <c r="K5766" s="12">
        <v>0</v>
      </c>
      <c r="L5766" s="10" t="str">
        <f>HYPERLINK("https://otsuka-europe-crm.veevavault.com/ui/#object/approved_document__v/V5O00000001H022", "LUP - VAE invitación simposio SEN-SER - Nefro")</f>
        <v>LUP - VAE invitación simposio SEN-SER - Nefro</v>
      </c>
      <c r="M5766" s="10" t="str">
        <f>HYPERLINK("mailto:jguri@crm.otsuka-europe.com", "jguri@crm.otsuka-europe.com")</f>
        <v>jguri@crm.otsuka-europe.com</v>
      </c>
      <c r="N5766" s="13">
        <v>46181.378020833334</v>
      </c>
      <c r="O5766" s="14" t="str">
        <f>HYPERLINK("https://otsuka-europe-crm.veevavault.com/ui/#object/email_activity__v/V8C00000003P977", "EN-002091613")</f>
        <v>EN-002091613</v>
      </c>
    </row>
    <row r="5767" spans="1:15" ht="32" x14ac:dyDescent="0.2">
      <c r="A5767" s="7" t="str">
        <f>HYPERLINK("https://otsuka-europe-crm.veevavault.com/ui/#object/account__v/V4TZ06G6O71T7DE", "MARIA LORETO FERNANDEZ RODRIGUEZ")</f>
        <v>MARIA LORETO FERNANDEZ RODRIGUEZ</v>
      </c>
      <c r="B5767" s="7" t="str">
        <f>HYPERLINK("https://otsuka-europe-crm.veevavault.com/ui/#object/vcountry__v/VENZ000004SONF5", "ES")</f>
        <v>ES</v>
      </c>
      <c r="C5767" s="8" t="s">
        <v>41</v>
      </c>
      <c r="D5767" s="9" t="str">
        <f>HYPERLINK("https://otsuka-europe-crm.veevavault.com/ui/#object/approved_document__v/V5O00000001H022", "LUP - VAE invitación simposio SEN-SER - Nefro")</f>
        <v>LUP - VAE invitación simposio SEN-SER - Nefro</v>
      </c>
      <c r="E5767" s="10" t="str">
        <f>HYPERLINK("https://otsuka-europe-crm.veevavault.com/ui/#object/sent_email__v/VBL00000002S091", "SE-001434220")</f>
        <v>SE-001434220</v>
      </c>
      <c r="F5767" s="11"/>
      <c r="G5767" s="12">
        <v>0</v>
      </c>
      <c r="H5767" s="12">
        <v>0</v>
      </c>
      <c r="I5767" s="12">
        <v>0</v>
      </c>
      <c r="J5767" s="11"/>
      <c r="K5767" s="12">
        <v>0</v>
      </c>
      <c r="L5767" s="10" t="str">
        <f>HYPERLINK("https://otsuka-europe-crm.veevavault.com/ui/#object/approved_document__v/V5O00000001H022", "LUP - VAE invitación simposio SEN-SER - Nefro")</f>
        <v>LUP - VAE invitación simposio SEN-SER - Nefro</v>
      </c>
      <c r="M5767" s="10" t="str">
        <f>HYPERLINK("mailto:jguri@crm.otsuka-europe.com", "jguri@crm.otsuka-europe.com")</f>
        <v>jguri@crm.otsuka-europe.com</v>
      </c>
      <c r="N5767" s="13">
        <v>46181.378020833334</v>
      </c>
      <c r="O5767" s="14" t="str">
        <f>HYPERLINK("https://otsuka-europe-crm.veevavault.com/ui/#object/email_activity__v/V8C00000003Q400", "EN-002091617")</f>
        <v>EN-002091617</v>
      </c>
    </row>
    <row r="5768" spans="1:15" ht="32" x14ac:dyDescent="0.2">
      <c r="A5768" s="7" t="str">
        <f>HYPERLINK("https://otsuka-europe-crm.veevavault.com/ui/#object/account__v/V4TZ025E88PSIKT", "JUAN ANTONIO SANCHEZ VILLORIA")</f>
        <v>JUAN ANTONIO SANCHEZ VILLORIA</v>
      </c>
      <c r="B5768" s="7" t="str">
        <f>HYPERLINK("https://otsuka-europe-crm.veevavault.com/ui/#object/vcountry__v/VENZ000004SONF5", "ES")</f>
        <v>ES</v>
      </c>
      <c r="C5768" s="8" t="s">
        <v>41</v>
      </c>
      <c r="D5768" s="9" t="str">
        <f>HYPERLINK("https://otsuka-europe-crm.veevavault.com/ui/#object/approved_document__v/V5O00000001H022", "LUP - VAE invitación simposio SEN-SER - Nefro")</f>
        <v>LUP - VAE invitación simposio SEN-SER - Nefro</v>
      </c>
      <c r="E5768" s="10" t="str">
        <f>HYPERLINK("https://otsuka-europe-crm.veevavault.com/ui/#object/sent_email__v/VBL00000002S092", "SE-001434221")</f>
        <v>SE-001434221</v>
      </c>
      <c r="F5768" s="11"/>
      <c r="G5768" s="12">
        <v>0</v>
      </c>
      <c r="H5768" s="12">
        <v>0</v>
      </c>
      <c r="I5768" s="12">
        <v>0</v>
      </c>
      <c r="J5768" s="11"/>
      <c r="K5768" s="12">
        <v>0</v>
      </c>
      <c r="L5768" s="10" t="str">
        <f>HYPERLINK("https://otsuka-europe-crm.veevavault.com/ui/#object/approved_document__v/V5O00000001H022", "LUP - VAE invitación simposio SEN-SER - Nefro")</f>
        <v>LUP - VAE invitación simposio SEN-SER - Nefro</v>
      </c>
      <c r="M5768" s="10" t="str">
        <f>HYPERLINK("mailto:jguri@crm.otsuka-europe.com", "jguri@crm.otsuka-europe.com")</f>
        <v>jguri@crm.otsuka-europe.com</v>
      </c>
      <c r="N5768" s="13">
        <v>46181.378020833334</v>
      </c>
      <c r="O5768" s="14" t="str">
        <f>HYPERLINK("https://otsuka-europe-crm.veevavault.com/ui/#object/email_activity__v/V8C00000003Q416", "EN-002091647")</f>
        <v>EN-002091647</v>
      </c>
    </row>
    <row r="5769" spans="1:15" ht="16" x14ac:dyDescent="0.2">
      <c r="A5769" s="17" t="str">
        <f>HYPERLINK("https://otsuka-europe-crm.veevavault.com/ui/#object/account__v/V4TZ06G6O71T85Q", "GONZALO CESAR DELGADO LAPEIRA")</f>
        <v>GONZALO CESAR DELGADO LAPEIRA</v>
      </c>
      <c r="B5769" s="17" t="str">
        <f>HYPERLINK("https://otsuka-europe-crm.veevavault.com/ui/#object/vcountry__v/VENZ000004SONF5", "ES")</f>
        <v>ES</v>
      </c>
      <c r="C5769" s="20" t="s">
        <v>41</v>
      </c>
      <c r="D5769" s="21" t="str">
        <f>HYPERLINK("https://otsuka-europe-crm.veevavault.com/ui/#object/approved_document__v/V5O00000001H022", "LUP - VAE invitación simposio SEN-SER - Nefro")</f>
        <v>LUP - VAE invitación simposio SEN-SER - Nefro</v>
      </c>
      <c r="E5769" s="22" t="str">
        <f>HYPERLINK("https://otsuka-europe-crm.veevavault.com/ui/#object/sent_email__v/VBL00000002S093", "SE-001434222")</f>
        <v>SE-001434222</v>
      </c>
      <c r="F5769" s="25"/>
      <c r="G5769" s="24">
        <v>0</v>
      </c>
      <c r="H5769" s="24">
        <v>0</v>
      </c>
      <c r="I5769" s="24">
        <v>0</v>
      </c>
      <c r="J5769" s="25"/>
      <c r="K5769" s="24">
        <v>0</v>
      </c>
      <c r="L5769" s="22" t="str">
        <f>HYPERLINK("https://otsuka-europe-crm.veevavault.com/ui/#object/approved_document__v/V5O00000001H022", "LUP - VAE invitación simposio SEN-SER - Nefro")</f>
        <v>LUP - VAE invitación simposio SEN-SER - Nefro</v>
      </c>
      <c r="M5769" s="22" t="str">
        <f>HYPERLINK("mailto:jguri@crm.otsuka-europe.com", "jguri@crm.otsuka-europe.com")</f>
        <v>jguri@crm.otsuka-europe.com</v>
      </c>
      <c r="N5769" s="23">
        <v>46181.378020833334</v>
      </c>
      <c r="O5769" s="14" t="str">
        <f>HYPERLINK("https://otsuka-europe-crm.veevavault.com/ui/#object/email_activity__v/V8C00000003P978", "EN-002091614")</f>
        <v>EN-002091614</v>
      </c>
    </row>
    <row r="5770" spans="1:15" ht="16" x14ac:dyDescent="0.2">
      <c r="A5770" s="19"/>
      <c r="B5770" s="19"/>
      <c r="C5770" s="19"/>
      <c r="D5770" s="19"/>
      <c r="E5770" s="19"/>
      <c r="F5770" s="19"/>
      <c r="G5770" s="19"/>
      <c r="H5770" s="19"/>
      <c r="I5770" s="19"/>
      <c r="J5770" s="19"/>
      <c r="K5770" s="19"/>
      <c r="L5770" s="19"/>
      <c r="M5770" s="19"/>
      <c r="N5770" s="19"/>
      <c r="O5770" s="14" t="str">
        <f>HYPERLINK("https://otsuka-europe-crm.veevavault.com/ui/#object/email_activity__v/V8C00000003Q604", "EN-002092020")</f>
        <v>EN-002092020</v>
      </c>
    </row>
    <row r="5771" spans="1:15" ht="16" x14ac:dyDescent="0.2">
      <c r="A5771" s="17" t="str">
        <f>HYPERLINK("https://otsuka-europe-crm.veevavault.com/ui/#object/account__v/V4TZ06G6O71TAXL", "JOSE LUIS MERINO RIVAS")</f>
        <v>JOSE LUIS MERINO RIVAS</v>
      </c>
      <c r="B5771" s="17" t="str">
        <f>HYPERLINK("https://otsuka-europe-crm.veevavault.com/ui/#object/vcountry__v/VENZ000004SONF5", "ES")</f>
        <v>ES</v>
      </c>
      <c r="C5771" s="20" t="s">
        <v>41</v>
      </c>
      <c r="D5771" s="21" t="str">
        <f>HYPERLINK("https://otsuka-europe-crm.veevavault.com/ui/#object/approved_document__v/V5O00000001H022", "LUP - VAE invitación simposio SEN-SER - Nefro")</f>
        <v>LUP - VAE invitación simposio SEN-SER - Nefro</v>
      </c>
      <c r="E5771" s="22" t="str">
        <f>HYPERLINK("https://otsuka-europe-crm.veevavault.com/ui/#object/sent_email__v/VBL00000002S094", "SE-001434223")</f>
        <v>SE-001434223</v>
      </c>
      <c r="F5771" s="23">
        <v>46181.622812499998</v>
      </c>
      <c r="G5771" s="24">
        <v>1</v>
      </c>
      <c r="H5771" s="24">
        <v>4</v>
      </c>
      <c r="I5771" s="24">
        <v>0</v>
      </c>
      <c r="J5771" s="25"/>
      <c r="K5771" s="24">
        <v>0</v>
      </c>
      <c r="L5771" s="22" t="str">
        <f>HYPERLINK("https://otsuka-europe-crm.veevavault.com/ui/#object/approved_document__v/V5O00000001H022", "LUP - VAE invitación simposio SEN-SER - Nefro")</f>
        <v>LUP - VAE invitación simposio SEN-SER - Nefro</v>
      </c>
      <c r="M5771" s="22" t="str">
        <f>HYPERLINK("mailto:jguri@crm.otsuka-europe.com", "jguri@crm.otsuka-europe.com")</f>
        <v>jguri@crm.otsuka-europe.com</v>
      </c>
      <c r="N5771" s="23">
        <v>46181.378020833334</v>
      </c>
      <c r="O5771" s="14" t="str">
        <f>HYPERLINK("https://otsuka-europe-crm.veevavault.com/ui/#object/email_activity__v/V8C00000003Q398", "EN-002091615")</f>
        <v>EN-002091615</v>
      </c>
    </row>
    <row r="5772" spans="1:15" ht="16" x14ac:dyDescent="0.2">
      <c r="A5772" s="18"/>
      <c r="B5772" s="18"/>
      <c r="C5772" s="18"/>
      <c r="D5772" s="18"/>
      <c r="E5772" s="18"/>
      <c r="F5772" s="18"/>
      <c r="G5772" s="18"/>
      <c r="H5772" s="18"/>
      <c r="I5772" s="18"/>
      <c r="J5772" s="18"/>
      <c r="K5772" s="18"/>
      <c r="L5772" s="18"/>
      <c r="M5772" s="18"/>
      <c r="N5772" s="18"/>
      <c r="O5772" s="14" t="str">
        <f>HYPERLINK("https://otsuka-europe-crm.veevavault.com/ui/#object/email_activity__v/V8C00000003Q461", "EN-002091701")</f>
        <v>EN-002091701</v>
      </c>
    </row>
    <row r="5773" spans="1:15" ht="16" x14ac:dyDescent="0.2">
      <c r="A5773" s="18"/>
      <c r="B5773" s="18"/>
      <c r="C5773" s="18"/>
      <c r="D5773" s="18"/>
      <c r="E5773" s="18"/>
      <c r="F5773" s="18"/>
      <c r="G5773" s="18"/>
      <c r="H5773" s="18"/>
      <c r="I5773" s="18"/>
      <c r="J5773" s="18"/>
      <c r="K5773" s="18"/>
      <c r="L5773" s="18"/>
      <c r="M5773" s="18"/>
      <c r="N5773" s="18"/>
      <c r="O5773" s="14" t="str">
        <f>HYPERLINK("https://otsuka-europe-crm.veevavault.com/ui/#object/email_activity__v/V8C00000003Q464", "EN-002091705")</f>
        <v>EN-002091705</v>
      </c>
    </row>
    <row r="5774" spans="1:15" ht="16" x14ac:dyDescent="0.2">
      <c r="A5774" s="18"/>
      <c r="B5774" s="18"/>
      <c r="C5774" s="18"/>
      <c r="D5774" s="18"/>
      <c r="E5774" s="18"/>
      <c r="F5774" s="18"/>
      <c r="G5774" s="18"/>
      <c r="H5774" s="18"/>
      <c r="I5774" s="18"/>
      <c r="J5774" s="18"/>
      <c r="K5774" s="18"/>
      <c r="L5774" s="18"/>
      <c r="M5774" s="18"/>
      <c r="N5774" s="18"/>
      <c r="O5774" s="14" t="str">
        <f>HYPERLINK("https://otsuka-europe-crm.veevavault.com/ui/#object/email_activity__v/V8C00000003Q603", "EN-002092019")</f>
        <v>EN-002092019</v>
      </c>
    </row>
    <row r="5775" spans="1:15" ht="16" x14ac:dyDescent="0.2">
      <c r="A5775" s="19"/>
      <c r="B5775" s="19"/>
      <c r="C5775" s="19"/>
      <c r="D5775" s="19"/>
      <c r="E5775" s="19"/>
      <c r="F5775" s="19"/>
      <c r="G5775" s="19"/>
      <c r="H5775" s="19"/>
      <c r="I5775" s="19"/>
      <c r="J5775" s="19"/>
      <c r="K5775" s="19"/>
      <c r="L5775" s="19"/>
      <c r="M5775" s="19"/>
      <c r="N5775" s="19"/>
      <c r="O5775" s="14" t="str">
        <f>HYPERLINK("https://otsuka-europe-crm.veevavault.com/ui/#object/email_activity__v/V8C00000003R003", "EN-002091702")</f>
        <v>EN-002091702</v>
      </c>
    </row>
    <row r="5776" spans="1:15" ht="16" x14ac:dyDescent="0.2">
      <c r="A5776" s="17" t="str">
        <f>HYPERLINK("https://otsuka-europe-crm.veevavault.com/ui/#object/account__v/V4TZ06G6O71T9UH", "PILAR FRAILE GOMEZ")</f>
        <v>PILAR FRAILE GOMEZ</v>
      </c>
      <c r="B5776" s="17" t="str">
        <f>HYPERLINK("https://otsuka-europe-crm.veevavault.com/ui/#object/vcountry__v/VENZ000004SONF5", "ES")</f>
        <v>ES</v>
      </c>
      <c r="C5776" s="20" t="s">
        <v>41</v>
      </c>
      <c r="D5776" s="21" t="str">
        <f>HYPERLINK("https://otsuka-europe-crm.veevavault.com/ui/#object/approved_document__v/V5O00000001H022", "LUP - VAE invitación simposio SEN-SER - Nefro")</f>
        <v>LUP - VAE invitación simposio SEN-SER - Nefro</v>
      </c>
      <c r="E5776" s="22" t="str">
        <f>HYPERLINK("https://otsuka-europe-crm.veevavault.com/ui/#object/sent_email__v/VBL00000002S095", "SE-001434224")</f>
        <v>SE-001434224</v>
      </c>
      <c r="F5776" s="23">
        <v>46181.480891203704</v>
      </c>
      <c r="G5776" s="24">
        <v>1</v>
      </c>
      <c r="H5776" s="24">
        <v>2</v>
      </c>
      <c r="I5776" s="24">
        <v>0</v>
      </c>
      <c r="J5776" s="25"/>
      <c r="K5776" s="24">
        <v>0</v>
      </c>
      <c r="L5776" s="22" t="str">
        <f>HYPERLINK("https://otsuka-europe-crm.veevavault.com/ui/#object/approved_document__v/V5O00000001H022", "LUP - VAE invitación simposio SEN-SER - Nefro")</f>
        <v>LUP - VAE invitación simposio SEN-SER - Nefro</v>
      </c>
      <c r="M5776" s="22" t="str">
        <f>HYPERLINK("mailto:jguri@crm.otsuka-europe.com", "jguri@crm.otsuka-europe.com")</f>
        <v>jguri@crm.otsuka-europe.com</v>
      </c>
      <c r="N5776" s="23">
        <v>46181.378020833334</v>
      </c>
      <c r="O5776" s="14" t="str">
        <f>HYPERLINK("https://otsuka-europe-crm.veevavault.com/ui/#object/email_activity__v/V8C00000003P987", "EN-002091637")</f>
        <v>EN-002091637</v>
      </c>
    </row>
    <row r="5777" spans="1:15" ht="16" x14ac:dyDescent="0.2">
      <c r="A5777" s="18"/>
      <c r="B5777" s="18"/>
      <c r="C5777" s="18"/>
      <c r="D5777" s="18"/>
      <c r="E5777" s="18"/>
      <c r="F5777" s="18"/>
      <c r="G5777" s="18"/>
      <c r="H5777" s="18"/>
      <c r="I5777" s="18"/>
      <c r="J5777" s="18"/>
      <c r="K5777" s="18"/>
      <c r="L5777" s="18"/>
      <c r="M5777" s="18"/>
      <c r="N5777" s="18"/>
      <c r="O5777" s="14" t="str">
        <f>HYPERLINK("https://otsuka-europe-crm.veevavault.com/ui/#object/email_activity__v/V8C00000003Q425", "EN-002091664")</f>
        <v>EN-002091664</v>
      </c>
    </row>
    <row r="5778" spans="1:15" ht="16" x14ac:dyDescent="0.2">
      <c r="A5778" s="19"/>
      <c r="B5778" s="19"/>
      <c r="C5778" s="19"/>
      <c r="D5778" s="19"/>
      <c r="E5778" s="19"/>
      <c r="F5778" s="19"/>
      <c r="G5778" s="19"/>
      <c r="H5778" s="19"/>
      <c r="I5778" s="19"/>
      <c r="J5778" s="19"/>
      <c r="K5778" s="19"/>
      <c r="L5778" s="19"/>
      <c r="M5778" s="19"/>
      <c r="N5778" s="19"/>
      <c r="O5778" s="14" t="str">
        <f>HYPERLINK("https://otsuka-europe-crm.veevavault.com/ui/#object/email_activity__v/V8C00000003Q547", "EN-002091902")</f>
        <v>EN-002091902</v>
      </c>
    </row>
    <row r="5779" spans="1:15" ht="16" x14ac:dyDescent="0.2">
      <c r="A5779" s="17" t="str">
        <f>HYPERLINK("https://otsuka-europe-crm.veevavault.com/ui/#object/account__v/V4TZ04ASGEXCW99", "PALOMA RUIZ LOPEZ-ALVARADO")</f>
        <v>PALOMA RUIZ LOPEZ-ALVARADO</v>
      </c>
      <c r="B5779" s="17" t="str">
        <f>HYPERLINK("https://otsuka-europe-crm.veevavault.com/ui/#object/vcountry__v/VENZ000004SONF5", "ES")</f>
        <v>ES</v>
      </c>
      <c r="C5779" s="20" t="s">
        <v>41</v>
      </c>
      <c r="D5779" s="21" t="str">
        <f>HYPERLINK("https://otsuka-europe-crm.veevavault.com/ui/#object/approved_document__v/V5O00000001H022", "LUP - VAE invitación simposio SEN-SER - Nefro")</f>
        <v>LUP - VAE invitación simposio SEN-SER - Nefro</v>
      </c>
      <c r="E5779" s="22" t="str">
        <f>HYPERLINK("https://otsuka-europe-crm.veevavault.com/ui/#object/sent_email__v/VBL00000002S096", "SE-001434225")</f>
        <v>SE-001434225</v>
      </c>
      <c r="F5779" s="25"/>
      <c r="G5779" s="24">
        <v>0</v>
      </c>
      <c r="H5779" s="24">
        <v>0</v>
      </c>
      <c r="I5779" s="24">
        <v>0</v>
      </c>
      <c r="J5779" s="25"/>
      <c r="K5779" s="24">
        <v>0</v>
      </c>
      <c r="L5779" s="22" t="str">
        <f>HYPERLINK("https://otsuka-europe-crm.veevavault.com/ui/#object/approved_document__v/V5O00000001H022", "LUP - VAE invitación simposio SEN-SER - Nefro")</f>
        <v>LUP - VAE invitación simposio SEN-SER - Nefro</v>
      </c>
      <c r="M5779" s="22" t="str">
        <f>HYPERLINK("mailto:jguri@crm.otsuka-europe.com", "jguri@crm.otsuka-europe.com")</f>
        <v>jguri@crm.otsuka-europe.com</v>
      </c>
      <c r="N5779" s="23">
        <v>46181.378020833334</v>
      </c>
      <c r="O5779" s="14" t="str">
        <f>HYPERLINK("https://otsuka-europe-crm.veevavault.com/ui/#object/email_activity__v/V8C00000003P988", "EN-002091638")</f>
        <v>EN-002091638</v>
      </c>
    </row>
    <row r="5780" spans="1:15" ht="16" x14ac:dyDescent="0.2">
      <c r="A5780" s="18"/>
      <c r="B5780" s="18"/>
      <c r="C5780" s="18"/>
      <c r="D5780" s="18"/>
      <c r="E5780" s="18"/>
      <c r="F5780" s="18"/>
      <c r="G5780" s="18"/>
      <c r="H5780" s="18"/>
      <c r="I5780" s="18"/>
      <c r="J5780" s="18"/>
      <c r="K5780" s="18"/>
      <c r="L5780" s="18"/>
      <c r="M5780" s="18"/>
      <c r="N5780" s="18"/>
      <c r="O5780" s="14" t="str">
        <f>HYPERLINK("https://otsuka-europe-crm.veevavault.com/ui/#object/email_activity__v/V8C00000003R121", "EN-002091915")</f>
        <v>EN-002091915</v>
      </c>
    </row>
    <row r="5781" spans="1:15" ht="16" x14ac:dyDescent="0.2">
      <c r="A5781" s="18"/>
      <c r="B5781" s="18"/>
      <c r="C5781" s="18"/>
      <c r="D5781" s="18"/>
      <c r="E5781" s="18"/>
      <c r="F5781" s="18"/>
      <c r="G5781" s="18"/>
      <c r="H5781" s="18"/>
      <c r="I5781" s="18"/>
      <c r="J5781" s="18"/>
      <c r="K5781" s="18"/>
      <c r="L5781" s="18"/>
      <c r="M5781" s="18"/>
      <c r="N5781" s="18"/>
      <c r="O5781" s="14" t="str">
        <f>HYPERLINK("https://otsuka-europe-crm.veevavault.com/ui/#object/email_activity__v/V8C00000003R204", "EN-002092061")</f>
        <v>EN-002092061</v>
      </c>
    </row>
    <row r="5782" spans="1:15" ht="16" x14ac:dyDescent="0.2">
      <c r="A5782" s="19"/>
      <c r="B5782" s="19"/>
      <c r="C5782" s="19"/>
      <c r="D5782" s="19"/>
      <c r="E5782" s="19"/>
      <c r="F5782" s="19"/>
      <c r="G5782" s="19"/>
      <c r="H5782" s="19"/>
      <c r="I5782" s="19"/>
      <c r="J5782" s="19"/>
      <c r="K5782" s="19"/>
      <c r="L5782" s="19"/>
      <c r="M5782" s="19"/>
      <c r="N5782" s="19"/>
      <c r="O5782" s="14" t="str">
        <f>HYPERLINK("https://otsuka-europe-crm.veevavault.com/ui/#object/email_activity__v/V8C000000042005", "EN-002099707")</f>
        <v>EN-002099707</v>
      </c>
    </row>
    <row r="5783" spans="1:15" ht="16" x14ac:dyDescent="0.2">
      <c r="A5783" s="17" t="str">
        <f>HYPERLINK("https://otsuka-europe-crm.veevavault.com/ui/#object/account__v/V4TZ04ASG7RXDJC", "MARTA RIVERO MARTINEZ")</f>
        <v>MARTA RIVERO MARTINEZ</v>
      </c>
      <c r="B5783" s="17" t="str">
        <f>HYPERLINK("https://otsuka-europe-crm.veevavault.com/ui/#object/vcountry__v/VENZ000004SONF5", "ES")</f>
        <v>ES</v>
      </c>
      <c r="C5783" s="20" t="s">
        <v>41</v>
      </c>
      <c r="D5783" s="21" t="str">
        <f>HYPERLINK("https://otsuka-europe-crm.veevavault.com/ui/#object/approved_document__v/V5O00000001H022", "LUP - VAE invitación simposio SEN-SER - Nefro")</f>
        <v>LUP - VAE invitación simposio SEN-SER - Nefro</v>
      </c>
      <c r="E5783" s="22" t="str">
        <f>HYPERLINK("https://otsuka-europe-crm.veevavault.com/ui/#object/sent_email__v/VBL00000002S097", "SE-001434226")</f>
        <v>SE-001434226</v>
      </c>
      <c r="F5783" s="23">
        <v>46193.707152777781</v>
      </c>
      <c r="G5783" s="24">
        <v>1</v>
      </c>
      <c r="H5783" s="24">
        <v>5</v>
      </c>
      <c r="I5783" s="24">
        <v>0</v>
      </c>
      <c r="J5783" s="25"/>
      <c r="K5783" s="24">
        <v>0</v>
      </c>
      <c r="L5783" s="22" t="str">
        <f>HYPERLINK("https://otsuka-europe-crm.veevavault.com/ui/#object/approved_document__v/V5O00000001H022", "LUP - VAE invitación simposio SEN-SER - Nefro")</f>
        <v>LUP - VAE invitación simposio SEN-SER - Nefro</v>
      </c>
      <c r="M5783" s="22" t="str">
        <f>HYPERLINK("mailto:jguri@crm.otsuka-europe.com", "jguri@crm.otsuka-europe.com")</f>
        <v>jguri@crm.otsuka-europe.com</v>
      </c>
      <c r="N5783" s="23">
        <v>46181.378020833334</v>
      </c>
      <c r="O5783" s="14" t="str">
        <f>HYPERLINK("https://otsuka-europe-crm.veevavault.com/ui/#object/email_activity__v/V8C00000003Q401", "EN-002091618")</f>
        <v>EN-002091618</v>
      </c>
    </row>
    <row r="5784" spans="1:15" ht="16" x14ac:dyDescent="0.2">
      <c r="A5784" s="18"/>
      <c r="B5784" s="18"/>
      <c r="C5784" s="18"/>
      <c r="D5784" s="18"/>
      <c r="E5784" s="18"/>
      <c r="F5784" s="18"/>
      <c r="G5784" s="18"/>
      <c r="H5784" s="18"/>
      <c r="I5784" s="18"/>
      <c r="J5784" s="18"/>
      <c r="K5784" s="18"/>
      <c r="L5784" s="18"/>
      <c r="M5784" s="18"/>
      <c r="N5784" s="18"/>
      <c r="O5784" s="14" t="str">
        <f>HYPERLINK("https://otsuka-europe-crm.veevavault.com/ui/#object/email_activity__v/V8C00000003S035", "EN-002092903")</f>
        <v>EN-002092903</v>
      </c>
    </row>
    <row r="5785" spans="1:15" ht="16" x14ac:dyDescent="0.2">
      <c r="A5785" s="18"/>
      <c r="B5785" s="18"/>
      <c r="C5785" s="18"/>
      <c r="D5785" s="18"/>
      <c r="E5785" s="18"/>
      <c r="F5785" s="18"/>
      <c r="G5785" s="18"/>
      <c r="H5785" s="18"/>
      <c r="I5785" s="18"/>
      <c r="J5785" s="18"/>
      <c r="K5785" s="18"/>
      <c r="L5785" s="18"/>
      <c r="M5785" s="18"/>
      <c r="N5785" s="18"/>
      <c r="O5785" s="14" t="str">
        <f>HYPERLINK("https://otsuka-europe-crm.veevavault.com/ui/#object/email_activity__v/V8C00000003S392", "EN-002093692")</f>
        <v>EN-002093692</v>
      </c>
    </row>
    <row r="5786" spans="1:15" ht="16" x14ac:dyDescent="0.2">
      <c r="A5786" s="18"/>
      <c r="B5786" s="18"/>
      <c r="C5786" s="18"/>
      <c r="D5786" s="18"/>
      <c r="E5786" s="18"/>
      <c r="F5786" s="18"/>
      <c r="G5786" s="18"/>
      <c r="H5786" s="18"/>
      <c r="I5786" s="18"/>
      <c r="J5786" s="18"/>
      <c r="K5786" s="18"/>
      <c r="L5786" s="18"/>
      <c r="M5786" s="18"/>
      <c r="N5786" s="18"/>
      <c r="O5786" s="14" t="str">
        <f>HYPERLINK("https://otsuka-europe-crm.veevavault.com/ui/#object/email_activity__v/V8C00000003S394", "EN-002093694")</f>
        <v>EN-002093694</v>
      </c>
    </row>
    <row r="5787" spans="1:15" ht="16" x14ac:dyDescent="0.2">
      <c r="A5787" s="18"/>
      <c r="B5787" s="18"/>
      <c r="C5787" s="18"/>
      <c r="D5787" s="18"/>
      <c r="E5787" s="18"/>
      <c r="F5787" s="18"/>
      <c r="G5787" s="18"/>
      <c r="H5787" s="18"/>
      <c r="I5787" s="18"/>
      <c r="J5787" s="18"/>
      <c r="K5787" s="18"/>
      <c r="L5787" s="18"/>
      <c r="M5787" s="18"/>
      <c r="N5787" s="18"/>
      <c r="O5787" s="14" t="str">
        <f>HYPERLINK("https://otsuka-europe-crm.veevavault.com/ui/#object/email_activity__v/V8C00000003T067", "EN-002093696")</f>
        <v>EN-002093696</v>
      </c>
    </row>
    <row r="5788" spans="1:15" ht="16" x14ac:dyDescent="0.2">
      <c r="A5788" s="19"/>
      <c r="B5788" s="19"/>
      <c r="C5788" s="19"/>
      <c r="D5788" s="19"/>
      <c r="E5788" s="19"/>
      <c r="F5788" s="19"/>
      <c r="G5788" s="19"/>
      <c r="H5788" s="19"/>
      <c r="I5788" s="19"/>
      <c r="J5788" s="19"/>
      <c r="K5788" s="19"/>
      <c r="L5788" s="19"/>
      <c r="M5788" s="19"/>
      <c r="N5788" s="19"/>
      <c r="O5788" s="14" t="str">
        <f>HYPERLINK("https://otsuka-europe-crm.veevavault.com/ui/#object/email_activity__v/V8C00000003Z127", "EN-002098894")</f>
        <v>EN-002098894</v>
      </c>
    </row>
    <row r="5789" spans="1:15" ht="16" x14ac:dyDescent="0.2">
      <c r="A5789" s="17" t="str">
        <f>HYPERLINK("https://otsuka-europe-crm.veevavault.com/ui/#object/account__v/V4TZ025E891G3D3", "MIGUEL ANGEL NAVAS JIMENEZ")</f>
        <v>MIGUEL ANGEL NAVAS JIMENEZ</v>
      </c>
      <c r="B5789" s="17" t="str">
        <f>HYPERLINK("https://otsuka-europe-crm.veevavault.com/ui/#object/vcountry__v/VENZ000004SONF5", "ES")</f>
        <v>ES</v>
      </c>
      <c r="C5789" s="20" t="s">
        <v>41</v>
      </c>
      <c r="D5789" s="21" t="str">
        <f>HYPERLINK("https://otsuka-europe-crm.veevavault.com/ui/#object/approved_document__v/V5O00000001H022", "LUP - VAE invitación simposio SEN-SER - Nefro")</f>
        <v>LUP - VAE invitación simposio SEN-SER - Nefro</v>
      </c>
      <c r="E5789" s="22" t="str">
        <f>HYPERLINK("https://otsuka-europe-crm.veevavault.com/ui/#object/sent_email__v/VBL00000002S098", "SE-001434227")</f>
        <v>SE-001434227</v>
      </c>
      <c r="F5789" s="23">
        <v>46181.948449074072</v>
      </c>
      <c r="G5789" s="24">
        <v>1</v>
      </c>
      <c r="H5789" s="24">
        <v>4</v>
      </c>
      <c r="I5789" s="24">
        <v>0</v>
      </c>
      <c r="J5789" s="25"/>
      <c r="K5789" s="24">
        <v>0</v>
      </c>
      <c r="L5789" s="22" t="str">
        <f>HYPERLINK("https://otsuka-europe-crm.veevavault.com/ui/#object/approved_document__v/V5O00000001H022", "LUP - VAE invitación simposio SEN-SER - Nefro")</f>
        <v>LUP - VAE invitación simposio SEN-SER - Nefro</v>
      </c>
      <c r="M5789" s="22" t="str">
        <f>HYPERLINK("mailto:jguri@crm.otsuka-europe.com", "jguri@crm.otsuka-europe.com")</f>
        <v>jguri@crm.otsuka-europe.com</v>
      </c>
      <c r="N5789" s="23">
        <v>46181.378020833334</v>
      </c>
      <c r="O5789" s="14" t="str">
        <f>HYPERLINK("https://otsuka-europe-crm.veevavault.com/ui/#object/email_activity__v/V8C00000003P994", "EN-002091653")</f>
        <v>EN-002091653</v>
      </c>
    </row>
    <row r="5790" spans="1:15" ht="16" x14ac:dyDescent="0.2">
      <c r="A5790" s="18"/>
      <c r="B5790" s="18"/>
      <c r="C5790" s="18"/>
      <c r="D5790" s="18"/>
      <c r="E5790" s="18"/>
      <c r="F5790" s="18"/>
      <c r="G5790" s="18"/>
      <c r="H5790" s="18"/>
      <c r="I5790" s="18"/>
      <c r="J5790" s="18"/>
      <c r="K5790" s="18"/>
      <c r="L5790" s="18"/>
      <c r="M5790" s="18"/>
      <c r="N5790" s="18"/>
      <c r="O5790" s="14" t="str">
        <f>HYPERLINK("https://otsuka-europe-crm.veevavault.com/ui/#object/email_activity__v/V8C00000003Q720", "EN-002092279")</f>
        <v>EN-002092279</v>
      </c>
    </row>
    <row r="5791" spans="1:15" ht="16" x14ac:dyDescent="0.2">
      <c r="A5791" s="18"/>
      <c r="B5791" s="18"/>
      <c r="C5791" s="18"/>
      <c r="D5791" s="18"/>
      <c r="E5791" s="18"/>
      <c r="F5791" s="18"/>
      <c r="G5791" s="18"/>
      <c r="H5791" s="18"/>
      <c r="I5791" s="18"/>
      <c r="J5791" s="18"/>
      <c r="K5791" s="18"/>
      <c r="L5791" s="18"/>
      <c r="M5791" s="18"/>
      <c r="N5791" s="18"/>
      <c r="O5791" s="14" t="str">
        <f>HYPERLINK("https://otsuka-europe-crm.veevavault.com/ui/#object/email_activity__v/V8C00000003Q721", "EN-002092280")</f>
        <v>EN-002092280</v>
      </c>
    </row>
    <row r="5792" spans="1:15" ht="16" x14ac:dyDescent="0.2">
      <c r="A5792" s="18"/>
      <c r="B5792" s="18"/>
      <c r="C5792" s="18"/>
      <c r="D5792" s="18"/>
      <c r="E5792" s="18"/>
      <c r="F5792" s="18"/>
      <c r="G5792" s="18"/>
      <c r="H5792" s="18"/>
      <c r="I5792" s="18"/>
      <c r="J5792" s="18"/>
      <c r="K5792" s="18"/>
      <c r="L5792" s="18"/>
      <c r="M5792" s="18"/>
      <c r="N5792" s="18"/>
      <c r="O5792" s="14" t="str">
        <f>HYPERLINK("https://otsuka-europe-crm.veevavault.com/ui/#object/email_activity__v/V8C00000003R152", "EN-002091968")</f>
        <v>EN-002091968</v>
      </c>
    </row>
    <row r="5793" spans="1:15" ht="16" x14ac:dyDescent="0.2">
      <c r="A5793" s="19"/>
      <c r="B5793" s="19"/>
      <c r="C5793" s="19"/>
      <c r="D5793" s="19"/>
      <c r="E5793" s="19"/>
      <c r="F5793" s="19"/>
      <c r="G5793" s="19"/>
      <c r="H5793" s="19"/>
      <c r="I5793" s="19"/>
      <c r="J5793" s="19"/>
      <c r="K5793" s="19"/>
      <c r="L5793" s="19"/>
      <c r="M5793" s="19"/>
      <c r="N5793" s="19"/>
      <c r="O5793" s="14" t="str">
        <f>HYPERLINK("https://otsuka-europe-crm.veevavault.com/ui/#object/email_activity__v/V8C00000003R153", "EN-002091969")</f>
        <v>EN-002091969</v>
      </c>
    </row>
    <row r="5794" spans="1:15" ht="32" x14ac:dyDescent="0.2">
      <c r="A5794" s="7" t="str">
        <f>HYPERLINK("https://otsuka-europe-crm.veevavault.com/ui/#object/account__v/V4TZ06G6O71TA4R", "RAQUEL DE GRACIA NUÑEZ")</f>
        <v>RAQUEL DE GRACIA NUÑEZ</v>
      </c>
      <c r="B5794" s="7" t="str">
        <f t="shared" ref="B5794:B5800" si="604">HYPERLINK("https://otsuka-europe-crm.veevavault.com/ui/#object/vcountry__v/VENZ000004SONF5", "ES")</f>
        <v>ES</v>
      </c>
      <c r="C5794" s="8" t="s">
        <v>41</v>
      </c>
      <c r="D5794" s="9" t="str">
        <f t="shared" ref="D5794:D5800" si="605">HYPERLINK("https://otsuka-europe-crm.veevavault.com/ui/#object/approved_document__v/V5O00000001H022", "LUP - VAE invitación simposio SEN-SER - Nefro")</f>
        <v>LUP - VAE invitación simposio SEN-SER - Nefro</v>
      </c>
      <c r="E5794" s="10" t="str">
        <f>HYPERLINK("https://otsuka-europe-crm.veevavault.com/ui/#object/sent_email__v/VBL00000002S099", "SE-001434228")</f>
        <v>SE-001434228</v>
      </c>
      <c r="F5794" s="11"/>
      <c r="G5794" s="12">
        <v>0</v>
      </c>
      <c r="H5794" s="12">
        <v>0</v>
      </c>
      <c r="I5794" s="12">
        <v>0</v>
      </c>
      <c r="J5794" s="11"/>
      <c r="K5794" s="12">
        <v>0</v>
      </c>
      <c r="L5794" s="10" t="str">
        <f t="shared" ref="L5794:L5800" si="606">HYPERLINK("https://otsuka-europe-crm.veevavault.com/ui/#object/approved_document__v/V5O00000001H022", "LUP - VAE invitación simposio SEN-SER - Nefro")</f>
        <v>LUP - VAE invitación simposio SEN-SER - Nefro</v>
      </c>
      <c r="M5794" s="10" t="str">
        <f t="shared" ref="M5794:M5800" si="607">HYPERLINK("mailto:jguri@crm.otsuka-europe.com", "jguri@crm.otsuka-europe.com")</f>
        <v>jguri@crm.otsuka-europe.com</v>
      </c>
      <c r="N5794" s="13">
        <v>46181.378020833334</v>
      </c>
      <c r="O5794" s="14" t="str">
        <f>HYPERLINK("https://otsuka-europe-crm.veevavault.com/ui/#object/email_activity__v/V8C00000003P973", "EN-002091609")</f>
        <v>EN-002091609</v>
      </c>
    </row>
    <row r="5795" spans="1:15" ht="32" x14ac:dyDescent="0.2">
      <c r="A5795" s="7" t="str">
        <f>HYPERLINK("https://otsuka-europe-crm.veevavault.com/ui/#object/account__v/V4TZ04ASGEC2KXO", "JAVIER OCAÑA VILLEGAS")</f>
        <v>JAVIER OCAÑA VILLEGAS</v>
      </c>
      <c r="B5795" s="7" t="str">
        <f t="shared" si="604"/>
        <v>ES</v>
      </c>
      <c r="C5795" s="8" t="s">
        <v>41</v>
      </c>
      <c r="D5795" s="9" t="str">
        <f t="shared" si="605"/>
        <v>LUP - VAE invitación simposio SEN-SER - Nefro</v>
      </c>
      <c r="E5795" s="10" t="str">
        <f>HYPERLINK("https://otsuka-europe-crm.veevavault.com/ui/#object/sent_email__v/VBL00000002S100", "SE-001434229")</f>
        <v>SE-001434229</v>
      </c>
      <c r="F5795" s="11"/>
      <c r="G5795" s="12">
        <v>0</v>
      </c>
      <c r="H5795" s="12">
        <v>0</v>
      </c>
      <c r="I5795" s="12">
        <v>0</v>
      </c>
      <c r="J5795" s="11"/>
      <c r="K5795" s="12">
        <v>0</v>
      </c>
      <c r="L5795" s="10" t="str">
        <f t="shared" si="606"/>
        <v>LUP - VAE invitación simposio SEN-SER - Nefro</v>
      </c>
      <c r="M5795" s="10" t="str">
        <f t="shared" si="607"/>
        <v>jguri@crm.otsuka-europe.com</v>
      </c>
      <c r="N5795" s="13">
        <v>46181.378055555557</v>
      </c>
      <c r="O5795" s="14" t="str">
        <f>HYPERLINK("https://otsuka-europe-crm.veevavault.com/ui/#object/email_activity__v/V8C00000003P969", "EN-002091602")</f>
        <v>EN-002091602</v>
      </c>
    </row>
    <row r="5796" spans="1:15" ht="32" x14ac:dyDescent="0.2">
      <c r="A5796" s="7" t="str">
        <f>HYPERLINK("https://otsuka-europe-crm.veevavault.com/ui/#object/account__v/V4TZ06G6O71T78Y", "FRANCISCO JAVIER GARCIA SANCHEZ")</f>
        <v>FRANCISCO JAVIER GARCIA SANCHEZ</v>
      </c>
      <c r="B5796" s="7" t="str">
        <f t="shared" si="604"/>
        <v>ES</v>
      </c>
      <c r="C5796" s="8" t="s">
        <v>41</v>
      </c>
      <c r="D5796" s="9" t="str">
        <f t="shared" si="605"/>
        <v>LUP - VAE invitación simposio SEN-SER - Nefro</v>
      </c>
      <c r="E5796" s="10" t="str">
        <f>HYPERLINK("https://otsuka-europe-crm.veevavault.com/ui/#object/sent_email__v/VBL00000002S101", "SE-001434230")</f>
        <v>SE-001434230</v>
      </c>
      <c r="F5796" s="11"/>
      <c r="G5796" s="12">
        <v>0</v>
      </c>
      <c r="H5796" s="12">
        <v>0</v>
      </c>
      <c r="I5796" s="12">
        <v>0</v>
      </c>
      <c r="J5796" s="11"/>
      <c r="K5796" s="12">
        <v>0</v>
      </c>
      <c r="L5796" s="10" t="str">
        <f t="shared" si="606"/>
        <v>LUP - VAE invitación simposio SEN-SER - Nefro</v>
      </c>
      <c r="M5796" s="10" t="str">
        <f t="shared" si="607"/>
        <v>jguri@crm.otsuka-europe.com</v>
      </c>
      <c r="N5796" s="13">
        <v>46181.378020833334</v>
      </c>
      <c r="O5796" s="14" t="str">
        <f>HYPERLINK("https://otsuka-europe-crm.veevavault.com/ui/#object/email_activity__v/V8C00000003P965", "EN-002091594")</f>
        <v>EN-002091594</v>
      </c>
    </row>
    <row r="5797" spans="1:15" ht="32" x14ac:dyDescent="0.2">
      <c r="A5797" s="7" t="str">
        <f>HYPERLINK("https://otsuka-europe-crm.veevavault.com/ui/#object/account__v/V4TZ06G6O71T7AZ", "JARA AMPUERO MENCIA")</f>
        <v>JARA AMPUERO MENCIA</v>
      </c>
      <c r="B5797" s="7" t="str">
        <f t="shared" si="604"/>
        <v>ES</v>
      </c>
      <c r="C5797" s="8" t="s">
        <v>41</v>
      </c>
      <c r="D5797" s="9" t="str">
        <f t="shared" si="605"/>
        <v>LUP - VAE invitación simposio SEN-SER - Nefro</v>
      </c>
      <c r="E5797" s="10" t="str">
        <f>HYPERLINK("https://otsuka-europe-crm.veevavault.com/ui/#object/sent_email__v/VBL00000002S102", "SE-001434231")</f>
        <v>SE-001434231</v>
      </c>
      <c r="F5797" s="11"/>
      <c r="G5797" s="12">
        <v>0</v>
      </c>
      <c r="H5797" s="12">
        <v>0</v>
      </c>
      <c r="I5797" s="12">
        <v>0</v>
      </c>
      <c r="J5797" s="11"/>
      <c r="K5797" s="12">
        <v>0</v>
      </c>
      <c r="L5797" s="10" t="str">
        <f t="shared" si="606"/>
        <v>LUP - VAE invitación simposio SEN-SER - Nefro</v>
      </c>
      <c r="M5797" s="10" t="str">
        <f t="shared" si="607"/>
        <v>jguri@crm.otsuka-europe.com</v>
      </c>
      <c r="N5797" s="13">
        <v>46181.378020833334</v>
      </c>
      <c r="O5797" s="14" t="str">
        <f>HYPERLINK("https://otsuka-europe-crm.veevavault.com/ui/#object/email_activity__v/V8C00000003P992", "EN-002091642")</f>
        <v>EN-002091642</v>
      </c>
    </row>
    <row r="5798" spans="1:15" ht="32" x14ac:dyDescent="0.2">
      <c r="A5798" s="7" t="str">
        <f>HYPERLINK("https://otsuka-europe-crm.veevavault.com/ui/#object/account__v/V4TZ025E88Z0MTT", "JOSE JULIAN SEGURA DE LA MORENA")</f>
        <v>JOSE JULIAN SEGURA DE LA MORENA</v>
      </c>
      <c r="B5798" s="7" t="str">
        <f t="shared" si="604"/>
        <v>ES</v>
      </c>
      <c r="C5798" s="8" t="s">
        <v>41</v>
      </c>
      <c r="D5798" s="9" t="str">
        <f t="shared" si="605"/>
        <v>LUP - VAE invitación simposio SEN-SER - Nefro</v>
      </c>
      <c r="E5798" s="10" t="str">
        <f>HYPERLINK("https://otsuka-europe-crm.veevavault.com/ui/#object/sent_email__v/VBL00000002S103", "SE-001434232")</f>
        <v>SE-001434232</v>
      </c>
      <c r="F5798" s="11"/>
      <c r="G5798" s="12">
        <v>0</v>
      </c>
      <c r="H5798" s="12">
        <v>0</v>
      </c>
      <c r="I5798" s="12">
        <v>0</v>
      </c>
      <c r="J5798" s="11"/>
      <c r="K5798" s="12">
        <v>0</v>
      </c>
      <c r="L5798" s="10" t="str">
        <f t="shared" si="606"/>
        <v>LUP - VAE invitación simposio SEN-SER - Nefro</v>
      </c>
      <c r="M5798" s="10" t="str">
        <f t="shared" si="607"/>
        <v>jguri@crm.otsuka-europe.com</v>
      </c>
      <c r="N5798" s="13">
        <v>46181.378020833334</v>
      </c>
      <c r="O5798" s="14" t="str">
        <f>HYPERLINK("https://otsuka-europe-crm.veevavault.com/ui/#object/email_activity__v/V8C00000003Q421", "EN-002091657")</f>
        <v>EN-002091657</v>
      </c>
    </row>
    <row r="5799" spans="1:15" ht="32" x14ac:dyDescent="0.2">
      <c r="A5799" s="7" t="str">
        <f>HYPERLINK("https://otsuka-europe-crm.veevavault.com/ui/#object/account__v/V4TZ025E86GCP4Q", "ROCIO GIMENA MUÑOZ")</f>
        <v>ROCIO GIMENA MUÑOZ</v>
      </c>
      <c r="B5799" s="7" t="str">
        <f t="shared" si="604"/>
        <v>ES</v>
      </c>
      <c r="C5799" s="8" t="s">
        <v>41</v>
      </c>
      <c r="D5799" s="9" t="str">
        <f t="shared" si="605"/>
        <v>LUP - VAE invitación simposio SEN-SER - Nefro</v>
      </c>
      <c r="E5799" s="10" t="str">
        <f>HYPERLINK("https://otsuka-europe-crm.veevavault.com/ui/#object/sent_email__v/VBL00000002S104", "SE-001434233")</f>
        <v>SE-001434233</v>
      </c>
      <c r="F5799" s="11"/>
      <c r="G5799" s="12">
        <v>0</v>
      </c>
      <c r="H5799" s="12">
        <v>0</v>
      </c>
      <c r="I5799" s="12">
        <v>0</v>
      </c>
      <c r="J5799" s="11"/>
      <c r="K5799" s="12">
        <v>0</v>
      </c>
      <c r="L5799" s="10" t="str">
        <f t="shared" si="606"/>
        <v>LUP - VAE invitación simposio SEN-SER - Nefro</v>
      </c>
      <c r="M5799" s="10" t="str">
        <f t="shared" si="607"/>
        <v>jguri@crm.otsuka-europe.com</v>
      </c>
      <c r="N5799" s="13">
        <v>46181.378020833334</v>
      </c>
      <c r="O5799" s="14" t="str">
        <f>HYPERLINK("https://otsuka-europe-crm.veevavault.com/ui/#object/email_activity__v/V8C00000003Q424", "EN-002091660")</f>
        <v>EN-002091660</v>
      </c>
    </row>
    <row r="5800" spans="1:15" ht="16" x14ac:dyDescent="0.2">
      <c r="A5800" s="17" t="str">
        <f>HYPERLINK("https://otsuka-europe-crm.veevavault.com/ui/#object/account__v/V4TZ06G6O71T8D6", "RAQUEL ESTERAS RUBIO")</f>
        <v>RAQUEL ESTERAS RUBIO</v>
      </c>
      <c r="B5800" s="17" t="str">
        <f t="shared" si="604"/>
        <v>ES</v>
      </c>
      <c r="C5800" s="20" t="s">
        <v>41</v>
      </c>
      <c r="D5800" s="21" t="str">
        <f t="shared" si="605"/>
        <v>LUP - VAE invitación simposio SEN-SER - Nefro</v>
      </c>
      <c r="E5800" s="22" t="str">
        <f>HYPERLINK("https://otsuka-europe-crm.veevavault.com/ui/#object/sent_email__v/VBL00000002S105", "SE-001434234")</f>
        <v>SE-001434234</v>
      </c>
      <c r="F5800" s="25"/>
      <c r="G5800" s="24">
        <v>0</v>
      </c>
      <c r="H5800" s="24">
        <v>0</v>
      </c>
      <c r="I5800" s="24">
        <v>0</v>
      </c>
      <c r="J5800" s="25"/>
      <c r="K5800" s="24">
        <v>0</v>
      </c>
      <c r="L5800" s="22" t="str">
        <f t="shared" si="606"/>
        <v>LUP - VAE invitación simposio SEN-SER - Nefro</v>
      </c>
      <c r="M5800" s="22" t="str">
        <f t="shared" si="607"/>
        <v>jguri@crm.otsuka-europe.com</v>
      </c>
      <c r="N5800" s="23">
        <v>46181.378020833334</v>
      </c>
      <c r="O5800" s="14" t="str">
        <f>HYPERLINK("https://otsuka-europe-crm.veevavault.com/ui/#object/email_activity__v/V8C00000003Q418", "EN-002091649")</f>
        <v>EN-002091649</v>
      </c>
    </row>
    <row r="5801" spans="1:15" ht="16" x14ac:dyDescent="0.2">
      <c r="A5801" s="19"/>
      <c r="B5801" s="19"/>
      <c r="C5801" s="19"/>
      <c r="D5801" s="19"/>
      <c r="E5801" s="19"/>
      <c r="F5801" s="19"/>
      <c r="G5801" s="19"/>
      <c r="H5801" s="19"/>
      <c r="I5801" s="19"/>
      <c r="J5801" s="19"/>
      <c r="K5801" s="19"/>
      <c r="L5801" s="19"/>
      <c r="M5801" s="19"/>
      <c r="N5801" s="19"/>
      <c r="O5801" s="14" t="str">
        <f>HYPERLINK("https://otsuka-europe-crm.veevavault.com/ui/#object/email_activity__v/V8C00000003Q595", "EN-002092011")</f>
        <v>EN-002092011</v>
      </c>
    </row>
    <row r="5802" spans="1:15" ht="16" x14ac:dyDescent="0.2">
      <c r="A5802" s="17" t="str">
        <f>HYPERLINK("https://otsuka-europe-crm.veevavault.com/ui/#object/account__v/V4TZ06G6O71T7AU", "MARIA CRISTINA VEGA CABRERA")</f>
        <v>MARIA CRISTINA VEGA CABRERA</v>
      </c>
      <c r="B5802" s="17" t="str">
        <f>HYPERLINK("https://otsuka-europe-crm.veevavault.com/ui/#object/vcountry__v/VENZ000004SONF5", "ES")</f>
        <v>ES</v>
      </c>
      <c r="C5802" s="20" t="s">
        <v>41</v>
      </c>
      <c r="D5802" s="21" t="str">
        <f>HYPERLINK("https://otsuka-europe-crm.veevavault.com/ui/#object/approved_document__v/V5O00000001H022", "LUP - VAE invitación simposio SEN-SER - Nefro")</f>
        <v>LUP - VAE invitación simposio SEN-SER - Nefro</v>
      </c>
      <c r="E5802" s="22" t="str">
        <f>HYPERLINK("https://otsuka-europe-crm.veevavault.com/ui/#object/sent_email__v/VBL00000002S106", "SE-001434235")</f>
        <v>SE-001434235</v>
      </c>
      <c r="F5802" s="25"/>
      <c r="G5802" s="24">
        <v>0</v>
      </c>
      <c r="H5802" s="24">
        <v>0</v>
      </c>
      <c r="I5802" s="24">
        <v>0</v>
      </c>
      <c r="J5802" s="25"/>
      <c r="K5802" s="24">
        <v>0</v>
      </c>
      <c r="L5802" s="22" t="str">
        <f>HYPERLINK("https://otsuka-europe-crm.veevavault.com/ui/#object/approved_document__v/V5O00000001H022", "LUP - VAE invitación simposio SEN-SER - Nefro")</f>
        <v>LUP - VAE invitación simposio SEN-SER - Nefro</v>
      </c>
      <c r="M5802" s="22" t="str">
        <f>HYPERLINK("mailto:jguri@crm.otsuka-europe.com", "jguri@crm.otsuka-europe.com")</f>
        <v>jguri@crm.otsuka-europe.com</v>
      </c>
      <c r="N5802" s="23">
        <v>46181.378020833334</v>
      </c>
      <c r="O5802" s="14" t="str">
        <f>HYPERLINK("https://otsuka-europe-crm.veevavault.com/ui/#object/email_activity__v/V8C00000003P984", "EN-002091634")</f>
        <v>EN-002091634</v>
      </c>
    </row>
    <row r="5803" spans="1:15" ht="16" x14ac:dyDescent="0.2">
      <c r="A5803" s="19"/>
      <c r="B5803" s="19"/>
      <c r="C5803" s="19"/>
      <c r="D5803" s="19"/>
      <c r="E5803" s="19"/>
      <c r="F5803" s="19"/>
      <c r="G5803" s="19"/>
      <c r="H5803" s="19"/>
      <c r="I5803" s="19"/>
      <c r="J5803" s="19"/>
      <c r="K5803" s="19"/>
      <c r="L5803" s="19"/>
      <c r="M5803" s="19"/>
      <c r="N5803" s="19"/>
      <c r="O5803" s="14" t="str">
        <f>HYPERLINK("https://otsuka-europe-crm.veevavault.com/ui/#object/email_activity__v/V8C00000003R327", "EN-002092302")</f>
        <v>EN-002092302</v>
      </c>
    </row>
    <row r="5804" spans="1:15" ht="16" x14ac:dyDescent="0.2">
      <c r="A5804" s="17" t="str">
        <f>HYPERLINK("https://otsuka-europe-crm.veevavault.com/ui/#object/account__v/V4TZ06G6OB47Q1G", "KAREN RIVERO GARCIA")</f>
        <v>KAREN RIVERO GARCIA</v>
      </c>
      <c r="B5804" s="17" t="str">
        <f>HYPERLINK("https://otsuka-europe-crm.veevavault.com/ui/#object/vcountry__v/VENZ000004SONF5", "ES")</f>
        <v>ES</v>
      </c>
      <c r="C5804" s="20" t="s">
        <v>41</v>
      </c>
      <c r="D5804" s="21" t="str">
        <f>HYPERLINK("https://otsuka-europe-crm.veevavault.com/ui/#object/approved_document__v/V5O00000001H022", "LUP - VAE invitación simposio SEN-SER - Nefro")</f>
        <v>LUP - VAE invitación simposio SEN-SER - Nefro</v>
      </c>
      <c r="E5804" s="22" t="str">
        <f>HYPERLINK("https://otsuka-europe-crm.veevavault.com/ui/#object/sent_email__v/VBL00000002S107", "SE-001434236")</f>
        <v>SE-001434236</v>
      </c>
      <c r="F5804" s="25"/>
      <c r="G5804" s="24">
        <v>0</v>
      </c>
      <c r="H5804" s="24">
        <v>0</v>
      </c>
      <c r="I5804" s="24">
        <v>0</v>
      </c>
      <c r="J5804" s="25"/>
      <c r="K5804" s="24">
        <v>0</v>
      </c>
      <c r="L5804" s="22" t="str">
        <f>HYPERLINK("https://otsuka-europe-crm.veevavault.com/ui/#object/approved_document__v/V5O00000001H022", "LUP - VAE invitación simposio SEN-SER - Nefro")</f>
        <v>LUP - VAE invitación simposio SEN-SER - Nefro</v>
      </c>
      <c r="M5804" s="22" t="str">
        <f>HYPERLINK("mailto:jguri@crm.otsuka-europe.com", "jguri@crm.otsuka-europe.com")</f>
        <v>jguri@crm.otsuka-europe.com</v>
      </c>
      <c r="N5804" s="23">
        <v>46181.378020833334</v>
      </c>
      <c r="O5804" s="14" t="str">
        <f>HYPERLINK("https://otsuka-europe-crm.veevavault.com/ui/#object/email_activity__v/V8C00000003P974", "EN-002091610")</f>
        <v>EN-002091610</v>
      </c>
    </row>
    <row r="5805" spans="1:15" ht="16" x14ac:dyDescent="0.2">
      <c r="A5805" s="19"/>
      <c r="B5805" s="19"/>
      <c r="C5805" s="19"/>
      <c r="D5805" s="19"/>
      <c r="E5805" s="19"/>
      <c r="F5805" s="19"/>
      <c r="G5805" s="19"/>
      <c r="H5805" s="19"/>
      <c r="I5805" s="19"/>
      <c r="J5805" s="19"/>
      <c r="K5805" s="19"/>
      <c r="L5805" s="19"/>
      <c r="M5805" s="19"/>
      <c r="N5805" s="19"/>
      <c r="O5805" s="14" t="str">
        <f>HYPERLINK("https://otsuka-europe-crm.veevavault.com/ui/#object/email_activity__v/V8C00000003S603", "EN-002094104")</f>
        <v>EN-002094104</v>
      </c>
    </row>
    <row r="5806" spans="1:15" ht="16" x14ac:dyDescent="0.2">
      <c r="A5806" s="17" t="str">
        <f>HYPERLINK("https://otsuka-europe-crm.veevavault.com/ui/#object/account__v/V4TZ06G6O71TB7V", "FUENSANTA MORENO BARRIO")</f>
        <v>FUENSANTA MORENO BARRIO</v>
      </c>
      <c r="B5806" s="17" t="str">
        <f>HYPERLINK("https://otsuka-europe-crm.veevavault.com/ui/#object/vcountry__v/VENZ000004SONF5", "ES")</f>
        <v>ES</v>
      </c>
      <c r="C5806" s="20" t="s">
        <v>41</v>
      </c>
      <c r="D5806" s="21" t="str">
        <f>HYPERLINK("https://otsuka-europe-crm.veevavault.com/ui/#object/approved_document__v/V5O00000001H022", "LUP - VAE invitación simposio SEN-SER - Nefro")</f>
        <v>LUP - VAE invitación simposio SEN-SER - Nefro</v>
      </c>
      <c r="E5806" s="22" t="str">
        <f>HYPERLINK("https://otsuka-europe-crm.veevavault.com/ui/#object/sent_email__v/VBL00000002S108", "SE-001434237")</f>
        <v>SE-001434237</v>
      </c>
      <c r="F5806" s="23">
        <v>46181.678310185183</v>
      </c>
      <c r="G5806" s="24">
        <v>1</v>
      </c>
      <c r="H5806" s="24">
        <v>1</v>
      </c>
      <c r="I5806" s="24">
        <v>0</v>
      </c>
      <c r="J5806" s="25"/>
      <c r="K5806" s="24">
        <v>0</v>
      </c>
      <c r="L5806" s="22" t="str">
        <f>HYPERLINK("https://otsuka-europe-crm.veevavault.com/ui/#object/approved_document__v/V5O00000001H022", "LUP - VAE invitación simposio SEN-SER - Nefro")</f>
        <v>LUP - VAE invitación simposio SEN-SER - Nefro</v>
      </c>
      <c r="M5806" s="22" t="str">
        <f>HYPERLINK("mailto:jguri@crm.otsuka-europe.com", "jguri@crm.otsuka-europe.com")</f>
        <v>jguri@crm.otsuka-europe.com</v>
      </c>
      <c r="N5806" s="23">
        <v>46181.37804398148</v>
      </c>
      <c r="O5806" s="14" t="str">
        <f>HYPERLINK("https://otsuka-europe-crm.veevavault.com/ui/#object/email_activity__v/V8C00000003P966", "EN-002091599")</f>
        <v>EN-002091599</v>
      </c>
    </row>
    <row r="5807" spans="1:15" ht="16" x14ac:dyDescent="0.2">
      <c r="A5807" s="19"/>
      <c r="B5807" s="19"/>
      <c r="C5807" s="19"/>
      <c r="D5807" s="19"/>
      <c r="E5807" s="19"/>
      <c r="F5807" s="19"/>
      <c r="G5807" s="19"/>
      <c r="H5807" s="19"/>
      <c r="I5807" s="19"/>
      <c r="J5807" s="19"/>
      <c r="K5807" s="19"/>
      <c r="L5807" s="19"/>
      <c r="M5807" s="19"/>
      <c r="N5807" s="19"/>
      <c r="O5807" s="14" t="str">
        <f>HYPERLINK("https://otsuka-europe-crm.veevavault.com/ui/#object/email_activity__v/V8C00000003Q629", "EN-002092081")</f>
        <v>EN-002092081</v>
      </c>
    </row>
    <row r="5808" spans="1:15" ht="32" x14ac:dyDescent="0.2">
      <c r="A5808" s="7" t="str">
        <f>HYPERLINK("https://otsuka-europe-crm.veevavault.com/ui/#object/account__v/V4TZ04ASG6ZJENK", "MANUELA CHIQUERO PALOMO")</f>
        <v>MANUELA CHIQUERO PALOMO</v>
      </c>
      <c r="B5808" s="7" t="str">
        <f>HYPERLINK("https://otsuka-europe-crm.veevavault.com/ui/#object/vcountry__v/VENZ000004SONF5", "ES")</f>
        <v>ES</v>
      </c>
      <c r="C5808" s="8" t="s">
        <v>41</v>
      </c>
      <c r="D5808" s="9" t="str">
        <f>HYPERLINK("https://otsuka-europe-crm.veevavault.com/ui/#object/approved_document__v/V5O00000001H022", "LUP - VAE invitación simposio SEN-SER - Nefro")</f>
        <v>LUP - VAE invitación simposio SEN-SER - Nefro</v>
      </c>
      <c r="E5808" s="10" t="str">
        <f>HYPERLINK("https://otsuka-europe-crm.veevavault.com/ui/#object/sent_email__v/VBL00000002S109", "SE-001434238")</f>
        <v>SE-001434238</v>
      </c>
      <c r="F5808" s="11"/>
      <c r="G5808" s="12">
        <v>0</v>
      </c>
      <c r="H5808" s="12">
        <v>0</v>
      </c>
      <c r="I5808" s="12">
        <v>0</v>
      </c>
      <c r="J5808" s="11"/>
      <c r="K5808" s="12">
        <v>0</v>
      </c>
      <c r="L5808" s="10" t="str">
        <f>HYPERLINK("https://otsuka-europe-crm.veevavault.com/ui/#object/approved_document__v/V5O00000001H022", "LUP - VAE invitación simposio SEN-SER - Nefro")</f>
        <v>LUP - VAE invitación simposio SEN-SER - Nefro</v>
      </c>
      <c r="M5808" s="10" t="str">
        <f>HYPERLINK("mailto:jguri@crm.otsuka-europe.com", "jguri@crm.otsuka-europe.com")</f>
        <v>jguri@crm.otsuka-europe.com</v>
      </c>
      <c r="N5808" s="13">
        <v>46181.378020833334</v>
      </c>
      <c r="O5808" s="14" t="str">
        <f>HYPERLINK("https://otsuka-europe-crm.veevavault.com/ui/#object/email_activity__v/V8C00000003P960", "EN-002091589")</f>
        <v>EN-002091589</v>
      </c>
    </row>
    <row r="5809" spans="1:15" ht="32" x14ac:dyDescent="0.2">
      <c r="A5809" s="7" t="str">
        <f>HYPERLINK("https://otsuka-europe-crm.veevavault.com/ui/#object/account__v/V4TZ06G6O71T8U3", "LINA MARIA LEON MACHADO")</f>
        <v>LINA MARIA LEON MACHADO</v>
      </c>
      <c r="B5809" s="7" t="str">
        <f>HYPERLINK("https://otsuka-europe-crm.veevavault.com/ui/#object/vcountry__v/VENZ000004SONF5", "ES")</f>
        <v>ES</v>
      </c>
      <c r="C5809" s="8" t="s">
        <v>41</v>
      </c>
      <c r="D5809" s="9" t="str">
        <f>HYPERLINK("https://otsuka-europe-crm.veevavault.com/ui/#object/approved_document__v/V5O00000001H022", "LUP - VAE invitación simposio SEN-SER - Nefro")</f>
        <v>LUP - VAE invitación simposio SEN-SER - Nefro</v>
      </c>
      <c r="E5809" s="10" t="str">
        <f>HYPERLINK("https://otsuka-europe-crm.veevavault.com/ui/#object/sent_email__v/VBL00000002S110", "SE-001434239")</f>
        <v>SE-001434239</v>
      </c>
      <c r="F5809" s="11"/>
      <c r="G5809" s="12">
        <v>0</v>
      </c>
      <c r="H5809" s="12">
        <v>0</v>
      </c>
      <c r="I5809" s="12">
        <v>0</v>
      </c>
      <c r="J5809" s="11"/>
      <c r="K5809" s="12">
        <v>0</v>
      </c>
      <c r="L5809" s="10" t="str">
        <f>HYPERLINK("https://otsuka-europe-crm.veevavault.com/ui/#object/approved_document__v/V5O00000001H022", "LUP - VAE invitación simposio SEN-SER - Nefro")</f>
        <v>LUP - VAE invitación simposio SEN-SER - Nefro</v>
      </c>
      <c r="M5809" s="10" t="str">
        <f>HYPERLINK("mailto:jguri@crm.otsuka-europe.com", "jguri@crm.otsuka-europe.com")</f>
        <v>jguri@crm.otsuka-europe.com</v>
      </c>
      <c r="N5809" s="13">
        <v>46181.378032407411</v>
      </c>
      <c r="O5809" s="14" t="str">
        <f>HYPERLINK("https://otsuka-europe-crm.veevavault.com/ui/#object/email_activity__v/V8C00000003Q397", "EN-002091608")</f>
        <v>EN-002091608</v>
      </c>
    </row>
    <row r="5810" spans="1:15" ht="32" x14ac:dyDescent="0.2">
      <c r="A5810" s="7" t="str">
        <f>HYPERLINK("https://otsuka-europe-crm.veevavault.com/ui/#object/account__v/V4TZ06G6O71T964", "MARIA AUXILIADORA BAJO RUBIO")</f>
        <v>MARIA AUXILIADORA BAJO RUBIO</v>
      </c>
      <c r="B5810" s="7" t="str">
        <f>HYPERLINK("https://otsuka-europe-crm.veevavault.com/ui/#object/vcountry__v/VENZ000004SONF5", "ES")</f>
        <v>ES</v>
      </c>
      <c r="C5810" s="8" t="s">
        <v>41</v>
      </c>
      <c r="D5810" s="9" t="str">
        <f>HYPERLINK("https://otsuka-europe-crm.veevavault.com/ui/#object/approved_document__v/V5O00000001H022", "LUP - VAE invitación simposio SEN-SER - Nefro")</f>
        <v>LUP - VAE invitación simposio SEN-SER - Nefro</v>
      </c>
      <c r="E5810" s="10" t="str">
        <f>HYPERLINK("https://otsuka-europe-crm.veevavault.com/ui/#object/sent_email__v/VBL00000002S111", "SE-001434240")</f>
        <v>SE-001434240</v>
      </c>
      <c r="F5810" s="11"/>
      <c r="G5810" s="12">
        <v>0</v>
      </c>
      <c r="H5810" s="12">
        <v>0</v>
      </c>
      <c r="I5810" s="12">
        <v>0</v>
      </c>
      <c r="J5810" s="11"/>
      <c r="K5810" s="12">
        <v>0</v>
      </c>
      <c r="L5810" s="10" t="str">
        <f>HYPERLINK("https://otsuka-europe-crm.veevavault.com/ui/#object/approved_document__v/V5O00000001H022", "LUP - VAE invitación simposio SEN-SER - Nefro")</f>
        <v>LUP - VAE invitación simposio SEN-SER - Nefro</v>
      </c>
      <c r="M5810" s="10" t="str">
        <f>HYPERLINK("mailto:jguri@crm.otsuka-europe.com", "jguri@crm.otsuka-europe.com")</f>
        <v>jguri@crm.otsuka-europe.com</v>
      </c>
      <c r="N5810" s="13">
        <v>46181.378020833334</v>
      </c>
      <c r="O5810" s="14" t="str">
        <f>HYPERLINK("https://otsuka-europe-crm.veevavault.com/ui/#object/email_activity__v/V8C00000003Q423", "EN-002091659")</f>
        <v>EN-002091659</v>
      </c>
    </row>
    <row r="5811" spans="1:15" ht="16" x14ac:dyDescent="0.2">
      <c r="A5811" s="17" t="str">
        <f>HYPERLINK("https://otsuka-europe-crm.veevavault.com/ui/#object/account__v/V4TZ06G6O9VKR35", "JOSE CARLOS AGUILAR AGUILAR")</f>
        <v>JOSE CARLOS AGUILAR AGUILAR</v>
      </c>
      <c r="B5811" s="17" t="str">
        <f>HYPERLINK("https://otsuka-europe-crm.veevavault.com/ui/#object/vcountry__v/VENZ000004SONF5", "ES")</f>
        <v>ES</v>
      </c>
      <c r="C5811" s="20" t="s">
        <v>41</v>
      </c>
      <c r="D5811" s="21" t="str">
        <f>HYPERLINK("https://otsuka-europe-crm.veevavault.com/ui/#object/approved_document__v/V5O00000001H022", "LUP - VAE invitación simposio SEN-SER - Nefro")</f>
        <v>LUP - VAE invitación simposio SEN-SER - Nefro</v>
      </c>
      <c r="E5811" s="22" t="str">
        <f>HYPERLINK("https://otsuka-europe-crm.veevavault.com/ui/#object/sent_email__v/VBL00000002S112", "SE-001434241")</f>
        <v>SE-001434241</v>
      </c>
      <c r="F5811" s="23">
        <v>46182.709988425922</v>
      </c>
      <c r="G5811" s="24">
        <v>1</v>
      </c>
      <c r="H5811" s="24">
        <v>5</v>
      </c>
      <c r="I5811" s="24">
        <v>0</v>
      </c>
      <c r="J5811" s="25"/>
      <c r="K5811" s="24">
        <v>0</v>
      </c>
      <c r="L5811" s="22" t="str">
        <f>HYPERLINK("https://otsuka-europe-crm.veevavault.com/ui/#object/approved_document__v/V5O00000001H022", "LUP - VAE invitación simposio SEN-SER - Nefro")</f>
        <v>LUP - VAE invitación simposio SEN-SER - Nefro</v>
      </c>
      <c r="M5811" s="22" t="str">
        <f>HYPERLINK("mailto:jguri@crm.otsuka-europe.com", "jguri@crm.otsuka-europe.com")</f>
        <v>jguri@crm.otsuka-europe.com</v>
      </c>
      <c r="N5811" s="23">
        <v>46181.378020833334</v>
      </c>
      <c r="O5811" s="14" t="str">
        <f>HYPERLINK("https://otsuka-europe-crm.veevavault.com/ui/#object/email_activity__v/V8C00000003P985", "EN-002091635")</f>
        <v>EN-002091635</v>
      </c>
    </row>
    <row r="5812" spans="1:15" ht="16" x14ac:dyDescent="0.2">
      <c r="A5812" s="18"/>
      <c r="B5812" s="18"/>
      <c r="C5812" s="18"/>
      <c r="D5812" s="18"/>
      <c r="E5812" s="18"/>
      <c r="F5812" s="18"/>
      <c r="G5812" s="18"/>
      <c r="H5812" s="18"/>
      <c r="I5812" s="18"/>
      <c r="J5812" s="18"/>
      <c r="K5812" s="18"/>
      <c r="L5812" s="18"/>
      <c r="M5812" s="18"/>
      <c r="N5812" s="18"/>
      <c r="O5812" s="14" t="str">
        <f>HYPERLINK("https://otsuka-europe-crm.veevavault.com/ui/#object/email_activity__v/V8C00000003R256", "EN-002092156")</f>
        <v>EN-002092156</v>
      </c>
    </row>
    <row r="5813" spans="1:15" ht="16" x14ac:dyDescent="0.2">
      <c r="A5813" s="18"/>
      <c r="B5813" s="18"/>
      <c r="C5813" s="18"/>
      <c r="D5813" s="18"/>
      <c r="E5813" s="18"/>
      <c r="F5813" s="18"/>
      <c r="G5813" s="18"/>
      <c r="H5813" s="18"/>
      <c r="I5813" s="18"/>
      <c r="J5813" s="18"/>
      <c r="K5813" s="18"/>
      <c r="L5813" s="18"/>
      <c r="M5813" s="18"/>
      <c r="N5813" s="18"/>
      <c r="O5813" s="14" t="str">
        <f>HYPERLINK("https://otsuka-europe-crm.veevavault.com/ui/#object/email_activity__v/V8C00000003R761", "EN-002093122")</f>
        <v>EN-002093122</v>
      </c>
    </row>
    <row r="5814" spans="1:15" ht="16" x14ac:dyDescent="0.2">
      <c r="A5814" s="18"/>
      <c r="B5814" s="18"/>
      <c r="C5814" s="18"/>
      <c r="D5814" s="18"/>
      <c r="E5814" s="18"/>
      <c r="F5814" s="18"/>
      <c r="G5814" s="18"/>
      <c r="H5814" s="18"/>
      <c r="I5814" s="18"/>
      <c r="J5814" s="18"/>
      <c r="K5814" s="18"/>
      <c r="L5814" s="18"/>
      <c r="M5814" s="18"/>
      <c r="N5814" s="18"/>
      <c r="O5814" s="14" t="str">
        <f>HYPERLINK("https://otsuka-europe-crm.veevavault.com/ui/#object/email_activity__v/V8C00000003R850", "EN-002093276")</f>
        <v>EN-002093276</v>
      </c>
    </row>
    <row r="5815" spans="1:15" ht="16" x14ac:dyDescent="0.2">
      <c r="A5815" s="18"/>
      <c r="B5815" s="18"/>
      <c r="C5815" s="18"/>
      <c r="D5815" s="18"/>
      <c r="E5815" s="18"/>
      <c r="F5815" s="18"/>
      <c r="G5815" s="18"/>
      <c r="H5815" s="18"/>
      <c r="I5815" s="18"/>
      <c r="J5815" s="18"/>
      <c r="K5815" s="18"/>
      <c r="L5815" s="18"/>
      <c r="M5815" s="18"/>
      <c r="N5815" s="18"/>
      <c r="O5815" s="14" t="str">
        <f>HYPERLINK("https://otsuka-europe-crm.veevavault.com/ui/#object/email_activity__v/V8C00000003S229", "EN-002093339")</f>
        <v>EN-002093339</v>
      </c>
    </row>
    <row r="5816" spans="1:15" ht="16" x14ac:dyDescent="0.2">
      <c r="A5816" s="19"/>
      <c r="B5816" s="19"/>
      <c r="C5816" s="19"/>
      <c r="D5816" s="19"/>
      <c r="E5816" s="19"/>
      <c r="F5816" s="19"/>
      <c r="G5816" s="19"/>
      <c r="H5816" s="19"/>
      <c r="I5816" s="19"/>
      <c r="J5816" s="19"/>
      <c r="K5816" s="19"/>
      <c r="L5816" s="19"/>
      <c r="M5816" s="19"/>
      <c r="N5816" s="19"/>
      <c r="O5816" s="14" t="str">
        <f>HYPERLINK("https://otsuka-europe-crm.veevavault.com/ui/#object/email_activity__v/V8C00000003S230", "EN-002093340")</f>
        <v>EN-002093340</v>
      </c>
    </row>
    <row r="5817" spans="1:15" ht="32" x14ac:dyDescent="0.2">
      <c r="A5817" s="7" t="str">
        <f>HYPERLINK("https://otsuka-europe-crm.veevavault.com/ui/#object/account__v/V4TZ06G6O71T80I", "LAURA MUÑIZ PACIOS")</f>
        <v>LAURA MUÑIZ PACIOS</v>
      </c>
      <c r="B5817" s="7" t="str">
        <f>HYPERLINK("https://otsuka-europe-crm.veevavault.com/ui/#object/vcountry__v/VENZ000004SONF5", "ES")</f>
        <v>ES</v>
      </c>
      <c r="C5817" s="8" t="s">
        <v>41</v>
      </c>
      <c r="D5817" s="9" t="str">
        <f>HYPERLINK("https://otsuka-europe-crm.veevavault.com/ui/#object/approved_document__v/V5O00000001H022", "LUP - VAE invitación simposio SEN-SER - Nefro")</f>
        <v>LUP - VAE invitación simposio SEN-SER - Nefro</v>
      </c>
      <c r="E5817" s="10" t="str">
        <f>HYPERLINK("https://otsuka-europe-crm.veevavault.com/ui/#object/sent_email__v/VBL00000002S113", "SE-001434242")</f>
        <v>SE-001434242</v>
      </c>
      <c r="F5817" s="11"/>
      <c r="G5817" s="12">
        <v>0</v>
      </c>
      <c r="H5817" s="12">
        <v>0</v>
      </c>
      <c r="I5817" s="12">
        <v>0</v>
      </c>
      <c r="J5817" s="11"/>
      <c r="K5817" s="12">
        <v>0</v>
      </c>
      <c r="L5817" s="10" t="str">
        <f>HYPERLINK("https://otsuka-europe-crm.veevavault.com/ui/#object/approved_document__v/V5O00000001H022", "LUP - VAE invitación simposio SEN-SER - Nefro")</f>
        <v>LUP - VAE invitación simposio SEN-SER - Nefro</v>
      </c>
      <c r="M5817" s="10" t="str">
        <f>HYPERLINK("mailto:jguri@crm.otsuka-europe.com", "jguri@crm.otsuka-europe.com")</f>
        <v>jguri@crm.otsuka-europe.com</v>
      </c>
      <c r="N5817" s="13">
        <v>46181.378020833334</v>
      </c>
      <c r="O5817" s="14" t="str">
        <f>HYPERLINK("https://otsuka-europe-crm.veevavault.com/ui/#object/email_activity__v/V8C00000003P986", "EN-002091636")</f>
        <v>EN-002091636</v>
      </c>
    </row>
    <row r="5818" spans="1:15" ht="16" x14ac:dyDescent="0.2">
      <c r="A5818" s="17" t="str">
        <f>HYPERLINK("https://otsuka-europe-crm.veevavault.com/ui/#object/account__v/V4TZ06G6O71T892", "MARIA CARMEN PECERO HORMIGO")</f>
        <v>MARIA CARMEN PECERO HORMIGO</v>
      </c>
      <c r="B5818" s="17" t="str">
        <f>HYPERLINK("https://otsuka-europe-crm.veevavault.com/ui/#object/vcountry__v/VENZ000004SONF5", "ES")</f>
        <v>ES</v>
      </c>
      <c r="C5818" s="20" t="s">
        <v>41</v>
      </c>
      <c r="D5818" s="21" t="str">
        <f>HYPERLINK("https://otsuka-europe-crm.veevavault.com/ui/#object/approved_document__v/V5O00000001H022", "LUP - VAE invitación simposio SEN-SER - Nefro")</f>
        <v>LUP - VAE invitación simposio SEN-SER - Nefro</v>
      </c>
      <c r="E5818" s="22" t="str">
        <f>HYPERLINK("https://otsuka-europe-crm.veevavault.com/ui/#object/sent_email__v/VBL00000002S114", "SE-001434243")</f>
        <v>SE-001434243</v>
      </c>
      <c r="F5818" s="25"/>
      <c r="G5818" s="24">
        <v>0</v>
      </c>
      <c r="H5818" s="24">
        <v>0</v>
      </c>
      <c r="I5818" s="24">
        <v>0</v>
      </c>
      <c r="J5818" s="25"/>
      <c r="K5818" s="24">
        <v>0</v>
      </c>
      <c r="L5818" s="22" t="str">
        <f>HYPERLINK("https://otsuka-europe-crm.veevavault.com/ui/#object/approved_document__v/V5O00000001H022", "LUP - VAE invitación simposio SEN-SER - Nefro")</f>
        <v>LUP - VAE invitación simposio SEN-SER - Nefro</v>
      </c>
      <c r="M5818" s="22" t="str">
        <f>HYPERLINK("mailto:jguri@crm.otsuka-europe.com", "jguri@crm.otsuka-europe.com")</f>
        <v>jguri@crm.otsuka-europe.com</v>
      </c>
      <c r="N5818" s="23">
        <v>46181.378067129626</v>
      </c>
      <c r="O5818" s="14" t="str">
        <f>HYPERLINK("https://otsuka-europe-crm.veevavault.com/ui/#object/email_activity__v/V8C00000003P971", "EN-002091604")</f>
        <v>EN-002091604</v>
      </c>
    </row>
    <row r="5819" spans="1:15" ht="16" x14ac:dyDescent="0.2">
      <c r="A5819" s="19"/>
      <c r="B5819" s="19"/>
      <c r="C5819" s="19"/>
      <c r="D5819" s="19"/>
      <c r="E5819" s="19"/>
      <c r="F5819" s="19"/>
      <c r="G5819" s="19"/>
      <c r="H5819" s="19"/>
      <c r="I5819" s="19"/>
      <c r="J5819" s="19"/>
      <c r="K5819" s="19"/>
      <c r="L5819" s="19"/>
      <c r="M5819" s="19"/>
      <c r="N5819" s="19"/>
      <c r="O5819" s="14" t="str">
        <f>HYPERLINK("https://otsuka-europe-crm.veevavault.com/ui/#object/email_activity__v/V8C00000003Q614", "EN-002092050")</f>
        <v>EN-002092050</v>
      </c>
    </row>
    <row r="5820" spans="1:15" ht="16" x14ac:dyDescent="0.2">
      <c r="A5820" s="17" t="str">
        <f>HYPERLINK("https://otsuka-europe-crm.veevavault.com/ui/#object/account__v/V4TZ06G6O71TAC0", "JUAN RAMON GOMEZ-MARTINO ARROYO")</f>
        <v>JUAN RAMON GOMEZ-MARTINO ARROYO</v>
      </c>
      <c r="B5820" s="17" t="str">
        <f>HYPERLINK("https://otsuka-europe-crm.veevavault.com/ui/#object/vcountry__v/VENZ000004SONF5", "ES")</f>
        <v>ES</v>
      </c>
      <c r="C5820" s="20" t="s">
        <v>41</v>
      </c>
      <c r="D5820" s="21" t="str">
        <f>HYPERLINK("https://otsuka-europe-crm.veevavault.com/ui/#object/approved_document__v/V5O00000001H022", "LUP - VAE invitación simposio SEN-SER - Nefro")</f>
        <v>LUP - VAE invitación simposio SEN-SER - Nefro</v>
      </c>
      <c r="E5820" s="22" t="str">
        <f>HYPERLINK("https://otsuka-europe-crm.veevavault.com/ui/#object/sent_email__v/VBL00000002S115", "SE-001434244")</f>
        <v>SE-001434244</v>
      </c>
      <c r="F5820" s="23">
        <v>46181.910856481481</v>
      </c>
      <c r="G5820" s="24">
        <v>1</v>
      </c>
      <c r="H5820" s="24">
        <v>2</v>
      </c>
      <c r="I5820" s="24">
        <v>1</v>
      </c>
      <c r="J5820" s="23">
        <v>46181.911597222221</v>
      </c>
      <c r="K5820" s="24">
        <v>1</v>
      </c>
      <c r="L5820" s="22" t="str">
        <f>HYPERLINK("https://otsuka-europe-crm.veevavault.com/ui/#object/approved_document__v/V5O00000001H022", "LUP - VAE invitación simposio SEN-SER - Nefro")</f>
        <v>LUP - VAE invitación simposio SEN-SER - Nefro</v>
      </c>
      <c r="M5820" s="22" t="str">
        <f>HYPERLINK("mailto:jguri@crm.otsuka-europe.com", "jguri@crm.otsuka-europe.com")</f>
        <v>jguri@crm.otsuka-europe.com</v>
      </c>
      <c r="N5820" s="23">
        <v>46181.378020833334</v>
      </c>
      <c r="O5820" s="14" t="str">
        <f>HYPERLINK("https://otsuka-europe-crm.veevavault.com/ui/#object/email_activity__v/V8C00000003P964", "EN-002091593")</f>
        <v>EN-002091593</v>
      </c>
    </row>
    <row r="5821" spans="1:15" ht="16" x14ac:dyDescent="0.2">
      <c r="A5821" s="18"/>
      <c r="B5821" s="18"/>
      <c r="C5821" s="18"/>
      <c r="D5821" s="18"/>
      <c r="E5821" s="18"/>
      <c r="F5821" s="18"/>
      <c r="G5821" s="18"/>
      <c r="H5821" s="18"/>
      <c r="I5821" s="18"/>
      <c r="J5821" s="18"/>
      <c r="K5821" s="18"/>
      <c r="L5821" s="18"/>
      <c r="M5821" s="18"/>
      <c r="N5821" s="18"/>
      <c r="O5821" s="14" t="str">
        <f>HYPERLINK("https://otsuka-europe-crm.veevavault.com/ui/#object/email_activity__v/V8C00000003Q708", "EN-002092254")</f>
        <v>EN-002092254</v>
      </c>
    </row>
    <row r="5822" spans="1:15" ht="16" x14ac:dyDescent="0.2">
      <c r="A5822" s="18"/>
      <c r="B5822" s="18"/>
      <c r="C5822" s="18"/>
      <c r="D5822" s="18"/>
      <c r="E5822" s="18"/>
      <c r="F5822" s="18"/>
      <c r="G5822" s="18"/>
      <c r="H5822" s="18"/>
      <c r="I5822" s="18"/>
      <c r="J5822" s="18"/>
      <c r="K5822" s="18"/>
      <c r="L5822" s="18"/>
      <c r="M5822" s="18"/>
      <c r="N5822" s="18"/>
      <c r="O5822" s="14" t="str">
        <f>HYPERLINK("https://otsuka-europe-crm.veevavault.com/ui/#object/email_activity__v/V8C00000003R293", "EN-002092222")</f>
        <v>EN-002092222</v>
      </c>
    </row>
    <row r="5823" spans="1:15" ht="16" x14ac:dyDescent="0.2">
      <c r="A5823" s="18"/>
      <c r="B5823" s="18"/>
      <c r="C5823" s="18"/>
      <c r="D5823" s="18"/>
      <c r="E5823" s="18"/>
      <c r="F5823" s="18"/>
      <c r="G5823" s="18"/>
      <c r="H5823" s="18"/>
      <c r="I5823" s="18"/>
      <c r="J5823" s="18"/>
      <c r="K5823" s="18"/>
      <c r="L5823" s="18"/>
      <c r="M5823" s="18"/>
      <c r="N5823" s="18"/>
      <c r="O5823" s="14" t="str">
        <f>HYPERLINK("https://otsuka-europe-crm.veevavault.com/ui/#object/email_activity__v/V8C00000003R309", "EN-002092255")</f>
        <v>EN-002092255</v>
      </c>
    </row>
    <row r="5824" spans="1:15" ht="16" x14ac:dyDescent="0.2">
      <c r="A5824" s="18"/>
      <c r="B5824" s="18"/>
      <c r="C5824" s="18"/>
      <c r="D5824" s="18"/>
      <c r="E5824" s="18"/>
      <c r="F5824" s="18"/>
      <c r="G5824" s="18"/>
      <c r="H5824" s="18"/>
      <c r="I5824" s="18"/>
      <c r="J5824" s="18"/>
      <c r="K5824" s="18"/>
      <c r="L5824" s="18"/>
      <c r="M5824" s="18"/>
      <c r="N5824" s="18"/>
      <c r="O5824" s="14" t="str">
        <f>HYPERLINK("https://otsuka-europe-crm.veevavault.com/ui/#object/email_activity__v/V8C00000003R311", "EN-002092258")</f>
        <v>EN-002092258</v>
      </c>
    </row>
    <row r="5825" spans="1:15" ht="16" x14ac:dyDescent="0.2">
      <c r="A5825" s="19"/>
      <c r="B5825" s="19"/>
      <c r="C5825" s="19"/>
      <c r="D5825" s="19"/>
      <c r="E5825" s="19"/>
      <c r="F5825" s="19"/>
      <c r="G5825" s="19"/>
      <c r="H5825" s="19"/>
      <c r="I5825" s="19"/>
      <c r="J5825" s="19"/>
      <c r="K5825" s="19"/>
      <c r="L5825" s="19"/>
      <c r="M5825" s="19"/>
      <c r="N5825" s="19"/>
      <c r="O5825" s="14" t="str">
        <f>HYPERLINK("https://otsuka-europe-crm.veevavault.com/ui/#object/email_activity__v/V8C00000003R313", "EN-002092260")</f>
        <v>EN-002092260</v>
      </c>
    </row>
    <row r="5826" spans="1:15" ht="16" x14ac:dyDescent="0.2">
      <c r="A5826" s="17" t="str">
        <f>HYPERLINK("https://otsuka-europe-crm.veevavault.com/ui/#object/account__v/V4TZ06G6O71TCFH", "MIGUEL ANGEL SUAREZ SANTIESTEBAN")</f>
        <v>MIGUEL ANGEL SUAREZ SANTIESTEBAN</v>
      </c>
      <c r="B5826" s="17" t="str">
        <f>HYPERLINK("https://otsuka-europe-crm.veevavault.com/ui/#object/vcountry__v/VENZ000004SONF5", "ES")</f>
        <v>ES</v>
      </c>
      <c r="C5826" s="20" t="s">
        <v>41</v>
      </c>
      <c r="D5826" s="21" t="str">
        <f>HYPERLINK("https://otsuka-europe-crm.veevavault.com/ui/#object/approved_document__v/V5O00000001H022", "LUP - VAE invitación simposio SEN-SER - Nefro")</f>
        <v>LUP - VAE invitación simposio SEN-SER - Nefro</v>
      </c>
      <c r="E5826" s="22" t="str">
        <f>HYPERLINK("https://otsuka-europe-crm.veevavault.com/ui/#object/sent_email__v/VBL00000002S116", "SE-001434245")</f>
        <v>SE-001434245</v>
      </c>
      <c r="F5826" s="23">
        <v>46184.384780092594</v>
      </c>
      <c r="G5826" s="24">
        <v>1</v>
      </c>
      <c r="H5826" s="24">
        <v>3</v>
      </c>
      <c r="I5826" s="24">
        <v>1</v>
      </c>
      <c r="J5826" s="23">
        <v>46181.423935185187</v>
      </c>
      <c r="K5826" s="24">
        <v>2</v>
      </c>
      <c r="L5826" s="22" t="str">
        <f>HYPERLINK("https://otsuka-europe-crm.veevavault.com/ui/#object/approved_document__v/V5O00000001H022", "LUP - VAE invitación simposio SEN-SER - Nefro")</f>
        <v>LUP - VAE invitación simposio SEN-SER - Nefro</v>
      </c>
      <c r="M5826" s="22" t="str">
        <f>HYPERLINK("mailto:jguri@crm.otsuka-europe.com", "jguri@crm.otsuka-europe.com")</f>
        <v>jguri@crm.otsuka-europe.com</v>
      </c>
      <c r="N5826" s="23">
        <v>46181.378020833334</v>
      </c>
      <c r="O5826" s="14" t="str">
        <f>HYPERLINK("https://otsuka-europe-crm.veevavault.com/ui/#object/email_activity__v/V8C00000003Q394", "EN-002091598")</f>
        <v>EN-002091598</v>
      </c>
    </row>
    <row r="5827" spans="1:15" ht="16" x14ac:dyDescent="0.2">
      <c r="A5827" s="18"/>
      <c r="B5827" s="18"/>
      <c r="C5827" s="18"/>
      <c r="D5827" s="18"/>
      <c r="E5827" s="18"/>
      <c r="F5827" s="18"/>
      <c r="G5827" s="18"/>
      <c r="H5827" s="18"/>
      <c r="I5827" s="18"/>
      <c r="J5827" s="18"/>
      <c r="K5827" s="18"/>
      <c r="L5827" s="18"/>
      <c r="M5827" s="18"/>
      <c r="N5827" s="18"/>
      <c r="O5827" s="14" t="str">
        <f>HYPERLINK("https://otsuka-europe-crm.veevavault.com/ui/#object/email_activity__v/V8C00000003Q467", "EN-002091708")</f>
        <v>EN-002091708</v>
      </c>
    </row>
    <row r="5828" spans="1:15" ht="16" x14ac:dyDescent="0.2">
      <c r="A5828" s="18"/>
      <c r="B5828" s="18"/>
      <c r="C5828" s="18"/>
      <c r="D5828" s="18"/>
      <c r="E5828" s="18"/>
      <c r="F5828" s="18"/>
      <c r="G5828" s="18"/>
      <c r="H5828" s="18"/>
      <c r="I5828" s="18"/>
      <c r="J5828" s="18"/>
      <c r="K5828" s="18"/>
      <c r="L5828" s="18"/>
      <c r="M5828" s="18"/>
      <c r="N5828" s="18"/>
      <c r="O5828" s="14" t="str">
        <f>HYPERLINK("https://otsuka-europe-crm.veevavault.com/ui/#object/email_activity__v/V8C00000003Q536", "EN-002091881")</f>
        <v>EN-002091881</v>
      </c>
    </row>
    <row r="5829" spans="1:15" ht="16" x14ac:dyDescent="0.2">
      <c r="A5829" s="18"/>
      <c r="B5829" s="18"/>
      <c r="C5829" s="18"/>
      <c r="D5829" s="18"/>
      <c r="E5829" s="18"/>
      <c r="F5829" s="18"/>
      <c r="G5829" s="18"/>
      <c r="H5829" s="18"/>
      <c r="I5829" s="18"/>
      <c r="J5829" s="18"/>
      <c r="K5829" s="18"/>
      <c r="L5829" s="18"/>
      <c r="M5829" s="18"/>
      <c r="N5829" s="18"/>
      <c r="O5829" s="14" t="str">
        <f>HYPERLINK("https://otsuka-europe-crm.veevavault.com/ui/#object/email_activity__v/V8C00000003Q538", "EN-002091883")</f>
        <v>EN-002091883</v>
      </c>
    </row>
    <row r="5830" spans="1:15" ht="16" x14ac:dyDescent="0.2">
      <c r="A5830" s="18"/>
      <c r="B5830" s="18"/>
      <c r="C5830" s="18"/>
      <c r="D5830" s="18"/>
      <c r="E5830" s="18"/>
      <c r="F5830" s="18"/>
      <c r="G5830" s="18"/>
      <c r="H5830" s="18"/>
      <c r="I5830" s="18"/>
      <c r="J5830" s="18"/>
      <c r="K5830" s="18"/>
      <c r="L5830" s="18"/>
      <c r="M5830" s="18"/>
      <c r="N5830" s="18"/>
      <c r="O5830" s="14" t="str">
        <f>HYPERLINK("https://otsuka-europe-crm.veevavault.com/ui/#object/email_activity__v/V8C00000003Q539", "EN-002091884")</f>
        <v>EN-002091884</v>
      </c>
    </row>
    <row r="5831" spans="1:15" ht="16" x14ac:dyDescent="0.2">
      <c r="A5831" s="18"/>
      <c r="B5831" s="18"/>
      <c r="C5831" s="18"/>
      <c r="D5831" s="18"/>
      <c r="E5831" s="18"/>
      <c r="F5831" s="18"/>
      <c r="G5831" s="18"/>
      <c r="H5831" s="18"/>
      <c r="I5831" s="18"/>
      <c r="J5831" s="18"/>
      <c r="K5831" s="18"/>
      <c r="L5831" s="18"/>
      <c r="M5831" s="18"/>
      <c r="N5831" s="18"/>
      <c r="O5831" s="14" t="str">
        <f>HYPERLINK("https://otsuka-europe-crm.veevavault.com/ui/#object/email_activity__v/V8C00000003Q542", "EN-002091887")</f>
        <v>EN-002091887</v>
      </c>
    </row>
    <row r="5832" spans="1:15" ht="16" x14ac:dyDescent="0.2">
      <c r="A5832" s="18"/>
      <c r="B5832" s="18"/>
      <c r="C5832" s="18"/>
      <c r="D5832" s="18"/>
      <c r="E5832" s="18"/>
      <c r="F5832" s="18"/>
      <c r="G5832" s="18"/>
      <c r="H5832" s="18"/>
      <c r="I5832" s="18"/>
      <c r="J5832" s="18"/>
      <c r="K5832" s="18"/>
      <c r="L5832" s="18"/>
      <c r="M5832" s="18"/>
      <c r="N5832" s="18"/>
      <c r="O5832" s="14" t="str">
        <f>HYPERLINK("https://otsuka-europe-crm.veevavault.com/ui/#object/email_activity__v/V8C00000003R067", "EN-002091800")</f>
        <v>EN-002091800</v>
      </c>
    </row>
    <row r="5833" spans="1:15" ht="16" x14ac:dyDescent="0.2">
      <c r="A5833" s="18"/>
      <c r="B5833" s="18"/>
      <c r="C5833" s="18"/>
      <c r="D5833" s="18"/>
      <c r="E5833" s="18"/>
      <c r="F5833" s="18"/>
      <c r="G5833" s="18"/>
      <c r="H5833" s="18"/>
      <c r="I5833" s="18"/>
      <c r="J5833" s="18"/>
      <c r="K5833" s="18"/>
      <c r="L5833" s="18"/>
      <c r="M5833" s="18"/>
      <c r="N5833" s="18"/>
      <c r="O5833" s="14" t="str">
        <f>HYPERLINK("https://otsuka-europe-crm.veevavault.com/ui/#object/email_activity__v/V8C00000003R068", "EN-002091801")</f>
        <v>EN-002091801</v>
      </c>
    </row>
    <row r="5834" spans="1:15" ht="16" x14ac:dyDescent="0.2">
      <c r="A5834" s="18"/>
      <c r="B5834" s="18"/>
      <c r="C5834" s="18"/>
      <c r="D5834" s="18"/>
      <c r="E5834" s="18"/>
      <c r="F5834" s="18"/>
      <c r="G5834" s="18"/>
      <c r="H5834" s="18"/>
      <c r="I5834" s="18"/>
      <c r="J5834" s="18"/>
      <c r="K5834" s="18"/>
      <c r="L5834" s="18"/>
      <c r="M5834" s="18"/>
      <c r="N5834" s="18"/>
      <c r="O5834" s="14" t="str">
        <f>HYPERLINK("https://otsuka-europe-crm.veevavault.com/ui/#object/email_activity__v/V8C00000003R071", "EN-002091804")</f>
        <v>EN-002091804</v>
      </c>
    </row>
    <row r="5835" spans="1:15" ht="16" x14ac:dyDescent="0.2">
      <c r="A5835" s="19"/>
      <c r="B5835" s="19"/>
      <c r="C5835" s="19"/>
      <c r="D5835" s="19"/>
      <c r="E5835" s="19"/>
      <c r="F5835" s="19"/>
      <c r="G5835" s="19"/>
      <c r="H5835" s="19"/>
      <c r="I5835" s="19"/>
      <c r="J5835" s="19"/>
      <c r="K5835" s="19"/>
      <c r="L5835" s="19"/>
      <c r="M5835" s="19"/>
      <c r="N5835" s="19"/>
      <c r="O5835" s="14" t="str">
        <f>HYPERLINK("https://otsuka-europe-crm.veevavault.com/ui/#object/email_activity__v/V8C00000003S833", "EN-002094517")</f>
        <v>EN-002094517</v>
      </c>
    </row>
    <row r="5836" spans="1:15" ht="32" x14ac:dyDescent="0.2">
      <c r="A5836" s="7" t="str">
        <f>HYPERLINK("https://otsuka-europe-crm.veevavault.com/ui/#object/account__v/V4TZ04ASGGHZH8N", "JESSY KORINA PEÑA ESPARRAGOZA")</f>
        <v>JESSY KORINA PEÑA ESPARRAGOZA</v>
      </c>
      <c r="B5836" s="7" t="str">
        <f>HYPERLINK("https://otsuka-europe-crm.veevavault.com/ui/#object/vcountry__v/VENZ000004SONF5", "ES")</f>
        <v>ES</v>
      </c>
      <c r="C5836" s="8" t="s">
        <v>41</v>
      </c>
      <c r="D5836" s="9" t="str">
        <f>HYPERLINK("https://otsuka-europe-crm.veevavault.com/ui/#object/approved_document__v/V5O00000001H022", "LUP - VAE invitación simposio SEN-SER - Nefro")</f>
        <v>LUP - VAE invitación simposio SEN-SER - Nefro</v>
      </c>
      <c r="E5836" s="10" t="str">
        <f>HYPERLINK("https://otsuka-europe-crm.veevavault.com/ui/#object/sent_email__v/VBL00000002S117", "SE-001434246")</f>
        <v>SE-001434246</v>
      </c>
      <c r="F5836" s="11"/>
      <c r="G5836" s="12">
        <v>0</v>
      </c>
      <c r="H5836" s="12">
        <v>0</v>
      </c>
      <c r="I5836" s="12">
        <v>0</v>
      </c>
      <c r="J5836" s="11"/>
      <c r="K5836" s="12">
        <v>0</v>
      </c>
      <c r="L5836" s="10" t="str">
        <f>HYPERLINK("https://otsuka-europe-crm.veevavault.com/ui/#object/approved_document__v/V5O00000001H022", "LUP - VAE invitación simposio SEN-SER - Nefro")</f>
        <v>LUP - VAE invitación simposio SEN-SER - Nefro</v>
      </c>
      <c r="M5836" s="10" t="str">
        <f>HYPERLINK("mailto:jguri@crm.otsuka-europe.com", "jguri@crm.otsuka-europe.com")</f>
        <v>jguri@crm.otsuka-europe.com</v>
      </c>
      <c r="N5836" s="13">
        <v>46181.378020833334</v>
      </c>
      <c r="O5836" s="14" t="str">
        <f>HYPERLINK("https://otsuka-europe-crm.veevavault.com/ui/#object/email_activity__v/V8C00000003Q415", "EN-002091646")</f>
        <v>EN-002091646</v>
      </c>
    </row>
    <row r="5837" spans="1:15" ht="32" x14ac:dyDescent="0.2">
      <c r="A5837" s="7" t="str">
        <f>HYPERLINK("https://otsuka-europe-crm.veevavault.com/ui/#object/account__v/V4TZ04ASG9GXDQ4", "MARIA PILAR MORAN MAGRO")</f>
        <v>MARIA PILAR MORAN MAGRO</v>
      </c>
      <c r="B5837" s="7" t="str">
        <f>HYPERLINK("https://otsuka-europe-crm.veevavault.com/ui/#object/vcountry__v/VENZ000004SONF5", "ES")</f>
        <v>ES</v>
      </c>
      <c r="C5837" s="8" t="s">
        <v>41</v>
      </c>
      <c r="D5837" s="9" t="str">
        <f>HYPERLINK("https://otsuka-europe-crm.veevavault.com/ui/#object/approved_document__v/V5O00000001H022", "LUP - VAE invitación simposio SEN-SER - Nefro")</f>
        <v>LUP - VAE invitación simposio SEN-SER - Nefro</v>
      </c>
      <c r="E5837" s="10" t="str">
        <f>HYPERLINK("https://otsuka-europe-crm.veevavault.com/ui/#object/sent_email__v/VBL00000002S118", "SE-001434247")</f>
        <v>SE-001434247</v>
      </c>
      <c r="F5837" s="11"/>
      <c r="G5837" s="12">
        <v>0</v>
      </c>
      <c r="H5837" s="12">
        <v>0</v>
      </c>
      <c r="I5837" s="12">
        <v>0</v>
      </c>
      <c r="J5837" s="11"/>
      <c r="K5837" s="12">
        <v>0</v>
      </c>
      <c r="L5837" s="10" t="str">
        <f>HYPERLINK("https://otsuka-europe-crm.veevavault.com/ui/#object/approved_document__v/V5O00000001H022", "LUP - VAE invitación simposio SEN-SER - Nefro")</f>
        <v>LUP - VAE invitación simposio SEN-SER - Nefro</v>
      </c>
      <c r="M5837" s="10" t="str">
        <f>HYPERLINK("mailto:jguri@crm.otsuka-europe.com", "jguri@crm.otsuka-europe.com")</f>
        <v>jguri@crm.otsuka-europe.com</v>
      </c>
      <c r="N5837" s="13">
        <v>46181.378020833334</v>
      </c>
      <c r="O5837" s="14" t="str">
        <f>HYPERLINK("https://otsuka-europe-crm.veevavault.com/ui/#object/email_activity__v/V8C00000003P996", "EN-002091655")</f>
        <v>EN-002091655</v>
      </c>
    </row>
    <row r="5838" spans="1:15" ht="16" x14ac:dyDescent="0.2">
      <c r="A5838" s="17" t="str">
        <f>HYPERLINK("https://otsuka-europe-crm.veevavault.com/ui/#object/account__v/V4TZ04ASGCYP45R", "JOSE IGNACIO GOMEZ ROJAS")</f>
        <v>JOSE IGNACIO GOMEZ ROJAS</v>
      </c>
      <c r="B5838" s="17" t="str">
        <f>HYPERLINK("https://otsuka-europe-crm.veevavault.com/ui/#object/vcountry__v/VENZ000004SONF5", "ES")</f>
        <v>ES</v>
      </c>
      <c r="C5838" s="20" t="s">
        <v>41</v>
      </c>
      <c r="D5838" s="21" t="str">
        <f>HYPERLINK("https://otsuka-europe-crm.veevavault.com/ui/#object/approved_document__v/V5O00000001H022", "LUP - VAE invitación simposio SEN-SER - Nefro")</f>
        <v>LUP - VAE invitación simposio SEN-SER - Nefro</v>
      </c>
      <c r="E5838" s="22" t="str">
        <f>HYPERLINK("https://otsuka-europe-crm.veevavault.com/ui/#object/sent_email__v/VBL00000002S119", "SE-001434248")</f>
        <v>SE-001434248</v>
      </c>
      <c r="F5838" s="25"/>
      <c r="G5838" s="24">
        <v>0</v>
      </c>
      <c r="H5838" s="24">
        <v>0</v>
      </c>
      <c r="I5838" s="24">
        <v>0</v>
      </c>
      <c r="J5838" s="25"/>
      <c r="K5838" s="24">
        <v>0</v>
      </c>
      <c r="L5838" s="22" t="str">
        <f>HYPERLINK("https://otsuka-europe-crm.veevavault.com/ui/#object/approved_document__v/V5O00000001H022", "LUP - VAE invitación simposio SEN-SER - Nefro")</f>
        <v>LUP - VAE invitación simposio SEN-SER - Nefro</v>
      </c>
      <c r="M5838" s="22" t="str">
        <f>HYPERLINK("mailto:jguri@crm.otsuka-europe.com", "jguri@crm.otsuka-europe.com")</f>
        <v>jguri@crm.otsuka-europe.com</v>
      </c>
      <c r="N5838" s="23">
        <v>46181.378020833334</v>
      </c>
      <c r="O5838" s="14" t="str">
        <f>HYPERLINK("https://otsuka-europe-crm.veevavault.com/ui/#object/email_activity__v/V8C00000003Q407", "EN-002091628")</f>
        <v>EN-002091628</v>
      </c>
    </row>
    <row r="5839" spans="1:15" ht="16" x14ac:dyDescent="0.2">
      <c r="A5839" s="19"/>
      <c r="B5839" s="19"/>
      <c r="C5839" s="19"/>
      <c r="D5839" s="19"/>
      <c r="E5839" s="19"/>
      <c r="F5839" s="19"/>
      <c r="G5839" s="19"/>
      <c r="H5839" s="19"/>
      <c r="I5839" s="19"/>
      <c r="J5839" s="19"/>
      <c r="K5839" s="19"/>
      <c r="L5839" s="19"/>
      <c r="M5839" s="19"/>
      <c r="N5839" s="19"/>
      <c r="O5839" s="14" t="str">
        <f>HYPERLINK("https://otsuka-europe-crm.veevavault.com/ui/#object/email_activity__v/V8C00000003R004", "EN-002091713")</f>
        <v>EN-002091713</v>
      </c>
    </row>
    <row r="5840" spans="1:15" ht="32" x14ac:dyDescent="0.2">
      <c r="A5840" s="7" t="str">
        <f>HYPERLINK("https://otsuka-europe-crm.veevavault.com/ui/#object/account__v/V4TZ06G6O71TASG", "MIRIAM LOPEZ MATEOS")</f>
        <v>MIRIAM LOPEZ MATEOS</v>
      </c>
      <c r="B5840" s="7" t="str">
        <f>HYPERLINK("https://otsuka-europe-crm.veevavault.com/ui/#object/vcountry__v/VENZ000004SONF5", "ES")</f>
        <v>ES</v>
      </c>
      <c r="C5840" s="8" t="s">
        <v>41</v>
      </c>
      <c r="D5840" s="9" t="str">
        <f>HYPERLINK("https://otsuka-europe-crm.veevavault.com/ui/#object/approved_document__v/V5O00000001H022", "LUP - VAE invitación simposio SEN-SER - Nefro")</f>
        <v>LUP - VAE invitación simposio SEN-SER - Nefro</v>
      </c>
      <c r="E5840" s="10" t="str">
        <f>HYPERLINK("https://otsuka-europe-crm.veevavault.com/ui/#object/sent_email__v/VBL00000002S120", "SE-001434249")</f>
        <v>SE-001434249</v>
      </c>
      <c r="F5840" s="11"/>
      <c r="G5840" s="12">
        <v>0</v>
      </c>
      <c r="H5840" s="12">
        <v>0</v>
      </c>
      <c r="I5840" s="12">
        <v>0</v>
      </c>
      <c r="J5840" s="11"/>
      <c r="K5840" s="12">
        <v>0</v>
      </c>
      <c r="L5840" s="10" t="str">
        <f>HYPERLINK("https://otsuka-europe-crm.veevavault.com/ui/#object/approved_document__v/V5O00000001H022", "LUP - VAE invitación simposio SEN-SER - Nefro")</f>
        <v>LUP - VAE invitación simposio SEN-SER - Nefro</v>
      </c>
      <c r="M5840" s="10" t="str">
        <f>HYPERLINK("mailto:jguri@crm.otsuka-europe.com", "jguri@crm.otsuka-europe.com")</f>
        <v>jguri@crm.otsuka-europe.com</v>
      </c>
      <c r="N5840" s="13">
        <v>46181.378020833334</v>
      </c>
      <c r="O5840" s="14" t="str">
        <f>HYPERLINK("https://otsuka-europe-crm.veevavault.com/ui/#object/email_activity__v/V8C00000003P993", "EN-002091652")</f>
        <v>EN-002091652</v>
      </c>
    </row>
    <row r="5841" spans="1:15" ht="32" x14ac:dyDescent="0.2">
      <c r="A5841" s="7" t="str">
        <f>HYPERLINK("https://otsuka-europe-crm.veevavault.com/ui/#object/account__v/V4TZ06G6O71U985", "JOSE MARIA SANCHEZ MONTALBAN")</f>
        <v>JOSE MARIA SANCHEZ MONTALBAN</v>
      </c>
      <c r="B5841" s="7" t="str">
        <f>HYPERLINK("https://otsuka-europe-crm.veevavault.com/ui/#object/vcountry__v/VENZ000004SONF5", "ES")</f>
        <v>ES</v>
      </c>
      <c r="C5841" s="8" t="s">
        <v>41</v>
      </c>
      <c r="D5841" s="9" t="str">
        <f>HYPERLINK("https://otsuka-europe-crm.veevavault.com/ui/#object/approved_document__v/V5O00000001H022", "LUP - VAE invitación simposio SEN-SER - Nefro")</f>
        <v>LUP - VAE invitación simposio SEN-SER - Nefro</v>
      </c>
      <c r="E5841" s="10" t="str">
        <f>HYPERLINK("https://otsuka-europe-crm.veevavault.com/ui/#object/sent_email__v/VBL00000002S121", "SE-001434250")</f>
        <v>SE-001434250</v>
      </c>
      <c r="F5841" s="11"/>
      <c r="G5841" s="12">
        <v>0</v>
      </c>
      <c r="H5841" s="12">
        <v>0</v>
      </c>
      <c r="I5841" s="12">
        <v>0</v>
      </c>
      <c r="J5841" s="11"/>
      <c r="K5841" s="12">
        <v>0</v>
      </c>
      <c r="L5841" s="10" t="str">
        <f>HYPERLINK("https://otsuka-europe-crm.veevavault.com/ui/#object/approved_document__v/V5O00000001H022", "LUP - VAE invitación simposio SEN-SER - Nefro")</f>
        <v>LUP - VAE invitación simposio SEN-SER - Nefro</v>
      </c>
      <c r="M5841" s="10" t="str">
        <f>HYPERLINK("mailto:jguri@crm.otsuka-europe.com", "jguri@crm.otsuka-europe.com")</f>
        <v>jguri@crm.otsuka-europe.com</v>
      </c>
      <c r="N5841" s="13">
        <v>46181.378020833334</v>
      </c>
      <c r="O5841" s="14" t="str">
        <f>HYPERLINK("https://otsuka-europe-crm.veevavault.com/ui/#object/email_activity__v/V8C00000003P975", "EN-002091611")</f>
        <v>EN-002091611</v>
      </c>
    </row>
    <row r="5842" spans="1:15" ht="16" x14ac:dyDescent="0.2">
      <c r="A5842" s="17" t="str">
        <f>HYPERLINK("https://otsuka-europe-crm.veevavault.com/ui/#object/account__v/V4TZ06G6O71URS5", "PATRICIA MUÑOZ RAMOS")</f>
        <v>PATRICIA MUÑOZ RAMOS</v>
      </c>
      <c r="B5842" s="17" t="str">
        <f>HYPERLINK("https://otsuka-europe-crm.veevavault.com/ui/#object/vcountry__v/VENZ000004SONF5", "ES")</f>
        <v>ES</v>
      </c>
      <c r="C5842" s="20" t="s">
        <v>41</v>
      </c>
      <c r="D5842" s="21" t="str">
        <f>HYPERLINK("https://otsuka-europe-crm.veevavault.com/ui/#object/approved_document__v/V5O00000001H022", "LUP - VAE invitación simposio SEN-SER - Nefro")</f>
        <v>LUP - VAE invitación simposio SEN-SER - Nefro</v>
      </c>
      <c r="E5842" s="22" t="str">
        <f>HYPERLINK("https://otsuka-europe-crm.veevavault.com/ui/#object/sent_email__v/VBL00000002S122", "SE-001434251")</f>
        <v>SE-001434251</v>
      </c>
      <c r="F5842" s="23">
        <v>46181.378159722219</v>
      </c>
      <c r="G5842" s="24">
        <v>1</v>
      </c>
      <c r="H5842" s="24">
        <v>1</v>
      </c>
      <c r="I5842" s="24">
        <v>0</v>
      </c>
      <c r="J5842" s="25"/>
      <c r="K5842" s="24">
        <v>0</v>
      </c>
      <c r="L5842" s="22" t="str">
        <f>HYPERLINK("https://otsuka-europe-crm.veevavault.com/ui/#object/approved_document__v/V5O00000001H022", "LUP - VAE invitación simposio SEN-SER - Nefro")</f>
        <v>LUP - VAE invitación simposio SEN-SER - Nefro</v>
      </c>
      <c r="M5842" s="22" t="str">
        <f>HYPERLINK("mailto:jguri@crm.otsuka-europe.com", "jguri@crm.otsuka-europe.com")</f>
        <v>jguri@crm.otsuka-europe.com</v>
      </c>
      <c r="N5842" s="23">
        <v>46181.378032407411</v>
      </c>
      <c r="O5842" s="14" t="str">
        <f>HYPERLINK("https://otsuka-europe-crm.veevavault.com/ui/#object/email_activity__v/V8C00000003Q396", "EN-002091607")</f>
        <v>EN-002091607</v>
      </c>
    </row>
    <row r="5843" spans="1:15" ht="16" x14ac:dyDescent="0.2">
      <c r="A5843" s="19"/>
      <c r="B5843" s="19"/>
      <c r="C5843" s="19"/>
      <c r="D5843" s="19"/>
      <c r="E5843" s="19"/>
      <c r="F5843" s="19"/>
      <c r="G5843" s="19"/>
      <c r="H5843" s="19"/>
      <c r="I5843" s="19"/>
      <c r="J5843" s="19"/>
      <c r="K5843" s="19"/>
      <c r="L5843" s="19"/>
      <c r="M5843" s="19"/>
      <c r="N5843" s="19"/>
      <c r="O5843" s="14" t="str">
        <f>HYPERLINK("https://otsuka-europe-crm.veevavault.com/ui/#object/email_activity__v/V8C00000003Q411", "EN-002091632")</f>
        <v>EN-002091632</v>
      </c>
    </row>
    <row r="5844" spans="1:15" ht="32" x14ac:dyDescent="0.2">
      <c r="A5844" s="7" t="str">
        <f>HYPERLINK("https://otsuka-europe-crm.veevavault.com/ui/#object/account__v/V4TZ06G6O71T93I", "LAURA ALEGRE ZAHONERO")</f>
        <v>LAURA ALEGRE ZAHONERO</v>
      </c>
      <c r="B5844" s="7" t="str">
        <f>HYPERLINK("https://otsuka-europe-crm.veevavault.com/ui/#object/vcountry__v/VENZ000004SONF5", "ES")</f>
        <v>ES</v>
      </c>
      <c r="C5844" s="8" t="s">
        <v>41</v>
      </c>
      <c r="D5844" s="9" t="str">
        <f>HYPERLINK("https://otsuka-europe-crm.veevavault.com/ui/#object/approved_document__v/V5O00000001H022", "LUP - VAE invitación simposio SEN-SER - Nefro")</f>
        <v>LUP - VAE invitación simposio SEN-SER - Nefro</v>
      </c>
      <c r="E5844" s="10" t="str">
        <f>HYPERLINK("https://otsuka-europe-crm.veevavault.com/ui/#object/sent_email__v/VBL00000002S123", "SE-001434252")</f>
        <v>SE-001434252</v>
      </c>
      <c r="F5844" s="11"/>
      <c r="G5844" s="12">
        <v>0</v>
      </c>
      <c r="H5844" s="12">
        <v>0</v>
      </c>
      <c r="I5844" s="12">
        <v>0</v>
      </c>
      <c r="J5844" s="11"/>
      <c r="K5844" s="12">
        <v>0</v>
      </c>
      <c r="L5844" s="10" t="str">
        <f>HYPERLINK("https://otsuka-europe-crm.veevavault.com/ui/#object/approved_document__v/V5O00000001H022", "LUP - VAE invitación simposio SEN-SER - Nefro")</f>
        <v>LUP - VAE invitación simposio SEN-SER - Nefro</v>
      </c>
      <c r="M5844" s="10" t="str">
        <f>HYPERLINK("mailto:jguri@crm.otsuka-europe.com", "jguri@crm.otsuka-europe.com")</f>
        <v>jguri@crm.otsuka-europe.com</v>
      </c>
      <c r="N5844" s="13">
        <v>46181.378020833334</v>
      </c>
      <c r="O5844" s="14" t="str">
        <f>HYPERLINK("https://otsuka-europe-crm.veevavault.com/ui/#object/email_activity__v/V8C00000003Q417", "EN-002091648")</f>
        <v>EN-002091648</v>
      </c>
    </row>
    <row r="5845" spans="1:15" ht="32" x14ac:dyDescent="0.2">
      <c r="A5845" s="7" t="str">
        <f>HYPERLINK("https://otsuka-europe-crm.veevavault.com/ui/#object/account__v/V4TZ04ASGCDI29W", "MARIA ROCIO PEREZ PALACIO")</f>
        <v>MARIA ROCIO PEREZ PALACIO</v>
      </c>
      <c r="B5845" s="7" t="str">
        <f>HYPERLINK("https://otsuka-europe-crm.veevavault.com/ui/#object/vcountry__v/VENZ000004SONF5", "ES")</f>
        <v>ES</v>
      </c>
      <c r="C5845" s="8" t="s">
        <v>41</v>
      </c>
      <c r="D5845" s="9" t="str">
        <f>HYPERLINK("https://otsuka-europe-crm.veevavault.com/ui/#object/approved_document__v/V5O00000001H022", "LUP - VAE invitación simposio SEN-SER - Nefro")</f>
        <v>LUP - VAE invitación simposio SEN-SER - Nefro</v>
      </c>
      <c r="E5845" s="10" t="str">
        <f>HYPERLINK("https://otsuka-europe-crm.veevavault.com/ui/#object/sent_email__v/VBL00000002S124", "SE-001434253")</f>
        <v>SE-001434253</v>
      </c>
      <c r="F5845" s="11"/>
      <c r="G5845" s="12">
        <v>0</v>
      </c>
      <c r="H5845" s="12">
        <v>0</v>
      </c>
      <c r="I5845" s="12">
        <v>0</v>
      </c>
      <c r="J5845" s="11"/>
      <c r="K5845" s="12">
        <v>0</v>
      </c>
      <c r="L5845" s="10" t="str">
        <f>HYPERLINK("https://otsuka-europe-crm.veevavault.com/ui/#object/approved_document__v/V5O00000001H022", "LUP - VAE invitación simposio SEN-SER - Nefro")</f>
        <v>LUP - VAE invitación simposio SEN-SER - Nefro</v>
      </c>
      <c r="M5845" s="10" t="str">
        <f>HYPERLINK("mailto:jguri@crm.otsuka-europe.com", "jguri@crm.otsuka-europe.com")</f>
        <v>jguri@crm.otsuka-europe.com</v>
      </c>
      <c r="N5845" s="13">
        <v>46181.378055555557</v>
      </c>
      <c r="O5845" s="14" t="str">
        <f>HYPERLINK("https://otsuka-europe-crm.veevavault.com/ui/#object/email_activity__v/V8C00000003P970", "EN-002091603")</f>
        <v>EN-002091603</v>
      </c>
    </row>
    <row r="5846" spans="1:15" ht="16" x14ac:dyDescent="0.2">
      <c r="A5846" s="17" t="str">
        <f>HYPERLINK("https://otsuka-europe-crm.veevavault.com/ui/#object/account__v/V4TZ04ASG6ZSVSS", "MARIA GARCIA GARCIA")</f>
        <v>MARIA GARCIA GARCIA</v>
      </c>
      <c r="B5846" s="17" t="str">
        <f>HYPERLINK("https://otsuka-europe-crm.veevavault.com/ui/#object/vcountry__v/VENZ000004SONF5", "ES")</f>
        <v>ES</v>
      </c>
      <c r="C5846" s="20" t="s">
        <v>41</v>
      </c>
      <c r="D5846" s="21" t="str">
        <f>HYPERLINK("https://otsuka-europe-crm.veevavault.com/ui/#object/approved_document__v/V5O00000001H022", "LUP - VAE invitación simposio SEN-SER - Nefro")</f>
        <v>LUP - VAE invitación simposio SEN-SER - Nefro</v>
      </c>
      <c r="E5846" s="22" t="str">
        <f>HYPERLINK("https://otsuka-europe-crm.veevavault.com/ui/#object/sent_email__v/VBL00000002S125", "SE-001434254")</f>
        <v>SE-001434254</v>
      </c>
      <c r="F5846" s="25"/>
      <c r="G5846" s="24">
        <v>0</v>
      </c>
      <c r="H5846" s="24">
        <v>0</v>
      </c>
      <c r="I5846" s="24">
        <v>1</v>
      </c>
      <c r="J5846" s="23">
        <v>46181.792233796295</v>
      </c>
      <c r="K5846" s="24">
        <v>1</v>
      </c>
      <c r="L5846" s="22" t="str">
        <f>HYPERLINK("https://otsuka-europe-crm.veevavault.com/ui/#object/approved_document__v/V5O00000001H022", "LUP - VAE invitación simposio SEN-SER - Nefro")</f>
        <v>LUP - VAE invitación simposio SEN-SER - Nefro</v>
      </c>
      <c r="M5846" s="22" t="str">
        <f>HYPERLINK("mailto:jguri@crm.otsuka-europe.com", "jguri@crm.otsuka-europe.com")</f>
        <v>jguri@crm.otsuka-europe.com</v>
      </c>
      <c r="N5846" s="23">
        <v>46181.378020833334</v>
      </c>
      <c r="O5846" s="14" t="str">
        <f>HYPERLINK("https://otsuka-europe-crm.veevavault.com/ui/#object/email_activity__v/V8C00000003Q419", "EN-002091650")</f>
        <v>EN-002091650</v>
      </c>
    </row>
    <row r="5847" spans="1:15" ht="16" x14ac:dyDescent="0.2">
      <c r="A5847" s="18"/>
      <c r="B5847" s="18"/>
      <c r="C5847" s="18"/>
      <c r="D5847" s="18"/>
      <c r="E5847" s="18"/>
      <c r="F5847" s="18"/>
      <c r="G5847" s="18"/>
      <c r="H5847" s="18"/>
      <c r="I5847" s="18"/>
      <c r="J5847" s="18"/>
      <c r="K5847" s="18"/>
      <c r="L5847" s="18"/>
      <c r="M5847" s="18"/>
      <c r="N5847" s="18"/>
      <c r="O5847" s="14" t="str">
        <f>HYPERLINK("https://otsuka-europe-crm.veevavault.com/ui/#object/email_activity__v/V8C00000003Q689", "EN-002092213")</f>
        <v>EN-002092213</v>
      </c>
    </row>
    <row r="5848" spans="1:15" ht="16" x14ac:dyDescent="0.2">
      <c r="A5848" s="18"/>
      <c r="B5848" s="18"/>
      <c r="C5848" s="18"/>
      <c r="D5848" s="18"/>
      <c r="E5848" s="18"/>
      <c r="F5848" s="18"/>
      <c r="G5848" s="18"/>
      <c r="H5848" s="18"/>
      <c r="I5848" s="18"/>
      <c r="J5848" s="18"/>
      <c r="K5848" s="18"/>
      <c r="L5848" s="18"/>
      <c r="M5848" s="18"/>
      <c r="N5848" s="18"/>
      <c r="O5848" s="14" t="str">
        <f>HYPERLINK("https://otsuka-europe-crm.veevavault.com/ui/#object/email_activity__v/V8C00000003Q690", "EN-002092214")</f>
        <v>EN-002092214</v>
      </c>
    </row>
    <row r="5849" spans="1:15" ht="16" x14ac:dyDescent="0.2">
      <c r="A5849" s="19"/>
      <c r="B5849" s="19"/>
      <c r="C5849" s="19"/>
      <c r="D5849" s="19"/>
      <c r="E5849" s="19"/>
      <c r="F5849" s="19"/>
      <c r="G5849" s="19"/>
      <c r="H5849" s="19"/>
      <c r="I5849" s="19"/>
      <c r="J5849" s="19"/>
      <c r="K5849" s="19"/>
      <c r="L5849" s="19"/>
      <c r="M5849" s="19"/>
      <c r="N5849" s="19"/>
      <c r="O5849" s="14" t="str">
        <f>HYPERLINK("https://otsuka-europe-crm.veevavault.com/ui/#object/email_activity__v/V8C00000003R116", "EN-002091899")</f>
        <v>EN-002091899</v>
      </c>
    </row>
    <row r="5850" spans="1:15" ht="32" x14ac:dyDescent="0.2">
      <c r="A5850" s="7" t="str">
        <f>HYPERLINK("https://otsuka-europe-crm.veevavault.com/ui/#object/account__v/V4TZ06G6O9VLU4J", "SILVIA SANCHEZ MONTERO")</f>
        <v>SILVIA SANCHEZ MONTERO</v>
      </c>
      <c r="B5850" s="7" t="str">
        <f>HYPERLINK("https://otsuka-europe-crm.veevavault.com/ui/#object/vcountry__v/VENZ000004SONF5", "ES")</f>
        <v>ES</v>
      </c>
      <c r="C5850" s="8" t="s">
        <v>41</v>
      </c>
      <c r="D5850" s="9" t="str">
        <f>HYPERLINK("https://otsuka-europe-crm.veevavault.com/ui/#object/approved_document__v/V5O00000001H022", "LUP - VAE invitación simposio SEN-SER - Nefro")</f>
        <v>LUP - VAE invitación simposio SEN-SER - Nefro</v>
      </c>
      <c r="E5850" s="10" t="str">
        <f>HYPERLINK("https://otsuka-europe-crm.veevavault.com/ui/#object/sent_email__v/VBL00000002S126", "SE-001434255")</f>
        <v>SE-001434255</v>
      </c>
      <c r="F5850" s="11"/>
      <c r="G5850" s="12">
        <v>0</v>
      </c>
      <c r="H5850" s="12">
        <v>0</v>
      </c>
      <c r="I5850" s="12">
        <v>0</v>
      </c>
      <c r="J5850" s="11"/>
      <c r="K5850" s="12">
        <v>0</v>
      </c>
      <c r="L5850" s="10" t="str">
        <f>HYPERLINK("https://otsuka-europe-crm.veevavault.com/ui/#object/approved_document__v/V5O00000001H022", "LUP - VAE invitación simposio SEN-SER - Nefro")</f>
        <v>LUP - VAE invitación simposio SEN-SER - Nefro</v>
      </c>
      <c r="M5850" s="10" t="str">
        <f>HYPERLINK("mailto:jguri@crm.otsuka-europe.com", "jguri@crm.otsuka-europe.com")</f>
        <v>jguri@crm.otsuka-europe.com</v>
      </c>
      <c r="N5850" s="13">
        <v>46181.378078703703</v>
      </c>
      <c r="O5850" s="14" t="str">
        <f>HYPERLINK("https://otsuka-europe-crm.veevavault.com/ui/#object/email_activity__v/V8C00000003P972", "EN-002091605")</f>
        <v>EN-002091605</v>
      </c>
    </row>
    <row r="5851" spans="1:15" ht="32" x14ac:dyDescent="0.2">
      <c r="A5851" s="7" t="str">
        <f>HYPERLINK("https://otsuka-europe-crm.veevavault.com/ui/#object/account__v/V4TZ04ASG79QYWV", "KATIA LOPEZ REVUELTA")</f>
        <v>KATIA LOPEZ REVUELTA</v>
      </c>
      <c r="B5851" s="7" t="str">
        <f>HYPERLINK("https://otsuka-europe-crm.veevavault.com/ui/#object/vcountry__v/VENZ000004SONF5", "ES")</f>
        <v>ES</v>
      </c>
      <c r="C5851" s="8" t="s">
        <v>41</v>
      </c>
      <c r="D5851" s="9" t="str">
        <f>HYPERLINK("https://otsuka-europe-crm.veevavault.com/ui/#object/approved_document__v/V5O00000001H022", "LUP - VAE invitación simposio SEN-SER - Nefro")</f>
        <v>LUP - VAE invitación simposio SEN-SER - Nefro</v>
      </c>
      <c r="E5851" s="10" t="str">
        <f>HYPERLINK("https://otsuka-europe-crm.veevavault.com/ui/#object/sent_email__v/VBL00000002S127", "SE-001434256")</f>
        <v>SE-001434256</v>
      </c>
      <c r="F5851" s="11"/>
      <c r="G5851" s="12">
        <v>0</v>
      </c>
      <c r="H5851" s="12">
        <v>0</v>
      </c>
      <c r="I5851" s="12">
        <v>0</v>
      </c>
      <c r="J5851" s="11"/>
      <c r="K5851" s="12">
        <v>0</v>
      </c>
      <c r="L5851" s="10" t="str">
        <f>HYPERLINK("https://otsuka-europe-crm.veevavault.com/ui/#object/approved_document__v/V5O00000001H022", "LUP - VAE invitación simposio SEN-SER - Nefro")</f>
        <v>LUP - VAE invitación simposio SEN-SER - Nefro</v>
      </c>
      <c r="M5851" s="10" t="str">
        <f>HYPERLINK("mailto:jguri@crm.otsuka-europe.com", "jguri@crm.otsuka-europe.com")</f>
        <v>jguri@crm.otsuka-europe.com</v>
      </c>
      <c r="N5851" s="13">
        <v>46181.378020833334</v>
      </c>
      <c r="O5851" s="14" t="str">
        <f>HYPERLINK("https://otsuka-europe-crm.veevavault.com/ui/#object/email_activity__v/V8C00000003P991", "EN-002091641")</f>
        <v>EN-002091641</v>
      </c>
    </row>
    <row r="5852" spans="1:15" ht="32" x14ac:dyDescent="0.2">
      <c r="A5852" s="7" t="str">
        <f>HYPERLINK("https://otsuka-europe-crm.veevavault.com/ui/#object/account__v/V4TZ06G6O71T98Q", "JESUS BENITO GARCIA")</f>
        <v>JESUS BENITO GARCIA</v>
      </c>
      <c r="B5852" s="7" t="str">
        <f>HYPERLINK("https://otsuka-europe-crm.veevavault.com/ui/#object/vcountry__v/VENZ000004SONF5", "ES")</f>
        <v>ES</v>
      </c>
      <c r="C5852" s="8" t="s">
        <v>41</v>
      </c>
      <c r="D5852" s="9" t="str">
        <f>HYPERLINK("https://otsuka-europe-crm.veevavault.com/ui/#object/approved_document__v/V5O00000001H022", "LUP - VAE invitación simposio SEN-SER - Nefro")</f>
        <v>LUP - VAE invitación simposio SEN-SER - Nefro</v>
      </c>
      <c r="E5852" s="10" t="str">
        <f>HYPERLINK("https://otsuka-europe-crm.veevavault.com/ui/#object/sent_email__v/VBL00000002S128", "SE-001434257")</f>
        <v>SE-001434257</v>
      </c>
      <c r="F5852" s="11"/>
      <c r="G5852" s="12">
        <v>0</v>
      </c>
      <c r="H5852" s="12">
        <v>0</v>
      </c>
      <c r="I5852" s="12">
        <v>0</v>
      </c>
      <c r="J5852" s="11"/>
      <c r="K5852" s="12">
        <v>0</v>
      </c>
      <c r="L5852" s="10" t="str">
        <f>HYPERLINK("https://otsuka-europe-crm.veevavault.com/ui/#object/approved_document__v/V5O00000001H022", "LUP - VAE invitación simposio SEN-SER - Nefro")</f>
        <v>LUP - VAE invitación simposio SEN-SER - Nefro</v>
      </c>
      <c r="M5852" s="10" t="str">
        <f>HYPERLINK("mailto:jguri@crm.otsuka-europe.com", "jguri@crm.otsuka-europe.com")</f>
        <v>jguri@crm.otsuka-europe.com</v>
      </c>
      <c r="N5852" s="13">
        <v>46181.378020833334</v>
      </c>
      <c r="O5852" s="14" t="str">
        <f>HYPERLINK("https://otsuka-europe-crm.veevavault.com/ui/#object/email_activity__v/V8C00000003P990", "EN-002091640")</f>
        <v>EN-002091640</v>
      </c>
    </row>
    <row r="5853" spans="1:15" ht="16" x14ac:dyDescent="0.2">
      <c r="A5853" s="17" t="str">
        <f>HYPERLINK("https://otsuka-europe-crm.veevavault.com/ui/#object/account__v/V4TZ06G6O71TAQ8", "PEDRO JESUS LABRADOR GOMEZ")</f>
        <v>PEDRO JESUS LABRADOR GOMEZ</v>
      </c>
      <c r="B5853" s="17" t="str">
        <f>HYPERLINK("https://otsuka-europe-crm.veevavault.com/ui/#object/vcountry__v/VENZ000004SONF5", "ES")</f>
        <v>ES</v>
      </c>
      <c r="C5853" s="20" t="s">
        <v>41</v>
      </c>
      <c r="D5853" s="21" t="str">
        <f>HYPERLINK("https://otsuka-europe-crm.veevavault.com/ui/#object/approved_document__v/V5O00000001H022", "LUP - VAE invitación simposio SEN-SER - Nefro")</f>
        <v>LUP - VAE invitación simposio SEN-SER - Nefro</v>
      </c>
      <c r="E5853" s="22" t="str">
        <f>HYPERLINK("https://otsuka-europe-crm.veevavault.com/ui/#object/sent_email__v/VBL00000002S129", "SE-001434258")</f>
        <v>SE-001434258</v>
      </c>
      <c r="F5853" s="23">
        <v>46181.610821759263</v>
      </c>
      <c r="G5853" s="24">
        <v>1</v>
      </c>
      <c r="H5853" s="24">
        <v>1</v>
      </c>
      <c r="I5853" s="24">
        <v>0</v>
      </c>
      <c r="J5853" s="25"/>
      <c r="K5853" s="24">
        <v>0</v>
      </c>
      <c r="L5853" s="22" t="str">
        <f>HYPERLINK("https://otsuka-europe-crm.veevavault.com/ui/#object/approved_document__v/V5O00000001H022", "LUP - VAE invitación simposio SEN-SER - Nefro")</f>
        <v>LUP - VAE invitación simposio SEN-SER - Nefro</v>
      </c>
      <c r="M5853" s="22" t="str">
        <f>HYPERLINK("mailto:jguri@crm.otsuka-europe.com", "jguri@crm.otsuka-europe.com")</f>
        <v>jguri@crm.otsuka-europe.com</v>
      </c>
      <c r="N5853" s="23">
        <v>46181.37804398148</v>
      </c>
      <c r="O5853" s="14" t="str">
        <f>HYPERLINK("https://otsuka-europe-crm.veevavault.com/ui/#object/email_activity__v/V8C00000003P968", "EN-002091601")</f>
        <v>EN-002091601</v>
      </c>
    </row>
    <row r="5854" spans="1:15" ht="16" x14ac:dyDescent="0.2">
      <c r="A5854" s="19"/>
      <c r="B5854" s="19"/>
      <c r="C5854" s="19"/>
      <c r="D5854" s="19"/>
      <c r="E5854" s="19"/>
      <c r="F5854" s="19"/>
      <c r="G5854" s="19"/>
      <c r="H5854" s="19"/>
      <c r="I5854" s="19"/>
      <c r="J5854" s="19"/>
      <c r="K5854" s="19"/>
      <c r="L5854" s="19"/>
      <c r="M5854" s="19"/>
      <c r="N5854" s="19"/>
      <c r="O5854" s="14" t="str">
        <f>HYPERLINK("https://otsuka-europe-crm.veevavault.com/ui/#object/email_activity__v/V8C00000003R176", "EN-002092007")</f>
        <v>EN-002092007</v>
      </c>
    </row>
    <row r="5855" spans="1:15" ht="16" x14ac:dyDescent="0.2">
      <c r="A5855" s="17" t="str">
        <f>HYPERLINK("https://otsuka-europe-crm.veevavault.com/ui/#object/account__v/V4TZ025E86XJ86O", "RAQUEL MARTIN HIGUERAS")</f>
        <v>RAQUEL MARTIN HIGUERAS</v>
      </c>
      <c r="B5855" s="17" t="str">
        <f>HYPERLINK("https://otsuka-europe-crm.veevavault.com/ui/#object/vcountry__v/VENZ000004SONF5", "ES")</f>
        <v>ES</v>
      </c>
      <c r="C5855" s="20" t="s">
        <v>41</v>
      </c>
      <c r="D5855" s="21" t="str">
        <f>HYPERLINK("https://otsuka-europe-crm.veevavault.com/ui/#object/approved_document__v/V5O00000001H022", "LUP - VAE invitación simposio SEN-SER - Nefro")</f>
        <v>LUP - VAE invitación simposio SEN-SER - Nefro</v>
      </c>
      <c r="E5855" s="22" t="str">
        <f>HYPERLINK("https://otsuka-europe-crm.veevavault.com/ui/#object/sent_email__v/VBL00000002S130", "SE-001434259")</f>
        <v>SE-001434259</v>
      </c>
      <c r="F5855" s="23">
        <v>46182.699224537035</v>
      </c>
      <c r="G5855" s="24">
        <v>1</v>
      </c>
      <c r="H5855" s="24">
        <v>3</v>
      </c>
      <c r="I5855" s="24">
        <v>0</v>
      </c>
      <c r="J5855" s="25"/>
      <c r="K5855" s="24">
        <v>0</v>
      </c>
      <c r="L5855" s="22" t="str">
        <f>HYPERLINK("https://otsuka-europe-crm.veevavault.com/ui/#object/approved_document__v/V5O00000001H022", "LUP - VAE invitación simposio SEN-SER - Nefro")</f>
        <v>LUP - VAE invitación simposio SEN-SER - Nefro</v>
      </c>
      <c r="M5855" s="22" t="str">
        <f>HYPERLINK("mailto:jguri@crm.otsuka-europe.com", "jguri@crm.otsuka-europe.com")</f>
        <v>jguri@crm.otsuka-europe.com</v>
      </c>
      <c r="N5855" s="23">
        <v>46181.378020833334</v>
      </c>
      <c r="O5855" s="14" t="str">
        <f>HYPERLINK("https://otsuka-europe-crm.veevavault.com/ui/#object/email_activity__v/V8C00000003Q414", "EN-002091645")</f>
        <v>EN-002091645</v>
      </c>
    </row>
    <row r="5856" spans="1:15" ht="16" x14ac:dyDescent="0.2">
      <c r="A5856" s="18"/>
      <c r="B5856" s="18"/>
      <c r="C5856" s="18"/>
      <c r="D5856" s="18"/>
      <c r="E5856" s="18"/>
      <c r="F5856" s="18"/>
      <c r="G5856" s="18"/>
      <c r="H5856" s="18"/>
      <c r="I5856" s="18"/>
      <c r="J5856" s="18"/>
      <c r="K5856" s="18"/>
      <c r="L5856" s="18"/>
      <c r="M5856" s="18"/>
      <c r="N5856" s="18"/>
      <c r="O5856" s="14" t="str">
        <f>HYPERLINK("https://otsuka-europe-crm.veevavault.com/ui/#object/email_activity__v/V8C00000003Q738", "EN-002092304")</f>
        <v>EN-002092304</v>
      </c>
    </row>
    <row r="5857" spans="1:15" ht="16" x14ac:dyDescent="0.2">
      <c r="A5857" s="18"/>
      <c r="B5857" s="18"/>
      <c r="C5857" s="18"/>
      <c r="D5857" s="18"/>
      <c r="E5857" s="18"/>
      <c r="F5857" s="18"/>
      <c r="G5857" s="18"/>
      <c r="H5857" s="18"/>
      <c r="I5857" s="18"/>
      <c r="J5857" s="18"/>
      <c r="K5857" s="18"/>
      <c r="L5857" s="18"/>
      <c r="M5857" s="18"/>
      <c r="N5857" s="18"/>
      <c r="O5857" s="14" t="str">
        <f>HYPERLINK("https://otsuka-europe-crm.veevavault.com/ui/#object/email_activity__v/V8C00000003Q739", "EN-002092305")</f>
        <v>EN-002092305</v>
      </c>
    </row>
    <row r="5858" spans="1:15" ht="16" x14ac:dyDescent="0.2">
      <c r="A5858" s="19"/>
      <c r="B5858" s="19"/>
      <c r="C5858" s="19"/>
      <c r="D5858" s="19"/>
      <c r="E5858" s="19"/>
      <c r="F5858" s="19"/>
      <c r="G5858" s="19"/>
      <c r="H5858" s="19"/>
      <c r="I5858" s="19"/>
      <c r="J5858" s="19"/>
      <c r="K5858" s="19"/>
      <c r="L5858" s="19"/>
      <c r="M5858" s="19"/>
      <c r="N5858" s="19"/>
      <c r="O5858" s="14" t="str">
        <f>HYPERLINK("https://otsuka-europe-crm.veevavault.com/ui/#object/email_activity__v/V8C00000003S226", "EN-002093333")</f>
        <v>EN-002093333</v>
      </c>
    </row>
    <row r="5859" spans="1:15" ht="16" x14ac:dyDescent="0.2">
      <c r="A5859" s="17" t="str">
        <f>HYPERLINK("https://otsuka-europe-crm.veevavault.com/ui/#object/account__v/V4TZ04ASGCDKCUK", "MARIA ALEJANDRA CORTIÑAS ARANZABAL")</f>
        <v>MARIA ALEJANDRA CORTIÑAS ARANZABAL</v>
      </c>
      <c r="B5859" s="17" t="str">
        <f>HYPERLINK("https://otsuka-europe-crm.veevavault.com/ui/#object/vcountry__v/VENZ000004SONF5", "ES")</f>
        <v>ES</v>
      </c>
      <c r="C5859" s="20" t="s">
        <v>41</v>
      </c>
      <c r="D5859" s="21" t="str">
        <f>HYPERLINK("https://otsuka-europe-crm.veevavault.com/ui/#object/approved_document__v/V5O00000001H022", "LUP - VAE invitación simposio SEN-SER - Nefro")</f>
        <v>LUP - VAE invitación simposio SEN-SER - Nefro</v>
      </c>
      <c r="E5859" s="22" t="str">
        <f>HYPERLINK("https://otsuka-europe-crm.veevavault.com/ui/#object/sent_email__v/VBL00000002S131", "SE-001434260")</f>
        <v>SE-001434260</v>
      </c>
      <c r="F5859" s="23">
        <v>46182.546990740739</v>
      </c>
      <c r="G5859" s="24">
        <v>1</v>
      </c>
      <c r="H5859" s="24">
        <v>1</v>
      </c>
      <c r="I5859" s="24">
        <v>1</v>
      </c>
      <c r="J5859" s="23">
        <v>46182.54724537037</v>
      </c>
      <c r="K5859" s="24">
        <v>1</v>
      </c>
      <c r="L5859" s="22" t="str">
        <f>HYPERLINK("https://otsuka-europe-crm.veevavault.com/ui/#object/approved_document__v/V5O00000001H022", "LUP - VAE invitación simposio SEN-SER - Nefro")</f>
        <v>LUP - VAE invitación simposio SEN-SER - Nefro</v>
      </c>
      <c r="M5859" s="22" t="str">
        <f>HYPERLINK("mailto:jguri@crm.otsuka-europe.com", "jguri@crm.otsuka-europe.com")</f>
        <v>jguri@crm.otsuka-europe.com</v>
      </c>
      <c r="N5859" s="23">
        <v>46181.378020833334</v>
      </c>
      <c r="O5859" s="14" t="str">
        <f>HYPERLINK("https://otsuka-europe-crm.veevavault.com/ui/#object/email_activity__v/V8C00000003Q410", "EN-002091631")</f>
        <v>EN-002091631</v>
      </c>
    </row>
    <row r="5860" spans="1:15" ht="16" x14ac:dyDescent="0.2">
      <c r="A5860" s="18"/>
      <c r="B5860" s="18"/>
      <c r="C5860" s="18"/>
      <c r="D5860" s="18"/>
      <c r="E5860" s="18"/>
      <c r="F5860" s="18"/>
      <c r="G5860" s="18"/>
      <c r="H5860" s="18"/>
      <c r="I5860" s="18"/>
      <c r="J5860" s="18"/>
      <c r="K5860" s="18"/>
      <c r="L5860" s="18"/>
      <c r="M5860" s="18"/>
      <c r="N5860" s="18"/>
      <c r="O5860" s="14" t="str">
        <f>HYPERLINK("https://otsuka-europe-crm.veevavault.com/ui/#object/email_activity__v/V8C00000003R639", "EN-002092923")</f>
        <v>EN-002092923</v>
      </c>
    </row>
    <row r="5861" spans="1:15" ht="16" x14ac:dyDescent="0.2">
      <c r="A5861" s="18"/>
      <c r="B5861" s="18"/>
      <c r="C5861" s="18"/>
      <c r="D5861" s="18"/>
      <c r="E5861" s="18"/>
      <c r="F5861" s="18"/>
      <c r="G5861" s="18"/>
      <c r="H5861" s="18"/>
      <c r="I5861" s="18"/>
      <c r="J5861" s="18"/>
      <c r="K5861" s="18"/>
      <c r="L5861" s="18"/>
      <c r="M5861" s="18"/>
      <c r="N5861" s="18"/>
      <c r="O5861" s="14" t="str">
        <f>HYPERLINK("https://otsuka-europe-crm.veevavault.com/ui/#object/email_activity__v/V8C00000003R640", "EN-002092924")</f>
        <v>EN-002092924</v>
      </c>
    </row>
    <row r="5862" spans="1:15" ht="16" x14ac:dyDescent="0.2">
      <c r="A5862" s="19"/>
      <c r="B5862" s="19"/>
      <c r="C5862" s="19"/>
      <c r="D5862" s="19"/>
      <c r="E5862" s="19"/>
      <c r="F5862" s="19"/>
      <c r="G5862" s="19"/>
      <c r="H5862" s="19"/>
      <c r="I5862" s="19"/>
      <c r="J5862" s="19"/>
      <c r="K5862" s="19"/>
      <c r="L5862" s="19"/>
      <c r="M5862" s="19"/>
      <c r="N5862" s="19"/>
      <c r="O5862" s="14" t="str">
        <f>HYPERLINK("https://otsuka-europe-crm.veevavault.com/ui/#object/email_activity__v/V8C00000003S050", "EN-002092945")</f>
        <v>EN-002092945</v>
      </c>
    </row>
    <row r="5863" spans="1:15" ht="32" x14ac:dyDescent="0.2">
      <c r="A5863" s="7" t="str">
        <f>HYPERLINK("https://otsuka-europe-crm.veevavault.com/ui/#object/account__v/V4TZ06G6O71TA10", "MARIA CARMEN FELIPE FERNANDEZ")</f>
        <v>MARIA CARMEN FELIPE FERNANDEZ</v>
      </c>
      <c r="B5863" s="7" t="str">
        <f>HYPERLINK("https://otsuka-europe-crm.veevavault.com/ui/#object/vcountry__v/VENZ000004SONF5", "ES")</f>
        <v>ES</v>
      </c>
      <c r="C5863" s="8" t="s">
        <v>41</v>
      </c>
      <c r="D5863" s="9" t="str">
        <f>HYPERLINK("https://otsuka-europe-crm.veevavault.com/ui/#object/approved_document__v/V5O00000001H022", "LUP - VAE invitación simposio SEN-SER - Nefro")</f>
        <v>LUP - VAE invitación simposio SEN-SER - Nefro</v>
      </c>
      <c r="E5863" s="10" t="str">
        <f>HYPERLINK("https://otsuka-europe-crm.veevavault.com/ui/#object/sent_email__v/VBL00000002S132", "SE-001434261")</f>
        <v>SE-001434261</v>
      </c>
      <c r="F5863" s="11"/>
      <c r="G5863" s="12">
        <v>0</v>
      </c>
      <c r="H5863" s="12">
        <v>0</v>
      </c>
      <c r="I5863" s="12">
        <v>0</v>
      </c>
      <c r="J5863" s="11"/>
      <c r="K5863" s="12">
        <v>0</v>
      </c>
      <c r="L5863" s="10" t="str">
        <f>HYPERLINK("https://otsuka-europe-crm.veevavault.com/ui/#object/approved_document__v/V5O00000001H022", "LUP - VAE invitación simposio SEN-SER - Nefro")</f>
        <v>LUP - VAE invitación simposio SEN-SER - Nefro</v>
      </c>
      <c r="M5863" s="10" t="str">
        <f>HYPERLINK("mailto:jguri@crm.otsuka-europe.com", "jguri@crm.otsuka-europe.com")</f>
        <v>jguri@crm.otsuka-europe.com</v>
      </c>
      <c r="N5863" s="13">
        <v>46181.378020833334</v>
      </c>
      <c r="O5863" s="14" t="str">
        <f>HYPERLINK("https://otsuka-europe-crm.veevavault.com/ui/#object/email_activity__v/V8C00000003P989", "EN-002091639")</f>
        <v>EN-002091639</v>
      </c>
    </row>
    <row r="5864" spans="1:15" ht="32" x14ac:dyDescent="0.2">
      <c r="A5864" s="7" t="str">
        <f>HYPERLINK("https://otsuka-europe-crm.veevavault.com/ui/#object/account__v/V4TZ06G6O71T7UZ", "GUADALUPE RODRIGUEZ PORTELA")</f>
        <v>GUADALUPE RODRIGUEZ PORTELA</v>
      </c>
      <c r="B5864" s="7" t="str">
        <f>HYPERLINK("https://otsuka-europe-crm.veevavault.com/ui/#object/vcountry__v/VENZ000004SONF5", "ES")</f>
        <v>ES</v>
      </c>
      <c r="C5864" s="8" t="s">
        <v>41</v>
      </c>
      <c r="D5864" s="9" t="str">
        <f>HYPERLINK("https://otsuka-europe-crm.veevavault.com/ui/#object/approved_document__v/V5O00000001H022", "LUP - VAE invitación simposio SEN-SER - Nefro")</f>
        <v>LUP - VAE invitación simposio SEN-SER - Nefro</v>
      </c>
      <c r="E5864" s="10" t="str">
        <f>HYPERLINK("https://otsuka-europe-crm.veevavault.com/ui/#object/sent_email__v/VBL00000002S133", "SE-001434262")</f>
        <v>SE-001434262</v>
      </c>
      <c r="F5864" s="11"/>
      <c r="G5864" s="12">
        <v>0</v>
      </c>
      <c r="H5864" s="12">
        <v>0</v>
      </c>
      <c r="I5864" s="12">
        <v>0</v>
      </c>
      <c r="J5864" s="11"/>
      <c r="K5864" s="12">
        <v>0</v>
      </c>
      <c r="L5864" s="10" t="str">
        <f>HYPERLINK("https://otsuka-europe-crm.veevavault.com/ui/#object/approved_document__v/V5O00000001H022", "LUP - VAE invitación simposio SEN-SER - Nefro")</f>
        <v>LUP - VAE invitación simposio SEN-SER - Nefro</v>
      </c>
      <c r="M5864" s="10" t="str">
        <f>HYPERLINK("mailto:jguri@crm.otsuka-europe.com", "jguri@crm.otsuka-europe.com")</f>
        <v>jguri@crm.otsuka-europe.com</v>
      </c>
      <c r="N5864" s="13">
        <v>46181.377986111111</v>
      </c>
      <c r="O5864" s="14" t="str">
        <f>HYPERLINK("https://otsuka-europe-crm.veevavault.com/ui/#object/email_activity__v/V8C00000003P981", "EN-002091623")</f>
        <v>EN-002091623</v>
      </c>
    </row>
    <row r="5865" spans="1:15" ht="32" x14ac:dyDescent="0.2">
      <c r="A5865" s="7" t="str">
        <f>HYPERLINK("https://otsuka-europe-crm.veevavault.com/ui/#object/account__v/V4TZ06G6O71T9R3", "GEMA MARIA FERNANDEZ JUAREZ")</f>
        <v>GEMA MARIA FERNANDEZ JUAREZ</v>
      </c>
      <c r="B5865" s="7" t="str">
        <f>HYPERLINK("https://otsuka-europe-crm.veevavault.com/ui/#object/vcountry__v/VENZ000004SONF5", "ES")</f>
        <v>ES</v>
      </c>
      <c r="C5865" s="8" t="s">
        <v>41</v>
      </c>
      <c r="D5865" s="9" t="str">
        <f>HYPERLINK("https://otsuka-europe-crm.veevavault.com/ui/#object/approved_document__v/V5O00000001H022", "LUP - VAE invitación simposio SEN-SER - Nefro")</f>
        <v>LUP - VAE invitación simposio SEN-SER - Nefro</v>
      </c>
      <c r="E5865" s="10" t="str">
        <f>HYPERLINK("https://otsuka-europe-crm.veevavault.com/ui/#object/sent_email__v/VBL00000002S134", "SE-001434263")</f>
        <v>SE-001434263</v>
      </c>
      <c r="F5865" s="11"/>
      <c r="G5865" s="12">
        <v>0</v>
      </c>
      <c r="H5865" s="12">
        <v>0</v>
      </c>
      <c r="I5865" s="12">
        <v>0</v>
      </c>
      <c r="J5865" s="11"/>
      <c r="K5865" s="12">
        <v>0</v>
      </c>
      <c r="L5865" s="10" t="str">
        <f>HYPERLINK("https://otsuka-europe-crm.veevavault.com/ui/#object/approved_document__v/V5O00000001H022", "LUP - VAE invitación simposio SEN-SER - Nefro")</f>
        <v>LUP - VAE invitación simposio SEN-SER - Nefro</v>
      </c>
      <c r="M5865" s="10" t="str">
        <f>HYPERLINK("mailto:jguri@crm.otsuka-europe.com", "jguri@crm.otsuka-europe.com")</f>
        <v>jguri@crm.otsuka-europe.com</v>
      </c>
      <c r="N5865" s="13">
        <v>46181.378020833334</v>
      </c>
      <c r="O5865" s="14" t="str">
        <f>HYPERLINK("https://otsuka-europe-crm.veevavault.com/ui/#object/email_activity__v/V8C00000003Q395", "EN-002091606")</f>
        <v>EN-002091606</v>
      </c>
    </row>
    <row r="5866" spans="1:15" ht="16" x14ac:dyDescent="0.2">
      <c r="A5866" s="17" t="str">
        <f>HYPERLINK("https://otsuka-europe-crm.veevavault.com/ui/#object/account__v/V4TZ06G6O71TB2J", "JUDITH FATIMA MARTINS MUÑOZ")</f>
        <v>JUDITH FATIMA MARTINS MUÑOZ</v>
      </c>
      <c r="B5866" s="17" t="str">
        <f>HYPERLINK("https://otsuka-europe-crm.veevavault.com/ui/#object/vcountry__v/VENZ000004SONF5", "ES")</f>
        <v>ES</v>
      </c>
      <c r="C5866" s="20" t="s">
        <v>41</v>
      </c>
      <c r="D5866" s="21" t="str">
        <f>HYPERLINK("https://otsuka-europe-crm.veevavault.com/ui/#object/approved_document__v/V5O00000001H022", "LUP - VAE invitación simposio SEN-SER - Nefro")</f>
        <v>LUP - VAE invitación simposio SEN-SER - Nefro</v>
      </c>
      <c r="E5866" s="22" t="str">
        <f>HYPERLINK("https://otsuka-europe-crm.veevavault.com/ui/#object/sent_email__v/VBL00000002S135", "SE-001434264")</f>
        <v>SE-001434264</v>
      </c>
      <c r="F5866" s="23">
        <v>46181.402002314811</v>
      </c>
      <c r="G5866" s="24">
        <v>1</v>
      </c>
      <c r="H5866" s="24">
        <v>1</v>
      </c>
      <c r="I5866" s="24">
        <v>0</v>
      </c>
      <c r="J5866" s="25"/>
      <c r="K5866" s="24">
        <v>0</v>
      </c>
      <c r="L5866" s="22" t="str">
        <f>HYPERLINK("https://otsuka-europe-crm.veevavault.com/ui/#object/approved_document__v/V5O00000001H022", "LUP - VAE invitación simposio SEN-SER - Nefro")</f>
        <v>LUP - VAE invitación simposio SEN-SER - Nefro</v>
      </c>
      <c r="M5866" s="22" t="str">
        <f>HYPERLINK("mailto:jguri@crm.otsuka-europe.com", "jguri@crm.otsuka-europe.com")</f>
        <v>jguri@crm.otsuka-europe.com</v>
      </c>
      <c r="N5866" s="23">
        <v>46181.377986111111</v>
      </c>
      <c r="O5866" s="14" t="str">
        <f>HYPERLINK("https://otsuka-europe-crm.veevavault.com/ui/#object/email_activity__v/V8C00000003P979", "EN-002091621")</f>
        <v>EN-002091621</v>
      </c>
    </row>
    <row r="5867" spans="1:15" ht="16" x14ac:dyDescent="0.2">
      <c r="A5867" s="18"/>
      <c r="B5867" s="18"/>
      <c r="C5867" s="18"/>
      <c r="D5867" s="18"/>
      <c r="E5867" s="18"/>
      <c r="F5867" s="18"/>
      <c r="G5867" s="18"/>
      <c r="H5867" s="18"/>
      <c r="I5867" s="18"/>
      <c r="J5867" s="18"/>
      <c r="K5867" s="18"/>
      <c r="L5867" s="18"/>
      <c r="M5867" s="18"/>
      <c r="N5867" s="18"/>
      <c r="O5867" s="14" t="str">
        <f>HYPERLINK("https://otsuka-europe-crm.veevavault.com/ui/#object/email_activity__v/V8C00000003R031", "EN-002091756")</f>
        <v>EN-002091756</v>
      </c>
    </row>
    <row r="5868" spans="1:15" ht="16" x14ac:dyDescent="0.2">
      <c r="A5868" s="19"/>
      <c r="B5868" s="19"/>
      <c r="C5868" s="19"/>
      <c r="D5868" s="19"/>
      <c r="E5868" s="19"/>
      <c r="F5868" s="19"/>
      <c r="G5868" s="19"/>
      <c r="H5868" s="19"/>
      <c r="I5868" s="19"/>
      <c r="J5868" s="19"/>
      <c r="K5868" s="19"/>
      <c r="L5868" s="19"/>
      <c r="M5868" s="19"/>
      <c r="N5868" s="19"/>
      <c r="O5868" s="14" t="str">
        <f>HYPERLINK("https://otsuka-europe-crm.veevavault.com/ui/#object/email_activity__v/V8C00000003R319", "EN-002092267")</f>
        <v>EN-002092267</v>
      </c>
    </row>
    <row r="5869" spans="1:15" ht="32" x14ac:dyDescent="0.2">
      <c r="A5869" s="7" t="str">
        <f>HYPERLINK("https://otsuka-europe-crm.veevavault.com/ui/#object/account__v/V4TZ06G6O71TAYO", "JAVIER MANCHA RAMOS")</f>
        <v>JAVIER MANCHA RAMOS</v>
      </c>
      <c r="B5869" s="7" t="str">
        <f>HYPERLINK("https://otsuka-europe-crm.veevavault.com/ui/#object/vcountry__v/VENZ000004SONF5", "ES")</f>
        <v>ES</v>
      </c>
      <c r="C5869" s="8" t="s">
        <v>41</v>
      </c>
      <c r="D5869" s="9" t="str">
        <f>HYPERLINK("https://otsuka-europe-crm.veevavault.com/ui/#object/approved_document__v/V5O00000001H022", "LUP - VAE invitación simposio SEN-SER - Nefro")</f>
        <v>LUP - VAE invitación simposio SEN-SER - Nefro</v>
      </c>
      <c r="E5869" s="10" t="str">
        <f>HYPERLINK("https://otsuka-europe-crm.veevavault.com/ui/#object/sent_email__v/VBL00000002S136", "SE-001434265")</f>
        <v>SE-001434265</v>
      </c>
      <c r="F5869" s="11"/>
      <c r="G5869" s="12">
        <v>0</v>
      </c>
      <c r="H5869" s="12">
        <v>0</v>
      </c>
      <c r="I5869" s="12">
        <v>0</v>
      </c>
      <c r="J5869" s="11"/>
      <c r="K5869" s="12">
        <v>0</v>
      </c>
      <c r="L5869" s="10" t="str">
        <f>HYPERLINK("https://otsuka-europe-crm.veevavault.com/ui/#object/approved_document__v/V5O00000001H022", "LUP - VAE invitación simposio SEN-SER - Nefro")</f>
        <v>LUP - VAE invitación simposio SEN-SER - Nefro</v>
      </c>
      <c r="M5869" s="10" t="str">
        <f>HYPERLINK("mailto:jguri@crm.otsuka-europe.com", "jguri@crm.otsuka-europe.com")</f>
        <v>jguri@crm.otsuka-europe.com</v>
      </c>
      <c r="N5869" s="13">
        <v>46181.377986111111</v>
      </c>
      <c r="O5869" s="14" t="str">
        <f>HYPERLINK("https://otsuka-europe-crm.veevavault.com/ui/#object/email_activity__v/V8C00000003P982", "EN-002091624")</f>
        <v>EN-002091624</v>
      </c>
    </row>
    <row r="5870" spans="1:15" ht="32" x14ac:dyDescent="0.2">
      <c r="A5870" s="7" t="str">
        <f>HYPERLINK("https://otsuka-europe-crm.veevavault.com/ui/#object/account__v/V4TZ025E87AHJX3", "MARIA CARMEN SANCHEZ GONZALEZ")</f>
        <v>MARIA CARMEN SANCHEZ GONZALEZ</v>
      </c>
      <c r="B5870" s="7" t="str">
        <f>HYPERLINK("https://otsuka-europe-crm.veevavault.com/ui/#object/vcountry__v/VENZ000004SONF5", "ES")</f>
        <v>ES</v>
      </c>
      <c r="C5870" s="8" t="s">
        <v>41</v>
      </c>
      <c r="D5870" s="9" t="str">
        <f>HYPERLINK("https://otsuka-europe-crm.veevavault.com/ui/#object/approved_document__v/V5O00000001H022", "LUP - VAE invitación simposio SEN-SER - Nefro")</f>
        <v>LUP - VAE invitación simposio SEN-SER - Nefro</v>
      </c>
      <c r="E5870" s="10" t="str">
        <f>HYPERLINK("https://otsuka-europe-crm.veevavault.com/ui/#object/sent_email__v/VBL00000002S137", "SE-001434266")</f>
        <v>SE-001434266</v>
      </c>
      <c r="F5870" s="11"/>
      <c r="G5870" s="12">
        <v>0</v>
      </c>
      <c r="H5870" s="12">
        <v>0</v>
      </c>
      <c r="I5870" s="12">
        <v>0</v>
      </c>
      <c r="J5870" s="11"/>
      <c r="K5870" s="12">
        <v>0</v>
      </c>
      <c r="L5870" s="10" t="str">
        <f>HYPERLINK("https://otsuka-europe-crm.veevavault.com/ui/#object/approved_document__v/V5O00000001H022", "LUP - VAE invitación simposio SEN-SER - Nefro")</f>
        <v>LUP - VAE invitación simposio SEN-SER - Nefro</v>
      </c>
      <c r="M5870" s="10" t="str">
        <f>HYPERLINK("mailto:jguri@crm.otsuka-europe.com", "jguri@crm.otsuka-europe.com")</f>
        <v>jguri@crm.otsuka-europe.com</v>
      </c>
      <c r="N5870" s="13">
        <v>46181.377986111111</v>
      </c>
      <c r="O5870" s="14" t="str">
        <f>HYPERLINK("https://otsuka-europe-crm.veevavault.com/ui/#object/email_activity__v/V8C00000003Q420", "EN-002091651")</f>
        <v>EN-002091651</v>
      </c>
    </row>
    <row r="5871" spans="1:15" ht="16" x14ac:dyDescent="0.2">
      <c r="A5871" s="17" t="str">
        <f>HYPERLINK("https://otsuka-europe-crm.veevavault.com/ui/#object/account__v/V4TZ06G6O71U962", "JAVIER LORENZO DEIRA LORENZO")</f>
        <v>JAVIER LORENZO DEIRA LORENZO</v>
      </c>
      <c r="B5871" s="17" t="str">
        <f>HYPERLINK("https://otsuka-europe-crm.veevavault.com/ui/#object/vcountry__v/VENZ000004SONF5", "ES")</f>
        <v>ES</v>
      </c>
      <c r="C5871" s="20" t="s">
        <v>41</v>
      </c>
      <c r="D5871" s="21" t="str">
        <f>HYPERLINK("https://otsuka-europe-crm.veevavault.com/ui/#object/approved_document__v/V5O00000001H022", "LUP - VAE invitación simposio SEN-SER - Nefro")</f>
        <v>LUP - VAE invitación simposio SEN-SER - Nefro</v>
      </c>
      <c r="E5871" s="22" t="str">
        <f>HYPERLINK("https://otsuka-europe-crm.veevavault.com/ui/#object/sent_email__v/VBL00000002S138", "SE-001434267")</f>
        <v>SE-001434267</v>
      </c>
      <c r="F5871" s="23">
        <v>46181.478078703702</v>
      </c>
      <c r="G5871" s="24">
        <v>1</v>
      </c>
      <c r="H5871" s="24">
        <v>1</v>
      </c>
      <c r="I5871" s="24">
        <v>0</v>
      </c>
      <c r="J5871" s="25"/>
      <c r="K5871" s="24">
        <v>0</v>
      </c>
      <c r="L5871" s="22" t="str">
        <f>HYPERLINK("https://otsuka-europe-crm.veevavault.com/ui/#object/approved_document__v/V5O00000001H022", "LUP - VAE invitación simposio SEN-SER - Nefro")</f>
        <v>LUP - VAE invitación simposio SEN-SER - Nefro</v>
      </c>
      <c r="M5871" s="22" t="str">
        <f>HYPERLINK("mailto:jguri@crm.otsuka-europe.com", "jguri@crm.otsuka-europe.com")</f>
        <v>jguri@crm.otsuka-europe.com</v>
      </c>
      <c r="N5871" s="23">
        <v>46181.377986111111</v>
      </c>
      <c r="O5871" s="14" t="str">
        <f>HYPERLINK("https://otsuka-europe-crm.veevavault.com/ui/#object/email_activity__v/V8C00000003P980", "EN-002091622")</f>
        <v>EN-002091622</v>
      </c>
    </row>
    <row r="5872" spans="1:15" ht="16" x14ac:dyDescent="0.2">
      <c r="A5872" s="19"/>
      <c r="B5872" s="19"/>
      <c r="C5872" s="19"/>
      <c r="D5872" s="19"/>
      <c r="E5872" s="19"/>
      <c r="F5872" s="19"/>
      <c r="G5872" s="19"/>
      <c r="H5872" s="19"/>
      <c r="I5872" s="19"/>
      <c r="J5872" s="19"/>
      <c r="K5872" s="19"/>
      <c r="L5872" s="19"/>
      <c r="M5872" s="19"/>
      <c r="N5872" s="19"/>
      <c r="O5872" s="14" t="str">
        <f>HYPERLINK("https://otsuka-europe-crm.veevavault.com/ui/#object/email_activity__v/V8C00000003Q545", "EN-002091897")</f>
        <v>EN-002091897</v>
      </c>
    </row>
    <row r="5873" spans="1:15" ht="32" x14ac:dyDescent="0.2">
      <c r="A5873" s="7" t="str">
        <f>HYPERLINK("https://otsuka-europe-crm.veevavault.com/ui/#object/account__v/V4TZ025E83KBX0L", "MARIA MALDONADO MARTIN")</f>
        <v>MARIA MALDONADO MARTIN</v>
      </c>
      <c r="B5873" s="7" t="str">
        <f>HYPERLINK("https://otsuka-europe-crm.veevavault.com/ui/#object/vcountry__v/VENZ000004SONF5", "ES")</f>
        <v>ES</v>
      </c>
      <c r="C5873" s="8" t="s">
        <v>41</v>
      </c>
      <c r="D5873" s="9" t="str">
        <f>HYPERLINK("https://otsuka-europe-crm.veevavault.com/ui/#object/approved_document__v/V5O00000001H022", "LUP - VAE invitación simposio SEN-SER - Nefro")</f>
        <v>LUP - VAE invitación simposio SEN-SER - Nefro</v>
      </c>
      <c r="E5873" s="10" t="str">
        <f>HYPERLINK("https://otsuka-europe-crm.veevavault.com/ui/#object/sent_email__v/VBL00000002S139", "SE-001434268")</f>
        <v>SE-001434268</v>
      </c>
      <c r="F5873" s="11"/>
      <c r="G5873" s="12">
        <v>0</v>
      </c>
      <c r="H5873" s="12">
        <v>0</v>
      </c>
      <c r="I5873" s="12">
        <v>0</v>
      </c>
      <c r="J5873" s="11"/>
      <c r="K5873" s="12">
        <v>0</v>
      </c>
      <c r="L5873" s="10" t="str">
        <f>HYPERLINK("https://otsuka-europe-crm.veevavault.com/ui/#object/approved_document__v/V5O00000001H022", "LUP - VAE invitación simposio SEN-SER - Nefro")</f>
        <v>LUP - VAE invitación simposio SEN-SER - Nefro</v>
      </c>
      <c r="M5873" s="10" t="str">
        <f>HYPERLINK("mailto:jguri@crm.otsuka-europe.com", "jguri@crm.otsuka-europe.com")</f>
        <v>jguri@crm.otsuka-europe.com</v>
      </c>
      <c r="N5873" s="13">
        <v>46181.377986111111</v>
      </c>
      <c r="O5873" s="14" t="str">
        <f>HYPERLINK("https://otsuka-europe-crm.veevavault.com/ui/#object/email_activity__v/V8C00000003Q404", "EN-002091625")</f>
        <v>EN-002091625</v>
      </c>
    </row>
    <row r="5874" spans="1:15" ht="32" x14ac:dyDescent="0.2">
      <c r="A5874" s="7" t="str">
        <f>HYPERLINK("https://otsuka-europe-crm.veevavault.com/ui/#object/account__v/V4TZ04ASG8JTC9M", "MARIA TERESA CANO NOHEDA")</f>
        <v>MARIA TERESA CANO NOHEDA</v>
      </c>
      <c r="B5874" s="7" t="str">
        <f>HYPERLINK("https://otsuka-europe-crm.veevavault.com/ui/#object/vcountry__v/VENZ000004SONF5", "ES")</f>
        <v>ES</v>
      </c>
      <c r="C5874" s="8" t="s">
        <v>41</v>
      </c>
      <c r="D5874" s="9" t="str">
        <f>HYPERLINK("https://otsuka-europe-crm.veevavault.com/ui/#object/approved_document__v/V5O00000001H022", "LUP - VAE invitación simposio SEN-SER - Nefro")</f>
        <v>LUP - VAE invitación simposio SEN-SER - Nefro</v>
      </c>
      <c r="E5874" s="10" t="str">
        <f>HYPERLINK("https://otsuka-europe-crm.veevavault.com/ui/#object/sent_email__v/VBL00000002S140", "SE-001434269")</f>
        <v>SE-001434269</v>
      </c>
      <c r="F5874" s="11"/>
      <c r="G5874" s="12">
        <v>0</v>
      </c>
      <c r="H5874" s="12">
        <v>0</v>
      </c>
      <c r="I5874" s="12">
        <v>0</v>
      </c>
      <c r="J5874" s="11"/>
      <c r="K5874" s="12">
        <v>0</v>
      </c>
      <c r="L5874" s="10" t="str">
        <f>HYPERLINK("https://otsuka-europe-crm.veevavault.com/ui/#object/approved_document__v/V5O00000001H022", "LUP - VAE invitación simposio SEN-SER - Nefro")</f>
        <v>LUP - VAE invitación simposio SEN-SER - Nefro</v>
      </c>
      <c r="M5874" s="10" t="str">
        <f>HYPERLINK("mailto:jguri@crm.otsuka-europe.com", "jguri@crm.otsuka-europe.com")</f>
        <v>jguri@crm.otsuka-europe.com</v>
      </c>
      <c r="N5874" s="13">
        <v>46181.378020833334</v>
      </c>
      <c r="O5874" s="14" t="str">
        <f>HYPERLINK("https://otsuka-europe-crm.veevavault.com/ui/#object/email_activity__v/V8C00000003P963", "EN-002091592")</f>
        <v>EN-002091592</v>
      </c>
    </row>
    <row r="5875" spans="1:15" ht="16" x14ac:dyDescent="0.2">
      <c r="A5875" s="17" t="str">
        <f>HYPERLINK("https://otsuka-europe-crm.veevavault.com/ui/#object/account__v/V4TZ06G6O71T99J", "MARIA ELDA BESADA ESTEVEZ")</f>
        <v>MARIA ELDA BESADA ESTEVEZ</v>
      </c>
      <c r="B5875" s="17" t="str">
        <f>HYPERLINK("https://otsuka-europe-crm.veevavault.com/ui/#object/vcountry__v/VENZ000004SONF5", "ES")</f>
        <v>ES</v>
      </c>
      <c r="C5875" s="20" t="s">
        <v>41</v>
      </c>
      <c r="D5875" s="21" t="str">
        <f>HYPERLINK("https://otsuka-europe-crm.veevavault.com/ui/#object/approved_document__v/V5O00000001H022", "LUP - VAE invitación simposio SEN-SER - Nefro")</f>
        <v>LUP - VAE invitación simposio SEN-SER - Nefro</v>
      </c>
      <c r="E5875" s="22" t="str">
        <f>HYPERLINK("https://otsuka-europe-crm.veevavault.com/ui/#object/sent_email__v/VBL00000002S141", "SE-001434270")</f>
        <v>SE-001434270</v>
      </c>
      <c r="F5875" s="23">
        <v>46181.944976851853</v>
      </c>
      <c r="G5875" s="24">
        <v>1</v>
      </c>
      <c r="H5875" s="24">
        <v>1</v>
      </c>
      <c r="I5875" s="24">
        <v>0</v>
      </c>
      <c r="J5875" s="25"/>
      <c r="K5875" s="24">
        <v>0</v>
      </c>
      <c r="L5875" s="22" t="str">
        <f>HYPERLINK("https://otsuka-europe-crm.veevavault.com/ui/#object/approved_document__v/V5O00000001H022", "LUP - VAE invitación simposio SEN-SER - Nefro")</f>
        <v>LUP - VAE invitación simposio SEN-SER - Nefro</v>
      </c>
      <c r="M5875" s="22" t="str">
        <f>HYPERLINK("mailto:jguri@crm.otsuka-europe.com", "jguri@crm.otsuka-europe.com")</f>
        <v>jguri@crm.otsuka-europe.com</v>
      </c>
      <c r="N5875" s="23">
        <v>46181.378020833334</v>
      </c>
      <c r="O5875" s="14" t="str">
        <f>HYPERLINK("https://otsuka-europe-crm.veevavault.com/ui/#object/email_activity__v/V8C00000003Q413", "EN-002091644")</f>
        <v>EN-002091644</v>
      </c>
    </row>
    <row r="5876" spans="1:15" ht="16" x14ac:dyDescent="0.2">
      <c r="A5876" s="19"/>
      <c r="B5876" s="19"/>
      <c r="C5876" s="19"/>
      <c r="D5876" s="19"/>
      <c r="E5876" s="19"/>
      <c r="F5876" s="19"/>
      <c r="G5876" s="19"/>
      <c r="H5876" s="19"/>
      <c r="I5876" s="19"/>
      <c r="J5876" s="19"/>
      <c r="K5876" s="19"/>
      <c r="L5876" s="19"/>
      <c r="M5876" s="19"/>
      <c r="N5876" s="19"/>
      <c r="O5876" s="14" t="str">
        <f>HYPERLINK("https://otsuka-europe-crm.veevavault.com/ui/#object/email_activity__v/V8C00000003Q716", "EN-002092274")</f>
        <v>EN-002092274</v>
      </c>
    </row>
    <row r="5877" spans="1:15" ht="32" x14ac:dyDescent="0.2">
      <c r="A5877" s="7" t="str">
        <f>HYPERLINK("https://otsuka-europe-crm.veevavault.com/ui/#object/account__v/V4TZ04ASGCYP3XF", "JORGE MOLLA CUADRILLERO")</f>
        <v>JORGE MOLLA CUADRILLERO</v>
      </c>
      <c r="B5877" s="7" t="str">
        <f>HYPERLINK("https://otsuka-europe-crm.veevavault.com/ui/#object/vcountry__v/VENZ000004SONF5", "ES")</f>
        <v>ES</v>
      </c>
      <c r="C5877" s="8" t="s">
        <v>41</v>
      </c>
      <c r="D5877" s="9" t="str">
        <f>HYPERLINK("https://otsuka-europe-crm.veevavault.com/ui/#object/approved_document__v/V5O00000001H022", "LUP - VAE invitación simposio SEN-SER - Nefro")</f>
        <v>LUP - VAE invitación simposio SEN-SER - Nefro</v>
      </c>
      <c r="E5877" s="10" t="str">
        <f>HYPERLINK("https://otsuka-europe-crm.veevavault.com/ui/#object/sent_email__v/VBL00000002S142", "SE-001434271")</f>
        <v>SE-001434271</v>
      </c>
      <c r="F5877" s="11"/>
      <c r="G5877" s="12">
        <v>0</v>
      </c>
      <c r="H5877" s="12">
        <v>0</v>
      </c>
      <c r="I5877" s="12">
        <v>0</v>
      </c>
      <c r="J5877" s="11"/>
      <c r="K5877" s="12">
        <v>0</v>
      </c>
      <c r="L5877" s="10" t="str">
        <f>HYPERLINK("https://otsuka-europe-crm.veevavault.com/ui/#object/approved_document__v/V5O00000001H022", "LUP - VAE invitación simposio SEN-SER - Nefro")</f>
        <v>LUP - VAE invitación simposio SEN-SER - Nefro</v>
      </c>
      <c r="M5877" s="10" t="str">
        <f>HYPERLINK("mailto:jguri@crm.otsuka-europe.com", "jguri@crm.otsuka-europe.com")</f>
        <v>jguri@crm.otsuka-europe.com</v>
      </c>
      <c r="N5877" s="13">
        <v>46181.378020833334</v>
      </c>
      <c r="O5877" s="14" t="str">
        <f>HYPERLINK("https://otsuka-europe-crm.veevavault.com/ui/#object/email_activity__v/V8C00000003Q412", "EN-002091643")</f>
        <v>EN-002091643</v>
      </c>
    </row>
    <row r="5878" spans="1:15" ht="32" x14ac:dyDescent="0.2">
      <c r="A5878" s="7" t="str">
        <f>HYPERLINK("https://otsuka-europe-crm.veevavault.com/ui/#object/account__v/V4TZ06G6O71TAIP", "JOSE ANTONIO HERRERO CALVO")</f>
        <v>JOSE ANTONIO HERRERO CALVO</v>
      </c>
      <c r="B5878" s="7" t="str">
        <f>HYPERLINK("https://otsuka-europe-crm.veevavault.com/ui/#object/vcountry__v/VENZ000004SONF5", "ES")</f>
        <v>ES</v>
      </c>
      <c r="C5878" s="8" t="s">
        <v>41</v>
      </c>
      <c r="D5878" s="9" t="str">
        <f>HYPERLINK("https://otsuka-europe-crm.veevavault.com/ui/#object/approved_document__v/V5O00000001H022", "LUP - VAE invitación simposio SEN-SER - Nefro")</f>
        <v>LUP - VAE invitación simposio SEN-SER - Nefro</v>
      </c>
      <c r="E5878" s="10" t="str">
        <f>HYPERLINK("https://otsuka-europe-crm.veevavault.com/ui/#object/sent_email__v/VBL00000002S143", "SE-001434272")</f>
        <v>SE-001434272</v>
      </c>
      <c r="F5878" s="11"/>
      <c r="G5878" s="12">
        <v>0</v>
      </c>
      <c r="H5878" s="12">
        <v>0</v>
      </c>
      <c r="I5878" s="12">
        <v>0</v>
      </c>
      <c r="J5878" s="11"/>
      <c r="K5878" s="12">
        <v>0</v>
      </c>
      <c r="L5878" s="10" t="str">
        <f>HYPERLINK("https://otsuka-europe-crm.veevavault.com/ui/#object/approved_document__v/V5O00000001H022", "LUP - VAE invitación simposio SEN-SER - Nefro")</f>
        <v>LUP - VAE invitación simposio SEN-SER - Nefro</v>
      </c>
      <c r="M5878" s="10" t="str">
        <f>HYPERLINK("mailto:jguri@crm.otsuka-europe.com", "jguri@crm.otsuka-europe.com")</f>
        <v>jguri@crm.otsuka-europe.com</v>
      </c>
      <c r="N5878" s="13">
        <v>46181.378020833334</v>
      </c>
      <c r="O5878" s="14" t="str">
        <f>HYPERLINK("https://otsuka-europe-crm.veevavault.com/ui/#object/email_activity__v/V8C00000003Q405", "EN-002091626")</f>
        <v>EN-002091626</v>
      </c>
    </row>
    <row r="5879" spans="1:15" ht="16" x14ac:dyDescent="0.2">
      <c r="A5879" s="17" t="str">
        <f>HYPERLINK("https://otsuka-europe-crm.veevavault.com/ui/#object/account__v/V4TZ06G6O71T9JT", "HANANE BOUARICH")</f>
        <v>HANANE BOUARICH</v>
      </c>
      <c r="B5879" s="17" t="str">
        <f>HYPERLINK("https://otsuka-europe-crm.veevavault.com/ui/#object/vcountry__v/VENZ000004SONF5", "ES")</f>
        <v>ES</v>
      </c>
      <c r="C5879" s="20" t="s">
        <v>41</v>
      </c>
      <c r="D5879" s="21" t="str">
        <f>HYPERLINK("https://otsuka-europe-crm.veevavault.com/ui/#object/approved_document__v/V5O00000001H022", "LUP - VAE invitación simposio SEN-SER - Nefro")</f>
        <v>LUP - VAE invitación simposio SEN-SER - Nefro</v>
      </c>
      <c r="E5879" s="22" t="str">
        <f>HYPERLINK("https://otsuka-europe-crm.veevavault.com/ui/#object/sent_email__v/VBL00000002S144", "SE-001434273")</f>
        <v>SE-001434273</v>
      </c>
      <c r="F5879" s="23">
        <v>46181.72996527778</v>
      </c>
      <c r="G5879" s="24">
        <v>1</v>
      </c>
      <c r="H5879" s="24">
        <v>2</v>
      </c>
      <c r="I5879" s="24">
        <v>1</v>
      </c>
      <c r="J5879" s="23">
        <v>46181.730300925927</v>
      </c>
      <c r="K5879" s="24">
        <v>1</v>
      </c>
      <c r="L5879" s="22" t="str">
        <f>HYPERLINK("https://otsuka-europe-crm.veevavault.com/ui/#object/approved_document__v/V5O00000001H022", "LUP - VAE invitación simposio SEN-SER - Nefro")</f>
        <v>LUP - VAE invitación simposio SEN-SER - Nefro</v>
      </c>
      <c r="M5879" s="22" t="str">
        <f>HYPERLINK("mailto:jguri@crm.otsuka-europe.com", "jguri@crm.otsuka-europe.com")</f>
        <v>jguri@crm.otsuka-europe.com</v>
      </c>
      <c r="N5879" s="23">
        <v>46181.378020833334</v>
      </c>
      <c r="O5879" s="14" t="str">
        <f>HYPERLINK("https://otsuka-europe-crm.veevavault.com/ui/#object/email_activity__v/V8C00000003P976", "EN-002091612")</f>
        <v>EN-002091612</v>
      </c>
    </row>
    <row r="5880" spans="1:15" ht="16" x14ac:dyDescent="0.2">
      <c r="A5880" s="18"/>
      <c r="B5880" s="18"/>
      <c r="C5880" s="18"/>
      <c r="D5880" s="18"/>
      <c r="E5880" s="18"/>
      <c r="F5880" s="18"/>
      <c r="G5880" s="18"/>
      <c r="H5880" s="18"/>
      <c r="I5880" s="18"/>
      <c r="J5880" s="18"/>
      <c r="K5880" s="18"/>
      <c r="L5880" s="18"/>
      <c r="M5880" s="18"/>
      <c r="N5880" s="18"/>
      <c r="O5880" s="14" t="str">
        <f>HYPERLINK("https://otsuka-europe-crm.veevavault.com/ui/#object/email_activity__v/V8C00000003R133", "EN-002091931")</f>
        <v>EN-002091931</v>
      </c>
    </row>
    <row r="5881" spans="1:15" ht="16" x14ac:dyDescent="0.2">
      <c r="A5881" s="18"/>
      <c r="B5881" s="18"/>
      <c r="C5881" s="18"/>
      <c r="D5881" s="18"/>
      <c r="E5881" s="18"/>
      <c r="F5881" s="18"/>
      <c r="G5881" s="18"/>
      <c r="H5881" s="18"/>
      <c r="I5881" s="18"/>
      <c r="J5881" s="18"/>
      <c r="K5881" s="18"/>
      <c r="L5881" s="18"/>
      <c r="M5881" s="18"/>
      <c r="N5881" s="18"/>
      <c r="O5881" s="14" t="str">
        <f>HYPERLINK("https://otsuka-europe-crm.veevavault.com/ui/#object/email_activity__v/V8C00000003R242", "EN-002092132")</f>
        <v>EN-002092132</v>
      </c>
    </row>
    <row r="5882" spans="1:15" ht="16" x14ac:dyDescent="0.2">
      <c r="A5882" s="18"/>
      <c r="B5882" s="18"/>
      <c r="C5882" s="18"/>
      <c r="D5882" s="18"/>
      <c r="E5882" s="18"/>
      <c r="F5882" s="18"/>
      <c r="G5882" s="18"/>
      <c r="H5882" s="18"/>
      <c r="I5882" s="18"/>
      <c r="J5882" s="18"/>
      <c r="K5882" s="18"/>
      <c r="L5882" s="18"/>
      <c r="M5882" s="18"/>
      <c r="N5882" s="18"/>
      <c r="O5882" s="14" t="str">
        <f>HYPERLINK("https://otsuka-europe-crm.veevavault.com/ui/#object/email_activity__v/V8C00000003R245", "EN-002092135")</f>
        <v>EN-002092135</v>
      </c>
    </row>
    <row r="5883" spans="1:15" ht="16" x14ac:dyDescent="0.2">
      <c r="A5883" s="19"/>
      <c r="B5883" s="19"/>
      <c r="C5883" s="19"/>
      <c r="D5883" s="19"/>
      <c r="E5883" s="19"/>
      <c r="F5883" s="19"/>
      <c r="G5883" s="19"/>
      <c r="H5883" s="19"/>
      <c r="I5883" s="19"/>
      <c r="J5883" s="19"/>
      <c r="K5883" s="19"/>
      <c r="L5883" s="19"/>
      <c r="M5883" s="19"/>
      <c r="N5883" s="19"/>
      <c r="O5883" s="14" t="str">
        <f>HYPERLINK("https://otsuka-europe-crm.veevavault.com/ui/#object/email_activity__v/V8C00000003R270", "EN-002092175")</f>
        <v>EN-002092175</v>
      </c>
    </row>
    <row r="5884" spans="1:15" ht="16" x14ac:dyDescent="0.2">
      <c r="A5884" s="17" t="str">
        <f>HYPERLINK("https://otsuka-europe-crm.veevavault.com/ui/#object/account__v/V4TZ06G6O71T91X", "JOAQUIN ANTON MARTINEZ")</f>
        <v>JOAQUIN ANTON MARTINEZ</v>
      </c>
      <c r="B5884" s="17" t="str">
        <f>HYPERLINK("https://otsuka-europe-crm.veevavault.com/ui/#object/vcountry__v/VENZ000004SONF5", "ES")</f>
        <v>ES</v>
      </c>
      <c r="C5884" s="20" t="s">
        <v>41</v>
      </c>
      <c r="D5884" s="21" t="str">
        <f>HYPERLINK("https://otsuka-europe-crm.veevavault.com/ui/#object/approved_document__v/V5O00000001H022", "LUP - VAE invitación simposio SEN-SER - Nefro")</f>
        <v>LUP - VAE invitación simposio SEN-SER - Nefro</v>
      </c>
      <c r="E5884" s="22" t="str">
        <f>HYPERLINK("https://otsuka-europe-crm.veevavault.com/ui/#object/sent_email__v/VBL00000002S145", "SE-001434274")</f>
        <v>SE-001434274</v>
      </c>
      <c r="F5884" s="23">
        <v>46181.441817129627</v>
      </c>
      <c r="G5884" s="24">
        <v>1</v>
      </c>
      <c r="H5884" s="24">
        <v>1</v>
      </c>
      <c r="I5884" s="24">
        <v>0</v>
      </c>
      <c r="J5884" s="25"/>
      <c r="K5884" s="24">
        <v>0</v>
      </c>
      <c r="L5884" s="22" t="str">
        <f>HYPERLINK("https://otsuka-europe-crm.veevavault.com/ui/#object/approved_document__v/V5O00000001H022", "LUP - VAE invitación simposio SEN-SER - Nefro")</f>
        <v>LUP - VAE invitación simposio SEN-SER - Nefro</v>
      </c>
      <c r="M5884" s="22" t="str">
        <f>HYPERLINK("mailto:jguri@crm.otsuka-europe.com", "jguri@crm.otsuka-europe.com")</f>
        <v>jguri@crm.otsuka-europe.com</v>
      </c>
      <c r="N5884" s="23">
        <v>46181.378020833334</v>
      </c>
      <c r="O5884" s="14" t="str">
        <f>HYPERLINK("https://otsuka-europe-crm.veevavault.com/ui/#object/email_activity__v/V8C00000003Q409", "EN-002091630")</f>
        <v>EN-002091630</v>
      </c>
    </row>
    <row r="5885" spans="1:15" ht="16" x14ac:dyDescent="0.2">
      <c r="A5885" s="18"/>
      <c r="B5885" s="18"/>
      <c r="C5885" s="18"/>
      <c r="D5885" s="18"/>
      <c r="E5885" s="18"/>
      <c r="F5885" s="18"/>
      <c r="G5885" s="18"/>
      <c r="H5885" s="18"/>
      <c r="I5885" s="18"/>
      <c r="J5885" s="18"/>
      <c r="K5885" s="18"/>
      <c r="L5885" s="18"/>
      <c r="M5885" s="18"/>
      <c r="N5885" s="18"/>
      <c r="O5885" s="14" t="str">
        <f>HYPERLINK("https://otsuka-europe-crm.veevavault.com/ui/#object/email_activity__v/V8C00000003Q507", "EN-002091826")</f>
        <v>EN-002091826</v>
      </c>
    </row>
    <row r="5886" spans="1:15" ht="16" x14ac:dyDescent="0.2">
      <c r="A5886" s="18"/>
      <c r="B5886" s="18"/>
      <c r="C5886" s="18"/>
      <c r="D5886" s="18"/>
      <c r="E5886" s="18"/>
      <c r="F5886" s="18"/>
      <c r="G5886" s="18"/>
      <c r="H5886" s="18"/>
      <c r="I5886" s="18"/>
      <c r="J5886" s="18"/>
      <c r="K5886" s="18"/>
      <c r="L5886" s="18"/>
      <c r="M5886" s="18"/>
      <c r="N5886" s="18"/>
      <c r="O5886" s="14" t="str">
        <f>HYPERLINK("https://otsuka-europe-crm.veevavault.com/ui/#object/email_activity__v/V8C00000003R053", "EN-002091786")</f>
        <v>EN-002091786</v>
      </c>
    </row>
    <row r="5887" spans="1:15" ht="16" x14ac:dyDescent="0.2">
      <c r="A5887" s="19"/>
      <c r="B5887" s="19"/>
      <c r="C5887" s="19"/>
      <c r="D5887" s="19"/>
      <c r="E5887" s="19"/>
      <c r="F5887" s="19"/>
      <c r="G5887" s="19"/>
      <c r="H5887" s="19"/>
      <c r="I5887" s="19"/>
      <c r="J5887" s="19"/>
      <c r="K5887" s="19"/>
      <c r="L5887" s="19"/>
      <c r="M5887" s="19"/>
      <c r="N5887" s="19"/>
      <c r="O5887" s="14" t="str">
        <f>HYPERLINK("https://otsuka-europe-crm.veevavault.com/ui/#object/email_activity__v/V8C00000003R843", "EN-002093269")</f>
        <v>EN-002093269</v>
      </c>
    </row>
    <row r="5888" spans="1:15" ht="16" x14ac:dyDescent="0.2">
      <c r="A5888" s="17" t="str">
        <f>HYPERLINK("https://otsuka-europe-crm.veevavault.com/ui/#object/account__v/V4TZ06G6O71TB3N", "JESUS PEDRO MARIN ALVAREZ")</f>
        <v>JESUS PEDRO MARIN ALVAREZ</v>
      </c>
      <c r="B5888" s="17" t="str">
        <f>HYPERLINK("https://otsuka-europe-crm.veevavault.com/ui/#object/vcountry__v/VENZ000004SONF5", "ES")</f>
        <v>ES</v>
      </c>
      <c r="C5888" s="20" t="s">
        <v>41</v>
      </c>
      <c r="D5888" s="21" t="str">
        <f>HYPERLINK("https://otsuka-europe-crm.veevavault.com/ui/#object/approved_document__v/V5O00000001H022", "LUP - VAE invitación simposio SEN-SER - Nefro")</f>
        <v>LUP - VAE invitación simposio SEN-SER - Nefro</v>
      </c>
      <c r="E5888" s="22" t="str">
        <f>HYPERLINK("https://otsuka-europe-crm.veevavault.com/ui/#object/sent_email__v/VBL00000002S146", "SE-001434275")</f>
        <v>SE-001434275</v>
      </c>
      <c r="F5888" s="23">
        <v>46181.573333333334</v>
      </c>
      <c r="G5888" s="24">
        <v>1</v>
      </c>
      <c r="H5888" s="24">
        <v>1</v>
      </c>
      <c r="I5888" s="24">
        <v>1</v>
      </c>
      <c r="J5888" s="23">
        <v>46181.573333333334</v>
      </c>
      <c r="K5888" s="24">
        <v>1</v>
      </c>
      <c r="L5888" s="22" t="str">
        <f>HYPERLINK("https://otsuka-europe-crm.veevavault.com/ui/#object/approved_document__v/V5O00000001H022", "LUP - VAE invitación simposio SEN-SER - Nefro")</f>
        <v>LUP - VAE invitación simposio SEN-SER - Nefro</v>
      </c>
      <c r="M5888" s="22" t="str">
        <f>HYPERLINK("mailto:jguri@crm.otsuka-europe.com", "jguri@crm.otsuka-europe.com")</f>
        <v>jguri@crm.otsuka-europe.com</v>
      </c>
      <c r="N5888" s="23">
        <v>46181.378020833334</v>
      </c>
      <c r="O5888" s="14" t="str">
        <f>HYPERLINK("https://otsuka-europe-crm.veevavault.com/ui/#object/email_activity__v/V8C00000003P997", "EN-002091656")</f>
        <v>EN-002091656</v>
      </c>
    </row>
    <row r="5889" spans="1:15" ht="16" x14ac:dyDescent="0.2">
      <c r="A5889" s="18"/>
      <c r="B5889" s="18"/>
      <c r="C5889" s="18"/>
      <c r="D5889" s="18"/>
      <c r="E5889" s="18"/>
      <c r="F5889" s="18"/>
      <c r="G5889" s="18"/>
      <c r="H5889" s="18"/>
      <c r="I5889" s="18"/>
      <c r="J5889" s="18"/>
      <c r="K5889" s="18"/>
      <c r="L5889" s="18"/>
      <c r="M5889" s="18"/>
      <c r="N5889" s="18"/>
      <c r="O5889" s="14" t="str">
        <f>HYPERLINK("https://otsuka-europe-crm.veevavault.com/ui/#object/email_activity__v/V8C00000003Q581", "EN-002091975")</f>
        <v>EN-002091975</v>
      </c>
    </row>
    <row r="5890" spans="1:15" ht="16" x14ac:dyDescent="0.2">
      <c r="A5890" s="18"/>
      <c r="B5890" s="18"/>
      <c r="C5890" s="18"/>
      <c r="D5890" s="18"/>
      <c r="E5890" s="18"/>
      <c r="F5890" s="18"/>
      <c r="G5890" s="18"/>
      <c r="H5890" s="18"/>
      <c r="I5890" s="18"/>
      <c r="J5890" s="18"/>
      <c r="K5890" s="18"/>
      <c r="L5890" s="18"/>
      <c r="M5890" s="18"/>
      <c r="N5890" s="18"/>
      <c r="O5890" s="14" t="str">
        <f>HYPERLINK("https://otsuka-europe-crm.veevavault.com/ui/#object/email_activity__v/V8C00000003Q582", "EN-002091974")</f>
        <v>EN-002091974</v>
      </c>
    </row>
    <row r="5891" spans="1:15" ht="16" x14ac:dyDescent="0.2">
      <c r="A5891" s="19"/>
      <c r="B5891" s="19"/>
      <c r="C5891" s="19"/>
      <c r="D5891" s="19"/>
      <c r="E5891" s="19"/>
      <c r="F5891" s="19"/>
      <c r="G5891" s="19"/>
      <c r="H5891" s="19"/>
      <c r="I5891" s="19"/>
      <c r="J5891" s="19"/>
      <c r="K5891" s="19"/>
      <c r="L5891" s="19"/>
      <c r="M5891" s="19"/>
      <c r="N5891" s="19"/>
      <c r="O5891" s="14" t="str">
        <f>HYPERLINK("https://otsuka-europe-crm.veevavault.com/ui/#object/email_activity__v/V8C00000003R163", "EN-002091988")</f>
        <v>EN-002091988</v>
      </c>
    </row>
    <row r="5892" spans="1:15" ht="16" x14ac:dyDescent="0.2">
      <c r="A5892" s="17" t="str">
        <f>HYPERLINK("https://otsuka-europe-crm.veevavault.com/ui/#object/account__v/V4TZ04ASG6TKB3P", "TATIANA CAROLINA NIÑO MOJICA")</f>
        <v>TATIANA CAROLINA NIÑO MOJICA</v>
      </c>
      <c r="B5892" s="17" t="str">
        <f>HYPERLINK("https://otsuka-europe-crm.veevavault.com/ui/#object/vcountry__v/VENZ000004SONF5", "ES")</f>
        <v>ES</v>
      </c>
      <c r="C5892" s="20" t="s">
        <v>41</v>
      </c>
      <c r="D5892" s="21" t="str">
        <f>HYPERLINK("https://otsuka-europe-crm.veevavault.com/ui/#object/approved_document__v/V5O00000001H022", "LUP - VAE invitación simposio SEN-SER - Nefro")</f>
        <v>LUP - VAE invitación simposio SEN-SER - Nefro</v>
      </c>
      <c r="E5892" s="22" t="str">
        <f>HYPERLINK("https://otsuka-europe-crm.veevavault.com/ui/#object/sent_email__v/VBL00000002S147", "SE-001434276")</f>
        <v>SE-001434276</v>
      </c>
      <c r="F5892" s="23">
        <v>46182.458587962959</v>
      </c>
      <c r="G5892" s="24">
        <v>1</v>
      </c>
      <c r="H5892" s="24">
        <v>2</v>
      </c>
      <c r="I5892" s="24">
        <v>0</v>
      </c>
      <c r="J5892" s="25"/>
      <c r="K5892" s="24">
        <v>0</v>
      </c>
      <c r="L5892" s="22" t="str">
        <f>HYPERLINK("https://otsuka-europe-crm.veevavault.com/ui/#object/approved_document__v/V5O00000001H022", "LUP - VAE invitación simposio SEN-SER - Nefro")</f>
        <v>LUP - VAE invitación simposio SEN-SER - Nefro</v>
      </c>
      <c r="M5892" s="22" t="str">
        <f>HYPERLINK("mailto:jguri@crm.otsuka-europe.com", "jguri@crm.otsuka-europe.com")</f>
        <v>jguri@crm.otsuka-europe.com</v>
      </c>
      <c r="N5892" s="23">
        <v>46181.378020833334</v>
      </c>
      <c r="O5892" s="14" t="str">
        <f>HYPERLINK("https://otsuka-europe-crm.veevavault.com/ui/#object/email_activity__v/V8C00000003Q392", "EN-002091596")</f>
        <v>EN-002091596</v>
      </c>
    </row>
    <row r="5893" spans="1:15" ht="16" x14ac:dyDescent="0.2">
      <c r="A5893" s="18"/>
      <c r="B5893" s="18"/>
      <c r="C5893" s="18"/>
      <c r="D5893" s="18"/>
      <c r="E5893" s="18"/>
      <c r="F5893" s="18"/>
      <c r="G5893" s="18"/>
      <c r="H5893" s="18"/>
      <c r="I5893" s="18"/>
      <c r="J5893" s="18"/>
      <c r="K5893" s="18"/>
      <c r="L5893" s="18"/>
      <c r="M5893" s="18"/>
      <c r="N5893" s="18"/>
      <c r="O5893" s="14" t="str">
        <f>HYPERLINK("https://otsuka-europe-crm.veevavault.com/ui/#object/email_activity__v/V8C00000003R019", "EN-002091743")</f>
        <v>EN-002091743</v>
      </c>
    </row>
    <row r="5894" spans="1:15" ht="16" x14ac:dyDescent="0.2">
      <c r="A5894" s="19"/>
      <c r="B5894" s="19"/>
      <c r="C5894" s="19"/>
      <c r="D5894" s="19"/>
      <c r="E5894" s="19"/>
      <c r="F5894" s="19"/>
      <c r="G5894" s="19"/>
      <c r="H5894" s="19"/>
      <c r="I5894" s="19"/>
      <c r="J5894" s="19"/>
      <c r="K5894" s="19"/>
      <c r="L5894" s="19"/>
      <c r="M5894" s="19"/>
      <c r="N5894" s="19"/>
      <c r="O5894" s="14" t="str">
        <f>HYPERLINK("https://otsuka-europe-crm.veevavault.com/ui/#object/email_activity__v/V8C00000003R591", "EN-002092832")</f>
        <v>EN-002092832</v>
      </c>
    </row>
    <row r="5895" spans="1:15" ht="16" x14ac:dyDescent="0.2">
      <c r="A5895" s="17" t="str">
        <f>HYPERLINK("https://otsuka-europe-crm.veevavault.com/ui/#object/account__v/V4TZ025E82FQTVA", "JAVIER AZORES MORENO")</f>
        <v>JAVIER AZORES MORENO</v>
      </c>
      <c r="B5895" s="17" t="str">
        <f>HYPERLINK("https://otsuka-europe-crm.veevavault.com/ui/#object/vcountry__v/VENZ000004SONF5", "ES")</f>
        <v>ES</v>
      </c>
      <c r="C5895" s="20" t="s">
        <v>41</v>
      </c>
      <c r="D5895" s="21" t="str">
        <f>HYPERLINK("https://otsuka-europe-crm.veevavault.com/ui/#object/approved_document__v/V5O00000001H022", "LUP - VAE invitación simposio SEN-SER - Nefro")</f>
        <v>LUP - VAE invitación simposio SEN-SER - Nefro</v>
      </c>
      <c r="E5895" s="22" t="str">
        <f>HYPERLINK("https://otsuka-europe-crm.veevavault.com/ui/#object/sent_email__v/VBL00000002S148", "SE-001434277")</f>
        <v>SE-001434277</v>
      </c>
      <c r="F5895" s="23">
        <v>46181.488819444443</v>
      </c>
      <c r="G5895" s="24">
        <v>1</v>
      </c>
      <c r="H5895" s="24">
        <v>2</v>
      </c>
      <c r="I5895" s="24">
        <v>0</v>
      </c>
      <c r="J5895" s="25"/>
      <c r="K5895" s="24">
        <v>0</v>
      </c>
      <c r="L5895" s="22" t="str">
        <f>HYPERLINK("https://otsuka-europe-crm.veevavault.com/ui/#object/approved_document__v/V5O00000001H022", "LUP - VAE invitación simposio SEN-SER - Nefro")</f>
        <v>LUP - VAE invitación simposio SEN-SER - Nefro</v>
      </c>
      <c r="M5895" s="22" t="str">
        <f>HYPERLINK("mailto:jguri@crm.otsuka-europe.com", "jguri@crm.otsuka-europe.com")</f>
        <v>jguri@crm.otsuka-europe.com</v>
      </c>
      <c r="N5895" s="23">
        <v>46181.378020833334</v>
      </c>
      <c r="O5895" s="14" t="str">
        <f>HYPERLINK("https://otsuka-europe-crm.veevavault.com/ui/#object/email_activity__v/V8C00000003P983", "EN-002091633")</f>
        <v>EN-002091633</v>
      </c>
    </row>
    <row r="5896" spans="1:15" ht="16" x14ac:dyDescent="0.2">
      <c r="A5896" s="18"/>
      <c r="B5896" s="18"/>
      <c r="C5896" s="18"/>
      <c r="D5896" s="18"/>
      <c r="E5896" s="18"/>
      <c r="F5896" s="18"/>
      <c r="G5896" s="18"/>
      <c r="H5896" s="18"/>
      <c r="I5896" s="18"/>
      <c r="J5896" s="18"/>
      <c r="K5896" s="18"/>
      <c r="L5896" s="18"/>
      <c r="M5896" s="18"/>
      <c r="N5896" s="18"/>
      <c r="O5896" s="14" t="str">
        <f>HYPERLINK("https://otsuka-europe-crm.veevavault.com/ui/#object/email_activity__v/V8C00000003Q551", "EN-002091908")</f>
        <v>EN-002091908</v>
      </c>
    </row>
    <row r="5897" spans="1:15" ht="16" x14ac:dyDescent="0.2">
      <c r="A5897" s="19"/>
      <c r="B5897" s="19"/>
      <c r="C5897" s="19"/>
      <c r="D5897" s="19"/>
      <c r="E5897" s="19"/>
      <c r="F5897" s="19"/>
      <c r="G5897" s="19"/>
      <c r="H5897" s="19"/>
      <c r="I5897" s="19"/>
      <c r="J5897" s="19"/>
      <c r="K5897" s="19"/>
      <c r="L5897" s="19"/>
      <c r="M5897" s="19"/>
      <c r="N5897" s="19"/>
      <c r="O5897" s="14" t="str">
        <f>HYPERLINK("https://otsuka-europe-crm.veevavault.com/ui/#object/email_activity__v/V8C00000003Q552", "EN-002091909")</f>
        <v>EN-002091909</v>
      </c>
    </row>
    <row r="5898" spans="1:15" ht="16" x14ac:dyDescent="0.2">
      <c r="A5898" s="17" t="str">
        <f>HYPERLINK("https://otsuka-europe-crm.veevavault.com/ui/#object/account__v/V4TZ06G6O71TBYJ", "ANTOLINA RODRIGUEZ MORENO")</f>
        <v>ANTOLINA RODRIGUEZ MORENO</v>
      </c>
      <c r="B5898" s="17" t="str">
        <f>HYPERLINK("https://otsuka-europe-crm.veevavault.com/ui/#object/vcountry__v/VENZ000004SONF5", "ES")</f>
        <v>ES</v>
      </c>
      <c r="C5898" s="20" t="s">
        <v>41</v>
      </c>
      <c r="D5898" s="21" t="str">
        <f>HYPERLINK("https://otsuka-europe-crm.veevavault.com/ui/#object/approved_document__v/V5O00000001H022", "LUP - VAE invitación simposio SEN-SER - Nefro")</f>
        <v>LUP - VAE invitación simposio SEN-SER - Nefro</v>
      </c>
      <c r="E5898" s="22" t="str">
        <f>HYPERLINK("https://otsuka-europe-crm.veevavault.com/ui/#object/sent_email__v/VBL00000002S149", "SE-001434278")</f>
        <v>SE-001434278</v>
      </c>
      <c r="F5898" s="25"/>
      <c r="G5898" s="24">
        <v>0</v>
      </c>
      <c r="H5898" s="24">
        <v>0</v>
      </c>
      <c r="I5898" s="24">
        <v>1</v>
      </c>
      <c r="J5898" s="23">
        <v>46183.768263888887</v>
      </c>
      <c r="K5898" s="24">
        <v>1</v>
      </c>
      <c r="L5898" s="22" t="str">
        <f>HYPERLINK("https://otsuka-europe-crm.veevavault.com/ui/#object/approved_document__v/V5O00000001H022", "LUP - VAE invitación simposio SEN-SER - Nefro")</f>
        <v>LUP - VAE invitación simposio SEN-SER - Nefro</v>
      </c>
      <c r="M5898" s="22" t="str">
        <f>HYPERLINK("mailto:jguri@crm.otsuka-europe.com", "jguri@crm.otsuka-europe.com")</f>
        <v>jguri@crm.otsuka-europe.com</v>
      </c>
      <c r="N5898" s="23">
        <v>46181.380266203705</v>
      </c>
      <c r="O5898" s="14" t="str">
        <f>HYPERLINK("https://otsuka-europe-crm.veevavault.com/ui/#object/email_activity__v/V8C00000003Q454", "EN-002091693")</f>
        <v>EN-002091693</v>
      </c>
    </row>
    <row r="5899" spans="1:15" ht="16" x14ac:dyDescent="0.2">
      <c r="A5899" s="18"/>
      <c r="B5899" s="18"/>
      <c r="C5899" s="18"/>
      <c r="D5899" s="18"/>
      <c r="E5899" s="18"/>
      <c r="F5899" s="18"/>
      <c r="G5899" s="18"/>
      <c r="H5899" s="18"/>
      <c r="I5899" s="18"/>
      <c r="J5899" s="18"/>
      <c r="K5899" s="18"/>
      <c r="L5899" s="18"/>
      <c r="M5899" s="18"/>
      <c r="N5899" s="18"/>
      <c r="O5899" s="14" t="str">
        <f>HYPERLINK("https://otsuka-europe-crm.veevavault.com/ui/#object/email_activity__v/V8C00000003S767", "EN-002094397")</f>
        <v>EN-002094397</v>
      </c>
    </row>
    <row r="5900" spans="1:15" ht="16" x14ac:dyDescent="0.2">
      <c r="A5900" s="18"/>
      <c r="B5900" s="18"/>
      <c r="C5900" s="18"/>
      <c r="D5900" s="18"/>
      <c r="E5900" s="18"/>
      <c r="F5900" s="18"/>
      <c r="G5900" s="18"/>
      <c r="H5900" s="18"/>
      <c r="I5900" s="18"/>
      <c r="J5900" s="18"/>
      <c r="K5900" s="18"/>
      <c r="L5900" s="18"/>
      <c r="M5900" s="18"/>
      <c r="N5900" s="18"/>
      <c r="O5900" s="14" t="str">
        <f>HYPERLINK("https://otsuka-europe-crm.veevavault.com/ui/#object/email_activity__v/V8C00000003T141", "EN-002093840")</f>
        <v>EN-002093840</v>
      </c>
    </row>
    <row r="5901" spans="1:15" ht="16" x14ac:dyDescent="0.2">
      <c r="A5901" s="19"/>
      <c r="B5901" s="19"/>
      <c r="C5901" s="19"/>
      <c r="D5901" s="19"/>
      <c r="E5901" s="19"/>
      <c r="F5901" s="19"/>
      <c r="G5901" s="19"/>
      <c r="H5901" s="19"/>
      <c r="I5901" s="19"/>
      <c r="J5901" s="19"/>
      <c r="K5901" s="19"/>
      <c r="L5901" s="19"/>
      <c r="M5901" s="19"/>
      <c r="N5901" s="19"/>
      <c r="O5901" s="14" t="str">
        <f>HYPERLINK("https://otsuka-europe-crm.veevavault.com/ui/#object/email_activity__v/V8C00000003T390", "EN-002094379")</f>
        <v>EN-002094379</v>
      </c>
    </row>
    <row r="5902" spans="1:15" ht="32" x14ac:dyDescent="0.2">
      <c r="A5902" s="7" t="str">
        <f>HYPERLINK("https://otsuka-europe-crm.veevavault.com/ui/#object/account__v/V4TZ04ASGDZZMPA", "ANA CRISTINA MENDOZA CEDEÑO")</f>
        <v>ANA CRISTINA MENDOZA CEDEÑO</v>
      </c>
      <c r="B5902" s="7" t="str">
        <f>HYPERLINK("https://otsuka-europe-crm.veevavault.com/ui/#object/vcountry__v/VENZ000004SONF5", "ES")</f>
        <v>ES</v>
      </c>
      <c r="C5902" s="8" t="s">
        <v>41</v>
      </c>
      <c r="D5902" s="9" t="str">
        <f>HYPERLINK("https://otsuka-europe-crm.veevavault.com/ui/#object/approved_document__v/V5O00000001H022", "LUP - VAE invitación simposio SEN-SER - Nefro")</f>
        <v>LUP - VAE invitación simposio SEN-SER - Nefro</v>
      </c>
      <c r="E5902" s="10" t="str">
        <f>HYPERLINK("https://otsuka-europe-crm.veevavault.com/ui/#object/sent_email__v/VBL00000002S150", "SE-001434279")</f>
        <v>SE-001434279</v>
      </c>
      <c r="F5902" s="11"/>
      <c r="G5902" s="12">
        <v>0</v>
      </c>
      <c r="H5902" s="12">
        <v>0</v>
      </c>
      <c r="I5902" s="12">
        <v>0</v>
      </c>
      <c r="J5902" s="11"/>
      <c r="K5902" s="12">
        <v>0</v>
      </c>
      <c r="L5902" s="10" t="str">
        <f>HYPERLINK("https://otsuka-europe-crm.veevavault.com/ui/#object/approved_document__v/V5O00000001H022", "LUP - VAE invitación simposio SEN-SER - Nefro")</f>
        <v>LUP - VAE invitación simposio SEN-SER - Nefro</v>
      </c>
      <c r="M5902" s="10" t="str">
        <f>HYPERLINK("mailto:jguri@crm.otsuka-europe.com", "jguri@crm.otsuka-europe.com")</f>
        <v>jguri@crm.otsuka-europe.com</v>
      </c>
      <c r="N5902" s="13">
        <v>46181.380266203705</v>
      </c>
      <c r="O5902" s="14" t="str">
        <f>HYPERLINK("https://otsuka-europe-crm.veevavault.com/ui/#object/email_activity__v/V8C00000003Q436", "EN-002091675")</f>
        <v>EN-002091675</v>
      </c>
    </row>
    <row r="5903" spans="1:15" ht="16" x14ac:dyDescent="0.2">
      <c r="A5903" s="17" t="str">
        <f>HYPERLINK("https://otsuka-europe-crm.veevavault.com/ui/#object/account__v/V4T00000000L023", "ANA ALONSO FUENTE")</f>
        <v>ANA ALONSO FUENTE</v>
      </c>
      <c r="B5903" s="17" t="str">
        <f>HYPERLINK("https://otsuka-europe-crm.veevavault.com/ui/#object/vcountry__v/VENZ000004SONF5", "ES")</f>
        <v>ES</v>
      </c>
      <c r="C5903" s="20" t="s">
        <v>41</v>
      </c>
      <c r="D5903" s="21" t="str">
        <f>HYPERLINK("https://otsuka-europe-crm.veevavault.com/ui/#object/approved_document__v/V5O00000001H022", "LUP - VAE invitación simposio SEN-SER - Nefro")</f>
        <v>LUP - VAE invitación simposio SEN-SER - Nefro</v>
      </c>
      <c r="E5903" s="22" t="str">
        <f>HYPERLINK("https://otsuka-europe-crm.veevavault.com/ui/#object/sent_email__v/VBL00000002S151", "SE-001434280")</f>
        <v>SE-001434280</v>
      </c>
      <c r="F5903" s="25"/>
      <c r="G5903" s="24">
        <v>0</v>
      </c>
      <c r="H5903" s="24">
        <v>0</v>
      </c>
      <c r="I5903" s="24">
        <v>0</v>
      </c>
      <c r="J5903" s="25"/>
      <c r="K5903" s="24">
        <v>0</v>
      </c>
      <c r="L5903" s="22" t="str">
        <f>HYPERLINK("https://otsuka-europe-crm.veevavault.com/ui/#object/approved_document__v/V5O00000001H022", "LUP - VAE invitación simposio SEN-SER - Nefro")</f>
        <v>LUP - VAE invitación simposio SEN-SER - Nefro</v>
      </c>
      <c r="M5903" s="22" t="str">
        <f>HYPERLINK("mailto:jguri@crm.otsuka-europe.com", "jguri@crm.otsuka-europe.com")</f>
        <v>jguri@crm.otsuka-europe.com</v>
      </c>
      <c r="N5903" s="23">
        <v>46181.380266203705</v>
      </c>
      <c r="O5903" s="14" t="str">
        <f>HYPERLINK("https://otsuka-europe-crm.veevavault.com/ui/#object/email_activity__v/V8C00000003Q437", "EN-002091676")</f>
        <v>EN-002091676</v>
      </c>
    </row>
    <row r="5904" spans="1:15" ht="16" x14ac:dyDescent="0.2">
      <c r="A5904" s="19"/>
      <c r="B5904" s="19"/>
      <c r="C5904" s="19"/>
      <c r="D5904" s="19"/>
      <c r="E5904" s="19"/>
      <c r="F5904" s="19"/>
      <c r="G5904" s="19"/>
      <c r="H5904" s="19"/>
      <c r="I5904" s="19"/>
      <c r="J5904" s="19"/>
      <c r="K5904" s="19"/>
      <c r="L5904" s="19"/>
      <c r="M5904" s="19"/>
      <c r="N5904" s="19"/>
      <c r="O5904" s="14" t="str">
        <f>HYPERLINK("https://otsuka-europe-crm.veevavault.com/ui/#object/email_activity__v/V8C00000003T114", "EN-002093786")</f>
        <v>EN-002093786</v>
      </c>
    </row>
    <row r="5905" spans="1:15" ht="32" x14ac:dyDescent="0.2">
      <c r="A5905" s="7" t="str">
        <f>HYPERLINK("https://otsuka-europe-crm.veevavault.com/ui/#object/account__v/V4TZ06G6O71T8YM", "BEATRIZ ESPEJO MARCHANTE")</f>
        <v>BEATRIZ ESPEJO MARCHANTE</v>
      </c>
      <c r="B5905" s="7" t="str">
        <f>HYPERLINK("https://otsuka-europe-crm.veevavault.com/ui/#object/vcountry__v/VENZ000004SONF5", "ES")</f>
        <v>ES</v>
      </c>
      <c r="C5905" s="8" t="s">
        <v>41</v>
      </c>
      <c r="D5905" s="9" t="str">
        <f>HYPERLINK("https://otsuka-europe-crm.veevavault.com/ui/#object/approved_document__v/V5O00000001H022", "LUP - VAE invitación simposio SEN-SER - Nefro")</f>
        <v>LUP - VAE invitación simposio SEN-SER - Nefro</v>
      </c>
      <c r="E5905" s="10" t="str">
        <f>HYPERLINK("https://otsuka-europe-crm.veevavault.com/ui/#object/sent_email__v/VBL00000002S152", "SE-001434281")</f>
        <v>SE-001434281</v>
      </c>
      <c r="F5905" s="11"/>
      <c r="G5905" s="12">
        <v>0</v>
      </c>
      <c r="H5905" s="12">
        <v>0</v>
      </c>
      <c r="I5905" s="12">
        <v>0</v>
      </c>
      <c r="J5905" s="11"/>
      <c r="K5905" s="12">
        <v>0</v>
      </c>
      <c r="L5905" s="10" t="str">
        <f>HYPERLINK("https://otsuka-europe-crm.veevavault.com/ui/#object/approved_document__v/V5O00000001H022", "LUP - VAE invitación simposio SEN-SER - Nefro")</f>
        <v>LUP - VAE invitación simposio SEN-SER - Nefro</v>
      </c>
      <c r="M5905" s="10" t="str">
        <f>HYPERLINK("mailto:jguri@crm.otsuka-europe.com", "jguri@crm.otsuka-europe.com")</f>
        <v>jguri@crm.otsuka-europe.com</v>
      </c>
      <c r="N5905" s="13">
        <v>46181.380266203705</v>
      </c>
      <c r="O5905" s="14" t="str">
        <f>HYPERLINK("https://otsuka-europe-crm.veevavault.com/ui/#object/email_activity__v/V8C00000003Q453", "EN-002091692")</f>
        <v>EN-002091692</v>
      </c>
    </row>
    <row r="5906" spans="1:15" ht="32" x14ac:dyDescent="0.2">
      <c r="A5906" s="7" t="str">
        <f>HYPERLINK("https://otsuka-europe-crm.veevavault.com/ui/#object/account__v/V4TZ06G6OBIJK7D", "ANGELO ROBERTO FALCONI SARMIENTO")</f>
        <v>ANGELO ROBERTO FALCONI SARMIENTO</v>
      </c>
      <c r="B5906" s="7" t="str">
        <f>HYPERLINK("https://otsuka-europe-crm.veevavault.com/ui/#object/vcountry__v/VENZ000004SONF5", "ES")</f>
        <v>ES</v>
      </c>
      <c r="C5906" s="8" t="s">
        <v>41</v>
      </c>
      <c r="D5906" s="9" t="str">
        <f>HYPERLINK("https://otsuka-europe-crm.veevavault.com/ui/#object/approved_document__v/V5O00000001H022", "LUP - VAE invitación simposio SEN-SER - Nefro")</f>
        <v>LUP - VAE invitación simposio SEN-SER - Nefro</v>
      </c>
      <c r="E5906" s="10" t="str">
        <f>HYPERLINK("https://otsuka-europe-crm.veevavault.com/ui/#object/sent_email__v/VBL00000002S153", "SE-001434282")</f>
        <v>SE-001434282</v>
      </c>
      <c r="F5906" s="11"/>
      <c r="G5906" s="12">
        <v>0</v>
      </c>
      <c r="H5906" s="12">
        <v>0</v>
      </c>
      <c r="I5906" s="12">
        <v>0</v>
      </c>
      <c r="J5906" s="11"/>
      <c r="K5906" s="12">
        <v>0</v>
      </c>
      <c r="L5906" s="10" t="str">
        <f>HYPERLINK("https://otsuka-europe-crm.veevavault.com/ui/#object/approved_document__v/V5O00000001H022", "LUP - VAE invitación simposio SEN-SER - Nefro")</f>
        <v>LUP - VAE invitación simposio SEN-SER - Nefro</v>
      </c>
      <c r="M5906" s="10" t="str">
        <f>HYPERLINK("mailto:jguri@crm.otsuka-europe.com", "jguri@crm.otsuka-europe.com")</f>
        <v>jguri@crm.otsuka-europe.com</v>
      </c>
      <c r="N5906" s="13">
        <v>46181.380266203705</v>
      </c>
      <c r="O5906" s="14" t="str">
        <f>HYPERLINK("https://otsuka-europe-crm.veevavault.com/ui/#object/email_activity__v/V8C00000003Q452", "EN-002091691")</f>
        <v>EN-002091691</v>
      </c>
    </row>
    <row r="5907" spans="1:15" ht="32" x14ac:dyDescent="0.2">
      <c r="A5907" s="7" t="str">
        <f>HYPERLINK("https://otsuka-europe-crm.veevavault.com/ui/#object/account__v/V4TZ06G6OBU8UR5", "ANDRE ROCHA RODRIGUES")</f>
        <v>ANDRE ROCHA RODRIGUES</v>
      </c>
      <c r="B5907" s="7" t="str">
        <f>HYPERLINK("https://otsuka-europe-crm.veevavault.com/ui/#object/vcountry__v/VENZ000004SONF5", "ES")</f>
        <v>ES</v>
      </c>
      <c r="C5907" s="8" t="s">
        <v>41</v>
      </c>
      <c r="D5907" s="9" t="str">
        <f>HYPERLINK("https://otsuka-europe-crm.veevavault.com/ui/#object/approved_document__v/V5O00000001H022", "LUP - VAE invitación simposio SEN-SER - Nefro")</f>
        <v>LUP - VAE invitación simposio SEN-SER - Nefro</v>
      </c>
      <c r="E5907" s="10" t="str">
        <f>HYPERLINK("https://otsuka-europe-crm.veevavault.com/ui/#object/sent_email__v/VBL00000002S154", "SE-001434283")</f>
        <v>SE-001434283</v>
      </c>
      <c r="F5907" s="11"/>
      <c r="G5907" s="12">
        <v>0</v>
      </c>
      <c r="H5907" s="12">
        <v>0</v>
      </c>
      <c r="I5907" s="12">
        <v>0</v>
      </c>
      <c r="J5907" s="11"/>
      <c r="K5907" s="12">
        <v>0</v>
      </c>
      <c r="L5907" s="10" t="str">
        <f>HYPERLINK("https://otsuka-europe-crm.veevavault.com/ui/#object/approved_document__v/V5O00000001H022", "LUP - VAE invitación simposio SEN-SER - Nefro")</f>
        <v>LUP - VAE invitación simposio SEN-SER - Nefro</v>
      </c>
      <c r="M5907" s="10" t="str">
        <f>HYPERLINK("mailto:jguri@crm.otsuka-europe.com", "jguri@crm.otsuka-europe.com")</f>
        <v>jguri@crm.otsuka-europe.com</v>
      </c>
      <c r="N5907" s="13">
        <v>46181.380266203705</v>
      </c>
      <c r="O5907" s="14" t="str">
        <f>HYPERLINK("https://otsuka-europe-crm.veevavault.com/ui/#object/email_activity__v/V8C00000003Q450", "EN-002091689")</f>
        <v>EN-002091689</v>
      </c>
    </row>
    <row r="5908" spans="1:15" ht="32" x14ac:dyDescent="0.2">
      <c r="A5908" s="7" t="str">
        <f>HYPERLINK("https://otsuka-europe-crm.veevavault.com/ui/#object/account__v/V4TZ06G6O71T7OA", "CLARA GARCIA CARRO")</f>
        <v>CLARA GARCIA CARRO</v>
      </c>
      <c r="B5908" s="7" t="str">
        <f>HYPERLINK("https://otsuka-europe-crm.veevavault.com/ui/#object/vcountry__v/VENZ000004SONF5", "ES")</f>
        <v>ES</v>
      </c>
      <c r="C5908" s="8" t="s">
        <v>41</v>
      </c>
      <c r="D5908" s="9" t="str">
        <f>HYPERLINK("https://otsuka-europe-crm.veevavault.com/ui/#object/approved_document__v/V5O00000001H022", "LUP - VAE invitación simposio SEN-SER - Nefro")</f>
        <v>LUP - VAE invitación simposio SEN-SER - Nefro</v>
      </c>
      <c r="E5908" s="10" t="str">
        <f>HYPERLINK("https://otsuka-europe-crm.veevavault.com/ui/#object/sent_email__v/VBL00000002S155", "SE-001434284")</f>
        <v>SE-001434284</v>
      </c>
      <c r="F5908" s="11"/>
      <c r="G5908" s="12">
        <v>0</v>
      </c>
      <c r="H5908" s="12">
        <v>0</v>
      </c>
      <c r="I5908" s="12">
        <v>0</v>
      </c>
      <c r="J5908" s="11"/>
      <c r="K5908" s="12">
        <v>0</v>
      </c>
      <c r="L5908" s="10" t="str">
        <f>HYPERLINK("https://otsuka-europe-crm.veevavault.com/ui/#object/approved_document__v/V5O00000001H022", "LUP - VAE invitación simposio SEN-SER - Nefro")</f>
        <v>LUP - VAE invitación simposio SEN-SER - Nefro</v>
      </c>
      <c r="M5908" s="10" t="str">
        <f>HYPERLINK("mailto:jguri@crm.otsuka-europe.com", "jguri@crm.otsuka-europe.com")</f>
        <v>jguri@crm.otsuka-europe.com</v>
      </c>
      <c r="N5908" s="13">
        <v>46181.380254629628</v>
      </c>
      <c r="O5908" s="14" t="str">
        <f>HYPERLINK("https://otsuka-europe-crm.veevavault.com/ui/#object/email_activity__v/V8C00000003Q427", "EN-002091666")</f>
        <v>EN-002091666</v>
      </c>
    </row>
    <row r="5909" spans="1:15" ht="16" x14ac:dyDescent="0.2">
      <c r="A5909" s="17" t="str">
        <f>HYPERLINK("https://otsuka-europe-crm.veevavault.com/ui/#object/account__v/V4TZ06G6O71TC25", "CONSOLACION ROSADO RUBIO")</f>
        <v>CONSOLACION ROSADO RUBIO</v>
      </c>
      <c r="B5909" s="17" t="str">
        <f>HYPERLINK("https://otsuka-europe-crm.veevavault.com/ui/#object/vcountry__v/VENZ000004SONF5", "ES")</f>
        <v>ES</v>
      </c>
      <c r="C5909" s="20" t="s">
        <v>41</v>
      </c>
      <c r="D5909" s="21" t="str">
        <f>HYPERLINK("https://otsuka-europe-crm.veevavault.com/ui/#object/approved_document__v/V5O00000001H022", "LUP - VAE invitación simposio SEN-SER - Nefro")</f>
        <v>LUP - VAE invitación simposio SEN-SER - Nefro</v>
      </c>
      <c r="E5909" s="22" t="str">
        <f>HYPERLINK("https://otsuka-europe-crm.veevavault.com/ui/#object/sent_email__v/VBL00000002S156", "SE-001434285")</f>
        <v>SE-001434285</v>
      </c>
      <c r="F5909" s="25"/>
      <c r="G5909" s="24">
        <v>0</v>
      </c>
      <c r="H5909" s="24">
        <v>0</v>
      </c>
      <c r="I5909" s="24">
        <v>0</v>
      </c>
      <c r="J5909" s="25"/>
      <c r="K5909" s="24">
        <v>0</v>
      </c>
      <c r="L5909" s="22" t="str">
        <f>HYPERLINK("https://otsuka-europe-crm.veevavault.com/ui/#object/approved_document__v/V5O00000001H022", "LUP - VAE invitación simposio SEN-SER - Nefro")</f>
        <v>LUP - VAE invitación simposio SEN-SER - Nefro</v>
      </c>
      <c r="M5909" s="22" t="str">
        <f>HYPERLINK("mailto:jguri@crm.otsuka-europe.com", "jguri@crm.otsuka-europe.com")</f>
        <v>jguri@crm.otsuka-europe.com</v>
      </c>
      <c r="N5909" s="23">
        <v>46181.380254629628</v>
      </c>
      <c r="O5909" s="14" t="str">
        <f>HYPERLINK("https://otsuka-europe-crm.veevavault.com/ui/#object/email_activity__v/V8C00000003Q446", "EN-002091685")</f>
        <v>EN-002091685</v>
      </c>
    </row>
    <row r="5910" spans="1:15" ht="16" x14ac:dyDescent="0.2">
      <c r="A5910" s="19"/>
      <c r="B5910" s="19"/>
      <c r="C5910" s="19"/>
      <c r="D5910" s="19"/>
      <c r="E5910" s="19"/>
      <c r="F5910" s="19"/>
      <c r="G5910" s="19"/>
      <c r="H5910" s="19"/>
      <c r="I5910" s="19"/>
      <c r="J5910" s="19"/>
      <c r="K5910" s="19"/>
      <c r="L5910" s="19"/>
      <c r="M5910" s="19"/>
      <c r="N5910" s="19"/>
      <c r="O5910" s="14" t="str">
        <f>HYPERLINK("https://otsuka-europe-crm.veevavault.com/ui/#object/email_activity__v/V8C00000003R006", "EN-002091715")</f>
        <v>EN-002091715</v>
      </c>
    </row>
    <row r="5911" spans="1:15" ht="32" x14ac:dyDescent="0.2">
      <c r="A5911" s="7" t="str">
        <f>HYPERLINK("https://otsuka-europe-crm.veevavault.com/ui/#object/account__v/V4TZ04ASGG6J80W", "CARLOS FERNANDEZ FERNANDEZ")</f>
        <v>CARLOS FERNANDEZ FERNANDEZ</v>
      </c>
      <c r="B5911" s="7" t="str">
        <f>HYPERLINK("https://otsuka-europe-crm.veevavault.com/ui/#object/vcountry__v/VENZ000004SONF5", "ES")</f>
        <v>ES</v>
      </c>
      <c r="C5911" s="8" t="s">
        <v>41</v>
      </c>
      <c r="D5911" s="9" t="str">
        <f>HYPERLINK("https://otsuka-europe-crm.veevavault.com/ui/#object/approved_document__v/V5O00000001H022", "LUP - VAE invitación simposio SEN-SER - Nefro")</f>
        <v>LUP - VAE invitación simposio SEN-SER - Nefro</v>
      </c>
      <c r="E5911" s="10" t="str">
        <f>HYPERLINK("https://otsuka-europe-crm.veevavault.com/ui/#object/sent_email__v/VBL00000002S157", "SE-001434286")</f>
        <v>SE-001434286</v>
      </c>
      <c r="F5911" s="11"/>
      <c r="G5911" s="12">
        <v>0</v>
      </c>
      <c r="H5911" s="12">
        <v>0</v>
      </c>
      <c r="I5911" s="12">
        <v>0</v>
      </c>
      <c r="J5911" s="11"/>
      <c r="K5911" s="12">
        <v>0</v>
      </c>
      <c r="L5911" s="10" t="str">
        <f>HYPERLINK("https://otsuka-europe-crm.veevavault.com/ui/#object/approved_document__v/V5O00000001H022", "LUP - VAE invitación simposio SEN-SER - Nefro")</f>
        <v>LUP - VAE invitación simposio SEN-SER - Nefro</v>
      </c>
      <c r="M5911" s="10" t="str">
        <f>HYPERLINK("mailto:jguri@crm.otsuka-europe.com", "jguri@crm.otsuka-europe.com")</f>
        <v>jguri@crm.otsuka-europe.com</v>
      </c>
      <c r="N5911" s="13">
        <v>46181.380254629628</v>
      </c>
      <c r="O5911" s="14" t="str">
        <f>HYPERLINK("https://otsuka-europe-crm.veevavault.com/ui/#object/email_activity__v/V8C00000003Q433", "EN-002091672")</f>
        <v>EN-002091672</v>
      </c>
    </row>
    <row r="5912" spans="1:15" ht="16" x14ac:dyDescent="0.2">
      <c r="A5912" s="17" t="str">
        <f>HYPERLINK("https://otsuka-europe-crm.veevavault.com/ui/#object/account__v/V4TZ06G6O71T9MV", "CRISTINA DE ANCOS ARACIL")</f>
        <v>CRISTINA DE ANCOS ARACIL</v>
      </c>
      <c r="B5912" s="17" t="str">
        <f>HYPERLINK("https://otsuka-europe-crm.veevavault.com/ui/#object/vcountry__v/VENZ000004SONF5", "ES")</f>
        <v>ES</v>
      </c>
      <c r="C5912" s="20" t="s">
        <v>41</v>
      </c>
      <c r="D5912" s="21" t="str">
        <f>HYPERLINK("https://otsuka-europe-crm.veevavault.com/ui/#object/approved_document__v/V5O00000001H022", "LUP - VAE invitación simposio SEN-SER - Nefro")</f>
        <v>LUP - VAE invitación simposio SEN-SER - Nefro</v>
      </c>
      <c r="E5912" s="22" t="str">
        <f>HYPERLINK("https://otsuka-europe-crm.veevavault.com/ui/#object/sent_email__v/VBL00000002S158", "SE-001434287")</f>
        <v>SE-001434287</v>
      </c>
      <c r="F5912" s="23">
        <v>46181.388113425928</v>
      </c>
      <c r="G5912" s="24">
        <v>1</v>
      </c>
      <c r="H5912" s="24">
        <v>1</v>
      </c>
      <c r="I5912" s="24">
        <v>0</v>
      </c>
      <c r="J5912" s="25"/>
      <c r="K5912" s="24">
        <v>0</v>
      </c>
      <c r="L5912" s="22" t="str">
        <f>HYPERLINK("https://otsuka-europe-crm.veevavault.com/ui/#object/approved_document__v/V5O00000001H022", "LUP - VAE invitación simposio SEN-SER - Nefro")</f>
        <v>LUP - VAE invitación simposio SEN-SER - Nefro</v>
      </c>
      <c r="M5912" s="22" t="str">
        <f>HYPERLINK("mailto:jguri@crm.otsuka-europe.com", "jguri@crm.otsuka-europe.com")</f>
        <v>jguri@crm.otsuka-europe.com</v>
      </c>
      <c r="N5912" s="23">
        <v>46181.380254629628</v>
      </c>
      <c r="O5912" s="14" t="str">
        <f>HYPERLINK("https://otsuka-europe-crm.veevavault.com/ui/#object/email_activity__v/V8C00000003Q430", "EN-002091669")</f>
        <v>EN-002091669</v>
      </c>
    </row>
    <row r="5913" spans="1:15" ht="16" x14ac:dyDescent="0.2">
      <c r="A5913" s="19"/>
      <c r="B5913" s="19"/>
      <c r="C5913" s="19"/>
      <c r="D5913" s="19"/>
      <c r="E5913" s="19"/>
      <c r="F5913" s="19"/>
      <c r="G5913" s="19"/>
      <c r="H5913" s="19"/>
      <c r="I5913" s="19"/>
      <c r="J5913" s="19"/>
      <c r="K5913" s="19"/>
      <c r="L5913" s="19"/>
      <c r="M5913" s="19"/>
      <c r="N5913" s="19"/>
      <c r="O5913" s="14" t="str">
        <f>HYPERLINK("https://otsuka-europe-crm.veevavault.com/ui/#object/email_activity__v/V8C00000003Q477", "EN-002091724")</f>
        <v>EN-002091724</v>
      </c>
    </row>
    <row r="5914" spans="1:15" ht="16" x14ac:dyDescent="0.2">
      <c r="A5914" s="17" t="str">
        <f>HYPERLINK("https://otsuka-europe-crm.veevavault.com/ui/#object/account__v/V4TZ04ASG9ZEOD3", "ANTONIO CARLOS FERNANDEZ PERPEN")</f>
        <v>ANTONIO CARLOS FERNANDEZ PERPEN</v>
      </c>
      <c r="B5914" s="17" t="str">
        <f>HYPERLINK("https://otsuka-europe-crm.veevavault.com/ui/#object/vcountry__v/VENZ000004SONF5", "ES")</f>
        <v>ES</v>
      </c>
      <c r="C5914" s="20" t="s">
        <v>41</v>
      </c>
      <c r="D5914" s="21" t="str">
        <f>HYPERLINK("https://otsuka-europe-crm.veevavault.com/ui/#object/approved_document__v/V5O00000001H022", "LUP - VAE invitación simposio SEN-SER - Nefro")</f>
        <v>LUP - VAE invitación simposio SEN-SER - Nefro</v>
      </c>
      <c r="E5914" s="22" t="str">
        <f>HYPERLINK("https://otsuka-europe-crm.veevavault.com/ui/#object/sent_email__v/VBL00000002S159", "SE-001434288")</f>
        <v>SE-001434288</v>
      </c>
      <c r="F5914" s="23">
        <v>46181.423784722225</v>
      </c>
      <c r="G5914" s="24">
        <v>1</v>
      </c>
      <c r="H5914" s="24">
        <v>3</v>
      </c>
      <c r="I5914" s="24">
        <v>1</v>
      </c>
      <c r="J5914" s="23">
        <v>46181.424259259256</v>
      </c>
      <c r="K5914" s="24">
        <v>1</v>
      </c>
      <c r="L5914" s="22" t="str">
        <f>HYPERLINK("https://otsuka-europe-crm.veevavault.com/ui/#object/approved_document__v/V5O00000001H022", "LUP - VAE invitación simposio SEN-SER - Nefro")</f>
        <v>LUP - VAE invitación simposio SEN-SER - Nefro</v>
      </c>
      <c r="M5914" s="22" t="str">
        <f>HYPERLINK("mailto:jguri@crm.otsuka-europe.com", "jguri@crm.otsuka-europe.com")</f>
        <v>jguri@crm.otsuka-europe.com</v>
      </c>
      <c r="N5914" s="23">
        <v>46181.380254629628</v>
      </c>
      <c r="O5914" s="14" t="str">
        <f>HYPERLINK("https://otsuka-europe-crm.veevavault.com/ui/#object/email_activity__v/V8C00000003Q431", "EN-002091670")</f>
        <v>EN-002091670</v>
      </c>
    </row>
    <row r="5915" spans="1:15" ht="16" x14ac:dyDescent="0.2">
      <c r="A5915" s="18"/>
      <c r="B5915" s="18"/>
      <c r="C5915" s="18"/>
      <c r="D5915" s="18"/>
      <c r="E5915" s="18"/>
      <c r="F5915" s="18"/>
      <c r="G5915" s="18"/>
      <c r="H5915" s="18"/>
      <c r="I5915" s="18"/>
      <c r="J5915" s="18"/>
      <c r="K5915" s="18"/>
      <c r="L5915" s="18"/>
      <c r="M5915" s="18"/>
      <c r="N5915" s="18"/>
      <c r="O5915" s="14" t="str">
        <f>HYPERLINK("https://otsuka-europe-crm.veevavault.com/ui/#object/email_activity__v/V8C00000003Q466", "EN-002091707")</f>
        <v>EN-002091707</v>
      </c>
    </row>
    <row r="5916" spans="1:15" ht="16" x14ac:dyDescent="0.2">
      <c r="A5916" s="18"/>
      <c r="B5916" s="18"/>
      <c r="C5916" s="18"/>
      <c r="D5916" s="18"/>
      <c r="E5916" s="18"/>
      <c r="F5916" s="18"/>
      <c r="G5916" s="18"/>
      <c r="H5916" s="18"/>
      <c r="I5916" s="18"/>
      <c r="J5916" s="18"/>
      <c r="K5916" s="18"/>
      <c r="L5916" s="18"/>
      <c r="M5916" s="18"/>
      <c r="N5916" s="18"/>
      <c r="O5916" s="14" t="str">
        <f>HYPERLINK("https://otsuka-europe-crm.veevavault.com/ui/#object/email_activity__v/V8C00000003Q537", "EN-002091882")</f>
        <v>EN-002091882</v>
      </c>
    </row>
    <row r="5917" spans="1:15" ht="16" x14ac:dyDescent="0.2">
      <c r="A5917" s="18"/>
      <c r="B5917" s="18"/>
      <c r="C5917" s="18"/>
      <c r="D5917" s="18"/>
      <c r="E5917" s="18"/>
      <c r="F5917" s="18"/>
      <c r="G5917" s="18"/>
      <c r="H5917" s="18"/>
      <c r="I5917" s="18"/>
      <c r="J5917" s="18"/>
      <c r="K5917" s="18"/>
      <c r="L5917" s="18"/>
      <c r="M5917" s="18"/>
      <c r="N5917" s="18"/>
      <c r="O5917" s="14" t="str">
        <f>HYPERLINK("https://otsuka-europe-crm.veevavault.com/ui/#object/email_activity__v/V8C00000003R025", "EN-002091750")</f>
        <v>EN-002091750</v>
      </c>
    </row>
    <row r="5918" spans="1:15" ht="16" x14ac:dyDescent="0.2">
      <c r="A5918" s="18"/>
      <c r="B5918" s="18"/>
      <c r="C5918" s="18"/>
      <c r="D5918" s="18"/>
      <c r="E5918" s="18"/>
      <c r="F5918" s="18"/>
      <c r="G5918" s="18"/>
      <c r="H5918" s="18"/>
      <c r="I5918" s="18"/>
      <c r="J5918" s="18"/>
      <c r="K5918" s="18"/>
      <c r="L5918" s="18"/>
      <c r="M5918" s="18"/>
      <c r="N5918" s="18"/>
      <c r="O5918" s="14" t="str">
        <f>HYPERLINK("https://otsuka-europe-crm.veevavault.com/ui/#object/email_activity__v/V8C00000003R070", "EN-002091803")</f>
        <v>EN-002091803</v>
      </c>
    </row>
    <row r="5919" spans="1:15" ht="16" x14ac:dyDescent="0.2">
      <c r="A5919" s="19"/>
      <c r="B5919" s="19"/>
      <c r="C5919" s="19"/>
      <c r="D5919" s="19"/>
      <c r="E5919" s="19"/>
      <c r="F5919" s="19"/>
      <c r="G5919" s="19"/>
      <c r="H5919" s="19"/>
      <c r="I5919" s="19"/>
      <c r="J5919" s="19"/>
      <c r="K5919" s="19"/>
      <c r="L5919" s="19"/>
      <c r="M5919" s="19"/>
      <c r="N5919" s="19"/>
      <c r="O5919" s="14" t="str">
        <f>HYPERLINK("https://otsuka-europe-crm.veevavault.com/ui/#object/email_activity__v/V8C00000003R072", "EN-002091805")</f>
        <v>EN-002091805</v>
      </c>
    </row>
    <row r="5920" spans="1:15" ht="32" x14ac:dyDescent="0.2">
      <c r="A5920" s="7" t="str">
        <f>HYPERLINK("https://otsuka-europe-crm.veevavault.com/ui/#object/account__v/V4TZ06G6O71TC76", "ANA ISABEL SANCHEZ FRUCTUOSO")</f>
        <v>ANA ISABEL SANCHEZ FRUCTUOSO</v>
      </c>
      <c r="B5920" s="7" t="str">
        <f>HYPERLINK("https://otsuka-europe-crm.veevavault.com/ui/#object/vcountry__v/VENZ000004SONF5", "ES")</f>
        <v>ES</v>
      </c>
      <c r="C5920" s="8" t="s">
        <v>41</v>
      </c>
      <c r="D5920" s="9" t="str">
        <f>HYPERLINK("https://otsuka-europe-crm.veevavault.com/ui/#object/approved_document__v/V5O00000001H022", "LUP - VAE invitación simposio SEN-SER - Nefro")</f>
        <v>LUP - VAE invitación simposio SEN-SER - Nefro</v>
      </c>
      <c r="E5920" s="10" t="str">
        <f>HYPERLINK("https://otsuka-europe-crm.veevavault.com/ui/#object/sent_email__v/VBL00000002S160", "SE-001434289")</f>
        <v>SE-001434289</v>
      </c>
      <c r="F5920" s="11"/>
      <c r="G5920" s="12">
        <v>0</v>
      </c>
      <c r="H5920" s="12">
        <v>0</v>
      </c>
      <c r="I5920" s="12">
        <v>0</v>
      </c>
      <c r="J5920" s="11"/>
      <c r="K5920" s="12">
        <v>0</v>
      </c>
      <c r="L5920" s="10" t="str">
        <f>HYPERLINK("https://otsuka-europe-crm.veevavault.com/ui/#object/approved_document__v/V5O00000001H022", "LUP - VAE invitación simposio SEN-SER - Nefro")</f>
        <v>LUP - VAE invitación simposio SEN-SER - Nefro</v>
      </c>
      <c r="M5920" s="10" t="str">
        <f>HYPERLINK("mailto:jguri@crm.otsuka-europe.com", "jguri@crm.otsuka-europe.com")</f>
        <v>jguri@crm.otsuka-europe.com</v>
      </c>
      <c r="N5920" s="13">
        <v>46181.380266203705</v>
      </c>
      <c r="O5920" s="14" t="str">
        <f>HYPERLINK("https://otsuka-europe-crm.veevavault.com/ui/#object/email_activity__v/V8C00000003Q449", "EN-002091688")</f>
        <v>EN-002091688</v>
      </c>
    </row>
    <row r="5921" spans="1:15" ht="32" x14ac:dyDescent="0.2">
      <c r="A5921" s="7" t="str">
        <f>HYPERLINK("https://otsuka-europe-crm.veevavault.com/ui/#object/account__v/V4TZ06G6O71TK2H", "ALFREDO CORDON RODRIGUEZ")</f>
        <v>ALFREDO CORDON RODRIGUEZ</v>
      </c>
      <c r="B5921" s="7" t="str">
        <f>HYPERLINK("https://otsuka-europe-crm.veevavault.com/ui/#object/vcountry__v/VENZ000004SONF5", "ES")</f>
        <v>ES</v>
      </c>
      <c r="C5921" s="8" t="s">
        <v>41</v>
      </c>
      <c r="D5921" s="9" t="str">
        <f>HYPERLINK("https://otsuka-europe-crm.veevavault.com/ui/#object/approved_document__v/V5O00000001H022", "LUP - VAE invitación simposio SEN-SER - Nefro")</f>
        <v>LUP - VAE invitación simposio SEN-SER - Nefro</v>
      </c>
      <c r="E5921" s="10" t="str">
        <f>HYPERLINK("https://otsuka-europe-crm.veevavault.com/ui/#object/sent_email__v/VBL00000002S161", "SE-001434290")</f>
        <v>SE-001434290</v>
      </c>
      <c r="F5921" s="11"/>
      <c r="G5921" s="12">
        <v>0</v>
      </c>
      <c r="H5921" s="12">
        <v>0</v>
      </c>
      <c r="I5921" s="12">
        <v>0</v>
      </c>
      <c r="J5921" s="11"/>
      <c r="K5921" s="12">
        <v>0</v>
      </c>
      <c r="L5921" s="10" t="str">
        <f>HYPERLINK("https://otsuka-europe-crm.veevavault.com/ui/#object/approved_document__v/V5O00000001H022", "LUP - VAE invitación simposio SEN-SER - Nefro")</f>
        <v>LUP - VAE invitación simposio SEN-SER - Nefro</v>
      </c>
      <c r="M5921" s="10" t="str">
        <f>HYPERLINK("mailto:jguri@crm.otsuka-europe.com", "jguri@crm.otsuka-europe.com")</f>
        <v>jguri@crm.otsuka-europe.com</v>
      </c>
      <c r="N5921" s="13">
        <v>46181.380266203705</v>
      </c>
      <c r="O5921" s="14" t="str">
        <f>HYPERLINK("https://otsuka-europe-crm.veevavault.com/ui/#object/email_activity__v/V8C00000003Q435", "EN-002091674")</f>
        <v>EN-002091674</v>
      </c>
    </row>
    <row r="5922" spans="1:15" ht="32" x14ac:dyDescent="0.2">
      <c r="A5922" s="7" t="str">
        <f>HYPERLINK("https://otsuka-europe-crm.veevavault.com/ui/#object/account__v/V4TZ025E86MCPOE", "CAROLINA CRISTINA CHACON VELEZ")</f>
        <v>CAROLINA CRISTINA CHACON VELEZ</v>
      </c>
      <c r="B5922" s="7" t="str">
        <f>HYPERLINK("https://otsuka-europe-crm.veevavault.com/ui/#object/vcountry__v/VENZ000004SONF5", "ES")</f>
        <v>ES</v>
      </c>
      <c r="C5922" s="8" t="s">
        <v>41</v>
      </c>
      <c r="D5922" s="9" t="str">
        <f>HYPERLINK("https://otsuka-europe-crm.veevavault.com/ui/#object/approved_document__v/V5O00000001H022", "LUP - VAE invitación simposio SEN-SER - Nefro")</f>
        <v>LUP - VAE invitación simposio SEN-SER - Nefro</v>
      </c>
      <c r="E5922" s="10" t="str">
        <f>HYPERLINK("https://otsuka-europe-crm.veevavault.com/ui/#object/sent_email__v/VBL00000002S162", "SE-001434291")</f>
        <v>SE-001434291</v>
      </c>
      <c r="F5922" s="11"/>
      <c r="G5922" s="12">
        <v>0</v>
      </c>
      <c r="H5922" s="12">
        <v>0</v>
      </c>
      <c r="I5922" s="12">
        <v>0</v>
      </c>
      <c r="J5922" s="11"/>
      <c r="K5922" s="12">
        <v>0</v>
      </c>
      <c r="L5922" s="10" t="str">
        <f>HYPERLINK("https://otsuka-europe-crm.veevavault.com/ui/#object/approved_document__v/V5O00000001H022", "LUP - VAE invitación simposio SEN-SER - Nefro")</f>
        <v>LUP - VAE invitación simposio SEN-SER - Nefro</v>
      </c>
      <c r="M5922" s="10" t="str">
        <f>HYPERLINK("mailto:jguri@crm.otsuka-europe.com", "jguri@crm.otsuka-europe.com")</f>
        <v>jguri@crm.otsuka-europe.com</v>
      </c>
      <c r="N5922" s="13">
        <v>46181.380266203705</v>
      </c>
      <c r="O5922" s="14" t="str">
        <f>HYPERLINK("https://otsuka-europe-crm.veevavault.com/ui/#object/email_activity__v/V8C00000003Q434", "EN-002091673")</f>
        <v>EN-002091673</v>
      </c>
    </row>
    <row r="5923" spans="1:15" ht="16" x14ac:dyDescent="0.2">
      <c r="A5923" s="17" t="str">
        <f>HYPERLINK("https://otsuka-europe-crm.veevavault.com/ui/#object/account__v/V4TZ06G6O71T7QV", "DAVID MENENDEZ GONZALEZ")</f>
        <v>DAVID MENENDEZ GONZALEZ</v>
      </c>
      <c r="B5923" s="17" t="str">
        <f>HYPERLINK("https://otsuka-europe-crm.veevavault.com/ui/#object/vcountry__v/VENZ000004SONF5", "ES")</f>
        <v>ES</v>
      </c>
      <c r="C5923" s="20" t="s">
        <v>41</v>
      </c>
      <c r="D5923" s="21" t="str">
        <f>HYPERLINK("https://otsuka-europe-crm.veevavault.com/ui/#object/approved_document__v/V5O00000001H022", "LUP - VAE invitación simposio SEN-SER - Nefro")</f>
        <v>LUP - VAE invitación simposio SEN-SER - Nefro</v>
      </c>
      <c r="E5923" s="22" t="str">
        <f>HYPERLINK("https://otsuka-europe-crm.veevavault.com/ui/#object/sent_email__v/VBL00000002S163", "SE-001434292")</f>
        <v>SE-001434292</v>
      </c>
      <c r="F5923" s="23">
        <v>46181.39739583333</v>
      </c>
      <c r="G5923" s="24">
        <v>1</v>
      </c>
      <c r="H5923" s="24">
        <v>1</v>
      </c>
      <c r="I5923" s="24">
        <v>1</v>
      </c>
      <c r="J5923" s="23">
        <v>46181.39739583333</v>
      </c>
      <c r="K5923" s="24">
        <v>1</v>
      </c>
      <c r="L5923" s="22" t="str">
        <f>HYPERLINK("https://otsuka-europe-crm.veevavault.com/ui/#object/approved_document__v/V5O00000001H022", "LUP - VAE invitación simposio SEN-SER - Nefro")</f>
        <v>LUP - VAE invitación simposio SEN-SER - Nefro</v>
      </c>
      <c r="M5923" s="22" t="str">
        <f>HYPERLINK("mailto:jguri@crm.otsuka-europe.com", "jguri@crm.otsuka-europe.com")</f>
        <v>jguri@crm.otsuka-europe.com</v>
      </c>
      <c r="N5923" s="23">
        <v>46181.380266203705</v>
      </c>
      <c r="O5923" s="14" t="str">
        <f>HYPERLINK("https://otsuka-europe-crm.veevavault.com/ui/#object/email_activity__v/V8C00000003Q432", "EN-002091671")</f>
        <v>EN-002091671</v>
      </c>
    </row>
    <row r="5924" spans="1:15" ht="16" x14ac:dyDescent="0.2">
      <c r="A5924" s="18"/>
      <c r="B5924" s="18"/>
      <c r="C5924" s="18"/>
      <c r="D5924" s="18"/>
      <c r="E5924" s="18"/>
      <c r="F5924" s="18"/>
      <c r="G5924" s="18"/>
      <c r="H5924" s="18"/>
      <c r="I5924" s="18"/>
      <c r="J5924" s="18"/>
      <c r="K5924" s="18"/>
      <c r="L5924" s="18"/>
      <c r="M5924" s="18"/>
      <c r="N5924" s="18"/>
      <c r="O5924" s="14" t="str">
        <f>HYPERLINK("https://otsuka-europe-crm.veevavault.com/ui/#object/email_activity__v/V8C00000003R020", "EN-002091745")</f>
        <v>EN-002091745</v>
      </c>
    </row>
    <row r="5925" spans="1:15" ht="16" x14ac:dyDescent="0.2">
      <c r="A5925" s="18"/>
      <c r="B5925" s="18"/>
      <c r="C5925" s="18"/>
      <c r="D5925" s="18"/>
      <c r="E5925" s="18"/>
      <c r="F5925" s="18"/>
      <c r="G5925" s="18"/>
      <c r="H5925" s="18"/>
      <c r="I5925" s="18"/>
      <c r="J5925" s="18"/>
      <c r="K5925" s="18"/>
      <c r="L5925" s="18"/>
      <c r="M5925" s="18"/>
      <c r="N5925" s="18"/>
      <c r="O5925" s="14" t="str">
        <f>HYPERLINK("https://otsuka-europe-crm.veevavault.com/ui/#object/email_activity__v/V8C00000003R021", "EN-002091744")</f>
        <v>EN-002091744</v>
      </c>
    </row>
    <row r="5926" spans="1:15" ht="16" x14ac:dyDescent="0.2">
      <c r="A5926" s="19"/>
      <c r="B5926" s="19"/>
      <c r="C5926" s="19"/>
      <c r="D5926" s="19"/>
      <c r="E5926" s="19"/>
      <c r="F5926" s="19"/>
      <c r="G5926" s="19"/>
      <c r="H5926" s="19"/>
      <c r="I5926" s="19"/>
      <c r="J5926" s="19"/>
      <c r="K5926" s="19"/>
      <c r="L5926" s="19"/>
      <c r="M5926" s="19"/>
      <c r="N5926" s="19"/>
      <c r="O5926" s="14" t="str">
        <f>HYPERLINK("https://otsuka-europe-crm.veevavault.com/ui/#object/email_activity__v/V8C00000003R063", "EN-002091796")</f>
        <v>EN-002091796</v>
      </c>
    </row>
    <row r="5927" spans="1:15" ht="16" x14ac:dyDescent="0.2">
      <c r="A5927" s="17" t="str">
        <f>HYPERLINK("https://otsuka-europe-crm.veevavault.com/ui/#object/account__v/V4TZ06G6O71TBX2", "BEGOÑA RIVAS BECERRA")</f>
        <v>BEGOÑA RIVAS BECERRA</v>
      </c>
      <c r="B5927" s="17" t="str">
        <f>HYPERLINK("https://otsuka-europe-crm.veevavault.com/ui/#object/vcountry__v/VENZ000004SONF5", "ES")</f>
        <v>ES</v>
      </c>
      <c r="C5927" s="20" t="s">
        <v>41</v>
      </c>
      <c r="D5927" s="21" t="str">
        <f>HYPERLINK("https://otsuka-europe-crm.veevavault.com/ui/#object/approved_document__v/V5O00000001H022", "LUP - VAE invitación simposio SEN-SER - Nefro")</f>
        <v>LUP - VAE invitación simposio SEN-SER - Nefro</v>
      </c>
      <c r="E5927" s="22" t="str">
        <f>HYPERLINK("https://otsuka-europe-crm.veevavault.com/ui/#object/sent_email__v/VBL00000002S164", "SE-001434293")</f>
        <v>SE-001434293</v>
      </c>
      <c r="F5927" s="25"/>
      <c r="G5927" s="24">
        <v>0</v>
      </c>
      <c r="H5927" s="24">
        <v>0</v>
      </c>
      <c r="I5927" s="24">
        <v>0</v>
      </c>
      <c r="J5927" s="25"/>
      <c r="K5927" s="24">
        <v>0</v>
      </c>
      <c r="L5927" s="22" t="str">
        <f>HYPERLINK("https://otsuka-europe-crm.veevavault.com/ui/#object/approved_document__v/V5O00000001H022", "LUP - VAE invitación simposio SEN-SER - Nefro")</f>
        <v>LUP - VAE invitación simposio SEN-SER - Nefro</v>
      </c>
      <c r="M5927" s="22" t="str">
        <f>HYPERLINK("mailto:jguri@crm.otsuka-europe.com", "jguri@crm.otsuka-europe.com")</f>
        <v>jguri@crm.otsuka-europe.com</v>
      </c>
      <c r="N5927" s="23">
        <v>46181.380266203705</v>
      </c>
      <c r="O5927" s="14" t="str">
        <f>HYPERLINK("https://otsuka-europe-crm.veevavault.com/ui/#object/email_activity__v/V8C00000003Q445", "EN-002091684")</f>
        <v>EN-002091684</v>
      </c>
    </row>
    <row r="5928" spans="1:15" ht="16" x14ac:dyDescent="0.2">
      <c r="A5928" s="19"/>
      <c r="B5928" s="19"/>
      <c r="C5928" s="19"/>
      <c r="D5928" s="19"/>
      <c r="E5928" s="19"/>
      <c r="F5928" s="19"/>
      <c r="G5928" s="19"/>
      <c r="H5928" s="19"/>
      <c r="I5928" s="19"/>
      <c r="J5928" s="19"/>
      <c r="K5928" s="19"/>
      <c r="L5928" s="19"/>
      <c r="M5928" s="19"/>
      <c r="N5928" s="19"/>
      <c r="O5928" s="14" t="str">
        <f>HYPERLINK("https://otsuka-europe-crm.veevavault.com/ui/#object/email_activity__v/V8C00000003V032", "EN-002094876")</f>
        <v>EN-002094876</v>
      </c>
    </row>
    <row r="5929" spans="1:15" ht="16" x14ac:dyDescent="0.2">
      <c r="A5929" s="17" t="str">
        <f>HYPERLINK("https://otsuka-europe-crm.veevavault.com/ui/#object/account__v/V4TZ06G6O71T761", "ADRIANA PUENTE GARCIA")</f>
        <v>ADRIANA PUENTE GARCIA</v>
      </c>
      <c r="B5929" s="17" t="str">
        <f>HYPERLINK("https://otsuka-europe-crm.veevavault.com/ui/#object/vcountry__v/VENZ000004SONF5", "ES")</f>
        <v>ES</v>
      </c>
      <c r="C5929" s="20" t="s">
        <v>41</v>
      </c>
      <c r="D5929" s="21" t="str">
        <f>HYPERLINK("https://otsuka-europe-crm.veevavault.com/ui/#object/approved_document__v/V5O00000001H022", "LUP - VAE invitación simposio SEN-SER - Nefro")</f>
        <v>LUP - VAE invitación simposio SEN-SER - Nefro</v>
      </c>
      <c r="E5929" s="22" t="str">
        <f>HYPERLINK("https://otsuka-europe-crm.veevavault.com/ui/#object/sent_email__v/VBL00000002S165", "SE-001434294")</f>
        <v>SE-001434294</v>
      </c>
      <c r="F5929" s="23">
        <v>46182.925949074073</v>
      </c>
      <c r="G5929" s="24">
        <v>1</v>
      </c>
      <c r="H5929" s="24">
        <v>1</v>
      </c>
      <c r="I5929" s="24">
        <v>0</v>
      </c>
      <c r="J5929" s="25"/>
      <c r="K5929" s="24">
        <v>0</v>
      </c>
      <c r="L5929" s="22" t="str">
        <f>HYPERLINK("https://otsuka-europe-crm.veevavault.com/ui/#object/approved_document__v/V5O00000001H022", "LUP - VAE invitación simposio SEN-SER - Nefro")</f>
        <v>LUP - VAE invitación simposio SEN-SER - Nefro</v>
      </c>
      <c r="M5929" s="22" t="str">
        <f>HYPERLINK("mailto:jguri@crm.otsuka-europe.com", "jguri@crm.otsuka-europe.com")</f>
        <v>jguri@crm.otsuka-europe.com</v>
      </c>
      <c r="N5929" s="23">
        <v>46181.380254629628</v>
      </c>
      <c r="O5929" s="14" t="str">
        <f>HYPERLINK("https://otsuka-europe-crm.veevavault.com/ui/#object/email_activity__v/V8C00000003Q447", "EN-002091686")</f>
        <v>EN-002091686</v>
      </c>
    </row>
    <row r="5930" spans="1:15" ht="16" x14ac:dyDescent="0.2">
      <c r="A5930" s="19"/>
      <c r="B5930" s="19"/>
      <c r="C5930" s="19"/>
      <c r="D5930" s="19"/>
      <c r="E5930" s="19"/>
      <c r="F5930" s="19"/>
      <c r="G5930" s="19"/>
      <c r="H5930" s="19"/>
      <c r="I5930" s="19"/>
      <c r="J5930" s="19"/>
      <c r="K5930" s="19"/>
      <c r="L5930" s="19"/>
      <c r="M5930" s="19"/>
      <c r="N5930" s="19"/>
      <c r="O5930" s="14" t="str">
        <f>HYPERLINK("https://otsuka-europe-crm.veevavault.com/ui/#object/email_activity__v/V8C00000003S426", "EN-002093760")</f>
        <v>EN-002093760</v>
      </c>
    </row>
    <row r="5931" spans="1:15" ht="16" x14ac:dyDescent="0.2">
      <c r="A5931" s="17" t="str">
        <f>HYPERLINK("https://otsuka-europe-crm.veevavault.com/ui/#object/account__v/V4TZ04ASGEC2KJF", "CLARA MARIA CASES CORONA")</f>
        <v>CLARA MARIA CASES CORONA</v>
      </c>
      <c r="B5931" s="17" t="str">
        <f>HYPERLINK("https://otsuka-europe-crm.veevavault.com/ui/#object/vcountry__v/VENZ000004SONF5", "ES")</f>
        <v>ES</v>
      </c>
      <c r="C5931" s="20" t="s">
        <v>41</v>
      </c>
      <c r="D5931" s="21" t="str">
        <f>HYPERLINK("https://otsuka-europe-crm.veevavault.com/ui/#object/approved_document__v/V5O00000001H022", "LUP - VAE invitación simposio SEN-SER - Nefro")</f>
        <v>LUP - VAE invitación simposio SEN-SER - Nefro</v>
      </c>
      <c r="E5931" s="22" t="str">
        <f>HYPERLINK("https://otsuka-europe-crm.veevavault.com/ui/#object/sent_email__v/VBL00000002S166", "SE-001434295")</f>
        <v>SE-001434295</v>
      </c>
      <c r="F5931" s="23">
        <v>46183.368888888886</v>
      </c>
      <c r="G5931" s="24">
        <v>1</v>
      </c>
      <c r="H5931" s="24">
        <v>4</v>
      </c>
      <c r="I5931" s="24">
        <v>1</v>
      </c>
      <c r="J5931" s="23">
        <v>46183.368935185186</v>
      </c>
      <c r="K5931" s="24">
        <v>1</v>
      </c>
      <c r="L5931" s="22" t="str">
        <f>HYPERLINK("https://otsuka-europe-crm.veevavault.com/ui/#object/approved_document__v/V5O00000001H022", "LUP - VAE invitación simposio SEN-SER - Nefro")</f>
        <v>LUP - VAE invitación simposio SEN-SER - Nefro</v>
      </c>
      <c r="M5931" s="22" t="str">
        <f>HYPERLINK("mailto:jguri@crm.otsuka-europe.com", "jguri@crm.otsuka-europe.com")</f>
        <v>jguri@crm.otsuka-europe.com</v>
      </c>
      <c r="N5931" s="23">
        <v>46181.380266203705</v>
      </c>
      <c r="O5931" s="14" t="str">
        <f>HYPERLINK("https://otsuka-europe-crm.veevavault.com/ui/#object/email_activity__v/V8C00000003Q444", "EN-002091683")</f>
        <v>EN-002091683</v>
      </c>
    </row>
    <row r="5932" spans="1:15" ht="16" x14ac:dyDescent="0.2">
      <c r="A5932" s="18"/>
      <c r="B5932" s="18"/>
      <c r="C5932" s="18"/>
      <c r="D5932" s="18"/>
      <c r="E5932" s="18"/>
      <c r="F5932" s="18"/>
      <c r="G5932" s="18"/>
      <c r="H5932" s="18"/>
      <c r="I5932" s="18"/>
      <c r="J5932" s="18"/>
      <c r="K5932" s="18"/>
      <c r="L5932" s="18"/>
      <c r="M5932" s="18"/>
      <c r="N5932" s="18"/>
      <c r="O5932" s="14" t="str">
        <f>HYPERLINK("https://otsuka-europe-crm.veevavault.com/ui/#object/email_activity__v/V8C00000003Q458", "EN-002091697")</f>
        <v>EN-002091697</v>
      </c>
    </row>
    <row r="5933" spans="1:15" ht="16" x14ac:dyDescent="0.2">
      <c r="A5933" s="18"/>
      <c r="B5933" s="18"/>
      <c r="C5933" s="18"/>
      <c r="D5933" s="18"/>
      <c r="E5933" s="18"/>
      <c r="F5933" s="18"/>
      <c r="G5933" s="18"/>
      <c r="H5933" s="18"/>
      <c r="I5933" s="18"/>
      <c r="J5933" s="18"/>
      <c r="K5933" s="18"/>
      <c r="L5933" s="18"/>
      <c r="M5933" s="18"/>
      <c r="N5933" s="18"/>
      <c r="O5933" s="14" t="str">
        <f>HYPERLINK("https://otsuka-europe-crm.veevavault.com/ui/#object/email_activity__v/V8C00000003R035", "EN-002091760")</f>
        <v>EN-002091760</v>
      </c>
    </row>
    <row r="5934" spans="1:15" ht="16" x14ac:dyDescent="0.2">
      <c r="A5934" s="18"/>
      <c r="B5934" s="18"/>
      <c r="C5934" s="18"/>
      <c r="D5934" s="18"/>
      <c r="E5934" s="18"/>
      <c r="F5934" s="18"/>
      <c r="G5934" s="18"/>
      <c r="H5934" s="18"/>
      <c r="I5934" s="18"/>
      <c r="J5934" s="18"/>
      <c r="K5934" s="18"/>
      <c r="L5934" s="18"/>
      <c r="M5934" s="18"/>
      <c r="N5934" s="18"/>
      <c r="O5934" s="14" t="str">
        <f>HYPERLINK("https://otsuka-europe-crm.veevavault.com/ui/#object/email_activity__v/V8C00000003R173", "EN-002092002")</f>
        <v>EN-002092002</v>
      </c>
    </row>
    <row r="5935" spans="1:15" ht="16" x14ac:dyDescent="0.2">
      <c r="A5935" s="18"/>
      <c r="B5935" s="18"/>
      <c r="C5935" s="18"/>
      <c r="D5935" s="18"/>
      <c r="E5935" s="18"/>
      <c r="F5935" s="18"/>
      <c r="G5935" s="18"/>
      <c r="H5935" s="18"/>
      <c r="I5935" s="18"/>
      <c r="J5935" s="18"/>
      <c r="K5935" s="18"/>
      <c r="L5935" s="18"/>
      <c r="M5935" s="18"/>
      <c r="N5935" s="18"/>
      <c r="O5935" s="14" t="str">
        <f>HYPERLINK("https://otsuka-europe-crm.veevavault.com/ui/#object/email_activity__v/V8C00000003S505", "EN-002093912")</f>
        <v>EN-002093912</v>
      </c>
    </row>
    <row r="5936" spans="1:15" ht="16" x14ac:dyDescent="0.2">
      <c r="A5936" s="18"/>
      <c r="B5936" s="18"/>
      <c r="C5936" s="18"/>
      <c r="D5936" s="18"/>
      <c r="E5936" s="18"/>
      <c r="F5936" s="18"/>
      <c r="G5936" s="18"/>
      <c r="H5936" s="18"/>
      <c r="I5936" s="18"/>
      <c r="J5936" s="18"/>
      <c r="K5936" s="18"/>
      <c r="L5936" s="18"/>
      <c r="M5936" s="18"/>
      <c r="N5936" s="18"/>
      <c r="O5936" s="14" t="str">
        <f>HYPERLINK("https://otsuka-europe-crm.veevavault.com/ui/#object/email_activity__v/V8C00000003S506", "EN-002093913")</f>
        <v>EN-002093913</v>
      </c>
    </row>
    <row r="5937" spans="1:15" ht="16" x14ac:dyDescent="0.2">
      <c r="A5937" s="18"/>
      <c r="B5937" s="18"/>
      <c r="C5937" s="18"/>
      <c r="D5937" s="18"/>
      <c r="E5937" s="18"/>
      <c r="F5937" s="18"/>
      <c r="G5937" s="18"/>
      <c r="H5937" s="18"/>
      <c r="I5937" s="18"/>
      <c r="J5937" s="18"/>
      <c r="K5937" s="18"/>
      <c r="L5937" s="18"/>
      <c r="M5937" s="18"/>
      <c r="N5937" s="18"/>
      <c r="O5937" s="14" t="str">
        <f>HYPERLINK("https://otsuka-europe-crm.veevavault.com/ui/#object/email_activity__v/V8C00000003T183", "EN-002093938")</f>
        <v>EN-002093938</v>
      </c>
    </row>
    <row r="5938" spans="1:15" ht="16" x14ac:dyDescent="0.2">
      <c r="A5938" s="18"/>
      <c r="B5938" s="18"/>
      <c r="C5938" s="18"/>
      <c r="D5938" s="18"/>
      <c r="E5938" s="18"/>
      <c r="F5938" s="18"/>
      <c r="G5938" s="18"/>
      <c r="H5938" s="18"/>
      <c r="I5938" s="18"/>
      <c r="J5938" s="18"/>
      <c r="K5938" s="18"/>
      <c r="L5938" s="18"/>
      <c r="M5938" s="18"/>
      <c r="N5938" s="18"/>
      <c r="O5938" s="14" t="str">
        <f>HYPERLINK("https://otsuka-europe-crm.veevavault.com/ui/#object/email_activity__v/V8C00000003T184", "EN-002093939")</f>
        <v>EN-002093939</v>
      </c>
    </row>
    <row r="5939" spans="1:15" ht="16" x14ac:dyDescent="0.2">
      <c r="A5939" s="19"/>
      <c r="B5939" s="19"/>
      <c r="C5939" s="19"/>
      <c r="D5939" s="19"/>
      <c r="E5939" s="19"/>
      <c r="F5939" s="19"/>
      <c r="G5939" s="19"/>
      <c r="H5939" s="19"/>
      <c r="I5939" s="19"/>
      <c r="J5939" s="19"/>
      <c r="K5939" s="19"/>
      <c r="L5939" s="19"/>
      <c r="M5939" s="19"/>
      <c r="N5939" s="19"/>
      <c r="O5939" s="14" t="str">
        <f>HYPERLINK("https://otsuka-europe-crm.veevavault.com/ui/#object/email_activity__v/V8C00000003Z192", "EN-002098987")</f>
        <v>EN-002098987</v>
      </c>
    </row>
    <row r="5940" spans="1:15" ht="32" x14ac:dyDescent="0.2">
      <c r="A5940" s="7" t="str">
        <f>HYPERLINK("https://otsuka-europe-crm.veevavault.com/ui/#object/account__v/V4TZ06G6O71UQQ0", "ANIKA TYSZKIEWICZ")</f>
        <v>ANIKA TYSZKIEWICZ</v>
      </c>
      <c r="B5940" s="7" t="str">
        <f>HYPERLINK("https://otsuka-europe-crm.veevavault.com/ui/#object/vcountry__v/VENZ000004SONF5", "ES")</f>
        <v>ES</v>
      </c>
      <c r="C5940" s="8" t="s">
        <v>41</v>
      </c>
      <c r="D5940" s="9" t="str">
        <f>HYPERLINK("https://otsuka-europe-crm.veevavault.com/ui/#object/approved_document__v/V5O00000001H022", "LUP - VAE invitación simposio SEN-SER - Nefro")</f>
        <v>LUP - VAE invitación simposio SEN-SER - Nefro</v>
      </c>
      <c r="E5940" s="10" t="str">
        <f>HYPERLINK("https://otsuka-europe-crm.veevavault.com/ui/#object/sent_email__v/VBL00000002S167", "SE-001434296")</f>
        <v>SE-001434296</v>
      </c>
      <c r="F5940" s="11"/>
      <c r="G5940" s="12">
        <v>0</v>
      </c>
      <c r="H5940" s="12">
        <v>0</v>
      </c>
      <c r="I5940" s="12">
        <v>0</v>
      </c>
      <c r="J5940" s="11"/>
      <c r="K5940" s="12">
        <v>0</v>
      </c>
      <c r="L5940" s="10" t="str">
        <f>HYPERLINK("https://otsuka-europe-crm.veevavault.com/ui/#object/approved_document__v/V5O00000001H022", "LUP - VAE invitación simposio SEN-SER - Nefro")</f>
        <v>LUP - VAE invitación simposio SEN-SER - Nefro</v>
      </c>
      <c r="M5940" s="10" t="str">
        <f>HYPERLINK("mailto:jguri@crm.otsuka-europe.com", "jguri@crm.otsuka-europe.com")</f>
        <v>jguri@crm.otsuka-europe.com</v>
      </c>
      <c r="N5940" s="13">
        <v>46181.380266203705</v>
      </c>
      <c r="O5940" s="14" t="str">
        <f>HYPERLINK("https://otsuka-europe-crm.veevavault.com/ui/#object/email_activity__v/V8C00000003Q438", "EN-002091677")</f>
        <v>EN-002091677</v>
      </c>
    </row>
    <row r="5941" spans="1:15" ht="16" x14ac:dyDescent="0.2">
      <c r="A5941" s="17" t="str">
        <f>HYPERLINK("https://otsuka-europe-crm.veevavault.com/ui/#object/account__v/V4TZ04ASGAZNNW7", "CELIA NOVAS MORENO")</f>
        <v>CELIA NOVAS MORENO</v>
      </c>
      <c r="B5941" s="17" t="str">
        <f>HYPERLINK("https://otsuka-europe-crm.veevavault.com/ui/#object/vcountry__v/VENZ000004SONF5", "ES")</f>
        <v>ES</v>
      </c>
      <c r="C5941" s="20" t="s">
        <v>41</v>
      </c>
      <c r="D5941" s="21" t="str">
        <f>HYPERLINK("https://otsuka-europe-crm.veevavault.com/ui/#object/approved_document__v/V5O00000001H022", "LUP - VAE invitación simposio SEN-SER - Nefro")</f>
        <v>LUP - VAE invitación simposio SEN-SER - Nefro</v>
      </c>
      <c r="E5941" s="22" t="str">
        <f>HYPERLINK("https://otsuka-europe-crm.veevavault.com/ui/#object/sent_email__v/VBL00000002S168", "SE-001434297")</f>
        <v>SE-001434297</v>
      </c>
      <c r="F5941" s="23">
        <v>46181.393750000003</v>
      </c>
      <c r="G5941" s="24">
        <v>1</v>
      </c>
      <c r="H5941" s="24">
        <v>1</v>
      </c>
      <c r="I5941" s="24">
        <v>0</v>
      </c>
      <c r="J5941" s="25"/>
      <c r="K5941" s="24">
        <v>0</v>
      </c>
      <c r="L5941" s="22" t="str">
        <f>HYPERLINK("https://otsuka-europe-crm.veevavault.com/ui/#object/approved_document__v/V5O00000001H022", "LUP - VAE invitación simposio SEN-SER - Nefro")</f>
        <v>LUP - VAE invitación simposio SEN-SER - Nefro</v>
      </c>
      <c r="M5941" s="22" t="str">
        <f>HYPERLINK("mailto:jguri@crm.otsuka-europe.com", "jguri@crm.otsuka-europe.com")</f>
        <v>jguri@crm.otsuka-europe.com</v>
      </c>
      <c r="N5941" s="23">
        <v>46181.380266203705</v>
      </c>
      <c r="O5941" s="14" t="str">
        <f>HYPERLINK("https://otsuka-europe-crm.veevavault.com/ui/#object/email_activity__v/V8C00000003Q429", "EN-002091668")</f>
        <v>EN-002091668</v>
      </c>
    </row>
    <row r="5942" spans="1:15" ht="16" x14ac:dyDescent="0.2">
      <c r="A5942" s="18"/>
      <c r="B5942" s="18"/>
      <c r="C5942" s="18"/>
      <c r="D5942" s="18"/>
      <c r="E5942" s="18"/>
      <c r="F5942" s="18"/>
      <c r="G5942" s="18"/>
      <c r="H5942" s="18"/>
      <c r="I5942" s="18"/>
      <c r="J5942" s="18"/>
      <c r="K5942" s="18"/>
      <c r="L5942" s="18"/>
      <c r="M5942" s="18"/>
      <c r="N5942" s="18"/>
      <c r="O5942" s="14" t="str">
        <f>HYPERLINK("https://otsuka-europe-crm.veevavault.com/ui/#object/email_activity__v/V8C00000003R018", "EN-002091742")</f>
        <v>EN-002091742</v>
      </c>
    </row>
    <row r="5943" spans="1:15" ht="16" x14ac:dyDescent="0.2">
      <c r="A5943" s="19"/>
      <c r="B5943" s="19"/>
      <c r="C5943" s="19"/>
      <c r="D5943" s="19"/>
      <c r="E5943" s="19"/>
      <c r="F5943" s="19"/>
      <c r="G5943" s="19"/>
      <c r="H5943" s="19"/>
      <c r="I5943" s="19"/>
      <c r="J5943" s="19"/>
      <c r="K5943" s="19"/>
      <c r="L5943" s="19"/>
      <c r="M5943" s="19"/>
      <c r="N5943" s="19"/>
      <c r="O5943" s="14" t="str">
        <f>HYPERLINK("https://otsuka-europe-crm.veevavault.com/ui/#object/email_activity__v/V8C00000003V444", "EN-002095661")</f>
        <v>EN-002095661</v>
      </c>
    </row>
    <row r="5944" spans="1:15" ht="32" x14ac:dyDescent="0.2">
      <c r="A5944" s="7" t="str">
        <f>HYPERLINK("https://otsuka-europe-crm.veevavault.com/ui/#object/account__v/V4TZ06G6O71TCH1", "ANA MARIA TATO RIBERA")</f>
        <v>ANA MARIA TATO RIBERA</v>
      </c>
      <c r="B5944" s="7" t="str">
        <f>HYPERLINK("https://otsuka-europe-crm.veevavault.com/ui/#object/vcountry__v/VENZ000004SONF5", "ES")</f>
        <v>ES</v>
      </c>
      <c r="C5944" s="8" t="s">
        <v>41</v>
      </c>
      <c r="D5944" s="9" t="str">
        <f>HYPERLINK("https://otsuka-europe-crm.veevavault.com/ui/#object/approved_document__v/V5O00000001H022", "LUP - VAE invitación simposio SEN-SER - Nefro")</f>
        <v>LUP - VAE invitación simposio SEN-SER - Nefro</v>
      </c>
      <c r="E5944" s="10" t="str">
        <f>HYPERLINK("https://otsuka-europe-crm.veevavault.com/ui/#object/sent_email__v/VBL00000002S169", "SE-001434298")</f>
        <v>SE-001434298</v>
      </c>
      <c r="F5944" s="11"/>
      <c r="G5944" s="12">
        <v>0</v>
      </c>
      <c r="H5944" s="12">
        <v>0</v>
      </c>
      <c r="I5944" s="12">
        <v>0</v>
      </c>
      <c r="J5944" s="11"/>
      <c r="K5944" s="12">
        <v>0</v>
      </c>
      <c r="L5944" s="10" t="str">
        <f>HYPERLINK("https://otsuka-europe-crm.veevavault.com/ui/#object/approved_document__v/V5O00000001H022", "LUP - VAE invitación simposio SEN-SER - Nefro")</f>
        <v>LUP - VAE invitación simposio SEN-SER - Nefro</v>
      </c>
      <c r="M5944" s="10" t="str">
        <f>HYPERLINK("mailto:jguri@crm.otsuka-europe.com", "jguri@crm.otsuka-europe.com")</f>
        <v>jguri@crm.otsuka-europe.com</v>
      </c>
      <c r="N5944" s="13">
        <v>46181.380266203705</v>
      </c>
      <c r="O5944" s="14" t="str">
        <f>HYPERLINK("https://otsuka-europe-crm.veevavault.com/ui/#object/email_activity__v/V8C00000003Q440", "EN-002091679")</f>
        <v>EN-002091679</v>
      </c>
    </row>
    <row r="5945" spans="1:15" ht="32" x14ac:dyDescent="0.2">
      <c r="A5945" s="7" t="str">
        <f>HYPERLINK("https://otsuka-europe-crm.veevavault.com/ui/#object/account__v/V4TZ025E82G5H0Y", "AFRODITI MARIA KONSTANTOULI")</f>
        <v>AFRODITI MARIA KONSTANTOULI</v>
      </c>
      <c r="B5945" s="7" t="str">
        <f>HYPERLINK("https://otsuka-europe-crm.veevavault.com/ui/#object/vcountry__v/VENZ000004SONF5", "ES")</f>
        <v>ES</v>
      </c>
      <c r="C5945" s="8" t="s">
        <v>41</v>
      </c>
      <c r="D5945" s="9" t="str">
        <f>HYPERLINK("https://otsuka-europe-crm.veevavault.com/ui/#object/approved_document__v/V5O00000001H022", "LUP - VAE invitación simposio SEN-SER - Nefro")</f>
        <v>LUP - VAE invitación simposio SEN-SER - Nefro</v>
      </c>
      <c r="E5945" s="10" t="str">
        <f>HYPERLINK("https://otsuka-europe-crm.veevavault.com/ui/#object/sent_email__v/VBL00000002S170", "SE-001434299")</f>
        <v>SE-001434299</v>
      </c>
      <c r="F5945" s="11"/>
      <c r="G5945" s="12">
        <v>0</v>
      </c>
      <c r="H5945" s="12">
        <v>0</v>
      </c>
      <c r="I5945" s="12">
        <v>0</v>
      </c>
      <c r="J5945" s="11"/>
      <c r="K5945" s="12">
        <v>0</v>
      </c>
      <c r="L5945" s="10" t="str">
        <f>HYPERLINK("https://otsuka-europe-crm.veevavault.com/ui/#object/approved_document__v/V5O00000001H022", "LUP - VAE invitación simposio SEN-SER - Nefro")</f>
        <v>LUP - VAE invitación simposio SEN-SER - Nefro</v>
      </c>
      <c r="M5945" s="10" t="str">
        <f>HYPERLINK("mailto:jguri@crm.otsuka-europe.com", "jguri@crm.otsuka-europe.com")</f>
        <v>jguri@crm.otsuka-europe.com</v>
      </c>
      <c r="N5945" s="13">
        <v>46181.380266203705</v>
      </c>
      <c r="O5945" s="14" t="str">
        <f>HYPERLINK("https://otsuka-europe-crm.veevavault.com/ui/#object/email_activity__v/V8C00000003Q451", "EN-002091690")</f>
        <v>EN-002091690</v>
      </c>
    </row>
    <row r="5946" spans="1:15" ht="16" x14ac:dyDescent="0.2">
      <c r="A5946" s="17" t="str">
        <f>HYPERLINK("https://otsuka-europe-crm.veevavault.com/ui/#object/account__v/V4TZ06G6O71T8VF", "CRISTINA GONZALEZ RUIZ-MOYANO")</f>
        <v>CRISTINA GONZALEZ RUIZ-MOYANO</v>
      </c>
      <c r="B5946" s="17" t="str">
        <f>HYPERLINK("https://otsuka-europe-crm.veevavault.com/ui/#object/vcountry__v/VENZ000004SONF5", "ES")</f>
        <v>ES</v>
      </c>
      <c r="C5946" s="20" t="s">
        <v>41</v>
      </c>
      <c r="D5946" s="21" t="str">
        <f>HYPERLINK("https://otsuka-europe-crm.veevavault.com/ui/#object/approved_document__v/V5O00000001H022", "LUP - VAE invitación simposio SEN-SER - Nefro")</f>
        <v>LUP - VAE invitación simposio SEN-SER - Nefro</v>
      </c>
      <c r="E5946" s="22" t="str">
        <f>HYPERLINK("https://otsuka-europe-crm.veevavault.com/ui/#object/sent_email__v/VBL00000002S171", "SE-001434300")</f>
        <v>SE-001434300</v>
      </c>
      <c r="F5946" s="23">
        <v>46181.42591435185</v>
      </c>
      <c r="G5946" s="24">
        <v>1</v>
      </c>
      <c r="H5946" s="24">
        <v>1</v>
      </c>
      <c r="I5946" s="24">
        <v>0</v>
      </c>
      <c r="J5946" s="25"/>
      <c r="K5946" s="24">
        <v>0</v>
      </c>
      <c r="L5946" s="22" t="str">
        <f>HYPERLINK("https://otsuka-europe-crm.veevavault.com/ui/#object/approved_document__v/V5O00000001H022", "LUP - VAE invitación simposio SEN-SER - Nefro")</f>
        <v>LUP - VAE invitación simposio SEN-SER - Nefro</v>
      </c>
      <c r="M5946" s="22" t="str">
        <f>HYPERLINK("mailto:jguri@crm.otsuka-europe.com", "jguri@crm.otsuka-europe.com")</f>
        <v>jguri@crm.otsuka-europe.com</v>
      </c>
      <c r="N5946" s="23">
        <v>46181.380266203705</v>
      </c>
      <c r="O5946" s="14" t="str">
        <f>HYPERLINK("https://otsuka-europe-crm.veevavault.com/ui/#object/email_activity__v/V8C00000003Q448", "EN-002091687")</f>
        <v>EN-002091687</v>
      </c>
    </row>
    <row r="5947" spans="1:15" ht="16" x14ac:dyDescent="0.2">
      <c r="A5947" s="18"/>
      <c r="B5947" s="18"/>
      <c r="C5947" s="18"/>
      <c r="D5947" s="18"/>
      <c r="E5947" s="18"/>
      <c r="F5947" s="18"/>
      <c r="G5947" s="18"/>
      <c r="H5947" s="18"/>
      <c r="I5947" s="18"/>
      <c r="J5947" s="18"/>
      <c r="K5947" s="18"/>
      <c r="L5947" s="18"/>
      <c r="M5947" s="18"/>
      <c r="N5947" s="18"/>
      <c r="O5947" s="14" t="str">
        <f>HYPERLINK("https://otsuka-europe-crm.veevavault.com/ui/#object/email_activity__v/V8C00000003Q496", "EN-002091808")</f>
        <v>EN-002091808</v>
      </c>
    </row>
    <row r="5948" spans="1:15" ht="16" x14ac:dyDescent="0.2">
      <c r="A5948" s="19"/>
      <c r="B5948" s="19"/>
      <c r="C5948" s="19"/>
      <c r="D5948" s="19"/>
      <c r="E5948" s="19"/>
      <c r="F5948" s="19"/>
      <c r="G5948" s="19"/>
      <c r="H5948" s="19"/>
      <c r="I5948" s="19"/>
      <c r="J5948" s="19"/>
      <c r="K5948" s="19"/>
      <c r="L5948" s="19"/>
      <c r="M5948" s="19"/>
      <c r="N5948" s="19"/>
      <c r="O5948" s="14" t="str">
        <f>HYPERLINK("https://otsuka-europe-crm.veevavault.com/ui/#object/email_activity__v/V8C00000003T024", "EN-002093635")</f>
        <v>EN-002093635</v>
      </c>
    </row>
    <row r="5949" spans="1:15" ht="16" x14ac:dyDescent="0.2">
      <c r="A5949" s="17" t="str">
        <f>HYPERLINK("https://otsuka-europe-crm.veevavault.com/ui/#object/account__v/V4TZ06G6O71T8PX", "EVA LOPEZ MELERO")</f>
        <v>EVA LOPEZ MELERO</v>
      </c>
      <c r="B5949" s="17" t="str">
        <f>HYPERLINK("https://otsuka-europe-crm.veevavault.com/ui/#object/vcountry__v/VENZ000004SONF5", "ES")</f>
        <v>ES</v>
      </c>
      <c r="C5949" s="20" t="s">
        <v>41</v>
      </c>
      <c r="D5949" s="21" t="str">
        <f>HYPERLINK("https://otsuka-europe-crm.veevavault.com/ui/#object/approved_document__v/V5O00000001H022", "LUP - VAE invitación simposio SEN-SER - Nefro")</f>
        <v>LUP - VAE invitación simposio SEN-SER - Nefro</v>
      </c>
      <c r="E5949" s="22" t="str">
        <f>HYPERLINK("https://otsuka-europe-crm.veevavault.com/ui/#object/sent_email__v/VBL00000002S172", "SE-001434301")</f>
        <v>SE-001434301</v>
      </c>
      <c r="F5949" s="23">
        <v>46181.405810185184</v>
      </c>
      <c r="G5949" s="24">
        <v>1</v>
      </c>
      <c r="H5949" s="24">
        <v>1</v>
      </c>
      <c r="I5949" s="24">
        <v>0</v>
      </c>
      <c r="J5949" s="25"/>
      <c r="K5949" s="24">
        <v>0</v>
      </c>
      <c r="L5949" s="22" t="str">
        <f>HYPERLINK("https://otsuka-europe-crm.veevavault.com/ui/#object/approved_document__v/V5O00000001H022", "LUP - VAE invitación simposio SEN-SER - Nefro")</f>
        <v>LUP - VAE invitación simposio SEN-SER - Nefro</v>
      </c>
      <c r="M5949" s="22" t="str">
        <f>HYPERLINK("mailto:jguri@crm.otsuka-europe.com", "jguri@crm.otsuka-europe.com")</f>
        <v>jguri@crm.otsuka-europe.com</v>
      </c>
      <c r="N5949" s="23">
        <v>46181.380266203705</v>
      </c>
      <c r="O5949" s="14" t="str">
        <f>HYPERLINK("https://otsuka-europe-crm.veevavault.com/ui/#object/email_activity__v/V8C00000003Q428", "EN-002091667")</f>
        <v>EN-002091667</v>
      </c>
    </row>
    <row r="5950" spans="1:15" ht="16" x14ac:dyDescent="0.2">
      <c r="A5950" s="19"/>
      <c r="B5950" s="19"/>
      <c r="C5950" s="19"/>
      <c r="D5950" s="19"/>
      <c r="E5950" s="19"/>
      <c r="F5950" s="19"/>
      <c r="G5950" s="19"/>
      <c r="H5950" s="19"/>
      <c r="I5950" s="19"/>
      <c r="J5950" s="19"/>
      <c r="K5950" s="19"/>
      <c r="L5950" s="19"/>
      <c r="M5950" s="19"/>
      <c r="N5950" s="19"/>
      <c r="O5950" s="14" t="str">
        <f>HYPERLINK("https://otsuka-europe-crm.veevavault.com/ui/#object/email_activity__v/V8C00000003R040", "EN-002091766")</f>
        <v>EN-002091766</v>
      </c>
    </row>
    <row r="5951" spans="1:15" ht="16" x14ac:dyDescent="0.2">
      <c r="A5951" s="17" t="str">
        <f>HYPERLINK("https://otsuka-europe-crm.veevavault.com/ui/#object/account__v/V4TZ06G6O71T7K5", "BORJA QUIROGA GILI")</f>
        <v>BORJA QUIROGA GILI</v>
      </c>
      <c r="B5951" s="17" t="str">
        <f>HYPERLINK("https://otsuka-europe-crm.veevavault.com/ui/#object/vcountry__v/VENZ000004SONF5", "ES")</f>
        <v>ES</v>
      </c>
      <c r="C5951" s="20" t="s">
        <v>41</v>
      </c>
      <c r="D5951" s="21" t="str">
        <f>HYPERLINK("https://otsuka-europe-crm.veevavault.com/ui/#object/approved_document__v/V5O00000001H022", "LUP - VAE invitación simposio SEN-SER - Nefro")</f>
        <v>LUP - VAE invitación simposio SEN-SER - Nefro</v>
      </c>
      <c r="E5951" s="22" t="str">
        <f>HYPERLINK("https://otsuka-europe-crm.veevavault.com/ui/#object/sent_email__v/VBL00000002S173", "SE-001434302")</f>
        <v>SE-001434302</v>
      </c>
      <c r="F5951" s="23">
        <v>46181.386886574073</v>
      </c>
      <c r="G5951" s="24">
        <v>1</v>
      </c>
      <c r="H5951" s="24">
        <v>3</v>
      </c>
      <c r="I5951" s="24">
        <v>0</v>
      </c>
      <c r="J5951" s="25"/>
      <c r="K5951" s="24">
        <v>0</v>
      </c>
      <c r="L5951" s="22" t="str">
        <f>HYPERLINK("https://otsuka-europe-crm.veevavault.com/ui/#object/approved_document__v/V5O00000001H022", "LUP - VAE invitación simposio SEN-SER - Nefro")</f>
        <v>LUP - VAE invitación simposio SEN-SER - Nefro</v>
      </c>
      <c r="M5951" s="22" t="str">
        <f>HYPERLINK("mailto:jguri@crm.otsuka-europe.com", "jguri@crm.otsuka-europe.com")</f>
        <v>jguri@crm.otsuka-europe.com</v>
      </c>
      <c r="N5951" s="23">
        <v>46181.380266203705</v>
      </c>
      <c r="O5951" s="14" t="str">
        <f>HYPERLINK("https://otsuka-europe-crm.veevavault.com/ui/#object/email_activity__v/V8C00000003Q426", "EN-002091665")</f>
        <v>EN-002091665</v>
      </c>
    </row>
    <row r="5952" spans="1:15" ht="16" x14ac:dyDescent="0.2">
      <c r="A5952" s="18"/>
      <c r="B5952" s="18"/>
      <c r="C5952" s="18"/>
      <c r="D5952" s="18"/>
      <c r="E5952" s="18"/>
      <c r="F5952" s="18"/>
      <c r="G5952" s="18"/>
      <c r="H5952" s="18"/>
      <c r="I5952" s="18"/>
      <c r="J5952" s="18"/>
      <c r="K5952" s="18"/>
      <c r="L5952" s="18"/>
      <c r="M5952" s="18"/>
      <c r="N5952" s="18"/>
      <c r="O5952" s="14" t="str">
        <f>HYPERLINK("https://otsuka-europe-crm.veevavault.com/ui/#object/email_activity__v/V8C00000003Q442", "EN-002091681")</f>
        <v>EN-002091681</v>
      </c>
    </row>
    <row r="5953" spans="1:15" ht="16" x14ac:dyDescent="0.2">
      <c r="A5953" s="18"/>
      <c r="B5953" s="18"/>
      <c r="C5953" s="18"/>
      <c r="D5953" s="18"/>
      <c r="E5953" s="18"/>
      <c r="F5953" s="18"/>
      <c r="G5953" s="18"/>
      <c r="H5953" s="18"/>
      <c r="I5953" s="18"/>
      <c r="J5953" s="18"/>
      <c r="K5953" s="18"/>
      <c r="L5953" s="18"/>
      <c r="M5953" s="18"/>
      <c r="N5953" s="18"/>
      <c r="O5953" s="14" t="str">
        <f>HYPERLINK("https://otsuka-europe-crm.veevavault.com/ui/#object/email_activity__v/V8C00000003Q443", "EN-002091682")</f>
        <v>EN-002091682</v>
      </c>
    </row>
    <row r="5954" spans="1:15" ht="16" x14ac:dyDescent="0.2">
      <c r="A5954" s="19"/>
      <c r="B5954" s="19"/>
      <c r="C5954" s="19"/>
      <c r="D5954" s="19"/>
      <c r="E5954" s="19"/>
      <c r="F5954" s="19"/>
      <c r="G5954" s="19"/>
      <c r="H5954" s="19"/>
      <c r="I5954" s="19"/>
      <c r="J5954" s="19"/>
      <c r="K5954" s="19"/>
      <c r="L5954" s="19"/>
      <c r="M5954" s="19"/>
      <c r="N5954" s="19"/>
      <c r="O5954" s="14" t="str">
        <f>HYPERLINK("https://otsuka-europe-crm.veevavault.com/ui/#object/email_activity__v/V8C00000003Q474", "EN-002091721")</f>
        <v>EN-002091721</v>
      </c>
    </row>
    <row r="5955" spans="1:15" ht="32" x14ac:dyDescent="0.2">
      <c r="A5955" s="7" t="str">
        <f>HYPERLINK("https://otsuka-europe-crm.veevavault.com/ui/#object/account__v/V4TZ06G6O71T9PU", "ALFONSO CUBAS ALCARAZ")</f>
        <v>ALFONSO CUBAS ALCARAZ</v>
      </c>
      <c r="B5955" s="7" t="str">
        <f>HYPERLINK("https://otsuka-europe-crm.veevavault.com/ui/#object/vcountry__v/VENZ000004SONF5", "ES")</f>
        <v>ES</v>
      </c>
      <c r="C5955" s="8" t="s">
        <v>41</v>
      </c>
      <c r="D5955" s="9" t="str">
        <f>HYPERLINK("https://otsuka-europe-crm.veevavault.com/ui/#object/approved_document__v/V5O00000001H022", "LUP - VAE invitación simposio SEN-SER - Nefro")</f>
        <v>LUP - VAE invitación simposio SEN-SER - Nefro</v>
      </c>
      <c r="E5955" s="10" t="str">
        <f>HYPERLINK("https://otsuka-europe-crm.veevavault.com/ui/#object/sent_email__v/VBL00000002S174", "SE-001434303")</f>
        <v>SE-001434303</v>
      </c>
      <c r="F5955" s="11"/>
      <c r="G5955" s="12">
        <v>0</v>
      </c>
      <c r="H5955" s="12">
        <v>0</v>
      </c>
      <c r="I5955" s="12">
        <v>0</v>
      </c>
      <c r="J5955" s="11"/>
      <c r="K5955" s="12">
        <v>0</v>
      </c>
      <c r="L5955" s="10" t="str">
        <f>HYPERLINK("https://otsuka-europe-crm.veevavault.com/ui/#object/approved_document__v/V5O00000001H022", "LUP - VAE invitación simposio SEN-SER - Nefro")</f>
        <v>LUP - VAE invitación simposio SEN-SER - Nefro</v>
      </c>
      <c r="M5955" s="10" t="str">
        <f>HYPERLINK("mailto:jguri@crm.otsuka-europe.com", "jguri@crm.otsuka-europe.com")</f>
        <v>jguri@crm.otsuka-europe.com</v>
      </c>
      <c r="N5955" s="13">
        <v>46181.380266203705</v>
      </c>
      <c r="O5955" s="14" t="str">
        <f>HYPERLINK("https://otsuka-europe-crm.veevavault.com/ui/#object/email_activity__v/V8C00000003Q439", "EN-002091678")</f>
        <v>EN-002091678</v>
      </c>
    </row>
    <row r="5956" spans="1:15" ht="32" x14ac:dyDescent="0.2">
      <c r="A5956" s="7" t="str">
        <f>HYPERLINK("https://otsuka-europe-crm.veevavault.com/ui/#object/account__v/V4TZ06G6O71T901", "BEATRIZ ANDRES MARTIN")</f>
        <v>BEATRIZ ANDRES MARTIN</v>
      </c>
      <c r="B5956" s="7" t="str">
        <f>HYPERLINK("https://otsuka-europe-crm.veevavault.com/ui/#object/vcountry__v/VENZ000004SONF5", "ES")</f>
        <v>ES</v>
      </c>
      <c r="C5956" s="8" t="s">
        <v>41</v>
      </c>
      <c r="D5956" s="9" t="str">
        <f>HYPERLINK("https://otsuka-europe-crm.veevavault.com/ui/#object/approved_document__v/V5O00000001H022", "LUP - VAE invitación simposio SEN-SER - Nefro")</f>
        <v>LUP - VAE invitación simposio SEN-SER - Nefro</v>
      </c>
      <c r="E5956" s="10" t="str">
        <f>HYPERLINK("https://otsuka-europe-crm.veevavault.com/ui/#object/sent_email__v/VBL00000002S175", "SE-001434304")</f>
        <v>SE-001434304</v>
      </c>
      <c r="F5956" s="11"/>
      <c r="G5956" s="12">
        <v>0</v>
      </c>
      <c r="H5956" s="12">
        <v>0</v>
      </c>
      <c r="I5956" s="12">
        <v>0</v>
      </c>
      <c r="J5956" s="11"/>
      <c r="K5956" s="12">
        <v>0</v>
      </c>
      <c r="L5956" s="10" t="str">
        <f>HYPERLINK("https://otsuka-europe-crm.veevavault.com/ui/#object/approved_document__v/V5O00000001H022", "LUP - VAE invitación simposio SEN-SER - Nefro")</f>
        <v>LUP - VAE invitación simposio SEN-SER - Nefro</v>
      </c>
      <c r="M5956" s="10" t="str">
        <f>HYPERLINK("mailto:jguri@crm.otsuka-europe.com", "jguri@crm.otsuka-europe.com")</f>
        <v>jguri@crm.otsuka-europe.com</v>
      </c>
      <c r="N5956" s="13">
        <v>46181.380266203705</v>
      </c>
      <c r="O5956" s="14" t="str">
        <f>HYPERLINK("https://otsuka-europe-crm.veevavault.com/ui/#object/email_activity__v/V8C00000003Q441", "EN-002091680")</f>
        <v>EN-002091680</v>
      </c>
    </row>
    <row r="5957" spans="1:15" ht="16" x14ac:dyDescent="0.2">
      <c r="A5957" s="17" t="str">
        <f>HYPERLINK("https://otsuka-europe-crm.veevavault.com/ui/#object/account__v/V4TZ06G6O71T7S2", "AMIR SHABAKA FERNANDEZ")</f>
        <v>AMIR SHABAKA FERNANDEZ</v>
      </c>
      <c r="B5957" s="17" t="str">
        <f>HYPERLINK("https://otsuka-europe-crm.veevavault.com/ui/#object/vcountry__v/VENZ000004SONF5", "ES")</f>
        <v>ES</v>
      </c>
      <c r="C5957" s="20" t="s">
        <v>41</v>
      </c>
      <c r="D5957" s="21" t="str">
        <f>HYPERLINK("https://otsuka-europe-crm.veevavault.com/ui/#object/approved_document__v/V5O00000001H022", "LUP - VAE invitación simposio SEN-SER - Nefro")</f>
        <v>LUP - VAE invitación simposio SEN-SER - Nefro</v>
      </c>
      <c r="E5957" s="22" t="str">
        <f>HYPERLINK("https://otsuka-europe-crm.veevavault.com/ui/#object/sent_email__v/VBL00000002S176", "SE-001434305")</f>
        <v>SE-001434305</v>
      </c>
      <c r="F5957" s="23">
        <v>46181.385185185187</v>
      </c>
      <c r="G5957" s="24">
        <v>1</v>
      </c>
      <c r="H5957" s="24">
        <v>2</v>
      </c>
      <c r="I5957" s="24">
        <v>0</v>
      </c>
      <c r="J5957" s="25"/>
      <c r="K5957" s="24">
        <v>0</v>
      </c>
      <c r="L5957" s="22" t="str">
        <f>HYPERLINK("https://otsuka-europe-crm.veevavault.com/ui/#object/approved_document__v/V5O00000001H022", "LUP - VAE invitación simposio SEN-SER - Nefro")</f>
        <v>LUP - VAE invitación simposio SEN-SER - Nefro</v>
      </c>
      <c r="M5957" s="22" t="str">
        <f>HYPERLINK("mailto:jguri@crm.otsuka-europe.com", "jguri@crm.otsuka-europe.com")</f>
        <v>jguri@crm.otsuka-europe.com</v>
      </c>
      <c r="N5957" s="23">
        <v>46181.380266203705</v>
      </c>
      <c r="O5957" s="14" t="str">
        <f>HYPERLINK("https://otsuka-europe-crm.veevavault.com/ui/#object/email_activity__v/V8C00000003Q455", "EN-002091694")</f>
        <v>EN-002091694</v>
      </c>
    </row>
    <row r="5958" spans="1:15" ht="16" x14ac:dyDescent="0.2">
      <c r="A5958" s="18"/>
      <c r="B5958" s="18"/>
      <c r="C5958" s="18"/>
      <c r="D5958" s="18"/>
      <c r="E5958" s="18"/>
      <c r="F5958" s="18"/>
      <c r="G5958" s="18"/>
      <c r="H5958" s="18"/>
      <c r="I5958" s="18"/>
      <c r="J5958" s="18"/>
      <c r="K5958" s="18"/>
      <c r="L5958" s="18"/>
      <c r="M5958" s="18"/>
      <c r="N5958" s="18"/>
      <c r="O5958" s="14" t="str">
        <f>HYPERLINK("https://otsuka-europe-crm.veevavault.com/ui/#object/email_activity__v/V8C00000003Q468", "EN-002091709")</f>
        <v>EN-002091709</v>
      </c>
    </row>
    <row r="5959" spans="1:15" ht="16" x14ac:dyDescent="0.2">
      <c r="A5959" s="19"/>
      <c r="B5959" s="19"/>
      <c r="C5959" s="19"/>
      <c r="D5959" s="19"/>
      <c r="E5959" s="19"/>
      <c r="F5959" s="19"/>
      <c r="G5959" s="19"/>
      <c r="H5959" s="19"/>
      <c r="I5959" s="19"/>
      <c r="J5959" s="19"/>
      <c r="K5959" s="19"/>
      <c r="L5959" s="19"/>
      <c r="M5959" s="19"/>
      <c r="N5959" s="19"/>
      <c r="O5959" s="14" t="str">
        <f>HYPERLINK("https://otsuka-europe-crm.veevavault.com/ui/#object/email_activity__v/V8C00000003R007", "EN-002091718")</f>
        <v>EN-002091718</v>
      </c>
    </row>
    <row r="5960" spans="1:15" ht="32" x14ac:dyDescent="0.2">
      <c r="A5960" s="7" t="str">
        <f>HYPERLINK("https://otsuka-europe-crm.veevavault.com/ui/#object/account__v/V4T000000022028", "Claire Spinks")</f>
        <v>Claire Spinks</v>
      </c>
      <c r="B5960" s="7" t="str">
        <f>HYPERLINK("https://otsuka-europe-crm.veevavault.com/ui/#object/vcountry__v/VENZ000004SONFK", "GB")</f>
        <v>GB</v>
      </c>
      <c r="C5960" s="8" t="s">
        <v>39</v>
      </c>
      <c r="D5960" s="9" t="str">
        <f>HYPERLINK("https://otsuka-europe-crm.veevavault.com/ui/#object/approved_document__v/V5OZ025E82PXJSL", "Otsuka Privacy Notice - UK (v2)")</f>
        <v>Otsuka Privacy Notice - UK (v2)</v>
      </c>
      <c r="E5960" s="10" t="str">
        <f>HYPERLINK("https://otsuka-europe-crm.veevavault.com/ui/#object/sent_email__v/VBL00000002R071", "SE-001434306")</f>
        <v>SE-001434306</v>
      </c>
      <c r="F5960" s="11"/>
      <c r="G5960" s="12">
        <v>0</v>
      </c>
      <c r="H5960" s="12">
        <v>0</v>
      </c>
      <c r="I5960" s="12">
        <v>0</v>
      </c>
      <c r="J5960" s="11"/>
      <c r="K5960" s="12">
        <v>0</v>
      </c>
      <c r="L5960" s="10" t="str">
        <f>HYPERLINK("https://otsuka-europe-crm.veevavault.com/ui/#object/approved_document__v/V5OZ025E82PXJSL", "Otsuka Privacy Notice - UK (v2)")</f>
        <v>Otsuka Privacy Notice - UK (v2)</v>
      </c>
      <c r="M5960" s="10" t="str">
        <f>HYPERLINK("mailto:ldimambro@crm.otsuka-europe.com", "ldimambro@crm.otsuka-europe.com")</f>
        <v>ldimambro@crm.otsuka-europe.com</v>
      </c>
      <c r="N5960" s="13">
        <v>46181.400960648149</v>
      </c>
      <c r="O5960" s="14" t="str">
        <f>HYPERLINK("https://otsuka-europe-crm.veevavault.com/ui/#object/email_activity__v/V8C00000003R028", "EN-002091753")</f>
        <v>EN-002091753</v>
      </c>
    </row>
    <row r="5961" spans="1:15" ht="32" x14ac:dyDescent="0.2">
      <c r="A5961" s="7" t="str">
        <f>HYPERLINK("https://otsuka-europe-crm.veevavault.com/ui/#object/account__v/V4T000000022028", "Claire Spinks")</f>
        <v>Claire Spinks</v>
      </c>
      <c r="B5961" s="7" t="str">
        <f>HYPERLINK("https://otsuka-europe-crm.veevavault.com/ui/#object/vcountry__v/VENZ000004SONFK", "GB")</f>
        <v>GB</v>
      </c>
      <c r="C5961" s="8" t="s">
        <v>39</v>
      </c>
      <c r="D5961" s="9" t="str">
        <f>HYPERLINK("https://otsuka-europe-crm.veevavault.com/ui/#object/approved_document__v/V5O00000000D081", "UK - Consent Email 1 Aug 25")</f>
        <v>UK - Consent Email 1 Aug 25</v>
      </c>
      <c r="E5961" s="10" t="str">
        <f>HYPERLINK("https://otsuka-europe-crm.veevavault.com/ui/#object/sent_email__v/VBL00000002R072", "SE-001434307")</f>
        <v>SE-001434307</v>
      </c>
      <c r="F5961" s="11"/>
      <c r="G5961" s="12">
        <v>0</v>
      </c>
      <c r="H5961" s="12">
        <v>0</v>
      </c>
      <c r="I5961" s="12">
        <v>0</v>
      </c>
      <c r="J5961" s="11"/>
      <c r="K5961" s="12">
        <v>0</v>
      </c>
      <c r="L5961" s="10" t="str">
        <f>HYPERLINK("https://otsuka-europe-crm.veevavault.com/ui/#object/approved_document__v/V5O00000000D081", "UK - Consent Email 1 Aug 25")</f>
        <v>UK - Consent Email 1 Aug 25</v>
      </c>
      <c r="M5961" s="10" t="str">
        <f>HYPERLINK("mailto:ldimambro@crm.otsuka-europe.com", "ldimambro@crm.otsuka-europe.com")</f>
        <v>ldimambro@crm.otsuka-europe.com</v>
      </c>
      <c r="N5961" s="13">
        <v>46181.402175925927</v>
      </c>
      <c r="O5961" s="14" t="str">
        <f>HYPERLINK("https://otsuka-europe-crm.veevavault.com/ui/#object/email_activity__v/V8C00000003R032", "EN-002091757")</f>
        <v>EN-002091757</v>
      </c>
    </row>
    <row r="5962" spans="1:15" ht="32" x14ac:dyDescent="0.2">
      <c r="A5962" s="7" t="str">
        <f>HYPERLINK("https://otsuka-europe-crm.veevavault.com/ui/#object/account__v/V4TZ0000062R2VW", "Dorothea Heininger")</f>
        <v>Dorothea Heininger</v>
      </c>
      <c r="B5962" s="7" t="str">
        <f>HYPERLINK("https://otsuka-europe-crm.veevavault.com/ui/#object/vcountry__v/VENZ000004SONFD", "AT")</f>
        <v>AT</v>
      </c>
      <c r="C5962" s="8" t="s">
        <v>40</v>
      </c>
      <c r="D5962" s="9" t="str">
        <f>HYPERLINK("https://otsuka-europe-crm.veevavault.com/ui/#object/approved_document__v/V5O00000000K004", "Austria - Consent Email - Aug25 v2")</f>
        <v>Austria - Consent Email - Aug25 v2</v>
      </c>
      <c r="E5962" s="10" t="str">
        <f>HYPERLINK("https://otsuka-europe-crm.veevavault.com/ui/#object/sent_email__v/VBL00000002S177", "SE-001434308")</f>
        <v>SE-001434308</v>
      </c>
      <c r="F5962" s="11"/>
      <c r="G5962" s="12">
        <v>0</v>
      </c>
      <c r="H5962" s="12">
        <v>0</v>
      </c>
      <c r="I5962" s="12">
        <v>0</v>
      </c>
      <c r="J5962" s="11"/>
      <c r="K5962" s="12">
        <v>0</v>
      </c>
      <c r="L5962" s="10" t="str">
        <f>HYPERLINK("https://otsuka-europe-crm.veevavault.com/ui/#object/approved_document__v/V5O00000000K004", "Austria - Consent Email - Aug25 v2")</f>
        <v>Austria - Consent Email - Aug25 v2</v>
      </c>
      <c r="M5962" s="10" t="str">
        <f>HYPERLINK("mailto:nlerchner@crm.otsuka-europe.com", "nlerchner@crm.otsuka-europe.com")</f>
        <v>nlerchner@crm.otsuka-europe.com</v>
      </c>
      <c r="N5962" s="13">
        <v>46181.406712962962</v>
      </c>
      <c r="O5962" s="14" t="str">
        <f>HYPERLINK("https://otsuka-europe-crm.veevavault.com/ui/#object/email_activity__v/V8C00000003R041", "EN-002091767")</f>
        <v>EN-002091767</v>
      </c>
    </row>
    <row r="5963" spans="1:15" ht="16" x14ac:dyDescent="0.2">
      <c r="A5963" s="17" t="str">
        <f>HYPERLINK("https://otsuka-europe-crm.veevavault.com/ui/#object/account__v/V4TZ06G6OBII44R", "Martin Kasper")</f>
        <v>Martin Kasper</v>
      </c>
      <c r="B5963" s="17" t="str">
        <f>HYPERLINK("https://otsuka-europe-crm.veevavault.com/ui/#object/vcountry__v/VENZ000004SONFD", "AT")</f>
        <v>AT</v>
      </c>
      <c r="C5963" s="20" t="s">
        <v>40</v>
      </c>
      <c r="D5963" s="21" t="str">
        <f>HYPERLINK("https://otsuka-europe-crm.veevavault.com/ui/#object/approved_document__v/V5O00000000K004", "Austria - Consent Email - Aug25 v2")</f>
        <v>Austria - Consent Email - Aug25 v2</v>
      </c>
      <c r="E5963" s="22" t="str">
        <f>HYPERLINK("https://otsuka-europe-crm.veevavault.com/ui/#object/sent_email__v/VBL00000002S178", "SE-001434309")</f>
        <v>SE-001434309</v>
      </c>
      <c r="F5963" s="23">
        <v>46183.428761574076</v>
      </c>
      <c r="G5963" s="24">
        <v>1</v>
      </c>
      <c r="H5963" s="24">
        <v>2</v>
      </c>
      <c r="I5963" s="24">
        <v>0</v>
      </c>
      <c r="J5963" s="25"/>
      <c r="K5963" s="24">
        <v>0</v>
      </c>
      <c r="L5963" s="22" t="str">
        <f>HYPERLINK("https://otsuka-europe-crm.veevavault.com/ui/#object/approved_document__v/V5O00000000K004", "Austria - Consent Email - Aug25 v2")</f>
        <v>Austria - Consent Email - Aug25 v2</v>
      </c>
      <c r="M5963" s="22" t="str">
        <f>HYPERLINK("mailto:nlerchner@crm.otsuka-europe.com", "nlerchner@crm.otsuka-europe.com")</f>
        <v>nlerchner@crm.otsuka-europe.com</v>
      </c>
      <c r="N5963" s="23">
        <v>46181.408125000002</v>
      </c>
      <c r="O5963" s="14" t="str">
        <f>HYPERLINK("https://otsuka-europe-crm.veevavault.com/ui/#object/email_activity__v/V8C00000003Q580", "EN-002091973")</f>
        <v>EN-002091973</v>
      </c>
    </row>
    <row r="5964" spans="1:15" ht="16" x14ac:dyDescent="0.2">
      <c r="A5964" s="18"/>
      <c r="B5964" s="18"/>
      <c r="C5964" s="18"/>
      <c r="D5964" s="18"/>
      <c r="E5964" s="18"/>
      <c r="F5964" s="18"/>
      <c r="G5964" s="18"/>
      <c r="H5964" s="18"/>
      <c r="I5964" s="18"/>
      <c r="J5964" s="18"/>
      <c r="K5964" s="18"/>
      <c r="L5964" s="18"/>
      <c r="M5964" s="18"/>
      <c r="N5964" s="18"/>
      <c r="O5964" s="14" t="str">
        <f>HYPERLINK("https://otsuka-europe-crm.veevavault.com/ui/#object/email_activity__v/V8C00000003Q705", "EN-002092251")</f>
        <v>EN-002092251</v>
      </c>
    </row>
    <row r="5965" spans="1:15" ht="16" x14ac:dyDescent="0.2">
      <c r="A5965" s="18"/>
      <c r="B5965" s="18"/>
      <c r="C5965" s="18"/>
      <c r="D5965" s="18"/>
      <c r="E5965" s="18"/>
      <c r="F5965" s="18"/>
      <c r="G5965" s="18"/>
      <c r="H5965" s="18"/>
      <c r="I5965" s="18"/>
      <c r="J5965" s="18"/>
      <c r="K5965" s="18"/>
      <c r="L5965" s="18"/>
      <c r="M5965" s="18"/>
      <c r="N5965" s="18"/>
      <c r="O5965" s="14" t="str">
        <f>HYPERLINK("https://otsuka-europe-crm.veevavault.com/ui/#object/email_activity__v/V8C00000003R042", "EN-002091768")</f>
        <v>EN-002091768</v>
      </c>
    </row>
    <row r="5966" spans="1:15" ht="16" x14ac:dyDescent="0.2">
      <c r="A5966" s="18"/>
      <c r="B5966" s="18"/>
      <c r="C5966" s="18"/>
      <c r="D5966" s="18"/>
      <c r="E5966" s="18"/>
      <c r="F5966" s="18"/>
      <c r="G5966" s="18"/>
      <c r="H5966" s="18"/>
      <c r="I5966" s="18"/>
      <c r="J5966" s="18"/>
      <c r="K5966" s="18"/>
      <c r="L5966" s="18"/>
      <c r="M5966" s="18"/>
      <c r="N5966" s="18"/>
      <c r="O5966" s="14" t="str">
        <f>HYPERLINK("https://otsuka-europe-crm.veevavault.com/ui/#object/email_activity__v/V8C00000003S508", "EN-002093915")</f>
        <v>EN-002093915</v>
      </c>
    </row>
    <row r="5967" spans="1:15" ht="16" x14ac:dyDescent="0.2">
      <c r="A5967" s="19"/>
      <c r="B5967" s="19"/>
      <c r="C5967" s="19"/>
      <c r="D5967" s="19"/>
      <c r="E5967" s="19"/>
      <c r="F5967" s="19"/>
      <c r="G5967" s="19"/>
      <c r="H5967" s="19"/>
      <c r="I5967" s="19"/>
      <c r="J5967" s="19"/>
      <c r="K5967" s="19"/>
      <c r="L5967" s="19"/>
      <c r="M5967" s="19"/>
      <c r="N5967" s="19"/>
      <c r="O5967" s="14" t="str">
        <f>HYPERLINK("https://otsuka-europe-crm.veevavault.com/ui/#object/email_activity__v/V8C00000003T290", "EN-002094135")</f>
        <v>EN-002094135</v>
      </c>
    </row>
    <row r="5968" spans="1:15" ht="32" x14ac:dyDescent="0.2">
      <c r="A5968" s="7" t="str">
        <f>HYPERLINK("https://otsuka-europe-crm.veevavault.com/ui/#object/account__v/V4TZ00000633KDZ", "NICOLAS SALOME")</f>
        <v>NICOLAS SALOME</v>
      </c>
      <c r="B5968" s="7" t="str">
        <f>HYPERLINK("https://otsuka-europe-crm.veevavault.com/ui/#object/vcountry__v/VENZ000004SONFA", "FR")</f>
        <v>FR</v>
      </c>
      <c r="C5968" s="8" t="s">
        <v>42</v>
      </c>
      <c r="D5968" s="9" t="str">
        <f>HYPERLINK("https://otsuka-europe-crm.veevavault.com/ui/#object/approved_document__v/V5OZ04ASG4G02Y7", "REMERCIEMENTS_VAD_2023")</f>
        <v>REMERCIEMENTS_VAD_2023</v>
      </c>
      <c r="E5968" s="10" t="str">
        <f>HYPERLINK("https://otsuka-europe-crm.veevavault.com/ui/#object/sent_email__v/VBL00000002R073", "SE-001434310")</f>
        <v>SE-001434310</v>
      </c>
      <c r="F5968" s="11"/>
      <c r="G5968" s="12">
        <v>0</v>
      </c>
      <c r="H5968" s="12">
        <v>0</v>
      </c>
      <c r="I5968" s="12">
        <v>0</v>
      </c>
      <c r="J5968" s="11"/>
      <c r="K5968" s="12">
        <v>0</v>
      </c>
      <c r="L5968" s="10" t="str">
        <f>HYPERLINK("https://otsuka-europe-crm.veevavault.com/ui/#object/approved_document__v/V5OZ04ASG4G02Y7", "REMERCIEMENTS_VAD_2023")</f>
        <v>REMERCIEMENTS_VAD_2023</v>
      </c>
      <c r="M5968" s="10" t="str">
        <f>HYPERLINK("mailto:cchevalliermiserole@crm.otsuka-europe.com", "cchevalliermiserole@crm.otsuka-europe.com")</f>
        <v>cchevalliermiserole@crm.otsuka-europe.com</v>
      </c>
      <c r="N5968" s="13">
        <v>46181.41679398148</v>
      </c>
      <c r="O5968" s="14" t="str">
        <f>HYPERLINK("https://otsuka-europe-crm.veevavault.com/ui/#object/email_activity__v/V8C00000003Q495", "EN-002091783")</f>
        <v>EN-002091783</v>
      </c>
    </row>
    <row r="5969" spans="1:15" ht="48" x14ac:dyDescent="0.2">
      <c r="A5969" s="7" t="str">
        <f>HYPERLINK("https://otsuka-europe-crm.veevavault.com/ui/#object/account__v/V4TZ00000633KDZ", "NICOLAS SALOME")</f>
        <v>NICOLAS SALOME</v>
      </c>
      <c r="B5969" s="7" t="str">
        <f>HYPERLINK("https://otsuka-europe-crm.veevavault.com/ui/#object/vcountry__v/VENZ000004SONFA", "FR")</f>
        <v>FR</v>
      </c>
      <c r="C5969" s="8" t="s">
        <v>42</v>
      </c>
      <c r="D5969" s="9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E5969" s="10" t="str">
        <f>HYPERLINK("https://otsuka-europe-crm.veevavault.com/ui/#object/sent_email__v/VBL00000002R074", "SE-001434311")</f>
        <v>SE-001434311</v>
      </c>
      <c r="F5969" s="11"/>
      <c r="G5969" s="12">
        <v>0</v>
      </c>
      <c r="H5969" s="12">
        <v>0</v>
      </c>
      <c r="I5969" s="12">
        <v>0</v>
      </c>
      <c r="J5969" s="11"/>
      <c r="K5969" s="12">
        <v>0</v>
      </c>
      <c r="L5969" s="10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M5969" s="10" t="str">
        <f>HYPERLINK("mailto:cchevalliermiserole@crm.otsuka-europe.com", "cchevalliermiserole@crm.otsuka-europe.com")</f>
        <v>cchevalliermiserole@crm.otsuka-europe.com</v>
      </c>
      <c r="N5969" s="13">
        <v>46183.509062500001</v>
      </c>
      <c r="O5969" s="14" t="str">
        <f>HYPERLINK("https://otsuka-europe-crm.veevavault.com/ui/#object/email_activity__v/V8C00000003T320", "EN-002094214")</f>
        <v>EN-002094214</v>
      </c>
    </row>
    <row r="5970" spans="1:15" ht="16" x14ac:dyDescent="0.2">
      <c r="A5970" s="17" t="str">
        <f>HYPERLINK("https://otsuka-europe-crm.veevavault.com/ui/#object/account__v/V4TZ06G6O71T7C8", "CRISTHIAN DAVID ORELLANA CHAVEZ")</f>
        <v>CRISTHIAN DAVID ORELLANA CHAVEZ</v>
      </c>
      <c r="B5970" s="17" t="str">
        <f>HYPERLINK("https://otsuka-europe-crm.veevavault.com/ui/#object/vcountry__v/VENZ000004SONF5", "ES")</f>
        <v>ES</v>
      </c>
      <c r="C5970" s="20" t="s">
        <v>41</v>
      </c>
      <c r="D5970" s="21" t="str">
        <f>HYPERLINK("https://otsuka-europe-crm.veevavault.com/ui/#object/approved_document__v/V5O00000001H022", "LUP - VAE invitación simposio SEN-SER - Nefro")</f>
        <v>LUP - VAE invitación simposio SEN-SER - Nefro</v>
      </c>
      <c r="E5970" s="22" t="str">
        <f>HYPERLINK("https://otsuka-europe-crm.veevavault.com/ui/#object/sent_email__v/VBL00000002R075", "SE-001434312")</f>
        <v>SE-001434312</v>
      </c>
      <c r="F5970" s="23">
        <v>46192.782824074071</v>
      </c>
      <c r="G5970" s="24">
        <v>1</v>
      </c>
      <c r="H5970" s="24">
        <v>8</v>
      </c>
      <c r="I5970" s="24">
        <v>1</v>
      </c>
      <c r="J5970" s="23">
        <v>46184.975694444445</v>
      </c>
      <c r="K5970" s="24">
        <v>1</v>
      </c>
      <c r="L5970" s="22" t="str">
        <f>HYPERLINK("https://otsuka-europe-crm.veevavault.com/ui/#object/approved_document__v/V5O00000001H022", "LUP - VAE invitación simposio SEN-SER - Nefro")</f>
        <v>LUP - VAE invitación simposio SEN-SER - Nefro</v>
      </c>
      <c r="M5970" s="22" t="str">
        <f>HYPERLINK("mailto:oriballo@crm.otsuka-europe.com", "oriballo@crm.otsuka-europe.com")</f>
        <v>oriballo@crm.otsuka-europe.com</v>
      </c>
      <c r="N5970" s="23">
        <v>46181.423738425925</v>
      </c>
      <c r="O5970" s="14" t="str">
        <f>HYPERLINK("https://otsuka-europe-crm.veevavault.com/ui/#object/email_activity__v/V8C00000003R069", "EN-002091802")</f>
        <v>EN-002091802</v>
      </c>
    </row>
    <row r="5971" spans="1:15" ht="16" x14ac:dyDescent="0.2">
      <c r="A5971" s="18"/>
      <c r="B5971" s="18"/>
      <c r="C5971" s="18"/>
      <c r="D5971" s="18"/>
      <c r="E5971" s="18"/>
      <c r="F5971" s="18"/>
      <c r="G5971" s="18"/>
      <c r="H5971" s="18"/>
      <c r="I5971" s="18"/>
      <c r="J5971" s="18"/>
      <c r="K5971" s="18"/>
      <c r="L5971" s="18"/>
      <c r="M5971" s="18"/>
      <c r="N5971" s="18"/>
      <c r="O5971" s="14" t="str">
        <f>HYPERLINK("https://otsuka-europe-crm.veevavault.com/ui/#object/email_activity__v/V8C00000003R185", "EN-002092033")</f>
        <v>EN-002092033</v>
      </c>
    </row>
    <row r="5972" spans="1:15" ht="16" x14ac:dyDescent="0.2">
      <c r="A5972" s="18"/>
      <c r="B5972" s="18"/>
      <c r="C5972" s="18"/>
      <c r="D5972" s="18"/>
      <c r="E5972" s="18"/>
      <c r="F5972" s="18"/>
      <c r="G5972" s="18"/>
      <c r="H5972" s="18"/>
      <c r="I5972" s="18"/>
      <c r="J5972" s="18"/>
      <c r="K5972" s="18"/>
      <c r="L5972" s="18"/>
      <c r="M5972" s="18"/>
      <c r="N5972" s="18"/>
      <c r="O5972" s="14" t="str">
        <f>HYPERLINK("https://otsuka-europe-crm.veevavault.com/ui/#object/email_activity__v/V8C00000003R294", "EN-002092224")</f>
        <v>EN-002092224</v>
      </c>
    </row>
    <row r="5973" spans="1:15" ht="16" x14ac:dyDescent="0.2">
      <c r="A5973" s="18"/>
      <c r="B5973" s="18"/>
      <c r="C5973" s="18"/>
      <c r="D5973" s="18"/>
      <c r="E5973" s="18"/>
      <c r="F5973" s="18"/>
      <c r="G5973" s="18"/>
      <c r="H5973" s="18"/>
      <c r="I5973" s="18"/>
      <c r="J5973" s="18"/>
      <c r="K5973" s="18"/>
      <c r="L5973" s="18"/>
      <c r="M5973" s="18"/>
      <c r="N5973" s="18"/>
      <c r="O5973" s="14" t="str">
        <f>HYPERLINK("https://otsuka-europe-crm.veevavault.com/ui/#object/email_activity__v/V8C00000003S900", "EN-002094665")</f>
        <v>EN-002094665</v>
      </c>
    </row>
    <row r="5974" spans="1:15" ht="16" x14ac:dyDescent="0.2">
      <c r="A5974" s="18"/>
      <c r="B5974" s="18"/>
      <c r="C5974" s="18"/>
      <c r="D5974" s="18"/>
      <c r="E5974" s="18"/>
      <c r="F5974" s="18"/>
      <c r="G5974" s="18"/>
      <c r="H5974" s="18"/>
      <c r="I5974" s="18"/>
      <c r="J5974" s="18"/>
      <c r="K5974" s="18"/>
      <c r="L5974" s="18"/>
      <c r="M5974" s="18"/>
      <c r="N5974" s="18"/>
      <c r="O5974" s="14" t="str">
        <f>HYPERLINK("https://otsuka-europe-crm.veevavault.com/ui/#object/email_activity__v/V8C00000003U027", "EN-002094879")</f>
        <v>EN-002094879</v>
      </c>
    </row>
    <row r="5975" spans="1:15" ht="16" x14ac:dyDescent="0.2">
      <c r="A5975" s="18"/>
      <c r="B5975" s="18"/>
      <c r="C5975" s="18"/>
      <c r="D5975" s="18"/>
      <c r="E5975" s="18"/>
      <c r="F5975" s="18"/>
      <c r="G5975" s="18"/>
      <c r="H5975" s="18"/>
      <c r="I5975" s="18"/>
      <c r="J5975" s="18"/>
      <c r="K5975" s="18"/>
      <c r="L5975" s="18"/>
      <c r="M5975" s="18"/>
      <c r="N5975" s="18"/>
      <c r="O5975" s="14" t="str">
        <f>HYPERLINK("https://otsuka-europe-crm.veevavault.com/ui/#object/email_activity__v/V8C00000003V030", "EN-002094874")</f>
        <v>EN-002094874</v>
      </c>
    </row>
    <row r="5976" spans="1:15" ht="16" x14ac:dyDescent="0.2">
      <c r="A5976" s="18"/>
      <c r="B5976" s="18"/>
      <c r="C5976" s="18"/>
      <c r="D5976" s="18"/>
      <c r="E5976" s="18"/>
      <c r="F5976" s="18"/>
      <c r="G5976" s="18"/>
      <c r="H5976" s="18"/>
      <c r="I5976" s="18"/>
      <c r="J5976" s="18"/>
      <c r="K5976" s="18"/>
      <c r="L5976" s="18"/>
      <c r="M5976" s="18"/>
      <c r="N5976" s="18"/>
      <c r="O5976" s="14" t="str">
        <f>HYPERLINK("https://otsuka-europe-crm.veevavault.com/ui/#object/email_activity__v/V8C00000003V031", "EN-002094875")</f>
        <v>EN-002094875</v>
      </c>
    </row>
    <row r="5977" spans="1:15" ht="16" x14ac:dyDescent="0.2">
      <c r="A5977" s="18"/>
      <c r="B5977" s="18"/>
      <c r="C5977" s="18"/>
      <c r="D5977" s="18"/>
      <c r="E5977" s="18"/>
      <c r="F5977" s="18"/>
      <c r="G5977" s="18"/>
      <c r="H5977" s="18"/>
      <c r="I5977" s="18"/>
      <c r="J5977" s="18"/>
      <c r="K5977" s="18"/>
      <c r="L5977" s="18"/>
      <c r="M5977" s="18"/>
      <c r="N5977" s="18"/>
      <c r="O5977" s="14" t="str">
        <f>HYPERLINK("https://otsuka-europe-crm.veevavault.com/ui/#object/email_activity__v/V8C00000003W306", "EN-002097335")</f>
        <v>EN-002097335</v>
      </c>
    </row>
    <row r="5978" spans="1:15" ht="16" x14ac:dyDescent="0.2">
      <c r="A5978" s="18"/>
      <c r="B5978" s="18"/>
      <c r="C5978" s="18"/>
      <c r="D5978" s="18"/>
      <c r="E5978" s="18"/>
      <c r="F5978" s="18"/>
      <c r="G5978" s="18"/>
      <c r="H5978" s="18"/>
      <c r="I5978" s="18"/>
      <c r="J5978" s="18"/>
      <c r="K5978" s="18"/>
      <c r="L5978" s="18"/>
      <c r="M5978" s="18"/>
      <c r="N5978" s="18"/>
      <c r="O5978" s="14" t="str">
        <f>HYPERLINK("https://otsuka-europe-crm.veevavault.com/ui/#object/email_activity__v/V8C00000003W307", "EN-002097336")</f>
        <v>EN-002097336</v>
      </c>
    </row>
    <row r="5979" spans="1:15" ht="16" x14ac:dyDescent="0.2">
      <c r="A5979" s="18"/>
      <c r="B5979" s="18"/>
      <c r="C5979" s="18"/>
      <c r="D5979" s="18"/>
      <c r="E5979" s="18"/>
      <c r="F5979" s="18"/>
      <c r="G5979" s="18"/>
      <c r="H5979" s="18"/>
      <c r="I5979" s="18"/>
      <c r="J5979" s="18"/>
      <c r="K5979" s="18"/>
      <c r="L5979" s="18"/>
      <c r="M5979" s="18"/>
      <c r="N5979" s="18"/>
      <c r="O5979" s="14" t="str">
        <f>HYPERLINK("https://otsuka-europe-crm.veevavault.com/ui/#object/email_activity__v/V8C00000003X905", "EN-002098435")</f>
        <v>EN-002098435</v>
      </c>
    </row>
    <row r="5980" spans="1:15" ht="16" x14ac:dyDescent="0.2">
      <c r="A5980" s="18"/>
      <c r="B5980" s="18"/>
      <c r="C5980" s="18"/>
      <c r="D5980" s="18"/>
      <c r="E5980" s="18"/>
      <c r="F5980" s="18"/>
      <c r="G5980" s="18"/>
      <c r="H5980" s="18"/>
      <c r="I5980" s="18"/>
      <c r="J5980" s="18"/>
      <c r="K5980" s="18"/>
      <c r="L5980" s="18"/>
      <c r="M5980" s="18"/>
      <c r="N5980" s="18"/>
      <c r="O5980" s="14" t="str">
        <f>HYPERLINK("https://otsuka-europe-crm.veevavault.com/ui/#object/email_activity__v/V8C00000003X906", "EN-002098436")</f>
        <v>EN-002098436</v>
      </c>
    </row>
    <row r="5981" spans="1:15" ht="16" x14ac:dyDescent="0.2">
      <c r="A5981" s="18"/>
      <c r="B5981" s="18"/>
      <c r="C5981" s="18"/>
      <c r="D5981" s="18"/>
      <c r="E5981" s="18"/>
      <c r="F5981" s="18"/>
      <c r="G5981" s="18"/>
      <c r="H5981" s="18"/>
      <c r="I5981" s="18"/>
      <c r="J5981" s="18"/>
      <c r="K5981" s="18"/>
      <c r="L5981" s="18"/>
      <c r="M5981" s="18"/>
      <c r="N5981" s="18"/>
      <c r="O5981" s="14" t="str">
        <f>HYPERLINK("https://otsuka-europe-crm.veevavault.com/ui/#object/email_activity__v/V8C00000003X942", "EN-002098498")</f>
        <v>EN-002098498</v>
      </c>
    </row>
    <row r="5982" spans="1:15" ht="16" x14ac:dyDescent="0.2">
      <c r="A5982" s="18"/>
      <c r="B5982" s="18"/>
      <c r="C5982" s="18"/>
      <c r="D5982" s="18"/>
      <c r="E5982" s="18"/>
      <c r="F5982" s="18"/>
      <c r="G5982" s="18"/>
      <c r="H5982" s="18"/>
      <c r="I5982" s="18"/>
      <c r="J5982" s="18"/>
      <c r="K5982" s="18"/>
      <c r="L5982" s="18"/>
      <c r="M5982" s="18"/>
      <c r="N5982" s="18"/>
      <c r="O5982" s="14" t="str">
        <f>HYPERLINK("https://otsuka-europe-crm.veevavault.com/ui/#object/email_activity__v/V8C00000003X943", "EN-002098500")</f>
        <v>EN-002098500</v>
      </c>
    </row>
    <row r="5983" spans="1:15" ht="16" x14ac:dyDescent="0.2">
      <c r="A5983" s="19"/>
      <c r="B5983" s="19"/>
      <c r="C5983" s="19"/>
      <c r="D5983" s="19"/>
      <c r="E5983" s="19"/>
      <c r="F5983" s="19"/>
      <c r="G5983" s="19"/>
      <c r="H5983" s="19"/>
      <c r="I5983" s="19"/>
      <c r="J5983" s="19"/>
      <c r="K5983" s="19"/>
      <c r="L5983" s="19"/>
      <c r="M5983" s="19"/>
      <c r="N5983" s="19"/>
      <c r="O5983" s="14" t="str">
        <f>HYPERLINK("https://otsuka-europe-crm.veevavault.com/ui/#object/email_activity__v/V8C00000003Z108", "EN-002098856")</f>
        <v>EN-002098856</v>
      </c>
    </row>
    <row r="5984" spans="1:15" ht="16" x14ac:dyDescent="0.2">
      <c r="A5984" s="17" t="str">
        <f>HYPERLINK("https://otsuka-europe-crm.veevavault.com/ui/#object/account__v/V4TZ06G6O71T9SO", "FRANCISCO JOSE DE LA PRADA ALVAREZ")</f>
        <v>FRANCISCO JOSE DE LA PRADA ALVAREZ</v>
      </c>
      <c r="B5984" s="17" t="str">
        <f>HYPERLINK("https://otsuka-europe-crm.veevavault.com/ui/#object/vcountry__v/VENZ000004SONF5", "ES")</f>
        <v>ES</v>
      </c>
      <c r="C5984" s="20" t="s">
        <v>41</v>
      </c>
      <c r="D5984" s="21" t="str">
        <f>HYPERLINK("https://otsuka-europe-crm.veevavault.com/ui/#object/approved_document__v/V5O00000001H022", "LUP - VAE invitación simposio SEN-SER - Nefro")</f>
        <v>LUP - VAE invitación simposio SEN-SER - Nefro</v>
      </c>
      <c r="E5984" s="22" t="str">
        <f>HYPERLINK("https://otsuka-europe-crm.veevavault.com/ui/#object/sent_email__v/VBL00000002R076", "SE-001434313")</f>
        <v>SE-001434313</v>
      </c>
      <c r="F5984" s="23">
        <v>46188.253634259258</v>
      </c>
      <c r="G5984" s="24">
        <v>1</v>
      </c>
      <c r="H5984" s="24">
        <v>2</v>
      </c>
      <c r="I5984" s="24">
        <v>1</v>
      </c>
      <c r="J5984" s="23">
        <v>46181.535787037035</v>
      </c>
      <c r="K5984" s="24">
        <v>1</v>
      </c>
      <c r="L5984" s="22" t="str">
        <f>HYPERLINK("https://otsuka-europe-crm.veevavault.com/ui/#object/approved_document__v/V5O00000001H022", "LUP - VAE invitación simposio SEN-SER - Nefro")</f>
        <v>LUP - VAE invitación simposio SEN-SER - Nefro</v>
      </c>
      <c r="M5984" s="22" t="str">
        <f>HYPERLINK("mailto:oriballo@crm.otsuka-europe.com", "oriballo@crm.otsuka-europe.com")</f>
        <v>oriballo@crm.otsuka-europe.com</v>
      </c>
      <c r="N5984" s="23">
        <v>46181.424259259256</v>
      </c>
      <c r="O5984" s="14" t="str">
        <f>HYPERLINK("https://otsuka-europe-crm.veevavault.com/ui/#object/email_activity__v/V8C00000003Q564", "EN-002091943")</f>
        <v>EN-002091943</v>
      </c>
    </row>
    <row r="5985" spans="1:15" ht="16" x14ac:dyDescent="0.2">
      <c r="A5985" s="18"/>
      <c r="B5985" s="18"/>
      <c r="C5985" s="18"/>
      <c r="D5985" s="18"/>
      <c r="E5985" s="18"/>
      <c r="F5985" s="18"/>
      <c r="G5985" s="18"/>
      <c r="H5985" s="18"/>
      <c r="I5985" s="18"/>
      <c r="J5985" s="18"/>
      <c r="K5985" s="18"/>
      <c r="L5985" s="18"/>
      <c r="M5985" s="18"/>
      <c r="N5985" s="18"/>
      <c r="O5985" s="14" t="str">
        <f>HYPERLINK("https://otsuka-europe-crm.veevavault.com/ui/#object/email_activity__v/V8C00000003Q566", "EN-002091945")</f>
        <v>EN-002091945</v>
      </c>
    </row>
    <row r="5986" spans="1:15" ht="16" x14ac:dyDescent="0.2">
      <c r="A5986" s="18"/>
      <c r="B5986" s="18"/>
      <c r="C5986" s="18"/>
      <c r="D5986" s="18"/>
      <c r="E5986" s="18"/>
      <c r="F5986" s="18"/>
      <c r="G5986" s="18"/>
      <c r="H5986" s="18"/>
      <c r="I5986" s="18"/>
      <c r="J5986" s="18"/>
      <c r="K5986" s="18"/>
      <c r="L5986" s="18"/>
      <c r="M5986" s="18"/>
      <c r="N5986" s="18"/>
      <c r="O5986" s="14" t="str">
        <f>HYPERLINK("https://otsuka-europe-crm.veevavault.com/ui/#object/email_activity__v/V8C00000003R073", "EN-002091806")</f>
        <v>EN-002091806</v>
      </c>
    </row>
    <row r="5987" spans="1:15" ht="16" x14ac:dyDescent="0.2">
      <c r="A5987" s="18"/>
      <c r="B5987" s="18"/>
      <c r="C5987" s="18"/>
      <c r="D5987" s="18"/>
      <c r="E5987" s="18"/>
      <c r="F5987" s="18"/>
      <c r="G5987" s="18"/>
      <c r="H5987" s="18"/>
      <c r="I5987" s="18"/>
      <c r="J5987" s="18"/>
      <c r="K5987" s="18"/>
      <c r="L5987" s="18"/>
      <c r="M5987" s="18"/>
      <c r="N5987" s="18"/>
      <c r="O5987" s="14" t="str">
        <f>HYPERLINK("https://otsuka-europe-crm.veevavault.com/ui/#object/email_activity__v/V8C00000003R138", "EN-002091939")</f>
        <v>EN-002091939</v>
      </c>
    </row>
    <row r="5988" spans="1:15" ht="16" x14ac:dyDescent="0.2">
      <c r="A5988" s="18"/>
      <c r="B5988" s="18"/>
      <c r="C5988" s="18"/>
      <c r="D5988" s="18"/>
      <c r="E5988" s="18"/>
      <c r="F5988" s="18"/>
      <c r="G5988" s="18"/>
      <c r="H5988" s="18"/>
      <c r="I5988" s="18"/>
      <c r="J5988" s="18"/>
      <c r="K5988" s="18"/>
      <c r="L5988" s="18"/>
      <c r="M5988" s="18"/>
      <c r="N5988" s="18"/>
      <c r="O5988" s="14" t="str">
        <f>HYPERLINK("https://otsuka-europe-crm.veevavault.com/ui/#object/email_activity__v/V8C00000003R139", "EN-002091938")</f>
        <v>EN-002091938</v>
      </c>
    </row>
    <row r="5989" spans="1:15" ht="16" x14ac:dyDescent="0.2">
      <c r="A5989" s="19"/>
      <c r="B5989" s="19"/>
      <c r="C5989" s="19"/>
      <c r="D5989" s="19"/>
      <c r="E5989" s="19"/>
      <c r="F5989" s="19"/>
      <c r="G5989" s="19"/>
      <c r="H5989" s="19"/>
      <c r="I5989" s="19"/>
      <c r="J5989" s="19"/>
      <c r="K5989" s="19"/>
      <c r="L5989" s="19"/>
      <c r="M5989" s="19"/>
      <c r="N5989" s="19"/>
      <c r="O5989" s="14" t="str">
        <f>HYPERLINK("https://otsuka-europe-crm.veevavault.com/ui/#object/email_activity__v/V8C00000003U450", "EN-002095749")</f>
        <v>EN-002095749</v>
      </c>
    </row>
    <row r="5990" spans="1:15" ht="16" x14ac:dyDescent="0.2">
      <c r="A5990" s="17" t="str">
        <f>HYPERLINK("https://otsuka-europe-crm.veevavault.com/ui/#object/account__v/V4TZ06G6O71TC5P", "JORGE CERVILLA BALLESTEROS")</f>
        <v>JORGE CERVILLA BALLESTEROS</v>
      </c>
      <c r="B5990" s="17" t="str">
        <f>HYPERLINK("https://otsuka-europe-crm.veevavault.com/ui/#object/vcountry__v/VENZ000004SONF5", "ES")</f>
        <v>ES</v>
      </c>
      <c r="C5990" s="20" t="s">
        <v>41</v>
      </c>
      <c r="D5990" s="21" t="str">
        <f>HYPERLINK("https://otsuka-europe-crm.veevavault.com/ui/#object/approved_document__v/V5OZ04ASG4FWKA9", "Documento Autorizaciขn Centro Empleador")</f>
        <v>Documento Autorizaciขn Centro Empleador</v>
      </c>
      <c r="E5990" s="22" t="str">
        <f>HYPERLINK("https://otsuka-europe-crm.veevavault.com/ui/#object/sent_email__v/VBL00000002R077", "SE-001434314")</f>
        <v>SE-001434314</v>
      </c>
      <c r="F5990" s="25"/>
      <c r="G5990" s="24">
        <v>0</v>
      </c>
      <c r="H5990" s="24">
        <v>0</v>
      </c>
      <c r="I5990" s="24">
        <v>1</v>
      </c>
      <c r="J5990" s="23">
        <v>46181.434293981481</v>
      </c>
      <c r="K5990" s="24">
        <v>1</v>
      </c>
      <c r="L5990" s="22" t="str">
        <f>HYPERLINK("https://otsuka-europe-crm.veevavault.com/ui/#object/approved_document__v/V5OZ04ASG4FWKA9", "Documento Autorizaciขn Centro Empleador")</f>
        <v>Documento Autorizaciขn Centro Empleador</v>
      </c>
      <c r="M5990" s="22" t="str">
        <f>HYPERLINK("mailto:jcastro@crm.otsuka-europe.com", "jcastro@crm.otsuka-europe.com")</f>
        <v>jcastro@crm.otsuka-europe.com</v>
      </c>
      <c r="N5990" s="23">
        <v>46181.431770833333</v>
      </c>
      <c r="O5990" s="14" t="str">
        <f>HYPERLINK("https://otsuka-europe-crm.veevavault.com/ui/#object/email_activity__v/V8C00000003Q499", "EN-002091817")</f>
        <v>EN-002091817</v>
      </c>
    </row>
    <row r="5991" spans="1:15" ht="16" x14ac:dyDescent="0.2">
      <c r="A5991" s="18"/>
      <c r="B5991" s="18"/>
      <c r="C5991" s="18"/>
      <c r="D5991" s="18"/>
      <c r="E5991" s="18"/>
      <c r="F5991" s="18"/>
      <c r="G5991" s="18"/>
      <c r="H5991" s="18"/>
      <c r="I5991" s="18"/>
      <c r="J5991" s="18"/>
      <c r="K5991" s="18"/>
      <c r="L5991" s="18"/>
      <c r="M5991" s="18"/>
      <c r="N5991" s="18"/>
      <c r="O5991" s="14" t="str">
        <f>HYPERLINK("https://otsuka-europe-crm.veevavault.com/ui/#object/email_activity__v/V8C00000003Q500", "EN-002091818")</f>
        <v>EN-002091818</v>
      </c>
    </row>
    <row r="5992" spans="1:15" ht="16" x14ac:dyDescent="0.2">
      <c r="A5992" s="18"/>
      <c r="B5992" s="18"/>
      <c r="C5992" s="18"/>
      <c r="D5992" s="18"/>
      <c r="E5992" s="18"/>
      <c r="F5992" s="18"/>
      <c r="G5992" s="18"/>
      <c r="H5992" s="18"/>
      <c r="I5992" s="18"/>
      <c r="J5992" s="18"/>
      <c r="K5992" s="18"/>
      <c r="L5992" s="18"/>
      <c r="M5992" s="18"/>
      <c r="N5992" s="18"/>
      <c r="O5992" s="14" t="str">
        <f>HYPERLINK("https://otsuka-europe-crm.veevavault.com/ui/#object/email_activity__v/V8C00000003R078", "EN-002091813")</f>
        <v>EN-002091813</v>
      </c>
    </row>
    <row r="5993" spans="1:15" ht="16" x14ac:dyDescent="0.2">
      <c r="A5993" s="19"/>
      <c r="B5993" s="19"/>
      <c r="C5993" s="19"/>
      <c r="D5993" s="19"/>
      <c r="E5993" s="19"/>
      <c r="F5993" s="19"/>
      <c r="G5993" s="19"/>
      <c r="H5993" s="19"/>
      <c r="I5993" s="19"/>
      <c r="J5993" s="19"/>
      <c r="K5993" s="19"/>
      <c r="L5993" s="19"/>
      <c r="M5993" s="19"/>
      <c r="N5993" s="19"/>
      <c r="O5993" s="14" t="str">
        <f>HYPERLINK("https://otsuka-europe-crm.veevavault.com/ui/#object/email_activity__v/V8C00000003R241", "EN-002092131")</f>
        <v>EN-002092131</v>
      </c>
    </row>
    <row r="5994" spans="1:15" ht="32" x14ac:dyDescent="0.2">
      <c r="A5994" s="7" t="str">
        <f>HYPERLINK("https://otsuka-europe-crm.veevavault.com/ui/#object/account__v/V4TZ06G6O71T75Z", "ELMA AVANESI MOLINA")</f>
        <v>ELMA AVANESI MOLINA</v>
      </c>
      <c r="B5994" s="7" t="str">
        <f>HYPERLINK("https://otsuka-europe-crm.veevavault.com/ui/#object/vcountry__v/VENZ000004SONF5", "ES")</f>
        <v>ES</v>
      </c>
      <c r="C5994" s="8" t="s">
        <v>41</v>
      </c>
      <c r="D5994" s="9" t="str">
        <f>HYPERLINK("https://otsuka-europe-crm.veevavault.com/ui/#object/approved_document__v/V5O00000001H004", "Save the date X Jornada UHB 2026")</f>
        <v>Save the date X Jornada UHB 2026</v>
      </c>
      <c r="E5994" s="10" t="str">
        <f>HYPERLINK("https://otsuka-europe-crm.veevavault.com/ui/#object/sent_email__v/VBL00000002R078", "SE-001434315")</f>
        <v>SE-001434315</v>
      </c>
      <c r="F5994" s="11"/>
      <c r="G5994" s="12">
        <v>0</v>
      </c>
      <c r="H5994" s="12">
        <v>0</v>
      </c>
      <c r="I5994" s="12">
        <v>0</v>
      </c>
      <c r="J5994" s="11"/>
      <c r="K5994" s="12">
        <v>0</v>
      </c>
      <c r="L5994" s="10" t="str">
        <f>HYPERLINK("https://otsuka-europe-crm.veevavault.com/ui/#object/approved_document__v/V5O00000001H004", "Save the date X Jornada UHB 2026")</f>
        <v>Save the date X Jornada UHB 2026</v>
      </c>
      <c r="M5994" s="10" t="str">
        <f>HYPERLINK("mailto:sruiz@crm.otsuka-europe.com", "sruiz@crm.otsuka-europe.com")</f>
        <v>sruiz@crm.otsuka-europe.com</v>
      </c>
      <c r="N5994" s="13">
        <v>46181.447951388887</v>
      </c>
      <c r="O5994" s="14" t="str">
        <f>HYPERLINK("https://otsuka-europe-crm.veevavault.com/ui/#object/email_activity__v/V8C00000003Q511", "EN-002091833")</f>
        <v>EN-002091833</v>
      </c>
    </row>
    <row r="5995" spans="1:15" ht="16" x14ac:dyDescent="0.2">
      <c r="A5995" s="17" t="str">
        <f>HYPERLINK("https://otsuka-europe-crm.veevavault.com/ui/#object/account__v/V4TZ06G6O71TC68", "NURIA CEREZO RAMIREZ")</f>
        <v>NURIA CEREZO RAMIREZ</v>
      </c>
      <c r="B5995" s="17" t="str">
        <f>HYPERLINK("https://otsuka-europe-crm.veevavault.com/ui/#object/vcountry__v/VENZ000004SONF5", "ES")</f>
        <v>ES</v>
      </c>
      <c r="C5995" s="20" t="s">
        <v>41</v>
      </c>
      <c r="D5995" s="21" t="str">
        <f>HYPERLINK("https://otsuka-europe-crm.veevavault.com/ui/#object/approved_document__v/V5O00000001H004", "Save the date X Jornada UHB 2026")</f>
        <v>Save the date X Jornada UHB 2026</v>
      </c>
      <c r="E5995" s="22" t="str">
        <f>HYPERLINK("https://otsuka-europe-crm.veevavault.com/ui/#object/sent_email__v/VBL00000002R079", "SE-001434316")</f>
        <v>SE-001434316</v>
      </c>
      <c r="F5995" s="23">
        <v>46196.567604166667</v>
      </c>
      <c r="G5995" s="24">
        <v>1</v>
      </c>
      <c r="H5995" s="24">
        <v>7</v>
      </c>
      <c r="I5995" s="24">
        <v>0</v>
      </c>
      <c r="J5995" s="25"/>
      <c r="K5995" s="24">
        <v>0</v>
      </c>
      <c r="L5995" s="22" t="str">
        <f>HYPERLINK("https://otsuka-europe-crm.veevavault.com/ui/#object/approved_document__v/V5O00000001H004", "Save the date X Jornada UHB 2026")</f>
        <v>Save the date X Jornada UHB 2026</v>
      </c>
      <c r="M5995" s="22" t="str">
        <f>HYPERLINK("mailto:sruiz@crm.otsuka-europe.com", "sruiz@crm.otsuka-europe.com")</f>
        <v>sruiz@crm.otsuka-europe.com</v>
      </c>
      <c r="N5995" s="23">
        <v>46181.447951388887</v>
      </c>
      <c r="O5995" s="14" t="str">
        <f>HYPERLINK("https://otsuka-europe-crm.veevavault.com/ui/#object/email_activity__v/V8C00000003Q512", "EN-002091834")</f>
        <v>EN-002091834</v>
      </c>
    </row>
    <row r="5996" spans="1:15" ht="16" x14ac:dyDescent="0.2">
      <c r="A5996" s="18"/>
      <c r="B5996" s="18"/>
      <c r="C5996" s="18"/>
      <c r="D5996" s="18"/>
      <c r="E5996" s="18"/>
      <c r="F5996" s="18"/>
      <c r="G5996" s="18"/>
      <c r="H5996" s="18"/>
      <c r="I5996" s="18"/>
      <c r="J5996" s="18"/>
      <c r="K5996" s="18"/>
      <c r="L5996" s="18"/>
      <c r="M5996" s="18"/>
      <c r="N5996" s="18"/>
      <c r="O5996" s="14" t="str">
        <f>HYPERLINK("https://otsuka-europe-crm.veevavault.com/ui/#object/email_activity__v/V8C00000003R322", "EN-002092282")</f>
        <v>EN-002092282</v>
      </c>
    </row>
    <row r="5997" spans="1:15" ht="16" x14ac:dyDescent="0.2">
      <c r="A5997" s="18"/>
      <c r="B5997" s="18"/>
      <c r="C5997" s="18"/>
      <c r="D5997" s="18"/>
      <c r="E5997" s="18"/>
      <c r="F5997" s="18"/>
      <c r="G5997" s="18"/>
      <c r="H5997" s="18"/>
      <c r="I5997" s="18"/>
      <c r="J5997" s="18"/>
      <c r="K5997" s="18"/>
      <c r="L5997" s="18"/>
      <c r="M5997" s="18"/>
      <c r="N5997" s="18"/>
      <c r="O5997" s="14" t="str">
        <f>HYPERLINK("https://otsuka-europe-crm.veevavault.com/ui/#object/email_activity__v/V8C00000003R349", "EN-002092347")</f>
        <v>EN-002092347</v>
      </c>
    </row>
    <row r="5998" spans="1:15" ht="16" x14ac:dyDescent="0.2">
      <c r="A5998" s="18"/>
      <c r="B5998" s="18"/>
      <c r="C5998" s="18"/>
      <c r="D5998" s="18"/>
      <c r="E5998" s="18"/>
      <c r="F5998" s="18"/>
      <c r="G5998" s="18"/>
      <c r="H5998" s="18"/>
      <c r="I5998" s="18"/>
      <c r="J5998" s="18"/>
      <c r="K5998" s="18"/>
      <c r="L5998" s="18"/>
      <c r="M5998" s="18"/>
      <c r="N5998" s="18"/>
      <c r="O5998" s="14" t="str">
        <f>HYPERLINK("https://otsuka-europe-crm.veevavault.com/ui/#object/email_activity__v/V8C00000003U391", "EN-002095643")</f>
        <v>EN-002095643</v>
      </c>
    </row>
    <row r="5999" spans="1:15" ht="16" x14ac:dyDescent="0.2">
      <c r="A5999" s="18"/>
      <c r="B5999" s="18"/>
      <c r="C5999" s="18"/>
      <c r="D5999" s="18"/>
      <c r="E5999" s="18"/>
      <c r="F5999" s="18"/>
      <c r="G5999" s="18"/>
      <c r="H5999" s="18"/>
      <c r="I5999" s="18"/>
      <c r="J5999" s="18"/>
      <c r="K5999" s="18"/>
      <c r="L5999" s="18"/>
      <c r="M5999" s="18"/>
      <c r="N5999" s="18"/>
      <c r="O5999" s="14" t="str">
        <f>HYPERLINK("https://otsuka-europe-crm.veevavault.com/ui/#object/email_activity__v/V8C00000003U393", "EN-002095647")</f>
        <v>EN-002095647</v>
      </c>
    </row>
    <row r="6000" spans="1:15" ht="16" x14ac:dyDescent="0.2">
      <c r="A6000" s="18"/>
      <c r="B6000" s="18"/>
      <c r="C6000" s="18"/>
      <c r="D6000" s="18"/>
      <c r="E6000" s="18"/>
      <c r="F6000" s="18"/>
      <c r="G6000" s="18"/>
      <c r="H6000" s="18"/>
      <c r="I6000" s="18"/>
      <c r="J6000" s="18"/>
      <c r="K6000" s="18"/>
      <c r="L6000" s="18"/>
      <c r="M6000" s="18"/>
      <c r="N6000" s="18"/>
      <c r="O6000" s="14" t="str">
        <f>HYPERLINK("https://otsuka-europe-crm.veevavault.com/ui/#object/email_activity__v/V8C00000003U394", "EN-002095650")</f>
        <v>EN-002095650</v>
      </c>
    </row>
    <row r="6001" spans="1:15" ht="16" x14ac:dyDescent="0.2">
      <c r="A6001" s="18"/>
      <c r="B6001" s="18"/>
      <c r="C6001" s="18"/>
      <c r="D6001" s="18"/>
      <c r="E6001" s="18"/>
      <c r="F6001" s="18"/>
      <c r="G6001" s="18"/>
      <c r="H6001" s="18"/>
      <c r="I6001" s="18"/>
      <c r="J6001" s="18"/>
      <c r="K6001" s="18"/>
      <c r="L6001" s="18"/>
      <c r="M6001" s="18"/>
      <c r="N6001" s="18"/>
      <c r="O6001" s="14" t="str">
        <f>HYPERLINK("https://otsuka-europe-crm.veevavault.com/ui/#object/email_activity__v/V8C000000040156", "EN-002098972")</f>
        <v>EN-002098972</v>
      </c>
    </row>
    <row r="6002" spans="1:15" ht="16" x14ac:dyDescent="0.2">
      <c r="A6002" s="19"/>
      <c r="B6002" s="19"/>
      <c r="C6002" s="19"/>
      <c r="D6002" s="19"/>
      <c r="E6002" s="19"/>
      <c r="F6002" s="19"/>
      <c r="G6002" s="19"/>
      <c r="H6002" s="19"/>
      <c r="I6002" s="19"/>
      <c r="J6002" s="19"/>
      <c r="K6002" s="19"/>
      <c r="L6002" s="19"/>
      <c r="M6002" s="19"/>
      <c r="N6002" s="19"/>
      <c r="O6002" s="14" t="str">
        <f>HYPERLINK("https://otsuka-europe-crm.veevavault.com/ui/#object/email_activity__v/V8C000000040409", "EN-002099404")</f>
        <v>EN-002099404</v>
      </c>
    </row>
    <row r="6003" spans="1:15" ht="32" x14ac:dyDescent="0.2">
      <c r="A6003" s="7" t="str">
        <f>HYPERLINK("https://otsuka-europe-crm.veevavault.com/ui/#object/account__v/V4TZ06G6OBI8B10", "MARIA ELENA VILLALOBOS MARTINEZ")</f>
        <v>MARIA ELENA VILLALOBOS MARTINEZ</v>
      </c>
      <c r="B6003" s="7" t="str">
        <f>HYPERLINK("https://otsuka-europe-crm.veevavault.com/ui/#object/vcountry__v/VENZ000004SONF5", "ES")</f>
        <v>ES</v>
      </c>
      <c r="C6003" s="8" t="s">
        <v>41</v>
      </c>
      <c r="D6003" s="9" t="str">
        <f>HYPERLINK("https://otsuka-europe-crm.veevavault.com/ui/#object/approved_document__v/V5O00000001H004", "Save the date X Jornada UHB 2026")</f>
        <v>Save the date X Jornada UHB 2026</v>
      </c>
      <c r="E6003" s="10" t="str">
        <f>HYPERLINK("https://otsuka-europe-crm.veevavault.com/ui/#object/sent_email__v/VBL00000002R080", "SE-001434317")</f>
        <v>SE-001434317</v>
      </c>
      <c r="F6003" s="11"/>
      <c r="G6003" s="12">
        <v>0</v>
      </c>
      <c r="H6003" s="12">
        <v>0</v>
      </c>
      <c r="I6003" s="12">
        <v>0</v>
      </c>
      <c r="J6003" s="11"/>
      <c r="K6003" s="12">
        <v>0</v>
      </c>
      <c r="L6003" s="10" t="str">
        <f>HYPERLINK("https://otsuka-europe-crm.veevavault.com/ui/#object/approved_document__v/V5O00000001H004", "Save the date X Jornada UHB 2026")</f>
        <v>Save the date X Jornada UHB 2026</v>
      </c>
      <c r="M6003" s="10" t="str">
        <f>HYPERLINK("mailto:sruiz@crm.otsuka-europe.com", "sruiz@crm.otsuka-europe.com")</f>
        <v>sruiz@crm.otsuka-europe.com</v>
      </c>
      <c r="N6003" s="13">
        <v>46181.447951388887</v>
      </c>
      <c r="O6003" s="14" t="str">
        <f>HYPERLINK("https://otsuka-europe-crm.veevavault.com/ui/#object/email_activity__v/V8C00000003Q516", "EN-002091838")</f>
        <v>EN-002091838</v>
      </c>
    </row>
    <row r="6004" spans="1:15" ht="32" x14ac:dyDescent="0.2">
      <c r="A6004" s="7" t="str">
        <f>HYPERLINK("https://otsuka-europe-crm.veevavault.com/ui/#object/account__v/V4TZ06G6O71T8JI", "MARTA HERRERA DURAN")</f>
        <v>MARTA HERRERA DURAN</v>
      </c>
      <c r="B6004" s="7" t="str">
        <f>HYPERLINK("https://otsuka-europe-crm.veevavault.com/ui/#object/vcountry__v/VENZ000004SONF5", "ES")</f>
        <v>ES</v>
      </c>
      <c r="C6004" s="8" t="s">
        <v>41</v>
      </c>
      <c r="D6004" s="9" t="str">
        <f>HYPERLINK("https://otsuka-europe-crm.veevavault.com/ui/#object/approved_document__v/V5O00000001H004", "Save the date X Jornada UHB 2026")</f>
        <v>Save the date X Jornada UHB 2026</v>
      </c>
      <c r="E6004" s="10" t="str">
        <f>HYPERLINK("https://otsuka-europe-crm.veevavault.com/ui/#object/sent_email__v/VBL00000002R081", "SE-001434318")</f>
        <v>SE-001434318</v>
      </c>
      <c r="F6004" s="11"/>
      <c r="G6004" s="12">
        <v>0</v>
      </c>
      <c r="H6004" s="12">
        <v>0</v>
      </c>
      <c r="I6004" s="12">
        <v>0</v>
      </c>
      <c r="J6004" s="11"/>
      <c r="K6004" s="12">
        <v>0</v>
      </c>
      <c r="L6004" s="10" t="str">
        <f>HYPERLINK("https://otsuka-europe-crm.veevavault.com/ui/#object/approved_document__v/V5O00000001H004", "Save the date X Jornada UHB 2026")</f>
        <v>Save the date X Jornada UHB 2026</v>
      </c>
      <c r="M6004" s="10" t="str">
        <f>HYPERLINK("mailto:sruiz@crm.otsuka-europe.com", "sruiz@crm.otsuka-europe.com")</f>
        <v>sruiz@crm.otsuka-europe.com</v>
      </c>
      <c r="N6004" s="13">
        <v>46181.447951388887</v>
      </c>
      <c r="O6004" s="14" t="str">
        <f>HYPERLINK("https://otsuka-europe-crm.veevavault.com/ui/#object/email_activity__v/V8C00000003Q515", "EN-002091837")</f>
        <v>EN-002091837</v>
      </c>
    </row>
    <row r="6005" spans="1:15" ht="16" x14ac:dyDescent="0.2">
      <c r="A6005" s="17" t="str">
        <f>HYPERLINK("https://otsuka-europe-crm.veevavault.com/ui/#object/account__v/V4TZ06G6O71TARI", "FRANCISCO JOSE LOPEZ SANCHEZ")</f>
        <v>FRANCISCO JOSE LOPEZ SANCHEZ</v>
      </c>
      <c r="B6005" s="17" t="str">
        <f>HYPERLINK("https://otsuka-europe-crm.veevavault.com/ui/#object/vcountry__v/VENZ000004SONF5", "ES")</f>
        <v>ES</v>
      </c>
      <c r="C6005" s="20" t="s">
        <v>41</v>
      </c>
      <c r="D6005" s="21" t="str">
        <f>HYPERLINK("https://otsuka-europe-crm.veevavault.com/ui/#object/approved_document__v/V5O00000001H004", "Save the date X Jornada UHB 2026")</f>
        <v>Save the date X Jornada UHB 2026</v>
      </c>
      <c r="E6005" s="22" t="str">
        <f>HYPERLINK("https://otsuka-europe-crm.veevavault.com/ui/#object/sent_email__v/VBL00000002R082", "SE-001434319")</f>
        <v>SE-001434319</v>
      </c>
      <c r="F6005" s="23">
        <v>46181.48333333333</v>
      </c>
      <c r="G6005" s="24">
        <v>1</v>
      </c>
      <c r="H6005" s="24">
        <v>1</v>
      </c>
      <c r="I6005" s="24">
        <v>0</v>
      </c>
      <c r="J6005" s="25"/>
      <c r="K6005" s="24">
        <v>0</v>
      </c>
      <c r="L6005" s="22" t="str">
        <f>HYPERLINK("https://otsuka-europe-crm.veevavault.com/ui/#object/approved_document__v/V5O00000001H004", "Save the date X Jornada UHB 2026")</f>
        <v>Save the date X Jornada UHB 2026</v>
      </c>
      <c r="M6005" s="22" t="str">
        <f>HYPERLINK("mailto:sruiz@crm.otsuka-europe.com", "sruiz@crm.otsuka-europe.com")</f>
        <v>sruiz@crm.otsuka-europe.com</v>
      </c>
      <c r="N6005" s="23">
        <v>46181.447951388887</v>
      </c>
      <c r="O6005" s="14" t="str">
        <f>HYPERLINK("https://otsuka-europe-crm.veevavault.com/ui/#object/email_activity__v/V8C00000003Q513", "EN-002091835")</f>
        <v>EN-002091835</v>
      </c>
    </row>
    <row r="6006" spans="1:15" ht="16" x14ac:dyDescent="0.2">
      <c r="A6006" s="19"/>
      <c r="B6006" s="19"/>
      <c r="C6006" s="19"/>
      <c r="D6006" s="19"/>
      <c r="E6006" s="19"/>
      <c r="F6006" s="19"/>
      <c r="G6006" s="19"/>
      <c r="H6006" s="19"/>
      <c r="I6006" s="19"/>
      <c r="J6006" s="19"/>
      <c r="K6006" s="19"/>
      <c r="L6006" s="19"/>
      <c r="M6006" s="19"/>
      <c r="N6006" s="19"/>
      <c r="O6006" s="14" t="str">
        <f>HYPERLINK("https://otsuka-europe-crm.veevavault.com/ui/#object/email_activity__v/V8C00000003R119", "EN-002091905")</f>
        <v>EN-002091905</v>
      </c>
    </row>
    <row r="6007" spans="1:15" ht="32" x14ac:dyDescent="0.2">
      <c r="A6007" s="7" t="str">
        <f>HYPERLINK("https://otsuka-europe-crm.veevavault.com/ui/#object/account__v/V4TZ06G6O71T80Z", "JUAN ANTONIO QUINTERO RUEDA")</f>
        <v>JUAN ANTONIO QUINTERO RUEDA</v>
      </c>
      <c r="B6007" s="7" t="str">
        <f>HYPERLINK("https://otsuka-europe-crm.veevavault.com/ui/#object/vcountry__v/VENZ000004SONF5", "ES")</f>
        <v>ES</v>
      </c>
      <c r="C6007" s="8" t="s">
        <v>41</v>
      </c>
      <c r="D6007" s="9" t="str">
        <f>HYPERLINK("https://otsuka-europe-crm.veevavault.com/ui/#object/approved_document__v/V5O00000001H004", "Save the date X Jornada UHB 2026")</f>
        <v>Save the date X Jornada UHB 2026</v>
      </c>
      <c r="E6007" s="10" t="str">
        <f>HYPERLINK("https://otsuka-europe-crm.veevavault.com/ui/#object/sent_email__v/VBL00000002R083", "SE-001434320")</f>
        <v>SE-001434320</v>
      </c>
      <c r="F6007" s="11"/>
      <c r="G6007" s="12">
        <v>0</v>
      </c>
      <c r="H6007" s="12">
        <v>0</v>
      </c>
      <c r="I6007" s="12">
        <v>0</v>
      </c>
      <c r="J6007" s="11"/>
      <c r="K6007" s="12">
        <v>0</v>
      </c>
      <c r="L6007" s="10" t="str">
        <f>HYPERLINK("https://otsuka-europe-crm.veevavault.com/ui/#object/approved_document__v/V5O00000001H004", "Save the date X Jornada UHB 2026")</f>
        <v>Save the date X Jornada UHB 2026</v>
      </c>
      <c r="M6007" s="10" t="str">
        <f>HYPERLINK("mailto:sruiz@crm.otsuka-europe.com", "sruiz@crm.otsuka-europe.com")</f>
        <v>sruiz@crm.otsuka-europe.com</v>
      </c>
      <c r="N6007" s="13">
        <v>46181.447951388887</v>
      </c>
      <c r="O6007" s="14" t="str">
        <f>HYPERLINK("https://otsuka-europe-crm.veevavault.com/ui/#object/email_activity__v/V8C00000003Q517", "EN-002091839")</f>
        <v>EN-002091839</v>
      </c>
    </row>
    <row r="6008" spans="1:15" ht="16" x14ac:dyDescent="0.2">
      <c r="A6008" s="17" t="str">
        <f>HYPERLINK("https://otsuka-europe-crm.veevavault.com/ui/#object/account__v/V4TZ06G6O71TCLX", "NIEVES VILCHES CRUZ")</f>
        <v>NIEVES VILCHES CRUZ</v>
      </c>
      <c r="B6008" s="17" t="str">
        <f>HYPERLINK("https://otsuka-europe-crm.veevavault.com/ui/#object/vcountry__v/VENZ000004SONF5", "ES")</f>
        <v>ES</v>
      </c>
      <c r="C6008" s="20" t="s">
        <v>41</v>
      </c>
      <c r="D6008" s="21" t="str">
        <f>HYPERLINK("https://otsuka-europe-crm.veevavault.com/ui/#object/approved_document__v/V5O00000001H004", "Save the date X Jornada UHB 2026")</f>
        <v>Save the date X Jornada UHB 2026</v>
      </c>
      <c r="E6008" s="22" t="str">
        <f>HYPERLINK("https://otsuka-europe-crm.veevavault.com/ui/#object/sent_email__v/VBL00000002R084", "SE-001434321")</f>
        <v>SE-001434321</v>
      </c>
      <c r="F6008" s="25"/>
      <c r="G6008" s="24">
        <v>0</v>
      </c>
      <c r="H6008" s="24">
        <v>0</v>
      </c>
      <c r="I6008" s="24">
        <v>0</v>
      </c>
      <c r="J6008" s="25"/>
      <c r="K6008" s="24">
        <v>0</v>
      </c>
      <c r="L6008" s="22" t="str">
        <f>HYPERLINK("https://otsuka-europe-crm.veevavault.com/ui/#object/approved_document__v/V5O00000001H004", "Save the date X Jornada UHB 2026")</f>
        <v>Save the date X Jornada UHB 2026</v>
      </c>
      <c r="M6008" s="22" t="str">
        <f>HYPERLINK("mailto:sruiz@crm.otsuka-europe.com", "sruiz@crm.otsuka-europe.com")</f>
        <v>sruiz@crm.otsuka-europe.com</v>
      </c>
      <c r="N6008" s="23">
        <v>46181.447951388887</v>
      </c>
      <c r="O6008" s="14" t="str">
        <f>HYPERLINK("https://otsuka-europe-crm.veevavault.com/ui/#object/email_activity__v/V8C00000003Q514", "EN-002091836")</f>
        <v>EN-002091836</v>
      </c>
    </row>
    <row r="6009" spans="1:15" ht="16" x14ac:dyDescent="0.2">
      <c r="A6009" s="18"/>
      <c r="B6009" s="18"/>
      <c r="C6009" s="18"/>
      <c r="D6009" s="18"/>
      <c r="E6009" s="18"/>
      <c r="F6009" s="18"/>
      <c r="G6009" s="18"/>
      <c r="H6009" s="18"/>
      <c r="I6009" s="18"/>
      <c r="J6009" s="18"/>
      <c r="K6009" s="18"/>
      <c r="L6009" s="18"/>
      <c r="M6009" s="18"/>
      <c r="N6009" s="18"/>
      <c r="O6009" s="14" t="str">
        <f>HYPERLINK("https://otsuka-europe-crm.veevavault.com/ui/#object/email_activity__v/V8C00000003R148", "EN-002091955")</f>
        <v>EN-002091955</v>
      </c>
    </row>
    <row r="6010" spans="1:15" ht="16" x14ac:dyDescent="0.2">
      <c r="A6010" s="19"/>
      <c r="B6010" s="19"/>
      <c r="C6010" s="19"/>
      <c r="D6010" s="19"/>
      <c r="E6010" s="19"/>
      <c r="F6010" s="19"/>
      <c r="G6010" s="19"/>
      <c r="H6010" s="19"/>
      <c r="I6010" s="19"/>
      <c r="J6010" s="19"/>
      <c r="K6010" s="19"/>
      <c r="L6010" s="19"/>
      <c r="M6010" s="19"/>
      <c r="N6010" s="19"/>
      <c r="O6010" s="14" t="str">
        <f>HYPERLINK("https://otsuka-europe-crm.veevavault.com/ui/#object/email_activity__v/V8C00000003S664", "EN-002094224")</f>
        <v>EN-002094224</v>
      </c>
    </row>
    <row r="6011" spans="1:15" ht="16" x14ac:dyDescent="0.2">
      <c r="A6011" s="17" t="str">
        <f>HYPERLINK("https://otsuka-europe-crm.veevavault.com/ui/#object/account__v/V4TZ06G6O71T8EZ", "FELIX MORENO DE LARA")</f>
        <v>FELIX MORENO DE LARA</v>
      </c>
      <c r="B6011" s="17" t="str">
        <f>HYPERLINK("https://otsuka-europe-crm.veevavault.com/ui/#object/vcountry__v/VENZ000004SONF5", "ES")</f>
        <v>ES</v>
      </c>
      <c r="C6011" s="20" t="s">
        <v>41</v>
      </c>
      <c r="D6011" s="21" t="str">
        <f>HYPERLINK("https://otsuka-europe-crm.veevavault.com/ui/#object/approved_document__v/V5O00000001H004", "Save the date X Jornada UHB 2026")</f>
        <v>Save the date X Jornada UHB 2026</v>
      </c>
      <c r="E6011" s="22" t="str">
        <f>HYPERLINK("https://otsuka-europe-crm.veevavault.com/ui/#object/sent_email__v/VBL00000002S179", "SE-001434322")</f>
        <v>SE-001434322</v>
      </c>
      <c r="F6011" s="23">
        <v>46181.463020833333</v>
      </c>
      <c r="G6011" s="24">
        <v>1</v>
      </c>
      <c r="H6011" s="24">
        <v>1</v>
      </c>
      <c r="I6011" s="24">
        <v>0</v>
      </c>
      <c r="J6011" s="25"/>
      <c r="K6011" s="24">
        <v>0</v>
      </c>
      <c r="L6011" s="22" t="str">
        <f>HYPERLINK("https://otsuka-europe-crm.veevavault.com/ui/#object/approved_document__v/V5O00000001H004", "Save the date X Jornada UHB 2026")</f>
        <v>Save the date X Jornada UHB 2026</v>
      </c>
      <c r="M6011" s="22" t="str">
        <f>HYPERLINK("mailto:sruiz@crm.otsuka-europe.com", "sruiz@crm.otsuka-europe.com")</f>
        <v>sruiz@crm.otsuka-europe.com</v>
      </c>
      <c r="N6011" s="23">
        <v>46181.449305555558</v>
      </c>
      <c r="O6011" s="14" t="str">
        <f>HYPERLINK("https://otsuka-europe-crm.veevavault.com/ui/#object/email_activity__v/V8C00000003R089", "EN-002091845")</f>
        <v>EN-002091845</v>
      </c>
    </row>
    <row r="6012" spans="1:15" ht="16" x14ac:dyDescent="0.2">
      <c r="A6012" s="19"/>
      <c r="B6012" s="19"/>
      <c r="C6012" s="19"/>
      <c r="D6012" s="19"/>
      <c r="E6012" s="19"/>
      <c r="F6012" s="19"/>
      <c r="G6012" s="19"/>
      <c r="H6012" s="19"/>
      <c r="I6012" s="19"/>
      <c r="J6012" s="19"/>
      <c r="K6012" s="19"/>
      <c r="L6012" s="19"/>
      <c r="M6012" s="19"/>
      <c r="N6012" s="19"/>
      <c r="O6012" s="14" t="str">
        <f>HYPERLINK("https://otsuka-europe-crm.veevavault.com/ui/#object/email_activity__v/V8C00000003R105", "EN-002091874")</f>
        <v>EN-002091874</v>
      </c>
    </row>
    <row r="6013" spans="1:15" ht="16" x14ac:dyDescent="0.2">
      <c r="A6013" s="17" t="str">
        <f>HYPERLINK("https://otsuka-europe-crm.veevavault.com/ui/#object/account__v/V4TZ025E85NQQYW", "ESTHER GARCIA FERNANDEZ")</f>
        <v>ESTHER GARCIA FERNANDEZ</v>
      </c>
      <c r="B6013" s="17" t="str">
        <f>HYPERLINK("https://otsuka-europe-crm.veevavault.com/ui/#object/vcountry__v/VENZ000004SONF5", "ES")</f>
        <v>ES</v>
      </c>
      <c r="C6013" s="20" t="s">
        <v>41</v>
      </c>
      <c r="D6013" s="21" t="str">
        <f>HYPERLINK("https://otsuka-europe-crm.veevavault.com/ui/#object/approved_document__v/V5O00000001H004", "Save the date X Jornada UHB 2026")</f>
        <v>Save the date X Jornada UHB 2026</v>
      </c>
      <c r="E6013" s="22" t="str">
        <f>HYPERLINK("https://otsuka-europe-crm.veevavault.com/ui/#object/sent_email__v/VBL00000002S180", "SE-001434323")</f>
        <v>SE-001434323</v>
      </c>
      <c r="F6013" s="25"/>
      <c r="G6013" s="24">
        <v>0</v>
      </c>
      <c r="H6013" s="24">
        <v>0</v>
      </c>
      <c r="I6013" s="24">
        <v>0</v>
      </c>
      <c r="J6013" s="25"/>
      <c r="K6013" s="24">
        <v>0</v>
      </c>
      <c r="L6013" s="22" t="str">
        <f>HYPERLINK("https://otsuka-europe-crm.veevavault.com/ui/#object/approved_document__v/V5O00000001H004", "Save the date X Jornada UHB 2026")</f>
        <v>Save the date X Jornada UHB 2026</v>
      </c>
      <c r="M6013" s="22" t="str">
        <f>HYPERLINK("mailto:sruiz@crm.otsuka-europe.com", "sruiz@crm.otsuka-europe.com")</f>
        <v>sruiz@crm.otsuka-europe.com</v>
      </c>
      <c r="N6013" s="23">
        <v>46181.449317129627</v>
      </c>
      <c r="O6013" s="14" t="str">
        <f>HYPERLINK("https://otsuka-europe-crm.veevavault.com/ui/#object/email_activity__v/V8C00000003R085", "EN-002091841")</f>
        <v>EN-002091841</v>
      </c>
    </row>
    <row r="6014" spans="1:15" ht="16" x14ac:dyDescent="0.2">
      <c r="A6014" s="19"/>
      <c r="B6014" s="19"/>
      <c r="C6014" s="19"/>
      <c r="D6014" s="19"/>
      <c r="E6014" s="19"/>
      <c r="F6014" s="19"/>
      <c r="G6014" s="19"/>
      <c r="H6014" s="19"/>
      <c r="I6014" s="19"/>
      <c r="J6014" s="19"/>
      <c r="K6014" s="19"/>
      <c r="L6014" s="19"/>
      <c r="M6014" s="19"/>
      <c r="N6014" s="19"/>
      <c r="O6014" s="14" t="str">
        <f>HYPERLINK("https://otsuka-europe-crm.veevavault.com/ui/#object/email_activity__v/V8C00000003T123", "EN-002093805")</f>
        <v>EN-002093805</v>
      </c>
    </row>
    <row r="6015" spans="1:15" ht="16" x14ac:dyDescent="0.2">
      <c r="A6015" s="17" t="str">
        <f>HYPERLINK("https://otsuka-europe-crm.veevavault.com/ui/#object/account__v/V4T000000013043", "DANIELE ZUCCARETTI")</f>
        <v>DANIELE ZUCCARETTI</v>
      </c>
      <c r="B6015" s="17" t="str">
        <f>HYPERLINK("https://otsuka-europe-crm.veevavault.com/ui/#object/vcountry__v/VENZ000004SONF5", "ES")</f>
        <v>ES</v>
      </c>
      <c r="C6015" s="20" t="s">
        <v>41</v>
      </c>
      <c r="D6015" s="21" t="str">
        <f>HYPERLINK("https://otsuka-europe-crm.veevavault.com/ui/#object/approved_document__v/V5O00000001H004", "Save the date X Jornada UHB 2026")</f>
        <v>Save the date X Jornada UHB 2026</v>
      </c>
      <c r="E6015" s="22" t="str">
        <f>HYPERLINK("https://otsuka-europe-crm.veevavault.com/ui/#object/sent_email__v/VBL00000002S181", "SE-001434324")</f>
        <v>SE-001434324</v>
      </c>
      <c r="F6015" s="23">
        <v>46181.593680555554</v>
      </c>
      <c r="G6015" s="24">
        <v>1</v>
      </c>
      <c r="H6015" s="24">
        <v>3</v>
      </c>
      <c r="I6015" s="24">
        <v>0</v>
      </c>
      <c r="J6015" s="25"/>
      <c r="K6015" s="24">
        <v>0</v>
      </c>
      <c r="L6015" s="22" t="str">
        <f>HYPERLINK("https://otsuka-europe-crm.veevavault.com/ui/#object/approved_document__v/V5O00000001H004", "Save the date X Jornada UHB 2026")</f>
        <v>Save the date X Jornada UHB 2026</v>
      </c>
      <c r="M6015" s="22" t="str">
        <f>HYPERLINK("mailto:sruiz@crm.otsuka-europe.com", "sruiz@crm.otsuka-europe.com")</f>
        <v>sruiz@crm.otsuka-europe.com</v>
      </c>
      <c r="N6015" s="23">
        <v>46181.449317129627</v>
      </c>
      <c r="O6015" s="14" t="str">
        <f>HYPERLINK("https://otsuka-europe-crm.veevavault.com/ui/#object/email_activity__v/V8C00000003Q591", "EN-002091998")</f>
        <v>EN-002091998</v>
      </c>
    </row>
    <row r="6016" spans="1:15" ht="16" x14ac:dyDescent="0.2">
      <c r="A6016" s="18"/>
      <c r="B6016" s="18"/>
      <c r="C6016" s="18"/>
      <c r="D6016" s="18"/>
      <c r="E6016" s="18"/>
      <c r="F6016" s="18"/>
      <c r="G6016" s="18"/>
      <c r="H6016" s="18"/>
      <c r="I6016" s="18"/>
      <c r="J6016" s="18"/>
      <c r="K6016" s="18"/>
      <c r="L6016" s="18"/>
      <c r="M6016" s="18"/>
      <c r="N6016" s="18"/>
      <c r="O6016" s="14" t="str">
        <f>HYPERLINK("https://otsuka-europe-crm.veevavault.com/ui/#object/email_activity__v/V8C00000003R087", "EN-002091843")</f>
        <v>EN-002091843</v>
      </c>
    </row>
    <row r="6017" spans="1:15" ht="16" x14ac:dyDescent="0.2">
      <c r="A6017" s="18"/>
      <c r="B6017" s="18"/>
      <c r="C6017" s="18"/>
      <c r="D6017" s="18"/>
      <c r="E6017" s="18"/>
      <c r="F6017" s="18"/>
      <c r="G6017" s="18"/>
      <c r="H6017" s="18"/>
      <c r="I6017" s="18"/>
      <c r="J6017" s="18"/>
      <c r="K6017" s="18"/>
      <c r="L6017" s="18"/>
      <c r="M6017" s="18"/>
      <c r="N6017" s="18"/>
      <c r="O6017" s="14" t="str">
        <f>HYPERLINK("https://otsuka-europe-crm.veevavault.com/ui/#object/email_activity__v/V8C00000003R168", "EN-002091996")</f>
        <v>EN-002091996</v>
      </c>
    </row>
    <row r="6018" spans="1:15" ht="16" x14ac:dyDescent="0.2">
      <c r="A6018" s="19"/>
      <c r="B6018" s="19"/>
      <c r="C6018" s="19"/>
      <c r="D6018" s="19"/>
      <c r="E6018" s="19"/>
      <c r="F6018" s="19"/>
      <c r="G6018" s="19"/>
      <c r="H6018" s="19"/>
      <c r="I6018" s="19"/>
      <c r="J6018" s="19"/>
      <c r="K6018" s="19"/>
      <c r="L6018" s="19"/>
      <c r="M6018" s="19"/>
      <c r="N6018" s="19"/>
      <c r="O6018" s="14" t="str">
        <f>HYPERLINK("https://otsuka-europe-crm.veevavault.com/ui/#object/email_activity__v/V8C00000003R169", "EN-002091997")</f>
        <v>EN-002091997</v>
      </c>
    </row>
    <row r="6019" spans="1:15" ht="16" x14ac:dyDescent="0.2">
      <c r="A6019" s="17" t="str">
        <f>HYPERLINK("https://otsuka-europe-crm.veevavault.com/ui/#object/account__v/V4TZ06G6O71TAWZ", "CHRISTOPHER MELENDEZ GARCIA")</f>
        <v>CHRISTOPHER MELENDEZ GARCIA</v>
      </c>
      <c r="B6019" s="17" t="str">
        <f>HYPERLINK("https://otsuka-europe-crm.veevavault.com/ui/#object/vcountry__v/VENZ000004SONF5", "ES")</f>
        <v>ES</v>
      </c>
      <c r="C6019" s="20" t="s">
        <v>41</v>
      </c>
      <c r="D6019" s="21" t="str">
        <f>HYPERLINK("https://otsuka-europe-crm.veevavault.com/ui/#object/approved_document__v/V5O00000001H004", "Save the date X Jornada UHB 2026")</f>
        <v>Save the date X Jornada UHB 2026</v>
      </c>
      <c r="E6019" s="22" t="str">
        <f>HYPERLINK("https://otsuka-europe-crm.veevavault.com/ui/#object/sent_email__v/VBL00000002S182", "SE-001434325")</f>
        <v>SE-001434325</v>
      </c>
      <c r="F6019" s="25"/>
      <c r="G6019" s="24">
        <v>0</v>
      </c>
      <c r="H6019" s="24">
        <v>0</v>
      </c>
      <c r="I6019" s="24">
        <v>0</v>
      </c>
      <c r="J6019" s="25"/>
      <c r="K6019" s="24">
        <v>0</v>
      </c>
      <c r="L6019" s="22" t="str">
        <f>HYPERLINK("https://otsuka-europe-crm.veevavault.com/ui/#object/approved_document__v/V5O00000001H004", "Save the date X Jornada UHB 2026")</f>
        <v>Save the date X Jornada UHB 2026</v>
      </c>
      <c r="M6019" s="22" t="str">
        <f>HYPERLINK("mailto:sruiz@crm.otsuka-europe.com", "sruiz@crm.otsuka-europe.com")</f>
        <v>sruiz@crm.otsuka-europe.com</v>
      </c>
      <c r="N6019" s="23">
        <v>46181.449317129627</v>
      </c>
      <c r="O6019" s="14" t="str">
        <f>HYPERLINK("https://otsuka-europe-crm.veevavault.com/ui/#object/email_activity__v/V8C00000003Q549", "EN-002091906")</f>
        <v>EN-002091906</v>
      </c>
    </row>
    <row r="6020" spans="1:15" ht="16" x14ac:dyDescent="0.2">
      <c r="A6020" s="18"/>
      <c r="B6020" s="18"/>
      <c r="C6020" s="18"/>
      <c r="D6020" s="18"/>
      <c r="E6020" s="18"/>
      <c r="F6020" s="18"/>
      <c r="G6020" s="18"/>
      <c r="H6020" s="18"/>
      <c r="I6020" s="18"/>
      <c r="J6020" s="18"/>
      <c r="K6020" s="18"/>
      <c r="L6020" s="18"/>
      <c r="M6020" s="18"/>
      <c r="N6020" s="18"/>
      <c r="O6020" s="14" t="str">
        <f>HYPERLINK("https://otsuka-europe-crm.veevavault.com/ui/#object/email_activity__v/V8C00000003R088", "EN-002091844")</f>
        <v>EN-002091844</v>
      </c>
    </row>
    <row r="6021" spans="1:15" ht="16" x14ac:dyDescent="0.2">
      <c r="A6021" s="19"/>
      <c r="B6021" s="19"/>
      <c r="C6021" s="19"/>
      <c r="D6021" s="19"/>
      <c r="E6021" s="19"/>
      <c r="F6021" s="19"/>
      <c r="G6021" s="19"/>
      <c r="H6021" s="19"/>
      <c r="I6021" s="19"/>
      <c r="J6021" s="19"/>
      <c r="K6021" s="19"/>
      <c r="L6021" s="19"/>
      <c r="M6021" s="19"/>
      <c r="N6021" s="19"/>
      <c r="O6021" s="14" t="str">
        <f>HYPERLINK("https://otsuka-europe-crm.veevavault.com/ui/#object/email_activity__v/V8C00000003S751", "EN-002094370")</f>
        <v>EN-002094370</v>
      </c>
    </row>
    <row r="6022" spans="1:15" ht="32" x14ac:dyDescent="0.2">
      <c r="A6022" s="7" t="str">
        <f>HYPERLINK("https://otsuka-europe-crm.veevavault.com/ui/#object/account__v/V4TZ06G6O71TBJO", "MARIA ISABEL OSUNA CARMONA")</f>
        <v>MARIA ISABEL OSUNA CARMONA</v>
      </c>
      <c r="B6022" s="7" t="str">
        <f>HYPERLINK("https://otsuka-europe-crm.veevavault.com/ui/#object/vcountry__v/VENZ000004SONF5", "ES")</f>
        <v>ES</v>
      </c>
      <c r="C6022" s="8" t="s">
        <v>41</v>
      </c>
      <c r="D6022" s="9" t="str">
        <f>HYPERLINK("https://otsuka-europe-crm.veevavault.com/ui/#object/approved_document__v/V5O00000001H004", "Save the date X Jornada UHB 2026")</f>
        <v>Save the date X Jornada UHB 2026</v>
      </c>
      <c r="E6022" s="10" t="str">
        <f>HYPERLINK("https://otsuka-europe-crm.veevavault.com/ui/#object/sent_email__v/VBL00000002S183", "SE-001434326")</f>
        <v>SE-001434326</v>
      </c>
      <c r="F6022" s="11"/>
      <c r="G6022" s="12">
        <v>0</v>
      </c>
      <c r="H6022" s="12">
        <v>0</v>
      </c>
      <c r="I6022" s="12">
        <v>0</v>
      </c>
      <c r="J6022" s="11"/>
      <c r="K6022" s="12">
        <v>0</v>
      </c>
      <c r="L6022" s="10" t="str">
        <f>HYPERLINK("https://otsuka-europe-crm.veevavault.com/ui/#object/approved_document__v/V5O00000001H004", "Save the date X Jornada UHB 2026")</f>
        <v>Save the date X Jornada UHB 2026</v>
      </c>
      <c r="M6022" s="10" t="str">
        <f>HYPERLINK("mailto:sruiz@crm.otsuka-europe.com", "sruiz@crm.otsuka-europe.com")</f>
        <v>sruiz@crm.otsuka-europe.com</v>
      </c>
      <c r="N6022" s="13">
        <v>46181.449317129627</v>
      </c>
      <c r="O6022" s="14" t="str">
        <f>HYPERLINK("https://otsuka-europe-crm.veevavault.com/ui/#object/email_activity__v/V8C00000003R091", "EN-002091847")</f>
        <v>EN-002091847</v>
      </c>
    </row>
    <row r="6023" spans="1:15" ht="32" x14ac:dyDescent="0.2">
      <c r="A6023" s="7" t="str">
        <f>HYPERLINK("https://otsuka-europe-crm.veevavault.com/ui/#object/account__v/V4TZ06G6O7VT7V8", "JUAN DANIEL RESTREPO AGUILAR")</f>
        <v>JUAN DANIEL RESTREPO AGUILAR</v>
      </c>
      <c r="B6023" s="7" t="str">
        <f>HYPERLINK("https://otsuka-europe-crm.veevavault.com/ui/#object/vcountry__v/VENZ000004SONF5", "ES")</f>
        <v>ES</v>
      </c>
      <c r="C6023" s="8" t="s">
        <v>41</v>
      </c>
      <c r="D6023" s="9" t="str">
        <f>HYPERLINK("https://otsuka-europe-crm.veevavault.com/ui/#object/approved_document__v/V5O00000001H004", "Save the date X Jornada UHB 2026")</f>
        <v>Save the date X Jornada UHB 2026</v>
      </c>
      <c r="E6023" s="10" t="str">
        <f>HYPERLINK("https://otsuka-europe-crm.veevavault.com/ui/#object/sent_email__v/VBL00000002S184", "SE-001434327")</f>
        <v>SE-001434327</v>
      </c>
      <c r="F6023" s="11"/>
      <c r="G6023" s="12">
        <v>0</v>
      </c>
      <c r="H6023" s="12">
        <v>0</v>
      </c>
      <c r="I6023" s="12">
        <v>0</v>
      </c>
      <c r="J6023" s="11"/>
      <c r="K6023" s="12">
        <v>0</v>
      </c>
      <c r="L6023" s="10" t="str">
        <f>HYPERLINK("https://otsuka-europe-crm.veevavault.com/ui/#object/approved_document__v/V5O00000001H004", "Save the date X Jornada UHB 2026")</f>
        <v>Save the date X Jornada UHB 2026</v>
      </c>
      <c r="M6023" s="10" t="str">
        <f>HYPERLINK("mailto:sruiz@crm.otsuka-europe.com", "sruiz@crm.otsuka-europe.com")</f>
        <v>sruiz@crm.otsuka-europe.com</v>
      </c>
      <c r="N6023" s="13">
        <v>46181.449305555558</v>
      </c>
      <c r="O6023" s="14" t="str">
        <f>HYPERLINK("https://otsuka-europe-crm.veevavault.com/ui/#object/email_activity__v/V8C00000003R086", "EN-002091842")</f>
        <v>EN-002091842</v>
      </c>
    </row>
    <row r="6024" spans="1:15" ht="16" x14ac:dyDescent="0.2">
      <c r="A6024" s="17" t="str">
        <f>HYPERLINK("https://otsuka-europe-crm.veevavault.com/ui/#object/account__v/V4TZ06G6O71T7XT", "ALBERTO FLORES MARTINEZ")</f>
        <v>ALBERTO FLORES MARTINEZ</v>
      </c>
      <c r="B6024" s="17" t="str">
        <f>HYPERLINK("https://otsuka-europe-crm.veevavault.com/ui/#object/vcountry__v/VENZ000004SONF5", "ES")</f>
        <v>ES</v>
      </c>
      <c r="C6024" s="20" t="s">
        <v>41</v>
      </c>
      <c r="D6024" s="21" t="str">
        <f>HYPERLINK("https://otsuka-europe-crm.veevavault.com/ui/#object/approved_document__v/V5O00000001H004", "Save the date X Jornada UHB 2026")</f>
        <v>Save the date X Jornada UHB 2026</v>
      </c>
      <c r="E6024" s="22" t="str">
        <f>HYPERLINK("https://otsuka-europe-crm.veevavault.com/ui/#object/sent_email__v/VBL00000002S185", "SE-001434328")</f>
        <v>SE-001434328</v>
      </c>
      <c r="F6024" s="23">
        <v>46181.557650462964</v>
      </c>
      <c r="G6024" s="24">
        <v>1</v>
      </c>
      <c r="H6024" s="24">
        <v>1</v>
      </c>
      <c r="I6024" s="24">
        <v>0</v>
      </c>
      <c r="J6024" s="25"/>
      <c r="K6024" s="24">
        <v>0</v>
      </c>
      <c r="L6024" s="22" t="str">
        <f>HYPERLINK("https://otsuka-europe-crm.veevavault.com/ui/#object/approved_document__v/V5O00000001H004", "Save the date X Jornada UHB 2026")</f>
        <v>Save the date X Jornada UHB 2026</v>
      </c>
      <c r="M6024" s="22" t="str">
        <f>HYPERLINK("mailto:sruiz@crm.otsuka-europe.com", "sruiz@crm.otsuka-europe.com")</f>
        <v>sruiz@crm.otsuka-europe.com</v>
      </c>
      <c r="N6024" s="23">
        <v>46181.449305555558</v>
      </c>
      <c r="O6024" s="14" t="str">
        <f>HYPERLINK("https://otsuka-europe-crm.veevavault.com/ui/#object/email_activity__v/V8C00000003Q568", "EN-002091950")</f>
        <v>EN-002091950</v>
      </c>
    </row>
    <row r="6025" spans="1:15" ht="16" x14ac:dyDescent="0.2">
      <c r="A6025" s="19"/>
      <c r="B6025" s="19"/>
      <c r="C6025" s="19"/>
      <c r="D6025" s="19"/>
      <c r="E6025" s="19"/>
      <c r="F6025" s="19"/>
      <c r="G6025" s="19"/>
      <c r="H6025" s="19"/>
      <c r="I6025" s="19"/>
      <c r="J6025" s="19"/>
      <c r="K6025" s="19"/>
      <c r="L6025" s="19"/>
      <c r="M6025" s="19"/>
      <c r="N6025" s="19"/>
      <c r="O6025" s="14" t="str">
        <f>HYPERLINK("https://otsuka-europe-crm.veevavault.com/ui/#object/email_activity__v/V8C00000003R090", "EN-002091846")</f>
        <v>EN-002091846</v>
      </c>
    </row>
    <row r="6026" spans="1:15" ht="32" x14ac:dyDescent="0.2">
      <c r="A6026" s="7" t="str">
        <f>HYPERLINK("https://otsuka-europe-crm.veevavault.com/ui/#object/account__v/V4TZ06G6O71T8XN", "MERCEDES ALBA VALLEJO")</f>
        <v>MERCEDES ALBA VALLEJO</v>
      </c>
      <c r="B6026" s="7" t="str">
        <f>HYPERLINK("https://otsuka-europe-crm.veevavault.com/ui/#object/vcountry__v/VENZ000004SONF5", "ES")</f>
        <v>ES</v>
      </c>
      <c r="C6026" s="8" t="s">
        <v>41</v>
      </c>
      <c r="D6026" s="9" t="str">
        <f>HYPERLINK("https://otsuka-europe-crm.veevavault.com/ui/#object/approved_document__v/V5O00000001H004", "Save the date X Jornada UHB 2026")</f>
        <v>Save the date X Jornada UHB 2026</v>
      </c>
      <c r="E6026" s="10" t="str">
        <f>HYPERLINK("https://otsuka-europe-crm.veevavault.com/ui/#object/sent_email__v/VBL00000002S186", "SE-001434329")</f>
        <v>SE-001434329</v>
      </c>
      <c r="F6026" s="11"/>
      <c r="G6026" s="12">
        <v>0</v>
      </c>
      <c r="H6026" s="12">
        <v>0</v>
      </c>
      <c r="I6026" s="12">
        <v>0</v>
      </c>
      <c r="J6026" s="11"/>
      <c r="K6026" s="12">
        <v>0</v>
      </c>
      <c r="L6026" s="10" t="str">
        <f>HYPERLINK("https://otsuka-europe-crm.veevavault.com/ui/#object/approved_document__v/V5O00000001H004", "Save the date X Jornada UHB 2026")</f>
        <v>Save the date X Jornada UHB 2026</v>
      </c>
      <c r="M6026" s="10" t="str">
        <f>HYPERLINK("mailto:sruiz@crm.otsuka-europe.com", "sruiz@crm.otsuka-europe.com")</f>
        <v>sruiz@crm.otsuka-europe.com</v>
      </c>
      <c r="N6026" s="13">
        <v>46181.449305555558</v>
      </c>
      <c r="O6026" s="14" t="str">
        <f>HYPERLINK("https://otsuka-europe-crm.veevavault.com/ui/#object/email_activity__v/V8C00000003R092", "EN-002091848")</f>
        <v>EN-002091848</v>
      </c>
    </row>
    <row r="6027" spans="1:15" ht="16" x14ac:dyDescent="0.2">
      <c r="A6027" s="17" t="str">
        <f>HYPERLINK("https://otsuka-europe-crm.veevavault.com/ui/#object/account__v/V4TZ06G6O71TARH", "ANDRES DE LINARES TUDURI")</f>
        <v>ANDRES DE LINARES TUDURI</v>
      </c>
      <c r="B6027" s="17" t="str">
        <f>HYPERLINK("https://otsuka-europe-crm.veevavault.com/ui/#object/vcountry__v/VENZ000004SONF5", "ES")</f>
        <v>ES</v>
      </c>
      <c r="C6027" s="20" t="s">
        <v>41</v>
      </c>
      <c r="D6027" s="21" t="str">
        <f>HYPERLINK("https://otsuka-europe-crm.veevavault.com/ui/#object/approved_document__v/V5O00000001H004", "Save the date X Jornada UHB 2026")</f>
        <v>Save the date X Jornada UHB 2026</v>
      </c>
      <c r="E6027" s="22" t="str">
        <f>HYPERLINK("https://otsuka-europe-crm.veevavault.com/ui/#object/sent_email__v/VBL00000002R085", "SE-001434330")</f>
        <v>SE-001434330</v>
      </c>
      <c r="F6027" s="23">
        <v>46184.946111111109</v>
      </c>
      <c r="G6027" s="24">
        <v>1</v>
      </c>
      <c r="H6027" s="24">
        <v>2</v>
      </c>
      <c r="I6027" s="24">
        <v>0</v>
      </c>
      <c r="J6027" s="25"/>
      <c r="K6027" s="24">
        <v>0</v>
      </c>
      <c r="L6027" s="22" t="str">
        <f>HYPERLINK("https://otsuka-europe-crm.veevavault.com/ui/#object/approved_document__v/V5O00000001H004", "Save the date X Jornada UHB 2026")</f>
        <v>Save the date X Jornada UHB 2026</v>
      </c>
      <c r="M6027" s="22" t="str">
        <f>HYPERLINK("mailto:sruiz@crm.otsuka-europe.com", "sruiz@crm.otsuka-europe.com")</f>
        <v>sruiz@crm.otsuka-europe.com</v>
      </c>
      <c r="N6027" s="23">
        <v>46181.450532407405</v>
      </c>
      <c r="O6027" s="14" t="str">
        <f>HYPERLINK("https://otsuka-europe-crm.veevavault.com/ui/#object/email_activity__v/V8C00000003Q520", "EN-002091854")</f>
        <v>EN-002091854</v>
      </c>
    </row>
    <row r="6028" spans="1:15" ht="16" x14ac:dyDescent="0.2">
      <c r="A6028" s="18"/>
      <c r="B6028" s="18"/>
      <c r="C6028" s="18"/>
      <c r="D6028" s="18"/>
      <c r="E6028" s="18"/>
      <c r="F6028" s="18"/>
      <c r="G6028" s="18"/>
      <c r="H6028" s="18"/>
      <c r="I6028" s="18"/>
      <c r="J6028" s="18"/>
      <c r="K6028" s="18"/>
      <c r="L6028" s="18"/>
      <c r="M6028" s="18"/>
      <c r="N6028" s="18"/>
      <c r="O6028" s="14" t="str">
        <f>HYPERLINK("https://otsuka-europe-crm.veevavault.com/ui/#object/email_activity__v/V8C00000003U026", "EN-002094870")</f>
        <v>EN-002094870</v>
      </c>
    </row>
    <row r="6029" spans="1:15" ht="16" x14ac:dyDescent="0.2">
      <c r="A6029" s="18"/>
      <c r="B6029" s="18"/>
      <c r="C6029" s="18"/>
      <c r="D6029" s="18"/>
      <c r="E6029" s="18"/>
      <c r="F6029" s="18"/>
      <c r="G6029" s="18"/>
      <c r="H6029" s="18"/>
      <c r="I6029" s="18"/>
      <c r="J6029" s="18"/>
      <c r="K6029" s="18"/>
      <c r="L6029" s="18"/>
      <c r="M6029" s="18"/>
      <c r="N6029" s="18"/>
      <c r="O6029" s="14" t="str">
        <f>HYPERLINK("https://otsuka-europe-crm.veevavault.com/ui/#object/email_activity__v/V8C00000003U050", "EN-002094909")</f>
        <v>EN-002094909</v>
      </c>
    </row>
    <row r="6030" spans="1:15" ht="16" x14ac:dyDescent="0.2">
      <c r="A6030" s="19"/>
      <c r="B6030" s="19"/>
      <c r="C6030" s="19"/>
      <c r="D6030" s="19"/>
      <c r="E6030" s="19"/>
      <c r="F6030" s="19"/>
      <c r="G6030" s="19"/>
      <c r="H6030" s="19"/>
      <c r="I6030" s="19"/>
      <c r="J6030" s="19"/>
      <c r="K6030" s="19"/>
      <c r="L6030" s="19"/>
      <c r="M6030" s="19"/>
      <c r="N6030" s="19"/>
      <c r="O6030" s="14" t="str">
        <f>HYPERLINK("https://otsuka-europe-crm.veevavault.com/ui/#object/email_activity__v/V8C00000003V026", "EN-002094869")</f>
        <v>EN-002094869</v>
      </c>
    </row>
    <row r="6031" spans="1:15" ht="32" x14ac:dyDescent="0.2">
      <c r="A6031" s="7" t="str">
        <f>HYPERLINK("https://otsuka-europe-crm.veevavault.com/ui/#object/account__v/V4TZ025E86JQC7Z", "CRISTINA ILIE")</f>
        <v>CRISTINA ILIE</v>
      </c>
      <c r="B6031" s="7" t="str">
        <f>HYPERLINK("https://otsuka-europe-crm.veevavault.com/ui/#object/vcountry__v/VENZ000004SONF5", "ES")</f>
        <v>ES</v>
      </c>
      <c r="C6031" s="8" t="s">
        <v>41</v>
      </c>
      <c r="D6031" s="9" t="str">
        <f>HYPERLINK("https://otsuka-europe-crm.veevavault.com/ui/#object/approved_document__v/V5O00000001H004", "Save the date X Jornada UHB 2026")</f>
        <v>Save the date X Jornada UHB 2026</v>
      </c>
      <c r="E6031" s="10" t="str">
        <f>HYPERLINK("https://otsuka-europe-crm.veevavault.com/ui/#object/sent_email__v/VBL00000002R086", "SE-001434331")</f>
        <v>SE-001434331</v>
      </c>
      <c r="F6031" s="11"/>
      <c r="G6031" s="12">
        <v>0</v>
      </c>
      <c r="H6031" s="12">
        <v>0</v>
      </c>
      <c r="I6031" s="12">
        <v>0</v>
      </c>
      <c r="J6031" s="11"/>
      <c r="K6031" s="12">
        <v>0</v>
      </c>
      <c r="L6031" s="10" t="str">
        <f>HYPERLINK("https://otsuka-europe-crm.veevavault.com/ui/#object/approved_document__v/V5O00000001H004", "Save the date X Jornada UHB 2026")</f>
        <v>Save the date X Jornada UHB 2026</v>
      </c>
      <c r="M6031" s="10" t="str">
        <f>HYPERLINK("mailto:sruiz@crm.otsuka-europe.com", "sruiz@crm.otsuka-europe.com")</f>
        <v>sruiz@crm.otsuka-europe.com</v>
      </c>
      <c r="N6031" s="13">
        <v>46181.450532407405</v>
      </c>
      <c r="O6031" s="14" t="str">
        <f>HYPERLINK("https://otsuka-europe-crm.veevavault.com/ui/#object/email_activity__v/V8C00000003R095", "EN-002091852")</f>
        <v>EN-002091852</v>
      </c>
    </row>
    <row r="6032" spans="1:15" ht="16" x14ac:dyDescent="0.2">
      <c r="A6032" s="17" t="str">
        <f>HYPERLINK("https://otsuka-europe-crm.veevavault.com/ui/#object/account__v/V4TZ06G6O71TAA1", "MARIA ISABEL IGLESIAS HERNANDEZ")</f>
        <v>MARIA ISABEL IGLESIAS HERNANDEZ</v>
      </c>
      <c r="B6032" s="17" t="str">
        <f>HYPERLINK("https://otsuka-europe-crm.veevavault.com/ui/#object/vcountry__v/VENZ000004SONF5", "ES")</f>
        <v>ES</v>
      </c>
      <c r="C6032" s="20" t="s">
        <v>41</v>
      </c>
      <c r="D6032" s="21" t="str">
        <f>HYPERLINK("https://otsuka-europe-crm.veevavault.com/ui/#object/approved_document__v/V5O00000001H004", "Save the date X Jornada UHB 2026")</f>
        <v>Save the date X Jornada UHB 2026</v>
      </c>
      <c r="E6032" s="22" t="str">
        <f>HYPERLINK("https://otsuka-europe-crm.veevavault.com/ui/#object/sent_email__v/VBL00000002R087", "SE-001434332")</f>
        <v>SE-001434332</v>
      </c>
      <c r="F6032" s="23">
        <v>46181.513368055559</v>
      </c>
      <c r="G6032" s="24">
        <v>1</v>
      </c>
      <c r="H6032" s="24">
        <v>1</v>
      </c>
      <c r="I6032" s="24">
        <v>0</v>
      </c>
      <c r="J6032" s="25"/>
      <c r="K6032" s="24">
        <v>0</v>
      </c>
      <c r="L6032" s="22" t="str">
        <f>HYPERLINK("https://otsuka-europe-crm.veevavault.com/ui/#object/approved_document__v/V5O00000001H004", "Save the date X Jornada UHB 2026")</f>
        <v>Save the date X Jornada UHB 2026</v>
      </c>
      <c r="M6032" s="22" t="str">
        <f>HYPERLINK("mailto:sruiz@crm.otsuka-europe.com", "sruiz@crm.otsuka-europe.com")</f>
        <v>sruiz@crm.otsuka-europe.com</v>
      </c>
      <c r="N6032" s="23">
        <v>46181.450532407405</v>
      </c>
      <c r="O6032" s="14" t="str">
        <f>HYPERLINK("https://otsuka-europe-crm.veevavault.com/ui/#object/email_activity__v/V8C00000003R093", "EN-002091850")</f>
        <v>EN-002091850</v>
      </c>
    </row>
    <row r="6033" spans="1:15" ht="16" x14ac:dyDescent="0.2">
      <c r="A6033" s="19"/>
      <c r="B6033" s="19"/>
      <c r="C6033" s="19"/>
      <c r="D6033" s="19"/>
      <c r="E6033" s="19"/>
      <c r="F6033" s="19"/>
      <c r="G6033" s="19"/>
      <c r="H6033" s="19"/>
      <c r="I6033" s="19"/>
      <c r="J6033" s="19"/>
      <c r="K6033" s="19"/>
      <c r="L6033" s="19"/>
      <c r="M6033" s="19"/>
      <c r="N6033" s="19"/>
      <c r="O6033" s="14" t="str">
        <f>HYPERLINK("https://otsuka-europe-crm.veevavault.com/ui/#object/email_activity__v/V8C00000003R126", "EN-002091923")</f>
        <v>EN-002091923</v>
      </c>
    </row>
    <row r="6034" spans="1:15" ht="16" x14ac:dyDescent="0.2">
      <c r="A6034" s="17" t="str">
        <f>HYPERLINK("https://otsuka-europe-crm.veevavault.com/ui/#object/account__v/V4TZ06G6O71TAJB", "EVA CASTELLS BESCOS")</f>
        <v>EVA CASTELLS BESCOS</v>
      </c>
      <c r="B6034" s="17" t="str">
        <f>HYPERLINK("https://otsuka-europe-crm.veevavault.com/ui/#object/vcountry__v/VENZ000004SONF5", "ES")</f>
        <v>ES</v>
      </c>
      <c r="C6034" s="20" t="s">
        <v>41</v>
      </c>
      <c r="D6034" s="21" t="str">
        <f>HYPERLINK("https://otsuka-europe-crm.veevavault.com/ui/#object/approved_document__v/V5O00000001H004", "Save the date X Jornada UHB 2026")</f>
        <v>Save the date X Jornada UHB 2026</v>
      </c>
      <c r="E6034" s="22" t="str">
        <f>HYPERLINK("https://otsuka-europe-crm.veevavault.com/ui/#object/sent_email__v/VBL00000002R088", "SE-001434333")</f>
        <v>SE-001434333</v>
      </c>
      <c r="F6034" s="25"/>
      <c r="G6034" s="24">
        <v>0</v>
      </c>
      <c r="H6034" s="24">
        <v>0</v>
      </c>
      <c r="I6034" s="24">
        <v>0</v>
      </c>
      <c r="J6034" s="25"/>
      <c r="K6034" s="24">
        <v>0</v>
      </c>
      <c r="L6034" s="22" t="str">
        <f>HYPERLINK("https://otsuka-europe-crm.veevavault.com/ui/#object/approved_document__v/V5O00000001H004", "Save the date X Jornada UHB 2026")</f>
        <v>Save the date X Jornada UHB 2026</v>
      </c>
      <c r="M6034" s="22" t="str">
        <f>HYPERLINK("mailto:sruiz@crm.otsuka-europe.com", "sruiz@crm.otsuka-europe.com")</f>
        <v>sruiz@crm.otsuka-europe.com</v>
      </c>
      <c r="N6034" s="23">
        <v>46181.450532407405</v>
      </c>
      <c r="O6034" s="14" t="str">
        <f>HYPERLINK("https://otsuka-europe-crm.veevavault.com/ui/#object/email_activity__v/V8C00000003R094", "EN-002091851")</f>
        <v>EN-002091851</v>
      </c>
    </row>
    <row r="6035" spans="1:15" ht="16" x14ac:dyDescent="0.2">
      <c r="A6035" s="19"/>
      <c r="B6035" s="19"/>
      <c r="C6035" s="19"/>
      <c r="D6035" s="19"/>
      <c r="E6035" s="19"/>
      <c r="F6035" s="19"/>
      <c r="G6035" s="19"/>
      <c r="H6035" s="19"/>
      <c r="I6035" s="19"/>
      <c r="J6035" s="19"/>
      <c r="K6035" s="19"/>
      <c r="L6035" s="19"/>
      <c r="M6035" s="19"/>
      <c r="N6035" s="19"/>
      <c r="O6035" s="14" t="str">
        <f>HYPERLINK("https://otsuka-europe-crm.veevavault.com/ui/#object/email_activity__v/V8C00000003S430", "EN-002093770")</f>
        <v>EN-002093770</v>
      </c>
    </row>
    <row r="6036" spans="1:15" ht="16" x14ac:dyDescent="0.2">
      <c r="A6036" s="17" t="str">
        <f>HYPERLINK("https://otsuka-europe-crm.veevavault.com/ui/#object/account__v/V4TZ025E82PZL6K", "MARIA ROJANO ROGEL")</f>
        <v>MARIA ROJANO ROGEL</v>
      </c>
      <c r="B6036" s="17" t="str">
        <f>HYPERLINK("https://otsuka-europe-crm.veevavault.com/ui/#object/vcountry__v/VENZ000004SONF5", "ES")</f>
        <v>ES</v>
      </c>
      <c r="C6036" s="20" t="s">
        <v>41</v>
      </c>
      <c r="D6036" s="21" t="str">
        <f>HYPERLINK("https://otsuka-europe-crm.veevavault.com/ui/#object/approved_document__v/V5O00000001H004", "Save the date X Jornada UHB 2026")</f>
        <v>Save the date X Jornada UHB 2026</v>
      </c>
      <c r="E6036" s="22" t="str">
        <f>HYPERLINK("https://otsuka-europe-crm.veevavault.com/ui/#object/sent_email__v/VBL00000002R089", "SE-001434334")</f>
        <v>SE-001434334</v>
      </c>
      <c r="F6036" s="25"/>
      <c r="G6036" s="24">
        <v>0</v>
      </c>
      <c r="H6036" s="24">
        <v>0</v>
      </c>
      <c r="I6036" s="24">
        <v>0</v>
      </c>
      <c r="J6036" s="25"/>
      <c r="K6036" s="24">
        <v>0</v>
      </c>
      <c r="L6036" s="22" t="str">
        <f>HYPERLINK("https://otsuka-europe-crm.veevavault.com/ui/#object/approved_document__v/V5O00000001H004", "Save the date X Jornada UHB 2026")</f>
        <v>Save the date X Jornada UHB 2026</v>
      </c>
      <c r="M6036" s="22" t="str">
        <f>HYPERLINK("mailto:sruiz@crm.otsuka-europe.com", "sruiz@crm.otsuka-europe.com")</f>
        <v>sruiz@crm.otsuka-europe.com</v>
      </c>
      <c r="N6036" s="23">
        <v>46181.450532407405</v>
      </c>
      <c r="O6036" s="14" t="str">
        <f>HYPERLINK("https://otsuka-europe-crm.veevavault.com/ui/#object/email_activity__v/V8C00000003Q631", "EN-002092083")</f>
        <v>EN-002092083</v>
      </c>
    </row>
    <row r="6037" spans="1:15" ht="16" x14ac:dyDescent="0.2">
      <c r="A6037" s="19"/>
      <c r="B6037" s="19"/>
      <c r="C6037" s="19"/>
      <c r="D6037" s="19"/>
      <c r="E6037" s="19"/>
      <c r="F6037" s="19"/>
      <c r="G6037" s="19"/>
      <c r="H6037" s="19"/>
      <c r="I6037" s="19"/>
      <c r="J6037" s="19"/>
      <c r="K6037" s="19"/>
      <c r="L6037" s="19"/>
      <c r="M6037" s="19"/>
      <c r="N6037" s="19"/>
      <c r="O6037" s="14" t="str">
        <f>HYPERLINK("https://otsuka-europe-crm.veevavault.com/ui/#object/email_activity__v/V8C00000003R096", "EN-002091853")</f>
        <v>EN-002091853</v>
      </c>
    </row>
    <row r="6038" spans="1:15" ht="32" x14ac:dyDescent="0.2">
      <c r="A6038" s="7" t="str">
        <f>HYPERLINK("https://otsuka-europe-crm.veevavault.com/ui/#object/account__v/V4TZ06G6O71T8JH", "JOSE MANUEL HERRERO MARFIL")</f>
        <v>JOSE MANUEL HERRERO MARFIL</v>
      </c>
      <c r="B6038" s="7" t="str">
        <f>HYPERLINK("https://otsuka-europe-crm.veevavault.com/ui/#object/vcountry__v/VENZ000004SONF5", "ES")</f>
        <v>ES</v>
      </c>
      <c r="C6038" s="8" t="s">
        <v>41</v>
      </c>
      <c r="D6038" s="9" t="str">
        <f>HYPERLINK("https://otsuka-europe-crm.veevavault.com/ui/#object/approved_document__v/V5O00000001H004", "Save the date X Jornada UHB 2026")</f>
        <v>Save the date X Jornada UHB 2026</v>
      </c>
      <c r="E6038" s="10" t="str">
        <f>HYPERLINK("https://otsuka-europe-crm.veevavault.com/ui/#object/sent_email__v/VBL00000002R090", "SE-001434335")</f>
        <v>SE-001434335</v>
      </c>
      <c r="F6038" s="11"/>
      <c r="G6038" s="12">
        <v>0</v>
      </c>
      <c r="H6038" s="12">
        <v>0</v>
      </c>
      <c r="I6038" s="12">
        <v>0</v>
      </c>
      <c r="J6038" s="11"/>
      <c r="K6038" s="12">
        <v>0</v>
      </c>
      <c r="L6038" s="10" t="str">
        <f>HYPERLINK("https://otsuka-europe-crm.veevavault.com/ui/#object/approved_document__v/V5O00000001H004", "Save the date X Jornada UHB 2026")</f>
        <v>Save the date X Jornada UHB 2026</v>
      </c>
      <c r="M6038" s="10" t="str">
        <f>HYPERLINK("mailto:sruiz@crm.otsuka-europe.com", "sruiz@crm.otsuka-europe.com")</f>
        <v>sruiz@crm.otsuka-europe.com</v>
      </c>
      <c r="N6038" s="13">
        <v>46181.450532407405</v>
      </c>
      <c r="O6038" s="14" t="str">
        <f>HYPERLINK("https://otsuka-europe-crm.veevavault.com/ui/#object/email_activity__v/V8C00000003Q519", "EN-002091849")</f>
        <v>EN-002091849</v>
      </c>
    </row>
    <row r="6039" spans="1:15" ht="16" x14ac:dyDescent="0.2">
      <c r="A6039" s="17" t="str">
        <f>HYPERLINK("https://otsuka-europe-crm.veevavault.com/ui/#object/account__v/V4TZ06G6O71T76N", "RAQUEL ALVAREZ GARCIA")</f>
        <v>RAQUEL ALVAREZ GARCIA</v>
      </c>
      <c r="B6039" s="17" t="str">
        <f>HYPERLINK("https://otsuka-europe-crm.veevavault.com/ui/#object/vcountry__v/VENZ000004SONF5", "ES")</f>
        <v>ES</v>
      </c>
      <c r="C6039" s="20" t="s">
        <v>41</v>
      </c>
      <c r="D6039" s="21" t="str">
        <f>HYPERLINK("https://otsuka-europe-crm.veevavault.com/ui/#object/approved_document__v/V5OZ04ASG4FWKA9", "Documento Autorizaciขn Centro Empleador")</f>
        <v>Documento Autorizaciขn Centro Empleador</v>
      </c>
      <c r="E6039" s="22" t="str">
        <f>HYPERLINK("https://otsuka-europe-crm.veevavault.com/ui/#object/sent_email__v/VBL00000002S187", "SE-001434336")</f>
        <v>SE-001434336</v>
      </c>
      <c r="F6039" s="23">
        <v>46181.494409722225</v>
      </c>
      <c r="G6039" s="24">
        <v>1</v>
      </c>
      <c r="H6039" s="24">
        <v>1</v>
      </c>
      <c r="I6039" s="24">
        <v>1</v>
      </c>
      <c r="J6039" s="23">
        <v>46181.494409722225</v>
      </c>
      <c r="K6039" s="24">
        <v>1</v>
      </c>
      <c r="L6039" s="22" t="str">
        <f>HYPERLINK("https://otsuka-europe-crm.veevavault.com/ui/#object/approved_document__v/V5OZ04ASG4FWKA9", "Documento Autorizaciขn Centro Empleador")</f>
        <v>Documento Autorizaciขn Centro Empleador</v>
      </c>
      <c r="M6039" s="22" t="str">
        <f>HYPERLINK("mailto:oestevez@crm.otsuka-europe.com", "oestevez@crm.otsuka-europe.com")</f>
        <v>oestevez@crm.otsuka-europe.com</v>
      </c>
      <c r="N6039" s="23">
        <v>46181.461701388886</v>
      </c>
      <c r="O6039" s="14" t="str">
        <f>HYPERLINK("https://otsuka-europe-crm.veevavault.com/ui/#object/email_activity__v/V8C00000003Q527", "EN-002091868")</f>
        <v>EN-002091868</v>
      </c>
    </row>
    <row r="6040" spans="1:15" ht="16" x14ac:dyDescent="0.2">
      <c r="A6040" s="18"/>
      <c r="B6040" s="18"/>
      <c r="C6040" s="18"/>
      <c r="D6040" s="18"/>
      <c r="E6040" s="18"/>
      <c r="F6040" s="18"/>
      <c r="G6040" s="18"/>
      <c r="H6040" s="18"/>
      <c r="I6040" s="18"/>
      <c r="J6040" s="18"/>
      <c r="K6040" s="18"/>
      <c r="L6040" s="18"/>
      <c r="M6040" s="18"/>
      <c r="N6040" s="18"/>
      <c r="O6040" s="14" t="str">
        <f>HYPERLINK("https://otsuka-europe-crm.veevavault.com/ui/#object/email_activity__v/V8C00000003Q555", "EN-002091914")</f>
        <v>EN-002091914</v>
      </c>
    </row>
    <row r="6041" spans="1:15" ht="16" x14ac:dyDescent="0.2">
      <c r="A6041" s="19"/>
      <c r="B6041" s="19"/>
      <c r="C6041" s="19"/>
      <c r="D6041" s="19"/>
      <c r="E6041" s="19"/>
      <c r="F6041" s="19"/>
      <c r="G6041" s="19"/>
      <c r="H6041" s="19"/>
      <c r="I6041" s="19"/>
      <c r="J6041" s="19"/>
      <c r="K6041" s="19"/>
      <c r="L6041" s="19"/>
      <c r="M6041" s="19"/>
      <c r="N6041" s="19"/>
      <c r="O6041" s="14" t="str">
        <f>HYPERLINK("https://otsuka-europe-crm.veevavault.com/ui/#object/email_activity__v/V8C00000003Q556", "EN-002091913")</f>
        <v>EN-002091913</v>
      </c>
    </row>
    <row r="6042" spans="1:15" ht="16" x14ac:dyDescent="0.2">
      <c r="A6042" s="17" t="str">
        <f>HYPERLINK("https://otsuka-europe-crm.veevavault.com/ui/#object/account__v/V4TZ06G6O71TCEO", "AGUSTIN FERNANDO SOTO RUANO")</f>
        <v>AGUSTIN FERNANDO SOTO RUANO</v>
      </c>
      <c r="B6042" s="17" t="str">
        <f>HYPERLINK("https://otsuka-europe-crm.veevavault.com/ui/#object/vcountry__v/VENZ000004SONF5", "ES")</f>
        <v>ES</v>
      </c>
      <c r="C6042" s="20" t="s">
        <v>41</v>
      </c>
      <c r="D6042" s="21" t="str">
        <f>HYPERLINK("https://otsuka-europe-crm.veevavault.com/ui/#object/approved_document__v/V5OZ04ASG4FWKA9", "Documento Autorizaciขn Centro Empleador")</f>
        <v>Documento Autorizaciขn Centro Empleador</v>
      </c>
      <c r="E6042" s="22" t="str">
        <f>HYPERLINK("https://otsuka-europe-crm.veevavault.com/ui/#object/sent_email__v/VBL00000002S188", "SE-001434337")</f>
        <v>SE-001434337</v>
      </c>
      <c r="F6042" s="23">
        <v>46181.777337962965</v>
      </c>
      <c r="G6042" s="24">
        <v>1</v>
      </c>
      <c r="H6042" s="24">
        <v>1</v>
      </c>
      <c r="I6042" s="24">
        <v>1</v>
      </c>
      <c r="J6042" s="23">
        <v>46181.777407407404</v>
      </c>
      <c r="K6042" s="24">
        <v>1</v>
      </c>
      <c r="L6042" s="22" t="str">
        <f>HYPERLINK("https://otsuka-europe-crm.veevavault.com/ui/#object/approved_document__v/V5OZ04ASG4FWKA9", "Documento Autorizaciขn Centro Empleador")</f>
        <v>Documento Autorizaciขn Centro Empleador</v>
      </c>
      <c r="M6042" s="22" t="str">
        <f>HYPERLINK("mailto:oestevez@crm.otsuka-europe.com", "oestevez@crm.otsuka-europe.com")</f>
        <v>oestevez@crm.otsuka-europe.com</v>
      </c>
      <c r="N6042" s="23">
        <v>46181.462187500001</v>
      </c>
      <c r="O6042" s="14" t="str">
        <f>HYPERLINK("https://otsuka-europe-crm.veevavault.com/ui/#object/email_activity__v/V8C00000003Q530", "EN-002091871")</f>
        <v>EN-002091871</v>
      </c>
    </row>
    <row r="6043" spans="1:15" ht="16" x14ac:dyDescent="0.2">
      <c r="A6043" s="18"/>
      <c r="B6043" s="18"/>
      <c r="C6043" s="18"/>
      <c r="D6043" s="18"/>
      <c r="E6043" s="18"/>
      <c r="F6043" s="18"/>
      <c r="G6043" s="18"/>
      <c r="H6043" s="18"/>
      <c r="I6043" s="18"/>
      <c r="J6043" s="18"/>
      <c r="K6043" s="18"/>
      <c r="L6043" s="18"/>
      <c r="M6043" s="18"/>
      <c r="N6043" s="18"/>
      <c r="O6043" s="14" t="str">
        <f>HYPERLINK("https://otsuka-europe-crm.veevavault.com/ui/#object/email_activity__v/V8C00000003Q673", "EN-002092188")</f>
        <v>EN-002092188</v>
      </c>
    </row>
    <row r="6044" spans="1:15" ht="16" x14ac:dyDescent="0.2">
      <c r="A6044" s="18"/>
      <c r="B6044" s="18"/>
      <c r="C6044" s="18"/>
      <c r="D6044" s="18"/>
      <c r="E6044" s="18"/>
      <c r="F6044" s="18"/>
      <c r="G6044" s="18"/>
      <c r="H6044" s="18"/>
      <c r="I6044" s="18"/>
      <c r="J6044" s="18"/>
      <c r="K6044" s="18"/>
      <c r="L6044" s="18"/>
      <c r="M6044" s="18"/>
      <c r="N6044" s="18"/>
      <c r="O6044" s="14" t="str">
        <f>HYPERLINK("https://otsuka-europe-crm.veevavault.com/ui/#object/email_activity__v/V8C00000003Q740", "EN-002092306")</f>
        <v>EN-002092306</v>
      </c>
    </row>
    <row r="6045" spans="1:15" ht="16" x14ac:dyDescent="0.2">
      <c r="A6045" s="19"/>
      <c r="B6045" s="19"/>
      <c r="C6045" s="19"/>
      <c r="D6045" s="19"/>
      <c r="E6045" s="19"/>
      <c r="F6045" s="19"/>
      <c r="G6045" s="19"/>
      <c r="H6045" s="19"/>
      <c r="I6045" s="19"/>
      <c r="J6045" s="19"/>
      <c r="K6045" s="19"/>
      <c r="L6045" s="19"/>
      <c r="M6045" s="19"/>
      <c r="N6045" s="19"/>
      <c r="O6045" s="14" t="str">
        <f>HYPERLINK("https://otsuka-europe-crm.veevavault.com/ui/#object/email_activity__v/V8C00000003R278", "EN-002092189")</f>
        <v>EN-002092189</v>
      </c>
    </row>
    <row r="6046" spans="1:15" ht="32" x14ac:dyDescent="0.2">
      <c r="A6046" s="7" t="str">
        <f>HYPERLINK("https://otsuka-europe-crm.veevavault.com/ui/#object/account__v/V4TZ0000062PNOR", "Mary Sleeman")</f>
        <v>Mary Sleeman</v>
      </c>
      <c r="B6046" s="7" t="str">
        <f>HYPERLINK("https://otsuka-europe-crm.veevavault.com/ui/#object/vcountry__v/VENZ000004SONFK", "GB")</f>
        <v>GB</v>
      </c>
      <c r="C6046" s="8" t="s">
        <v>39</v>
      </c>
      <c r="D6046" s="9" t="str">
        <f>HYPERLINK("https://otsuka-europe-crm.veevavault.com/ui/#object/approved_document__v/V5OZ025E82TSZBI", "Aripiprazole 960mg Fragment VAE")</f>
        <v>Aripiprazole 960mg Fragment VAE</v>
      </c>
      <c r="E6046" s="10" t="str">
        <f>HYPERLINK("https://otsuka-europe-crm.veevavault.com/ui/#object/sent_email__v/VBL00000002R091", "SE-001434338")</f>
        <v>SE-001434338</v>
      </c>
      <c r="F6046" s="11"/>
      <c r="G6046" s="12">
        <v>0</v>
      </c>
      <c r="H6046" s="12">
        <v>0</v>
      </c>
      <c r="I6046" s="12">
        <v>0</v>
      </c>
      <c r="J6046" s="11"/>
      <c r="K6046" s="12">
        <v>0</v>
      </c>
      <c r="L6046" s="10" t="str">
        <f>HYPERLINK("https://otsuka-europe-crm.veevavault.com/ui/#object/approved_document__v/V5OZ025E82TSZBI", "Aripiprazole 960mg Fragment VAE")</f>
        <v>Aripiprazole 960mg Fragment VAE</v>
      </c>
      <c r="M6046" s="10" t="str">
        <f>HYPERLINK("mailto:sfinnigan@crm.otsuka-europe.com", "sfinnigan@crm.otsuka-europe.com")</f>
        <v>sfinnigan@crm.otsuka-europe.com</v>
      </c>
      <c r="N6046" s="13">
        <v>46181.467233796298</v>
      </c>
      <c r="O6046" s="14" t="str">
        <f>HYPERLINK("https://otsuka-europe-crm.veevavault.com/ui/#object/email_activity__v/V8C00000003R110", "EN-002091891")</f>
        <v>EN-002091891</v>
      </c>
    </row>
    <row r="6047" spans="1:15" ht="48" x14ac:dyDescent="0.2">
      <c r="A6047" s="7" t="str">
        <f>HYPERLINK("https://otsuka-europe-crm.veevavault.com/ui/#object/account__v/V4TZ00000633KSJ", "LIONEL ALIX")</f>
        <v>LIONEL ALIX</v>
      </c>
      <c r="B6047" s="7" t="str">
        <f>HYPERLINK("https://otsuka-europe-crm.veevavault.com/ui/#object/vcountry__v/VENZ000004SONFA", "FR")</f>
        <v>FR</v>
      </c>
      <c r="C6047" s="8" t="s">
        <v>42</v>
      </c>
      <c r="D6047" s="9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E6047" s="10" t="str">
        <f>HYPERLINK("https://otsuka-europe-crm.veevavault.com/ui/#object/sent_email__v/VBL00000002S189", "SE-001434339")</f>
        <v>SE-001434339</v>
      </c>
      <c r="F6047" s="11"/>
      <c r="G6047" s="12">
        <v>0</v>
      </c>
      <c r="H6047" s="12">
        <v>0</v>
      </c>
      <c r="I6047" s="12">
        <v>0</v>
      </c>
      <c r="J6047" s="11"/>
      <c r="K6047" s="12">
        <v>0</v>
      </c>
      <c r="L6047" s="10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M6047" s="10" t="str">
        <f>HYPERLINK("mailto:mvernoux@crm.otsuka-europe.com", "mvernoux@crm.otsuka-europe.com")</f>
        <v>mvernoux@crm.otsuka-europe.com</v>
      </c>
      <c r="N6047" s="13">
        <v>46182.342291666668</v>
      </c>
      <c r="O6047" s="14" t="str">
        <f>HYPERLINK("https://otsuka-europe-crm.veevavault.com/ui/#object/email_activity__v/V8C00000003Q755", "EN-002092334")</f>
        <v>EN-002092334</v>
      </c>
    </row>
    <row r="6048" spans="1:15" ht="16" x14ac:dyDescent="0.2">
      <c r="A6048" s="17" t="str">
        <f>HYPERLINK("https://otsuka-europe-crm.veevavault.com/ui/#object/account__v/V4TZ00000633KOB", "ALI MOHDEB")</f>
        <v>ALI MOHDEB</v>
      </c>
      <c r="B6048" s="17" t="str">
        <f>HYPERLINK("https://otsuka-europe-crm.veevavault.com/ui/#object/vcountry__v/VENZ000004SONFA", "FR")</f>
        <v>FR</v>
      </c>
      <c r="C6048" s="20" t="s">
        <v>42</v>
      </c>
      <c r="D6048" s="21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E6048" s="22" t="str">
        <f>HYPERLINK("https://otsuka-europe-crm.veevavault.com/ui/#object/sent_email__v/VBL00000002S190", "SE-001434340")</f>
        <v>SE-001434340</v>
      </c>
      <c r="F6048" s="23">
        <v>46182.381273148145</v>
      </c>
      <c r="G6048" s="24">
        <v>1</v>
      </c>
      <c r="H6048" s="24">
        <v>2</v>
      </c>
      <c r="I6048" s="24">
        <v>0</v>
      </c>
      <c r="J6048" s="25"/>
      <c r="K6048" s="24">
        <v>0</v>
      </c>
      <c r="L6048" s="22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M6048" s="22" t="str">
        <f>HYPERLINK("mailto:mvernoux@crm.otsuka-europe.com", "mvernoux@crm.otsuka-europe.com")</f>
        <v>mvernoux@crm.otsuka-europe.com</v>
      </c>
      <c r="N6048" s="23">
        <v>46181.717175925929</v>
      </c>
      <c r="O6048" s="14" t="str">
        <f>HYPERLINK("https://otsuka-europe-crm.veevavault.com/ui/#object/email_activity__v/V8C00000003Q650", "EN-002092120")</f>
        <v>EN-002092120</v>
      </c>
    </row>
    <row r="6049" spans="1:15" ht="16" x14ac:dyDescent="0.2">
      <c r="A6049" s="18"/>
      <c r="B6049" s="18"/>
      <c r="C6049" s="18"/>
      <c r="D6049" s="18"/>
      <c r="E6049" s="18"/>
      <c r="F6049" s="18"/>
      <c r="G6049" s="18"/>
      <c r="H6049" s="18"/>
      <c r="I6049" s="18"/>
      <c r="J6049" s="18"/>
      <c r="K6049" s="18"/>
      <c r="L6049" s="18"/>
      <c r="M6049" s="18"/>
      <c r="N6049" s="18"/>
      <c r="O6049" s="14" t="str">
        <f>HYPERLINK("https://otsuka-europe-crm.veevavault.com/ui/#object/email_activity__v/V8C00000003R277", "EN-002092187")</f>
        <v>EN-002092187</v>
      </c>
    </row>
    <row r="6050" spans="1:15" ht="16" x14ac:dyDescent="0.2">
      <c r="A6050" s="19"/>
      <c r="B6050" s="19"/>
      <c r="C6050" s="19"/>
      <c r="D6050" s="19"/>
      <c r="E6050" s="19"/>
      <c r="F6050" s="19"/>
      <c r="G6050" s="19"/>
      <c r="H6050" s="19"/>
      <c r="I6050" s="19"/>
      <c r="J6050" s="19"/>
      <c r="K6050" s="19"/>
      <c r="L6050" s="19"/>
      <c r="M6050" s="19"/>
      <c r="N6050" s="19"/>
      <c r="O6050" s="14" t="str">
        <f>HYPERLINK("https://otsuka-europe-crm.veevavault.com/ui/#object/email_activity__v/V8C00000003R353", "EN-002092361")</f>
        <v>EN-002092361</v>
      </c>
    </row>
    <row r="6051" spans="1:15" ht="48" x14ac:dyDescent="0.2">
      <c r="A6051" s="7" t="str">
        <f>HYPERLINK("https://otsuka-europe-crm.veevavault.com/ui/#object/account__v/V4TZ04ASGBU98MS", "CACILDA JETHA")</f>
        <v>CACILDA JETHA</v>
      </c>
      <c r="B6051" s="7" t="str">
        <f>HYPERLINK("https://otsuka-europe-crm.veevavault.com/ui/#object/vcountry__v/VENZ000004SONFA", "FR")</f>
        <v>FR</v>
      </c>
      <c r="C6051" s="8" t="s">
        <v>42</v>
      </c>
      <c r="D6051" s="9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E6051" s="10" t="str">
        <f>HYPERLINK("https://otsuka-europe-crm.veevavault.com/ui/#object/sent_email__v/VBL00000002S191", "SE-001434341")</f>
        <v>SE-001434341</v>
      </c>
      <c r="F6051" s="11"/>
      <c r="G6051" s="12">
        <v>0</v>
      </c>
      <c r="H6051" s="12">
        <v>0</v>
      </c>
      <c r="I6051" s="12">
        <v>0</v>
      </c>
      <c r="J6051" s="11"/>
      <c r="K6051" s="12">
        <v>0</v>
      </c>
      <c r="L6051" s="10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M6051" s="10" t="str">
        <f>HYPERLINK("mailto:mvernoux@crm.otsuka-europe.com", "mvernoux@crm.otsuka-europe.com")</f>
        <v>mvernoux@crm.otsuka-europe.com</v>
      </c>
      <c r="N6051" s="13">
        <v>46181.717175925929</v>
      </c>
      <c r="O6051" s="14" t="str">
        <f>HYPERLINK("https://otsuka-europe-crm.veevavault.com/ui/#object/email_activity__v/V8C00000003Q651", "EN-002092121")</f>
        <v>EN-002092121</v>
      </c>
    </row>
    <row r="6052" spans="1:15" ht="16" x14ac:dyDescent="0.2">
      <c r="A6052" s="17" t="str">
        <f>HYPERLINK("https://otsuka-europe-crm.veevavault.com/ui/#object/account__v/V4TZ06G6O71T7Z9", "BEATRIZ HERREJON TEODORO")</f>
        <v>BEATRIZ HERREJON TEODORO</v>
      </c>
      <c r="B6052" s="17" t="str">
        <f>HYPERLINK("https://otsuka-europe-crm.veevavault.com/ui/#object/vcountry__v/VENZ000004SONF5", "ES")</f>
        <v>ES</v>
      </c>
      <c r="C6052" s="20" t="s">
        <v>41</v>
      </c>
      <c r="D6052" s="21" t="str">
        <f>HYPERLINK("https://otsuka-europe-crm.veevavault.com/ui/#object/approved_document__v/V5O00000001I001", "RXULTI - Programa webinar RXPERTS 11 junio")</f>
        <v>RXULTI - Programa webinar RXPERTS 11 junio</v>
      </c>
      <c r="E6052" s="22" t="str">
        <f>HYPERLINK("https://otsuka-europe-crm.veevavault.com/ui/#object/sent_email__v/VBL00000002S192", "SE-001434342")</f>
        <v>SE-001434342</v>
      </c>
      <c r="F6052" s="23">
        <v>46181.533854166664</v>
      </c>
      <c r="G6052" s="24">
        <v>1</v>
      </c>
      <c r="H6052" s="24">
        <v>1</v>
      </c>
      <c r="I6052" s="24">
        <v>0</v>
      </c>
      <c r="J6052" s="25"/>
      <c r="K6052" s="24">
        <v>0</v>
      </c>
      <c r="L6052" s="22" t="str">
        <f>HYPERLINK("https://otsuka-europe-crm.veevavault.com/ui/#object/approved_document__v/V5O00000001I001", "RXULTI - Programa webinar RXPERTS 11 junio")</f>
        <v>RXULTI - Programa webinar RXPERTS 11 junio</v>
      </c>
      <c r="M6052" s="22" t="str">
        <f>HYPERLINK("mailto:jcastro@crm.otsuka-europe.com", "jcastro@crm.otsuka-europe.com")</f>
        <v>jcastro@crm.otsuka-europe.com</v>
      </c>
      <c r="N6052" s="23">
        <v>46181.533518518518</v>
      </c>
      <c r="O6052" s="14" t="str">
        <f>HYPERLINK("https://otsuka-europe-crm.veevavault.com/ui/#object/email_activity__v/V8C00000003Q561", "EN-002091935")</f>
        <v>EN-002091935</v>
      </c>
    </row>
    <row r="6053" spans="1:15" ht="16" x14ac:dyDescent="0.2">
      <c r="A6053" s="19"/>
      <c r="B6053" s="19"/>
      <c r="C6053" s="19"/>
      <c r="D6053" s="19"/>
      <c r="E6053" s="19"/>
      <c r="F6053" s="19"/>
      <c r="G6053" s="19"/>
      <c r="H6053" s="19"/>
      <c r="I6053" s="19"/>
      <c r="J6053" s="19"/>
      <c r="K6053" s="19"/>
      <c r="L6053" s="19"/>
      <c r="M6053" s="19"/>
      <c r="N6053" s="19"/>
      <c r="O6053" s="14" t="str">
        <f>HYPERLINK("https://otsuka-europe-crm.veevavault.com/ui/#object/email_activity__v/V8C00000003Q562", "EN-002091936")</f>
        <v>EN-002091936</v>
      </c>
    </row>
    <row r="6054" spans="1:15" ht="16" x14ac:dyDescent="0.2">
      <c r="A6054" s="17" t="str">
        <f>HYPERLINK("https://otsuka-europe-crm.veevavault.com/ui/#object/account__v/V4T00000001X178", "HELEIA GONZALEZ CUERVO")</f>
        <v>HELEIA GONZALEZ CUERVO</v>
      </c>
      <c r="B6054" s="17" t="str">
        <f>HYPERLINK("https://otsuka-europe-crm.veevavault.com/ui/#object/vcountry__v/VENZ000004SONF5", "ES")</f>
        <v>ES</v>
      </c>
      <c r="C6054" s="20" t="s">
        <v>41</v>
      </c>
      <c r="D6054" s="21" t="str">
        <f>HYPERLINK("https://otsuka-europe-crm.veevavault.com/ui/#object/approved_document__v/V5OZ06G6O6RFL1P", "ES Veeva Privacy Notice Email")</f>
        <v>ES Veeva Privacy Notice Email</v>
      </c>
      <c r="E6054" s="22" t="str">
        <f>HYPERLINK("https://otsuka-europe-crm.veevavault.com/ui/#object/sent_email__v/VBL00000002R102", "SE-001434343")</f>
        <v>SE-001434343</v>
      </c>
      <c r="F6054" s="23">
        <v>46191.664872685185</v>
      </c>
      <c r="G6054" s="24">
        <v>1</v>
      </c>
      <c r="H6054" s="24">
        <v>2</v>
      </c>
      <c r="I6054" s="24">
        <v>0</v>
      </c>
      <c r="J6054" s="25"/>
      <c r="K6054" s="24">
        <v>0</v>
      </c>
      <c r="L6054" s="22" t="str">
        <f>HYPERLINK("https://otsuka-europe-crm.veevavault.com/ui/#object/approved_document__v/V5OZ06G6O6RFL1P", "ES Veeva Privacy Notice Email")</f>
        <v>ES Veeva Privacy Notice Email</v>
      </c>
      <c r="M6054" s="22" t="str">
        <f>HYPERLINK("mailto:amartinez@crm.otsuka-europe.com", "amartinez@crm.otsuka-europe.com")</f>
        <v>amartinez@crm.otsuka-europe.com</v>
      </c>
      <c r="N6054" s="23">
        <v>46181.544131944444</v>
      </c>
      <c r="O6054" s="14" t="str">
        <f>HYPERLINK("https://otsuka-europe-crm.veevavault.com/ui/#object/email_activity__v/V8C00000003Q563", "EN-002091942")</f>
        <v>EN-002091942</v>
      </c>
    </row>
    <row r="6055" spans="1:15" ht="16" x14ac:dyDescent="0.2">
      <c r="A6055" s="18"/>
      <c r="B6055" s="18"/>
      <c r="C6055" s="18"/>
      <c r="D6055" s="18"/>
      <c r="E6055" s="18"/>
      <c r="F6055" s="18"/>
      <c r="G6055" s="18"/>
      <c r="H6055" s="18"/>
      <c r="I6055" s="18"/>
      <c r="J6055" s="18"/>
      <c r="K6055" s="18"/>
      <c r="L6055" s="18"/>
      <c r="M6055" s="18"/>
      <c r="N6055" s="18"/>
      <c r="O6055" s="14" t="str">
        <f>HYPERLINK("https://otsuka-europe-crm.veevavault.com/ui/#object/email_activity__v/V8C00000003Q731", "EN-002092293")</f>
        <v>EN-002092293</v>
      </c>
    </row>
    <row r="6056" spans="1:15" ht="16" x14ac:dyDescent="0.2">
      <c r="A6056" s="18"/>
      <c r="B6056" s="18"/>
      <c r="C6056" s="18"/>
      <c r="D6056" s="18"/>
      <c r="E6056" s="18"/>
      <c r="F6056" s="18"/>
      <c r="G6056" s="18"/>
      <c r="H6056" s="18"/>
      <c r="I6056" s="18"/>
      <c r="J6056" s="18"/>
      <c r="K6056" s="18"/>
      <c r="L6056" s="18"/>
      <c r="M6056" s="18"/>
      <c r="N6056" s="18"/>
      <c r="O6056" s="14" t="str">
        <f>HYPERLINK("https://otsuka-europe-crm.veevavault.com/ui/#object/email_activity__v/V8C00000003R183", "EN-002092029")</f>
        <v>EN-002092029</v>
      </c>
    </row>
    <row r="6057" spans="1:15" ht="16" x14ac:dyDescent="0.2">
      <c r="A6057" s="18"/>
      <c r="B6057" s="18"/>
      <c r="C6057" s="18"/>
      <c r="D6057" s="18"/>
      <c r="E6057" s="18"/>
      <c r="F6057" s="18"/>
      <c r="G6057" s="18"/>
      <c r="H6057" s="18"/>
      <c r="I6057" s="18"/>
      <c r="J6057" s="18"/>
      <c r="K6057" s="18"/>
      <c r="L6057" s="18"/>
      <c r="M6057" s="18"/>
      <c r="N6057" s="18"/>
      <c r="O6057" s="14" t="str">
        <f>HYPERLINK("https://otsuka-europe-crm.veevavault.com/ui/#object/email_activity__v/V8C00000003R358", "EN-002092369")</f>
        <v>EN-002092369</v>
      </c>
    </row>
    <row r="6058" spans="1:15" ht="16" x14ac:dyDescent="0.2">
      <c r="A6058" s="19"/>
      <c r="B6058" s="19"/>
      <c r="C6058" s="19"/>
      <c r="D6058" s="19"/>
      <c r="E6058" s="19"/>
      <c r="F6058" s="19"/>
      <c r="G6058" s="19"/>
      <c r="H6058" s="19"/>
      <c r="I6058" s="19"/>
      <c r="J6058" s="19"/>
      <c r="K6058" s="19"/>
      <c r="L6058" s="19"/>
      <c r="M6058" s="19"/>
      <c r="N6058" s="19"/>
      <c r="O6058" s="14" t="str">
        <f>HYPERLINK("https://otsuka-europe-crm.veevavault.com/ui/#object/email_activity__v/V8C00000003Y022", "EN-002098645")</f>
        <v>EN-002098645</v>
      </c>
    </row>
    <row r="6059" spans="1:15" ht="32" x14ac:dyDescent="0.2">
      <c r="A6059" s="7" t="str">
        <f>HYPERLINK("https://otsuka-europe-crm.veevavault.com/ui/#object/account__v/V4TZ0000062PDTQ", "Nadia Durani")</f>
        <v>Nadia Durani</v>
      </c>
      <c r="B6059" s="7" t="str">
        <f>HYPERLINK("https://otsuka-europe-crm.veevavault.com/ui/#object/vcountry__v/VENZ000004SONFK", "GB")</f>
        <v>GB</v>
      </c>
      <c r="C6059" s="8" t="s">
        <v>39</v>
      </c>
      <c r="D6059" s="9" t="str">
        <f>HYPERLINK("https://otsuka-europe-crm.veevavault.com/ui/#object/approved_document__v/V5O00000001H005", "LDM DR P2P Invite 23-Jun-26 [digital]")</f>
        <v>LDM DR P2P Invite 23-Jun-26 [digital]</v>
      </c>
      <c r="E6059" s="10" t="str">
        <f>HYPERLINK("https://otsuka-europe-crm.veevavault.com/ui/#object/sent_email__v/VBL00000002S193", "SE-001434344")</f>
        <v>SE-001434344</v>
      </c>
      <c r="F6059" s="11"/>
      <c r="G6059" s="12">
        <v>0</v>
      </c>
      <c r="H6059" s="12">
        <v>0</v>
      </c>
      <c r="I6059" s="12">
        <v>0</v>
      </c>
      <c r="J6059" s="11"/>
      <c r="K6059" s="12">
        <v>0</v>
      </c>
      <c r="L6059" s="10" t="str">
        <f>HYPERLINK("https://otsuka-europe-crm.veevavault.com/ui/#object/approved_document__v/V5O00000001H005", "LDM DR P2P Invite 23-Jun-26 [digital]")</f>
        <v>LDM DR P2P Invite 23-Jun-26 [digital]</v>
      </c>
      <c r="M6059" s="10" t="str">
        <f>HYPERLINK("mailto:draval@crm.otsuka-europe.com", "draval@crm.otsuka-europe.com")</f>
        <v>draval@crm.otsuka-europe.com</v>
      </c>
      <c r="N6059" s="13">
        <v>46181.556504629632</v>
      </c>
      <c r="O6059" s="14" t="str">
        <f>HYPERLINK("https://otsuka-europe-crm.veevavault.com/ui/#object/email_activity__v/V8C00000003R144", "EN-002091949")</f>
        <v>EN-002091949</v>
      </c>
    </row>
    <row r="6060" spans="1:15" ht="32" x14ac:dyDescent="0.2">
      <c r="A6060" s="7" t="str">
        <f>HYPERLINK("https://otsuka-europe-crm.veevavault.com/ui/#object/account__v/V4TZ0000062POWK", "Edgar Chan")</f>
        <v>Edgar Chan</v>
      </c>
      <c r="B6060" s="7" t="str">
        <f>HYPERLINK("https://otsuka-europe-crm.veevavault.com/ui/#object/vcountry__v/VENZ000004SONFK", "GB")</f>
        <v>GB</v>
      </c>
      <c r="C6060" s="8" t="s">
        <v>39</v>
      </c>
      <c r="D6060" s="9" t="str">
        <f>HYPERLINK("https://otsuka-europe-crm.veevavault.com/ui/#object/approved_document__v/V5O00000001H005", "LDM DR P2P Invite 23-Jun-26 [digital]")</f>
        <v>LDM DR P2P Invite 23-Jun-26 [digital]</v>
      </c>
      <c r="E6060" s="10" t="str">
        <f>HYPERLINK("https://otsuka-europe-crm.veevavault.com/ui/#object/sent_email__v/VBL00000002R103", "SE-001434345")</f>
        <v>SE-001434345</v>
      </c>
      <c r="F6060" s="11"/>
      <c r="G6060" s="12">
        <v>0</v>
      </c>
      <c r="H6060" s="12">
        <v>0</v>
      </c>
      <c r="I6060" s="12">
        <v>0</v>
      </c>
      <c r="J6060" s="11"/>
      <c r="K6060" s="12">
        <v>0</v>
      </c>
      <c r="L6060" s="10" t="str">
        <f>HYPERLINK("https://otsuka-europe-crm.veevavault.com/ui/#object/approved_document__v/V5O00000001H005", "LDM DR P2P Invite 23-Jun-26 [digital]")</f>
        <v>LDM DR P2P Invite 23-Jun-26 [digital]</v>
      </c>
      <c r="M6060" s="10" t="str">
        <f>HYPERLINK("mailto:draval@crm.otsuka-europe.com", "draval@crm.otsuka-europe.com")</f>
        <v>draval@crm.otsuka-europe.com</v>
      </c>
      <c r="N6060" s="13">
        <v>46181.562777777777</v>
      </c>
      <c r="O6060" s="14" t="str">
        <f>HYPERLINK("https://otsuka-europe-crm.veevavault.com/ui/#object/email_activity__v/V8C00000003Q572", "EN-002091958")</f>
        <v>EN-002091958</v>
      </c>
    </row>
    <row r="6061" spans="1:15" ht="32" x14ac:dyDescent="0.2">
      <c r="A6061" s="7" t="str">
        <f>HYPERLINK("https://otsuka-europe-crm.veevavault.com/ui/#object/account__v/V4TZ06G6OC6NHLN", "Wendy Cawley")</f>
        <v>Wendy Cawley</v>
      </c>
      <c r="B6061" s="7" t="str">
        <f>HYPERLINK("https://otsuka-europe-crm.veevavault.com/ui/#object/vcountry__v/VENZ000004SONFK", "GB")</f>
        <v>GB</v>
      </c>
      <c r="C6061" s="8" t="s">
        <v>39</v>
      </c>
      <c r="D6061" s="9" t="str">
        <f>HYPERLINK("https://otsuka-europe-crm.veevavault.com/ui/#object/approved_document__v/V5O00000001H005", "LDM DR P2P Invite 23-Jun-26 [digital]")</f>
        <v>LDM DR P2P Invite 23-Jun-26 [digital]</v>
      </c>
      <c r="E6061" s="10" t="str">
        <f>HYPERLINK("https://otsuka-europe-crm.veevavault.com/ui/#object/sent_email__v/VBL00000002R104", "SE-001434346")</f>
        <v>SE-001434346</v>
      </c>
      <c r="F6061" s="11"/>
      <c r="G6061" s="12">
        <v>0</v>
      </c>
      <c r="H6061" s="12">
        <v>0</v>
      </c>
      <c r="I6061" s="12">
        <v>0</v>
      </c>
      <c r="J6061" s="11"/>
      <c r="K6061" s="12">
        <v>0</v>
      </c>
      <c r="L6061" s="10" t="str">
        <f>HYPERLINK("https://otsuka-europe-crm.veevavault.com/ui/#object/approved_document__v/V5O00000001H005", "LDM DR P2P Invite 23-Jun-26 [digital]")</f>
        <v>LDM DR P2P Invite 23-Jun-26 [digital]</v>
      </c>
      <c r="M6061" s="10" t="str">
        <f>HYPERLINK("mailto:draval@crm.otsuka-europe.com", "draval@crm.otsuka-europe.com")</f>
        <v>draval@crm.otsuka-europe.com</v>
      </c>
      <c r="N6061" s="13">
        <v>46181.564328703702</v>
      </c>
      <c r="O6061" s="14" t="str">
        <f>HYPERLINK("https://otsuka-europe-crm.veevavault.com/ui/#object/email_activity__v/V8C00000003Q574", "EN-002091960")</f>
        <v>EN-002091960</v>
      </c>
    </row>
    <row r="6062" spans="1:15" ht="16" x14ac:dyDescent="0.2">
      <c r="A6062" s="17" t="str">
        <f>HYPERLINK("https://otsuka-europe-crm.veevavault.com/ui/#object/account__v/V4TZ04ASGBX79P9", "Rafik Abdelmalak")</f>
        <v>Rafik Abdelmalak</v>
      </c>
      <c r="B6062" s="17" t="str">
        <f>HYPERLINK("https://otsuka-europe-crm.veevavault.com/ui/#object/vcountry__v/VENZ000004SONFK", "GB")</f>
        <v>GB</v>
      </c>
      <c r="C6062" s="20" t="s">
        <v>39</v>
      </c>
      <c r="D6062" s="21" t="str">
        <f>HYPERLINK("https://otsuka-europe-crm.veevavault.com/ui/#object/approved_document__v/V5O00000001H007", "DR P2P Invite 18-Jun-26 [digital]")</f>
        <v>DR P2P Invite 18-Jun-26 [digital]</v>
      </c>
      <c r="E6062" s="22" t="str">
        <f>HYPERLINK("https://otsuka-europe-crm.veevavault.com/ui/#object/sent_email__v/VBL00000002R105", "SE-001434347")</f>
        <v>SE-001434347</v>
      </c>
      <c r="F6062" s="23">
        <v>46181.662118055552</v>
      </c>
      <c r="G6062" s="24">
        <v>1</v>
      </c>
      <c r="H6062" s="24">
        <v>2</v>
      </c>
      <c r="I6062" s="24">
        <v>0</v>
      </c>
      <c r="J6062" s="25"/>
      <c r="K6062" s="24">
        <v>0</v>
      </c>
      <c r="L6062" s="22" t="str">
        <f>HYPERLINK("https://otsuka-europe-crm.veevavault.com/ui/#object/approved_document__v/V5O00000001H007", "DR P2P Invite 18-Jun-26 [digital]")</f>
        <v>DR P2P Invite 18-Jun-26 [digital]</v>
      </c>
      <c r="M6062" s="22" t="str">
        <f>HYPERLINK("mailto:draval@crm.otsuka-europe.com", "draval@crm.otsuka-europe.com")</f>
        <v>draval@crm.otsuka-europe.com</v>
      </c>
      <c r="N6062" s="23">
        <v>46181.56517361111</v>
      </c>
      <c r="O6062" s="14" t="str">
        <f>HYPERLINK("https://otsuka-europe-crm.veevavault.com/ui/#object/email_activity__v/V8C00000003Q576", "EN-002091962")</f>
        <v>EN-002091962</v>
      </c>
    </row>
    <row r="6063" spans="1:15" ht="16" x14ac:dyDescent="0.2">
      <c r="A6063" s="18"/>
      <c r="B6063" s="18"/>
      <c r="C6063" s="18"/>
      <c r="D6063" s="18"/>
      <c r="E6063" s="18"/>
      <c r="F6063" s="18"/>
      <c r="G6063" s="18"/>
      <c r="H6063" s="18"/>
      <c r="I6063" s="18"/>
      <c r="J6063" s="18"/>
      <c r="K6063" s="18"/>
      <c r="L6063" s="18"/>
      <c r="M6063" s="18"/>
      <c r="N6063" s="18"/>
      <c r="O6063" s="14" t="str">
        <f>HYPERLINK("https://otsuka-europe-crm.veevavault.com/ui/#object/email_activity__v/V8C00000003Q619", "EN-002092059")</f>
        <v>EN-002092059</v>
      </c>
    </row>
    <row r="6064" spans="1:15" ht="16" x14ac:dyDescent="0.2">
      <c r="A6064" s="19"/>
      <c r="B6064" s="19"/>
      <c r="C6064" s="19"/>
      <c r="D6064" s="19"/>
      <c r="E6064" s="19"/>
      <c r="F6064" s="19"/>
      <c r="G6064" s="19"/>
      <c r="H6064" s="19"/>
      <c r="I6064" s="19"/>
      <c r="J6064" s="19"/>
      <c r="K6064" s="19"/>
      <c r="L6064" s="19"/>
      <c r="M6064" s="19"/>
      <c r="N6064" s="19"/>
      <c r="O6064" s="14" t="str">
        <f>HYPERLINK("https://otsuka-europe-crm.veevavault.com/ui/#object/email_activity__v/V8C00000003R203", "EN-002092060")</f>
        <v>EN-002092060</v>
      </c>
    </row>
    <row r="6065" spans="1:15" ht="16" x14ac:dyDescent="0.2">
      <c r="A6065" s="17" t="str">
        <f>HYPERLINK("https://otsuka-europe-crm.veevavault.com/ui/#object/account__v/V4TZ0000062PCOR", "Samuel Aladerun")</f>
        <v>Samuel Aladerun</v>
      </c>
      <c r="B6065" s="17" t="str">
        <f>HYPERLINK("https://otsuka-europe-crm.veevavault.com/ui/#object/vcountry__v/VENZ000004SONFK", "GB")</f>
        <v>GB</v>
      </c>
      <c r="C6065" s="20" t="s">
        <v>39</v>
      </c>
      <c r="D6065" s="21" t="str">
        <f>HYPERLINK("https://otsuka-europe-crm.veevavault.com/ui/#object/approved_document__v/V5O00000001H007", "DR P2P Invite 18-Jun-26 [digital]")</f>
        <v>DR P2P Invite 18-Jun-26 [digital]</v>
      </c>
      <c r="E6065" s="22" t="str">
        <f>HYPERLINK("https://otsuka-europe-crm.veevavault.com/ui/#object/sent_email__v/VBL00000002R106", "SE-001434348")</f>
        <v>SE-001434348</v>
      </c>
      <c r="F6065" s="23">
        <v>46182.486192129632</v>
      </c>
      <c r="G6065" s="24">
        <v>1</v>
      </c>
      <c r="H6065" s="24">
        <v>4</v>
      </c>
      <c r="I6065" s="24">
        <v>0</v>
      </c>
      <c r="J6065" s="25"/>
      <c r="K6065" s="24">
        <v>0</v>
      </c>
      <c r="L6065" s="22" t="str">
        <f>HYPERLINK("https://otsuka-europe-crm.veevavault.com/ui/#object/approved_document__v/V5O00000001H007", "DR P2P Invite 18-Jun-26 [digital]")</f>
        <v>DR P2P Invite 18-Jun-26 [digital]</v>
      </c>
      <c r="M6065" s="22" t="str">
        <f>HYPERLINK("mailto:draval@crm.otsuka-europe.com", "draval@crm.otsuka-europe.com")</f>
        <v>draval@crm.otsuka-europe.com</v>
      </c>
      <c r="N6065" s="23">
        <v>46181.565520833334</v>
      </c>
      <c r="O6065" s="14" t="str">
        <f>HYPERLINK("https://otsuka-europe-crm.veevavault.com/ui/#object/email_activity__v/V8C00000003Q577", "EN-002091963")</f>
        <v>EN-002091963</v>
      </c>
    </row>
    <row r="6066" spans="1:15" ht="16" x14ac:dyDescent="0.2">
      <c r="A6066" s="18"/>
      <c r="B6066" s="18"/>
      <c r="C6066" s="18"/>
      <c r="D6066" s="18"/>
      <c r="E6066" s="18"/>
      <c r="F6066" s="18"/>
      <c r="G6066" s="18"/>
      <c r="H6066" s="18"/>
      <c r="I6066" s="18"/>
      <c r="J6066" s="18"/>
      <c r="K6066" s="18"/>
      <c r="L6066" s="18"/>
      <c r="M6066" s="18"/>
      <c r="N6066" s="18"/>
      <c r="O6066" s="14" t="str">
        <f>HYPERLINK("https://otsuka-europe-crm.veevavault.com/ui/#object/email_activity__v/V8C00000003Q988", "EN-002092800")</f>
        <v>EN-002092800</v>
      </c>
    </row>
    <row r="6067" spans="1:15" ht="16" x14ac:dyDescent="0.2">
      <c r="A6067" s="18"/>
      <c r="B6067" s="18"/>
      <c r="C6067" s="18"/>
      <c r="D6067" s="18"/>
      <c r="E6067" s="18"/>
      <c r="F6067" s="18"/>
      <c r="G6067" s="18"/>
      <c r="H6067" s="18"/>
      <c r="I6067" s="18"/>
      <c r="J6067" s="18"/>
      <c r="K6067" s="18"/>
      <c r="L6067" s="18"/>
      <c r="M6067" s="18"/>
      <c r="N6067" s="18"/>
      <c r="O6067" s="14" t="str">
        <f>HYPERLINK("https://otsuka-europe-crm.veevavault.com/ui/#object/email_activity__v/V8C00000003R613", "EN-002092868")</f>
        <v>EN-002092868</v>
      </c>
    </row>
    <row r="6068" spans="1:15" ht="16" x14ac:dyDescent="0.2">
      <c r="A6068" s="18"/>
      <c r="B6068" s="18"/>
      <c r="C6068" s="18"/>
      <c r="D6068" s="18"/>
      <c r="E6068" s="18"/>
      <c r="F6068" s="18"/>
      <c r="G6068" s="18"/>
      <c r="H6068" s="18"/>
      <c r="I6068" s="18"/>
      <c r="J6068" s="18"/>
      <c r="K6068" s="18"/>
      <c r="L6068" s="18"/>
      <c r="M6068" s="18"/>
      <c r="N6068" s="18"/>
      <c r="O6068" s="14" t="str">
        <f>HYPERLINK("https://otsuka-europe-crm.veevavault.com/ui/#object/email_activity__v/V8C00000003R614", "EN-002092869")</f>
        <v>EN-002092869</v>
      </c>
    </row>
    <row r="6069" spans="1:15" ht="16" x14ac:dyDescent="0.2">
      <c r="A6069" s="19"/>
      <c r="B6069" s="19"/>
      <c r="C6069" s="19"/>
      <c r="D6069" s="19"/>
      <c r="E6069" s="19"/>
      <c r="F6069" s="19"/>
      <c r="G6069" s="19"/>
      <c r="H6069" s="19"/>
      <c r="I6069" s="19"/>
      <c r="J6069" s="19"/>
      <c r="K6069" s="19"/>
      <c r="L6069" s="19"/>
      <c r="M6069" s="19"/>
      <c r="N6069" s="19"/>
      <c r="O6069" s="14" t="str">
        <f>HYPERLINK("https://otsuka-europe-crm.veevavault.com/ui/#object/email_activity__v/V8C00000003R619", "EN-002092879")</f>
        <v>EN-002092879</v>
      </c>
    </row>
    <row r="6070" spans="1:15" ht="16" x14ac:dyDescent="0.2">
      <c r="A6070" s="17" t="str">
        <f>HYPERLINK("https://otsuka-europe-crm.veevavault.com/ui/#object/account__v/V4T000000010132", "Xiyan Fernandes")</f>
        <v>Xiyan Fernandes</v>
      </c>
      <c r="B6070" s="17" t="str">
        <f>HYPERLINK("https://otsuka-europe-crm.veevavault.com/ui/#object/vcountry__v/VENZ000004SONFK", "GB")</f>
        <v>GB</v>
      </c>
      <c r="C6070" s="20" t="s">
        <v>39</v>
      </c>
      <c r="D6070" s="21" t="str">
        <f>HYPERLINK("https://otsuka-europe-crm.veevavault.com/ui/#object/approved_document__v/V5O00000001H007", "DR P2P Invite 18-Jun-26 [digital]")</f>
        <v>DR P2P Invite 18-Jun-26 [digital]</v>
      </c>
      <c r="E6070" s="22" t="str">
        <f>HYPERLINK("https://otsuka-europe-crm.veevavault.com/ui/#object/sent_email__v/VBL00000002S194", "SE-001434349")</f>
        <v>SE-001434349</v>
      </c>
      <c r="F6070" s="23">
        <v>46190.78707175926</v>
      </c>
      <c r="G6070" s="24">
        <v>1</v>
      </c>
      <c r="H6070" s="24">
        <v>8</v>
      </c>
      <c r="I6070" s="24">
        <v>0</v>
      </c>
      <c r="J6070" s="25"/>
      <c r="K6070" s="24">
        <v>0</v>
      </c>
      <c r="L6070" s="22" t="str">
        <f>HYPERLINK("https://otsuka-europe-crm.veevavault.com/ui/#object/approved_document__v/V5O00000001H007", "DR P2P Invite 18-Jun-26 [digital]")</f>
        <v>DR P2P Invite 18-Jun-26 [digital]</v>
      </c>
      <c r="M6070" s="22" t="str">
        <f>HYPERLINK("mailto:draval@crm.otsuka-europe.com", "draval@crm.otsuka-europe.com")</f>
        <v>draval@crm.otsuka-europe.com</v>
      </c>
      <c r="N6070" s="23">
        <v>46181.565868055557</v>
      </c>
      <c r="O6070" s="14" t="str">
        <f>HYPERLINK("https://otsuka-europe-crm.veevavault.com/ui/#object/email_activity__v/V8C00000003R149", "EN-002091964")</f>
        <v>EN-002091964</v>
      </c>
    </row>
    <row r="6071" spans="1:15" ht="16" x14ac:dyDescent="0.2">
      <c r="A6071" s="18"/>
      <c r="B6071" s="18"/>
      <c r="C6071" s="18"/>
      <c r="D6071" s="18"/>
      <c r="E6071" s="18"/>
      <c r="F6071" s="18"/>
      <c r="G6071" s="18"/>
      <c r="H6071" s="18"/>
      <c r="I6071" s="18"/>
      <c r="J6071" s="18"/>
      <c r="K6071" s="18"/>
      <c r="L6071" s="18"/>
      <c r="M6071" s="18"/>
      <c r="N6071" s="18"/>
      <c r="O6071" s="14" t="str">
        <f>HYPERLINK("https://otsuka-europe-crm.veevavault.com/ui/#object/email_activity__v/V8C00000003R605", "EN-002092854")</f>
        <v>EN-002092854</v>
      </c>
    </row>
    <row r="6072" spans="1:15" ht="16" x14ac:dyDescent="0.2">
      <c r="A6072" s="18"/>
      <c r="B6072" s="18"/>
      <c r="C6072" s="18"/>
      <c r="D6072" s="18"/>
      <c r="E6072" s="18"/>
      <c r="F6072" s="18"/>
      <c r="G6072" s="18"/>
      <c r="H6072" s="18"/>
      <c r="I6072" s="18"/>
      <c r="J6072" s="18"/>
      <c r="K6072" s="18"/>
      <c r="L6072" s="18"/>
      <c r="M6072" s="18"/>
      <c r="N6072" s="18"/>
      <c r="O6072" s="14" t="str">
        <f>HYPERLINK("https://otsuka-europe-crm.veevavault.com/ui/#object/email_activity__v/V8C00000003R609", "EN-002092862")</f>
        <v>EN-002092862</v>
      </c>
    </row>
    <row r="6073" spans="1:15" ht="16" x14ac:dyDescent="0.2">
      <c r="A6073" s="18"/>
      <c r="B6073" s="18"/>
      <c r="C6073" s="18"/>
      <c r="D6073" s="18"/>
      <c r="E6073" s="18"/>
      <c r="F6073" s="18"/>
      <c r="G6073" s="18"/>
      <c r="H6073" s="18"/>
      <c r="I6073" s="18"/>
      <c r="J6073" s="18"/>
      <c r="K6073" s="18"/>
      <c r="L6073" s="18"/>
      <c r="M6073" s="18"/>
      <c r="N6073" s="18"/>
      <c r="O6073" s="14" t="str">
        <f>HYPERLINK("https://otsuka-europe-crm.veevavault.com/ui/#object/email_activity__v/V8C00000003R611", "EN-002092865")</f>
        <v>EN-002092865</v>
      </c>
    </row>
    <row r="6074" spans="1:15" ht="16" x14ac:dyDescent="0.2">
      <c r="A6074" s="18"/>
      <c r="B6074" s="18"/>
      <c r="C6074" s="18"/>
      <c r="D6074" s="18"/>
      <c r="E6074" s="18"/>
      <c r="F6074" s="18"/>
      <c r="G6074" s="18"/>
      <c r="H6074" s="18"/>
      <c r="I6074" s="18"/>
      <c r="J6074" s="18"/>
      <c r="K6074" s="18"/>
      <c r="L6074" s="18"/>
      <c r="M6074" s="18"/>
      <c r="N6074" s="18"/>
      <c r="O6074" s="14" t="str">
        <f>HYPERLINK("https://otsuka-europe-crm.veevavault.com/ui/#object/email_activity__v/V8C00000003R612", "EN-002092866")</f>
        <v>EN-002092866</v>
      </c>
    </row>
    <row r="6075" spans="1:15" ht="16" x14ac:dyDescent="0.2">
      <c r="A6075" s="18"/>
      <c r="B6075" s="18"/>
      <c r="C6075" s="18"/>
      <c r="D6075" s="18"/>
      <c r="E6075" s="18"/>
      <c r="F6075" s="18"/>
      <c r="G6075" s="18"/>
      <c r="H6075" s="18"/>
      <c r="I6075" s="18"/>
      <c r="J6075" s="18"/>
      <c r="K6075" s="18"/>
      <c r="L6075" s="18"/>
      <c r="M6075" s="18"/>
      <c r="N6075" s="18"/>
      <c r="O6075" s="14" t="str">
        <f>HYPERLINK("https://otsuka-europe-crm.veevavault.com/ui/#object/email_activity__v/V8C00000003S017", "EN-002092864")</f>
        <v>EN-002092864</v>
      </c>
    </row>
    <row r="6076" spans="1:15" ht="16" x14ac:dyDescent="0.2">
      <c r="A6076" s="18"/>
      <c r="B6076" s="18"/>
      <c r="C6076" s="18"/>
      <c r="D6076" s="18"/>
      <c r="E6076" s="18"/>
      <c r="F6076" s="18"/>
      <c r="G6076" s="18"/>
      <c r="H6076" s="18"/>
      <c r="I6076" s="18"/>
      <c r="J6076" s="18"/>
      <c r="K6076" s="18"/>
      <c r="L6076" s="18"/>
      <c r="M6076" s="18"/>
      <c r="N6076" s="18"/>
      <c r="O6076" s="14" t="str">
        <f>HYPERLINK("https://otsuka-europe-crm.veevavault.com/ui/#object/email_activity__v/V8C00000003S960", "EN-002094769")</f>
        <v>EN-002094769</v>
      </c>
    </row>
    <row r="6077" spans="1:15" ht="16" x14ac:dyDescent="0.2">
      <c r="A6077" s="18"/>
      <c r="B6077" s="18"/>
      <c r="C6077" s="18"/>
      <c r="D6077" s="18"/>
      <c r="E6077" s="18"/>
      <c r="F6077" s="18"/>
      <c r="G6077" s="18"/>
      <c r="H6077" s="18"/>
      <c r="I6077" s="18"/>
      <c r="J6077" s="18"/>
      <c r="K6077" s="18"/>
      <c r="L6077" s="18"/>
      <c r="M6077" s="18"/>
      <c r="N6077" s="18"/>
      <c r="O6077" s="14" t="str">
        <f>HYPERLINK("https://otsuka-europe-crm.veevavault.com/ui/#object/email_activity__v/V8C00000003W742", "EN-002098477")</f>
        <v>EN-002098477</v>
      </c>
    </row>
    <row r="6078" spans="1:15" ht="16" x14ac:dyDescent="0.2">
      <c r="A6078" s="19"/>
      <c r="B6078" s="19"/>
      <c r="C6078" s="19"/>
      <c r="D6078" s="19"/>
      <c r="E6078" s="19"/>
      <c r="F6078" s="19"/>
      <c r="G6078" s="19"/>
      <c r="H6078" s="19"/>
      <c r="I6078" s="19"/>
      <c r="J6078" s="19"/>
      <c r="K6078" s="19"/>
      <c r="L6078" s="19"/>
      <c r="M6078" s="19"/>
      <c r="N6078" s="19"/>
      <c r="O6078" s="14" t="str">
        <f>HYPERLINK("https://otsuka-europe-crm.veevavault.com/ui/#object/email_activity__v/V8C00000003X931", "EN-002098478")</f>
        <v>EN-002098478</v>
      </c>
    </row>
    <row r="6079" spans="1:15" ht="48" x14ac:dyDescent="0.2">
      <c r="A6079" s="7" t="str">
        <f>HYPERLINK("https://otsuka-europe-crm.veevavault.com/ui/#object/account__v/V4TZ00000633KJ1", "MARION VAYSSET")</f>
        <v>MARION VAYSSET</v>
      </c>
      <c r="B6079" s="7" t="str">
        <f>HYPERLINK("https://otsuka-europe-crm.veevavault.com/ui/#object/vcountry__v/VENZ000004SONFA", "FR")</f>
        <v>FR</v>
      </c>
      <c r="C6079" s="8" t="s">
        <v>42</v>
      </c>
      <c r="D6079" s="9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E6079" s="10" t="str">
        <f>HYPERLINK("https://otsuka-europe-crm.veevavault.com/ui/#object/sent_email__v/VBL00000002R107", "SE-001434350")</f>
        <v>SE-001434350</v>
      </c>
      <c r="F6079" s="11"/>
      <c r="G6079" s="12">
        <v>0</v>
      </c>
      <c r="H6079" s="12">
        <v>0</v>
      </c>
      <c r="I6079" s="12">
        <v>0</v>
      </c>
      <c r="J6079" s="11"/>
      <c r="K6079" s="12">
        <v>0</v>
      </c>
      <c r="L6079" s="10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M6079" s="10" t="str">
        <f>HYPERLINK("mailto:ijardy@crm.otsuka-europe.com", "ijardy@crm.otsuka-europe.com")</f>
        <v>ijardy@crm.otsuka-europe.com</v>
      </c>
      <c r="N6079" s="13">
        <v>46183.008877314816</v>
      </c>
      <c r="O6079" s="14" t="str">
        <f>HYPERLINK("https://otsuka-europe-crm.veevavault.com/ui/#object/email_activity__v/V8C00000003S444", "EN-002093798")</f>
        <v>EN-002093798</v>
      </c>
    </row>
    <row r="6080" spans="1:15" ht="48" x14ac:dyDescent="0.2">
      <c r="A6080" s="7" t="str">
        <f>HYPERLINK("https://otsuka-europe-crm.veevavault.com/ui/#object/account__v/V4TZ06G6O9FTZP6", "NICOLAS VIARD")</f>
        <v>NICOLAS VIARD</v>
      </c>
      <c r="B6080" s="7" t="str">
        <f>HYPERLINK("https://otsuka-europe-crm.veevavault.com/ui/#object/vcountry__v/VENZ000004SONFA", "FR")</f>
        <v>FR</v>
      </c>
      <c r="C6080" s="8" t="s">
        <v>42</v>
      </c>
      <c r="D6080" s="9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E6080" s="10" t="str">
        <f>HYPERLINK("https://otsuka-europe-crm.veevavault.com/ui/#object/sent_email__v/VBL00000002R108", "SE-001434351")</f>
        <v>SE-001434351</v>
      </c>
      <c r="F6080" s="11"/>
      <c r="G6080" s="12">
        <v>0</v>
      </c>
      <c r="H6080" s="12">
        <v>0</v>
      </c>
      <c r="I6080" s="12">
        <v>0</v>
      </c>
      <c r="J6080" s="11"/>
      <c r="K6080" s="12">
        <v>0</v>
      </c>
      <c r="L6080" s="10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M6080" s="10" t="str">
        <f>HYPERLINK("mailto:ijardy@crm.otsuka-europe.com", "ijardy@crm.otsuka-europe.com")</f>
        <v>ijardy@crm.otsuka-europe.com</v>
      </c>
      <c r="N6080" s="13">
        <v>46182.342291666668</v>
      </c>
      <c r="O6080" s="14" t="str">
        <f>HYPERLINK("https://otsuka-europe-crm.veevavault.com/ui/#object/email_activity__v/V8C00000003Q754", "EN-002092333")</f>
        <v>EN-002092333</v>
      </c>
    </row>
    <row r="6081" spans="1:15" ht="48" x14ac:dyDescent="0.2">
      <c r="A6081" s="7" t="str">
        <f>HYPERLINK("https://otsuka-europe-crm.veevavault.com/ui/#object/account__v/V4TZ00000633SGX", "FREDERIC GELLY")</f>
        <v>FREDERIC GELLY</v>
      </c>
      <c r="B6081" s="7" t="str">
        <f>HYPERLINK("https://otsuka-europe-crm.veevavault.com/ui/#object/vcountry__v/VENZ000004SONFA", "FR")</f>
        <v>FR</v>
      </c>
      <c r="C6081" s="8" t="s">
        <v>42</v>
      </c>
      <c r="D6081" s="9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E6081" s="10" t="str">
        <f>HYPERLINK("https://otsuka-europe-crm.veevavault.com/ui/#object/sent_email__v/VBL00000002R109", "SE-001434352")</f>
        <v>SE-001434352</v>
      </c>
      <c r="F6081" s="11"/>
      <c r="G6081" s="12">
        <v>0</v>
      </c>
      <c r="H6081" s="12">
        <v>0</v>
      </c>
      <c r="I6081" s="12">
        <v>0</v>
      </c>
      <c r="J6081" s="11"/>
      <c r="K6081" s="12">
        <v>0</v>
      </c>
      <c r="L6081" s="10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M6081" s="10" t="str">
        <f>HYPERLINK("mailto:ijardy@crm.otsuka-europe.com", "ijardy@crm.otsuka-europe.com")</f>
        <v>ijardy@crm.otsuka-europe.com</v>
      </c>
      <c r="N6081" s="13">
        <v>46182.300578703704</v>
      </c>
      <c r="O6081" s="14" t="str">
        <f>HYPERLINK("https://otsuka-europe-crm.veevavault.com/ui/#object/email_activity__v/V8C00000003Q747", "EN-002092323")</f>
        <v>EN-002092323</v>
      </c>
    </row>
    <row r="6082" spans="1:15" ht="16" x14ac:dyDescent="0.2">
      <c r="A6082" s="17" t="str">
        <f>HYPERLINK("https://otsuka-europe-crm.veevavault.com/ui/#object/account__v/V4TZ0000063494U", "GERALD CHAMBAS")</f>
        <v>GERALD CHAMBAS</v>
      </c>
      <c r="B6082" s="17" t="str">
        <f>HYPERLINK("https://otsuka-europe-crm.veevavault.com/ui/#object/vcountry__v/VENZ000004SONFA", "FR")</f>
        <v>FR</v>
      </c>
      <c r="C6082" s="20" t="s">
        <v>42</v>
      </c>
      <c r="D6082" s="21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E6082" s="22" t="str">
        <f>HYPERLINK("https://otsuka-europe-crm.veevavault.com/ui/#object/sent_email__v/VBL00000002R110", "SE-001434353")</f>
        <v>SE-001434353</v>
      </c>
      <c r="F6082" s="23">
        <v>46185.380416666667</v>
      </c>
      <c r="G6082" s="24">
        <v>1</v>
      </c>
      <c r="H6082" s="24">
        <v>3</v>
      </c>
      <c r="I6082" s="24">
        <v>0</v>
      </c>
      <c r="J6082" s="25"/>
      <c r="K6082" s="24">
        <v>0</v>
      </c>
      <c r="L6082" s="22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M6082" s="22" t="str">
        <f>HYPERLINK("mailto:ijardy@crm.otsuka-europe.com", "ijardy@crm.otsuka-europe.com")</f>
        <v>ijardy@crm.otsuka-europe.com</v>
      </c>
      <c r="N6082" s="23">
        <v>46182.675659722219</v>
      </c>
      <c r="O6082" s="14" t="str">
        <f>HYPERLINK("https://otsuka-europe-crm.veevavault.com/ui/#object/email_activity__v/V8C00000003S200", "EN-002093290")</f>
        <v>EN-002093290</v>
      </c>
    </row>
    <row r="6083" spans="1:15" ht="16" x14ac:dyDescent="0.2">
      <c r="A6083" s="18"/>
      <c r="B6083" s="18"/>
      <c r="C6083" s="18"/>
      <c r="D6083" s="18"/>
      <c r="E6083" s="18"/>
      <c r="F6083" s="18"/>
      <c r="G6083" s="18"/>
      <c r="H6083" s="18"/>
      <c r="I6083" s="18"/>
      <c r="J6083" s="18"/>
      <c r="K6083" s="18"/>
      <c r="L6083" s="18"/>
      <c r="M6083" s="18"/>
      <c r="N6083" s="18"/>
      <c r="O6083" s="14" t="str">
        <f>HYPERLINK("https://otsuka-europe-crm.veevavault.com/ui/#object/email_activity__v/V8C00000003S827", "EN-002094507")</f>
        <v>EN-002094507</v>
      </c>
    </row>
    <row r="6084" spans="1:15" ht="16" x14ac:dyDescent="0.2">
      <c r="A6084" s="18"/>
      <c r="B6084" s="18"/>
      <c r="C6084" s="18"/>
      <c r="D6084" s="18"/>
      <c r="E6084" s="18"/>
      <c r="F6084" s="18"/>
      <c r="G6084" s="18"/>
      <c r="H6084" s="18"/>
      <c r="I6084" s="18"/>
      <c r="J6084" s="18"/>
      <c r="K6084" s="18"/>
      <c r="L6084" s="18"/>
      <c r="M6084" s="18"/>
      <c r="N6084" s="18"/>
      <c r="O6084" s="14" t="str">
        <f>HYPERLINK("https://otsuka-europe-crm.veevavault.com/ui/#object/email_activity__v/V8C00000003S828", "EN-002094508")</f>
        <v>EN-002094508</v>
      </c>
    </row>
    <row r="6085" spans="1:15" ht="16" x14ac:dyDescent="0.2">
      <c r="A6085" s="19"/>
      <c r="B6085" s="19"/>
      <c r="C6085" s="19"/>
      <c r="D6085" s="19"/>
      <c r="E6085" s="19"/>
      <c r="F6085" s="19"/>
      <c r="G6085" s="19"/>
      <c r="H6085" s="19"/>
      <c r="I6085" s="19"/>
      <c r="J6085" s="19"/>
      <c r="K6085" s="19"/>
      <c r="L6085" s="19"/>
      <c r="M6085" s="19"/>
      <c r="N6085" s="19"/>
      <c r="O6085" s="14" t="str">
        <f>HYPERLINK("https://otsuka-europe-crm.veevavault.com/ui/#object/email_activity__v/V8C00000003V187", "EN-002095156")</f>
        <v>EN-002095156</v>
      </c>
    </row>
    <row r="6086" spans="1:15" ht="16" x14ac:dyDescent="0.2">
      <c r="A6086" s="17" t="str">
        <f>HYPERLINK("https://otsuka-europe-crm.veevavault.com/ui/#object/account__v/V4T00000001K036", "Charles Pusey")</f>
        <v>Charles Pusey</v>
      </c>
      <c r="B6086" s="17" t="str">
        <f>HYPERLINK("https://otsuka-europe-crm.veevavault.com/ui/#object/vcountry__v/VENZ000004SONFK", "GB")</f>
        <v>GB</v>
      </c>
      <c r="C6086" s="20" t="s">
        <v>39</v>
      </c>
      <c r="D6086" s="21" t="str">
        <f>HYPERLINK("https://otsuka-europe-crm.veevavault.com/ui/#object/approved_document__v/V5OZ025E82KBNQL", "Disclosure-Consent__Veeva-CRM__UK")</f>
        <v>Disclosure-Consent__Veeva-CRM__UK</v>
      </c>
      <c r="E6086" s="22" t="str">
        <f>HYPERLINK("https://otsuka-europe-crm.veevavault.com/ui/#object/sent_email__v/VBL00000002R111", "SE-001434354")</f>
        <v>SE-001434354</v>
      </c>
      <c r="F6086" s="25"/>
      <c r="G6086" s="24">
        <v>0</v>
      </c>
      <c r="H6086" s="24">
        <v>0</v>
      </c>
      <c r="I6086" s="24">
        <v>1</v>
      </c>
      <c r="J6086" s="23">
        <v>46181.592187499999</v>
      </c>
      <c r="K6086" s="24">
        <v>1</v>
      </c>
      <c r="L6086" s="22" t="str">
        <f>HYPERLINK("https://otsuka-europe-crm.veevavault.com/ui/#object/approved_document__v/V5OZ025E82KBNQL", "Disclosure-Consent__Veeva-CRM__UK")</f>
        <v>Disclosure-Consent__Veeva-CRM__UK</v>
      </c>
      <c r="M6086" s="22" t="str">
        <f>HYPERLINK("mailto:gmontevecchi@crm.otsuka-europe.com", "gmontevecchi@crm.otsuka-europe.com")</f>
        <v>gmontevecchi@crm.otsuka-europe.com</v>
      </c>
      <c r="N6086" s="23">
        <v>46181.58798611111</v>
      </c>
      <c r="O6086" s="14" t="str">
        <f>HYPERLINK("https://otsuka-europe-crm.veevavault.com/ui/#object/email_activity__v/V8C00000003Q587", "EN-002091986")</f>
        <v>EN-002091986</v>
      </c>
    </row>
    <row r="6087" spans="1:15" ht="16" x14ac:dyDescent="0.2">
      <c r="A6087" s="18"/>
      <c r="B6087" s="18"/>
      <c r="C6087" s="18"/>
      <c r="D6087" s="18"/>
      <c r="E6087" s="18"/>
      <c r="F6087" s="18"/>
      <c r="G6087" s="18"/>
      <c r="H6087" s="18"/>
      <c r="I6087" s="18"/>
      <c r="J6087" s="18"/>
      <c r="K6087" s="18"/>
      <c r="L6087" s="18"/>
      <c r="M6087" s="18"/>
      <c r="N6087" s="18"/>
      <c r="O6087" s="14" t="str">
        <f>HYPERLINK("https://otsuka-europe-crm.veevavault.com/ui/#object/email_activity__v/V8C00000003R162", "EN-002091987")</f>
        <v>EN-002091987</v>
      </c>
    </row>
    <row r="6088" spans="1:15" ht="16" x14ac:dyDescent="0.2">
      <c r="A6088" s="18"/>
      <c r="B6088" s="18"/>
      <c r="C6088" s="18"/>
      <c r="D6088" s="18"/>
      <c r="E6088" s="18"/>
      <c r="F6088" s="18"/>
      <c r="G6088" s="18"/>
      <c r="H6088" s="18"/>
      <c r="I6088" s="18"/>
      <c r="J6088" s="18"/>
      <c r="K6088" s="18"/>
      <c r="L6088" s="18"/>
      <c r="M6088" s="18"/>
      <c r="N6088" s="18"/>
      <c r="O6088" s="14" t="str">
        <f>HYPERLINK("https://otsuka-europe-crm.veevavault.com/ui/#object/email_activity__v/V8C00000003R167", "EN-002091995")</f>
        <v>EN-002091995</v>
      </c>
    </row>
    <row r="6089" spans="1:15" ht="16" x14ac:dyDescent="0.2">
      <c r="A6089" s="19"/>
      <c r="B6089" s="19"/>
      <c r="C6089" s="19"/>
      <c r="D6089" s="19"/>
      <c r="E6089" s="19"/>
      <c r="F6089" s="19"/>
      <c r="G6089" s="19"/>
      <c r="H6089" s="19"/>
      <c r="I6089" s="19"/>
      <c r="J6089" s="19"/>
      <c r="K6089" s="19"/>
      <c r="L6089" s="19"/>
      <c r="M6089" s="19"/>
      <c r="N6089" s="19"/>
      <c r="O6089" s="14" t="str">
        <f>HYPERLINK("https://otsuka-europe-crm.veevavault.com/ui/#object/email_activity__v/V8C00000003R190", "EN-002092038")</f>
        <v>EN-002092038</v>
      </c>
    </row>
    <row r="6090" spans="1:15" ht="16" x14ac:dyDescent="0.2">
      <c r="A6090" s="17" t="str">
        <f>HYPERLINK("https://otsuka-europe-crm.veevavault.com/ui/#object/account__v/V4TZ06G6OBI6E52", "Georg Gonda")</f>
        <v>Georg Gonda</v>
      </c>
      <c r="B6090" s="17" t="str">
        <f>HYPERLINK("https://otsuka-europe-crm.veevavault.com/ui/#object/vcountry__v/VENZ000004SONFD", "AT")</f>
        <v>AT</v>
      </c>
      <c r="C6090" s="20" t="s">
        <v>40</v>
      </c>
      <c r="D6090" s="21" t="str">
        <f>HYPERLINK("https://otsuka-europe-crm.veevavault.com/ui/#object/approved_document__v/V5O00000000K004", "Austria - Consent Email - Aug25 v2")</f>
        <v>Austria - Consent Email - Aug25 v2</v>
      </c>
      <c r="E6090" s="22" t="str">
        <f>HYPERLINK("https://otsuka-europe-crm.veevavault.com/ui/#object/sent_email__v/VBL00000002S195", "SE-001434355")</f>
        <v>SE-001434355</v>
      </c>
      <c r="F6090" s="23">
        <v>46181.660046296296</v>
      </c>
      <c r="G6090" s="24">
        <v>1</v>
      </c>
      <c r="H6090" s="24">
        <v>1</v>
      </c>
      <c r="I6090" s="24">
        <v>0</v>
      </c>
      <c r="J6090" s="25"/>
      <c r="K6090" s="24">
        <v>0</v>
      </c>
      <c r="L6090" s="22" t="str">
        <f>HYPERLINK("https://otsuka-europe-crm.veevavault.com/ui/#object/approved_document__v/V5O00000000K004", "Austria - Consent Email - Aug25 v2")</f>
        <v>Austria - Consent Email - Aug25 v2</v>
      </c>
      <c r="M6090" s="22" t="str">
        <f>HYPERLINK("mailto:nlerchner@crm.otsuka-europe.com", "nlerchner@crm.otsuka-europe.com")</f>
        <v>nlerchner@crm.otsuka-europe.com</v>
      </c>
      <c r="N6090" s="23">
        <v>46181.624537037038</v>
      </c>
      <c r="O6090" s="14" t="str">
        <f>HYPERLINK("https://otsuka-europe-crm.veevavault.com/ui/#object/email_activity__v/V8C00000003Q618", "EN-002092058")</f>
        <v>EN-002092058</v>
      </c>
    </row>
    <row r="6091" spans="1:15" ht="16" x14ac:dyDescent="0.2">
      <c r="A6091" s="19"/>
      <c r="B6091" s="19"/>
      <c r="C6091" s="19"/>
      <c r="D6091" s="19"/>
      <c r="E6091" s="19"/>
      <c r="F6091" s="19"/>
      <c r="G6091" s="19"/>
      <c r="H6091" s="19"/>
      <c r="I6091" s="19"/>
      <c r="J6091" s="19"/>
      <c r="K6091" s="19"/>
      <c r="L6091" s="19"/>
      <c r="M6091" s="19"/>
      <c r="N6091" s="19"/>
      <c r="O6091" s="14" t="str">
        <f>HYPERLINK("https://otsuka-europe-crm.veevavault.com/ui/#object/email_activity__v/V8C00000003R180", "EN-002092026")</f>
        <v>EN-002092026</v>
      </c>
    </row>
    <row r="6092" spans="1:15" ht="16" x14ac:dyDescent="0.2">
      <c r="A6092" s="17" t="str">
        <f>HYPERLINK("https://otsuka-europe-crm.veevavault.com/ui/#object/account__v/V4TZ06G6OBI6E52", "Georg Gonda")</f>
        <v>Georg Gonda</v>
      </c>
      <c r="B6092" s="17" t="str">
        <f>HYPERLINK("https://otsuka-europe-crm.veevavault.com/ui/#object/vcountry__v/VENZ000004SONFD", "AT")</f>
        <v>AT</v>
      </c>
      <c r="C6092" s="20" t="s">
        <v>40</v>
      </c>
      <c r="D6092" s="21" t="str">
        <f>HYPERLINK("https://otsuka-europe-crm.veevavault.com/ui/#object/approved_document__v/V5OZ04ASG4FXQX9", "AT - HCP Einwilligung für Remote Calls Österreich")</f>
        <v>AT - HCP Einwilligung für Remote Calls Österreich</v>
      </c>
      <c r="E6092" s="22" t="str">
        <f>HYPERLINK("https://otsuka-europe-crm.veevavault.com/ui/#object/sent_email__v/VBL00000002S196", "SE-001434356")</f>
        <v>SE-001434356</v>
      </c>
      <c r="F6092" s="23">
        <v>46181.660115740742</v>
      </c>
      <c r="G6092" s="24">
        <v>1</v>
      </c>
      <c r="H6092" s="24">
        <v>2</v>
      </c>
      <c r="I6092" s="24">
        <v>0</v>
      </c>
      <c r="J6092" s="25"/>
      <c r="K6092" s="24">
        <v>0</v>
      </c>
      <c r="L6092" s="22" t="str">
        <f>HYPERLINK("https://otsuka-europe-crm.veevavault.com/ui/#object/approved_document__v/V5OZ04ASG4FXQX9", "AT - HCP Einwilligung für Remote Calls Österreich")</f>
        <v>AT - HCP Einwilligung für Remote Calls Österreich</v>
      </c>
      <c r="M6092" s="22" t="str">
        <f>HYPERLINK("mailto:nlerchner@crm.otsuka-europe.com", "nlerchner@crm.otsuka-europe.com")</f>
        <v>nlerchner@crm.otsuka-europe.com</v>
      </c>
      <c r="N6092" s="23">
        <v>46181.624606481484</v>
      </c>
      <c r="O6092" s="14" t="str">
        <f>HYPERLINK("https://otsuka-europe-crm.veevavault.com/ui/#object/email_activity__v/V8C00000003R181", "EN-002092027")</f>
        <v>EN-002092027</v>
      </c>
    </row>
    <row r="6093" spans="1:15" ht="16" x14ac:dyDescent="0.2">
      <c r="A6093" s="18"/>
      <c r="B6093" s="18"/>
      <c r="C6093" s="18"/>
      <c r="D6093" s="18"/>
      <c r="E6093" s="18"/>
      <c r="F6093" s="18"/>
      <c r="G6093" s="18"/>
      <c r="H6093" s="18"/>
      <c r="I6093" s="18"/>
      <c r="J6093" s="18"/>
      <c r="K6093" s="18"/>
      <c r="L6093" s="18"/>
      <c r="M6093" s="18"/>
      <c r="N6093" s="18"/>
      <c r="O6093" s="14" t="str">
        <f>HYPERLINK("https://otsuka-europe-crm.veevavault.com/ui/#object/email_activity__v/V8C00000003R201", "EN-002092056")</f>
        <v>EN-002092056</v>
      </c>
    </row>
    <row r="6094" spans="1:15" ht="16" x14ac:dyDescent="0.2">
      <c r="A6094" s="19"/>
      <c r="B6094" s="19"/>
      <c r="C6094" s="19"/>
      <c r="D6094" s="19"/>
      <c r="E6094" s="19"/>
      <c r="F6094" s="19"/>
      <c r="G6094" s="19"/>
      <c r="H6094" s="19"/>
      <c r="I6094" s="19"/>
      <c r="J6094" s="19"/>
      <c r="K6094" s="19"/>
      <c r="L6094" s="19"/>
      <c r="M6094" s="19"/>
      <c r="N6094" s="19"/>
      <c r="O6094" s="14" t="str">
        <f>HYPERLINK("https://otsuka-europe-crm.veevavault.com/ui/#object/email_activity__v/V8C00000003R202", "EN-002092057")</f>
        <v>EN-002092057</v>
      </c>
    </row>
    <row r="6095" spans="1:15" ht="16" x14ac:dyDescent="0.2">
      <c r="A6095" s="17" t="str">
        <f>HYPERLINK("https://otsuka-europe-crm.veevavault.com/ui/#object/account__v/V4T000000023040", "Helen Winter")</f>
        <v>Helen Winter</v>
      </c>
      <c r="B6095" s="17" t="str">
        <f>HYPERLINK("https://otsuka-europe-crm.veevavault.com/ui/#object/vcountry__v/VENZ000004SONFK", "GB")</f>
        <v>GB</v>
      </c>
      <c r="C6095" s="20" t="s">
        <v>39</v>
      </c>
      <c r="D6095" s="21" t="str">
        <f>HYPERLINK("https://otsuka-europe-crm.veevavault.com/ui/#object/approved_document__v/V5OZ025E82PXJSL", "Otsuka Privacy Notice - UK (v2)")</f>
        <v>Otsuka Privacy Notice - UK (v2)</v>
      </c>
      <c r="E6095" s="22" t="str">
        <f>HYPERLINK("https://otsuka-europe-crm.veevavault.com/ui/#object/sent_email__v/VBL00000002R112", "SE-001434357")</f>
        <v>SE-001434357</v>
      </c>
      <c r="F6095" s="23">
        <v>46181.806064814817</v>
      </c>
      <c r="G6095" s="24">
        <v>1</v>
      </c>
      <c r="H6095" s="24">
        <v>2</v>
      </c>
      <c r="I6095" s="24">
        <v>0</v>
      </c>
      <c r="J6095" s="25"/>
      <c r="K6095" s="24">
        <v>0</v>
      </c>
      <c r="L6095" s="22" t="str">
        <f>HYPERLINK("https://otsuka-europe-crm.veevavault.com/ui/#object/approved_document__v/V5OZ025E82PXJSL", "Otsuka Privacy Notice - UK (v2)")</f>
        <v>Otsuka Privacy Notice - UK (v2)</v>
      </c>
      <c r="M6095" s="22" t="str">
        <f>HYPERLINK("mailto:gstanila-vancea@crm.otsuka-europe.com", "gstanila-vancea@crm.otsuka-europe.com")</f>
        <v>gstanila-vancea@crm.otsuka-europe.com</v>
      </c>
      <c r="N6095" s="23">
        <v>46181.633576388886</v>
      </c>
      <c r="O6095" s="14" t="str">
        <f>HYPERLINK("https://otsuka-europe-crm.veevavault.com/ui/#object/email_activity__v/V8C00000003R189", "EN-002092037")</f>
        <v>EN-002092037</v>
      </c>
    </row>
    <row r="6096" spans="1:15" ht="16" x14ac:dyDescent="0.2">
      <c r="A6096" s="18"/>
      <c r="B6096" s="18"/>
      <c r="C6096" s="18"/>
      <c r="D6096" s="18"/>
      <c r="E6096" s="18"/>
      <c r="F6096" s="18"/>
      <c r="G6096" s="18"/>
      <c r="H6096" s="18"/>
      <c r="I6096" s="18"/>
      <c r="J6096" s="18"/>
      <c r="K6096" s="18"/>
      <c r="L6096" s="18"/>
      <c r="M6096" s="18"/>
      <c r="N6096" s="18"/>
      <c r="O6096" s="14" t="str">
        <f>HYPERLINK("https://otsuka-europe-crm.veevavault.com/ui/#object/email_activity__v/V8C00000003R291", "EN-002092220")</f>
        <v>EN-002092220</v>
      </c>
    </row>
    <row r="6097" spans="1:15" ht="16" x14ac:dyDescent="0.2">
      <c r="A6097" s="19"/>
      <c r="B6097" s="19"/>
      <c r="C6097" s="19"/>
      <c r="D6097" s="19"/>
      <c r="E6097" s="19"/>
      <c r="F6097" s="19"/>
      <c r="G6097" s="19"/>
      <c r="H6097" s="19"/>
      <c r="I6097" s="19"/>
      <c r="J6097" s="19"/>
      <c r="K6097" s="19"/>
      <c r="L6097" s="19"/>
      <c r="M6097" s="19"/>
      <c r="N6097" s="19"/>
      <c r="O6097" s="14" t="str">
        <f>HYPERLINK("https://otsuka-europe-crm.veevavault.com/ui/#object/email_activity__v/V8C00000003R292", "EN-002092221")</f>
        <v>EN-002092221</v>
      </c>
    </row>
    <row r="6098" spans="1:15" ht="16" x14ac:dyDescent="0.2">
      <c r="A6098" s="17" t="str">
        <f>HYPERLINK("https://otsuka-europe-crm.veevavault.com/ui/#object/account__v/V4TZ0000062PH48", "Chan Nyein")</f>
        <v>Chan Nyein</v>
      </c>
      <c r="B6098" s="17" t="str">
        <f>HYPERLINK("https://otsuka-europe-crm.veevavault.com/ui/#object/vcountry__v/VENZ000004SONFK", "GB")</f>
        <v>GB</v>
      </c>
      <c r="C6098" s="20" t="s">
        <v>39</v>
      </c>
      <c r="D6098" s="21" t="str">
        <f>HYPERLINK("https://otsuka-europe-crm.veevavault.com/ui/#object/approved_document__v/V5O00000001H005", "LDM DR P2P Invite 23-Jun-26 [digital]")</f>
        <v>LDM DR P2P Invite 23-Jun-26 [digital]</v>
      </c>
      <c r="E6098" s="22" t="str">
        <f>HYPERLINK("https://otsuka-europe-crm.veevavault.com/ui/#object/sent_email__v/VBL00000002S197", "SE-001434358")</f>
        <v>SE-001434358</v>
      </c>
      <c r="F6098" s="23">
        <v>46188.43372685185</v>
      </c>
      <c r="G6098" s="24">
        <v>1</v>
      </c>
      <c r="H6098" s="24">
        <v>5</v>
      </c>
      <c r="I6098" s="24">
        <v>0</v>
      </c>
      <c r="J6098" s="25"/>
      <c r="K6098" s="24">
        <v>0</v>
      </c>
      <c r="L6098" s="22" t="str">
        <f>HYPERLINK("https://otsuka-europe-crm.veevavault.com/ui/#object/approved_document__v/V5O00000001H005", "LDM DR P2P Invite 23-Jun-26 [digital]")</f>
        <v>LDM DR P2P Invite 23-Jun-26 [digital]</v>
      </c>
      <c r="M6098" s="22" t="str">
        <f>HYPERLINK("mailto:draval@crm.otsuka-europe.com", "draval@crm.otsuka-europe.com")</f>
        <v>draval@crm.otsuka-europe.com</v>
      </c>
      <c r="N6098" s="23">
        <v>46181.658101851855</v>
      </c>
      <c r="O6098" s="14" t="str">
        <f>HYPERLINK("https://otsuka-europe-crm.veevavault.com/ui/#object/email_activity__v/V8C00000003Q616", "EN-002092054")</f>
        <v>EN-002092054</v>
      </c>
    </row>
    <row r="6099" spans="1:15" ht="16" x14ac:dyDescent="0.2">
      <c r="A6099" s="18"/>
      <c r="B6099" s="18"/>
      <c r="C6099" s="18"/>
      <c r="D6099" s="18"/>
      <c r="E6099" s="18"/>
      <c r="F6099" s="18"/>
      <c r="G6099" s="18"/>
      <c r="H6099" s="18"/>
      <c r="I6099" s="18"/>
      <c r="J6099" s="18"/>
      <c r="K6099" s="18"/>
      <c r="L6099" s="18"/>
      <c r="M6099" s="18"/>
      <c r="N6099" s="18"/>
      <c r="O6099" s="14" t="str">
        <f>HYPERLINK("https://otsuka-europe-crm.veevavault.com/ui/#object/email_activity__v/V8C00000003U487", "EN-002095800")</f>
        <v>EN-002095800</v>
      </c>
    </row>
    <row r="6100" spans="1:15" ht="16" x14ac:dyDescent="0.2">
      <c r="A6100" s="18"/>
      <c r="B6100" s="18"/>
      <c r="C6100" s="18"/>
      <c r="D6100" s="18"/>
      <c r="E6100" s="18"/>
      <c r="F6100" s="18"/>
      <c r="G6100" s="18"/>
      <c r="H6100" s="18"/>
      <c r="I6100" s="18"/>
      <c r="J6100" s="18"/>
      <c r="K6100" s="18"/>
      <c r="L6100" s="18"/>
      <c r="M6100" s="18"/>
      <c r="N6100" s="18"/>
      <c r="O6100" s="14" t="str">
        <f>HYPERLINK("https://otsuka-europe-crm.veevavault.com/ui/#object/email_activity__v/V8C00000003V498", "EN-002095798")</f>
        <v>EN-002095798</v>
      </c>
    </row>
    <row r="6101" spans="1:15" ht="16" x14ac:dyDescent="0.2">
      <c r="A6101" s="18"/>
      <c r="B6101" s="18"/>
      <c r="C6101" s="18"/>
      <c r="D6101" s="18"/>
      <c r="E6101" s="18"/>
      <c r="F6101" s="18"/>
      <c r="G6101" s="18"/>
      <c r="H6101" s="18"/>
      <c r="I6101" s="18"/>
      <c r="J6101" s="18"/>
      <c r="K6101" s="18"/>
      <c r="L6101" s="18"/>
      <c r="M6101" s="18"/>
      <c r="N6101" s="18"/>
      <c r="O6101" s="14" t="str">
        <f>HYPERLINK("https://otsuka-europe-crm.veevavault.com/ui/#object/email_activity__v/V8C00000003V499", "EN-002095799")</f>
        <v>EN-002095799</v>
      </c>
    </row>
    <row r="6102" spans="1:15" ht="16" x14ac:dyDescent="0.2">
      <c r="A6102" s="18"/>
      <c r="B6102" s="18"/>
      <c r="C6102" s="18"/>
      <c r="D6102" s="18"/>
      <c r="E6102" s="18"/>
      <c r="F6102" s="18"/>
      <c r="G6102" s="18"/>
      <c r="H6102" s="18"/>
      <c r="I6102" s="18"/>
      <c r="J6102" s="18"/>
      <c r="K6102" s="18"/>
      <c r="L6102" s="18"/>
      <c r="M6102" s="18"/>
      <c r="N6102" s="18"/>
      <c r="O6102" s="14" t="str">
        <f>HYPERLINK("https://otsuka-europe-crm.veevavault.com/ui/#object/email_activity__v/V8C00000003V502", "EN-002095804")</f>
        <v>EN-002095804</v>
      </c>
    </row>
    <row r="6103" spans="1:15" ht="16" x14ac:dyDescent="0.2">
      <c r="A6103" s="19"/>
      <c r="B6103" s="19"/>
      <c r="C6103" s="19"/>
      <c r="D6103" s="19"/>
      <c r="E6103" s="19"/>
      <c r="F6103" s="19"/>
      <c r="G6103" s="19"/>
      <c r="H6103" s="19"/>
      <c r="I6103" s="19"/>
      <c r="J6103" s="19"/>
      <c r="K6103" s="19"/>
      <c r="L6103" s="19"/>
      <c r="M6103" s="19"/>
      <c r="N6103" s="19"/>
      <c r="O6103" s="14" t="str">
        <f>HYPERLINK("https://otsuka-europe-crm.veevavault.com/ui/#object/email_activity__v/V8C00000003V503", "EN-002095805")</f>
        <v>EN-002095805</v>
      </c>
    </row>
    <row r="6104" spans="1:15" ht="32" x14ac:dyDescent="0.2">
      <c r="A6104" s="7" t="str">
        <f>HYPERLINK("https://otsuka-europe-crm.veevavault.com/ui/#object/account__v/V4TZ04ASG76IABG", "Mapaderun Akinrinade")</f>
        <v>Mapaderun Akinrinade</v>
      </c>
      <c r="B6104" s="7" t="str">
        <f>HYPERLINK("https://otsuka-europe-crm.veevavault.com/ui/#object/vcountry__v/VENZ000004SONFK", "GB")</f>
        <v>GB</v>
      </c>
      <c r="C6104" s="8" t="s">
        <v>39</v>
      </c>
      <c r="D6104" s="9" t="str">
        <f>HYPERLINK("https://otsuka-europe-crm.veevavault.com/ui/#object/approved_document__v/V5O00000001H005", "LDM DR P2P Invite 23-Jun-26 [digital]")</f>
        <v>LDM DR P2P Invite 23-Jun-26 [digital]</v>
      </c>
      <c r="E6104" s="10" t="str">
        <f>HYPERLINK("https://otsuka-europe-crm.veevavault.com/ui/#object/sent_email__v/VBL00000002S198", "SE-001434359")</f>
        <v>SE-001434359</v>
      </c>
      <c r="F6104" s="11"/>
      <c r="G6104" s="12">
        <v>0</v>
      </c>
      <c r="H6104" s="12">
        <v>0</v>
      </c>
      <c r="I6104" s="12">
        <v>0</v>
      </c>
      <c r="J6104" s="11"/>
      <c r="K6104" s="12">
        <v>0</v>
      </c>
      <c r="L6104" s="10" t="str">
        <f>HYPERLINK("https://otsuka-europe-crm.veevavault.com/ui/#object/approved_document__v/V5O00000001H005", "LDM DR P2P Invite 23-Jun-26 [digital]")</f>
        <v>LDM DR P2P Invite 23-Jun-26 [digital]</v>
      </c>
      <c r="M6104" s="10" t="str">
        <f>HYPERLINK("mailto:draval@crm.otsuka-europe.com", "draval@crm.otsuka-europe.com")</f>
        <v>draval@crm.otsuka-europe.com</v>
      </c>
      <c r="N6104" s="13">
        <v>46181.658622685187</v>
      </c>
      <c r="O6104" s="14" t="str">
        <f>HYPERLINK("https://otsuka-europe-crm.veevavault.com/ui/#object/email_activity__v/V8C00000003Q617", "EN-002092055")</f>
        <v>EN-002092055</v>
      </c>
    </row>
    <row r="6105" spans="1:15" ht="16" x14ac:dyDescent="0.2">
      <c r="A6105" s="17" t="str">
        <f>HYPERLINK("https://otsuka-europe-crm.veevavault.com/ui/#object/account__v/V4T000000023039", "Julie Nicholson")</f>
        <v>Julie Nicholson</v>
      </c>
      <c r="B6105" s="17" t="str">
        <f>HYPERLINK("https://otsuka-europe-crm.veevavault.com/ui/#object/vcountry__v/VENZ000004SONFK", "GB")</f>
        <v>GB</v>
      </c>
      <c r="C6105" s="20" t="s">
        <v>39</v>
      </c>
      <c r="D6105" s="21" t="str">
        <f>HYPERLINK("https://otsuka-europe-crm.veevavault.com/ui/#object/approved_document__v/V5O00000000D081", "UK - Consent Email 1 Aug 25")</f>
        <v>UK - Consent Email 1 Aug 25</v>
      </c>
      <c r="E6105" s="22" t="str">
        <f>HYPERLINK("https://otsuka-europe-crm.veevavault.com/ui/#object/sent_email__v/VBL00000002R113", "SE-001434360")</f>
        <v>SE-001434360</v>
      </c>
      <c r="F6105" s="23">
        <v>46181.690729166665</v>
      </c>
      <c r="G6105" s="24">
        <v>1</v>
      </c>
      <c r="H6105" s="24">
        <v>1</v>
      </c>
      <c r="I6105" s="24">
        <v>1</v>
      </c>
      <c r="J6105" s="23">
        <v>46181.690729166665</v>
      </c>
      <c r="K6105" s="24">
        <v>1</v>
      </c>
      <c r="L6105" s="22" t="str">
        <f>HYPERLINK("https://otsuka-europe-crm.veevavault.com/ui/#object/approved_document__v/V5O00000000D081", "UK - Consent Email 1 Aug 25")</f>
        <v>UK - Consent Email 1 Aug 25</v>
      </c>
      <c r="M6105" s="22" t="str">
        <f>HYPERLINK("mailto:ldimambro@crm.otsuka-europe.com", "ldimambro@crm.otsuka-europe.com")</f>
        <v>ldimambro@crm.otsuka-europe.com</v>
      </c>
      <c r="N6105" s="23">
        <v>46181.672175925924</v>
      </c>
      <c r="O6105" s="14" t="str">
        <f>HYPERLINK("https://otsuka-europe-crm.veevavault.com/ui/#object/email_activity__v/V8C00000003Q636", "EN-002092090")</f>
        <v>EN-002092090</v>
      </c>
    </row>
    <row r="6106" spans="1:15" ht="16" x14ac:dyDescent="0.2">
      <c r="A6106" s="18"/>
      <c r="B6106" s="18"/>
      <c r="C6106" s="18"/>
      <c r="D6106" s="18"/>
      <c r="E6106" s="18"/>
      <c r="F6106" s="18"/>
      <c r="G6106" s="18"/>
      <c r="H6106" s="18"/>
      <c r="I6106" s="18"/>
      <c r="J6106" s="18"/>
      <c r="K6106" s="18"/>
      <c r="L6106" s="18"/>
      <c r="M6106" s="18"/>
      <c r="N6106" s="18"/>
      <c r="O6106" s="14" t="str">
        <f>HYPERLINK("https://otsuka-europe-crm.veevavault.com/ui/#object/email_activity__v/V8C00000003Q637", "EN-002092089")</f>
        <v>EN-002092089</v>
      </c>
    </row>
    <row r="6107" spans="1:15" ht="16" x14ac:dyDescent="0.2">
      <c r="A6107" s="19"/>
      <c r="B6107" s="19"/>
      <c r="C6107" s="19"/>
      <c r="D6107" s="19"/>
      <c r="E6107" s="19"/>
      <c r="F6107" s="19"/>
      <c r="G6107" s="19"/>
      <c r="H6107" s="19"/>
      <c r="I6107" s="19"/>
      <c r="J6107" s="19"/>
      <c r="K6107" s="19"/>
      <c r="L6107" s="19"/>
      <c r="M6107" s="19"/>
      <c r="N6107" s="19"/>
      <c r="O6107" s="14" t="str">
        <f>HYPERLINK("https://otsuka-europe-crm.veevavault.com/ui/#object/email_activity__v/V8C00000003R209", "EN-002092071")</f>
        <v>EN-002092071</v>
      </c>
    </row>
    <row r="6108" spans="1:15" ht="16" x14ac:dyDescent="0.2">
      <c r="A6108" s="17" t="str">
        <f>HYPERLINK("https://otsuka-europe-crm.veevavault.com/ui/#object/account__v/V4TZ025E869M9QO", "FREJ SLAMA")</f>
        <v>FREJ SLAMA</v>
      </c>
      <c r="B6108" s="17" t="str">
        <f>HYPERLINK("https://otsuka-europe-crm.veevavault.com/ui/#object/vcountry__v/VENZ000004SONFA", "FR")</f>
        <v>FR</v>
      </c>
      <c r="C6108" s="20" t="s">
        <v>42</v>
      </c>
      <c r="D6108" s="21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6108" s="22" t="str">
        <f>HYPERLINK("https://otsuka-europe-crm.veevavault.com/ui/#object/sent_email__v/VBL00000002R114", "SE-001434361")</f>
        <v>SE-001434361</v>
      </c>
      <c r="F6108" s="23">
        <v>46182.39707175926</v>
      </c>
      <c r="G6108" s="24">
        <v>1</v>
      </c>
      <c r="H6108" s="24">
        <v>3</v>
      </c>
      <c r="I6108" s="24">
        <v>0</v>
      </c>
      <c r="J6108" s="25"/>
      <c r="K6108" s="24">
        <v>0</v>
      </c>
      <c r="L6108" s="22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6108" s="22" t="str">
        <f>HYPERLINK("mailto:sblancheland@crm.otsuka-europe.com", "sblancheland@crm.otsuka-europe.com")</f>
        <v>sblancheland@crm.otsuka-europe.com</v>
      </c>
      <c r="N6108" s="23">
        <v>46181.730162037034</v>
      </c>
      <c r="O6108" s="14" t="str">
        <f>HYPERLINK("https://otsuka-europe-crm.veevavault.com/ui/#object/email_activity__v/V8C00000003Q786", "EN-002092394")</f>
        <v>EN-002092394</v>
      </c>
    </row>
    <row r="6109" spans="1:15" ht="16" x14ac:dyDescent="0.2">
      <c r="A6109" s="18"/>
      <c r="B6109" s="18"/>
      <c r="C6109" s="18"/>
      <c r="D6109" s="18"/>
      <c r="E6109" s="18"/>
      <c r="F6109" s="18"/>
      <c r="G6109" s="18"/>
      <c r="H6109" s="18"/>
      <c r="I6109" s="18"/>
      <c r="J6109" s="18"/>
      <c r="K6109" s="18"/>
      <c r="L6109" s="18"/>
      <c r="M6109" s="18"/>
      <c r="N6109" s="18"/>
      <c r="O6109" s="14" t="str">
        <f>HYPERLINK("https://otsuka-europe-crm.veevavault.com/ui/#object/email_activity__v/V8C00000003Q787", "EN-002092395")</f>
        <v>EN-002092395</v>
      </c>
    </row>
    <row r="6110" spans="1:15" ht="16" x14ac:dyDescent="0.2">
      <c r="A6110" s="18"/>
      <c r="B6110" s="18"/>
      <c r="C6110" s="18"/>
      <c r="D6110" s="18"/>
      <c r="E6110" s="18"/>
      <c r="F6110" s="18"/>
      <c r="G6110" s="18"/>
      <c r="H6110" s="18"/>
      <c r="I6110" s="18"/>
      <c r="J6110" s="18"/>
      <c r="K6110" s="18"/>
      <c r="L6110" s="18"/>
      <c r="M6110" s="18"/>
      <c r="N6110" s="18"/>
      <c r="O6110" s="14" t="str">
        <f>HYPERLINK("https://otsuka-europe-crm.veevavault.com/ui/#object/email_activity__v/V8C00000003R244", "EN-002092134")</f>
        <v>EN-002092134</v>
      </c>
    </row>
    <row r="6111" spans="1:15" ht="16" x14ac:dyDescent="0.2">
      <c r="A6111" s="19"/>
      <c r="B6111" s="19"/>
      <c r="C6111" s="19"/>
      <c r="D6111" s="19"/>
      <c r="E6111" s="19"/>
      <c r="F6111" s="19"/>
      <c r="G6111" s="19"/>
      <c r="H6111" s="19"/>
      <c r="I6111" s="19"/>
      <c r="J6111" s="19"/>
      <c r="K6111" s="19"/>
      <c r="L6111" s="19"/>
      <c r="M6111" s="19"/>
      <c r="N6111" s="19"/>
      <c r="O6111" s="14" t="str">
        <f>HYPERLINK("https://otsuka-europe-crm.veevavault.com/ui/#object/email_activity__v/V8C00000003R246", "EN-002092136")</f>
        <v>EN-002092136</v>
      </c>
    </row>
    <row r="6112" spans="1:15" ht="48" x14ac:dyDescent="0.2">
      <c r="A6112" s="7" t="str">
        <f>HYPERLINK("https://otsuka-europe-crm.veevavault.com/ui/#object/account__v/V4TZ00000633JX6", "ADLENE ACHOUR BOUAKKAZ")</f>
        <v>ADLENE ACHOUR BOUAKKAZ</v>
      </c>
      <c r="B6112" s="7" t="str">
        <f>HYPERLINK("https://otsuka-europe-crm.veevavault.com/ui/#object/vcountry__v/VENZ000004SONFA", "FR")</f>
        <v>FR</v>
      </c>
      <c r="C6112" s="8" t="s">
        <v>42</v>
      </c>
      <c r="D6112" s="9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E6112" s="10" t="str">
        <f>HYPERLINK("https://otsuka-europe-crm.veevavault.com/ui/#object/sent_email__v/VBL00000002R115", "SE-001434362")</f>
        <v>SE-001434362</v>
      </c>
      <c r="F6112" s="11"/>
      <c r="G6112" s="12">
        <v>0</v>
      </c>
      <c r="H6112" s="12">
        <v>0</v>
      </c>
      <c r="I6112" s="12">
        <v>0</v>
      </c>
      <c r="J6112" s="11"/>
      <c r="K6112" s="12">
        <v>0</v>
      </c>
      <c r="L6112" s="10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M6112" s="10" t="str">
        <f>HYPERLINK("mailto:sblancheland@crm.otsuka-europe.com", "sblancheland@crm.otsuka-europe.com")</f>
        <v>sblancheland@crm.otsuka-europe.com</v>
      </c>
      <c r="N6112" s="13">
        <v>46182.675659722219</v>
      </c>
      <c r="O6112" s="14" t="str">
        <f>HYPERLINK("https://otsuka-europe-crm.veevavault.com/ui/#object/email_activity__v/V8C00000003S201", "EN-002093291")</f>
        <v>EN-002093291</v>
      </c>
    </row>
    <row r="6113" spans="1:15" ht="16" x14ac:dyDescent="0.2">
      <c r="A6113" s="17" t="str">
        <f>HYPERLINK("https://otsuka-europe-crm.veevavault.com/ui/#object/account__v/V4TZ025E84OA8KH", "Astrid-Maria Schmidt")</f>
        <v>Astrid-Maria Schmidt</v>
      </c>
      <c r="B6113" s="17" t="str">
        <f>HYPERLINK("https://otsuka-europe-crm.veevavault.com/ui/#object/vcountry__v/VENZ000004SONFD", "AT")</f>
        <v>AT</v>
      </c>
      <c r="C6113" s="20" t="s">
        <v>40</v>
      </c>
      <c r="D6113" s="21" t="str">
        <f>HYPERLINK("https://otsuka-europe-crm.veevavault.com/ui/#object/approved_document__v/V5O00000001H020", "VAE AT - Einladung Lupologen WS Westen (Rheumatologie)")</f>
        <v>VAE AT - Einladung Lupologen WS Westen (Rheumatologie)</v>
      </c>
      <c r="E6113" s="22" t="str">
        <f>HYPERLINK("https://otsuka-europe-crm.veevavault.com/ui/#object/sent_email__v/VBL00000002R116", "SE-001434363")</f>
        <v>SE-001434363</v>
      </c>
      <c r="F6113" s="23">
        <v>46182.675138888888</v>
      </c>
      <c r="G6113" s="24">
        <v>1</v>
      </c>
      <c r="H6113" s="24">
        <v>1</v>
      </c>
      <c r="I6113" s="24">
        <v>1</v>
      </c>
      <c r="J6113" s="23">
        <v>46182.675138888888</v>
      </c>
      <c r="K6113" s="24">
        <v>1</v>
      </c>
      <c r="L6113" s="22" t="str">
        <f>HYPERLINK("https://otsuka-europe-crm.veevavault.com/ui/#object/approved_document__v/V5O00000001H020", "VAE AT - Einladung Lupologen WS Westen (Rheumatologie)")</f>
        <v>VAE AT - Einladung Lupologen WS Westen (Rheumatologie)</v>
      </c>
      <c r="M6113" s="22" t="str">
        <f>HYPERLINK("mailto:igrimaldi@crm.otsuka-europe.com", "igrimaldi@crm.otsuka-europe.com")</f>
        <v>igrimaldi@crm.otsuka-europe.com</v>
      </c>
      <c r="N6113" s="23">
        <v>46181.735659722224</v>
      </c>
      <c r="O6113" s="14" t="str">
        <f>HYPERLINK("https://otsuka-europe-crm.veevavault.com/ui/#object/email_activity__v/V8C00000003Q656", "EN-002092140")</f>
        <v>EN-002092140</v>
      </c>
    </row>
    <row r="6114" spans="1:15" ht="16" x14ac:dyDescent="0.2">
      <c r="A6114" s="18"/>
      <c r="B6114" s="18"/>
      <c r="C6114" s="18"/>
      <c r="D6114" s="18"/>
      <c r="E6114" s="18"/>
      <c r="F6114" s="18"/>
      <c r="G6114" s="18"/>
      <c r="H6114" s="18"/>
      <c r="I6114" s="18"/>
      <c r="J6114" s="18"/>
      <c r="K6114" s="18"/>
      <c r="L6114" s="18"/>
      <c r="M6114" s="18"/>
      <c r="N6114" s="18"/>
      <c r="O6114" s="14" t="str">
        <f>HYPERLINK("https://otsuka-europe-crm.veevavault.com/ui/#object/email_activity__v/V8C00000003S197", "EN-002093288")</f>
        <v>EN-002093288</v>
      </c>
    </row>
    <row r="6115" spans="1:15" ht="16" x14ac:dyDescent="0.2">
      <c r="A6115" s="19"/>
      <c r="B6115" s="19"/>
      <c r="C6115" s="19"/>
      <c r="D6115" s="19"/>
      <c r="E6115" s="19"/>
      <c r="F6115" s="19"/>
      <c r="G6115" s="19"/>
      <c r="H6115" s="19"/>
      <c r="I6115" s="19"/>
      <c r="J6115" s="19"/>
      <c r="K6115" s="19"/>
      <c r="L6115" s="19"/>
      <c r="M6115" s="19"/>
      <c r="N6115" s="19"/>
      <c r="O6115" s="14" t="str">
        <f>HYPERLINK("https://otsuka-europe-crm.veevavault.com/ui/#object/email_activity__v/V8C00000003S198", "EN-002093287")</f>
        <v>EN-002093287</v>
      </c>
    </row>
    <row r="6116" spans="1:15" ht="16" x14ac:dyDescent="0.2">
      <c r="A6116" s="17" t="str">
        <f>HYPERLINK("https://otsuka-europe-crm.veevavault.com/ui/#object/account__v/V4TZ06G6OBI6E7N", "Gregor Öberseder")</f>
        <v>Gregor Öberseder</v>
      </c>
      <c r="B6116" s="17" t="str">
        <f>HYPERLINK("https://otsuka-europe-crm.veevavault.com/ui/#object/vcountry__v/VENZ000004SONFD", "AT")</f>
        <v>AT</v>
      </c>
      <c r="C6116" s="20" t="s">
        <v>40</v>
      </c>
      <c r="D6116" s="21" t="str">
        <f>HYPERLINK("https://otsuka-europe-crm.veevavault.com/ui/#object/approved_document__v/V5O00000001H020", "VAE AT - Einladung Lupologen WS Westen (Rheumatologie)")</f>
        <v>VAE AT - Einladung Lupologen WS Westen (Rheumatologie)</v>
      </c>
      <c r="E6116" s="22" t="str">
        <f>HYPERLINK("https://otsuka-europe-crm.veevavault.com/ui/#object/sent_email__v/VBL00000002S199", "SE-001434364")</f>
        <v>SE-001434364</v>
      </c>
      <c r="F6116" s="23">
        <v>46183.260509259257</v>
      </c>
      <c r="G6116" s="24">
        <v>1</v>
      </c>
      <c r="H6116" s="24">
        <v>1</v>
      </c>
      <c r="I6116" s="24">
        <v>0</v>
      </c>
      <c r="J6116" s="25"/>
      <c r="K6116" s="24">
        <v>0</v>
      </c>
      <c r="L6116" s="22" t="str">
        <f>HYPERLINK("https://otsuka-europe-crm.veevavault.com/ui/#object/approved_document__v/V5O00000001H020", "VAE AT - Einladung Lupologen WS Westen (Rheumatologie)")</f>
        <v>VAE AT - Einladung Lupologen WS Westen (Rheumatologie)</v>
      </c>
      <c r="M6116" s="22" t="str">
        <f>HYPERLINK("mailto:igrimaldi@crm.otsuka-europe.com", "igrimaldi@crm.otsuka-europe.com")</f>
        <v>igrimaldi@crm.otsuka-europe.com</v>
      </c>
      <c r="N6116" s="23">
        <v>46181.736168981479</v>
      </c>
      <c r="O6116" s="14" t="str">
        <f>HYPERLINK("https://otsuka-europe-crm.veevavault.com/ui/#object/email_activity__v/V8C00000003R247", "EN-002092141")</f>
        <v>EN-002092141</v>
      </c>
    </row>
    <row r="6117" spans="1:15" ht="16" x14ac:dyDescent="0.2">
      <c r="A6117" s="19"/>
      <c r="B6117" s="19"/>
      <c r="C6117" s="19"/>
      <c r="D6117" s="19"/>
      <c r="E6117" s="19"/>
      <c r="F6117" s="19"/>
      <c r="G6117" s="19"/>
      <c r="H6117" s="19"/>
      <c r="I6117" s="19"/>
      <c r="J6117" s="19"/>
      <c r="K6117" s="19"/>
      <c r="L6117" s="19"/>
      <c r="M6117" s="19"/>
      <c r="N6117" s="19"/>
      <c r="O6117" s="14" t="str">
        <f>HYPERLINK("https://otsuka-europe-crm.veevavault.com/ui/#object/email_activity__v/V8C00000003S458", "EN-002093827")</f>
        <v>EN-002093827</v>
      </c>
    </row>
    <row r="6118" spans="1:15" ht="48" x14ac:dyDescent="0.2">
      <c r="A6118" s="7" t="str">
        <f>HYPERLINK("https://otsuka-europe-crm.veevavault.com/ui/#object/account__v/V4TZ025E837P0XS", "Hannes Diesenberger")</f>
        <v>Hannes Diesenberger</v>
      </c>
      <c r="B6118" s="7" t="str">
        <f>HYPERLINK("https://otsuka-europe-crm.veevavault.com/ui/#object/vcountry__v/VENZ000004SONFD", "AT")</f>
        <v>AT</v>
      </c>
      <c r="C6118" s="8" t="s">
        <v>40</v>
      </c>
      <c r="D6118" s="9" t="str">
        <f>HYPERLINK("https://otsuka-europe-crm.veevavault.com/ui/#object/approved_document__v/V5O00000001H018", "VAE AT - Einladung Lupologen WS Westen (Nephrologie)")</f>
        <v>VAE AT - Einladung Lupologen WS Westen (Nephrologie)</v>
      </c>
      <c r="E6118" s="10" t="str">
        <f>HYPERLINK("https://otsuka-europe-crm.veevavault.com/ui/#object/sent_email__v/VBL00000002S200", "SE-001434365")</f>
        <v>SE-001434365</v>
      </c>
      <c r="F6118" s="11"/>
      <c r="G6118" s="12">
        <v>0</v>
      </c>
      <c r="H6118" s="12">
        <v>0</v>
      </c>
      <c r="I6118" s="12">
        <v>0</v>
      </c>
      <c r="J6118" s="11"/>
      <c r="K6118" s="12">
        <v>0</v>
      </c>
      <c r="L6118" s="10" t="str">
        <f>HYPERLINK("https://otsuka-europe-crm.veevavault.com/ui/#object/approved_document__v/V5O00000001H018", "VAE AT - Einladung Lupologen WS Westen (Nephrologie)")</f>
        <v>VAE AT - Einladung Lupologen WS Westen (Nephrologie)</v>
      </c>
      <c r="M6118" s="10" t="str">
        <f>HYPERLINK("mailto:igrimaldi@crm.otsuka-europe.com", "igrimaldi@crm.otsuka-europe.com")</f>
        <v>igrimaldi@crm.otsuka-europe.com</v>
      </c>
      <c r="N6118" s="13">
        <v>46181.736585648148</v>
      </c>
      <c r="O6118" s="14" t="str">
        <f>HYPERLINK("https://otsuka-europe-crm.veevavault.com/ui/#object/email_activity__v/V8C00000003R248", "EN-002092142")</f>
        <v>EN-002092142</v>
      </c>
    </row>
    <row r="6119" spans="1:15" ht="16" x14ac:dyDescent="0.2">
      <c r="A6119" s="17" t="str">
        <f>HYPERLINK("https://otsuka-europe-crm.veevavault.com/ui/#object/account__v/V4TZ0000062R101", "Marlies Antlanger")</f>
        <v>Marlies Antlanger</v>
      </c>
      <c r="B6119" s="17" t="str">
        <f>HYPERLINK("https://otsuka-europe-crm.veevavault.com/ui/#object/vcountry__v/VENZ000004SONFD", "AT")</f>
        <v>AT</v>
      </c>
      <c r="C6119" s="20" t="s">
        <v>40</v>
      </c>
      <c r="D6119" s="21" t="str">
        <f>HYPERLINK("https://otsuka-europe-crm.veevavault.com/ui/#object/approved_document__v/V5O00000001H018", "VAE AT - Einladung Lupologen WS Westen (Nephrologie)")</f>
        <v>VAE AT - Einladung Lupologen WS Westen (Nephrologie)</v>
      </c>
      <c r="E6119" s="22" t="str">
        <f>HYPERLINK("https://otsuka-europe-crm.veevavault.com/ui/#object/sent_email__v/VBL00000002R117", "SE-001434366")</f>
        <v>SE-001434366</v>
      </c>
      <c r="F6119" s="23">
        <v>46182.221898148149</v>
      </c>
      <c r="G6119" s="24">
        <v>1</v>
      </c>
      <c r="H6119" s="24">
        <v>1</v>
      </c>
      <c r="I6119" s="24">
        <v>0</v>
      </c>
      <c r="J6119" s="25"/>
      <c r="K6119" s="24">
        <v>0</v>
      </c>
      <c r="L6119" s="22" t="str">
        <f>HYPERLINK("https://otsuka-europe-crm.veevavault.com/ui/#object/approved_document__v/V5O00000001H018", "VAE AT - Einladung Lupologen WS Westen (Nephrologie)")</f>
        <v>VAE AT - Einladung Lupologen WS Westen (Nephrologie)</v>
      </c>
      <c r="M6119" s="22" t="str">
        <f>HYPERLINK("mailto:igrimaldi@crm.otsuka-europe.com", "igrimaldi@crm.otsuka-europe.com")</f>
        <v>igrimaldi@crm.otsuka-europe.com</v>
      </c>
      <c r="N6119" s="23">
        <v>46181.737037037034</v>
      </c>
      <c r="O6119" s="14" t="str">
        <f>HYPERLINK("https://otsuka-europe-crm.veevavault.com/ui/#object/email_activity__v/V8C00000003R249", "EN-002092143")</f>
        <v>EN-002092143</v>
      </c>
    </row>
    <row r="6120" spans="1:15" ht="16" x14ac:dyDescent="0.2">
      <c r="A6120" s="19"/>
      <c r="B6120" s="19"/>
      <c r="C6120" s="19"/>
      <c r="D6120" s="19"/>
      <c r="E6120" s="19"/>
      <c r="F6120" s="19"/>
      <c r="G6120" s="19"/>
      <c r="H6120" s="19"/>
      <c r="I6120" s="19"/>
      <c r="J6120" s="19"/>
      <c r="K6120" s="19"/>
      <c r="L6120" s="19"/>
      <c r="M6120" s="19"/>
      <c r="N6120" s="19"/>
      <c r="O6120" s="14" t="str">
        <f>HYPERLINK("https://otsuka-europe-crm.veevavault.com/ui/#object/email_activity__v/V8C00000003R331", "EN-002092311")</f>
        <v>EN-002092311</v>
      </c>
    </row>
    <row r="6121" spans="1:15" ht="48" x14ac:dyDescent="0.2">
      <c r="A6121" s="7" t="str">
        <f>HYPERLINK("https://otsuka-europe-crm.veevavault.com/ui/#object/account__v/V4TZ0000062R5O1", "Martin Windpessl")</f>
        <v>Martin Windpessl</v>
      </c>
      <c r="B6121" s="7" t="str">
        <f>HYPERLINK("https://otsuka-europe-crm.veevavault.com/ui/#object/vcountry__v/VENZ000004SONFD", "AT")</f>
        <v>AT</v>
      </c>
      <c r="C6121" s="8" t="s">
        <v>40</v>
      </c>
      <c r="D6121" s="9" t="str">
        <f>HYPERLINK("https://otsuka-europe-crm.veevavault.com/ui/#object/approved_document__v/V5O00000001H018", "VAE AT - Einladung Lupologen WS Westen (Nephrologie)")</f>
        <v>VAE AT - Einladung Lupologen WS Westen (Nephrologie)</v>
      </c>
      <c r="E6121" s="10" t="str">
        <f>HYPERLINK("https://otsuka-europe-crm.veevavault.com/ui/#object/sent_email__v/VBL00000002R118", "SE-001434367")</f>
        <v>SE-001434367</v>
      </c>
      <c r="F6121" s="11"/>
      <c r="G6121" s="12">
        <v>0</v>
      </c>
      <c r="H6121" s="12">
        <v>0</v>
      </c>
      <c r="I6121" s="12">
        <v>0</v>
      </c>
      <c r="J6121" s="11"/>
      <c r="K6121" s="12">
        <v>0</v>
      </c>
      <c r="L6121" s="10" t="str">
        <f>HYPERLINK("https://otsuka-europe-crm.veevavault.com/ui/#object/approved_document__v/V5O00000001H018", "VAE AT - Einladung Lupologen WS Westen (Nephrologie)")</f>
        <v>VAE AT - Einladung Lupologen WS Westen (Nephrologie)</v>
      </c>
      <c r="M6121" s="10" t="str">
        <f>HYPERLINK("mailto:igrimaldi@crm.otsuka-europe.com", "igrimaldi@crm.otsuka-europe.com")</f>
        <v>igrimaldi@crm.otsuka-europe.com</v>
      </c>
      <c r="N6121" s="13">
        <v>46181.73746527778</v>
      </c>
      <c r="O6121" s="14" t="str">
        <f>HYPERLINK("https://otsuka-europe-crm.veevavault.com/ui/#object/email_activity__v/V8C00000003R251", "EN-002092145")</f>
        <v>EN-002092145</v>
      </c>
    </row>
    <row r="6122" spans="1:15" ht="48" x14ac:dyDescent="0.2">
      <c r="A6122" s="7" t="str">
        <f>HYPERLINK("https://otsuka-europe-crm.veevavault.com/ui/#object/account__v/V4TZ0000062R5PP", "Emanuel Zitt")</f>
        <v>Emanuel Zitt</v>
      </c>
      <c r="B6122" s="7" t="str">
        <f>HYPERLINK("https://otsuka-europe-crm.veevavault.com/ui/#object/vcountry__v/VENZ000004SONFD", "AT")</f>
        <v>AT</v>
      </c>
      <c r="C6122" s="8" t="s">
        <v>40</v>
      </c>
      <c r="D6122" s="9" t="str">
        <f>HYPERLINK("https://otsuka-europe-crm.veevavault.com/ui/#object/approved_document__v/V5O00000001H018", "VAE AT - Einladung Lupologen WS Westen (Nephrologie)")</f>
        <v>VAE AT - Einladung Lupologen WS Westen (Nephrologie)</v>
      </c>
      <c r="E6122" s="10" t="str">
        <f>HYPERLINK("https://otsuka-europe-crm.veevavault.com/ui/#object/sent_email__v/VBL00000002S201", "SE-001434368")</f>
        <v>SE-001434368</v>
      </c>
      <c r="F6122" s="11"/>
      <c r="G6122" s="12">
        <v>0</v>
      </c>
      <c r="H6122" s="12">
        <v>0</v>
      </c>
      <c r="I6122" s="12">
        <v>0</v>
      </c>
      <c r="J6122" s="11"/>
      <c r="K6122" s="12">
        <v>0</v>
      </c>
      <c r="L6122" s="10" t="str">
        <f>HYPERLINK("https://otsuka-europe-crm.veevavault.com/ui/#object/approved_document__v/V5O00000001H018", "VAE AT - Einladung Lupologen WS Westen (Nephrologie)")</f>
        <v>VAE AT - Einladung Lupologen WS Westen (Nephrologie)</v>
      </c>
      <c r="M6122" s="10" t="str">
        <f>HYPERLINK("mailto:igrimaldi@crm.otsuka-europe.com", "igrimaldi@crm.otsuka-europe.com")</f>
        <v>igrimaldi@crm.otsuka-europe.com</v>
      </c>
      <c r="N6122" s="13">
        <v>46181.737962962965</v>
      </c>
      <c r="O6122" s="14" t="str">
        <f>HYPERLINK("https://otsuka-europe-crm.veevavault.com/ui/#object/email_activity__v/V8C00000003R252", "EN-002092146")</f>
        <v>EN-002092146</v>
      </c>
    </row>
    <row r="6123" spans="1:15" ht="16" x14ac:dyDescent="0.2">
      <c r="A6123" s="17" t="str">
        <f>HYPERLINK("https://otsuka-europe-crm.veevavault.com/ui/#object/account__v/V4TZ025E886OH23", "Kai Ammerer")</f>
        <v>Kai Ammerer</v>
      </c>
      <c r="B6123" s="17" t="str">
        <f>HYPERLINK("https://otsuka-europe-crm.veevavault.com/ui/#object/vcountry__v/VENZ000004SONFD", "AT")</f>
        <v>AT</v>
      </c>
      <c r="C6123" s="20" t="s">
        <v>40</v>
      </c>
      <c r="D6123" s="21" t="str">
        <f>HYPERLINK("https://otsuka-europe-crm.veevavault.com/ui/#object/approved_document__v/V5O00000001H018", "VAE AT - Einladung Lupologen WS Westen (Nephrologie)")</f>
        <v>VAE AT - Einladung Lupologen WS Westen (Nephrologie)</v>
      </c>
      <c r="E6123" s="22" t="str">
        <f>HYPERLINK("https://otsuka-europe-crm.veevavault.com/ui/#object/sent_email__v/VBL00000002S202", "SE-001434369")</f>
        <v>SE-001434369</v>
      </c>
      <c r="F6123" s="23">
        <v>46183.35696759259</v>
      </c>
      <c r="G6123" s="24">
        <v>1</v>
      </c>
      <c r="H6123" s="24">
        <v>1</v>
      </c>
      <c r="I6123" s="24">
        <v>1</v>
      </c>
      <c r="J6123" s="23">
        <v>46183.357222222221</v>
      </c>
      <c r="K6123" s="24">
        <v>2</v>
      </c>
      <c r="L6123" s="22" t="str">
        <f>HYPERLINK("https://otsuka-europe-crm.veevavault.com/ui/#object/approved_document__v/V5O00000001H018", "VAE AT - Einladung Lupologen WS Westen (Nephrologie)")</f>
        <v>VAE AT - Einladung Lupologen WS Westen (Nephrologie)</v>
      </c>
      <c r="M6123" s="22" t="str">
        <f>HYPERLINK("mailto:igrimaldi@crm.otsuka-europe.com", "igrimaldi@crm.otsuka-europe.com")</f>
        <v>igrimaldi@crm.otsuka-europe.com</v>
      </c>
      <c r="N6123" s="23">
        <v>46181.738842592589</v>
      </c>
      <c r="O6123" s="14" t="str">
        <f>HYPERLINK("https://otsuka-europe-crm.veevavault.com/ui/#object/email_activity__v/V8C00000003Q657", "EN-002092147")</f>
        <v>EN-002092147</v>
      </c>
    </row>
    <row r="6124" spans="1:15" ht="16" x14ac:dyDescent="0.2">
      <c r="A6124" s="18"/>
      <c r="B6124" s="18"/>
      <c r="C6124" s="18"/>
      <c r="D6124" s="18"/>
      <c r="E6124" s="18"/>
      <c r="F6124" s="18"/>
      <c r="G6124" s="18"/>
      <c r="H6124" s="18"/>
      <c r="I6124" s="18"/>
      <c r="J6124" s="18"/>
      <c r="K6124" s="18"/>
      <c r="L6124" s="18"/>
      <c r="M6124" s="18"/>
      <c r="N6124" s="18"/>
      <c r="O6124" s="14" t="str">
        <f>HYPERLINK("https://otsuka-europe-crm.veevavault.com/ui/#object/email_activity__v/V8C00000003S490", "EN-002093884")</f>
        <v>EN-002093884</v>
      </c>
    </row>
    <row r="6125" spans="1:15" ht="16" x14ac:dyDescent="0.2">
      <c r="A6125" s="18"/>
      <c r="B6125" s="18"/>
      <c r="C6125" s="18"/>
      <c r="D6125" s="18"/>
      <c r="E6125" s="18"/>
      <c r="F6125" s="18"/>
      <c r="G6125" s="18"/>
      <c r="H6125" s="18"/>
      <c r="I6125" s="18"/>
      <c r="J6125" s="18"/>
      <c r="K6125" s="18"/>
      <c r="L6125" s="18"/>
      <c r="M6125" s="18"/>
      <c r="N6125" s="18"/>
      <c r="O6125" s="14" t="str">
        <f>HYPERLINK("https://otsuka-europe-crm.veevavault.com/ui/#object/email_activity__v/V8C00000003S491", "EN-002093883")</f>
        <v>EN-002093883</v>
      </c>
    </row>
    <row r="6126" spans="1:15" ht="16" x14ac:dyDescent="0.2">
      <c r="A6126" s="18"/>
      <c r="B6126" s="18"/>
      <c r="C6126" s="18"/>
      <c r="D6126" s="18"/>
      <c r="E6126" s="18"/>
      <c r="F6126" s="18"/>
      <c r="G6126" s="18"/>
      <c r="H6126" s="18"/>
      <c r="I6126" s="18"/>
      <c r="J6126" s="18"/>
      <c r="K6126" s="18"/>
      <c r="L6126" s="18"/>
      <c r="M6126" s="18"/>
      <c r="N6126" s="18"/>
      <c r="O6126" s="14" t="str">
        <f>HYPERLINK("https://otsuka-europe-crm.veevavault.com/ui/#object/email_activity__v/V8C00000003S492", "EN-002093885")</f>
        <v>EN-002093885</v>
      </c>
    </row>
    <row r="6127" spans="1:15" ht="16" x14ac:dyDescent="0.2">
      <c r="A6127" s="19"/>
      <c r="B6127" s="19"/>
      <c r="C6127" s="19"/>
      <c r="D6127" s="19"/>
      <c r="E6127" s="19"/>
      <c r="F6127" s="19"/>
      <c r="G6127" s="19"/>
      <c r="H6127" s="19"/>
      <c r="I6127" s="19"/>
      <c r="J6127" s="19"/>
      <c r="K6127" s="19"/>
      <c r="L6127" s="19"/>
      <c r="M6127" s="19"/>
      <c r="N6127" s="19"/>
      <c r="O6127" s="14" t="str">
        <f>HYPERLINK("https://otsuka-europe-crm.veevavault.com/ui/#object/email_activity__v/V8C00000003T182", "EN-002093937")</f>
        <v>EN-002093937</v>
      </c>
    </row>
    <row r="6128" spans="1:15" ht="48" x14ac:dyDescent="0.2">
      <c r="A6128" s="7" t="str">
        <f>HYPERLINK("https://otsuka-europe-crm.veevavault.com/ui/#object/account__v/V4TZ025E886NC0Y", "Bernd Rechberger")</f>
        <v>Bernd Rechberger</v>
      </c>
      <c r="B6128" s="7" t="str">
        <f>HYPERLINK("https://otsuka-europe-crm.veevavault.com/ui/#object/vcountry__v/VENZ000004SONFD", "AT")</f>
        <v>AT</v>
      </c>
      <c r="C6128" s="8" t="s">
        <v>40</v>
      </c>
      <c r="D6128" s="9" t="str">
        <f>HYPERLINK("https://otsuka-europe-crm.veevavault.com/ui/#object/approved_document__v/V5O00000001H018", "VAE AT - Einladung Lupologen WS Westen (Nephrologie)")</f>
        <v>VAE AT - Einladung Lupologen WS Westen (Nephrologie)</v>
      </c>
      <c r="E6128" s="10" t="str">
        <f>HYPERLINK("https://otsuka-europe-crm.veevavault.com/ui/#object/sent_email__v/VBL00000002S203", "SE-001434370")</f>
        <v>SE-001434370</v>
      </c>
      <c r="F6128" s="11"/>
      <c r="G6128" s="12">
        <v>0</v>
      </c>
      <c r="H6128" s="12">
        <v>0</v>
      </c>
      <c r="I6128" s="12">
        <v>0</v>
      </c>
      <c r="J6128" s="11"/>
      <c r="K6128" s="12">
        <v>0</v>
      </c>
      <c r="L6128" s="10" t="str">
        <f>HYPERLINK("https://otsuka-europe-crm.veevavault.com/ui/#object/approved_document__v/V5O00000001H018", "VAE AT - Einladung Lupologen WS Westen (Nephrologie)")</f>
        <v>VAE AT - Einladung Lupologen WS Westen (Nephrologie)</v>
      </c>
      <c r="M6128" s="10" t="str">
        <f>HYPERLINK("mailto:igrimaldi@crm.otsuka-europe.com", "igrimaldi@crm.otsuka-europe.com")</f>
        <v>igrimaldi@crm.otsuka-europe.com</v>
      </c>
      <c r="N6128" s="13">
        <v>46181.73946759259</v>
      </c>
      <c r="O6128" s="14" t="str">
        <f>HYPERLINK("https://otsuka-europe-crm.veevavault.com/ui/#object/email_activity__v/V8C00000003Q658", "EN-002092148")</f>
        <v>EN-002092148</v>
      </c>
    </row>
    <row r="6129" spans="1:15" ht="48" x14ac:dyDescent="0.2">
      <c r="A6129" s="7" t="str">
        <f>HYPERLINK("https://otsuka-europe-crm.veevavault.com/ui/#object/account__v/V4TZ025E886NC0Y", "Bernd Rechberger")</f>
        <v>Bernd Rechberger</v>
      </c>
      <c r="B6129" s="7" t="str">
        <f>HYPERLINK("https://otsuka-europe-crm.veevavault.com/ui/#object/vcountry__v/VENZ000004SONFD", "AT")</f>
        <v>AT</v>
      </c>
      <c r="C6129" s="8" t="s">
        <v>40</v>
      </c>
      <c r="D6129" s="9" t="str">
        <f>HYPERLINK("https://otsuka-europe-crm.veevavault.com/ui/#object/approved_document__v/V5O00000001H018", "VAE AT - Einladung Lupologen WS Westen (Nephrologie)")</f>
        <v>VAE AT - Einladung Lupologen WS Westen (Nephrologie)</v>
      </c>
      <c r="E6129" s="10" t="str">
        <f>HYPERLINK("https://otsuka-europe-crm.veevavault.com/ui/#object/sent_email__v/VBL00000002R119", "SE-001434371")</f>
        <v>SE-001434371</v>
      </c>
      <c r="F6129" s="11"/>
      <c r="G6129" s="12">
        <v>0</v>
      </c>
      <c r="H6129" s="12">
        <v>0</v>
      </c>
      <c r="I6129" s="12">
        <v>0</v>
      </c>
      <c r="J6129" s="11"/>
      <c r="K6129" s="12">
        <v>0</v>
      </c>
      <c r="L6129" s="10" t="str">
        <f>HYPERLINK("https://otsuka-europe-crm.veevavault.com/ui/#object/approved_document__v/V5O00000001H018", "VAE AT - Einladung Lupologen WS Westen (Nephrologie)")</f>
        <v>VAE AT - Einladung Lupologen WS Westen (Nephrologie)</v>
      </c>
      <c r="M6129" s="10" t="str">
        <f>HYPERLINK("mailto:igrimaldi@crm.otsuka-europe.com", "igrimaldi@crm.otsuka-europe.com")</f>
        <v>igrimaldi@crm.otsuka-europe.com</v>
      </c>
      <c r="N6129" s="13">
        <v>46181.7421412037</v>
      </c>
      <c r="O6129" s="14" t="str">
        <f>HYPERLINK("https://otsuka-europe-crm.veevavault.com/ui/#object/email_activity__v/V8C00000003Q660", "EN-002092150")</f>
        <v>EN-002092150</v>
      </c>
    </row>
    <row r="6130" spans="1:15" ht="16" x14ac:dyDescent="0.2">
      <c r="A6130" s="17" t="str">
        <f>HYPERLINK("https://otsuka-europe-crm.veevavault.com/ui/#object/account__v/V4TZ0000062R57N", "Fritz Traxlmayr")</f>
        <v>Fritz Traxlmayr</v>
      </c>
      <c r="B6130" s="17" t="str">
        <f>HYPERLINK("https://otsuka-europe-crm.veevavault.com/ui/#object/vcountry__v/VENZ000004SONFD", "AT")</f>
        <v>AT</v>
      </c>
      <c r="C6130" s="20" t="s">
        <v>40</v>
      </c>
      <c r="D6130" s="21" t="str">
        <f>HYPERLINK("https://otsuka-europe-crm.veevavault.com/ui/#object/approved_document__v/V5O00000001H018", "VAE AT - Einladung Lupologen WS Westen (Nephrologie)")</f>
        <v>VAE AT - Einladung Lupologen WS Westen (Nephrologie)</v>
      </c>
      <c r="E6130" s="22" t="str">
        <f>HYPERLINK("https://otsuka-europe-crm.veevavault.com/ui/#object/sent_email__v/VBL00000002R120", "SE-001434372")</f>
        <v>SE-001434372</v>
      </c>
      <c r="F6130" s="23">
        <v>46182.480497685188</v>
      </c>
      <c r="G6130" s="24">
        <v>1</v>
      </c>
      <c r="H6130" s="24">
        <v>4</v>
      </c>
      <c r="I6130" s="24">
        <v>0</v>
      </c>
      <c r="J6130" s="25"/>
      <c r="K6130" s="24">
        <v>0</v>
      </c>
      <c r="L6130" s="22" t="str">
        <f>HYPERLINK("https://otsuka-europe-crm.veevavault.com/ui/#object/approved_document__v/V5O00000001H018", "VAE AT - Einladung Lupologen WS Westen (Nephrologie)")</f>
        <v>VAE AT - Einladung Lupologen WS Westen (Nephrologie)</v>
      </c>
      <c r="M6130" s="22" t="str">
        <f>HYPERLINK("mailto:igrimaldi@crm.otsuka-europe.com", "igrimaldi@crm.otsuka-europe.com")</f>
        <v>igrimaldi@crm.otsuka-europe.com</v>
      </c>
      <c r="N6130" s="23">
        <v>46181.743194444447</v>
      </c>
      <c r="O6130" s="14" t="str">
        <f>HYPERLINK("https://otsuka-europe-crm.veevavault.com/ui/#object/email_activity__v/V8C00000003Q662", "EN-002092152")</f>
        <v>EN-002092152</v>
      </c>
    </row>
    <row r="6131" spans="1:15" ht="16" x14ac:dyDescent="0.2">
      <c r="A6131" s="18"/>
      <c r="B6131" s="18"/>
      <c r="C6131" s="18"/>
      <c r="D6131" s="18"/>
      <c r="E6131" s="18"/>
      <c r="F6131" s="18"/>
      <c r="G6131" s="18"/>
      <c r="H6131" s="18"/>
      <c r="I6131" s="18"/>
      <c r="J6131" s="18"/>
      <c r="K6131" s="18"/>
      <c r="L6131" s="18"/>
      <c r="M6131" s="18"/>
      <c r="N6131" s="18"/>
      <c r="O6131" s="14" t="str">
        <f>HYPERLINK("https://otsuka-europe-crm.veevavault.com/ui/#object/email_activity__v/V8C00000003R615", "EN-002092870")</f>
        <v>EN-002092870</v>
      </c>
    </row>
    <row r="6132" spans="1:15" ht="16" x14ac:dyDescent="0.2">
      <c r="A6132" s="18"/>
      <c r="B6132" s="18"/>
      <c r="C6132" s="18"/>
      <c r="D6132" s="18"/>
      <c r="E6132" s="18"/>
      <c r="F6132" s="18"/>
      <c r="G6132" s="18"/>
      <c r="H6132" s="18"/>
      <c r="I6132" s="18"/>
      <c r="J6132" s="18"/>
      <c r="K6132" s="18"/>
      <c r="L6132" s="18"/>
      <c r="M6132" s="18"/>
      <c r="N6132" s="18"/>
      <c r="O6132" s="14" t="str">
        <f>HYPERLINK("https://otsuka-europe-crm.veevavault.com/ui/#object/email_activity__v/V8C00000003R616", "EN-002092871")</f>
        <v>EN-002092871</v>
      </c>
    </row>
    <row r="6133" spans="1:15" ht="16" x14ac:dyDescent="0.2">
      <c r="A6133" s="18"/>
      <c r="B6133" s="18"/>
      <c r="C6133" s="18"/>
      <c r="D6133" s="18"/>
      <c r="E6133" s="18"/>
      <c r="F6133" s="18"/>
      <c r="G6133" s="18"/>
      <c r="H6133" s="18"/>
      <c r="I6133" s="18"/>
      <c r="J6133" s="18"/>
      <c r="K6133" s="18"/>
      <c r="L6133" s="18"/>
      <c r="M6133" s="18"/>
      <c r="N6133" s="18"/>
      <c r="O6133" s="14" t="str">
        <f>HYPERLINK("https://otsuka-europe-crm.veevavault.com/ui/#object/email_activity__v/V8C00000003S019", "EN-002092872")</f>
        <v>EN-002092872</v>
      </c>
    </row>
    <row r="6134" spans="1:15" ht="16" x14ac:dyDescent="0.2">
      <c r="A6134" s="19"/>
      <c r="B6134" s="19"/>
      <c r="C6134" s="19"/>
      <c r="D6134" s="19"/>
      <c r="E6134" s="19"/>
      <c r="F6134" s="19"/>
      <c r="G6134" s="19"/>
      <c r="H6134" s="19"/>
      <c r="I6134" s="19"/>
      <c r="J6134" s="19"/>
      <c r="K6134" s="19"/>
      <c r="L6134" s="19"/>
      <c r="M6134" s="19"/>
      <c r="N6134" s="19"/>
      <c r="O6134" s="14" t="str">
        <f>HYPERLINK("https://otsuka-europe-crm.veevavault.com/ui/#object/email_activity__v/V8C00000003S020", "EN-002092873")</f>
        <v>EN-002092873</v>
      </c>
    </row>
    <row r="6135" spans="1:15" ht="16" x14ac:dyDescent="0.2">
      <c r="A6135" s="17" t="str">
        <f>HYPERLINK("https://otsuka-europe-crm.veevavault.com/ui/#object/account__v/V4TZ06G6OBU7FC6", "Tina Sindelar-Stockhammer")</f>
        <v>Tina Sindelar-Stockhammer</v>
      </c>
      <c r="B6135" s="17" t="str">
        <f>HYPERLINK("https://otsuka-europe-crm.veevavault.com/ui/#object/vcountry__v/VENZ000004SONFD", "AT")</f>
        <v>AT</v>
      </c>
      <c r="C6135" s="20" t="s">
        <v>40</v>
      </c>
      <c r="D6135" s="21" t="str">
        <f>HYPERLINK("https://otsuka-europe-crm.veevavault.com/ui/#object/approved_document__v/V5O00000001H018", "VAE AT - Einladung Lupologen WS Westen (Nephrologie)")</f>
        <v>VAE AT - Einladung Lupologen WS Westen (Nephrologie)</v>
      </c>
      <c r="E6135" s="22" t="str">
        <f>HYPERLINK("https://otsuka-europe-crm.veevavault.com/ui/#object/sent_email__v/VBL00000002R121", "SE-001434373")</f>
        <v>SE-001434373</v>
      </c>
      <c r="F6135" s="23">
        <v>46181.746446759258</v>
      </c>
      <c r="G6135" s="24">
        <v>1</v>
      </c>
      <c r="H6135" s="24">
        <v>3</v>
      </c>
      <c r="I6135" s="24">
        <v>1</v>
      </c>
      <c r="J6135" s="23">
        <v>46181.746574074074</v>
      </c>
      <c r="K6135" s="24">
        <v>2</v>
      </c>
      <c r="L6135" s="22" t="str">
        <f>HYPERLINK("https://otsuka-europe-crm.veevavault.com/ui/#object/approved_document__v/V5O00000001H018", "VAE AT - Einladung Lupologen WS Westen (Nephrologie)")</f>
        <v>VAE AT - Einladung Lupologen WS Westen (Nephrologie)</v>
      </c>
      <c r="M6135" s="22" t="str">
        <f>HYPERLINK("mailto:igrimaldi@crm.otsuka-europe.com", "igrimaldi@crm.otsuka-europe.com")</f>
        <v>igrimaldi@crm.otsuka-europe.com</v>
      </c>
      <c r="N6135" s="23">
        <v>46181.743715277778</v>
      </c>
      <c r="O6135" s="14" t="str">
        <f>HYPERLINK("https://otsuka-europe-crm.veevavault.com/ui/#object/email_activity__v/V8C00000003R253", "EN-002092153")</f>
        <v>EN-002092153</v>
      </c>
    </row>
    <row r="6136" spans="1:15" ht="16" x14ac:dyDescent="0.2">
      <c r="A6136" s="18"/>
      <c r="B6136" s="18"/>
      <c r="C6136" s="18"/>
      <c r="D6136" s="18"/>
      <c r="E6136" s="18"/>
      <c r="F6136" s="18"/>
      <c r="G6136" s="18"/>
      <c r="H6136" s="18"/>
      <c r="I6136" s="18"/>
      <c r="J6136" s="18"/>
      <c r="K6136" s="18"/>
      <c r="L6136" s="18"/>
      <c r="M6136" s="18"/>
      <c r="N6136" s="18"/>
      <c r="O6136" s="14" t="str">
        <f>HYPERLINK("https://otsuka-europe-crm.veevavault.com/ui/#object/email_activity__v/V8C00000003R259", "EN-002092160")</f>
        <v>EN-002092160</v>
      </c>
    </row>
    <row r="6137" spans="1:15" ht="16" x14ac:dyDescent="0.2">
      <c r="A6137" s="18"/>
      <c r="B6137" s="18"/>
      <c r="C6137" s="18"/>
      <c r="D6137" s="18"/>
      <c r="E6137" s="18"/>
      <c r="F6137" s="18"/>
      <c r="G6137" s="18"/>
      <c r="H6137" s="18"/>
      <c r="I6137" s="18"/>
      <c r="J6137" s="18"/>
      <c r="K6137" s="18"/>
      <c r="L6137" s="18"/>
      <c r="M6137" s="18"/>
      <c r="N6137" s="18"/>
      <c r="O6137" s="14" t="str">
        <f>HYPERLINK("https://otsuka-europe-crm.veevavault.com/ui/#object/email_activity__v/V8C00000003R260", "EN-002092159")</f>
        <v>EN-002092159</v>
      </c>
    </row>
    <row r="6138" spans="1:15" ht="16" x14ac:dyDescent="0.2">
      <c r="A6138" s="18"/>
      <c r="B6138" s="18"/>
      <c r="C6138" s="18"/>
      <c r="D6138" s="18"/>
      <c r="E6138" s="18"/>
      <c r="F6138" s="18"/>
      <c r="G6138" s="18"/>
      <c r="H6138" s="18"/>
      <c r="I6138" s="18"/>
      <c r="J6138" s="18"/>
      <c r="K6138" s="18"/>
      <c r="L6138" s="18"/>
      <c r="M6138" s="18"/>
      <c r="N6138" s="18"/>
      <c r="O6138" s="14" t="str">
        <f>HYPERLINK("https://otsuka-europe-crm.veevavault.com/ui/#object/email_activity__v/V8C00000003R262", "EN-002092162")</f>
        <v>EN-002092162</v>
      </c>
    </row>
    <row r="6139" spans="1:15" ht="16" x14ac:dyDescent="0.2">
      <c r="A6139" s="18"/>
      <c r="B6139" s="18"/>
      <c r="C6139" s="18"/>
      <c r="D6139" s="18"/>
      <c r="E6139" s="18"/>
      <c r="F6139" s="18"/>
      <c r="G6139" s="18"/>
      <c r="H6139" s="18"/>
      <c r="I6139" s="18"/>
      <c r="J6139" s="18"/>
      <c r="K6139" s="18"/>
      <c r="L6139" s="18"/>
      <c r="M6139" s="18"/>
      <c r="N6139" s="18"/>
      <c r="O6139" s="14" t="str">
        <f>HYPERLINK("https://otsuka-europe-crm.veevavault.com/ui/#object/email_activity__v/V8C00000003R264", "EN-002092164")</f>
        <v>EN-002092164</v>
      </c>
    </row>
    <row r="6140" spans="1:15" ht="16" x14ac:dyDescent="0.2">
      <c r="A6140" s="18"/>
      <c r="B6140" s="18"/>
      <c r="C6140" s="18"/>
      <c r="D6140" s="18"/>
      <c r="E6140" s="18"/>
      <c r="F6140" s="18"/>
      <c r="G6140" s="18"/>
      <c r="H6140" s="18"/>
      <c r="I6140" s="18"/>
      <c r="J6140" s="18"/>
      <c r="K6140" s="18"/>
      <c r="L6140" s="18"/>
      <c r="M6140" s="18"/>
      <c r="N6140" s="18"/>
      <c r="O6140" s="14" t="str">
        <f>HYPERLINK("https://otsuka-europe-crm.veevavault.com/ui/#object/email_activity__v/V8C00000003R265", "EN-002092165")</f>
        <v>EN-002092165</v>
      </c>
    </row>
    <row r="6141" spans="1:15" ht="16" x14ac:dyDescent="0.2">
      <c r="A6141" s="18"/>
      <c r="B6141" s="18"/>
      <c r="C6141" s="18"/>
      <c r="D6141" s="18"/>
      <c r="E6141" s="18"/>
      <c r="F6141" s="18"/>
      <c r="G6141" s="18"/>
      <c r="H6141" s="18"/>
      <c r="I6141" s="18"/>
      <c r="J6141" s="18"/>
      <c r="K6141" s="18"/>
      <c r="L6141" s="18"/>
      <c r="M6141" s="18"/>
      <c r="N6141" s="18"/>
      <c r="O6141" s="14" t="str">
        <f>HYPERLINK("https://otsuka-europe-crm.veevavault.com/ui/#object/email_activity__v/V8C00000003R268", "EN-002092173")</f>
        <v>EN-002092173</v>
      </c>
    </row>
    <row r="6142" spans="1:15" ht="16" x14ac:dyDescent="0.2">
      <c r="A6142" s="18"/>
      <c r="B6142" s="18"/>
      <c r="C6142" s="18"/>
      <c r="D6142" s="18"/>
      <c r="E6142" s="18"/>
      <c r="F6142" s="18"/>
      <c r="G6142" s="18"/>
      <c r="H6142" s="18"/>
      <c r="I6142" s="18"/>
      <c r="J6142" s="18"/>
      <c r="K6142" s="18"/>
      <c r="L6142" s="18"/>
      <c r="M6142" s="18"/>
      <c r="N6142" s="18"/>
      <c r="O6142" s="14" t="str">
        <f>HYPERLINK("https://otsuka-europe-crm.veevavault.com/ui/#object/email_activity__v/V8C00000003R269", "EN-002092174")</f>
        <v>EN-002092174</v>
      </c>
    </row>
    <row r="6143" spans="1:15" ht="16" x14ac:dyDescent="0.2">
      <c r="A6143" s="19"/>
      <c r="B6143" s="19"/>
      <c r="C6143" s="19"/>
      <c r="D6143" s="19"/>
      <c r="E6143" s="19"/>
      <c r="F6143" s="19"/>
      <c r="G6143" s="19"/>
      <c r="H6143" s="19"/>
      <c r="I6143" s="19"/>
      <c r="J6143" s="19"/>
      <c r="K6143" s="19"/>
      <c r="L6143" s="19"/>
      <c r="M6143" s="19"/>
      <c r="N6143" s="19"/>
      <c r="O6143" s="14" t="str">
        <f>HYPERLINK("https://otsuka-europe-crm.veevavault.com/ui/#object/email_activity__v/V8C00000003R307", "EN-002092249")</f>
        <v>EN-002092249</v>
      </c>
    </row>
    <row r="6144" spans="1:15" ht="16" x14ac:dyDescent="0.2">
      <c r="A6144" s="17" t="str">
        <f>HYPERLINK("https://otsuka-europe-crm.veevavault.com/ui/#object/account__v/V4TZ025E85I49B1", "Bernhard Gromann")</f>
        <v>Bernhard Gromann</v>
      </c>
      <c r="B6144" s="17" t="str">
        <f>HYPERLINK("https://otsuka-europe-crm.veevavault.com/ui/#object/vcountry__v/VENZ000004SONFD", "AT")</f>
        <v>AT</v>
      </c>
      <c r="C6144" s="20" t="s">
        <v>40</v>
      </c>
      <c r="D6144" s="21" t="str">
        <f>HYPERLINK("https://otsuka-europe-crm.veevavault.com/ui/#object/approved_document__v/V5O00000001H018", "VAE AT - Einladung Lupologen WS Westen (Nephrologie)")</f>
        <v>VAE AT - Einladung Lupologen WS Westen (Nephrologie)</v>
      </c>
      <c r="E6144" s="22" t="str">
        <f>HYPERLINK("https://otsuka-europe-crm.veevavault.com/ui/#object/sent_email__v/VBL00000002R122", "SE-001434374")</f>
        <v>SE-001434374</v>
      </c>
      <c r="F6144" s="23">
        <v>46184.353078703702</v>
      </c>
      <c r="G6144" s="24">
        <v>1</v>
      </c>
      <c r="H6144" s="24">
        <v>4</v>
      </c>
      <c r="I6144" s="24">
        <v>0</v>
      </c>
      <c r="J6144" s="25"/>
      <c r="K6144" s="24">
        <v>0</v>
      </c>
      <c r="L6144" s="22" t="str">
        <f>HYPERLINK("https://otsuka-europe-crm.veevavault.com/ui/#object/approved_document__v/V5O00000001H018", "VAE AT - Einladung Lupologen WS Westen (Nephrologie)")</f>
        <v>VAE AT - Einladung Lupologen WS Westen (Nephrologie)</v>
      </c>
      <c r="M6144" s="22" t="str">
        <f>HYPERLINK("mailto:igrimaldi@crm.otsuka-europe.com", "igrimaldi@crm.otsuka-europe.com")</f>
        <v>igrimaldi@crm.otsuka-europe.com</v>
      </c>
      <c r="N6144" s="23">
        <v>46181.744062500002</v>
      </c>
      <c r="O6144" s="14" t="str">
        <f>HYPERLINK("https://otsuka-europe-crm.veevavault.com/ui/#object/email_activity__v/V8C00000003R254", "EN-002092154")</f>
        <v>EN-002092154</v>
      </c>
    </row>
    <row r="6145" spans="1:15" ht="16" x14ac:dyDescent="0.2">
      <c r="A6145" s="18"/>
      <c r="B6145" s="18"/>
      <c r="C6145" s="18"/>
      <c r="D6145" s="18"/>
      <c r="E6145" s="18"/>
      <c r="F6145" s="18"/>
      <c r="G6145" s="18"/>
      <c r="H6145" s="18"/>
      <c r="I6145" s="18"/>
      <c r="J6145" s="18"/>
      <c r="K6145" s="18"/>
      <c r="L6145" s="18"/>
      <c r="M6145" s="18"/>
      <c r="N6145" s="18"/>
      <c r="O6145" s="14" t="str">
        <f>HYPERLINK("https://otsuka-europe-crm.veevavault.com/ui/#object/email_activity__v/V8C00000003S759", "EN-002094387")</f>
        <v>EN-002094387</v>
      </c>
    </row>
    <row r="6146" spans="1:15" ht="16" x14ac:dyDescent="0.2">
      <c r="A6146" s="18"/>
      <c r="B6146" s="18"/>
      <c r="C6146" s="18"/>
      <c r="D6146" s="18"/>
      <c r="E6146" s="18"/>
      <c r="F6146" s="18"/>
      <c r="G6146" s="18"/>
      <c r="H6146" s="18"/>
      <c r="I6146" s="18"/>
      <c r="J6146" s="18"/>
      <c r="K6146" s="18"/>
      <c r="L6146" s="18"/>
      <c r="M6146" s="18"/>
      <c r="N6146" s="18"/>
      <c r="O6146" s="14" t="str">
        <f>HYPERLINK("https://otsuka-europe-crm.veevavault.com/ui/#object/email_activity__v/V8C00000003S760", "EN-002094388")</f>
        <v>EN-002094388</v>
      </c>
    </row>
    <row r="6147" spans="1:15" ht="16" x14ac:dyDescent="0.2">
      <c r="A6147" s="18"/>
      <c r="B6147" s="18"/>
      <c r="C6147" s="18"/>
      <c r="D6147" s="18"/>
      <c r="E6147" s="18"/>
      <c r="F6147" s="18"/>
      <c r="G6147" s="18"/>
      <c r="H6147" s="18"/>
      <c r="I6147" s="18"/>
      <c r="J6147" s="18"/>
      <c r="K6147" s="18"/>
      <c r="L6147" s="18"/>
      <c r="M6147" s="18"/>
      <c r="N6147" s="18"/>
      <c r="O6147" s="14" t="str">
        <f>HYPERLINK("https://otsuka-europe-crm.veevavault.com/ui/#object/email_activity__v/V8C00000003T442", "EN-002094502")</f>
        <v>EN-002094502</v>
      </c>
    </row>
    <row r="6148" spans="1:15" ht="16" x14ac:dyDescent="0.2">
      <c r="A6148" s="19"/>
      <c r="B6148" s="19"/>
      <c r="C6148" s="19"/>
      <c r="D6148" s="19"/>
      <c r="E6148" s="19"/>
      <c r="F6148" s="19"/>
      <c r="G6148" s="19"/>
      <c r="H6148" s="19"/>
      <c r="I6148" s="19"/>
      <c r="J6148" s="19"/>
      <c r="K6148" s="19"/>
      <c r="L6148" s="19"/>
      <c r="M6148" s="19"/>
      <c r="N6148" s="19"/>
      <c r="O6148" s="14" t="str">
        <f>HYPERLINK("https://otsuka-europe-crm.veevavault.com/ui/#object/email_activity__v/V8C00000003T443", "EN-002094503")</f>
        <v>EN-002094503</v>
      </c>
    </row>
    <row r="6149" spans="1:15" ht="48" x14ac:dyDescent="0.2">
      <c r="A6149" s="7" t="str">
        <f>HYPERLINK("https://otsuka-europe-crm.veevavault.com/ui/#object/account__v/V4TZ025E85I49B1", "Bernhard Gromann")</f>
        <v>Bernhard Gromann</v>
      </c>
      <c r="B6149" s="7" t="str">
        <f>HYPERLINK("https://otsuka-europe-crm.veevavault.com/ui/#object/vcountry__v/VENZ000004SONFD", "AT")</f>
        <v>AT</v>
      </c>
      <c r="C6149" s="8" t="s">
        <v>40</v>
      </c>
      <c r="D6149" s="9" t="str">
        <f>HYPERLINK("https://otsuka-europe-crm.veevavault.com/ui/#object/approved_document__v/V5O00000001H018", "VAE AT - Einladung Lupologen WS Westen (Nephrologie)")</f>
        <v>VAE AT - Einladung Lupologen WS Westen (Nephrologie)</v>
      </c>
      <c r="E6149" s="10" t="str">
        <f>HYPERLINK("https://otsuka-europe-crm.veevavault.com/ui/#object/sent_email__v/VBL00000002R123", "SE-001434375")</f>
        <v>SE-001434375</v>
      </c>
      <c r="F6149" s="11"/>
      <c r="G6149" s="12">
        <v>0</v>
      </c>
      <c r="H6149" s="12">
        <v>0</v>
      </c>
      <c r="I6149" s="12">
        <v>0</v>
      </c>
      <c r="J6149" s="11"/>
      <c r="K6149" s="12">
        <v>0</v>
      </c>
      <c r="L6149" s="10" t="str">
        <f>HYPERLINK("https://otsuka-europe-crm.veevavault.com/ui/#object/approved_document__v/V5O00000001H018", "VAE AT - Einladung Lupologen WS Westen (Nephrologie)")</f>
        <v>VAE AT - Einladung Lupologen WS Westen (Nephrologie)</v>
      </c>
      <c r="M6149" s="10" t="str">
        <f>HYPERLINK("mailto:igrimaldi@crm.otsuka-europe.com", "igrimaldi@crm.otsuka-europe.com")</f>
        <v>igrimaldi@crm.otsuka-europe.com</v>
      </c>
      <c r="N6149" s="13">
        <v>46181.744583333333</v>
      </c>
      <c r="O6149" s="14" t="str">
        <f>HYPERLINK("https://otsuka-europe-crm.veevavault.com/ui/#object/email_activity__v/V8C00000003R255", "EN-002092155")</f>
        <v>EN-002092155</v>
      </c>
    </row>
    <row r="6150" spans="1:15" ht="16" x14ac:dyDescent="0.2">
      <c r="A6150" s="17" t="str">
        <f>HYPERLINK("https://otsuka-europe-crm.veevavault.com/ui/#object/account__v/V4TZ0000062R2QV", "Maria Haller")</f>
        <v>Maria Haller</v>
      </c>
      <c r="B6150" s="17" t="str">
        <f>HYPERLINK("https://otsuka-europe-crm.veevavault.com/ui/#object/vcountry__v/VENZ000004SONFD", "AT")</f>
        <v>AT</v>
      </c>
      <c r="C6150" s="20" t="s">
        <v>40</v>
      </c>
      <c r="D6150" s="21" t="str">
        <f>HYPERLINK("https://otsuka-europe-crm.veevavault.com/ui/#object/approved_document__v/V5O00000001H018", "VAE AT - Einladung Lupologen WS Westen (Nephrologie)")</f>
        <v>VAE AT - Einladung Lupologen WS Westen (Nephrologie)</v>
      </c>
      <c r="E6150" s="22" t="str">
        <f>HYPERLINK("https://otsuka-europe-crm.veevavault.com/ui/#object/sent_email__v/VBL00000002R124", "SE-001434376")</f>
        <v>SE-001434376</v>
      </c>
      <c r="F6150" s="23">
        <v>46181.761006944442</v>
      </c>
      <c r="G6150" s="24">
        <v>1</v>
      </c>
      <c r="H6150" s="24">
        <v>1</v>
      </c>
      <c r="I6150" s="24">
        <v>0</v>
      </c>
      <c r="J6150" s="25"/>
      <c r="K6150" s="24">
        <v>0</v>
      </c>
      <c r="L6150" s="22" t="str">
        <f>HYPERLINK("https://otsuka-europe-crm.veevavault.com/ui/#object/approved_document__v/V5O00000001H018", "VAE AT - Einladung Lupologen WS Westen (Nephrologie)")</f>
        <v>VAE AT - Einladung Lupologen WS Westen (Nephrologie)</v>
      </c>
      <c r="M6150" s="22" t="str">
        <f>HYPERLINK("mailto:igrimaldi@crm.otsuka-europe.com", "igrimaldi@crm.otsuka-europe.com")</f>
        <v>igrimaldi@crm.otsuka-europe.com</v>
      </c>
      <c r="N6150" s="23">
        <v>46181.745104166665</v>
      </c>
      <c r="O6150" s="14" t="str">
        <f>HYPERLINK("https://otsuka-europe-crm.veevavault.com/ui/#object/email_activity__v/V8C00000003R257", "EN-002092157")</f>
        <v>EN-002092157</v>
      </c>
    </row>
    <row r="6151" spans="1:15" ht="16" x14ac:dyDescent="0.2">
      <c r="A6151" s="19"/>
      <c r="B6151" s="19"/>
      <c r="C6151" s="19"/>
      <c r="D6151" s="19"/>
      <c r="E6151" s="19"/>
      <c r="F6151" s="19"/>
      <c r="G6151" s="19"/>
      <c r="H6151" s="19"/>
      <c r="I6151" s="19"/>
      <c r="J6151" s="19"/>
      <c r="K6151" s="19"/>
      <c r="L6151" s="19"/>
      <c r="M6151" s="19"/>
      <c r="N6151" s="19"/>
      <c r="O6151" s="14" t="str">
        <f>HYPERLINK("https://otsuka-europe-crm.veevavault.com/ui/#object/email_activity__v/V8C00000003R272", "EN-002092178")</f>
        <v>EN-002092178</v>
      </c>
    </row>
    <row r="6152" spans="1:15" ht="16" x14ac:dyDescent="0.2">
      <c r="A6152" s="17" t="str">
        <f>HYPERLINK("https://otsuka-europe-crm.veevavault.com/ui/#object/account__v/V4TZ025E86YLLO3", "Anna Stepnickova")</f>
        <v>Anna Stepnickova</v>
      </c>
      <c r="B6152" s="17" t="str">
        <f>HYPERLINK("https://otsuka-europe-crm.veevavault.com/ui/#object/vcountry__v/VENZ000004SONFD", "AT")</f>
        <v>AT</v>
      </c>
      <c r="C6152" s="20" t="s">
        <v>40</v>
      </c>
      <c r="D6152" s="21" t="str">
        <f>HYPERLINK("https://otsuka-europe-crm.veevavault.com/ui/#object/approved_document__v/V5O00000001H020", "VAE AT - Einladung Lupologen WS Westen (Rheumatologie)")</f>
        <v>VAE AT - Einladung Lupologen WS Westen (Rheumatologie)</v>
      </c>
      <c r="E6152" s="22" t="str">
        <f>HYPERLINK("https://otsuka-europe-crm.veevavault.com/ui/#object/sent_email__v/VBL00000002R125", "SE-001434377")</f>
        <v>SE-001434377</v>
      </c>
      <c r="F6152" s="23">
        <v>46182.285185185188</v>
      </c>
      <c r="G6152" s="24">
        <v>1</v>
      </c>
      <c r="H6152" s="24">
        <v>1</v>
      </c>
      <c r="I6152" s="24">
        <v>1</v>
      </c>
      <c r="J6152" s="23">
        <v>46182.285185185188</v>
      </c>
      <c r="K6152" s="24">
        <v>1</v>
      </c>
      <c r="L6152" s="22" t="str">
        <f>HYPERLINK("https://otsuka-europe-crm.veevavault.com/ui/#object/approved_document__v/V5O00000001H020", "VAE AT - Einladung Lupologen WS Westen (Rheumatologie)")</f>
        <v>VAE AT - Einladung Lupologen WS Westen (Rheumatologie)</v>
      </c>
      <c r="M6152" s="22" t="str">
        <f>HYPERLINK("mailto:igrimaldi@crm.otsuka-europe.com", "igrimaldi@crm.otsuka-europe.com")</f>
        <v>igrimaldi@crm.otsuka-europe.com</v>
      </c>
      <c r="N6152" s="23">
        <v>46181.745555555557</v>
      </c>
      <c r="O6152" s="14" t="str">
        <f>HYPERLINK("https://otsuka-europe-crm.veevavault.com/ui/#object/email_activity__v/V8C00000003R258", "EN-002092158")</f>
        <v>EN-002092158</v>
      </c>
    </row>
    <row r="6153" spans="1:15" ht="16" x14ac:dyDescent="0.2">
      <c r="A6153" s="18"/>
      <c r="B6153" s="18"/>
      <c r="C6153" s="18"/>
      <c r="D6153" s="18"/>
      <c r="E6153" s="18"/>
      <c r="F6153" s="18"/>
      <c r="G6153" s="18"/>
      <c r="H6153" s="18"/>
      <c r="I6153" s="18"/>
      <c r="J6153" s="18"/>
      <c r="K6153" s="18"/>
      <c r="L6153" s="18"/>
      <c r="M6153" s="18"/>
      <c r="N6153" s="18"/>
      <c r="O6153" s="14" t="str">
        <f>HYPERLINK("https://otsuka-europe-crm.veevavault.com/ui/#object/email_activity__v/V8C00000003R335", "EN-002092320")</f>
        <v>EN-002092320</v>
      </c>
    </row>
    <row r="6154" spans="1:15" ht="16" x14ac:dyDescent="0.2">
      <c r="A6154" s="19"/>
      <c r="B6154" s="19"/>
      <c r="C6154" s="19"/>
      <c r="D6154" s="19"/>
      <c r="E6154" s="19"/>
      <c r="F6154" s="19"/>
      <c r="G6154" s="19"/>
      <c r="H6154" s="19"/>
      <c r="I6154" s="19"/>
      <c r="J6154" s="19"/>
      <c r="K6154" s="19"/>
      <c r="L6154" s="19"/>
      <c r="M6154" s="19"/>
      <c r="N6154" s="19"/>
      <c r="O6154" s="14" t="str">
        <f>HYPERLINK("https://otsuka-europe-crm.veevavault.com/ui/#object/email_activity__v/V8C00000003R336", "EN-002092319")</f>
        <v>EN-002092319</v>
      </c>
    </row>
    <row r="6155" spans="1:15" ht="16" x14ac:dyDescent="0.2">
      <c r="A6155" s="17" t="str">
        <f>HYPERLINK("https://otsuka-europe-crm.veevavault.com/ui/#object/account__v/V4TZ0000062R5O8", "Christine Winzer")</f>
        <v>Christine Winzer</v>
      </c>
      <c r="B6155" s="17" t="str">
        <f>HYPERLINK("https://otsuka-europe-crm.veevavault.com/ui/#object/vcountry__v/VENZ000004SONFD", "AT")</f>
        <v>AT</v>
      </c>
      <c r="C6155" s="20" t="s">
        <v>40</v>
      </c>
      <c r="D6155" s="21" t="str">
        <f>HYPERLINK("https://otsuka-europe-crm.veevavault.com/ui/#object/approved_document__v/V5O00000001H020", "VAE AT - Einladung Lupologen WS Westen (Rheumatologie)")</f>
        <v>VAE AT - Einladung Lupologen WS Westen (Rheumatologie)</v>
      </c>
      <c r="E6155" s="22" t="str">
        <f>HYPERLINK("https://otsuka-europe-crm.veevavault.com/ui/#object/sent_email__v/VBL00000002S204", "SE-001434378")</f>
        <v>SE-001434378</v>
      </c>
      <c r="F6155" s="23">
        <v>46181.775601851848</v>
      </c>
      <c r="G6155" s="24">
        <v>1</v>
      </c>
      <c r="H6155" s="24">
        <v>1</v>
      </c>
      <c r="I6155" s="24">
        <v>1</v>
      </c>
      <c r="J6155" s="23">
        <v>46181.782638888886</v>
      </c>
      <c r="K6155" s="24">
        <v>1</v>
      </c>
      <c r="L6155" s="22" t="str">
        <f>HYPERLINK("https://otsuka-europe-crm.veevavault.com/ui/#object/approved_document__v/V5O00000001H020", "VAE AT - Einladung Lupologen WS Westen (Rheumatologie)")</f>
        <v>VAE AT - Einladung Lupologen WS Westen (Rheumatologie)</v>
      </c>
      <c r="M6155" s="22" t="str">
        <f>HYPERLINK("mailto:igrimaldi@crm.otsuka-europe.com", "igrimaldi@crm.otsuka-europe.com")</f>
        <v>igrimaldi@crm.otsuka-europe.com</v>
      </c>
      <c r="N6155" s="23">
        <v>46181.74591435185</v>
      </c>
      <c r="O6155" s="14" t="str">
        <f>HYPERLINK("https://otsuka-europe-crm.veevavault.com/ui/#object/email_activity__v/V8C00000003R261", "EN-002092161")</f>
        <v>EN-002092161</v>
      </c>
    </row>
    <row r="6156" spans="1:15" ht="16" x14ac:dyDescent="0.2">
      <c r="A6156" s="18"/>
      <c r="B6156" s="18"/>
      <c r="C6156" s="18"/>
      <c r="D6156" s="18"/>
      <c r="E6156" s="18"/>
      <c r="F6156" s="18"/>
      <c r="G6156" s="18"/>
      <c r="H6156" s="18"/>
      <c r="I6156" s="18"/>
      <c r="J6156" s="18"/>
      <c r="K6156" s="18"/>
      <c r="L6156" s="18"/>
      <c r="M6156" s="18"/>
      <c r="N6156" s="18"/>
      <c r="O6156" s="14" t="str">
        <f>HYPERLINK("https://otsuka-europe-crm.veevavault.com/ui/#object/email_activity__v/V8C00000003R276", "EN-002092186")</f>
        <v>EN-002092186</v>
      </c>
    </row>
    <row r="6157" spans="1:15" ht="16" x14ac:dyDescent="0.2">
      <c r="A6157" s="19"/>
      <c r="B6157" s="19"/>
      <c r="C6157" s="19"/>
      <c r="D6157" s="19"/>
      <c r="E6157" s="19"/>
      <c r="F6157" s="19"/>
      <c r="G6157" s="19"/>
      <c r="H6157" s="19"/>
      <c r="I6157" s="19"/>
      <c r="J6157" s="19"/>
      <c r="K6157" s="19"/>
      <c r="L6157" s="19"/>
      <c r="M6157" s="19"/>
      <c r="N6157" s="19"/>
      <c r="O6157" s="14" t="str">
        <f>HYPERLINK("https://otsuka-europe-crm.veevavault.com/ui/#object/email_activity__v/V8C00000003R279", "EN-002092191")</f>
        <v>EN-002092191</v>
      </c>
    </row>
    <row r="6158" spans="1:15" ht="48" x14ac:dyDescent="0.2">
      <c r="A6158" s="7" t="str">
        <f>HYPERLINK("https://otsuka-europe-crm.veevavault.com/ui/#object/account__v/V4TZ025E88EID1T", "Eva Manger")</f>
        <v>Eva Manger</v>
      </c>
      <c r="B6158" s="7" t="str">
        <f>HYPERLINK("https://otsuka-europe-crm.veevavault.com/ui/#object/vcountry__v/VENZ000004SONFD", "AT")</f>
        <v>AT</v>
      </c>
      <c r="C6158" s="8" t="s">
        <v>40</v>
      </c>
      <c r="D6158" s="9" t="str">
        <f>HYPERLINK("https://otsuka-europe-crm.veevavault.com/ui/#object/approved_document__v/V5O00000001H020", "VAE AT - Einladung Lupologen WS Westen (Rheumatologie)")</f>
        <v>VAE AT - Einladung Lupologen WS Westen (Rheumatologie)</v>
      </c>
      <c r="E6158" s="10" t="str">
        <f>HYPERLINK("https://otsuka-europe-crm.veevavault.com/ui/#object/sent_email__v/VBL00000002R126", "SE-001434379")</f>
        <v>SE-001434379</v>
      </c>
      <c r="F6158" s="11"/>
      <c r="G6158" s="12">
        <v>0</v>
      </c>
      <c r="H6158" s="12">
        <v>0</v>
      </c>
      <c r="I6158" s="12">
        <v>0</v>
      </c>
      <c r="J6158" s="11"/>
      <c r="K6158" s="12">
        <v>0</v>
      </c>
      <c r="L6158" s="10" t="str">
        <f>HYPERLINK("https://otsuka-europe-crm.veevavault.com/ui/#object/approved_document__v/V5O00000001H020", "VAE AT - Einladung Lupologen WS Westen (Rheumatologie)")</f>
        <v>VAE AT - Einladung Lupologen WS Westen (Rheumatologie)</v>
      </c>
      <c r="M6158" s="10" t="str">
        <f>HYPERLINK("mailto:igrimaldi@crm.otsuka-europe.com", "igrimaldi@crm.otsuka-europe.com")</f>
        <v>igrimaldi@crm.otsuka-europe.com</v>
      </c>
      <c r="N6158" s="13">
        <v>46181.746261574073</v>
      </c>
      <c r="O6158" s="14" t="str">
        <f>HYPERLINK("https://otsuka-europe-crm.veevavault.com/ui/#object/email_activity__v/V8C00000003R263", "EN-002092163")</f>
        <v>EN-002092163</v>
      </c>
    </row>
    <row r="6159" spans="1:15" ht="16" x14ac:dyDescent="0.2">
      <c r="A6159" s="17" t="str">
        <f>HYPERLINK("https://otsuka-europe-crm.veevavault.com/ui/#object/account__v/V4TZ025E88EZF4A", "Simon Reider")</f>
        <v>Simon Reider</v>
      </c>
      <c r="B6159" s="17" t="str">
        <f>HYPERLINK("https://otsuka-europe-crm.veevavault.com/ui/#object/vcountry__v/VENZ000004SONFD", "AT")</f>
        <v>AT</v>
      </c>
      <c r="C6159" s="20" t="s">
        <v>40</v>
      </c>
      <c r="D6159" s="21" t="str">
        <f>HYPERLINK("https://otsuka-europe-crm.veevavault.com/ui/#object/approved_document__v/V5O00000001H020", "VAE AT - Einladung Lupologen WS Westen (Rheumatologie)")</f>
        <v>VAE AT - Einladung Lupologen WS Westen (Rheumatologie)</v>
      </c>
      <c r="E6159" s="22" t="str">
        <f>HYPERLINK("https://otsuka-europe-crm.veevavault.com/ui/#object/sent_email__v/VBL00000002R127", "SE-001434380")</f>
        <v>SE-001434380</v>
      </c>
      <c r="F6159" s="25"/>
      <c r="G6159" s="24">
        <v>0</v>
      </c>
      <c r="H6159" s="24">
        <v>0</v>
      </c>
      <c r="I6159" s="24">
        <v>0</v>
      </c>
      <c r="J6159" s="25"/>
      <c r="K6159" s="24">
        <v>0</v>
      </c>
      <c r="L6159" s="22" t="str">
        <f>HYPERLINK("https://otsuka-europe-crm.veevavault.com/ui/#object/approved_document__v/V5O00000001H020", "VAE AT - Einladung Lupologen WS Westen (Rheumatologie)")</f>
        <v>VAE AT - Einladung Lupologen WS Westen (Rheumatologie)</v>
      </c>
      <c r="M6159" s="22" t="str">
        <f>HYPERLINK("mailto:igrimaldi@crm.otsuka-europe.com", "igrimaldi@crm.otsuka-europe.com")</f>
        <v>igrimaldi@crm.otsuka-europe.com</v>
      </c>
      <c r="N6159" s="23">
        <v>46181.746979166666</v>
      </c>
      <c r="O6159" s="14" t="str">
        <f>HYPERLINK("https://otsuka-europe-crm.veevavault.com/ui/#object/email_activity__v/V8C00000003Q727", "EN-002092289")</f>
        <v>EN-002092289</v>
      </c>
    </row>
    <row r="6160" spans="1:15" ht="16" x14ac:dyDescent="0.2">
      <c r="A6160" s="19"/>
      <c r="B6160" s="19"/>
      <c r="C6160" s="19"/>
      <c r="D6160" s="19"/>
      <c r="E6160" s="19"/>
      <c r="F6160" s="19"/>
      <c r="G6160" s="19"/>
      <c r="H6160" s="19"/>
      <c r="I6160" s="19"/>
      <c r="J6160" s="19"/>
      <c r="K6160" s="19"/>
      <c r="L6160" s="19"/>
      <c r="M6160" s="19"/>
      <c r="N6160" s="19"/>
      <c r="O6160" s="14" t="str">
        <f>HYPERLINK("https://otsuka-europe-crm.veevavault.com/ui/#object/email_activity__v/V8C00000003R266", "EN-002092166")</f>
        <v>EN-002092166</v>
      </c>
    </row>
    <row r="6161" spans="1:15" ht="48" x14ac:dyDescent="0.2">
      <c r="A6161" s="7" t="str">
        <f>HYPERLINK("https://otsuka-europe-crm.veevavault.com/ui/#object/account__v/V4TZ04ASGBX0INU", "Kerstin Brickmann")</f>
        <v>Kerstin Brickmann</v>
      </c>
      <c r="B6161" s="7" t="str">
        <f>HYPERLINK("https://otsuka-europe-crm.veevavault.com/ui/#object/vcountry__v/VENZ000004SONFD", "AT")</f>
        <v>AT</v>
      </c>
      <c r="C6161" s="8" t="s">
        <v>40</v>
      </c>
      <c r="D6161" s="9" t="str">
        <f>HYPERLINK("https://otsuka-europe-crm.veevavault.com/ui/#object/approved_document__v/V5O00000001H020", "VAE AT - Einladung Lupologen WS Westen (Rheumatologie)")</f>
        <v>VAE AT - Einladung Lupologen WS Westen (Rheumatologie)</v>
      </c>
      <c r="E6161" s="10" t="str">
        <f>HYPERLINK("https://otsuka-europe-crm.veevavault.com/ui/#object/sent_email__v/VBL00000002S205", "SE-001434381")</f>
        <v>SE-001434381</v>
      </c>
      <c r="F6161" s="11"/>
      <c r="G6161" s="12">
        <v>0</v>
      </c>
      <c r="H6161" s="12">
        <v>0</v>
      </c>
      <c r="I6161" s="12">
        <v>0</v>
      </c>
      <c r="J6161" s="11"/>
      <c r="K6161" s="12">
        <v>0</v>
      </c>
      <c r="L6161" s="10" t="str">
        <f>HYPERLINK("https://otsuka-europe-crm.veevavault.com/ui/#object/approved_document__v/V5O00000001H020", "VAE AT - Einladung Lupologen WS Westen (Rheumatologie)")</f>
        <v>VAE AT - Einladung Lupologen WS Westen (Rheumatologie)</v>
      </c>
      <c r="M6161" s="10" t="str">
        <f>HYPERLINK("mailto:igrimaldi@crm.otsuka-europe.com", "igrimaldi@crm.otsuka-europe.com")</f>
        <v>igrimaldi@crm.otsuka-europe.com</v>
      </c>
      <c r="N6161" s="13">
        <v>46181.747291666667</v>
      </c>
      <c r="O6161" s="14" t="str">
        <f>HYPERLINK("https://otsuka-europe-crm.veevavault.com/ui/#object/email_activity__v/V8C00000003R267", "EN-002092167")</f>
        <v>EN-002092167</v>
      </c>
    </row>
    <row r="6162" spans="1:15" ht="16" x14ac:dyDescent="0.2">
      <c r="A6162" s="17" t="str">
        <f>HYPERLINK("https://otsuka-europe-crm.veevavault.com/ui/#object/account__v/V4TZ06G6OBU7FC4", "Slavita-Lina Vorga")</f>
        <v>Slavita-Lina Vorga</v>
      </c>
      <c r="B6162" s="17" t="str">
        <f>HYPERLINK("https://otsuka-europe-crm.veevavault.com/ui/#object/vcountry__v/VENZ000004SONFD", "AT")</f>
        <v>AT</v>
      </c>
      <c r="C6162" s="20" t="s">
        <v>40</v>
      </c>
      <c r="D6162" s="21" t="str">
        <f>HYPERLINK("https://otsuka-europe-crm.veevavault.com/ui/#object/approved_document__v/V5O00000001H018", "VAE AT - Einladung Lupologen WS Westen (Nephrologie)")</f>
        <v>VAE AT - Einladung Lupologen WS Westen (Nephrologie)</v>
      </c>
      <c r="E6162" s="22" t="str">
        <f>HYPERLINK("https://otsuka-europe-crm.veevavault.com/ui/#object/sent_email__v/VBL00000002S206", "SE-001434382")</f>
        <v>SE-001434382</v>
      </c>
      <c r="F6162" s="23">
        <v>46183.595729166664</v>
      </c>
      <c r="G6162" s="24">
        <v>1</v>
      </c>
      <c r="H6162" s="24">
        <v>1</v>
      </c>
      <c r="I6162" s="24">
        <v>1</v>
      </c>
      <c r="J6162" s="23">
        <v>46183.596087962964</v>
      </c>
      <c r="K6162" s="24">
        <v>2</v>
      </c>
      <c r="L6162" s="22" t="str">
        <f>HYPERLINK("https://otsuka-europe-crm.veevavault.com/ui/#object/approved_document__v/V5O00000001H018", "VAE AT - Einladung Lupologen WS Westen (Nephrologie)")</f>
        <v>VAE AT - Einladung Lupologen WS Westen (Nephrologie)</v>
      </c>
      <c r="M6162" s="22" t="str">
        <f>HYPERLINK("mailto:igrimaldi@crm.otsuka-europe.com", "igrimaldi@crm.otsuka-europe.com")</f>
        <v>igrimaldi@crm.otsuka-europe.com</v>
      </c>
      <c r="N6162" s="23">
        <v>46181.747997685183</v>
      </c>
      <c r="O6162" s="14" t="str">
        <f>HYPERLINK("https://otsuka-europe-crm.veevavault.com/ui/#object/email_activity__v/V8C00000003Q663", "EN-002092168")</f>
        <v>EN-002092168</v>
      </c>
    </row>
    <row r="6163" spans="1:15" ht="16" x14ac:dyDescent="0.2">
      <c r="A6163" s="18"/>
      <c r="B6163" s="18"/>
      <c r="C6163" s="18"/>
      <c r="D6163" s="18"/>
      <c r="E6163" s="18"/>
      <c r="F6163" s="18"/>
      <c r="G6163" s="18"/>
      <c r="H6163" s="18"/>
      <c r="I6163" s="18"/>
      <c r="J6163" s="18"/>
      <c r="K6163" s="18"/>
      <c r="L6163" s="18"/>
      <c r="M6163" s="18"/>
      <c r="N6163" s="18"/>
      <c r="O6163" s="14" t="str">
        <f>HYPERLINK("https://otsuka-europe-crm.veevavault.com/ui/#object/email_activity__v/V8C00000003S689", "EN-002094269")</f>
        <v>EN-002094269</v>
      </c>
    </row>
    <row r="6164" spans="1:15" ht="16" x14ac:dyDescent="0.2">
      <c r="A6164" s="18"/>
      <c r="B6164" s="18"/>
      <c r="C6164" s="18"/>
      <c r="D6164" s="18"/>
      <c r="E6164" s="18"/>
      <c r="F6164" s="18"/>
      <c r="G6164" s="18"/>
      <c r="H6164" s="18"/>
      <c r="I6164" s="18"/>
      <c r="J6164" s="18"/>
      <c r="K6164" s="18"/>
      <c r="L6164" s="18"/>
      <c r="M6164" s="18"/>
      <c r="N6164" s="18"/>
      <c r="O6164" s="14" t="str">
        <f>HYPERLINK("https://otsuka-europe-crm.veevavault.com/ui/#object/email_activity__v/V8C00000003S690", "EN-002094268")</f>
        <v>EN-002094268</v>
      </c>
    </row>
    <row r="6165" spans="1:15" ht="16" x14ac:dyDescent="0.2">
      <c r="A6165" s="18"/>
      <c r="B6165" s="18"/>
      <c r="C6165" s="18"/>
      <c r="D6165" s="18"/>
      <c r="E6165" s="18"/>
      <c r="F6165" s="18"/>
      <c r="G6165" s="18"/>
      <c r="H6165" s="18"/>
      <c r="I6165" s="18"/>
      <c r="J6165" s="18"/>
      <c r="K6165" s="18"/>
      <c r="L6165" s="18"/>
      <c r="M6165" s="18"/>
      <c r="N6165" s="18"/>
      <c r="O6165" s="14" t="str">
        <f>HYPERLINK("https://otsuka-europe-crm.veevavault.com/ui/#object/email_activity__v/V8C00000003S691", "EN-002094270")</f>
        <v>EN-002094270</v>
      </c>
    </row>
    <row r="6166" spans="1:15" ht="16" x14ac:dyDescent="0.2">
      <c r="A6166" s="19"/>
      <c r="B6166" s="19"/>
      <c r="C6166" s="19"/>
      <c r="D6166" s="19"/>
      <c r="E6166" s="19"/>
      <c r="F6166" s="19"/>
      <c r="G6166" s="19"/>
      <c r="H6166" s="19"/>
      <c r="I6166" s="19"/>
      <c r="J6166" s="19"/>
      <c r="K6166" s="19"/>
      <c r="L6166" s="19"/>
      <c r="M6166" s="19"/>
      <c r="N6166" s="19"/>
      <c r="O6166" s="14" t="str">
        <f>HYPERLINK("https://otsuka-europe-crm.veevavault.com/ui/#object/email_activity__v/V8C00000003S700", "EN-002094288")</f>
        <v>EN-002094288</v>
      </c>
    </row>
    <row r="6167" spans="1:15" ht="16" x14ac:dyDescent="0.2">
      <c r="A6167" s="17" t="str">
        <f>HYPERLINK("https://otsuka-europe-crm.veevavault.com/ui/#object/account__v/V4TZ025E87GLQAZ", "LAURA GHESQUIERE SEGUNDO")</f>
        <v>LAURA GHESQUIERE SEGUNDO</v>
      </c>
      <c r="B6167" s="17" t="str">
        <f>HYPERLINK("https://otsuka-europe-crm.veevavault.com/ui/#object/vcountry__v/VENZ000004SONF5", "ES")</f>
        <v>ES</v>
      </c>
      <c r="C6167" s="20" t="s">
        <v>41</v>
      </c>
      <c r="D6167" s="21" t="str">
        <f>HYPERLINK("https://otsuka-europe-crm.veevavault.com/ui/#object/approved_document__v/V5OZ025E82TP0C5", "ENFERMERÍA - Guía de Manejo Psicoterapéutico")</f>
        <v>ENFERMERÍA - Guía de Manejo Psicoterapéutico</v>
      </c>
      <c r="E6167" s="22" t="str">
        <f>HYPERLINK("https://otsuka-europe-crm.veevavault.com/ui/#object/sent_email__v/VBL00000002R128", "SE-001434383")</f>
        <v>SE-001434383</v>
      </c>
      <c r="F6167" s="23">
        <v>46196.382106481484</v>
      </c>
      <c r="G6167" s="24">
        <v>1</v>
      </c>
      <c r="H6167" s="24">
        <v>1</v>
      </c>
      <c r="I6167" s="24">
        <v>0</v>
      </c>
      <c r="J6167" s="25"/>
      <c r="K6167" s="24">
        <v>0</v>
      </c>
      <c r="L6167" s="22" t="str">
        <f>HYPERLINK("https://otsuka-europe-crm.veevavault.com/ui/#object/approved_document__v/V5OZ025E82TP0C5", "ENFERMERÍA - Guía de Manejo Psicoterapéutico")</f>
        <v>ENFERMERÍA - Guía de Manejo Psicoterapéutico</v>
      </c>
      <c r="M6167" s="22" t="str">
        <f>HYPERLINK("mailto:mgravan@crm.otsuka-europe.com", "mgravan@crm.otsuka-europe.com")</f>
        <v>mgravan@crm.otsuka-europe.com</v>
      </c>
      <c r="N6167" s="23">
        <v>46196.379444444443</v>
      </c>
      <c r="O6167" s="14" t="str">
        <f>HYPERLINK("https://otsuka-europe-crm.veevavault.com/ui/#object/email_activity__v/V8C000000040270", "EN-002099188")</f>
        <v>EN-002099188</v>
      </c>
    </row>
    <row r="6168" spans="1:15" ht="16" x14ac:dyDescent="0.2">
      <c r="A6168" s="19"/>
      <c r="B6168" s="19"/>
      <c r="C6168" s="19"/>
      <c r="D6168" s="19"/>
      <c r="E6168" s="19"/>
      <c r="F6168" s="19"/>
      <c r="G6168" s="19"/>
      <c r="H6168" s="19"/>
      <c r="I6168" s="19"/>
      <c r="J6168" s="19"/>
      <c r="K6168" s="19"/>
      <c r="L6168" s="19"/>
      <c r="M6168" s="19"/>
      <c r="N6168" s="19"/>
      <c r="O6168" s="14" t="str">
        <f>HYPERLINK("https://otsuka-europe-crm.veevavault.com/ui/#object/email_activity__v/V8C000000040318", "EN-002099260")</f>
        <v>EN-002099260</v>
      </c>
    </row>
    <row r="6169" spans="1:15" ht="16" x14ac:dyDescent="0.2">
      <c r="A6169" s="17" t="str">
        <f>HYPERLINK("https://otsuka-europe-crm.veevavault.com/ui/#object/account__v/V4TZ025E8484V65", "ELOISA MARIA CALDERON PIZARRO")</f>
        <v>ELOISA MARIA CALDERON PIZARRO</v>
      </c>
      <c r="B6169" s="17" t="str">
        <f>HYPERLINK("https://otsuka-europe-crm.veevavault.com/ui/#object/vcountry__v/VENZ000004SONF5", "ES")</f>
        <v>ES</v>
      </c>
      <c r="C6169" s="20" t="s">
        <v>41</v>
      </c>
      <c r="D6169" s="21" t="str">
        <f>HYPERLINK("https://otsuka-europe-crm.veevavault.com/ui/#object/approved_document__v/V5OZ025E82TP0C5", "ENFERMERÍA - Guía de Manejo Psicoterapéutico")</f>
        <v>ENFERMERÍA - Guía de Manejo Psicoterapéutico</v>
      </c>
      <c r="E6169" s="22" t="str">
        <f>HYPERLINK("https://otsuka-europe-crm.veevavault.com/ui/#object/sent_email__v/VBL00000002R129", "SE-001434384")</f>
        <v>SE-001434384</v>
      </c>
      <c r="F6169" s="23">
        <v>46198.511481481481</v>
      </c>
      <c r="G6169" s="24">
        <v>1</v>
      </c>
      <c r="H6169" s="24">
        <v>1</v>
      </c>
      <c r="I6169" s="24">
        <v>0</v>
      </c>
      <c r="J6169" s="25"/>
      <c r="K6169" s="24">
        <v>0</v>
      </c>
      <c r="L6169" s="22" t="str">
        <f>HYPERLINK("https://otsuka-europe-crm.veevavault.com/ui/#object/approved_document__v/V5OZ025E82TP0C5", "ENFERMERÍA - Guía de Manejo Psicoterapéutico")</f>
        <v>ENFERMERÍA - Guía de Manejo Psicoterapéutico</v>
      </c>
      <c r="M6169" s="22" t="str">
        <f>HYPERLINK("mailto:mgravan@crm.otsuka-europe.com", "mgravan@crm.otsuka-europe.com")</f>
        <v>mgravan@crm.otsuka-europe.com</v>
      </c>
      <c r="N6169" s="23">
        <v>46196.379444444443</v>
      </c>
      <c r="O6169" s="14" t="str">
        <f>HYPERLINK("https://otsuka-europe-crm.veevavault.com/ui/#object/email_activity__v/V8C00000003Z494", "EN-002099676")</f>
        <v>EN-002099676</v>
      </c>
    </row>
    <row r="6170" spans="1:15" ht="16" x14ac:dyDescent="0.2">
      <c r="A6170" s="19"/>
      <c r="B6170" s="19"/>
      <c r="C6170" s="19"/>
      <c r="D6170" s="19"/>
      <c r="E6170" s="19"/>
      <c r="F6170" s="19"/>
      <c r="G6170" s="19"/>
      <c r="H6170" s="19"/>
      <c r="I6170" s="19"/>
      <c r="J6170" s="19"/>
      <c r="K6170" s="19"/>
      <c r="L6170" s="19"/>
      <c r="M6170" s="19"/>
      <c r="N6170" s="19"/>
      <c r="O6170" s="14" t="str">
        <f>HYPERLINK("https://otsuka-europe-crm.veevavault.com/ui/#object/email_activity__v/V8C000000040256", "EN-002099174")</f>
        <v>EN-002099174</v>
      </c>
    </row>
    <row r="6171" spans="1:15" ht="32" x14ac:dyDescent="0.2">
      <c r="A6171" s="7" t="str">
        <f>HYPERLINK("https://otsuka-europe-crm.veevavault.com/ui/#object/account__v/V4TZ06G6O71TDA5", "FRANCISCA REGUERA GALLARDO")</f>
        <v>FRANCISCA REGUERA GALLARDO</v>
      </c>
      <c r="B6171" s="7" t="str">
        <f>HYPERLINK("https://otsuka-europe-crm.veevavault.com/ui/#object/vcountry__v/VENZ000004SONF5", "ES")</f>
        <v>ES</v>
      </c>
      <c r="C6171" s="8" t="s">
        <v>41</v>
      </c>
      <c r="D6171" s="9" t="str">
        <f>HYPERLINK("https://otsuka-europe-crm.veevavault.com/ui/#object/approved_document__v/V5OZ025E82TP0C5", "ENFERMERÍA - Guía de Manejo Psicoterapéutico")</f>
        <v>ENFERMERÍA - Guía de Manejo Psicoterapéutico</v>
      </c>
      <c r="E6171" s="10" t="str">
        <f>HYPERLINK("https://otsuka-europe-crm.veevavault.com/ui/#object/sent_email__v/VBL00000002R130", "SE-001434385")</f>
        <v>SE-001434385</v>
      </c>
      <c r="F6171" s="11"/>
      <c r="G6171" s="12">
        <v>0</v>
      </c>
      <c r="H6171" s="12">
        <v>0</v>
      </c>
      <c r="I6171" s="12">
        <v>0</v>
      </c>
      <c r="J6171" s="11"/>
      <c r="K6171" s="12">
        <v>0</v>
      </c>
      <c r="L6171" s="10" t="str">
        <f>HYPERLINK("https://otsuka-europe-crm.veevavault.com/ui/#object/approved_document__v/V5OZ025E82TP0C5", "ENFERMERÍA - Guía de Manejo Psicoterapéutico")</f>
        <v>ENFERMERÍA - Guía de Manejo Psicoterapéutico</v>
      </c>
      <c r="M6171" s="10" t="str">
        <f>HYPERLINK("mailto:mgravan@crm.otsuka-europe.com", "mgravan@crm.otsuka-europe.com")</f>
        <v>mgravan@crm.otsuka-europe.com</v>
      </c>
      <c r="N6171" s="13">
        <v>46196.379444444443</v>
      </c>
      <c r="O6171" s="14" t="str">
        <f>HYPERLINK("https://otsuka-europe-crm.veevavault.com/ui/#object/email_activity__v/V8C000000040287", "EN-002099216")</f>
        <v>EN-002099216</v>
      </c>
    </row>
    <row r="6172" spans="1:15" ht="16" x14ac:dyDescent="0.2">
      <c r="A6172" s="17" t="str">
        <f>HYPERLINK("https://otsuka-europe-crm.veevavault.com/ui/#object/account__v/V4TZ025E87NZ0AY", "CARMEN ARAGON SANCHEZ")</f>
        <v>CARMEN ARAGON SANCHEZ</v>
      </c>
      <c r="B6172" s="17" t="str">
        <f>HYPERLINK("https://otsuka-europe-crm.veevavault.com/ui/#object/vcountry__v/VENZ000004SONF5", "ES")</f>
        <v>ES</v>
      </c>
      <c r="C6172" s="20" t="s">
        <v>41</v>
      </c>
      <c r="D6172" s="21" t="str">
        <f>HYPERLINK("https://otsuka-europe-crm.veevavault.com/ui/#object/approved_document__v/V5OZ025E82TP0C5", "ENFERMERÍA - Guía de Manejo Psicoterapéutico")</f>
        <v>ENFERMERÍA - Guía de Manejo Psicoterapéutico</v>
      </c>
      <c r="E6172" s="22" t="str">
        <f>HYPERLINK("https://otsuka-europe-crm.veevavault.com/ui/#object/sent_email__v/VBL00000002R131", "SE-001434386")</f>
        <v>SE-001434386</v>
      </c>
      <c r="F6172" s="23">
        <v>46197.2815162037</v>
      </c>
      <c r="G6172" s="24">
        <v>1</v>
      </c>
      <c r="H6172" s="24">
        <v>2</v>
      </c>
      <c r="I6172" s="24">
        <v>0</v>
      </c>
      <c r="J6172" s="25"/>
      <c r="K6172" s="24">
        <v>0</v>
      </c>
      <c r="L6172" s="22" t="str">
        <f>HYPERLINK("https://otsuka-europe-crm.veevavault.com/ui/#object/approved_document__v/V5OZ025E82TP0C5", "ENFERMERÍA - Guía de Manejo Psicoterapéutico")</f>
        <v>ENFERMERÍA - Guía de Manejo Psicoterapéutico</v>
      </c>
      <c r="M6172" s="22" t="str">
        <f>HYPERLINK("mailto:mgravan@crm.otsuka-europe.com", "mgravan@crm.otsuka-europe.com")</f>
        <v>mgravan@crm.otsuka-europe.com</v>
      </c>
      <c r="N6172" s="23">
        <v>46196.379444444443</v>
      </c>
      <c r="O6172" s="14" t="str">
        <f>HYPERLINK("https://otsuka-europe-crm.veevavault.com/ui/#object/email_activity__v/V8C000000040301", "EN-002099238")</f>
        <v>EN-002099238</v>
      </c>
    </row>
    <row r="6173" spans="1:15" ht="16" x14ac:dyDescent="0.2">
      <c r="A6173" s="18"/>
      <c r="B6173" s="18"/>
      <c r="C6173" s="18"/>
      <c r="D6173" s="18"/>
      <c r="E6173" s="18"/>
      <c r="F6173" s="18"/>
      <c r="G6173" s="18"/>
      <c r="H6173" s="18"/>
      <c r="I6173" s="18"/>
      <c r="J6173" s="18"/>
      <c r="K6173" s="18"/>
      <c r="L6173" s="18"/>
      <c r="M6173" s="18"/>
      <c r="N6173" s="18"/>
      <c r="O6173" s="14" t="str">
        <f>HYPERLINK("https://otsuka-europe-crm.veevavault.com/ui/#object/email_activity__v/V8C000000040446", "EN-002099468")</f>
        <v>EN-002099468</v>
      </c>
    </row>
    <row r="6174" spans="1:15" ht="16" x14ac:dyDescent="0.2">
      <c r="A6174" s="19"/>
      <c r="B6174" s="19"/>
      <c r="C6174" s="19"/>
      <c r="D6174" s="19"/>
      <c r="E6174" s="19"/>
      <c r="F6174" s="19"/>
      <c r="G6174" s="19"/>
      <c r="H6174" s="19"/>
      <c r="I6174" s="19"/>
      <c r="J6174" s="19"/>
      <c r="K6174" s="19"/>
      <c r="L6174" s="19"/>
      <c r="M6174" s="19"/>
      <c r="N6174" s="19"/>
      <c r="O6174" s="14" t="str">
        <f>HYPERLINK("https://otsuka-europe-crm.veevavault.com/ui/#object/email_activity__v/V8C000000040458", "EN-002099496")</f>
        <v>EN-002099496</v>
      </c>
    </row>
    <row r="6175" spans="1:15" ht="32" x14ac:dyDescent="0.2">
      <c r="A6175" s="7" t="str">
        <f>HYPERLINK("https://otsuka-europe-crm.veevavault.com/ui/#object/account__v/V4TZ06G6O71TDE2", "JERONIMA HERRERA JIMENEZ")</f>
        <v>JERONIMA HERRERA JIMENEZ</v>
      </c>
      <c r="B6175" s="7" t="str">
        <f>HYPERLINK("https://otsuka-europe-crm.veevavault.com/ui/#object/vcountry__v/VENZ000004SONF5", "ES")</f>
        <v>ES</v>
      </c>
      <c r="C6175" s="8" t="s">
        <v>41</v>
      </c>
      <c r="D6175" s="9" t="str">
        <f>HYPERLINK("https://otsuka-europe-crm.veevavault.com/ui/#object/approved_document__v/V5OZ025E82TP0C5", "ENFERMERÍA - Guía de Manejo Psicoterapéutico")</f>
        <v>ENFERMERÍA - Guía de Manejo Psicoterapéutico</v>
      </c>
      <c r="E6175" s="10" t="str">
        <f>HYPERLINK("https://otsuka-europe-crm.veevavault.com/ui/#object/sent_email__v/VBL00000002R132", "SE-001434387")</f>
        <v>SE-001434387</v>
      </c>
      <c r="F6175" s="11"/>
      <c r="G6175" s="12">
        <v>0</v>
      </c>
      <c r="H6175" s="12">
        <v>0</v>
      </c>
      <c r="I6175" s="12">
        <v>0</v>
      </c>
      <c r="J6175" s="11"/>
      <c r="K6175" s="12">
        <v>0</v>
      </c>
      <c r="L6175" s="10" t="str">
        <f>HYPERLINK("https://otsuka-europe-crm.veevavault.com/ui/#object/approved_document__v/V5OZ025E82TP0C5", "ENFERMERÍA - Guía de Manejo Psicoterapéutico")</f>
        <v>ENFERMERÍA - Guía de Manejo Psicoterapéutico</v>
      </c>
      <c r="M6175" s="10" t="str">
        <f>HYPERLINK("mailto:mgravan@crm.otsuka-europe.com", "mgravan@crm.otsuka-europe.com")</f>
        <v>mgravan@crm.otsuka-europe.com</v>
      </c>
      <c r="N6175" s="13">
        <v>46196.379467592589</v>
      </c>
      <c r="O6175" s="14" t="str">
        <f>HYPERLINK("https://otsuka-europe-crm.veevavault.com/ui/#object/email_activity__v/V8C00000003Z303", "EN-002099200")</f>
        <v>EN-002099200</v>
      </c>
    </row>
    <row r="6176" spans="1:15" ht="16" x14ac:dyDescent="0.2">
      <c r="A6176" s="17" t="str">
        <f>HYPERLINK("https://otsuka-europe-crm.veevavault.com/ui/#object/account__v/V4T000000022001", "MARIA DEL CARMEN PORTILLO SOTELO")</f>
        <v>MARIA DEL CARMEN PORTILLO SOTELO</v>
      </c>
      <c r="B6176" s="17" t="str">
        <f>HYPERLINK("https://otsuka-europe-crm.veevavault.com/ui/#object/vcountry__v/VENZ000004SONF5", "ES")</f>
        <v>ES</v>
      </c>
      <c r="C6176" s="20" t="s">
        <v>41</v>
      </c>
      <c r="D6176" s="21" t="str">
        <f>HYPERLINK("https://otsuka-europe-crm.veevavault.com/ui/#object/approved_document__v/V5OZ025E82TP0C5", "ENFERMERÍA - Guía de Manejo Psicoterapéutico")</f>
        <v>ENFERMERÍA - Guía de Manejo Psicoterapéutico</v>
      </c>
      <c r="E6176" s="22" t="str">
        <f>HYPERLINK("https://otsuka-europe-crm.veevavault.com/ui/#object/sent_email__v/VBL00000002R133", "SE-001434388")</f>
        <v>SE-001434388</v>
      </c>
      <c r="F6176" s="23">
        <v>46198.430925925924</v>
      </c>
      <c r="G6176" s="24">
        <v>1</v>
      </c>
      <c r="H6176" s="24">
        <v>1</v>
      </c>
      <c r="I6176" s="24">
        <v>0</v>
      </c>
      <c r="J6176" s="25"/>
      <c r="K6176" s="24">
        <v>0</v>
      </c>
      <c r="L6176" s="22" t="str">
        <f>HYPERLINK("https://otsuka-europe-crm.veevavault.com/ui/#object/approved_document__v/V5OZ025E82TP0C5", "ENFERMERÍA - Guía de Manejo Psicoterapéutico")</f>
        <v>ENFERMERÍA - Guía de Manejo Psicoterapéutico</v>
      </c>
      <c r="M6176" s="22" t="str">
        <f>HYPERLINK("mailto:mgravan@crm.otsuka-europe.com", "mgravan@crm.otsuka-europe.com")</f>
        <v>mgravan@crm.otsuka-europe.com</v>
      </c>
      <c r="N6176" s="23">
        <v>46196.37945601852</v>
      </c>
      <c r="O6176" s="14" t="str">
        <f>HYPERLINK("https://otsuka-europe-crm.veevavault.com/ui/#object/email_activity__v/V8C00000003Z484", "EN-002099658")</f>
        <v>EN-002099658</v>
      </c>
    </row>
    <row r="6177" spans="1:15" ht="16" x14ac:dyDescent="0.2">
      <c r="A6177" s="19"/>
      <c r="B6177" s="19"/>
      <c r="C6177" s="19"/>
      <c r="D6177" s="19"/>
      <c r="E6177" s="19"/>
      <c r="F6177" s="19"/>
      <c r="G6177" s="19"/>
      <c r="H6177" s="19"/>
      <c r="I6177" s="19"/>
      <c r="J6177" s="19"/>
      <c r="K6177" s="19"/>
      <c r="L6177" s="19"/>
      <c r="M6177" s="19"/>
      <c r="N6177" s="19"/>
      <c r="O6177" s="14" t="str">
        <f>HYPERLINK("https://otsuka-europe-crm.veevavault.com/ui/#object/email_activity__v/V8C000000040304", "EN-002099241")</f>
        <v>EN-002099241</v>
      </c>
    </row>
    <row r="6178" spans="1:15" ht="16" x14ac:dyDescent="0.2">
      <c r="A6178" s="17" t="str">
        <f>HYPERLINK("https://otsuka-europe-crm.veevavault.com/ui/#object/account__v/V4TZ025E87SHGRD", "ENCARNACION GRIMALDI PUYANA")</f>
        <v>ENCARNACION GRIMALDI PUYANA</v>
      </c>
      <c r="B6178" s="17" t="str">
        <f>HYPERLINK("https://otsuka-europe-crm.veevavault.com/ui/#object/vcountry__v/VENZ000004SONF5", "ES")</f>
        <v>ES</v>
      </c>
      <c r="C6178" s="20" t="s">
        <v>41</v>
      </c>
      <c r="D6178" s="21" t="str">
        <f>HYPERLINK("https://otsuka-europe-crm.veevavault.com/ui/#object/approved_document__v/V5OZ025E82TP0C5", "ENFERMERÍA - Guía de Manejo Psicoterapéutico")</f>
        <v>ENFERMERÍA - Guía de Manejo Psicoterapéutico</v>
      </c>
      <c r="E6178" s="22" t="str">
        <f>HYPERLINK("https://otsuka-europe-crm.veevavault.com/ui/#object/sent_email__v/VBL00000002R134", "SE-001434389")</f>
        <v>SE-001434389</v>
      </c>
      <c r="F6178" s="25"/>
      <c r="G6178" s="24">
        <v>0</v>
      </c>
      <c r="H6178" s="24">
        <v>0</v>
      </c>
      <c r="I6178" s="24">
        <v>0</v>
      </c>
      <c r="J6178" s="25"/>
      <c r="K6178" s="24">
        <v>0</v>
      </c>
      <c r="L6178" s="22" t="str">
        <f>HYPERLINK("https://otsuka-europe-crm.veevavault.com/ui/#object/approved_document__v/V5OZ025E82TP0C5", "ENFERMERÍA - Guía de Manejo Psicoterapéutico")</f>
        <v>ENFERMERÍA - Guía de Manejo Psicoterapéutico</v>
      </c>
      <c r="M6178" s="22" t="str">
        <f>HYPERLINK("mailto:mgravan@crm.otsuka-europe.com", "mgravan@crm.otsuka-europe.com")</f>
        <v>mgravan@crm.otsuka-europe.com</v>
      </c>
      <c r="N6178" s="23">
        <v>46196.379467592589</v>
      </c>
      <c r="O6178" s="14" t="str">
        <f>HYPERLINK("https://otsuka-europe-crm.veevavault.com/ui/#object/email_activity__v/V8C00000003Z294", "EN-002099190")</f>
        <v>EN-002099190</v>
      </c>
    </row>
    <row r="6179" spans="1:15" ht="16" x14ac:dyDescent="0.2">
      <c r="A6179" s="18"/>
      <c r="B6179" s="18"/>
      <c r="C6179" s="18"/>
      <c r="D6179" s="18"/>
      <c r="E6179" s="18"/>
      <c r="F6179" s="18"/>
      <c r="G6179" s="18"/>
      <c r="H6179" s="18"/>
      <c r="I6179" s="18"/>
      <c r="J6179" s="18"/>
      <c r="K6179" s="18"/>
      <c r="L6179" s="18"/>
      <c r="M6179" s="18"/>
      <c r="N6179" s="18"/>
      <c r="O6179" s="14" t="str">
        <f>HYPERLINK("https://otsuka-europe-crm.veevavault.com/ui/#object/email_activity__v/V8C00000003Z498", "EN-002099684")</f>
        <v>EN-002099684</v>
      </c>
    </row>
    <row r="6180" spans="1:15" ht="16" x14ac:dyDescent="0.2">
      <c r="A6180" s="18"/>
      <c r="B6180" s="18"/>
      <c r="C6180" s="18"/>
      <c r="D6180" s="18"/>
      <c r="E6180" s="18"/>
      <c r="F6180" s="18"/>
      <c r="G6180" s="18"/>
      <c r="H6180" s="18"/>
      <c r="I6180" s="18"/>
      <c r="J6180" s="18"/>
      <c r="K6180" s="18"/>
      <c r="L6180" s="18"/>
      <c r="M6180" s="18"/>
      <c r="N6180" s="18"/>
      <c r="O6180" s="14" t="str">
        <f>HYPERLINK("https://otsuka-europe-crm.veevavault.com/ui/#object/email_activity__v/V8C000000040443", "EN-002099464")</f>
        <v>EN-002099464</v>
      </c>
    </row>
    <row r="6181" spans="1:15" ht="16" x14ac:dyDescent="0.2">
      <c r="A6181" s="19"/>
      <c r="B6181" s="19"/>
      <c r="C6181" s="19"/>
      <c r="D6181" s="19"/>
      <c r="E6181" s="19"/>
      <c r="F6181" s="19"/>
      <c r="G6181" s="19"/>
      <c r="H6181" s="19"/>
      <c r="I6181" s="19"/>
      <c r="J6181" s="19"/>
      <c r="K6181" s="19"/>
      <c r="L6181" s="19"/>
      <c r="M6181" s="19"/>
      <c r="N6181" s="19"/>
      <c r="O6181" s="14" t="str">
        <f>HYPERLINK("https://otsuka-europe-crm.veevavault.com/ui/#object/email_activity__v/V8C000000040453", "EN-002099489")</f>
        <v>EN-002099489</v>
      </c>
    </row>
    <row r="6182" spans="1:15" ht="32" x14ac:dyDescent="0.2">
      <c r="A6182" s="7" t="str">
        <f>HYPERLINK("https://otsuka-europe-crm.veevavault.com/ui/#object/account__v/V4T000000020017", "BELEN VAZQUEZ FERNANDEZ")</f>
        <v>BELEN VAZQUEZ FERNANDEZ</v>
      </c>
      <c r="B6182" s="7" t="str">
        <f>HYPERLINK("https://otsuka-europe-crm.veevavault.com/ui/#object/vcountry__v/VENZ000004SONF5", "ES")</f>
        <v>ES</v>
      </c>
      <c r="C6182" s="8" t="s">
        <v>41</v>
      </c>
      <c r="D6182" s="9" t="str">
        <f>HYPERLINK("https://otsuka-europe-crm.veevavault.com/ui/#object/approved_document__v/V5OZ025E82TP0C5", "ENFERMERÍA - Guía de Manejo Psicoterapéutico")</f>
        <v>ENFERMERÍA - Guía de Manejo Psicoterapéutico</v>
      </c>
      <c r="E6182" s="10" t="str">
        <f>HYPERLINK("https://otsuka-europe-crm.veevavault.com/ui/#object/sent_email__v/VBL00000002R135", "SE-001434390")</f>
        <v>SE-001434390</v>
      </c>
      <c r="F6182" s="11"/>
      <c r="G6182" s="12">
        <v>0</v>
      </c>
      <c r="H6182" s="12">
        <v>0</v>
      </c>
      <c r="I6182" s="12">
        <v>0</v>
      </c>
      <c r="J6182" s="11"/>
      <c r="K6182" s="12">
        <v>0</v>
      </c>
      <c r="L6182" s="10" t="str">
        <f>HYPERLINK("https://otsuka-europe-crm.veevavault.com/ui/#object/approved_document__v/V5OZ025E82TP0C5", "ENFERMERÍA - Guía de Manejo Psicoterapéutico")</f>
        <v>ENFERMERÍA - Guía de Manejo Psicoterapéutico</v>
      </c>
      <c r="M6182" s="10" t="str">
        <f>HYPERLINK("mailto:mgravan@crm.otsuka-europe.com", "mgravan@crm.otsuka-europe.com")</f>
        <v>mgravan@crm.otsuka-europe.com</v>
      </c>
      <c r="N6182" s="13">
        <v>46196.379444444443</v>
      </c>
      <c r="O6182" s="14" t="str">
        <f>HYPERLINK("https://otsuka-europe-crm.veevavault.com/ui/#object/email_activity__v/V8C000000040257", "EN-002099175")</f>
        <v>EN-002099175</v>
      </c>
    </row>
    <row r="6183" spans="1:15" ht="16" x14ac:dyDescent="0.2">
      <c r="A6183" s="17" t="str">
        <f>HYPERLINK("https://otsuka-europe-crm.veevavault.com/ui/#object/account__v/V4TZ06G6O71TD58", "PILAR LOZANO SANJUAN")</f>
        <v>PILAR LOZANO SANJUAN</v>
      </c>
      <c r="B6183" s="17" t="str">
        <f>HYPERLINK("https://otsuka-europe-crm.veevavault.com/ui/#object/vcountry__v/VENZ000004SONF5", "ES")</f>
        <v>ES</v>
      </c>
      <c r="C6183" s="20" t="s">
        <v>41</v>
      </c>
      <c r="D6183" s="21" t="str">
        <f>HYPERLINK("https://otsuka-europe-crm.veevavault.com/ui/#object/approved_document__v/V5OZ025E82TP0C5", "ENFERMERÍA - Guía de Manejo Psicoterapéutico")</f>
        <v>ENFERMERÍA - Guía de Manejo Psicoterapéutico</v>
      </c>
      <c r="E6183" s="22" t="str">
        <f>HYPERLINK("https://otsuka-europe-crm.veevavault.com/ui/#object/sent_email__v/VBL00000002R136", "SE-001434391")</f>
        <v>SE-001434391</v>
      </c>
      <c r="F6183" s="23">
        <v>46196.672766203701</v>
      </c>
      <c r="G6183" s="24">
        <v>1</v>
      </c>
      <c r="H6183" s="24">
        <v>1</v>
      </c>
      <c r="I6183" s="24">
        <v>0</v>
      </c>
      <c r="J6183" s="25"/>
      <c r="K6183" s="24">
        <v>0</v>
      </c>
      <c r="L6183" s="22" t="str">
        <f>HYPERLINK("https://otsuka-europe-crm.veevavault.com/ui/#object/approved_document__v/V5OZ025E82TP0C5", "ENFERMERÍA - Guía de Manejo Psicoterapéutico")</f>
        <v>ENFERMERÍA - Guía de Manejo Psicoterapéutico</v>
      </c>
      <c r="M6183" s="22" t="str">
        <f>HYPERLINK("mailto:mgravan@crm.otsuka-europe.com", "mgravan@crm.otsuka-europe.com")</f>
        <v>mgravan@crm.otsuka-europe.com</v>
      </c>
      <c r="N6183" s="23">
        <v>46196.379467592589</v>
      </c>
      <c r="O6183" s="14" t="str">
        <f>HYPERLINK("https://otsuka-europe-crm.veevavault.com/ui/#object/email_activity__v/V8C00000003Z295", "EN-002099191")</f>
        <v>EN-002099191</v>
      </c>
    </row>
    <row r="6184" spans="1:15" ht="16" x14ac:dyDescent="0.2">
      <c r="A6184" s="19"/>
      <c r="B6184" s="19"/>
      <c r="C6184" s="19"/>
      <c r="D6184" s="19"/>
      <c r="E6184" s="19"/>
      <c r="F6184" s="19"/>
      <c r="G6184" s="19"/>
      <c r="H6184" s="19"/>
      <c r="I6184" s="19"/>
      <c r="J6184" s="19"/>
      <c r="K6184" s="19"/>
      <c r="L6184" s="19"/>
      <c r="M6184" s="19"/>
      <c r="N6184" s="19"/>
      <c r="O6184" s="14" t="str">
        <f>HYPERLINK("https://otsuka-europe-crm.veevavault.com/ui/#object/email_activity__v/V8C000000040430", "EN-002099441")</f>
        <v>EN-002099441</v>
      </c>
    </row>
    <row r="6185" spans="1:15" ht="16" x14ac:dyDescent="0.2">
      <c r="A6185" s="17" t="str">
        <f>HYPERLINK("https://otsuka-europe-crm.veevavault.com/ui/#object/account__v/V4TZ025E87CYK8M", "LAURA DURAN MONTERO")</f>
        <v>LAURA DURAN MONTERO</v>
      </c>
      <c r="B6185" s="17" t="str">
        <f>HYPERLINK("https://otsuka-europe-crm.veevavault.com/ui/#object/vcountry__v/VENZ000004SONF5", "ES")</f>
        <v>ES</v>
      </c>
      <c r="C6185" s="20" t="s">
        <v>41</v>
      </c>
      <c r="D6185" s="21" t="str">
        <f>HYPERLINK("https://otsuka-europe-crm.veevavault.com/ui/#object/approved_document__v/V5OZ025E82TP0C5", "ENFERMERÍA - Guía de Manejo Psicoterapéutico")</f>
        <v>ENFERMERÍA - Guía de Manejo Psicoterapéutico</v>
      </c>
      <c r="E6185" s="22" t="str">
        <f>HYPERLINK("https://otsuka-europe-crm.veevavault.com/ui/#object/sent_email__v/VBL00000002R137", "SE-001434392")</f>
        <v>SE-001434392</v>
      </c>
      <c r="F6185" s="25"/>
      <c r="G6185" s="24">
        <v>0</v>
      </c>
      <c r="H6185" s="24">
        <v>0</v>
      </c>
      <c r="I6185" s="24">
        <v>0</v>
      </c>
      <c r="J6185" s="25"/>
      <c r="K6185" s="24">
        <v>0</v>
      </c>
      <c r="L6185" s="22" t="str">
        <f>HYPERLINK("https://otsuka-europe-crm.veevavault.com/ui/#object/approved_document__v/V5OZ025E82TP0C5", "ENFERMERÍA - Guía de Manejo Psicoterapéutico")</f>
        <v>ENFERMERÍA - Guía de Manejo Psicoterapéutico</v>
      </c>
      <c r="M6185" s="22" t="str">
        <f>HYPERLINK("mailto:mgravan@crm.otsuka-europe.com", "mgravan@crm.otsuka-europe.com")</f>
        <v>mgravan@crm.otsuka-europe.com</v>
      </c>
      <c r="N6185" s="23">
        <v>46196.379432870373</v>
      </c>
      <c r="O6185" s="14" t="str">
        <f>HYPERLINK("https://otsuka-europe-crm.veevavault.com/ui/#object/email_activity__v/V8C00000003Z337", "EN-002099334")</f>
        <v>EN-002099334</v>
      </c>
    </row>
    <row r="6186" spans="1:15" ht="16" x14ac:dyDescent="0.2">
      <c r="A6186" s="18"/>
      <c r="B6186" s="18"/>
      <c r="C6186" s="18"/>
      <c r="D6186" s="18"/>
      <c r="E6186" s="18"/>
      <c r="F6186" s="18"/>
      <c r="G6186" s="18"/>
      <c r="H6186" s="18"/>
      <c r="I6186" s="18"/>
      <c r="J6186" s="18"/>
      <c r="K6186" s="18"/>
      <c r="L6186" s="18"/>
      <c r="M6186" s="18"/>
      <c r="N6186" s="18"/>
      <c r="O6186" s="14" t="str">
        <f>HYPERLINK("https://otsuka-europe-crm.veevavault.com/ui/#object/email_activity__v/V8C00000003Z495", "EN-002099679")</f>
        <v>EN-002099679</v>
      </c>
    </row>
    <row r="6187" spans="1:15" ht="16" x14ac:dyDescent="0.2">
      <c r="A6187" s="19"/>
      <c r="B6187" s="19"/>
      <c r="C6187" s="19"/>
      <c r="D6187" s="19"/>
      <c r="E6187" s="19"/>
      <c r="F6187" s="19"/>
      <c r="G6187" s="19"/>
      <c r="H6187" s="19"/>
      <c r="I6187" s="19"/>
      <c r="J6187" s="19"/>
      <c r="K6187" s="19"/>
      <c r="L6187" s="19"/>
      <c r="M6187" s="19"/>
      <c r="N6187" s="19"/>
      <c r="O6187" s="14" t="str">
        <f>HYPERLINK("https://otsuka-europe-crm.veevavault.com/ui/#object/email_activity__v/V8C000000040255", "EN-002099173")</f>
        <v>EN-002099173</v>
      </c>
    </row>
    <row r="6188" spans="1:15" ht="16" x14ac:dyDescent="0.2">
      <c r="A6188" s="17" t="str">
        <f>HYPERLINK("https://otsuka-europe-crm.veevavault.com/ui/#object/account__v/V4TZ025E85PDQ9Q", "EULALIA ORDOÑEZ GARCIA")</f>
        <v>EULALIA ORDOÑEZ GARCIA</v>
      </c>
      <c r="B6188" s="17" t="str">
        <f>HYPERLINK("https://otsuka-europe-crm.veevavault.com/ui/#object/vcountry__v/VENZ000004SONF5", "ES")</f>
        <v>ES</v>
      </c>
      <c r="C6188" s="20" t="s">
        <v>41</v>
      </c>
      <c r="D6188" s="21" t="str">
        <f>HYPERLINK("https://otsuka-europe-crm.veevavault.com/ui/#object/approved_document__v/V5OZ025E82TP0C5", "ENFERMERÍA - Guía de Manejo Psicoterapéutico")</f>
        <v>ENFERMERÍA - Guía de Manejo Psicoterapéutico</v>
      </c>
      <c r="E6188" s="22" t="str">
        <f>HYPERLINK("https://otsuka-europe-crm.veevavault.com/ui/#object/sent_email__v/VBL00000002R138", "SE-001434393")</f>
        <v>SE-001434393</v>
      </c>
      <c r="F6188" s="23">
        <v>46198.352314814816</v>
      </c>
      <c r="G6188" s="24">
        <v>1</v>
      </c>
      <c r="H6188" s="24">
        <v>7</v>
      </c>
      <c r="I6188" s="24">
        <v>0</v>
      </c>
      <c r="J6188" s="25"/>
      <c r="K6188" s="24">
        <v>0</v>
      </c>
      <c r="L6188" s="22" t="str">
        <f>HYPERLINK("https://otsuka-europe-crm.veevavault.com/ui/#object/approved_document__v/V5OZ025E82TP0C5", "ENFERMERÍA - Guía de Manejo Psicoterapéutico")</f>
        <v>ENFERMERÍA - Guía de Manejo Psicoterapéutico</v>
      </c>
      <c r="M6188" s="22" t="str">
        <f>HYPERLINK("mailto:mgravan@crm.otsuka-europe.com", "mgravan@crm.otsuka-europe.com")</f>
        <v>mgravan@crm.otsuka-europe.com</v>
      </c>
      <c r="N6188" s="23">
        <v>46196.379432870373</v>
      </c>
      <c r="O6188" s="14" t="str">
        <f>HYPERLINK("https://otsuka-europe-crm.veevavault.com/ui/#object/email_activity__v/V8C00000003Z382", "EN-002099430")</f>
        <v>EN-002099430</v>
      </c>
    </row>
    <row r="6189" spans="1:15" ht="16" x14ac:dyDescent="0.2">
      <c r="A6189" s="18"/>
      <c r="B6189" s="18"/>
      <c r="C6189" s="18"/>
      <c r="D6189" s="18"/>
      <c r="E6189" s="18"/>
      <c r="F6189" s="18"/>
      <c r="G6189" s="18"/>
      <c r="H6189" s="18"/>
      <c r="I6189" s="18"/>
      <c r="J6189" s="18"/>
      <c r="K6189" s="18"/>
      <c r="L6189" s="18"/>
      <c r="M6189" s="18"/>
      <c r="N6189" s="18"/>
      <c r="O6189" s="14" t="str">
        <f>HYPERLINK("https://otsuka-europe-crm.veevavault.com/ui/#object/email_activity__v/V8C00000003Z388", "EN-002099448")</f>
        <v>EN-002099448</v>
      </c>
    </row>
    <row r="6190" spans="1:15" ht="16" x14ac:dyDescent="0.2">
      <c r="A6190" s="18"/>
      <c r="B6190" s="18"/>
      <c r="C6190" s="18"/>
      <c r="D6190" s="18"/>
      <c r="E6190" s="18"/>
      <c r="F6190" s="18"/>
      <c r="G6190" s="18"/>
      <c r="H6190" s="18"/>
      <c r="I6190" s="18"/>
      <c r="J6190" s="18"/>
      <c r="K6190" s="18"/>
      <c r="L6190" s="18"/>
      <c r="M6190" s="18"/>
      <c r="N6190" s="18"/>
      <c r="O6190" s="14" t="str">
        <f>HYPERLINK("https://otsuka-europe-crm.veevavault.com/ui/#object/email_activity__v/V8C00000003Z452", "EN-002099584")</f>
        <v>EN-002099584</v>
      </c>
    </row>
    <row r="6191" spans="1:15" ht="16" x14ac:dyDescent="0.2">
      <c r="A6191" s="18"/>
      <c r="B6191" s="18"/>
      <c r="C6191" s="18"/>
      <c r="D6191" s="18"/>
      <c r="E6191" s="18"/>
      <c r="F6191" s="18"/>
      <c r="G6191" s="18"/>
      <c r="H6191" s="18"/>
      <c r="I6191" s="18"/>
      <c r="J6191" s="18"/>
      <c r="K6191" s="18"/>
      <c r="L6191" s="18"/>
      <c r="M6191" s="18"/>
      <c r="N6191" s="18"/>
      <c r="O6191" s="14" t="str">
        <f>HYPERLINK("https://otsuka-europe-crm.veevavault.com/ui/#object/email_activity__v/V8C00000003Z453", "EN-002099585")</f>
        <v>EN-002099585</v>
      </c>
    </row>
    <row r="6192" spans="1:15" ht="16" x14ac:dyDescent="0.2">
      <c r="A6192" s="18"/>
      <c r="B6192" s="18"/>
      <c r="C6192" s="18"/>
      <c r="D6192" s="18"/>
      <c r="E6192" s="18"/>
      <c r="F6192" s="18"/>
      <c r="G6192" s="18"/>
      <c r="H6192" s="18"/>
      <c r="I6192" s="18"/>
      <c r="J6192" s="18"/>
      <c r="K6192" s="18"/>
      <c r="L6192" s="18"/>
      <c r="M6192" s="18"/>
      <c r="N6192" s="18"/>
      <c r="O6192" s="14" t="str">
        <f>HYPERLINK("https://otsuka-europe-crm.veevavault.com/ui/#object/email_activity__v/V8C00000003Z456", "EN-002099594")</f>
        <v>EN-002099594</v>
      </c>
    </row>
    <row r="6193" spans="1:15" ht="16" x14ac:dyDescent="0.2">
      <c r="A6193" s="18"/>
      <c r="B6193" s="18"/>
      <c r="C6193" s="18"/>
      <c r="D6193" s="18"/>
      <c r="E6193" s="18"/>
      <c r="F6193" s="18"/>
      <c r="G6193" s="18"/>
      <c r="H6193" s="18"/>
      <c r="I6193" s="18"/>
      <c r="J6193" s="18"/>
      <c r="K6193" s="18"/>
      <c r="L6193" s="18"/>
      <c r="M6193" s="18"/>
      <c r="N6193" s="18"/>
      <c r="O6193" s="14" t="str">
        <f>HYPERLINK("https://otsuka-europe-crm.veevavault.com/ui/#object/email_activity__v/V8C00000003Z460", "EN-002099604")</f>
        <v>EN-002099604</v>
      </c>
    </row>
    <row r="6194" spans="1:15" ht="16" x14ac:dyDescent="0.2">
      <c r="A6194" s="18"/>
      <c r="B6194" s="18"/>
      <c r="C6194" s="18"/>
      <c r="D6194" s="18"/>
      <c r="E6194" s="18"/>
      <c r="F6194" s="18"/>
      <c r="G6194" s="18"/>
      <c r="H6194" s="18"/>
      <c r="I6194" s="18"/>
      <c r="J6194" s="18"/>
      <c r="K6194" s="18"/>
      <c r="L6194" s="18"/>
      <c r="M6194" s="18"/>
      <c r="N6194" s="18"/>
      <c r="O6194" s="14" t="str">
        <f>HYPERLINK("https://otsuka-europe-crm.veevavault.com/ui/#object/email_activity__v/V8C000000040290", "EN-002099225")</f>
        <v>EN-002099225</v>
      </c>
    </row>
    <row r="6195" spans="1:15" ht="16" x14ac:dyDescent="0.2">
      <c r="A6195" s="19"/>
      <c r="B6195" s="19"/>
      <c r="C6195" s="19"/>
      <c r="D6195" s="19"/>
      <c r="E6195" s="19"/>
      <c r="F6195" s="19"/>
      <c r="G6195" s="19"/>
      <c r="H6195" s="19"/>
      <c r="I6195" s="19"/>
      <c r="J6195" s="19"/>
      <c r="K6195" s="19"/>
      <c r="L6195" s="19"/>
      <c r="M6195" s="19"/>
      <c r="N6195" s="19"/>
      <c r="O6195" s="14" t="str">
        <f>HYPERLINK("https://otsuka-europe-crm.veevavault.com/ui/#object/email_activity__v/V8C000000040541", "EN-002099642")</f>
        <v>EN-002099642</v>
      </c>
    </row>
    <row r="6196" spans="1:15" ht="32" x14ac:dyDescent="0.2">
      <c r="A6196" s="7" t="str">
        <f>HYPERLINK("https://otsuka-europe-crm.veevavault.com/ui/#object/account__v/V4TZ04ASGE0F8UC", "MARIA GONZALEZ CASTRO")</f>
        <v>MARIA GONZALEZ CASTRO</v>
      </c>
      <c r="B6196" s="7" t="str">
        <f>HYPERLINK("https://otsuka-europe-crm.veevavault.com/ui/#object/vcountry__v/VENZ000004SONF5", "ES")</f>
        <v>ES</v>
      </c>
      <c r="C6196" s="8" t="s">
        <v>41</v>
      </c>
      <c r="D6196" s="9" t="str">
        <f>HYPERLINK("https://otsuka-europe-crm.veevavault.com/ui/#object/approved_document__v/V5OZ025E82TP0C5", "ENFERMERÍA - Guía de Manejo Psicoterapéutico")</f>
        <v>ENFERMERÍA - Guía de Manejo Psicoterapéutico</v>
      </c>
      <c r="E6196" s="10" t="str">
        <f>HYPERLINK("https://otsuka-europe-crm.veevavault.com/ui/#object/sent_email__v/VBL00000002R139", "SE-001434394")</f>
        <v>SE-001434394</v>
      </c>
      <c r="F6196" s="11"/>
      <c r="G6196" s="12">
        <v>0</v>
      </c>
      <c r="H6196" s="12">
        <v>0</v>
      </c>
      <c r="I6196" s="12">
        <v>0</v>
      </c>
      <c r="J6196" s="11"/>
      <c r="K6196" s="12">
        <v>0</v>
      </c>
      <c r="L6196" s="10" t="str">
        <f>HYPERLINK("https://otsuka-europe-crm.veevavault.com/ui/#object/approved_document__v/V5OZ025E82TP0C5", "ENFERMERÍA - Guía de Manejo Psicoterapéutico")</f>
        <v>ENFERMERÍA - Guía de Manejo Psicoterapéutico</v>
      </c>
      <c r="M6196" s="10" t="str">
        <f>HYPERLINK("mailto:mgravan@crm.otsuka-europe.com", "mgravan@crm.otsuka-europe.com")</f>
        <v>mgravan@crm.otsuka-europe.com</v>
      </c>
      <c r="N6196" s="13">
        <v>46196.379444444443</v>
      </c>
      <c r="O6196" s="14" t="str">
        <f>HYPERLINK("https://otsuka-europe-crm.veevavault.com/ui/#object/email_activity__v/V8C000000040264", "EN-002099182")</f>
        <v>EN-002099182</v>
      </c>
    </row>
    <row r="6197" spans="1:15" ht="32" x14ac:dyDescent="0.2">
      <c r="A6197" s="7" t="str">
        <f>HYPERLINK("https://otsuka-europe-crm.veevavault.com/ui/#object/account__v/V4TZ06G6O71TDJE", "CECILIA SERRANO CECILIA")</f>
        <v>CECILIA SERRANO CECILIA</v>
      </c>
      <c r="B6197" s="7" t="str">
        <f>HYPERLINK("https://otsuka-europe-crm.veevavault.com/ui/#object/vcountry__v/VENZ000004SONF5", "ES")</f>
        <v>ES</v>
      </c>
      <c r="C6197" s="8" t="s">
        <v>41</v>
      </c>
      <c r="D6197" s="9" t="str">
        <f>HYPERLINK("https://otsuka-europe-crm.veevavault.com/ui/#object/approved_document__v/V5OZ025E82TP0C5", "ENFERMERÍA - Guía de Manejo Psicoterapéutico")</f>
        <v>ENFERMERÍA - Guía de Manejo Psicoterapéutico</v>
      </c>
      <c r="E6197" s="10" t="str">
        <f>HYPERLINK("https://otsuka-europe-crm.veevavault.com/ui/#object/sent_email__v/VBL00000002R140", "SE-001434395")</f>
        <v>SE-001434395</v>
      </c>
      <c r="F6197" s="11"/>
      <c r="G6197" s="12">
        <v>0</v>
      </c>
      <c r="H6197" s="12">
        <v>0</v>
      </c>
      <c r="I6197" s="12">
        <v>0</v>
      </c>
      <c r="J6197" s="11"/>
      <c r="K6197" s="12">
        <v>0</v>
      </c>
      <c r="L6197" s="10" t="str">
        <f>HYPERLINK("https://otsuka-europe-crm.veevavault.com/ui/#object/approved_document__v/V5OZ025E82TP0C5", "ENFERMERÍA - Guía de Manejo Psicoterapéutico")</f>
        <v>ENFERMERÍA - Guía de Manejo Psicoterapéutico</v>
      </c>
      <c r="M6197" s="10" t="str">
        <f>HYPERLINK("mailto:mgravan@crm.otsuka-europe.com", "mgravan@crm.otsuka-europe.com")</f>
        <v>mgravan@crm.otsuka-europe.com</v>
      </c>
      <c r="N6197" s="13">
        <v>46196.379467592589</v>
      </c>
      <c r="O6197" s="14" t="str">
        <f>HYPERLINK("https://otsuka-europe-crm.veevavault.com/ui/#object/email_activity__v/V8C000000040313", "EN-002099254")</f>
        <v>EN-002099254</v>
      </c>
    </row>
    <row r="6198" spans="1:15" ht="16" x14ac:dyDescent="0.2">
      <c r="A6198" s="17" t="str">
        <f>HYPERLINK("https://otsuka-europe-crm.veevavault.com/ui/#object/account__v/V4TZ06G6O71TDDW", "MERCEDES MATEO MATEOS")</f>
        <v>MERCEDES MATEO MATEOS</v>
      </c>
      <c r="B6198" s="17" t="str">
        <f>HYPERLINK("https://otsuka-europe-crm.veevavault.com/ui/#object/vcountry__v/VENZ000004SONF5", "ES")</f>
        <v>ES</v>
      </c>
      <c r="C6198" s="20" t="s">
        <v>41</v>
      </c>
      <c r="D6198" s="21" t="str">
        <f>HYPERLINK("https://otsuka-europe-crm.veevavault.com/ui/#object/approved_document__v/V5OZ025E82TP0C5", "ENFERMERÍA - Guía de Manejo Psicoterapéutico")</f>
        <v>ENFERMERÍA - Guía de Manejo Psicoterapéutico</v>
      </c>
      <c r="E6198" s="22" t="str">
        <f>HYPERLINK("https://otsuka-europe-crm.veevavault.com/ui/#object/sent_email__v/VBL00000002R141", "SE-001434396")</f>
        <v>SE-001434396</v>
      </c>
      <c r="F6198" s="23">
        <v>46196.505891203706</v>
      </c>
      <c r="G6198" s="24">
        <v>1</v>
      </c>
      <c r="H6198" s="24">
        <v>1</v>
      </c>
      <c r="I6198" s="24">
        <v>0</v>
      </c>
      <c r="J6198" s="25"/>
      <c r="K6198" s="24">
        <v>0</v>
      </c>
      <c r="L6198" s="22" t="str">
        <f>HYPERLINK("https://otsuka-europe-crm.veevavault.com/ui/#object/approved_document__v/V5OZ025E82TP0C5", "ENFERMERÍA - Guía de Manejo Psicoterapéutico")</f>
        <v>ENFERMERÍA - Guía de Manejo Psicoterapéutico</v>
      </c>
      <c r="M6198" s="22" t="str">
        <f>HYPERLINK("mailto:mgravan@crm.otsuka-europe.com", "mgravan@crm.otsuka-europe.com")</f>
        <v>mgravan@crm.otsuka-europe.com</v>
      </c>
      <c r="N6198" s="23">
        <v>46196.37945601852</v>
      </c>
      <c r="O6198" s="14" t="str">
        <f>HYPERLINK("https://otsuka-europe-crm.veevavault.com/ui/#object/email_activity__v/V8C000000040283", "EN-002099212")</f>
        <v>EN-002099212</v>
      </c>
    </row>
    <row r="6199" spans="1:15" ht="16" x14ac:dyDescent="0.2">
      <c r="A6199" s="19"/>
      <c r="B6199" s="19"/>
      <c r="C6199" s="19"/>
      <c r="D6199" s="19"/>
      <c r="E6199" s="19"/>
      <c r="F6199" s="19"/>
      <c r="G6199" s="19"/>
      <c r="H6199" s="19"/>
      <c r="I6199" s="19"/>
      <c r="J6199" s="19"/>
      <c r="K6199" s="19"/>
      <c r="L6199" s="19"/>
      <c r="M6199" s="19"/>
      <c r="N6199" s="19"/>
      <c r="O6199" s="14" t="str">
        <f>HYPERLINK("https://otsuka-europe-crm.veevavault.com/ui/#object/email_activity__v/V8C000000040398", "EN-002099374")</f>
        <v>EN-002099374</v>
      </c>
    </row>
    <row r="6200" spans="1:15" ht="32" x14ac:dyDescent="0.2">
      <c r="A6200" s="7" t="str">
        <f>HYPERLINK("https://otsuka-europe-crm.veevavault.com/ui/#object/account__v/V4TZ025E84F9WQ1", "MARIA ANGELES MARIN LINARES")</f>
        <v>MARIA ANGELES MARIN LINARES</v>
      </c>
      <c r="B6200" s="7" t="str">
        <f>HYPERLINK("https://otsuka-europe-crm.veevavault.com/ui/#object/vcountry__v/VENZ000004SONF5", "ES")</f>
        <v>ES</v>
      </c>
      <c r="C6200" s="8" t="s">
        <v>41</v>
      </c>
      <c r="D6200" s="9" t="str">
        <f>HYPERLINK("https://otsuka-europe-crm.veevavault.com/ui/#object/approved_document__v/V5OZ025E82TP0C5", "ENFERMERÍA - Guía de Manejo Psicoterapéutico")</f>
        <v>ENFERMERÍA - Guía de Manejo Psicoterapéutico</v>
      </c>
      <c r="E6200" s="10" t="str">
        <f>HYPERLINK("https://otsuka-europe-crm.veevavault.com/ui/#object/sent_email__v/VBL00000002R142", "SE-001434397")</f>
        <v>SE-001434397</v>
      </c>
      <c r="F6200" s="11"/>
      <c r="G6200" s="12">
        <v>0</v>
      </c>
      <c r="H6200" s="12">
        <v>0</v>
      </c>
      <c r="I6200" s="12">
        <v>0</v>
      </c>
      <c r="J6200" s="11"/>
      <c r="K6200" s="12">
        <v>0</v>
      </c>
      <c r="L6200" s="10" t="str">
        <f>HYPERLINK("https://otsuka-europe-crm.veevavault.com/ui/#object/approved_document__v/V5OZ025E82TP0C5", "ENFERMERÍA - Guía de Manejo Psicoterapéutico")</f>
        <v>ENFERMERÍA - Guía de Manejo Psicoterapéutico</v>
      </c>
      <c r="M6200" s="10" t="str">
        <f>HYPERLINK("mailto:mgravan@crm.otsuka-europe.com", "mgravan@crm.otsuka-europe.com")</f>
        <v>mgravan@crm.otsuka-europe.com</v>
      </c>
      <c r="N6200" s="13">
        <v>46196.379548611112</v>
      </c>
      <c r="O6200" s="14" t="str">
        <f>HYPERLINK("https://otsuka-europe-crm.veevavault.com/ui/#object/email_activity__v/V8C000000040281", "EN-002099210")</f>
        <v>EN-002099210</v>
      </c>
    </row>
    <row r="6201" spans="1:15" ht="32" x14ac:dyDescent="0.2">
      <c r="A6201" s="7" t="str">
        <f>HYPERLINK("https://otsuka-europe-crm.veevavault.com/ui/#object/account__v/V4TZ025E857R7LM", "SONIA LORA SIERRA")</f>
        <v>SONIA LORA SIERRA</v>
      </c>
      <c r="B6201" s="7" t="str">
        <f>HYPERLINK("https://otsuka-europe-crm.veevavault.com/ui/#object/vcountry__v/VENZ000004SONF5", "ES")</f>
        <v>ES</v>
      </c>
      <c r="C6201" s="8" t="s">
        <v>41</v>
      </c>
      <c r="D6201" s="9" t="str">
        <f>HYPERLINK("https://otsuka-europe-crm.veevavault.com/ui/#object/approved_document__v/V5OZ025E82TP0C5", "ENFERMERÍA - Guía de Manejo Psicoterapéutico")</f>
        <v>ENFERMERÍA - Guía de Manejo Psicoterapéutico</v>
      </c>
      <c r="E6201" s="10" t="str">
        <f>HYPERLINK("https://otsuka-europe-crm.veevavault.com/ui/#object/sent_email__v/VBL00000002R143", "SE-001434398")</f>
        <v>SE-001434398</v>
      </c>
      <c r="F6201" s="11"/>
      <c r="G6201" s="12">
        <v>0</v>
      </c>
      <c r="H6201" s="12">
        <v>0</v>
      </c>
      <c r="I6201" s="12">
        <v>0</v>
      </c>
      <c r="J6201" s="11"/>
      <c r="K6201" s="12">
        <v>0</v>
      </c>
      <c r="L6201" s="10" t="str">
        <f>HYPERLINK("https://otsuka-europe-crm.veevavault.com/ui/#object/approved_document__v/V5OZ025E82TP0C5", "ENFERMERÍA - Guía de Manejo Psicoterapéutico")</f>
        <v>ENFERMERÍA - Guía de Manejo Psicoterapéutico</v>
      </c>
      <c r="M6201" s="10" t="str">
        <f>HYPERLINK("mailto:mgravan@crm.otsuka-europe.com", "mgravan@crm.otsuka-europe.com")</f>
        <v>mgravan@crm.otsuka-europe.com</v>
      </c>
      <c r="N6201" s="13">
        <v>46196.379444444443</v>
      </c>
      <c r="O6201" s="14" t="str">
        <f>HYPERLINK("https://otsuka-europe-crm.veevavault.com/ui/#object/email_activity__v/V8C000000040273", "EN-002099202")</f>
        <v>EN-002099202</v>
      </c>
    </row>
    <row r="6202" spans="1:15" ht="32" x14ac:dyDescent="0.2">
      <c r="A6202" s="7" t="str">
        <f>HYPERLINK("https://otsuka-europe-crm.veevavault.com/ui/#object/account__v/V4T000000020084", "LUISA ROSADO TEJERO")</f>
        <v>LUISA ROSADO TEJERO</v>
      </c>
      <c r="B6202" s="7" t="str">
        <f>HYPERLINK("https://otsuka-europe-crm.veevavault.com/ui/#object/vcountry__v/VENZ000004SONF5", "ES")</f>
        <v>ES</v>
      </c>
      <c r="C6202" s="8" t="s">
        <v>41</v>
      </c>
      <c r="D6202" s="9" t="str">
        <f>HYPERLINK("https://otsuka-europe-crm.veevavault.com/ui/#object/approved_document__v/V5OZ025E82TP0C5", "ENFERMERÍA - Guía de Manejo Psicoterapéutico")</f>
        <v>ENFERMERÍA - Guía de Manejo Psicoterapéutico</v>
      </c>
      <c r="E6202" s="10" t="str">
        <f>HYPERLINK("https://otsuka-europe-crm.veevavault.com/ui/#object/sent_email__v/VBL00000002R144", "SE-001434399")</f>
        <v>SE-001434399</v>
      </c>
      <c r="F6202" s="11"/>
      <c r="G6202" s="12">
        <v>0</v>
      </c>
      <c r="H6202" s="12">
        <v>0</v>
      </c>
      <c r="I6202" s="12">
        <v>0</v>
      </c>
      <c r="J6202" s="11"/>
      <c r="K6202" s="12">
        <v>0</v>
      </c>
      <c r="L6202" s="10" t="str">
        <f>HYPERLINK("https://otsuka-europe-crm.veevavault.com/ui/#object/approved_document__v/V5OZ025E82TP0C5", "ENFERMERÍA - Guía de Manejo Psicoterapéutico")</f>
        <v>ENFERMERÍA - Guía de Manejo Psicoterapéutico</v>
      </c>
      <c r="M6202" s="10" t="str">
        <f>HYPERLINK("mailto:mgravan@crm.otsuka-europe.com", "mgravan@crm.otsuka-europe.com")</f>
        <v>mgravan@crm.otsuka-europe.com</v>
      </c>
      <c r="N6202" s="13">
        <v>46196.379467592589</v>
      </c>
      <c r="O6202" s="14" t="str">
        <f>HYPERLINK("https://otsuka-europe-crm.veevavault.com/ui/#object/email_activity__v/V8C000000040308", "EN-002099245")</f>
        <v>EN-002099245</v>
      </c>
    </row>
    <row r="6203" spans="1:15" ht="16" x14ac:dyDescent="0.2">
      <c r="A6203" s="17" t="str">
        <f>HYPERLINK("https://otsuka-europe-crm.veevavault.com/ui/#object/account__v/V4TZ04ASG6OVQRA", "MARIA CABALLERO ALAMEDA")</f>
        <v>MARIA CABALLERO ALAMEDA</v>
      </c>
      <c r="B6203" s="17" t="str">
        <f>HYPERLINK("https://otsuka-europe-crm.veevavault.com/ui/#object/vcountry__v/VENZ000004SONF5", "ES")</f>
        <v>ES</v>
      </c>
      <c r="C6203" s="20" t="s">
        <v>41</v>
      </c>
      <c r="D6203" s="21" t="str">
        <f>HYPERLINK("https://otsuka-europe-crm.veevavault.com/ui/#object/approved_document__v/V5OZ025E82TP0C5", "ENFERMERÍA - Guía de Manejo Psicoterapéutico")</f>
        <v>ENFERMERÍA - Guía de Manejo Psicoterapéutico</v>
      </c>
      <c r="E6203" s="22" t="str">
        <f>HYPERLINK("https://otsuka-europe-crm.veevavault.com/ui/#object/sent_email__v/VBL00000002R145", "SE-001434400")</f>
        <v>SE-001434400</v>
      </c>
      <c r="F6203" s="25"/>
      <c r="G6203" s="24">
        <v>0</v>
      </c>
      <c r="H6203" s="24">
        <v>0</v>
      </c>
      <c r="I6203" s="24">
        <v>0</v>
      </c>
      <c r="J6203" s="25"/>
      <c r="K6203" s="24">
        <v>0</v>
      </c>
      <c r="L6203" s="22" t="str">
        <f>HYPERLINK("https://otsuka-europe-crm.veevavault.com/ui/#object/approved_document__v/V5OZ025E82TP0C5", "ENFERMERÍA - Guía de Manejo Psicoterapéutico")</f>
        <v>ENFERMERÍA - Guía de Manejo Psicoterapéutico</v>
      </c>
      <c r="M6203" s="22" t="str">
        <f>HYPERLINK("mailto:mgravan@crm.otsuka-europe.com", "mgravan@crm.otsuka-europe.com")</f>
        <v>mgravan@crm.otsuka-europe.com</v>
      </c>
      <c r="N6203" s="23">
        <v>46196.37945601852</v>
      </c>
      <c r="O6203" s="14" t="str">
        <f>HYPERLINK("https://otsuka-europe-crm.veevavault.com/ui/#object/email_activity__v/V8C00000003Z312", "EN-002099250")</f>
        <v>EN-002099250</v>
      </c>
    </row>
    <row r="6204" spans="1:15" ht="16" x14ac:dyDescent="0.2">
      <c r="A6204" s="19"/>
      <c r="B6204" s="19"/>
      <c r="C6204" s="19"/>
      <c r="D6204" s="19"/>
      <c r="E6204" s="19"/>
      <c r="F6204" s="19"/>
      <c r="G6204" s="19"/>
      <c r="H6204" s="19"/>
      <c r="I6204" s="19"/>
      <c r="J6204" s="19"/>
      <c r="K6204" s="19"/>
      <c r="L6204" s="19"/>
      <c r="M6204" s="19"/>
      <c r="N6204" s="19"/>
      <c r="O6204" s="14" t="str">
        <f>HYPERLINK("https://otsuka-europe-crm.veevavault.com/ui/#object/email_activity__v/V8C00000003Z410", "EN-002099488")</f>
        <v>EN-002099488</v>
      </c>
    </row>
    <row r="6205" spans="1:15" ht="16" x14ac:dyDescent="0.2">
      <c r="A6205" s="17" t="str">
        <f>HYPERLINK("https://otsuka-europe-crm.veevavault.com/ui/#object/account__v/V4TZ06G6O71TDGT", "CARMEN ROJANO SALAS")</f>
        <v>CARMEN ROJANO SALAS</v>
      </c>
      <c r="B6205" s="17" t="str">
        <f>HYPERLINK("https://otsuka-europe-crm.veevavault.com/ui/#object/vcountry__v/VENZ000004SONF5", "ES")</f>
        <v>ES</v>
      </c>
      <c r="C6205" s="20" t="s">
        <v>41</v>
      </c>
      <c r="D6205" s="21" t="str">
        <f>HYPERLINK("https://otsuka-europe-crm.veevavault.com/ui/#object/approved_document__v/V5OZ025E82TP0C5", "ENFERMERÍA - Guía de Manejo Psicoterapéutico")</f>
        <v>ENFERMERÍA - Guía de Manejo Psicoterapéutico</v>
      </c>
      <c r="E6205" s="22" t="str">
        <f>HYPERLINK("https://otsuka-europe-crm.veevavault.com/ui/#object/sent_email__v/VBL00000002R146", "SE-001434401")</f>
        <v>SE-001434401</v>
      </c>
      <c r="F6205" s="25"/>
      <c r="G6205" s="24">
        <v>0</v>
      </c>
      <c r="H6205" s="24">
        <v>0</v>
      </c>
      <c r="I6205" s="24">
        <v>0</v>
      </c>
      <c r="J6205" s="25"/>
      <c r="K6205" s="24">
        <v>0</v>
      </c>
      <c r="L6205" s="22" t="str">
        <f>HYPERLINK("https://otsuka-europe-crm.veevavault.com/ui/#object/approved_document__v/V5OZ025E82TP0C5", "ENFERMERÍA - Guía de Manejo Psicoterapéutico")</f>
        <v>ENFERMERÍA - Guía de Manejo Psicoterapéutico</v>
      </c>
      <c r="M6205" s="22" t="str">
        <f>HYPERLINK("mailto:mgravan@crm.otsuka-europe.com", "mgravan@crm.otsuka-europe.com")</f>
        <v>mgravan@crm.otsuka-europe.com</v>
      </c>
      <c r="N6205" s="23">
        <v>46196.37945601852</v>
      </c>
      <c r="O6205" s="14" t="str">
        <f>HYPERLINK("https://otsuka-europe-crm.veevavault.com/ui/#object/email_activity__v/V8C00000003Z298", "EN-002099195")</f>
        <v>EN-002099195</v>
      </c>
    </row>
    <row r="6206" spans="1:15" ht="16" x14ac:dyDescent="0.2">
      <c r="A6206" s="19"/>
      <c r="B6206" s="19"/>
      <c r="C6206" s="19"/>
      <c r="D6206" s="19"/>
      <c r="E6206" s="19"/>
      <c r="F6206" s="19"/>
      <c r="G6206" s="19"/>
      <c r="H6206" s="19"/>
      <c r="I6206" s="19"/>
      <c r="J6206" s="19"/>
      <c r="K6206" s="19"/>
      <c r="L6206" s="19"/>
      <c r="M6206" s="19"/>
      <c r="N6206" s="19"/>
      <c r="O6206" s="14" t="str">
        <f>HYPERLINK("https://otsuka-europe-crm.veevavault.com/ui/#object/email_activity__v/V8C000000041001", "EN-002099692")</f>
        <v>EN-002099692</v>
      </c>
    </row>
    <row r="6207" spans="1:15" ht="16" x14ac:dyDescent="0.2">
      <c r="A6207" s="17" t="str">
        <f>HYPERLINK("https://otsuka-europe-crm.veevavault.com/ui/#object/account__v/V4TZ06G6O71X2IR", "CARMEN MERCHAN DE PABLOS")</f>
        <v>CARMEN MERCHAN DE PABLOS</v>
      </c>
      <c r="B6207" s="17" t="str">
        <f>HYPERLINK("https://otsuka-europe-crm.veevavault.com/ui/#object/vcountry__v/VENZ000004SONF5", "ES")</f>
        <v>ES</v>
      </c>
      <c r="C6207" s="20" t="s">
        <v>41</v>
      </c>
      <c r="D6207" s="21" t="str">
        <f>HYPERLINK("https://otsuka-europe-crm.veevavault.com/ui/#object/approved_document__v/V5OZ025E82TP0C5", "ENFERMERÍA - Guía de Manejo Psicoterapéutico")</f>
        <v>ENFERMERÍA - Guía de Manejo Psicoterapéutico</v>
      </c>
      <c r="E6207" s="22" t="str">
        <f>HYPERLINK("https://otsuka-europe-crm.veevavault.com/ui/#object/sent_email__v/VBL00000002R147", "SE-001434402")</f>
        <v>SE-001434402</v>
      </c>
      <c r="F6207" s="23">
        <v>46196.626203703701</v>
      </c>
      <c r="G6207" s="24">
        <v>1</v>
      </c>
      <c r="H6207" s="24">
        <v>1</v>
      </c>
      <c r="I6207" s="24">
        <v>0</v>
      </c>
      <c r="J6207" s="25"/>
      <c r="K6207" s="24">
        <v>0</v>
      </c>
      <c r="L6207" s="22" t="str">
        <f>HYPERLINK("https://otsuka-europe-crm.veevavault.com/ui/#object/approved_document__v/V5OZ025E82TP0C5", "ENFERMERÍA - Guía de Manejo Psicoterapéutico")</f>
        <v>ENFERMERÍA - Guía de Manejo Psicoterapéutico</v>
      </c>
      <c r="M6207" s="22" t="str">
        <f>HYPERLINK("mailto:mgravan@crm.otsuka-europe.com", "mgravan@crm.otsuka-europe.com")</f>
        <v>mgravan@crm.otsuka-europe.com</v>
      </c>
      <c r="N6207" s="23">
        <v>46196.379467592589</v>
      </c>
      <c r="O6207" s="14" t="str">
        <f>HYPERLINK("https://otsuka-europe-crm.veevavault.com/ui/#object/email_activity__v/V8C00000003Z311", "EN-002099233")</f>
        <v>EN-002099233</v>
      </c>
    </row>
    <row r="6208" spans="1:15" ht="16" x14ac:dyDescent="0.2">
      <c r="A6208" s="18"/>
      <c r="B6208" s="18"/>
      <c r="C6208" s="18"/>
      <c r="D6208" s="18"/>
      <c r="E6208" s="18"/>
      <c r="F6208" s="18"/>
      <c r="G6208" s="18"/>
      <c r="H6208" s="18"/>
      <c r="I6208" s="18"/>
      <c r="J6208" s="18"/>
      <c r="K6208" s="18"/>
      <c r="L6208" s="18"/>
      <c r="M6208" s="18"/>
      <c r="N6208" s="18"/>
      <c r="O6208" s="14" t="str">
        <f>HYPERLINK("https://otsuka-europe-crm.veevavault.com/ui/#object/email_activity__v/V8C00000003Z377", "EN-002099425")</f>
        <v>EN-002099425</v>
      </c>
    </row>
    <row r="6209" spans="1:15" ht="16" x14ac:dyDescent="0.2">
      <c r="A6209" s="19"/>
      <c r="B6209" s="19"/>
      <c r="C6209" s="19"/>
      <c r="D6209" s="19"/>
      <c r="E6209" s="19"/>
      <c r="F6209" s="19"/>
      <c r="G6209" s="19"/>
      <c r="H6209" s="19"/>
      <c r="I6209" s="19"/>
      <c r="J6209" s="19"/>
      <c r="K6209" s="19"/>
      <c r="L6209" s="19"/>
      <c r="M6209" s="19"/>
      <c r="N6209" s="19"/>
      <c r="O6209" s="14" t="str">
        <f>HYPERLINK("https://otsuka-europe-crm.veevavault.com/ui/#object/email_activity__v/V8C000000040454", "EN-002099491")</f>
        <v>EN-002099491</v>
      </c>
    </row>
    <row r="6210" spans="1:15" ht="16" x14ac:dyDescent="0.2">
      <c r="A6210" s="17" t="str">
        <f>HYPERLINK("https://otsuka-europe-crm.veevavault.com/ui/#object/account__v/V4TZ06G6O71TDAH", "TAMARA PEDRO HEDRERA")</f>
        <v>TAMARA PEDRO HEDRERA</v>
      </c>
      <c r="B6210" s="17" t="str">
        <f>HYPERLINK("https://otsuka-europe-crm.veevavault.com/ui/#object/vcountry__v/VENZ000004SONF5", "ES")</f>
        <v>ES</v>
      </c>
      <c r="C6210" s="20" t="s">
        <v>41</v>
      </c>
      <c r="D6210" s="21" t="str">
        <f>HYPERLINK("https://otsuka-europe-crm.veevavault.com/ui/#object/approved_document__v/V5OZ025E82TP0C5", "ENFERMERÍA - Guía de Manejo Psicoterapéutico")</f>
        <v>ENFERMERÍA - Guía de Manejo Psicoterapéutico</v>
      </c>
      <c r="E6210" s="22" t="str">
        <f>HYPERLINK("https://otsuka-europe-crm.veevavault.com/ui/#object/sent_email__v/VBL00000002R148", "SE-001434403")</f>
        <v>SE-001434403</v>
      </c>
      <c r="F6210" s="25"/>
      <c r="G6210" s="24">
        <v>0</v>
      </c>
      <c r="H6210" s="24">
        <v>0</v>
      </c>
      <c r="I6210" s="24">
        <v>0</v>
      </c>
      <c r="J6210" s="25"/>
      <c r="K6210" s="24">
        <v>0</v>
      </c>
      <c r="L6210" s="22" t="str">
        <f>HYPERLINK("https://otsuka-europe-crm.veevavault.com/ui/#object/approved_document__v/V5OZ025E82TP0C5", "ENFERMERÍA - Guía de Manejo Psicoterapéutico")</f>
        <v>ENFERMERÍA - Guía de Manejo Psicoterapéutico</v>
      </c>
      <c r="M6210" s="22" t="str">
        <f>HYPERLINK("mailto:mgravan@crm.otsuka-europe.com", "mgravan@crm.otsuka-europe.com")</f>
        <v>mgravan@crm.otsuka-europe.com</v>
      </c>
      <c r="N6210" s="23">
        <v>46196.37945601852</v>
      </c>
      <c r="O6210" s="14" t="str">
        <f>HYPERLINK("https://otsuka-europe-crm.veevavault.com/ui/#object/email_activity__v/V8C00000003Z300", "EN-002099197")</f>
        <v>EN-002099197</v>
      </c>
    </row>
    <row r="6211" spans="1:15" ht="16" x14ac:dyDescent="0.2">
      <c r="A6211" s="19"/>
      <c r="B6211" s="19"/>
      <c r="C6211" s="19"/>
      <c r="D6211" s="19"/>
      <c r="E6211" s="19"/>
      <c r="F6211" s="19"/>
      <c r="G6211" s="19"/>
      <c r="H6211" s="19"/>
      <c r="I6211" s="19"/>
      <c r="J6211" s="19"/>
      <c r="K6211" s="19"/>
      <c r="L6211" s="19"/>
      <c r="M6211" s="19"/>
      <c r="N6211" s="19"/>
      <c r="O6211" s="14" t="str">
        <f>HYPERLINK("https://otsuka-europe-crm.veevavault.com/ui/#object/email_activity__v/V8C000000040449", "EN-002099480")</f>
        <v>EN-002099480</v>
      </c>
    </row>
    <row r="6212" spans="1:15" ht="16" x14ac:dyDescent="0.2">
      <c r="A6212" s="17" t="str">
        <f>HYPERLINK("https://otsuka-europe-crm.veevavault.com/ui/#object/account__v/V4TZ06G6OC6KNC8", "RAQUEL GUERRERO MONTORO")</f>
        <v>RAQUEL GUERRERO MONTORO</v>
      </c>
      <c r="B6212" s="17" t="str">
        <f>HYPERLINK("https://otsuka-europe-crm.veevavault.com/ui/#object/vcountry__v/VENZ000004SONF5", "ES")</f>
        <v>ES</v>
      </c>
      <c r="C6212" s="20" t="s">
        <v>41</v>
      </c>
      <c r="D6212" s="21" t="str">
        <f>HYPERLINK("https://otsuka-europe-crm.veevavault.com/ui/#object/approved_document__v/V5OZ025E82TP0C5", "ENFERMERÍA - Guía de Manejo Psicoterapéutico")</f>
        <v>ENFERMERÍA - Guía de Manejo Psicoterapéutico</v>
      </c>
      <c r="E6212" s="22" t="str">
        <f>HYPERLINK("https://otsuka-europe-crm.veevavault.com/ui/#object/sent_email__v/VBL00000002R149", "SE-001434404")</f>
        <v>SE-001434404</v>
      </c>
      <c r="F6212" s="23">
        <v>46196.958703703705</v>
      </c>
      <c r="G6212" s="24">
        <v>1</v>
      </c>
      <c r="H6212" s="24">
        <v>1</v>
      </c>
      <c r="I6212" s="24">
        <v>0</v>
      </c>
      <c r="J6212" s="25"/>
      <c r="K6212" s="24">
        <v>0</v>
      </c>
      <c r="L6212" s="22" t="str">
        <f>HYPERLINK("https://otsuka-europe-crm.veevavault.com/ui/#object/approved_document__v/V5OZ025E82TP0C5", "ENFERMERÍA - Guía de Manejo Psicoterapéutico")</f>
        <v>ENFERMERÍA - Guía de Manejo Psicoterapéutico</v>
      </c>
      <c r="M6212" s="22" t="str">
        <f>HYPERLINK("mailto:mgravan@crm.otsuka-europe.com", "mgravan@crm.otsuka-europe.com")</f>
        <v>mgravan@crm.otsuka-europe.com</v>
      </c>
      <c r="N6212" s="23">
        <v>46196.379467592589</v>
      </c>
      <c r="O6212" s="14" t="str">
        <f>HYPERLINK("https://otsuka-europe-crm.veevavault.com/ui/#object/email_activity__v/V8C00000003Z301", "EN-002099198")</f>
        <v>EN-002099198</v>
      </c>
    </row>
    <row r="6213" spans="1:15" ht="16" x14ac:dyDescent="0.2">
      <c r="A6213" s="19"/>
      <c r="B6213" s="19"/>
      <c r="C6213" s="19"/>
      <c r="D6213" s="19"/>
      <c r="E6213" s="19"/>
      <c r="F6213" s="19"/>
      <c r="G6213" s="19"/>
      <c r="H6213" s="19"/>
      <c r="I6213" s="19"/>
      <c r="J6213" s="19"/>
      <c r="K6213" s="19"/>
      <c r="L6213" s="19"/>
      <c r="M6213" s="19"/>
      <c r="N6213" s="19"/>
      <c r="O6213" s="14" t="str">
        <f>HYPERLINK("https://otsuka-europe-crm.veevavault.com/ui/#object/email_activity__v/V8C00000003Z409", "EN-002099487")</f>
        <v>EN-002099487</v>
      </c>
    </row>
    <row r="6214" spans="1:15" ht="32" x14ac:dyDescent="0.2">
      <c r="A6214" s="7" t="str">
        <f>HYPERLINK("https://otsuka-europe-crm.veevavault.com/ui/#object/account__v/V4TZ04ASG8E2LB6", "VICTORIA NAVAS NAVARRO")</f>
        <v>VICTORIA NAVAS NAVARRO</v>
      </c>
      <c r="B6214" s="7" t="str">
        <f>HYPERLINK("https://otsuka-europe-crm.veevavault.com/ui/#object/vcountry__v/VENZ000004SONF5", "ES")</f>
        <v>ES</v>
      </c>
      <c r="C6214" s="8" t="s">
        <v>41</v>
      </c>
      <c r="D6214" s="9" t="str">
        <f>HYPERLINK("https://otsuka-europe-crm.veevavault.com/ui/#object/approved_document__v/V5OZ025E82TP0C5", "ENFERMERÍA - Guía de Manejo Psicoterapéutico")</f>
        <v>ENFERMERÍA - Guía de Manejo Psicoterapéutico</v>
      </c>
      <c r="E6214" s="10" t="str">
        <f>HYPERLINK("https://otsuka-europe-crm.veevavault.com/ui/#object/sent_email__v/VBL00000002R150", "SE-001434405")</f>
        <v>SE-001434405</v>
      </c>
      <c r="F6214" s="11"/>
      <c r="G6214" s="12">
        <v>0</v>
      </c>
      <c r="H6214" s="12">
        <v>0</v>
      </c>
      <c r="I6214" s="12">
        <v>0</v>
      </c>
      <c r="J6214" s="11"/>
      <c r="K6214" s="12">
        <v>0</v>
      </c>
      <c r="L6214" s="10" t="str">
        <f>HYPERLINK("https://otsuka-europe-crm.veevavault.com/ui/#object/approved_document__v/V5OZ025E82TP0C5", "ENFERMERÍA - Guía de Manejo Psicoterapéutico")</f>
        <v>ENFERMERÍA - Guía de Manejo Psicoterapéutico</v>
      </c>
      <c r="M6214" s="10" t="str">
        <f>HYPERLINK("mailto:mgravan@crm.otsuka-europe.com", "mgravan@crm.otsuka-europe.com")</f>
        <v>mgravan@crm.otsuka-europe.com</v>
      </c>
      <c r="N6214" s="13">
        <v>46196.379467592589</v>
      </c>
      <c r="O6214" s="14" t="str">
        <f>HYPERLINK("https://otsuka-europe-crm.veevavault.com/ui/#object/email_activity__v/V8C00000003Z310", "EN-002099232")</f>
        <v>EN-002099232</v>
      </c>
    </row>
    <row r="6215" spans="1:15" ht="32" x14ac:dyDescent="0.2">
      <c r="A6215" s="7" t="str">
        <f>HYPERLINK("https://otsuka-europe-crm.veevavault.com/ui/#object/account__v/V4TZ025E87RFBAX", "ADELAIDA ALCANTARA FERNANDEZ")</f>
        <v>ADELAIDA ALCANTARA FERNANDEZ</v>
      </c>
      <c r="B6215" s="7" t="str">
        <f>HYPERLINK("https://otsuka-europe-crm.veevavault.com/ui/#object/vcountry__v/VENZ000004SONF5", "ES")</f>
        <v>ES</v>
      </c>
      <c r="C6215" s="8" t="s">
        <v>41</v>
      </c>
      <c r="D6215" s="9" t="str">
        <f>HYPERLINK("https://otsuka-europe-crm.veevavault.com/ui/#object/approved_document__v/V5OZ025E82TP0C5", "ENFERMERÍA - Guía de Manejo Psicoterapéutico")</f>
        <v>ENFERMERÍA - Guía de Manejo Psicoterapéutico</v>
      </c>
      <c r="E6215" s="10" t="str">
        <f>HYPERLINK("https://otsuka-europe-crm.veevavault.com/ui/#object/sent_email__v/VBL00000002R151", "SE-001434406")</f>
        <v>SE-001434406</v>
      </c>
      <c r="F6215" s="11"/>
      <c r="G6215" s="12">
        <v>0</v>
      </c>
      <c r="H6215" s="12">
        <v>0</v>
      </c>
      <c r="I6215" s="12">
        <v>0</v>
      </c>
      <c r="J6215" s="11"/>
      <c r="K6215" s="12">
        <v>0</v>
      </c>
      <c r="L6215" s="10" t="str">
        <f>HYPERLINK("https://otsuka-europe-crm.veevavault.com/ui/#object/approved_document__v/V5OZ025E82TP0C5", "ENFERMERÍA - Guía de Manejo Psicoterapéutico")</f>
        <v>ENFERMERÍA - Guía de Manejo Psicoterapéutico</v>
      </c>
      <c r="M6215" s="10" t="str">
        <f>HYPERLINK("mailto:mgravan@crm.otsuka-europe.com", "mgravan@crm.otsuka-europe.com")</f>
        <v>mgravan@crm.otsuka-europe.com</v>
      </c>
      <c r="N6215" s="13">
        <v>46196.379444444443</v>
      </c>
      <c r="O6215" s="14" t="str">
        <f>HYPERLINK("https://otsuka-europe-crm.veevavault.com/ui/#object/email_activity__v/V8C000000040311", "EN-002099248")</f>
        <v>EN-002099248</v>
      </c>
    </row>
    <row r="6216" spans="1:15" ht="32" x14ac:dyDescent="0.2">
      <c r="A6216" s="7" t="str">
        <f>HYPERLINK("https://otsuka-europe-crm.veevavault.com/ui/#object/account__v/V4T000000021018", "AROA RODRIGUEZ RODRIGUEZ")</f>
        <v>AROA RODRIGUEZ RODRIGUEZ</v>
      </c>
      <c r="B6216" s="7" t="str">
        <f>HYPERLINK("https://otsuka-europe-crm.veevavault.com/ui/#object/vcountry__v/VENZ000004SONF5", "ES")</f>
        <v>ES</v>
      </c>
      <c r="C6216" s="8" t="s">
        <v>41</v>
      </c>
      <c r="D6216" s="9" t="str">
        <f>HYPERLINK("https://otsuka-europe-crm.veevavault.com/ui/#object/approved_document__v/V5OZ025E82TP0C5", "ENFERMERÍA - Guía de Manejo Psicoterapéutico")</f>
        <v>ENFERMERÍA - Guía de Manejo Psicoterapéutico</v>
      </c>
      <c r="E6216" s="10" t="str">
        <f>HYPERLINK("https://otsuka-europe-crm.veevavault.com/ui/#object/sent_email__v/VBL00000002R152", "SE-001434407")</f>
        <v>SE-001434407</v>
      </c>
      <c r="F6216" s="11"/>
      <c r="G6216" s="12">
        <v>0</v>
      </c>
      <c r="H6216" s="12">
        <v>0</v>
      </c>
      <c r="I6216" s="12">
        <v>0</v>
      </c>
      <c r="J6216" s="11"/>
      <c r="K6216" s="12">
        <v>0</v>
      </c>
      <c r="L6216" s="10" t="str">
        <f>HYPERLINK("https://otsuka-europe-crm.veevavault.com/ui/#object/approved_document__v/V5OZ025E82TP0C5", "ENFERMERÍA - Guía de Manejo Psicoterapéutico")</f>
        <v>ENFERMERÍA - Guía de Manejo Psicoterapéutico</v>
      </c>
      <c r="M6216" s="10" t="str">
        <f>HYPERLINK("mailto:mgravan@crm.otsuka-europe.com", "mgravan@crm.otsuka-europe.com")</f>
        <v>mgravan@crm.otsuka-europe.com</v>
      </c>
      <c r="N6216" s="13">
        <v>46196.379444444443</v>
      </c>
      <c r="O6216" s="14" t="str">
        <f>HYPERLINK("https://otsuka-europe-crm.veevavault.com/ui/#object/email_activity__v/V8C000000040285", "EN-002099214")</f>
        <v>EN-002099214</v>
      </c>
    </row>
    <row r="6217" spans="1:15" ht="32" x14ac:dyDescent="0.2">
      <c r="A6217" s="7" t="str">
        <f>HYPERLINK("https://otsuka-europe-crm.veevavault.com/ui/#object/account__v/V4TZ025E87FYSEY", "EMMA FERNANDEZ TORRES")</f>
        <v>EMMA FERNANDEZ TORRES</v>
      </c>
      <c r="B6217" s="7" t="str">
        <f>HYPERLINK("https://otsuka-europe-crm.veevavault.com/ui/#object/vcountry__v/VENZ000004SONF5", "ES")</f>
        <v>ES</v>
      </c>
      <c r="C6217" s="8" t="s">
        <v>41</v>
      </c>
      <c r="D6217" s="9" t="str">
        <f>HYPERLINK("https://otsuka-europe-crm.veevavault.com/ui/#object/approved_document__v/V5OZ025E82TP0C5", "ENFERMERÍA - Guía de Manejo Psicoterapéutico")</f>
        <v>ENFERMERÍA - Guía de Manejo Psicoterapéutico</v>
      </c>
      <c r="E6217" s="10" t="str">
        <f>HYPERLINK("https://otsuka-europe-crm.veevavault.com/ui/#object/sent_email__v/VBL00000002R153", "SE-001434408")</f>
        <v>SE-001434408</v>
      </c>
      <c r="F6217" s="11"/>
      <c r="G6217" s="12">
        <v>0</v>
      </c>
      <c r="H6217" s="12">
        <v>0</v>
      </c>
      <c r="I6217" s="12">
        <v>0</v>
      </c>
      <c r="J6217" s="11"/>
      <c r="K6217" s="12">
        <v>0</v>
      </c>
      <c r="L6217" s="10" t="str">
        <f>HYPERLINK("https://otsuka-europe-crm.veevavault.com/ui/#object/approved_document__v/V5OZ025E82TP0C5", "ENFERMERÍA - Guía de Manejo Psicoterapéutico")</f>
        <v>ENFERMERÍA - Guía de Manejo Psicoterapéutico</v>
      </c>
      <c r="M6217" s="10" t="str">
        <f>HYPERLINK("mailto:mgravan@crm.otsuka-europe.com", "mgravan@crm.otsuka-europe.com")</f>
        <v>mgravan@crm.otsuka-europe.com</v>
      </c>
      <c r="N6217" s="13">
        <v>46196.37945601852</v>
      </c>
      <c r="O6217" s="14" t="str">
        <f>HYPERLINK("https://otsuka-europe-crm.veevavault.com/ui/#object/email_activity__v/V8C00000003Z309", "EN-002099223")</f>
        <v>EN-002099223</v>
      </c>
    </row>
    <row r="6218" spans="1:15" ht="16" x14ac:dyDescent="0.2">
      <c r="A6218" s="17" t="str">
        <f>HYPERLINK("https://otsuka-europe-crm.veevavault.com/ui/#object/account__v/V4TZ025E87GWAS9", "ANA MARIA LETRAN ESCUDERO")</f>
        <v>ANA MARIA LETRAN ESCUDERO</v>
      </c>
      <c r="B6218" s="17" t="str">
        <f>HYPERLINK("https://otsuka-europe-crm.veevavault.com/ui/#object/vcountry__v/VENZ000004SONF5", "ES")</f>
        <v>ES</v>
      </c>
      <c r="C6218" s="20" t="s">
        <v>41</v>
      </c>
      <c r="D6218" s="21" t="str">
        <f>HYPERLINK("https://otsuka-europe-crm.veevavault.com/ui/#object/approved_document__v/V5OZ025E82TP0C5", "ENFERMERÍA - Guía de Manejo Psicoterapéutico")</f>
        <v>ENFERMERÍA - Guía de Manejo Psicoterapéutico</v>
      </c>
      <c r="E6218" s="22" t="str">
        <f>HYPERLINK("https://otsuka-europe-crm.veevavault.com/ui/#object/sent_email__v/VBL00000002R154", "SE-001434409")</f>
        <v>SE-001434409</v>
      </c>
      <c r="F6218" s="25"/>
      <c r="G6218" s="24">
        <v>0</v>
      </c>
      <c r="H6218" s="24">
        <v>0</v>
      </c>
      <c r="I6218" s="24">
        <v>0</v>
      </c>
      <c r="J6218" s="25"/>
      <c r="K6218" s="24">
        <v>0</v>
      </c>
      <c r="L6218" s="22" t="str">
        <f>HYPERLINK("https://otsuka-europe-crm.veevavault.com/ui/#object/approved_document__v/V5OZ025E82TP0C5", "ENFERMERÍA - Guía de Manejo Psicoterapéutico")</f>
        <v>ENFERMERÍA - Guía de Manejo Psicoterapéutico</v>
      </c>
      <c r="M6218" s="22" t="str">
        <f>HYPERLINK("mailto:mgravan@crm.otsuka-europe.com", "mgravan@crm.otsuka-europe.com")</f>
        <v>mgravan@crm.otsuka-europe.com</v>
      </c>
      <c r="N6218" s="23">
        <v>46196.379432870373</v>
      </c>
      <c r="O6218" s="14" t="str">
        <f>HYPERLINK("https://otsuka-europe-crm.veevavault.com/ui/#object/email_activity__v/V8C00000003Z370", "EN-002099409")</f>
        <v>EN-002099409</v>
      </c>
    </row>
    <row r="6219" spans="1:15" ht="16" x14ac:dyDescent="0.2">
      <c r="A6219" s="19"/>
      <c r="B6219" s="19"/>
      <c r="C6219" s="19"/>
      <c r="D6219" s="19"/>
      <c r="E6219" s="19"/>
      <c r="F6219" s="19"/>
      <c r="G6219" s="19"/>
      <c r="H6219" s="19"/>
      <c r="I6219" s="19"/>
      <c r="J6219" s="19"/>
      <c r="K6219" s="19"/>
      <c r="L6219" s="19"/>
      <c r="M6219" s="19"/>
      <c r="N6219" s="19"/>
      <c r="O6219" s="14" t="str">
        <f>HYPERLINK("https://otsuka-europe-crm.veevavault.com/ui/#object/email_activity__v/V8C000000040292", "EN-002099227")</f>
        <v>EN-002099227</v>
      </c>
    </row>
    <row r="6220" spans="1:15" ht="32" x14ac:dyDescent="0.2">
      <c r="A6220" s="7" t="str">
        <f>HYPERLINK("https://otsuka-europe-crm.veevavault.com/ui/#object/account__v/V4TZ025E87QGQJZ", "IRENE VALLE CABRERA")</f>
        <v>IRENE VALLE CABRERA</v>
      </c>
      <c r="B6220" s="7" t="str">
        <f>HYPERLINK("https://otsuka-europe-crm.veevavault.com/ui/#object/vcountry__v/VENZ000004SONF5", "ES")</f>
        <v>ES</v>
      </c>
      <c r="C6220" s="8" t="s">
        <v>41</v>
      </c>
      <c r="D6220" s="9" t="str">
        <f>HYPERLINK("https://otsuka-europe-crm.veevavault.com/ui/#object/approved_document__v/V5OZ025E82TP0C5", "ENFERMERÍA - Guía de Manejo Psicoterapéutico")</f>
        <v>ENFERMERÍA - Guía de Manejo Psicoterapéutico</v>
      </c>
      <c r="E6220" s="10" t="str">
        <f>HYPERLINK("https://otsuka-europe-crm.veevavault.com/ui/#object/sent_email__v/VBL00000002R155", "SE-001434410")</f>
        <v>SE-001434410</v>
      </c>
      <c r="F6220" s="11"/>
      <c r="G6220" s="12">
        <v>0</v>
      </c>
      <c r="H6220" s="12">
        <v>0</v>
      </c>
      <c r="I6220" s="12">
        <v>0</v>
      </c>
      <c r="J6220" s="11"/>
      <c r="K6220" s="12">
        <v>0</v>
      </c>
      <c r="L6220" s="10" t="str">
        <f>HYPERLINK("https://otsuka-europe-crm.veevavault.com/ui/#object/approved_document__v/V5OZ025E82TP0C5", "ENFERMERÍA - Guía de Manejo Psicoterapéutico")</f>
        <v>ENFERMERÍA - Guía de Manejo Psicoterapéutico</v>
      </c>
      <c r="M6220" s="10" t="str">
        <f>HYPERLINK("mailto:mgravan@crm.otsuka-europe.com", "mgravan@crm.otsuka-europe.com")</f>
        <v>mgravan@crm.otsuka-europe.com</v>
      </c>
      <c r="N6220" s="13">
        <v>46196.379444444443</v>
      </c>
      <c r="O6220" s="14" t="str">
        <f>HYPERLINK("https://otsuka-europe-crm.veevavault.com/ui/#object/email_activity__v/V8C000000040269", "EN-002099187")</f>
        <v>EN-002099187</v>
      </c>
    </row>
    <row r="6221" spans="1:15" ht="32" x14ac:dyDescent="0.2">
      <c r="A6221" s="7" t="str">
        <f>HYPERLINK("https://otsuka-europe-crm.veevavault.com/ui/#object/account__v/V4TZ04ASGGARY9P", "VICTORIA LOZANO POZO")</f>
        <v>VICTORIA LOZANO POZO</v>
      </c>
      <c r="B6221" s="7" t="str">
        <f>HYPERLINK("https://otsuka-europe-crm.veevavault.com/ui/#object/vcountry__v/VENZ000004SONF5", "ES")</f>
        <v>ES</v>
      </c>
      <c r="C6221" s="8" t="s">
        <v>41</v>
      </c>
      <c r="D6221" s="9" t="str">
        <f>HYPERLINK("https://otsuka-europe-crm.veevavault.com/ui/#object/approved_document__v/V5OZ025E82TP0C5", "ENFERMERÍA - Guía de Manejo Psicoterapéutico")</f>
        <v>ENFERMERÍA - Guía de Manejo Psicoterapéutico</v>
      </c>
      <c r="E6221" s="10" t="str">
        <f>HYPERLINK("https://otsuka-europe-crm.veevavault.com/ui/#object/sent_email__v/VBL00000002R156", "SE-001434411")</f>
        <v>SE-001434411</v>
      </c>
      <c r="F6221" s="11"/>
      <c r="G6221" s="12">
        <v>0</v>
      </c>
      <c r="H6221" s="12">
        <v>0</v>
      </c>
      <c r="I6221" s="12">
        <v>0</v>
      </c>
      <c r="J6221" s="11"/>
      <c r="K6221" s="12">
        <v>0</v>
      </c>
      <c r="L6221" s="10" t="str">
        <f>HYPERLINK("https://otsuka-europe-crm.veevavault.com/ui/#object/approved_document__v/V5OZ025E82TP0C5", "ENFERMERÍA - Guía de Manejo Psicoterapéutico")</f>
        <v>ENFERMERÍA - Guía de Manejo Psicoterapéutico</v>
      </c>
      <c r="M6221" s="10" t="str">
        <f>HYPERLINK("mailto:mgravan@crm.otsuka-europe.com", "mgravan@crm.otsuka-europe.com")</f>
        <v>mgravan@crm.otsuka-europe.com</v>
      </c>
      <c r="N6221" s="13">
        <v>46196.37945601852</v>
      </c>
      <c r="O6221" s="14" t="str">
        <f>HYPERLINK("https://otsuka-europe-crm.veevavault.com/ui/#object/email_activity__v/V8C000000040314", "EN-002099255")</f>
        <v>EN-002099255</v>
      </c>
    </row>
    <row r="6222" spans="1:15" ht="32" x14ac:dyDescent="0.2">
      <c r="A6222" s="7" t="str">
        <f>HYPERLINK("https://otsuka-europe-crm.veevavault.com/ui/#object/account__v/V4TZ025E82ZBZOF", "MARIA TERESA DELGADO GIL")</f>
        <v>MARIA TERESA DELGADO GIL</v>
      </c>
      <c r="B6222" s="7" t="str">
        <f>HYPERLINK("https://otsuka-europe-crm.veevavault.com/ui/#object/vcountry__v/VENZ000004SONF5", "ES")</f>
        <v>ES</v>
      </c>
      <c r="C6222" s="8" t="s">
        <v>41</v>
      </c>
      <c r="D6222" s="9" t="str">
        <f>HYPERLINK("https://otsuka-europe-crm.veevavault.com/ui/#object/approved_document__v/V5OZ025E82TP0C5", "ENFERMERÍA - Guía de Manejo Psicoterapéutico")</f>
        <v>ENFERMERÍA - Guía de Manejo Psicoterapéutico</v>
      </c>
      <c r="E6222" s="10" t="str">
        <f>HYPERLINK("https://otsuka-europe-crm.veevavault.com/ui/#object/sent_email__v/VBL00000002R157", "SE-001434412")</f>
        <v>SE-001434412</v>
      </c>
      <c r="F6222" s="11"/>
      <c r="G6222" s="12">
        <v>0</v>
      </c>
      <c r="H6222" s="12">
        <v>0</v>
      </c>
      <c r="I6222" s="12">
        <v>0</v>
      </c>
      <c r="J6222" s="11"/>
      <c r="K6222" s="12">
        <v>0</v>
      </c>
      <c r="L6222" s="10" t="str">
        <f>HYPERLINK("https://otsuka-europe-crm.veevavault.com/ui/#object/approved_document__v/V5OZ025E82TP0C5", "ENFERMERÍA - Guía de Manejo Psicoterapéutico")</f>
        <v>ENFERMERÍA - Guía de Manejo Psicoterapéutico</v>
      </c>
      <c r="M6222" s="10" t="str">
        <f>HYPERLINK("mailto:mgravan@crm.otsuka-europe.com", "mgravan@crm.otsuka-europe.com")</f>
        <v>mgravan@crm.otsuka-europe.com</v>
      </c>
      <c r="N6222" s="13">
        <v>46196.379444444443</v>
      </c>
      <c r="O6222" s="14" t="str">
        <f>HYPERLINK("https://otsuka-europe-crm.veevavault.com/ui/#object/email_activity__v/V8C000000040310", "EN-002099247")</f>
        <v>EN-002099247</v>
      </c>
    </row>
    <row r="6223" spans="1:15" ht="16" x14ac:dyDescent="0.2">
      <c r="A6223" s="17" t="str">
        <f>HYPERLINK("https://otsuka-europe-crm.veevavault.com/ui/#object/account__v/V4TZ06G6OB4A7GX", "AMELIA RODRIGUEZ HERNANDEZ")</f>
        <v>AMELIA RODRIGUEZ HERNANDEZ</v>
      </c>
      <c r="B6223" s="17" t="str">
        <f>HYPERLINK("https://otsuka-europe-crm.veevavault.com/ui/#object/vcountry__v/VENZ000004SONF5", "ES")</f>
        <v>ES</v>
      </c>
      <c r="C6223" s="20" t="s">
        <v>41</v>
      </c>
      <c r="D6223" s="21" t="str">
        <f>HYPERLINK("https://otsuka-europe-crm.veevavault.com/ui/#object/approved_document__v/V5OZ025E82TP0C5", "ENFERMERÍA - Guía de Manejo Psicoterapéutico")</f>
        <v>ENFERMERÍA - Guía de Manejo Psicoterapéutico</v>
      </c>
      <c r="E6223" s="22" t="str">
        <f>HYPERLINK("https://otsuka-europe-crm.veevavault.com/ui/#object/sent_email__v/VBL00000002R158", "SE-001434413")</f>
        <v>SE-001434413</v>
      </c>
      <c r="F6223" s="23">
        <v>46197.060358796298</v>
      </c>
      <c r="G6223" s="24">
        <v>1</v>
      </c>
      <c r="H6223" s="24">
        <v>1</v>
      </c>
      <c r="I6223" s="24">
        <v>0</v>
      </c>
      <c r="J6223" s="25"/>
      <c r="K6223" s="24">
        <v>0</v>
      </c>
      <c r="L6223" s="22" t="str">
        <f>HYPERLINK("https://otsuka-europe-crm.veevavault.com/ui/#object/approved_document__v/V5OZ025E82TP0C5", "ENFERMERÍA - Guía de Manejo Psicoterapéutico")</f>
        <v>ENFERMERÍA - Guía de Manejo Psicoterapéutico</v>
      </c>
      <c r="M6223" s="22" t="str">
        <f>HYPERLINK("mailto:mgravan@crm.otsuka-europe.com", "mgravan@crm.otsuka-europe.com")</f>
        <v>mgravan@crm.otsuka-europe.com</v>
      </c>
      <c r="N6223" s="23">
        <v>46196.379444444443</v>
      </c>
      <c r="O6223" s="14" t="str">
        <f>HYPERLINK("https://otsuka-europe-crm.veevavault.com/ui/#object/email_activity__v/V8C000000040258", "EN-002099176")</f>
        <v>EN-002099176</v>
      </c>
    </row>
    <row r="6224" spans="1:15" ht="16" x14ac:dyDescent="0.2">
      <c r="A6224" s="19"/>
      <c r="B6224" s="19"/>
      <c r="C6224" s="19"/>
      <c r="D6224" s="19"/>
      <c r="E6224" s="19"/>
      <c r="F6224" s="19"/>
      <c r="G6224" s="19"/>
      <c r="H6224" s="19"/>
      <c r="I6224" s="19"/>
      <c r="J6224" s="19"/>
      <c r="K6224" s="19"/>
      <c r="L6224" s="19"/>
      <c r="M6224" s="19"/>
      <c r="N6224" s="19"/>
      <c r="O6224" s="14" t="str">
        <f>HYPERLINK("https://otsuka-europe-crm.veevavault.com/ui/#object/email_activity__v/V8C000000040457", "EN-002099494")</f>
        <v>EN-002099494</v>
      </c>
    </row>
    <row r="6225" spans="1:15" ht="16" x14ac:dyDescent="0.2">
      <c r="A6225" s="17" t="str">
        <f>HYPERLINK("https://otsuka-europe-crm.veevavault.com/ui/#object/account__v/V4TZ06G6O71TD9R", "MARIA REMEDIOS MARQUEZ SANCHEZ")</f>
        <v>MARIA REMEDIOS MARQUEZ SANCHEZ</v>
      </c>
      <c r="B6225" s="17" t="str">
        <f>HYPERLINK("https://otsuka-europe-crm.veevavault.com/ui/#object/vcountry__v/VENZ000004SONF5", "ES")</f>
        <v>ES</v>
      </c>
      <c r="C6225" s="20" t="s">
        <v>41</v>
      </c>
      <c r="D6225" s="21" t="str">
        <f>HYPERLINK("https://otsuka-europe-crm.veevavault.com/ui/#object/approved_document__v/V5OZ025E82TP0C5", "ENFERMERÍA - Guía de Manejo Psicoterapéutico")</f>
        <v>ENFERMERÍA - Guía de Manejo Psicoterapéutico</v>
      </c>
      <c r="E6225" s="22" t="str">
        <f>HYPERLINK("https://otsuka-europe-crm.veevavault.com/ui/#object/sent_email__v/VBL00000002R159", "SE-001434414")</f>
        <v>SE-001434414</v>
      </c>
      <c r="F6225" s="23">
        <v>46196.720497685186</v>
      </c>
      <c r="G6225" s="24">
        <v>1</v>
      </c>
      <c r="H6225" s="24">
        <v>2</v>
      </c>
      <c r="I6225" s="24">
        <v>1</v>
      </c>
      <c r="J6225" s="23">
        <v>46196.823217592595</v>
      </c>
      <c r="K6225" s="24">
        <v>4</v>
      </c>
      <c r="L6225" s="22" t="str">
        <f>HYPERLINK("https://otsuka-europe-crm.veevavault.com/ui/#object/approved_document__v/V5OZ025E82TP0C5", "ENFERMERÍA - Guía de Manejo Psicoterapéutico")</f>
        <v>ENFERMERÍA - Guía de Manejo Psicoterapéutico</v>
      </c>
      <c r="M6225" s="22" t="str">
        <f>HYPERLINK("mailto:mgravan@crm.otsuka-europe.com", "mgravan@crm.otsuka-europe.com")</f>
        <v>mgravan@crm.otsuka-europe.com</v>
      </c>
      <c r="N6225" s="23">
        <v>46196.37945601852</v>
      </c>
      <c r="O6225" s="14" t="str">
        <f>HYPERLINK("https://otsuka-europe-crm.veevavault.com/ui/#object/email_activity__v/V8C00000003Z387", "EN-002099447")</f>
        <v>EN-002099447</v>
      </c>
    </row>
    <row r="6226" spans="1:15" ht="16" x14ac:dyDescent="0.2">
      <c r="A6226" s="18"/>
      <c r="B6226" s="18"/>
      <c r="C6226" s="18"/>
      <c r="D6226" s="18"/>
      <c r="E6226" s="18"/>
      <c r="F6226" s="18"/>
      <c r="G6226" s="18"/>
      <c r="H6226" s="18"/>
      <c r="I6226" s="18"/>
      <c r="J6226" s="18"/>
      <c r="K6226" s="18"/>
      <c r="L6226" s="18"/>
      <c r="M6226" s="18"/>
      <c r="N6226" s="18"/>
      <c r="O6226" s="14" t="str">
        <f>HYPERLINK("https://otsuka-europe-crm.veevavault.com/ui/#object/email_activity__v/V8C00000003Z389", "EN-002099452")</f>
        <v>EN-002099452</v>
      </c>
    </row>
    <row r="6227" spans="1:15" ht="16" x14ac:dyDescent="0.2">
      <c r="A6227" s="18"/>
      <c r="B6227" s="18"/>
      <c r="C6227" s="18"/>
      <c r="D6227" s="18"/>
      <c r="E6227" s="18"/>
      <c r="F6227" s="18"/>
      <c r="G6227" s="18"/>
      <c r="H6227" s="18"/>
      <c r="I6227" s="18"/>
      <c r="J6227" s="18"/>
      <c r="K6227" s="18"/>
      <c r="L6227" s="18"/>
      <c r="M6227" s="18"/>
      <c r="N6227" s="18"/>
      <c r="O6227" s="14" t="str">
        <f>HYPERLINK("https://otsuka-europe-crm.veevavault.com/ui/#object/email_activity__v/V8C00000003Z390", "EN-002099453")</f>
        <v>EN-002099453</v>
      </c>
    </row>
    <row r="6228" spans="1:15" ht="16" x14ac:dyDescent="0.2">
      <c r="A6228" s="18"/>
      <c r="B6228" s="18"/>
      <c r="C6228" s="18"/>
      <c r="D6228" s="18"/>
      <c r="E6228" s="18"/>
      <c r="F6228" s="18"/>
      <c r="G6228" s="18"/>
      <c r="H6228" s="18"/>
      <c r="I6228" s="18"/>
      <c r="J6228" s="18"/>
      <c r="K6228" s="18"/>
      <c r="L6228" s="18"/>
      <c r="M6228" s="18"/>
      <c r="N6228" s="18"/>
      <c r="O6228" s="14" t="str">
        <f>HYPERLINK("https://otsuka-europe-crm.veevavault.com/ui/#object/email_activity__v/V8C00000003Z402", "EN-002099475")</f>
        <v>EN-002099475</v>
      </c>
    </row>
    <row r="6229" spans="1:15" ht="16" x14ac:dyDescent="0.2">
      <c r="A6229" s="18"/>
      <c r="B6229" s="18"/>
      <c r="C6229" s="18"/>
      <c r="D6229" s="18"/>
      <c r="E6229" s="18"/>
      <c r="F6229" s="18"/>
      <c r="G6229" s="18"/>
      <c r="H6229" s="18"/>
      <c r="I6229" s="18"/>
      <c r="J6229" s="18"/>
      <c r="K6229" s="18"/>
      <c r="L6229" s="18"/>
      <c r="M6229" s="18"/>
      <c r="N6229" s="18"/>
      <c r="O6229" s="14" t="str">
        <f>HYPERLINK("https://otsuka-europe-crm.veevavault.com/ui/#object/email_activity__v/V8C000000040280", "EN-002099209")</f>
        <v>EN-002099209</v>
      </c>
    </row>
    <row r="6230" spans="1:15" ht="16" x14ac:dyDescent="0.2">
      <c r="A6230" s="18"/>
      <c r="B6230" s="18"/>
      <c r="C6230" s="18"/>
      <c r="D6230" s="18"/>
      <c r="E6230" s="18"/>
      <c r="F6230" s="18"/>
      <c r="G6230" s="18"/>
      <c r="H6230" s="18"/>
      <c r="I6230" s="18"/>
      <c r="J6230" s="18"/>
      <c r="K6230" s="18"/>
      <c r="L6230" s="18"/>
      <c r="M6230" s="18"/>
      <c r="N6230" s="18"/>
      <c r="O6230" s="14" t="str">
        <f>HYPERLINK("https://otsuka-europe-crm.veevavault.com/ui/#object/email_activity__v/V8C000000040436", "EN-002099450")</f>
        <v>EN-002099450</v>
      </c>
    </row>
    <row r="6231" spans="1:15" ht="16" x14ac:dyDescent="0.2">
      <c r="A6231" s="19"/>
      <c r="B6231" s="19"/>
      <c r="C6231" s="19"/>
      <c r="D6231" s="19"/>
      <c r="E6231" s="19"/>
      <c r="F6231" s="19"/>
      <c r="G6231" s="19"/>
      <c r="H6231" s="19"/>
      <c r="I6231" s="19"/>
      <c r="J6231" s="19"/>
      <c r="K6231" s="19"/>
      <c r="L6231" s="19"/>
      <c r="M6231" s="19"/>
      <c r="N6231" s="19"/>
      <c r="O6231" s="14" t="str">
        <f>HYPERLINK("https://otsuka-europe-crm.veevavault.com/ui/#object/email_activity__v/V8C000000040437", "EN-002099451")</f>
        <v>EN-002099451</v>
      </c>
    </row>
    <row r="6232" spans="1:15" ht="16" x14ac:dyDescent="0.2">
      <c r="A6232" s="17" t="str">
        <f>HYPERLINK("https://otsuka-europe-crm.veevavault.com/ui/#object/account__v/V4T00000001W058", "ISABEL NAVARRO ZURITA")</f>
        <v>ISABEL NAVARRO ZURITA</v>
      </c>
      <c r="B6232" s="17" t="str">
        <f>HYPERLINK("https://otsuka-europe-crm.veevavault.com/ui/#object/vcountry__v/VENZ000004SONF5", "ES")</f>
        <v>ES</v>
      </c>
      <c r="C6232" s="20" t="s">
        <v>41</v>
      </c>
      <c r="D6232" s="21" t="str">
        <f>HYPERLINK("https://otsuka-europe-crm.veevavault.com/ui/#object/approved_document__v/V5OZ025E82TP0C5", "ENFERMERÍA - Guía de Manejo Psicoterapéutico")</f>
        <v>ENFERMERÍA - Guía de Manejo Psicoterapéutico</v>
      </c>
      <c r="E6232" s="22" t="str">
        <f>HYPERLINK("https://otsuka-europe-crm.veevavault.com/ui/#object/sent_email__v/VBL00000002R160", "SE-001434415")</f>
        <v>SE-001434415</v>
      </c>
      <c r="F6232" s="23">
        <v>46202.33048611111</v>
      </c>
      <c r="G6232" s="24">
        <v>1</v>
      </c>
      <c r="H6232" s="24">
        <v>2</v>
      </c>
      <c r="I6232" s="24">
        <v>1</v>
      </c>
      <c r="J6232" s="23">
        <v>46202.330625000002</v>
      </c>
      <c r="K6232" s="24">
        <v>3</v>
      </c>
      <c r="L6232" s="22" t="str">
        <f>HYPERLINK("https://otsuka-europe-crm.veevavault.com/ui/#object/approved_document__v/V5OZ025E82TP0C5", "ENFERMERÍA - Guía de Manejo Psicoterapéutico")</f>
        <v>ENFERMERÍA - Guía de Manejo Psicoterapéutico</v>
      </c>
      <c r="M6232" s="22" t="str">
        <f>HYPERLINK("mailto:mgravan@crm.otsuka-europe.com", "mgravan@crm.otsuka-europe.com")</f>
        <v>mgravan@crm.otsuka-europe.com</v>
      </c>
      <c r="N6232" s="23">
        <v>46196.37945601852</v>
      </c>
      <c r="O6232" s="14" t="str">
        <f>HYPERLINK("https://otsuka-europe-crm.veevavault.com/ui/#object/email_activity__v/V8C00000003Z342", "EN-002099347")</f>
        <v>EN-002099347</v>
      </c>
    </row>
    <row r="6233" spans="1:15" ht="16" x14ac:dyDescent="0.2">
      <c r="A6233" s="18"/>
      <c r="B6233" s="18"/>
      <c r="C6233" s="18"/>
      <c r="D6233" s="18"/>
      <c r="E6233" s="18"/>
      <c r="F6233" s="18"/>
      <c r="G6233" s="18"/>
      <c r="H6233" s="18"/>
      <c r="I6233" s="18"/>
      <c r="J6233" s="18"/>
      <c r="K6233" s="18"/>
      <c r="L6233" s="18"/>
      <c r="M6233" s="18"/>
      <c r="N6233" s="18"/>
      <c r="O6233" s="14" t="str">
        <f>HYPERLINK("https://otsuka-europe-crm.veevavault.com/ui/#object/email_activity__v/V8C00000003Z355", "EN-002099381")</f>
        <v>EN-002099381</v>
      </c>
    </row>
    <row r="6234" spans="1:15" ht="16" x14ac:dyDescent="0.2">
      <c r="A6234" s="18"/>
      <c r="B6234" s="18"/>
      <c r="C6234" s="18"/>
      <c r="D6234" s="18"/>
      <c r="E6234" s="18"/>
      <c r="F6234" s="18"/>
      <c r="G6234" s="18"/>
      <c r="H6234" s="18"/>
      <c r="I6234" s="18"/>
      <c r="J6234" s="18"/>
      <c r="K6234" s="18"/>
      <c r="L6234" s="18"/>
      <c r="M6234" s="18"/>
      <c r="N6234" s="18"/>
      <c r="O6234" s="14" t="str">
        <f>HYPERLINK("https://otsuka-europe-crm.veevavault.com/ui/#object/email_activity__v/V8C000000040305", "EN-002099242")</f>
        <v>EN-002099242</v>
      </c>
    </row>
    <row r="6235" spans="1:15" ht="16" x14ac:dyDescent="0.2">
      <c r="A6235" s="18"/>
      <c r="B6235" s="18"/>
      <c r="C6235" s="18"/>
      <c r="D6235" s="18"/>
      <c r="E6235" s="18"/>
      <c r="F6235" s="18"/>
      <c r="G6235" s="18"/>
      <c r="H6235" s="18"/>
      <c r="I6235" s="18"/>
      <c r="J6235" s="18"/>
      <c r="K6235" s="18"/>
      <c r="L6235" s="18"/>
      <c r="M6235" s="18"/>
      <c r="N6235" s="18"/>
      <c r="O6235" s="14" t="str">
        <f>HYPERLINK("https://otsuka-europe-crm.veevavault.com/ui/#object/email_activity__v/V8C000000040379", "EN-002099346")</f>
        <v>EN-002099346</v>
      </c>
    </row>
    <row r="6236" spans="1:15" ht="16" x14ac:dyDescent="0.2">
      <c r="A6236" s="18"/>
      <c r="B6236" s="18"/>
      <c r="C6236" s="18"/>
      <c r="D6236" s="18"/>
      <c r="E6236" s="18"/>
      <c r="F6236" s="18"/>
      <c r="G6236" s="18"/>
      <c r="H6236" s="18"/>
      <c r="I6236" s="18"/>
      <c r="J6236" s="18"/>
      <c r="K6236" s="18"/>
      <c r="L6236" s="18"/>
      <c r="M6236" s="18"/>
      <c r="N6236" s="18"/>
      <c r="O6236" s="14" t="str">
        <f>HYPERLINK("https://otsuka-europe-crm.veevavault.com/ui/#object/email_activity__v/V8C000000042288", "EN-002100284")</f>
        <v>EN-002100284</v>
      </c>
    </row>
    <row r="6237" spans="1:15" ht="16" x14ac:dyDescent="0.2">
      <c r="A6237" s="18"/>
      <c r="B6237" s="18"/>
      <c r="C6237" s="18"/>
      <c r="D6237" s="18"/>
      <c r="E6237" s="18"/>
      <c r="F6237" s="18"/>
      <c r="G6237" s="18"/>
      <c r="H6237" s="18"/>
      <c r="I6237" s="18"/>
      <c r="J6237" s="18"/>
      <c r="K6237" s="18"/>
      <c r="L6237" s="18"/>
      <c r="M6237" s="18"/>
      <c r="N6237" s="18"/>
      <c r="O6237" s="14" t="str">
        <f>HYPERLINK("https://otsuka-europe-crm.veevavault.com/ui/#object/email_activity__v/V8C000000042289", "EN-002100285")</f>
        <v>EN-002100285</v>
      </c>
    </row>
    <row r="6238" spans="1:15" ht="16" x14ac:dyDescent="0.2">
      <c r="A6238" s="19"/>
      <c r="B6238" s="19"/>
      <c r="C6238" s="19"/>
      <c r="D6238" s="19"/>
      <c r="E6238" s="19"/>
      <c r="F6238" s="19"/>
      <c r="G6238" s="19"/>
      <c r="H6238" s="19"/>
      <c r="I6238" s="19"/>
      <c r="J6238" s="19"/>
      <c r="K6238" s="19"/>
      <c r="L6238" s="19"/>
      <c r="M6238" s="19"/>
      <c r="N6238" s="19"/>
      <c r="O6238" s="14" t="str">
        <f>HYPERLINK("https://otsuka-europe-crm.veevavault.com/ui/#object/email_activity__v/V8C000000042290", "EN-002100286")</f>
        <v>EN-002100286</v>
      </c>
    </row>
    <row r="6239" spans="1:15" ht="16" x14ac:dyDescent="0.2">
      <c r="A6239" s="17" t="str">
        <f>HYPERLINK("https://otsuka-europe-crm.veevavault.com/ui/#object/account__v/V4TZ06G6O71TDHU", "ELENA MARIA MESTRE GARCIA DEL PRADO")</f>
        <v>ELENA MARIA MESTRE GARCIA DEL PRADO</v>
      </c>
      <c r="B6239" s="17" t="str">
        <f>HYPERLINK("https://otsuka-europe-crm.veevavault.com/ui/#object/vcountry__v/VENZ000004SONF5", "ES")</f>
        <v>ES</v>
      </c>
      <c r="C6239" s="20" t="s">
        <v>41</v>
      </c>
      <c r="D6239" s="21" t="str">
        <f>HYPERLINK("https://otsuka-europe-crm.veevavault.com/ui/#object/approved_document__v/V5OZ025E82TP0C5", "ENFERMERÍA - Guía de Manejo Psicoterapéutico")</f>
        <v>ENFERMERÍA - Guía de Manejo Psicoterapéutico</v>
      </c>
      <c r="E6239" s="22" t="str">
        <f>HYPERLINK("https://otsuka-europe-crm.veevavault.com/ui/#object/sent_email__v/VBL00000002R161", "SE-001434416")</f>
        <v>SE-001434416</v>
      </c>
      <c r="F6239" s="23">
        <v>46202.536643518521</v>
      </c>
      <c r="G6239" s="24">
        <v>1</v>
      </c>
      <c r="H6239" s="24">
        <v>10</v>
      </c>
      <c r="I6239" s="24">
        <v>0</v>
      </c>
      <c r="J6239" s="25"/>
      <c r="K6239" s="24">
        <v>0</v>
      </c>
      <c r="L6239" s="22" t="str">
        <f>HYPERLINK("https://otsuka-europe-crm.veevavault.com/ui/#object/approved_document__v/V5OZ025E82TP0C5", "ENFERMERÍA - Guía de Manejo Psicoterapéutico")</f>
        <v>ENFERMERÍA - Guía de Manejo Psicoterapéutico</v>
      </c>
      <c r="M6239" s="22" t="str">
        <f>HYPERLINK("mailto:mgravan@crm.otsuka-europe.com", "mgravan@crm.otsuka-europe.com")</f>
        <v>mgravan@crm.otsuka-europe.com</v>
      </c>
      <c r="N6239" s="23">
        <v>46196.379444444443</v>
      </c>
      <c r="O6239" s="14" t="str">
        <f>HYPERLINK("https://otsuka-europe-crm.veevavault.com/ui/#object/email_activity__v/V8C00000003Z356", "EN-002099382")</f>
        <v>EN-002099382</v>
      </c>
    </row>
    <row r="6240" spans="1:15" ht="16" x14ac:dyDescent="0.2">
      <c r="A6240" s="18"/>
      <c r="B6240" s="18"/>
      <c r="C6240" s="18"/>
      <c r="D6240" s="18"/>
      <c r="E6240" s="18"/>
      <c r="F6240" s="18"/>
      <c r="G6240" s="18"/>
      <c r="H6240" s="18"/>
      <c r="I6240" s="18"/>
      <c r="J6240" s="18"/>
      <c r="K6240" s="18"/>
      <c r="L6240" s="18"/>
      <c r="M6240" s="18"/>
      <c r="N6240" s="18"/>
      <c r="O6240" s="14" t="str">
        <f>HYPERLINK("https://otsuka-europe-crm.veevavault.com/ui/#object/email_activity__v/V8C00000003Z357", "EN-002099383")</f>
        <v>EN-002099383</v>
      </c>
    </row>
    <row r="6241" spans="1:15" ht="16" x14ac:dyDescent="0.2">
      <c r="A6241" s="18"/>
      <c r="B6241" s="18"/>
      <c r="C6241" s="18"/>
      <c r="D6241" s="18"/>
      <c r="E6241" s="18"/>
      <c r="F6241" s="18"/>
      <c r="G6241" s="18"/>
      <c r="H6241" s="18"/>
      <c r="I6241" s="18"/>
      <c r="J6241" s="18"/>
      <c r="K6241" s="18"/>
      <c r="L6241" s="18"/>
      <c r="M6241" s="18"/>
      <c r="N6241" s="18"/>
      <c r="O6241" s="14" t="str">
        <f>HYPERLINK("https://otsuka-europe-crm.veevavault.com/ui/#object/email_activity__v/V8C00000003Z443", "EN-002099565")</f>
        <v>EN-002099565</v>
      </c>
    </row>
    <row r="6242" spans="1:15" ht="16" x14ac:dyDescent="0.2">
      <c r="A6242" s="18"/>
      <c r="B6242" s="18"/>
      <c r="C6242" s="18"/>
      <c r="D6242" s="18"/>
      <c r="E6242" s="18"/>
      <c r="F6242" s="18"/>
      <c r="G6242" s="18"/>
      <c r="H6242" s="18"/>
      <c r="I6242" s="18"/>
      <c r="J6242" s="18"/>
      <c r="K6242" s="18"/>
      <c r="L6242" s="18"/>
      <c r="M6242" s="18"/>
      <c r="N6242" s="18"/>
      <c r="O6242" s="14" t="str">
        <f>HYPERLINK("https://otsuka-europe-crm.veevavault.com/ui/#object/email_activity__v/V8C00000003Z485", "EN-002099659")</f>
        <v>EN-002099659</v>
      </c>
    </row>
    <row r="6243" spans="1:15" ht="16" x14ac:dyDescent="0.2">
      <c r="A6243" s="18"/>
      <c r="B6243" s="18"/>
      <c r="C6243" s="18"/>
      <c r="D6243" s="18"/>
      <c r="E6243" s="18"/>
      <c r="F6243" s="18"/>
      <c r="G6243" s="18"/>
      <c r="H6243" s="18"/>
      <c r="I6243" s="18"/>
      <c r="J6243" s="18"/>
      <c r="K6243" s="18"/>
      <c r="L6243" s="18"/>
      <c r="M6243" s="18"/>
      <c r="N6243" s="18"/>
      <c r="O6243" s="14" t="str">
        <f>HYPERLINK("https://otsuka-europe-crm.veevavault.com/ui/#object/email_activity__v/V8C000000040254", "EN-002099172")</f>
        <v>EN-002099172</v>
      </c>
    </row>
    <row r="6244" spans="1:15" ht="16" x14ac:dyDescent="0.2">
      <c r="A6244" s="18"/>
      <c r="B6244" s="18"/>
      <c r="C6244" s="18"/>
      <c r="D6244" s="18"/>
      <c r="E6244" s="18"/>
      <c r="F6244" s="18"/>
      <c r="G6244" s="18"/>
      <c r="H6244" s="18"/>
      <c r="I6244" s="18"/>
      <c r="J6244" s="18"/>
      <c r="K6244" s="18"/>
      <c r="L6244" s="18"/>
      <c r="M6244" s="18"/>
      <c r="N6244" s="18"/>
      <c r="O6244" s="14" t="str">
        <f>HYPERLINK("https://otsuka-europe-crm.veevavault.com/ui/#object/email_activity__v/V8C000000040549", "EN-002099660")</f>
        <v>EN-002099660</v>
      </c>
    </row>
    <row r="6245" spans="1:15" ht="16" x14ac:dyDescent="0.2">
      <c r="A6245" s="18"/>
      <c r="B6245" s="18"/>
      <c r="C6245" s="18"/>
      <c r="D6245" s="18"/>
      <c r="E6245" s="18"/>
      <c r="F6245" s="18"/>
      <c r="G6245" s="18"/>
      <c r="H6245" s="18"/>
      <c r="I6245" s="18"/>
      <c r="J6245" s="18"/>
      <c r="K6245" s="18"/>
      <c r="L6245" s="18"/>
      <c r="M6245" s="18"/>
      <c r="N6245" s="18"/>
      <c r="O6245" s="14" t="str">
        <f>HYPERLINK("https://otsuka-europe-crm.veevavault.com/ui/#object/email_activity__v/V8C000000040550", "EN-002099661")</f>
        <v>EN-002099661</v>
      </c>
    </row>
    <row r="6246" spans="1:15" ht="16" x14ac:dyDescent="0.2">
      <c r="A6246" s="18"/>
      <c r="B6246" s="18"/>
      <c r="C6246" s="18"/>
      <c r="D6246" s="18"/>
      <c r="E6246" s="18"/>
      <c r="F6246" s="18"/>
      <c r="G6246" s="18"/>
      <c r="H6246" s="18"/>
      <c r="I6246" s="18"/>
      <c r="J6246" s="18"/>
      <c r="K6246" s="18"/>
      <c r="L6246" s="18"/>
      <c r="M6246" s="18"/>
      <c r="N6246" s="18"/>
      <c r="O6246" s="14" t="str">
        <f>HYPERLINK("https://otsuka-europe-crm.veevavault.com/ui/#object/email_activity__v/V8C000000041323", "EN-002100321")</f>
        <v>EN-002100321</v>
      </c>
    </row>
    <row r="6247" spans="1:15" ht="16" x14ac:dyDescent="0.2">
      <c r="A6247" s="18"/>
      <c r="B6247" s="18"/>
      <c r="C6247" s="18"/>
      <c r="D6247" s="18"/>
      <c r="E6247" s="18"/>
      <c r="F6247" s="18"/>
      <c r="G6247" s="18"/>
      <c r="H6247" s="18"/>
      <c r="I6247" s="18"/>
      <c r="J6247" s="18"/>
      <c r="K6247" s="18"/>
      <c r="L6247" s="18"/>
      <c r="M6247" s="18"/>
      <c r="N6247" s="18"/>
      <c r="O6247" s="14" t="str">
        <f>HYPERLINK("https://otsuka-europe-crm.veevavault.com/ui/#object/email_activity__v/V8C000000041324", "EN-002100322")</f>
        <v>EN-002100322</v>
      </c>
    </row>
    <row r="6248" spans="1:15" ht="16" x14ac:dyDescent="0.2">
      <c r="A6248" s="18"/>
      <c r="B6248" s="18"/>
      <c r="C6248" s="18"/>
      <c r="D6248" s="18"/>
      <c r="E6248" s="18"/>
      <c r="F6248" s="18"/>
      <c r="G6248" s="18"/>
      <c r="H6248" s="18"/>
      <c r="I6248" s="18"/>
      <c r="J6248" s="18"/>
      <c r="K6248" s="18"/>
      <c r="L6248" s="18"/>
      <c r="M6248" s="18"/>
      <c r="N6248" s="18"/>
      <c r="O6248" s="14" t="str">
        <f>HYPERLINK("https://otsuka-europe-crm.veevavault.com/ui/#object/email_activity__v/V8C000000041340", "EN-002100350")</f>
        <v>EN-002100350</v>
      </c>
    </row>
    <row r="6249" spans="1:15" ht="16" x14ac:dyDescent="0.2">
      <c r="A6249" s="19"/>
      <c r="B6249" s="19"/>
      <c r="C6249" s="19"/>
      <c r="D6249" s="19"/>
      <c r="E6249" s="19"/>
      <c r="F6249" s="19"/>
      <c r="G6249" s="19"/>
      <c r="H6249" s="19"/>
      <c r="I6249" s="19"/>
      <c r="J6249" s="19"/>
      <c r="K6249" s="19"/>
      <c r="L6249" s="19"/>
      <c r="M6249" s="19"/>
      <c r="N6249" s="19"/>
      <c r="O6249" s="14" t="str">
        <f>HYPERLINK("https://otsuka-europe-crm.veevavault.com/ui/#object/email_activity__v/V8C000000042311", "EN-002100320")</f>
        <v>EN-002100320</v>
      </c>
    </row>
    <row r="6250" spans="1:15" ht="32" x14ac:dyDescent="0.2">
      <c r="A6250" s="7" t="str">
        <f>HYPERLINK("https://otsuka-europe-crm.veevavault.com/ui/#object/account__v/V4TZ04ASG7X3RU3", "AURORA MARCOS SANCHEZ")</f>
        <v>AURORA MARCOS SANCHEZ</v>
      </c>
      <c r="B6250" s="7" t="str">
        <f>HYPERLINK("https://otsuka-europe-crm.veevavault.com/ui/#object/vcountry__v/VENZ000004SONF5", "ES")</f>
        <v>ES</v>
      </c>
      <c r="C6250" s="8" t="s">
        <v>41</v>
      </c>
      <c r="D6250" s="9" t="str">
        <f>HYPERLINK("https://otsuka-europe-crm.veevavault.com/ui/#object/approved_document__v/V5OZ025E82TP0C5", "ENFERMERÍA - Guía de Manejo Psicoterapéutico")</f>
        <v>ENFERMERÍA - Guía de Manejo Psicoterapéutico</v>
      </c>
      <c r="E6250" s="10" t="str">
        <f>HYPERLINK("https://otsuka-europe-crm.veevavault.com/ui/#object/sent_email__v/VBL00000002R162", "SE-001434417")</f>
        <v>SE-001434417</v>
      </c>
      <c r="F6250" s="11"/>
      <c r="G6250" s="12">
        <v>0</v>
      </c>
      <c r="H6250" s="12">
        <v>0</v>
      </c>
      <c r="I6250" s="12">
        <v>0</v>
      </c>
      <c r="J6250" s="11"/>
      <c r="K6250" s="12">
        <v>0</v>
      </c>
      <c r="L6250" s="10" t="str">
        <f>HYPERLINK("https://otsuka-europe-crm.veevavault.com/ui/#object/approved_document__v/V5OZ025E82TP0C5", "ENFERMERÍA - Guía de Manejo Psicoterapéutico")</f>
        <v>ENFERMERÍA - Guía de Manejo Psicoterapéutico</v>
      </c>
      <c r="M6250" s="10" t="str">
        <f>HYPERLINK("mailto:mgravan@crm.otsuka-europe.com", "mgravan@crm.otsuka-europe.com")</f>
        <v>mgravan@crm.otsuka-europe.com</v>
      </c>
      <c r="N6250" s="13">
        <v>46196.37945601852</v>
      </c>
      <c r="O6250" s="14" t="str">
        <f>HYPERLINK("https://otsuka-europe-crm.veevavault.com/ui/#object/email_activity__v/V8C000000040284", "EN-002099213")</f>
        <v>EN-002099213</v>
      </c>
    </row>
    <row r="6251" spans="1:15" ht="16" x14ac:dyDescent="0.2">
      <c r="A6251" s="17" t="str">
        <f>HYPERLINK("https://otsuka-europe-crm.veevavault.com/ui/#object/account__v/V4TZ06G6O71TDJI", "PILAR ARAGON VIDAL")</f>
        <v>PILAR ARAGON VIDAL</v>
      </c>
      <c r="B6251" s="17" t="str">
        <f>HYPERLINK("https://otsuka-europe-crm.veevavault.com/ui/#object/vcountry__v/VENZ000004SONF5", "ES")</f>
        <v>ES</v>
      </c>
      <c r="C6251" s="20" t="s">
        <v>41</v>
      </c>
      <c r="D6251" s="21" t="str">
        <f>HYPERLINK("https://otsuka-europe-crm.veevavault.com/ui/#object/approved_document__v/V5OZ025E82TP0C5", "ENFERMERÍA - Guía de Manejo Psicoterapéutico")</f>
        <v>ENFERMERÍA - Guía de Manejo Psicoterapéutico</v>
      </c>
      <c r="E6251" s="22" t="str">
        <f>HYPERLINK("https://otsuka-europe-crm.veevavault.com/ui/#object/sent_email__v/VBL00000002R163", "SE-001434418")</f>
        <v>SE-001434418</v>
      </c>
      <c r="F6251" s="23">
        <v>46196.380289351851</v>
      </c>
      <c r="G6251" s="24">
        <v>1</v>
      </c>
      <c r="H6251" s="24">
        <v>2</v>
      </c>
      <c r="I6251" s="24">
        <v>1</v>
      </c>
      <c r="J6251" s="23">
        <v>46196.380902777775</v>
      </c>
      <c r="K6251" s="24">
        <v>1</v>
      </c>
      <c r="L6251" s="22" t="str">
        <f>HYPERLINK("https://otsuka-europe-crm.veevavault.com/ui/#object/approved_document__v/V5OZ025E82TP0C5", "ENFERMERÍA - Guía de Manejo Psicoterapéutico")</f>
        <v>ENFERMERÍA - Guía de Manejo Psicoterapéutico</v>
      </c>
      <c r="M6251" s="22" t="str">
        <f>HYPERLINK("mailto:mgravan@crm.otsuka-europe.com", "mgravan@crm.otsuka-europe.com")</f>
        <v>mgravan@crm.otsuka-europe.com</v>
      </c>
      <c r="N6251" s="23">
        <v>46196.379432870373</v>
      </c>
      <c r="O6251" s="14" t="str">
        <f>HYPERLINK("https://otsuka-europe-crm.veevavault.com/ui/#object/email_activity__v/V8C000000040297", "EN-002099234")</f>
        <v>EN-002099234</v>
      </c>
    </row>
    <row r="6252" spans="1:15" ht="16" x14ac:dyDescent="0.2">
      <c r="A6252" s="18"/>
      <c r="B6252" s="18"/>
      <c r="C6252" s="18"/>
      <c r="D6252" s="18"/>
      <c r="E6252" s="18"/>
      <c r="F6252" s="18"/>
      <c r="G6252" s="18"/>
      <c r="H6252" s="18"/>
      <c r="I6252" s="18"/>
      <c r="J6252" s="18"/>
      <c r="K6252" s="18"/>
      <c r="L6252" s="18"/>
      <c r="M6252" s="18"/>
      <c r="N6252" s="18"/>
      <c r="O6252" s="14" t="str">
        <f>HYPERLINK("https://otsuka-europe-crm.veevavault.com/ui/#object/email_activity__v/V8C000000040312", "EN-002099249")</f>
        <v>EN-002099249</v>
      </c>
    </row>
    <row r="6253" spans="1:15" ht="16" x14ac:dyDescent="0.2">
      <c r="A6253" s="18"/>
      <c r="B6253" s="18"/>
      <c r="C6253" s="18"/>
      <c r="D6253" s="18"/>
      <c r="E6253" s="18"/>
      <c r="F6253" s="18"/>
      <c r="G6253" s="18"/>
      <c r="H6253" s="18"/>
      <c r="I6253" s="18"/>
      <c r="J6253" s="18"/>
      <c r="K6253" s="18"/>
      <c r="L6253" s="18"/>
      <c r="M6253" s="18"/>
      <c r="N6253" s="18"/>
      <c r="O6253" s="14" t="str">
        <f>HYPERLINK("https://otsuka-europe-crm.veevavault.com/ui/#object/email_activity__v/V8C000000040315", "EN-002099257")</f>
        <v>EN-002099257</v>
      </c>
    </row>
    <row r="6254" spans="1:15" ht="16" x14ac:dyDescent="0.2">
      <c r="A6254" s="18"/>
      <c r="B6254" s="18"/>
      <c r="C6254" s="18"/>
      <c r="D6254" s="18"/>
      <c r="E6254" s="18"/>
      <c r="F6254" s="18"/>
      <c r="G6254" s="18"/>
      <c r="H6254" s="18"/>
      <c r="I6254" s="18"/>
      <c r="J6254" s="18"/>
      <c r="K6254" s="18"/>
      <c r="L6254" s="18"/>
      <c r="M6254" s="18"/>
      <c r="N6254" s="18"/>
      <c r="O6254" s="14" t="str">
        <f>HYPERLINK("https://otsuka-europe-crm.veevavault.com/ui/#object/email_activity__v/V8C000000040316", "EN-002099258")</f>
        <v>EN-002099258</v>
      </c>
    </row>
    <row r="6255" spans="1:15" ht="16" x14ac:dyDescent="0.2">
      <c r="A6255" s="19"/>
      <c r="B6255" s="19"/>
      <c r="C6255" s="19"/>
      <c r="D6255" s="19"/>
      <c r="E6255" s="19"/>
      <c r="F6255" s="19"/>
      <c r="G6255" s="19"/>
      <c r="H6255" s="19"/>
      <c r="I6255" s="19"/>
      <c r="J6255" s="19"/>
      <c r="K6255" s="19"/>
      <c r="L6255" s="19"/>
      <c r="M6255" s="19"/>
      <c r="N6255" s="19"/>
      <c r="O6255" s="14" t="str">
        <f>HYPERLINK("https://otsuka-europe-crm.veevavault.com/ui/#object/email_activity__v/V8C000000040456", "EN-002099493")</f>
        <v>EN-002099493</v>
      </c>
    </row>
    <row r="6256" spans="1:15" ht="16" x14ac:dyDescent="0.2">
      <c r="A6256" s="17" t="str">
        <f>HYPERLINK("https://otsuka-europe-crm.veevavault.com/ui/#object/account__v/V4TZ025E85M5LEN", "MARIA CARMEN CASTILLA RAGEL")</f>
        <v>MARIA CARMEN CASTILLA RAGEL</v>
      </c>
      <c r="B6256" s="17" t="str">
        <f>HYPERLINK("https://otsuka-europe-crm.veevavault.com/ui/#object/vcountry__v/VENZ000004SONF5", "ES")</f>
        <v>ES</v>
      </c>
      <c r="C6256" s="20" t="s">
        <v>41</v>
      </c>
      <c r="D6256" s="21" t="str">
        <f>HYPERLINK("https://otsuka-europe-crm.veevavault.com/ui/#object/approved_document__v/V5OZ025E82TP0C5", "ENFERMERÍA - Guía de Manejo Psicoterapéutico")</f>
        <v>ENFERMERÍA - Guía de Manejo Psicoterapéutico</v>
      </c>
      <c r="E6256" s="22" t="str">
        <f>HYPERLINK("https://otsuka-europe-crm.veevavault.com/ui/#object/sent_email__v/VBL00000002R164", "SE-001434419")</f>
        <v>SE-001434419</v>
      </c>
      <c r="F6256" s="25"/>
      <c r="G6256" s="24">
        <v>0</v>
      </c>
      <c r="H6256" s="24">
        <v>0</v>
      </c>
      <c r="I6256" s="24">
        <v>0</v>
      </c>
      <c r="J6256" s="25"/>
      <c r="K6256" s="24">
        <v>0</v>
      </c>
      <c r="L6256" s="22" t="str">
        <f>HYPERLINK("https://otsuka-europe-crm.veevavault.com/ui/#object/approved_document__v/V5OZ025E82TP0C5", "ENFERMERÍA - Guía de Manejo Psicoterapéutico")</f>
        <v>ENFERMERÍA - Guía de Manejo Psicoterapéutico</v>
      </c>
      <c r="M6256" s="22" t="str">
        <f>HYPERLINK("mailto:mgravan@crm.otsuka-europe.com", "mgravan@crm.otsuka-europe.com")</f>
        <v>mgravan@crm.otsuka-europe.com</v>
      </c>
      <c r="N6256" s="23">
        <v>46196.379467592589</v>
      </c>
      <c r="O6256" s="14" t="str">
        <f>HYPERLINK("https://otsuka-europe-crm.veevavault.com/ui/#object/email_activity__v/V8C000000040306", "EN-002099243")</f>
        <v>EN-002099243</v>
      </c>
    </row>
    <row r="6257" spans="1:15" ht="16" x14ac:dyDescent="0.2">
      <c r="A6257" s="19"/>
      <c r="B6257" s="19"/>
      <c r="C6257" s="19"/>
      <c r="D6257" s="19"/>
      <c r="E6257" s="19"/>
      <c r="F6257" s="19"/>
      <c r="G6257" s="19"/>
      <c r="H6257" s="19"/>
      <c r="I6257" s="19"/>
      <c r="J6257" s="19"/>
      <c r="K6257" s="19"/>
      <c r="L6257" s="19"/>
      <c r="M6257" s="19"/>
      <c r="N6257" s="19"/>
      <c r="O6257" s="14" t="str">
        <f>HYPERLINK("https://otsuka-europe-crm.veevavault.com/ui/#object/email_activity__v/V8C000000042320", "EN-002100344")</f>
        <v>EN-002100344</v>
      </c>
    </row>
    <row r="6258" spans="1:15" ht="32" x14ac:dyDescent="0.2">
      <c r="A6258" s="7" t="str">
        <f>HYPERLINK("https://otsuka-europe-crm.veevavault.com/ui/#object/account__v/V4TZ025E86NQR2C", "SARA BERMEJO CRUZ")</f>
        <v>SARA BERMEJO CRUZ</v>
      </c>
      <c r="B6258" s="7" t="str">
        <f>HYPERLINK("https://otsuka-europe-crm.veevavault.com/ui/#object/vcountry__v/VENZ000004SONF5", "ES")</f>
        <v>ES</v>
      </c>
      <c r="C6258" s="8" t="s">
        <v>41</v>
      </c>
      <c r="D6258" s="9" t="str">
        <f>HYPERLINK("https://otsuka-europe-crm.veevavault.com/ui/#object/approved_document__v/V5OZ025E82TP0C5", "ENFERMERÍA - Guía de Manejo Psicoterapéutico")</f>
        <v>ENFERMERÍA - Guía de Manejo Psicoterapéutico</v>
      </c>
      <c r="E6258" s="10" t="str">
        <f>HYPERLINK("https://otsuka-europe-crm.veevavault.com/ui/#object/sent_email__v/VBL00000002R165", "SE-001434420")</f>
        <v>SE-001434420</v>
      </c>
      <c r="F6258" s="11"/>
      <c r="G6258" s="12">
        <v>0</v>
      </c>
      <c r="H6258" s="12">
        <v>0</v>
      </c>
      <c r="I6258" s="12">
        <v>0</v>
      </c>
      <c r="J6258" s="11"/>
      <c r="K6258" s="12">
        <v>0</v>
      </c>
      <c r="L6258" s="10" t="str">
        <f>HYPERLINK("https://otsuka-europe-crm.veevavault.com/ui/#object/approved_document__v/V5OZ025E82TP0C5", "ENFERMERÍA - Guía de Manejo Psicoterapéutico")</f>
        <v>ENFERMERÍA - Guía de Manejo Psicoterapéutico</v>
      </c>
      <c r="M6258" s="10" t="str">
        <f>HYPERLINK("mailto:mgravan@crm.otsuka-europe.com", "mgravan@crm.otsuka-europe.com")</f>
        <v>mgravan@crm.otsuka-europe.com</v>
      </c>
      <c r="N6258" s="13">
        <v>46196.379432870373</v>
      </c>
      <c r="O6258" s="14" t="str">
        <f>HYPERLINK("https://otsuka-europe-crm.veevavault.com/ui/#object/email_activity__v/V8C00000003Z304", "EN-002099218")</f>
        <v>EN-002099218</v>
      </c>
    </row>
    <row r="6259" spans="1:15" ht="16" x14ac:dyDescent="0.2">
      <c r="A6259" s="17" t="str">
        <f>HYPERLINK("https://otsuka-europe-crm.veevavault.com/ui/#object/account__v/V4T00000001X177", "ANA TOLEDO CASTILLO")</f>
        <v>ANA TOLEDO CASTILLO</v>
      </c>
      <c r="B6259" s="17" t="str">
        <f>HYPERLINK("https://otsuka-europe-crm.veevavault.com/ui/#object/vcountry__v/VENZ000004SONF5", "ES")</f>
        <v>ES</v>
      </c>
      <c r="C6259" s="20" t="s">
        <v>41</v>
      </c>
      <c r="D6259" s="21" t="str">
        <f>HYPERLINK("https://otsuka-europe-crm.veevavault.com/ui/#object/approved_document__v/V5OZ025E82TP0C5", "ENFERMERÍA - Guía de Manejo Psicoterapéutico")</f>
        <v>ENFERMERÍA - Guía de Manejo Psicoterapéutico</v>
      </c>
      <c r="E6259" s="22" t="str">
        <f>HYPERLINK("https://otsuka-europe-crm.veevavault.com/ui/#object/sent_email__v/VBL00000002R166", "SE-001434421")</f>
        <v>SE-001434421</v>
      </c>
      <c r="F6259" s="23">
        <v>46202.477060185185</v>
      </c>
      <c r="G6259" s="24">
        <v>1</v>
      </c>
      <c r="H6259" s="24">
        <v>1</v>
      </c>
      <c r="I6259" s="24">
        <v>0</v>
      </c>
      <c r="J6259" s="25"/>
      <c r="K6259" s="24">
        <v>0</v>
      </c>
      <c r="L6259" s="22" t="str">
        <f>HYPERLINK("https://otsuka-europe-crm.veevavault.com/ui/#object/approved_document__v/V5OZ025E82TP0C5", "ENFERMERÍA - Guía de Manejo Psicoterapéutico")</f>
        <v>ENFERMERÍA - Guía de Manejo Psicoterapéutico</v>
      </c>
      <c r="M6259" s="22" t="str">
        <f>HYPERLINK("mailto:mgravan@crm.otsuka-europe.com", "mgravan@crm.otsuka-europe.com")</f>
        <v>mgravan@crm.otsuka-europe.com</v>
      </c>
      <c r="N6259" s="23">
        <v>46196.379444444443</v>
      </c>
      <c r="O6259" s="14" t="str">
        <f>HYPERLINK("https://otsuka-europe-crm.veevavault.com/ui/#object/email_activity__v/V8C00000003Z307", "EN-002099221")</f>
        <v>EN-002099221</v>
      </c>
    </row>
    <row r="6260" spans="1:15" ht="16" x14ac:dyDescent="0.2">
      <c r="A6260" s="19"/>
      <c r="B6260" s="19"/>
      <c r="C6260" s="19"/>
      <c r="D6260" s="19"/>
      <c r="E6260" s="19"/>
      <c r="F6260" s="19"/>
      <c r="G6260" s="19"/>
      <c r="H6260" s="19"/>
      <c r="I6260" s="19"/>
      <c r="J6260" s="19"/>
      <c r="K6260" s="19"/>
      <c r="L6260" s="19"/>
      <c r="M6260" s="19"/>
      <c r="N6260" s="19"/>
      <c r="O6260" s="14" t="str">
        <f>HYPERLINK("https://otsuka-europe-crm.veevavault.com/ui/#object/email_activity__v/V8C000000041336", "EN-002100342")</f>
        <v>EN-002100342</v>
      </c>
    </row>
    <row r="6261" spans="1:15" ht="16" x14ac:dyDescent="0.2">
      <c r="A6261" s="17" t="str">
        <f>HYPERLINK("https://otsuka-europe-crm.veevavault.com/ui/#object/account__v/V4TZ04ASGGARY9Q", "ANA ISABEL HORMIGO DOMINGUEZ")</f>
        <v>ANA ISABEL HORMIGO DOMINGUEZ</v>
      </c>
      <c r="B6261" s="17" t="str">
        <f>HYPERLINK("https://otsuka-europe-crm.veevavault.com/ui/#object/vcountry__v/VENZ000004SONF5", "ES")</f>
        <v>ES</v>
      </c>
      <c r="C6261" s="20" t="s">
        <v>41</v>
      </c>
      <c r="D6261" s="21" t="str">
        <f>HYPERLINK("https://otsuka-europe-crm.veevavault.com/ui/#object/approved_document__v/V5OZ025E82TP0C5", "ENFERMERÍA - Guía de Manejo Psicoterapéutico")</f>
        <v>ENFERMERÍA - Guía de Manejo Psicoterapéutico</v>
      </c>
      <c r="E6261" s="22" t="str">
        <f>HYPERLINK("https://otsuka-europe-crm.veevavault.com/ui/#object/sent_email__v/VBL00000002R167", "SE-001434422")</f>
        <v>SE-001434422</v>
      </c>
      <c r="F6261" s="23">
        <v>46196.390844907408</v>
      </c>
      <c r="G6261" s="24">
        <v>1</v>
      </c>
      <c r="H6261" s="24">
        <v>3</v>
      </c>
      <c r="I6261" s="24">
        <v>0</v>
      </c>
      <c r="J6261" s="25"/>
      <c r="K6261" s="24">
        <v>0</v>
      </c>
      <c r="L6261" s="22" t="str">
        <f>HYPERLINK("https://otsuka-europe-crm.veevavault.com/ui/#object/approved_document__v/V5OZ025E82TP0C5", "ENFERMERÍA - Guía de Manejo Psicoterapéutico")</f>
        <v>ENFERMERÍA - Guía de Manejo Psicoterapéutico</v>
      </c>
      <c r="M6261" s="22" t="str">
        <f>HYPERLINK("mailto:mgravan@crm.otsuka-europe.com", "mgravan@crm.otsuka-europe.com")</f>
        <v>mgravan@crm.otsuka-europe.com</v>
      </c>
      <c r="N6261" s="23">
        <v>46196.379467592589</v>
      </c>
      <c r="O6261" s="14" t="str">
        <f>HYPERLINK("https://otsuka-europe-crm.veevavault.com/ui/#object/email_activity__v/V8C00000003Z326", "EN-002099291")</f>
        <v>EN-002099291</v>
      </c>
    </row>
    <row r="6262" spans="1:15" ht="16" x14ac:dyDescent="0.2">
      <c r="A6262" s="18"/>
      <c r="B6262" s="18"/>
      <c r="C6262" s="18"/>
      <c r="D6262" s="18"/>
      <c r="E6262" s="18"/>
      <c r="F6262" s="18"/>
      <c r="G6262" s="18"/>
      <c r="H6262" s="18"/>
      <c r="I6262" s="18"/>
      <c r="J6262" s="18"/>
      <c r="K6262" s="18"/>
      <c r="L6262" s="18"/>
      <c r="M6262" s="18"/>
      <c r="N6262" s="18"/>
      <c r="O6262" s="14" t="str">
        <f>HYPERLINK("https://otsuka-europe-crm.veevavault.com/ui/#object/email_activity__v/V8C00000003Z327", "EN-002099292")</f>
        <v>EN-002099292</v>
      </c>
    </row>
    <row r="6263" spans="1:15" ht="16" x14ac:dyDescent="0.2">
      <c r="A6263" s="18"/>
      <c r="B6263" s="18"/>
      <c r="C6263" s="18"/>
      <c r="D6263" s="18"/>
      <c r="E6263" s="18"/>
      <c r="F6263" s="18"/>
      <c r="G6263" s="18"/>
      <c r="H6263" s="18"/>
      <c r="I6263" s="18"/>
      <c r="J6263" s="18"/>
      <c r="K6263" s="18"/>
      <c r="L6263" s="18"/>
      <c r="M6263" s="18"/>
      <c r="N6263" s="18"/>
      <c r="O6263" s="14" t="str">
        <f>HYPERLINK("https://otsuka-europe-crm.veevavault.com/ui/#object/email_activity__v/V8C00000003Z330", "EN-002099298")</f>
        <v>EN-002099298</v>
      </c>
    </row>
    <row r="6264" spans="1:15" ht="16" x14ac:dyDescent="0.2">
      <c r="A6264" s="19"/>
      <c r="B6264" s="19"/>
      <c r="C6264" s="19"/>
      <c r="D6264" s="19"/>
      <c r="E6264" s="19"/>
      <c r="F6264" s="19"/>
      <c r="G6264" s="19"/>
      <c r="H6264" s="19"/>
      <c r="I6264" s="19"/>
      <c r="J6264" s="19"/>
      <c r="K6264" s="19"/>
      <c r="L6264" s="19"/>
      <c r="M6264" s="19"/>
      <c r="N6264" s="19"/>
      <c r="O6264" s="14" t="str">
        <f>HYPERLINK("https://otsuka-europe-crm.veevavault.com/ui/#object/email_activity__v/V8C000000040275", "EN-002099204")</f>
        <v>EN-002099204</v>
      </c>
    </row>
    <row r="6265" spans="1:15" ht="32" x14ac:dyDescent="0.2">
      <c r="A6265" s="7" t="str">
        <f>HYPERLINK("https://otsuka-europe-crm.veevavault.com/ui/#object/account__v/V4TZ06G6O71TDAI", "CAMINO CARDENAS SANZ")</f>
        <v>CAMINO CARDENAS SANZ</v>
      </c>
      <c r="B6265" s="7" t="str">
        <f>HYPERLINK("https://otsuka-europe-crm.veevavault.com/ui/#object/vcountry__v/VENZ000004SONF5", "ES")</f>
        <v>ES</v>
      </c>
      <c r="C6265" s="8" t="s">
        <v>41</v>
      </c>
      <c r="D6265" s="9" t="str">
        <f>HYPERLINK("https://otsuka-europe-crm.veevavault.com/ui/#object/approved_document__v/V5OZ025E82TP0C5", "ENFERMERÍA - Guía de Manejo Psicoterapéutico")</f>
        <v>ENFERMERÍA - Guía de Manejo Psicoterapéutico</v>
      </c>
      <c r="E6265" s="10" t="str">
        <f>HYPERLINK("https://otsuka-europe-crm.veevavault.com/ui/#object/sent_email__v/VBL00000002R168", "SE-001434423")</f>
        <v>SE-001434423</v>
      </c>
      <c r="F6265" s="11"/>
      <c r="G6265" s="12">
        <v>0</v>
      </c>
      <c r="H6265" s="12">
        <v>0</v>
      </c>
      <c r="I6265" s="12">
        <v>0</v>
      </c>
      <c r="J6265" s="11"/>
      <c r="K6265" s="12">
        <v>0</v>
      </c>
      <c r="L6265" s="10" t="str">
        <f>HYPERLINK("https://otsuka-europe-crm.veevavault.com/ui/#object/approved_document__v/V5OZ025E82TP0C5", "ENFERMERÍA - Guía de Manejo Psicoterapéutico")</f>
        <v>ENFERMERÍA - Guía de Manejo Psicoterapéutico</v>
      </c>
      <c r="M6265" s="10" t="str">
        <f>HYPERLINK("mailto:mgravan@crm.otsuka-europe.com", "mgravan@crm.otsuka-europe.com")</f>
        <v>mgravan@crm.otsuka-europe.com</v>
      </c>
      <c r="N6265" s="13">
        <v>46196.379432870373</v>
      </c>
      <c r="O6265" s="14" t="str">
        <f>HYPERLINK("https://otsuka-europe-crm.veevavault.com/ui/#object/email_activity__v/V8C000000040263", "EN-002099181")</f>
        <v>EN-002099181</v>
      </c>
    </row>
    <row r="6266" spans="1:15" ht="32" x14ac:dyDescent="0.2">
      <c r="A6266" s="7" t="str">
        <f>HYPERLINK("https://otsuka-europe-crm.veevavault.com/ui/#object/account__v/V4TZ04ASGGHZANK", "MARINA BARRADA BUSTELO")</f>
        <v>MARINA BARRADA BUSTELO</v>
      </c>
      <c r="B6266" s="7" t="str">
        <f>HYPERLINK("https://otsuka-europe-crm.veevavault.com/ui/#object/vcountry__v/VENZ000004SONF5", "ES")</f>
        <v>ES</v>
      </c>
      <c r="C6266" s="8" t="s">
        <v>41</v>
      </c>
      <c r="D6266" s="9" t="str">
        <f>HYPERLINK("https://otsuka-europe-crm.veevavault.com/ui/#object/approved_document__v/V5OZ025E82TP0C5", "ENFERMERÍA - Guía de Manejo Psicoterapéutico")</f>
        <v>ENFERMERÍA - Guía de Manejo Psicoterapéutico</v>
      </c>
      <c r="E6266" s="10" t="str">
        <f>HYPERLINK("https://otsuka-europe-crm.veevavault.com/ui/#object/sent_email__v/VBL00000002R169", "SE-001434424")</f>
        <v>SE-001434424</v>
      </c>
      <c r="F6266" s="11"/>
      <c r="G6266" s="12">
        <v>0</v>
      </c>
      <c r="H6266" s="12">
        <v>0</v>
      </c>
      <c r="I6266" s="12">
        <v>0</v>
      </c>
      <c r="J6266" s="11"/>
      <c r="K6266" s="12">
        <v>0</v>
      </c>
      <c r="L6266" s="10" t="str">
        <f>HYPERLINK("https://otsuka-europe-crm.veevavault.com/ui/#object/approved_document__v/V5OZ025E82TP0C5", "ENFERMERÍA - Guía de Manejo Psicoterapéutico")</f>
        <v>ENFERMERÍA - Guía de Manejo Psicoterapéutico</v>
      </c>
      <c r="M6266" s="10" t="str">
        <f>HYPERLINK("mailto:mgravan@crm.otsuka-europe.com", "mgravan@crm.otsuka-europe.com")</f>
        <v>mgravan@crm.otsuka-europe.com</v>
      </c>
      <c r="N6266" s="13">
        <v>46196.379444444443</v>
      </c>
      <c r="O6266" s="14" t="str">
        <f>HYPERLINK("https://otsuka-europe-crm.veevavault.com/ui/#object/email_activity__v/V8C000000040260", "EN-002099178")</f>
        <v>EN-002099178</v>
      </c>
    </row>
    <row r="6267" spans="1:15" ht="16" x14ac:dyDescent="0.2">
      <c r="A6267" s="17" t="str">
        <f>HYPERLINK("https://otsuka-europe-crm.veevavault.com/ui/#object/account__v/V4TZ04ASGC2GKBR", "ALEXIA MARCO CUEVAS")</f>
        <v>ALEXIA MARCO CUEVAS</v>
      </c>
      <c r="B6267" s="17" t="str">
        <f>HYPERLINK("https://otsuka-europe-crm.veevavault.com/ui/#object/vcountry__v/VENZ000004SONF5", "ES")</f>
        <v>ES</v>
      </c>
      <c r="C6267" s="20" t="s">
        <v>41</v>
      </c>
      <c r="D6267" s="21" t="str">
        <f>HYPERLINK("https://otsuka-europe-crm.veevavault.com/ui/#object/approved_document__v/V5OZ025E82TP0C5", "ENFERMERÍA - Guía de Manejo Psicoterapéutico")</f>
        <v>ENFERMERÍA - Guía de Manejo Psicoterapéutico</v>
      </c>
      <c r="E6267" s="22" t="str">
        <f>HYPERLINK("https://otsuka-europe-crm.veevavault.com/ui/#object/sent_email__v/VBL00000002R170", "SE-001434425")</f>
        <v>SE-001434425</v>
      </c>
      <c r="F6267" s="23">
        <v>46196.479131944441</v>
      </c>
      <c r="G6267" s="24">
        <v>1</v>
      </c>
      <c r="H6267" s="24">
        <v>1</v>
      </c>
      <c r="I6267" s="24">
        <v>0</v>
      </c>
      <c r="J6267" s="25"/>
      <c r="K6267" s="24">
        <v>0</v>
      </c>
      <c r="L6267" s="22" t="str">
        <f>HYPERLINK("https://otsuka-europe-crm.veevavault.com/ui/#object/approved_document__v/V5OZ025E82TP0C5", "ENFERMERÍA - Guía de Manejo Psicoterapéutico")</f>
        <v>ENFERMERÍA - Guía de Manejo Psicoterapéutico</v>
      </c>
      <c r="M6267" s="22" t="str">
        <f>HYPERLINK("mailto:mgravan@crm.otsuka-europe.com", "mgravan@crm.otsuka-europe.com")</f>
        <v>mgravan@crm.otsuka-europe.com</v>
      </c>
      <c r="N6267" s="23">
        <v>46196.379444444443</v>
      </c>
      <c r="O6267" s="14" t="str">
        <f>HYPERLINK("https://otsuka-europe-crm.veevavault.com/ui/#object/email_activity__v/V8C000000040265", "EN-002099183")</f>
        <v>EN-002099183</v>
      </c>
    </row>
    <row r="6268" spans="1:15" ht="16" x14ac:dyDescent="0.2">
      <c r="A6268" s="19"/>
      <c r="B6268" s="19"/>
      <c r="C6268" s="19"/>
      <c r="D6268" s="19"/>
      <c r="E6268" s="19"/>
      <c r="F6268" s="19"/>
      <c r="G6268" s="19"/>
      <c r="H6268" s="19"/>
      <c r="I6268" s="19"/>
      <c r="J6268" s="19"/>
      <c r="K6268" s="19"/>
      <c r="L6268" s="19"/>
      <c r="M6268" s="19"/>
      <c r="N6268" s="19"/>
      <c r="O6268" s="14" t="str">
        <f>HYPERLINK("https://otsuka-europe-crm.veevavault.com/ui/#object/email_activity__v/V8C000000040386", "EN-002099358")</f>
        <v>EN-002099358</v>
      </c>
    </row>
    <row r="6269" spans="1:15" ht="32" x14ac:dyDescent="0.2">
      <c r="A6269" s="7" t="str">
        <f>HYPERLINK("https://otsuka-europe-crm.veevavault.com/ui/#object/account__v/V4TZ06G6O71X4LR", "LILIANA CIMADEVILLA QUIROS")</f>
        <v>LILIANA CIMADEVILLA QUIROS</v>
      </c>
      <c r="B6269" s="7" t="str">
        <f>HYPERLINK("https://otsuka-europe-crm.veevavault.com/ui/#object/vcountry__v/VENZ000004SONF5", "ES")</f>
        <v>ES</v>
      </c>
      <c r="C6269" s="8" t="s">
        <v>41</v>
      </c>
      <c r="D6269" s="9" t="str">
        <f>HYPERLINK("https://otsuka-europe-crm.veevavault.com/ui/#object/approved_document__v/V5OZ025E82TP0C5", "ENFERMERÍA - Guía de Manejo Psicoterapéutico")</f>
        <v>ENFERMERÍA - Guía de Manejo Psicoterapéutico</v>
      </c>
      <c r="E6269" s="10" t="str">
        <f>HYPERLINK("https://otsuka-europe-crm.veevavault.com/ui/#object/sent_email__v/VBL00000002R171", "SE-001434426")</f>
        <v>SE-001434426</v>
      </c>
      <c r="F6269" s="11"/>
      <c r="G6269" s="12">
        <v>0</v>
      </c>
      <c r="H6269" s="12">
        <v>0</v>
      </c>
      <c r="I6269" s="12">
        <v>0</v>
      </c>
      <c r="J6269" s="11"/>
      <c r="K6269" s="12">
        <v>0</v>
      </c>
      <c r="L6269" s="10" t="str">
        <f>HYPERLINK("https://otsuka-europe-crm.veevavault.com/ui/#object/approved_document__v/V5OZ025E82TP0C5", "ENFERMERÍA - Guía de Manejo Psicoterapéutico")</f>
        <v>ENFERMERÍA - Guía de Manejo Psicoterapéutico</v>
      </c>
      <c r="M6269" s="10" t="str">
        <f>HYPERLINK("mailto:mgravan@crm.otsuka-europe.com", "mgravan@crm.otsuka-europe.com")</f>
        <v>mgravan@crm.otsuka-europe.com</v>
      </c>
      <c r="N6269" s="13">
        <v>46196.379467592589</v>
      </c>
      <c r="O6269" s="14" t="str">
        <f>HYPERLINK("https://otsuka-europe-crm.veevavault.com/ui/#object/email_activity__v/V8C00000003Z296", "EN-002099192")</f>
        <v>EN-002099192</v>
      </c>
    </row>
    <row r="6270" spans="1:15" ht="16" x14ac:dyDescent="0.2">
      <c r="A6270" s="17" t="str">
        <f>HYPERLINK("https://otsuka-europe-crm.veevavault.com/ui/#object/account__v/V4TZ06G6O71TD48", "MARIA JOSE GUERRA AREVALO")</f>
        <v>MARIA JOSE GUERRA AREVALO</v>
      </c>
      <c r="B6270" s="17" t="str">
        <f>HYPERLINK("https://otsuka-europe-crm.veevavault.com/ui/#object/vcountry__v/VENZ000004SONF5", "ES")</f>
        <v>ES</v>
      </c>
      <c r="C6270" s="20" t="s">
        <v>41</v>
      </c>
      <c r="D6270" s="21" t="str">
        <f>HYPERLINK("https://otsuka-europe-crm.veevavault.com/ui/#object/approved_document__v/V5OZ025E82TP0C5", "ENFERMERÍA - Guía de Manejo Psicoterapéutico")</f>
        <v>ENFERMERÍA - Guía de Manejo Psicoterapéutico</v>
      </c>
      <c r="E6270" s="22" t="str">
        <f>HYPERLINK("https://otsuka-europe-crm.veevavault.com/ui/#object/sent_email__v/VBL00000002R172", "SE-001434427")</f>
        <v>SE-001434427</v>
      </c>
      <c r="F6270" s="25"/>
      <c r="G6270" s="24">
        <v>0</v>
      </c>
      <c r="H6270" s="24">
        <v>0</v>
      </c>
      <c r="I6270" s="24">
        <v>0</v>
      </c>
      <c r="J6270" s="25"/>
      <c r="K6270" s="24">
        <v>0</v>
      </c>
      <c r="L6270" s="22" t="str">
        <f>HYPERLINK("https://otsuka-europe-crm.veevavault.com/ui/#object/approved_document__v/V5OZ025E82TP0C5", "ENFERMERÍA - Guía de Manejo Psicoterapéutico")</f>
        <v>ENFERMERÍA - Guía de Manejo Psicoterapéutico</v>
      </c>
      <c r="M6270" s="22" t="str">
        <f>HYPERLINK("mailto:mgravan@crm.otsuka-europe.com", "mgravan@crm.otsuka-europe.com")</f>
        <v>mgravan@crm.otsuka-europe.com</v>
      </c>
      <c r="N6270" s="23">
        <v>46196.37945601852</v>
      </c>
      <c r="O6270" s="14" t="str">
        <f>HYPERLINK("https://otsuka-europe-crm.veevavault.com/ui/#object/email_activity__v/V8C00000003Z461", "EN-002099605")</f>
        <v>EN-002099605</v>
      </c>
    </row>
    <row r="6271" spans="1:15" ht="16" x14ac:dyDescent="0.2">
      <c r="A6271" s="19"/>
      <c r="B6271" s="19"/>
      <c r="C6271" s="19"/>
      <c r="D6271" s="19"/>
      <c r="E6271" s="19"/>
      <c r="F6271" s="19"/>
      <c r="G6271" s="19"/>
      <c r="H6271" s="19"/>
      <c r="I6271" s="19"/>
      <c r="J6271" s="19"/>
      <c r="K6271" s="19"/>
      <c r="L6271" s="19"/>
      <c r="M6271" s="19"/>
      <c r="N6271" s="19"/>
      <c r="O6271" s="14" t="str">
        <f>HYPERLINK("https://otsuka-europe-crm.veevavault.com/ui/#object/email_activity__v/V8C000000040307", "EN-002099244")</f>
        <v>EN-002099244</v>
      </c>
    </row>
    <row r="6272" spans="1:15" ht="32" x14ac:dyDescent="0.2">
      <c r="A6272" s="7" t="str">
        <f>HYPERLINK("https://otsuka-europe-crm.veevavault.com/ui/#object/account__v/V4TZ04ASGGC0976", "ROCIO BARRERO MACIAS")</f>
        <v>ROCIO BARRERO MACIAS</v>
      </c>
      <c r="B6272" s="7" t="str">
        <f>HYPERLINK("https://otsuka-europe-crm.veevavault.com/ui/#object/vcountry__v/VENZ000004SONF5", "ES")</f>
        <v>ES</v>
      </c>
      <c r="C6272" s="8" t="s">
        <v>41</v>
      </c>
      <c r="D6272" s="9" t="str">
        <f>HYPERLINK("https://otsuka-europe-crm.veevavault.com/ui/#object/approved_document__v/V5OZ025E82TP0C5", "ENFERMERÍA - Guía de Manejo Psicoterapéutico")</f>
        <v>ENFERMERÍA - Guía de Manejo Psicoterapéutico</v>
      </c>
      <c r="E6272" s="10" t="str">
        <f>HYPERLINK("https://otsuka-europe-crm.veevavault.com/ui/#object/sent_email__v/VBL00000002R173", "SE-001434428")</f>
        <v>SE-001434428</v>
      </c>
      <c r="F6272" s="11"/>
      <c r="G6272" s="12">
        <v>0</v>
      </c>
      <c r="H6272" s="12">
        <v>0</v>
      </c>
      <c r="I6272" s="12">
        <v>0</v>
      </c>
      <c r="J6272" s="11"/>
      <c r="K6272" s="12">
        <v>0</v>
      </c>
      <c r="L6272" s="10" t="str">
        <f>HYPERLINK("https://otsuka-europe-crm.veevavault.com/ui/#object/approved_document__v/V5OZ025E82TP0C5", "ENFERMERÍA - Guía de Manejo Psicoterapéutico")</f>
        <v>ENFERMERÍA - Guía de Manejo Psicoterapéutico</v>
      </c>
      <c r="M6272" s="10" t="str">
        <f>HYPERLINK("mailto:mgravan@crm.otsuka-europe.com", "mgravan@crm.otsuka-europe.com")</f>
        <v>mgravan@crm.otsuka-europe.com</v>
      </c>
      <c r="N6272" s="13">
        <v>46196.379444444443</v>
      </c>
      <c r="O6272" s="14" t="str">
        <f>HYPERLINK("https://otsuka-europe-crm.veevavault.com/ui/#object/email_activity__v/V8C000000040294", "EN-002099229")</f>
        <v>EN-002099229</v>
      </c>
    </row>
    <row r="6273" spans="1:15" ht="16" x14ac:dyDescent="0.2">
      <c r="A6273" s="17" t="str">
        <f>HYPERLINK("https://otsuka-europe-crm.veevavault.com/ui/#object/account__v/V4TZ04ASG8QA482", "ANA ROSA VAZQUEZ ROMERO")</f>
        <v>ANA ROSA VAZQUEZ ROMERO</v>
      </c>
      <c r="B6273" s="17" t="str">
        <f>HYPERLINK("https://otsuka-europe-crm.veevavault.com/ui/#object/vcountry__v/VENZ000004SONF5", "ES")</f>
        <v>ES</v>
      </c>
      <c r="C6273" s="20" t="s">
        <v>41</v>
      </c>
      <c r="D6273" s="21" t="str">
        <f>HYPERLINK("https://otsuka-europe-crm.veevavault.com/ui/#object/approved_document__v/V5OZ025E82TP0C5", "ENFERMERÍA - Guía de Manejo Psicoterapéutico")</f>
        <v>ENFERMERÍA - Guía de Manejo Psicoterapéutico</v>
      </c>
      <c r="E6273" s="22" t="str">
        <f>HYPERLINK("https://otsuka-europe-crm.veevavault.com/ui/#object/sent_email__v/VBL00000002R174", "SE-001434429")</f>
        <v>SE-001434429</v>
      </c>
      <c r="F6273" s="23">
        <v>46198.321608796294</v>
      </c>
      <c r="G6273" s="24">
        <v>1</v>
      </c>
      <c r="H6273" s="24">
        <v>1</v>
      </c>
      <c r="I6273" s="24">
        <v>1</v>
      </c>
      <c r="J6273" s="23">
        <v>46198.32172453704</v>
      </c>
      <c r="K6273" s="24">
        <v>1</v>
      </c>
      <c r="L6273" s="22" t="str">
        <f>HYPERLINK("https://otsuka-europe-crm.veevavault.com/ui/#object/approved_document__v/V5OZ025E82TP0C5", "ENFERMERÍA - Guía de Manejo Psicoterapéutico")</f>
        <v>ENFERMERÍA - Guía de Manejo Psicoterapéutico</v>
      </c>
      <c r="M6273" s="22" t="str">
        <f>HYPERLINK("mailto:mgravan@crm.otsuka-europe.com", "mgravan@crm.otsuka-europe.com")</f>
        <v>mgravan@crm.otsuka-europe.com</v>
      </c>
      <c r="N6273" s="23">
        <v>46196.379467592589</v>
      </c>
      <c r="O6273" s="14" t="str">
        <f>HYPERLINK("https://otsuka-europe-crm.veevavault.com/ui/#object/email_activity__v/V8C00000003Z474", "EN-002099637")</f>
        <v>EN-002099637</v>
      </c>
    </row>
    <row r="6274" spans="1:15" ht="16" x14ac:dyDescent="0.2">
      <c r="A6274" s="18"/>
      <c r="B6274" s="18"/>
      <c r="C6274" s="18"/>
      <c r="D6274" s="18"/>
      <c r="E6274" s="18"/>
      <c r="F6274" s="18"/>
      <c r="G6274" s="18"/>
      <c r="H6274" s="18"/>
      <c r="I6274" s="18"/>
      <c r="J6274" s="18"/>
      <c r="K6274" s="18"/>
      <c r="L6274" s="18"/>
      <c r="M6274" s="18"/>
      <c r="N6274" s="18"/>
      <c r="O6274" s="14" t="str">
        <f>HYPERLINK("https://otsuka-europe-crm.veevavault.com/ui/#object/email_activity__v/V8C00000003Z475", "EN-002099638")</f>
        <v>EN-002099638</v>
      </c>
    </row>
    <row r="6275" spans="1:15" ht="16" x14ac:dyDescent="0.2">
      <c r="A6275" s="19"/>
      <c r="B6275" s="19"/>
      <c r="C6275" s="19"/>
      <c r="D6275" s="19"/>
      <c r="E6275" s="19"/>
      <c r="F6275" s="19"/>
      <c r="G6275" s="19"/>
      <c r="H6275" s="19"/>
      <c r="I6275" s="19"/>
      <c r="J6275" s="19"/>
      <c r="K6275" s="19"/>
      <c r="L6275" s="19"/>
      <c r="M6275" s="19"/>
      <c r="N6275" s="19"/>
      <c r="O6275" s="14" t="str">
        <f>HYPERLINK("https://otsuka-europe-crm.veevavault.com/ui/#object/email_activity__v/V8C000000040276", "EN-002099205")</f>
        <v>EN-002099205</v>
      </c>
    </row>
    <row r="6276" spans="1:15" ht="32" x14ac:dyDescent="0.2">
      <c r="A6276" s="7" t="str">
        <f>HYPERLINK("https://otsuka-europe-crm.veevavault.com/ui/#object/account__v/V4TZ025E888WUI2", "MARIA LEON MORATO")</f>
        <v>MARIA LEON MORATO</v>
      </c>
      <c r="B6276" s="7" t="str">
        <f>HYPERLINK("https://otsuka-europe-crm.veevavault.com/ui/#object/vcountry__v/VENZ000004SONF5", "ES")</f>
        <v>ES</v>
      </c>
      <c r="C6276" s="8" t="s">
        <v>41</v>
      </c>
      <c r="D6276" s="9" t="str">
        <f>HYPERLINK("https://otsuka-europe-crm.veevavault.com/ui/#object/approved_document__v/V5OZ025E82TP0C5", "ENFERMERÍA - Guía de Manejo Psicoterapéutico")</f>
        <v>ENFERMERÍA - Guía de Manejo Psicoterapéutico</v>
      </c>
      <c r="E6276" s="10" t="str">
        <f>HYPERLINK("https://otsuka-europe-crm.veevavault.com/ui/#object/sent_email__v/VBL00000002R175", "SE-001434430")</f>
        <v>SE-001434430</v>
      </c>
      <c r="F6276" s="11"/>
      <c r="G6276" s="12">
        <v>0</v>
      </c>
      <c r="H6276" s="12">
        <v>0</v>
      </c>
      <c r="I6276" s="12">
        <v>0</v>
      </c>
      <c r="J6276" s="11"/>
      <c r="K6276" s="12">
        <v>0</v>
      </c>
      <c r="L6276" s="10" t="str">
        <f>HYPERLINK("https://otsuka-europe-crm.veevavault.com/ui/#object/approved_document__v/V5OZ025E82TP0C5", "ENFERMERÍA - Guía de Manejo Psicoterapéutico")</f>
        <v>ENFERMERÍA - Guía de Manejo Psicoterapéutico</v>
      </c>
      <c r="M6276" s="10" t="str">
        <f>HYPERLINK("mailto:mgravan@crm.otsuka-europe.com", "mgravan@crm.otsuka-europe.com")</f>
        <v>mgravan@crm.otsuka-europe.com</v>
      </c>
      <c r="N6276" s="13">
        <v>46196.379467592589</v>
      </c>
      <c r="O6276" s="14" t="str">
        <f>HYPERLINK("https://otsuka-europe-crm.veevavault.com/ui/#object/email_activity__v/V8C00000003Z302", "EN-002099199")</f>
        <v>EN-002099199</v>
      </c>
    </row>
    <row r="6277" spans="1:15" ht="16" x14ac:dyDescent="0.2">
      <c r="A6277" s="17" t="str">
        <f>HYPERLINK("https://otsuka-europe-crm.veevavault.com/ui/#object/account__v/V4TZ025E85LD89I", "MARIA CARMEN ROMERO VEGA")</f>
        <v>MARIA CARMEN ROMERO VEGA</v>
      </c>
      <c r="B6277" s="17" t="str">
        <f>HYPERLINK("https://otsuka-europe-crm.veevavault.com/ui/#object/vcountry__v/VENZ000004SONF5", "ES")</f>
        <v>ES</v>
      </c>
      <c r="C6277" s="20" t="s">
        <v>41</v>
      </c>
      <c r="D6277" s="21" t="str">
        <f>HYPERLINK("https://otsuka-europe-crm.veevavault.com/ui/#object/approved_document__v/V5OZ025E82TP0C5", "ENFERMERÍA - Guía de Manejo Psicoterapéutico")</f>
        <v>ENFERMERÍA - Guía de Manejo Psicoterapéutico</v>
      </c>
      <c r="E6277" s="22" t="str">
        <f>HYPERLINK("https://otsuka-europe-crm.veevavault.com/ui/#object/sent_email__v/VBL00000002R176", "SE-001434431")</f>
        <v>SE-001434431</v>
      </c>
      <c r="F6277" s="23">
        <v>46196.610474537039</v>
      </c>
      <c r="G6277" s="24">
        <v>1</v>
      </c>
      <c r="H6277" s="24">
        <v>1</v>
      </c>
      <c r="I6277" s="24">
        <v>0</v>
      </c>
      <c r="J6277" s="25"/>
      <c r="K6277" s="24">
        <v>0</v>
      </c>
      <c r="L6277" s="22" t="str">
        <f>HYPERLINK("https://otsuka-europe-crm.veevavault.com/ui/#object/approved_document__v/V5OZ025E82TP0C5", "ENFERMERÍA - Guía de Manejo Psicoterapéutico")</f>
        <v>ENFERMERÍA - Guía de Manejo Psicoterapéutico</v>
      </c>
      <c r="M6277" s="22" t="str">
        <f>HYPERLINK("mailto:mgravan@crm.otsuka-europe.com", "mgravan@crm.otsuka-europe.com")</f>
        <v>mgravan@crm.otsuka-europe.com</v>
      </c>
      <c r="N6277" s="23">
        <v>46196.379444444443</v>
      </c>
      <c r="O6277" s="14" t="str">
        <f>HYPERLINK("https://otsuka-europe-crm.veevavault.com/ui/#object/email_activity__v/V8C000000040266", "EN-002099184")</f>
        <v>EN-002099184</v>
      </c>
    </row>
    <row r="6278" spans="1:15" ht="16" x14ac:dyDescent="0.2">
      <c r="A6278" s="19"/>
      <c r="B6278" s="19"/>
      <c r="C6278" s="19"/>
      <c r="D6278" s="19"/>
      <c r="E6278" s="19"/>
      <c r="F6278" s="19"/>
      <c r="G6278" s="19"/>
      <c r="H6278" s="19"/>
      <c r="I6278" s="19"/>
      <c r="J6278" s="19"/>
      <c r="K6278" s="19"/>
      <c r="L6278" s="19"/>
      <c r="M6278" s="19"/>
      <c r="N6278" s="19"/>
      <c r="O6278" s="14" t="str">
        <f>HYPERLINK("https://otsuka-europe-crm.veevavault.com/ui/#object/email_activity__v/V8C000000040420", "EN-002099421")</f>
        <v>EN-002099421</v>
      </c>
    </row>
    <row r="6279" spans="1:15" ht="32" x14ac:dyDescent="0.2">
      <c r="A6279" s="7" t="str">
        <f>HYPERLINK("https://otsuka-europe-crm.veevavault.com/ui/#object/account__v/V4TZ025E8597FB4", "MARIA CARMEN BAEZ VAZQUEZ")</f>
        <v>MARIA CARMEN BAEZ VAZQUEZ</v>
      </c>
      <c r="B6279" s="7" t="str">
        <f>HYPERLINK("https://otsuka-europe-crm.veevavault.com/ui/#object/vcountry__v/VENZ000004SONF5", "ES")</f>
        <v>ES</v>
      </c>
      <c r="C6279" s="8" t="s">
        <v>41</v>
      </c>
      <c r="D6279" s="9" t="str">
        <f>HYPERLINK("https://otsuka-europe-crm.veevavault.com/ui/#object/approved_document__v/V5OZ025E82TP0C5", "ENFERMERÍA - Guía de Manejo Psicoterapéutico")</f>
        <v>ENFERMERÍA - Guía de Manejo Psicoterapéutico</v>
      </c>
      <c r="E6279" s="10" t="str">
        <f>HYPERLINK("https://otsuka-europe-crm.veevavault.com/ui/#object/sent_email__v/VBL00000002R177", "SE-001434432")</f>
        <v>SE-001434432</v>
      </c>
      <c r="F6279" s="11"/>
      <c r="G6279" s="12">
        <v>0</v>
      </c>
      <c r="H6279" s="12">
        <v>0</v>
      </c>
      <c r="I6279" s="12">
        <v>0</v>
      </c>
      <c r="J6279" s="11"/>
      <c r="K6279" s="12">
        <v>0</v>
      </c>
      <c r="L6279" s="10" t="str">
        <f>HYPERLINK("https://otsuka-europe-crm.veevavault.com/ui/#object/approved_document__v/V5OZ025E82TP0C5", "ENFERMERÍA - Guía de Manejo Psicoterapéutico")</f>
        <v>ENFERMERÍA - Guía de Manejo Psicoterapéutico</v>
      </c>
      <c r="M6279" s="10" t="str">
        <f>HYPERLINK("mailto:mgravan@crm.otsuka-europe.com", "mgravan@crm.otsuka-europe.com")</f>
        <v>mgravan@crm.otsuka-europe.com</v>
      </c>
      <c r="N6279" s="13">
        <v>46196.379444444443</v>
      </c>
      <c r="O6279" s="14" t="str">
        <f>HYPERLINK("https://otsuka-europe-crm.veevavault.com/ui/#object/email_activity__v/V8C000000040259", "EN-002099177")</f>
        <v>EN-002099177</v>
      </c>
    </row>
    <row r="6280" spans="1:15" ht="16" x14ac:dyDescent="0.2">
      <c r="A6280" s="17" t="str">
        <f>HYPERLINK("https://otsuka-europe-crm.veevavault.com/ui/#object/account__v/V4TZ06G6O71TDAG", "CRISTINA MAAÑON MONTAÑA")</f>
        <v>CRISTINA MAAÑON MONTAÑA</v>
      </c>
      <c r="B6280" s="17" t="str">
        <f>HYPERLINK("https://otsuka-europe-crm.veevavault.com/ui/#object/vcountry__v/VENZ000004SONF5", "ES")</f>
        <v>ES</v>
      </c>
      <c r="C6280" s="20" t="s">
        <v>41</v>
      </c>
      <c r="D6280" s="21" t="str">
        <f>HYPERLINK("https://otsuka-europe-crm.veevavault.com/ui/#object/approved_document__v/V5OZ025E82TP0C5", "ENFERMERÍA - Guía de Manejo Psicoterapéutico")</f>
        <v>ENFERMERÍA - Guía de Manejo Psicoterapéutico</v>
      </c>
      <c r="E6280" s="22" t="str">
        <f>HYPERLINK("https://otsuka-europe-crm.veevavault.com/ui/#object/sent_email__v/VBL00000002R178", "SE-001434433")</f>
        <v>SE-001434433</v>
      </c>
      <c r="F6280" s="23">
        <v>46196.477951388886</v>
      </c>
      <c r="G6280" s="24">
        <v>1</v>
      </c>
      <c r="H6280" s="24">
        <v>1</v>
      </c>
      <c r="I6280" s="24">
        <v>0</v>
      </c>
      <c r="J6280" s="25"/>
      <c r="K6280" s="24">
        <v>0</v>
      </c>
      <c r="L6280" s="22" t="str">
        <f>HYPERLINK("https://otsuka-europe-crm.veevavault.com/ui/#object/approved_document__v/V5OZ025E82TP0C5", "ENFERMERÍA - Guía de Manejo Psicoterapéutico")</f>
        <v>ENFERMERÍA - Guía de Manejo Psicoterapéutico</v>
      </c>
      <c r="M6280" s="22" t="str">
        <f>HYPERLINK("mailto:mgravan@crm.otsuka-europe.com", "mgravan@crm.otsuka-europe.com")</f>
        <v>mgravan@crm.otsuka-europe.com</v>
      </c>
      <c r="N6280" s="23">
        <v>46196.379444444443</v>
      </c>
      <c r="O6280" s="14" t="str">
        <f>HYPERLINK("https://otsuka-europe-crm.veevavault.com/ui/#object/email_activity__v/V8C000000040309", "EN-002099246")</f>
        <v>EN-002099246</v>
      </c>
    </row>
    <row r="6281" spans="1:15" ht="16" x14ac:dyDescent="0.2">
      <c r="A6281" s="19"/>
      <c r="B6281" s="19"/>
      <c r="C6281" s="19"/>
      <c r="D6281" s="19"/>
      <c r="E6281" s="19"/>
      <c r="F6281" s="19"/>
      <c r="G6281" s="19"/>
      <c r="H6281" s="19"/>
      <c r="I6281" s="19"/>
      <c r="J6281" s="19"/>
      <c r="K6281" s="19"/>
      <c r="L6281" s="19"/>
      <c r="M6281" s="19"/>
      <c r="N6281" s="19"/>
      <c r="O6281" s="14" t="str">
        <f>HYPERLINK("https://otsuka-europe-crm.veevavault.com/ui/#object/email_activity__v/V8C000000040385", "EN-002099357")</f>
        <v>EN-002099357</v>
      </c>
    </row>
    <row r="6282" spans="1:15" ht="16" x14ac:dyDescent="0.2">
      <c r="A6282" s="17" t="str">
        <f>HYPERLINK("https://otsuka-europe-crm.veevavault.com/ui/#object/account__v/V4TZ025E87R4INA", "MARIA VICTORIA INFANTE SANCHEZ")</f>
        <v>MARIA VICTORIA INFANTE SANCHEZ</v>
      </c>
      <c r="B6282" s="17" t="str">
        <f>HYPERLINK("https://otsuka-europe-crm.veevavault.com/ui/#object/vcountry__v/VENZ000004SONF5", "ES")</f>
        <v>ES</v>
      </c>
      <c r="C6282" s="20" t="s">
        <v>41</v>
      </c>
      <c r="D6282" s="21" t="str">
        <f>HYPERLINK("https://otsuka-europe-crm.veevavault.com/ui/#object/approved_document__v/V5OZ025E82TP0C5", "ENFERMERÍA - Guía de Manejo Psicoterapéutico")</f>
        <v>ENFERMERÍA - Guía de Manejo Psicoterapéutico</v>
      </c>
      <c r="E6282" s="22" t="str">
        <f>HYPERLINK("https://otsuka-europe-crm.veevavault.com/ui/#object/sent_email__v/VBL00000002R179", "SE-001434434")</f>
        <v>SE-001434434</v>
      </c>
      <c r="F6282" s="23">
        <v>46196.921793981484</v>
      </c>
      <c r="G6282" s="24">
        <v>1</v>
      </c>
      <c r="H6282" s="24">
        <v>1</v>
      </c>
      <c r="I6282" s="24">
        <v>0</v>
      </c>
      <c r="J6282" s="25"/>
      <c r="K6282" s="24">
        <v>0</v>
      </c>
      <c r="L6282" s="22" t="str">
        <f>HYPERLINK("https://otsuka-europe-crm.veevavault.com/ui/#object/approved_document__v/V5OZ025E82TP0C5", "ENFERMERÍA - Guía de Manejo Psicoterapéutico")</f>
        <v>ENFERMERÍA - Guía de Manejo Psicoterapéutico</v>
      </c>
      <c r="M6282" s="22" t="str">
        <f>HYPERLINK("mailto:mgravan@crm.otsuka-europe.com", "mgravan@crm.otsuka-europe.com")</f>
        <v>mgravan@crm.otsuka-europe.com</v>
      </c>
      <c r="N6282" s="23">
        <v>46196.37945601852</v>
      </c>
      <c r="O6282" s="14" t="str">
        <f>HYPERLINK("https://otsuka-europe-crm.veevavault.com/ui/#object/email_activity__v/V8C000000040296", "EN-002099231")</f>
        <v>EN-002099231</v>
      </c>
    </row>
    <row r="6283" spans="1:15" ht="16" x14ac:dyDescent="0.2">
      <c r="A6283" s="19"/>
      <c r="B6283" s="19"/>
      <c r="C6283" s="19"/>
      <c r="D6283" s="19"/>
      <c r="E6283" s="19"/>
      <c r="F6283" s="19"/>
      <c r="G6283" s="19"/>
      <c r="H6283" s="19"/>
      <c r="I6283" s="19"/>
      <c r="J6283" s="19"/>
      <c r="K6283" s="19"/>
      <c r="L6283" s="19"/>
      <c r="M6283" s="19"/>
      <c r="N6283" s="19"/>
      <c r="O6283" s="14" t="str">
        <f>HYPERLINK("https://otsuka-europe-crm.veevavault.com/ui/#object/email_activity__v/V8C000000040451", "EN-002099483")</f>
        <v>EN-002099483</v>
      </c>
    </row>
    <row r="6284" spans="1:15" ht="16" x14ac:dyDescent="0.2">
      <c r="A6284" s="17" t="str">
        <f>HYPERLINK("https://otsuka-europe-crm.veevavault.com/ui/#object/account__v/V4TZ025E87AAY5U", "LUCIA PARRA MESEGUER")</f>
        <v>LUCIA PARRA MESEGUER</v>
      </c>
      <c r="B6284" s="17" t="str">
        <f>HYPERLINK("https://otsuka-europe-crm.veevavault.com/ui/#object/vcountry__v/VENZ000004SONF5", "ES")</f>
        <v>ES</v>
      </c>
      <c r="C6284" s="20" t="s">
        <v>41</v>
      </c>
      <c r="D6284" s="21" t="str">
        <f>HYPERLINK("https://otsuka-europe-crm.veevavault.com/ui/#object/approved_document__v/V5OZ025E82TP0C5", "ENFERMERÍA - Guía de Manejo Psicoterapéutico")</f>
        <v>ENFERMERÍA - Guía de Manejo Psicoterapéutico</v>
      </c>
      <c r="E6284" s="22" t="str">
        <f>HYPERLINK("https://otsuka-europe-crm.veevavault.com/ui/#object/sent_email__v/VBL00000002R180", "SE-001434435")</f>
        <v>SE-001434435</v>
      </c>
      <c r="F6284" s="23">
        <v>46196.39949074074</v>
      </c>
      <c r="G6284" s="24">
        <v>1</v>
      </c>
      <c r="H6284" s="24">
        <v>1</v>
      </c>
      <c r="I6284" s="24">
        <v>0</v>
      </c>
      <c r="J6284" s="25"/>
      <c r="K6284" s="24">
        <v>0</v>
      </c>
      <c r="L6284" s="22" t="str">
        <f>HYPERLINK("https://otsuka-europe-crm.veevavault.com/ui/#object/approved_document__v/V5OZ025E82TP0C5", "ENFERMERÍA - Guía de Manejo Psicoterapéutico")</f>
        <v>ENFERMERÍA - Guía de Manejo Psicoterapéutico</v>
      </c>
      <c r="M6284" s="22" t="str">
        <f>HYPERLINK("mailto:mgravan@crm.otsuka-europe.com", "mgravan@crm.otsuka-europe.com")</f>
        <v>mgravan@crm.otsuka-europe.com</v>
      </c>
      <c r="N6284" s="23">
        <v>46196.37945601852</v>
      </c>
      <c r="O6284" s="14" t="str">
        <f>HYPERLINK("https://otsuka-europe-crm.veevavault.com/ui/#object/email_activity__v/V8C000000040262", "EN-002099180")</f>
        <v>EN-002099180</v>
      </c>
    </row>
    <row r="6285" spans="1:15" ht="16" x14ac:dyDescent="0.2">
      <c r="A6285" s="19"/>
      <c r="B6285" s="19"/>
      <c r="C6285" s="19"/>
      <c r="D6285" s="19"/>
      <c r="E6285" s="19"/>
      <c r="F6285" s="19"/>
      <c r="G6285" s="19"/>
      <c r="H6285" s="19"/>
      <c r="I6285" s="19"/>
      <c r="J6285" s="19"/>
      <c r="K6285" s="19"/>
      <c r="L6285" s="19"/>
      <c r="M6285" s="19"/>
      <c r="N6285" s="19"/>
      <c r="O6285" s="14" t="str">
        <f>HYPERLINK("https://otsuka-europe-crm.veevavault.com/ui/#object/email_activity__v/V8C000000040354", "EN-002099313")</f>
        <v>EN-002099313</v>
      </c>
    </row>
    <row r="6286" spans="1:15" ht="16" x14ac:dyDescent="0.2">
      <c r="A6286" s="17" t="str">
        <f>HYPERLINK("https://otsuka-europe-crm.veevavault.com/ui/#object/account__v/V4T000000021019", "MIRIAM TERRERO FERNANDEZ")</f>
        <v>MIRIAM TERRERO FERNANDEZ</v>
      </c>
      <c r="B6286" s="17" t="str">
        <f>HYPERLINK("https://otsuka-europe-crm.veevavault.com/ui/#object/vcountry__v/VENZ000004SONF5", "ES")</f>
        <v>ES</v>
      </c>
      <c r="C6286" s="20" t="s">
        <v>41</v>
      </c>
      <c r="D6286" s="21" t="str">
        <f>HYPERLINK("https://otsuka-europe-crm.veevavault.com/ui/#object/approved_document__v/V5OZ025E82TP0C5", "ENFERMERÍA - Guía de Manejo Psicoterapéutico")</f>
        <v>ENFERMERÍA - Guía de Manejo Psicoterapéutico</v>
      </c>
      <c r="E6286" s="22" t="str">
        <f>HYPERLINK("https://otsuka-europe-crm.veevavault.com/ui/#object/sent_email__v/VBL00000002R181", "SE-001434436")</f>
        <v>SE-001434436</v>
      </c>
      <c r="F6286" s="23">
        <v>46197.482025462959</v>
      </c>
      <c r="G6286" s="24">
        <v>1</v>
      </c>
      <c r="H6286" s="24">
        <v>1</v>
      </c>
      <c r="I6286" s="24">
        <v>0</v>
      </c>
      <c r="J6286" s="25"/>
      <c r="K6286" s="24">
        <v>0</v>
      </c>
      <c r="L6286" s="22" t="str">
        <f>HYPERLINK("https://otsuka-europe-crm.veevavault.com/ui/#object/approved_document__v/V5OZ025E82TP0C5", "ENFERMERÍA - Guía de Manejo Psicoterapéutico")</f>
        <v>ENFERMERÍA - Guía de Manejo Psicoterapéutico</v>
      </c>
      <c r="M6286" s="22" t="str">
        <f>HYPERLINK("mailto:mgravan@crm.otsuka-europe.com", "mgravan@crm.otsuka-europe.com")</f>
        <v>mgravan@crm.otsuka-europe.com</v>
      </c>
      <c r="N6286" s="23">
        <v>46196.37945601852</v>
      </c>
      <c r="O6286" s="14" t="str">
        <f>HYPERLINK("https://otsuka-europe-crm.veevavault.com/ui/#object/email_activity__v/V8C00000003Z313", "EN-002099251")</f>
        <v>EN-002099251</v>
      </c>
    </row>
    <row r="6287" spans="1:15" ht="16" x14ac:dyDescent="0.2">
      <c r="A6287" s="19"/>
      <c r="B6287" s="19"/>
      <c r="C6287" s="19"/>
      <c r="D6287" s="19"/>
      <c r="E6287" s="19"/>
      <c r="F6287" s="19"/>
      <c r="G6287" s="19"/>
      <c r="H6287" s="19"/>
      <c r="I6287" s="19"/>
      <c r="J6287" s="19"/>
      <c r="K6287" s="19"/>
      <c r="L6287" s="19"/>
      <c r="M6287" s="19"/>
      <c r="N6287" s="19"/>
      <c r="O6287" s="14" t="str">
        <f>HYPERLINK("https://otsuka-europe-crm.veevavault.com/ui/#object/email_activity__v/V8C00000003Z432", "EN-002099545")</f>
        <v>EN-002099545</v>
      </c>
    </row>
    <row r="6288" spans="1:15" ht="16" x14ac:dyDescent="0.2">
      <c r="A6288" s="17" t="str">
        <f>HYPERLINK("https://otsuka-europe-crm.veevavault.com/ui/#object/account__v/V4TZ025E84DDVQ1", "FRANCISCA MARIA OLIVA GONZALEZ")</f>
        <v>FRANCISCA MARIA OLIVA GONZALEZ</v>
      </c>
      <c r="B6288" s="17" t="str">
        <f>HYPERLINK("https://otsuka-europe-crm.veevavault.com/ui/#object/vcountry__v/VENZ000004SONF5", "ES")</f>
        <v>ES</v>
      </c>
      <c r="C6288" s="20" t="s">
        <v>41</v>
      </c>
      <c r="D6288" s="21" t="str">
        <f>HYPERLINK("https://otsuka-europe-crm.veevavault.com/ui/#object/approved_document__v/V5OZ025E82TP0C5", "ENFERMERÍA - Guía de Manejo Psicoterapéutico")</f>
        <v>ENFERMERÍA - Guía de Manejo Psicoterapéutico</v>
      </c>
      <c r="E6288" s="22" t="str">
        <f>HYPERLINK("https://otsuka-europe-crm.veevavault.com/ui/#object/sent_email__v/VBL00000002R182", "SE-001434437")</f>
        <v>SE-001434437</v>
      </c>
      <c r="F6288" s="25"/>
      <c r="G6288" s="24">
        <v>0</v>
      </c>
      <c r="H6288" s="24">
        <v>0</v>
      </c>
      <c r="I6288" s="24">
        <v>0</v>
      </c>
      <c r="J6288" s="25"/>
      <c r="K6288" s="24">
        <v>0</v>
      </c>
      <c r="L6288" s="22" t="str">
        <f>HYPERLINK("https://otsuka-europe-crm.veevavault.com/ui/#object/approved_document__v/V5OZ025E82TP0C5", "ENFERMERÍA - Guía de Manejo Psicoterapéutico")</f>
        <v>ENFERMERÍA - Guía de Manejo Psicoterapéutico</v>
      </c>
      <c r="M6288" s="22" t="str">
        <f>HYPERLINK("mailto:mgravan@crm.otsuka-europe.com", "mgravan@crm.otsuka-europe.com")</f>
        <v>mgravan@crm.otsuka-europe.com</v>
      </c>
      <c r="N6288" s="23">
        <v>46196.379444444443</v>
      </c>
      <c r="O6288" s="14" t="str">
        <f>HYPERLINK("https://otsuka-europe-crm.veevavault.com/ui/#object/email_activity__v/V8C00000003Z305", "EN-002099219")</f>
        <v>EN-002099219</v>
      </c>
    </row>
    <row r="6289" spans="1:15" ht="16" x14ac:dyDescent="0.2">
      <c r="A6289" s="19"/>
      <c r="B6289" s="19"/>
      <c r="C6289" s="19"/>
      <c r="D6289" s="19"/>
      <c r="E6289" s="19"/>
      <c r="F6289" s="19"/>
      <c r="G6289" s="19"/>
      <c r="H6289" s="19"/>
      <c r="I6289" s="19"/>
      <c r="J6289" s="19"/>
      <c r="K6289" s="19"/>
      <c r="L6289" s="19"/>
      <c r="M6289" s="19"/>
      <c r="N6289" s="19"/>
      <c r="O6289" s="14" t="str">
        <f>HYPERLINK("https://otsuka-europe-crm.veevavault.com/ui/#object/email_activity__v/V8C00000003Z353", "EN-002099379")</f>
        <v>EN-002099379</v>
      </c>
    </row>
    <row r="6290" spans="1:15" ht="32" x14ac:dyDescent="0.2">
      <c r="A6290" s="7" t="str">
        <f>HYPERLINK("https://otsuka-europe-crm.veevavault.com/ui/#object/account__v/V4TZ06G6O71TDBM", "MARIA JOSE GARCIA DEL RIO")</f>
        <v>MARIA JOSE GARCIA DEL RIO</v>
      </c>
      <c r="B6290" s="7" t="str">
        <f>HYPERLINK("https://otsuka-europe-crm.veevavault.com/ui/#object/vcountry__v/VENZ000004SONF5", "ES")</f>
        <v>ES</v>
      </c>
      <c r="C6290" s="8" t="s">
        <v>41</v>
      </c>
      <c r="D6290" s="9" t="str">
        <f>HYPERLINK("https://otsuka-europe-crm.veevavault.com/ui/#object/approved_document__v/V5OZ025E82TP0C5", "ENFERMERÍA - Guía de Manejo Psicoterapéutico")</f>
        <v>ENFERMERÍA - Guía de Manejo Psicoterapéutico</v>
      </c>
      <c r="E6290" s="10" t="str">
        <f>HYPERLINK("https://otsuka-europe-crm.veevavault.com/ui/#object/sent_email__v/VBL00000002R183", "SE-001434438")</f>
        <v>SE-001434438</v>
      </c>
      <c r="F6290" s="11"/>
      <c r="G6290" s="12">
        <v>0</v>
      </c>
      <c r="H6290" s="12">
        <v>0</v>
      </c>
      <c r="I6290" s="12">
        <v>0</v>
      </c>
      <c r="J6290" s="11"/>
      <c r="K6290" s="12">
        <v>0</v>
      </c>
      <c r="L6290" s="10" t="str">
        <f>HYPERLINK("https://otsuka-europe-crm.veevavault.com/ui/#object/approved_document__v/V5OZ025E82TP0C5", "ENFERMERÍA - Guía de Manejo Psicoterapéutico")</f>
        <v>ENFERMERÍA - Guía de Manejo Psicoterapéutico</v>
      </c>
      <c r="M6290" s="10" t="str">
        <f>HYPERLINK("mailto:mgravan@crm.otsuka-europe.com", "mgravan@crm.otsuka-europe.com")</f>
        <v>mgravan@crm.otsuka-europe.com</v>
      </c>
      <c r="N6290" s="13">
        <v>46196.379444444443</v>
      </c>
      <c r="O6290" s="14" t="str">
        <f>HYPERLINK("https://otsuka-europe-crm.veevavault.com/ui/#object/email_activity__v/V8C000000040267", "EN-002099185")</f>
        <v>EN-002099185</v>
      </c>
    </row>
    <row r="6291" spans="1:15" ht="32" x14ac:dyDescent="0.2">
      <c r="A6291" s="7" t="str">
        <f>HYPERLINK("https://otsuka-europe-crm.veevavault.com/ui/#object/account__v/V4TZ025E85Q3DKO", "REMEDIOS RUIZ RAGEL")</f>
        <v>REMEDIOS RUIZ RAGEL</v>
      </c>
      <c r="B6291" s="7" t="str">
        <f>HYPERLINK("https://otsuka-europe-crm.veevavault.com/ui/#object/vcountry__v/VENZ000004SONF5", "ES")</f>
        <v>ES</v>
      </c>
      <c r="C6291" s="8" t="s">
        <v>41</v>
      </c>
      <c r="D6291" s="9" t="str">
        <f>HYPERLINK("https://otsuka-europe-crm.veevavault.com/ui/#object/approved_document__v/V5OZ025E82TP0C5", "ENFERMERÍA - Guía de Manejo Psicoterapéutico")</f>
        <v>ENFERMERÍA - Guía de Manejo Psicoterapéutico</v>
      </c>
      <c r="E6291" s="10" t="str">
        <f>HYPERLINK("https://otsuka-europe-crm.veevavault.com/ui/#object/sent_email__v/VBL00000002R184", "SE-001434439")</f>
        <v>SE-001434439</v>
      </c>
      <c r="F6291" s="11"/>
      <c r="G6291" s="12">
        <v>0</v>
      </c>
      <c r="H6291" s="12">
        <v>0</v>
      </c>
      <c r="I6291" s="12">
        <v>0</v>
      </c>
      <c r="J6291" s="11"/>
      <c r="K6291" s="12">
        <v>0</v>
      </c>
      <c r="L6291" s="10" t="str">
        <f>HYPERLINK("https://otsuka-europe-crm.veevavault.com/ui/#object/approved_document__v/V5OZ025E82TP0C5", "ENFERMERÍA - Guía de Manejo Psicoterapéutico")</f>
        <v>ENFERMERÍA - Guía de Manejo Psicoterapéutico</v>
      </c>
      <c r="M6291" s="10" t="str">
        <f>HYPERLINK("mailto:mgravan@crm.otsuka-europe.com", "mgravan@crm.otsuka-europe.com")</f>
        <v>mgravan@crm.otsuka-europe.com</v>
      </c>
      <c r="N6291" s="13">
        <v>46196.379467592589</v>
      </c>
      <c r="O6291" s="14" t="str">
        <f>HYPERLINK("https://otsuka-europe-crm.veevavault.com/ui/#object/email_activity__v/V8C00000003Z297", "EN-002099193")</f>
        <v>EN-002099193</v>
      </c>
    </row>
    <row r="6292" spans="1:15" ht="16" x14ac:dyDescent="0.2">
      <c r="A6292" s="17" t="str">
        <f>HYPERLINK("https://otsuka-europe-crm.veevavault.com/ui/#object/account__v/V4TZ025E87SGXPB", "CARMEN ISABEL LINARES RUEDA")</f>
        <v>CARMEN ISABEL LINARES RUEDA</v>
      </c>
      <c r="B6292" s="17" t="str">
        <f>HYPERLINK("https://otsuka-europe-crm.veevavault.com/ui/#object/vcountry__v/VENZ000004SONF5", "ES")</f>
        <v>ES</v>
      </c>
      <c r="C6292" s="20" t="s">
        <v>41</v>
      </c>
      <c r="D6292" s="21" t="str">
        <f>HYPERLINK("https://otsuka-europe-crm.veevavault.com/ui/#object/approved_document__v/V5OZ025E82TP0C5", "ENFERMERÍA - Guía de Manejo Psicoterapéutico")</f>
        <v>ENFERMERÍA - Guía de Manejo Psicoterapéutico</v>
      </c>
      <c r="E6292" s="22" t="str">
        <f>HYPERLINK("https://otsuka-europe-crm.veevavault.com/ui/#object/sent_email__v/VBL00000002R185", "SE-001434440")</f>
        <v>SE-001434440</v>
      </c>
      <c r="F6292" s="25"/>
      <c r="G6292" s="24">
        <v>0</v>
      </c>
      <c r="H6292" s="24">
        <v>0</v>
      </c>
      <c r="I6292" s="24">
        <v>0</v>
      </c>
      <c r="J6292" s="25"/>
      <c r="K6292" s="24">
        <v>0</v>
      </c>
      <c r="L6292" s="22" t="str">
        <f>HYPERLINK("https://otsuka-europe-crm.veevavault.com/ui/#object/approved_document__v/V5OZ025E82TP0C5", "ENFERMERÍA - Guía de Manejo Psicoterapéutico")</f>
        <v>ENFERMERÍA - Guía de Manejo Psicoterapéutico</v>
      </c>
      <c r="M6292" s="22" t="str">
        <f>HYPERLINK("mailto:mgravan@crm.otsuka-europe.com", "mgravan@crm.otsuka-europe.com")</f>
        <v>mgravan@crm.otsuka-europe.com</v>
      </c>
      <c r="N6292" s="23">
        <v>46196.379432870373</v>
      </c>
      <c r="O6292" s="14" t="str">
        <f>HYPERLINK("https://otsuka-europe-crm.veevavault.com/ui/#object/email_activity__v/V8C000000040291", "EN-002099226")</f>
        <v>EN-002099226</v>
      </c>
    </row>
    <row r="6293" spans="1:15" ht="16" x14ac:dyDescent="0.2">
      <c r="A6293" s="19"/>
      <c r="B6293" s="19"/>
      <c r="C6293" s="19"/>
      <c r="D6293" s="19"/>
      <c r="E6293" s="19"/>
      <c r="F6293" s="19"/>
      <c r="G6293" s="19"/>
      <c r="H6293" s="19"/>
      <c r="I6293" s="19"/>
      <c r="J6293" s="19"/>
      <c r="K6293" s="19"/>
      <c r="L6293" s="19"/>
      <c r="M6293" s="19"/>
      <c r="N6293" s="19"/>
      <c r="O6293" s="14" t="str">
        <f>HYPERLINK("https://otsuka-europe-crm.veevavault.com/ui/#object/email_activity__v/V8C000000040317", "EN-002099259")</f>
        <v>EN-002099259</v>
      </c>
    </row>
    <row r="6294" spans="1:15" ht="16" x14ac:dyDescent="0.2">
      <c r="A6294" s="17" t="str">
        <f>HYPERLINK("https://otsuka-europe-crm.veevavault.com/ui/#object/account__v/V4TZ06G6O9RW6ZN", "CRISTINA CABALLERO PIZONES")</f>
        <v>CRISTINA CABALLERO PIZONES</v>
      </c>
      <c r="B6294" s="17" t="str">
        <f>HYPERLINK("https://otsuka-europe-crm.veevavault.com/ui/#object/vcountry__v/VENZ000004SONF5", "ES")</f>
        <v>ES</v>
      </c>
      <c r="C6294" s="20" t="s">
        <v>41</v>
      </c>
      <c r="D6294" s="21" t="str">
        <f>HYPERLINK("https://otsuka-europe-crm.veevavault.com/ui/#object/approved_document__v/V5OZ025E82TP0C5", "ENFERMERÍA - Guía de Manejo Psicoterapéutico")</f>
        <v>ENFERMERÍA - Guía de Manejo Psicoterapéutico</v>
      </c>
      <c r="E6294" s="22" t="str">
        <f>HYPERLINK("https://otsuka-europe-crm.veevavault.com/ui/#object/sent_email__v/VBL00000002R186", "SE-001434441")</f>
        <v>SE-001434441</v>
      </c>
      <c r="F6294" s="23">
        <v>46197.782476851855</v>
      </c>
      <c r="G6294" s="24">
        <v>1</v>
      </c>
      <c r="H6294" s="24">
        <v>1</v>
      </c>
      <c r="I6294" s="24">
        <v>0</v>
      </c>
      <c r="J6294" s="25"/>
      <c r="K6294" s="24">
        <v>0</v>
      </c>
      <c r="L6294" s="22" t="str">
        <f>HYPERLINK("https://otsuka-europe-crm.veevavault.com/ui/#object/approved_document__v/V5OZ025E82TP0C5", "ENFERMERÍA - Guía de Manejo Psicoterapéutico")</f>
        <v>ENFERMERÍA - Guía de Manejo Psicoterapéutico</v>
      </c>
      <c r="M6294" s="22" t="str">
        <f>HYPERLINK("mailto:mgravan@crm.otsuka-europe.com", "mgravan@crm.otsuka-europe.com")</f>
        <v>mgravan@crm.otsuka-europe.com</v>
      </c>
      <c r="N6294" s="23">
        <v>46196.37945601852</v>
      </c>
      <c r="O6294" s="14" t="str">
        <f>HYPERLINK("https://otsuka-europe-crm.veevavault.com/ui/#object/email_activity__v/V8C000000040272", "EN-002099201")</f>
        <v>EN-002099201</v>
      </c>
    </row>
    <row r="6295" spans="1:15" ht="16" x14ac:dyDescent="0.2">
      <c r="A6295" s="18"/>
      <c r="B6295" s="18"/>
      <c r="C6295" s="18"/>
      <c r="D6295" s="18"/>
      <c r="E6295" s="18"/>
      <c r="F6295" s="18"/>
      <c r="G6295" s="18"/>
      <c r="H6295" s="18"/>
      <c r="I6295" s="18"/>
      <c r="J6295" s="18"/>
      <c r="K6295" s="18"/>
      <c r="L6295" s="18"/>
      <c r="M6295" s="18"/>
      <c r="N6295" s="18"/>
      <c r="O6295" s="14" t="str">
        <f>HYPERLINK("https://otsuka-europe-crm.veevavault.com/ui/#object/email_activity__v/V8C000000040435", "EN-002099449")</f>
        <v>EN-002099449</v>
      </c>
    </row>
    <row r="6296" spans="1:15" ht="16" x14ac:dyDescent="0.2">
      <c r="A6296" s="19"/>
      <c r="B6296" s="19"/>
      <c r="C6296" s="19"/>
      <c r="D6296" s="19"/>
      <c r="E6296" s="19"/>
      <c r="F6296" s="19"/>
      <c r="G6296" s="19"/>
      <c r="H6296" s="19"/>
      <c r="I6296" s="19"/>
      <c r="J6296" s="19"/>
      <c r="K6296" s="19"/>
      <c r="L6296" s="19"/>
      <c r="M6296" s="19"/>
      <c r="N6296" s="19"/>
      <c r="O6296" s="14" t="str">
        <f>HYPERLINK("https://otsuka-europe-crm.veevavault.com/ui/#object/email_activity__v/V8C000000040518", "EN-002099602")</f>
        <v>EN-002099602</v>
      </c>
    </row>
    <row r="6297" spans="1:15" ht="16" x14ac:dyDescent="0.2">
      <c r="A6297" s="17" t="str">
        <f>HYPERLINK("https://otsuka-europe-crm.veevavault.com/ui/#object/account__v/V4TZ06G6O71TDD7", "MALIKA BENAISA MOHAMED")</f>
        <v>MALIKA BENAISA MOHAMED</v>
      </c>
      <c r="B6297" s="17" t="str">
        <f>HYPERLINK("https://otsuka-europe-crm.veevavault.com/ui/#object/vcountry__v/VENZ000004SONF5", "ES")</f>
        <v>ES</v>
      </c>
      <c r="C6297" s="20" t="s">
        <v>41</v>
      </c>
      <c r="D6297" s="21" t="str">
        <f>HYPERLINK("https://otsuka-europe-crm.veevavault.com/ui/#object/approved_document__v/V5OZ025E82TP0C5", "ENFERMERÍA - Guía de Manejo Psicoterapéutico")</f>
        <v>ENFERMERÍA - Guía de Manejo Psicoterapéutico</v>
      </c>
      <c r="E6297" s="22" t="str">
        <f>HYPERLINK("https://otsuka-europe-crm.veevavault.com/ui/#object/sent_email__v/VBL00000002R187", "SE-001434442")</f>
        <v>SE-001434442</v>
      </c>
      <c r="F6297" s="25"/>
      <c r="G6297" s="24">
        <v>0</v>
      </c>
      <c r="H6297" s="24">
        <v>0</v>
      </c>
      <c r="I6297" s="24">
        <v>0</v>
      </c>
      <c r="J6297" s="25"/>
      <c r="K6297" s="24">
        <v>0</v>
      </c>
      <c r="L6297" s="22" t="str">
        <f>HYPERLINK("https://otsuka-europe-crm.veevavault.com/ui/#object/approved_document__v/V5OZ025E82TP0C5", "ENFERMERÍA - Guía de Manejo Psicoterapéutico")</f>
        <v>ENFERMERÍA - Guía de Manejo Psicoterapéutico</v>
      </c>
      <c r="M6297" s="22" t="str">
        <f>HYPERLINK("mailto:mgravan@crm.otsuka-europe.com", "mgravan@crm.otsuka-europe.com")</f>
        <v>mgravan@crm.otsuka-europe.com</v>
      </c>
      <c r="N6297" s="23">
        <v>46196.379444444443</v>
      </c>
      <c r="O6297" s="14" t="str">
        <f>HYPERLINK("https://otsuka-europe-crm.veevavault.com/ui/#object/email_activity__v/V8C000000040277", "EN-002099206")</f>
        <v>EN-002099206</v>
      </c>
    </row>
    <row r="6298" spans="1:15" ht="16" x14ac:dyDescent="0.2">
      <c r="A6298" s="19"/>
      <c r="B6298" s="19"/>
      <c r="C6298" s="19"/>
      <c r="D6298" s="19"/>
      <c r="E6298" s="19"/>
      <c r="F6298" s="19"/>
      <c r="G6298" s="19"/>
      <c r="H6298" s="19"/>
      <c r="I6298" s="19"/>
      <c r="J6298" s="19"/>
      <c r="K6298" s="19"/>
      <c r="L6298" s="19"/>
      <c r="M6298" s="19"/>
      <c r="N6298" s="19"/>
      <c r="O6298" s="14" t="str">
        <f>HYPERLINK("https://otsuka-europe-crm.veevavault.com/ui/#object/email_activity__v/V8C000000040410", "EN-002099405")</f>
        <v>EN-002099405</v>
      </c>
    </row>
    <row r="6299" spans="1:15" ht="32" x14ac:dyDescent="0.2">
      <c r="A6299" s="7" t="str">
        <f>HYPERLINK("https://otsuka-europe-crm.veevavault.com/ui/#object/account__v/V4TZ06G6OBUN8YI", "ROCIO ESTEFANIA GARCIA LECHUGA")</f>
        <v>ROCIO ESTEFANIA GARCIA LECHUGA</v>
      </c>
      <c r="B6299" s="7" t="str">
        <f>HYPERLINK("https://otsuka-europe-crm.veevavault.com/ui/#object/vcountry__v/VENZ000004SONF5", "ES")</f>
        <v>ES</v>
      </c>
      <c r="C6299" s="8" t="s">
        <v>41</v>
      </c>
      <c r="D6299" s="9" t="str">
        <f>HYPERLINK("https://otsuka-europe-crm.veevavault.com/ui/#object/approved_document__v/V5OZ025E82TP0C5", "ENFERMERÍA - Guía de Manejo Psicoterapéutico")</f>
        <v>ENFERMERÍA - Guía de Manejo Psicoterapéutico</v>
      </c>
      <c r="E6299" s="10" t="str">
        <f>HYPERLINK("https://otsuka-europe-crm.veevavault.com/ui/#object/sent_email__v/VBL00000002R188", "SE-001434443")</f>
        <v>SE-001434443</v>
      </c>
      <c r="F6299" s="11"/>
      <c r="G6299" s="12">
        <v>0</v>
      </c>
      <c r="H6299" s="12">
        <v>0</v>
      </c>
      <c r="I6299" s="12">
        <v>0</v>
      </c>
      <c r="J6299" s="11"/>
      <c r="K6299" s="12">
        <v>0</v>
      </c>
      <c r="L6299" s="10" t="str">
        <f>HYPERLINK("https://otsuka-europe-crm.veevavault.com/ui/#object/approved_document__v/V5OZ025E82TP0C5", "ENFERMERÍA - Guía de Manejo Psicoterapéutico")</f>
        <v>ENFERMERÍA - Guía de Manejo Psicoterapéutico</v>
      </c>
      <c r="M6299" s="10" t="str">
        <f>HYPERLINK("mailto:mgravan@crm.otsuka-europe.com", "mgravan@crm.otsuka-europe.com")</f>
        <v>mgravan@crm.otsuka-europe.com</v>
      </c>
      <c r="N6299" s="13">
        <v>46196.379432870373</v>
      </c>
      <c r="O6299" s="14" t="str">
        <f>HYPERLINK("https://otsuka-europe-crm.veevavault.com/ui/#object/email_activity__v/V8C000000040299", "EN-002099236")</f>
        <v>EN-002099236</v>
      </c>
    </row>
    <row r="6300" spans="1:15" ht="32" x14ac:dyDescent="0.2">
      <c r="A6300" s="7" t="str">
        <f>HYPERLINK("https://otsuka-europe-crm.veevavault.com/ui/#object/account__v/V4TZ06G6O8SB89R", "ANA MARIA FLORES JUNQUERA")</f>
        <v>ANA MARIA FLORES JUNQUERA</v>
      </c>
      <c r="B6300" s="7" t="str">
        <f>HYPERLINK("https://otsuka-europe-crm.veevavault.com/ui/#object/vcountry__v/VENZ000004SONF5", "ES")</f>
        <v>ES</v>
      </c>
      <c r="C6300" s="8" t="s">
        <v>41</v>
      </c>
      <c r="D6300" s="9" t="str">
        <f>HYPERLINK("https://otsuka-europe-crm.veevavault.com/ui/#object/approved_document__v/V5OZ025E82TP0C5", "ENFERMERÍA - Guía de Manejo Psicoterapéutico")</f>
        <v>ENFERMERÍA - Guía de Manejo Psicoterapéutico</v>
      </c>
      <c r="E6300" s="10" t="str">
        <f>HYPERLINK("https://otsuka-europe-crm.veevavault.com/ui/#object/sent_email__v/VBL00000002R189", "SE-001434444")</f>
        <v>SE-001434444</v>
      </c>
      <c r="F6300" s="11"/>
      <c r="G6300" s="12">
        <v>0</v>
      </c>
      <c r="H6300" s="12">
        <v>0</v>
      </c>
      <c r="I6300" s="12">
        <v>0</v>
      </c>
      <c r="J6300" s="11"/>
      <c r="K6300" s="12">
        <v>0</v>
      </c>
      <c r="L6300" s="10" t="str">
        <f>HYPERLINK("https://otsuka-europe-crm.veevavault.com/ui/#object/approved_document__v/V5OZ025E82TP0C5", "ENFERMERÍA - Guía de Manejo Psicoterapéutico")</f>
        <v>ENFERMERÍA - Guía de Manejo Psicoterapéutico</v>
      </c>
      <c r="M6300" s="10" t="str">
        <f>HYPERLINK("mailto:mgravan@crm.otsuka-europe.com", "mgravan@crm.otsuka-europe.com")</f>
        <v>mgravan@crm.otsuka-europe.com</v>
      </c>
      <c r="N6300" s="13">
        <v>46196.379490740743</v>
      </c>
      <c r="O6300" s="14" t="str">
        <f>HYPERLINK("https://otsuka-europe-crm.veevavault.com/ui/#object/email_activity__v/V8C000000040271", "EN-002099194")</f>
        <v>EN-002099194</v>
      </c>
    </row>
    <row r="6301" spans="1:15" ht="16" x14ac:dyDescent="0.2">
      <c r="A6301" s="17" t="str">
        <f>HYPERLINK("https://otsuka-europe-crm.veevavault.com/ui/#object/account__v/V4TZ06G6O8KXZY7", "NOELIA BENITEZ DIAZ")</f>
        <v>NOELIA BENITEZ DIAZ</v>
      </c>
      <c r="B6301" s="17" t="str">
        <f>HYPERLINK("https://otsuka-europe-crm.veevavault.com/ui/#object/vcountry__v/VENZ000004SONF5", "ES")</f>
        <v>ES</v>
      </c>
      <c r="C6301" s="20" t="s">
        <v>41</v>
      </c>
      <c r="D6301" s="21" t="str">
        <f>HYPERLINK("https://otsuka-europe-crm.veevavault.com/ui/#object/approved_document__v/V5OZ025E82TP0C5", "ENFERMERÍA - Guía de Manejo Psicoterapéutico")</f>
        <v>ENFERMERÍA - Guía de Manejo Psicoterapéutico</v>
      </c>
      <c r="E6301" s="22" t="str">
        <f>HYPERLINK("https://otsuka-europe-crm.veevavault.com/ui/#object/sent_email__v/VBL00000002R190", "SE-001434445")</f>
        <v>SE-001434445</v>
      </c>
      <c r="F6301" s="23">
        <v>46196.407407407409</v>
      </c>
      <c r="G6301" s="24">
        <v>1</v>
      </c>
      <c r="H6301" s="24">
        <v>1</v>
      </c>
      <c r="I6301" s="24">
        <v>1</v>
      </c>
      <c r="J6301" s="23">
        <v>46196.407569444447</v>
      </c>
      <c r="K6301" s="24">
        <v>2</v>
      </c>
      <c r="L6301" s="22" t="str">
        <f>HYPERLINK("https://otsuka-europe-crm.veevavault.com/ui/#object/approved_document__v/V5OZ025E82TP0C5", "ENFERMERÍA - Guía de Manejo Psicoterapéutico")</f>
        <v>ENFERMERÍA - Guía de Manejo Psicoterapéutico</v>
      </c>
      <c r="M6301" s="22" t="str">
        <f>HYPERLINK("mailto:mgravan@crm.otsuka-europe.com", "mgravan@crm.otsuka-europe.com")</f>
        <v>mgravan@crm.otsuka-europe.com</v>
      </c>
      <c r="N6301" s="23">
        <v>46196.379444444443</v>
      </c>
      <c r="O6301" s="14" t="str">
        <f>HYPERLINK("https://otsuka-europe-crm.veevavault.com/ui/#object/email_activity__v/V8C000000040268", "EN-002099186")</f>
        <v>EN-002099186</v>
      </c>
    </row>
    <row r="6302" spans="1:15" ht="16" x14ac:dyDescent="0.2">
      <c r="A6302" s="18"/>
      <c r="B6302" s="18"/>
      <c r="C6302" s="18"/>
      <c r="D6302" s="18"/>
      <c r="E6302" s="18"/>
      <c r="F6302" s="18"/>
      <c r="G6302" s="18"/>
      <c r="H6302" s="18"/>
      <c r="I6302" s="18"/>
      <c r="J6302" s="18"/>
      <c r="K6302" s="18"/>
      <c r="L6302" s="18"/>
      <c r="M6302" s="18"/>
      <c r="N6302" s="18"/>
      <c r="O6302" s="14" t="str">
        <f>HYPERLINK("https://otsuka-europe-crm.veevavault.com/ui/#object/email_activity__v/V8C000000040359", "EN-002099319")</f>
        <v>EN-002099319</v>
      </c>
    </row>
    <row r="6303" spans="1:15" ht="16" x14ac:dyDescent="0.2">
      <c r="A6303" s="18"/>
      <c r="B6303" s="18"/>
      <c r="C6303" s="18"/>
      <c r="D6303" s="18"/>
      <c r="E6303" s="18"/>
      <c r="F6303" s="18"/>
      <c r="G6303" s="18"/>
      <c r="H6303" s="18"/>
      <c r="I6303" s="18"/>
      <c r="J6303" s="18"/>
      <c r="K6303" s="18"/>
      <c r="L6303" s="18"/>
      <c r="M6303" s="18"/>
      <c r="N6303" s="18"/>
      <c r="O6303" s="14" t="str">
        <f>HYPERLINK("https://otsuka-europe-crm.veevavault.com/ui/#object/email_activity__v/V8C000000040360", "EN-002099320")</f>
        <v>EN-002099320</v>
      </c>
    </row>
    <row r="6304" spans="1:15" ht="16" x14ac:dyDescent="0.2">
      <c r="A6304" s="19"/>
      <c r="B6304" s="19"/>
      <c r="C6304" s="19"/>
      <c r="D6304" s="19"/>
      <c r="E6304" s="19"/>
      <c r="F6304" s="19"/>
      <c r="G6304" s="19"/>
      <c r="H6304" s="19"/>
      <c r="I6304" s="19"/>
      <c r="J6304" s="19"/>
      <c r="K6304" s="19"/>
      <c r="L6304" s="19"/>
      <c r="M6304" s="19"/>
      <c r="N6304" s="19"/>
      <c r="O6304" s="14" t="str">
        <f>HYPERLINK("https://otsuka-europe-crm.veevavault.com/ui/#object/email_activity__v/V8C000000040361", "EN-002099321")</f>
        <v>EN-002099321</v>
      </c>
    </row>
    <row r="6305" spans="1:15" ht="32" x14ac:dyDescent="0.2">
      <c r="A6305" s="7" t="str">
        <f>HYPERLINK("https://otsuka-europe-crm.veevavault.com/ui/#object/account__v/V4TZ04ASGETFOI8", "ANTONIO MELENDEZ TRUJILLO")</f>
        <v>ANTONIO MELENDEZ TRUJILLO</v>
      </c>
      <c r="B6305" s="7" t="str">
        <f>HYPERLINK("https://otsuka-europe-crm.veevavault.com/ui/#object/vcountry__v/VENZ000004SONF5", "ES")</f>
        <v>ES</v>
      </c>
      <c r="C6305" s="8" t="s">
        <v>41</v>
      </c>
      <c r="D6305" s="9" t="str">
        <f>HYPERLINK("https://otsuka-europe-crm.veevavault.com/ui/#object/approved_document__v/V5OZ025E82TP0C5", "ENFERMERÍA - Guía de Manejo Psicoterapéutico")</f>
        <v>ENFERMERÍA - Guía de Manejo Psicoterapéutico</v>
      </c>
      <c r="E6305" s="10" t="str">
        <f>HYPERLINK("https://otsuka-europe-crm.veevavault.com/ui/#object/sent_email__v/VBL00000002R191", "SE-001434446")</f>
        <v>SE-001434446</v>
      </c>
      <c r="F6305" s="11"/>
      <c r="G6305" s="12">
        <v>0</v>
      </c>
      <c r="H6305" s="12">
        <v>0</v>
      </c>
      <c r="I6305" s="12">
        <v>0</v>
      </c>
      <c r="J6305" s="11"/>
      <c r="K6305" s="12">
        <v>0</v>
      </c>
      <c r="L6305" s="10" t="str">
        <f>HYPERLINK("https://otsuka-europe-crm.veevavault.com/ui/#object/approved_document__v/V5OZ025E82TP0C5", "ENFERMERÍA - Guía de Manejo Psicoterapéutico")</f>
        <v>ENFERMERÍA - Guía de Manejo Psicoterapéutico</v>
      </c>
      <c r="M6305" s="10" t="str">
        <f>HYPERLINK("mailto:mgravan@crm.otsuka-europe.com", "mgravan@crm.otsuka-europe.com")</f>
        <v>mgravan@crm.otsuka-europe.com</v>
      </c>
      <c r="N6305" s="13">
        <v>46196.379432870373</v>
      </c>
      <c r="O6305" s="14" t="str">
        <f>HYPERLINK("https://otsuka-europe-crm.veevavault.com/ui/#object/email_activity__v/V8C00000003Z308", "EN-002099222")</f>
        <v>EN-002099222</v>
      </c>
    </row>
    <row r="6306" spans="1:15" ht="16" x14ac:dyDescent="0.2">
      <c r="A6306" s="17" t="str">
        <f>HYPERLINK("https://otsuka-europe-crm.veevavault.com/ui/#object/account__v/V4TZ06G6O71TDBQ", "DANIEL POZO DE COS ESTRADA")</f>
        <v>DANIEL POZO DE COS ESTRADA</v>
      </c>
      <c r="B6306" s="17" t="str">
        <f>HYPERLINK("https://otsuka-europe-crm.veevavault.com/ui/#object/vcountry__v/VENZ000004SONF5", "ES")</f>
        <v>ES</v>
      </c>
      <c r="C6306" s="20" t="s">
        <v>41</v>
      </c>
      <c r="D6306" s="21" t="str">
        <f>HYPERLINK("https://otsuka-europe-crm.veevavault.com/ui/#object/approved_document__v/V5OZ025E82TP0C5", "ENFERMERÍA - Guía de Manejo Psicoterapéutico")</f>
        <v>ENFERMERÍA - Guía de Manejo Psicoterapéutico</v>
      </c>
      <c r="E6306" s="22" t="str">
        <f>HYPERLINK("https://otsuka-europe-crm.veevavault.com/ui/#object/sent_email__v/VBL00000002R192", "SE-001434447")</f>
        <v>SE-001434447</v>
      </c>
      <c r="F6306" s="23">
        <v>46196.793680555558</v>
      </c>
      <c r="G6306" s="24">
        <v>1</v>
      </c>
      <c r="H6306" s="24">
        <v>1</v>
      </c>
      <c r="I6306" s="24">
        <v>0</v>
      </c>
      <c r="J6306" s="25"/>
      <c r="K6306" s="24">
        <v>0</v>
      </c>
      <c r="L6306" s="22" t="str">
        <f>HYPERLINK("https://otsuka-europe-crm.veevavault.com/ui/#object/approved_document__v/V5OZ025E82TP0C5", "ENFERMERÍA - Guía de Manejo Psicoterapéutico")</f>
        <v>ENFERMERÍA - Guía de Manejo Psicoterapéutico</v>
      </c>
      <c r="M6306" s="22" t="str">
        <f>HYPERLINK("mailto:mgravan@crm.otsuka-europe.com", "mgravan@crm.otsuka-europe.com")</f>
        <v>mgravan@crm.otsuka-europe.com</v>
      </c>
      <c r="N6306" s="23">
        <v>46196.379444444443</v>
      </c>
      <c r="O6306" s="14" t="str">
        <f>HYPERLINK("https://otsuka-europe-crm.veevavault.com/ui/#object/email_activity__v/V8C00000003Z401", "EN-002099473")</f>
        <v>EN-002099473</v>
      </c>
    </row>
    <row r="6307" spans="1:15" ht="16" x14ac:dyDescent="0.2">
      <c r="A6307" s="18"/>
      <c r="B6307" s="18"/>
      <c r="C6307" s="18"/>
      <c r="D6307" s="18"/>
      <c r="E6307" s="18"/>
      <c r="F6307" s="18"/>
      <c r="G6307" s="18"/>
      <c r="H6307" s="18"/>
      <c r="I6307" s="18"/>
      <c r="J6307" s="18"/>
      <c r="K6307" s="18"/>
      <c r="L6307" s="18"/>
      <c r="M6307" s="18"/>
      <c r="N6307" s="18"/>
      <c r="O6307" s="14" t="str">
        <f>HYPERLINK("https://otsuka-europe-crm.veevavault.com/ui/#object/email_activity__v/V8C00000003Z411", "EN-002099490")</f>
        <v>EN-002099490</v>
      </c>
    </row>
    <row r="6308" spans="1:15" ht="16" x14ac:dyDescent="0.2">
      <c r="A6308" s="19"/>
      <c r="B6308" s="19"/>
      <c r="C6308" s="19"/>
      <c r="D6308" s="19"/>
      <c r="E6308" s="19"/>
      <c r="F6308" s="19"/>
      <c r="G6308" s="19"/>
      <c r="H6308" s="19"/>
      <c r="I6308" s="19"/>
      <c r="J6308" s="19"/>
      <c r="K6308" s="19"/>
      <c r="L6308" s="19"/>
      <c r="M6308" s="19"/>
      <c r="N6308" s="19"/>
      <c r="O6308" s="14" t="str">
        <f>HYPERLINK("https://otsuka-europe-crm.veevavault.com/ui/#object/email_activity__v/V8C000000040293", "EN-002099228")</f>
        <v>EN-002099228</v>
      </c>
    </row>
    <row r="6309" spans="1:15" ht="32" x14ac:dyDescent="0.2">
      <c r="A6309" s="7" t="str">
        <f>HYPERLINK("https://otsuka-europe-crm.veevavault.com/ui/#object/account__v/V4TZ025E85V3O08", "AURELIO CARRASCO GARCIA")</f>
        <v>AURELIO CARRASCO GARCIA</v>
      </c>
      <c r="B6309" s="7" t="str">
        <f>HYPERLINK("https://otsuka-europe-crm.veevavault.com/ui/#object/vcountry__v/VENZ000004SONF5", "ES")</f>
        <v>ES</v>
      </c>
      <c r="C6309" s="8" t="s">
        <v>41</v>
      </c>
      <c r="D6309" s="9" t="str">
        <f>HYPERLINK("https://otsuka-europe-crm.veevavault.com/ui/#object/approved_document__v/V5OZ025E82TP0C5", "ENFERMERÍA - Guía de Manejo Psicoterapéutico")</f>
        <v>ENFERMERÍA - Guía de Manejo Psicoterapéutico</v>
      </c>
      <c r="E6309" s="10" t="str">
        <f>HYPERLINK("https://otsuka-europe-crm.veevavault.com/ui/#object/sent_email__v/VBL00000002R193", "SE-001434448")</f>
        <v>SE-001434448</v>
      </c>
      <c r="F6309" s="11"/>
      <c r="G6309" s="12">
        <v>0</v>
      </c>
      <c r="H6309" s="12">
        <v>0</v>
      </c>
      <c r="I6309" s="12">
        <v>0</v>
      </c>
      <c r="J6309" s="11"/>
      <c r="K6309" s="12">
        <v>0</v>
      </c>
      <c r="L6309" s="10" t="str">
        <f>HYPERLINK("https://otsuka-europe-crm.veevavault.com/ui/#object/approved_document__v/V5OZ025E82TP0C5", "ENFERMERÍA - Guía de Manejo Psicoterapéutico")</f>
        <v>ENFERMERÍA - Guía de Manejo Psicoterapéutico</v>
      </c>
      <c r="M6309" s="10" t="str">
        <f>HYPERLINK("mailto:mgravan@crm.otsuka-europe.com", "mgravan@crm.otsuka-europe.com")</f>
        <v>mgravan@crm.otsuka-europe.com</v>
      </c>
      <c r="N6309" s="13">
        <v>46196.379444444443</v>
      </c>
      <c r="O6309" s="14" t="str">
        <f>HYPERLINK("https://otsuka-europe-crm.veevavault.com/ui/#object/email_activity__v/V8C000000040286", "EN-002099215")</f>
        <v>EN-002099215</v>
      </c>
    </row>
    <row r="6310" spans="1:15" ht="16" x14ac:dyDescent="0.2">
      <c r="A6310" s="17" t="str">
        <f>HYPERLINK("https://otsuka-europe-crm.veevavault.com/ui/#object/account__v/V4TZ04ASGBJGY0K", "FRANCISCO CARLOS RIVERA VERA")</f>
        <v>FRANCISCO CARLOS RIVERA VERA</v>
      </c>
      <c r="B6310" s="17" t="str">
        <f>HYPERLINK("https://otsuka-europe-crm.veevavault.com/ui/#object/vcountry__v/VENZ000004SONF5", "ES")</f>
        <v>ES</v>
      </c>
      <c r="C6310" s="20" t="s">
        <v>41</v>
      </c>
      <c r="D6310" s="21" t="str">
        <f>HYPERLINK("https://otsuka-europe-crm.veevavault.com/ui/#object/approved_document__v/V5OZ025E82TP0C5", "ENFERMERÍA - Guía de Manejo Psicoterapéutico")</f>
        <v>ENFERMERÍA - Guía de Manejo Psicoterapéutico</v>
      </c>
      <c r="E6310" s="22" t="str">
        <f>HYPERLINK("https://otsuka-europe-crm.veevavault.com/ui/#object/sent_email__v/VBL00000002R194", "SE-001434449")</f>
        <v>SE-001434449</v>
      </c>
      <c r="F6310" s="25"/>
      <c r="G6310" s="24">
        <v>0</v>
      </c>
      <c r="H6310" s="24">
        <v>0</v>
      </c>
      <c r="I6310" s="24">
        <v>0</v>
      </c>
      <c r="J6310" s="25"/>
      <c r="K6310" s="24">
        <v>0</v>
      </c>
      <c r="L6310" s="22" t="str">
        <f>HYPERLINK("https://otsuka-europe-crm.veevavault.com/ui/#object/approved_document__v/V5OZ025E82TP0C5", "ENFERMERÍA - Guía de Manejo Psicoterapéutico")</f>
        <v>ENFERMERÍA - Guía de Manejo Psicoterapéutico</v>
      </c>
      <c r="M6310" s="22" t="str">
        <f>HYPERLINK("mailto:mgravan@crm.otsuka-europe.com", "mgravan@crm.otsuka-europe.com")</f>
        <v>mgravan@crm.otsuka-europe.com</v>
      </c>
      <c r="N6310" s="23">
        <v>46196.37945601852</v>
      </c>
      <c r="O6310" s="14" t="str">
        <f>HYPERLINK("https://otsuka-europe-crm.veevavault.com/ui/#object/email_activity__v/V8C00000003Z348", "EN-002099366")</f>
        <v>EN-002099366</v>
      </c>
    </row>
    <row r="6311" spans="1:15" ht="16" x14ac:dyDescent="0.2">
      <c r="A6311" s="19"/>
      <c r="B6311" s="19"/>
      <c r="C6311" s="19"/>
      <c r="D6311" s="19"/>
      <c r="E6311" s="19"/>
      <c r="F6311" s="19"/>
      <c r="G6311" s="19"/>
      <c r="H6311" s="19"/>
      <c r="I6311" s="19"/>
      <c r="J6311" s="19"/>
      <c r="K6311" s="19"/>
      <c r="L6311" s="19"/>
      <c r="M6311" s="19"/>
      <c r="N6311" s="19"/>
      <c r="O6311" s="14" t="str">
        <f>HYPERLINK("https://otsuka-europe-crm.veevavault.com/ui/#object/email_activity__v/V8C000000040303", "EN-002099240")</f>
        <v>EN-002099240</v>
      </c>
    </row>
    <row r="6312" spans="1:15" ht="16" x14ac:dyDescent="0.2">
      <c r="A6312" s="17" t="str">
        <f>HYPERLINK("https://otsuka-europe-crm.veevavault.com/ui/#object/account__v/V4TZ025E8711TWD", "AGUSTIN SEBASTIAN FERNANDEZ FLORES")</f>
        <v>AGUSTIN SEBASTIAN FERNANDEZ FLORES</v>
      </c>
      <c r="B6312" s="17" t="str">
        <f>HYPERLINK("https://otsuka-europe-crm.veevavault.com/ui/#object/vcountry__v/VENZ000004SONF5", "ES")</f>
        <v>ES</v>
      </c>
      <c r="C6312" s="20" t="s">
        <v>41</v>
      </c>
      <c r="D6312" s="21" t="str">
        <f>HYPERLINK("https://otsuka-europe-crm.veevavault.com/ui/#object/approved_document__v/V5OZ025E82TP0C5", "ENFERMERÍA - Guía de Manejo Psicoterapéutico")</f>
        <v>ENFERMERÍA - Guía de Manejo Psicoterapéutico</v>
      </c>
      <c r="E6312" s="22" t="str">
        <f>HYPERLINK("https://otsuka-europe-crm.veevavault.com/ui/#object/sent_email__v/VBL00000002R195", "SE-001434450")</f>
        <v>SE-001434450</v>
      </c>
      <c r="F6312" s="25"/>
      <c r="G6312" s="24">
        <v>0</v>
      </c>
      <c r="H6312" s="24">
        <v>0</v>
      </c>
      <c r="I6312" s="24">
        <v>1</v>
      </c>
      <c r="J6312" s="23">
        <v>46196.440011574072</v>
      </c>
      <c r="K6312" s="24">
        <v>1</v>
      </c>
      <c r="L6312" s="22" t="str">
        <f>HYPERLINK("https://otsuka-europe-crm.veevavault.com/ui/#object/approved_document__v/V5OZ025E82TP0C5", "ENFERMERÍA - Guía de Manejo Psicoterapéutico")</f>
        <v>ENFERMERÍA - Guía de Manejo Psicoterapéutico</v>
      </c>
      <c r="M6312" s="22" t="str">
        <f>HYPERLINK("mailto:mgravan@crm.otsuka-europe.com", "mgravan@crm.otsuka-europe.com")</f>
        <v>mgravan@crm.otsuka-europe.com</v>
      </c>
      <c r="N6312" s="23">
        <v>46196.379444444443</v>
      </c>
      <c r="O6312" s="14" t="str">
        <f>HYPERLINK("https://otsuka-europe-crm.veevavault.com/ui/#object/email_activity__v/V8C000000040298", "EN-002099235")</f>
        <v>EN-002099235</v>
      </c>
    </row>
    <row r="6313" spans="1:15" ht="16" x14ac:dyDescent="0.2">
      <c r="A6313" s="18"/>
      <c r="B6313" s="18"/>
      <c r="C6313" s="18"/>
      <c r="D6313" s="18"/>
      <c r="E6313" s="18"/>
      <c r="F6313" s="18"/>
      <c r="G6313" s="18"/>
      <c r="H6313" s="18"/>
      <c r="I6313" s="18"/>
      <c r="J6313" s="18"/>
      <c r="K6313" s="18"/>
      <c r="L6313" s="18"/>
      <c r="M6313" s="18"/>
      <c r="N6313" s="18"/>
      <c r="O6313" s="14" t="str">
        <f>HYPERLINK("https://otsuka-europe-crm.veevavault.com/ui/#object/email_activity__v/V8C000000040370", "EN-002099332")</f>
        <v>EN-002099332</v>
      </c>
    </row>
    <row r="6314" spans="1:15" ht="16" x14ac:dyDescent="0.2">
      <c r="A6314" s="19"/>
      <c r="B6314" s="19"/>
      <c r="C6314" s="19"/>
      <c r="D6314" s="19"/>
      <c r="E6314" s="19"/>
      <c r="F6314" s="19"/>
      <c r="G6314" s="19"/>
      <c r="H6314" s="19"/>
      <c r="I6314" s="19"/>
      <c r="J6314" s="19"/>
      <c r="K6314" s="19"/>
      <c r="L6314" s="19"/>
      <c r="M6314" s="19"/>
      <c r="N6314" s="19"/>
      <c r="O6314" s="14" t="str">
        <f>HYPERLINK("https://otsuka-europe-crm.veevavault.com/ui/#object/email_activity__v/V8C000000040371", "EN-002099333")</f>
        <v>EN-002099333</v>
      </c>
    </row>
    <row r="6315" spans="1:15" ht="32" x14ac:dyDescent="0.2">
      <c r="A6315" s="7" t="str">
        <f>HYPERLINK("https://otsuka-europe-crm.veevavault.com/ui/#object/account__v/V4TZ06G6O71TDMF", "ANTONIO LINARES COBACHO")</f>
        <v>ANTONIO LINARES COBACHO</v>
      </c>
      <c r="B6315" s="7" t="str">
        <f>HYPERLINK("https://otsuka-europe-crm.veevavault.com/ui/#object/vcountry__v/VENZ000004SONF5", "ES")</f>
        <v>ES</v>
      </c>
      <c r="C6315" s="8" t="s">
        <v>41</v>
      </c>
      <c r="D6315" s="9" t="str">
        <f>HYPERLINK("https://otsuka-europe-crm.veevavault.com/ui/#object/approved_document__v/V5OZ025E82TP0C5", "ENFERMERÍA - Guía de Manejo Psicoterapéutico")</f>
        <v>ENFERMERÍA - Guía de Manejo Psicoterapéutico</v>
      </c>
      <c r="E6315" s="10" t="str">
        <f>HYPERLINK("https://otsuka-europe-crm.veevavault.com/ui/#object/sent_email__v/VBL00000002R196", "SE-001434451")</f>
        <v>SE-001434451</v>
      </c>
      <c r="F6315" s="11"/>
      <c r="G6315" s="12">
        <v>0</v>
      </c>
      <c r="H6315" s="12">
        <v>0</v>
      </c>
      <c r="I6315" s="12">
        <v>0</v>
      </c>
      <c r="J6315" s="11"/>
      <c r="K6315" s="12">
        <v>0</v>
      </c>
      <c r="L6315" s="10" t="str">
        <f>HYPERLINK("https://otsuka-europe-crm.veevavault.com/ui/#object/approved_document__v/V5OZ025E82TP0C5", "ENFERMERÍA - Guía de Manejo Psicoterapéutico")</f>
        <v>ENFERMERÍA - Guía de Manejo Psicoterapéutico</v>
      </c>
      <c r="M6315" s="10" t="str">
        <f>HYPERLINK("mailto:mgravan@crm.otsuka-europe.com", "mgravan@crm.otsuka-europe.com")</f>
        <v>mgravan@crm.otsuka-europe.com</v>
      </c>
      <c r="N6315" s="13">
        <v>46196.379444444443</v>
      </c>
      <c r="O6315" s="14" t="str">
        <f>HYPERLINK("https://otsuka-europe-crm.veevavault.com/ui/#object/email_activity__v/V8C00000003Z314", "EN-002099252")</f>
        <v>EN-002099252</v>
      </c>
    </row>
    <row r="6316" spans="1:15" ht="16" x14ac:dyDescent="0.2">
      <c r="A6316" s="17" t="str">
        <f>HYPERLINK("https://otsuka-europe-crm.veevavault.com/ui/#object/account__v/V4TZ025E85JC6V6", "MANUEL LOPEZ GARCIA")</f>
        <v>MANUEL LOPEZ GARCIA</v>
      </c>
      <c r="B6316" s="17" t="str">
        <f>HYPERLINK("https://otsuka-europe-crm.veevavault.com/ui/#object/vcountry__v/VENZ000004SONF5", "ES")</f>
        <v>ES</v>
      </c>
      <c r="C6316" s="20" t="s">
        <v>41</v>
      </c>
      <c r="D6316" s="21" t="str">
        <f>HYPERLINK("https://otsuka-europe-crm.veevavault.com/ui/#object/approved_document__v/V5OZ025E82TP0C5", "ENFERMERÍA - Guía de Manejo Psicoterapéutico")</f>
        <v>ENFERMERÍA - Guía de Manejo Psicoterapéutico</v>
      </c>
      <c r="E6316" s="22" t="str">
        <f>HYPERLINK("https://otsuka-europe-crm.veevavault.com/ui/#object/sent_email__v/VBL00000002R197", "SE-001434452")</f>
        <v>SE-001434452</v>
      </c>
      <c r="F6316" s="23">
        <v>46198.465925925928</v>
      </c>
      <c r="G6316" s="24">
        <v>1</v>
      </c>
      <c r="H6316" s="24">
        <v>12</v>
      </c>
      <c r="I6316" s="24">
        <v>1</v>
      </c>
      <c r="J6316" s="23">
        <v>46198.466122685182</v>
      </c>
      <c r="K6316" s="24">
        <v>3</v>
      </c>
      <c r="L6316" s="22" t="str">
        <f>HYPERLINK("https://otsuka-europe-crm.veevavault.com/ui/#object/approved_document__v/V5OZ025E82TP0C5", "ENFERMERÍA - Guía de Manejo Psicoterapéutico")</f>
        <v>ENFERMERÍA - Guía de Manejo Psicoterapéutico</v>
      </c>
      <c r="M6316" s="22" t="str">
        <f>HYPERLINK("mailto:mgravan@crm.otsuka-europe.com", "mgravan@crm.otsuka-europe.com")</f>
        <v>mgravan@crm.otsuka-europe.com</v>
      </c>
      <c r="N6316" s="23">
        <v>46196.37945601852</v>
      </c>
      <c r="O6316" s="14" t="str">
        <f>HYPERLINK("https://otsuka-europe-crm.veevavault.com/ui/#object/email_activity__v/V8C00000003Z306", "EN-002099220")</f>
        <v>EN-002099220</v>
      </c>
    </row>
    <row r="6317" spans="1:15" ht="16" x14ac:dyDescent="0.2">
      <c r="A6317" s="18"/>
      <c r="B6317" s="18"/>
      <c r="C6317" s="18"/>
      <c r="D6317" s="18"/>
      <c r="E6317" s="18"/>
      <c r="F6317" s="18"/>
      <c r="G6317" s="18"/>
      <c r="H6317" s="18"/>
      <c r="I6317" s="18"/>
      <c r="J6317" s="18"/>
      <c r="K6317" s="18"/>
      <c r="L6317" s="18"/>
      <c r="M6317" s="18"/>
      <c r="N6317" s="18"/>
      <c r="O6317" s="14" t="str">
        <f>HYPERLINK("https://otsuka-europe-crm.veevavault.com/ui/#object/email_activity__v/V8C00000003Z379", "EN-002099427")</f>
        <v>EN-002099427</v>
      </c>
    </row>
    <row r="6318" spans="1:15" ht="16" x14ac:dyDescent="0.2">
      <c r="A6318" s="18"/>
      <c r="B6318" s="18"/>
      <c r="C6318" s="18"/>
      <c r="D6318" s="18"/>
      <c r="E6318" s="18"/>
      <c r="F6318" s="18"/>
      <c r="G6318" s="18"/>
      <c r="H6318" s="18"/>
      <c r="I6318" s="18"/>
      <c r="J6318" s="18"/>
      <c r="K6318" s="18"/>
      <c r="L6318" s="18"/>
      <c r="M6318" s="18"/>
      <c r="N6318" s="18"/>
      <c r="O6318" s="14" t="str">
        <f>HYPERLINK("https://otsuka-europe-crm.veevavault.com/ui/#object/email_activity__v/V8C00000003Z380", "EN-002099428")</f>
        <v>EN-002099428</v>
      </c>
    </row>
    <row r="6319" spans="1:15" ht="16" x14ac:dyDescent="0.2">
      <c r="A6319" s="18"/>
      <c r="B6319" s="18"/>
      <c r="C6319" s="18"/>
      <c r="D6319" s="18"/>
      <c r="E6319" s="18"/>
      <c r="F6319" s="18"/>
      <c r="G6319" s="18"/>
      <c r="H6319" s="18"/>
      <c r="I6319" s="18"/>
      <c r="J6319" s="18"/>
      <c r="K6319" s="18"/>
      <c r="L6319" s="18"/>
      <c r="M6319" s="18"/>
      <c r="N6319" s="18"/>
      <c r="O6319" s="14" t="str">
        <f>HYPERLINK("https://otsuka-europe-crm.veevavault.com/ui/#object/email_activity__v/V8C00000003Z381", "EN-002099429")</f>
        <v>EN-002099429</v>
      </c>
    </row>
    <row r="6320" spans="1:15" ht="16" x14ac:dyDescent="0.2">
      <c r="A6320" s="18"/>
      <c r="B6320" s="18"/>
      <c r="C6320" s="18"/>
      <c r="D6320" s="18"/>
      <c r="E6320" s="18"/>
      <c r="F6320" s="18"/>
      <c r="G6320" s="18"/>
      <c r="H6320" s="18"/>
      <c r="I6320" s="18"/>
      <c r="J6320" s="18"/>
      <c r="K6320" s="18"/>
      <c r="L6320" s="18"/>
      <c r="M6320" s="18"/>
      <c r="N6320" s="18"/>
      <c r="O6320" s="14" t="str">
        <f>HYPERLINK("https://otsuka-europe-crm.veevavault.com/ui/#object/email_activity__v/V8C00000003Z415", "EN-002099499")</f>
        <v>EN-002099499</v>
      </c>
    </row>
    <row r="6321" spans="1:15" ht="16" x14ac:dyDescent="0.2">
      <c r="A6321" s="18"/>
      <c r="B6321" s="18"/>
      <c r="C6321" s="18"/>
      <c r="D6321" s="18"/>
      <c r="E6321" s="18"/>
      <c r="F6321" s="18"/>
      <c r="G6321" s="18"/>
      <c r="H6321" s="18"/>
      <c r="I6321" s="18"/>
      <c r="J6321" s="18"/>
      <c r="K6321" s="18"/>
      <c r="L6321" s="18"/>
      <c r="M6321" s="18"/>
      <c r="N6321" s="18"/>
      <c r="O6321" s="14" t="str">
        <f>HYPERLINK("https://otsuka-europe-crm.veevavault.com/ui/#object/email_activity__v/V8C00000003Z416", "EN-002099500")</f>
        <v>EN-002099500</v>
      </c>
    </row>
    <row r="6322" spans="1:15" ht="16" x14ac:dyDescent="0.2">
      <c r="A6322" s="18"/>
      <c r="B6322" s="18"/>
      <c r="C6322" s="18"/>
      <c r="D6322" s="18"/>
      <c r="E6322" s="18"/>
      <c r="F6322" s="18"/>
      <c r="G6322" s="18"/>
      <c r="H6322" s="18"/>
      <c r="I6322" s="18"/>
      <c r="J6322" s="18"/>
      <c r="K6322" s="18"/>
      <c r="L6322" s="18"/>
      <c r="M6322" s="18"/>
      <c r="N6322" s="18"/>
      <c r="O6322" s="14" t="str">
        <f>HYPERLINK("https://otsuka-europe-crm.veevavault.com/ui/#object/email_activity__v/V8C00000003Z417", "EN-002099501")</f>
        <v>EN-002099501</v>
      </c>
    </row>
    <row r="6323" spans="1:15" ht="16" x14ac:dyDescent="0.2">
      <c r="A6323" s="18"/>
      <c r="B6323" s="18"/>
      <c r="C6323" s="18"/>
      <c r="D6323" s="18"/>
      <c r="E6323" s="18"/>
      <c r="F6323" s="18"/>
      <c r="G6323" s="18"/>
      <c r="H6323" s="18"/>
      <c r="I6323" s="18"/>
      <c r="J6323" s="18"/>
      <c r="K6323" s="18"/>
      <c r="L6323" s="18"/>
      <c r="M6323" s="18"/>
      <c r="N6323" s="18"/>
      <c r="O6323" s="14" t="str">
        <f>HYPERLINK("https://otsuka-europe-crm.veevavault.com/ui/#object/email_activity__v/V8C00000003Z418", "EN-002099502")</f>
        <v>EN-002099502</v>
      </c>
    </row>
    <row r="6324" spans="1:15" ht="16" x14ac:dyDescent="0.2">
      <c r="A6324" s="18"/>
      <c r="B6324" s="18"/>
      <c r="C6324" s="18"/>
      <c r="D6324" s="18"/>
      <c r="E6324" s="18"/>
      <c r="F6324" s="18"/>
      <c r="G6324" s="18"/>
      <c r="H6324" s="18"/>
      <c r="I6324" s="18"/>
      <c r="J6324" s="18"/>
      <c r="K6324" s="18"/>
      <c r="L6324" s="18"/>
      <c r="M6324" s="18"/>
      <c r="N6324" s="18"/>
      <c r="O6324" s="14" t="str">
        <f>HYPERLINK("https://otsuka-europe-crm.veevavault.com/ui/#object/email_activity__v/V8C00000003Z419", "EN-002099503")</f>
        <v>EN-002099503</v>
      </c>
    </row>
    <row r="6325" spans="1:15" ht="16" x14ac:dyDescent="0.2">
      <c r="A6325" s="18"/>
      <c r="B6325" s="18"/>
      <c r="C6325" s="18"/>
      <c r="D6325" s="18"/>
      <c r="E6325" s="18"/>
      <c r="F6325" s="18"/>
      <c r="G6325" s="18"/>
      <c r="H6325" s="18"/>
      <c r="I6325" s="18"/>
      <c r="J6325" s="18"/>
      <c r="K6325" s="18"/>
      <c r="L6325" s="18"/>
      <c r="M6325" s="18"/>
      <c r="N6325" s="18"/>
      <c r="O6325" s="14" t="str">
        <f>HYPERLINK("https://otsuka-europe-crm.veevavault.com/ui/#object/email_activity__v/V8C000000040515", "EN-002099598")</f>
        <v>EN-002099598</v>
      </c>
    </row>
    <row r="6326" spans="1:15" ht="16" x14ac:dyDescent="0.2">
      <c r="A6326" s="18"/>
      <c r="B6326" s="18"/>
      <c r="C6326" s="18"/>
      <c r="D6326" s="18"/>
      <c r="E6326" s="18"/>
      <c r="F6326" s="18"/>
      <c r="G6326" s="18"/>
      <c r="H6326" s="18"/>
      <c r="I6326" s="18"/>
      <c r="J6326" s="18"/>
      <c r="K6326" s="18"/>
      <c r="L6326" s="18"/>
      <c r="M6326" s="18"/>
      <c r="N6326" s="18"/>
      <c r="O6326" s="14" t="str">
        <f>HYPERLINK("https://otsuka-europe-crm.veevavault.com/ui/#object/email_activity__v/V8C000000040516", "EN-002099599")</f>
        <v>EN-002099599</v>
      </c>
    </row>
    <row r="6327" spans="1:15" ht="16" x14ac:dyDescent="0.2">
      <c r="A6327" s="18"/>
      <c r="B6327" s="18"/>
      <c r="C6327" s="18"/>
      <c r="D6327" s="18"/>
      <c r="E6327" s="18"/>
      <c r="F6327" s="18"/>
      <c r="G6327" s="18"/>
      <c r="H6327" s="18"/>
      <c r="I6327" s="18"/>
      <c r="J6327" s="18"/>
      <c r="K6327" s="18"/>
      <c r="L6327" s="18"/>
      <c r="M6327" s="18"/>
      <c r="N6327" s="18"/>
      <c r="O6327" s="14" t="str">
        <f>HYPERLINK("https://otsuka-europe-crm.veevavault.com/ui/#object/email_activity__v/V8C000000040522", "EN-002099611")</f>
        <v>EN-002099611</v>
      </c>
    </row>
    <row r="6328" spans="1:15" ht="16" x14ac:dyDescent="0.2">
      <c r="A6328" s="18"/>
      <c r="B6328" s="18"/>
      <c r="C6328" s="18"/>
      <c r="D6328" s="18"/>
      <c r="E6328" s="18"/>
      <c r="F6328" s="18"/>
      <c r="G6328" s="18"/>
      <c r="H6328" s="18"/>
      <c r="I6328" s="18"/>
      <c r="J6328" s="18"/>
      <c r="K6328" s="18"/>
      <c r="L6328" s="18"/>
      <c r="M6328" s="18"/>
      <c r="N6328" s="18"/>
      <c r="O6328" s="14" t="str">
        <f>HYPERLINK("https://otsuka-europe-crm.veevavault.com/ui/#object/email_activity__v/V8C000000040523", "EN-002099612")</f>
        <v>EN-002099612</v>
      </c>
    </row>
    <row r="6329" spans="1:15" ht="16" x14ac:dyDescent="0.2">
      <c r="A6329" s="18"/>
      <c r="B6329" s="18"/>
      <c r="C6329" s="18"/>
      <c r="D6329" s="18"/>
      <c r="E6329" s="18"/>
      <c r="F6329" s="18"/>
      <c r="G6329" s="18"/>
      <c r="H6329" s="18"/>
      <c r="I6329" s="18"/>
      <c r="J6329" s="18"/>
      <c r="K6329" s="18"/>
      <c r="L6329" s="18"/>
      <c r="M6329" s="18"/>
      <c r="N6329" s="18"/>
      <c r="O6329" s="14" t="str">
        <f>HYPERLINK("https://otsuka-europe-crm.veevavault.com/ui/#object/email_activity__v/V8C000000040553", "EN-002099665")</f>
        <v>EN-002099665</v>
      </c>
    </row>
    <row r="6330" spans="1:15" ht="16" x14ac:dyDescent="0.2">
      <c r="A6330" s="18"/>
      <c r="B6330" s="18"/>
      <c r="C6330" s="18"/>
      <c r="D6330" s="18"/>
      <c r="E6330" s="18"/>
      <c r="F6330" s="18"/>
      <c r="G6330" s="18"/>
      <c r="H6330" s="18"/>
      <c r="I6330" s="18"/>
      <c r="J6330" s="18"/>
      <c r="K6330" s="18"/>
      <c r="L6330" s="18"/>
      <c r="M6330" s="18"/>
      <c r="N6330" s="18"/>
      <c r="O6330" s="14" t="str">
        <f>HYPERLINK("https://otsuka-europe-crm.veevavault.com/ui/#object/email_activity__v/V8C000000040554", "EN-002099666")</f>
        <v>EN-002099666</v>
      </c>
    </row>
    <row r="6331" spans="1:15" ht="16" x14ac:dyDescent="0.2">
      <c r="A6331" s="19"/>
      <c r="B6331" s="19"/>
      <c r="C6331" s="19"/>
      <c r="D6331" s="19"/>
      <c r="E6331" s="19"/>
      <c r="F6331" s="19"/>
      <c r="G6331" s="19"/>
      <c r="H6331" s="19"/>
      <c r="I6331" s="19"/>
      <c r="J6331" s="19"/>
      <c r="K6331" s="19"/>
      <c r="L6331" s="19"/>
      <c r="M6331" s="19"/>
      <c r="N6331" s="19"/>
      <c r="O6331" s="14" t="str">
        <f>HYPERLINK("https://otsuka-europe-crm.veevavault.com/ui/#object/email_activity__v/V8C000000040555", "EN-002099667")</f>
        <v>EN-002099667</v>
      </c>
    </row>
    <row r="6332" spans="1:15" ht="16" x14ac:dyDescent="0.2">
      <c r="A6332" s="17" t="str">
        <f>HYPERLINK("https://otsuka-europe-crm.veevavault.com/ui/#object/account__v/V4TZ06G6O7W56DG", "JOSE MARIA ROSALES CRESPO")</f>
        <v>JOSE MARIA ROSALES CRESPO</v>
      </c>
      <c r="B6332" s="17" t="str">
        <f>HYPERLINK("https://otsuka-europe-crm.veevavault.com/ui/#object/vcountry__v/VENZ000004SONF5", "ES")</f>
        <v>ES</v>
      </c>
      <c r="C6332" s="20" t="s">
        <v>41</v>
      </c>
      <c r="D6332" s="21" t="str">
        <f>HYPERLINK("https://otsuka-europe-crm.veevavault.com/ui/#object/approved_document__v/V5OZ025E82TP0C5", "ENFERMERÍA - Guía de Manejo Psicoterapéutico")</f>
        <v>ENFERMERÍA - Guía de Manejo Psicoterapéutico</v>
      </c>
      <c r="E6332" s="22" t="str">
        <f>HYPERLINK("https://otsuka-europe-crm.veevavault.com/ui/#object/sent_email__v/VBL00000002R198", "SE-001434453")</f>
        <v>SE-001434453</v>
      </c>
      <c r="F6332" s="23">
        <v>46196.406342592592</v>
      </c>
      <c r="G6332" s="24">
        <v>1</v>
      </c>
      <c r="H6332" s="24">
        <v>1</v>
      </c>
      <c r="I6332" s="24">
        <v>0</v>
      </c>
      <c r="J6332" s="25"/>
      <c r="K6332" s="24">
        <v>0</v>
      </c>
      <c r="L6332" s="22" t="str">
        <f>HYPERLINK("https://otsuka-europe-crm.veevavault.com/ui/#object/approved_document__v/V5OZ025E82TP0C5", "ENFERMERÍA - Guía de Manejo Psicoterapéutico")</f>
        <v>ENFERMERÍA - Guía de Manejo Psicoterapéutico</v>
      </c>
      <c r="M6332" s="22" t="str">
        <f>HYPERLINK("mailto:mgravan@crm.otsuka-europe.com", "mgravan@crm.otsuka-europe.com")</f>
        <v>mgravan@crm.otsuka-europe.com</v>
      </c>
      <c r="N6332" s="23">
        <v>46196.379432870373</v>
      </c>
      <c r="O6332" s="14" t="str">
        <f>HYPERLINK("https://otsuka-europe-crm.veevavault.com/ui/#object/email_activity__v/V8C00000003Z334", "EN-002099318")</f>
        <v>EN-002099318</v>
      </c>
    </row>
    <row r="6333" spans="1:15" ht="16" x14ac:dyDescent="0.2">
      <c r="A6333" s="19"/>
      <c r="B6333" s="19"/>
      <c r="C6333" s="19"/>
      <c r="D6333" s="19"/>
      <c r="E6333" s="19"/>
      <c r="F6333" s="19"/>
      <c r="G6333" s="19"/>
      <c r="H6333" s="19"/>
      <c r="I6333" s="19"/>
      <c r="J6333" s="19"/>
      <c r="K6333" s="19"/>
      <c r="L6333" s="19"/>
      <c r="M6333" s="19"/>
      <c r="N6333" s="19"/>
      <c r="O6333" s="14" t="str">
        <f>HYPERLINK("https://otsuka-europe-crm.veevavault.com/ui/#object/email_activity__v/V8C000000040253", "EN-002099171")</f>
        <v>EN-002099171</v>
      </c>
    </row>
    <row r="6334" spans="1:15" ht="32" x14ac:dyDescent="0.2">
      <c r="A6334" s="7" t="str">
        <f>HYPERLINK("https://otsuka-europe-crm.veevavault.com/ui/#object/account__v/V4TZ06G6O71TDAJ", "RAFAEL GONZALEZ PEREZ")</f>
        <v>RAFAEL GONZALEZ PEREZ</v>
      </c>
      <c r="B6334" s="7" t="str">
        <f>HYPERLINK("https://otsuka-europe-crm.veevavault.com/ui/#object/vcountry__v/VENZ000004SONF5", "ES")</f>
        <v>ES</v>
      </c>
      <c r="C6334" s="8" t="s">
        <v>41</v>
      </c>
      <c r="D6334" s="9" t="str">
        <f>HYPERLINK("https://otsuka-europe-crm.veevavault.com/ui/#object/approved_document__v/V5OZ025E82TP0C5", "ENFERMERÍA - Guía de Manejo Psicoterapéutico")</f>
        <v>ENFERMERÍA - Guía de Manejo Psicoterapéutico</v>
      </c>
      <c r="E6334" s="10" t="str">
        <f>HYPERLINK("https://otsuka-europe-crm.veevavault.com/ui/#object/sent_email__v/VBL00000002R199", "SE-001434454")</f>
        <v>SE-001434454</v>
      </c>
      <c r="F6334" s="11"/>
      <c r="G6334" s="12">
        <v>0</v>
      </c>
      <c r="H6334" s="12">
        <v>0</v>
      </c>
      <c r="I6334" s="12">
        <v>0</v>
      </c>
      <c r="J6334" s="11"/>
      <c r="K6334" s="12">
        <v>0</v>
      </c>
      <c r="L6334" s="10" t="str">
        <f>HYPERLINK("https://otsuka-europe-crm.veevavault.com/ui/#object/approved_document__v/V5OZ025E82TP0C5", "ENFERMERÍA - Guía de Manejo Psicoterapéutico")</f>
        <v>ENFERMERÍA - Guía de Manejo Psicoterapéutico</v>
      </c>
      <c r="M6334" s="10" t="str">
        <f>HYPERLINK("mailto:mgravan@crm.otsuka-europe.com", "mgravan@crm.otsuka-europe.com")</f>
        <v>mgravan@crm.otsuka-europe.com</v>
      </c>
      <c r="N6334" s="13">
        <v>46196.379444444443</v>
      </c>
      <c r="O6334" s="14" t="str">
        <f>HYPERLINK("https://otsuka-europe-crm.veevavault.com/ui/#object/email_activity__v/V8C000000040274", "EN-002099203")</f>
        <v>EN-002099203</v>
      </c>
    </row>
    <row r="6335" spans="1:15" ht="32" x14ac:dyDescent="0.2">
      <c r="A6335" s="7" t="str">
        <f>HYPERLINK("https://otsuka-europe-crm.veevavault.com/ui/#object/account__v/V4TZ06G6OBS5K0Y", "JUAN ANTONIO GUEDE OCAÑA")</f>
        <v>JUAN ANTONIO GUEDE OCAÑA</v>
      </c>
      <c r="B6335" s="7" t="str">
        <f>HYPERLINK("https://otsuka-europe-crm.veevavault.com/ui/#object/vcountry__v/VENZ000004SONF5", "ES")</f>
        <v>ES</v>
      </c>
      <c r="C6335" s="8" t="s">
        <v>41</v>
      </c>
      <c r="D6335" s="9" t="str">
        <f>HYPERLINK("https://otsuka-europe-crm.veevavault.com/ui/#object/approved_document__v/V5OZ025E82TP0C5", "ENFERMERÍA - Guía de Manejo Psicoterapéutico")</f>
        <v>ENFERMERÍA - Guía de Manejo Psicoterapéutico</v>
      </c>
      <c r="E6335" s="10" t="str">
        <f>HYPERLINK("https://otsuka-europe-crm.veevavault.com/ui/#object/sent_email__v/VBL00000002R200", "SE-001434455")</f>
        <v>SE-001434455</v>
      </c>
      <c r="F6335" s="11"/>
      <c r="G6335" s="12">
        <v>0</v>
      </c>
      <c r="H6335" s="12">
        <v>0</v>
      </c>
      <c r="I6335" s="12">
        <v>0</v>
      </c>
      <c r="J6335" s="11"/>
      <c r="K6335" s="12">
        <v>0</v>
      </c>
      <c r="L6335" s="10" t="str">
        <f>HYPERLINK("https://otsuka-europe-crm.veevavault.com/ui/#object/approved_document__v/V5OZ025E82TP0C5", "ENFERMERÍA - Guía de Manejo Psicoterapéutico")</f>
        <v>ENFERMERÍA - Guía de Manejo Psicoterapéutico</v>
      </c>
      <c r="M6335" s="10" t="str">
        <f>HYPERLINK("mailto:mgravan@crm.otsuka-europe.com", "mgravan@crm.otsuka-europe.com")</f>
        <v>mgravan@crm.otsuka-europe.com</v>
      </c>
      <c r="N6335" s="13">
        <v>46196.379479166666</v>
      </c>
      <c r="O6335" s="14" t="str">
        <f>HYPERLINK("https://otsuka-europe-crm.veevavault.com/ui/#object/email_activity__v/V8C000000040278", "EN-002099207")</f>
        <v>EN-002099207</v>
      </c>
    </row>
    <row r="6336" spans="1:15" ht="16" x14ac:dyDescent="0.2">
      <c r="A6336" s="17" t="str">
        <f>HYPERLINK("https://otsuka-europe-crm.veevavault.com/ui/#object/account__v/V4T00000001W138", "JESUS RODRIGUEZ PINTO")</f>
        <v>JESUS RODRIGUEZ PINTO</v>
      </c>
      <c r="B6336" s="17" t="str">
        <f>HYPERLINK("https://otsuka-europe-crm.veevavault.com/ui/#object/vcountry__v/VENZ000004SONF5", "ES")</f>
        <v>ES</v>
      </c>
      <c r="C6336" s="20" t="s">
        <v>41</v>
      </c>
      <c r="D6336" s="21" t="str">
        <f>HYPERLINK("https://otsuka-europe-crm.veevavault.com/ui/#object/approved_document__v/V5OZ025E82TP0C5", "ENFERMERÍA - Guía de Manejo Psicoterapéutico")</f>
        <v>ENFERMERÍA - Guía de Manejo Psicoterapéutico</v>
      </c>
      <c r="E6336" s="22" t="str">
        <f>HYPERLINK("https://otsuka-europe-crm.veevavault.com/ui/#object/sent_email__v/VBL00000002R201", "SE-001434456")</f>
        <v>SE-001434456</v>
      </c>
      <c r="F6336" s="23">
        <v>46197.453993055555</v>
      </c>
      <c r="G6336" s="24">
        <v>1</v>
      </c>
      <c r="H6336" s="24">
        <v>1</v>
      </c>
      <c r="I6336" s="24">
        <v>1</v>
      </c>
      <c r="J6336" s="23">
        <v>46197.453993055555</v>
      </c>
      <c r="K6336" s="24">
        <v>1</v>
      </c>
      <c r="L6336" s="22" t="str">
        <f>HYPERLINK("https://otsuka-europe-crm.veevavault.com/ui/#object/approved_document__v/V5OZ025E82TP0C5", "ENFERMERÍA - Guía de Manejo Psicoterapéutico")</f>
        <v>ENFERMERÍA - Guía de Manejo Psicoterapéutico</v>
      </c>
      <c r="M6336" s="22" t="str">
        <f>HYPERLINK("mailto:mgravan@crm.otsuka-europe.com", "mgravan@crm.otsuka-europe.com")</f>
        <v>mgravan@crm.otsuka-europe.com</v>
      </c>
      <c r="N6336" s="23">
        <v>46196.379444444443</v>
      </c>
      <c r="O6336" s="14" t="str">
        <f>HYPERLINK("https://otsuka-europe-crm.veevavault.com/ui/#object/email_activity__v/V8C000000040261", "EN-002099179")</f>
        <v>EN-002099179</v>
      </c>
    </row>
    <row r="6337" spans="1:15" ht="16" x14ac:dyDescent="0.2">
      <c r="A6337" s="18"/>
      <c r="B6337" s="18"/>
      <c r="C6337" s="18"/>
      <c r="D6337" s="18"/>
      <c r="E6337" s="18"/>
      <c r="F6337" s="18"/>
      <c r="G6337" s="18"/>
      <c r="H6337" s="18"/>
      <c r="I6337" s="18"/>
      <c r="J6337" s="18"/>
      <c r="K6337" s="18"/>
      <c r="L6337" s="18"/>
      <c r="M6337" s="18"/>
      <c r="N6337" s="18"/>
      <c r="O6337" s="14" t="str">
        <f>HYPERLINK("https://otsuka-europe-crm.veevavault.com/ui/#object/email_activity__v/V8C000000040482", "EN-002099536")</f>
        <v>EN-002099536</v>
      </c>
    </row>
    <row r="6338" spans="1:15" ht="16" x14ac:dyDescent="0.2">
      <c r="A6338" s="19"/>
      <c r="B6338" s="19"/>
      <c r="C6338" s="19"/>
      <c r="D6338" s="19"/>
      <c r="E6338" s="19"/>
      <c r="F6338" s="19"/>
      <c r="G6338" s="19"/>
      <c r="H6338" s="19"/>
      <c r="I6338" s="19"/>
      <c r="J6338" s="19"/>
      <c r="K6338" s="19"/>
      <c r="L6338" s="19"/>
      <c r="M6338" s="19"/>
      <c r="N6338" s="19"/>
      <c r="O6338" s="14" t="str">
        <f>HYPERLINK("https://otsuka-europe-crm.veevavault.com/ui/#object/email_activity__v/V8C000000040483", "EN-002099535")</f>
        <v>EN-002099535</v>
      </c>
    </row>
    <row r="6339" spans="1:15" ht="32" x14ac:dyDescent="0.2">
      <c r="A6339" s="7" t="str">
        <f>HYPERLINK("https://otsuka-europe-crm.veevavault.com/ui/#object/account__v/V4TZ06G6O71TD9S", "JOSE MANUEL CORTES SANCHEZ")</f>
        <v>JOSE MANUEL CORTES SANCHEZ</v>
      </c>
      <c r="B6339" s="7" t="str">
        <f>HYPERLINK("https://otsuka-europe-crm.veevavault.com/ui/#object/vcountry__v/VENZ000004SONF5", "ES")</f>
        <v>ES</v>
      </c>
      <c r="C6339" s="8" t="s">
        <v>41</v>
      </c>
      <c r="D6339" s="9" t="str">
        <f>HYPERLINK("https://otsuka-europe-crm.veevavault.com/ui/#object/approved_document__v/V5OZ025E82TP0C5", "ENFERMERÍA - Guía de Manejo Psicoterapéutico")</f>
        <v>ENFERMERÍA - Guía de Manejo Psicoterapéutico</v>
      </c>
      <c r="E6339" s="10" t="str">
        <f>HYPERLINK("https://otsuka-europe-crm.veevavault.com/ui/#object/sent_email__v/VBL00000002R202", "SE-001434457")</f>
        <v>SE-001434457</v>
      </c>
      <c r="F6339" s="11"/>
      <c r="G6339" s="12">
        <v>0</v>
      </c>
      <c r="H6339" s="12">
        <v>0</v>
      </c>
      <c r="I6339" s="12">
        <v>0</v>
      </c>
      <c r="J6339" s="11"/>
      <c r="K6339" s="12">
        <v>0</v>
      </c>
      <c r="L6339" s="10" t="str">
        <f>HYPERLINK("https://otsuka-europe-crm.veevavault.com/ui/#object/approved_document__v/V5OZ025E82TP0C5", "ENFERMERÍA - Guía de Manejo Psicoterapéutico")</f>
        <v>ENFERMERÍA - Guía de Manejo Psicoterapéutico</v>
      </c>
      <c r="M6339" s="10" t="str">
        <f>HYPERLINK("mailto:mgravan@crm.otsuka-europe.com", "mgravan@crm.otsuka-europe.com")</f>
        <v>mgravan@crm.otsuka-europe.com</v>
      </c>
      <c r="N6339" s="13">
        <v>46196.379467592589</v>
      </c>
      <c r="O6339" s="14" t="str">
        <f>HYPERLINK("https://otsuka-europe-crm.veevavault.com/ui/#object/email_activity__v/V8C000000040295", "EN-002099230")</f>
        <v>EN-002099230</v>
      </c>
    </row>
    <row r="6340" spans="1:15" ht="32" x14ac:dyDescent="0.2">
      <c r="A6340" s="7" t="str">
        <f>HYPERLINK("https://otsuka-europe-crm.veevavault.com/ui/#object/account__v/V4TZ025E87SGSJ6", "JOAQUIN SOTO SAENZ")</f>
        <v>JOAQUIN SOTO SAENZ</v>
      </c>
      <c r="B6340" s="7" t="str">
        <f>HYPERLINK("https://otsuka-europe-crm.veevavault.com/ui/#object/vcountry__v/VENZ000004SONF5", "ES")</f>
        <v>ES</v>
      </c>
      <c r="C6340" s="8" t="s">
        <v>41</v>
      </c>
      <c r="D6340" s="9" t="str">
        <f>HYPERLINK("https://otsuka-europe-crm.veevavault.com/ui/#object/approved_document__v/V5OZ025E82TP0C5", "ENFERMERÍA - Guía de Manejo Psicoterapéutico")</f>
        <v>ENFERMERÍA - Guía de Manejo Psicoterapéutico</v>
      </c>
      <c r="E6340" s="10" t="str">
        <f>HYPERLINK("https://otsuka-europe-crm.veevavault.com/ui/#object/sent_email__v/VBL00000002R203", "SE-001434458")</f>
        <v>SE-001434458</v>
      </c>
      <c r="F6340" s="11"/>
      <c r="G6340" s="12">
        <v>0</v>
      </c>
      <c r="H6340" s="12">
        <v>0</v>
      </c>
      <c r="I6340" s="12">
        <v>0</v>
      </c>
      <c r="J6340" s="11"/>
      <c r="K6340" s="12">
        <v>0</v>
      </c>
      <c r="L6340" s="10" t="str">
        <f>HYPERLINK("https://otsuka-europe-crm.veevavault.com/ui/#object/approved_document__v/V5OZ025E82TP0C5", "ENFERMERÍA - Guía de Manejo Psicoterapéutico")</f>
        <v>ENFERMERÍA - Guía de Manejo Psicoterapéutico</v>
      </c>
      <c r="M6340" s="10" t="str">
        <f>HYPERLINK("mailto:mgravan@crm.otsuka-europe.com", "mgravan@crm.otsuka-europe.com")</f>
        <v>mgravan@crm.otsuka-europe.com</v>
      </c>
      <c r="N6340" s="13">
        <v>46196.379467592589</v>
      </c>
      <c r="O6340" s="14" t="str">
        <f>HYPERLINK("https://otsuka-europe-crm.veevavault.com/ui/#object/email_activity__v/V8C00000003Z293", "EN-002099189")</f>
        <v>EN-002099189</v>
      </c>
    </row>
    <row r="6341" spans="1:15" ht="16" x14ac:dyDescent="0.2">
      <c r="A6341" s="17" t="str">
        <f>HYPERLINK("https://otsuka-europe-crm.veevavault.com/ui/#object/account__v/V4TZ06G6O71TDDX", "SANTIAGO MARRA LORENZO")</f>
        <v>SANTIAGO MARRA LORENZO</v>
      </c>
      <c r="B6341" s="17" t="str">
        <f>HYPERLINK("https://otsuka-europe-crm.veevavault.com/ui/#object/vcountry__v/VENZ000004SONF5", "ES")</f>
        <v>ES</v>
      </c>
      <c r="C6341" s="20" t="s">
        <v>41</v>
      </c>
      <c r="D6341" s="21" t="str">
        <f>HYPERLINK("https://otsuka-europe-crm.veevavault.com/ui/#object/approved_document__v/V5OZ025E82TP0C5", "ENFERMERÍA - Guía de Manejo Psicoterapéutico")</f>
        <v>ENFERMERÍA - Guía de Manejo Psicoterapéutico</v>
      </c>
      <c r="E6341" s="22" t="str">
        <f>HYPERLINK("https://otsuka-europe-crm.veevavault.com/ui/#object/sent_email__v/VBL00000002R204", "SE-001434459")</f>
        <v>SE-001434459</v>
      </c>
      <c r="F6341" s="23">
        <v>46198.945497685185</v>
      </c>
      <c r="G6341" s="24">
        <v>1</v>
      </c>
      <c r="H6341" s="24">
        <v>1</v>
      </c>
      <c r="I6341" s="24">
        <v>0</v>
      </c>
      <c r="J6341" s="25"/>
      <c r="K6341" s="24">
        <v>0</v>
      </c>
      <c r="L6341" s="22" t="str">
        <f>HYPERLINK("https://otsuka-europe-crm.veevavault.com/ui/#object/approved_document__v/V5OZ025E82TP0C5", "ENFERMERÍA - Guía de Manejo Psicoterapéutico")</f>
        <v>ENFERMERÍA - Guía de Manejo Psicoterapéutico</v>
      </c>
      <c r="M6341" s="22" t="str">
        <f>HYPERLINK("mailto:mgravan@crm.otsuka-europe.com", "mgravan@crm.otsuka-europe.com")</f>
        <v>mgravan@crm.otsuka-europe.com</v>
      </c>
      <c r="N6341" s="23">
        <v>46196.379444444443</v>
      </c>
      <c r="O6341" s="14" t="str">
        <f>HYPERLINK("https://otsuka-europe-crm.veevavault.com/ui/#object/email_activity__v/V8C000000040288", "EN-002099217")</f>
        <v>EN-002099217</v>
      </c>
    </row>
    <row r="6342" spans="1:15" ht="16" x14ac:dyDescent="0.2">
      <c r="A6342" s="19"/>
      <c r="B6342" s="19"/>
      <c r="C6342" s="19"/>
      <c r="D6342" s="19"/>
      <c r="E6342" s="19"/>
      <c r="F6342" s="19"/>
      <c r="G6342" s="19"/>
      <c r="H6342" s="19"/>
      <c r="I6342" s="19"/>
      <c r="J6342" s="19"/>
      <c r="K6342" s="19"/>
      <c r="L6342" s="19"/>
      <c r="M6342" s="19"/>
      <c r="N6342" s="19"/>
      <c r="O6342" s="14" t="str">
        <f>HYPERLINK("https://otsuka-europe-crm.veevavault.com/ui/#object/email_activity__v/V8C000000041010", "EN-002099704")</f>
        <v>EN-002099704</v>
      </c>
    </row>
    <row r="6343" spans="1:15" ht="16" x14ac:dyDescent="0.2">
      <c r="A6343" s="17" t="str">
        <f>HYPERLINK("https://otsuka-europe-crm.veevavault.com/ui/#object/account__v/V4TZ06G6O71TDD2", "DAVID JESUS PEREZ LOPEZ")</f>
        <v>DAVID JESUS PEREZ LOPEZ</v>
      </c>
      <c r="B6343" s="17" t="str">
        <f>HYPERLINK("https://otsuka-europe-crm.veevavault.com/ui/#object/vcountry__v/VENZ000004SONF5", "ES")</f>
        <v>ES</v>
      </c>
      <c r="C6343" s="20" t="s">
        <v>41</v>
      </c>
      <c r="D6343" s="21" t="str">
        <f>HYPERLINK("https://otsuka-europe-crm.veevavault.com/ui/#object/approved_document__v/V5OZ025E82TP0C5", "ENFERMERÍA - Guía de Manejo Psicoterapéutico")</f>
        <v>ENFERMERÍA - Guía de Manejo Psicoterapéutico</v>
      </c>
      <c r="E6343" s="22" t="str">
        <f>HYPERLINK("https://otsuka-europe-crm.veevavault.com/ui/#object/sent_email__v/VBL00000002R205", "SE-001434460")</f>
        <v>SE-001434460</v>
      </c>
      <c r="F6343" s="23">
        <v>46199.742893518516</v>
      </c>
      <c r="G6343" s="24">
        <v>1</v>
      </c>
      <c r="H6343" s="24">
        <v>2</v>
      </c>
      <c r="I6343" s="24">
        <v>0</v>
      </c>
      <c r="J6343" s="25"/>
      <c r="K6343" s="24">
        <v>0</v>
      </c>
      <c r="L6343" s="22" t="str">
        <f>HYPERLINK("https://otsuka-europe-crm.veevavault.com/ui/#object/approved_document__v/V5OZ025E82TP0C5", "ENFERMERÍA - Guía de Manejo Psicoterapéutico")</f>
        <v>ENFERMERÍA - Guía de Manejo Psicoterapéutico</v>
      </c>
      <c r="M6343" s="22" t="str">
        <f>HYPERLINK("mailto:mgravan@crm.otsuka-europe.com", "mgravan@crm.otsuka-europe.com")</f>
        <v>mgravan@crm.otsuka-europe.com</v>
      </c>
      <c r="N6343" s="23">
        <v>46196.37945601852</v>
      </c>
      <c r="O6343" s="14" t="str">
        <f>HYPERLINK("https://otsuka-europe-crm.veevavault.com/ui/#object/email_activity__v/V8C00000003Z358", "EN-002099384")</f>
        <v>EN-002099384</v>
      </c>
    </row>
    <row r="6344" spans="1:15" ht="16" x14ac:dyDescent="0.2">
      <c r="A6344" s="18"/>
      <c r="B6344" s="18"/>
      <c r="C6344" s="18"/>
      <c r="D6344" s="18"/>
      <c r="E6344" s="18"/>
      <c r="F6344" s="18"/>
      <c r="G6344" s="18"/>
      <c r="H6344" s="18"/>
      <c r="I6344" s="18"/>
      <c r="J6344" s="18"/>
      <c r="K6344" s="18"/>
      <c r="L6344" s="18"/>
      <c r="M6344" s="18"/>
      <c r="N6344" s="18"/>
      <c r="O6344" s="14" t="str">
        <f>HYPERLINK("https://otsuka-europe-crm.veevavault.com/ui/#object/email_activity__v/V8C000000040282", "EN-002099211")</f>
        <v>EN-002099211</v>
      </c>
    </row>
    <row r="6345" spans="1:15" ht="16" x14ac:dyDescent="0.2">
      <c r="A6345" s="19"/>
      <c r="B6345" s="19"/>
      <c r="C6345" s="19"/>
      <c r="D6345" s="19"/>
      <c r="E6345" s="19"/>
      <c r="F6345" s="19"/>
      <c r="G6345" s="19"/>
      <c r="H6345" s="19"/>
      <c r="I6345" s="19"/>
      <c r="J6345" s="19"/>
      <c r="K6345" s="19"/>
      <c r="L6345" s="19"/>
      <c r="M6345" s="19"/>
      <c r="N6345" s="19"/>
      <c r="O6345" s="14" t="str">
        <f>HYPERLINK("https://otsuka-europe-crm.veevavault.com/ui/#object/email_activity__v/V8C000000042206", "EN-002100131")</f>
        <v>EN-002100131</v>
      </c>
    </row>
    <row r="6346" spans="1:15" ht="16" x14ac:dyDescent="0.2">
      <c r="A6346" s="17" t="str">
        <f>HYPERLINK("https://otsuka-europe-crm.veevavault.com/ui/#object/account__v/V4TZ025E830VG1H", "ALFONSO DELGADO GIL")</f>
        <v>ALFONSO DELGADO GIL</v>
      </c>
      <c r="B6346" s="17" t="str">
        <f>HYPERLINK("https://otsuka-europe-crm.veevavault.com/ui/#object/vcountry__v/VENZ000004SONF5", "ES")</f>
        <v>ES</v>
      </c>
      <c r="C6346" s="20" t="s">
        <v>41</v>
      </c>
      <c r="D6346" s="21" t="str">
        <f>HYPERLINK("https://otsuka-europe-crm.veevavault.com/ui/#object/approved_document__v/V5OZ025E82TP0C5", "ENFERMERÍA - Guía de Manejo Psicoterapéutico")</f>
        <v>ENFERMERÍA - Guía de Manejo Psicoterapéutico</v>
      </c>
      <c r="E6346" s="22" t="str">
        <f>HYPERLINK("https://otsuka-europe-crm.veevavault.com/ui/#object/sent_email__v/VBL00000002R206", "SE-001434461")</f>
        <v>SE-001434461</v>
      </c>
      <c r="F6346" s="23">
        <v>46196.486817129633</v>
      </c>
      <c r="G6346" s="24">
        <v>1</v>
      </c>
      <c r="H6346" s="24">
        <v>1</v>
      </c>
      <c r="I6346" s="24">
        <v>1</v>
      </c>
      <c r="J6346" s="23">
        <v>46196.487025462964</v>
      </c>
      <c r="K6346" s="24">
        <v>2</v>
      </c>
      <c r="L6346" s="22" t="str">
        <f>HYPERLINK("https://otsuka-europe-crm.veevavault.com/ui/#object/approved_document__v/V5OZ025E82TP0C5", "ENFERMERÍA - Guía de Manejo Psicoterapéutico")</f>
        <v>ENFERMERÍA - Guía de Manejo Psicoterapéutico</v>
      </c>
      <c r="M6346" s="22" t="str">
        <f>HYPERLINK("mailto:mgravan@crm.otsuka-europe.com", "mgravan@crm.otsuka-europe.com")</f>
        <v>mgravan@crm.otsuka-europe.com</v>
      </c>
      <c r="N6346" s="23">
        <v>46196.379444444443</v>
      </c>
      <c r="O6346" s="14" t="str">
        <f>HYPERLINK("https://otsuka-europe-crm.veevavault.com/ui/#object/email_activity__v/V8C000000040300", "EN-002099237")</f>
        <v>EN-002099237</v>
      </c>
    </row>
    <row r="6347" spans="1:15" ht="16" x14ac:dyDescent="0.2">
      <c r="A6347" s="18"/>
      <c r="B6347" s="18"/>
      <c r="C6347" s="18"/>
      <c r="D6347" s="18"/>
      <c r="E6347" s="18"/>
      <c r="F6347" s="18"/>
      <c r="G6347" s="18"/>
      <c r="H6347" s="18"/>
      <c r="I6347" s="18"/>
      <c r="J6347" s="18"/>
      <c r="K6347" s="18"/>
      <c r="L6347" s="18"/>
      <c r="M6347" s="18"/>
      <c r="N6347" s="18"/>
      <c r="O6347" s="14" t="str">
        <f>HYPERLINK("https://otsuka-europe-crm.veevavault.com/ui/#object/email_activity__v/V8C000000040390", "EN-002099363")</f>
        <v>EN-002099363</v>
      </c>
    </row>
    <row r="6348" spans="1:15" ht="16" x14ac:dyDescent="0.2">
      <c r="A6348" s="18"/>
      <c r="B6348" s="18"/>
      <c r="C6348" s="18"/>
      <c r="D6348" s="18"/>
      <c r="E6348" s="18"/>
      <c r="F6348" s="18"/>
      <c r="G6348" s="18"/>
      <c r="H6348" s="18"/>
      <c r="I6348" s="18"/>
      <c r="J6348" s="18"/>
      <c r="K6348" s="18"/>
      <c r="L6348" s="18"/>
      <c r="M6348" s="18"/>
      <c r="N6348" s="18"/>
      <c r="O6348" s="14" t="str">
        <f>HYPERLINK("https://otsuka-europe-crm.veevavault.com/ui/#object/email_activity__v/V8C000000040391", "EN-002099364")</f>
        <v>EN-002099364</v>
      </c>
    </row>
    <row r="6349" spans="1:15" ht="16" x14ac:dyDescent="0.2">
      <c r="A6349" s="19"/>
      <c r="B6349" s="19"/>
      <c r="C6349" s="19"/>
      <c r="D6349" s="19"/>
      <c r="E6349" s="19"/>
      <c r="F6349" s="19"/>
      <c r="G6349" s="19"/>
      <c r="H6349" s="19"/>
      <c r="I6349" s="19"/>
      <c r="J6349" s="19"/>
      <c r="K6349" s="19"/>
      <c r="L6349" s="19"/>
      <c r="M6349" s="19"/>
      <c r="N6349" s="19"/>
      <c r="O6349" s="14" t="str">
        <f>HYPERLINK("https://otsuka-europe-crm.veevavault.com/ui/#object/email_activity__v/V8C000000040392", "EN-002099365")</f>
        <v>EN-002099365</v>
      </c>
    </row>
    <row r="6350" spans="1:15" ht="32" x14ac:dyDescent="0.2">
      <c r="A6350" s="7" t="str">
        <f>HYPERLINK("https://otsuka-europe-crm.veevavault.com/ui/#object/account__v/V4TZ025E84F9WQ0", "ALVARO BERNAL RODRIGUEZ")</f>
        <v>ALVARO BERNAL RODRIGUEZ</v>
      </c>
      <c r="B6350" s="7" t="str">
        <f>HYPERLINK("https://otsuka-europe-crm.veevavault.com/ui/#object/vcountry__v/VENZ000004SONF5", "ES")</f>
        <v>ES</v>
      </c>
      <c r="C6350" s="8" t="s">
        <v>41</v>
      </c>
      <c r="D6350" s="9" t="str">
        <f>HYPERLINK("https://otsuka-europe-crm.veevavault.com/ui/#object/approved_document__v/V5OZ025E82TP0C5", "ENFERMERÍA - Guía de Manejo Psicoterapéutico")</f>
        <v>ENFERMERÍA - Guía de Manejo Psicoterapéutico</v>
      </c>
      <c r="E6350" s="10" t="str">
        <f>HYPERLINK("https://otsuka-europe-crm.veevavault.com/ui/#object/sent_email__v/VBL00000002R207", "SE-001434462")</f>
        <v>SE-001434462</v>
      </c>
      <c r="F6350" s="11"/>
      <c r="G6350" s="12">
        <v>0</v>
      </c>
      <c r="H6350" s="12">
        <v>0</v>
      </c>
      <c r="I6350" s="12">
        <v>0</v>
      </c>
      <c r="J6350" s="11"/>
      <c r="K6350" s="12">
        <v>0</v>
      </c>
      <c r="L6350" s="10" t="str">
        <f>HYPERLINK("https://otsuka-europe-crm.veevavault.com/ui/#object/approved_document__v/V5OZ025E82TP0C5", "ENFERMERÍA - Guía de Manejo Psicoterapéutico")</f>
        <v>ENFERMERÍA - Guía de Manejo Psicoterapéutico</v>
      </c>
      <c r="M6350" s="10" t="str">
        <f>HYPERLINK("mailto:mgravan@crm.otsuka-europe.com", "mgravan@crm.otsuka-europe.com")</f>
        <v>mgravan@crm.otsuka-europe.com</v>
      </c>
      <c r="N6350" s="13">
        <v>46196.379432870373</v>
      </c>
      <c r="O6350" s="14" t="str">
        <f>HYPERLINK("https://otsuka-europe-crm.veevavault.com/ui/#object/email_activity__v/V8C000000040289", "EN-002099224")</f>
        <v>EN-002099224</v>
      </c>
    </row>
    <row r="6351" spans="1:15" ht="16" x14ac:dyDescent="0.2">
      <c r="A6351" s="17" t="str">
        <f>HYPERLINK("https://otsuka-europe-crm.veevavault.com/ui/#object/account__v/V4TZ06G6O71TDA6", "ANTONIO MACIAS DE LA FLOR")</f>
        <v>ANTONIO MACIAS DE LA FLOR</v>
      </c>
      <c r="B6351" s="17" t="str">
        <f>HYPERLINK("https://otsuka-europe-crm.veevavault.com/ui/#object/vcountry__v/VENZ000004SONF5", "ES")</f>
        <v>ES</v>
      </c>
      <c r="C6351" s="20" t="s">
        <v>41</v>
      </c>
      <c r="D6351" s="21" t="str">
        <f>HYPERLINK("https://otsuka-europe-crm.veevavault.com/ui/#object/approved_document__v/V5OZ025E82TP0C5", "ENFERMERÍA - Guía de Manejo Psicoterapéutico")</f>
        <v>ENFERMERÍA - Guía de Manejo Psicoterapéutico</v>
      </c>
      <c r="E6351" s="22" t="str">
        <f>HYPERLINK("https://otsuka-europe-crm.veevavault.com/ui/#object/sent_email__v/VBL00000002R208", "SE-001434463")</f>
        <v>SE-001434463</v>
      </c>
      <c r="F6351" s="23">
        <v>46198.792407407411</v>
      </c>
      <c r="G6351" s="24">
        <v>1</v>
      </c>
      <c r="H6351" s="24">
        <v>3</v>
      </c>
      <c r="I6351" s="24">
        <v>0</v>
      </c>
      <c r="J6351" s="25"/>
      <c r="K6351" s="24">
        <v>0</v>
      </c>
      <c r="L6351" s="22" t="str">
        <f>HYPERLINK("https://otsuka-europe-crm.veevavault.com/ui/#object/approved_document__v/V5OZ025E82TP0C5", "ENFERMERÍA - Guía de Manejo Psicoterapéutico")</f>
        <v>ENFERMERÍA - Guía de Manejo Psicoterapéutico</v>
      </c>
      <c r="M6351" s="22" t="str">
        <f>HYPERLINK("mailto:mgravan@crm.otsuka-europe.com", "mgravan@crm.otsuka-europe.com")</f>
        <v>mgravan@crm.otsuka-europe.com</v>
      </c>
      <c r="N6351" s="23">
        <v>46196.379444444443</v>
      </c>
      <c r="O6351" s="14" t="str">
        <f>HYPERLINK("https://otsuka-europe-crm.veevavault.com/ui/#object/email_activity__v/V8C000000040302", "EN-002099239")</f>
        <v>EN-002099239</v>
      </c>
    </row>
    <row r="6352" spans="1:15" ht="16" x14ac:dyDescent="0.2">
      <c r="A6352" s="18"/>
      <c r="B6352" s="18"/>
      <c r="C6352" s="18"/>
      <c r="D6352" s="18"/>
      <c r="E6352" s="18"/>
      <c r="F6352" s="18"/>
      <c r="G6352" s="18"/>
      <c r="H6352" s="18"/>
      <c r="I6352" s="18"/>
      <c r="J6352" s="18"/>
      <c r="K6352" s="18"/>
      <c r="L6352" s="18"/>
      <c r="M6352" s="18"/>
      <c r="N6352" s="18"/>
      <c r="O6352" s="14" t="str">
        <f>HYPERLINK("https://otsuka-europe-crm.veevavault.com/ui/#object/email_activity__v/V8C000000041002", "EN-002099694")</f>
        <v>EN-002099694</v>
      </c>
    </row>
    <row r="6353" spans="1:15" ht="16" x14ac:dyDescent="0.2">
      <c r="A6353" s="18"/>
      <c r="B6353" s="18"/>
      <c r="C6353" s="18"/>
      <c r="D6353" s="18"/>
      <c r="E6353" s="18"/>
      <c r="F6353" s="18"/>
      <c r="G6353" s="18"/>
      <c r="H6353" s="18"/>
      <c r="I6353" s="18"/>
      <c r="J6353" s="18"/>
      <c r="K6353" s="18"/>
      <c r="L6353" s="18"/>
      <c r="M6353" s="18"/>
      <c r="N6353" s="18"/>
      <c r="O6353" s="14" t="str">
        <f>HYPERLINK("https://otsuka-europe-crm.veevavault.com/ui/#object/email_activity__v/V8C000000041003", "EN-002099695")</f>
        <v>EN-002099695</v>
      </c>
    </row>
    <row r="6354" spans="1:15" ht="16" x14ac:dyDescent="0.2">
      <c r="A6354" s="19"/>
      <c r="B6354" s="19"/>
      <c r="C6354" s="19"/>
      <c r="D6354" s="19"/>
      <c r="E6354" s="19"/>
      <c r="F6354" s="19"/>
      <c r="G6354" s="19"/>
      <c r="H6354" s="19"/>
      <c r="I6354" s="19"/>
      <c r="J6354" s="19"/>
      <c r="K6354" s="19"/>
      <c r="L6354" s="19"/>
      <c r="M6354" s="19"/>
      <c r="N6354" s="19"/>
      <c r="O6354" s="14" t="str">
        <f>HYPERLINK("https://otsuka-europe-crm.veevavault.com/ui/#object/email_activity__v/V8C000000042001", "EN-002099693")</f>
        <v>EN-002099693</v>
      </c>
    </row>
    <row r="6355" spans="1:15" ht="16" x14ac:dyDescent="0.2">
      <c r="A6355" s="17" t="str">
        <f>HYPERLINK("https://otsuka-europe-crm.veevavault.com/ui/#object/account__v/V4T00000001W137", "FRANCISCA SIERRA MORENO")</f>
        <v>FRANCISCA SIERRA MORENO</v>
      </c>
      <c r="B6355" s="17" t="str">
        <f>HYPERLINK("https://otsuka-europe-crm.veevavault.com/ui/#object/vcountry__v/VENZ000004SONF5", "ES")</f>
        <v>ES</v>
      </c>
      <c r="C6355" s="20" t="s">
        <v>41</v>
      </c>
      <c r="D6355" s="21" t="str">
        <f>HYPERLINK("https://otsuka-europe-crm.veevavault.com/ui/#object/approved_document__v/V5OZ025E82TP0C5", "ENFERMERÍA - Guía de Manejo Psicoterapéutico")</f>
        <v>ENFERMERÍA - Guía de Manejo Psicoterapéutico</v>
      </c>
      <c r="E6355" s="22" t="str">
        <f>HYPERLINK("https://otsuka-europe-crm.veevavault.com/ui/#object/sent_email__v/VBL00000002S207", "SE-001434464")</f>
        <v>SE-001434464</v>
      </c>
      <c r="F6355" s="23">
        <v>46196.524756944447</v>
      </c>
      <c r="G6355" s="24">
        <v>1</v>
      </c>
      <c r="H6355" s="24">
        <v>1</v>
      </c>
      <c r="I6355" s="24">
        <v>0</v>
      </c>
      <c r="J6355" s="25"/>
      <c r="K6355" s="24">
        <v>0</v>
      </c>
      <c r="L6355" s="22" t="str">
        <f>HYPERLINK("https://otsuka-europe-crm.veevavault.com/ui/#object/approved_document__v/V5OZ025E82TP0C5", "ENFERMERÍA - Guía de Manejo Psicoterapéutico")</f>
        <v>ENFERMERÍA - Guía de Manejo Psicoterapéutico</v>
      </c>
      <c r="M6355" s="22" t="str">
        <f>HYPERLINK("mailto:mgravan@crm.otsuka-europe.com", "mgravan@crm.otsuka-europe.com")</f>
        <v>mgravan@crm.otsuka-europe.com</v>
      </c>
      <c r="N6355" s="23">
        <v>46196.379467592589</v>
      </c>
      <c r="O6355" s="14" t="str">
        <f>HYPERLINK("https://otsuka-europe-crm.veevavault.com/ui/#object/email_activity__v/V8C00000003Z315", "EN-002099253")</f>
        <v>EN-002099253</v>
      </c>
    </row>
    <row r="6356" spans="1:15" ht="16" x14ac:dyDescent="0.2">
      <c r="A6356" s="19"/>
      <c r="B6356" s="19"/>
      <c r="C6356" s="19"/>
      <c r="D6356" s="19"/>
      <c r="E6356" s="19"/>
      <c r="F6356" s="19"/>
      <c r="G6356" s="19"/>
      <c r="H6356" s="19"/>
      <c r="I6356" s="19"/>
      <c r="J6356" s="19"/>
      <c r="K6356" s="19"/>
      <c r="L6356" s="19"/>
      <c r="M6356" s="19"/>
      <c r="N6356" s="19"/>
      <c r="O6356" s="14" t="str">
        <f>HYPERLINK("https://otsuka-europe-crm.veevavault.com/ui/#object/email_activity__v/V8C00000003Z354", "EN-002099380")</f>
        <v>EN-002099380</v>
      </c>
    </row>
    <row r="6357" spans="1:15" ht="32" x14ac:dyDescent="0.2">
      <c r="A6357" s="7" t="str">
        <f>HYPERLINK("https://otsuka-europe-crm.veevavault.com/ui/#object/account__v/V4T00000001W130", "JULIA FLORIANO LANCETA")</f>
        <v>JULIA FLORIANO LANCETA</v>
      </c>
      <c r="B6357" s="7" t="str">
        <f>HYPERLINK("https://otsuka-europe-crm.veevavault.com/ui/#object/vcountry__v/VENZ000004SONF5", "ES")</f>
        <v>ES</v>
      </c>
      <c r="C6357" s="8" t="s">
        <v>41</v>
      </c>
      <c r="D6357" s="9" t="str">
        <f>HYPERLINK("https://otsuka-europe-crm.veevavault.com/ui/#object/approved_document__v/V5OZ025E82TP0C5", "ENFERMERÍA - Guía de Manejo Psicoterapéutico")</f>
        <v>ENFERMERÍA - Guía de Manejo Psicoterapéutico</v>
      </c>
      <c r="E6357" s="10" t="str">
        <f>HYPERLINK("https://otsuka-europe-crm.veevavault.com/ui/#object/sent_email__v/VBL00000002S208", "SE-001434465")</f>
        <v>SE-001434465</v>
      </c>
      <c r="F6357" s="11"/>
      <c r="G6357" s="12">
        <v>0</v>
      </c>
      <c r="H6357" s="12">
        <v>0</v>
      </c>
      <c r="I6357" s="12">
        <v>0</v>
      </c>
      <c r="J6357" s="11"/>
      <c r="K6357" s="12">
        <v>0</v>
      </c>
      <c r="L6357" s="10" t="str">
        <f>HYPERLINK("https://otsuka-europe-crm.veevavault.com/ui/#object/approved_document__v/V5OZ025E82TP0C5", "ENFERMERÍA - Guía de Manejo Psicoterapéutico")</f>
        <v>ENFERMERÍA - Guía de Manejo Psicoterapéutico</v>
      </c>
      <c r="M6357" s="10" t="str">
        <f>HYPERLINK("mailto:mgravan@crm.otsuka-europe.com", "mgravan@crm.otsuka-europe.com")</f>
        <v>mgravan@crm.otsuka-europe.com</v>
      </c>
      <c r="N6357" s="13">
        <v>46196.37945601852</v>
      </c>
      <c r="O6357" s="14" t="str">
        <f>HYPERLINK("https://otsuka-europe-crm.veevavault.com/ui/#object/email_activity__v/V8C00000003Z299", "EN-002099196")</f>
        <v>EN-002099196</v>
      </c>
    </row>
    <row r="6358" spans="1:15" ht="16" x14ac:dyDescent="0.2">
      <c r="A6358" s="17" t="str">
        <f>HYPERLINK("https://otsuka-europe-crm.veevavault.com/ui/#object/account__v/V4T00000001X150", "MANUEL LEBRON PEREZ")</f>
        <v>MANUEL LEBRON PEREZ</v>
      </c>
      <c r="B6358" s="17" t="str">
        <f>HYPERLINK("https://otsuka-europe-crm.veevavault.com/ui/#object/vcountry__v/VENZ000004SONF5", "ES")</f>
        <v>ES</v>
      </c>
      <c r="C6358" s="20" t="s">
        <v>41</v>
      </c>
      <c r="D6358" s="21" t="str">
        <f>HYPERLINK("https://otsuka-europe-crm.veevavault.com/ui/#object/approved_document__v/V5OZ025E82TP0C5", "ENFERMERÍA - Guía de Manejo Psicoterapéutico")</f>
        <v>ENFERMERÍA - Guía de Manejo Psicoterapéutico</v>
      </c>
      <c r="E6358" s="22" t="str">
        <f>HYPERLINK("https://otsuka-europe-crm.veevavault.com/ui/#object/sent_email__v/VBL00000002R209", "SE-001434466")</f>
        <v>SE-001434466</v>
      </c>
      <c r="F6358" s="23">
        <v>46199.673958333333</v>
      </c>
      <c r="G6358" s="24">
        <v>1</v>
      </c>
      <c r="H6358" s="24">
        <v>4</v>
      </c>
      <c r="I6358" s="24">
        <v>1</v>
      </c>
      <c r="J6358" s="23">
        <v>46199.674004629633</v>
      </c>
      <c r="K6358" s="24">
        <v>3</v>
      </c>
      <c r="L6358" s="22" t="str">
        <f>HYPERLINK("https://otsuka-europe-crm.veevavault.com/ui/#object/approved_document__v/V5OZ025E82TP0C5", "ENFERMERÍA - Guía de Manejo Psicoterapéutico")</f>
        <v>ENFERMERÍA - Guía de Manejo Psicoterapéutico</v>
      </c>
      <c r="M6358" s="22" t="str">
        <f>HYPERLINK("mailto:mgravan@crm.otsuka-europe.com", "mgravan@crm.otsuka-europe.com")</f>
        <v>mgravan@crm.otsuka-europe.com</v>
      </c>
      <c r="N6358" s="23">
        <v>46196.379479166666</v>
      </c>
      <c r="O6358" s="14" t="str">
        <f>HYPERLINK("https://otsuka-europe-crm.veevavault.com/ui/#object/email_activity__v/V8C00000003Z316", "EN-002099256")</f>
        <v>EN-002099256</v>
      </c>
    </row>
    <row r="6359" spans="1:15" ht="16" x14ac:dyDescent="0.2">
      <c r="A6359" s="18"/>
      <c r="B6359" s="18"/>
      <c r="C6359" s="18"/>
      <c r="D6359" s="18"/>
      <c r="E6359" s="18"/>
      <c r="F6359" s="18"/>
      <c r="G6359" s="18"/>
      <c r="H6359" s="18"/>
      <c r="I6359" s="18"/>
      <c r="J6359" s="18"/>
      <c r="K6359" s="18"/>
      <c r="L6359" s="18"/>
      <c r="M6359" s="18"/>
      <c r="N6359" s="18"/>
      <c r="O6359" s="14" t="str">
        <f>HYPERLINK("https://otsuka-europe-crm.veevavault.com/ui/#object/email_activity__v/V8C00000003Z426", "EN-002099532")</f>
        <v>EN-002099532</v>
      </c>
    </row>
    <row r="6360" spans="1:15" ht="16" x14ac:dyDescent="0.2">
      <c r="A6360" s="18"/>
      <c r="B6360" s="18"/>
      <c r="C6360" s="18"/>
      <c r="D6360" s="18"/>
      <c r="E6360" s="18"/>
      <c r="F6360" s="18"/>
      <c r="G6360" s="18"/>
      <c r="H6360" s="18"/>
      <c r="I6360" s="18"/>
      <c r="J6360" s="18"/>
      <c r="K6360" s="18"/>
      <c r="L6360" s="18"/>
      <c r="M6360" s="18"/>
      <c r="N6360" s="18"/>
      <c r="O6360" s="14" t="str">
        <f>HYPERLINK("https://otsuka-europe-crm.veevavault.com/ui/#object/email_activity__v/V8C00000003Z427", "EN-002099533")</f>
        <v>EN-002099533</v>
      </c>
    </row>
    <row r="6361" spans="1:15" ht="16" x14ac:dyDescent="0.2">
      <c r="A6361" s="18"/>
      <c r="B6361" s="18"/>
      <c r="C6361" s="18"/>
      <c r="D6361" s="18"/>
      <c r="E6361" s="18"/>
      <c r="F6361" s="18"/>
      <c r="G6361" s="18"/>
      <c r="H6361" s="18"/>
      <c r="I6361" s="18"/>
      <c r="J6361" s="18"/>
      <c r="K6361" s="18"/>
      <c r="L6361" s="18"/>
      <c r="M6361" s="18"/>
      <c r="N6361" s="18"/>
      <c r="O6361" s="14" t="str">
        <f>HYPERLINK("https://otsuka-europe-crm.veevavault.com/ui/#object/email_activity__v/V8C000000040279", "EN-002099208")</f>
        <v>EN-002099208</v>
      </c>
    </row>
    <row r="6362" spans="1:15" ht="16" x14ac:dyDescent="0.2">
      <c r="A6362" s="18"/>
      <c r="B6362" s="18"/>
      <c r="C6362" s="18"/>
      <c r="D6362" s="18"/>
      <c r="E6362" s="18"/>
      <c r="F6362" s="18"/>
      <c r="G6362" s="18"/>
      <c r="H6362" s="18"/>
      <c r="I6362" s="18"/>
      <c r="J6362" s="18"/>
      <c r="K6362" s="18"/>
      <c r="L6362" s="18"/>
      <c r="M6362" s="18"/>
      <c r="N6362" s="18"/>
      <c r="O6362" s="14" t="str">
        <f>HYPERLINK("https://otsuka-europe-crm.veevavault.com/ui/#object/email_activity__v/V8C000000040481", "EN-002099534")</f>
        <v>EN-002099534</v>
      </c>
    </row>
    <row r="6363" spans="1:15" ht="16" x14ac:dyDescent="0.2">
      <c r="A6363" s="18"/>
      <c r="B6363" s="18"/>
      <c r="C6363" s="18"/>
      <c r="D6363" s="18"/>
      <c r="E6363" s="18"/>
      <c r="F6363" s="18"/>
      <c r="G6363" s="18"/>
      <c r="H6363" s="18"/>
      <c r="I6363" s="18"/>
      <c r="J6363" s="18"/>
      <c r="K6363" s="18"/>
      <c r="L6363" s="18"/>
      <c r="M6363" s="18"/>
      <c r="N6363" s="18"/>
      <c r="O6363" s="14" t="str">
        <f>HYPERLINK("https://otsuka-europe-crm.veevavault.com/ui/#object/email_activity__v/V8C000000041224", "EN-002100111")</f>
        <v>EN-002100111</v>
      </c>
    </row>
    <row r="6364" spans="1:15" ht="16" x14ac:dyDescent="0.2">
      <c r="A6364" s="18"/>
      <c r="B6364" s="18"/>
      <c r="C6364" s="18"/>
      <c r="D6364" s="18"/>
      <c r="E6364" s="18"/>
      <c r="F6364" s="18"/>
      <c r="G6364" s="18"/>
      <c r="H6364" s="18"/>
      <c r="I6364" s="18"/>
      <c r="J6364" s="18"/>
      <c r="K6364" s="18"/>
      <c r="L6364" s="18"/>
      <c r="M6364" s="18"/>
      <c r="N6364" s="18"/>
      <c r="O6364" s="14" t="str">
        <f>HYPERLINK("https://otsuka-europe-crm.veevavault.com/ui/#object/email_activity__v/V8C000000042196", "EN-002100110")</f>
        <v>EN-002100110</v>
      </c>
    </row>
    <row r="6365" spans="1:15" ht="16" x14ac:dyDescent="0.2">
      <c r="A6365" s="19"/>
      <c r="B6365" s="19"/>
      <c r="C6365" s="19"/>
      <c r="D6365" s="19"/>
      <c r="E6365" s="19"/>
      <c r="F6365" s="19"/>
      <c r="G6365" s="19"/>
      <c r="H6365" s="19"/>
      <c r="I6365" s="19"/>
      <c r="J6365" s="19"/>
      <c r="K6365" s="19"/>
      <c r="L6365" s="19"/>
      <c r="M6365" s="19"/>
      <c r="N6365" s="19"/>
      <c r="O6365" s="14" t="str">
        <f>HYPERLINK("https://otsuka-europe-crm.veevavault.com/ui/#object/email_activity__v/V8C000000042197", "EN-002100112")</f>
        <v>EN-002100112</v>
      </c>
    </row>
    <row r="6366" spans="1:15" ht="16" x14ac:dyDescent="0.2">
      <c r="A6366" s="17" t="str">
        <f>HYPERLINK("https://otsuka-europe-crm.veevavault.com/ui/#object/account__v/V4T000000022045", "ROCIO BENITO DELGADO")</f>
        <v>ROCIO BENITO DELGADO</v>
      </c>
      <c r="B6366" s="17" t="str">
        <f>HYPERLINK("https://otsuka-europe-crm.veevavault.com/ui/#object/vcountry__v/VENZ000004SONF5", "ES")</f>
        <v>ES</v>
      </c>
      <c r="C6366" s="20" t="s">
        <v>41</v>
      </c>
      <c r="D6366" s="21" t="str">
        <f>HYPERLINK("https://otsuka-europe-crm.veevavault.com/ui/#object/approved_document__v/V5O00000000D100", "Spain - Consent Email 1 Aug 25")</f>
        <v>Spain - Consent Email 1 Aug 25</v>
      </c>
      <c r="E6366" s="22" t="str">
        <f>HYPERLINK("https://otsuka-europe-crm.veevavault.com/ui/#object/sent_email__v/VBL00000002S209", "SE-001434467")</f>
        <v>SE-001434467</v>
      </c>
      <c r="F6366" s="23">
        <v>46183.714398148149</v>
      </c>
      <c r="G6366" s="24">
        <v>1</v>
      </c>
      <c r="H6366" s="24">
        <v>1</v>
      </c>
      <c r="I6366" s="24">
        <v>1</v>
      </c>
      <c r="J6366" s="23">
        <v>46183.714398148149</v>
      </c>
      <c r="K6366" s="24">
        <v>1</v>
      </c>
      <c r="L6366" s="22" t="str">
        <f>HYPERLINK("https://otsuka-europe-crm.veevavault.com/ui/#object/approved_document__v/V5O00000000D100", "Spain - Consent Email 1 Aug 25")</f>
        <v>Spain - Consent Email 1 Aug 25</v>
      </c>
      <c r="M6366" s="22" t="str">
        <f>HYPERLINK("mailto:oestevez@crm.otsuka-europe.com", "oestevez@crm.otsuka-europe.com")</f>
        <v>oestevez@crm.otsuka-europe.com</v>
      </c>
      <c r="N6366" s="23">
        <v>46182.351886574077</v>
      </c>
      <c r="O6366" s="14" t="str">
        <f>HYPERLINK("https://otsuka-europe-crm.veevavault.com/ui/#object/email_activity__v/V8C00000003R345", "EN-002092338")</f>
        <v>EN-002092338</v>
      </c>
    </row>
    <row r="6367" spans="1:15" ht="16" x14ac:dyDescent="0.2">
      <c r="A6367" s="18"/>
      <c r="B6367" s="18"/>
      <c r="C6367" s="18"/>
      <c r="D6367" s="18"/>
      <c r="E6367" s="18"/>
      <c r="F6367" s="18"/>
      <c r="G6367" s="18"/>
      <c r="H6367" s="18"/>
      <c r="I6367" s="18"/>
      <c r="J6367" s="18"/>
      <c r="K6367" s="18"/>
      <c r="L6367" s="18"/>
      <c r="M6367" s="18"/>
      <c r="N6367" s="18"/>
      <c r="O6367" s="14" t="str">
        <f>HYPERLINK("https://otsuka-europe-crm.veevavault.com/ui/#object/email_activity__v/V8C00000003T371", "EN-002094344")</f>
        <v>EN-002094344</v>
      </c>
    </row>
    <row r="6368" spans="1:15" ht="16" x14ac:dyDescent="0.2">
      <c r="A6368" s="19"/>
      <c r="B6368" s="19"/>
      <c r="C6368" s="19"/>
      <c r="D6368" s="19"/>
      <c r="E6368" s="19"/>
      <c r="F6368" s="19"/>
      <c r="G6368" s="19"/>
      <c r="H6368" s="19"/>
      <c r="I6368" s="19"/>
      <c r="J6368" s="19"/>
      <c r="K6368" s="19"/>
      <c r="L6368" s="19"/>
      <c r="M6368" s="19"/>
      <c r="N6368" s="19"/>
      <c r="O6368" s="14" t="str">
        <f>HYPERLINK("https://otsuka-europe-crm.veevavault.com/ui/#object/email_activity__v/V8C00000003T372", "EN-002094343")</f>
        <v>EN-002094343</v>
      </c>
    </row>
    <row r="6369" spans="1:15" ht="16" x14ac:dyDescent="0.2">
      <c r="A6369" s="17" t="str">
        <f>HYPERLINK("https://otsuka-europe-crm.veevavault.com/ui/#object/account__v/V4T000000022045", "ROCIO BENITO DELGADO")</f>
        <v>ROCIO BENITO DELGADO</v>
      </c>
      <c r="B6369" s="17" t="str">
        <f>HYPERLINK("https://otsuka-europe-crm.veevavault.com/ui/#object/vcountry__v/VENZ000004SONF5", "ES")</f>
        <v>ES</v>
      </c>
      <c r="C6369" s="20" t="s">
        <v>41</v>
      </c>
      <c r="D6369" s="21" t="str">
        <f>HYPERLINK("https://otsuka-europe-crm.veevavault.com/ui/#object/approved_document__v/V5OZ04ASG4FWKA7", "Reuniones Online Consent - 2")</f>
        <v>Reuniones Online Consent - 2</v>
      </c>
      <c r="E6369" s="22" t="str">
        <f>HYPERLINK("https://otsuka-europe-crm.veevavault.com/ui/#object/sent_email__v/VBL00000002S210", "SE-001434468")</f>
        <v>SE-001434468</v>
      </c>
      <c r="F6369" s="23">
        <v>46183.71471064815</v>
      </c>
      <c r="G6369" s="24">
        <v>1</v>
      </c>
      <c r="H6369" s="24">
        <v>1</v>
      </c>
      <c r="I6369" s="24">
        <v>1</v>
      </c>
      <c r="J6369" s="23">
        <v>46183.71471064815</v>
      </c>
      <c r="K6369" s="24">
        <v>1</v>
      </c>
      <c r="L6369" s="22" t="str">
        <f>HYPERLINK("https://otsuka-europe-crm.veevavault.com/ui/#object/approved_document__v/V5OZ04ASG4FWKA7", "Reuniones Online Consent - 2")</f>
        <v>Reuniones Online Consent - 2</v>
      </c>
      <c r="M6369" s="22" t="str">
        <f>HYPERLINK("mailto:oestevez@crm.otsuka-europe.com", "oestevez@crm.otsuka-europe.com")</f>
        <v>oestevez@crm.otsuka-europe.com</v>
      </c>
      <c r="N6369" s="23">
        <v>46182.351886574077</v>
      </c>
      <c r="O6369" s="14" t="str">
        <f>HYPERLINK("https://otsuka-europe-crm.veevavault.com/ui/#object/email_activity__v/V8C00000003R344", "EN-002092337")</f>
        <v>EN-002092337</v>
      </c>
    </row>
    <row r="6370" spans="1:15" ht="16" x14ac:dyDescent="0.2">
      <c r="A6370" s="18"/>
      <c r="B6370" s="18"/>
      <c r="C6370" s="18"/>
      <c r="D6370" s="18"/>
      <c r="E6370" s="18"/>
      <c r="F6370" s="18"/>
      <c r="G6370" s="18"/>
      <c r="H6370" s="18"/>
      <c r="I6370" s="18"/>
      <c r="J6370" s="18"/>
      <c r="K6370" s="18"/>
      <c r="L6370" s="18"/>
      <c r="M6370" s="18"/>
      <c r="N6370" s="18"/>
      <c r="O6370" s="14" t="str">
        <f>HYPERLINK("https://otsuka-europe-crm.veevavault.com/ui/#object/email_activity__v/V8C00000003T373", "EN-002094346")</f>
        <v>EN-002094346</v>
      </c>
    </row>
    <row r="6371" spans="1:15" ht="16" x14ac:dyDescent="0.2">
      <c r="A6371" s="19"/>
      <c r="B6371" s="19"/>
      <c r="C6371" s="19"/>
      <c r="D6371" s="19"/>
      <c r="E6371" s="19"/>
      <c r="F6371" s="19"/>
      <c r="G6371" s="19"/>
      <c r="H6371" s="19"/>
      <c r="I6371" s="19"/>
      <c r="J6371" s="19"/>
      <c r="K6371" s="19"/>
      <c r="L6371" s="19"/>
      <c r="M6371" s="19"/>
      <c r="N6371" s="19"/>
      <c r="O6371" s="14" t="str">
        <f>HYPERLINK("https://otsuka-europe-crm.veevavault.com/ui/#object/email_activity__v/V8C00000003T374", "EN-002094345")</f>
        <v>EN-002094345</v>
      </c>
    </row>
    <row r="6372" spans="1:15" ht="16" x14ac:dyDescent="0.2">
      <c r="A6372" s="17" t="str">
        <f>HYPERLINK("https://otsuka-europe-crm.veevavault.com/ui/#object/account__v/V4T000000022065", "LAURA GOMEZ GANDA")</f>
        <v>LAURA GOMEZ GANDA</v>
      </c>
      <c r="B6372" s="17" t="str">
        <f>HYPERLINK("https://otsuka-europe-crm.veevavault.com/ui/#object/vcountry__v/VENZ000004SONF5", "ES")</f>
        <v>ES</v>
      </c>
      <c r="C6372" s="20" t="s">
        <v>41</v>
      </c>
      <c r="D6372" s="21" t="str">
        <f>HYPERLINK("https://otsuka-europe-crm.veevavault.com/ui/#object/approved_document__v/V5OZ06G6O6RFL1P", "ES Veeva Privacy Notice Email")</f>
        <v>ES Veeva Privacy Notice Email</v>
      </c>
      <c r="E6372" s="22" t="str">
        <f>HYPERLINK("https://otsuka-europe-crm.veevavault.com/ui/#object/sent_email__v/VBL00000002S211", "SE-001434469")</f>
        <v>SE-001434469</v>
      </c>
      <c r="F6372" s="23">
        <v>46182.370370370372</v>
      </c>
      <c r="G6372" s="24">
        <v>1</v>
      </c>
      <c r="H6372" s="24">
        <v>2</v>
      </c>
      <c r="I6372" s="24">
        <v>0</v>
      </c>
      <c r="J6372" s="25"/>
      <c r="K6372" s="24">
        <v>0</v>
      </c>
      <c r="L6372" s="22" t="str">
        <f>HYPERLINK("https://otsuka-europe-crm.veevavault.com/ui/#object/approved_document__v/V5OZ06G6O6RFL1P", "ES Veeva Privacy Notice Email")</f>
        <v>ES Veeva Privacy Notice Email</v>
      </c>
      <c r="M6372" s="22" t="str">
        <f>HYPERLINK("mailto:ccoll@crm.otsuka-europe.com", "ccoll@crm.otsuka-europe.com")</f>
        <v>ccoll@crm.otsuka-europe.com</v>
      </c>
      <c r="N6372" s="23">
        <v>46182.355057870373</v>
      </c>
      <c r="O6372" s="14" t="str">
        <f>HYPERLINK("https://otsuka-europe-crm.veevavault.com/ui/#object/email_activity__v/V8C00000003Q765", "EN-002092353")</f>
        <v>EN-002092353</v>
      </c>
    </row>
    <row r="6373" spans="1:15" ht="16" x14ac:dyDescent="0.2">
      <c r="A6373" s="18"/>
      <c r="B6373" s="18"/>
      <c r="C6373" s="18"/>
      <c r="D6373" s="18"/>
      <c r="E6373" s="18"/>
      <c r="F6373" s="18"/>
      <c r="G6373" s="18"/>
      <c r="H6373" s="18"/>
      <c r="I6373" s="18"/>
      <c r="J6373" s="18"/>
      <c r="K6373" s="18"/>
      <c r="L6373" s="18"/>
      <c r="M6373" s="18"/>
      <c r="N6373" s="18"/>
      <c r="O6373" s="14" t="str">
        <f>HYPERLINK("https://otsuka-europe-crm.veevavault.com/ui/#object/email_activity__v/V8C00000003R346", "EN-002092339")</f>
        <v>EN-002092339</v>
      </c>
    </row>
    <row r="6374" spans="1:15" ht="16" x14ac:dyDescent="0.2">
      <c r="A6374" s="19"/>
      <c r="B6374" s="19"/>
      <c r="C6374" s="19"/>
      <c r="D6374" s="19"/>
      <c r="E6374" s="19"/>
      <c r="F6374" s="19"/>
      <c r="G6374" s="19"/>
      <c r="H6374" s="19"/>
      <c r="I6374" s="19"/>
      <c r="J6374" s="19"/>
      <c r="K6374" s="19"/>
      <c r="L6374" s="19"/>
      <c r="M6374" s="19"/>
      <c r="N6374" s="19"/>
      <c r="O6374" s="14" t="str">
        <f>HYPERLINK("https://otsuka-europe-crm.veevavault.com/ui/#object/email_activity__v/V8C00000003R347", "EN-002092340")</f>
        <v>EN-002092340</v>
      </c>
    </row>
    <row r="6375" spans="1:15" ht="32" x14ac:dyDescent="0.2">
      <c r="A6375" s="7" t="str">
        <f>HYPERLINK("https://otsuka-europe-crm.veevavault.com/ui/#object/account__v/V4TZ04ASGGKMK6P", "Saam Uddin")</f>
        <v>Saam Uddin</v>
      </c>
      <c r="B6375" s="7" t="str">
        <f>HYPERLINK("https://otsuka-europe-crm.veevavault.com/ui/#object/vcountry__v/VENZ000004SONFK", "GB")</f>
        <v>GB</v>
      </c>
      <c r="C6375" s="8" t="s">
        <v>39</v>
      </c>
      <c r="D6375" s="9" t="str">
        <f>HYPERLINK("https://otsuka-europe-crm.veevavault.com/ui/#object/approved_document__v/V5O00000001H005", "LDM DR P2P Invite 23-Jun-26 [digital]")</f>
        <v>LDM DR P2P Invite 23-Jun-26 [digital]</v>
      </c>
      <c r="E6375" s="10" t="str">
        <f>HYPERLINK("https://otsuka-europe-crm.veevavault.com/ui/#object/sent_email__v/VBL00000002R210", "SE-001434470")</f>
        <v>SE-001434470</v>
      </c>
      <c r="F6375" s="11"/>
      <c r="G6375" s="12">
        <v>0</v>
      </c>
      <c r="H6375" s="12">
        <v>0</v>
      </c>
      <c r="I6375" s="12">
        <v>0</v>
      </c>
      <c r="J6375" s="11"/>
      <c r="K6375" s="12">
        <v>0</v>
      </c>
      <c r="L6375" s="10" t="str">
        <f>HYPERLINK("https://otsuka-europe-crm.veevavault.com/ui/#object/approved_document__v/V5O00000001H005", "LDM DR P2P Invite 23-Jun-26 [digital]")</f>
        <v>LDM DR P2P Invite 23-Jun-26 [digital]</v>
      </c>
      <c r="M6375" s="10" t="str">
        <f>HYPERLINK("mailto:draval@crm.otsuka-europe.com", "draval@crm.otsuka-europe.com")</f>
        <v>draval@crm.otsuka-europe.com</v>
      </c>
      <c r="N6375" s="13">
        <v>46182.357141203705</v>
      </c>
      <c r="O6375" s="14" t="str">
        <f>HYPERLINK("https://otsuka-europe-crm.veevavault.com/ui/#object/email_activity__v/V8C00000003R348", "EN-002092341")</f>
        <v>EN-002092341</v>
      </c>
    </row>
    <row r="6376" spans="1:15" ht="16" x14ac:dyDescent="0.2">
      <c r="A6376" s="17" t="str">
        <f>HYPERLINK("https://otsuka-europe-crm.veevavault.com/ui/#object/account__v/V4T000000022065", "LAURA GOMEZ GANDA")</f>
        <v>LAURA GOMEZ GANDA</v>
      </c>
      <c r="B6376" s="17" t="str">
        <f>HYPERLINK("https://otsuka-europe-crm.veevavault.com/ui/#object/vcountry__v/VENZ000004SONF5", "ES")</f>
        <v>ES</v>
      </c>
      <c r="C6376" s="20" t="s">
        <v>41</v>
      </c>
      <c r="D6376" s="21" t="str">
        <f>HYPERLINK("https://otsuka-europe-crm.veevavault.com/ui/#object/approved_document__v/V5O00000000D100", "Spain - Consent Email 1 Aug 25")</f>
        <v>Spain - Consent Email 1 Aug 25</v>
      </c>
      <c r="E6376" s="22" t="str">
        <f>HYPERLINK("https://otsuka-europe-crm.veevavault.com/ui/#object/sent_email__v/VBL00000002R211", "SE-001434471")</f>
        <v>SE-001434471</v>
      </c>
      <c r="F6376" s="23">
        <v>46182.370405092595</v>
      </c>
      <c r="G6376" s="24">
        <v>1</v>
      </c>
      <c r="H6376" s="24">
        <v>1</v>
      </c>
      <c r="I6376" s="24">
        <v>1</v>
      </c>
      <c r="J6376" s="23">
        <v>46182.370532407411</v>
      </c>
      <c r="K6376" s="24">
        <v>1</v>
      </c>
      <c r="L6376" s="22" t="str">
        <f>HYPERLINK("https://otsuka-europe-crm.veevavault.com/ui/#object/approved_document__v/V5O00000000D100", "Spain - Consent Email 1 Aug 25")</f>
        <v>Spain - Consent Email 1 Aug 25</v>
      </c>
      <c r="M6376" s="22" t="str">
        <f>HYPERLINK("mailto:ccoll@crm.otsuka-europe.com", "ccoll@crm.otsuka-europe.com")</f>
        <v>ccoll@crm.otsuka-europe.com</v>
      </c>
      <c r="N6376" s="23">
        <v>46182.360150462962</v>
      </c>
      <c r="O6376" s="14" t="str">
        <f>HYPERLINK("https://otsuka-europe-crm.veevavault.com/ui/#object/email_activity__v/V8C00000003Q757", "EN-002092343")</f>
        <v>EN-002092343</v>
      </c>
    </row>
    <row r="6377" spans="1:15" ht="16" x14ac:dyDescent="0.2">
      <c r="A6377" s="18"/>
      <c r="B6377" s="18"/>
      <c r="C6377" s="18"/>
      <c r="D6377" s="18"/>
      <c r="E6377" s="18"/>
      <c r="F6377" s="18"/>
      <c r="G6377" s="18"/>
      <c r="H6377" s="18"/>
      <c r="I6377" s="18"/>
      <c r="J6377" s="18"/>
      <c r="K6377" s="18"/>
      <c r="L6377" s="18"/>
      <c r="M6377" s="18"/>
      <c r="N6377" s="18"/>
      <c r="O6377" s="14" t="str">
        <f>HYPERLINK("https://otsuka-europe-crm.veevavault.com/ui/#object/email_activity__v/V8C00000003Q764", "EN-002092352")</f>
        <v>EN-002092352</v>
      </c>
    </row>
    <row r="6378" spans="1:15" ht="16" x14ac:dyDescent="0.2">
      <c r="A6378" s="19"/>
      <c r="B6378" s="19"/>
      <c r="C6378" s="19"/>
      <c r="D6378" s="19"/>
      <c r="E6378" s="19"/>
      <c r="F6378" s="19"/>
      <c r="G6378" s="19"/>
      <c r="H6378" s="19"/>
      <c r="I6378" s="19"/>
      <c r="J6378" s="19"/>
      <c r="K6378" s="19"/>
      <c r="L6378" s="19"/>
      <c r="M6378" s="19"/>
      <c r="N6378" s="19"/>
      <c r="O6378" s="14" t="str">
        <f>HYPERLINK("https://otsuka-europe-crm.veevavault.com/ui/#object/email_activity__v/V8C00000003Q767", "EN-002092355")</f>
        <v>EN-002092355</v>
      </c>
    </row>
    <row r="6379" spans="1:15" ht="16" x14ac:dyDescent="0.2">
      <c r="A6379" s="17" t="str">
        <f>HYPERLINK("https://otsuka-europe-crm.veevavault.com/ui/#object/account__v/V4T000000022027", "Hakeem Perring")</f>
        <v>Hakeem Perring</v>
      </c>
      <c r="B6379" s="17" t="str">
        <f>HYPERLINK("https://otsuka-europe-crm.veevavault.com/ui/#object/vcountry__v/VENZ000004SONFK", "GB")</f>
        <v>GB</v>
      </c>
      <c r="C6379" s="20" t="s">
        <v>39</v>
      </c>
      <c r="D6379" s="21" t="str">
        <f>HYPERLINK("https://otsuka-europe-crm.veevavault.com/ui/#object/approved_document__v/V5O00000000D081", "UK - Consent Email 1 Aug 25")</f>
        <v>UK - Consent Email 1 Aug 25</v>
      </c>
      <c r="E6379" s="22" t="str">
        <f>HYPERLINK("https://otsuka-europe-crm.veevavault.com/ui/#object/sent_email__v/VBL00000002S212", "SE-001434472")</f>
        <v>SE-001434472</v>
      </c>
      <c r="F6379" s="23">
        <v>46182.386192129627</v>
      </c>
      <c r="G6379" s="24">
        <v>1</v>
      </c>
      <c r="H6379" s="24">
        <v>1</v>
      </c>
      <c r="I6379" s="24">
        <v>1</v>
      </c>
      <c r="J6379" s="23">
        <v>46182.386469907404</v>
      </c>
      <c r="K6379" s="24">
        <v>1</v>
      </c>
      <c r="L6379" s="22" t="str">
        <f>HYPERLINK("https://otsuka-europe-crm.veevavault.com/ui/#object/approved_document__v/V5O00000000D081", "UK - Consent Email 1 Aug 25")</f>
        <v>UK - Consent Email 1 Aug 25</v>
      </c>
      <c r="M6379" s="22" t="str">
        <f>HYPERLINK("mailto:draval@crm.otsuka-europe.com", "draval@crm.otsuka-europe.com")</f>
        <v>draval@crm.otsuka-europe.com</v>
      </c>
      <c r="N6379" s="23">
        <v>46182.360173611109</v>
      </c>
      <c r="O6379" s="14" t="str">
        <f>HYPERLINK("https://otsuka-europe-crm.veevavault.com/ui/#object/email_activity__v/V8C00000003Q756", "EN-002092342")</f>
        <v>EN-002092342</v>
      </c>
    </row>
    <row r="6380" spans="1:15" ht="16" x14ac:dyDescent="0.2">
      <c r="A6380" s="18"/>
      <c r="B6380" s="18"/>
      <c r="C6380" s="18"/>
      <c r="D6380" s="18"/>
      <c r="E6380" s="18"/>
      <c r="F6380" s="18"/>
      <c r="G6380" s="18"/>
      <c r="H6380" s="18"/>
      <c r="I6380" s="18"/>
      <c r="J6380" s="18"/>
      <c r="K6380" s="18"/>
      <c r="L6380" s="18"/>
      <c r="M6380" s="18"/>
      <c r="N6380" s="18"/>
      <c r="O6380" s="14" t="str">
        <f>HYPERLINK("https://otsuka-europe-crm.veevavault.com/ui/#object/email_activity__v/V8C00000003R354", "EN-002092363")</f>
        <v>EN-002092363</v>
      </c>
    </row>
    <row r="6381" spans="1:15" ht="16" x14ac:dyDescent="0.2">
      <c r="A6381" s="19"/>
      <c r="B6381" s="19"/>
      <c r="C6381" s="19"/>
      <c r="D6381" s="19"/>
      <c r="E6381" s="19"/>
      <c r="F6381" s="19"/>
      <c r="G6381" s="19"/>
      <c r="H6381" s="19"/>
      <c r="I6381" s="19"/>
      <c r="J6381" s="19"/>
      <c r="K6381" s="19"/>
      <c r="L6381" s="19"/>
      <c r="M6381" s="19"/>
      <c r="N6381" s="19"/>
      <c r="O6381" s="14" t="str">
        <f>HYPERLINK("https://otsuka-europe-crm.veevavault.com/ui/#object/email_activity__v/V8C00000003R355", "EN-002092364")</f>
        <v>EN-002092364</v>
      </c>
    </row>
    <row r="6382" spans="1:15" ht="16" x14ac:dyDescent="0.2">
      <c r="A6382" s="17" t="str">
        <f>HYPERLINK("https://otsuka-europe-crm.veevavault.com/ui/#object/account__v/V4T000000022065", "LAURA GOMEZ GANDA")</f>
        <v>LAURA GOMEZ GANDA</v>
      </c>
      <c r="B6382" s="17" t="str">
        <f>HYPERLINK("https://otsuka-europe-crm.veevavault.com/ui/#object/vcountry__v/VENZ000004SONF5", "ES")</f>
        <v>ES</v>
      </c>
      <c r="C6382" s="20" t="s">
        <v>41</v>
      </c>
      <c r="D6382" s="21" t="str">
        <f>HYPERLINK("https://otsuka-europe-crm.veevavault.com/ui/#object/approved_document__v/V5OZ04ASG4FWKA9", "Documento Autorizaciขn Centro Empleador")</f>
        <v>Documento Autorizaciขn Centro Empleador</v>
      </c>
      <c r="E6382" s="22" t="str">
        <f>HYPERLINK("https://otsuka-europe-crm.veevavault.com/ui/#object/sent_email__v/VBL00000002R212", "SE-001434473")</f>
        <v>SE-001434473</v>
      </c>
      <c r="F6382" s="23">
        <v>46182.392812500002</v>
      </c>
      <c r="G6382" s="24">
        <v>1</v>
      </c>
      <c r="H6382" s="24">
        <v>3</v>
      </c>
      <c r="I6382" s="24">
        <v>1</v>
      </c>
      <c r="J6382" s="23">
        <v>46182.370671296296</v>
      </c>
      <c r="K6382" s="24">
        <v>1</v>
      </c>
      <c r="L6382" s="22" t="str">
        <f>HYPERLINK("https://otsuka-europe-crm.veevavault.com/ui/#object/approved_document__v/V5OZ04ASG4FWKA9", "Documento Autorizaciขn Centro Empleador")</f>
        <v>Documento Autorizaciขn Centro Empleador</v>
      </c>
      <c r="M6382" s="22" t="str">
        <f>HYPERLINK("mailto:ccoll@crm.otsuka-europe.com", "ccoll@crm.otsuka-europe.com")</f>
        <v>ccoll@crm.otsuka-europe.com</v>
      </c>
      <c r="N6382" s="23">
        <v>46182.360648148147</v>
      </c>
      <c r="O6382" s="14" t="str">
        <f>HYPERLINK("https://otsuka-europe-crm.veevavault.com/ui/#object/email_activity__v/V8C00000003Q758", "EN-002092344")</f>
        <v>EN-002092344</v>
      </c>
    </row>
    <row r="6383" spans="1:15" ht="16" x14ac:dyDescent="0.2">
      <c r="A6383" s="18"/>
      <c r="B6383" s="18"/>
      <c r="C6383" s="18"/>
      <c r="D6383" s="18"/>
      <c r="E6383" s="18"/>
      <c r="F6383" s="18"/>
      <c r="G6383" s="18"/>
      <c r="H6383" s="18"/>
      <c r="I6383" s="18"/>
      <c r="J6383" s="18"/>
      <c r="K6383" s="18"/>
      <c r="L6383" s="18"/>
      <c r="M6383" s="18"/>
      <c r="N6383" s="18"/>
      <c r="O6383" s="14" t="str">
        <f>HYPERLINK("https://otsuka-europe-crm.veevavault.com/ui/#object/email_activity__v/V8C00000003Q766", "EN-002092354")</f>
        <v>EN-002092354</v>
      </c>
    </row>
    <row r="6384" spans="1:15" ht="16" x14ac:dyDescent="0.2">
      <c r="A6384" s="18"/>
      <c r="B6384" s="18"/>
      <c r="C6384" s="18"/>
      <c r="D6384" s="18"/>
      <c r="E6384" s="18"/>
      <c r="F6384" s="18"/>
      <c r="G6384" s="18"/>
      <c r="H6384" s="18"/>
      <c r="I6384" s="18"/>
      <c r="J6384" s="18"/>
      <c r="K6384" s="18"/>
      <c r="L6384" s="18"/>
      <c r="M6384" s="18"/>
      <c r="N6384" s="18"/>
      <c r="O6384" s="14" t="str">
        <f>HYPERLINK("https://otsuka-europe-crm.veevavault.com/ui/#object/email_activity__v/V8C00000003Q771", "EN-002092362")</f>
        <v>EN-002092362</v>
      </c>
    </row>
    <row r="6385" spans="1:15" ht="16" x14ac:dyDescent="0.2">
      <c r="A6385" s="18"/>
      <c r="B6385" s="18"/>
      <c r="C6385" s="18"/>
      <c r="D6385" s="18"/>
      <c r="E6385" s="18"/>
      <c r="F6385" s="18"/>
      <c r="G6385" s="18"/>
      <c r="H6385" s="18"/>
      <c r="I6385" s="18"/>
      <c r="J6385" s="18"/>
      <c r="K6385" s="18"/>
      <c r="L6385" s="18"/>
      <c r="M6385" s="18"/>
      <c r="N6385" s="18"/>
      <c r="O6385" s="14" t="str">
        <f>HYPERLINK("https://otsuka-europe-crm.veevavault.com/ui/#object/email_activity__v/V8C00000003Q772", "EN-002092367")</f>
        <v>EN-002092367</v>
      </c>
    </row>
    <row r="6386" spans="1:15" ht="16" x14ac:dyDescent="0.2">
      <c r="A6386" s="19"/>
      <c r="B6386" s="19"/>
      <c r="C6386" s="19"/>
      <c r="D6386" s="19"/>
      <c r="E6386" s="19"/>
      <c r="F6386" s="19"/>
      <c r="G6386" s="19"/>
      <c r="H6386" s="19"/>
      <c r="I6386" s="19"/>
      <c r="J6386" s="19"/>
      <c r="K6386" s="19"/>
      <c r="L6386" s="19"/>
      <c r="M6386" s="19"/>
      <c r="N6386" s="19"/>
      <c r="O6386" s="14" t="str">
        <f>HYPERLINK("https://otsuka-europe-crm.veevavault.com/ui/#object/email_activity__v/V8C00000003R351", "EN-002092356")</f>
        <v>EN-002092356</v>
      </c>
    </row>
    <row r="6387" spans="1:15" ht="16" x14ac:dyDescent="0.2">
      <c r="A6387" s="17" t="str">
        <f>HYPERLINK("https://otsuka-europe-crm.veevavault.com/ui/#object/account__v/V4T000000023050", "YAMILA VALERIA HEREDIA ORBEGOSO")</f>
        <v>YAMILA VALERIA HEREDIA ORBEGOSO</v>
      </c>
      <c r="B6387" s="17" t="str">
        <f>HYPERLINK("https://otsuka-europe-crm.veevavault.com/ui/#object/vcountry__v/VENZ000004SONF5", "ES")</f>
        <v>ES</v>
      </c>
      <c r="C6387" s="20" t="s">
        <v>41</v>
      </c>
      <c r="D6387" s="21" t="str">
        <f>HYPERLINK("https://otsuka-europe-crm.veevavault.com/ui/#object/approved_document__v/V5OZ06G6O6RFL1P", "ES Veeva Privacy Notice Email")</f>
        <v>ES Veeva Privacy Notice Email</v>
      </c>
      <c r="E6387" s="22" t="str">
        <f>HYPERLINK("https://otsuka-europe-crm.veevavault.com/ui/#object/sent_email__v/VBL00000002S213", "SE-001434474")</f>
        <v>SE-001434474</v>
      </c>
      <c r="F6387" s="23">
        <v>46184.493750000001</v>
      </c>
      <c r="G6387" s="24">
        <v>1</v>
      </c>
      <c r="H6387" s="24">
        <v>1</v>
      </c>
      <c r="I6387" s="24">
        <v>0</v>
      </c>
      <c r="J6387" s="25"/>
      <c r="K6387" s="24">
        <v>0</v>
      </c>
      <c r="L6387" s="22" t="str">
        <f>HYPERLINK("https://otsuka-europe-crm.veevavault.com/ui/#object/approved_document__v/V5OZ06G6O6RFL1P", "ES Veeva Privacy Notice Email")</f>
        <v>ES Veeva Privacy Notice Email</v>
      </c>
      <c r="M6387" s="22" t="str">
        <f>HYPERLINK("mailto:ccoll@crm.otsuka-europe.com", "ccoll@crm.otsuka-europe.com")</f>
        <v>ccoll@crm.otsuka-europe.com</v>
      </c>
      <c r="N6387" s="23">
        <v>46182.367615740739</v>
      </c>
      <c r="O6387" s="14" t="str">
        <f>HYPERLINK("https://otsuka-europe-crm.veevavault.com/ui/#object/email_activity__v/V8C00000003Q761", "EN-002092348")</f>
        <v>EN-002092348</v>
      </c>
    </row>
    <row r="6388" spans="1:15" ht="16" x14ac:dyDescent="0.2">
      <c r="A6388" s="18"/>
      <c r="B6388" s="18"/>
      <c r="C6388" s="18"/>
      <c r="D6388" s="18"/>
      <c r="E6388" s="18"/>
      <c r="F6388" s="18"/>
      <c r="G6388" s="18"/>
      <c r="H6388" s="18"/>
      <c r="I6388" s="18"/>
      <c r="J6388" s="18"/>
      <c r="K6388" s="18"/>
      <c r="L6388" s="18"/>
      <c r="M6388" s="18"/>
      <c r="N6388" s="18"/>
      <c r="O6388" s="14" t="str">
        <f>HYPERLINK("https://otsuka-europe-crm.veevavault.com/ui/#object/email_activity__v/V8C00000003T071", "EN-002093704")</f>
        <v>EN-002093704</v>
      </c>
    </row>
    <row r="6389" spans="1:15" ht="16" x14ac:dyDescent="0.2">
      <c r="A6389" s="19"/>
      <c r="B6389" s="19"/>
      <c r="C6389" s="19"/>
      <c r="D6389" s="19"/>
      <c r="E6389" s="19"/>
      <c r="F6389" s="19"/>
      <c r="G6389" s="19"/>
      <c r="H6389" s="19"/>
      <c r="I6389" s="19"/>
      <c r="J6389" s="19"/>
      <c r="K6389" s="19"/>
      <c r="L6389" s="19"/>
      <c r="M6389" s="19"/>
      <c r="N6389" s="19"/>
      <c r="O6389" s="14" t="str">
        <f>HYPERLINK("https://otsuka-europe-crm.veevavault.com/ui/#object/email_activity__v/V8C00000003T513", "EN-002094634")</f>
        <v>EN-002094634</v>
      </c>
    </row>
    <row r="6390" spans="1:15" ht="16" x14ac:dyDescent="0.2">
      <c r="A6390" s="17" t="str">
        <f>HYPERLINK("https://otsuka-europe-crm.veevavault.com/ui/#object/account__v/V4T000000023050", "YAMILA VALERIA HEREDIA ORBEGOSO")</f>
        <v>YAMILA VALERIA HEREDIA ORBEGOSO</v>
      </c>
      <c r="B6390" s="17" t="str">
        <f>HYPERLINK("https://otsuka-europe-crm.veevavault.com/ui/#object/vcountry__v/VENZ000004SONF5", "ES")</f>
        <v>ES</v>
      </c>
      <c r="C6390" s="20" t="s">
        <v>41</v>
      </c>
      <c r="D6390" s="21" t="str">
        <f>HYPERLINK("https://otsuka-europe-crm.veevavault.com/ui/#object/approved_document__v/V5O00000000D100", "Spain - Consent Email 1 Aug 25")</f>
        <v>Spain - Consent Email 1 Aug 25</v>
      </c>
      <c r="E6390" s="22" t="str">
        <f>HYPERLINK("https://otsuka-europe-crm.veevavault.com/ui/#object/sent_email__v/VBL00000002R213", "SE-001434475")</f>
        <v>SE-001434475</v>
      </c>
      <c r="F6390" s="23">
        <v>46184.547523148147</v>
      </c>
      <c r="G6390" s="24">
        <v>1</v>
      </c>
      <c r="H6390" s="24">
        <v>1</v>
      </c>
      <c r="I6390" s="24">
        <v>1</v>
      </c>
      <c r="J6390" s="23">
        <v>46184.547638888886</v>
      </c>
      <c r="K6390" s="24">
        <v>1</v>
      </c>
      <c r="L6390" s="22" t="str">
        <f>HYPERLINK("https://otsuka-europe-crm.veevavault.com/ui/#object/approved_document__v/V5O00000000D100", "Spain - Consent Email 1 Aug 25")</f>
        <v>Spain - Consent Email 1 Aug 25</v>
      </c>
      <c r="M6390" s="22" t="str">
        <f>HYPERLINK("mailto:ccoll@crm.otsuka-europe.com", "ccoll@crm.otsuka-europe.com")</f>
        <v>ccoll@crm.otsuka-europe.com</v>
      </c>
      <c r="N6390" s="23">
        <v>46182.369942129626</v>
      </c>
      <c r="O6390" s="14" t="str">
        <f>HYPERLINK("https://otsuka-europe-crm.veevavault.com/ui/#object/email_activity__v/V8C00000003R350", "EN-002092350")</f>
        <v>EN-002092350</v>
      </c>
    </row>
    <row r="6391" spans="1:15" ht="16" x14ac:dyDescent="0.2">
      <c r="A6391" s="18"/>
      <c r="B6391" s="18"/>
      <c r="C6391" s="18"/>
      <c r="D6391" s="18"/>
      <c r="E6391" s="18"/>
      <c r="F6391" s="18"/>
      <c r="G6391" s="18"/>
      <c r="H6391" s="18"/>
      <c r="I6391" s="18"/>
      <c r="J6391" s="18"/>
      <c r="K6391" s="18"/>
      <c r="L6391" s="18"/>
      <c r="M6391" s="18"/>
      <c r="N6391" s="18"/>
      <c r="O6391" s="14" t="str">
        <f>HYPERLINK("https://otsuka-europe-crm.veevavault.com/ui/#object/email_activity__v/V8C00000003S901", "EN-002094666")</f>
        <v>EN-002094666</v>
      </c>
    </row>
    <row r="6392" spans="1:15" ht="16" x14ac:dyDescent="0.2">
      <c r="A6392" s="18"/>
      <c r="B6392" s="18"/>
      <c r="C6392" s="18"/>
      <c r="D6392" s="18"/>
      <c r="E6392" s="18"/>
      <c r="F6392" s="18"/>
      <c r="G6392" s="18"/>
      <c r="H6392" s="18"/>
      <c r="I6392" s="18"/>
      <c r="J6392" s="18"/>
      <c r="K6392" s="18"/>
      <c r="L6392" s="18"/>
      <c r="M6392" s="18"/>
      <c r="N6392" s="18"/>
      <c r="O6392" s="14" t="str">
        <f>HYPERLINK("https://otsuka-europe-crm.veevavault.com/ui/#object/email_activity__v/V8C00000003S902", "EN-002094667")</f>
        <v>EN-002094667</v>
      </c>
    </row>
    <row r="6393" spans="1:15" ht="16" x14ac:dyDescent="0.2">
      <c r="A6393" s="19"/>
      <c r="B6393" s="19"/>
      <c r="C6393" s="19"/>
      <c r="D6393" s="19"/>
      <c r="E6393" s="19"/>
      <c r="F6393" s="19"/>
      <c r="G6393" s="19"/>
      <c r="H6393" s="19"/>
      <c r="I6393" s="19"/>
      <c r="J6393" s="19"/>
      <c r="K6393" s="19"/>
      <c r="L6393" s="19"/>
      <c r="M6393" s="19"/>
      <c r="N6393" s="19"/>
      <c r="O6393" s="14" t="str">
        <f>HYPERLINK("https://otsuka-europe-crm.veevavault.com/ui/#object/email_activity__v/V8C00000003T072", "EN-002093705")</f>
        <v>EN-002093705</v>
      </c>
    </row>
    <row r="6394" spans="1:15" ht="16" x14ac:dyDescent="0.2">
      <c r="A6394" s="17" t="str">
        <f>HYPERLINK("https://otsuka-europe-crm.veevavault.com/ui/#object/account__v/V4T000000023050", "YAMILA VALERIA HEREDIA ORBEGOSO")</f>
        <v>YAMILA VALERIA HEREDIA ORBEGOSO</v>
      </c>
      <c r="B6394" s="17" t="str">
        <f>HYPERLINK("https://otsuka-europe-crm.veevavault.com/ui/#object/vcountry__v/VENZ000004SONF5", "ES")</f>
        <v>ES</v>
      </c>
      <c r="C6394" s="20" t="s">
        <v>41</v>
      </c>
      <c r="D6394" s="21" t="str">
        <f>HYPERLINK("https://otsuka-europe-crm.veevavault.com/ui/#object/approved_document__v/V5OZ04ASG4FWKA9", "Documento Autorizaciขn Centro Empleador")</f>
        <v>Documento Autorizaciขn Centro Empleador</v>
      </c>
      <c r="E6394" s="22" t="str">
        <f>HYPERLINK("https://otsuka-europe-crm.veevavault.com/ui/#object/sent_email__v/VBL00000002R214", "SE-001434476")</f>
        <v>SE-001434476</v>
      </c>
      <c r="F6394" s="23">
        <v>46184.493819444448</v>
      </c>
      <c r="G6394" s="24">
        <v>1</v>
      </c>
      <c r="H6394" s="24">
        <v>1</v>
      </c>
      <c r="I6394" s="24">
        <v>1</v>
      </c>
      <c r="J6394" s="23">
        <v>46184.493645833332</v>
      </c>
      <c r="K6394" s="24">
        <v>2</v>
      </c>
      <c r="L6394" s="22" t="str">
        <f>HYPERLINK("https://otsuka-europe-crm.veevavault.com/ui/#object/approved_document__v/V5OZ04ASG4FWKA9", "Documento Autorizaciขn Centro Empleador")</f>
        <v>Documento Autorizaciขn Centro Empleador</v>
      </c>
      <c r="M6394" s="22" t="str">
        <f>HYPERLINK("mailto:ccoll@crm.otsuka-europe.com", "ccoll@crm.otsuka-europe.com")</f>
        <v>ccoll@crm.otsuka-europe.com</v>
      </c>
      <c r="N6394" s="23">
        <v>46182.370115740741</v>
      </c>
      <c r="O6394" s="14" t="str">
        <f>HYPERLINK("https://otsuka-europe-crm.veevavault.com/ui/#object/email_activity__v/V8C00000003Q763", "EN-002092351")</f>
        <v>EN-002092351</v>
      </c>
    </row>
    <row r="6395" spans="1:15" ht="16" x14ac:dyDescent="0.2">
      <c r="A6395" s="18"/>
      <c r="B6395" s="18"/>
      <c r="C6395" s="18"/>
      <c r="D6395" s="18"/>
      <c r="E6395" s="18"/>
      <c r="F6395" s="18"/>
      <c r="G6395" s="18"/>
      <c r="H6395" s="18"/>
      <c r="I6395" s="18"/>
      <c r="J6395" s="18"/>
      <c r="K6395" s="18"/>
      <c r="L6395" s="18"/>
      <c r="M6395" s="18"/>
      <c r="N6395" s="18"/>
      <c r="O6395" s="14" t="str">
        <f>HYPERLINK("https://otsuka-europe-crm.veevavault.com/ui/#object/email_activity__v/V8C00000003S886", "EN-002094632")</f>
        <v>EN-002094632</v>
      </c>
    </row>
    <row r="6396" spans="1:15" ht="16" x14ac:dyDescent="0.2">
      <c r="A6396" s="18"/>
      <c r="B6396" s="18"/>
      <c r="C6396" s="18"/>
      <c r="D6396" s="18"/>
      <c r="E6396" s="18"/>
      <c r="F6396" s="18"/>
      <c r="G6396" s="18"/>
      <c r="H6396" s="18"/>
      <c r="I6396" s="18"/>
      <c r="J6396" s="18"/>
      <c r="K6396" s="18"/>
      <c r="L6396" s="18"/>
      <c r="M6396" s="18"/>
      <c r="N6396" s="18"/>
      <c r="O6396" s="14" t="str">
        <f>HYPERLINK("https://otsuka-europe-crm.veevavault.com/ui/#object/email_activity__v/V8C00000003T070", "EN-002093703")</f>
        <v>EN-002093703</v>
      </c>
    </row>
    <row r="6397" spans="1:15" ht="16" x14ac:dyDescent="0.2">
      <c r="A6397" s="18"/>
      <c r="B6397" s="18"/>
      <c r="C6397" s="18"/>
      <c r="D6397" s="18"/>
      <c r="E6397" s="18"/>
      <c r="F6397" s="18"/>
      <c r="G6397" s="18"/>
      <c r="H6397" s="18"/>
      <c r="I6397" s="18"/>
      <c r="J6397" s="18"/>
      <c r="K6397" s="18"/>
      <c r="L6397" s="18"/>
      <c r="M6397" s="18"/>
      <c r="N6397" s="18"/>
      <c r="O6397" s="14" t="str">
        <f>HYPERLINK("https://otsuka-europe-crm.veevavault.com/ui/#object/email_activity__v/V8C00000003T512", "EN-002094633")</f>
        <v>EN-002094633</v>
      </c>
    </row>
    <row r="6398" spans="1:15" ht="16" x14ac:dyDescent="0.2">
      <c r="A6398" s="19"/>
      <c r="B6398" s="19"/>
      <c r="C6398" s="19"/>
      <c r="D6398" s="19"/>
      <c r="E6398" s="19"/>
      <c r="F6398" s="19"/>
      <c r="G6398" s="19"/>
      <c r="H6398" s="19"/>
      <c r="I6398" s="19"/>
      <c r="J6398" s="19"/>
      <c r="K6398" s="19"/>
      <c r="L6398" s="19"/>
      <c r="M6398" s="19"/>
      <c r="N6398" s="19"/>
      <c r="O6398" s="14" t="str">
        <f>HYPERLINK("https://otsuka-europe-crm.veevavault.com/ui/#object/email_activity__v/V8C00000003T514", "EN-002094635")</f>
        <v>EN-002094635</v>
      </c>
    </row>
    <row r="6399" spans="1:15" ht="16" x14ac:dyDescent="0.2">
      <c r="A6399" s="17" t="str">
        <f>HYPERLINK("https://otsuka-europe-crm.veevavault.com/ui/#object/account__v/V4T000000023039", "Julie Nicholson")</f>
        <v>Julie Nicholson</v>
      </c>
      <c r="B6399" s="17" t="str">
        <f>HYPERLINK("https://otsuka-europe-crm.veevavault.com/ui/#object/vcountry__v/VENZ000004SONFK", "GB")</f>
        <v>GB</v>
      </c>
      <c r="C6399" s="20" t="s">
        <v>39</v>
      </c>
      <c r="D6399" s="21" t="str">
        <f>HYPERLINK("https://otsuka-europe-crm.veevavault.com/ui/#object/approved_document__v/V5OZ025E82UYOBH", "Aripiprazole 300mg PFS Available VAE")</f>
        <v>Aripiprazole 300mg PFS Available VAE</v>
      </c>
      <c r="E6399" s="22" t="str">
        <f>HYPERLINK("https://otsuka-europe-crm.veevavault.com/ui/#object/sent_email__v/VBL00000002S214", "SE-001434477")</f>
        <v>SE-001434477</v>
      </c>
      <c r="F6399" s="23">
        <v>46183.495509259257</v>
      </c>
      <c r="G6399" s="24">
        <v>1</v>
      </c>
      <c r="H6399" s="24">
        <v>2</v>
      </c>
      <c r="I6399" s="24">
        <v>0</v>
      </c>
      <c r="J6399" s="25"/>
      <c r="K6399" s="24">
        <v>0</v>
      </c>
      <c r="L6399" s="22" t="str">
        <f>HYPERLINK("https://otsuka-europe-crm.veevavault.com/ui/#object/approved_document__v/V5OZ025E82UYOBH", "Aripiprazole 300mg PFS Available VAE")</f>
        <v>Aripiprazole 300mg PFS Available VAE</v>
      </c>
      <c r="M6399" s="22" t="str">
        <f>HYPERLINK("mailto:ldimambro@crm.otsuka-europe.com", "ldimambro@crm.otsuka-europe.com")</f>
        <v>ldimambro@crm.otsuka-europe.com</v>
      </c>
      <c r="N6399" s="23">
        <v>46182.3908912037</v>
      </c>
      <c r="O6399" s="14" t="str">
        <f>HYPERLINK("https://otsuka-europe-crm.veevavault.com/ui/#object/email_activity__v/V8C00000003Q985", "EN-002092795")</f>
        <v>EN-002092795</v>
      </c>
    </row>
    <row r="6400" spans="1:15" ht="16" x14ac:dyDescent="0.2">
      <c r="A6400" s="18"/>
      <c r="B6400" s="18"/>
      <c r="C6400" s="18"/>
      <c r="D6400" s="18"/>
      <c r="E6400" s="18"/>
      <c r="F6400" s="18"/>
      <c r="G6400" s="18"/>
      <c r="H6400" s="18"/>
      <c r="I6400" s="18"/>
      <c r="J6400" s="18"/>
      <c r="K6400" s="18"/>
      <c r="L6400" s="18"/>
      <c r="M6400" s="18"/>
      <c r="N6400" s="18"/>
      <c r="O6400" s="14" t="str">
        <f>HYPERLINK("https://otsuka-europe-crm.veevavault.com/ui/#object/email_activity__v/V8C00000003R356", "EN-002092365")</f>
        <v>EN-002092365</v>
      </c>
    </row>
    <row r="6401" spans="1:15" ht="16" x14ac:dyDescent="0.2">
      <c r="A6401" s="19"/>
      <c r="B6401" s="19"/>
      <c r="C6401" s="19"/>
      <c r="D6401" s="19"/>
      <c r="E6401" s="19"/>
      <c r="F6401" s="19"/>
      <c r="G6401" s="19"/>
      <c r="H6401" s="19"/>
      <c r="I6401" s="19"/>
      <c r="J6401" s="19"/>
      <c r="K6401" s="19"/>
      <c r="L6401" s="19"/>
      <c r="M6401" s="19"/>
      <c r="N6401" s="19"/>
      <c r="O6401" s="14" t="str">
        <f>HYPERLINK("https://otsuka-europe-crm.veevavault.com/ui/#object/email_activity__v/V8C00000003T311", "EN-002094198")</f>
        <v>EN-002094198</v>
      </c>
    </row>
    <row r="6402" spans="1:15" ht="16" x14ac:dyDescent="0.2">
      <c r="A6402" s="17" t="str">
        <f>HYPERLINK("https://otsuka-europe-crm.veevavault.com/ui/#object/account__v/V4T000000023039", "Julie Nicholson")</f>
        <v>Julie Nicholson</v>
      </c>
      <c r="B6402" s="17" t="str">
        <f>HYPERLINK("https://otsuka-europe-crm.veevavault.com/ui/#object/vcountry__v/VENZ000004SONFK", "GB")</f>
        <v>GB</v>
      </c>
      <c r="C6402" s="20" t="s">
        <v>39</v>
      </c>
      <c r="D6402" s="21" t="str">
        <f>HYPERLINK("https://otsuka-europe-crm.veevavault.com/ui/#object/approved_document__v/V5OZ025E82TSZBI", "Aripiprazole 960mg Fragment VAE")</f>
        <v>Aripiprazole 960mg Fragment VAE</v>
      </c>
      <c r="E6402" s="22" t="str">
        <f>HYPERLINK("https://otsuka-europe-crm.veevavault.com/ui/#object/sent_email__v/VBL00000002S215", "SE-001434478")</f>
        <v>SE-001434478</v>
      </c>
      <c r="F6402" s="23">
        <v>46183.500520833331</v>
      </c>
      <c r="G6402" s="24">
        <v>1</v>
      </c>
      <c r="H6402" s="24">
        <v>2</v>
      </c>
      <c r="I6402" s="24">
        <v>0</v>
      </c>
      <c r="J6402" s="25"/>
      <c r="K6402" s="24">
        <v>0</v>
      </c>
      <c r="L6402" s="22" t="str">
        <f>HYPERLINK("https://otsuka-europe-crm.veevavault.com/ui/#object/approved_document__v/V5OZ025E82TSZBI", "Aripiprazole 960mg Fragment VAE")</f>
        <v>Aripiprazole 960mg Fragment VAE</v>
      </c>
      <c r="M6402" s="22" t="str">
        <f>HYPERLINK("mailto:ldimambro@crm.otsuka-europe.com", "ldimambro@crm.otsuka-europe.com")</f>
        <v>ldimambro@crm.otsuka-europe.com</v>
      </c>
      <c r="N6402" s="23">
        <v>46182.391331018516</v>
      </c>
      <c r="O6402" s="14" t="str">
        <f>HYPERLINK("https://otsuka-europe-crm.veevavault.com/ui/#object/email_activity__v/V8C00000003R357", "EN-002092366")</f>
        <v>EN-002092366</v>
      </c>
    </row>
    <row r="6403" spans="1:15" ht="16" x14ac:dyDescent="0.2">
      <c r="A6403" s="18"/>
      <c r="B6403" s="18"/>
      <c r="C6403" s="18"/>
      <c r="D6403" s="18"/>
      <c r="E6403" s="18"/>
      <c r="F6403" s="18"/>
      <c r="G6403" s="18"/>
      <c r="H6403" s="18"/>
      <c r="I6403" s="18"/>
      <c r="J6403" s="18"/>
      <c r="K6403" s="18"/>
      <c r="L6403" s="18"/>
      <c r="M6403" s="18"/>
      <c r="N6403" s="18"/>
      <c r="O6403" s="14" t="str">
        <f>HYPERLINK("https://otsuka-europe-crm.veevavault.com/ui/#object/email_activity__v/V8C00000003S656", "EN-002094206")</f>
        <v>EN-002094206</v>
      </c>
    </row>
    <row r="6404" spans="1:15" ht="16" x14ac:dyDescent="0.2">
      <c r="A6404" s="19"/>
      <c r="B6404" s="19"/>
      <c r="C6404" s="19"/>
      <c r="D6404" s="19"/>
      <c r="E6404" s="19"/>
      <c r="F6404" s="19"/>
      <c r="G6404" s="19"/>
      <c r="H6404" s="19"/>
      <c r="I6404" s="19"/>
      <c r="J6404" s="19"/>
      <c r="K6404" s="19"/>
      <c r="L6404" s="19"/>
      <c r="M6404" s="19"/>
      <c r="N6404" s="19"/>
      <c r="O6404" s="14" t="str">
        <f>HYPERLINK("https://otsuka-europe-crm.veevavault.com/ui/#object/email_activity__v/V8C00000003S657", "EN-002094207")</f>
        <v>EN-002094207</v>
      </c>
    </row>
    <row r="6405" spans="1:15" ht="16" x14ac:dyDescent="0.2">
      <c r="A6405" s="17" t="str">
        <f>HYPERLINK("https://otsuka-europe-crm.veevavault.com/ui/#object/account__v/V4TZ04ASGFD2I2Y", "ELENA ISABEL CABALLERO MORENO")</f>
        <v>ELENA ISABEL CABALLERO MORENO</v>
      </c>
      <c r="B6405" s="17" t="str">
        <f>HYPERLINK("https://otsuka-europe-crm.veevavault.com/ui/#object/vcountry__v/VENZ000004SONF5", "ES")</f>
        <v>ES</v>
      </c>
      <c r="C6405" s="20" t="s">
        <v>41</v>
      </c>
      <c r="D6405" s="21" t="str">
        <f>HYPERLINK("https://otsuka-europe-crm.veevavault.com/ui/#object/approved_document__v/V5OZ04ASG4FWKA9", "Documento Autorizaciขn Centro Empleador")</f>
        <v>Documento Autorizaciขn Centro Empleador</v>
      </c>
      <c r="E6405" s="22" t="str">
        <f>HYPERLINK("https://otsuka-europe-crm.veevavault.com/ui/#object/sent_email__v/VBL00000002R215", "SE-001434479")</f>
        <v>SE-001434479</v>
      </c>
      <c r="F6405" s="23">
        <v>46199.413715277777</v>
      </c>
      <c r="G6405" s="24">
        <v>1</v>
      </c>
      <c r="H6405" s="24">
        <v>3</v>
      </c>
      <c r="I6405" s="24">
        <v>1</v>
      </c>
      <c r="J6405" s="23">
        <v>46182.642488425925</v>
      </c>
      <c r="K6405" s="24">
        <v>1</v>
      </c>
      <c r="L6405" s="22" t="str">
        <f>HYPERLINK("https://otsuka-europe-crm.veevavault.com/ui/#object/approved_document__v/V5OZ04ASG4FWKA9", "Documento Autorizaciขn Centro Empleador")</f>
        <v>Documento Autorizaciขn Centro Empleador</v>
      </c>
      <c r="M6405" s="22" t="str">
        <f>HYPERLINK("mailto:mgravan@crm.otsuka-europe.com", "mgravan@crm.otsuka-europe.com")</f>
        <v>mgravan@crm.otsuka-europe.com</v>
      </c>
      <c r="N6405" s="23">
        <v>46182.393009259256</v>
      </c>
      <c r="O6405" s="14" t="str">
        <f>HYPERLINK("https://otsuka-europe-crm.veevavault.com/ui/#object/email_activity__v/V8C00000003Q773", "EN-002092368")</f>
        <v>EN-002092368</v>
      </c>
    </row>
    <row r="6406" spans="1:15" ht="16" x14ac:dyDescent="0.2">
      <c r="A6406" s="18"/>
      <c r="B6406" s="18"/>
      <c r="C6406" s="18"/>
      <c r="D6406" s="18"/>
      <c r="E6406" s="18"/>
      <c r="F6406" s="18"/>
      <c r="G6406" s="18"/>
      <c r="H6406" s="18"/>
      <c r="I6406" s="18"/>
      <c r="J6406" s="18"/>
      <c r="K6406" s="18"/>
      <c r="L6406" s="18"/>
      <c r="M6406" s="18"/>
      <c r="N6406" s="18"/>
      <c r="O6406" s="14" t="str">
        <f>HYPERLINK("https://otsuka-europe-crm.veevavault.com/ui/#object/email_activity__v/V8C00000003R588", "EN-002092827")</f>
        <v>EN-002092827</v>
      </c>
    </row>
    <row r="6407" spans="1:15" ht="16" x14ac:dyDescent="0.2">
      <c r="A6407" s="18"/>
      <c r="B6407" s="18"/>
      <c r="C6407" s="18"/>
      <c r="D6407" s="18"/>
      <c r="E6407" s="18"/>
      <c r="F6407" s="18"/>
      <c r="G6407" s="18"/>
      <c r="H6407" s="18"/>
      <c r="I6407" s="18"/>
      <c r="J6407" s="18"/>
      <c r="K6407" s="18"/>
      <c r="L6407" s="18"/>
      <c r="M6407" s="18"/>
      <c r="N6407" s="18"/>
      <c r="O6407" s="14" t="str">
        <f>HYPERLINK("https://otsuka-europe-crm.veevavault.com/ui/#object/email_activity__v/V8C00000003S152", "EN-002093188")</f>
        <v>EN-002093188</v>
      </c>
    </row>
    <row r="6408" spans="1:15" ht="16" x14ac:dyDescent="0.2">
      <c r="A6408" s="18"/>
      <c r="B6408" s="18"/>
      <c r="C6408" s="18"/>
      <c r="D6408" s="18"/>
      <c r="E6408" s="18"/>
      <c r="F6408" s="18"/>
      <c r="G6408" s="18"/>
      <c r="H6408" s="18"/>
      <c r="I6408" s="18"/>
      <c r="J6408" s="18"/>
      <c r="K6408" s="18"/>
      <c r="L6408" s="18"/>
      <c r="M6408" s="18"/>
      <c r="N6408" s="18"/>
      <c r="O6408" s="14" t="str">
        <f>HYPERLINK("https://otsuka-europe-crm.veevavault.com/ui/#object/email_activity__v/V8C00000003S153", "EN-002093189")</f>
        <v>EN-002093189</v>
      </c>
    </row>
    <row r="6409" spans="1:15" ht="16" x14ac:dyDescent="0.2">
      <c r="A6409" s="19"/>
      <c r="B6409" s="19"/>
      <c r="C6409" s="19"/>
      <c r="D6409" s="19"/>
      <c r="E6409" s="19"/>
      <c r="F6409" s="19"/>
      <c r="G6409" s="19"/>
      <c r="H6409" s="19"/>
      <c r="I6409" s="19"/>
      <c r="J6409" s="19"/>
      <c r="K6409" s="19"/>
      <c r="L6409" s="19"/>
      <c r="M6409" s="19"/>
      <c r="N6409" s="19"/>
      <c r="O6409" s="14" t="str">
        <f>HYPERLINK("https://otsuka-europe-crm.veevavault.com/ui/#object/email_activity__v/V8C000000042030", "EN-002099746")</f>
        <v>EN-002099746</v>
      </c>
    </row>
    <row r="6410" spans="1:15" ht="48" x14ac:dyDescent="0.2">
      <c r="A6410" s="7" t="str">
        <f>HYPERLINK("https://otsuka-europe-crm.veevavault.com/ui/#object/account__v/V4TZ025E83PKM5I", "MARIA CRISTINA DE BARRENETXEA LEKUE")</f>
        <v>MARIA CRISTINA DE BARRENETXEA LEKUE</v>
      </c>
      <c r="B6410" s="7" t="str">
        <f>HYPERLINK("https://otsuka-europe-crm.veevavault.com/ui/#object/vcountry__v/VENZ000004SONF5", "ES")</f>
        <v>ES</v>
      </c>
      <c r="C6410" s="8" t="s">
        <v>41</v>
      </c>
      <c r="D6410" s="9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6410" s="10" t="str">
        <f>HYPERLINK("https://otsuka-europe-crm.veevavault.com/ui/#object/sent_email__v/VBL00000002S216", "SE-001434480")</f>
        <v>SE-001434480</v>
      </c>
      <c r="F6410" s="11"/>
      <c r="G6410" s="12">
        <v>0</v>
      </c>
      <c r="H6410" s="12">
        <v>0</v>
      </c>
      <c r="I6410" s="12">
        <v>0</v>
      </c>
      <c r="J6410" s="11"/>
      <c r="K6410" s="12">
        <v>0</v>
      </c>
      <c r="L6410" s="10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6410" s="10" t="str">
        <f>HYPERLINK("mailto:pmartinez@crm.otsuka-europe.com", "pmartinez@crm.otsuka-europe.com")</f>
        <v>pmartinez@crm.otsuka-europe.com</v>
      </c>
      <c r="N6410" s="13">
        <v>46182.395590277774</v>
      </c>
      <c r="O6410" s="14" t="str">
        <f>HYPERLINK("https://otsuka-europe-crm.veevavault.com/ui/#object/email_activity__v/V8C00000003R359", "EN-002092382")</f>
        <v>EN-002092382</v>
      </c>
    </row>
    <row r="6411" spans="1:15" ht="16" x14ac:dyDescent="0.2">
      <c r="A6411" s="17" t="str">
        <f>HYPERLINK("https://otsuka-europe-crm.veevavault.com/ui/#object/account__v/V4TZ025E83FFVTQ", "JORGE LABRADOR GOMEZ")</f>
        <v>JORGE LABRADOR GOMEZ</v>
      </c>
      <c r="B6411" s="17" t="str">
        <f>HYPERLINK("https://otsuka-europe-crm.veevavault.com/ui/#object/vcountry__v/VENZ000004SONF5", "ES")</f>
        <v>ES</v>
      </c>
      <c r="C6411" s="20" t="s">
        <v>41</v>
      </c>
      <c r="D6411" s="21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6411" s="22" t="str">
        <f>HYPERLINK("https://otsuka-europe-crm.veevavault.com/ui/#object/sent_email__v/VBL00000002S217", "SE-001434481")</f>
        <v>SE-001434481</v>
      </c>
      <c r="F6411" s="23">
        <v>46183.738576388889</v>
      </c>
      <c r="G6411" s="24">
        <v>1</v>
      </c>
      <c r="H6411" s="24">
        <v>1</v>
      </c>
      <c r="I6411" s="24">
        <v>0</v>
      </c>
      <c r="J6411" s="25"/>
      <c r="K6411" s="24">
        <v>0</v>
      </c>
      <c r="L6411" s="22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6411" s="22" t="str">
        <f>HYPERLINK("mailto:pmartinez@crm.otsuka-europe.com", "pmartinez@crm.otsuka-europe.com")</f>
        <v>pmartinez@crm.otsuka-europe.com</v>
      </c>
      <c r="N6411" s="23">
        <v>46182.395590277774</v>
      </c>
      <c r="O6411" s="14" t="str">
        <f>HYPERLINK("https://otsuka-europe-crm.veevavault.com/ui/#object/email_activity__v/V8C00000003Q781", "EN-002092377")</f>
        <v>EN-002092377</v>
      </c>
    </row>
    <row r="6412" spans="1:15" ht="16" x14ac:dyDescent="0.2">
      <c r="A6412" s="19"/>
      <c r="B6412" s="19"/>
      <c r="C6412" s="19"/>
      <c r="D6412" s="19"/>
      <c r="E6412" s="19"/>
      <c r="F6412" s="19"/>
      <c r="G6412" s="19"/>
      <c r="H6412" s="19"/>
      <c r="I6412" s="19"/>
      <c r="J6412" s="19"/>
      <c r="K6412" s="19"/>
      <c r="L6412" s="19"/>
      <c r="M6412" s="19"/>
      <c r="N6412" s="19"/>
      <c r="O6412" s="14" t="str">
        <f>HYPERLINK("https://otsuka-europe-crm.veevavault.com/ui/#object/email_activity__v/V8C00000003T383", "EN-002094364")</f>
        <v>EN-002094364</v>
      </c>
    </row>
    <row r="6413" spans="1:15" ht="48" x14ac:dyDescent="0.2">
      <c r="A6413" s="7" t="str">
        <f>HYPERLINK("https://otsuka-europe-crm.veevavault.com/ui/#object/account__v/V4TZ025E88WXQDO", "PATRICIA ARENAS RODRIGUEZ")</f>
        <v>PATRICIA ARENAS RODRIGUEZ</v>
      </c>
      <c r="B6413" s="7" t="str">
        <f>HYPERLINK("https://otsuka-europe-crm.veevavault.com/ui/#object/vcountry__v/VENZ000004SONF5", "ES")</f>
        <v>ES</v>
      </c>
      <c r="C6413" s="8" t="s">
        <v>41</v>
      </c>
      <c r="D6413" s="9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6413" s="10" t="str">
        <f>HYPERLINK("https://otsuka-europe-crm.veevavault.com/ui/#object/sent_email__v/VBL00000002S218", "SE-001434482")</f>
        <v>SE-001434482</v>
      </c>
      <c r="F6413" s="11"/>
      <c r="G6413" s="12">
        <v>0</v>
      </c>
      <c r="H6413" s="12">
        <v>0</v>
      </c>
      <c r="I6413" s="12">
        <v>0</v>
      </c>
      <c r="J6413" s="11"/>
      <c r="K6413" s="12">
        <v>0</v>
      </c>
      <c r="L6413" s="10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6413" s="10" t="str">
        <f>HYPERLINK("mailto:pmartinez@crm.otsuka-europe.com", "pmartinez@crm.otsuka-europe.com")</f>
        <v>pmartinez@crm.otsuka-europe.com</v>
      </c>
      <c r="N6413" s="13">
        <v>46182.395601851851</v>
      </c>
      <c r="O6413" s="14" t="str">
        <f>HYPERLINK("https://otsuka-europe-crm.veevavault.com/ui/#object/email_activity__v/V8C00000003Q780", "EN-002092376")</f>
        <v>EN-002092376</v>
      </c>
    </row>
    <row r="6414" spans="1:15" ht="48" x14ac:dyDescent="0.2">
      <c r="A6414" s="7" t="str">
        <f>HYPERLINK("https://otsuka-europe-crm.veevavault.com/ui/#object/account__v/V4TZ025E83OY19I", "MARIA MAR HERMOSILLA FERNANDEZ")</f>
        <v>MARIA MAR HERMOSILLA FERNANDEZ</v>
      </c>
      <c r="B6414" s="7" t="str">
        <f>HYPERLINK("https://otsuka-europe-crm.veevavault.com/ui/#object/vcountry__v/VENZ000004SONF5", "ES")</f>
        <v>ES</v>
      </c>
      <c r="C6414" s="8" t="s">
        <v>41</v>
      </c>
      <c r="D6414" s="9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6414" s="10" t="str">
        <f>HYPERLINK("https://otsuka-europe-crm.veevavault.com/ui/#object/sent_email__v/VBL00000002S219", "SE-001434483")</f>
        <v>SE-001434483</v>
      </c>
      <c r="F6414" s="11"/>
      <c r="G6414" s="12">
        <v>0</v>
      </c>
      <c r="H6414" s="12">
        <v>0</v>
      </c>
      <c r="I6414" s="12">
        <v>0</v>
      </c>
      <c r="J6414" s="11"/>
      <c r="K6414" s="12">
        <v>0</v>
      </c>
      <c r="L6414" s="10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6414" s="10" t="str">
        <f>HYPERLINK("mailto:pmartinez@crm.otsuka-europe.com", "pmartinez@crm.otsuka-europe.com")</f>
        <v>pmartinez@crm.otsuka-europe.com</v>
      </c>
      <c r="N6414" s="13">
        <v>46182.395601851851</v>
      </c>
      <c r="O6414" s="14" t="str">
        <f>HYPERLINK("https://otsuka-europe-crm.veevavault.com/ui/#object/email_activity__v/V8C00000003Q784", "EN-002092380")</f>
        <v>EN-002092380</v>
      </c>
    </row>
    <row r="6415" spans="1:15" ht="48" x14ac:dyDescent="0.2">
      <c r="A6415" s="7" t="str">
        <f>HYPERLINK("https://otsuka-europe-crm.veevavault.com/ui/#object/account__v/V4TZ025E83OPSI5", "AMAIA CASADO DIEZ")</f>
        <v>AMAIA CASADO DIEZ</v>
      </c>
      <c r="B6415" s="7" t="str">
        <f>HYPERLINK("https://otsuka-europe-crm.veevavault.com/ui/#object/vcountry__v/VENZ000004SONF5", "ES")</f>
        <v>ES</v>
      </c>
      <c r="C6415" s="8" t="s">
        <v>41</v>
      </c>
      <c r="D6415" s="9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6415" s="10" t="str">
        <f>HYPERLINK("https://otsuka-europe-crm.veevavault.com/ui/#object/sent_email__v/VBL00000002S220", "SE-001434484")</f>
        <v>SE-001434484</v>
      </c>
      <c r="F6415" s="11"/>
      <c r="G6415" s="12">
        <v>0</v>
      </c>
      <c r="H6415" s="12">
        <v>0</v>
      </c>
      <c r="I6415" s="12">
        <v>0</v>
      </c>
      <c r="J6415" s="11"/>
      <c r="K6415" s="12">
        <v>0</v>
      </c>
      <c r="L6415" s="10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6415" s="10" t="str">
        <f>HYPERLINK("mailto:pmartinez@crm.otsuka-europe.com", "pmartinez@crm.otsuka-europe.com")</f>
        <v>pmartinez@crm.otsuka-europe.com</v>
      </c>
      <c r="N6415" s="13">
        <v>46182.395601851851</v>
      </c>
      <c r="O6415" s="14" t="str">
        <f>HYPERLINK("https://otsuka-europe-crm.veevavault.com/ui/#object/email_activity__v/V8C00000003Q783", "EN-002092379")</f>
        <v>EN-002092379</v>
      </c>
    </row>
    <row r="6416" spans="1:15" ht="48" x14ac:dyDescent="0.2">
      <c r="A6416" s="7" t="str">
        <f>HYPERLINK("https://otsuka-europe-crm.veevavault.com/ui/#object/account__v/V4TZ025E877HOFE", "NEREA CAMINOS ALTUNA")</f>
        <v>NEREA CAMINOS ALTUNA</v>
      </c>
      <c r="B6416" s="7" t="str">
        <f>HYPERLINK("https://otsuka-europe-crm.veevavault.com/ui/#object/vcountry__v/VENZ000004SONF5", "ES")</f>
        <v>ES</v>
      </c>
      <c r="C6416" s="8" t="s">
        <v>41</v>
      </c>
      <c r="D6416" s="9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6416" s="10" t="str">
        <f>HYPERLINK("https://otsuka-europe-crm.veevavault.com/ui/#object/sent_email__v/VBL00000002S221", "SE-001434485")</f>
        <v>SE-001434485</v>
      </c>
      <c r="F6416" s="11"/>
      <c r="G6416" s="12">
        <v>0</v>
      </c>
      <c r="H6416" s="12">
        <v>0</v>
      </c>
      <c r="I6416" s="12">
        <v>0</v>
      </c>
      <c r="J6416" s="11"/>
      <c r="K6416" s="12">
        <v>0</v>
      </c>
      <c r="L6416" s="10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6416" s="10" t="str">
        <f>HYPERLINK("mailto:pmartinez@crm.otsuka-europe.com", "pmartinez@crm.otsuka-europe.com")</f>
        <v>pmartinez@crm.otsuka-europe.com</v>
      </c>
      <c r="N6416" s="13">
        <v>46182.395601851851</v>
      </c>
      <c r="O6416" s="14" t="str">
        <f>HYPERLINK("https://otsuka-europe-crm.veevavault.com/ui/#object/email_activity__v/V8C00000003R362", "EN-002092385")</f>
        <v>EN-002092385</v>
      </c>
    </row>
    <row r="6417" spans="1:15" ht="16" x14ac:dyDescent="0.2">
      <c r="A6417" s="17" t="str">
        <f>HYPERLINK("https://otsuka-europe-crm.veevavault.com/ui/#object/account__v/V4TZ04ASGE7FDFX", "ANA ALFONSO PIEROLA")</f>
        <v>ANA ALFONSO PIEROLA</v>
      </c>
      <c r="B6417" s="17" t="str">
        <f>HYPERLINK("https://otsuka-europe-crm.veevavault.com/ui/#object/vcountry__v/VENZ000004SONF5", "ES")</f>
        <v>ES</v>
      </c>
      <c r="C6417" s="20" t="s">
        <v>41</v>
      </c>
      <c r="D6417" s="21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6417" s="22" t="str">
        <f>HYPERLINK("https://otsuka-europe-crm.veevavault.com/ui/#object/sent_email__v/VBL00000002S222", "SE-001434486")</f>
        <v>SE-001434486</v>
      </c>
      <c r="F6417" s="23">
        <v>46182.401597222219</v>
      </c>
      <c r="G6417" s="24">
        <v>1</v>
      </c>
      <c r="H6417" s="24">
        <v>1</v>
      </c>
      <c r="I6417" s="24">
        <v>0</v>
      </c>
      <c r="J6417" s="25"/>
      <c r="K6417" s="24">
        <v>0</v>
      </c>
      <c r="L6417" s="22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6417" s="22" t="str">
        <f>HYPERLINK("mailto:pmartinez@crm.otsuka-europe.com", "pmartinez@crm.otsuka-europe.com")</f>
        <v>pmartinez@crm.otsuka-europe.com</v>
      </c>
      <c r="N6417" s="23">
        <v>46182.395601851851</v>
      </c>
      <c r="O6417" s="14" t="str">
        <f>HYPERLINK("https://otsuka-europe-crm.veevavault.com/ui/#object/email_activity__v/V8C00000003Q788", "EN-002092398")</f>
        <v>EN-002092398</v>
      </c>
    </row>
    <row r="6418" spans="1:15" ht="16" x14ac:dyDescent="0.2">
      <c r="A6418" s="19"/>
      <c r="B6418" s="19"/>
      <c r="C6418" s="19"/>
      <c r="D6418" s="19"/>
      <c r="E6418" s="19"/>
      <c r="F6418" s="19"/>
      <c r="G6418" s="19"/>
      <c r="H6418" s="19"/>
      <c r="I6418" s="19"/>
      <c r="J6418" s="19"/>
      <c r="K6418" s="19"/>
      <c r="L6418" s="19"/>
      <c r="M6418" s="19"/>
      <c r="N6418" s="19"/>
      <c r="O6418" s="14" t="str">
        <f>HYPERLINK("https://otsuka-europe-crm.veevavault.com/ui/#object/email_activity__v/V8C00000003R368", "EN-002092391")</f>
        <v>EN-002092391</v>
      </c>
    </row>
    <row r="6419" spans="1:15" ht="48" x14ac:dyDescent="0.2">
      <c r="A6419" s="7" t="str">
        <f>HYPERLINK("https://otsuka-europe-crm.veevavault.com/ui/#object/account__v/V4TZ025E85QIRZC", "JOSE MARIA ARGUIÑANO PEREZ")</f>
        <v>JOSE MARIA ARGUIÑANO PEREZ</v>
      </c>
      <c r="B6419" s="7" t="str">
        <f t="shared" ref="B6419:B6424" si="608">HYPERLINK("https://otsuka-europe-crm.veevavault.com/ui/#object/vcountry__v/VENZ000004SONF5", "ES")</f>
        <v>ES</v>
      </c>
      <c r="C6419" s="8" t="s">
        <v>41</v>
      </c>
      <c r="D6419" s="9" t="str">
        <f t="shared" ref="D6419:D6424" si="609"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6419" s="10" t="str">
        <f>HYPERLINK("https://otsuka-europe-crm.veevavault.com/ui/#object/sent_email__v/VBL00000002S223", "SE-001434487")</f>
        <v>SE-001434487</v>
      </c>
      <c r="F6419" s="11"/>
      <c r="G6419" s="12">
        <v>0</v>
      </c>
      <c r="H6419" s="12">
        <v>0</v>
      </c>
      <c r="I6419" s="12">
        <v>0</v>
      </c>
      <c r="J6419" s="11"/>
      <c r="K6419" s="12">
        <v>0</v>
      </c>
      <c r="L6419" s="10" t="str">
        <f t="shared" ref="L6419:L6424" si="610"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6419" s="10" t="str">
        <f t="shared" ref="M6419:M6424" si="611">HYPERLINK("mailto:pmartinez@crm.otsuka-europe.com", "pmartinez@crm.otsuka-europe.com")</f>
        <v>pmartinez@crm.otsuka-europe.com</v>
      </c>
      <c r="N6419" s="13">
        <v>46182.395601851851</v>
      </c>
      <c r="O6419" s="14" t="str">
        <f>HYPERLINK("https://otsuka-europe-crm.veevavault.com/ui/#object/email_activity__v/V8C00000003R370", "EN-002092393")</f>
        <v>EN-002092393</v>
      </c>
    </row>
    <row r="6420" spans="1:15" ht="48" x14ac:dyDescent="0.2">
      <c r="A6420" s="7" t="str">
        <f>HYPERLINK("https://otsuka-europe-crm.veevavault.com/ui/#object/account__v/V4TZ025E86YLND3", "ISABEL GARCIA BOSQUE")</f>
        <v>ISABEL GARCIA BOSQUE</v>
      </c>
      <c r="B6420" s="7" t="str">
        <f t="shared" si="608"/>
        <v>ES</v>
      </c>
      <c r="C6420" s="8" t="s">
        <v>41</v>
      </c>
      <c r="D6420" s="9" t="str">
        <f t="shared" si="609"/>
        <v>INA -  Webinar "30 minutos en casa" con la Dra. Irene Sánchez - 15 junio</v>
      </c>
      <c r="E6420" s="10" t="str">
        <f>HYPERLINK("https://otsuka-europe-crm.veevavault.com/ui/#object/sent_email__v/VBL00000002S224", "SE-001434488")</f>
        <v>SE-001434488</v>
      </c>
      <c r="F6420" s="11"/>
      <c r="G6420" s="12">
        <v>0</v>
      </c>
      <c r="H6420" s="12">
        <v>0</v>
      </c>
      <c r="I6420" s="12">
        <v>0</v>
      </c>
      <c r="J6420" s="11"/>
      <c r="K6420" s="12">
        <v>0</v>
      </c>
      <c r="L6420" s="10" t="str">
        <f t="shared" si="610"/>
        <v>INA -  Webinar "30 minutos en casa" con la Dra. Irene Sánchez - 15 junio</v>
      </c>
      <c r="M6420" s="10" t="str">
        <f t="shared" si="611"/>
        <v>pmartinez@crm.otsuka-europe.com</v>
      </c>
      <c r="N6420" s="13">
        <v>46182.395601851851</v>
      </c>
      <c r="O6420" s="14" t="str">
        <f>HYPERLINK("https://otsuka-europe-crm.veevavault.com/ui/#object/email_activity__v/V8C00000003Q785", "EN-002092381")</f>
        <v>EN-002092381</v>
      </c>
    </row>
    <row r="6421" spans="1:15" ht="48" x14ac:dyDescent="0.2">
      <c r="A6421" s="7" t="str">
        <f>HYPERLINK("https://otsuka-europe-crm.veevavault.com/ui/#object/account__v/V4TZ025E836I81H", "JUAN CARLOS GARCIA RUIZ")</f>
        <v>JUAN CARLOS GARCIA RUIZ</v>
      </c>
      <c r="B6421" s="7" t="str">
        <f t="shared" si="608"/>
        <v>ES</v>
      </c>
      <c r="C6421" s="8" t="s">
        <v>41</v>
      </c>
      <c r="D6421" s="9" t="str">
        <f t="shared" si="609"/>
        <v>INA -  Webinar "30 minutos en casa" con la Dra. Irene Sánchez - 15 junio</v>
      </c>
      <c r="E6421" s="10" t="str">
        <f>HYPERLINK("https://otsuka-europe-crm.veevavault.com/ui/#object/sent_email__v/VBL00000002S225", "SE-001434489")</f>
        <v>SE-001434489</v>
      </c>
      <c r="F6421" s="11"/>
      <c r="G6421" s="12">
        <v>0</v>
      </c>
      <c r="H6421" s="12">
        <v>0</v>
      </c>
      <c r="I6421" s="12">
        <v>0</v>
      </c>
      <c r="J6421" s="11"/>
      <c r="K6421" s="12">
        <v>0</v>
      </c>
      <c r="L6421" s="10" t="str">
        <f t="shared" si="610"/>
        <v>INA -  Webinar "30 minutos en casa" con la Dra. Irene Sánchez - 15 junio</v>
      </c>
      <c r="M6421" s="10" t="str">
        <f t="shared" si="611"/>
        <v>pmartinez@crm.otsuka-europe.com</v>
      </c>
      <c r="N6421" s="13">
        <v>46182.395601851851</v>
      </c>
      <c r="O6421" s="14" t="str">
        <f>HYPERLINK("https://otsuka-europe-crm.veevavault.com/ui/#object/email_activity__v/V8C00000003R366", "EN-002092389")</f>
        <v>EN-002092389</v>
      </c>
    </row>
    <row r="6422" spans="1:15" ht="48" x14ac:dyDescent="0.2">
      <c r="A6422" s="7" t="str">
        <f>HYPERLINK("https://otsuka-europe-crm.veevavault.com/ui/#object/account__v/V4TZ025E83OY8QY", "MARIA JOSEFA NAJERA IRAZU")</f>
        <v>MARIA JOSEFA NAJERA IRAZU</v>
      </c>
      <c r="B6422" s="7" t="str">
        <f t="shared" si="608"/>
        <v>ES</v>
      </c>
      <c r="C6422" s="8" t="s">
        <v>41</v>
      </c>
      <c r="D6422" s="9" t="str">
        <f t="shared" si="609"/>
        <v>INA -  Webinar "30 minutos en casa" con la Dra. Irene Sánchez - 15 junio</v>
      </c>
      <c r="E6422" s="10" t="str">
        <f>HYPERLINK("https://otsuka-europe-crm.veevavault.com/ui/#object/sent_email__v/VBL00000002S226", "SE-001434490")</f>
        <v>SE-001434490</v>
      </c>
      <c r="F6422" s="11"/>
      <c r="G6422" s="12">
        <v>0</v>
      </c>
      <c r="H6422" s="12">
        <v>0</v>
      </c>
      <c r="I6422" s="12">
        <v>0</v>
      </c>
      <c r="J6422" s="11"/>
      <c r="K6422" s="12">
        <v>0</v>
      </c>
      <c r="L6422" s="10" t="str">
        <f t="shared" si="610"/>
        <v>INA -  Webinar "30 minutos en casa" con la Dra. Irene Sánchez - 15 junio</v>
      </c>
      <c r="M6422" s="10" t="str">
        <f t="shared" si="611"/>
        <v>pmartinez@crm.otsuka-europe.com</v>
      </c>
      <c r="N6422" s="13">
        <v>46182.395601851851</v>
      </c>
      <c r="O6422" s="14" t="str">
        <f>HYPERLINK("https://otsuka-europe-crm.veevavault.com/ui/#object/email_activity__v/V8C00000003Q779", "EN-002092375")</f>
        <v>EN-002092375</v>
      </c>
    </row>
    <row r="6423" spans="1:15" ht="48" x14ac:dyDescent="0.2">
      <c r="A6423" s="7" t="str">
        <f>HYPERLINK("https://otsuka-europe-crm.veevavault.com/ui/#object/account__v/V4TZ025E83OXU0F", "MARIA PILAR HERRERA PEREZ")</f>
        <v>MARIA PILAR HERRERA PEREZ</v>
      </c>
      <c r="B6423" s="7" t="str">
        <f t="shared" si="608"/>
        <v>ES</v>
      </c>
      <c r="C6423" s="8" t="s">
        <v>41</v>
      </c>
      <c r="D6423" s="9" t="str">
        <f t="shared" si="609"/>
        <v>INA -  Webinar "30 minutos en casa" con la Dra. Irene Sánchez - 15 junio</v>
      </c>
      <c r="E6423" s="10" t="str">
        <f>HYPERLINK("https://otsuka-europe-crm.veevavault.com/ui/#object/sent_email__v/VBL00000002S227", "SE-001434491")</f>
        <v>SE-001434491</v>
      </c>
      <c r="F6423" s="11"/>
      <c r="G6423" s="12">
        <v>0</v>
      </c>
      <c r="H6423" s="12">
        <v>0</v>
      </c>
      <c r="I6423" s="12">
        <v>0</v>
      </c>
      <c r="J6423" s="11"/>
      <c r="K6423" s="12">
        <v>0</v>
      </c>
      <c r="L6423" s="10" t="str">
        <f t="shared" si="610"/>
        <v>INA -  Webinar "30 minutos en casa" con la Dra. Irene Sánchez - 15 junio</v>
      </c>
      <c r="M6423" s="10" t="str">
        <f t="shared" si="611"/>
        <v>pmartinez@crm.otsuka-europe.com</v>
      </c>
      <c r="N6423" s="13">
        <v>46182.395590277774</v>
      </c>
      <c r="O6423" s="14" t="str">
        <f>HYPERLINK("https://otsuka-europe-crm.veevavault.com/ui/#object/email_activity__v/V8C00000003R363", "EN-002092386")</f>
        <v>EN-002092386</v>
      </c>
    </row>
    <row r="6424" spans="1:15" ht="16" x14ac:dyDescent="0.2">
      <c r="A6424" s="17" t="str">
        <f>HYPERLINK("https://otsuka-europe-crm.veevavault.com/ui/#object/account__v/V4TZ025E83OXP5G", "JESUS FELIU SANCHEZ")</f>
        <v>JESUS FELIU SANCHEZ</v>
      </c>
      <c r="B6424" s="17" t="str">
        <f t="shared" si="608"/>
        <v>ES</v>
      </c>
      <c r="C6424" s="20" t="s">
        <v>41</v>
      </c>
      <c r="D6424" s="21" t="str">
        <f t="shared" si="609"/>
        <v>INA -  Webinar "30 minutos en casa" con la Dra. Irene Sánchez - 15 junio</v>
      </c>
      <c r="E6424" s="22" t="str">
        <f>HYPERLINK("https://otsuka-europe-crm.veevavault.com/ui/#object/sent_email__v/VBL00000002S228", "SE-001434492")</f>
        <v>SE-001434492</v>
      </c>
      <c r="F6424" s="25"/>
      <c r="G6424" s="24">
        <v>0</v>
      </c>
      <c r="H6424" s="24">
        <v>0</v>
      </c>
      <c r="I6424" s="24">
        <v>0</v>
      </c>
      <c r="J6424" s="25"/>
      <c r="K6424" s="24">
        <v>0</v>
      </c>
      <c r="L6424" s="22" t="str">
        <f t="shared" si="610"/>
        <v>INA -  Webinar "30 minutos en casa" con la Dra. Irene Sánchez - 15 junio</v>
      </c>
      <c r="M6424" s="22" t="str">
        <f t="shared" si="611"/>
        <v>pmartinez@crm.otsuka-europe.com</v>
      </c>
      <c r="N6424" s="23">
        <v>46182.395590277774</v>
      </c>
      <c r="O6424" s="14" t="str">
        <f>HYPERLINK("https://otsuka-europe-crm.veevavault.com/ui/#object/email_activity__v/V8C00000003Q778", "EN-002092374")</f>
        <v>EN-002092374</v>
      </c>
    </row>
    <row r="6425" spans="1:15" ht="16" x14ac:dyDescent="0.2">
      <c r="A6425" s="19"/>
      <c r="B6425" s="19"/>
      <c r="C6425" s="19"/>
      <c r="D6425" s="19"/>
      <c r="E6425" s="19"/>
      <c r="F6425" s="19"/>
      <c r="G6425" s="19"/>
      <c r="H6425" s="19"/>
      <c r="I6425" s="19"/>
      <c r="J6425" s="19"/>
      <c r="K6425" s="19"/>
      <c r="L6425" s="19"/>
      <c r="M6425" s="19"/>
      <c r="N6425" s="19"/>
      <c r="O6425" s="14" t="str">
        <f>HYPERLINK("https://otsuka-europe-crm.veevavault.com/ui/#object/email_activity__v/V8C00000003R372", "EN-002092397")</f>
        <v>EN-002092397</v>
      </c>
    </row>
    <row r="6426" spans="1:15" ht="16" x14ac:dyDescent="0.2">
      <c r="A6426" s="17" t="str">
        <f>HYPERLINK("https://otsuka-europe-crm.veevavault.com/ui/#object/account__v/V4TZ025E83OPUL5", "AMAIA BALERDI MALCORRA")</f>
        <v>AMAIA BALERDI MALCORRA</v>
      </c>
      <c r="B6426" s="17" t="str">
        <f>HYPERLINK("https://otsuka-europe-crm.veevavault.com/ui/#object/vcountry__v/VENZ000004SONF5", "ES")</f>
        <v>ES</v>
      </c>
      <c r="C6426" s="20" t="s">
        <v>41</v>
      </c>
      <c r="D6426" s="21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6426" s="22" t="str">
        <f>HYPERLINK("https://otsuka-europe-crm.veevavault.com/ui/#object/sent_email__v/VBL00000002S229", "SE-001434493")</f>
        <v>SE-001434493</v>
      </c>
      <c r="F6426" s="23">
        <v>46182.505752314813</v>
      </c>
      <c r="G6426" s="24">
        <v>1</v>
      </c>
      <c r="H6426" s="24">
        <v>1</v>
      </c>
      <c r="I6426" s="24">
        <v>0</v>
      </c>
      <c r="J6426" s="25"/>
      <c r="K6426" s="24">
        <v>0</v>
      </c>
      <c r="L6426" s="22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6426" s="22" t="str">
        <f>HYPERLINK("mailto:pmartinez@crm.otsuka-europe.com", "pmartinez@crm.otsuka-europe.com")</f>
        <v>pmartinez@crm.otsuka-europe.com</v>
      </c>
      <c r="N6426" s="23">
        <v>46182.395601851851</v>
      </c>
      <c r="O6426" s="14" t="str">
        <f>HYPERLINK("https://otsuka-europe-crm.veevavault.com/ui/#object/email_activity__v/V8C00000003Q776", "EN-002092372")</f>
        <v>EN-002092372</v>
      </c>
    </row>
    <row r="6427" spans="1:15" ht="16" x14ac:dyDescent="0.2">
      <c r="A6427" s="19"/>
      <c r="B6427" s="19"/>
      <c r="C6427" s="19"/>
      <c r="D6427" s="19"/>
      <c r="E6427" s="19"/>
      <c r="F6427" s="19"/>
      <c r="G6427" s="19"/>
      <c r="H6427" s="19"/>
      <c r="I6427" s="19"/>
      <c r="J6427" s="19"/>
      <c r="K6427" s="19"/>
      <c r="L6427" s="19"/>
      <c r="M6427" s="19"/>
      <c r="N6427" s="19"/>
      <c r="O6427" s="14" t="str">
        <f>HYPERLINK("https://otsuka-europe-crm.veevavault.com/ui/#object/email_activity__v/V8C00000003R624", "EN-002092893")</f>
        <v>EN-002092893</v>
      </c>
    </row>
    <row r="6428" spans="1:15" ht="48" x14ac:dyDescent="0.2">
      <c r="A6428" s="7" t="str">
        <f>HYPERLINK("https://otsuka-europe-crm.veevavault.com/ui/#object/account__v/V4TZ06G6O71TB1J", "FERNANDO MARCO DE LUCAS")</f>
        <v>FERNANDO MARCO DE LUCAS</v>
      </c>
      <c r="B6428" s="7" t="str">
        <f>HYPERLINK("https://otsuka-europe-crm.veevavault.com/ui/#object/vcountry__v/VENZ000004SONF5", "ES")</f>
        <v>ES</v>
      </c>
      <c r="C6428" s="8" t="s">
        <v>41</v>
      </c>
      <c r="D6428" s="9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6428" s="10" t="str">
        <f>HYPERLINK("https://otsuka-europe-crm.veevavault.com/ui/#object/sent_email__v/VBL00000002S230", "SE-001434494")</f>
        <v>SE-001434494</v>
      </c>
      <c r="F6428" s="11"/>
      <c r="G6428" s="12">
        <v>0</v>
      </c>
      <c r="H6428" s="12">
        <v>0</v>
      </c>
      <c r="I6428" s="12">
        <v>0</v>
      </c>
      <c r="J6428" s="11"/>
      <c r="K6428" s="12">
        <v>0</v>
      </c>
      <c r="L6428" s="10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6428" s="10" t="str">
        <f>HYPERLINK("mailto:pmartinez@crm.otsuka-europe.com", "pmartinez@crm.otsuka-europe.com")</f>
        <v>pmartinez@crm.otsuka-europe.com</v>
      </c>
      <c r="N6428" s="13">
        <v>46182.395601851851</v>
      </c>
      <c r="O6428" s="14" t="str">
        <f>HYPERLINK("https://otsuka-europe-crm.veevavault.com/ui/#object/email_activity__v/V8C00000003Q775", "EN-002092371")</f>
        <v>EN-002092371</v>
      </c>
    </row>
    <row r="6429" spans="1:15" ht="48" x14ac:dyDescent="0.2">
      <c r="A6429" s="7" t="str">
        <f>HYPERLINK("https://otsuka-europe-crm.veevavault.com/ui/#object/account__v/V4TZ025E877HGBT", "ESTHER PEREZ SANTAOLALLA")</f>
        <v>ESTHER PEREZ SANTAOLALLA</v>
      </c>
      <c r="B6429" s="7" t="str">
        <f>HYPERLINK("https://otsuka-europe-crm.veevavault.com/ui/#object/vcountry__v/VENZ000004SONF5", "ES")</f>
        <v>ES</v>
      </c>
      <c r="C6429" s="8" t="s">
        <v>41</v>
      </c>
      <c r="D6429" s="9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6429" s="10" t="str">
        <f>HYPERLINK("https://otsuka-europe-crm.veevavault.com/ui/#object/sent_email__v/VBL00000002S231", "SE-001434495")</f>
        <v>SE-001434495</v>
      </c>
      <c r="F6429" s="11"/>
      <c r="G6429" s="12">
        <v>0</v>
      </c>
      <c r="H6429" s="12">
        <v>0</v>
      </c>
      <c r="I6429" s="12">
        <v>0</v>
      </c>
      <c r="J6429" s="11"/>
      <c r="K6429" s="12">
        <v>0</v>
      </c>
      <c r="L6429" s="10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6429" s="10" t="str">
        <f>HYPERLINK("mailto:pmartinez@crm.otsuka-europe.com", "pmartinez@crm.otsuka-europe.com")</f>
        <v>pmartinez@crm.otsuka-europe.com</v>
      </c>
      <c r="N6429" s="13">
        <v>46182.395601851851</v>
      </c>
      <c r="O6429" s="14" t="str">
        <f>HYPERLINK("https://otsuka-europe-crm.veevavault.com/ui/#object/email_activity__v/V8C00000003Q777", "EN-002092373")</f>
        <v>EN-002092373</v>
      </c>
    </row>
    <row r="6430" spans="1:15" ht="16" x14ac:dyDescent="0.2">
      <c r="A6430" s="17" t="str">
        <f>HYPERLINK("https://otsuka-europe-crm.veevavault.com/ui/#object/account__v/V4TZ025E8484XHH", "JOSE MARIA GUINEA DE CASTRO")</f>
        <v>JOSE MARIA GUINEA DE CASTRO</v>
      </c>
      <c r="B6430" s="17" t="str">
        <f>HYPERLINK("https://otsuka-europe-crm.veevavault.com/ui/#object/vcountry__v/VENZ000004SONF5", "ES")</f>
        <v>ES</v>
      </c>
      <c r="C6430" s="20" t="s">
        <v>41</v>
      </c>
      <c r="D6430" s="21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6430" s="22" t="str">
        <f>HYPERLINK("https://otsuka-europe-crm.veevavault.com/ui/#object/sent_email__v/VBL00000002S232", "SE-001434496")</f>
        <v>SE-001434496</v>
      </c>
      <c r="F6430" s="23">
        <v>46182.530405092592</v>
      </c>
      <c r="G6430" s="24">
        <v>1</v>
      </c>
      <c r="H6430" s="24">
        <v>1</v>
      </c>
      <c r="I6430" s="24">
        <v>0</v>
      </c>
      <c r="J6430" s="25"/>
      <c r="K6430" s="24">
        <v>0</v>
      </c>
      <c r="L6430" s="22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6430" s="22" t="str">
        <f>HYPERLINK("mailto:pmartinez@crm.otsuka-europe.com", "pmartinez@crm.otsuka-europe.com")</f>
        <v>pmartinez@crm.otsuka-europe.com</v>
      </c>
      <c r="N6430" s="23">
        <v>46182.395601851851</v>
      </c>
      <c r="O6430" s="14" t="str">
        <f>HYPERLINK("https://otsuka-europe-crm.veevavault.com/ui/#object/email_activity__v/V8C00000003Q774", "EN-002092370")</f>
        <v>EN-002092370</v>
      </c>
    </row>
    <row r="6431" spans="1:15" ht="16" x14ac:dyDescent="0.2">
      <c r="A6431" s="19"/>
      <c r="B6431" s="19"/>
      <c r="C6431" s="19"/>
      <c r="D6431" s="19"/>
      <c r="E6431" s="19"/>
      <c r="F6431" s="19"/>
      <c r="G6431" s="19"/>
      <c r="H6431" s="19"/>
      <c r="I6431" s="19"/>
      <c r="J6431" s="19"/>
      <c r="K6431" s="19"/>
      <c r="L6431" s="19"/>
      <c r="M6431" s="19"/>
      <c r="N6431" s="19"/>
      <c r="O6431" s="14" t="str">
        <f>HYPERLINK("https://otsuka-europe-crm.veevavault.com/ui/#object/email_activity__v/V8C00000003R633", "EN-002092909")</f>
        <v>EN-002092909</v>
      </c>
    </row>
    <row r="6432" spans="1:15" ht="48" x14ac:dyDescent="0.2">
      <c r="A6432" s="7" t="str">
        <f>HYPERLINK("https://otsuka-europe-crm.veevavault.com/ui/#object/account__v/V4TZ025E866ZVFP", "EUKENE GAINZA GONZALEZ")</f>
        <v>EUKENE GAINZA GONZALEZ</v>
      </c>
      <c r="B6432" s="7" t="str">
        <f t="shared" ref="B6432:B6439" si="612">HYPERLINK("https://otsuka-europe-crm.veevavault.com/ui/#object/vcountry__v/VENZ000004SONF5", "ES")</f>
        <v>ES</v>
      </c>
      <c r="C6432" s="8" t="s">
        <v>41</v>
      </c>
      <c r="D6432" s="9" t="str">
        <f t="shared" ref="D6432:D6438" si="613"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6432" s="10" t="str">
        <f>HYPERLINK("https://otsuka-europe-crm.veevavault.com/ui/#object/sent_email__v/VBL00000002S233", "SE-001434497")</f>
        <v>SE-001434497</v>
      </c>
      <c r="F6432" s="11"/>
      <c r="G6432" s="12">
        <v>0</v>
      </c>
      <c r="H6432" s="12">
        <v>0</v>
      </c>
      <c r="I6432" s="12">
        <v>0</v>
      </c>
      <c r="J6432" s="11"/>
      <c r="K6432" s="12">
        <v>0</v>
      </c>
      <c r="L6432" s="10" t="str">
        <f t="shared" ref="L6432:L6438" si="614"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6432" s="10" t="str">
        <f t="shared" ref="M6432:M6439" si="615">HYPERLINK("mailto:pmartinez@crm.otsuka-europe.com", "pmartinez@crm.otsuka-europe.com")</f>
        <v>pmartinez@crm.otsuka-europe.com</v>
      </c>
      <c r="N6432" s="13">
        <v>46182.395601851851</v>
      </c>
      <c r="O6432" s="14" t="str">
        <f>HYPERLINK("https://otsuka-europe-crm.veevavault.com/ui/#object/email_activity__v/V8C00000003Q782", "EN-002092378")</f>
        <v>EN-002092378</v>
      </c>
    </row>
    <row r="6433" spans="1:15" ht="48" x14ac:dyDescent="0.2">
      <c r="A6433" s="7" t="str">
        <f>HYPERLINK("https://otsuka-europe-crm.veevavault.com/ui/#object/account__v/V4TZ025E85ANYNY", "JOSE JUAN RIFON ROCA")</f>
        <v>JOSE JUAN RIFON ROCA</v>
      </c>
      <c r="B6433" s="7" t="str">
        <f t="shared" si="612"/>
        <v>ES</v>
      </c>
      <c r="C6433" s="8" t="s">
        <v>41</v>
      </c>
      <c r="D6433" s="9" t="str">
        <f t="shared" si="613"/>
        <v>INA -  Webinar "30 minutos en casa" con la Dra. Irene Sánchez - 15 junio</v>
      </c>
      <c r="E6433" s="10" t="str">
        <f>HYPERLINK("https://otsuka-europe-crm.veevavault.com/ui/#object/sent_email__v/VBL00000002S234", "SE-001434498")</f>
        <v>SE-001434498</v>
      </c>
      <c r="F6433" s="11"/>
      <c r="G6433" s="12">
        <v>0</v>
      </c>
      <c r="H6433" s="12">
        <v>0</v>
      </c>
      <c r="I6433" s="12">
        <v>0</v>
      </c>
      <c r="J6433" s="11"/>
      <c r="K6433" s="12">
        <v>0</v>
      </c>
      <c r="L6433" s="10" t="str">
        <f t="shared" si="614"/>
        <v>INA -  Webinar "30 minutos en casa" con la Dra. Irene Sánchez - 15 junio</v>
      </c>
      <c r="M6433" s="10" t="str">
        <f t="shared" si="615"/>
        <v>pmartinez@crm.otsuka-europe.com</v>
      </c>
      <c r="N6433" s="13">
        <v>46182.395601851851</v>
      </c>
      <c r="O6433" s="14" t="str">
        <f>HYPERLINK("https://otsuka-europe-crm.veevavault.com/ui/#object/email_activity__v/V8C00000003R367", "EN-002092390")</f>
        <v>EN-002092390</v>
      </c>
    </row>
    <row r="6434" spans="1:15" ht="48" x14ac:dyDescent="0.2">
      <c r="A6434" s="7" t="str">
        <f>HYPERLINK("https://otsuka-europe-crm.veevavault.com/ui/#object/account__v/V4TZ025E83BBZIP", "MARIA ELENA AMUTIO DIEZ")</f>
        <v>MARIA ELENA AMUTIO DIEZ</v>
      </c>
      <c r="B6434" s="7" t="str">
        <f t="shared" si="612"/>
        <v>ES</v>
      </c>
      <c r="C6434" s="8" t="s">
        <v>41</v>
      </c>
      <c r="D6434" s="9" t="str">
        <f t="shared" si="613"/>
        <v>INA -  Webinar "30 minutos en casa" con la Dra. Irene Sánchez - 15 junio</v>
      </c>
      <c r="E6434" s="10" t="str">
        <f>HYPERLINK("https://otsuka-europe-crm.veevavault.com/ui/#object/sent_email__v/VBL00000002S235", "SE-001434499")</f>
        <v>SE-001434499</v>
      </c>
      <c r="F6434" s="11"/>
      <c r="G6434" s="12">
        <v>0</v>
      </c>
      <c r="H6434" s="12">
        <v>0</v>
      </c>
      <c r="I6434" s="12">
        <v>0</v>
      </c>
      <c r="J6434" s="11"/>
      <c r="K6434" s="12">
        <v>0</v>
      </c>
      <c r="L6434" s="10" t="str">
        <f t="shared" si="614"/>
        <v>INA -  Webinar "30 minutos en casa" con la Dra. Irene Sánchez - 15 junio</v>
      </c>
      <c r="M6434" s="10" t="str">
        <f t="shared" si="615"/>
        <v>pmartinez@crm.otsuka-europe.com</v>
      </c>
      <c r="N6434" s="13">
        <v>46182.395601851851</v>
      </c>
      <c r="O6434" s="14" t="str">
        <f>HYPERLINK("https://otsuka-europe-crm.veevavault.com/ui/#object/email_activity__v/V8C00000003R361", "EN-002092384")</f>
        <v>EN-002092384</v>
      </c>
    </row>
    <row r="6435" spans="1:15" ht="48" x14ac:dyDescent="0.2">
      <c r="A6435" s="7" t="str">
        <f>HYPERLINK("https://otsuka-europe-crm.veevavault.com/ui/#object/account__v/V4TZ04ASGGI6DSP", "MARIA MERCEDES COLORADO ARAUJO")</f>
        <v>MARIA MERCEDES COLORADO ARAUJO</v>
      </c>
      <c r="B6435" s="7" t="str">
        <f t="shared" si="612"/>
        <v>ES</v>
      </c>
      <c r="C6435" s="8" t="s">
        <v>41</v>
      </c>
      <c r="D6435" s="9" t="str">
        <f t="shared" si="613"/>
        <v>INA -  Webinar "30 minutos en casa" con la Dra. Irene Sánchez - 15 junio</v>
      </c>
      <c r="E6435" s="10" t="str">
        <f>HYPERLINK("https://otsuka-europe-crm.veevavault.com/ui/#object/sent_email__v/VBL00000002S236", "SE-001434500")</f>
        <v>SE-001434500</v>
      </c>
      <c r="F6435" s="11"/>
      <c r="G6435" s="12">
        <v>0</v>
      </c>
      <c r="H6435" s="12">
        <v>0</v>
      </c>
      <c r="I6435" s="12">
        <v>0</v>
      </c>
      <c r="J6435" s="11"/>
      <c r="K6435" s="12">
        <v>0</v>
      </c>
      <c r="L6435" s="10" t="str">
        <f t="shared" si="614"/>
        <v>INA -  Webinar "30 minutos en casa" con la Dra. Irene Sánchez - 15 junio</v>
      </c>
      <c r="M6435" s="10" t="str">
        <f t="shared" si="615"/>
        <v>pmartinez@crm.otsuka-europe.com</v>
      </c>
      <c r="N6435" s="13">
        <v>46182.395601851851</v>
      </c>
      <c r="O6435" s="14" t="str">
        <f>HYPERLINK("https://otsuka-europe-crm.veevavault.com/ui/#object/email_activity__v/V8C00000003R364", "EN-002092387")</f>
        <v>EN-002092387</v>
      </c>
    </row>
    <row r="6436" spans="1:15" ht="48" x14ac:dyDescent="0.2">
      <c r="A6436" s="7" t="str">
        <f>HYPERLINK("https://otsuka-europe-crm.veevavault.com/ui/#object/account__v/V4TZ025E866IPUD", "OLGA ARCE FERNANDEZ")</f>
        <v>OLGA ARCE FERNANDEZ</v>
      </c>
      <c r="B6436" s="7" t="str">
        <f t="shared" si="612"/>
        <v>ES</v>
      </c>
      <c r="C6436" s="8" t="s">
        <v>41</v>
      </c>
      <c r="D6436" s="9" t="str">
        <f t="shared" si="613"/>
        <v>INA -  Webinar "30 minutos en casa" con la Dra. Irene Sánchez - 15 junio</v>
      </c>
      <c r="E6436" s="10" t="str">
        <f>HYPERLINK("https://otsuka-europe-crm.veevavault.com/ui/#object/sent_email__v/VBL00000002S237", "SE-001434501")</f>
        <v>SE-001434501</v>
      </c>
      <c r="F6436" s="11"/>
      <c r="G6436" s="12">
        <v>0</v>
      </c>
      <c r="H6436" s="12">
        <v>0</v>
      </c>
      <c r="I6436" s="12">
        <v>0</v>
      </c>
      <c r="J6436" s="11"/>
      <c r="K6436" s="12">
        <v>0</v>
      </c>
      <c r="L6436" s="10" t="str">
        <f t="shared" si="614"/>
        <v>INA -  Webinar "30 minutos en casa" con la Dra. Irene Sánchez - 15 junio</v>
      </c>
      <c r="M6436" s="10" t="str">
        <f t="shared" si="615"/>
        <v>pmartinez@crm.otsuka-europe.com</v>
      </c>
      <c r="N6436" s="13">
        <v>46182.395601851851</v>
      </c>
      <c r="O6436" s="14" t="str">
        <f>HYPERLINK("https://otsuka-europe-crm.veevavault.com/ui/#object/email_activity__v/V8C00000003R360", "EN-002092383")</f>
        <v>EN-002092383</v>
      </c>
    </row>
    <row r="6437" spans="1:15" ht="48" x14ac:dyDescent="0.2">
      <c r="A6437" s="7" t="str">
        <f>HYPERLINK("https://otsuka-europe-crm.veevavault.com/ui/#object/account__v/V4TZ025E859BWYH", "MONICA FERNANDEZ PEREZ")</f>
        <v>MONICA FERNANDEZ PEREZ</v>
      </c>
      <c r="B6437" s="7" t="str">
        <f t="shared" si="612"/>
        <v>ES</v>
      </c>
      <c r="C6437" s="8" t="s">
        <v>41</v>
      </c>
      <c r="D6437" s="9" t="str">
        <f t="shared" si="613"/>
        <v>INA -  Webinar "30 minutos en casa" con la Dra. Irene Sánchez - 15 junio</v>
      </c>
      <c r="E6437" s="10" t="str">
        <f>HYPERLINK("https://otsuka-europe-crm.veevavault.com/ui/#object/sent_email__v/VBL00000002S238", "SE-001434502")</f>
        <v>SE-001434502</v>
      </c>
      <c r="F6437" s="11"/>
      <c r="G6437" s="12">
        <v>0</v>
      </c>
      <c r="H6437" s="12">
        <v>0</v>
      </c>
      <c r="I6437" s="12">
        <v>0</v>
      </c>
      <c r="J6437" s="11"/>
      <c r="K6437" s="12">
        <v>0</v>
      </c>
      <c r="L6437" s="10" t="str">
        <f t="shared" si="614"/>
        <v>INA -  Webinar "30 minutos en casa" con la Dra. Irene Sánchez - 15 junio</v>
      </c>
      <c r="M6437" s="10" t="str">
        <f t="shared" si="615"/>
        <v>pmartinez@crm.otsuka-europe.com</v>
      </c>
      <c r="N6437" s="13">
        <v>46182.395590277774</v>
      </c>
      <c r="O6437" s="14" t="str">
        <f>HYPERLINK("https://otsuka-europe-crm.veevavault.com/ui/#object/email_activity__v/V8C00000003R369", "EN-002092392")</f>
        <v>EN-002092392</v>
      </c>
    </row>
    <row r="6438" spans="1:15" ht="48" x14ac:dyDescent="0.2">
      <c r="A6438" s="7" t="str">
        <f>HYPERLINK("https://otsuka-europe-crm.veevavault.com/ui/#object/account__v/V4TZ025E8484MZT", "ANA VEGA GONZALEZ DE VIÑASPRE")</f>
        <v>ANA VEGA GONZALEZ DE VIÑASPRE</v>
      </c>
      <c r="B6438" s="7" t="str">
        <f t="shared" si="612"/>
        <v>ES</v>
      </c>
      <c r="C6438" s="8" t="s">
        <v>41</v>
      </c>
      <c r="D6438" s="9" t="str">
        <f t="shared" si="613"/>
        <v>INA -  Webinar "30 minutos en casa" con la Dra. Irene Sánchez - 15 junio</v>
      </c>
      <c r="E6438" s="10" t="str">
        <f>HYPERLINK("https://otsuka-europe-crm.veevavault.com/ui/#object/sent_email__v/VBL00000002S239", "SE-001434503")</f>
        <v>SE-001434503</v>
      </c>
      <c r="F6438" s="11"/>
      <c r="G6438" s="12">
        <v>0</v>
      </c>
      <c r="H6438" s="12">
        <v>0</v>
      </c>
      <c r="I6438" s="12">
        <v>0</v>
      </c>
      <c r="J6438" s="11"/>
      <c r="K6438" s="12">
        <v>0</v>
      </c>
      <c r="L6438" s="10" t="str">
        <f t="shared" si="614"/>
        <v>INA -  Webinar "30 minutos en casa" con la Dra. Irene Sánchez - 15 junio</v>
      </c>
      <c r="M6438" s="10" t="str">
        <f t="shared" si="615"/>
        <v>pmartinez@crm.otsuka-europe.com</v>
      </c>
      <c r="N6438" s="13">
        <v>46182.395590277774</v>
      </c>
      <c r="O6438" s="14" t="str">
        <f>HYPERLINK("https://otsuka-europe-crm.veevavault.com/ui/#object/email_activity__v/V8C00000003R365", "EN-002092388")</f>
        <v>EN-002092388</v>
      </c>
    </row>
    <row r="6439" spans="1:15" ht="16" x14ac:dyDescent="0.2">
      <c r="A6439" s="17" t="str">
        <f>HYPERLINK("https://otsuka-europe-crm.veevavault.com/ui/#object/account__v/V4T00000001B044", "BEATRIZ CUEVAS RUIZ")</f>
        <v>BEATRIZ CUEVAS RUIZ</v>
      </c>
      <c r="B6439" s="17" t="str">
        <f t="shared" si="612"/>
        <v>ES</v>
      </c>
      <c r="C6439" s="20" t="s">
        <v>41</v>
      </c>
      <c r="D6439" s="21" t="str">
        <f>HYPERLINK("https://otsuka-europe-crm.veevavault.com/ui/#object/approved_document__v/V5O00000000D100", "Spain - Consent Email 1 Aug 25")</f>
        <v>Spain - Consent Email 1 Aug 25</v>
      </c>
      <c r="E6439" s="22" t="str">
        <f>HYPERLINK("https://otsuka-europe-crm.veevavault.com/ui/#object/sent_email__v/VBL00000002S241", "SE-001434505")</f>
        <v>SE-001434505</v>
      </c>
      <c r="F6439" s="23">
        <v>46182.525196759256</v>
      </c>
      <c r="G6439" s="24">
        <v>1</v>
      </c>
      <c r="H6439" s="24">
        <v>1</v>
      </c>
      <c r="I6439" s="24">
        <v>1</v>
      </c>
      <c r="J6439" s="23">
        <v>46182.525196759256</v>
      </c>
      <c r="K6439" s="24">
        <v>1</v>
      </c>
      <c r="L6439" s="22" t="str">
        <f>HYPERLINK("https://otsuka-europe-crm.veevavault.com/ui/#object/approved_document__v/V5O00000000D100", "Spain - Consent Email 1 Aug 25")</f>
        <v>Spain - Consent Email 1 Aug 25</v>
      </c>
      <c r="M6439" s="22" t="str">
        <f t="shared" si="615"/>
        <v>pmartinez@crm.otsuka-europe.com</v>
      </c>
      <c r="N6439" s="23">
        <v>46182.40047453704</v>
      </c>
      <c r="O6439" s="14" t="str">
        <f>HYPERLINK("https://otsuka-europe-crm.veevavault.com/ui/#object/email_activity__v/V8C00000003R371", "EN-002092396")</f>
        <v>EN-002092396</v>
      </c>
    </row>
    <row r="6440" spans="1:15" ht="16" x14ac:dyDescent="0.2">
      <c r="A6440" s="18"/>
      <c r="B6440" s="18"/>
      <c r="C6440" s="18"/>
      <c r="D6440" s="18"/>
      <c r="E6440" s="18"/>
      <c r="F6440" s="18"/>
      <c r="G6440" s="18"/>
      <c r="H6440" s="18"/>
      <c r="I6440" s="18"/>
      <c r="J6440" s="18"/>
      <c r="K6440" s="18"/>
      <c r="L6440" s="18"/>
      <c r="M6440" s="18"/>
      <c r="N6440" s="18"/>
      <c r="O6440" s="14" t="str">
        <f>HYPERLINK("https://otsuka-europe-crm.veevavault.com/ui/#object/email_activity__v/V8C00000003S037", "EN-002092906")</f>
        <v>EN-002092906</v>
      </c>
    </row>
    <row r="6441" spans="1:15" ht="16" x14ac:dyDescent="0.2">
      <c r="A6441" s="19"/>
      <c r="B6441" s="19"/>
      <c r="C6441" s="19"/>
      <c r="D6441" s="19"/>
      <c r="E6441" s="19"/>
      <c r="F6441" s="19"/>
      <c r="G6441" s="19"/>
      <c r="H6441" s="19"/>
      <c r="I6441" s="19"/>
      <c r="J6441" s="19"/>
      <c r="K6441" s="19"/>
      <c r="L6441" s="19"/>
      <c r="M6441" s="19"/>
      <c r="N6441" s="19"/>
      <c r="O6441" s="14" t="str">
        <f>HYPERLINK("https://otsuka-europe-crm.veevavault.com/ui/#object/email_activity__v/V8C00000003S038", "EN-002092905")</f>
        <v>EN-002092905</v>
      </c>
    </row>
    <row r="6442" spans="1:15" ht="16" x14ac:dyDescent="0.2">
      <c r="A6442" s="17" t="str">
        <f>HYPERLINK("https://otsuka-europe-crm.veevavault.com/ui/#object/account__v/V4T000000011149", "MARIA VICTORIA CUEVAS RUIZ")</f>
        <v>MARIA VICTORIA CUEVAS RUIZ</v>
      </c>
      <c r="B6442" s="17" t="str">
        <f>HYPERLINK("https://otsuka-europe-crm.veevavault.com/ui/#object/vcountry__v/VENZ000004SONF5", "ES")</f>
        <v>ES</v>
      </c>
      <c r="C6442" s="20" t="s">
        <v>41</v>
      </c>
      <c r="D6442" s="21" t="str">
        <f>HYPERLINK("https://otsuka-europe-crm.veevavault.com/ui/#object/approved_document__v/V5O00000000D100", "Spain - Consent Email 1 Aug 25")</f>
        <v>Spain - Consent Email 1 Aug 25</v>
      </c>
      <c r="E6442" s="22" t="str">
        <f>HYPERLINK("https://otsuka-europe-crm.veevavault.com/ui/#object/sent_email__v/VBL00000002S242", "SE-001434506")</f>
        <v>SE-001434506</v>
      </c>
      <c r="F6442" s="23">
        <v>46182.844548611109</v>
      </c>
      <c r="G6442" s="24">
        <v>1</v>
      </c>
      <c r="H6442" s="24">
        <v>1</v>
      </c>
      <c r="I6442" s="24">
        <v>1</v>
      </c>
      <c r="J6442" s="23">
        <v>46182.84479166667</v>
      </c>
      <c r="K6442" s="24">
        <v>1</v>
      </c>
      <c r="L6442" s="22" t="str">
        <f>HYPERLINK("https://otsuka-europe-crm.veevavault.com/ui/#object/approved_document__v/V5O00000000D100", "Spain - Consent Email 1 Aug 25")</f>
        <v>Spain - Consent Email 1 Aug 25</v>
      </c>
      <c r="M6442" s="22" t="str">
        <f>HYPERLINK("mailto:pmartinez@crm.otsuka-europe.com", "pmartinez@crm.otsuka-europe.com")</f>
        <v>pmartinez@crm.otsuka-europe.com</v>
      </c>
      <c r="N6442" s="23">
        <v>46182.402650462966</v>
      </c>
      <c r="O6442" s="14" t="str">
        <f>HYPERLINK("https://otsuka-europe-crm.veevavault.com/ui/#object/email_activity__v/V8C00000003R373", "EN-002092399")</f>
        <v>EN-002092399</v>
      </c>
    </row>
    <row r="6443" spans="1:15" ht="16" x14ac:dyDescent="0.2">
      <c r="A6443" s="18"/>
      <c r="B6443" s="18"/>
      <c r="C6443" s="18"/>
      <c r="D6443" s="18"/>
      <c r="E6443" s="18"/>
      <c r="F6443" s="18"/>
      <c r="G6443" s="18"/>
      <c r="H6443" s="18"/>
      <c r="I6443" s="18"/>
      <c r="J6443" s="18"/>
      <c r="K6443" s="18"/>
      <c r="L6443" s="18"/>
      <c r="M6443" s="18"/>
      <c r="N6443" s="18"/>
      <c r="O6443" s="14" t="str">
        <f>HYPERLINK("https://otsuka-europe-crm.veevavault.com/ui/#object/email_activity__v/V8C00000003S387", "EN-002093680")</f>
        <v>EN-002093680</v>
      </c>
    </row>
    <row r="6444" spans="1:15" ht="16" x14ac:dyDescent="0.2">
      <c r="A6444" s="19"/>
      <c r="B6444" s="19"/>
      <c r="C6444" s="19"/>
      <c r="D6444" s="19"/>
      <c r="E6444" s="19"/>
      <c r="F6444" s="19"/>
      <c r="G6444" s="19"/>
      <c r="H6444" s="19"/>
      <c r="I6444" s="19"/>
      <c r="J6444" s="19"/>
      <c r="K6444" s="19"/>
      <c r="L6444" s="19"/>
      <c r="M6444" s="19"/>
      <c r="N6444" s="19"/>
      <c r="O6444" s="14" t="str">
        <f>HYPERLINK("https://otsuka-europe-crm.veevavault.com/ui/#object/email_activity__v/V8C00000003T058", "EN-002093679")</f>
        <v>EN-002093679</v>
      </c>
    </row>
    <row r="6445" spans="1:15" ht="16" x14ac:dyDescent="0.2">
      <c r="A6445" s="17" t="str">
        <f>HYPERLINK("https://otsuka-europe-crm.veevavault.com/ui/#object/account__v/V4TZ04ASGBX0ZKL", "CLARA MORIANO MORALES")</f>
        <v>CLARA MORIANO MORALES</v>
      </c>
      <c r="B6445" s="17" t="str">
        <f>HYPERLINK("https://otsuka-europe-crm.veevavault.com/ui/#object/vcountry__v/VENZ000004SONF5", "ES")</f>
        <v>ES</v>
      </c>
      <c r="C6445" s="20" t="s">
        <v>41</v>
      </c>
      <c r="D6445" s="21" t="str">
        <f>HYPERLINK("https://otsuka-europe-crm.veevavault.com/ui/#object/approved_document__v/V5O00000001B037", "LUP - VAE Póster Adelphi - Reuma")</f>
        <v>LUP - VAE Póster Adelphi - Reuma</v>
      </c>
      <c r="E6445" s="22" t="str">
        <f>HYPERLINK("https://otsuka-europe-crm.veevavault.com/ui/#object/sent_email__v/VBL00000002S243", "SE-001434507")</f>
        <v>SE-001434507</v>
      </c>
      <c r="F6445" s="25"/>
      <c r="G6445" s="24">
        <v>0</v>
      </c>
      <c r="H6445" s="24">
        <v>0</v>
      </c>
      <c r="I6445" s="24">
        <v>1</v>
      </c>
      <c r="J6445" s="23">
        <v>46183.132337962961</v>
      </c>
      <c r="K6445" s="24">
        <v>1</v>
      </c>
      <c r="L6445" s="22" t="str">
        <f>HYPERLINK("https://otsuka-europe-crm.veevavault.com/ui/#object/approved_document__v/V5O00000001B037", "LUP - VAE Póster Adelphi - Reuma")</f>
        <v>LUP - VAE Póster Adelphi - Reuma</v>
      </c>
      <c r="M6445" s="22" t="str">
        <f>HYPERLINK("mailto:idiez@crm.otsuka-europe.com", "idiez@crm.otsuka-europe.com")</f>
        <v>idiez@crm.otsuka-europe.com</v>
      </c>
      <c r="N6445" s="23">
        <v>46182.404918981483</v>
      </c>
      <c r="O6445" s="14" t="str">
        <f>HYPERLINK("https://otsuka-europe-crm.veevavault.com/ui/#object/email_activity__v/V8C00000003R375", "EN-002092401")</f>
        <v>EN-002092401</v>
      </c>
    </row>
    <row r="6446" spans="1:15" ht="16" x14ac:dyDescent="0.2">
      <c r="A6446" s="18"/>
      <c r="B6446" s="18"/>
      <c r="C6446" s="18"/>
      <c r="D6446" s="18"/>
      <c r="E6446" s="18"/>
      <c r="F6446" s="18"/>
      <c r="G6446" s="18"/>
      <c r="H6446" s="18"/>
      <c r="I6446" s="18"/>
      <c r="J6446" s="18"/>
      <c r="K6446" s="18"/>
      <c r="L6446" s="18"/>
      <c r="M6446" s="18"/>
      <c r="N6446" s="18"/>
      <c r="O6446" s="14" t="str">
        <f>HYPERLINK("https://otsuka-europe-crm.veevavault.com/ui/#object/email_activity__v/V8C00000003S448", "EN-002093806")</f>
        <v>EN-002093806</v>
      </c>
    </row>
    <row r="6447" spans="1:15" ht="16" x14ac:dyDescent="0.2">
      <c r="A6447" s="18"/>
      <c r="B6447" s="18"/>
      <c r="C6447" s="18"/>
      <c r="D6447" s="18"/>
      <c r="E6447" s="18"/>
      <c r="F6447" s="18"/>
      <c r="G6447" s="18"/>
      <c r="H6447" s="18"/>
      <c r="I6447" s="18"/>
      <c r="J6447" s="18"/>
      <c r="K6447" s="18"/>
      <c r="L6447" s="18"/>
      <c r="M6447" s="18"/>
      <c r="N6447" s="18"/>
      <c r="O6447" s="14" t="str">
        <f>HYPERLINK("https://otsuka-europe-crm.veevavault.com/ui/#object/email_activity__v/V8C00000003T124", "EN-002093807")</f>
        <v>EN-002093807</v>
      </c>
    </row>
    <row r="6448" spans="1:15" ht="16" x14ac:dyDescent="0.2">
      <c r="A6448" s="18"/>
      <c r="B6448" s="18"/>
      <c r="C6448" s="18"/>
      <c r="D6448" s="18"/>
      <c r="E6448" s="18"/>
      <c r="F6448" s="18"/>
      <c r="G6448" s="18"/>
      <c r="H6448" s="18"/>
      <c r="I6448" s="18"/>
      <c r="J6448" s="18"/>
      <c r="K6448" s="18"/>
      <c r="L6448" s="18"/>
      <c r="M6448" s="18"/>
      <c r="N6448" s="18"/>
      <c r="O6448" s="14" t="str">
        <f>HYPERLINK("https://otsuka-europe-crm.veevavault.com/ui/#object/email_activity__v/V8C00000003T125", "EN-002093808")</f>
        <v>EN-002093808</v>
      </c>
    </row>
    <row r="6449" spans="1:15" ht="16" x14ac:dyDescent="0.2">
      <c r="A6449" s="18"/>
      <c r="B6449" s="18"/>
      <c r="C6449" s="18"/>
      <c r="D6449" s="18"/>
      <c r="E6449" s="18"/>
      <c r="F6449" s="18"/>
      <c r="G6449" s="18"/>
      <c r="H6449" s="18"/>
      <c r="I6449" s="18"/>
      <c r="J6449" s="18"/>
      <c r="K6449" s="18"/>
      <c r="L6449" s="18"/>
      <c r="M6449" s="18"/>
      <c r="N6449" s="18"/>
      <c r="O6449" s="14" t="str">
        <f>HYPERLINK("https://otsuka-europe-crm.veevavault.com/ui/#object/email_activity__v/V8C00000003V415", "EN-002095598")</f>
        <v>EN-002095598</v>
      </c>
    </row>
    <row r="6450" spans="1:15" ht="16" x14ac:dyDescent="0.2">
      <c r="A6450" s="19"/>
      <c r="B6450" s="19"/>
      <c r="C6450" s="19"/>
      <c r="D6450" s="19"/>
      <c r="E6450" s="19"/>
      <c r="F6450" s="19"/>
      <c r="G6450" s="19"/>
      <c r="H6450" s="19"/>
      <c r="I6450" s="19"/>
      <c r="J6450" s="19"/>
      <c r="K6450" s="19"/>
      <c r="L6450" s="19"/>
      <c r="M6450" s="19"/>
      <c r="N6450" s="19"/>
      <c r="O6450" s="14" t="str">
        <f>HYPERLINK("https://otsuka-europe-crm.veevavault.com/ui/#object/email_activity__v/V8C00000003X953", "EN-002098516")</f>
        <v>EN-002098516</v>
      </c>
    </row>
    <row r="6451" spans="1:15" ht="16" x14ac:dyDescent="0.2">
      <c r="A6451" s="17" t="str">
        <f>HYPERLINK("https://otsuka-europe-crm.veevavault.com/ui/#object/account__v/V4TZ04ASGC4A8H6", "HELENA MARIA AMAR MUÑOZ")</f>
        <v>HELENA MARIA AMAR MUÑOZ</v>
      </c>
      <c r="B6451" s="17" t="str">
        <f>HYPERLINK("https://otsuka-europe-crm.veevavault.com/ui/#object/vcountry__v/VENZ000004SONF5", "ES")</f>
        <v>ES</v>
      </c>
      <c r="C6451" s="20" t="s">
        <v>41</v>
      </c>
      <c r="D6451" s="21" t="str">
        <f>HYPERLINK("https://otsuka-europe-crm.veevavault.com/ui/#object/approved_document__v/V5O00000001B037", "LUP - VAE Póster Adelphi - Reuma")</f>
        <v>LUP - VAE Póster Adelphi - Reuma</v>
      </c>
      <c r="E6451" s="22" t="str">
        <f>HYPERLINK("https://otsuka-europe-crm.veevavault.com/ui/#object/sent_email__v/VBL00000002S244", "SE-001434508")</f>
        <v>SE-001434508</v>
      </c>
      <c r="F6451" s="23">
        <v>46182.415381944447</v>
      </c>
      <c r="G6451" s="24">
        <v>1</v>
      </c>
      <c r="H6451" s="24">
        <v>2</v>
      </c>
      <c r="I6451" s="24">
        <v>0</v>
      </c>
      <c r="J6451" s="25"/>
      <c r="K6451" s="24">
        <v>0</v>
      </c>
      <c r="L6451" s="22" t="str">
        <f>HYPERLINK("https://otsuka-europe-crm.veevavault.com/ui/#object/approved_document__v/V5O00000001B037", "LUP - VAE Póster Adelphi - Reuma")</f>
        <v>LUP - VAE Póster Adelphi - Reuma</v>
      </c>
      <c r="M6451" s="22" t="str">
        <f>HYPERLINK("mailto:idiez@crm.otsuka-europe.com", "idiez@crm.otsuka-europe.com")</f>
        <v>idiez@crm.otsuka-europe.com</v>
      </c>
      <c r="N6451" s="23">
        <v>46182.404918981483</v>
      </c>
      <c r="O6451" s="14" t="str">
        <f>HYPERLINK("https://otsuka-europe-crm.veevavault.com/ui/#object/email_activity__v/V8C00000003Q974", "EN-002092763")</f>
        <v>EN-002092763</v>
      </c>
    </row>
    <row r="6452" spans="1:15" ht="16" x14ac:dyDescent="0.2">
      <c r="A6452" s="18"/>
      <c r="B6452" s="18"/>
      <c r="C6452" s="18"/>
      <c r="D6452" s="18"/>
      <c r="E6452" s="18"/>
      <c r="F6452" s="18"/>
      <c r="G6452" s="18"/>
      <c r="H6452" s="18"/>
      <c r="I6452" s="18"/>
      <c r="J6452" s="18"/>
      <c r="K6452" s="18"/>
      <c r="L6452" s="18"/>
      <c r="M6452" s="18"/>
      <c r="N6452" s="18"/>
      <c r="O6452" s="14" t="str">
        <f>HYPERLINK("https://otsuka-europe-crm.veevavault.com/ui/#object/email_activity__v/V8C00000003R376", "EN-002092415")</f>
        <v>EN-002092415</v>
      </c>
    </row>
    <row r="6453" spans="1:15" ht="16" x14ac:dyDescent="0.2">
      <c r="A6453" s="19"/>
      <c r="B6453" s="19"/>
      <c r="C6453" s="19"/>
      <c r="D6453" s="19"/>
      <c r="E6453" s="19"/>
      <c r="F6453" s="19"/>
      <c r="G6453" s="19"/>
      <c r="H6453" s="19"/>
      <c r="I6453" s="19"/>
      <c r="J6453" s="19"/>
      <c r="K6453" s="19"/>
      <c r="L6453" s="19"/>
      <c r="M6453" s="19"/>
      <c r="N6453" s="19"/>
      <c r="O6453" s="14" t="str">
        <f>HYPERLINK("https://otsuka-europe-crm.veevavault.com/ui/#object/email_activity__v/V8C00000003R551", "EN-002092762")</f>
        <v>EN-002092762</v>
      </c>
    </row>
    <row r="6454" spans="1:15" ht="16" x14ac:dyDescent="0.2">
      <c r="A6454" s="17" t="str">
        <f>HYPERLINK("https://otsuka-europe-crm.veevavault.com/ui/#object/account__v/V4T00000001P116", "MARINA PAVIA PASCUAL")</f>
        <v>MARINA PAVIA PASCUAL</v>
      </c>
      <c r="B6454" s="17" t="str">
        <f>HYPERLINK("https://otsuka-europe-crm.veevavault.com/ui/#object/vcountry__v/VENZ000004SONF5", "ES")</f>
        <v>ES</v>
      </c>
      <c r="C6454" s="20" t="s">
        <v>41</v>
      </c>
      <c r="D6454" s="21" t="str">
        <f>HYPERLINK("https://otsuka-europe-crm.veevavault.com/ui/#object/approved_document__v/V5O00000001B037", "LUP - VAE Póster Adelphi - Reuma")</f>
        <v>LUP - VAE Póster Adelphi - Reuma</v>
      </c>
      <c r="E6454" s="22" t="str">
        <f>HYPERLINK("https://otsuka-europe-crm.veevavault.com/ui/#object/sent_email__v/VBL00000002S245", "SE-001434509")</f>
        <v>SE-001434509</v>
      </c>
      <c r="F6454" s="23">
        <v>46182.459398148145</v>
      </c>
      <c r="G6454" s="24">
        <v>1</v>
      </c>
      <c r="H6454" s="24">
        <v>1</v>
      </c>
      <c r="I6454" s="24">
        <v>0</v>
      </c>
      <c r="J6454" s="25"/>
      <c r="K6454" s="24">
        <v>0</v>
      </c>
      <c r="L6454" s="22" t="str">
        <f>HYPERLINK("https://otsuka-europe-crm.veevavault.com/ui/#object/approved_document__v/V5O00000001B037", "LUP - VAE Póster Adelphi - Reuma")</f>
        <v>LUP - VAE Póster Adelphi - Reuma</v>
      </c>
      <c r="M6454" s="22" t="str">
        <f>HYPERLINK("mailto:idiez@crm.otsuka-europe.com", "idiez@crm.otsuka-europe.com")</f>
        <v>idiez@crm.otsuka-europe.com</v>
      </c>
      <c r="N6454" s="23">
        <v>46182.404918981483</v>
      </c>
      <c r="O6454" s="14" t="str">
        <f>HYPERLINK("https://otsuka-europe-crm.veevavault.com/ui/#object/email_activity__v/V8C00000003Q811", "EN-002092426")</f>
        <v>EN-002092426</v>
      </c>
    </row>
    <row r="6455" spans="1:15" ht="16" x14ac:dyDescent="0.2">
      <c r="A6455" s="18"/>
      <c r="B6455" s="18"/>
      <c r="C6455" s="18"/>
      <c r="D6455" s="18"/>
      <c r="E6455" s="18"/>
      <c r="F6455" s="18"/>
      <c r="G6455" s="18"/>
      <c r="H6455" s="18"/>
      <c r="I6455" s="18"/>
      <c r="J6455" s="18"/>
      <c r="K6455" s="18"/>
      <c r="L6455" s="18"/>
      <c r="M6455" s="18"/>
      <c r="N6455" s="18"/>
      <c r="O6455" s="14" t="str">
        <f>HYPERLINK("https://otsuka-europe-crm.veevavault.com/ui/#object/email_activity__v/V8C00000003S006", "EN-002092835")</f>
        <v>EN-002092835</v>
      </c>
    </row>
    <row r="6456" spans="1:15" ht="16" x14ac:dyDescent="0.2">
      <c r="A6456" s="18"/>
      <c r="B6456" s="18"/>
      <c r="C6456" s="18"/>
      <c r="D6456" s="18"/>
      <c r="E6456" s="18"/>
      <c r="F6456" s="18"/>
      <c r="G6456" s="18"/>
      <c r="H6456" s="18"/>
      <c r="I6456" s="18"/>
      <c r="J6456" s="18"/>
      <c r="K6456" s="18"/>
      <c r="L6456" s="18"/>
      <c r="M6456" s="18"/>
      <c r="N6456" s="18"/>
      <c r="O6456" s="14" t="str">
        <f>HYPERLINK("https://otsuka-europe-crm.veevavault.com/ui/#object/email_activity__v/V8C00000003Z005", "EN-002098667")</f>
        <v>EN-002098667</v>
      </c>
    </row>
    <row r="6457" spans="1:15" ht="16" x14ac:dyDescent="0.2">
      <c r="A6457" s="19"/>
      <c r="B6457" s="19"/>
      <c r="C6457" s="19"/>
      <c r="D6457" s="19"/>
      <c r="E6457" s="19"/>
      <c r="F6457" s="19"/>
      <c r="G6457" s="19"/>
      <c r="H6457" s="19"/>
      <c r="I6457" s="19"/>
      <c r="J6457" s="19"/>
      <c r="K6457" s="19"/>
      <c r="L6457" s="19"/>
      <c r="M6457" s="19"/>
      <c r="N6457" s="19"/>
      <c r="O6457" s="14" t="str">
        <f>HYPERLINK("https://otsuka-europe-crm.veevavault.com/ui/#object/email_activity__v/V8C000000040232", "EN-002099125")</f>
        <v>EN-002099125</v>
      </c>
    </row>
    <row r="6458" spans="1:15" ht="16" x14ac:dyDescent="0.2">
      <c r="A6458" s="17" t="str">
        <f>HYPERLINK("https://otsuka-europe-crm.veevavault.com/ui/#object/account__v/V4TZ025E8918EA6", "MARIA RODRIGUEZ LAGUNA")</f>
        <v>MARIA RODRIGUEZ LAGUNA</v>
      </c>
      <c r="B6458" s="17" t="str">
        <f>HYPERLINK("https://otsuka-europe-crm.veevavault.com/ui/#object/vcountry__v/VENZ000004SONF5", "ES")</f>
        <v>ES</v>
      </c>
      <c r="C6458" s="20" t="s">
        <v>41</v>
      </c>
      <c r="D6458" s="21" t="str">
        <f>HYPERLINK("https://otsuka-europe-crm.veevavault.com/ui/#object/approved_document__v/V5O00000001B037", "LUP - VAE Póster Adelphi - Reuma")</f>
        <v>LUP - VAE Póster Adelphi - Reuma</v>
      </c>
      <c r="E6458" s="22" t="str">
        <f>HYPERLINK("https://otsuka-europe-crm.veevavault.com/ui/#object/sent_email__v/VBL00000002S246", "SE-001434510")</f>
        <v>SE-001434510</v>
      </c>
      <c r="F6458" s="25"/>
      <c r="G6458" s="24">
        <v>0</v>
      </c>
      <c r="H6458" s="24">
        <v>0</v>
      </c>
      <c r="I6458" s="24">
        <v>0</v>
      </c>
      <c r="J6458" s="25"/>
      <c r="K6458" s="24">
        <v>0</v>
      </c>
      <c r="L6458" s="22" t="str">
        <f>HYPERLINK("https://otsuka-europe-crm.veevavault.com/ui/#object/approved_document__v/V5O00000001B037", "LUP - VAE Póster Adelphi - Reuma")</f>
        <v>LUP - VAE Póster Adelphi - Reuma</v>
      </c>
      <c r="M6458" s="22" t="str">
        <f>HYPERLINK("mailto:idiez@crm.otsuka-europe.com", "idiez@crm.otsuka-europe.com")</f>
        <v>idiez@crm.otsuka-europe.com</v>
      </c>
      <c r="N6458" s="23">
        <v>46182.404918981483</v>
      </c>
      <c r="O6458" s="14" t="str">
        <f>HYPERLINK("https://otsuka-europe-crm.veevavault.com/ui/#object/email_activity__v/V8C00000003Q792", "EN-002092405")</f>
        <v>EN-002092405</v>
      </c>
    </row>
    <row r="6459" spans="1:15" ht="16" x14ac:dyDescent="0.2">
      <c r="A6459" s="19"/>
      <c r="B6459" s="19"/>
      <c r="C6459" s="19"/>
      <c r="D6459" s="19"/>
      <c r="E6459" s="19"/>
      <c r="F6459" s="19"/>
      <c r="G6459" s="19"/>
      <c r="H6459" s="19"/>
      <c r="I6459" s="19"/>
      <c r="J6459" s="19"/>
      <c r="K6459" s="19"/>
      <c r="L6459" s="19"/>
      <c r="M6459" s="19"/>
      <c r="N6459" s="19"/>
      <c r="O6459" s="14" t="str">
        <f>HYPERLINK("https://otsuka-europe-crm.veevavault.com/ui/#object/email_activity__v/V8C00000003S084", "EN-002093014")</f>
        <v>EN-002093014</v>
      </c>
    </row>
    <row r="6460" spans="1:15" ht="32" x14ac:dyDescent="0.2">
      <c r="A6460" s="7" t="str">
        <f>HYPERLINK("https://otsuka-europe-crm.veevavault.com/ui/#object/account__v/V4TZ04ASGAC2YV4", "DORCAS CAJIGAS PEZO")</f>
        <v>DORCAS CAJIGAS PEZO</v>
      </c>
      <c r="B6460" s="7" t="str">
        <f>HYPERLINK("https://otsuka-europe-crm.veevavault.com/ui/#object/vcountry__v/VENZ000004SONF5", "ES")</f>
        <v>ES</v>
      </c>
      <c r="C6460" s="8" t="s">
        <v>41</v>
      </c>
      <c r="D6460" s="9" t="str">
        <f>HYPERLINK("https://otsuka-europe-crm.veevavault.com/ui/#object/approved_document__v/V5O00000001B037", "LUP - VAE Póster Adelphi - Reuma")</f>
        <v>LUP - VAE Póster Adelphi - Reuma</v>
      </c>
      <c r="E6460" s="10" t="str">
        <f>HYPERLINK("https://otsuka-europe-crm.veevavault.com/ui/#object/sent_email__v/VBL00000002S247", "SE-001434511")</f>
        <v>SE-001434511</v>
      </c>
      <c r="F6460" s="11"/>
      <c r="G6460" s="12">
        <v>0</v>
      </c>
      <c r="H6460" s="12">
        <v>0</v>
      </c>
      <c r="I6460" s="12">
        <v>0</v>
      </c>
      <c r="J6460" s="11"/>
      <c r="K6460" s="12">
        <v>0</v>
      </c>
      <c r="L6460" s="10" t="str">
        <f>HYPERLINK("https://otsuka-europe-crm.veevavault.com/ui/#object/approved_document__v/V5O00000001B037", "LUP - VAE Póster Adelphi - Reuma")</f>
        <v>LUP - VAE Póster Adelphi - Reuma</v>
      </c>
      <c r="M6460" s="10" t="str">
        <f>HYPERLINK("mailto:idiez@crm.otsuka-europe.com", "idiez@crm.otsuka-europe.com")</f>
        <v>idiez@crm.otsuka-europe.com</v>
      </c>
      <c r="N6460" s="13">
        <v>46182.404918981483</v>
      </c>
      <c r="O6460" s="14" t="str">
        <f>HYPERLINK("https://otsuka-europe-crm.veevavault.com/ui/#object/email_activity__v/V8C00000003Q815", "EN-002092430")</f>
        <v>EN-002092430</v>
      </c>
    </row>
    <row r="6461" spans="1:15" ht="16" x14ac:dyDescent="0.2">
      <c r="A6461" s="17" t="str">
        <f>HYPERLINK("https://otsuka-europe-crm.veevavault.com/ui/#object/account__v/V4TZ04ASGBNHOGV", "CRISTINA VERGARA DANGOND")</f>
        <v>CRISTINA VERGARA DANGOND</v>
      </c>
      <c r="B6461" s="17" t="str">
        <f>HYPERLINK("https://otsuka-europe-crm.veevavault.com/ui/#object/vcountry__v/VENZ000004SONF5", "ES")</f>
        <v>ES</v>
      </c>
      <c r="C6461" s="20" t="s">
        <v>41</v>
      </c>
      <c r="D6461" s="21" t="str">
        <f>HYPERLINK("https://otsuka-europe-crm.veevavault.com/ui/#object/approved_document__v/V5O00000001B037", "LUP - VAE Póster Adelphi - Reuma")</f>
        <v>LUP - VAE Póster Adelphi - Reuma</v>
      </c>
      <c r="E6461" s="22" t="str">
        <f>HYPERLINK("https://otsuka-europe-crm.veevavault.com/ui/#object/sent_email__v/VBL00000002S248", "SE-001434512")</f>
        <v>SE-001434512</v>
      </c>
      <c r="F6461" s="23">
        <v>46182.636134259257</v>
      </c>
      <c r="G6461" s="24">
        <v>1</v>
      </c>
      <c r="H6461" s="24">
        <v>1</v>
      </c>
      <c r="I6461" s="24">
        <v>0</v>
      </c>
      <c r="J6461" s="25"/>
      <c r="K6461" s="24">
        <v>0</v>
      </c>
      <c r="L6461" s="22" t="str">
        <f>HYPERLINK("https://otsuka-europe-crm.veevavault.com/ui/#object/approved_document__v/V5O00000001B037", "LUP - VAE Póster Adelphi - Reuma")</f>
        <v>LUP - VAE Póster Adelphi - Reuma</v>
      </c>
      <c r="M6461" s="22" t="str">
        <f>HYPERLINK("mailto:idiez@crm.otsuka-europe.com", "idiez@crm.otsuka-europe.com")</f>
        <v>idiez@crm.otsuka-europe.com</v>
      </c>
      <c r="N6461" s="23">
        <v>46182.404918981483</v>
      </c>
      <c r="O6461" s="14" t="str">
        <f>HYPERLINK("https://otsuka-europe-crm.veevavault.com/ui/#object/email_activity__v/V8C00000003Q790", "EN-002092403")</f>
        <v>EN-002092403</v>
      </c>
    </row>
    <row r="6462" spans="1:15" ht="16" x14ac:dyDescent="0.2">
      <c r="A6462" s="19"/>
      <c r="B6462" s="19"/>
      <c r="C6462" s="19"/>
      <c r="D6462" s="19"/>
      <c r="E6462" s="19"/>
      <c r="F6462" s="19"/>
      <c r="G6462" s="19"/>
      <c r="H6462" s="19"/>
      <c r="I6462" s="19"/>
      <c r="J6462" s="19"/>
      <c r="K6462" s="19"/>
      <c r="L6462" s="19"/>
      <c r="M6462" s="19"/>
      <c r="N6462" s="19"/>
      <c r="O6462" s="14" t="str">
        <f>HYPERLINK("https://otsuka-europe-crm.veevavault.com/ui/#object/email_activity__v/V8C00000003S140", "EN-002093170")</f>
        <v>EN-002093170</v>
      </c>
    </row>
    <row r="6463" spans="1:15" ht="16" x14ac:dyDescent="0.2">
      <c r="A6463" s="17" t="str">
        <f>HYPERLINK("https://otsuka-europe-crm.veevavault.com/ui/#object/account__v/V4TZ025E82J0Y9A", "MARIA HILDEGARDA GODOY TUNDIDOR")</f>
        <v>MARIA HILDEGARDA GODOY TUNDIDOR</v>
      </c>
      <c r="B6463" s="17" t="str">
        <f>HYPERLINK("https://otsuka-europe-crm.veevavault.com/ui/#object/vcountry__v/VENZ000004SONF5", "ES")</f>
        <v>ES</v>
      </c>
      <c r="C6463" s="20" t="s">
        <v>41</v>
      </c>
      <c r="D6463" s="21" t="str">
        <f>HYPERLINK("https://otsuka-europe-crm.veevavault.com/ui/#object/approved_document__v/V5O00000001B037", "LUP - VAE Póster Adelphi - Reuma")</f>
        <v>LUP - VAE Póster Adelphi - Reuma</v>
      </c>
      <c r="E6463" s="22" t="str">
        <f>HYPERLINK("https://otsuka-europe-crm.veevavault.com/ui/#object/sent_email__v/VBL00000002S249", "SE-001434513")</f>
        <v>SE-001434513</v>
      </c>
      <c r="F6463" s="23">
        <v>46182.619884259257</v>
      </c>
      <c r="G6463" s="24">
        <v>1</v>
      </c>
      <c r="H6463" s="24">
        <v>1</v>
      </c>
      <c r="I6463" s="24">
        <v>0</v>
      </c>
      <c r="J6463" s="25"/>
      <c r="K6463" s="24">
        <v>0</v>
      </c>
      <c r="L6463" s="22" t="str">
        <f>HYPERLINK("https://otsuka-europe-crm.veevavault.com/ui/#object/approved_document__v/V5O00000001B037", "LUP - VAE Póster Adelphi - Reuma")</f>
        <v>LUP - VAE Póster Adelphi - Reuma</v>
      </c>
      <c r="M6463" s="22" t="str">
        <f>HYPERLINK("mailto:idiez@crm.otsuka-europe.com", "idiez@crm.otsuka-europe.com")</f>
        <v>idiez@crm.otsuka-europe.com</v>
      </c>
      <c r="N6463" s="23">
        <v>46182.404918981483</v>
      </c>
      <c r="O6463" s="14" t="str">
        <f>HYPERLINK("https://otsuka-europe-crm.veevavault.com/ui/#object/email_activity__v/V8C00000003Q801", "EN-002092414")</f>
        <v>EN-002092414</v>
      </c>
    </row>
    <row r="6464" spans="1:15" ht="16" x14ac:dyDescent="0.2">
      <c r="A6464" s="18"/>
      <c r="B6464" s="18"/>
      <c r="C6464" s="18"/>
      <c r="D6464" s="18"/>
      <c r="E6464" s="18"/>
      <c r="F6464" s="18"/>
      <c r="G6464" s="18"/>
      <c r="H6464" s="18"/>
      <c r="I6464" s="18"/>
      <c r="J6464" s="18"/>
      <c r="K6464" s="18"/>
      <c r="L6464" s="18"/>
      <c r="M6464" s="18"/>
      <c r="N6464" s="18"/>
      <c r="O6464" s="14" t="str">
        <f>HYPERLINK("https://otsuka-europe-crm.veevavault.com/ui/#object/email_activity__v/V8C00000003S113", "EN-002093101")</f>
        <v>EN-002093101</v>
      </c>
    </row>
    <row r="6465" spans="1:15" ht="16" x14ac:dyDescent="0.2">
      <c r="A6465" s="19"/>
      <c r="B6465" s="19"/>
      <c r="C6465" s="19"/>
      <c r="D6465" s="19"/>
      <c r="E6465" s="19"/>
      <c r="F6465" s="19"/>
      <c r="G6465" s="19"/>
      <c r="H6465" s="19"/>
      <c r="I6465" s="19"/>
      <c r="J6465" s="19"/>
      <c r="K6465" s="19"/>
      <c r="L6465" s="19"/>
      <c r="M6465" s="19"/>
      <c r="N6465" s="19"/>
      <c r="O6465" s="14" t="str">
        <f>HYPERLINK("https://otsuka-europe-crm.veevavault.com/ui/#object/email_activity__v/V8C00000003Z006", "EN-002098668")</f>
        <v>EN-002098668</v>
      </c>
    </row>
    <row r="6466" spans="1:15" ht="16" x14ac:dyDescent="0.2">
      <c r="A6466" s="17" t="str">
        <f>HYPERLINK("https://otsuka-europe-crm.veevavault.com/ui/#object/account__v/V4TZ025E82LTK6A", "FERNANDO JOSE MONTERO REYES")</f>
        <v>FERNANDO JOSE MONTERO REYES</v>
      </c>
      <c r="B6466" s="17" t="str">
        <f>HYPERLINK("https://otsuka-europe-crm.veevavault.com/ui/#object/vcountry__v/VENZ000004SONF5", "ES")</f>
        <v>ES</v>
      </c>
      <c r="C6466" s="20" t="s">
        <v>41</v>
      </c>
      <c r="D6466" s="21" t="str">
        <f>HYPERLINK("https://otsuka-europe-crm.veevavault.com/ui/#object/approved_document__v/V5O00000001B037", "LUP - VAE Póster Adelphi - Reuma")</f>
        <v>LUP - VAE Póster Adelphi - Reuma</v>
      </c>
      <c r="E6466" s="22" t="str">
        <f>HYPERLINK("https://otsuka-europe-crm.veevavault.com/ui/#object/sent_email__v/VBL00000002S250", "SE-001434514")</f>
        <v>SE-001434514</v>
      </c>
      <c r="F6466" s="23">
        <v>46182.416631944441</v>
      </c>
      <c r="G6466" s="24">
        <v>1</v>
      </c>
      <c r="H6466" s="24">
        <v>1</v>
      </c>
      <c r="I6466" s="24">
        <v>0</v>
      </c>
      <c r="J6466" s="25"/>
      <c r="K6466" s="24">
        <v>0</v>
      </c>
      <c r="L6466" s="22" t="str">
        <f>HYPERLINK("https://otsuka-europe-crm.veevavault.com/ui/#object/approved_document__v/V5O00000001B037", "LUP - VAE Póster Adelphi - Reuma")</f>
        <v>LUP - VAE Póster Adelphi - Reuma</v>
      </c>
      <c r="M6466" s="22" t="str">
        <f>HYPERLINK("mailto:idiez@crm.otsuka-europe.com", "idiez@crm.otsuka-europe.com")</f>
        <v>idiez@crm.otsuka-europe.com</v>
      </c>
      <c r="N6466" s="23">
        <v>46182.404918981483</v>
      </c>
      <c r="O6466" s="14" t="str">
        <f>HYPERLINK("https://otsuka-europe-crm.veevavault.com/ui/#object/email_activity__v/V8C00000003Q789", "EN-002092402")</f>
        <v>EN-002092402</v>
      </c>
    </row>
    <row r="6467" spans="1:15" ht="16" x14ac:dyDescent="0.2">
      <c r="A6467" s="19"/>
      <c r="B6467" s="19"/>
      <c r="C6467" s="19"/>
      <c r="D6467" s="19"/>
      <c r="E6467" s="19"/>
      <c r="F6467" s="19"/>
      <c r="G6467" s="19"/>
      <c r="H6467" s="19"/>
      <c r="I6467" s="19"/>
      <c r="J6467" s="19"/>
      <c r="K6467" s="19"/>
      <c r="L6467" s="19"/>
      <c r="M6467" s="19"/>
      <c r="N6467" s="19"/>
      <c r="O6467" s="14" t="str">
        <f>HYPERLINK("https://otsuka-europe-crm.veevavault.com/ui/#object/email_activity__v/V8C00000003R553", "EN-002092766")</f>
        <v>EN-002092766</v>
      </c>
    </row>
    <row r="6468" spans="1:15" ht="16" x14ac:dyDescent="0.2">
      <c r="A6468" s="17" t="str">
        <f>HYPERLINK("https://otsuka-europe-crm.veevavault.com/ui/#object/account__v/V4TZ04ASGBXIEPX", "AARON JOSUE FARIÑA GONZALEZ")</f>
        <v>AARON JOSUE FARIÑA GONZALEZ</v>
      </c>
      <c r="B6468" s="17" t="str">
        <f>HYPERLINK("https://otsuka-europe-crm.veevavault.com/ui/#object/vcountry__v/VENZ000004SONF5", "ES")</f>
        <v>ES</v>
      </c>
      <c r="C6468" s="20" t="s">
        <v>41</v>
      </c>
      <c r="D6468" s="21" t="str">
        <f>HYPERLINK("https://otsuka-europe-crm.veevavault.com/ui/#object/approved_document__v/V5O00000001B037", "LUP - VAE Póster Adelphi - Reuma")</f>
        <v>LUP - VAE Póster Adelphi - Reuma</v>
      </c>
      <c r="E6468" s="22" t="str">
        <f>HYPERLINK("https://otsuka-europe-crm.veevavault.com/ui/#object/sent_email__v/VBL00000002S251", "SE-001434515")</f>
        <v>SE-001434515</v>
      </c>
      <c r="F6468" s="25"/>
      <c r="G6468" s="24">
        <v>0</v>
      </c>
      <c r="H6468" s="24">
        <v>0</v>
      </c>
      <c r="I6468" s="24">
        <v>0</v>
      </c>
      <c r="J6468" s="25"/>
      <c r="K6468" s="24">
        <v>0</v>
      </c>
      <c r="L6468" s="22" t="str">
        <f>HYPERLINK("https://otsuka-europe-crm.veevavault.com/ui/#object/approved_document__v/V5O00000001B037", "LUP - VAE Póster Adelphi - Reuma")</f>
        <v>LUP - VAE Póster Adelphi - Reuma</v>
      </c>
      <c r="M6468" s="22" t="str">
        <f>HYPERLINK("mailto:idiez@crm.otsuka-europe.com", "idiez@crm.otsuka-europe.com")</f>
        <v>idiez@crm.otsuka-europe.com</v>
      </c>
      <c r="N6468" s="23">
        <v>46182.404918981483</v>
      </c>
      <c r="O6468" s="14" t="str">
        <f>HYPERLINK("https://otsuka-europe-crm.veevavault.com/ui/#object/email_activity__v/V8C00000003Q793", "EN-002092406")</f>
        <v>EN-002092406</v>
      </c>
    </row>
    <row r="6469" spans="1:15" ht="16" x14ac:dyDescent="0.2">
      <c r="A6469" s="18"/>
      <c r="B6469" s="18"/>
      <c r="C6469" s="18"/>
      <c r="D6469" s="18"/>
      <c r="E6469" s="18"/>
      <c r="F6469" s="18"/>
      <c r="G6469" s="18"/>
      <c r="H6469" s="18"/>
      <c r="I6469" s="18"/>
      <c r="J6469" s="18"/>
      <c r="K6469" s="18"/>
      <c r="L6469" s="18"/>
      <c r="M6469" s="18"/>
      <c r="N6469" s="18"/>
      <c r="O6469" s="14" t="str">
        <f>HYPERLINK("https://otsuka-europe-crm.veevavault.com/ui/#object/email_activity__v/V8C00000003R580", "EN-002092814")</f>
        <v>EN-002092814</v>
      </c>
    </row>
    <row r="6470" spans="1:15" ht="16" x14ac:dyDescent="0.2">
      <c r="A6470" s="18"/>
      <c r="B6470" s="18"/>
      <c r="C6470" s="18"/>
      <c r="D6470" s="18"/>
      <c r="E6470" s="18"/>
      <c r="F6470" s="18"/>
      <c r="G6470" s="18"/>
      <c r="H6470" s="18"/>
      <c r="I6470" s="18"/>
      <c r="J6470" s="18"/>
      <c r="K6470" s="18"/>
      <c r="L6470" s="18"/>
      <c r="M6470" s="18"/>
      <c r="N6470" s="18"/>
      <c r="O6470" s="14" t="str">
        <f>HYPERLINK("https://otsuka-europe-crm.veevavault.com/ui/#object/email_activity__v/V8C00000003T120", "EN-002093800")</f>
        <v>EN-002093800</v>
      </c>
    </row>
    <row r="6471" spans="1:15" ht="16" x14ac:dyDescent="0.2">
      <c r="A6471" s="19"/>
      <c r="B6471" s="19"/>
      <c r="C6471" s="19"/>
      <c r="D6471" s="19"/>
      <c r="E6471" s="19"/>
      <c r="F6471" s="19"/>
      <c r="G6471" s="19"/>
      <c r="H6471" s="19"/>
      <c r="I6471" s="19"/>
      <c r="J6471" s="19"/>
      <c r="K6471" s="19"/>
      <c r="L6471" s="19"/>
      <c r="M6471" s="19"/>
      <c r="N6471" s="19"/>
      <c r="O6471" s="14" t="str">
        <f>HYPERLINK("https://otsuka-europe-crm.veevavault.com/ui/#object/email_activity__v/V8C00000003V375", "EN-002095543")</f>
        <v>EN-002095543</v>
      </c>
    </row>
    <row r="6472" spans="1:15" ht="16" x14ac:dyDescent="0.2">
      <c r="A6472" s="17" t="str">
        <f>HYPERLINK("https://otsuka-europe-crm.veevavault.com/ui/#object/account__v/V4TZ04ASGB4K0S7", "MARIA REMEDIOS PICAZO TALAVERA")</f>
        <v>MARIA REMEDIOS PICAZO TALAVERA</v>
      </c>
      <c r="B6472" s="17" t="str">
        <f>HYPERLINK("https://otsuka-europe-crm.veevavault.com/ui/#object/vcountry__v/VENZ000004SONF5", "ES")</f>
        <v>ES</v>
      </c>
      <c r="C6472" s="20" t="s">
        <v>41</v>
      </c>
      <c r="D6472" s="21" t="str">
        <f>HYPERLINK("https://otsuka-europe-crm.veevavault.com/ui/#object/approved_document__v/V5O00000001B037", "LUP - VAE Póster Adelphi - Reuma")</f>
        <v>LUP - VAE Póster Adelphi - Reuma</v>
      </c>
      <c r="E6472" s="22" t="str">
        <f>HYPERLINK("https://otsuka-europe-crm.veevavault.com/ui/#object/sent_email__v/VBL00000002S252", "SE-001434516")</f>
        <v>SE-001434516</v>
      </c>
      <c r="F6472" s="23">
        <v>46185.333773148152</v>
      </c>
      <c r="G6472" s="24">
        <v>1</v>
      </c>
      <c r="H6472" s="24">
        <v>5</v>
      </c>
      <c r="I6472" s="24">
        <v>1</v>
      </c>
      <c r="J6472" s="23">
        <v>46184.913310185184</v>
      </c>
      <c r="K6472" s="24">
        <v>1</v>
      </c>
      <c r="L6472" s="22" t="str">
        <f>HYPERLINK("https://otsuka-europe-crm.veevavault.com/ui/#object/approved_document__v/V5O00000001B037", "LUP - VAE Póster Adelphi - Reuma")</f>
        <v>LUP - VAE Póster Adelphi - Reuma</v>
      </c>
      <c r="M6472" s="22" t="str">
        <f>HYPERLINK("mailto:idiez@crm.otsuka-europe.com", "idiez@crm.otsuka-europe.com")</f>
        <v>idiez@crm.otsuka-europe.com</v>
      </c>
      <c r="N6472" s="23">
        <v>46182.404942129629</v>
      </c>
      <c r="O6472" s="14" t="str">
        <f>HYPERLINK("https://otsuka-europe-crm.veevavault.com/ui/#object/email_activity__v/V8C00000003Q797", "EN-002092410")</f>
        <v>EN-002092410</v>
      </c>
    </row>
    <row r="6473" spans="1:15" ht="16" x14ac:dyDescent="0.2">
      <c r="A6473" s="18"/>
      <c r="B6473" s="18"/>
      <c r="C6473" s="18"/>
      <c r="D6473" s="18"/>
      <c r="E6473" s="18"/>
      <c r="F6473" s="18"/>
      <c r="G6473" s="18"/>
      <c r="H6473" s="18"/>
      <c r="I6473" s="18"/>
      <c r="J6473" s="18"/>
      <c r="K6473" s="18"/>
      <c r="L6473" s="18"/>
      <c r="M6473" s="18"/>
      <c r="N6473" s="18"/>
      <c r="O6473" s="14" t="str">
        <f>HYPERLINK("https://otsuka-europe-crm.veevavault.com/ui/#object/email_activity__v/V8C00000003S228", "EN-002093336")</f>
        <v>EN-002093336</v>
      </c>
    </row>
    <row r="6474" spans="1:15" ht="16" x14ac:dyDescent="0.2">
      <c r="A6474" s="18"/>
      <c r="B6474" s="18"/>
      <c r="C6474" s="18"/>
      <c r="D6474" s="18"/>
      <c r="E6474" s="18"/>
      <c r="F6474" s="18"/>
      <c r="G6474" s="18"/>
      <c r="H6474" s="18"/>
      <c r="I6474" s="18"/>
      <c r="J6474" s="18"/>
      <c r="K6474" s="18"/>
      <c r="L6474" s="18"/>
      <c r="M6474" s="18"/>
      <c r="N6474" s="18"/>
      <c r="O6474" s="14" t="str">
        <f>HYPERLINK("https://otsuka-europe-crm.veevavault.com/ui/#object/email_activity__v/V8C00000003U016", "EN-002094850")</f>
        <v>EN-002094850</v>
      </c>
    </row>
    <row r="6475" spans="1:15" ht="16" x14ac:dyDescent="0.2">
      <c r="A6475" s="18"/>
      <c r="B6475" s="18"/>
      <c r="C6475" s="18"/>
      <c r="D6475" s="18"/>
      <c r="E6475" s="18"/>
      <c r="F6475" s="18"/>
      <c r="G6475" s="18"/>
      <c r="H6475" s="18"/>
      <c r="I6475" s="18"/>
      <c r="J6475" s="18"/>
      <c r="K6475" s="18"/>
      <c r="L6475" s="18"/>
      <c r="M6475" s="18"/>
      <c r="N6475" s="18"/>
      <c r="O6475" s="14" t="str">
        <f>HYPERLINK("https://otsuka-europe-crm.veevavault.com/ui/#object/email_activity__v/V8C00000003U018", "EN-002094852")</f>
        <v>EN-002094852</v>
      </c>
    </row>
    <row r="6476" spans="1:15" ht="16" x14ac:dyDescent="0.2">
      <c r="A6476" s="18"/>
      <c r="B6476" s="18"/>
      <c r="C6476" s="18"/>
      <c r="D6476" s="18"/>
      <c r="E6476" s="18"/>
      <c r="F6476" s="18"/>
      <c r="G6476" s="18"/>
      <c r="H6476" s="18"/>
      <c r="I6476" s="18"/>
      <c r="J6476" s="18"/>
      <c r="K6476" s="18"/>
      <c r="L6476" s="18"/>
      <c r="M6476" s="18"/>
      <c r="N6476" s="18"/>
      <c r="O6476" s="14" t="str">
        <f>HYPERLINK("https://otsuka-europe-crm.veevavault.com/ui/#object/email_activity__v/V8C00000003U019", "EN-002094853")</f>
        <v>EN-002094853</v>
      </c>
    </row>
    <row r="6477" spans="1:15" ht="16" x14ac:dyDescent="0.2">
      <c r="A6477" s="18"/>
      <c r="B6477" s="18"/>
      <c r="C6477" s="18"/>
      <c r="D6477" s="18"/>
      <c r="E6477" s="18"/>
      <c r="F6477" s="18"/>
      <c r="G6477" s="18"/>
      <c r="H6477" s="18"/>
      <c r="I6477" s="18"/>
      <c r="J6477" s="18"/>
      <c r="K6477" s="18"/>
      <c r="L6477" s="18"/>
      <c r="M6477" s="18"/>
      <c r="N6477" s="18"/>
      <c r="O6477" s="14" t="str">
        <f>HYPERLINK("https://otsuka-europe-crm.veevavault.com/ui/#object/email_activity__v/V8C00000003V021", "EN-002094858")</f>
        <v>EN-002094858</v>
      </c>
    </row>
    <row r="6478" spans="1:15" ht="16" x14ac:dyDescent="0.2">
      <c r="A6478" s="18"/>
      <c r="B6478" s="18"/>
      <c r="C6478" s="18"/>
      <c r="D6478" s="18"/>
      <c r="E6478" s="18"/>
      <c r="F6478" s="18"/>
      <c r="G6478" s="18"/>
      <c r="H6478" s="18"/>
      <c r="I6478" s="18"/>
      <c r="J6478" s="18"/>
      <c r="K6478" s="18"/>
      <c r="L6478" s="18"/>
      <c r="M6478" s="18"/>
      <c r="N6478" s="18"/>
      <c r="O6478" s="14" t="str">
        <f>HYPERLINK("https://otsuka-europe-crm.veevavault.com/ui/#object/email_activity__v/V8C00000003V164", "EN-002095110")</f>
        <v>EN-002095110</v>
      </c>
    </row>
    <row r="6479" spans="1:15" ht="16" x14ac:dyDescent="0.2">
      <c r="A6479" s="19"/>
      <c r="B6479" s="19"/>
      <c r="C6479" s="19"/>
      <c r="D6479" s="19"/>
      <c r="E6479" s="19"/>
      <c r="F6479" s="19"/>
      <c r="G6479" s="19"/>
      <c r="H6479" s="19"/>
      <c r="I6479" s="19"/>
      <c r="J6479" s="19"/>
      <c r="K6479" s="19"/>
      <c r="L6479" s="19"/>
      <c r="M6479" s="19"/>
      <c r="N6479" s="19"/>
      <c r="O6479" s="14" t="str">
        <f>HYPERLINK("https://otsuka-europe-crm.veevavault.com/ui/#object/email_activity__v/V8C00000003V165", "EN-002095111")</f>
        <v>EN-002095111</v>
      </c>
    </row>
    <row r="6480" spans="1:15" ht="32" x14ac:dyDescent="0.2">
      <c r="A6480" s="7" t="str">
        <f>HYPERLINK("https://otsuka-europe-crm.veevavault.com/ui/#object/account__v/V4TZ04ASGBX7BM5", "MIRIAM RETUERTO GUERRERO")</f>
        <v>MIRIAM RETUERTO GUERRERO</v>
      </c>
      <c r="B6480" s="7" t="str">
        <f>HYPERLINK("https://otsuka-europe-crm.veevavault.com/ui/#object/vcountry__v/VENZ000004SONF5", "ES")</f>
        <v>ES</v>
      </c>
      <c r="C6480" s="8" t="s">
        <v>41</v>
      </c>
      <c r="D6480" s="9" t="str">
        <f>HYPERLINK("https://otsuka-europe-crm.veevavault.com/ui/#object/approved_document__v/V5O00000001B037", "LUP - VAE Póster Adelphi - Reuma")</f>
        <v>LUP - VAE Póster Adelphi - Reuma</v>
      </c>
      <c r="E6480" s="10" t="str">
        <f>HYPERLINK("https://otsuka-europe-crm.veevavault.com/ui/#object/sent_email__v/VBL00000002S253", "SE-001434517")</f>
        <v>SE-001434517</v>
      </c>
      <c r="F6480" s="11"/>
      <c r="G6480" s="12">
        <v>0</v>
      </c>
      <c r="H6480" s="12">
        <v>0</v>
      </c>
      <c r="I6480" s="12">
        <v>0</v>
      </c>
      <c r="J6480" s="11"/>
      <c r="K6480" s="12">
        <v>0</v>
      </c>
      <c r="L6480" s="10" t="str">
        <f>HYPERLINK("https://otsuka-europe-crm.veevavault.com/ui/#object/approved_document__v/V5O00000001B037", "LUP - VAE Póster Adelphi - Reuma")</f>
        <v>LUP - VAE Póster Adelphi - Reuma</v>
      </c>
      <c r="M6480" s="10" t="str">
        <f>HYPERLINK("mailto:idiez@crm.otsuka-europe.com", "idiez@crm.otsuka-europe.com")</f>
        <v>idiez@crm.otsuka-europe.com</v>
      </c>
      <c r="N6480" s="13">
        <v>46182.404953703706</v>
      </c>
      <c r="O6480" s="14" t="str">
        <f>HYPERLINK("https://otsuka-europe-crm.veevavault.com/ui/#object/email_activity__v/V8C00000003Q799", "EN-002092412")</f>
        <v>EN-002092412</v>
      </c>
    </row>
    <row r="6481" spans="1:15" ht="32" x14ac:dyDescent="0.2">
      <c r="A6481" s="7" t="str">
        <f>HYPERLINK("https://otsuka-europe-crm.veevavault.com/ui/#object/account__v/V4TZ04ASGAC2YQG", "OSCAR FONTSERE PATON")</f>
        <v>OSCAR FONTSERE PATON</v>
      </c>
      <c r="B6481" s="7" t="str">
        <f>HYPERLINK("https://otsuka-europe-crm.veevavault.com/ui/#object/vcountry__v/VENZ000004SONF5", "ES")</f>
        <v>ES</v>
      </c>
      <c r="C6481" s="8" t="s">
        <v>41</v>
      </c>
      <c r="D6481" s="9" t="str">
        <f>HYPERLINK("https://otsuka-europe-crm.veevavault.com/ui/#object/approved_document__v/V5O00000001B037", "LUP - VAE Póster Adelphi - Reuma")</f>
        <v>LUP - VAE Póster Adelphi - Reuma</v>
      </c>
      <c r="E6481" s="10" t="str">
        <f>HYPERLINK("https://otsuka-europe-crm.veevavault.com/ui/#object/sent_email__v/VBL00000002S254", "SE-001434518")</f>
        <v>SE-001434518</v>
      </c>
      <c r="F6481" s="11"/>
      <c r="G6481" s="12">
        <v>0</v>
      </c>
      <c r="H6481" s="12">
        <v>0</v>
      </c>
      <c r="I6481" s="12">
        <v>0</v>
      </c>
      <c r="J6481" s="11"/>
      <c r="K6481" s="12">
        <v>0</v>
      </c>
      <c r="L6481" s="10" t="str">
        <f>HYPERLINK("https://otsuka-europe-crm.veevavault.com/ui/#object/approved_document__v/V5O00000001B037", "LUP - VAE Póster Adelphi - Reuma")</f>
        <v>LUP - VAE Póster Adelphi - Reuma</v>
      </c>
      <c r="M6481" s="10" t="str">
        <f>HYPERLINK("mailto:idiez@crm.otsuka-europe.com", "idiez@crm.otsuka-europe.com")</f>
        <v>idiez@crm.otsuka-europe.com</v>
      </c>
      <c r="N6481" s="13">
        <v>46182.404907407406</v>
      </c>
      <c r="O6481" s="14" t="str">
        <f>HYPERLINK("https://otsuka-europe-crm.veevavault.com/ui/#object/email_activity__v/V8C00000003R377", "EN-002092416")</f>
        <v>EN-002092416</v>
      </c>
    </row>
    <row r="6482" spans="1:15" ht="16" x14ac:dyDescent="0.2">
      <c r="A6482" s="17" t="str">
        <f>HYPERLINK("https://otsuka-europe-crm.veevavault.com/ui/#object/account__v/V4TZ025E83YK5LP", "MARIA LUISA GONZALEZ GOMEZ")</f>
        <v>MARIA LUISA GONZALEZ GOMEZ</v>
      </c>
      <c r="B6482" s="17" t="str">
        <f>HYPERLINK("https://otsuka-europe-crm.veevavault.com/ui/#object/vcountry__v/VENZ000004SONF5", "ES")</f>
        <v>ES</v>
      </c>
      <c r="C6482" s="20" t="s">
        <v>41</v>
      </c>
      <c r="D6482" s="21" t="str">
        <f>HYPERLINK("https://otsuka-europe-crm.veevavault.com/ui/#object/approved_document__v/V5O00000001B037", "LUP - VAE Póster Adelphi - Reuma")</f>
        <v>LUP - VAE Póster Adelphi - Reuma</v>
      </c>
      <c r="E6482" s="22" t="str">
        <f>HYPERLINK("https://otsuka-europe-crm.veevavault.com/ui/#object/sent_email__v/VBL00000002S255", "SE-001434519")</f>
        <v>SE-001434519</v>
      </c>
      <c r="F6482" s="23">
        <v>46196.631689814814</v>
      </c>
      <c r="G6482" s="24">
        <v>1</v>
      </c>
      <c r="H6482" s="24">
        <v>1</v>
      </c>
      <c r="I6482" s="24">
        <v>0</v>
      </c>
      <c r="J6482" s="25"/>
      <c r="K6482" s="24">
        <v>0</v>
      </c>
      <c r="L6482" s="22" t="str">
        <f>HYPERLINK("https://otsuka-europe-crm.veevavault.com/ui/#object/approved_document__v/V5O00000001B037", "LUP - VAE Póster Adelphi - Reuma")</f>
        <v>LUP - VAE Póster Adelphi - Reuma</v>
      </c>
      <c r="M6482" s="22" t="str">
        <f>HYPERLINK("mailto:idiez@crm.otsuka-europe.com", "idiez@crm.otsuka-europe.com")</f>
        <v>idiez@crm.otsuka-europe.com</v>
      </c>
      <c r="N6482" s="23">
        <v>46182.404953703706</v>
      </c>
      <c r="O6482" s="14" t="str">
        <f>HYPERLINK("https://otsuka-europe-crm.veevavault.com/ui/#object/email_activity__v/V8C00000003Q798", "EN-002092411")</f>
        <v>EN-002092411</v>
      </c>
    </row>
    <row r="6483" spans="1:15" ht="16" x14ac:dyDescent="0.2">
      <c r="A6483" s="18"/>
      <c r="B6483" s="18"/>
      <c r="C6483" s="18"/>
      <c r="D6483" s="18"/>
      <c r="E6483" s="18"/>
      <c r="F6483" s="18"/>
      <c r="G6483" s="18"/>
      <c r="H6483" s="18"/>
      <c r="I6483" s="18"/>
      <c r="J6483" s="18"/>
      <c r="K6483" s="18"/>
      <c r="L6483" s="18"/>
      <c r="M6483" s="18"/>
      <c r="N6483" s="18"/>
      <c r="O6483" s="14" t="str">
        <f>HYPERLINK("https://otsuka-europe-crm.veevavault.com/ui/#object/email_activity__v/V8C00000003R606", "EN-002092855")</f>
        <v>EN-002092855</v>
      </c>
    </row>
    <row r="6484" spans="1:15" ht="16" x14ac:dyDescent="0.2">
      <c r="A6484" s="18"/>
      <c r="B6484" s="18"/>
      <c r="C6484" s="18"/>
      <c r="D6484" s="18"/>
      <c r="E6484" s="18"/>
      <c r="F6484" s="18"/>
      <c r="G6484" s="18"/>
      <c r="H6484" s="18"/>
      <c r="I6484" s="18"/>
      <c r="J6484" s="18"/>
      <c r="K6484" s="18"/>
      <c r="L6484" s="18"/>
      <c r="M6484" s="18"/>
      <c r="N6484" s="18"/>
      <c r="O6484" s="14" t="str">
        <f>HYPERLINK("https://otsuka-europe-crm.veevavault.com/ui/#object/email_activity__v/V8C00000003S256", "EN-002093383")</f>
        <v>EN-002093383</v>
      </c>
    </row>
    <row r="6485" spans="1:15" ht="16" x14ac:dyDescent="0.2">
      <c r="A6485" s="19"/>
      <c r="B6485" s="19"/>
      <c r="C6485" s="19"/>
      <c r="D6485" s="19"/>
      <c r="E6485" s="19"/>
      <c r="F6485" s="19"/>
      <c r="G6485" s="19"/>
      <c r="H6485" s="19"/>
      <c r="I6485" s="19"/>
      <c r="J6485" s="19"/>
      <c r="K6485" s="19"/>
      <c r="L6485" s="19"/>
      <c r="M6485" s="19"/>
      <c r="N6485" s="19"/>
      <c r="O6485" s="14" t="str">
        <f>HYPERLINK("https://otsuka-europe-crm.veevavault.com/ui/#object/email_activity__v/V8C00000003Z378", "EN-002099426")</f>
        <v>EN-002099426</v>
      </c>
    </row>
    <row r="6486" spans="1:15" ht="16" x14ac:dyDescent="0.2">
      <c r="A6486" s="17" t="str">
        <f>HYPERLINK("https://otsuka-europe-crm.veevavault.com/ui/#object/account__v/V4TZ04ASGC4KOET", "JULIA MARTINEZ BARRIO")</f>
        <v>JULIA MARTINEZ BARRIO</v>
      </c>
      <c r="B6486" s="17" t="str">
        <f>HYPERLINK("https://otsuka-europe-crm.veevavault.com/ui/#object/vcountry__v/VENZ000004SONF5", "ES")</f>
        <v>ES</v>
      </c>
      <c r="C6486" s="20" t="s">
        <v>41</v>
      </c>
      <c r="D6486" s="21" t="str">
        <f>HYPERLINK("https://otsuka-europe-crm.veevavault.com/ui/#object/approved_document__v/V5O00000001B037", "LUP - VAE Póster Adelphi - Reuma")</f>
        <v>LUP - VAE Póster Adelphi - Reuma</v>
      </c>
      <c r="E6486" s="22" t="str">
        <f>HYPERLINK("https://otsuka-europe-crm.veevavault.com/ui/#object/sent_email__v/VBL00000002S256", "SE-001434520")</f>
        <v>SE-001434520</v>
      </c>
      <c r="F6486" s="23">
        <v>46182.854039351849</v>
      </c>
      <c r="G6486" s="24">
        <v>1</v>
      </c>
      <c r="H6486" s="24">
        <v>1</v>
      </c>
      <c r="I6486" s="24">
        <v>0</v>
      </c>
      <c r="J6486" s="25"/>
      <c r="K6486" s="24">
        <v>0</v>
      </c>
      <c r="L6486" s="22" t="str">
        <f>HYPERLINK("https://otsuka-europe-crm.veevavault.com/ui/#object/approved_document__v/V5O00000001B037", "LUP - VAE Póster Adelphi - Reuma")</f>
        <v>LUP - VAE Póster Adelphi - Reuma</v>
      </c>
      <c r="M6486" s="22" t="str">
        <f>HYPERLINK("mailto:idiez@crm.otsuka-europe.com", "idiez@crm.otsuka-europe.com")</f>
        <v>idiez@crm.otsuka-europe.com</v>
      </c>
      <c r="N6486" s="23">
        <v>46182.404907407406</v>
      </c>
      <c r="O6486" s="14" t="str">
        <f>HYPERLINK("https://otsuka-europe-crm.veevavault.com/ui/#object/email_activity__v/V8C00000003Q813", "EN-002092428")</f>
        <v>EN-002092428</v>
      </c>
    </row>
    <row r="6487" spans="1:15" ht="16" x14ac:dyDescent="0.2">
      <c r="A6487" s="19"/>
      <c r="B6487" s="19"/>
      <c r="C6487" s="19"/>
      <c r="D6487" s="19"/>
      <c r="E6487" s="19"/>
      <c r="F6487" s="19"/>
      <c r="G6487" s="19"/>
      <c r="H6487" s="19"/>
      <c r="I6487" s="19"/>
      <c r="J6487" s="19"/>
      <c r="K6487" s="19"/>
      <c r="L6487" s="19"/>
      <c r="M6487" s="19"/>
      <c r="N6487" s="19"/>
      <c r="O6487" s="14" t="str">
        <f>HYPERLINK("https://otsuka-europe-crm.veevavault.com/ui/#object/email_activity__v/V8C00000003T062", "EN-002093686")</f>
        <v>EN-002093686</v>
      </c>
    </row>
    <row r="6488" spans="1:15" ht="32" x14ac:dyDescent="0.2">
      <c r="A6488" s="7" t="str">
        <f>HYPERLINK("https://otsuka-europe-crm.veevavault.com/ui/#object/account__v/V4TZ04ASG9RG6IU", "ALMUDENA ROMAN PASCUAL")</f>
        <v>ALMUDENA ROMAN PASCUAL</v>
      </c>
      <c r="B6488" s="7" t="str">
        <f>HYPERLINK("https://otsuka-europe-crm.veevavault.com/ui/#object/vcountry__v/VENZ000004SONF5", "ES")</f>
        <v>ES</v>
      </c>
      <c r="C6488" s="8" t="s">
        <v>41</v>
      </c>
      <c r="D6488" s="9" t="str">
        <f>HYPERLINK("https://otsuka-europe-crm.veevavault.com/ui/#object/approved_document__v/V5O00000001B037", "LUP - VAE Póster Adelphi - Reuma")</f>
        <v>LUP - VAE Póster Adelphi - Reuma</v>
      </c>
      <c r="E6488" s="10" t="str">
        <f>HYPERLINK("https://otsuka-europe-crm.veevavault.com/ui/#object/sent_email__v/VBL00000002S257", "SE-001434521")</f>
        <v>SE-001434521</v>
      </c>
      <c r="F6488" s="11"/>
      <c r="G6488" s="12">
        <v>0</v>
      </c>
      <c r="H6488" s="12">
        <v>0</v>
      </c>
      <c r="I6488" s="12">
        <v>0</v>
      </c>
      <c r="J6488" s="11"/>
      <c r="K6488" s="12">
        <v>0</v>
      </c>
      <c r="L6488" s="10" t="str">
        <f>HYPERLINK("https://otsuka-europe-crm.veevavault.com/ui/#object/approved_document__v/V5O00000001B037", "LUP - VAE Póster Adelphi - Reuma")</f>
        <v>LUP - VAE Póster Adelphi - Reuma</v>
      </c>
      <c r="M6488" s="10" t="str">
        <f>HYPERLINK("mailto:idiez@crm.otsuka-europe.com", "idiez@crm.otsuka-europe.com")</f>
        <v>idiez@crm.otsuka-europe.com</v>
      </c>
      <c r="N6488" s="13">
        <v>46182.404907407406</v>
      </c>
      <c r="O6488" s="14" t="str">
        <f>HYPERLINK("https://otsuka-europe-crm.veevavault.com/ui/#object/email_activity__v/V8C00000003Q807", "EN-002092422")</f>
        <v>EN-002092422</v>
      </c>
    </row>
    <row r="6489" spans="1:15" ht="16" x14ac:dyDescent="0.2">
      <c r="A6489" s="17" t="str">
        <f>HYPERLINK("https://otsuka-europe-crm.veevavault.com/ui/#object/account__v/V4T000000015091", "MARIA PAZ COLLADO RAMOS")</f>
        <v>MARIA PAZ COLLADO RAMOS</v>
      </c>
      <c r="B6489" s="17" t="str">
        <f>HYPERLINK("https://otsuka-europe-crm.veevavault.com/ui/#object/vcountry__v/VENZ000004SONF5", "ES")</f>
        <v>ES</v>
      </c>
      <c r="C6489" s="20" t="s">
        <v>41</v>
      </c>
      <c r="D6489" s="21" t="str">
        <f>HYPERLINK("https://otsuka-europe-crm.veevavault.com/ui/#object/approved_document__v/V5O00000001B037", "LUP - VAE Póster Adelphi - Reuma")</f>
        <v>LUP - VAE Póster Adelphi - Reuma</v>
      </c>
      <c r="E6489" s="22" t="str">
        <f>HYPERLINK("https://otsuka-europe-crm.veevavault.com/ui/#object/sent_email__v/VBL00000002S258", "SE-001434522")</f>
        <v>SE-001434522</v>
      </c>
      <c r="F6489" s="23">
        <v>46185.989062499997</v>
      </c>
      <c r="G6489" s="24">
        <v>1</v>
      </c>
      <c r="H6489" s="24">
        <v>6</v>
      </c>
      <c r="I6489" s="24">
        <v>1</v>
      </c>
      <c r="J6489" s="23">
        <v>46182.67832175926</v>
      </c>
      <c r="K6489" s="24">
        <v>1</v>
      </c>
      <c r="L6489" s="22" t="str">
        <f>HYPERLINK("https://otsuka-europe-crm.veevavault.com/ui/#object/approved_document__v/V5O00000001B037", "LUP - VAE Póster Adelphi - Reuma")</f>
        <v>LUP - VAE Póster Adelphi - Reuma</v>
      </c>
      <c r="M6489" s="22" t="str">
        <f>HYPERLINK("mailto:idiez@crm.otsuka-europe.com", "idiez@crm.otsuka-europe.com")</f>
        <v>idiez@crm.otsuka-europe.com</v>
      </c>
      <c r="N6489" s="23">
        <v>46182.404907407406</v>
      </c>
      <c r="O6489" s="14" t="str">
        <f>HYPERLINK("https://otsuka-europe-crm.veevavault.com/ui/#object/email_activity__v/V8C00000003Q806", "EN-002092421")</f>
        <v>EN-002092421</v>
      </c>
    </row>
    <row r="6490" spans="1:15" ht="16" x14ac:dyDescent="0.2">
      <c r="A6490" s="18"/>
      <c r="B6490" s="18"/>
      <c r="C6490" s="18"/>
      <c r="D6490" s="18"/>
      <c r="E6490" s="18"/>
      <c r="F6490" s="18"/>
      <c r="G6490" s="18"/>
      <c r="H6490" s="18"/>
      <c r="I6490" s="18"/>
      <c r="J6490" s="18"/>
      <c r="K6490" s="18"/>
      <c r="L6490" s="18"/>
      <c r="M6490" s="18"/>
      <c r="N6490" s="18"/>
      <c r="O6490" s="14" t="str">
        <f>HYPERLINK("https://otsuka-europe-crm.veevavault.com/ui/#object/email_activity__v/V8C00000003R856", "EN-002093293")</f>
        <v>EN-002093293</v>
      </c>
    </row>
    <row r="6491" spans="1:15" ht="16" x14ac:dyDescent="0.2">
      <c r="A6491" s="18"/>
      <c r="B6491" s="18"/>
      <c r="C6491" s="18"/>
      <c r="D6491" s="18"/>
      <c r="E6491" s="18"/>
      <c r="F6491" s="18"/>
      <c r="G6491" s="18"/>
      <c r="H6491" s="18"/>
      <c r="I6491" s="18"/>
      <c r="J6491" s="18"/>
      <c r="K6491" s="18"/>
      <c r="L6491" s="18"/>
      <c r="M6491" s="18"/>
      <c r="N6491" s="18"/>
      <c r="O6491" s="14" t="str">
        <f>HYPERLINK("https://otsuka-europe-crm.veevavault.com/ui/#object/email_activity__v/V8C00000003R857", "EN-002093296")</f>
        <v>EN-002093296</v>
      </c>
    </row>
    <row r="6492" spans="1:15" ht="16" x14ac:dyDescent="0.2">
      <c r="A6492" s="18"/>
      <c r="B6492" s="18"/>
      <c r="C6492" s="18"/>
      <c r="D6492" s="18"/>
      <c r="E6492" s="18"/>
      <c r="F6492" s="18"/>
      <c r="G6492" s="18"/>
      <c r="H6492" s="18"/>
      <c r="I6492" s="18"/>
      <c r="J6492" s="18"/>
      <c r="K6492" s="18"/>
      <c r="L6492" s="18"/>
      <c r="M6492" s="18"/>
      <c r="N6492" s="18"/>
      <c r="O6492" s="14" t="str">
        <f>HYPERLINK("https://otsuka-europe-crm.veevavault.com/ui/#object/email_activity__v/V8C00000003R859", "EN-002093298")</f>
        <v>EN-002093298</v>
      </c>
    </row>
    <row r="6493" spans="1:15" ht="16" x14ac:dyDescent="0.2">
      <c r="A6493" s="18"/>
      <c r="B6493" s="18"/>
      <c r="C6493" s="18"/>
      <c r="D6493" s="18"/>
      <c r="E6493" s="18"/>
      <c r="F6493" s="18"/>
      <c r="G6493" s="18"/>
      <c r="H6493" s="18"/>
      <c r="I6493" s="18"/>
      <c r="J6493" s="18"/>
      <c r="K6493" s="18"/>
      <c r="L6493" s="18"/>
      <c r="M6493" s="18"/>
      <c r="N6493" s="18"/>
      <c r="O6493" s="14" t="str">
        <f>HYPERLINK("https://otsuka-europe-crm.veevavault.com/ui/#object/email_activity__v/V8C00000003S202", "EN-002093294")</f>
        <v>EN-002093294</v>
      </c>
    </row>
    <row r="6494" spans="1:15" ht="16" x14ac:dyDescent="0.2">
      <c r="A6494" s="18"/>
      <c r="B6494" s="18"/>
      <c r="C6494" s="18"/>
      <c r="D6494" s="18"/>
      <c r="E6494" s="18"/>
      <c r="F6494" s="18"/>
      <c r="G6494" s="18"/>
      <c r="H6494" s="18"/>
      <c r="I6494" s="18"/>
      <c r="J6494" s="18"/>
      <c r="K6494" s="18"/>
      <c r="L6494" s="18"/>
      <c r="M6494" s="18"/>
      <c r="N6494" s="18"/>
      <c r="O6494" s="14" t="str">
        <f>HYPERLINK("https://otsuka-europe-crm.veevavault.com/ui/#object/email_activity__v/V8C00000003S203", "EN-002093295")</f>
        <v>EN-002093295</v>
      </c>
    </row>
    <row r="6495" spans="1:15" ht="16" x14ac:dyDescent="0.2">
      <c r="A6495" s="18"/>
      <c r="B6495" s="18"/>
      <c r="C6495" s="18"/>
      <c r="D6495" s="18"/>
      <c r="E6495" s="18"/>
      <c r="F6495" s="18"/>
      <c r="G6495" s="18"/>
      <c r="H6495" s="18"/>
      <c r="I6495" s="18"/>
      <c r="J6495" s="18"/>
      <c r="K6495" s="18"/>
      <c r="L6495" s="18"/>
      <c r="M6495" s="18"/>
      <c r="N6495" s="18"/>
      <c r="O6495" s="14" t="str">
        <f>HYPERLINK("https://otsuka-europe-crm.veevavault.com/ui/#object/email_activity__v/V8C00000003S204", "EN-002093300")</f>
        <v>EN-002093300</v>
      </c>
    </row>
    <row r="6496" spans="1:15" ht="16" x14ac:dyDescent="0.2">
      <c r="A6496" s="18"/>
      <c r="B6496" s="18"/>
      <c r="C6496" s="18"/>
      <c r="D6496" s="18"/>
      <c r="E6496" s="18"/>
      <c r="F6496" s="18"/>
      <c r="G6496" s="18"/>
      <c r="H6496" s="18"/>
      <c r="I6496" s="18"/>
      <c r="J6496" s="18"/>
      <c r="K6496" s="18"/>
      <c r="L6496" s="18"/>
      <c r="M6496" s="18"/>
      <c r="N6496" s="18"/>
      <c r="O6496" s="14" t="str">
        <f>HYPERLINK("https://otsuka-europe-crm.veevavault.com/ui/#object/email_activity__v/V8C00000003S234", "EN-002093344")</f>
        <v>EN-002093344</v>
      </c>
    </row>
    <row r="6497" spans="1:15" ht="16" x14ac:dyDescent="0.2">
      <c r="A6497" s="19"/>
      <c r="B6497" s="19"/>
      <c r="C6497" s="19"/>
      <c r="D6497" s="19"/>
      <c r="E6497" s="19"/>
      <c r="F6497" s="19"/>
      <c r="G6497" s="19"/>
      <c r="H6497" s="19"/>
      <c r="I6497" s="19"/>
      <c r="J6497" s="19"/>
      <c r="K6497" s="19"/>
      <c r="L6497" s="19"/>
      <c r="M6497" s="19"/>
      <c r="N6497" s="19"/>
      <c r="O6497" s="14" t="str">
        <f>HYPERLINK("https://otsuka-europe-crm.veevavault.com/ui/#object/email_activity__v/V8C00000003V417", "EN-002095600")</f>
        <v>EN-002095600</v>
      </c>
    </row>
    <row r="6498" spans="1:15" ht="16" x14ac:dyDescent="0.2">
      <c r="A6498" s="17" t="str">
        <f>HYPERLINK("https://otsuka-europe-crm.veevavault.com/ui/#object/account__v/V4TZ04ASGBNKU6V", "SILVIA PEREZ ESTEBAN")</f>
        <v>SILVIA PEREZ ESTEBAN</v>
      </c>
      <c r="B6498" s="17" t="str">
        <f>HYPERLINK("https://otsuka-europe-crm.veevavault.com/ui/#object/vcountry__v/VENZ000004SONF5", "ES")</f>
        <v>ES</v>
      </c>
      <c r="C6498" s="20" t="s">
        <v>41</v>
      </c>
      <c r="D6498" s="21" t="str">
        <f>HYPERLINK("https://otsuka-europe-crm.veevavault.com/ui/#object/approved_document__v/V5O00000001B037", "LUP - VAE Póster Adelphi - Reuma")</f>
        <v>LUP - VAE Póster Adelphi - Reuma</v>
      </c>
      <c r="E6498" s="22" t="str">
        <f>HYPERLINK("https://otsuka-europe-crm.veevavault.com/ui/#object/sent_email__v/VBL00000002S259", "SE-001434523")</f>
        <v>SE-001434523</v>
      </c>
      <c r="F6498" s="23">
        <v>46182.405995370369</v>
      </c>
      <c r="G6498" s="24">
        <v>1</v>
      </c>
      <c r="H6498" s="24">
        <v>2</v>
      </c>
      <c r="I6498" s="24">
        <v>0</v>
      </c>
      <c r="J6498" s="25"/>
      <c r="K6498" s="24">
        <v>0</v>
      </c>
      <c r="L6498" s="22" t="str">
        <f>HYPERLINK("https://otsuka-europe-crm.veevavault.com/ui/#object/approved_document__v/V5O00000001B037", "LUP - VAE Póster Adelphi - Reuma")</f>
        <v>LUP - VAE Póster Adelphi - Reuma</v>
      </c>
      <c r="M6498" s="22" t="str">
        <f>HYPERLINK("mailto:idiez@crm.otsuka-europe.com", "idiez@crm.otsuka-europe.com")</f>
        <v>idiez@crm.otsuka-europe.com</v>
      </c>
      <c r="N6498" s="23">
        <v>46182.404942129629</v>
      </c>
      <c r="O6498" s="14" t="str">
        <f>HYPERLINK("https://otsuka-europe-crm.veevavault.com/ui/#object/email_activity__v/V8C00000003Q794", "EN-002092407")</f>
        <v>EN-002092407</v>
      </c>
    </row>
    <row r="6499" spans="1:15" ht="16" x14ac:dyDescent="0.2">
      <c r="A6499" s="18"/>
      <c r="B6499" s="18"/>
      <c r="C6499" s="18"/>
      <c r="D6499" s="18"/>
      <c r="E6499" s="18"/>
      <c r="F6499" s="18"/>
      <c r="G6499" s="18"/>
      <c r="H6499" s="18"/>
      <c r="I6499" s="18"/>
      <c r="J6499" s="18"/>
      <c r="K6499" s="18"/>
      <c r="L6499" s="18"/>
      <c r="M6499" s="18"/>
      <c r="N6499" s="18"/>
      <c r="O6499" s="14" t="str">
        <f>HYPERLINK("https://otsuka-europe-crm.veevavault.com/ui/#object/email_activity__v/V8C00000003Q932", "EN-002092611")</f>
        <v>EN-002092611</v>
      </c>
    </row>
    <row r="6500" spans="1:15" ht="16" x14ac:dyDescent="0.2">
      <c r="A6500" s="19"/>
      <c r="B6500" s="19"/>
      <c r="C6500" s="19"/>
      <c r="D6500" s="19"/>
      <c r="E6500" s="19"/>
      <c r="F6500" s="19"/>
      <c r="G6500" s="19"/>
      <c r="H6500" s="19"/>
      <c r="I6500" s="19"/>
      <c r="J6500" s="19"/>
      <c r="K6500" s="19"/>
      <c r="L6500" s="19"/>
      <c r="M6500" s="19"/>
      <c r="N6500" s="19"/>
      <c r="O6500" s="14" t="str">
        <f>HYPERLINK("https://otsuka-europe-crm.veevavault.com/ui/#object/email_activity__v/V8C00000003Q933", "EN-002092612")</f>
        <v>EN-002092612</v>
      </c>
    </row>
    <row r="6501" spans="1:15" ht="16" x14ac:dyDescent="0.2">
      <c r="A6501" s="17" t="str">
        <f>HYPERLINK("https://otsuka-europe-crm.veevavault.com/ui/#object/account__v/V4TZ04ASGB4VXWA", "ANA SALOME PAREJA MARTINEZ")</f>
        <v>ANA SALOME PAREJA MARTINEZ</v>
      </c>
      <c r="B6501" s="17" t="str">
        <f>HYPERLINK("https://otsuka-europe-crm.veevavault.com/ui/#object/vcountry__v/VENZ000004SONF5", "ES")</f>
        <v>ES</v>
      </c>
      <c r="C6501" s="20" t="s">
        <v>41</v>
      </c>
      <c r="D6501" s="21" t="str">
        <f>HYPERLINK("https://otsuka-europe-crm.veevavault.com/ui/#object/approved_document__v/V5O00000001B037", "LUP - VAE Póster Adelphi - Reuma")</f>
        <v>LUP - VAE Póster Adelphi - Reuma</v>
      </c>
      <c r="E6501" s="22" t="str">
        <f>HYPERLINK("https://otsuka-europe-crm.veevavault.com/ui/#object/sent_email__v/VBL00000002S260", "SE-001434524")</f>
        <v>SE-001434524</v>
      </c>
      <c r="F6501" s="23">
        <v>46183.321782407409</v>
      </c>
      <c r="G6501" s="24">
        <v>1</v>
      </c>
      <c r="H6501" s="24">
        <v>1</v>
      </c>
      <c r="I6501" s="24">
        <v>0</v>
      </c>
      <c r="J6501" s="25"/>
      <c r="K6501" s="24">
        <v>0</v>
      </c>
      <c r="L6501" s="22" t="str">
        <f>HYPERLINK("https://otsuka-europe-crm.veevavault.com/ui/#object/approved_document__v/V5O00000001B037", "LUP - VAE Póster Adelphi - Reuma")</f>
        <v>LUP - VAE Póster Adelphi - Reuma</v>
      </c>
      <c r="M6501" s="22" t="str">
        <f>HYPERLINK("mailto:idiez@crm.otsuka-europe.com", "idiez@crm.otsuka-europe.com")</f>
        <v>idiez@crm.otsuka-europe.com</v>
      </c>
      <c r="N6501" s="23">
        <v>46182.404918981483</v>
      </c>
      <c r="O6501" s="14" t="str">
        <f>HYPERLINK("https://otsuka-europe-crm.veevavault.com/ui/#object/email_activity__v/V8C00000003Q809", "EN-002092424")</f>
        <v>EN-002092424</v>
      </c>
    </row>
    <row r="6502" spans="1:15" ht="16" x14ac:dyDescent="0.2">
      <c r="A6502" s="19"/>
      <c r="B6502" s="19"/>
      <c r="C6502" s="19"/>
      <c r="D6502" s="19"/>
      <c r="E6502" s="19"/>
      <c r="F6502" s="19"/>
      <c r="G6502" s="19"/>
      <c r="H6502" s="19"/>
      <c r="I6502" s="19"/>
      <c r="J6502" s="19"/>
      <c r="K6502" s="19"/>
      <c r="L6502" s="19"/>
      <c r="M6502" s="19"/>
      <c r="N6502" s="19"/>
      <c r="O6502" s="14" t="str">
        <f>HYPERLINK("https://otsuka-europe-crm.veevavault.com/ui/#object/email_activity__v/V8C00000003T148", "EN-002093864")</f>
        <v>EN-002093864</v>
      </c>
    </row>
    <row r="6503" spans="1:15" ht="16" x14ac:dyDescent="0.2">
      <c r="A6503" s="17" t="str">
        <f>HYPERLINK("https://otsuka-europe-crm.veevavault.com/ui/#object/account__v/V4TZ04ASG9RG6AY", "RAUL MARIA VEIGA CABELLO")</f>
        <v>RAUL MARIA VEIGA CABELLO</v>
      </c>
      <c r="B6503" s="17" t="str">
        <f>HYPERLINK("https://otsuka-europe-crm.veevavault.com/ui/#object/vcountry__v/VENZ000004SONF5", "ES")</f>
        <v>ES</v>
      </c>
      <c r="C6503" s="20" t="s">
        <v>41</v>
      </c>
      <c r="D6503" s="21" t="str">
        <f>HYPERLINK("https://otsuka-europe-crm.veevavault.com/ui/#object/approved_document__v/V5O00000001B037", "LUP - VAE Póster Adelphi - Reuma")</f>
        <v>LUP - VAE Póster Adelphi - Reuma</v>
      </c>
      <c r="E6503" s="22" t="str">
        <f>HYPERLINK("https://otsuka-europe-crm.veevavault.com/ui/#object/sent_email__v/VBL00000002S261", "SE-001434525")</f>
        <v>SE-001434525</v>
      </c>
      <c r="F6503" s="23">
        <v>46187.77920138889</v>
      </c>
      <c r="G6503" s="24">
        <v>1</v>
      </c>
      <c r="H6503" s="24">
        <v>1</v>
      </c>
      <c r="I6503" s="24">
        <v>0</v>
      </c>
      <c r="J6503" s="25"/>
      <c r="K6503" s="24">
        <v>0</v>
      </c>
      <c r="L6503" s="22" t="str">
        <f>HYPERLINK("https://otsuka-europe-crm.veevavault.com/ui/#object/approved_document__v/V5O00000001B037", "LUP - VAE Póster Adelphi - Reuma")</f>
        <v>LUP - VAE Póster Adelphi - Reuma</v>
      </c>
      <c r="M6503" s="22" t="str">
        <f>HYPERLINK("mailto:idiez@crm.otsuka-europe.com", "idiez@crm.otsuka-europe.com")</f>
        <v>idiez@crm.otsuka-europe.com</v>
      </c>
      <c r="N6503" s="23">
        <v>46182.404918981483</v>
      </c>
      <c r="O6503" s="14" t="str">
        <f>HYPERLINK("https://otsuka-europe-crm.veevavault.com/ui/#object/email_activity__v/V8C00000003Q802", "EN-002092417")</f>
        <v>EN-002092417</v>
      </c>
    </row>
    <row r="6504" spans="1:15" ht="16" x14ac:dyDescent="0.2">
      <c r="A6504" s="18"/>
      <c r="B6504" s="18"/>
      <c r="C6504" s="18"/>
      <c r="D6504" s="18"/>
      <c r="E6504" s="18"/>
      <c r="F6504" s="18"/>
      <c r="G6504" s="18"/>
      <c r="H6504" s="18"/>
      <c r="I6504" s="18"/>
      <c r="J6504" s="18"/>
      <c r="K6504" s="18"/>
      <c r="L6504" s="18"/>
      <c r="M6504" s="18"/>
      <c r="N6504" s="18"/>
      <c r="O6504" s="14" t="str">
        <f>HYPERLINK("https://otsuka-europe-crm.veevavault.com/ui/#object/email_activity__v/V8C00000003S395", "EN-002093697")</f>
        <v>EN-002093697</v>
      </c>
    </row>
    <row r="6505" spans="1:15" ht="16" x14ac:dyDescent="0.2">
      <c r="A6505" s="19"/>
      <c r="B6505" s="19"/>
      <c r="C6505" s="19"/>
      <c r="D6505" s="19"/>
      <c r="E6505" s="19"/>
      <c r="F6505" s="19"/>
      <c r="G6505" s="19"/>
      <c r="H6505" s="19"/>
      <c r="I6505" s="19"/>
      <c r="J6505" s="19"/>
      <c r="K6505" s="19"/>
      <c r="L6505" s="19"/>
      <c r="M6505" s="19"/>
      <c r="N6505" s="19"/>
      <c r="O6505" s="14" t="str">
        <f>HYPERLINK("https://otsuka-europe-crm.veevavault.com/ui/#object/email_activity__v/V8C00000003U432", "EN-002095721")</f>
        <v>EN-002095721</v>
      </c>
    </row>
    <row r="6506" spans="1:15" ht="16" x14ac:dyDescent="0.2">
      <c r="A6506" s="17" t="str">
        <f>HYPERLINK("https://otsuka-europe-crm.veevavault.com/ui/#object/account__v/V4TZ04ASGBNHW0B", "MARIA BEATRIZ PAREDES ROMERO")</f>
        <v>MARIA BEATRIZ PAREDES ROMERO</v>
      </c>
      <c r="B6506" s="17" t="str">
        <f>HYPERLINK("https://otsuka-europe-crm.veevavault.com/ui/#object/vcountry__v/VENZ000004SONF5", "ES")</f>
        <v>ES</v>
      </c>
      <c r="C6506" s="20" t="s">
        <v>41</v>
      </c>
      <c r="D6506" s="21" t="str">
        <f>HYPERLINK("https://otsuka-europe-crm.veevavault.com/ui/#object/approved_document__v/V5O00000001B037", "LUP - VAE Póster Adelphi - Reuma")</f>
        <v>LUP - VAE Póster Adelphi - Reuma</v>
      </c>
      <c r="E6506" s="22" t="str">
        <f>HYPERLINK("https://otsuka-europe-crm.veevavault.com/ui/#object/sent_email__v/VBL00000002S262", "SE-001434526")</f>
        <v>SE-001434526</v>
      </c>
      <c r="F6506" s="25"/>
      <c r="G6506" s="24">
        <v>0</v>
      </c>
      <c r="H6506" s="24">
        <v>0</v>
      </c>
      <c r="I6506" s="24">
        <v>0</v>
      </c>
      <c r="J6506" s="25"/>
      <c r="K6506" s="24">
        <v>0</v>
      </c>
      <c r="L6506" s="22" t="str">
        <f>HYPERLINK("https://otsuka-europe-crm.veevavault.com/ui/#object/approved_document__v/V5O00000001B037", "LUP - VAE Póster Adelphi - Reuma")</f>
        <v>LUP - VAE Póster Adelphi - Reuma</v>
      </c>
      <c r="M6506" s="22" t="str">
        <f>HYPERLINK("mailto:idiez@crm.otsuka-europe.com", "idiez@crm.otsuka-europe.com")</f>
        <v>idiez@crm.otsuka-europe.com</v>
      </c>
      <c r="N6506" s="23">
        <v>46182.404918981483</v>
      </c>
      <c r="O6506" s="14" t="str">
        <f>HYPERLINK("https://otsuka-europe-crm.veevavault.com/ui/#object/email_activity__v/V8C00000003Q814", "EN-002092429")</f>
        <v>EN-002092429</v>
      </c>
    </row>
    <row r="6507" spans="1:15" ht="16" x14ac:dyDescent="0.2">
      <c r="A6507" s="19"/>
      <c r="B6507" s="19"/>
      <c r="C6507" s="19"/>
      <c r="D6507" s="19"/>
      <c r="E6507" s="19"/>
      <c r="F6507" s="19"/>
      <c r="G6507" s="19"/>
      <c r="H6507" s="19"/>
      <c r="I6507" s="19"/>
      <c r="J6507" s="19"/>
      <c r="K6507" s="19"/>
      <c r="L6507" s="19"/>
      <c r="M6507" s="19"/>
      <c r="N6507" s="19"/>
      <c r="O6507" s="14" t="str">
        <f>HYPERLINK("https://otsuka-europe-crm.veevavault.com/ui/#object/email_activity__v/V8C00000003V756", "EN-002096321")</f>
        <v>EN-002096321</v>
      </c>
    </row>
    <row r="6508" spans="1:15" ht="32" x14ac:dyDescent="0.2">
      <c r="A6508" s="7" t="str">
        <f>HYPERLINK("https://otsuka-europe-crm.veevavault.com/ui/#object/account__v/V4TZ04ASG6FSXOC", "MARIA ELVIRA DIEZ ALVAREZ")</f>
        <v>MARIA ELVIRA DIEZ ALVAREZ</v>
      </c>
      <c r="B6508" s="7" t="str">
        <f>HYPERLINK("https://otsuka-europe-crm.veevavault.com/ui/#object/vcountry__v/VENZ000004SONF5", "ES")</f>
        <v>ES</v>
      </c>
      <c r="C6508" s="8" t="s">
        <v>41</v>
      </c>
      <c r="D6508" s="9" t="str">
        <f>HYPERLINK("https://otsuka-europe-crm.veevavault.com/ui/#object/approved_document__v/V5O00000001B037", "LUP - VAE Póster Adelphi - Reuma")</f>
        <v>LUP - VAE Póster Adelphi - Reuma</v>
      </c>
      <c r="E6508" s="10" t="str">
        <f>HYPERLINK("https://otsuka-europe-crm.veevavault.com/ui/#object/sent_email__v/VBL00000002S263", "SE-001434527")</f>
        <v>SE-001434527</v>
      </c>
      <c r="F6508" s="11"/>
      <c r="G6508" s="12">
        <v>0</v>
      </c>
      <c r="H6508" s="12">
        <v>0</v>
      </c>
      <c r="I6508" s="12">
        <v>0</v>
      </c>
      <c r="J6508" s="11"/>
      <c r="K6508" s="12">
        <v>0</v>
      </c>
      <c r="L6508" s="10" t="str">
        <f>HYPERLINK("https://otsuka-europe-crm.veevavault.com/ui/#object/approved_document__v/V5O00000001B037", "LUP - VAE Póster Adelphi - Reuma")</f>
        <v>LUP - VAE Póster Adelphi - Reuma</v>
      </c>
      <c r="M6508" s="10" t="str">
        <f>HYPERLINK("mailto:idiez@crm.otsuka-europe.com", "idiez@crm.otsuka-europe.com")</f>
        <v>idiez@crm.otsuka-europe.com</v>
      </c>
      <c r="N6508" s="13">
        <v>46182.404907407406</v>
      </c>
      <c r="O6508" s="14" t="str">
        <f>HYPERLINK("https://otsuka-europe-crm.veevavault.com/ui/#object/email_activity__v/V8C00000003Q791", "EN-002092404")</f>
        <v>EN-002092404</v>
      </c>
    </row>
    <row r="6509" spans="1:15" ht="16" x14ac:dyDescent="0.2">
      <c r="A6509" s="17" t="str">
        <f>HYPERLINK("https://otsuka-europe-crm.veevavault.com/ui/#object/account__v/V4TZ025E8918Z4F", "PALOMA TURIEL HERNANDEZ")</f>
        <v>PALOMA TURIEL HERNANDEZ</v>
      </c>
      <c r="B6509" s="17" t="str">
        <f>HYPERLINK("https://otsuka-europe-crm.veevavault.com/ui/#object/vcountry__v/VENZ000004SONF5", "ES")</f>
        <v>ES</v>
      </c>
      <c r="C6509" s="20" t="s">
        <v>41</v>
      </c>
      <c r="D6509" s="21" t="str">
        <f>HYPERLINK("https://otsuka-europe-crm.veevavault.com/ui/#object/approved_document__v/V5O00000001B037", "LUP - VAE Póster Adelphi - Reuma")</f>
        <v>LUP - VAE Póster Adelphi - Reuma</v>
      </c>
      <c r="E6509" s="22" t="str">
        <f>HYPERLINK("https://otsuka-europe-crm.veevavault.com/ui/#object/sent_email__v/VBL00000002S264", "SE-001434528")</f>
        <v>SE-001434528</v>
      </c>
      <c r="F6509" s="23">
        <v>46182.405046296299</v>
      </c>
      <c r="G6509" s="24">
        <v>1</v>
      </c>
      <c r="H6509" s="24">
        <v>1</v>
      </c>
      <c r="I6509" s="24">
        <v>0</v>
      </c>
      <c r="J6509" s="25"/>
      <c r="K6509" s="24">
        <v>0</v>
      </c>
      <c r="L6509" s="22" t="str">
        <f>HYPERLINK("https://otsuka-europe-crm.veevavault.com/ui/#object/approved_document__v/V5O00000001B037", "LUP - VAE Póster Adelphi - Reuma")</f>
        <v>LUP - VAE Póster Adelphi - Reuma</v>
      </c>
      <c r="M6509" s="22" t="str">
        <f>HYPERLINK("mailto:idiez@crm.otsuka-europe.com", "idiez@crm.otsuka-europe.com")</f>
        <v>idiez@crm.otsuka-europe.com</v>
      </c>
      <c r="N6509" s="23">
        <v>46182.404907407406</v>
      </c>
      <c r="O6509" s="14" t="str">
        <f>HYPERLINK("https://otsuka-europe-crm.veevavault.com/ui/#object/email_activity__v/V8C00000003Q800", "EN-002092413")</f>
        <v>EN-002092413</v>
      </c>
    </row>
    <row r="6510" spans="1:15" ht="16" x14ac:dyDescent="0.2">
      <c r="A6510" s="18"/>
      <c r="B6510" s="18"/>
      <c r="C6510" s="18"/>
      <c r="D6510" s="18"/>
      <c r="E6510" s="18"/>
      <c r="F6510" s="18"/>
      <c r="G6510" s="18"/>
      <c r="H6510" s="18"/>
      <c r="I6510" s="18"/>
      <c r="J6510" s="18"/>
      <c r="K6510" s="18"/>
      <c r="L6510" s="18"/>
      <c r="M6510" s="18"/>
      <c r="N6510" s="18"/>
      <c r="O6510" s="14" t="str">
        <f>HYPERLINK("https://otsuka-europe-crm.veevavault.com/ui/#object/email_activity__v/V8C00000003Q812", "EN-002092427")</f>
        <v>EN-002092427</v>
      </c>
    </row>
    <row r="6511" spans="1:15" ht="16" x14ac:dyDescent="0.2">
      <c r="A6511" s="19"/>
      <c r="B6511" s="19"/>
      <c r="C6511" s="19"/>
      <c r="D6511" s="19"/>
      <c r="E6511" s="19"/>
      <c r="F6511" s="19"/>
      <c r="G6511" s="19"/>
      <c r="H6511" s="19"/>
      <c r="I6511" s="19"/>
      <c r="J6511" s="19"/>
      <c r="K6511" s="19"/>
      <c r="L6511" s="19"/>
      <c r="M6511" s="19"/>
      <c r="N6511" s="19"/>
      <c r="O6511" s="14" t="str">
        <f>HYPERLINK("https://otsuka-europe-crm.veevavault.com/ui/#object/email_activity__v/V8C00000003T117", "EN-002093790")</f>
        <v>EN-002093790</v>
      </c>
    </row>
    <row r="6512" spans="1:15" ht="16" x14ac:dyDescent="0.2">
      <c r="A6512" s="17" t="str">
        <f>HYPERLINK("https://otsuka-europe-crm.veevavault.com/ui/#object/account__v/V4TZ025E8404QHJ", "JUAN CARLOS LOPEZ ROBLEDILLO")</f>
        <v>JUAN CARLOS LOPEZ ROBLEDILLO</v>
      </c>
      <c r="B6512" s="17" t="str">
        <f>HYPERLINK("https://otsuka-europe-crm.veevavault.com/ui/#object/vcountry__v/VENZ000004SONF5", "ES")</f>
        <v>ES</v>
      </c>
      <c r="C6512" s="20" t="s">
        <v>41</v>
      </c>
      <c r="D6512" s="21" t="str">
        <f>HYPERLINK("https://otsuka-europe-crm.veevavault.com/ui/#object/approved_document__v/V5O00000001B037", "LUP - VAE Póster Adelphi - Reuma")</f>
        <v>LUP - VAE Póster Adelphi - Reuma</v>
      </c>
      <c r="E6512" s="22" t="str">
        <f>HYPERLINK("https://otsuka-europe-crm.veevavault.com/ui/#object/sent_email__v/VBL00000002S265", "SE-001434529")</f>
        <v>SE-001434529</v>
      </c>
      <c r="F6512" s="23">
        <v>46183.641527777778</v>
      </c>
      <c r="G6512" s="24">
        <v>1</v>
      </c>
      <c r="H6512" s="24">
        <v>1</v>
      </c>
      <c r="I6512" s="24">
        <v>0</v>
      </c>
      <c r="J6512" s="25"/>
      <c r="K6512" s="24">
        <v>0</v>
      </c>
      <c r="L6512" s="22" t="str">
        <f>HYPERLINK("https://otsuka-europe-crm.veevavault.com/ui/#object/approved_document__v/V5O00000001B037", "LUP - VAE Póster Adelphi - Reuma")</f>
        <v>LUP - VAE Póster Adelphi - Reuma</v>
      </c>
      <c r="M6512" s="22" t="str">
        <f>HYPERLINK("mailto:idiez@crm.otsuka-europe.com", "idiez@crm.otsuka-europe.com")</f>
        <v>idiez@crm.otsuka-europe.com</v>
      </c>
      <c r="N6512" s="23">
        <v>46182.404918981483</v>
      </c>
      <c r="O6512" s="14" t="str">
        <f>HYPERLINK("https://otsuka-europe-crm.veevavault.com/ui/#object/email_activity__v/V8C00000003R374", "EN-002092400")</f>
        <v>EN-002092400</v>
      </c>
    </row>
    <row r="6513" spans="1:15" ht="16" x14ac:dyDescent="0.2">
      <c r="A6513" s="19"/>
      <c r="B6513" s="19"/>
      <c r="C6513" s="19"/>
      <c r="D6513" s="19"/>
      <c r="E6513" s="19"/>
      <c r="F6513" s="19"/>
      <c r="G6513" s="19"/>
      <c r="H6513" s="19"/>
      <c r="I6513" s="19"/>
      <c r="J6513" s="19"/>
      <c r="K6513" s="19"/>
      <c r="L6513" s="19"/>
      <c r="M6513" s="19"/>
      <c r="N6513" s="19"/>
      <c r="O6513" s="14" t="str">
        <f>HYPERLINK("https://otsuka-europe-crm.veevavault.com/ui/#object/email_activity__v/V8C00000003S708", "EN-002094296")</f>
        <v>EN-002094296</v>
      </c>
    </row>
    <row r="6514" spans="1:15" ht="32" x14ac:dyDescent="0.2">
      <c r="A6514" s="7" t="str">
        <f>HYPERLINK("https://otsuka-europe-crm.veevavault.com/ui/#object/account__v/V4TZ04ASGGC144R", "CAROLINA MERINO ARGUMANEZ")</f>
        <v>CAROLINA MERINO ARGUMANEZ</v>
      </c>
      <c r="B6514" s="7" t="str">
        <f>HYPERLINK("https://otsuka-europe-crm.veevavault.com/ui/#object/vcountry__v/VENZ000004SONF5", "ES")</f>
        <v>ES</v>
      </c>
      <c r="C6514" s="8" t="s">
        <v>41</v>
      </c>
      <c r="D6514" s="9" t="str">
        <f>HYPERLINK("https://otsuka-europe-crm.veevavault.com/ui/#object/approved_document__v/V5O00000001B037", "LUP - VAE Póster Adelphi - Reuma")</f>
        <v>LUP - VAE Póster Adelphi - Reuma</v>
      </c>
      <c r="E6514" s="10" t="str">
        <f>HYPERLINK("https://otsuka-europe-crm.veevavault.com/ui/#object/sent_email__v/VBL00000002S266", "SE-001434530")</f>
        <v>SE-001434530</v>
      </c>
      <c r="F6514" s="11"/>
      <c r="G6514" s="12">
        <v>0</v>
      </c>
      <c r="H6514" s="12">
        <v>0</v>
      </c>
      <c r="I6514" s="12">
        <v>0</v>
      </c>
      <c r="J6514" s="11"/>
      <c r="K6514" s="12">
        <v>0</v>
      </c>
      <c r="L6514" s="10" t="str">
        <f>HYPERLINK("https://otsuka-europe-crm.veevavault.com/ui/#object/approved_document__v/V5O00000001B037", "LUP - VAE Póster Adelphi - Reuma")</f>
        <v>LUP - VAE Póster Adelphi - Reuma</v>
      </c>
      <c r="M6514" s="10" t="str">
        <f>HYPERLINK("mailto:idiez@crm.otsuka-europe.com", "idiez@crm.otsuka-europe.com")</f>
        <v>idiez@crm.otsuka-europe.com</v>
      </c>
      <c r="N6514" s="13">
        <v>46182.404942129629</v>
      </c>
      <c r="O6514" s="14" t="str">
        <f>HYPERLINK("https://otsuka-europe-crm.veevavault.com/ui/#object/email_activity__v/V8C00000003Q795", "EN-002092408")</f>
        <v>EN-002092408</v>
      </c>
    </row>
    <row r="6515" spans="1:15" ht="32" x14ac:dyDescent="0.2">
      <c r="A6515" s="7" t="str">
        <f>HYPERLINK("https://otsuka-europe-crm.veevavault.com/ui/#object/account__v/V4TZ04ASGAADEXE", "MARIA PEREZ FERRO")</f>
        <v>MARIA PEREZ FERRO</v>
      </c>
      <c r="B6515" s="7" t="str">
        <f>HYPERLINK("https://otsuka-europe-crm.veevavault.com/ui/#object/vcountry__v/VENZ000004SONF5", "ES")</f>
        <v>ES</v>
      </c>
      <c r="C6515" s="8" t="s">
        <v>41</v>
      </c>
      <c r="D6515" s="9" t="str">
        <f>HYPERLINK("https://otsuka-europe-crm.veevavault.com/ui/#object/approved_document__v/V5O00000001B037", "LUP - VAE Póster Adelphi - Reuma")</f>
        <v>LUP - VAE Póster Adelphi - Reuma</v>
      </c>
      <c r="E6515" s="10" t="str">
        <f>HYPERLINK("https://otsuka-europe-crm.veevavault.com/ui/#object/sent_email__v/VBL00000002S267", "SE-001434531")</f>
        <v>SE-001434531</v>
      </c>
      <c r="F6515" s="11"/>
      <c r="G6515" s="12">
        <v>0</v>
      </c>
      <c r="H6515" s="12">
        <v>0</v>
      </c>
      <c r="I6515" s="12">
        <v>0</v>
      </c>
      <c r="J6515" s="11"/>
      <c r="K6515" s="12">
        <v>0</v>
      </c>
      <c r="L6515" s="10" t="str">
        <f>HYPERLINK("https://otsuka-europe-crm.veevavault.com/ui/#object/approved_document__v/V5O00000001B037", "LUP - VAE Póster Adelphi - Reuma")</f>
        <v>LUP - VAE Póster Adelphi - Reuma</v>
      </c>
      <c r="M6515" s="10" t="str">
        <f>HYPERLINK("mailto:idiez@crm.otsuka-europe.com", "idiez@crm.otsuka-europe.com")</f>
        <v>idiez@crm.otsuka-europe.com</v>
      </c>
      <c r="N6515" s="13">
        <v>46182.404918981483</v>
      </c>
      <c r="O6515" s="14" t="str">
        <f>HYPERLINK("https://otsuka-europe-crm.veevavault.com/ui/#object/email_activity__v/V8C00000003Q805", "EN-002092420")</f>
        <v>EN-002092420</v>
      </c>
    </row>
    <row r="6516" spans="1:15" ht="16" x14ac:dyDescent="0.2">
      <c r="A6516" s="17" t="str">
        <f>HYPERLINK("https://otsuka-europe-crm.veevavault.com/ui/#object/account__v/V4T00000000V065", "FRANCISCO ARAMBURU MUÑOZ")</f>
        <v>FRANCISCO ARAMBURU MUÑOZ</v>
      </c>
      <c r="B6516" s="17" t="str">
        <f>HYPERLINK("https://otsuka-europe-crm.veevavault.com/ui/#object/vcountry__v/VENZ000004SONF5", "ES")</f>
        <v>ES</v>
      </c>
      <c r="C6516" s="20" t="s">
        <v>41</v>
      </c>
      <c r="D6516" s="21" t="str">
        <f>HYPERLINK("https://otsuka-europe-crm.veevavault.com/ui/#object/approved_document__v/V5O00000001B037", "LUP - VAE Póster Adelphi - Reuma")</f>
        <v>LUP - VAE Póster Adelphi - Reuma</v>
      </c>
      <c r="E6516" s="22" t="str">
        <f>HYPERLINK("https://otsuka-europe-crm.veevavault.com/ui/#object/sent_email__v/VBL00000002S268", "SE-001434532")</f>
        <v>SE-001434532</v>
      </c>
      <c r="F6516" s="23">
        <v>46183.554895833331</v>
      </c>
      <c r="G6516" s="24">
        <v>1</v>
      </c>
      <c r="H6516" s="24">
        <v>3</v>
      </c>
      <c r="I6516" s="24">
        <v>0</v>
      </c>
      <c r="J6516" s="25"/>
      <c r="K6516" s="24">
        <v>0</v>
      </c>
      <c r="L6516" s="22" t="str">
        <f>HYPERLINK("https://otsuka-europe-crm.veevavault.com/ui/#object/approved_document__v/V5O00000001B037", "LUP - VAE Póster Adelphi - Reuma")</f>
        <v>LUP - VAE Póster Adelphi - Reuma</v>
      </c>
      <c r="M6516" s="22" t="str">
        <f>HYPERLINK("mailto:idiez@crm.otsuka-europe.com", "idiez@crm.otsuka-europe.com")</f>
        <v>idiez@crm.otsuka-europe.com</v>
      </c>
      <c r="N6516" s="23">
        <v>46182.404942129629</v>
      </c>
      <c r="O6516" s="14" t="str">
        <f>HYPERLINK("https://otsuka-europe-crm.veevavault.com/ui/#object/email_activity__v/V8C00000003Q796", "EN-002092409")</f>
        <v>EN-002092409</v>
      </c>
    </row>
    <row r="6517" spans="1:15" ht="16" x14ac:dyDescent="0.2">
      <c r="A6517" s="18"/>
      <c r="B6517" s="18"/>
      <c r="C6517" s="18"/>
      <c r="D6517" s="18"/>
      <c r="E6517" s="18"/>
      <c r="F6517" s="18"/>
      <c r="G6517" s="18"/>
      <c r="H6517" s="18"/>
      <c r="I6517" s="18"/>
      <c r="J6517" s="18"/>
      <c r="K6517" s="18"/>
      <c r="L6517" s="18"/>
      <c r="M6517" s="18"/>
      <c r="N6517" s="18"/>
      <c r="O6517" s="14" t="str">
        <f>HYPERLINK("https://otsuka-europe-crm.veevavault.com/ui/#object/email_activity__v/V8C00000003R888", "EN-002093375")</f>
        <v>EN-002093375</v>
      </c>
    </row>
    <row r="6518" spans="1:15" ht="16" x14ac:dyDescent="0.2">
      <c r="A6518" s="18"/>
      <c r="B6518" s="18"/>
      <c r="C6518" s="18"/>
      <c r="D6518" s="18"/>
      <c r="E6518" s="18"/>
      <c r="F6518" s="18"/>
      <c r="G6518" s="18"/>
      <c r="H6518" s="18"/>
      <c r="I6518" s="18"/>
      <c r="J6518" s="18"/>
      <c r="K6518" s="18"/>
      <c r="L6518" s="18"/>
      <c r="M6518" s="18"/>
      <c r="N6518" s="18"/>
      <c r="O6518" s="14" t="str">
        <f>HYPERLINK("https://otsuka-europe-crm.veevavault.com/ui/#object/email_activity__v/V8C00000003S047", "EN-002092922")</f>
        <v>EN-002092922</v>
      </c>
    </row>
    <row r="6519" spans="1:15" ht="16" x14ac:dyDescent="0.2">
      <c r="A6519" s="19"/>
      <c r="B6519" s="19"/>
      <c r="C6519" s="19"/>
      <c r="D6519" s="19"/>
      <c r="E6519" s="19"/>
      <c r="F6519" s="19"/>
      <c r="G6519" s="19"/>
      <c r="H6519" s="19"/>
      <c r="I6519" s="19"/>
      <c r="J6519" s="19"/>
      <c r="K6519" s="19"/>
      <c r="L6519" s="19"/>
      <c r="M6519" s="19"/>
      <c r="N6519" s="19"/>
      <c r="O6519" s="14" t="str">
        <f>HYPERLINK("https://otsuka-europe-crm.veevavault.com/ui/#object/email_activity__v/V8C00000003S674", "EN-002094244")</f>
        <v>EN-002094244</v>
      </c>
    </row>
    <row r="6520" spans="1:15" ht="16" x14ac:dyDescent="0.2">
      <c r="A6520" s="17" t="str">
        <f>HYPERLINK("https://otsuka-europe-crm.veevavault.com/ui/#object/account__v/V4TZ025E85OLSBW", "MARINA SANCHEZ LUCAS")</f>
        <v>MARINA SANCHEZ LUCAS</v>
      </c>
      <c r="B6520" s="17" t="str">
        <f>HYPERLINK("https://otsuka-europe-crm.veevavault.com/ui/#object/vcountry__v/VENZ000004SONF5", "ES")</f>
        <v>ES</v>
      </c>
      <c r="C6520" s="20" t="s">
        <v>41</v>
      </c>
      <c r="D6520" s="21" t="str">
        <f>HYPERLINK("https://otsuka-europe-crm.veevavault.com/ui/#object/approved_document__v/V5O00000001B037", "LUP - VAE Póster Adelphi - Reuma")</f>
        <v>LUP - VAE Póster Adelphi - Reuma</v>
      </c>
      <c r="E6520" s="22" t="str">
        <f>HYPERLINK("https://otsuka-europe-crm.veevavault.com/ui/#object/sent_email__v/VBL00000002S269", "SE-001434533")</f>
        <v>SE-001434533</v>
      </c>
      <c r="F6520" s="25"/>
      <c r="G6520" s="24">
        <v>0</v>
      </c>
      <c r="H6520" s="24">
        <v>0</v>
      </c>
      <c r="I6520" s="24">
        <v>0</v>
      </c>
      <c r="J6520" s="25"/>
      <c r="K6520" s="24">
        <v>0</v>
      </c>
      <c r="L6520" s="22" t="str">
        <f>HYPERLINK("https://otsuka-europe-crm.veevavault.com/ui/#object/approved_document__v/V5O00000001B037", "LUP - VAE Póster Adelphi - Reuma")</f>
        <v>LUP - VAE Póster Adelphi - Reuma</v>
      </c>
      <c r="M6520" s="22" t="str">
        <f>HYPERLINK("mailto:idiez@crm.otsuka-europe.com", "idiez@crm.otsuka-europe.com")</f>
        <v>idiez@crm.otsuka-europe.com</v>
      </c>
      <c r="N6520" s="23">
        <v>46182.404918981483</v>
      </c>
      <c r="O6520" s="14" t="str">
        <f>HYPERLINK("https://otsuka-europe-crm.veevavault.com/ui/#object/email_activity__v/V8C00000003Q804", "EN-002092419")</f>
        <v>EN-002092419</v>
      </c>
    </row>
    <row r="6521" spans="1:15" ht="16" x14ac:dyDescent="0.2">
      <c r="A6521" s="19"/>
      <c r="B6521" s="19"/>
      <c r="C6521" s="19"/>
      <c r="D6521" s="19"/>
      <c r="E6521" s="19"/>
      <c r="F6521" s="19"/>
      <c r="G6521" s="19"/>
      <c r="H6521" s="19"/>
      <c r="I6521" s="19"/>
      <c r="J6521" s="19"/>
      <c r="K6521" s="19"/>
      <c r="L6521" s="19"/>
      <c r="M6521" s="19"/>
      <c r="N6521" s="19"/>
      <c r="O6521" s="14" t="str">
        <f>HYPERLINK("https://otsuka-europe-crm.veevavault.com/ui/#object/email_activity__v/V8C00000003S114", "EN-002093102")</f>
        <v>EN-002093102</v>
      </c>
    </row>
    <row r="6522" spans="1:15" ht="16" x14ac:dyDescent="0.2">
      <c r="A6522" s="17" t="str">
        <f>HYPERLINK("https://otsuka-europe-crm.veevavault.com/ui/#object/account__v/V4TZ025E85JRQNZ", "CELIA COLAS APARICIO")</f>
        <v>CELIA COLAS APARICIO</v>
      </c>
      <c r="B6522" s="17" t="str">
        <f>HYPERLINK("https://otsuka-europe-crm.veevavault.com/ui/#object/vcountry__v/VENZ000004SONF5", "ES")</f>
        <v>ES</v>
      </c>
      <c r="C6522" s="20" t="s">
        <v>41</v>
      </c>
      <c r="D6522" s="21" t="str">
        <f>HYPERLINK("https://otsuka-europe-crm.veevavault.com/ui/#object/approved_document__v/V5O00000001B037", "LUP - VAE Póster Adelphi - Reuma")</f>
        <v>LUP - VAE Póster Adelphi - Reuma</v>
      </c>
      <c r="E6522" s="22" t="str">
        <f>HYPERLINK("https://otsuka-europe-crm.veevavault.com/ui/#object/sent_email__v/VBL00000002S270", "SE-001434534")</f>
        <v>SE-001434534</v>
      </c>
      <c r="F6522" s="23">
        <v>46198.685243055559</v>
      </c>
      <c r="G6522" s="24">
        <v>1</v>
      </c>
      <c r="H6522" s="24">
        <v>1</v>
      </c>
      <c r="I6522" s="24">
        <v>0</v>
      </c>
      <c r="J6522" s="25"/>
      <c r="K6522" s="24">
        <v>0</v>
      </c>
      <c r="L6522" s="22" t="str">
        <f>HYPERLINK("https://otsuka-europe-crm.veevavault.com/ui/#object/approved_document__v/V5O00000001B037", "LUP - VAE Póster Adelphi - Reuma")</f>
        <v>LUP - VAE Póster Adelphi - Reuma</v>
      </c>
      <c r="M6522" s="22" t="str">
        <f>HYPERLINK("mailto:idiez@crm.otsuka-europe.com", "idiez@crm.otsuka-europe.com")</f>
        <v>idiez@crm.otsuka-europe.com</v>
      </c>
      <c r="N6522" s="23">
        <v>46182.404918981483</v>
      </c>
      <c r="O6522" s="14" t="str">
        <f>HYPERLINK("https://otsuka-europe-crm.veevavault.com/ui/#object/email_activity__v/V8C00000003Q808", "EN-002092423")</f>
        <v>EN-002092423</v>
      </c>
    </row>
    <row r="6523" spans="1:15" ht="16" x14ac:dyDescent="0.2">
      <c r="A6523" s="19"/>
      <c r="B6523" s="19"/>
      <c r="C6523" s="19"/>
      <c r="D6523" s="19"/>
      <c r="E6523" s="19"/>
      <c r="F6523" s="19"/>
      <c r="G6523" s="19"/>
      <c r="H6523" s="19"/>
      <c r="I6523" s="19"/>
      <c r="J6523" s="19"/>
      <c r="K6523" s="19"/>
      <c r="L6523" s="19"/>
      <c r="M6523" s="19"/>
      <c r="N6523" s="19"/>
      <c r="O6523" s="14" t="str">
        <f>HYPERLINK("https://otsuka-europe-crm.veevavault.com/ui/#object/email_activity__v/V8C00000003Z502", "EN-002099688")</f>
        <v>EN-002099688</v>
      </c>
    </row>
    <row r="6524" spans="1:15" ht="16" x14ac:dyDescent="0.2">
      <c r="A6524" s="17" t="str">
        <f>HYPERLINK("https://otsuka-europe-crm.veevavault.com/ui/#object/account__v/V4TZ04ASGAAGMZK", "ANGEL ARAGON DIEZ")</f>
        <v>ANGEL ARAGON DIEZ</v>
      </c>
      <c r="B6524" s="17" t="str">
        <f>HYPERLINK("https://otsuka-europe-crm.veevavault.com/ui/#object/vcountry__v/VENZ000004SONF5", "ES")</f>
        <v>ES</v>
      </c>
      <c r="C6524" s="20" t="s">
        <v>41</v>
      </c>
      <c r="D6524" s="21" t="str">
        <f>HYPERLINK("https://otsuka-europe-crm.veevavault.com/ui/#object/approved_document__v/V5O00000001B037", "LUP - VAE Póster Adelphi - Reuma")</f>
        <v>LUP - VAE Póster Adelphi - Reuma</v>
      </c>
      <c r="E6524" s="22" t="str">
        <f>HYPERLINK("https://otsuka-europe-crm.veevavault.com/ui/#object/sent_email__v/VBL00000002S271", "SE-001434535")</f>
        <v>SE-001434535</v>
      </c>
      <c r="F6524" s="23">
        <v>46191.670277777775</v>
      </c>
      <c r="G6524" s="24">
        <v>1</v>
      </c>
      <c r="H6524" s="24">
        <v>4</v>
      </c>
      <c r="I6524" s="24">
        <v>0</v>
      </c>
      <c r="J6524" s="25"/>
      <c r="K6524" s="24">
        <v>0</v>
      </c>
      <c r="L6524" s="22" t="str">
        <f>HYPERLINK("https://otsuka-europe-crm.veevavault.com/ui/#object/approved_document__v/V5O00000001B037", "LUP - VAE Póster Adelphi - Reuma")</f>
        <v>LUP - VAE Póster Adelphi - Reuma</v>
      </c>
      <c r="M6524" s="22" t="str">
        <f>HYPERLINK("mailto:idiez@crm.otsuka-europe.com", "idiez@crm.otsuka-europe.com")</f>
        <v>idiez@crm.otsuka-europe.com</v>
      </c>
      <c r="N6524" s="23">
        <v>46182.404918981483</v>
      </c>
      <c r="O6524" s="14" t="str">
        <f>HYPERLINK("https://otsuka-europe-crm.veevavault.com/ui/#object/email_activity__v/V8C00000003Q803", "EN-002092418")</f>
        <v>EN-002092418</v>
      </c>
    </row>
    <row r="6525" spans="1:15" ht="16" x14ac:dyDescent="0.2">
      <c r="A6525" s="18"/>
      <c r="B6525" s="18"/>
      <c r="C6525" s="18"/>
      <c r="D6525" s="18"/>
      <c r="E6525" s="18"/>
      <c r="F6525" s="18"/>
      <c r="G6525" s="18"/>
      <c r="H6525" s="18"/>
      <c r="I6525" s="18"/>
      <c r="J6525" s="18"/>
      <c r="K6525" s="18"/>
      <c r="L6525" s="18"/>
      <c r="M6525" s="18"/>
      <c r="N6525" s="18"/>
      <c r="O6525" s="14" t="str">
        <f>HYPERLINK("https://otsuka-europe-crm.veevavault.com/ui/#object/email_activity__v/V8C00000003R802", "EN-002093203")</f>
        <v>EN-002093203</v>
      </c>
    </row>
    <row r="6526" spans="1:15" ht="16" x14ac:dyDescent="0.2">
      <c r="A6526" s="18"/>
      <c r="B6526" s="18"/>
      <c r="C6526" s="18"/>
      <c r="D6526" s="18"/>
      <c r="E6526" s="18"/>
      <c r="F6526" s="18"/>
      <c r="G6526" s="18"/>
      <c r="H6526" s="18"/>
      <c r="I6526" s="18"/>
      <c r="J6526" s="18"/>
      <c r="K6526" s="18"/>
      <c r="L6526" s="18"/>
      <c r="M6526" s="18"/>
      <c r="N6526" s="18"/>
      <c r="O6526" s="14" t="str">
        <f>HYPERLINK("https://otsuka-europe-crm.veevavault.com/ui/#object/email_activity__v/V8C00000003R803", "EN-002093204")</f>
        <v>EN-002093204</v>
      </c>
    </row>
    <row r="6527" spans="1:15" ht="16" x14ac:dyDescent="0.2">
      <c r="A6527" s="18"/>
      <c r="B6527" s="18"/>
      <c r="C6527" s="18"/>
      <c r="D6527" s="18"/>
      <c r="E6527" s="18"/>
      <c r="F6527" s="18"/>
      <c r="G6527" s="18"/>
      <c r="H6527" s="18"/>
      <c r="I6527" s="18"/>
      <c r="J6527" s="18"/>
      <c r="K6527" s="18"/>
      <c r="L6527" s="18"/>
      <c r="M6527" s="18"/>
      <c r="N6527" s="18"/>
      <c r="O6527" s="14" t="str">
        <f>HYPERLINK("https://otsuka-europe-crm.veevavault.com/ui/#object/email_activity__v/V8C00000003S258", "EN-002093386")</f>
        <v>EN-002093386</v>
      </c>
    </row>
    <row r="6528" spans="1:15" ht="16" x14ac:dyDescent="0.2">
      <c r="A6528" s="19"/>
      <c r="B6528" s="19"/>
      <c r="C6528" s="19"/>
      <c r="D6528" s="19"/>
      <c r="E6528" s="19"/>
      <c r="F6528" s="19"/>
      <c r="G6528" s="19"/>
      <c r="H6528" s="19"/>
      <c r="I6528" s="19"/>
      <c r="J6528" s="19"/>
      <c r="K6528" s="19"/>
      <c r="L6528" s="19"/>
      <c r="M6528" s="19"/>
      <c r="N6528" s="19"/>
      <c r="O6528" s="14" t="str">
        <f>HYPERLINK("https://otsuka-europe-crm.veevavault.com/ui/#object/email_activity__v/V8C00000003Y024", "EN-002098647")</f>
        <v>EN-002098647</v>
      </c>
    </row>
    <row r="6529" spans="1:15" ht="32" x14ac:dyDescent="0.2">
      <c r="A6529" s="7" t="str">
        <f>HYPERLINK("https://otsuka-europe-crm.veevavault.com/ui/#object/account__v/V4TZ025E82ZZXEB", "VALENTINA EMMANUELA EMPERIALE")</f>
        <v>VALENTINA EMMANUELA EMPERIALE</v>
      </c>
      <c r="B6529" s="7" t="str">
        <f>HYPERLINK("https://otsuka-europe-crm.veevavault.com/ui/#object/vcountry__v/VENZ000004SONF5", "ES")</f>
        <v>ES</v>
      </c>
      <c r="C6529" s="8" t="s">
        <v>41</v>
      </c>
      <c r="D6529" s="9" t="str">
        <f>HYPERLINK("https://otsuka-europe-crm.veevavault.com/ui/#object/approved_document__v/V5O00000001B037", "LUP - VAE Póster Adelphi - Reuma")</f>
        <v>LUP - VAE Póster Adelphi - Reuma</v>
      </c>
      <c r="E6529" s="10" t="str">
        <f>HYPERLINK("https://otsuka-europe-crm.veevavault.com/ui/#object/sent_email__v/VBL00000002S272", "SE-001434536")</f>
        <v>SE-001434536</v>
      </c>
      <c r="F6529" s="11"/>
      <c r="G6529" s="12">
        <v>0</v>
      </c>
      <c r="H6529" s="12">
        <v>0</v>
      </c>
      <c r="I6529" s="12">
        <v>0</v>
      </c>
      <c r="J6529" s="11"/>
      <c r="K6529" s="12">
        <v>0</v>
      </c>
      <c r="L6529" s="10" t="str">
        <f>HYPERLINK("https://otsuka-europe-crm.veevavault.com/ui/#object/approved_document__v/V5O00000001B037", "LUP - VAE Póster Adelphi - Reuma")</f>
        <v>LUP - VAE Póster Adelphi - Reuma</v>
      </c>
      <c r="M6529" s="10" t="str">
        <f>HYPERLINK("mailto:idiez@crm.otsuka-europe.com", "idiez@crm.otsuka-europe.com")</f>
        <v>idiez@crm.otsuka-europe.com</v>
      </c>
      <c r="N6529" s="13">
        <v>46182.404918981483</v>
      </c>
      <c r="O6529" s="14" t="str">
        <f>HYPERLINK("https://otsuka-europe-crm.veevavault.com/ui/#object/email_activity__v/V8C00000003Q810", "EN-002092425")</f>
        <v>EN-002092425</v>
      </c>
    </row>
    <row r="6530" spans="1:15" ht="16" x14ac:dyDescent="0.2">
      <c r="A6530" s="17" t="str">
        <f>HYPERLINK("https://otsuka-europe-crm.veevavault.com/ui/#object/account__v/V4TZ06G6O71T8K5", "LUIS ALBERTO SANCHEZ CAMARA")</f>
        <v>LUIS ALBERTO SANCHEZ CAMARA</v>
      </c>
      <c r="B6530" s="17" t="str">
        <f>HYPERLINK("https://otsuka-europe-crm.veevavault.com/ui/#object/vcountry__v/VENZ000004SONF5", "ES")</f>
        <v>ES</v>
      </c>
      <c r="C6530" s="20" t="s">
        <v>41</v>
      </c>
      <c r="D6530" s="21" t="str">
        <f>HYPERLINK("https://otsuka-europe-crm.veevavault.com/ui/#object/approved_document__v/V5O00000001A037", "LUP - VAE Póster Adelphi - Nefro")</f>
        <v>LUP - VAE Póster Adelphi - Nefro</v>
      </c>
      <c r="E6530" s="22" t="str">
        <f>HYPERLINK("https://otsuka-europe-crm.veevavault.com/ui/#object/sent_email__v/VBL00000002S273", "SE-001434537")</f>
        <v>SE-001434537</v>
      </c>
      <c r="F6530" s="23">
        <v>46196.025277777779</v>
      </c>
      <c r="G6530" s="24">
        <v>1</v>
      </c>
      <c r="H6530" s="24">
        <v>3</v>
      </c>
      <c r="I6530" s="24">
        <v>0</v>
      </c>
      <c r="J6530" s="25"/>
      <c r="K6530" s="24">
        <v>0</v>
      </c>
      <c r="L6530" s="22" t="str">
        <f>HYPERLINK("https://otsuka-europe-crm.veevavault.com/ui/#object/approved_document__v/V5O00000001A037", "LUP - VAE Póster Adelphi - Nefro")</f>
        <v>LUP - VAE Póster Adelphi - Nefro</v>
      </c>
      <c r="M6530" s="22" t="str">
        <f>HYPERLINK("mailto:pmartinez@crm.otsuka-europe.com", "pmartinez@crm.otsuka-europe.com")</f>
        <v>pmartinez@crm.otsuka-europe.com</v>
      </c>
      <c r="N6530" s="23">
        <v>46182.405428240738</v>
      </c>
      <c r="O6530" s="14" t="str">
        <f>HYPERLINK("https://otsuka-europe-crm.veevavault.com/ui/#object/email_activity__v/V8C00000003Q905", "EN-002092539")</f>
        <v>EN-002092539</v>
      </c>
    </row>
    <row r="6531" spans="1:15" ht="16" x14ac:dyDescent="0.2">
      <c r="A6531" s="18"/>
      <c r="B6531" s="18"/>
      <c r="C6531" s="18"/>
      <c r="D6531" s="18"/>
      <c r="E6531" s="18"/>
      <c r="F6531" s="18"/>
      <c r="G6531" s="18"/>
      <c r="H6531" s="18"/>
      <c r="I6531" s="18"/>
      <c r="J6531" s="18"/>
      <c r="K6531" s="18"/>
      <c r="L6531" s="18"/>
      <c r="M6531" s="18"/>
      <c r="N6531" s="18"/>
      <c r="O6531" s="14" t="str">
        <f>HYPERLINK("https://otsuka-europe-crm.veevavault.com/ui/#object/email_activity__v/V8C00000003Q931", "EN-002092610")</f>
        <v>EN-002092610</v>
      </c>
    </row>
    <row r="6532" spans="1:15" ht="16" x14ac:dyDescent="0.2">
      <c r="A6532" s="18"/>
      <c r="B6532" s="18"/>
      <c r="C6532" s="18"/>
      <c r="D6532" s="18"/>
      <c r="E6532" s="18"/>
      <c r="F6532" s="18"/>
      <c r="G6532" s="18"/>
      <c r="H6532" s="18"/>
      <c r="I6532" s="18"/>
      <c r="J6532" s="18"/>
      <c r="K6532" s="18"/>
      <c r="L6532" s="18"/>
      <c r="M6532" s="18"/>
      <c r="N6532" s="18"/>
      <c r="O6532" s="14" t="str">
        <f>HYPERLINK("https://otsuka-europe-crm.veevavault.com/ui/#object/email_activity__v/V8C00000003Q937", "EN-002092623")</f>
        <v>EN-002092623</v>
      </c>
    </row>
    <row r="6533" spans="1:15" ht="16" x14ac:dyDescent="0.2">
      <c r="A6533" s="19"/>
      <c r="B6533" s="19"/>
      <c r="C6533" s="19"/>
      <c r="D6533" s="19"/>
      <c r="E6533" s="19"/>
      <c r="F6533" s="19"/>
      <c r="G6533" s="19"/>
      <c r="H6533" s="19"/>
      <c r="I6533" s="19"/>
      <c r="J6533" s="19"/>
      <c r="K6533" s="19"/>
      <c r="L6533" s="19"/>
      <c r="M6533" s="19"/>
      <c r="N6533" s="19"/>
      <c r="O6533" s="14" t="str">
        <f>HYPERLINK("https://otsuka-europe-crm.veevavault.com/ui/#object/email_activity__v/V8C000000040236", "EN-002099132")</f>
        <v>EN-002099132</v>
      </c>
    </row>
    <row r="6534" spans="1:15" ht="16" x14ac:dyDescent="0.2">
      <c r="A6534" s="17" t="str">
        <f>HYPERLINK("https://otsuka-europe-crm.veevavault.com/ui/#object/account__v/V4TZ025E85EOAQ9", "JOSE ENRIQUE PASACHE CHONG")</f>
        <v>JOSE ENRIQUE PASACHE CHONG</v>
      </c>
      <c r="B6534" s="17" t="str">
        <f>HYPERLINK("https://otsuka-europe-crm.veevavault.com/ui/#object/vcountry__v/VENZ000004SONF5", "ES")</f>
        <v>ES</v>
      </c>
      <c r="C6534" s="20" t="s">
        <v>41</v>
      </c>
      <c r="D6534" s="21" t="str">
        <f>HYPERLINK("https://otsuka-europe-crm.veevavault.com/ui/#object/approved_document__v/V5O00000001A037", "LUP - VAE Póster Adelphi - Nefro")</f>
        <v>LUP - VAE Póster Adelphi - Nefro</v>
      </c>
      <c r="E6534" s="22" t="str">
        <f>HYPERLINK("https://otsuka-europe-crm.veevavault.com/ui/#object/sent_email__v/VBL00000002S274", "SE-001434538")</f>
        <v>SE-001434538</v>
      </c>
      <c r="F6534" s="23">
        <v>46182.412210648145</v>
      </c>
      <c r="G6534" s="24">
        <v>1</v>
      </c>
      <c r="H6534" s="24">
        <v>2</v>
      </c>
      <c r="I6534" s="24">
        <v>0</v>
      </c>
      <c r="J6534" s="25"/>
      <c r="K6534" s="24">
        <v>0</v>
      </c>
      <c r="L6534" s="22" t="str">
        <f>HYPERLINK("https://otsuka-europe-crm.veevavault.com/ui/#object/approved_document__v/V5O00000001A037", "LUP - VAE Póster Adelphi - Nefro")</f>
        <v>LUP - VAE Póster Adelphi - Nefro</v>
      </c>
      <c r="M6534" s="22" t="str">
        <f>HYPERLINK("mailto:pmartinez@crm.otsuka-europe.com", "pmartinez@crm.otsuka-europe.com")</f>
        <v>pmartinez@crm.otsuka-europe.com</v>
      </c>
      <c r="N6534" s="23">
        <v>46182.405428240738</v>
      </c>
      <c r="O6534" s="14" t="str">
        <f>HYPERLINK("https://otsuka-europe-crm.veevavault.com/ui/#object/email_activity__v/V8C00000003Q898", "EN-002092532")</f>
        <v>EN-002092532</v>
      </c>
    </row>
    <row r="6535" spans="1:15" ht="16" x14ac:dyDescent="0.2">
      <c r="A6535" s="18"/>
      <c r="B6535" s="18"/>
      <c r="C6535" s="18"/>
      <c r="D6535" s="18"/>
      <c r="E6535" s="18"/>
      <c r="F6535" s="18"/>
      <c r="G6535" s="18"/>
      <c r="H6535" s="18"/>
      <c r="I6535" s="18"/>
      <c r="J6535" s="18"/>
      <c r="K6535" s="18"/>
      <c r="L6535" s="18"/>
      <c r="M6535" s="18"/>
      <c r="N6535" s="18"/>
      <c r="O6535" s="14" t="str">
        <f>HYPERLINK("https://otsuka-europe-crm.veevavault.com/ui/#object/email_activity__v/V8C00000003Q971", "EN-002092755")</f>
        <v>EN-002092755</v>
      </c>
    </row>
    <row r="6536" spans="1:15" ht="16" x14ac:dyDescent="0.2">
      <c r="A6536" s="19"/>
      <c r="B6536" s="19"/>
      <c r="C6536" s="19"/>
      <c r="D6536" s="19"/>
      <c r="E6536" s="19"/>
      <c r="F6536" s="19"/>
      <c r="G6536" s="19"/>
      <c r="H6536" s="19"/>
      <c r="I6536" s="19"/>
      <c r="J6536" s="19"/>
      <c r="K6536" s="19"/>
      <c r="L6536" s="19"/>
      <c r="M6536" s="19"/>
      <c r="N6536" s="19"/>
      <c r="O6536" s="14" t="str">
        <f>HYPERLINK("https://otsuka-europe-crm.veevavault.com/ui/#object/email_activity__v/V8C00000003R448", "EN-002092622")</f>
        <v>EN-002092622</v>
      </c>
    </row>
    <row r="6537" spans="1:15" ht="32" x14ac:dyDescent="0.2">
      <c r="A6537" s="7" t="str">
        <f>HYPERLINK("https://otsuka-europe-crm.veevavault.com/ui/#object/account__v/V4TZ04ASGGCGCVC", "ANA LUCIA VALENCIA PELAEZ")</f>
        <v>ANA LUCIA VALENCIA PELAEZ</v>
      </c>
      <c r="B6537" s="7" t="str">
        <f>HYPERLINK("https://otsuka-europe-crm.veevavault.com/ui/#object/vcountry__v/VENZ000004SONF5", "ES")</f>
        <v>ES</v>
      </c>
      <c r="C6537" s="8" t="s">
        <v>41</v>
      </c>
      <c r="D6537" s="9" t="str">
        <f>HYPERLINK("https://otsuka-europe-crm.veevavault.com/ui/#object/approved_document__v/V5O00000001A037", "LUP - VAE Póster Adelphi - Nefro")</f>
        <v>LUP - VAE Póster Adelphi - Nefro</v>
      </c>
      <c r="E6537" s="10" t="str">
        <f>HYPERLINK("https://otsuka-europe-crm.veevavault.com/ui/#object/sent_email__v/VBL00000002S275", "SE-001434539")</f>
        <v>SE-001434539</v>
      </c>
      <c r="F6537" s="11"/>
      <c r="G6537" s="12">
        <v>0</v>
      </c>
      <c r="H6537" s="12">
        <v>0</v>
      </c>
      <c r="I6537" s="12">
        <v>0</v>
      </c>
      <c r="J6537" s="11"/>
      <c r="K6537" s="12">
        <v>0</v>
      </c>
      <c r="L6537" s="10" t="str">
        <f>HYPERLINK("https://otsuka-europe-crm.veevavault.com/ui/#object/approved_document__v/V5O00000001A037", "LUP - VAE Póster Adelphi - Nefro")</f>
        <v>LUP - VAE Póster Adelphi - Nefro</v>
      </c>
      <c r="M6537" s="10" t="str">
        <f>HYPERLINK("mailto:pmartinez@crm.otsuka-europe.com", "pmartinez@crm.otsuka-europe.com")</f>
        <v>pmartinez@crm.otsuka-europe.com</v>
      </c>
      <c r="N6537" s="13">
        <v>46182.405428240738</v>
      </c>
      <c r="O6537" s="14" t="str">
        <f>HYPERLINK("https://otsuka-europe-crm.veevavault.com/ui/#object/email_activity__v/V8C00000003Q833", "EN-002092448")</f>
        <v>EN-002092448</v>
      </c>
    </row>
    <row r="6538" spans="1:15" ht="16" x14ac:dyDescent="0.2">
      <c r="A6538" s="17" t="str">
        <f>HYPERLINK("https://otsuka-europe-crm.veevavault.com/ui/#object/account__v/V4TZ06G6O71T74T", "FRANZ MARCELO FERNANDEZ RODRIGUEZ")</f>
        <v>FRANZ MARCELO FERNANDEZ RODRIGUEZ</v>
      </c>
      <c r="B6538" s="17" t="str">
        <f>HYPERLINK("https://otsuka-europe-crm.veevavault.com/ui/#object/vcountry__v/VENZ000004SONF5", "ES")</f>
        <v>ES</v>
      </c>
      <c r="C6538" s="20" t="s">
        <v>41</v>
      </c>
      <c r="D6538" s="21" t="str">
        <f>HYPERLINK("https://otsuka-europe-crm.veevavault.com/ui/#object/approved_document__v/V5O00000001A037", "LUP - VAE Póster Adelphi - Nefro")</f>
        <v>LUP - VAE Póster Adelphi - Nefro</v>
      </c>
      <c r="E6538" s="22" t="str">
        <f>HYPERLINK("https://otsuka-europe-crm.veevavault.com/ui/#object/sent_email__v/VBL00000002S276", "SE-001434540")</f>
        <v>SE-001434540</v>
      </c>
      <c r="F6538" s="23">
        <v>46182.445798611108</v>
      </c>
      <c r="G6538" s="24">
        <v>1</v>
      </c>
      <c r="H6538" s="24">
        <v>2</v>
      </c>
      <c r="I6538" s="24">
        <v>0</v>
      </c>
      <c r="J6538" s="25"/>
      <c r="K6538" s="24">
        <v>0</v>
      </c>
      <c r="L6538" s="22" t="str">
        <f>HYPERLINK("https://otsuka-europe-crm.veevavault.com/ui/#object/approved_document__v/V5O00000001A037", "LUP - VAE Póster Adelphi - Nefro")</f>
        <v>LUP - VAE Póster Adelphi - Nefro</v>
      </c>
      <c r="M6538" s="22" t="str">
        <f>HYPERLINK("mailto:pmartinez@crm.otsuka-europe.com", "pmartinez@crm.otsuka-europe.com")</f>
        <v>pmartinez@crm.otsuka-europe.com</v>
      </c>
      <c r="N6538" s="23">
        <v>46182.405428240738</v>
      </c>
      <c r="O6538" s="14" t="str">
        <f>HYPERLINK("https://otsuka-europe-crm.veevavault.com/ui/#object/email_activity__v/V8C00000003R378", "EN-002092480")</f>
        <v>EN-002092480</v>
      </c>
    </row>
    <row r="6539" spans="1:15" ht="16" x14ac:dyDescent="0.2">
      <c r="A6539" s="18"/>
      <c r="B6539" s="18"/>
      <c r="C6539" s="18"/>
      <c r="D6539" s="18"/>
      <c r="E6539" s="18"/>
      <c r="F6539" s="18"/>
      <c r="G6539" s="18"/>
      <c r="H6539" s="18"/>
      <c r="I6539" s="18"/>
      <c r="J6539" s="18"/>
      <c r="K6539" s="18"/>
      <c r="L6539" s="18"/>
      <c r="M6539" s="18"/>
      <c r="N6539" s="18"/>
      <c r="O6539" s="14" t="str">
        <f>HYPERLINK("https://otsuka-europe-crm.veevavault.com/ui/#object/email_activity__v/V8C00000003R582", "EN-002092817")</f>
        <v>EN-002092817</v>
      </c>
    </row>
    <row r="6540" spans="1:15" ht="16" x14ac:dyDescent="0.2">
      <c r="A6540" s="19"/>
      <c r="B6540" s="19"/>
      <c r="C6540" s="19"/>
      <c r="D6540" s="19"/>
      <c r="E6540" s="19"/>
      <c r="F6540" s="19"/>
      <c r="G6540" s="19"/>
      <c r="H6540" s="19"/>
      <c r="I6540" s="19"/>
      <c r="J6540" s="19"/>
      <c r="K6540" s="19"/>
      <c r="L6540" s="19"/>
      <c r="M6540" s="19"/>
      <c r="N6540" s="19"/>
      <c r="O6540" s="14" t="str">
        <f>HYPERLINK("https://otsuka-europe-crm.veevavault.com/ui/#object/email_activity__v/V8C00000003R583", "EN-002092818")</f>
        <v>EN-002092818</v>
      </c>
    </row>
    <row r="6541" spans="1:15" ht="32" x14ac:dyDescent="0.2">
      <c r="A6541" s="7" t="str">
        <f>HYPERLINK("https://otsuka-europe-crm.veevavault.com/ui/#object/account__v/V4TZ06G6O71T81U", "LARA BELMAR VEGA")</f>
        <v>LARA BELMAR VEGA</v>
      </c>
      <c r="B6541" s="7" t="str">
        <f>HYPERLINK("https://otsuka-europe-crm.veevavault.com/ui/#object/vcountry__v/VENZ000004SONF5", "ES")</f>
        <v>ES</v>
      </c>
      <c r="C6541" s="8" t="s">
        <v>41</v>
      </c>
      <c r="D6541" s="9" t="str">
        <f>HYPERLINK("https://otsuka-europe-crm.veevavault.com/ui/#object/approved_document__v/V5O00000001A037", "LUP - VAE Póster Adelphi - Nefro")</f>
        <v>LUP - VAE Póster Adelphi - Nefro</v>
      </c>
      <c r="E6541" s="10" t="str">
        <f>HYPERLINK("https://otsuka-europe-crm.veevavault.com/ui/#object/sent_email__v/VBL00000002S277", "SE-001434541")</f>
        <v>SE-001434541</v>
      </c>
      <c r="F6541" s="11"/>
      <c r="G6541" s="12">
        <v>0</v>
      </c>
      <c r="H6541" s="12">
        <v>0</v>
      </c>
      <c r="I6541" s="12">
        <v>0</v>
      </c>
      <c r="J6541" s="11"/>
      <c r="K6541" s="12">
        <v>0</v>
      </c>
      <c r="L6541" s="10" t="str">
        <f>HYPERLINK("https://otsuka-europe-crm.veevavault.com/ui/#object/approved_document__v/V5O00000001A037", "LUP - VAE Póster Adelphi - Nefro")</f>
        <v>LUP - VAE Póster Adelphi - Nefro</v>
      </c>
      <c r="M6541" s="10" t="str">
        <f>HYPERLINK("mailto:pmartinez@crm.otsuka-europe.com", "pmartinez@crm.otsuka-europe.com")</f>
        <v>pmartinez@crm.otsuka-europe.com</v>
      </c>
      <c r="N6541" s="13">
        <v>46182.405428240738</v>
      </c>
      <c r="O6541" s="14" t="str">
        <f>HYPERLINK("https://otsuka-europe-crm.veevavault.com/ui/#object/email_activity__v/V8C00000003R380", "EN-002092482")</f>
        <v>EN-002092482</v>
      </c>
    </row>
    <row r="6542" spans="1:15" ht="32" x14ac:dyDescent="0.2">
      <c r="A6542" s="7" t="str">
        <f>HYPERLINK("https://otsuka-europe-crm.veevavault.com/ui/#object/account__v/V4TZ06G6O71TBPV", "MANUEL RAMIREZ DE ARELLANO SERNA")</f>
        <v>MANUEL RAMIREZ DE ARELLANO SERNA</v>
      </c>
      <c r="B6542" s="7" t="str">
        <f>HYPERLINK("https://otsuka-europe-crm.veevavault.com/ui/#object/vcountry__v/VENZ000004SONF5", "ES")</f>
        <v>ES</v>
      </c>
      <c r="C6542" s="8" t="s">
        <v>41</v>
      </c>
      <c r="D6542" s="9" t="str">
        <f>HYPERLINK("https://otsuka-europe-crm.veevavault.com/ui/#object/approved_document__v/V5O00000001A037", "LUP - VAE Póster Adelphi - Nefro")</f>
        <v>LUP - VAE Póster Adelphi - Nefro</v>
      </c>
      <c r="E6542" s="10" t="str">
        <f>HYPERLINK("https://otsuka-europe-crm.veevavault.com/ui/#object/sent_email__v/VBL00000002S278", "SE-001434542")</f>
        <v>SE-001434542</v>
      </c>
      <c r="F6542" s="11"/>
      <c r="G6542" s="12">
        <v>0</v>
      </c>
      <c r="H6542" s="12">
        <v>0</v>
      </c>
      <c r="I6542" s="12">
        <v>0</v>
      </c>
      <c r="J6542" s="11"/>
      <c r="K6542" s="12">
        <v>0</v>
      </c>
      <c r="L6542" s="10" t="str">
        <f>HYPERLINK("https://otsuka-europe-crm.veevavault.com/ui/#object/approved_document__v/V5O00000001A037", "LUP - VAE Póster Adelphi - Nefro")</f>
        <v>LUP - VAE Póster Adelphi - Nefro</v>
      </c>
      <c r="M6542" s="10" t="str">
        <f>HYPERLINK("mailto:pmartinez@crm.otsuka-europe.com", "pmartinez@crm.otsuka-europe.com")</f>
        <v>pmartinez@crm.otsuka-europe.com</v>
      </c>
      <c r="N6542" s="13">
        <v>46182.405428240738</v>
      </c>
      <c r="O6542" s="14" t="str">
        <f>HYPERLINK("https://otsuka-europe-crm.veevavault.com/ui/#object/email_activity__v/V8C00000003Q824", "EN-002092439")</f>
        <v>EN-002092439</v>
      </c>
    </row>
    <row r="6543" spans="1:15" ht="32" x14ac:dyDescent="0.2">
      <c r="A6543" s="7" t="str">
        <f>HYPERLINK("https://otsuka-europe-crm.veevavault.com/ui/#object/account__v/V4TZ06G6O71T8XX", "GUILLERMO ALCALDE BEZHOLD")</f>
        <v>GUILLERMO ALCALDE BEZHOLD</v>
      </c>
      <c r="B6543" s="7" t="str">
        <f>HYPERLINK("https://otsuka-europe-crm.veevavault.com/ui/#object/vcountry__v/VENZ000004SONF5", "ES")</f>
        <v>ES</v>
      </c>
      <c r="C6543" s="8" t="s">
        <v>41</v>
      </c>
      <c r="D6543" s="9" t="str">
        <f>HYPERLINK("https://otsuka-europe-crm.veevavault.com/ui/#object/approved_document__v/V5O00000001A037", "LUP - VAE Póster Adelphi - Nefro")</f>
        <v>LUP - VAE Póster Adelphi - Nefro</v>
      </c>
      <c r="E6543" s="10" t="str">
        <f>HYPERLINK("https://otsuka-europe-crm.veevavault.com/ui/#object/sent_email__v/VBL00000002S279", "SE-001434543")</f>
        <v>SE-001434543</v>
      </c>
      <c r="F6543" s="11"/>
      <c r="G6543" s="12">
        <v>0</v>
      </c>
      <c r="H6543" s="12">
        <v>0</v>
      </c>
      <c r="I6543" s="12">
        <v>0</v>
      </c>
      <c r="J6543" s="11"/>
      <c r="K6543" s="12">
        <v>0</v>
      </c>
      <c r="L6543" s="10" t="str">
        <f>HYPERLINK("https://otsuka-europe-crm.veevavault.com/ui/#object/approved_document__v/V5O00000001A037", "LUP - VAE Póster Adelphi - Nefro")</f>
        <v>LUP - VAE Póster Adelphi - Nefro</v>
      </c>
      <c r="M6543" s="10" t="str">
        <f>HYPERLINK("mailto:pmartinez@crm.otsuka-europe.com", "pmartinez@crm.otsuka-europe.com")</f>
        <v>pmartinez@crm.otsuka-europe.com</v>
      </c>
      <c r="N6543" s="13">
        <v>46182.405428240738</v>
      </c>
      <c r="O6543" s="14" t="str">
        <f>HYPERLINK("https://otsuka-europe-crm.veevavault.com/ui/#object/email_activity__v/V8C00000003Q823", "EN-002092438")</f>
        <v>EN-002092438</v>
      </c>
    </row>
    <row r="6544" spans="1:15" ht="16" x14ac:dyDescent="0.2">
      <c r="A6544" s="17" t="str">
        <f>HYPERLINK("https://otsuka-europe-crm.veevavault.com/ui/#object/account__v/V4TZ06G6O71TAYS", "JOAQUIN FRANCISCO MANRIQUE ESCOLA")</f>
        <v>JOAQUIN FRANCISCO MANRIQUE ESCOLA</v>
      </c>
      <c r="B6544" s="17" t="str">
        <f>HYPERLINK("https://otsuka-europe-crm.veevavault.com/ui/#object/vcountry__v/VENZ000004SONF5", "ES")</f>
        <v>ES</v>
      </c>
      <c r="C6544" s="20" t="s">
        <v>41</v>
      </c>
      <c r="D6544" s="21" t="str">
        <f>HYPERLINK("https://otsuka-europe-crm.veevavault.com/ui/#object/approved_document__v/V5O00000001A037", "LUP - VAE Póster Adelphi - Nefro")</f>
        <v>LUP - VAE Póster Adelphi - Nefro</v>
      </c>
      <c r="E6544" s="22" t="str">
        <f>HYPERLINK("https://otsuka-europe-crm.veevavault.com/ui/#object/sent_email__v/VBL00000002S280", "SE-001434544")</f>
        <v>SE-001434544</v>
      </c>
      <c r="F6544" s="23">
        <v>46189.48715277778</v>
      </c>
      <c r="G6544" s="24">
        <v>1</v>
      </c>
      <c r="H6544" s="24">
        <v>2</v>
      </c>
      <c r="I6544" s="24">
        <v>0</v>
      </c>
      <c r="J6544" s="25"/>
      <c r="K6544" s="24">
        <v>0</v>
      </c>
      <c r="L6544" s="22" t="str">
        <f>HYPERLINK("https://otsuka-europe-crm.veevavault.com/ui/#object/approved_document__v/V5O00000001A037", "LUP - VAE Póster Adelphi - Nefro")</f>
        <v>LUP - VAE Póster Adelphi - Nefro</v>
      </c>
      <c r="M6544" s="22" t="str">
        <f>HYPERLINK("mailto:pmartinez@crm.otsuka-europe.com", "pmartinez@crm.otsuka-europe.com")</f>
        <v>pmartinez@crm.otsuka-europe.com</v>
      </c>
      <c r="N6544" s="23">
        <v>46182.405428240738</v>
      </c>
      <c r="O6544" s="14" t="str">
        <f>HYPERLINK("https://otsuka-europe-crm.veevavault.com/ui/#object/email_activity__v/V8C00000003R433", "EN-002092583")</f>
        <v>EN-002092583</v>
      </c>
    </row>
    <row r="6545" spans="1:15" ht="16" x14ac:dyDescent="0.2">
      <c r="A6545" s="18"/>
      <c r="B6545" s="18"/>
      <c r="C6545" s="18"/>
      <c r="D6545" s="18"/>
      <c r="E6545" s="18"/>
      <c r="F6545" s="18"/>
      <c r="G6545" s="18"/>
      <c r="H6545" s="18"/>
      <c r="I6545" s="18"/>
      <c r="J6545" s="18"/>
      <c r="K6545" s="18"/>
      <c r="L6545" s="18"/>
      <c r="M6545" s="18"/>
      <c r="N6545" s="18"/>
      <c r="O6545" s="14" t="str">
        <f>HYPERLINK("https://otsuka-europe-crm.veevavault.com/ui/#object/email_activity__v/V8C00000003R604", "EN-002092852")</f>
        <v>EN-002092852</v>
      </c>
    </row>
    <row r="6546" spans="1:15" ht="16" x14ac:dyDescent="0.2">
      <c r="A6546" s="18"/>
      <c r="B6546" s="18"/>
      <c r="C6546" s="18"/>
      <c r="D6546" s="18"/>
      <c r="E6546" s="18"/>
      <c r="F6546" s="18"/>
      <c r="G6546" s="18"/>
      <c r="H6546" s="18"/>
      <c r="I6546" s="18"/>
      <c r="J6546" s="18"/>
      <c r="K6546" s="18"/>
      <c r="L6546" s="18"/>
      <c r="M6546" s="18"/>
      <c r="N6546" s="18"/>
      <c r="O6546" s="14" t="str">
        <f>HYPERLINK("https://otsuka-europe-crm.veevavault.com/ui/#object/email_activity__v/V8C00000003S029", "EN-002092888")</f>
        <v>EN-002092888</v>
      </c>
    </row>
    <row r="6547" spans="1:15" ht="16" x14ac:dyDescent="0.2">
      <c r="A6547" s="19"/>
      <c r="B6547" s="19"/>
      <c r="C6547" s="19"/>
      <c r="D6547" s="19"/>
      <c r="E6547" s="19"/>
      <c r="F6547" s="19"/>
      <c r="G6547" s="19"/>
      <c r="H6547" s="19"/>
      <c r="I6547" s="19"/>
      <c r="J6547" s="19"/>
      <c r="K6547" s="19"/>
      <c r="L6547" s="19"/>
      <c r="M6547" s="19"/>
      <c r="N6547" s="19"/>
      <c r="O6547" s="14" t="str">
        <f>HYPERLINK("https://otsuka-europe-crm.veevavault.com/ui/#object/email_activity__v/V8C00000003W209", "EN-002097157")</f>
        <v>EN-002097157</v>
      </c>
    </row>
    <row r="6548" spans="1:15" ht="16" x14ac:dyDescent="0.2">
      <c r="A6548" s="17" t="str">
        <f>HYPERLINK("https://otsuka-europe-crm.veevavault.com/ui/#object/account__v/V4TZ06G6O71TC30", "ROSA BENITA SANCHEZ HERNANDEZ")</f>
        <v>ROSA BENITA SANCHEZ HERNANDEZ</v>
      </c>
      <c r="B6548" s="17" t="str">
        <f>HYPERLINK("https://otsuka-europe-crm.veevavault.com/ui/#object/vcountry__v/VENZ000004SONF5", "ES")</f>
        <v>ES</v>
      </c>
      <c r="C6548" s="20" t="s">
        <v>41</v>
      </c>
      <c r="D6548" s="21" t="str">
        <f>HYPERLINK("https://otsuka-europe-crm.veevavault.com/ui/#object/approved_document__v/V5O00000001A037", "LUP - VAE Póster Adelphi - Nefro")</f>
        <v>LUP - VAE Póster Adelphi - Nefro</v>
      </c>
      <c r="E6548" s="22" t="str">
        <f>HYPERLINK("https://otsuka-europe-crm.veevavault.com/ui/#object/sent_email__v/VBL00000002S281", "SE-001434545")</f>
        <v>SE-001434545</v>
      </c>
      <c r="F6548" s="23">
        <v>46183.290312500001</v>
      </c>
      <c r="G6548" s="24">
        <v>1</v>
      </c>
      <c r="H6548" s="24">
        <v>7</v>
      </c>
      <c r="I6548" s="24">
        <v>0</v>
      </c>
      <c r="J6548" s="25"/>
      <c r="K6548" s="24">
        <v>0</v>
      </c>
      <c r="L6548" s="22" t="str">
        <f>HYPERLINK("https://otsuka-europe-crm.veevavault.com/ui/#object/approved_document__v/V5O00000001A037", "LUP - VAE Póster Adelphi - Nefro")</f>
        <v>LUP - VAE Póster Adelphi - Nefro</v>
      </c>
      <c r="M6548" s="22" t="str">
        <f>HYPERLINK("mailto:pmartinez@crm.otsuka-europe.com", "pmartinez@crm.otsuka-europe.com")</f>
        <v>pmartinez@crm.otsuka-europe.com</v>
      </c>
      <c r="N6548" s="23">
        <v>46182.405428240738</v>
      </c>
      <c r="O6548" s="14" t="str">
        <f>HYPERLINK("https://otsuka-europe-crm.veevavault.com/ui/#object/email_activity__v/V8C00000003Q848", "EN-002092463")</f>
        <v>EN-002092463</v>
      </c>
    </row>
    <row r="6549" spans="1:15" ht="16" x14ac:dyDescent="0.2">
      <c r="A6549" s="18"/>
      <c r="B6549" s="18"/>
      <c r="C6549" s="18"/>
      <c r="D6549" s="18"/>
      <c r="E6549" s="18"/>
      <c r="F6549" s="18"/>
      <c r="G6549" s="18"/>
      <c r="H6549" s="18"/>
      <c r="I6549" s="18"/>
      <c r="J6549" s="18"/>
      <c r="K6549" s="18"/>
      <c r="L6549" s="18"/>
      <c r="M6549" s="18"/>
      <c r="N6549" s="18"/>
      <c r="O6549" s="14" t="str">
        <f>HYPERLINK("https://otsuka-europe-crm.veevavault.com/ui/#object/email_activity__v/V8C00000003R441", "EN-002092604")</f>
        <v>EN-002092604</v>
      </c>
    </row>
    <row r="6550" spans="1:15" ht="16" x14ac:dyDescent="0.2">
      <c r="A6550" s="18"/>
      <c r="B6550" s="18"/>
      <c r="C6550" s="18"/>
      <c r="D6550" s="18"/>
      <c r="E6550" s="18"/>
      <c r="F6550" s="18"/>
      <c r="G6550" s="18"/>
      <c r="H6550" s="18"/>
      <c r="I6550" s="18"/>
      <c r="J6550" s="18"/>
      <c r="K6550" s="18"/>
      <c r="L6550" s="18"/>
      <c r="M6550" s="18"/>
      <c r="N6550" s="18"/>
      <c r="O6550" s="14" t="str">
        <f>HYPERLINK("https://otsuka-europe-crm.veevavault.com/ui/#object/email_activity__v/V8C00000003T135", "EN-002093828")</f>
        <v>EN-002093828</v>
      </c>
    </row>
    <row r="6551" spans="1:15" ht="16" x14ac:dyDescent="0.2">
      <c r="A6551" s="18"/>
      <c r="B6551" s="18"/>
      <c r="C6551" s="18"/>
      <c r="D6551" s="18"/>
      <c r="E6551" s="18"/>
      <c r="F6551" s="18"/>
      <c r="G6551" s="18"/>
      <c r="H6551" s="18"/>
      <c r="I6551" s="18"/>
      <c r="J6551" s="18"/>
      <c r="K6551" s="18"/>
      <c r="L6551" s="18"/>
      <c r="M6551" s="18"/>
      <c r="N6551" s="18"/>
      <c r="O6551" s="14" t="str">
        <f>HYPERLINK("https://otsuka-europe-crm.veevavault.com/ui/#object/email_activity__v/V8C00000003T136", "EN-002093829")</f>
        <v>EN-002093829</v>
      </c>
    </row>
    <row r="6552" spans="1:15" ht="16" x14ac:dyDescent="0.2">
      <c r="A6552" s="18"/>
      <c r="B6552" s="18"/>
      <c r="C6552" s="18"/>
      <c r="D6552" s="18"/>
      <c r="E6552" s="18"/>
      <c r="F6552" s="18"/>
      <c r="G6552" s="18"/>
      <c r="H6552" s="18"/>
      <c r="I6552" s="18"/>
      <c r="J6552" s="18"/>
      <c r="K6552" s="18"/>
      <c r="L6552" s="18"/>
      <c r="M6552" s="18"/>
      <c r="N6552" s="18"/>
      <c r="O6552" s="14" t="str">
        <f>HYPERLINK("https://otsuka-europe-crm.veevavault.com/ui/#object/email_activity__v/V8C00000003T137", "EN-002093830")</f>
        <v>EN-002093830</v>
      </c>
    </row>
    <row r="6553" spans="1:15" ht="16" x14ac:dyDescent="0.2">
      <c r="A6553" s="18"/>
      <c r="B6553" s="18"/>
      <c r="C6553" s="18"/>
      <c r="D6553" s="18"/>
      <c r="E6553" s="18"/>
      <c r="F6553" s="18"/>
      <c r="G6553" s="18"/>
      <c r="H6553" s="18"/>
      <c r="I6553" s="18"/>
      <c r="J6553" s="18"/>
      <c r="K6553" s="18"/>
      <c r="L6553" s="18"/>
      <c r="M6553" s="18"/>
      <c r="N6553" s="18"/>
      <c r="O6553" s="14" t="str">
        <f>HYPERLINK("https://otsuka-europe-crm.veevavault.com/ui/#object/email_activity__v/V8C00000003T138", "EN-002093831")</f>
        <v>EN-002093831</v>
      </c>
    </row>
    <row r="6554" spans="1:15" ht="16" x14ac:dyDescent="0.2">
      <c r="A6554" s="18"/>
      <c r="B6554" s="18"/>
      <c r="C6554" s="18"/>
      <c r="D6554" s="18"/>
      <c r="E6554" s="18"/>
      <c r="F6554" s="18"/>
      <c r="G6554" s="18"/>
      <c r="H6554" s="18"/>
      <c r="I6554" s="18"/>
      <c r="J6554" s="18"/>
      <c r="K6554" s="18"/>
      <c r="L6554" s="18"/>
      <c r="M6554" s="18"/>
      <c r="N6554" s="18"/>
      <c r="O6554" s="14" t="str">
        <f>HYPERLINK("https://otsuka-europe-crm.veevavault.com/ui/#object/email_activity__v/V8C00000003T142", "EN-002093846")</f>
        <v>EN-002093846</v>
      </c>
    </row>
    <row r="6555" spans="1:15" ht="16" x14ac:dyDescent="0.2">
      <c r="A6555" s="19"/>
      <c r="B6555" s="19"/>
      <c r="C6555" s="19"/>
      <c r="D6555" s="19"/>
      <c r="E6555" s="19"/>
      <c r="F6555" s="19"/>
      <c r="G6555" s="19"/>
      <c r="H6555" s="19"/>
      <c r="I6555" s="19"/>
      <c r="J6555" s="19"/>
      <c r="K6555" s="19"/>
      <c r="L6555" s="19"/>
      <c r="M6555" s="19"/>
      <c r="N6555" s="19"/>
      <c r="O6555" s="14" t="str">
        <f>HYPERLINK("https://otsuka-europe-crm.veevavault.com/ui/#object/email_activity__v/V8C00000003T143", "EN-002093847")</f>
        <v>EN-002093847</v>
      </c>
    </row>
    <row r="6556" spans="1:15" ht="32" x14ac:dyDescent="0.2">
      <c r="A6556" s="7" t="str">
        <f>HYPERLINK("https://otsuka-europe-crm.veevavault.com/ui/#object/account__v/V4TZ04ASGGC0V0S", "MARIA DEL LORETO FERNANDEZ LORENTE")</f>
        <v>MARIA DEL LORETO FERNANDEZ LORENTE</v>
      </c>
      <c r="B6556" s="7" t="str">
        <f>HYPERLINK("https://otsuka-europe-crm.veevavault.com/ui/#object/vcountry__v/VENZ000004SONF5", "ES")</f>
        <v>ES</v>
      </c>
      <c r="C6556" s="8" t="s">
        <v>41</v>
      </c>
      <c r="D6556" s="9" t="str">
        <f>HYPERLINK("https://otsuka-europe-crm.veevavault.com/ui/#object/approved_document__v/V5O00000001A037", "LUP - VAE Póster Adelphi - Nefro")</f>
        <v>LUP - VAE Póster Adelphi - Nefro</v>
      </c>
      <c r="E6556" s="10" t="str">
        <f>HYPERLINK("https://otsuka-europe-crm.veevavault.com/ui/#object/sent_email__v/VBL00000002S282", "SE-001434546")</f>
        <v>SE-001434546</v>
      </c>
      <c r="F6556" s="11"/>
      <c r="G6556" s="12">
        <v>0</v>
      </c>
      <c r="H6556" s="12">
        <v>0</v>
      </c>
      <c r="I6556" s="12">
        <v>0</v>
      </c>
      <c r="J6556" s="11"/>
      <c r="K6556" s="12">
        <v>0</v>
      </c>
      <c r="L6556" s="10" t="str">
        <f>HYPERLINK("https://otsuka-europe-crm.veevavault.com/ui/#object/approved_document__v/V5O00000001A037", "LUP - VAE Póster Adelphi - Nefro")</f>
        <v>LUP - VAE Póster Adelphi - Nefro</v>
      </c>
      <c r="M6556" s="10" t="str">
        <f>HYPERLINK("mailto:pmartinez@crm.otsuka-europe.com", "pmartinez@crm.otsuka-europe.com")</f>
        <v>pmartinez@crm.otsuka-europe.com</v>
      </c>
      <c r="N6556" s="13">
        <v>46182.405428240738</v>
      </c>
      <c r="O6556" s="14" t="str">
        <f>HYPERLINK("https://otsuka-europe-crm.veevavault.com/ui/#object/email_activity__v/V8C00000003Q927", "EN-002092606")</f>
        <v>EN-002092606</v>
      </c>
    </row>
    <row r="6557" spans="1:15" ht="32" x14ac:dyDescent="0.2">
      <c r="A6557" s="7" t="str">
        <f>HYPERLINK("https://otsuka-europe-crm.veevavault.com/ui/#object/account__v/V4TZ06G6O71T7DK", "JOSE ANTONIO QUINTANAR LARTUNDO")</f>
        <v>JOSE ANTONIO QUINTANAR LARTUNDO</v>
      </c>
      <c r="B6557" s="7" t="str">
        <f>HYPERLINK("https://otsuka-europe-crm.veevavault.com/ui/#object/vcountry__v/VENZ000004SONF5", "ES")</f>
        <v>ES</v>
      </c>
      <c r="C6557" s="8" t="s">
        <v>41</v>
      </c>
      <c r="D6557" s="9" t="str">
        <f>HYPERLINK("https://otsuka-europe-crm.veevavault.com/ui/#object/approved_document__v/V5O00000001A037", "LUP - VAE Póster Adelphi - Nefro")</f>
        <v>LUP - VAE Póster Adelphi - Nefro</v>
      </c>
      <c r="E6557" s="10" t="str">
        <f>HYPERLINK("https://otsuka-europe-crm.veevavault.com/ui/#object/sent_email__v/VBL00000002S283", "SE-001434547")</f>
        <v>SE-001434547</v>
      </c>
      <c r="F6557" s="11"/>
      <c r="G6557" s="12">
        <v>0</v>
      </c>
      <c r="H6557" s="12">
        <v>0</v>
      </c>
      <c r="I6557" s="12">
        <v>0</v>
      </c>
      <c r="J6557" s="11"/>
      <c r="K6557" s="12">
        <v>0</v>
      </c>
      <c r="L6557" s="10" t="str">
        <f>HYPERLINK("https://otsuka-europe-crm.veevavault.com/ui/#object/approved_document__v/V5O00000001A037", "LUP - VAE Póster Adelphi - Nefro")</f>
        <v>LUP - VAE Póster Adelphi - Nefro</v>
      </c>
      <c r="M6557" s="10" t="str">
        <f>HYPERLINK("mailto:pmartinez@crm.otsuka-europe.com", "pmartinez@crm.otsuka-europe.com")</f>
        <v>pmartinez@crm.otsuka-europe.com</v>
      </c>
      <c r="N6557" s="13">
        <v>46182.405428240738</v>
      </c>
      <c r="O6557" s="14" t="str">
        <f>HYPERLINK("https://otsuka-europe-crm.veevavault.com/ui/#object/email_activity__v/V8C00000003Q888", "EN-002092519")</f>
        <v>EN-002092519</v>
      </c>
    </row>
    <row r="6558" spans="1:15" ht="32" x14ac:dyDescent="0.2">
      <c r="A6558" s="7" t="str">
        <f>HYPERLINK("https://otsuka-europe-crm.veevavault.com/ui/#object/account__v/V4TZ06G6O71TC0E", "SUSANA ROCA MEROÑO")</f>
        <v>SUSANA ROCA MEROÑO</v>
      </c>
      <c r="B6558" s="7" t="str">
        <f>HYPERLINK("https://otsuka-europe-crm.veevavault.com/ui/#object/vcountry__v/VENZ000004SONF5", "ES")</f>
        <v>ES</v>
      </c>
      <c r="C6558" s="8" t="s">
        <v>41</v>
      </c>
      <c r="D6558" s="9" t="str">
        <f>HYPERLINK("https://otsuka-europe-crm.veevavault.com/ui/#object/approved_document__v/V5O00000001A037", "LUP - VAE Póster Adelphi - Nefro")</f>
        <v>LUP - VAE Póster Adelphi - Nefro</v>
      </c>
      <c r="E6558" s="10" t="str">
        <f>HYPERLINK("https://otsuka-europe-crm.veevavault.com/ui/#object/sent_email__v/VBL00000002S284", "SE-001434548")</f>
        <v>SE-001434548</v>
      </c>
      <c r="F6558" s="11"/>
      <c r="G6558" s="12">
        <v>0</v>
      </c>
      <c r="H6558" s="12">
        <v>0</v>
      </c>
      <c r="I6558" s="12">
        <v>0</v>
      </c>
      <c r="J6558" s="11"/>
      <c r="K6558" s="12">
        <v>0</v>
      </c>
      <c r="L6558" s="10" t="str">
        <f>HYPERLINK("https://otsuka-europe-crm.veevavault.com/ui/#object/approved_document__v/V5O00000001A037", "LUP - VAE Póster Adelphi - Nefro")</f>
        <v>LUP - VAE Póster Adelphi - Nefro</v>
      </c>
      <c r="M6558" s="10" t="str">
        <f>HYPERLINK("mailto:pmartinez@crm.otsuka-europe.com", "pmartinez@crm.otsuka-europe.com")</f>
        <v>pmartinez@crm.otsuka-europe.com</v>
      </c>
      <c r="N6558" s="13">
        <v>46182.405428240738</v>
      </c>
      <c r="O6558" s="14" t="str">
        <f>HYPERLINK("https://otsuka-europe-crm.veevavault.com/ui/#object/email_activity__v/V8C00000003R437", "EN-002092587")</f>
        <v>EN-002092587</v>
      </c>
    </row>
    <row r="6559" spans="1:15" ht="16" x14ac:dyDescent="0.2">
      <c r="A6559" s="17" t="str">
        <f>HYPERLINK("https://otsuka-europe-crm.veevavault.com/ui/#object/account__v/V4TZ06G6O71TCHL", "ISIDRO ANTON TORREGROSA MAICAS")</f>
        <v>ISIDRO ANTON TORREGROSA MAICAS</v>
      </c>
      <c r="B6559" s="17" t="str">
        <f>HYPERLINK("https://otsuka-europe-crm.veevavault.com/ui/#object/vcountry__v/VENZ000004SONF5", "ES")</f>
        <v>ES</v>
      </c>
      <c r="C6559" s="20" t="s">
        <v>41</v>
      </c>
      <c r="D6559" s="21" t="str">
        <f>HYPERLINK("https://otsuka-europe-crm.veevavault.com/ui/#object/approved_document__v/V5O00000001A037", "LUP - VAE Póster Adelphi - Nefro")</f>
        <v>LUP - VAE Póster Adelphi - Nefro</v>
      </c>
      <c r="E6559" s="22" t="str">
        <f>HYPERLINK("https://otsuka-europe-crm.veevavault.com/ui/#object/sent_email__v/VBL00000002S285", "SE-001434549")</f>
        <v>SE-001434549</v>
      </c>
      <c r="F6559" s="23">
        <v>46182.40552083333</v>
      </c>
      <c r="G6559" s="24">
        <v>1</v>
      </c>
      <c r="H6559" s="24">
        <v>1</v>
      </c>
      <c r="I6559" s="24">
        <v>0</v>
      </c>
      <c r="J6559" s="25"/>
      <c r="K6559" s="24">
        <v>0</v>
      </c>
      <c r="L6559" s="22" t="str">
        <f>HYPERLINK("https://otsuka-europe-crm.veevavault.com/ui/#object/approved_document__v/V5O00000001A037", "LUP - VAE Póster Adelphi - Nefro")</f>
        <v>LUP - VAE Póster Adelphi - Nefro</v>
      </c>
      <c r="M6559" s="22" t="str">
        <f>HYPERLINK("mailto:pmartinez@crm.otsuka-europe.com", "pmartinez@crm.otsuka-europe.com")</f>
        <v>pmartinez@crm.otsuka-europe.com</v>
      </c>
      <c r="N6559" s="23">
        <v>46182.405428240738</v>
      </c>
      <c r="O6559" s="14" t="str">
        <f>HYPERLINK("https://otsuka-europe-crm.veevavault.com/ui/#object/email_activity__v/V8C00000003Q847", "EN-002092462")</f>
        <v>EN-002092462</v>
      </c>
    </row>
    <row r="6560" spans="1:15" ht="16" x14ac:dyDescent="0.2">
      <c r="A6560" s="18"/>
      <c r="B6560" s="18"/>
      <c r="C6560" s="18"/>
      <c r="D6560" s="18"/>
      <c r="E6560" s="18"/>
      <c r="F6560" s="18"/>
      <c r="G6560" s="18"/>
      <c r="H6560" s="18"/>
      <c r="I6560" s="18"/>
      <c r="J6560" s="18"/>
      <c r="K6560" s="18"/>
      <c r="L6560" s="18"/>
      <c r="M6560" s="18"/>
      <c r="N6560" s="18"/>
      <c r="O6560" s="14" t="str">
        <f>HYPERLINK("https://otsuka-europe-crm.veevavault.com/ui/#object/email_activity__v/V8C00000003R417", "EN-002092567")</f>
        <v>EN-002092567</v>
      </c>
    </row>
    <row r="6561" spans="1:15" ht="16" x14ac:dyDescent="0.2">
      <c r="A6561" s="19"/>
      <c r="B6561" s="19"/>
      <c r="C6561" s="19"/>
      <c r="D6561" s="19"/>
      <c r="E6561" s="19"/>
      <c r="F6561" s="19"/>
      <c r="G6561" s="19"/>
      <c r="H6561" s="19"/>
      <c r="I6561" s="19"/>
      <c r="J6561" s="19"/>
      <c r="K6561" s="19"/>
      <c r="L6561" s="19"/>
      <c r="M6561" s="19"/>
      <c r="N6561" s="19"/>
      <c r="O6561" s="14" t="str">
        <f>HYPERLINK("https://otsuka-europe-crm.veevavault.com/ui/#object/email_activity__v/V8C00000003T375", "EN-002094347")</f>
        <v>EN-002094347</v>
      </c>
    </row>
    <row r="6562" spans="1:15" ht="32" x14ac:dyDescent="0.2">
      <c r="A6562" s="7" t="str">
        <f>HYPERLINK("https://otsuka-europe-crm.veevavault.com/ui/#object/account__v/V4TZ06G6O71TCK5", "MARIA ALMUDENA VEGA MARTINEZ")</f>
        <v>MARIA ALMUDENA VEGA MARTINEZ</v>
      </c>
      <c r="B6562" s="7" t="str">
        <f>HYPERLINK("https://otsuka-europe-crm.veevavault.com/ui/#object/vcountry__v/VENZ000004SONF5", "ES")</f>
        <v>ES</v>
      </c>
      <c r="C6562" s="8" t="s">
        <v>41</v>
      </c>
      <c r="D6562" s="9" t="str">
        <f>HYPERLINK("https://otsuka-europe-crm.veevavault.com/ui/#object/approved_document__v/V5O00000001A037", "LUP - VAE Póster Adelphi - Nefro")</f>
        <v>LUP - VAE Póster Adelphi - Nefro</v>
      </c>
      <c r="E6562" s="10" t="str">
        <f>HYPERLINK("https://otsuka-europe-crm.veevavault.com/ui/#object/sent_email__v/VBL00000002S286", "SE-001434550")</f>
        <v>SE-001434550</v>
      </c>
      <c r="F6562" s="11"/>
      <c r="G6562" s="12">
        <v>0</v>
      </c>
      <c r="H6562" s="12">
        <v>0</v>
      </c>
      <c r="I6562" s="12">
        <v>0</v>
      </c>
      <c r="J6562" s="11"/>
      <c r="K6562" s="12">
        <v>0</v>
      </c>
      <c r="L6562" s="10" t="str">
        <f>HYPERLINK("https://otsuka-europe-crm.veevavault.com/ui/#object/approved_document__v/V5O00000001A037", "LUP - VAE Póster Adelphi - Nefro")</f>
        <v>LUP - VAE Póster Adelphi - Nefro</v>
      </c>
      <c r="M6562" s="10" t="str">
        <f>HYPERLINK("mailto:pmartinez@crm.otsuka-europe.com", "pmartinez@crm.otsuka-europe.com")</f>
        <v>pmartinez@crm.otsuka-europe.com</v>
      </c>
      <c r="N6562" s="13">
        <v>46182.405428240738</v>
      </c>
      <c r="O6562" s="14" t="str">
        <f>HYPERLINK("https://otsuka-europe-crm.veevavault.com/ui/#object/email_activity__v/V8C00000003Q915", "EN-002092593")</f>
        <v>EN-002092593</v>
      </c>
    </row>
    <row r="6563" spans="1:15" ht="32" x14ac:dyDescent="0.2">
      <c r="A6563" s="7" t="str">
        <f>HYPERLINK("https://otsuka-europe-crm.veevavault.com/ui/#object/account__v/V4TZ025E839FOSX", "MARIA JESUS CAMBA CARIDE")</f>
        <v>MARIA JESUS CAMBA CARIDE</v>
      </c>
      <c r="B6563" s="7" t="str">
        <f>HYPERLINK("https://otsuka-europe-crm.veevavault.com/ui/#object/vcountry__v/VENZ000004SONF5", "ES")</f>
        <v>ES</v>
      </c>
      <c r="C6563" s="8" t="s">
        <v>41</v>
      </c>
      <c r="D6563" s="9" t="str">
        <f>HYPERLINK("https://otsuka-europe-crm.veevavault.com/ui/#object/approved_document__v/V5O00000001A037", "LUP - VAE Póster Adelphi - Nefro")</f>
        <v>LUP - VAE Póster Adelphi - Nefro</v>
      </c>
      <c r="E6563" s="10" t="str">
        <f>HYPERLINK("https://otsuka-europe-crm.veevavault.com/ui/#object/sent_email__v/VBL00000002S287", "SE-001434551")</f>
        <v>SE-001434551</v>
      </c>
      <c r="F6563" s="11"/>
      <c r="G6563" s="12">
        <v>0</v>
      </c>
      <c r="H6563" s="12">
        <v>0</v>
      </c>
      <c r="I6563" s="12">
        <v>0</v>
      </c>
      <c r="J6563" s="11"/>
      <c r="K6563" s="12">
        <v>0</v>
      </c>
      <c r="L6563" s="10" t="str">
        <f>HYPERLINK("https://otsuka-europe-crm.veevavault.com/ui/#object/approved_document__v/V5O00000001A037", "LUP - VAE Póster Adelphi - Nefro")</f>
        <v>LUP - VAE Póster Adelphi - Nefro</v>
      </c>
      <c r="M6563" s="10" t="str">
        <f>HYPERLINK("mailto:pmartinez@crm.otsuka-europe.com", "pmartinez@crm.otsuka-europe.com")</f>
        <v>pmartinez@crm.otsuka-europe.com</v>
      </c>
      <c r="N6563" s="13">
        <v>46182.405428240738</v>
      </c>
      <c r="O6563" s="14" t="str">
        <f>HYPERLINK("https://otsuka-europe-crm.veevavault.com/ui/#object/email_activity__v/V8C00000003Q921", "EN-002092599")</f>
        <v>EN-002092599</v>
      </c>
    </row>
    <row r="6564" spans="1:15" ht="16" x14ac:dyDescent="0.2">
      <c r="A6564" s="17" t="str">
        <f>HYPERLINK("https://otsuka-europe-crm.veevavault.com/ui/#object/account__v/V4TZ025E85WVSNB", "SHEYLA CHRISTAL ALVAREZ PARRA")</f>
        <v>SHEYLA CHRISTAL ALVAREZ PARRA</v>
      </c>
      <c r="B6564" s="17" t="str">
        <f>HYPERLINK("https://otsuka-europe-crm.veevavault.com/ui/#object/vcountry__v/VENZ000004SONF5", "ES")</f>
        <v>ES</v>
      </c>
      <c r="C6564" s="20" t="s">
        <v>41</v>
      </c>
      <c r="D6564" s="21" t="str">
        <f>HYPERLINK("https://otsuka-europe-crm.veevavault.com/ui/#object/approved_document__v/V5O00000001A037", "LUP - VAE Póster Adelphi - Nefro")</f>
        <v>LUP - VAE Póster Adelphi - Nefro</v>
      </c>
      <c r="E6564" s="22" t="str">
        <f>HYPERLINK("https://otsuka-europe-crm.veevavault.com/ui/#object/sent_email__v/VBL00000002S288", "SE-001434552")</f>
        <v>SE-001434552</v>
      </c>
      <c r="F6564" s="23">
        <v>46183.249224537038</v>
      </c>
      <c r="G6564" s="24">
        <v>1</v>
      </c>
      <c r="H6564" s="24">
        <v>2</v>
      </c>
      <c r="I6564" s="24">
        <v>1</v>
      </c>
      <c r="J6564" s="23">
        <v>46183.249351851853</v>
      </c>
      <c r="K6564" s="24">
        <v>2</v>
      </c>
      <c r="L6564" s="22" t="str">
        <f>HYPERLINK("https://otsuka-europe-crm.veevavault.com/ui/#object/approved_document__v/V5O00000001A037", "LUP - VAE Póster Adelphi - Nefro")</f>
        <v>LUP - VAE Póster Adelphi - Nefro</v>
      </c>
      <c r="M6564" s="22" t="str">
        <f>HYPERLINK("mailto:pmartinez@crm.otsuka-europe.com", "pmartinez@crm.otsuka-europe.com")</f>
        <v>pmartinez@crm.otsuka-europe.com</v>
      </c>
      <c r="N6564" s="23">
        <v>46182.405428240738</v>
      </c>
      <c r="O6564" s="14" t="str">
        <f>HYPERLINK("https://otsuka-europe-crm.veevavault.com/ui/#object/email_activity__v/V8C00000003R410", "EN-002092560")</f>
        <v>EN-002092560</v>
      </c>
    </row>
    <row r="6565" spans="1:15" ht="16" x14ac:dyDescent="0.2">
      <c r="A6565" s="18"/>
      <c r="B6565" s="18"/>
      <c r="C6565" s="18"/>
      <c r="D6565" s="18"/>
      <c r="E6565" s="18"/>
      <c r="F6565" s="18"/>
      <c r="G6565" s="18"/>
      <c r="H6565" s="18"/>
      <c r="I6565" s="18"/>
      <c r="J6565" s="18"/>
      <c r="K6565" s="18"/>
      <c r="L6565" s="18"/>
      <c r="M6565" s="18"/>
      <c r="N6565" s="18"/>
      <c r="O6565" s="14" t="str">
        <f>HYPERLINK("https://otsuka-europe-crm.veevavault.com/ui/#object/email_activity__v/V8C00000003R797", "EN-002093184")</f>
        <v>EN-002093184</v>
      </c>
    </row>
    <row r="6566" spans="1:15" ht="16" x14ac:dyDescent="0.2">
      <c r="A6566" s="18"/>
      <c r="B6566" s="18"/>
      <c r="C6566" s="18"/>
      <c r="D6566" s="18"/>
      <c r="E6566" s="18"/>
      <c r="F6566" s="18"/>
      <c r="G6566" s="18"/>
      <c r="H6566" s="18"/>
      <c r="I6566" s="18"/>
      <c r="J6566" s="18"/>
      <c r="K6566" s="18"/>
      <c r="L6566" s="18"/>
      <c r="M6566" s="18"/>
      <c r="N6566" s="18"/>
      <c r="O6566" s="14" t="str">
        <f>HYPERLINK("https://otsuka-europe-crm.veevavault.com/ui/#object/email_activity__v/V8C00000003S451", "EN-002093820")</f>
        <v>EN-002093820</v>
      </c>
    </row>
    <row r="6567" spans="1:15" ht="16" x14ac:dyDescent="0.2">
      <c r="A6567" s="18"/>
      <c r="B6567" s="18"/>
      <c r="C6567" s="18"/>
      <c r="D6567" s="18"/>
      <c r="E6567" s="18"/>
      <c r="F6567" s="18"/>
      <c r="G6567" s="18"/>
      <c r="H6567" s="18"/>
      <c r="I6567" s="18"/>
      <c r="J6567" s="18"/>
      <c r="K6567" s="18"/>
      <c r="L6567" s="18"/>
      <c r="M6567" s="18"/>
      <c r="N6567" s="18"/>
      <c r="O6567" s="14" t="str">
        <f>HYPERLINK("https://otsuka-europe-crm.veevavault.com/ui/#object/email_activity__v/V8C00000003S452", "EN-002093821")</f>
        <v>EN-002093821</v>
      </c>
    </row>
    <row r="6568" spans="1:15" ht="16" x14ac:dyDescent="0.2">
      <c r="A6568" s="18"/>
      <c r="B6568" s="18"/>
      <c r="C6568" s="18"/>
      <c r="D6568" s="18"/>
      <c r="E6568" s="18"/>
      <c r="F6568" s="18"/>
      <c r="G6568" s="18"/>
      <c r="H6568" s="18"/>
      <c r="I6568" s="18"/>
      <c r="J6568" s="18"/>
      <c r="K6568" s="18"/>
      <c r="L6568" s="18"/>
      <c r="M6568" s="18"/>
      <c r="N6568" s="18"/>
      <c r="O6568" s="14" t="str">
        <f>HYPERLINK("https://otsuka-europe-crm.veevavault.com/ui/#object/email_activity__v/V8C00000003S453", "EN-002093822")</f>
        <v>EN-002093822</v>
      </c>
    </row>
    <row r="6569" spans="1:15" ht="16" x14ac:dyDescent="0.2">
      <c r="A6569" s="18"/>
      <c r="B6569" s="18"/>
      <c r="C6569" s="18"/>
      <c r="D6569" s="18"/>
      <c r="E6569" s="18"/>
      <c r="F6569" s="18"/>
      <c r="G6569" s="18"/>
      <c r="H6569" s="18"/>
      <c r="I6569" s="18"/>
      <c r="J6569" s="18"/>
      <c r="K6569" s="18"/>
      <c r="L6569" s="18"/>
      <c r="M6569" s="18"/>
      <c r="N6569" s="18"/>
      <c r="O6569" s="14" t="str">
        <f>HYPERLINK("https://otsuka-europe-crm.veevavault.com/ui/#object/email_activity__v/V8C00000003S454", "EN-002093823")</f>
        <v>EN-002093823</v>
      </c>
    </row>
    <row r="6570" spans="1:15" ht="16" x14ac:dyDescent="0.2">
      <c r="A6570" s="18"/>
      <c r="B6570" s="18"/>
      <c r="C6570" s="18"/>
      <c r="D6570" s="18"/>
      <c r="E6570" s="18"/>
      <c r="F6570" s="18"/>
      <c r="G6570" s="18"/>
      <c r="H6570" s="18"/>
      <c r="I6570" s="18"/>
      <c r="J6570" s="18"/>
      <c r="K6570" s="18"/>
      <c r="L6570" s="18"/>
      <c r="M6570" s="18"/>
      <c r="N6570" s="18"/>
      <c r="O6570" s="14" t="str">
        <f>HYPERLINK("https://otsuka-europe-crm.veevavault.com/ui/#object/email_activity__v/V8C00000003S455", "EN-002093824")</f>
        <v>EN-002093824</v>
      </c>
    </row>
    <row r="6571" spans="1:15" ht="16" x14ac:dyDescent="0.2">
      <c r="A6571" s="19"/>
      <c r="B6571" s="19"/>
      <c r="C6571" s="19"/>
      <c r="D6571" s="19"/>
      <c r="E6571" s="19"/>
      <c r="F6571" s="19"/>
      <c r="G6571" s="19"/>
      <c r="H6571" s="19"/>
      <c r="I6571" s="19"/>
      <c r="J6571" s="19"/>
      <c r="K6571" s="19"/>
      <c r="L6571" s="19"/>
      <c r="M6571" s="19"/>
      <c r="N6571" s="19"/>
      <c r="O6571" s="14" t="str">
        <f>HYPERLINK("https://otsuka-europe-crm.veevavault.com/ui/#object/email_activity__v/V8C00000003T134", "EN-002093819")</f>
        <v>EN-002093819</v>
      </c>
    </row>
    <row r="6572" spans="1:15" ht="16" x14ac:dyDescent="0.2">
      <c r="A6572" s="17" t="str">
        <f>HYPERLINK("https://otsuka-europe-crm.veevavault.com/ui/#object/account__v/V4TZ06G6O71T9MQ", "RAQUEL DE TORO CASADO")</f>
        <v>RAQUEL DE TORO CASADO</v>
      </c>
      <c r="B6572" s="17" t="str">
        <f>HYPERLINK("https://otsuka-europe-crm.veevavault.com/ui/#object/vcountry__v/VENZ000004SONF5", "ES")</f>
        <v>ES</v>
      </c>
      <c r="C6572" s="20" t="s">
        <v>41</v>
      </c>
      <c r="D6572" s="21" t="str">
        <f>HYPERLINK("https://otsuka-europe-crm.veevavault.com/ui/#object/approved_document__v/V5O00000001A037", "LUP - VAE Póster Adelphi - Nefro")</f>
        <v>LUP - VAE Póster Adelphi - Nefro</v>
      </c>
      <c r="E6572" s="22" t="str">
        <f>HYPERLINK("https://otsuka-europe-crm.veevavault.com/ui/#object/sent_email__v/VBL00000002S289", "SE-001434553")</f>
        <v>SE-001434553</v>
      </c>
      <c r="F6572" s="23">
        <v>46191.788252314815</v>
      </c>
      <c r="G6572" s="24">
        <v>1</v>
      </c>
      <c r="H6572" s="24">
        <v>5</v>
      </c>
      <c r="I6572" s="24">
        <v>1</v>
      </c>
      <c r="J6572" s="23">
        <v>46182.912743055553</v>
      </c>
      <c r="K6572" s="24">
        <v>1</v>
      </c>
      <c r="L6572" s="22" t="str">
        <f>HYPERLINK("https://otsuka-europe-crm.veevavault.com/ui/#object/approved_document__v/V5O00000001A037", "LUP - VAE Póster Adelphi - Nefro")</f>
        <v>LUP - VAE Póster Adelphi - Nefro</v>
      </c>
      <c r="M6572" s="22" t="str">
        <f>HYPERLINK("mailto:pmartinez@crm.otsuka-europe.com", "pmartinez@crm.otsuka-europe.com")</f>
        <v>pmartinez@crm.otsuka-europe.com</v>
      </c>
      <c r="N6572" s="23">
        <v>46182.405428240738</v>
      </c>
      <c r="O6572" s="14" t="str">
        <f>HYPERLINK("https://otsuka-europe-crm.veevavault.com/ui/#object/email_activity__v/V8C00000003Q895", "EN-002092529")</f>
        <v>EN-002092529</v>
      </c>
    </row>
    <row r="6573" spans="1:15" ht="16" x14ac:dyDescent="0.2">
      <c r="A6573" s="18"/>
      <c r="B6573" s="18"/>
      <c r="C6573" s="18"/>
      <c r="D6573" s="18"/>
      <c r="E6573" s="18"/>
      <c r="F6573" s="18"/>
      <c r="G6573" s="18"/>
      <c r="H6573" s="18"/>
      <c r="I6573" s="18"/>
      <c r="J6573" s="18"/>
      <c r="K6573" s="18"/>
      <c r="L6573" s="18"/>
      <c r="M6573" s="18"/>
      <c r="N6573" s="18"/>
      <c r="O6573" s="14" t="str">
        <f>HYPERLINK("https://otsuka-europe-crm.veevavault.com/ui/#object/email_activity__v/V8C00000003T094", "EN-002093751")</f>
        <v>EN-002093751</v>
      </c>
    </row>
    <row r="6574" spans="1:15" ht="16" x14ac:dyDescent="0.2">
      <c r="A6574" s="18"/>
      <c r="B6574" s="18"/>
      <c r="C6574" s="18"/>
      <c r="D6574" s="18"/>
      <c r="E6574" s="18"/>
      <c r="F6574" s="18"/>
      <c r="G6574" s="18"/>
      <c r="H6574" s="18"/>
      <c r="I6574" s="18"/>
      <c r="J6574" s="18"/>
      <c r="K6574" s="18"/>
      <c r="L6574" s="18"/>
      <c r="M6574" s="18"/>
      <c r="N6574" s="18"/>
      <c r="O6574" s="14" t="str">
        <f>HYPERLINK("https://otsuka-europe-crm.veevavault.com/ui/#object/email_activity__v/V8C00000003T095", "EN-002093750")</f>
        <v>EN-002093750</v>
      </c>
    </row>
    <row r="6575" spans="1:15" ht="16" x14ac:dyDescent="0.2">
      <c r="A6575" s="18"/>
      <c r="B6575" s="18"/>
      <c r="C6575" s="18"/>
      <c r="D6575" s="18"/>
      <c r="E6575" s="18"/>
      <c r="F6575" s="18"/>
      <c r="G6575" s="18"/>
      <c r="H6575" s="18"/>
      <c r="I6575" s="18"/>
      <c r="J6575" s="18"/>
      <c r="K6575" s="18"/>
      <c r="L6575" s="18"/>
      <c r="M6575" s="18"/>
      <c r="N6575" s="18"/>
      <c r="O6575" s="14" t="str">
        <f>HYPERLINK("https://otsuka-europe-crm.veevavault.com/ui/#object/email_activity__v/V8C00000003T096", "EN-002093752")</f>
        <v>EN-002093752</v>
      </c>
    </row>
    <row r="6576" spans="1:15" ht="16" x14ac:dyDescent="0.2">
      <c r="A6576" s="18"/>
      <c r="B6576" s="18"/>
      <c r="C6576" s="18"/>
      <c r="D6576" s="18"/>
      <c r="E6576" s="18"/>
      <c r="F6576" s="18"/>
      <c r="G6576" s="18"/>
      <c r="H6576" s="18"/>
      <c r="I6576" s="18"/>
      <c r="J6576" s="18"/>
      <c r="K6576" s="18"/>
      <c r="L6576" s="18"/>
      <c r="M6576" s="18"/>
      <c r="N6576" s="18"/>
      <c r="O6576" s="14" t="str">
        <f>HYPERLINK("https://otsuka-europe-crm.veevavault.com/ui/#object/email_activity__v/V8C00000003T099", "EN-002093759")</f>
        <v>EN-002093759</v>
      </c>
    </row>
    <row r="6577" spans="1:15" ht="16" x14ac:dyDescent="0.2">
      <c r="A6577" s="18"/>
      <c r="B6577" s="18"/>
      <c r="C6577" s="18"/>
      <c r="D6577" s="18"/>
      <c r="E6577" s="18"/>
      <c r="F6577" s="18"/>
      <c r="G6577" s="18"/>
      <c r="H6577" s="18"/>
      <c r="I6577" s="18"/>
      <c r="J6577" s="18"/>
      <c r="K6577" s="18"/>
      <c r="L6577" s="18"/>
      <c r="M6577" s="18"/>
      <c r="N6577" s="18"/>
      <c r="O6577" s="14" t="str">
        <f>HYPERLINK("https://otsuka-europe-crm.veevavault.com/ui/#object/email_activity__v/V8C00000003T103", "EN-002093766")</f>
        <v>EN-002093766</v>
      </c>
    </row>
    <row r="6578" spans="1:15" ht="16" x14ac:dyDescent="0.2">
      <c r="A6578" s="18"/>
      <c r="B6578" s="18"/>
      <c r="C6578" s="18"/>
      <c r="D6578" s="18"/>
      <c r="E6578" s="18"/>
      <c r="F6578" s="18"/>
      <c r="G6578" s="18"/>
      <c r="H6578" s="18"/>
      <c r="I6578" s="18"/>
      <c r="J6578" s="18"/>
      <c r="K6578" s="18"/>
      <c r="L6578" s="18"/>
      <c r="M6578" s="18"/>
      <c r="N6578" s="18"/>
      <c r="O6578" s="14" t="str">
        <f>HYPERLINK("https://otsuka-europe-crm.veevavault.com/ui/#object/email_activity__v/V8C00000003W728", "EN-002098439")</f>
        <v>EN-002098439</v>
      </c>
    </row>
    <row r="6579" spans="1:15" ht="16" x14ac:dyDescent="0.2">
      <c r="A6579" s="18"/>
      <c r="B6579" s="18"/>
      <c r="C6579" s="18"/>
      <c r="D6579" s="18"/>
      <c r="E6579" s="18"/>
      <c r="F6579" s="18"/>
      <c r="G6579" s="18"/>
      <c r="H6579" s="18"/>
      <c r="I6579" s="18"/>
      <c r="J6579" s="18"/>
      <c r="K6579" s="18"/>
      <c r="L6579" s="18"/>
      <c r="M6579" s="18"/>
      <c r="N6579" s="18"/>
      <c r="O6579" s="14" t="str">
        <f>HYPERLINK("https://otsuka-europe-crm.veevavault.com/ui/#object/email_activity__v/V8C00000003Z019", "EN-002098682")</f>
        <v>EN-002098682</v>
      </c>
    </row>
    <row r="6580" spans="1:15" ht="16" x14ac:dyDescent="0.2">
      <c r="A6580" s="19"/>
      <c r="B6580" s="19"/>
      <c r="C6580" s="19"/>
      <c r="D6580" s="19"/>
      <c r="E6580" s="19"/>
      <c r="F6580" s="19"/>
      <c r="G6580" s="19"/>
      <c r="H6580" s="19"/>
      <c r="I6580" s="19"/>
      <c r="J6580" s="19"/>
      <c r="K6580" s="19"/>
      <c r="L6580" s="19"/>
      <c r="M6580" s="19"/>
      <c r="N6580" s="19"/>
      <c r="O6580" s="14" t="str">
        <f>HYPERLINK("https://otsuka-europe-crm.veevavault.com/ui/#object/email_activity__v/V8C000000042006", "EN-002099708")</f>
        <v>EN-002099708</v>
      </c>
    </row>
    <row r="6581" spans="1:15" ht="32" x14ac:dyDescent="0.2">
      <c r="A6581" s="7" t="str">
        <f>HYPERLINK("https://otsuka-europe-crm.veevavault.com/ui/#object/account__v/V4TZ06G6O71TAEN", "JOSE LUIS GORRIZ TERUEL")</f>
        <v>JOSE LUIS GORRIZ TERUEL</v>
      </c>
      <c r="B6581" s="7" t="str">
        <f>HYPERLINK("https://otsuka-europe-crm.veevavault.com/ui/#object/vcountry__v/VENZ000004SONF5", "ES")</f>
        <v>ES</v>
      </c>
      <c r="C6581" s="8" t="s">
        <v>41</v>
      </c>
      <c r="D6581" s="9" t="str">
        <f>HYPERLINK("https://otsuka-europe-crm.veevavault.com/ui/#object/approved_document__v/V5O00000001A037", "LUP - VAE Póster Adelphi - Nefro")</f>
        <v>LUP - VAE Póster Adelphi - Nefro</v>
      </c>
      <c r="E6581" s="10" t="str">
        <f>HYPERLINK("https://otsuka-europe-crm.veevavault.com/ui/#object/sent_email__v/VBL00000002S290", "SE-001434554")</f>
        <v>SE-001434554</v>
      </c>
      <c r="F6581" s="11"/>
      <c r="G6581" s="12">
        <v>0</v>
      </c>
      <c r="H6581" s="12">
        <v>0</v>
      </c>
      <c r="I6581" s="12">
        <v>0</v>
      </c>
      <c r="J6581" s="11"/>
      <c r="K6581" s="12">
        <v>0</v>
      </c>
      <c r="L6581" s="10" t="str">
        <f>HYPERLINK("https://otsuka-europe-crm.veevavault.com/ui/#object/approved_document__v/V5O00000001A037", "LUP - VAE Póster Adelphi - Nefro")</f>
        <v>LUP - VAE Póster Adelphi - Nefro</v>
      </c>
      <c r="M6581" s="10" t="str">
        <f>HYPERLINK("mailto:pmartinez@crm.otsuka-europe.com", "pmartinez@crm.otsuka-europe.com")</f>
        <v>pmartinez@crm.otsuka-europe.com</v>
      </c>
      <c r="N6581" s="13">
        <v>46182.405428240738</v>
      </c>
      <c r="O6581" s="14" t="str">
        <f>HYPERLINK("https://otsuka-europe-crm.veevavault.com/ui/#object/email_activity__v/V8C00000003Q836", "EN-002092451")</f>
        <v>EN-002092451</v>
      </c>
    </row>
    <row r="6582" spans="1:15" ht="16" x14ac:dyDescent="0.2">
      <c r="A6582" s="17" t="str">
        <f>HYPERLINK("https://otsuka-europe-crm.veevavault.com/ui/#object/account__v/V4TZ06G6O71TB9P", "ENRIQUE MORALES RUIZ")</f>
        <v>ENRIQUE MORALES RUIZ</v>
      </c>
      <c r="B6582" s="17" t="str">
        <f>HYPERLINK("https://otsuka-europe-crm.veevavault.com/ui/#object/vcountry__v/VENZ000004SONF5", "ES")</f>
        <v>ES</v>
      </c>
      <c r="C6582" s="20" t="s">
        <v>41</v>
      </c>
      <c r="D6582" s="21" t="str">
        <f>HYPERLINK("https://otsuka-europe-crm.veevavault.com/ui/#object/approved_document__v/V5O00000001A037", "LUP - VAE Póster Adelphi - Nefro")</f>
        <v>LUP - VAE Póster Adelphi - Nefro</v>
      </c>
      <c r="E6582" s="22" t="str">
        <f>HYPERLINK("https://otsuka-europe-crm.veevavault.com/ui/#object/sent_email__v/VBL00000002S291", "SE-001434555")</f>
        <v>SE-001434555</v>
      </c>
      <c r="F6582" s="25"/>
      <c r="G6582" s="24">
        <v>0</v>
      </c>
      <c r="H6582" s="24">
        <v>0</v>
      </c>
      <c r="I6582" s="24">
        <v>0</v>
      </c>
      <c r="J6582" s="25"/>
      <c r="K6582" s="24">
        <v>0</v>
      </c>
      <c r="L6582" s="22" t="str">
        <f>HYPERLINK("https://otsuka-europe-crm.veevavault.com/ui/#object/approved_document__v/V5O00000001A037", "LUP - VAE Póster Adelphi - Nefro")</f>
        <v>LUP - VAE Póster Adelphi - Nefro</v>
      </c>
      <c r="M6582" s="22" t="str">
        <f>HYPERLINK("mailto:pmartinez@crm.otsuka-europe.com", "pmartinez@crm.otsuka-europe.com")</f>
        <v>pmartinez@crm.otsuka-europe.com</v>
      </c>
      <c r="N6582" s="23">
        <v>46182.405428240738</v>
      </c>
      <c r="O6582" s="14" t="str">
        <f>HYPERLINK("https://otsuka-europe-crm.veevavault.com/ui/#object/email_activity__v/V8C00000003Q817", "EN-002092432")</f>
        <v>EN-002092432</v>
      </c>
    </row>
    <row r="6583" spans="1:15" ht="16" x14ac:dyDescent="0.2">
      <c r="A6583" s="19"/>
      <c r="B6583" s="19"/>
      <c r="C6583" s="19"/>
      <c r="D6583" s="19"/>
      <c r="E6583" s="19"/>
      <c r="F6583" s="19"/>
      <c r="G6583" s="19"/>
      <c r="H6583" s="19"/>
      <c r="I6583" s="19"/>
      <c r="J6583" s="19"/>
      <c r="K6583" s="19"/>
      <c r="L6583" s="19"/>
      <c r="M6583" s="19"/>
      <c r="N6583" s="19"/>
      <c r="O6583" s="14" t="str">
        <f>HYPERLINK("https://otsuka-europe-crm.veevavault.com/ui/#object/email_activity__v/V8C00000003T113", "EN-002093782")</f>
        <v>EN-002093782</v>
      </c>
    </row>
    <row r="6584" spans="1:15" ht="16" x14ac:dyDescent="0.2">
      <c r="A6584" s="17" t="str">
        <f>HYPERLINK("https://otsuka-europe-crm.veevavault.com/ui/#object/account__v/V4TZ025E86TSRZH", "LORENA GUTIERREZ LEIVA")</f>
        <v>LORENA GUTIERREZ LEIVA</v>
      </c>
      <c r="B6584" s="17" t="str">
        <f>HYPERLINK("https://otsuka-europe-crm.veevavault.com/ui/#object/vcountry__v/VENZ000004SONF5", "ES")</f>
        <v>ES</v>
      </c>
      <c r="C6584" s="20" t="s">
        <v>41</v>
      </c>
      <c r="D6584" s="21" t="str">
        <f>HYPERLINK("https://otsuka-europe-crm.veevavault.com/ui/#object/approved_document__v/V5O00000001A037", "LUP - VAE Póster Adelphi - Nefro")</f>
        <v>LUP - VAE Póster Adelphi - Nefro</v>
      </c>
      <c r="E6584" s="22" t="str">
        <f>HYPERLINK("https://otsuka-europe-crm.veevavault.com/ui/#object/sent_email__v/VBL00000002S292", "SE-001434556")</f>
        <v>SE-001434556</v>
      </c>
      <c r="F6584" s="23">
        <v>46182.84</v>
      </c>
      <c r="G6584" s="24">
        <v>1</v>
      </c>
      <c r="H6584" s="24">
        <v>3</v>
      </c>
      <c r="I6584" s="24">
        <v>1</v>
      </c>
      <c r="J6584" s="23">
        <v>46182.840081018519</v>
      </c>
      <c r="K6584" s="24">
        <v>1</v>
      </c>
      <c r="L6584" s="22" t="str">
        <f>HYPERLINK("https://otsuka-europe-crm.veevavault.com/ui/#object/approved_document__v/V5O00000001A037", "LUP - VAE Póster Adelphi - Nefro")</f>
        <v>LUP - VAE Póster Adelphi - Nefro</v>
      </c>
      <c r="M6584" s="22" t="str">
        <f>HYPERLINK("mailto:pmartinez@crm.otsuka-europe.com", "pmartinez@crm.otsuka-europe.com")</f>
        <v>pmartinez@crm.otsuka-europe.com</v>
      </c>
      <c r="N6584" s="23">
        <v>46182.405428240738</v>
      </c>
      <c r="O6584" s="14" t="str">
        <f>HYPERLINK("https://otsuka-europe-crm.veevavault.com/ui/#object/email_activity__v/V8C00000003Q913", "EN-002092591")</f>
        <v>EN-002092591</v>
      </c>
    </row>
    <row r="6585" spans="1:15" ht="16" x14ac:dyDescent="0.2">
      <c r="A6585" s="18"/>
      <c r="B6585" s="18"/>
      <c r="C6585" s="18"/>
      <c r="D6585" s="18"/>
      <c r="E6585" s="18"/>
      <c r="F6585" s="18"/>
      <c r="G6585" s="18"/>
      <c r="H6585" s="18"/>
      <c r="I6585" s="18"/>
      <c r="J6585" s="18"/>
      <c r="K6585" s="18"/>
      <c r="L6585" s="18"/>
      <c r="M6585" s="18"/>
      <c r="N6585" s="18"/>
      <c r="O6585" s="14" t="str">
        <f>HYPERLINK("https://otsuka-europe-crm.veevavault.com/ui/#object/email_activity__v/V8C00000003R407", "EN-002092554")</f>
        <v>EN-002092554</v>
      </c>
    </row>
    <row r="6586" spans="1:15" ht="16" x14ac:dyDescent="0.2">
      <c r="A6586" s="18"/>
      <c r="B6586" s="18"/>
      <c r="C6586" s="18"/>
      <c r="D6586" s="18"/>
      <c r="E6586" s="18"/>
      <c r="F6586" s="18"/>
      <c r="G6586" s="18"/>
      <c r="H6586" s="18"/>
      <c r="I6586" s="18"/>
      <c r="J6586" s="18"/>
      <c r="K6586" s="18"/>
      <c r="L6586" s="18"/>
      <c r="M6586" s="18"/>
      <c r="N6586" s="18"/>
      <c r="O6586" s="14" t="str">
        <f>HYPERLINK("https://otsuka-europe-crm.veevavault.com/ui/#object/email_activity__v/V8C00000003R435", "EN-002092585")</f>
        <v>EN-002092585</v>
      </c>
    </row>
    <row r="6587" spans="1:15" ht="16" x14ac:dyDescent="0.2">
      <c r="A6587" s="18"/>
      <c r="B6587" s="18"/>
      <c r="C6587" s="18"/>
      <c r="D6587" s="18"/>
      <c r="E6587" s="18"/>
      <c r="F6587" s="18"/>
      <c r="G6587" s="18"/>
      <c r="H6587" s="18"/>
      <c r="I6587" s="18"/>
      <c r="J6587" s="18"/>
      <c r="K6587" s="18"/>
      <c r="L6587" s="18"/>
      <c r="M6587" s="18"/>
      <c r="N6587" s="18"/>
      <c r="O6587" s="14" t="str">
        <f>HYPERLINK("https://otsuka-europe-crm.veevavault.com/ui/#object/email_activity__v/V8C00000003S385", "EN-002093667")</f>
        <v>EN-002093667</v>
      </c>
    </row>
    <row r="6588" spans="1:15" ht="16" x14ac:dyDescent="0.2">
      <c r="A6588" s="18"/>
      <c r="B6588" s="18"/>
      <c r="C6588" s="18"/>
      <c r="D6588" s="18"/>
      <c r="E6588" s="18"/>
      <c r="F6588" s="18"/>
      <c r="G6588" s="18"/>
      <c r="H6588" s="18"/>
      <c r="I6588" s="18"/>
      <c r="J6588" s="18"/>
      <c r="K6588" s="18"/>
      <c r="L6588" s="18"/>
      <c r="M6588" s="18"/>
      <c r="N6588" s="18"/>
      <c r="O6588" s="14" t="str">
        <f>HYPERLINK("https://otsuka-europe-crm.veevavault.com/ui/#object/email_activity__v/V8C00000003S386", "EN-002093668")</f>
        <v>EN-002093668</v>
      </c>
    </row>
    <row r="6589" spans="1:15" ht="16" x14ac:dyDescent="0.2">
      <c r="A6589" s="19"/>
      <c r="B6589" s="19"/>
      <c r="C6589" s="19"/>
      <c r="D6589" s="19"/>
      <c r="E6589" s="19"/>
      <c r="F6589" s="19"/>
      <c r="G6589" s="19"/>
      <c r="H6589" s="19"/>
      <c r="I6589" s="19"/>
      <c r="J6589" s="19"/>
      <c r="K6589" s="19"/>
      <c r="L6589" s="19"/>
      <c r="M6589" s="19"/>
      <c r="N6589" s="19"/>
      <c r="O6589" s="14" t="str">
        <f>HYPERLINK("https://otsuka-europe-crm.veevavault.com/ui/#object/email_activity__v/V8C00000003T055", "EN-002093676")</f>
        <v>EN-002093676</v>
      </c>
    </row>
    <row r="6590" spans="1:15" ht="32" x14ac:dyDescent="0.2">
      <c r="A6590" s="7" t="str">
        <f>HYPERLINK("https://otsuka-europe-crm.veevavault.com/ui/#object/account__v/V4TZ06G6O71TC1B", "MERCEDES SALGUEIRA LAZO")</f>
        <v>MERCEDES SALGUEIRA LAZO</v>
      </c>
      <c r="B6590" s="7" t="str">
        <f>HYPERLINK("https://otsuka-europe-crm.veevavault.com/ui/#object/vcountry__v/VENZ000004SONF5", "ES")</f>
        <v>ES</v>
      </c>
      <c r="C6590" s="8" t="s">
        <v>41</v>
      </c>
      <c r="D6590" s="9" t="str">
        <f>HYPERLINK("https://otsuka-europe-crm.veevavault.com/ui/#object/approved_document__v/V5O00000001A037", "LUP - VAE Póster Adelphi - Nefro")</f>
        <v>LUP - VAE Póster Adelphi - Nefro</v>
      </c>
      <c r="E6590" s="10" t="str">
        <f>HYPERLINK("https://otsuka-europe-crm.veevavault.com/ui/#object/sent_email__v/VBL00000002S293", "SE-001434557")</f>
        <v>SE-001434557</v>
      </c>
      <c r="F6590" s="11"/>
      <c r="G6590" s="12">
        <v>0</v>
      </c>
      <c r="H6590" s="12">
        <v>0</v>
      </c>
      <c r="I6590" s="12">
        <v>0</v>
      </c>
      <c r="J6590" s="11"/>
      <c r="K6590" s="12">
        <v>0</v>
      </c>
      <c r="L6590" s="10" t="str">
        <f>HYPERLINK("https://otsuka-europe-crm.veevavault.com/ui/#object/approved_document__v/V5O00000001A037", "LUP - VAE Póster Adelphi - Nefro")</f>
        <v>LUP - VAE Póster Adelphi - Nefro</v>
      </c>
      <c r="M6590" s="10" t="str">
        <f>HYPERLINK("mailto:pmartinez@crm.otsuka-europe.com", "pmartinez@crm.otsuka-europe.com")</f>
        <v>pmartinez@crm.otsuka-europe.com</v>
      </c>
      <c r="N6590" s="13">
        <v>46182.405428240738</v>
      </c>
      <c r="O6590" s="14" t="str">
        <f>HYPERLINK("https://otsuka-europe-crm.veevavault.com/ui/#object/email_activity__v/V8C00000003R405", "EN-002092552")</f>
        <v>EN-002092552</v>
      </c>
    </row>
    <row r="6591" spans="1:15" ht="16" x14ac:dyDescent="0.2">
      <c r="A6591" s="17" t="str">
        <f>HYPERLINK("https://otsuka-europe-crm.veevavault.com/ui/#object/account__v/V4TZ06G6O71WUWS", "LILIA MARIANA OLIVEIRA AZEVEDO")</f>
        <v>LILIA MARIANA OLIVEIRA AZEVEDO</v>
      </c>
      <c r="B6591" s="17" t="str">
        <f>HYPERLINK("https://otsuka-europe-crm.veevavault.com/ui/#object/vcountry__v/VENZ000004SONF5", "ES")</f>
        <v>ES</v>
      </c>
      <c r="C6591" s="20" t="s">
        <v>41</v>
      </c>
      <c r="D6591" s="21" t="str">
        <f>HYPERLINK("https://otsuka-europe-crm.veevavault.com/ui/#object/approved_document__v/V5O00000001A037", "LUP - VAE Póster Adelphi - Nefro")</f>
        <v>LUP - VAE Póster Adelphi - Nefro</v>
      </c>
      <c r="E6591" s="22" t="str">
        <f>HYPERLINK("https://otsuka-europe-crm.veevavault.com/ui/#object/sent_email__v/VBL00000002S294", "SE-001434558")</f>
        <v>SE-001434558</v>
      </c>
      <c r="F6591" s="23">
        <v>46182.4377662037</v>
      </c>
      <c r="G6591" s="24">
        <v>1</v>
      </c>
      <c r="H6591" s="24">
        <v>1</v>
      </c>
      <c r="I6591" s="24">
        <v>0</v>
      </c>
      <c r="J6591" s="25"/>
      <c r="K6591" s="24">
        <v>0</v>
      </c>
      <c r="L6591" s="22" t="str">
        <f>HYPERLINK("https://otsuka-europe-crm.veevavault.com/ui/#object/approved_document__v/V5O00000001A037", "LUP - VAE Póster Adelphi - Nefro")</f>
        <v>LUP - VAE Póster Adelphi - Nefro</v>
      </c>
      <c r="M6591" s="22" t="str">
        <f>HYPERLINK("mailto:pmartinez@crm.otsuka-europe.com", "pmartinez@crm.otsuka-europe.com")</f>
        <v>pmartinez@crm.otsuka-europe.com</v>
      </c>
      <c r="N6591" s="23">
        <v>46182.405428240738</v>
      </c>
      <c r="O6591" s="14" t="str">
        <f>HYPERLINK("https://otsuka-europe-crm.veevavault.com/ui/#object/email_activity__v/V8C00000003Q911", "EN-002092558")</f>
        <v>EN-002092558</v>
      </c>
    </row>
    <row r="6592" spans="1:15" ht="16" x14ac:dyDescent="0.2">
      <c r="A6592" s="19"/>
      <c r="B6592" s="19"/>
      <c r="C6592" s="19"/>
      <c r="D6592" s="19"/>
      <c r="E6592" s="19"/>
      <c r="F6592" s="19"/>
      <c r="G6592" s="19"/>
      <c r="H6592" s="19"/>
      <c r="I6592" s="19"/>
      <c r="J6592" s="19"/>
      <c r="K6592" s="19"/>
      <c r="L6592" s="19"/>
      <c r="M6592" s="19"/>
      <c r="N6592" s="19"/>
      <c r="O6592" s="14" t="str">
        <f>HYPERLINK("https://otsuka-europe-crm.veevavault.com/ui/#object/email_activity__v/V8C00000003Q992", "EN-002092806")</f>
        <v>EN-002092806</v>
      </c>
    </row>
    <row r="6593" spans="1:15" ht="32" x14ac:dyDescent="0.2">
      <c r="A6593" s="7" t="str">
        <f>HYPERLINK("https://otsuka-europe-crm.veevavault.com/ui/#object/account__v/V4TZ06G6OBU76C6", "MONTSERRAT MERCEDES DIAZ ENCARNACION")</f>
        <v>MONTSERRAT MERCEDES DIAZ ENCARNACION</v>
      </c>
      <c r="B6593" s="7" t="str">
        <f>HYPERLINK("https://otsuka-europe-crm.veevavault.com/ui/#object/vcountry__v/VENZ000004SONF5", "ES")</f>
        <v>ES</v>
      </c>
      <c r="C6593" s="8" t="s">
        <v>41</v>
      </c>
      <c r="D6593" s="9" t="str">
        <f>HYPERLINK("https://otsuka-europe-crm.veevavault.com/ui/#object/approved_document__v/V5O00000001A037", "LUP - VAE Póster Adelphi - Nefro")</f>
        <v>LUP - VAE Póster Adelphi - Nefro</v>
      </c>
      <c r="E6593" s="10" t="str">
        <f>HYPERLINK("https://otsuka-europe-crm.veevavault.com/ui/#object/sent_email__v/VBL00000002S295", "SE-001434559")</f>
        <v>SE-001434559</v>
      </c>
      <c r="F6593" s="11"/>
      <c r="G6593" s="12">
        <v>0</v>
      </c>
      <c r="H6593" s="12">
        <v>0</v>
      </c>
      <c r="I6593" s="12">
        <v>0</v>
      </c>
      <c r="J6593" s="11"/>
      <c r="K6593" s="12">
        <v>0</v>
      </c>
      <c r="L6593" s="10" t="str">
        <f>HYPERLINK("https://otsuka-europe-crm.veevavault.com/ui/#object/approved_document__v/V5O00000001A037", "LUP - VAE Póster Adelphi - Nefro")</f>
        <v>LUP - VAE Póster Adelphi - Nefro</v>
      </c>
      <c r="M6593" s="10" t="str">
        <f>HYPERLINK("mailto:pmartinez@crm.otsuka-europe.com", "pmartinez@crm.otsuka-europe.com")</f>
        <v>pmartinez@crm.otsuka-europe.com</v>
      </c>
      <c r="N6593" s="13">
        <v>46182.405428240738</v>
      </c>
      <c r="O6593" s="14" t="str">
        <f>HYPERLINK("https://otsuka-europe-crm.veevavault.com/ui/#object/email_activity__v/V8C00000003Q855", "EN-002092470")</f>
        <v>EN-002092470</v>
      </c>
    </row>
    <row r="6594" spans="1:15" ht="32" x14ac:dyDescent="0.2">
      <c r="A6594" s="7" t="str">
        <f>HYPERLINK("https://otsuka-europe-crm.veevavault.com/ui/#object/account__v/V4TZ025E85M9FAH", "PAULA JUAREZ MAYOR")</f>
        <v>PAULA JUAREZ MAYOR</v>
      </c>
      <c r="B6594" s="7" t="str">
        <f>HYPERLINK("https://otsuka-europe-crm.veevavault.com/ui/#object/vcountry__v/VENZ000004SONF5", "ES")</f>
        <v>ES</v>
      </c>
      <c r="C6594" s="8" t="s">
        <v>41</v>
      </c>
      <c r="D6594" s="9" t="str">
        <f>HYPERLINK("https://otsuka-europe-crm.veevavault.com/ui/#object/approved_document__v/V5O00000001A037", "LUP - VAE Póster Adelphi - Nefro")</f>
        <v>LUP - VAE Póster Adelphi - Nefro</v>
      </c>
      <c r="E6594" s="10" t="str">
        <f>HYPERLINK("https://otsuka-europe-crm.veevavault.com/ui/#object/sent_email__v/VBL00000002S296", "SE-001434560")</f>
        <v>SE-001434560</v>
      </c>
      <c r="F6594" s="11"/>
      <c r="G6594" s="12">
        <v>0</v>
      </c>
      <c r="H6594" s="12">
        <v>0</v>
      </c>
      <c r="I6594" s="12">
        <v>0</v>
      </c>
      <c r="J6594" s="11"/>
      <c r="K6594" s="12">
        <v>0</v>
      </c>
      <c r="L6594" s="10" t="str">
        <f>HYPERLINK("https://otsuka-europe-crm.veevavault.com/ui/#object/approved_document__v/V5O00000001A037", "LUP - VAE Póster Adelphi - Nefro")</f>
        <v>LUP - VAE Póster Adelphi - Nefro</v>
      </c>
      <c r="M6594" s="10" t="str">
        <f>HYPERLINK("mailto:pmartinez@crm.otsuka-europe.com", "pmartinez@crm.otsuka-europe.com")</f>
        <v>pmartinez@crm.otsuka-europe.com</v>
      </c>
      <c r="N6594" s="13">
        <v>46182.405428240738</v>
      </c>
      <c r="O6594" s="14" t="str">
        <f>HYPERLINK("https://otsuka-europe-crm.veevavault.com/ui/#object/email_activity__v/V8C00000003R414", "EN-002092564")</f>
        <v>EN-002092564</v>
      </c>
    </row>
    <row r="6595" spans="1:15" ht="16" x14ac:dyDescent="0.2">
      <c r="A6595" s="17" t="str">
        <f>HYPERLINK("https://otsuka-europe-crm.veevavault.com/ui/#object/account__v/V4TZ06G6O71T98Z", "GUILLERMINA BARRIL CUADRADO")</f>
        <v>GUILLERMINA BARRIL CUADRADO</v>
      </c>
      <c r="B6595" s="17" t="str">
        <f>HYPERLINK("https://otsuka-europe-crm.veevavault.com/ui/#object/vcountry__v/VENZ000004SONF5", "ES")</f>
        <v>ES</v>
      </c>
      <c r="C6595" s="20" t="s">
        <v>41</v>
      </c>
      <c r="D6595" s="21" t="str">
        <f>HYPERLINK("https://otsuka-europe-crm.veevavault.com/ui/#object/approved_document__v/V5O00000001A037", "LUP - VAE Póster Adelphi - Nefro")</f>
        <v>LUP - VAE Póster Adelphi - Nefro</v>
      </c>
      <c r="E6595" s="22" t="str">
        <f>HYPERLINK("https://otsuka-europe-crm.veevavault.com/ui/#object/sent_email__v/VBL00000002S297", "SE-001434561")</f>
        <v>SE-001434561</v>
      </c>
      <c r="F6595" s="25"/>
      <c r="G6595" s="24">
        <v>0</v>
      </c>
      <c r="H6595" s="24">
        <v>0</v>
      </c>
      <c r="I6595" s="24">
        <v>0</v>
      </c>
      <c r="J6595" s="25"/>
      <c r="K6595" s="24">
        <v>0</v>
      </c>
      <c r="L6595" s="22" t="str">
        <f>HYPERLINK("https://otsuka-europe-crm.veevavault.com/ui/#object/approved_document__v/V5O00000001A037", "LUP - VAE Póster Adelphi - Nefro")</f>
        <v>LUP - VAE Póster Adelphi - Nefro</v>
      </c>
      <c r="M6595" s="22" t="str">
        <f>HYPERLINK("mailto:pmartinez@crm.otsuka-europe.com", "pmartinez@crm.otsuka-europe.com")</f>
        <v>pmartinez@crm.otsuka-europe.com</v>
      </c>
      <c r="N6595" s="23">
        <v>46182.405428240738</v>
      </c>
      <c r="O6595" s="14" t="str">
        <f>HYPERLINK("https://otsuka-europe-crm.veevavault.com/ui/#object/email_activity__v/V8C00000003R411", "EN-002092561")</f>
        <v>EN-002092561</v>
      </c>
    </row>
    <row r="6596" spans="1:15" ht="16" x14ac:dyDescent="0.2">
      <c r="A6596" s="19"/>
      <c r="B6596" s="19"/>
      <c r="C6596" s="19"/>
      <c r="D6596" s="19"/>
      <c r="E6596" s="19"/>
      <c r="F6596" s="19"/>
      <c r="G6596" s="19"/>
      <c r="H6596" s="19"/>
      <c r="I6596" s="19"/>
      <c r="J6596" s="19"/>
      <c r="K6596" s="19"/>
      <c r="L6596" s="19"/>
      <c r="M6596" s="19"/>
      <c r="N6596" s="19"/>
      <c r="O6596" s="14" t="str">
        <f>HYPERLINK("https://otsuka-europe-crm.veevavault.com/ui/#object/email_activity__v/V8C00000003T122", "EN-002093803")</f>
        <v>EN-002093803</v>
      </c>
    </row>
    <row r="6597" spans="1:15" ht="16" x14ac:dyDescent="0.2">
      <c r="A6597" s="17" t="str">
        <f>HYPERLINK("https://otsuka-europe-crm.veevavault.com/ui/#object/account__v/V4TZ06G6O71TBY2", "EVA RODRIGUEZ GARCIA")</f>
        <v>EVA RODRIGUEZ GARCIA</v>
      </c>
      <c r="B6597" s="17" t="str">
        <f>HYPERLINK("https://otsuka-europe-crm.veevavault.com/ui/#object/vcountry__v/VENZ000004SONF5", "ES")</f>
        <v>ES</v>
      </c>
      <c r="C6597" s="20" t="s">
        <v>41</v>
      </c>
      <c r="D6597" s="21" t="str">
        <f>HYPERLINK("https://otsuka-europe-crm.veevavault.com/ui/#object/approved_document__v/V5O00000001A037", "LUP - VAE Póster Adelphi - Nefro")</f>
        <v>LUP - VAE Póster Adelphi - Nefro</v>
      </c>
      <c r="E6597" s="22" t="str">
        <f>HYPERLINK("https://otsuka-europe-crm.veevavault.com/ui/#object/sent_email__v/VBL00000002S298", "SE-001434562")</f>
        <v>SE-001434562</v>
      </c>
      <c r="F6597" s="25"/>
      <c r="G6597" s="24">
        <v>0</v>
      </c>
      <c r="H6597" s="24">
        <v>0</v>
      </c>
      <c r="I6597" s="24">
        <v>0</v>
      </c>
      <c r="J6597" s="25"/>
      <c r="K6597" s="24">
        <v>0</v>
      </c>
      <c r="L6597" s="22" t="str">
        <f>HYPERLINK("https://otsuka-europe-crm.veevavault.com/ui/#object/approved_document__v/V5O00000001A037", "LUP - VAE Póster Adelphi - Nefro")</f>
        <v>LUP - VAE Póster Adelphi - Nefro</v>
      </c>
      <c r="M6597" s="22" t="str">
        <f>HYPERLINK("mailto:pmartinez@crm.otsuka-europe.com", "pmartinez@crm.otsuka-europe.com")</f>
        <v>pmartinez@crm.otsuka-europe.com</v>
      </c>
      <c r="N6597" s="23">
        <v>46182.405428240738</v>
      </c>
      <c r="O6597" s="14" t="str">
        <f>HYPERLINK("https://otsuka-europe-crm.veevavault.com/ui/#object/email_activity__v/V8C00000003Q906", "EN-002092540")</f>
        <v>EN-002092540</v>
      </c>
    </row>
    <row r="6598" spans="1:15" ht="16" x14ac:dyDescent="0.2">
      <c r="A6598" s="18"/>
      <c r="B6598" s="18"/>
      <c r="C6598" s="18"/>
      <c r="D6598" s="18"/>
      <c r="E6598" s="18"/>
      <c r="F6598" s="18"/>
      <c r="G6598" s="18"/>
      <c r="H6598" s="18"/>
      <c r="I6598" s="18"/>
      <c r="J6598" s="18"/>
      <c r="K6598" s="18"/>
      <c r="L6598" s="18"/>
      <c r="M6598" s="18"/>
      <c r="N6598" s="18"/>
      <c r="O6598" s="14" t="str">
        <f>HYPERLINK("https://otsuka-europe-crm.veevavault.com/ui/#object/email_activity__v/V8C00000003R576", "EN-002092802")</f>
        <v>EN-002092802</v>
      </c>
    </row>
    <row r="6599" spans="1:15" ht="16" x14ac:dyDescent="0.2">
      <c r="A6599" s="19"/>
      <c r="B6599" s="19"/>
      <c r="C6599" s="19"/>
      <c r="D6599" s="19"/>
      <c r="E6599" s="19"/>
      <c r="F6599" s="19"/>
      <c r="G6599" s="19"/>
      <c r="H6599" s="19"/>
      <c r="I6599" s="19"/>
      <c r="J6599" s="19"/>
      <c r="K6599" s="19"/>
      <c r="L6599" s="19"/>
      <c r="M6599" s="19"/>
      <c r="N6599" s="19"/>
      <c r="O6599" s="14" t="str">
        <f>HYPERLINK("https://otsuka-europe-crm.veevavault.com/ui/#object/email_activity__v/V8C00000003V857", "EN-002096428")</f>
        <v>EN-002096428</v>
      </c>
    </row>
    <row r="6600" spans="1:15" ht="32" x14ac:dyDescent="0.2">
      <c r="A6600" s="7" t="str">
        <f>HYPERLINK("https://otsuka-europe-crm.veevavault.com/ui/#object/account__v/V4TZ06G6O71TBOR", "MARIO ALFREDO PRIETO VELASCO")</f>
        <v>MARIO ALFREDO PRIETO VELASCO</v>
      </c>
      <c r="B6600" s="7" t="str">
        <f>HYPERLINK("https://otsuka-europe-crm.veevavault.com/ui/#object/vcountry__v/VENZ000004SONF5", "ES")</f>
        <v>ES</v>
      </c>
      <c r="C6600" s="8" t="s">
        <v>41</v>
      </c>
      <c r="D6600" s="9" t="str">
        <f>HYPERLINK("https://otsuka-europe-crm.veevavault.com/ui/#object/approved_document__v/V5O00000001A037", "LUP - VAE Póster Adelphi - Nefro")</f>
        <v>LUP - VAE Póster Adelphi - Nefro</v>
      </c>
      <c r="E6600" s="10" t="str">
        <f>HYPERLINK("https://otsuka-europe-crm.veevavault.com/ui/#object/sent_email__v/VBL00000002S299", "SE-001434563")</f>
        <v>SE-001434563</v>
      </c>
      <c r="F6600" s="11"/>
      <c r="G6600" s="12">
        <v>0</v>
      </c>
      <c r="H6600" s="12">
        <v>0</v>
      </c>
      <c r="I6600" s="12">
        <v>0</v>
      </c>
      <c r="J6600" s="11"/>
      <c r="K6600" s="12">
        <v>0</v>
      </c>
      <c r="L6600" s="10" t="str">
        <f>HYPERLINK("https://otsuka-europe-crm.veevavault.com/ui/#object/approved_document__v/V5O00000001A037", "LUP - VAE Póster Adelphi - Nefro")</f>
        <v>LUP - VAE Póster Adelphi - Nefro</v>
      </c>
      <c r="M6600" s="10" t="str">
        <f>HYPERLINK("mailto:pmartinez@crm.otsuka-europe.com", "pmartinez@crm.otsuka-europe.com")</f>
        <v>pmartinez@crm.otsuka-europe.com</v>
      </c>
      <c r="N6600" s="13">
        <v>46182.405428240738</v>
      </c>
      <c r="O6600" s="14" t="str">
        <f>HYPERLINK("https://otsuka-europe-crm.veevavault.com/ui/#object/email_activity__v/V8C00000003Q842", "EN-002092457")</f>
        <v>EN-002092457</v>
      </c>
    </row>
    <row r="6601" spans="1:15" ht="16" x14ac:dyDescent="0.2">
      <c r="A6601" s="17" t="str">
        <f>HYPERLINK("https://otsuka-europe-crm.veevavault.com/ui/#object/account__v/V4TZ06G6O71TB2J", "JUDITH FATIMA MARTINS MUÑOZ")</f>
        <v>JUDITH FATIMA MARTINS MUÑOZ</v>
      </c>
      <c r="B6601" s="17" t="str">
        <f>HYPERLINK("https://otsuka-europe-crm.veevavault.com/ui/#object/vcountry__v/VENZ000004SONF5", "ES")</f>
        <v>ES</v>
      </c>
      <c r="C6601" s="20" t="s">
        <v>41</v>
      </c>
      <c r="D6601" s="21" t="str">
        <f>HYPERLINK("https://otsuka-europe-crm.veevavault.com/ui/#object/approved_document__v/V5O00000001A037", "LUP - VAE Póster Adelphi - Nefro")</f>
        <v>LUP - VAE Póster Adelphi - Nefro</v>
      </c>
      <c r="E6601" s="22" t="str">
        <f>HYPERLINK("https://otsuka-europe-crm.veevavault.com/ui/#object/sent_email__v/VBL00000002S300", "SE-001434564")</f>
        <v>SE-001434564</v>
      </c>
      <c r="F6601" s="23">
        <v>46182.441157407404</v>
      </c>
      <c r="G6601" s="24">
        <v>1</v>
      </c>
      <c r="H6601" s="24">
        <v>1</v>
      </c>
      <c r="I6601" s="24">
        <v>0</v>
      </c>
      <c r="J6601" s="25"/>
      <c r="K6601" s="24">
        <v>0</v>
      </c>
      <c r="L6601" s="22" t="str">
        <f>HYPERLINK("https://otsuka-europe-crm.veevavault.com/ui/#object/approved_document__v/V5O00000001A037", "LUP - VAE Póster Adelphi - Nefro")</f>
        <v>LUP - VAE Póster Adelphi - Nefro</v>
      </c>
      <c r="M6601" s="22" t="str">
        <f>HYPERLINK("mailto:pmartinez@crm.otsuka-europe.com", "pmartinez@crm.otsuka-europe.com")</f>
        <v>pmartinez@crm.otsuka-europe.com</v>
      </c>
      <c r="N6601" s="23">
        <v>46182.405428240738</v>
      </c>
      <c r="O6601" s="14" t="str">
        <f>HYPERLINK("https://otsuka-europe-crm.veevavault.com/ui/#object/email_activity__v/V8C00000003Q996", "EN-002092811")</f>
        <v>EN-002092811</v>
      </c>
    </row>
    <row r="6602" spans="1:15" ht="16" x14ac:dyDescent="0.2">
      <c r="A6602" s="18"/>
      <c r="B6602" s="18"/>
      <c r="C6602" s="18"/>
      <c r="D6602" s="18"/>
      <c r="E6602" s="18"/>
      <c r="F6602" s="18"/>
      <c r="G6602" s="18"/>
      <c r="H6602" s="18"/>
      <c r="I6602" s="18"/>
      <c r="J6602" s="18"/>
      <c r="K6602" s="18"/>
      <c r="L6602" s="18"/>
      <c r="M6602" s="18"/>
      <c r="N6602" s="18"/>
      <c r="O6602" s="14" t="str">
        <f>HYPERLINK("https://otsuka-europe-crm.veevavault.com/ui/#object/email_activity__v/V8C00000003R426", "EN-002092576")</f>
        <v>EN-002092576</v>
      </c>
    </row>
    <row r="6603" spans="1:15" ht="16" x14ac:dyDescent="0.2">
      <c r="A6603" s="19"/>
      <c r="B6603" s="19"/>
      <c r="C6603" s="19"/>
      <c r="D6603" s="19"/>
      <c r="E6603" s="19"/>
      <c r="F6603" s="19"/>
      <c r="G6603" s="19"/>
      <c r="H6603" s="19"/>
      <c r="I6603" s="19"/>
      <c r="J6603" s="19"/>
      <c r="K6603" s="19"/>
      <c r="L6603" s="19"/>
      <c r="M6603" s="19"/>
      <c r="N6603" s="19"/>
      <c r="O6603" s="14" t="str">
        <f>HYPERLINK("https://otsuka-europe-crm.veevavault.com/ui/#object/email_activity__v/V8C00000003S437", "EN-002093785")</f>
        <v>EN-002093785</v>
      </c>
    </row>
    <row r="6604" spans="1:15" ht="32" x14ac:dyDescent="0.2">
      <c r="A6604" s="7" t="str">
        <f>HYPERLINK("https://otsuka-europe-crm.veevavault.com/ui/#object/account__v/V4TZ06G6O71TB1M", "PATRICIA MARTINEZ MIGUEL")</f>
        <v>PATRICIA MARTINEZ MIGUEL</v>
      </c>
      <c r="B6604" s="7" t="str">
        <f>HYPERLINK("https://otsuka-europe-crm.veevavault.com/ui/#object/vcountry__v/VENZ000004SONF5", "ES")</f>
        <v>ES</v>
      </c>
      <c r="C6604" s="8" t="s">
        <v>41</v>
      </c>
      <c r="D6604" s="9" t="str">
        <f>HYPERLINK("https://otsuka-europe-crm.veevavault.com/ui/#object/approved_document__v/V5O00000001A037", "LUP - VAE Póster Adelphi - Nefro")</f>
        <v>LUP - VAE Póster Adelphi - Nefro</v>
      </c>
      <c r="E6604" s="10" t="str">
        <f>HYPERLINK("https://otsuka-europe-crm.veevavault.com/ui/#object/sent_email__v/VBL00000002S301", "SE-001434565")</f>
        <v>SE-001434565</v>
      </c>
      <c r="F6604" s="11"/>
      <c r="G6604" s="12">
        <v>0</v>
      </c>
      <c r="H6604" s="12">
        <v>0</v>
      </c>
      <c r="I6604" s="12">
        <v>0</v>
      </c>
      <c r="J6604" s="11"/>
      <c r="K6604" s="12">
        <v>0</v>
      </c>
      <c r="L6604" s="10" t="str">
        <f>HYPERLINK("https://otsuka-europe-crm.veevavault.com/ui/#object/approved_document__v/V5O00000001A037", "LUP - VAE Póster Adelphi - Nefro")</f>
        <v>LUP - VAE Póster Adelphi - Nefro</v>
      </c>
      <c r="M6604" s="10" t="str">
        <f>HYPERLINK("mailto:pmartinez@crm.otsuka-europe.com", "pmartinez@crm.otsuka-europe.com")</f>
        <v>pmartinez@crm.otsuka-europe.com</v>
      </c>
      <c r="N6604" s="13">
        <v>46182.405428240738</v>
      </c>
      <c r="O6604" s="14" t="str">
        <f>HYPERLINK("https://otsuka-europe-crm.veevavault.com/ui/#object/email_activity__v/V8C00000003Q838", "EN-002092453")</f>
        <v>EN-002092453</v>
      </c>
    </row>
    <row r="6605" spans="1:15" ht="16" x14ac:dyDescent="0.2">
      <c r="A6605" s="17" t="str">
        <f>HYPERLINK("https://otsuka-europe-crm.veevavault.com/ui/#object/account__v/V4TZ06G6O71TAX1", "JUAN ANTONIO MARTIN NAVARRO")</f>
        <v>JUAN ANTONIO MARTIN NAVARRO</v>
      </c>
      <c r="B6605" s="17" t="str">
        <f>HYPERLINK("https://otsuka-europe-crm.veevavault.com/ui/#object/vcountry__v/VENZ000004SONF5", "ES")</f>
        <v>ES</v>
      </c>
      <c r="C6605" s="20" t="s">
        <v>41</v>
      </c>
      <c r="D6605" s="21" t="str">
        <f>HYPERLINK("https://otsuka-europe-crm.veevavault.com/ui/#object/approved_document__v/V5O00000001A037", "LUP - VAE Póster Adelphi - Nefro")</f>
        <v>LUP - VAE Póster Adelphi - Nefro</v>
      </c>
      <c r="E6605" s="22" t="str">
        <f>HYPERLINK("https://otsuka-europe-crm.veevavault.com/ui/#object/sent_email__v/VBL00000002S302", "SE-001434566")</f>
        <v>SE-001434566</v>
      </c>
      <c r="F6605" s="23">
        <v>46197.951099537036</v>
      </c>
      <c r="G6605" s="24">
        <v>1</v>
      </c>
      <c r="H6605" s="24">
        <v>3</v>
      </c>
      <c r="I6605" s="24">
        <v>0</v>
      </c>
      <c r="J6605" s="25"/>
      <c r="K6605" s="24">
        <v>0</v>
      </c>
      <c r="L6605" s="22" t="str">
        <f>HYPERLINK("https://otsuka-europe-crm.veevavault.com/ui/#object/approved_document__v/V5O00000001A037", "LUP - VAE Póster Adelphi - Nefro")</f>
        <v>LUP - VAE Póster Adelphi - Nefro</v>
      </c>
      <c r="M6605" s="22" t="str">
        <f>HYPERLINK("mailto:pmartinez@crm.otsuka-europe.com", "pmartinez@crm.otsuka-europe.com")</f>
        <v>pmartinez@crm.otsuka-europe.com</v>
      </c>
      <c r="N6605" s="23">
        <v>46182.405428240738</v>
      </c>
      <c r="O6605" s="14" t="str">
        <f>HYPERLINK("https://otsuka-europe-crm.veevavault.com/ui/#object/email_activity__v/V8C00000003Q832", "EN-002092447")</f>
        <v>EN-002092447</v>
      </c>
    </row>
    <row r="6606" spans="1:15" ht="16" x14ac:dyDescent="0.2">
      <c r="A6606" s="18"/>
      <c r="B6606" s="18"/>
      <c r="C6606" s="18"/>
      <c r="D6606" s="18"/>
      <c r="E6606" s="18"/>
      <c r="F6606" s="18"/>
      <c r="G6606" s="18"/>
      <c r="H6606" s="18"/>
      <c r="I6606" s="18"/>
      <c r="J6606" s="18"/>
      <c r="K6606" s="18"/>
      <c r="L6606" s="18"/>
      <c r="M6606" s="18"/>
      <c r="N6606" s="18"/>
      <c r="O6606" s="14" t="str">
        <f>HYPERLINK("https://otsuka-europe-crm.veevavault.com/ui/#object/email_activity__v/V8C00000003W826", "EN-002098660")</f>
        <v>EN-002098660</v>
      </c>
    </row>
    <row r="6607" spans="1:15" ht="16" x14ac:dyDescent="0.2">
      <c r="A6607" s="18"/>
      <c r="B6607" s="18"/>
      <c r="C6607" s="18"/>
      <c r="D6607" s="18"/>
      <c r="E6607" s="18"/>
      <c r="F6607" s="18"/>
      <c r="G6607" s="18"/>
      <c r="H6607" s="18"/>
      <c r="I6607" s="18"/>
      <c r="J6607" s="18"/>
      <c r="K6607" s="18"/>
      <c r="L6607" s="18"/>
      <c r="M6607" s="18"/>
      <c r="N6607" s="18"/>
      <c r="O6607" s="14" t="str">
        <f>HYPERLINK("https://otsuka-europe-crm.veevavault.com/ui/#object/email_activity__v/V8C000000040535", "EN-002099633")</f>
        <v>EN-002099633</v>
      </c>
    </row>
    <row r="6608" spans="1:15" ht="16" x14ac:dyDescent="0.2">
      <c r="A6608" s="19"/>
      <c r="B6608" s="19"/>
      <c r="C6608" s="19"/>
      <c r="D6608" s="19"/>
      <c r="E6608" s="19"/>
      <c r="F6608" s="19"/>
      <c r="G6608" s="19"/>
      <c r="H6608" s="19"/>
      <c r="I6608" s="19"/>
      <c r="J6608" s="19"/>
      <c r="K6608" s="19"/>
      <c r="L6608" s="19"/>
      <c r="M6608" s="19"/>
      <c r="N6608" s="19"/>
      <c r="O6608" s="14" t="str">
        <f>HYPERLINK("https://otsuka-europe-crm.veevavault.com/ui/#object/email_activity__v/V8C000000040536", "EN-002099634")</f>
        <v>EN-002099634</v>
      </c>
    </row>
    <row r="6609" spans="1:15" ht="32" x14ac:dyDescent="0.2">
      <c r="A6609" s="7" t="str">
        <f>HYPERLINK("https://otsuka-europe-crm.veevavault.com/ui/#object/account__v/V4TZ06G6O71TA00", "REBECA GARCIA AGUDO")</f>
        <v>REBECA GARCIA AGUDO</v>
      </c>
      <c r="B6609" s="7" t="str">
        <f>HYPERLINK("https://otsuka-europe-crm.veevavault.com/ui/#object/vcountry__v/VENZ000004SONF5", "ES")</f>
        <v>ES</v>
      </c>
      <c r="C6609" s="8" t="s">
        <v>41</v>
      </c>
      <c r="D6609" s="9" t="str">
        <f>HYPERLINK("https://otsuka-europe-crm.veevavault.com/ui/#object/approved_document__v/V5O00000001A037", "LUP - VAE Póster Adelphi - Nefro")</f>
        <v>LUP - VAE Póster Adelphi - Nefro</v>
      </c>
      <c r="E6609" s="10" t="str">
        <f>HYPERLINK("https://otsuka-europe-crm.veevavault.com/ui/#object/sent_email__v/VBL00000002S303", "SE-001434567")</f>
        <v>SE-001434567</v>
      </c>
      <c r="F6609" s="11"/>
      <c r="G6609" s="12">
        <v>0</v>
      </c>
      <c r="H6609" s="12">
        <v>0</v>
      </c>
      <c r="I6609" s="12">
        <v>0</v>
      </c>
      <c r="J6609" s="11"/>
      <c r="K6609" s="12">
        <v>0</v>
      </c>
      <c r="L6609" s="10" t="str">
        <f>HYPERLINK("https://otsuka-europe-crm.veevavault.com/ui/#object/approved_document__v/V5O00000001A037", "LUP - VAE Póster Adelphi - Nefro")</f>
        <v>LUP - VAE Póster Adelphi - Nefro</v>
      </c>
      <c r="M6609" s="10" t="str">
        <f>HYPERLINK("mailto:pmartinez@crm.otsuka-europe.com", "pmartinez@crm.otsuka-europe.com")</f>
        <v>pmartinez@crm.otsuka-europe.com</v>
      </c>
      <c r="N6609" s="13">
        <v>46182.405428240738</v>
      </c>
      <c r="O6609" s="14" t="str">
        <f>HYPERLINK("https://otsuka-europe-crm.veevavault.com/ui/#object/email_activity__v/V8C00000003Q908", "EN-002092542")</f>
        <v>EN-002092542</v>
      </c>
    </row>
    <row r="6610" spans="1:15" ht="16" x14ac:dyDescent="0.2">
      <c r="A6610" s="17" t="str">
        <f>HYPERLINK("https://otsuka-europe-crm.veevavault.com/ui/#object/account__v/V4TZ06G6O71T7QG", "MARIA VANESSA PEREZ GOMEZ")</f>
        <v>MARIA VANESSA PEREZ GOMEZ</v>
      </c>
      <c r="B6610" s="17" t="str">
        <f>HYPERLINK("https://otsuka-europe-crm.veevavault.com/ui/#object/vcountry__v/VENZ000004SONF5", "ES")</f>
        <v>ES</v>
      </c>
      <c r="C6610" s="20" t="s">
        <v>41</v>
      </c>
      <c r="D6610" s="21" t="str">
        <f>HYPERLINK("https://otsuka-europe-crm.veevavault.com/ui/#object/approved_document__v/V5O00000001A037", "LUP - VAE Póster Adelphi - Nefro")</f>
        <v>LUP - VAE Póster Adelphi - Nefro</v>
      </c>
      <c r="E6610" s="22" t="str">
        <f>HYPERLINK("https://otsuka-europe-crm.veevavault.com/ui/#object/sent_email__v/VBL00000002S304", "SE-001434568")</f>
        <v>SE-001434568</v>
      </c>
      <c r="F6610" s="25"/>
      <c r="G6610" s="24">
        <v>0</v>
      </c>
      <c r="H6610" s="24">
        <v>0</v>
      </c>
      <c r="I6610" s="24">
        <v>0</v>
      </c>
      <c r="J6610" s="25"/>
      <c r="K6610" s="24">
        <v>0</v>
      </c>
      <c r="L6610" s="22" t="str">
        <f>HYPERLINK("https://otsuka-europe-crm.veevavault.com/ui/#object/approved_document__v/V5O00000001A037", "LUP - VAE Póster Adelphi - Nefro")</f>
        <v>LUP - VAE Póster Adelphi - Nefro</v>
      </c>
      <c r="M6610" s="22" t="str">
        <f>HYPERLINK("mailto:pmartinez@crm.otsuka-europe.com", "pmartinez@crm.otsuka-europe.com")</f>
        <v>pmartinez@crm.otsuka-europe.com</v>
      </c>
      <c r="N6610" s="23">
        <v>46182.405428240738</v>
      </c>
      <c r="O6610" s="14" t="str">
        <f>HYPERLINK("https://otsuka-europe-crm.veevavault.com/ui/#object/email_activity__v/V8C00000003R397", "EN-002092544")</f>
        <v>EN-002092544</v>
      </c>
    </row>
    <row r="6611" spans="1:15" ht="16" x14ac:dyDescent="0.2">
      <c r="A6611" s="18"/>
      <c r="B6611" s="18"/>
      <c r="C6611" s="18"/>
      <c r="D6611" s="18"/>
      <c r="E6611" s="18"/>
      <c r="F6611" s="18"/>
      <c r="G6611" s="18"/>
      <c r="H6611" s="18"/>
      <c r="I6611" s="18"/>
      <c r="J6611" s="18"/>
      <c r="K6611" s="18"/>
      <c r="L6611" s="18"/>
      <c r="M6611" s="18"/>
      <c r="N6611" s="18"/>
      <c r="O6611" s="14" t="str">
        <f>HYPERLINK("https://otsuka-europe-crm.veevavault.com/ui/#object/email_activity__v/V8C00000003T111", "EN-002093779")</f>
        <v>EN-002093779</v>
      </c>
    </row>
    <row r="6612" spans="1:15" ht="16" x14ac:dyDescent="0.2">
      <c r="A6612" s="19"/>
      <c r="B6612" s="19"/>
      <c r="C6612" s="19"/>
      <c r="D6612" s="19"/>
      <c r="E6612" s="19"/>
      <c r="F6612" s="19"/>
      <c r="G6612" s="19"/>
      <c r="H6612" s="19"/>
      <c r="I6612" s="19"/>
      <c r="J6612" s="19"/>
      <c r="K6612" s="19"/>
      <c r="L6612" s="19"/>
      <c r="M6612" s="19"/>
      <c r="N6612" s="19"/>
      <c r="O6612" s="14" t="str">
        <f>HYPERLINK("https://otsuka-europe-crm.veevavault.com/ui/#object/email_activity__v/V8C00000003Z412", "EN-002099495")</f>
        <v>EN-002099495</v>
      </c>
    </row>
    <row r="6613" spans="1:15" ht="32" x14ac:dyDescent="0.2">
      <c r="A6613" s="7" t="str">
        <f>HYPERLINK("https://otsuka-europe-crm.veevavault.com/ui/#object/account__v/V4TZ06G6O71TCJ3", "DAVID TURA ROSALES")</f>
        <v>DAVID TURA ROSALES</v>
      </c>
      <c r="B6613" s="7" t="str">
        <f>HYPERLINK("https://otsuka-europe-crm.veevavault.com/ui/#object/vcountry__v/VENZ000004SONF5", "ES")</f>
        <v>ES</v>
      </c>
      <c r="C6613" s="8" t="s">
        <v>41</v>
      </c>
      <c r="D6613" s="9" t="str">
        <f>HYPERLINK("https://otsuka-europe-crm.veevavault.com/ui/#object/approved_document__v/V5O00000001A037", "LUP - VAE Póster Adelphi - Nefro")</f>
        <v>LUP - VAE Póster Adelphi - Nefro</v>
      </c>
      <c r="E6613" s="10" t="str">
        <f>HYPERLINK("https://otsuka-europe-crm.veevavault.com/ui/#object/sent_email__v/VBL00000002S305", "SE-001434569")</f>
        <v>SE-001434569</v>
      </c>
      <c r="F6613" s="11"/>
      <c r="G6613" s="12">
        <v>0</v>
      </c>
      <c r="H6613" s="12">
        <v>0</v>
      </c>
      <c r="I6613" s="12">
        <v>0</v>
      </c>
      <c r="J6613" s="11"/>
      <c r="K6613" s="12">
        <v>0</v>
      </c>
      <c r="L6613" s="10" t="str">
        <f>HYPERLINK("https://otsuka-europe-crm.veevavault.com/ui/#object/approved_document__v/V5O00000001A037", "LUP - VAE Póster Adelphi - Nefro")</f>
        <v>LUP - VAE Póster Adelphi - Nefro</v>
      </c>
      <c r="M6613" s="10" t="str">
        <f>HYPERLINK("mailto:pmartinez@crm.otsuka-europe.com", "pmartinez@crm.otsuka-europe.com")</f>
        <v>pmartinez@crm.otsuka-europe.com</v>
      </c>
      <c r="N6613" s="13">
        <v>46182.405428240738</v>
      </c>
      <c r="O6613" s="14" t="str">
        <f>HYPERLINK("https://otsuka-europe-crm.veevavault.com/ui/#object/email_activity__v/V8C00000003Q907", "EN-002092541")</f>
        <v>EN-002092541</v>
      </c>
    </row>
    <row r="6614" spans="1:15" ht="32" x14ac:dyDescent="0.2">
      <c r="A6614" s="7" t="str">
        <f>HYPERLINK("https://otsuka-europe-crm.veevavault.com/ui/#object/account__v/V4TZ06G6O71T8V0", "LUIS MARTIN PENAGOS")</f>
        <v>LUIS MARTIN PENAGOS</v>
      </c>
      <c r="B6614" s="7" t="str">
        <f>HYPERLINK("https://otsuka-europe-crm.veevavault.com/ui/#object/vcountry__v/VENZ000004SONF5", "ES")</f>
        <v>ES</v>
      </c>
      <c r="C6614" s="8" t="s">
        <v>41</v>
      </c>
      <c r="D6614" s="9" t="str">
        <f>HYPERLINK("https://otsuka-europe-crm.veevavault.com/ui/#object/approved_document__v/V5O00000001A037", "LUP - VAE Póster Adelphi - Nefro")</f>
        <v>LUP - VAE Póster Adelphi - Nefro</v>
      </c>
      <c r="E6614" s="10" t="str">
        <f>HYPERLINK("https://otsuka-europe-crm.veevavault.com/ui/#object/sent_email__v/VBL00000002S306", "SE-001434570")</f>
        <v>SE-001434570</v>
      </c>
      <c r="F6614" s="11"/>
      <c r="G6614" s="12">
        <v>0</v>
      </c>
      <c r="H6614" s="12">
        <v>0</v>
      </c>
      <c r="I6614" s="12">
        <v>0</v>
      </c>
      <c r="J6614" s="11"/>
      <c r="K6614" s="12">
        <v>0</v>
      </c>
      <c r="L6614" s="10" t="str">
        <f>HYPERLINK("https://otsuka-europe-crm.veevavault.com/ui/#object/approved_document__v/V5O00000001A037", "LUP - VAE Póster Adelphi - Nefro")</f>
        <v>LUP - VAE Póster Adelphi - Nefro</v>
      </c>
      <c r="M6614" s="10" t="str">
        <f>HYPERLINK("mailto:pmartinez@crm.otsuka-europe.com", "pmartinez@crm.otsuka-europe.com")</f>
        <v>pmartinez@crm.otsuka-europe.com</v>
      </c>
      <c r="N6614" s="13">
        <v>46182.405428240738</v>
      </c>
      <c r="O6614" s="14" t="str">
        <f>HYPERLINK("https://otsuka-europe-crm.veevavault.com/ui/#object/email_activity__v/V8C00000003Q866", "EN-002092486")</f>
        <v>EN-002092486</v>
      </c>
    </row>
    <row r="6615" spans="1:15" ht="16" x14ac:dyDescent="0.2">
      <c r="A6615" s="17" t="str">
        <f>HYPERLINK("https://otsuka-europe-crm.veevavault.com/ui/#object/account__v/V4TZ06G6O71TCHN", "FERNANDO TORNERO MOLINA")</f>
        <v>FERNANDO TORNERO MOLINA</v>
      </c>
      <c r="B6615" s="17" t="str">
        <f>HYPERLINK("https://otsuka-europe-crm.veevavault.com/ui/#object/vcountry__v/VENZ000004SONF5", "ES")</f>
        <v>ES</v>
      </c>
      <c r="C6615" s="20" t="s">
        <v>41</v>
      </c>
      <c r="D6615" s="21" t="str">
        <f>HYPERLINK("https://otsuka-europe-crm.veevavault.com/ui/#object/approved_document__v/V5O00000001A037", "LUP - VAE Póster Adelphi - Nefro")</f>
        <v>LUP - VAE Póster Adelphi - Nefro</v>
      </c>
      <c r="E6615" s="22" t="str">
        <f>HYPERLINK("https://otsuka-europe-crm.veevavault.com/ui/#object/sent_email__v/VBL00000002S307", "SE-001434571")</f>
        <v>SE-001434571</v>
      </c>
      <c r="F6615" s="23">
        <v>46183.346631944441</v>
      </c>
      <c r="G6615" s="24">
        <v>1</v>
      </c>
      <c r="H6615" s="24">
        <v>2</v>
      </c>
      <c r="I6615" s="24">
        <v>0</v>
      </c>
      <c r="J6615" s="25"/>
      <c r="K6615" s="24">
        <v>0</v>
      </c>
      <c r="L6615" s="22" t="str">
        <f>HYPERLINK("https://otsuka-europe-crm.veevavault.com/ui/#object/approved_document__v/V5O00000001A037", "LUP - VAE Póster Adelphi - Nefro")</f>
        <v>LUP - VAE Póster Adelphi - Nefro</v>
      </c>
      <c r="M6615" s="22" t="str">
        <f>HYPERLINK("mailto:pmartinez@crm.otsuka-europe.com", "pmartinez@crm.otsuka-europe.com")</f>
        <v>pmartinez@crm.otsuka-europe.com</v>
      </c>
      <c r="N6615" s="23">
        <v>46182.405428240738</v>
      </c>
      <c r="O6615" s="14" t="str">
        <f>HYPERLINK("https://otsuka-europe-crm.veevavault.com/ui/#object/email_activity__v/V8C00000003Q822", "EN-002092437")</f>
        <v>EN-002092437</v>
      </c>
    </row>
    <row r="6616" spans="1:15" ht="16" x14ac:dyDescent="0.2">
      <c r="A6616" s="18"/>
      <c r="B6616" s="18"/>
      <c r="C6616" s="18"/>
      <c r="D6616" s="18"/>
      <c r="E6616" s="18"/>
      <c r="F6616" s="18"/>
      <c r="G6616" s="18"/>
      <c r="H6616" s="18"/>
      <c r="I6616" s="18"/>
      <c r="J6616" s="18"/>
      <c r="K6616" s="18"/>
      <c r="L6616" s="18"/>
      <c r="M6616" s="18"/>
      <c r="N6616" s="18"/>
      <c r="O6616" s="14" t="str">
        <f>HYPERLINK("https://otsuka-europe-crm.veevavault.com/ui/#object/email_activity__v/V8C00000003S225", "EN-002093332")</f>
        <v>EN-002093332</v>
      </c>
    </row>
    <row r="6617" spans="1:15" ht="16" x14ac:dyDescent="0.2">
      <c r="A6617" s="19"/>
      <c r="B6617" s="19"/>
      <c r="C6617" s="19"/>
      <c r="D6617" s="19"/>
      <c r="E6617" s="19"/>
      <c r="F6617" s="19"/>
      <c r="G6617" s="19"/>
      <c r="H6617" s="19"/>
      <c r="I6617" s="19"/>
      <c r="J6617" s="19"/>
      <c r="K6617" s="19"/>
      <c r="L6617" s="19"/>
      <c r="M6617" s="19"/>
      <c r="N6617" s="19"/>
      <c r="O6617" s="14" t="str">
        <f>HYPERLINK("https://otsuka-europe-crm.veevavault.com/ui/#object/email_activity__v/V8C00000003T155", "EN-002093877")</f>
        <v>EN-002093877</v>
      </c>
    </row>
    <row r="6618" spans="1:15" ht="32" x14ac:dyDescent="0.2">
      <c r="A6618" s="7" t="str">
        <f>HYPERLINK("https://otsuka-europe-crm.veevavault.com/ui/#object/account__v/V4TZ06G6O71T9QT", "GEMA FERNANDEZ FRESNEDO")</f>
        <v>GEMA FERNANDEZ FRESNEDO</v>
      </c>
      <c r="B6618" s="7" t="str">
        <f>HYPERLINK("https://otsuka-europe-crm.veevavault.com/ui/#object/vcountry__v/VENZ000004SONF5", "ES")</f>
        <v>ES</v>
      </c>
      <c r="C6618" s="8" t="s">
        <v>41</v>
      </c>
      <c r="D6618" s="9" t="str">
        <f>HYPERLINK("https://otsuka-europe-crm.veevavault.com/ui/#object/approved_document__v/V5O00000001A037", "LUP - VAE Póster Adelphi - Nefro")</f>
        <v>LUP - VAE Póster Adelphi - Nefro</v>
      </c>
      <c r="E6618" s="10" t="str">
        <f>HYPERLINK("https://otsuka-europe-crm.veevavault.com/ui/#object/sent_email__v/VBL00000002S308", "SE-001434572")</f>
        <v>SE-001434572</v>
      </c>
      <c r="F6618" s="11"/>
      <c r="G6618" s="12">
        <v>0</v>
      </c>
      <c r="H6618" s="12">
        <v>0</v>
      </c>
      <c r="I6618" s="12">
        <v>0</v>
      </c>
      <c r="J6618" s="11"/>
      <c r="K6618" s="12">
        <v>0</v>
      </c>
      <c r="L6618" s="10" t="str">
        <f>HYPERLINK("https://otsuka-europe-crm.veevavault.com/ui/#object/approved_document__v/V5O00000001A037", "LUP - VAE Póster Adelphi - Nefro")</f>
        <v>LUP - VAE Póster Adelphi - Nefro</v>
      </c>
      <c r="M6618" s="10" t="str">
        <f>HYPERLINK("mailto:pmartinez@crm.otsuka-europe.com", "pmartinez@crm.otsuka-europe.com")</f>
        <v>pmartinez@crm.otsuka-europe.com</v>
      </c>
      <c r="N6618" s="13">
        <v>46182.405428240738</v>
      </c>
      <c r="O6618" s="14" t="str">
        <f>HYPERLINK("https://otsuka-europe-crm.veevavault.com/ui/#object/email_activity__v/V8C00000003R434", "EN-002092584")</f>
        <v>EN-002092584</v>
      </c>
    </row>
    <row r="6619" spans="1:15" ht="16" x14ac:dyDescent="0.2">
      <c r="A6619" s="17" t="str">
        <f>HYPERLINK("https://otsuka-europe-crm.veevavault.com/ui/#object/account__v/V4TZ06G6O71TADO", "CRISTINA CABRERA LOPEZ")</f>
        <v>CRISTINA CABRERA LOPEZ</v>
      </c>
      <c r="B6619" s="17" t="str">
        <f>HYPERLINK("https://otsuka-europe-crm.veevavault.com/ui/#object/vcountry__v/VENZ000004SONF5", "ES")</f>
        <v>ES</v>
      </c>
      <c r="C6619" s="20" t="s">
        <v>41</v>
      </c>
      <c r="D6619" s="21" t="str">
        <f>HYPERLINK("https://otsuka-europe-crm.veevavault.com/ui/#object/approved_document__v/V5O00000001A037", "LUP - VAE Póster Adelphi - Nefro")</f>
        <v>LUP - VAE Póster Adelphi - Nefro</v>
      </c>
      <c r="E6619" s="22" t="str">
        <f>HYPERLINK("https://otsuka-europe-crm.veevavault.com/ui/#object/sent_email__v/VBL00000002S309", "SE-001434573")</f>
        <v>SE-001434573</v>
      </c>
      <c r="F6619" s="25"/>
      <c r="G6619" s="24">
        <v>0</v>
      </c>
      <c r="H6619" s="24">
        <v>0</v>
      </c>
      <c r="I6619" s="24">
        <v>0</v>
      </c>
      <c r="J6619" s="25"/>
      <c r="K6619" s="24">
        <v>0</v>
      </c>
      <c r="L6619" s="22" t="str">
        <f>HYPERLINK("https://otsuka-europe-crm.veevavault.com/ui/#object/approved_document__v/V5O00000001A037", "LUP - VAE Póster Adelphi - Nefro")</f>
        <v>LUP - VAE Póster Adelphi - Nefro</v>
      </c>
      <c r="M6619" s="22" t="str">
        <f>HYPERLINK("mailto:pmartinez@crm.otsuka-europe.com", "pmartinez@crm.otsuka-europe.com")</f>
        <v>pmartinez@crm.otsuka-europe.com</v>
      </c>
      <c r="N6619" s="23">
        <v>46182.405428240738</v>
      </c>
      <c r="O6619" s="14" t="str">
        <f>HYPERLINK("https://otsuka-europe-crm.veevavault.com/ui/#object/email_activity__v/V8C00000003R432", "EN-002092582")</f>
        <v>EN-002092582</v>
      </c>
    </row>
    <row r="6620" spans="1:15" ht="16" x14ac:dyDescent="0.2">
      <c r="A6620" s="19"/>
      <c r="B6620" s="19"/>
      <c r="C6620" s="19"/>
      <c r="D6620" s="19"/>
      <c r="E6620" s="19"/>
      <c r="F6620" s="19"/>
      <c r="G6620" s="19"/>
      <c r="H6620" s="19"/>
      <c r="I6620" s="19"/>
      <c r="J6620" s="19"/>
      <c r="K6620" s="19"/>
      <c r="L6620" s="19"/>
      <c r="M6620" s="19"/>
      <c r="N6620" s="19"/>
      <c r="O6620" s="14" t="str">
        <f>HYPERLINK("https://otsuka-europe-crm.veevavault.com/ui/#object/email_activity__v/V8C00000003T428", "EN-002094470")</f>
        <v>EN-002094470</v>
      </c>
    </row>
    <row r="6621" spans="1:15" ht="32" x14ac:dyDescent="0.2">
      <c r="A6621" s="7" t="str">
        <f>HYPERLINK("https://otsuka-europe-crm.veevavault.com/ui/#object/account__v/V4TZ06G6O71TBXC", "MARIA CARMEN ROBLEDO ZULET")</f>
        <v>MARIA CARMEN ROBLEDO ZULET</v>
      </c>
      <c r="B6621" s="7" t="str">
        <f>HYPERLINK("https://otsuka-europe-crm.veevavault.com/ui/#object/vcountry__v/VENZ000004SONF5", "ES")</f>
        <v>ES</v>
      </c>
      <c r="C6621" s="8" t="s">
        <v>41</v>
      </c>
      <c r="D6621" s="9" t="str">
        <f>HYPERLINK("https://otsuka-europe-crm.veevavault.com/ui/#object/approved_document__v/V5O00000001A037", "LUP - VAE Póster Adelphi - Nefro")</f>
        <v>LUP - VAE Póster Adelphi - Nefro</v>
      </c>
      <c r="E6621" s="10" t="str">
        <f>HYPERLINK("https://otsuka-europe-crm.veevavault.com/ui/#object/sent_email__v/VBL00000002S310", "SE-001434574")</f>
        <v>SE-001434574</v>
      </c>
      <c r="F6621" s="11"/>
      <c r="G6621" s="12">
        <v>0</v>
      </c>
      <c r="H6621" s="12">
        <v>0</v>
      </c>
      <c r="I6621" s="12">
        <v>0</v>
      </c>
      <c r="J6621" s="11"/>
      <c r="K6621" s="12">
        <v>0</v>
      </c>
      <c r="L6621" s="10" t="str">
        <f>HYPERLINK("https://otsuka-europe-crm.veevavault.com/ui/#object/approved_document__v/V5O00000001A037", "LUP - VAE Póster Adelphi - Nefro")</f>
        <v>LUP - VAE Póster Adelphi - Nefro</v>
      </c>
      <c r="M6621" s="10" t="str">
        <f>HYPERLINK("mailto:pmartinez@crm.otsuka-europe.com", "pmartinez@crm.otsuka-europe.com")</f>
        <v>pmartinez@crm.otsuka-europe.com</v>
      </c>
      <c r="N6621" s="13">
        <v>46182.405428240738</v>
      </c>
      <c r="O6621" s="14" t="str">
        <f>HYPERLINK("https://otsuka-europe-crm.veevavault.com/ui/#object/email_activity__v/V8C00000003Q920", "EN-002092598")</f>
        <v>EN-002092598</v>
      </c>
    </row>
    <row r="6622" spans="1:15" ht="16" x14ac:dyDescent="0.2">
      <c r="A6622" s="17" t="str">
        <f>HYPERLINK("https://otsuka-europe-crm.veevavault.com/ui/#object/account__v/V4TZ06G6O71TBT8", "CARMEN RAMOS TOMAS")</f>
        <v>CARMEN RAMOS TOMAS</v>
      </c>
      <c r="B6622" s="17" t="str">
        <f>HYPERLINK("https://otsuka-europe-crm.veevavault.com/ui/#object/vcountry__v/VENZ000004SONF5", "ES")</f>
        <v>ES</v>
      </c>
      <c r="C6622" s="20" t="s">
        <v>41</v>
      </c>
      <c r="D6622" s="21" t="str">
        <f>HYPERLINK("https://otsuka-europe-crm.veevavault.com/ui/#object/approved_document__v/V5O00000001A037", "LUP - VAE Póster Adelphi - Nefro")</f>
        <v>LUP - VAE Póster Adelphi - Nefro</v>
      </c>
      <c r="E6622" s="22" t="str">
        <f>HYPERLINK("https://otsuka-europe-crm.veevavault.com/ui/#object/sent_email__v/VBL00000002S311", "SE-001434575")</f>
        <v>SE-001434575</v>
      </c>
      <c r="F6622" s="23">
        <v>46183.647534722222</v>
      </c>
      <c r="G6622" s="24">
        <v>1</v>
      </c>
      <c r="H6622" s="24">
        <v>1</v>
      </c>
      <c r="I6622" s="24">
        <v>1</v>
      </c>
      <c r="J6622" s="23">
        <v>46183.647662037038</v>
      </c>
      <c r="K6622" s="24">
        <v>1</v>
      </c>
      <c r="L6622" s="22" t="str">
        <f>HYPERLINK("https://otsuka-europe-crm.veevavault.com/ui/#object/approved_document__v/V5O00000001A037", "LUP - VAE Póster Adelphi - Nefro")</f>
        <v>LUP - VAE Póster Adelphi - Nefro</v>
      </c>
      <c r="M6622" s="22" t="str">
        <f>HYPERLINK("mailto:pmartinez@crm.otsuka-europe.com", "pmartinez@crm.otsuka-europe.com")</f>
        <v>pmartinez@crm.otsuka-europe.com</v>
      </c>
      <c r="N6622" s="23">
        <v>46182.405428240738</v>
      </c>
      <c r="O6622" s="14" t="str">
        <f>HYPERLINK("https://otsuka-europe-crm.veevavault.com/ui/#object/email_activity__v/V8C00000003R382", "EN-002092484")</f>
        <v>EN-002092484</v>
      </c>
    </row>
    <row r="6623" spans="1:15" ht="16" x14ac:dyDescent="0.2">
      <c r="A6623" s="18"/>
      <c r="B6623" s="18"/>
      <c r="C6623" s="18"/>
      <c r="D6623" s="18"/>
      <c r="E6623" s="18"/>
      <c r="F6623" s="18"/>
      <c r="G6623" s="18"/>
      <c r="H6623" s="18"/>
      <c r="I6623" s="18"/>
      <c r="J6623" s="18"/>
      <c r="K6623" s="18"/>
      <c r="L6623" s="18"/>
      <c r="M6623" s="18"/>
      <c r="N6623" s="18"/>
      <c r="O6623" s="14" t="str">
        <f>HYPERLINK("https://otsuka-europe-crm.veevavault.com/ui/#object/email_activity__v/V8C00000003S709", "EN-002094298")</f>
        <v>EN-002094298</v>
      </c>
    </row>
    <row r="6624" spans="1:15" ht="16" x14ac:dyDescent="0.2">
      <c r="A6624" s="18"/>
      <c r="B6624" s="18"/>
      <c r="C6624" s="18"/>
      <c r="D6624" s="18"/>
      <c r="E6624" s="18"/>
      <c r="F6624" s="18"/>
      <c r="G6624" s="18"/>
      <c r="H6624" s="18"/>
      <c r="I6624" s="18"/>
      <c r="J6624" s="18"/>
      <c r="K6624" s="18"/>
      <c r="L6624" s="18"/>
      <c r="M6624" s="18"/>
      <c r="N6624" s="18"/>
      <c r="O6624" s="14" t="str">
        <f>HYPERLINK("https://otsuka-europe-crm.veevavault.com/ui/#object/email_activity__v/V8C00000003S710", "EN-002094299")</f>
        <v>EN-002094299</v>
      </c>
    </row>
    <row r="6625" spans="1:15" ht="16" x14ac:dyDescent="0.2">
      <c r="A6625" s="19"/>
      <c r="B6625" s="19"/>
      <c r="C6625" s="19"/>
      <c r="D6625" s="19"/>
      <c r="E6625" s="19"/>
      <c r="F6625" s="19"/>
      <c r="G6625" s="19"/>
      <c r="H6625" s="19"/>
      <c r="I6625" s="19"/>
      <c r="J6625" s="19"/>
      <c r="K6625" s="19"/>
      <c r="L6625" s="19"/>
      <c r="M6625" s="19"/>
      <c r="N6625" s="19"/>
      <c r="O6625" s="14" t="str">
        <f>HYPERLINK("https://otsuka-europe-crm.veevavault.com/ui/#object/email_activity__v/V8C00000003T364", "EN-002094314")</f>
        <v>EN-002094314</v>
      </c>
    </row>
    <row r="6626" spans="1:15" ht="32" x14ac:dyDescent="0.2">
      <c r="A6626" s="7" t="str">
        <f>HYPERLINK("https://otsuka-europe-crm.veevavault.com/ui/#object/account__v/V4TZ06G6O71TANI", "ALFONSO LARA RUIZ")</f>
        <v>ALFONSO LARA RUIZ</v>
      </c>
      <c r="B6626" s="7" t="str">
        <f>HYPERLINK("https://otsuka-europe-crm.veevavault.com/ui/#object/vcountry__v/VENZ000004SONF5", "ES")</f>
        <v>ES</v>
      </c>
      <c r="C6626" s="8" t="s">
        <v>41</v>
      </c>
      <c r="D6626" s="9" t="str">
        <f>HYPERLINK("https://otsuka-europe-crm.veevavault.com/ui/#object/approved_document__v/V5O00000001A037", "LUP - VAE Póster Adelphi - Nefro")</f>
        <v>LUP - VAE Póster Adelphi - Nefro</v>
      </c>
      <c r="E6626" s="10" t="str">
        <f>HYPERLINK("https://otsuka-europe-crm.veevavault.com/ui/#object/sent_email__v/VBL00000002S312", "SE-001434576")</f>
        <v>SE-001434576</v>
      </c>
      <c r="F6626" s="11"/>
      <c r="G6626" s="12">
        <v>0</v>
      </c>
      <c r="H6626" s="12">
        <v>0</v>
      </c>
      <c r="I6626" s="12">
        <v>0</v>
      </c>
      <c r="J6626" s="11"/>
      <c r="K6626" s="12">
        <v>0</v>
      </c>
      <c r="L6626" s="10" t="str">
        <f>HYPERLINK("https://otsuka-europe-crm.veevavault.com/ui/#object/approved_document__v/V5O00000001A037", "LUP - VAE Póster Adelphi - Nefro")</f>
        <v>LUP - VAE Póster Adelphi - Nefro</v>
      </c>
      <c r="M6626" s="10" t="str">
        <f>HYPERLINK("mailto:pmartinez@crm.otsuka-europe.com", "pmartinez@crm.otsuka-europe.com")</f>
        <v>pmartinez@crm.otsuka-europe.com</v>
      </c>
      <c r="N6626" s="13">
        <v>46182.405428240738</v>
      </c>
      <c r="O6626" s="14" t="str">
        <f>HYPERLINK("https://otsuka-europe-crm.veevavault.com/ui/#object/email_activity__v/V8C00000003Q887", "EN-002092518")</f>
        <v>EN-002092518</v>
      </c>
    </row>
    <row r="6627" spans="1:15" ht="32" x14ac:dyDescent="0.2">
      <c r="A6627" s="7" t="str">
        <f>HYPERLINK("https://otsuka-europe-crm.veevavault.com/ui/#object/account__v/V4TZ06G6O71UQSA", "PATRICIA JIMENEZ ANTUÑANO")</f>
        <v>PATRICIA JIMENEZ ANTUÑANO</v>
      </c>
      <c r="B6627" s="7" t="str">
        <f>HYPERLINK("https://otsuka-europe-crm.veevavault.com/ui/#object/vcountry__v/VENZ000004SONF5", "ES")</f>
        <v>ES</v>
      </c>
      <c r="C6627" s="8" t="s">
        <v>41</v>
      </c>
      <c r="D6627" s="9" t="str">
        <f>HYPERLINK("https://otsuka-europe-crm.veevavault.com/ui/#object/approved_document__v/V5O00000001A037", "LUP - VAE Póster Adelphi - Nefro")</f>
        <v>LUP - VAE Póster Adelphi - Nefro</v>
      </c>
      <c r="E6627" s="10" t="str">
        <f>HYPERLINK("https://otsuka-europe-crm.veevavault.com/ui/#object/sent_email__v/VBL00000002S313", "SE-001434577")</f>
        <v>SE-001434577</v>
      </c>
      <c r="F6627" s="11"/>
      <c r="G6627" s="12">
        <v>0</v>
      </c>
      <c r="H6627" s="12">
        <v>0</v>
      </c>
      <c r="I6627" s="12">
        <v>0</v>
      </c>
      <c r="J6627" s="11"/>
      <c r="K6627" s="12">
        <v>0</v>
      </c>
      <c r="L6627" s="10" t="str">
        <f>HYPERLINK("https://otsuka-europe-crm.veevavault.com/ui/#object/approved_document__v/V5O00000001A037", "LUP - VAE Póster Adelphi - Nefro")</f>
        <v>LUP - VAE Póster Adelphi - Nefro</v>
      </c>
      <c r="M6627" s="10" t="str">
        <f>HYPERLINK("mailto:pmartinez@crm.otsuka-europe.com", "pmartinez@crm.otsuka-europe.com")</f>
        <v>pmartinez@crm.otsuka-europe.com</v>
      </c>
      <c r="N6627" s="13">
        <v>46182.405428240738</v>
      </c>
      <c r="O6627" s="14" t="str">
        <f>HYPERLINK("https://otsuka-europe-crm.veevavault.com/ui/#object/email_activity__v/V8C00000003Q820", "EN-002092435")</f>
        <v>EN-002092435</v>
      </c>
    </row>
    <row r="6628" spans="1:15" ht="32" x14ac:dyDescent="0.2">
      <c r="A6628" s="7" t="str">
        <f>HYPERLINK("https://otsuka-europe-crm.veevavault.com/ui/#object/account__v/V4TZ06G6O71TJZA", "ANA GARCIA SANTIAGO")</f>
        <v>ANA GARCIA SANTIAGO</v>
      </c>
      <c r="B6628" s="7" t="str">
        <f>HYPERLINK("https://otsuka-europe-crm.veevavault.com/ui/#object/vcountry__v/VENZ000004SONF5", "ES")</f>
        <v>ES</v>
      </c>
      <c r="C6628" s="8" t="s">
        <v>41</v>
      </c>
      <c r="D6628" s="9" t="str">
        <f>HYPERLINK("https://otsuka-europe-crm.veevavault.com/ui/#object/approved_document__v/V5O00000001A037", "LUP - VAE Póster Adelphi - Nefro")</f>
        <v>LUP - VAE Póster Adelphi - Nefro</v>
      </c>
      <c r="E6628" s="10" t="str">
        <f>HYPERLINK("https://otsuka-europe-crm.veevavault.com/ui/#object/sent_email__v/VBL00000002S314", "SE-001434578")</f>
        <v>SE-001434578</v>
      </c>
      <c r="F6628" s="11"/>
      <c r="G6628" s="12">
        <v>0</v>
      </c>
      <c r="H6628" s="12">
        <v>0</v>
      </c>
      <c r="I6628" s="12">
        <v>0</v>
      </c>
      <c r="J6628" s="11"/>
      <c r="K6628" s="12">
        <v>0</v>
      </c>
      <c r="L6628" s="10" t="str">
        <f>HYPERLINK("https://otsuka-europe-crm.veevavault.com/ui/#object/approved_document__v/V5O00000001A037", "LUP - VAE Póster Adelphi - Nefro")</f>
        <v>LUP - VAE Póster Adelphi - Nefro</v>
      </c>
      <c r="M6628" s="10" t="str">
        <f>HYPERLINK("mailto:pmartinez@crm.otsuka-europe.com", "pmartinez@crm.otsuka-europe.com")</f>
        <v>pmartinez@crm.otsuka-europe.com</v>
      </c>
      <c r="N6628" s="13">
        <v>46182.405428240738</v>
      </c>
      <c r="O6628" s="14" t="str">
        <f>HYPERLINK("https://otsuka-europe-crm.veevavault.com/ui/#object/email_activity__v/V8C00000003Q825", "EN-002092440")</f>
        <v>EN-002092440</v>
      </c>
    </row>
    <row r="6629" spans="1:15" ht="32" x14ac:dyDescent="0.2">
      <c r="A6629" s="7" t="str">
        <f>HYPERLINK("https://otsuka-europe-crm.veevavault.com/ui/#object/account__v/V4TZ06G6O71TAOH", "MARTA CUBERES IZQUIERDO")</f>
        <v>MARTA CUBERES IZQUIERDO</v>
      </c>
      <c r="B6629" s="7" t="str">
        <f>HYPERLINK("https://otsuka-europe-crm.veevavault.com/ui/#object/vcountry__v/VENZ000004SONF5", "ES")</f>
        <v>ES</v>
      </c>
      <c r="C6629" s="8" t="s">
        <v>41</v>
      </c>
      <c r="D6629" s="9" t="str">
        <f>HYPERLINK("https://otsuka-europe-crm.veevavault.com/ui/#object/approved_document__v/V5O00000001A037", "LUP - VAE Póster Adelphi - Nefro")</f>
        <v>LUP - VAE Póster Adelphi - Nefro</v>
      </c>
      <c r="E6629" s="10" t="str">
        <f>HYPERLINK("https://otsuka-europe-crm.veevavault.com/ui/#object/sent_email__v/VBL00000002S315", "SE-001434579")</f>
        <v>SE-001434579</v>
      </c>
      <c r="F6629" s="11"/>
      <c r="G6629" s="12">
        <v>0</v>
      </c>
      <c r="H6629" s="12">
        <v>0</v>
      </c>
      <c r="I6629" s="12">
        <v>0</v>
      </c>
      <c r="J6629" s="11"/>
      <c r="K6629" s="12">
        <v>0</v>
      </c>
      <c r="L6629" s="10" t="str">
        <f>HYPERLINK("https://otsuka-europe-crm.veevavault.com/ui/#object/approved_document__v/V5O00000001A037", "LUP - VAE Póster Adelphi - Nefro")</f>
        <v>LUP - VAE Póster Adelphi - Nefro</v>
      </c>
      <c r="M6629" s="10" t="str">
        <f>HYPERLINK("mailto:pmartinez@crm.otsuka-europe.com", "pmartinez@crm.otsuka-europe.com")</f>
        <v>pmartinez@crm.otsuka-europe.com</v>
      </c>
      <c r="N6629" s="13">
        <v>46182.405428240738</v>
      </c>
      <c r="O6629" s="14" t="str">
        <f>HYPERLINK("https://otsuka-europe-crm.veevavault.com/ui/#object/email_activity__v/V8C00000003Q854", "EN-002092469")</f>
        <v>EN-002092469</v>
      </c>
    </row>
    <row r="6630" spans="1:15" ht="16" x14ac:dyDescent="0.2">
      <c r="A6630" s="17" t="str">
        <f>HYPERLINK("https://otsuka-europe-crm.veevavault.com/ui/#object/account__v/V4TZ06G6O71T7C8", "CRISTHIAN DAVID ORELLANA CHAVEZ")</f>
        <v>CRISTHIAN DAVID ORELLANA CHAVEZ</v>
      </c>
      <c r="B6630" s="17" t="str">
        <f>HYPERLINK("https://otsuka-europe-crm.veevavault.com/ui/#object/vcountry__v/VENZ000004SONF5", "ES")</f>
        <v>ES</v>
      </c>
      <c r="C6630" s="20" t="s">
        <v>41</v>
      </c>
      <c r="D6630" s="21" t="str">
        <f>HYPERLINK("https://otsuka-europe-crm.veevavault.com/ui/#object/approved_document__v/V5O00000001A037", "LUP - VAE Póster Adelphi - Nefro")</f>
        <v>LUP - VAE Póster Adelphi - Nefro</v>
      </c>
      <c r="E6630" s="22" t="str">
        <f>HYPERLINK("https://otsuka-europe-crm.veevavault.com/ui/#object/sent_email__v/VBL00000002S316", "SE-001434580")</f>
        <v>SE-001434580</v>
      </c>
      <c r="F6630" s="23">
        <v>46195.6796412037</v>
      </c>
      <c r="G6630" s="24">
        <v>1</v>
      </c>
      <c r="H6630" s="24">
        <v>9</v>
      </c>
      <c r="I6630" s="24">
        <v>1</v>
      </c>
      <c r="J6630" s="23">
        <v>46182.802106481482</v>
      </c>
      <c r="K6630" s="24">
        <v>1</v>
      </c>
      <c r="L6630" s="22" t="str">
        <f>HYPERLINK("https://otsuka-europe-crm.veevavault.com/ui/#object/approved_document__v/V5O00000001A037", "LUP - VAE Póster Adelphi - Nefro")</f>
        <v>LUP - VAE Póster Adelphi - Nefro</v>
      </c>
      <c r="M6630" s="22" t="str">
        <f>HYPERLINK("mailto:pmartinez@crm.otsuka-europe.com", "pmartinez@crm.otsuka-europe.com")</f>
        <v>pmartinez@crm.otsuka-europe.com</v>
      </c>
      <c r="N6630" s="23">
        <v>46182.405428240738</v>
      </c>
      <c r="O6630" s="14" t="str">
        <f>HYPERLINK("https://otsuka-europe-crm.veevavault.com/ui/#object/email_activity__v/V8C00000003R387", "EN-002092499")</f>
        <v>EN-002092499</v>
      </c>
    </row>
    <row r="6631" spans="1:15" ht="16" x14ac:dyDescent="0.2">
      <c r="A6631" s="18"/>
      <c r="B6631" s="18"/>
      <c r="C6631" s="18"/>
      <c r="D6631" s="18"/>
      <c r="E6631" s="18"/>
      <c r="F6631" s="18"/>
      <c r="G6631" s="18"/>
      <c r="H6631" s="18"/>
      <c r="I6631" s="18"/>
      <c r="J6631" s="18"/>
      <c r="K6631" s="18"/>
      <c r="L6631" s="18"/>
      <c r="M6631" s="18"/>
      <c r="N6631" s="18"/>
      <c r="O6631" s="14" t="str">
        <f>HYPERLINK("https://otsuka-europe-crm.veevavault.com/ui/#object/email_activity__v/V8C00000003R664", "EN-002092963")</f>
        <v>EN-002092963</v>
      </c>
    </row>
    <row r="6632" spans="1:15" ht="16" x14ac:dyDescent="0.2">
      <c r="A6632" s="18"/>
      <c r="B6632" s="18"/>
      <c r="C6632" s="18"/>
      <c r="D6632" s="18"/>
      <c r="E6632" s="18"/>
      <c r="F6632" s="18"/>
      <c r="G6632" s="18"/>
      <c r="H6632" s="18"/>
      <c r="I6632" s="18"/>
      <c r="J6632" s="18"/>
      <c r="K6632" s="18"/>
      <c r="L6632" s="18"/>
      <c r="M6632" s="18"/>
      <c r="N6632" s="18"/>
      <c r="O6632" s="14" t="str">
        <f>HYPERLINK("https://otsuka-europe-crm.veevavault.com/ui/#object/email_activity__v/V8C00000003S342", "EN-002093585")</f>
        <v>EN-002093585</v>
      </c>
    </row>
    <row r="6633" spans="1:15" ht="16" x14ac:dyDescent="0.2">
      <c r="A6633" s="18"/>
      <c r="B6633" s="18"/>
      <c r="C6633" s="18"/>
      <c r="D6633" s="18"/>
      <c r="E6633" s="18"/>
      <c r="F6633" s="18"/>
      <c r="G6633" s="18"/>
      <c r="H6633" s="18"/>
      <c r="I6633" s="18"/>
      <c r="J6633" s="18"/>
      <c r="K6633" s="18"/>
      <c r="L6633" s="18"/>
      <c r="M6633" s="18"/>
      <c r="N6633" s="18"/>
      <c r="O6633" s="14" t="str">
        <f>HYPERLINK("https://otsuka-europe-crm.veevavault.com/ui/#object/email_activity__v/V8C00000003T008", "EN-002093584")</f>
        <v>EN-002093584</v>
      </c>
    </row>
    <row r="6634" spans="1:15" ht="16" x14ac:dyDescent="0.2">
      <c r="A6634" s="18"/>
      <c r="B6634" s="18"/>
      <c r="C6634" s="18"/>
      <c r="D6634" s="18"/>
      <c r="E6634" s="18"/>
      <c r="F6634" s="18"/>
      <c r="G6634" s="18"/>
      <c r="H6634" s="18"/>
      <c r="I6634" s="18"/>
      <c r="J6634" s="18"/>
      <c r="K6634" s="18"/>
      <c r="L6634" s="18"/>
      <c r="M6634" s="18"/>
      <c r="N6634" s="18"/>
      <c r="O6634" s="14" t="str">
        <f>HYPERLINK("https://otsuka-europe-crm.veevavault.com/ui/#object/email_activity__v/V8C00000003T012", "EN-002093589")</f>
        <v>EN-002093589</v>
      </c>
    </row>
    <row r="6635" spans="1:15" ht="16" x14ac:dyDescent="0.2">
      <c r="A6635" s="18"/>
      <c r="B6635" s="18"/>
      <c r="C6635" s="18"/>
      <c r="D6635" s="18"/>
      <c r="E6635" s="18"/>
      <c r="F6635" s="18"/>
      <c r="G6635" s="18"/>
      <c r="H6635" s="18"/>
      <c r="I6635" s="18"/>
      <c r="J6635" s="18"/>
      <c r="K6635" s="18"/>
      <c r="L6635" s="18"/>
      <c r="M6635" s="18"/>
      <c r="N6635" s="18"/>
      <c r="O6635" s="14" t="str">
        <f>HYPERLINK("https://otsuka-europe-crm.veevavault.com/ui/#object/email_activity__v/V8C00000003T050", "EN-002093671")</f>
        <v>EN-002093671</v>
      </c>
    </row>
    <row r="6636" spans="1:15" ht="16" x14ac:dyDescent="0.2">
      <c r="A6636" s="18"/>
      <c r="B6636" s="18"/>
      <c r="C6636" s="18"/>
      <c r="D6636" s="18"/>
      <c r="E6636" s="18"/>
      <c r="F6636" s="18"/>
      <c r="G6636" s="18"/>
      <c r="H6636" s="18"/>
      <c r="I6636" s="18"/>
      <c r="J6636" s="18"/>
      <c r="K6636" s="18"/>
      <c r="L6636" s="18"/>
      <c r="M6636" s="18"/>
      <c r="N6636" s="18"/>
      <c r="O6636" s="14" t="str">
        <f>HYPERLINK("https://otsuka-europe-crm.veevavault.com/ui/#object/email_activity__v/V8C00000003W308", "EN-002097337")</f>
        <v>EN-002097337</v>
      </c>
    </row>
    <row r="6637" spans="1:15" ht="16" x14ac:dyDescent="0.2">
      <c r="A6637" s="18"/>
      <c r="B6637" s="18"/>
      <c r="C6637" s="18"/>
      <c r="D6637" s="18"/>
      <c r="E6637" s="18"/>
      <c r="F6637" s="18"/>
      <c r="G6637" s="18"/>
      <c r="H6637" s="18"/>
      <c r="I6637" s="18"/>
      <c r="J6637" s="18"/>
      <c r="K6637" s="18"/>
      <c r="L6637" s="18"/>
      <c r="M6637" s="18"/>
      <c r="N6637" s="18"/>
      <c r="O6637" s="14" t="str">
        <f>HYPERLINK("https://otsuka-europe-crm.veevavault.com/ui/#object/email_activity__v/V8C00000003W309", "EN-002097338")</f>
        <v>EN-002097338</v>
      </c>
    </row>
    <row r="6638" spans="1:15" ht="16" x14ac:dyDescent="0.2">
      <c r="A6638" s="18"/>
      <c r="B6638" s="18"/>
      <c r="C6638" s="18"/>
      <c r="D6638" s="18"/>
      <c r="E6638" s="18"/>
      <c r="F6638" s="18"/>
      <c r="G6638" s="18"/>
      <c r="H6638" s="18"/>
      <c r="I6638" s="18"/>
      <c r="J6638" s="18"/>
      <c r="K6638" s="18"/>
      <c r="L6638" s="18"/>
      <c r="M6638" s="18"/>
      <c r="N6638" s="18"/>
      <c r="O6638" s="14" t="str">
        <f>HYPERLINK("https://otsuka-europe-crm.veevavault.com/ui/#object/email_activity__v/V8C00000003X221", "EN-002097342")</f>
        <v>EN-002097342</v>
      </c>
    </row>
    <row r="6639" spans="1:15" ht="16" x14ac:dyDescent="0.2">
      <c r="A6639" s="18"/>
      <c r="B6639" s="18"/>
      <c r="C6639" s="18"/>
      <c r="D6639" s="18"/>
      <c r="E6639" s="18"/>
      <c r="F6639" s="18"/>
      <c r="G6639" s="18"/>
      <c r="H6639" s="18"/>
      <c r="I6639" s="18"/>
      <c r="J6639" s="18"/>
      <c r="K6639" s="18"/>
      <c r="L6639" s="18"/>
      <c r="M6639" s="18"/>
      <c r="N6639" s="18"/>
      <c r="O6639" s="14" t="str">
        <f>HYPERLINK("https://otsuka-europe-crm.veevavault.com/ui/#object/email_activity__v/V8C00000003X222", "EN-002097343")</f>
        <v>EN-002097343</v>
      </c>
    </row>
    <row r="6640" spans="1:15" ht="16" x14ac:dyDescent="0.2">
      <c r="A6640" s="18"/>
      <c r="B6640" s="18"/>
      <c r="C6640" s="18"/>
      <c r="D6640" s="18"/>
      <c r="E6640" s="18"/>
      <c r="F6640" s="18"/>
      <c r="G6640" s="18"/>
      <c r="H6640" s="18"/>
      <c r="I6640" s="18"/>
      <c r="J6640" s="18"/>
      <c r="K6640" s="18"/>
      <c r="L6640" s="18"/>
      <c r="M6640" s="18"/>
      <c r="N6640" s="18"/>
      <c r="O6640" s="14" t="str">
        <f>HYPERLINK("https://otsuka-europe-crm.veevavault.com/ui/#object/email_activity__v/V8C00000003X904", "EN-002098434")</f>
        <v>EN-002098434</v>
      </c>
    </row>
    <row r="6641" spans="1:15" ht="16" x14ac:dyDescent="0.2">
      <c r="A6641" s="18"/>
      <c r="B6641" s="18"/>
      <c r="C6641" s="18"/>
      <c r="D6641" s="18"/>
      <c r="E6641" s="18"/>
      <c r="F6641" s="18"/>
      <c r="G6641" s="18"/>
      <c r="H6641" s="18"/>
      <c r="I6641" s="18"/>
      <c r="J6641" s="18"/>
      <c r="K6641" s="18"/>
      <c r="L6641" s="18"/>
      <c r="M6641" s="18"/>
      <c r="N6641" s="18"/>
      <c r="O6641" s="14" t="str">
        <f>HYPERLINK("https://otsuka-europe-crm.veevavault.com/ui/#object/email_activity__v/V8C00000003X941", "EN-002098499")</f>
        <v>EN-002098499</v>
      </c>
    </row>
    <row r="6642" spans="1:15" ht="16" x14ac:dyDescent="0.2">
      <c r="A6642" s="19"/>
      <c r="B6642" s="19"/>
      <c r="C6642" s="19"/>
      <c r="D6642" s="19"/>
      <c r="E6642" s="19"/>
      <c r="F6642" s="19"/>
      <c r="G6642" s="19"/>
      <c r="H6642" s="19"/>
      <c r="I6642" s="19"/>
      <c r="J6642" s="19"/>
      <c r="K6642" s="19"/>
      <c r="L6642" s="19"/>
      <c r="M6642" s="19"/>
      <c r="N6642" s="19"/>
      <c r="O6642" s="14" t="str">
        <f>HYPERLINK("https://otsuka-europe-crm.veevavault.com/ui/#object/email_activity__v/V8C000000040215", "EN-002099090")</f>
        <v>EN-002099090</v>
      </c>
    </row>
    <row r="6643" spans="1:15" ht="16" x14ac:dyDescent="0.2">
      <c r="A6643" s="17" t="str">
        <f>HYPERLINK("https://otsuka-europe-crm.veevavault.com/ui/#object/account__v/V4TZ06G6O71TB7T", "ROSA MARIA MIQUEL RODRIGUEZ")</f>
        <v>ROSA MARIA MIQUEL RODRIGUEZ</v>
      </c>
      <c r="B6643" s="17" t="str">
        <f>HYPERLINK("https://otsuka-europe-crm.veevavault.com/ui/#object/vcountry__v/VENZ000004SONF5", "ES")</f>
        <v>ES</v>
      </c>
      <c r="C6643" s="20" t="s">
        <v>41</v>
      </c>
      <c r="D6643" s="21" t="str">
        <f>HYPERLINK("https://otsuka-europe-crm.veevavault.com/ui/#object/approved_document__v/V5O00000001A037", "LUP - VAE Póster Adelphi - Nefro")</f>
        <v>LUP - VAE Póster Adelphi - Nefro</v>
      </c>
      <c r="E6643" s="22" t="str">
        <f>HYPERLINK("https://otsuka-europe-crm.veevavault.com/ui/#object/sent_email__v/VBL00000002S317", "SE-001434581")</f>
        <v>SE-001434581</v>
      </c>
      <c r="F6643" s="23">
        <v>46182.40552083333</v>
      </c>
      <c r="G6643" s="24">
        <v>1</v>
      </c>
      <c r="H6643" s="24">
        <v>1</v>
      </c>
      <c r="I6643" s="24">
        <v>0</v>
      </c>
      <c r="J6643" s="25"/>
      <c r="K6643" s="24">
        <v>0</v>
      </c>
      <c r="L6643" s="22" t="str">
        <f>HYPERLINK("https://otsuka-europe-crm.veevavault.com/ui/#object/approved_document__v/V5O00000001A037", "LUP - VAE Póster Adelphi - Nefro")</f>
        <v>LUP - VAE Póster Adelphi - Nefro</v>
      </c>
      <c r="M6643" s="22" t="str">
        <f>HYPERLINK("mailto:pmartinez@crm.otsuka-europe.com", "pmartinez@crm.otsuka-europe.com")</f>
        <v>pmartinez@crm.otsuka-europe.com</v>
      </c>
      <c r="N6643" s="23">
        <v>46182.405428240738</v>
      </c>
      <c r="O6643" s="14" t="str">
        <f>HYPERLINK("https://otsuka-europe-crm.veevavault.com/ui/#object/email_activity__v/V8C00000003Q896", "EN-002092530")</f>
        <v>EN-002092530</v>
      </c>
    </row>
    <row r="6644" spans="1:15" ht="16" x14ac:dyDescent="0.2">
      <c r="A6644" s="18"/>
      <c r="B6644" s="18"/>
      <c r="C6644" s="18"/>
      <c r="D6644" s="18"/>
      <c r="E6644" s="18"/>
      <c r="F6644" s="18"/>
      <c r="G6644" s="18"/>
      <c r="H6644" s="18"/>
      <c r="I6644" s="18"/>
      <c r="J6644" s="18"/>
      <c r="K6644" s="18"/>
      <c r="L6644" s="18"/>
      <c r="M6644" s="18"/>
      <c r="N6644" s="18"/>
      <c r="O6644" s="14" t="str">
        <f>HYPERLINK("https://otsuka-europe-crm.veevavault.com/ui/#object/email_activity__v/V8C00000003R416", "EN-002092566")</f>
        <v>EN-002092566</v>
      </c>
    </row>
    <row r="6645" spans="1:15" ht="16" x14ac:dyDescent="0.2">
      <c r="A6645" s="18"/>
      <c r="B6645" s="18"/>
      <c r="C6645" s="18"/>
      <c r="D6645" s="18"/>
      <c r="E6645" s="18"/>
      <c r="F6645" s="18"/>
      <c r="G6645" s="18"/>
      <c r="H6645" s="18"/>
      <c r="I6645" s="18"/>
      <c r="J6645" s="18"/>
      <c r="K6645" s="18"/>
      <c r="L6645" s="18"/>
      <c r="M6645" s="18"/>
      <c r="N6645" s="18"/>
      <c r="O6645" s="14" t="str">
        <f>HYPERLINK("https://otsuka-europe-crm.veevavault.com/ui/#object/email_activity__v/V8C00000003T598", "EN-002094812")</f>
        <v>EN-002094812</v>
      </c>
    </row>
    <row r="6646" spans="1:15" ht="16" x14ac:dyDescent="0.2">
      <c r="A6646" s="18"/>
      <c r="B6646" s="18"/>
      <c r="C6646" s="18"/>
      <c r="D6646" s="18"/>
      <c r="E6646" s="18"/>
      <c r="F6646" s="18"/>
      <c r="G6646" s="18"/>
      <c r="H6646" s="18"/>
      <c r="I6646" s="18"/>
      <c r="J6646" s="18"/>
      <c r="K6646" s="18"/>
      <c r="L6646" s="18"/>
      <c r="M6646" s="18"/>
      <c r="N6646" s="18"/>
      <c r="O6646" s="14" t="str">
        <f>HYPERLINK("https://otsuka-europe-crm.veevavault.com/ui/#object/email_activity__v/V8C00000003V420", "EN-002095606")</f>
        <v>EN-002095606</v>
      </c>
    </row>
    <row r="6647" spans="1:15" ht="16" x14ac:dyDescent="0.2">
      <c r="A6647" s="19"/>
      <c r="B6647" s="19"/>
      <c r="C6647" s="19"/>
      <c r="D6647" s="19"/>
      <c r="E6647" s="19"/>
      <c r="F6647" s="19"/>
      <c r="G6647" s="19"/>
      <c r="H6647" s="19"/>
      <c r="I6647" s="19"/>
      <c r="J6647" s="19"/>
      <c r="K6647" s="19"/>
      <c r="L6647" s="19"/>
      <c r="M6647" s="19"/>
      <c r="N6647" s="19"/>
      <c r="O6647" s="14" t="str">
        <f>HYPERLINK("https://otsuka-europe-crm.veevavault.com/ui/#object/email_activity__v/V8C00000003Z123", "EN-002098887")</f>
        <v>EN-002098887</v>
      </c>
    </row>
    <row r="6648" spans="1:15" ht="16" x14ac:dyDescent="0.2">
      <c r="A6648" s="17" t="str">
        <f>HYPERLINK("https://otsuka-europe-crm.veevavault.com/ui/#object/account__v/V4TZ06G6O71TCND", "MIGUEL HUESO VAL")</f>
        <v>MIGUEL HUESO VAL</v>
      </c>
      <c r="B6648" s="17" t="str">
        <f>HYPERLINK("https://otsuka-europe-crm.veevavault.com/ui/#object/vcountry__v/VENZ000004SONF5", "ES")</f>
        <v>ES</v>
      </c>
      <c r="C6648" s="20" t="s">
        <v>41</v>
      </c>
      <c r="D6648" s="21" t="str">
        <f>HYPERLINK("https://otsuka-europe-crm.veevavault.com/ui/#object/approved_document__v/V5O00000001A037", "LUP - VAE Póster Adelphi - Nefro")</f>
        <v>LUP - VAE Póster Adelphi - Nefro</v>
      </c>
      <c r="E6648" s="22" t="str">
        <f>HYPERLINK("https://otsuka-europe-crm.veevavault.com/ui/#object/sent_email__v/VBL00000002S318", "SE-001434582")</f>
        <v>SE-001434582</v>
      </c>
      <c r="F6648" s="23">
        <v>46182.414618055554</v>
      </c>
      <c r="G6648" s="24">
        <v>1</v>
      </c>
      <c r="H6648" s="24">
        <v>2</v>
      </c>
      <c r="I6648" s="24">
        <v>0</v>
      </c>
      <c r="J6648" s="25"/>
      <c r="K6648" s="24">
        <v>0</v>
      </c>
      <c r="L6648" s="22" t="str">
        <f>HYPERLINK("https://otsuka-europe-crm.veevavault.com/ui/#object/approved_document__v/V5O00000001A037", "LUP - VAE Póster Adelphi - Nefro")</f>
        <v>LUP - VAE Póster Adelphi - Nefro</v>
      </c>
      <c r="M6648" s="22" t="str">
        <f>HYPERLINK("mailto:pmartinez@crm.otsuka-europe.com", "pmartinez@crm.otsuka-europe.com")</f>
        <v>pmartinez@crm.otsuka-europe.com</v>
      </c>
      <c r="N6648" s="23">
        <v>46182.405428240738</v>
      </c>
      <c r="O6648" s="14" t="str">
        <f>HYPERLINK("https://otsuka-europe-crm.veevavault.com/ui/#object/email_activity__v/V8C00000003Q972", "EN-002092756")</f>
        <v>EN-002092756</v>
      </c>
    </row>
    <row r="6649" spans="1:15" ht="16" x14ac:dyDescent="0.2">
      <c r="A6649" s="18"/>
      <c r="B6649" s="18"/>
      <c r="C6649" s="18"/>
      <c r="D6649" s="18"/>
      <c r="E6649" s="18"/>
      <c r="F6649" s="18"/>
      <c r="G6649" s="18"/>
      <c r="H6649" s="18"/>
      <c r="I6649" s="18"/>
      <c r="J6649" s="18"/>
      <c r="K6649" s="18"/>
      <c r="L6649" s="18"/>
      <c r="M6649" s="18"/>
      <c r="N6649" s="18"/>
      <c r="O6649" s="14" t="str">
        <f>HYPERLINK("https://otsuka-europe-crm.veevavault.com/ui/#object/email_activity__v/V8C00000003R389", "EN-002092501")</f>
        <v>EN-002092501</v>
      </c>
    </row>
    <row r="6650" spans="1:15" ht="16" x14ac:dyDescent="0.2">
      <c r="A6650" s="19"/>
      <c r="B6650" s="19"/>
      <c r="C6650" s="19"/>
      <c r="D6650" s="19"/>
      <c r="E6650" s="19"/>
      <c r="F6650" s="19"/>
      <c r="G6650" s="19"/>
      <c r="H6650" s="19"/>
      <c r="I6650" s="19"/>
      <c r="J6650" s="19"/>
      <c r="K6650" s="19"/>
      <c r="L6650" s="19"/>
      <c r="M6650" s="19"/>
      <c r="N6650" s="19"/>
      <c r="O6650" s="14" t="str">
        <f>HYPERLINK("https://otsuka-europe-crm.veevavault.com/ui/#object/email_activity__v/V8C00000003R548", "EN-002092758")</f>
        <v>EN-002092758</v>
      </c>
    </row>
    <row r="6651" spans="1:15" ht="32" x14ac:dyDescent="0.2">
      <c r="A6651" s="7" t="str">
        <f>HYPERLINK("https://otsuka-europe-crm.veevavault.com/ui/#object/account__v/V4TZ06G6O71TBBB", "MARIA LUISA MUÑIZ GOMEZ")</f>
        <v>MARIA LUISA MUÑIZ GOMEZ</v>
      </c>
      <c r="B6651" s="7" t="str">
        <f>HYPERLINK("https://otsuka-europe-crm.veevavault.com/ui/#object/vcountry__v/VENZ000004SONF5", "ES")</f>
        <v>ES</v>
      </c>
      <c r="C6651" s="8" t="s">
        <v>41</v>
      </c>
      <c r="D6651" s="9" t="str">
        <f>HYPERLINK("https://otsuka-europe-crm.veevavault.com/ui/#object/approved_document__v/V5O00000001A037", "LUP - VAE Póster Adelphi - Nefro")</f>
        <v>LUP - VAE Póster Adelphi - Nefro</v>
      </c>
      <c r="E6651" s="10" t="str">
        <f>HYPERLINK("https://otsuka-europe-crm.veevavault.com/ui/#object/sent_email__v/VBL00000002S319", "SE-001434583")</f>
        <v>SE-001434583</v>
      </c>
      <c r="F6651" s="11"/>
      <c r="G6651" s="12">
        <v>0</v>
      </c>
      <c r="H6651" s="12">
        <v>0</v>
      </c>
      <c r="I6651" s="12">
        <v>0</v>
      </c>
      <c r="J6651" s="11"/>
      <c r="K6651" s="12">
        <v>0</v>
      </c>
      <c r="L6651" s="10" t="str">
        <f>HYPERLINK("https://otsuka-europe-crm.veevavault.com/ui/#object/approved_document__v/V5O00000001A037", "LUP - VAE Póster Adelphi - Nefro")</f>
        <v>LUP - VAE Póster Adelphi - Nefro</v>
      </c>
      <c r="M6651" s="10" t="str">
        <f>HYPERLINK("mailto:pmartinez@crm.otsuka-europe.com", "pmartinez@crm.otsuka-europe.com")</f>
        <v>pmartinez@crm.otsuka-europe.com</v>
      </c>
      <c r="N6651" s="13">
        <v>46182.405428240738</v>
      </c>
      <c r="O6651" s="14" t="str">
        <f>HYPERLINK("https://otsuka-europe-crm.veevavault.com/ui/#object/email_activity__v/V8C00000003R401", "EN-002092548")</f>
        <v>EN-002092548</v>
      </c>
    </row>
    <row r="6652" spans="1:15" ht="16" x14ac:dyDescent="0.2">
      <c r="A6652" s="17" t="str">
        <f>HYPERLINK("https://otsuka-europe-crm.veevavault.com/ui/#object/account__v/V4TZ06G6O71TBW0", "JUAN MARIANO RODRIGUEZ PORTILLO")</f>
        <v>JUAN MARIANO RODRIGUEZ PORTILLO</v>
      </c>
      <c r="B6652" s="17" t="str">
        <f>HYPERLINK("https://otsuka-europe-crm.veevavault.com/ui/#object/vcountry__v/VENZ000004SONF5", "ES")</f>
        <v>ES</v>
      </c>
      <c r="C6652" s="20" t="s">
        <v>41</v>
      </c>
      <c r="D6652" s="21" t="str">
        <f>HYPERLINK("https://otsuka-europe-crm.veevavault.com/ui/#object/approved_document__v/V5O00000001A037", "LUP - VAE Póster Adelphi - Nefro")</f>
        <v>LUP - VAE Póster Adelphi - Nefro</v>
      </c>
      <c r="E6652" s="22" t="str">
        <f>HYPERLINK("https://otsuka-europe-crm.veevavault.com/ui/#object/sent_email__v/VBL00000002S320", "SE-001434584")</f>
        <v>SE-001434584</v>
      </c>
      <c r="F6652" s="25"/>
      <c r="G6652" s="24">
        <v>0</v>
      </c>
      <c r="H6652" s="24">
        <v>0</v>
      </c>
      <c r="I6652" s="24">
        <v>0</v>
      </c>
      <c r="J6652" s="25"/>
      <c r="K6652" s="24">
        <v>0</v>
      </c>
      <c r="L6652" s="22" t="str">
        <f>HYPERLINK("https://otsuka-europe-crm.veevavault.com/ui/#object/approved_document__v/V5O00000001A037", "LUP - VAE Póster Adelphi - Nefro")</f>
        <v>LUP - VAE Póster Adelphi - Nefro</v>
      </c>
      <c r="M6652" s="22" t="str">
        <f>HYPERLINK("mailto:pmartinez@crm.otsuka-europe.com", "pmartinez@crm.otsuka-europe.com")</f>
        <v>pmartinez@crm.otsuka-europe.com</v>
      </c>
      <c r="N6652" s="23">
        <v>46182.405428240738</v>
      </c>
      <c r="O6652" s="14" t="str">
        <f>HYPERLINK("https://otsuka-europe-crm.veevavault.com/ui/#object/email_activity__v/V8C00000003Q845", "EN-002092460")</f>
        <v>EN-002092460</v>
      </c>
    </row>
    <row r="6653" spans="1:15" ht="16" x14ac:dyDescent="0.2">
      <c r="A6653" s="19"/>
      <c r="B6653" s="19"/>
      <c r="C6653" s="19"/>
      <c r="D6653" s="19"/>
      <c r="E6653" s="19"/>
      <c r="F6653" s="19"/>
      <c r="G6653" s="19"/>
      <c r="H6653" s="19"/>
      <c r="I6653" s="19"/>
      <c r="J6653" s="19"/>
      <c r="K6653" s="19"/>
      <c r="L6653" s="19"/>
      <c r="M6653" s="19"/>
      <c r="N6653" s="19"/>
      <c r="O6653" s="14" t="str">
        <f>HYPERLINK("https://otsuka-europe-crm.veevavault.com/ui/#object/email_activity__v/V8C00000003R708", "EN-002093057")</f>
        <v>EN-002093057</v>
      </c>
    </row>
    <row r="6654" spans="1:15" ht="32" x14ac:dyDescent="0.2">
      <c r="A6654" s="7" t="str">
        <f>HYPERLINK("https://otsuka-europe-crm.veevavault.com/ui/#object/account__v/V4TZ06G6O71TAJ3", "MARIA EMMA HUARTE LOZA")</f>
        <v>MARIA EMMA HUARTE LOZA</v>
      </c>
      <c r="B6654" s="7" t="str">
        <f>HYPERLINK("https://otsuka-europe-crm.veevavault.com/ui/#object/vcountry__v/VENZ000004SONF5", "ES")</f>
        <v>ES</v>
      </c>
      <c r="C6654" s="8" t="s">
        <v>41</v>
      </c>
      <c r="D6654" s="9" t="str">
        <f>HYPERLINK("https://otsuka-europe-crm.veevavault.com/ui/#object/approved_document__v/V5O00000001A037", "LUP - VAE Póster Adelphi - Nefro")</f>
        <v>LUP - VAE Póster Adelphi - Nefro</v>
      </c>
      <c r="E6654" s="10" t="str">
        <f>HYPERLINK("https://otsuka-europe-crm.veevavault.com/ui/#object/sent_email__v/VBL00000002S321", "SE-001434585")</f>
        <v>SE-001434585</v>
      </c>
      <c r="F6654" s="11"/>
      <c r="G6654" s="12">
        <v>0</v>
      </c>
      <c r="H6654" s="12">
        <v>0</v>
      </c>
      <c r="I6654" s="12">
        <v>0</v>
      </c>
      <c r="J6654" s="11"/>
      <c r="K6654" s="12">
        <v>0</v>
      </c>
      <c r="L6654" s="10" t="str">
        <f>HYPERLINK("https://otsuka-europe-crm.veevavault.com/ui/#object/approved_document__v/V5O00000001A037", "LUP - VAE Póster Adelphi - Nefro")</f>
        <v>LUP - VAE Póster Adelphi - Nefro</v>
      </c>
      <c r="M6654" s="10" t="str">
        <f>HYPERLINK("mailto:pmartinez@crm.otsuka-europe.com", "pmartinez@crm.otsuka-europe.com")</f>
        <v>pmartinez@crm.otsuka-europe.com</v>
      </c>
      <c r="N6654" s="13">
        <v>46182.405428240738</v>
      </c>
      <c r="O6654" s="14" t="str">
        <f>HYPERLINK("https://otsuka-europe-crm.veevavault.com/ui/#object/email_activity__v/V8C00000003R394", "EN-002092522")</f>
        <v>EN-002092522</v>
      </c>
    </row>
    <row r="6655" spans="1:15" ht="32" x14ac:dyDescent="0.2">
      <c r="A6655" s="7" t="str">
        <f>HYPERLINK("https://otsuka-europe-crm.veevavault.com/ui/#object/account__v/V4TZ06G6O71TA49", "JORDINA GORRO CAELLES")</f>
        <v>JORDINA GORRO CAELLES</v>
      </c>
      <c r="B6655" s="7" t="str">
        <f>HYPERLINK("https://otsuka-europe-crm.veevavault.com/ui/#object/vcountry__v/VENZ000004SONF5", "ES")</f>
        <v>ES</v>
      </c>
      <c r="C6655" s="8" t="s">
        <v>41</v>
      </c>
      <c r="D6655" s="9" t="str">
        <f>HYPERLINK("https://otsuka-europe-crm.veevavault.com/ui/#object/approved_document__v/V5O00000001A037", "LUP - VAE Póster Adelphi - Nefro")</f>
        <v>LUP - VAE Póster Adelphi - Nefro</v>
      </c>
      <c r="E6655" s="10" t="str">
        <f>HYPERLINK("https://otsuka-europe-crm.veevavault.com/ui/#object/sent_email__v/VBL00000002S322", "SE-001434586")</f>
        <v>SE-001434586</v>
      </c>
      <c r="F6655" s="11"/>
      <c r="G6655" s="12">
        <v>0</v>
      </c>
      <c r="H6655" s="12">
        <v>0</v>
      </c>
      <c r="I6655" s="12">
        <v>0</v>
      </c>
      <c r="J6655" s="11"/>
      <c r="K6655" s="12">
        <v>0</v>
      </c>
      <c r="L6655" s="10" t="str">
        <f>HYPERLINK("https://otsuka-europe-crm.veevavault.com/ui/#object/approved_document__v/V5O00000001A037", "LUP - VAE Póster Adelphi - Nefro")</f>
        <v>LUP - VAE Póster Adelphi - Nefro</v>
      </c>
      <c r="M6655" s="10" t="str">
        <f>HYPERLINK("mailto:pmartinez@crm.otsuka-europe.com", "pmartinez@crm.otsuka-europe.com")</f>
        <v>pmartinez@crm.otsuka-europe.com</v>
      </c>
      <c r="N6655" s="13">
        <v>46182.405428240738</v>
      </c>
      <c r="O6655" s="14" t="str">
        <f>HYPERLINK("https://otsuka-europe-crm.veevavault.com/ui/#object/email_activity__v/V8C00000003Q871", "EN-002092491")</f>
        <v>EN-002092491</v>
      </c>
    </row>
    <row r="6656" spans="1:15" ht="16" x14ac:dyDescent="0.2">
      <c r="A6656" s="17" t="str">
        <f>HYPERLINK("https://otsuka-europe-crm.veevavault.com/ui/#object/account__v/V4TZ06G6O71T7K1", "ALTAGRACIA ELISA BELLO OVALLES")</f>
        <v>ALTAGRACIA ELISA BELLO OVALLES</v>
      </c>
      <c r="B6656" s="17" t="str">
        <f>HYPERLINK("https://otsuka-europe-crm.veevavault.com/ui/#object/vcountry__v/VENZ000004SONF5", "ES")</f>
        <v>ES</v>
      </c>
      <c r="C6656" s="20" t="s">
        <v>41</v>
      </c>
      <c r="D6656" s="21" t="str">
        <f>HYPERLINK("https://otsuka-europe-crm.veevavault.com/ui/#object/approved_document__v/V5O00000001A037", "LUP - VAE Póster Adelphi - Nefro")</f>
        <v>LUP - VAE Póster Adelphi - Nefro</v>
      </c>
      <c r="E6656" s="22" t="str">
        <f>HYPERLINK("https://otsuka-europe-crm.veevavault.com/ui/#object/sent_email__v/VBL00000002S323", "SE-001434587")</f>
        <v>SE-001434587</v>
      </c>
      <c r="F6656" s="23">
        <v>46182.911782407406</v>
      </c>
      <c r="G6656" s="24">
        <v>1</v>
      </c>
      <c r="H6656" s="24">
        <v>1</v>
      </c>
      <c r="I6656" s="24">
        <v>0</v>
      </c>
      <c r="J6656" s="25"/>
      <c r="K6656" s="24">
        <v>0</v>
      </c>
      <c r="L6656" s="22" t="str">
        <f>HYPERLINK("https://otsuka-europe-crm.veevavault.com/ui/#object/approved_document__v/V5O00000001A037", "LUP - VAE Póster Adelphi - Nefro")</f>
        <v>LUP - VAE Póster Adelphi - Nefro</v>
      </c>
      <c r="M6656" s="22" t="str">
        <f>HYPERLINK("mailto:pmartinez@crm.otsuka-europe.com", "pmartinez@crm.otsuka-europe.com")</f>
        <v>pmartinez@crm.otsuka-europe.com</v>
      </c>
      <c r="N6656" s="23">
        <v>46182.405428240738</v>
      </c>
      <c r="O6656" s="14" t="str">
        <f>HYPERLINK("https://otsuka-europe-crm.veevavault.com/ui/#object/email_activity__v/V8C00000003Q862", "EN-002092477")</f>
        <v>EN-002092477</v>
      </c>
    </row>
    <row r="6657" spans="1:15" ht="16" x14ac:dyDescent="0.2">
      <c r="A6657" s="19"/>
      <c r="B6657" s="19"/>
      <c r="C6657" s="19"/>
      <c r="D6657" s="19"/>
      <c r="E6657" s="19"/>
      <c r="F6657" s="19"/>
      <c r="G6657" s="19"/>
      <c r="H6657" s="19"/>
      <c r="I6657" s="19"/>
      <c r="J6657" s="19"/>
      <c r="K6657" s="19"/>
      <c r="L6657" s="19"/>
      <c r="M6657" s="19"/>
      <c r="N6657" s="19"/>
      <c r="O6657" s="14" t="str">
        <f>HYPERLINK("https://otsuka-europe-crm.veevavault.com/ui/#object/email_activity__v/V8C00000003T092", "EN-002093748")</f>
        <v>EN-002093748</v>
      </c>
    </row>
    <row r="6658" spans="1:15" ht="16" x14ac:dyDescent="0.2">
      <c r="A6658" s="17" t="str">
        <f>HYPERLINK("https://otsuka-europe-crm.veevavault.com/ui/#object/account__v/V4TZ06G6O71TAHH", "DOMINGO JERONIMO HERNANDEZ MARRERO")</f>
        <v>DOMINGO JERONIMO HERNANDEZ MARRERO</v>
      </c>
      <c r="B6658" s="17" t="str">
        <f>HYPERLINK("https://otsuka-europe-crm.veevavault.com/ui/#object/vcountry__v/VENZ000004SONF5", "ES")</f>
        <v>ES</v>
      </c>
      <c r="C6658" s="20" t="s">
        <v>41</v>
      </c>
      <c r="D6658" s="21" t="str">
        <f>HYPERLINK("https://otsuka-europe-crm.veevavault.com/ui/#object/approved_document__v/V5O00000001A037", "LUP - VAE Póster Adelphi - Nefro")</f>
        <v>LUP - VAE Póster Adelphi - Nefro</v>
      </c>
      <c r="E6658" s="22" t="str">
        <f>HYPERLINK("https://otsuka-europe-crm.veevavault.com/ui/#object/sent_email__v/VBL00000002S324", "SE-001434588")</f>
        <v>SE-001434588</v>
      </c>
      <c r="F6658" s="23">
        <v>46182.409560185188</v>
      </c>
      <c r="G6658" s="24">
        <v>1</v>
      </c>
      <c r="H6658" s="24">
        <v>1</v>
      </c>
      <c r="I6658" s="24">
        <v>0</v>
      </c>
      <c r="J6658" s="25"/>
      <c r="K6658" s="24">
        <v>0</v>
      </c>
      <c r="L6658" s="22" t="str">
        <f>HYPERLINK("https://otsuka-europe-crm.veevavault.com/ui/#object/approved_document__v/V5O00000001A037", "LUP - VAE Póster Adelphi - Nefro")</f>
        <v>LUP - VAE Póster Adelphi - Nefro</v>
      </c>
      <c r="M6658" s="22" t="str">
        <f>HYPERLINK("mailto:pmartinez@crm.otsuka-europe.com", "pmartinez@crm.otsuka-europe.com")</f>
        <v>pmartinez@crm.otsuka-europe.com</v>
      </c>
      <c r="N6658" s="23">
        <v>46182.405428240738</v>
      </c>
      <c r="O6658" s="14" t="str">
        <f>HYPERLINK("https://otsuka-europe-crm.veevavault.com/ui/#object/email_activity__v/V8C00000003Q963", "EN-002092743")</f>
        <v>EN-002092743</v>
      </c>
    </row>
    <row r="6659" spans="1:15" ht="16" x14ac:dyDescent="0.2">
      <c r="A6659" s="18"/>
      <c r="B6659" s="18"/>
      <c r="C6659" s="18"/>
      <c r="D6659" s="18"/>
      <c r="E6659" s="18"/>
      <c r="F6659" s="18"/>
      <c r="G6659" s="18"/>
      <c r="H6659" s="18"/>
      <c r="I6659" s="18"/>
      <c r="J6659" s="18"/>
      <c r="K6659" s="18"/>
      <c r="L6659" s="18"/>
      <c r="M6659" s="18"/>
      <c r="N6659" s="18"/>
      <c r="O6659" s="14" t="str">
        <f>HYPERLINK("https://otsuka-europe-crm.veevavault.com/ui/#object/email_activity__v/V8C00000003R386", "EN-002092498")</f>
        <v>EN-002092498</v>
      </c>
    </row>
    <row r="6660" spans="1:15" ht="16" x14ac:dyDescent="0.2">
      <c r="A6660" s="19"/>
      <c r="B6660" s="19"/>
      <c r="C6660" s="19"/>
      <c r="D6660" s="19"/>
      <c r="E6660" s="19"/>
      <c r="F6660" s="19"/>
      <c r="G6660" s="19"/>
      <c r="H6660" s="19"/>
      <c r="I6660" s="19"/>
      <c r="J6660" s="19"/>
      <c r="K6660" s="19"/>
      <c r="L6660" s="19"/>
      <c r="M6660" s="19"/>
      <c r="N6660" s="19"/>
      <c r="O6660" s="14" t="str">
        <f>HYPERLINK("https://otsuka-europe-crm.veevavault.com/ui/#object/email_activity__v/V8C00000003S378", "EN-002093640")</f>
        <v>EN-002093640</v>
      </c>
    </row>
    <row r="6661" spans="1:15" ht="16" x14ac:dyDescent="0.2">
      <c r="A6661" s="17" t="str">
        <f>HYPERLINK("https://otsuka-europe-crm.veevavault.com/ui/#object/account__v/V4TZ06G6O71T94B", "MARIA FERNANDA ARROJO ALONSO")</f>
        <v>MARIA FERNANDA ARROJO ALONSO</v>
      </c>
      <c r="B6661" s="17" t="str">
        <f>HYPERLINK("https://otsuka-europe-crm.veevavault.com/ui/#object/vcountry__v/VENZ000004SONF5", "ES")</f>
        <v>ES</v>
      </c>
      <c r="C6661" s="20" t="s">
        <v>41</v>
      </c>
      <c r="D6661" s="21" t="str">
        <f>HYPERLINK("https://otsuka-europe-crm.veevavault.com/ui/#object/approved_document__v/V5O00000001A037", "LUP - VAE Póster Adelphi - Nefro")</f>
        <v>LUP - VAE Póster Adelphi - Nefro</v>
      </c>
      <c r="E6661" s="22" t="str">
        <f>HYPERLINK("https://otsuka-europe-crm.veevavault.com/ui/#object/sent_email__v/VBL00000002S325", "SE-001434589")</f>
        <v>SE-001434589</v>
      </c>
      <c r="F6661" s="23">
        <v>46184.883148148147</v>
      </c>
      <c r="G6661" s="24">
        <v>1</v>
      </c>
      <c r="H6661" s="24">
        <v>1</v>
      </c>
      <c r="I6661" s="24">
        <v>1</v>
      </c>
      <c r="J6661" s="23">
        <v>46184.883148148147</v>
      </c>
      <c r="K6661" s="24">
        <v>1</v>
      </c>
      <c r="L6661" s="22" t="str">
        <f>HYPERLINK("https://otsuka-europe-crm.veevavault.com/ui/#object/approved_document__v/V5O00000001A037", "LUP - VAE Póster Adelphi - Nefro")</f>
        <v>LUP - VAE Póster Adelphi - Nefro</v>
      </c>
      <c r="M6661" s="22" t="str">
        <f>HYPERLINK("mailto:pmartinez@crm.otsuka-europe.com", "pmartinez@crm.otsuka-europe.com")</f>
        <v>pmartinez@crm.otsuka-europe.com</v>
      </c>
      <c r="N6661" s="23">
        <v>46182.405428240738</v>
      </c>
      <c r="O6661" s="14" t="str">
        <f>HYPERLINK("https://otsuka-europe-crm.veevavault.com/ui/#object/email_activity__v/V8C00000003Q837", "EN-002092452")</f>
        <v>EN-002092452</v>
      </c>
    </row>
    <row r="6662" spans="1:15" ht="16" x14ac:dyDescent="0.2">
      <c r="A6662" s="18"/>
      <c r="B6662" s="18"/>
      <c r="C6662" s="18"/>
      <c r="D6662" s="18"/>
      <c r="E6662" s="18"/>
      <c r="F6662" s="18"/>
      <c r="G6662" s="18"/>
      <c r="H6662" s="18"/>
      <c r="I6662" s="18"/>
      <c r="J6662" s="18"/>
      <c r="K6662" s="18"/>
      <c r="L6662" s="18"/>
      <c r="M6662" s="18"/>
      <c r="N6662" s="18"/>
      <c r="O6662" s="14" t="str">
        <f>HYPERLINK("https://otsuka-europe-crm.veevavault.com/ui/#object/email_activity__v/V8C00000003V013", "EN-002094843")</f>
        <v>EN-002094843</v>
      </c>
    </row>
    <row r="6663" spans="1:15" ht="16" x14ac:dyDescent="0.2">
      <c r="A6663" s="18"/>
      <c r="B6663" s="18"/>
      <c r="C6663" s="18"/>
      <c r="D6663" s="18"/>
      <c r="E6663" s="18"/>
      <c r="F6663" s="18"/>
      <c r="G6663" s="18"/>
      <c r="H6663" s="18"/>
      <c r="I6663" s="18"/>
      <c r="J6663" s="18"/>
      <c r="K6663" s="18"/>
      <c r="L6663" s="18"/>
      <c r="M6663" s="18"/>
      <c r="N6663" s="18"/>
      <c r="O6663" s="14" t="str">
        <f>HYPERLINK("https://otsuka-europe-crm.veevavault.com/ui/#object/email_activity__v/V8C00000003V014", "EN-002094842")</f>
        <v>EN-002094842</v>
      </c>
    </row>
    <row r="6664" spans="1:15" ht="16" x14ac:dyDescent="0.2">
      <c r="A6664" s="19"/>
      <c r="B6664" s="19"/>
      <c r="C6664" s="19"/>
      <c r="D6664" s="19"/>
      <c r="E6664" s="19"/>
      <c r="F6664" s="19"/>
      <c r="G6664" s="19"/>
      <c r="H6664" s="19"/>
      <c r="I6664" s="19"/>
      <c r="J6664" s="19"/>
      <c r="K6664" s="19"/>
      <c r="L6664" s="19"/>
      <c r="M6664" s="19"/>
      <c r="N6664" s="19"/>
      <c r="O6664" s="14" t="str">
        <f>HYPERLINK("https://otsuka-europe-crm.veevavault.com/ui/#object/email_activity__v/V8C00000003V022", "EN-002094859")</f>
        <v>EN-002094859</v>
      </c>
    </row>
    <row r="6665" spans="1:15" ht="16" x14ac:dyDescent="0.2">
      <c r="A6665" s="17" t="str">
        <f>HYPERLINK("https://otsuka-europe-crm.veevavault.com/ui/#object/account__v/V4TZ06G6O71TBTS", "JOSE LUIS ROCHA CASTILLA")</f>
        <v>JOSE LUIS ROCHA CASTILLA</v>
      </c>
      <c r="B6665" s="17" t="str">
        <f>HYPERLINK("https://otsuka-europe-crm.veevavault.com/ui/#object/vcountry__v/VENZ000004SONF5", "ES")</f>
        <v>ES</v>
      </c>
      <c r="C6665" s="20" t="s">
        <v>41</v>
      </c>
      <c r="D6665" s="21" t="str">
        <f>HYPERLINK("https://otsuka-europe-crm.veevavault.com/ui/#object/approved_document__v/V5O00000001A037", "LUP - VAE Póster Adelphi - Nefro")</f>
        <v>LUP - VAE Póster Adelphi - Nefro</v>
      </c>
      <c r="E6665" s="22" t="str">
        <f>HYPERLINK("https://otsuka-europe-crm.veevavault.com/ui/#object/sent_email__v/VBL00000002S326", "SE-001434590")</f>
        <v>SE-001434590</v>
      </c>
      <c r="F6665" s="23">
        <v>46182.405543981484</v>
      </c>
      <c r="G6665" s="24">
        <v>1</v>
      </c>
      <c r="H6665" s="24">
        <v>1</v>
      </c>
      <c r="I6665" s="24">
        <v>0</v>
      </c>
      <c r="J6665" s="25"/>
      <c r="K6665" s="24">
        <v>0</v>
      </c>
      <c r="L6665" s="22" t="str">
        <f>HYPERLINK("https://otsuka-europe-crm.veevavault.com/ui/#object/approved_document__v/V5O00000001A037", "LUP - VAE Póster Adelphi - Nefro")</f>
        <v>LUP - VAE Póster Adelphi - Nefro</v>
      </c>
      <c r="M6665" s="22" t="str">
        <f>HYPERLINK("mailto:pmartinez@crm.otsuka-europe.com", "pmartinez@crm.otsuka-europe.com")</f>
        <v>pmartinez@crm.otsuka-europe.com</v>
      </c>
      <c r="N6665" s="23">
        <v>46182.405428240738</v>
      </c>
      <c r="O6665" s="14" t="str">
        <f>HYPERLINK("https://otsuka-europe-crm.veevavault.com/ui/#object/email_activity__v/V8C00000003Q894", "EN-002092528")</f>
        <v>EN-002092528</v>
      </c>
    </row>
    <row r="6666" spans="1:15" ht="16" x14ac:dyDescent="0.2">
      <c r="A6666" s="18"/>
      <c r="B6666" s="18"/>
      <c r="C6666" s="18"/>
      <c r="D6666" s="18"/>
      <c r="E6666" s="18"/>
      <c r="F6666" s="18"/>
      <c r="G6666" s="18"/>
      <c r="H6666" s="18"/>
      <c r="I6666" s="18"/>
      <c r="J6666" s="18"/>
      <c r="K6666" s="18"/>
      <c r="L6666" s="18"/>
      <c r="M6666" s="18"/>
      <c r="N6666" s="18"/>
      <c r="O6666" s="14" t="str">
        <f>HYPERLINK("https://otsuka-europe-crm.veevavault.com/ui/#object/email_activity__v/V8C00000003R419", "EN-002092569")</f>
        <v>EN-002092569</v>
      </c>
    </row>
    <row r="6667" spans="1:15" ht="16" x14ac:dyDescent="0.2">
      <c r="A6667" s="18"/>
      <c r="B6667" s="18"/>
      <c r="C6667" s="18"/>
      <c r="D6667" s="18"/>
      <c r="E6667" s="18"/>
      <c r="F6667" s="18"/>
      <c r="G6667" s="18"/>
      <c r="H6667" s="18"/>
      <c r="I6667" s="18"/>
      <c r="J6667" s="18"/>
      <c r="K6667" s="18"/>
      <c r="L6667" s="18"/>
      <c r="M6667" s="18"/>
      <c r="N6667" s="18"/>
      <c r="O6667" s="14" t="str">
        <f>HYPERLINK("https://otsuka-europe-crm.veevavault.com/ui/#object/email_activity__v/V8C00000003S161", "EN-002093197")</f>
        <v>EN-002093197</v>
      </c>
    </row>
    <row r="6668" spans="1:15" ht="16" x14ac:dyDescent="0.2">
      <c r="A6668" s="19"/>
      <c r="B6668" s="19"/>
      <c r="C6668" s="19"/>
      <c r="D6668" s="19"/>
      <c r="E6668" s="19"/>
      <c r="F6668" s="19"/>
      <c r="G6668" s="19"/>
      <c r="H6668" s="19"/>
      <c r="I6668" s="19"/>
      <c r="J6668" s="19"/>
      <c r="K6668" s="19"/>
      <c r="L6668" s="19"/>
      <c r="M6668" s="19"/>
      <c r="N6668" s="19"/>
      <c r="O6668" s="14" t="str">
        <f>HYPERLINK("https://otsuka-europe-crm.veevavault.com/ui/#object/email_activity__v/V8C00000003S227", "EN-002093334")</f>
        <v>EN-002093334</v>
      </c>
    </row>
    <row r="6669" spans="1:15" ht="16" x14ac:dyDescent="0.2">
      <c r="A6669" s="17" t="str">
        <f>HYPERLINK("https://otsuka-europe-crm.veevavault.com/ui/#object/account__v/V4TZ06G6O71T7K5", "BORJA QUIROGA GILI")</f>
        <v>BORJA QUIROGA GILI</v>
      </c>
      <c r="B6669" s="17" t="str">
        <f>HYPERLINK("https://otsuka-europe-crm.veevavault.com/ui/#object/vcountry__v/VENZ000004SONF5", "ES")</f>
        <v>ES</v>
      </c>
      <c r="C6669" s="20" t="s">
        <v>41</v>
      </c>
      <c r="D6669" s="21" t="str">
        <f>HYPERLINK("https://otsuka-europe-crm.veevavault.com/ui/#object/approved_document__v/V5O00000001A037", "LUP - VAE Póster Adelphi - Nefro")</f>
        <v>LUP - VAE Póster Adelphi - Nefro</v>
      </c>
      <c r="E6669" s="22" t="str">
        <f>HYPERLINK("https://otsuka-europe-crm.veevavault.com/ui/#object/sent_email__v/VBL00000002S327", "SE-001434591")</f>
        <v>SE-001434591</v>
      </c>
      <c r="F6669" s="23">
        <v>46182.411805555559</v>
      </c>
      <c r="G6669" s="24">
        <v>1</v>
      </c>
      <c r="H6669" s="24">
        <v>2</v>
      </c>
      <c r="I6669" s="24">
        <v>0</v>
      </c>
      <c r="J6669" s="25"/>
      <c r="K6669" s="24">
        <v>0</v>
      </c>
      <c r="L6669" s="22" t="str">
        <f>HYPERLINK("https://otsuka-europe-crm.veevavault.com/ui/#object/approved_document__v/V5O00000001A037", "LUP - VAE Póster Adelphi - Nefro")</f>
        <v>LUP - VAE Póster Adelphi - Nefro</v>
      </c>
      <c r="M6669" s="22" t="str">
        <f>HYPERLINK("mailto:pmartinez@crm.otsuka-europe.com", "pmartinez@crm.otsuka-europe.com")</f>
        <v>pmartinez@crm.otsuka-europe.com</v>
      </c>
      <c r="N6669" s="23">
        <v>46182.405428240738</v>
      </c>
      <c r="O6669" s="14" t="str">
        <f>HYPERLINK("https://otsuka-europe-crm.veevavault.com/ui/#object/email_activity__v/V8C00000003Q969", "EN-002092753")</f>
        <v>EN-002092753</v>
      </c>
    </row>
    <row r="6670" spans="1:15" ht="16" x14ac:dyDescent="0.2">
      <c r="A6670" s="18"/>
      <c r="B6670" s="18"/>
      <c r="C6670" s="18"/>
      <c r="D6670" s="18"/>
      <c r="E6670" s="18"/>
      <c r="F6670" s="18"/>
      <c r="G6670" s="18"/>
      <c r="H6670" s="18"/>
      <c r="I6670" s="18"/>
      <c r="J6670" s="18"/>
      <c r="K6670" s="18"/>
      <c r="L6670" s="18"/>
      <c r="M6670" s="18"/>
      <c r="N6670" s="18"/>
      <c r="O6670" s="14" t="str">
        <f>HYPERLINK("https://otsuka-europe-crm.veevavault.com/ui/#object/email_activity__v/V8C00000003R423", "EN-002092573")</f>
        <v>EN-002092573</v>
      </c>
    </row>
    <row r="6671" spans="1:15" ht="16" x14ac:dyDescent="0.2">
      <c r="A6671" s="19"/>
      <c r="B6671" s="19"/>
      <c r="C6671" s="19"/>
      <c r="D6671" s="19"/>
      <c r="E6671" s="19"/>
      <c r="F6671" s="19"/>
      <c r="G6671" s="19"/>
      <c r="H6671" s="19"/>
      <c r="I6671" s="19"/>
      <c r="J6671" s="19"/>
      <c r="K6671" s="19"/>
      <c r="L6671" s="19"/>
      <c r="M6671" s="19"/>
      <c r="N6671" s="19"/>
      <c r="O6671" s="14" t="str">
        <f>HYPERLINK("https://otsuka-europe-crm.veevavault.com/ui/#object/email_activity__v/V8C00000003R479", "EN-002092660")</f>
        <v>EN-002092660</v>
      </c>
    </row>
    <row r="6672" spans="1:15" ht="32" x14ac:dyDescent="0.2">
      <c r="A6672" s="7" t="str">
        <f>HYPERLINK("https://otsuka-europe-crm.veevavault.com/ui/#object/account__v/V4T00000000A026", "MARIA ARACELI POVEDANO MEDINA")</f>
        <v>MARIA ARACELI POVEDANO MEDINA</v>
      </c>
      <c r="B6672" s="7" t="str">
        <f t="shared" ref="B6672:B6678" si="616">HYPERLINK("https://otsuka-europe-crm.veevavault.com/ui/#object/vcountry__v/VENZ000004SONF5", "ES")</f>
        <v>ES</v>
      </c>
      <c r="C6672" s="8" t="s">
        <v>41</v>
      </c>
      <c r="D6672" s="9" t="str">
        <f t="shared" ref="D6672:D6678" si="617">HYPERLINK("https://otsuka-europe-crm.veevavault.com/ui/#object/approved_document__v/V5O00000001A037", "LUP - VAE Póster Adelphi - Nefro")</f>
        <v>LUP - VAE Póster Adelphi - Nefro</v>
      </c>
      <c r="E6672" s="10" t="str">
        <f>HYPERLINK("https://otsuka-europe-crm.veevavault.com/ui/#object/sent_email__v/VBL00000002S328", "SE-001434592")</f>
        <v>SE-001434592</v>
      </c>
      <c r="F6672" s="11"/>
      <c r="G6672" s="12">
        <v>0</v>
      </c>
      <c r="H6672" s="12">
        <v>0</v>
      </c>
      <c r="I6672" s="12">
        <v>0</v>
      </c>
      <c r="J6672" s="11"/>
      <c r="K6672" s="12">
        <v>0</v>
      </c>
      <c r="L6672" s="10" t="str">
        <f t="shared" ref="L6672:L6678" si="618">HYPERLINK("https://otsuka-europe-crm.veevavault.com/ui/#object/approved_document__v/V5O00000001A037", "LUP - VAE Póster Adelphi - Nefro")</f>
        <v>LUP - VAE Póster Adelphi - Nefro</v>
      </c>
      <c r="M6672" s="10" t="str">
        <f t="shared" ref="M6672:M6678" si="619">HYPERLINK("mailto:pmartinez@crm.otsuka-europe.com", "pmartinez@crm.otsuka-europe.com")</f>
        <v>pmartinez@crm.otsuka-europe.com</v>
      </c>
      <c r="N6672" s="13">
        <v>46182.405428240738</v>
      </c>
      <c r="O6672" s="14" t="str">
        <f>HYPERLINK("https://otsuka-europe-crm.veevavault.com/ui/#object/email_activity__v/V8C00000003Q893", "EN-002092527")</f>
        <v>EN-002092527</v>
      </c>
    </row>
    <row r="6673" spans="1:15" ht="32" x14ac:dyDescent="0.2">
      <c r="A6673" s="7" t="str">
        <f>HYPERLINK("https://otsuka-europe-crm.veevavault.com/ui/#object/account__v/V4TZ06G6OB402CC", "ALEJANDRO FRIEDMANN ISAAC")</f>
        <v>ALEJANDRO FRIEDMANN ISAAC</v>
      </c>
      <c r="B6673" s="7" t="str">
        <f t="shared" si="616"/>
        <v>ES</v>
      </c>
      <c r="C6673" s="8" t="s">
        <v>41</v>
      </c>
      <c r="D6673" s="9" t="str">
        <f t="shared" si="617"/>
        <v>LUP - VAE Póster Adelphi - Nefro</v>
      </c>
      <c r="E6673" s="10" t="str">
        <f>HYPERLINK("https://otsuka-europe-crm.veevavault.com/ui/#object/sent_email__v/VBL00000002S329", "SE-001434593")</f>
        <v>SE-001434593</v>
      </c>
      <c r="F6673" s="11"/>
      <c r="G6673" s="12">
        <v>0</v>
      </c>
      <c r="H6673" s="12">
        <v>0</v>
      </c>
      <c r="I6673" s="12">
        <v>0</v>
      </c>
      <c r="J6673" s="11"/>
      <c r="K6673" s="12">
        <v>0</v>
      </c>
      <c r="L6673" s="10" t="str">
        <f t="shared" si="618"/>
        <v>LUP - VAE Póster Adelphi - Nefro</v>
      </c>
      <c r="M6673" s="10" t="str">
        <f t="shared" si="619"/>
        <v>pmartinez@crm.otsuka-europe.com</v>
      </c>
      <c r="N6673" s="13">
        <v>46182.405428240738</v>
      </c>
      <c r="O6673" s="14" t="str">
        <f>HYPERLINK("https://otsuka-europe-crm.veevavault.com/ui/#object/email_activity__v/V8C00000003Q853", "EN-002092468")</f>
        <v>EN-002092468</v>
      </c>
    </row>
    <row r="6674" spans="1:15" ht="32" x14ac:dyDescent="0.2">
      <c r="A6674" s="7" t="str">
        <f>HYPERLINK("https://otsuka-europe-crm.veevavault.com/ui/#object/account__v/V4TZ06G6O71TCBW", "ROSER TORRA BALCELLS")</f>
        <v>ROSER TORRA BALCELLS</v>
      </c>
      <c r="B6674" s="7" t="str">
        <f t="shared" si="616"/>
        <v>ES</v>
      </c>
      <c r="C6674" s="8" t="s">
        <v>41</v>
      </c>
      <c r="D6674" s="9" t="str">
        <f t="shared" si="617"/>
        <v>LUP - VAE Póster Adelphi - Nefro</v>
      </c>
      <c r="E6674" s="10" t="str">
        <f>HYPERLINK("https://otsuka-europe-crm.veevavault.com/ui/#object/sent_email__v/VBL00000002S330", "SE-001434594")</f>
        <v>SE-001434594</v>
      </c>
      <c r="F6674" s="11"/>
      <c r="G6674" s="12">
        <v>0</v>
      </c>
      <c r="H6674" s="12">
        <v>0</v>
      </c>
      <c r="I6674" s="12">
        <v>0</v>
      </c>
      <c r="J6674" s="11"/>
      <c r="K6674" s="12">
        <v>0</v>
      </c>
      <c r="L6674" s="10" t="str">
        <f t="shared" si="618"/>
        <v>LUP - VAE Póster Adelphi - Nefro</v>
      </c>
      <c r="M6674" s="10" t="str">
        <f t="shared" si="619"/>
        <v>pmartinez@crm.otsuka-europe.com</v>
      </c>
      <c r="N6674" s="13">
        <v>46182.405428240738</v>
      </c>
      <c r="O6674" s="14" t="str">
        <f>HYPERLINK("https://otsuka-europe-crm.veevavault.com/ui/#object/email_activity__v/V8C00000003R391", "EN-002092503")</f>
        <v>EN-002092503</v>
      </c>
    </row>
    <row r="6675" spans="1:15" ht="32" x14ac:dyDescent="0.2">
      <c r="A6675" s="7" t="str">
        <f>HYPERLINK("https://otsuka-europe-crm.veevavault.com/ui/#object/account__v/V4TZ025E85M8OO8", "LAURA PANIAGUA GARCIA")</f>
        <v>LAURA PANIAGUA GARCIA</v>
      </c>
      <c r="B6675" s="7" t="str">
        <f t="shared" si="616"/>
        <v>ES</v>
      </c>
      <c r="C6675" s="8" t="s">
        <v>41</v>
      </c>
      <c r="D6675" s="9" t="str">
        <f t="shared" si="617"/>
        <v>LUP - VAE Póster Adelphi - Nefro</v>
      </c>
      <c r="E6675" s="10" t="str">
        <f>HYPERLINK("https://otsuka-europe-crm.veevavault.com/ui/#object/sent_email__v/VBL00000002S331", "SE-001434595")</f>
        <v>SE-001434595</v>
      </c>
      <c r="F6675" s="11"/>
      <c r="G6675" s="12">
        <v>0</v>
      </c>
      <c r="H6675" s="12">
        <v>0</v>
      </c>
      <c r="I6675" s="12">
        <v>0</v>
      </c>
      <c r="J6675" s="11"/>
      <c r="K6675" s="12">
        <v>0</v>
      </c>
      <c r="L6675" s="10" t="str">
        <f t="shared" si="618"/>
        <v>LUP - VAE Póster Adelphi - Nefro</v>
      </c>
      <c r="M6675" s="10" t="str">
        <f t="shared" si="619"/>
        <v>pmartinez@crm.otsuka-europe.com</v>
      </c>
      <c r="N6675" s="13">
        <v>46182.405428240738</v>
      </c>
      <c r="O6675" s="14" t="str">
        <f>HYPERLINK("https://otsuka-europe-crm.veevavault.com/ui/#object/email_activity__v/V8C00000003Q926", "EN-002092605")</f>
        <v>EN-002092605</v>
      </c>
    </row>
    <row r="6676" spans="1:15" ht="32" x14ac:dyDescent="0.2">
      <c r="A6676" s="7" t="str">
        <f>HYPERLINK("https://otsuka-europe-crm.veevavault.com/ui/#object/account__v/V4TZ025E85VJANP", "ERIKA JENELIA ROMERO ZALDUMBIDE")</f>
        <v>ERIKA JENELIA ROMERO ZALDUMBIDE</v>
      </c>
      <c r="B6676" s="7" t="str">
        <f t="shared" si="616"/>
        <v>ES</v>
      </c>
      <c r="C6676" s="8" t="s">
        <v>41</v>
      </c>
      <c r="D6676" s="9" t="str">
        <f t="shared" si="617"/>
        <v>LUP - VAE Póster Adelphi - Nefro</v>
      </c>
      <c r="E6676" s="10" t="str">
        <f>HYPERLINK("https://otsuka-europe-crm.veevavault.com/ui/#object/sent_email__v/VBL00000002S332", "SE-001434596")</f>
        <v>SE-001434596</v>
      </c>
      <c r="F6676" s="11"/>
      <c r="G6676" s="12">
        <v>0</v>
      </c>
      <c r="H6676" s="12">
        <v>0</v>
      </c>
      <c r="I6676" s="12">
        <v>0</v>
      </c>
      <c r="J6676" s="11"/>
      <c r="K6676" s="12">
        <v>0</v>
      </c>
      <c r="L6676" s="10" t="str">
        <f t="shared" si="618"/>
        <v>LUP - VAE Póster Adelphi - Nefro</v>
      </c>
      <c r="M6676" s="10" t="str">
        <f t="shared" si="619"/>
        <v>pmartinez@crm.otsuka-europe.com</v>
      </c>
      <c r="N6676" s="13">
        <v>46182.405428240738</v>
      </c>
      <c r="O6676" s="14" t="str">
        <f>HYPERLINK("https://otsuka-europe-crm.veevavault.com/ui/#object/email_activity__v/V8C00000003Q849", "EN-002092464")</f>
        <v>EN-002092464</v>
      </c>
    </row>
    <row r="6677" spans="1:15" ht="32" x14ac:dyDescent="0.2">
      <c r="A6677" s="7" t="str">
        <f>HYPERLINK("https://otsuka-europe-crm.veevavault.com/ui/#object/account__v/V4TZ06G6O71TCF9", "MARIA CARMEN VAZQUEZ GOMEZ")</f>
        <v>MARIA CARMEN VAZQUEZ GOMEZ</v>
      </c>
      <c r="B6677" s="7" t="str">
        <f t="shared" si="616"/>
        <v>ES</v>
      </c>
      <c r="C6677" s="8" t="s">
        <v>41</v>
      </c>
      <c r="D6677" s="9" t="str">
        <f t="shared" si="617"/>
        <v>LUP - VAE Póster Adelphi - Nefro</v>
      </c>
      <c r="E6677" s="10" t="str">
        <f>HYPERLINK("https://otsuka-europe-crm.veevavault.com/ui/#object/sent_email__v/VBL00000002S333", "SE-001434597")</f>
        <v>SE-001434597</v>
      </c>
      <c r="F6677" s="11"/>
      <c r="G6677" s="12">
        <v>0</v>
      </c>
      <c r="H6677" s="12">
        <v>0</v>
      </c>
      <c r="I6677" s="12">
        <v>0</v>
      </c>
      <c r="J6677" s="11"/>
      <c r="K6677" s="12">
        <v>0</v>
      </c>
      <c r="L6677" s="10" t="str">
        <f t="shared" si="618"/>
        <v>LUP - VAE Póster Adelphi - Nefro</v>
      </c>
      <c r="M6677" s="10" t="str">
        <f t="shared" si="619"/>
        <v>pmartinez@crm.otsuka-europe.com</v>
      </c>
      <c r="N6677" s="13">
        <v>46182.405428240738</v>
      </c>
      <c r="O6677" s="14" t="str">
        <f>HYPERLINK("https://otsuka-europe-crm.veevavault.com/ui/#object/email_activity__v/V8C00000003R427", "EN-002092577")</f>
        <v>EN-002092577</v>
      </c>
    </row>
    <row r="6678" spans="1:15" ht="16" x14ac:dyDescent="0.2">
      <c r="A6678" s="17" t="str">
        <f>HYPERLINK("https://otsuka-europe-crm.veevavault.com/ui/#object/account__v/V4TZ04ASGAOY7FM", "MIGUEL MARTINEZ BELOTTO")</f>
        <v>MIGUEL MARTINEZ BELOTTO</v>
      </c>
      <c r="B6678" s="17" t="str">
        <f t="shared" si="616"/>
        <v>ES</v>
      </c>
      <c r="C6678" s="20" t="s">
        <v>41</v>
      </c>
      <c r="D6678" s="21" t="str">
        <f t="shared" si="617"/>
        <v>LUP - VAE Póster Adelphi - Nefro</v>
      </c>
      <c r="E6678" s="22" t="str">
        <f>HYPERLINK("https://otsuka-europe-crm.veevavault.com/ui/#object/sent_email__v/VBL00000002S334", "SE-001434598")</f>
        <v>SE-001434598</v>
      </c>
      <c r="F6678" s="23">
        <v>46183.765682870369</v>
      </c>
      <c r="G6678" s="24">
        <v>1</v>
      </c>
      <c r="H6678" s="24">
        <v>5</v>
      </c>
      <c r="I6678" s="24">
        <v>1</v>
      </c>
      <c r="J6678" s="23">
        <v>46183.765856481485</v>
      </c>
      <c r="K6678" s="24">
        <v>2</v>
      </c>
      <c r="L6678" s="22" t="str">
        <f t="shared" si="618"/>
        <v>LUP - VAE Póster Adelphi - Nefro</v>
      </c>
      <c r="M6678" s="22" t="str">
        <f t="shared" si="619"/>
        <v>pmartinez@crm.otsuka-europe.com</v>
      </c>
      <c r="N6678" s="23">
        <v>46182.405347222222</v>
      </c>
      <c r="O6678" s="14" t="str">
        <f>HYPERLINK("https://otsuka-europe-crm.veevavault.com/ui/#object/email_activity__v/V8C00000003Q857", "EN-002092472")</f>
        <v>EN-002092472</v>
      </c>
    </row>
    <row r="6679" spans="1:15" ht="16" x14ac:dyDescent="0.2">
      <c r="A6679" s="18"/>
      <c r="B6679" s="18"/>
      <c r="C6679" s="18"/>
      <c r="D6679" s="18"/>
      <c r="E6679" s="18"/>
      <c r="F6679" s="18"/>
      <c r="G6679" s="18"/>
      <c r="H6679" s="18"/>
      <c r="I6679" s="18"/>
      <c r="J6679" s="18"/>
      <c r="K6679" s="18"/>
      <c r="L6679" s="18"/>
      <c r="M6679" s="18"/>
      <c r="N6679" s="18"/>
      <c r="O6679" s="14" t="str">
        <f>HYPERLINK("https://otsuka-europe-crm.veevavault.com/ui/#object/email_activity__v/V8C00000003R864", "EN-002093306")</f>
        <v>EN-002093306</v>
      </c>
    </row>
    <row r="6680" spans="1:15" ht="16" x14ac:dyDescent="0.2">
      <c r="A6680" s="18"/>
      <c r="B6680" s="18"/>
      <c r="C6680" s="18"/>
      <c r="D6680" s="18"/>
      <c r="E6680" s="18"/>
      <c r="F6680" s="18"/>
      <c r="G6680" s="18"/>
      <c r="H6680" s="18"/>
      <c r="I6680" s="18"/>
      <c r="J6680" s="18"/>
      <c r="K6680" s="18"/>
      <c r="L6680" s="18"/>
      <c r="M6680" s="18"/>
      <c r="N6680" s="18"/>
      <c r="O6680" s="14" t="str">
        <f>HYPERLINK("https://otsuka-europe-crm.veevavault.com/ui/#object/email_activity__v/V8C00000003S039", "EN-002092907")</f>
        <v>EN-002092907</v>
      </c>
    </row>
    <row r="6681" spans="1:15" ht="16" x14ac:dyDescent="0.2">
      <c r="A6681" s="18"/>
      <c r="B6681" s="18"/>
      <c r="C6681" s="18"/>
      <c r="D6681" s="18"/>
      <c r="E6681" s="18"/>
      <c r="F6681" s="18"/>
      <c r="G6681" s="18"/>
      <c r="H6681" s="18"/>
      <c r="I6681" s="18"/>
      <c r="J6681" s="18"/>
      <c r="K6681" s="18"/>
      <c r="L6681" s="18"/>
      <c r="M6681" s="18"/>
      <c r="N6681" s="18"/>
      <c r="O6681" s="14" t="str">
        <f>HYPERLINK("https://otsuka-europe-crm.veevavault.com/ui/#object/email_activity__v/V8C00000003S210", "EN-002093312")</f>
        <v>EN-002093312</v>
      </c>
    </row>
    <row r="6682" spans="1:15" ht="16" x14ac:dyDescent="0.2">
      <c r="A6682" s="18"/>
      <c r="B6682" s="18"/>
      <c r="C6682" s="18"/>
      <c r="D6682" s="18"/>
      <c r="E6682" s="18"/>
      <c r="F6682" s="18"/>
      <c r="G6682" s="18"/>
      <c r="H6682" s="18"/>
      <c r="I6682" s="18"/>
      <c r="J6682" s="18"/>
      <c r="K6682" s="18"/>
      <c r="L6682" s="18"/>
      <c r="M6682" s="18"/>
      <c r="N6682" s="18"/>
      <c r="O6682" s="14" t="str">
        <f>HYPERLINK("https://otsuka-europe-crm.veevavault.com/ui/#object/email_activity__v/V8C00000003S211", "EN-002093313")</f>
        <v>EN-002093313</v>
      </c>
    </row>
    <row r="6683" spans="1:15" ht="16" x14ac:dyDescent="0.2">
      <c r="A6683" s="18"/>
      <c r="B6683" s="18"/>
      <c r="C6683" s="18"/>
      <c r="D6683" s="18"/>
      <c r="E6683" s="18"/>
      <c r="F6683" s="18"/>
      <c r="G6683" s="18"/>
      <c r="H6683" s="18"/>
      <c r="I6683" s="18"/>
      <c r="J6683" s="18"/>
      <c r="K6683" s="18"/>
      <c r="L6683" s="18"/>
      <c r="M6683" s="18"/>
      <c r="N6683" s="18"/>
      <c r="O6683" s="14" t="str">
        <f>HYPERLINK("https://otsuka-europe-crm.veevavault.com/ui/#object/email_activity__v/V8C00000003S764", "EN-002094394")</f>
        <v>EN-002094394</v>
      </c>
    </row>
    <row r="6684" spans="1:15" ht="16" x14ac:dyDescent="0.2">
      <c r="A6684" s="18"/>
      <c r="B6684" s="18"/>
      <c r="C6684" s="18"/>
      <c r="D6684" s="18"/>
      <c r="E6684" s="18"/>
      <c r="F6684" s="18"/>
      <c r="G6684" s="18"/>
      <c r="H6684" s="18"/>
      <c r="I6684" s="18"/>
      <c r="J6684" s="18"/>
      <c r="K6684" s="18"/>
      <c r="L6684" s="18"/>
      <c r="M6684" s="18"/>
      <c r="N6684" s="18"/>
      <c r="O6684" s="14" t="str">
        <f>HYPERLINK("https://otsuka-europe-crm.veevavault.com/ui/#object/email_activity__v/V8C00000003S765", "EN-002094395")</f>
        <v>EN-002094395</v>
      </c>
    </row>
    <row r="6685" spans="1:15" ht="16" x14ac:dyDescent="0.2">
      <c r="A6685" s="18"/>
      <c r="B6685" s="18"/>
      <c r="C6685" s="18"/>
      <c r="D6685" s="18"/>
      <c r="E6685" s="18"/>
      <c r="F6685" s="18"/>
      <c r="G6685" s="18"/>
      <c r="H6685" s="18"/>
      <c r="I6685" s="18"/>
      <c r="J6685" s="18"/>
      <c r="K6685" s="18"/>
      <c r="L6685" s="18"/>
      <c r="M6685" s="18"/>
      <c r="N6685" s="18"/>
      <c r="O6685" s="14" t="str">
        <f>HYPERLINK("https://otsuka-europe-crm.veevavault.com/ui/#object/email_activity__v/V8C00000003S766", "EN-002094396")</f>
        <v>EN-002094396</v>
      </c>
    </row>
    <row r="6686" spans="1:15" ht="16" x14ac:dyDescent="0.2">
      <c r="A6686" s="18"/>
      <c r="B6686" s="18"/>
      <c r="C6686" s="18"/>
      <c r="D6686" s="18"/>
      <c r="E6686" s="18"/>
      <c r="F6686" s="18"/>
      <c r="G6686" s="18"/>
      <c r="H6686" s="18"/>
      <c r="I6686" s="18"/>
      <c r="J6686" s="18"/>
      <c r="K6686" s="18"/>
      <c r="L6686" s="18"/>
      <c r="M6686" s="18"/>
      <c r="N6686" s="18"/>
      <c r="O6686" s="14" t="str">
        <f>HYPERLINK("https://otsuka-europe-crm.veevavault.com/ui/#object/email_activity__v/V8C00000003S768", "EN-002094398")</f>
        <v>EN-002094398</v>
      </c>
    </row>
    <row r="6687" spans="1:15" ht="16" x14ac:dyDescent="0.2">
      <c r="A6687" s="18"/>
      <c r="B6687" s="18"/>
      <c r="C6687" s="18"/>
      <c r="D6687" s="18"/>
      <c r="E6687" s="18"/>
      <c r="F6687" s="18"/>
      <c r="G6687" s="18"/>
      <c r="H6687" s="18"/>
      <c r="I6687" s="18"/>
      <c r="J6687" s="18"/>
      <c r="K6687" s="18"/>
      <c r="L6687" s="18"/>
      <c r="M6687" s="18"/>
      <c r="N6687" s="18"/>
      <c r="O6687" s="14" t="str">
        <f>HYPERLINK("https://otsuka-europe-crm.veevavault.com/ui/#object/email_activity__v/V8C00000003S769", "EN-002094399")</f>
        <v>EN-002094399</v>
      </c>
    </row>
    <row r="6688" spans="1:15" ht="16" x14ac:dyDescent="0.2">
      <c r="A6688" s="18"/>
      <c r="B6688" s="18"/>
      <c r="C6688" s="18"/>
      <c r="D6688" s="18"/>
      <c r="E6688" s="18"/>
      <c r="F6688" s="18"/>
      <c r="G6688" s="18"/>
      <c r="H6688" s="18"/>
      <c r="I6688" s="18"/>
      <c r="J6688" s="18"/>
      <c r="K6688" s="18"/>
      <c r="L6688" s="18"/>
      <c r="M6688" s="18"/>
      <c r="N6688" s="18"/>
      <c r="O6688" s="14" t="str">
        <f>HYPERLINK("https://otsuka-europe-crm.veevavault.com/ui/#object/email_activity__v/V8C00000003T386", "EN-002094375")</f>
        <v>EN-002094375</v>
      </c>
    </row>
    <row r="6689" spans="1:15" ht="16" x14ac:dyDescent="0.2">
      <c r="A6689" s="18"/>
      <c r="B6689" s="18"/>
      <c r="C6689" s="18"/>
      <c r="D6689" s="18"/>
      <c r="E6689" s="18"/>
      <c r="F6689" s="18"/>
      <c r="G6689" s="18"/>
      <c r="H6689" s="18"/>
      <c r="I6689" s="18"/>
      <c r="J6689" s="18"/>
      <c r="K6689" s="18"/>
      <c r="L6689" s="18"/>
      <c r="M6689" s="18"/>
      <c r="N6689" s="18"/>
      <c r="O6689" s="14" t="str">
        <f>HYPERLINK("https://otsuka-europe-crm.veevavault.com/ui/#object/email_activity__v/V8C00000003T387", "EN-002094376")</f>
        <v>EN-002094376</v>
      </c>
    </row>
    <row r="6690" spans="1:15" ht="16" x14ac:dyDescent="0.2">
      <c r="A6690" s="19"/>
      <c r="B6690" s="19"/>
      <c r="C6690" s="19"/>
      <c r="D6690" s="19"/>
      <c r="E6690" s="19"/>
      <c r="F6690" s="19"/>
      <c r="G6690" s="19"/>
      <c r="H6690" s="19"/>
      <c r="I6690" s="19"/>
      <c r="J6690" s="19"/>
      <c r="K6690" s="19"/>
      <c r="L6690" s="19"/>
      <c r="M6690" s="19"/>
      <c r="N6690" s="19"/>
      <c r="O6690" s="14" t="str">
        <f>HYPERLINK("https://otsuka-europe-crm.veevavault.com/ui/#object/email_activity__v/V8C00000003T388", "EN-002094377")</f>
        <v>EN-002094377</v>
      </c>
    </row>
    <row r="6691" spans="1:15" ht="32" x14ac:dyDescent="0.2">
      <c r="A6691" s="7" t="str">
        <f>HYPERLINK("https://otsuka-europe-crm.veevavault.com/ui/#object/account__v/V4TZ06G6O71TBZQ", "JUAN CARLOS RUIZ SAN MILLAN")</f>
        <v>JUAN CARLOS RUIZ SAN MILLAN</v>
      </c>
      <c r="B6691" s="7" t="str">
        <f>HYPERLINK("https://otsuka-europe-crm.veevavault.com/ui/#object/vcountry__v/VENZ000004SONF5", "ES")</f>
        <v>ES</v>
      </c>
      <c r="C6691" s="8" t="s">
        <v>41</v>
      </c>
      <c r="D6691" s="9" t="str">
        <f>HYPERLINK("https://otsuka-europe-crm.veevavault.com/ui/#object/approved_document__v/V5O00000001A037", "LUP - VAE Póster Adelphi - Nefro")</f>
        <v>LUP - VAE Póster Adelphi - Nefro</v>
      </c>
      <c r="E6691" s="10" t="str">
        <f>HYPERLINK("https://otsuka-europe-crm.veevavault.com/ui/#object/sent_email__v/VBL00000002S335", "SE-001434599")</f>
        <v>SE-001434599</v>
      </c>
      <c r="F6691" s="11"/>
      <c r="G6691" s="12">
        <v>0</v>
      </c>
      <c r="H6691" s="12">
        <v>0</v>
      </c>
      <c r="I6691" s="12">
        <v>0</v>
      </c>
      <c r="J6691" s="11"/>
      <c r="K6691" s="12">
        <v>0</v>
      </c>
      <c r="L6691" s="10" t="str">
        <f>HYPERLINK("https://otsuka-europe-crm.veevavault.com/ui/#object/approved_document__v/V5O00000001A037", "LUP - VAE Póster Adelphi - Nefro")</f>
        <v>LUP - VAE Póster Adelphi - Nefro</v>
      </c>
      <c r="M6691" s="10" t="str">
        <f>HYPERLINK("mailto:pmartinez@crm.otsuka-europe.com", "pmartinez@crm.otsuka-europe.com")</f>
        <v>pmartinez@crm.otsuka-europe.com</v>
      </c>
      <c r="N6691" s="13">
        <v>46182.405335648145</v>
      </c>
      <c r="O6691" s="14" t="str">
        <f>HYPERLINK("https://otsuka-europe-crm.veevavault.com/ui/#object/email_activity__v/V8C00000003Q840", "EN-002092455")</f>
        <v>EN-002092455</v>
      </c>
    </row>
    <row r="6692" spans="1:15" ht="16" x14ac:dyDescent="0.2">
      <c r="A6692" s="17" t="str">
        <f>HYPERLINK("https://otsuka-europe-crm.veevavault.com/ui/#object/account__v/V4TZ06G6O71TAZU", "TAMARA GELEM MALEK MARIN")</f>
        <v>TAMARA GELEM MALEK MARIN</v>
      </c>
      <c r="B6692" s="17" t="str">
        <f>HYPERLINK("https://otsuka-europe-crm.veevavault.com/ui/#object/vcountry__v/VENZ000004SONF5", "ES")</f>
        <v>ES</v>
      </c>
      <c r="C6692" s="20" t="s">
        <v>41</v>
      </c>
      <c r="D6692" s="21" t="str">
        <f>HYPERLINK("https://otsuka-europe-crm.veevavault.com/ui/#object/approved_document__v/V5O00000001A037", "LUP - VAE Póster Adelphi - Nefro")</f>
        <v>LUP - VAE Póster Adelphi - Nefro</v>
      </c>
      <c r="E6692" s="22" t="str">
        <f>HYPERLINK("https://otsuka-europe-crm.veevavault.com/ui/#object/sent_email__v/VBL00000002S336", "SE-001434600")</f>
        <v>SE-001434600</v>
      </c>
      <c r="F6692" s="23">
        <v>46199.446643518517</v>
      </c>
      <c r="G6692" s="24">
        <v>1</v>
      </c>
      <c r="H6692" s="24">
        <v>6</v>
      </c>
      <c r="I6692" s="24">
        <v>0</v>
      </c>
      <c r="J6692" s="25"/>
      <c r="K6692" s="24">
        <v>0</v>
      </c>
      <c r="L6692" s="22" t="str">
        <f>HYPERLINK("https://otsuka-europe-crm.veevavault.com/ui/#object/approved_document__v/V5O00000001A037", "LUP - VAE Póster Adelphi - Nefro")</f>
        <v>LUP - VAE Póster Adelphi - Nefro</v>
      </c>
      <c r="M6692" s="22" t="str">
        <f>HYPERLINK("mailto:pmartinez@crm.otsuka-europe.com", "pmartinez@crm.otsuka-europe.com")</f>
        <v>pmartinez@crm.otsuka-europe.com</v>
      </c>
      <c r="N6692" s="23">
        <v>46182.405335648145</v>
      </c>
      <c r="O6692" s="14" t="str">
        <f>HYPERLINK("https://otsuka-europe-crm.veevavault.com/ui/#object/email_activity__v/V8C00000003Q876", "EN-002092507")</f>
        <v>EN-002092507</v>
      </c>
    </row>
    <row r="6693" spans="1:15" ht="16" x14ac:dyDescent="0.2">
      <c r="A6693" s="18"/>
      <c r="B6693" s="18"/>
      <c r="C6693" s="18"/>
      <c r="D6693" s="18"/>
      <c r="E6693" s="18"/>
      <c r="F6693" s="18"/>
      <c r="G6693" s="18"/>
      <c r="H6693" s="18"/>
      <c r="I6693" s="18"/>
      <c r="J6693" s="18"/>
      <c r="K6693" s="18"/>
      <c r="L6693" s="18"/>
      <c r="M6693" s="18"/>
      <c r="N6693" s="18"/>
      <c r="O6693" s="14" t="str">
        <f>HYPERLINK("https://otsuka-europe-crm.veevavault.com/ui/#object/email_activity__v/V8C00000003S420", "EN-002093742")</f>
        <v>EN-002093742</v>
      </c>
    </row>
    <row r="6694" spans="1:15" ht="16" x14ac:dyDescent="0.2">
      <c r="A6694" s="18"/>
      <c r="B6694" s="18"/>
      <c r="C6694" s="18"/>
      <c r="D6694" s="18"/>
      <c r="E6694" s="18"/>
      <c r="F6694" s="18"/>
      <c r="G6694" s="18"/>
      <c r="H6694" s="18"/>
      <c r="I6694" s="18"/>
      <c r="J6694" s="18"/>
      <c r="K6694" s="18"/>
      <c r="L6694" s="18"/>
      <c r="M6694" s="18"/>
      <c r="N6694" s="18"/>
      <c r="O6694" s="14" t="str">
        <f>HYPERLINK("https://otsuka-europe-crm.veevavault.com/ui/#object/email_activity__v/V8C00000003T085", "EN-002093739")</f>
        <v>EN-002093739</v>
      </c>
    </row>
    <row r="6695" spans="1:15" ht="16" x14ac:dyDescent="0.2">
      <c r="A6695" s="18"/>
      <c r="B6695" s="18"/>
      <c r="C6695" s="18"/>
      <c r="D6695" s="18"/>
      <c r="E6695" s="18"/>
      <c r="F6695" s="18"/>
      <c r="G6695" s="18"/>
      <c r="H6695" s="18"/>
      <c r="I6695" s="18"/>
      <c r="J6695" s="18"/>
      <c r="K6695" s="18"/>
      <c r="L6695" s="18"/>
      <c r="M6695" s="18"/>
      <c r="N6695" s="18"/>
      <c r="O6695" s="14" t="str">
        <f>HYPERLINK("https://otsuka-europe-crm.veevavault.com/ui/#object/email_activity__v/V8C00000003U793", "EN-002096511")</f>
        <v>EN-002096511</v>
      </c>
    </row>
    <row r="6696" spans="1:15" ht="16" x14ac:dyDescent="0.2">
      <c r="A6696" s="18"/>
      <c r="B6696" s="18"/>
      <c r="C6696" s="18"/>
      <c r="D6696" s="18"/>
      <c r="E6696" s="18"/>
      <c r="F6696" s="18"/>
      <c r="G6696" s="18"/>
      <c r="H6696" s="18"/>
      <c r="I6696" s="18"/>
      <c r="J6696" s="18"/>
      <c r="K6696" s="18"/>
      <c r="L6696" s="18"/>
      <c r="M6696" s="18"/>
      <c r="N6696" s="18"/>
      <c r="O6696" s="14" t="str">
        <f>HYPERLINK("https://otsuka-europe-crm.veevavault.com/ui/#object/email_activity__v/V8C00000003U794", "EN-002096512")</f>
        <v>EN-002096512</v>
      </c>
    </row>
    <row r="6697" spans="1:15" ht="16" x14ac:dyDescent="0.2">
      <c r="A6697" s="18"/>
      <c r="B6697" s="18"/>
      <c r="C6697" s="18"/>
      <c r="D6697" s="18"/>
      <c r="E6697" s="18"/>
      <c r="F6697" s="18"/>
      <c r="G6697" s="18"/>
      <c r="H6697" s="18"/>
      <c r="I6697" s="18"/>
      <c r="J6697" s="18"/>
      <c r="K6697" s="18"/>
      <c r="L6697" s="18"/>
      <c r="M6697" s="18"/>
      <c r="N6697" s="18"/>
      <c r="O6697" s="14" t="str">
        <f>HYPERLINK("https://otsuka-europe-crm.veevavault.com/ui/#object/email_activity__v/V8C00000003V903", "EN-002096509")</f>
        <v>EN-002096509</v>
      </c>
    </row>
    <row r="6698" spans="1:15" ht="16" x14ac:dyDescent="0.2">
      <c r="A6698" s="19"/>
      <c r="B6698" s="19"/>
      <c r="C6698" s="19"/>
      <c r="D6698" s="19"/>
      <c r="E6698" s="19"/>
      <c r="F6698" s="19"/>
      <c r="G6698" s="19"/>
      <c r="H6698" s="19"/>
      <c r="I6698" s="19"/>
      <c r="J6698" s="19"/>
      <c r="K6698" s="19"/>
      <c r="L6698" s="19"/>
      <c r="M6698" s="19"/>
      <c r="N6698" s="19"/>
      <c r="O6698" s="14" t="str">
        <f>HYPERLINK("https://otsuka-europe-crm.veevavault.com/ui/#object/email_activity__v/V8C000000041032", "EN-002099767")</f>
        <v>EN-002099767</v>
      </c>
    </row>
    <row r="6699" spans="1:15" ht="16" x14ac:dyDescent="0.2">
      <c r="A6699" s="17" t="str">
        <f>HYPERLINK("https://otsuka-europe-crm.veevavault.com/ui/#object/account__v/V4TZ06G6O71TB31", "VICTOR MARTINEZ JIMENEZ")</f>
        <v>VICTOR MARTINEZ JIMENEZ</v>
      </c>
      <c r="B6699" s="17" t="str">
        <f>HYPERLINK("https://otsuka-europe-crm.veevavault.com/ui/#object/vcountry__v/VENZ000004SONF5", "ES")</f>
        <v>ES</v>
      </c>
      <c r="C6699" s="20" t="s">
        <v>41</v>
      </c>
      <c r="D6699" s="21" t="str">
        <f>HYPERLINK("https://otsuka-europe-crm.veevavault.com/ui/#object/approved_document__v/V5O00000001A037", "LUP - VAE Póster Adelphi - Nefro")</f>
        <v>LUP - VAE Póster Adelphi - Nefro</v>
      </c>
      <c r="E6699" s="22" t="str">
        <f>HYPERLINK("https://otsuka-europe-crm.veevavault.com/ui/#object/sent_email__v/VBL00000002S337", "SE-001434601")</f>
        <v>SE-001434601</v>
      </c>
      <c r="F6699" s="23">
        <v>46183.61078703704</v>
      </c>
      <c r="G6699" s="24">
        <v>1</v>
      </c>
      <c r="H6699" s="24">
        <v>1</v>
      </c>
      <c r="I6699" s="24">
        <v>0</v>
      </c>
      <c r="J6699" s="25"/>
      <c r="K6699" s="24">
        <v>0</v>
      </c>
      <c r="L6699" s="22" t="str">
        <f>HYPERLINK("https://otsuka-europe-crm.veevavault.com/ui/#object/approved_document__v/V5O00000001A037", "LUP - VAE Póster Adelphi - Nefro")</f>
        <v>LUP - VAE Póster Adelphi - Nefro</v>
      </c>
      <c r="M6699" s="22" t="str">
        <f>HYPERLINK("mailto:pmartinez@crm.otsuka-europe.com", "pmartinez@crm.otsuka-europe.com")</f>
        <v>pmartinez@crm.otsuka-europe.com</v>
      </c>
      <c r="N6699" s="23">
        <v>46182.405335648145</v>
      </c>
      <c r="O6699" s="14" t="str">
        <f>HYPERLINK("https://otsuka-europe-crm.veevavault.com/ui/#object/email_activity__v/V8C00000003Q875", "EN-002092506")</f>
        <v>EN-002092506</v>
      </c>
    </row>
    <row r="6700" spans="1:15" ht="16" x14ac:dyDescent="0.2">
      <c r="A6700" s="18"/>
      <c r="B6700" s="18"/>
      <c r="C6700" s="18"/>
      <c r="D6700" s="18"/>
      <c r="E6700" s="18"/>
      <c r="F6700" s="18"/>
      <c r="G6700" s="18"/>
      <c r="H6700" s="18"/>
      <c r="I6700" s="18"/>
      <c r="J6700" s="18"/>
      <c r="K6700" s="18"/>
      <c r="L6700" s="18"/>
      <c r="M6700" s="18"/>
      <c r="N6700" s="18"/>
      <c r="O6700" s="14" t="str">
        <f>HYPERLINK("https://otsuka-europe-crm.veevavault.com/ui/#object/email_activity__v/V8C00000003S693", "EN-002094272")</f>
        <v>EN-002094272</v>
      </c>
    </row>
    <row r="6701" spans="1:15" ht="16" x14ac:dyDescent="0.2">
      <c r="A6701" s="19"/>
      <c r="B6701" s="19"/>
      <c r="C6701" s="19"/>
      <c r="D6701" s="19"/>
      <c r="E6701" s="19"/>
      <c r="F6701" s="19"/>
      <c r="G6701" s="19"/>
      <c r="H6701" s="19"/>
      <c r="I6701" s="19"/>
      <c r="J6701" s="19"/>
      <c r="K6701" s="19"/>
      <c r="L6701" s="19"/>
      <c r="M6701" s="19"/>
      <c r="N6701" s="19"/>
      <c r="O6701" s="14" t="str">
        <f>HYPERLINK("https://otsuka-europe-crm.veevavault.com/ui/#object/email_activity__v/V8C00000003U365", "EN-002095589")</f>
        <v>EN-002095589</v>
      </c>
    </row>
    <row r="6702" spans="1:15" ht="16" x14ac:dyDescent="0.2">
      <c r="A6702" s="17" t="str">
        <f>HYPERLINK("https://otsuka-europe-crm.veevavault.com/ui/#object/account__v/V4TZ06G6O71T8DL", "JAVIER NARANJO MUÑOZ")</f>
        <v>JAVIER NARANJO MUÑOZ</v>
      </c>
      <c r="B6702" s="17" t="str">
        <f>HYPERLINK("https://otsuka-europe-crm.veevavault.com/ui/#object/vcountry__v/VENZ000004SONF5", "ES")</f>
        <v>ES</v>
      </c>
      <c r="C6702" s="20" t="s">
        <v>41</v>
      </c>
      <c r="D6702" s="21" t="str">
        <f>HYPERLINK("https://otsuka-europe-crm.veevavault.com/ui/#object/approved_document__v/V5O00000001A037", "LUP - VAE Póster Adelphi - Nefro")</f>
        <v>LUP - VAE Póster Adelphi - Nefro</v>
      </c>
      <c r="E6702" s="22" t="str">
        <f>HYPERLINK("https://otsuka-europe-crm.veevavault.com/ui/#object/sent_email__v/VBL00000002S338", "SE-001434602")</f>
        <v>SE-001434602</v>
      </c>
      <c r="F6702" s="23">
        <v>46182.408645833333</v>
      </c>
      <c r="G6702" s="24">
        <v>1</v>
      </c>
      <c r="H6702" s="24">
        <v>1</v>
      </c>
      <c r="I6702" s="24">
        <v>0</v>
      </c>
      <c r="J6702" s="25"/>
      <c r="K6702" s="24">
        <v>0</v>
      </c>
      <c r="L6702" s="22" t="str">
        <f>HYPERLINK("https://otsuka-europe-crm.veevavault.com/ui/#object/approved_document__v/V5O00000001A037", "LUP - VAE Póster Adelphi - Nefro")</f>
        <v>LUP - VAE Póster Adelphi - Nefro</v>
      </c>
      <c r="M6702" s="22" t="str">
        <f>HYPERLINK("mailto:pmartinez@crm.otsuka-europe.com", "pmartinez@crm.otsuka-europe.com")</f>
        <v>pmartinez@crm.otsuka-europe.com</v>
      </c>
      <c r="N6702" s="23">
        <v>46182.405335648145</v>
      </c>
      <c r="O6702" s="14" t="str">
        <f>HYPERLINK("https://otsuka-europe-crm.veevavault.com/ui/#object/email_activity__v/V8C00000003Q816", "EN-002092431")</f>
        <v>EN-002092431</v>
      </c>
    </row>
    <row r="6703" spans="1:15" ht="16" x14ac:dyDescent="0.2">
      <c r="A6703" s="19"/>
      <c r="B6703" s="19"/>
      <c r="C6703" s="19"/>
      <c r="D6703" s="19"/>
      <c r="E6703" s="19"/>
      <c r="F6703" s="19"/>
      <c r="G6703" s="19"/>
      <c r="H6703" s="19"/>
      <c r="I6703" s="19"/>
      <c r="J6703" s="19"/>
      <c r="K6703" s="19"/>
      <c r="L6703" s="19"/>
      <c r="M6703" s="19"/>
      <c r="N6703" s="19"/>
      <c r="O6703" s="14" t="str">
        <f>HYPERLINK("https://otsuka-europe-crm.veevavault.com/ui/#object/email_activity__v/V8C00000003R539", "EN-002092738")</f>
        <v>EN-002092738</v>
      </c>
    </row>
    <row r="6704" spans="1:15" ht="16" x14ac:dyDescent="0.2">
      <c r="A6704" s="17" t="str">
        <f>HYPERLINK("https://otsuka-europe-crm.veevavault.com/ui/#object/account__v/V4TZ06G6O71TAO7", "JOSE MARIA CRUZADO GARRIT")</f>
        <v>JOSE MARIA CRUZADO GARRIT</v>
      </c>
      <c r="B6704" s="17" t="str">
        <f>HYPERLINK("https://otsuka-europe-crm.veevavault.com/ui/#object/vcountry__v/VENZ000004SONF5", "ES")</f>
        <v>ES</v>
      </c>
      <c r="C6704" s="20" t="s">
        <v>41</v>
      </c>
      <c r="D6704" s="21" t="str">
        <f>HYPERLINK("https://otsuka-europe-crm.veevavault.com/ui/#object/approved_document__v/V5O00000001A037", "LUP - VAE Póster Adelphi - Nefro")</f>
        <v>LUP - VAE Póster Adelphi - Nefro</v>
      </c>
      <c r="E6704" s="22" t="str">
        <f>HYPERLINK("https://otsuka-europe-crm.veevavault.com/ui/#object/sent_email__v/VBL00000002S339", "SE-001434603")</f>
        <v>SE-001434603</v>
      </c>
      <c r="F6704" s="25"/>
      <c r="G6704" s="24">
        <v>0</v>
      </c>
      <c r="H6704" s="24">
        <v>0</v>
      </c>
      <c r="I6704" s="24">
        <v>0</v>
      </c>
      <c r="J6704" s="25"/>
      <c r="K6704" s="24">
        <v>0</v>
      </c>
      <c r="L6704" s="22" t="str">
        <f>HYPERLINK("https://otsuka-europe-crm.veevavault.com/ui/#object/approved_document__v/V5O00000001A037", "LUP - VAE Póster Adelphi - Nefro")</f>
        <v>LUP - VAE Póster Adelphi - Nefro</v>
      </c>
      <c r="M6704" s="22" t="str">
        <f>HYPERLINK("mailto:pmartinez@crm.otsuka-europe.com", "pmartinez@crm.otsuka-europe.com")</f>
        <v>pmartinez@crm.otsuka-europe.com</v>
      </c>
      <c r="N6704" s="23">
        <v>46182.405428240738</v>
      </c>
      <c r="O6704" s="14" t="str">
        <f>HYPERLINK("https://otsuka-europe-crm.veevavault.com/ui/#object/email_activity__v/V8C00000003Q828", "EN-002092443")</f>
        <v>EN-002092443</v>
      </c>
    </row>
    <row r="6705" spans="1:15" ht="16" x14ac:dyDescent="0.2">
      <c r="A6705" s="19"/>
      <c r="B6705" s="19"/>
      <c r="C6705" s="19"/>
      <c r="D6705" s="19"/>
      <c r="E6705" s="19"/>
      <c r="F6705" s="19"/>
      <c r="G6705" s="19"/>
      <c r="H6705" s="19"/>
      <c r="I6705" s="19"/>
      <c r="J6705" s="19"/>
      <c r="K6705" s="19"/>
      <c r="L6705" s="19"/>
      <c r="M6705" s="19"/>
      <c r="N6705" s="19"/>
      <c r="O6705" s="14" t="str">
        <f>HYPERLINK("https://otsuka-europe-crm.veevavault.com/ui/#object/email_activity__v/V8C00000003S432", "EN-002093773")</f>
        <v>EN-002093773</v>
      </c>
    </row>
    <row r="6706" spans="1:15" ht="32" x14ac:dyDescent="0.2">
      <c r="A6706" s="7" t="str">
        <f>HYPERLINK("https://otsuka-europe-crm.veevavault.com/ui/#object/account__v/V4TZ06G6O71TCJK", "JOSE MANUEL URBIZU GALLARDO")</f>
        <v>JOSE MANUEL URBIZU GALLARDO</v>
      </c>
      <c r="B6706" s="7" t="str">
        <f t="shared" ref="B6706:B6711" si="620">HYPERLINK("https://otsuka-europe-crm.veevavault.com/ui/#object/vcountry__v/VENZ000004SONF5", "ES")</f>
        <v>ES</v>
      </c>
      <c r="C6706" s="8" t="s">
        <v>41</v>
      </c>
      <c r="D6706" s="9" t="str">
        <f t="shared" ref="D6706:D6711" si="621">HYPERLINK("https://otsuka-europe-crm.veevavault.com/ui/#object/approved_document__v/V5O00000001A037", "LUP - VAE Póster Adelphi - Nefro")</f>
        <v>LUP - VAE Póster Adelphi - Nefro</v>
      </c>
      <c r="E6706" s="10" t="str">
        <f>HYPERLINK("https://otsuka-europe-crm.veevavault.com/ui/#object/sent_email__v/VBL00000002S340", "SE-001434604")</f>
        <v>SE-001434604</v>
      </c>
      <c r="F6706" s="11"/>
      <c r="G6706" s="12">
        <v>0</v>
      </c>
      <c r="H6706" s="12">
        <v>0</v>
      </c>
      <c r="I6706" s="12">
        <v>0</v>
      </c>
      <c r="J6706" s="11"/>
      <c r="K6706" s="12">
        <v>0</v>
      </c>
      <c r="L6706" s="10" t="str">
        <f t="shared" ref="L6706:L6711" si="622">HYPERLINK("https://otsuka-europe-crm.veevavault.com/ui/#object/approved_document__v/V5O00000001A037", "LUP - VAE Póster Adelphi - Nefro")</f>
        <v>LUP - VAE Póster Adelphi - Nefro</v>
      </c>
      <c r="M6706" s="10" t="str">
        <f t="shared" ref="M6706:M6711" si="623">HYPERLINK("mailto:pmartinez@crm.otsuka-europe.com", "pmartinez@crm.otsuka-europe.com")</f>
        <v>pmartinez@crm.otsuka-europe.com</v>
      </c>
      <c r="N6706" s="13">
        <v>46182.405428240738</v>
      </c>
      <c r="O6706" s="14" t="str">
        <f>HYPERLINK("https://otsuka-europe-crm.veevavault.com/ui/#object/email_activity__v/V8C00000003Q919", "EN-002092597")</f>
        <v>EN-002092597</v>
      </c>
    </row>
    <row r="6707" spans="1:15" ht="32" x14ac:dyDescent="0.2">
      <c r="A6707" s="7" t="str">
        <f>HYPERLINK("https://otsuka-europe-crm.veevavault.com/ui/#object/account__v/V4TZ06G6O71T7HJ", "FABIOLA ALONSO GARCIA")</f>
        <v>FABIOLA ALONSO GARCIA</v>
      </c>
      <c r="B6707" s="7" t="str">
        <f t="shared" si="620"/>
        <v>ES</v>
      </c>
      <c r="C6707" s="8" t="s">
        <v>41</v>
      </c>
      <c r="D6707" s="9" t="str">
        <f t="shared" si="621"/>
        <v>LUP - VAE Póster Adelphi - Nefro</v>
      </c>
      <c r="E6707" s="10" t="str">
        <f>HYPERLINK("https://otsuka-europe-crm.veevavault.com/ui/#object/sent_email__v/VBL00000002S341", "SE-001434605")</f>
        <v>SE-001434605</v>
      </c>
      <c r="F6707" s="11"/>
      <c r="G6707" s="12">
        <v>0</v>
      </c>
      <c r="H6707" s="12">
        <v>0</v>
      </c>
      <c r="I6707" s="12">
        <v>0</v>
      </c>
      <c r="J6707" s="11"/>
      <c r="K6707" s="12">
        <v>0</v>
      </c>
      <c r="L6707" s="10" t="str">
        <f t="shared" si="622"/>
        <v>LUP - VAE Póster Adelphi - Nefro</v>
      </c>
      <c r="M6707" s="10" t="str">
        <f t="shared" si="623"/>
        <v>pmartinez@crm.otsuka-europe.com</v>
      </c>
      <c r="N6707" s="13">
        <v>46182.405428240738</v>
      </c>
      <c r="O6707" s="14" t="str">
        <f>HYPERLINK("https://otsuka-europe-crm.veevavault.com/ui/#object/email_activity__v/V8C00000003Q892", "EN-002092526")</f>
        <v>EN-002092526</v>
      </c>
    </row>
    <row r="6708" spans="1:15" ht="32" x14ac:dyDescent="0.2">
      <c r="A6708" s="7" t="str">
        <f>HYPERLINK("https://otsuka-europe-crm.veevavault.com/ui/#object/account__v/V4TZ06G6O71T76V", "CRISTINA CASTRO ALONSO")</f>
        <v>CRISTINA CASTRO ALONSO</v>
      </c>
      <c r="B6708" s="7" t="str">
        <f t="shared" si="620"/>
        <v>ES</v>
      </c>
      <c r="C6708" s="8" t="s">
        <v>41</v>
      </c>
      <c r="D6708" s="9" t="str">
        <f t="shared" si="621"/>
        <v>LUP - VAE Póster Adelphi - Nefro</v>
      </c>
      <c r="E6708" s="10" t="str">
        <f>HYPERLINK("https://otsuka-europe-crm.veevavault.com/ui/#object/sent_email__v/VBL00000002S342", "SE-001434606")</f>
        <v>SE-001434606</v>
      </c>
      <c r="F6708" s="11"/>
      <c r="G6708" s="12">
        <v>0</v>
      </c>
      <c r="H6708" s="12">
        <v>0</v>
      </c>
      <c r="I6708" s="12">
        <v>0</v>
      </c>
      <c r="J6708" s="11"/>
      <c r="K6708" s="12">
        <v>0</v>
      </c>
      <c r="L6708" s="10" t="str">
        <f t="shared" si="622"/>
        <v>LUP - VAE Póster Adelphi - Nefro</v>
      </c>
      <c r="M6708" s="10" t="str">
        <f t="shared" si="623"/>
        <v>pmartinez@crm.otsuka-europe.com</v>
      </c>
      <c r="N6708" s="13">
        <v>46182.405428240738</v>
      </c>
      <c r="O6708" s="14" t="str">
        <f>HYPERLINK("https://otsuka-europe-crm.veevavault.com/ui/#object/email_activity__v/V8C00000003Q843", "EN-002092458")</f>
        <v>EN-002092458</v>
      </c>
    </row>
    <row r="6709" spans="1:15" ht="32" x14ac:dyDescent="0.2">
      <c r="A6709" s="7" t="str">
        <f>HYPERLINK("https://otsuka-europe-crm.veevavault.com/ui/#object/account__v/V4TZ04ASG763UXI", "CRISTINA PEREZ MELON")</f>
        <v>CRISTINA PEREZ MELON</v>
      </c>
      <c r="B6709" s="7" t="str">
        <f t="shared" si="620"/>
        <v>ES</v>
      </c>
      <c r="C6709" s="8" t="s">
        <v>41</v>
      </c>
      <c r="D6709" s="9" t="str">
        <f t="shared" si="621"/>
        <v>LUP - VAE Póster Adelphi - Nefro</v>
      </c>
      <c r="E6709" s="10" t="str">
        <f>HYPERLINK("https://otsuka-europe-crm.veevavault.com/ui/#object/sent_email__v/VBL00000002S343", "SE-001434607")</f>
        <v>SE-001434607</v>
      </c>
      <c r="F6709" s="11"/>
      <c r="G6709" s="12">
        <v>0</v>
      </c>
      <c r="H6709" s="12">
        <v>0</v>
      </c>
      <c r="I6709" s="12">
        <v>0</v>
      </c>
      <c r="J6709" s="11"/>
      <c r="K6709" s="12">
        <v>0</v>
      </c>
      <c r="L6709" s="10" t="str">
        <f t="shared" si="622"/>
        <v>LUP - VAE Póster Adelphi - Nefro</v>
      </c>
      <c r="M6709" s="10" t="str">
        <f t="shared" si="623"/>
        <v>pmartinez@crm.otsuka-europe.com</v>
      </c>
      <c r="N6709" s="13">
        <v>46182.405428240738</v>
      </c>
      <c r="O6709" s="14" t="str">
        <f>HYPERLINK("https://otsuka-europe-crm.veevavault.com/ui/#object/email_activity__v/V8C00000003Q830", "EN-002092445")</f>
        <v>EN-002092445</v>
      </c>
    </row>
    <row r="6710" spans="1:15" ht="32" x14ac:dyDescent="0.2">
      <c r="A6710" s="7" t="str">
        <f>HYPERLINK("https://otsuka-europe-crm.veevavault.com/ui/#object/account__v/V4TZ025E82G72II", "KARLA JACKELINE LOPEZ ESPINOZA")</f>
        <v>KARLA JACKELINE LOPEZ ESPINOZA</v>
      </c>
      <c r="B6710" s="7" t="str">
        <f t="shared" si="620"/>
        <v>ES</v>
      </c>
      <c r="C6710" s="8" t="s">
        <v>41</v>
      </c>
      <c r="D6710" s="9" t="str">
        <f t="shared" si="621"/>
        <v>LUP - VAE Póster Adelphi - Nefro</v>
      </c>
      <c r="E6710" s="10" t="str">
        <f>HYPERLINK("https://otsuka-europe-crm.veevavault.com/ui/#object/sent_email__v/VBL00000002S344", "SE-001434608")</f>
        <v>SE-001434608</v>
      </c>
      <c r="F6710" s="11"/>
      <c r="G6710" s="12">
        <v>0</v>
      </c>
      <c r="H6710" s="12">
        <v>0</v>
      </c>
      <c r="I6710" s="12">
        <v>0</v>
      </c>
      <c r="J6710" s="11"/>
      <c r="K6710" s="12">
        <v>0</v>
      </c>
      <c r="L6710" s="10" t="str">
        <f t="shared" si="622"/>
        <v>LUP - VAE Póster Adelphi - Nefro</v>
      </c>
      <c r="M6710" s="10" t="str">
        <f t="shared" si="623"/>
        <v>pmartinez@crm.otsuka-europe.com</v>
      </c>
      <c r="N6710" s="13">
        <v>46182.405428240738</v>
      </c>
      <c r="O6710" s="14" t="str">
        <f>HYPERLINK("https://otsuka-europe-crm.veevavault.com/ui/#object/email_activity__v/V8C00000003Q861", "EN-002092476")</f>
        <v>EN-002092476</v>
      </c>
    </row>
    <row r="6711" spans="1:15" ht="16" x14ac:dyDescent="0.2">
      <c r="A6711" s="17" t="str">
        <f>HYPERLINK("https://otsuka-europe-crm.veevavault.com/ui/#object/account__v/V4TZ06G6O71T9MW", "CECILIA DALL-ANESE SIEGENTHALER")</f>
        <v>CECILIA DALL-ANESE SIEGENTHALER</v>
      </c>
      <c r="B6711" s="17" t="str">
        <f t="shared" si="620"/>
        <v>ES</v>
      </c>
      <c r="C6711" s="20" t="s">
        <v>41</v>
      </c>
      <c r="D6711" s="21" t="str">
        <f t="shared" si="621"/>
        <v>LUP - VAE Póster Adelphi - Nefro</v>
      </c>
      <c r="E6711" s="22" t="str">
        <f>HYPERLINK("https://otsuka-europe-crm.veevavault.com/ui/#object/sent_email__v/VBL00000002S345", "SE-001434609")</f>
        <v>SE-001434609</v>
      </c>
      <c r="F6711" s="25"/>
      <c r="G6711" s="24">
        <v>0</v>
      </c>
      <c r="H6711" s="24">
        <v>0</v>
      </c>
      <c r="I6711" s="24">
        <v>0</v>
      </c>
      <c r="J6711" s="25"/>
      <c r="K6711" s="24">
        <v>0</v>
      </c>
      <c r="L6711" s="22" t="str">
        <f t="shared" si="622"/>
        <v>LUP - VAE Póster Adelphi - Nefro</v>
      </c>
      <c r="M6711" s="22" t="str">
        <f t="shared" si="623"/>
        <v>pmartinez@crm.otsuka-europe.com</v>
      </c>
      <c r="N6711" s="23">
        <v>46182.405428240738</v>
      </c>
      <c r="O6711" s="14" t="str">
        <f>HYPERLINK("https://otsuka-europe-crm.veevavault.com/ui/#object/email_activity__v/V8C00000003R402", "EN-002092549")</f>
        <v>EN-002092549</v>
      </c>
    </row>
    <row r="6712" spans="1:15" ht="16" x14ac:dyDescent="0.2">
      <c r="A6712" s="19"/>
      <c r="B6712" s="19"/>
      <c r="C6712" s="19"/>
      <c r="D6712" s="19"/>
      <c r="E6712" s="19"/>
      <c r="F6712" s="19"/>
      <c r="G6712" s="19"/>
      <c r="H6712" s="19"/>
      <c r="I6712" s="19"/>
      <c r="J6712" s="19"/>
      <c r="K6712" s="19"/>
      <c r="L6712" s="19"/>
      <c r="M6712" s="19"/>
      <c r="N6712" s="19"/>
      <c r="O6712" s="14" t="str">
        <f>HYPERLINK("https://otsuka-europe-crm.veevavault.com/ui/#object/email_activity__v/V8C00000003S148", "EN-002093181")</f>
        <v>EN-002093181</v>
      </c>
    </row>
    <row r="6713" spans="1:15" ht="16" x14ac:dyDescent="0.2">
      <c r="A6713" s="17" t="str">
        <f>HYPERLINK("https://otsuka-europe-crm.veevavault.com/ui/#object/account__v/V4TZ06G6O71T9K5", "JUAN MANUEL BUADES FUSTER")</f>
        <v>JUAN MANUEL BUADES FUSTER</v>
      </c>
      <c r="B6713" s="17" t="str">
        <f>HYPERLINK("https://otsuka-europe-crm.veevavault.com/ui/#object/vcountry__v/VENZ000004SONF5", "ES")</f>
        <v>ES</v>
      </c>
      <c r="C6713" s="20" t="s">
        <v>41</v>
      </c>
      <c r="D6713" s="21" t="str">
        <f>HYPERLINK("https://otsuka-europe-crm.veevavault.com/ui/#object/approved_document__v/V5O00000001A037", "LUP - VAE Póster Adelphi - Nefro")</f>
        <v>LUP - VAE Póster Adelphi - Nefro</v>
      </c>
      <c r="E6713" s="22" t="str">
        <f>HYPERLINK("https://otsuka-europe-crm.veevavault.com/ui/#object/sent_email__v/VBL00000002S346", "SE-001434610")</f>
        <v>SE-001434610</v>
      </c>
      <c r="F6713" s="23">
        <v>46182.618958333333</v>
      </c>
      <c r="G6713" s="24">
        <v>1</v>
      </c>
      <c r="H6713" s="24">
        <v>2</v>
      </c>
      <c r="I6713" s="24">
        <v>0</v>
      </c>
      <c r="J6713" s="25"/>
      <c r="K6713" s="24">
        <v>0</v>
      </c>
      <c r="L6713" s="22" t="str">
        <f>HYPERLINK("https://otsuka-europe-crm.veevavault.com/ui/#object/approved_document__v/V5O00000001A037", "LUP - VAE Póster Adelphi - Nefro")</f>
        <v>LUP - VAE Póster Adelphi - Nefro</v>
      </c>
      <c r="M6713" s="22" t="str">
        <f>HYPERLINK("mailto:pmartinez@crm.otsuka-europe.com", "pmartinez@crm.otsuka-europe.com")</f>
        <v>pmartinez@crm.otsuka-europe.com</v>
      </c>
      <c r="N6713" s="23">
        <v>46182.405428240738</v>
      </c>
      <c r="O6713" s="14" t="str">
        <f>HYPERLINK("https://otsuka-europe-crm.veevavault.com/ui/#object/email_activity__v/V8C00000003Q904", "EN-002092538")</f>
        <v>EN-002092538</v>
      </c>
    </row>
    <row r="6714" spans="1:15" ht="16" x14ac:dyDescent="0.2">
      <c r="A6714" s="18"/>
      <c r="B6714" s="18"/>
      <c r="C6714" s="18"/>
      <c r="D6714" s="18"/>
      <c r="E6714" s="18"/>
      <c r="F6714" s="18"/>
      <c r="G6714" s="18"/>
      <c r="H6714" s="18"/>
      <c r="I6714" s="18"/>
      <c r="J6714" s="18"/>
      <c r="K6714" s="18"/>
      <c r="L6714" s="18"/>
      <c r="M6714" s="18"/>
      <c r="N6714" s="18"/>
      <c r="O6714" s="14" t="str">
        <f>HYPERLINK("https://otsuka-europe-crm.veevavault.com/ui/#object/email_activity__v/V8C00000003R747", "EN-002093096")</f>
        <v>EN-002093096</v>
      </c>
    </row>
    <row r="6715" spans="1:15" ht="16" x14ac:dyDescent="0.2">
      <c r="A6715" s="19"/>
      <c r="B6715" s="19"/>
      <c r="C6715" s="19"/>
      <c r="D6715" s="19"/>
      <c r="E6715" s="19"/>
      <c r="F6715" s="19"/>
      <c r="G6715" s="19"/>
      <c r="H6715" s="19"/>
      <c r="I6715" s="19"/>
      <c r="J6715" s="19"/>
      <c r="K6715" s="19"/>
      <c r="L6715" s="19"/>
      <c r="M6715" s="19"/>
      <c r="N6715" s="19"/>
      <c r="O6715" s="14" t="str">
        <f>HYPERLINK("https://otsuka-europe-crm.veevavault.com/ui/#object/email_activity__v/V8C00000003R749", "EN-002093098")</f>
        <v>EN-002093098</v>
      </c>
    </row>
    <row r="6716" spans="1:15" ht="32" x14ac:dyDescent="0.2">
      <c r="A6716" s="7" t="str">
        <f>HYPERLINK("https://otsuka-europe-crm.veevavault.com/ui/#object/account__v/V4TZ06G6O71TBU5", "PATROCINIO RODRIGUEZ BENITEZ")</f>
        <v>PATROCINIO RODRIGUEZ BENITEZ</v>
      </c>
      <c r="B6716" s="7" t="str">
        <f>HYPERLINK("https://otsuka-europe-crm.veevavault.com/ui/#object/vcountry__v/VENZ000004SONF5", "ES")</f>
        <v>ES</v>
      </c>
      <c r="C6716" s="8" t="s">
        <v>41</v>
      </c>
      <c r="D6716" s="9" t="str">
        <f>HYPERLINK("https://otsuka-europe-crm.veevavault.com/ui/#object/approved_document__v/V5O00000001A037", "LUP - VAE Póster Adelphi - Nefro")</f>
        <v>LUP - VAE Póster Adelphi - Nefro</v>
      </c>
      <c r="E6716" s="10" t="str">
        <f>HYPERLINK("https://otsuka-europe-crm.veevavault.com/ui/#object/sent_email__v/VBL00000002S347", "SE-001434611")</f>
        <v>SE-001434611</v>
      </c>
      <c r="F6716" s="11"/>
      <c r="G6716" s="12">
        <v>0</v>
      </c>
      <c r="H6716" s="12">
        <v>0</v>
      </c>
      <c r="I6716" s="12">
        <v>0</v>
      </c>
      <c r="J6716" s="11"/>
      <c r="K6716" s="12">
        <v>0</v>
      </c>
      <c r="L6716" s="10" t="str">
        <f>HYPERLINK("https://otsuka-europe-crm.veevavault.com/ui/#object/approved_document__v/V5O00000001A037", "LUP - VAE Póster Adelphi - Nefro")</f>
        <v>LUP - VAE Póster Adelphi - Nefro</v>
      </c>
      <c r="M6716" s="10" t="str">
        <f>HYPERLINK("mailto:pmartinez@crm.otsuka-europe.com", "pmartinez@crm.otsuka-europe.com")</f>
        <v>pmartinez@crm.otsuka-europe.com</v>
      </c>
      <c r="N6716" s="13">
        <v>46182.405428240738</v>
      </c>
      <c r="O6716" s="14" t="str">
        <f>HYPERLINK("https://otsuka-europe-crm.veevavault.com/ui/#object/email_activity__v/V8C00000003R428", "EN-002092578")</f>
        <v>EN-002092578</v>
      </c>
    </row>
    <row r="6717" spans="1:15" ht="16" x14ac:dyDescent="0.2">
      <c r="A6717" s="17" t="str">
        <f>HYPERLINK("https://otsuka-europe-crm.veevavault.com/ui/#object/account__v/V4TZ06G6O71T7DC", "KATIA ISABEL TOLEDO PERDOMO")</f>
        <v>KATIA ISABEL TOLEDO PERDOMO</v>
      </c>
      <c r="B6717" s="17" t="str">
        <f>HYPERLINK("https://otsuka-europe-crm.veevavault.com/ui/#object/vcountry__v/VENZ000004SONF5", "ES")</f>
        <v>ES</v>
      </c>
      <c r="C6717" s="20" t="s">
        <v>41</v>
      </c>
      <c r="D6717" s="21" t="str">
        <f>HYPERLINK("https://otsuka-europe-crm.veevavault.com/ui/#object/approved_document__v/V5O00000001A037", "LUP - VAE Póster Adelphi - Nefro")</f>
        <v>LUP - VAE Póster Adelphi - Nefro</v>
      </c>
      <c r="E6717" s="22" t="str">
        <f>HYPERLINK("https://otsuka-europe-crm.veevavault.com/ui/#object/sent_email__v/VBL00000002S348", "SE-001434612")</f>
        <v>SE-001434612</v>
      </c>
      <c r="F6717" s="23">
        <v>46182.414571759262</v>
      </c>
      <c r="G6717" s="24">
        <v>1</v>
      </c>
      <c r="H6717" s="24">
        <v>1</v>
      </c>
      <c r="I6717" s="24">
        <v>1</v>
      </c>
      <c r="J6717" s="23">
        <v>46182.41479166667</v>
      </c>
      <c r="K6717" s="24">
        <v>2</v>
      </c>
      <c r="L6717" s="22" t="str">
        <f>HYPERLINK("https://otsuka-europe-crm.veevavault.com/ui/#object/approved_document__v/V5O00000001A037", "LUP - VAE Póster Adelphi - Nefro")</f>
        <v>LUP - VAE Póster Adelphi - Nefro</v>
      </c>
      <c r="M6717" s="22" t="str">
        <f>HYPERLINK("mailto:pmartinez@crm.otsuka-europe.com", "pmartinez@crm.otsuka-europe.com")</f>
        <v>pmartinez@crm.otsuka-europe.com</v>
      </c>
      <c r="N6717" s="23">
        <v>46182.405428240738</v>
      </c>
      <c r="O6717" s="14" t="str">
        <f>HYPERLINK("https://otsuka-europe-crm.veevavault.com/ui/#object/email_activity__v/V8C00000003Q844", "EN-002092459")</f>
        <v>EN-002092459</v>
      </c>
    </row>
    <row r="6718" spans="1:15" ht="16" x14ac:dyDescent="0.2">
      <c r="A6718" s="18"/>
      <c r="B6718" s="18"/>
      <c r="C6718" s="18"/>
      <c r="D6718" s="18"/>
      <c r="E6718" s="18"/>
      <c r="F6718" s="18"/>
      <c r="G6718" s="18"/>
      <c r="H6718" s="18"/>
      <c r="I6718" s="18"/>
      <c r="J6718" s="18"/>
      <c r="K6718" s="18"/>
      <c r="L6718" s="18"/>
      <c r="M6718" s="18"/>
      <c r="N6718" s="18"/>
      <c r="O6718" s="14" t="str">
        <f>HYPERLINK("https://otsuka-europe-crm.veevavault.com/ui/#object/email_activity__v/V8C00000003Q973", "EN-002092759")</f>
        <v>EN-002092759</v>
      </c>
    </row>
    <row r="6719" spans="1:15" ht="16" x14ac:dyDescent="0.2">
      <c r="A6719" s="18"/>
      <c r="B6719" s="18"/>
      <c r="C6719" s="18"/>
      <c r="D6719" s="18"/>
      <c r="E6719" s="18"/>
      <c r="F6719" s="18"/>
      <c r="G6719" s="18"/>
      <c r="H6719" s="18"/>
      <c r="I6719" s="18"/>
      <c r="J6719" s="18"/>
      <c r="K6719" s="18"/>
      <c r="L6719" s="18"/>
      <c r="M6719" s="18"/>
      <c r="N6719" s="18"/>
      <c r="O6719" s="14" t="str">
        <f>HYPERLINK("https://otsuka-europe-crm.veevavault.com/ui/#object/email_activity__v/V8C00000003R547", "EN-002092757")</f>
        <v>EN-002092757</v>
      </c>
    </row>
    <row r="6720" spans="1:15" ht="16" x14ac:dyDescent="0.2">
      <c r="A6720" s="18"/>
      <c r="B6720" s="18"/>
      <c r="C6720" s="18"/>
      <c r="D6720" s="18"/>
      <c r="E6720" s="18"/>
      <c r="F6720" s="18"/>
      <c r="G6720" s="18"/>
      <c r="H6720" s="18"/>
      <c r="I6720" s="18"/>
      <c r="J6720" s="18"/>
      <c r="K6720" s="18"/>
      <c r="L6720" s="18"/>
      <c r="M6720" s="18"/>
      <c r="N6720" s="18"/>
      <c r="O6720" s="14" t="str">
        <f>HYPERLINK("https://otsuka-europe-crm.veevavault.com/ui/#object/email_activity__v/V8C00000003R550", "EN-002092761")</f>
        <v>EN-002092761</v>
      </c>
    </row>
    <row r="6721" spans="1:15" ht="16" x14ac:dyDescent="0.2">
      <c r="A6721" s="18"/>
      <c r="B6721" s="18"/>
      <c r="C6721" s="18"/>
      <c r="D6721" s="18"/>
      <c r="E6721" s="18"/>
      <c r="F6721" s="18"/>
      <c r="G6721" s="18"/>
      <c r="H6721" s="18"/>
      <c r="I6721" s="18"/>
      <c r="J6721" s="18"/>
      <c r="K6721" s="18"/>
      <c r="L6721" s="18"/>
      <c r="M6721" s="18"/>
      <c r="N6721" s="18"/>
      <c r="O6721" s="14" t="str">
        <f>HYPERLINK("https://otsuka-europe-crm.veevavault.com/ui/#object/email_activity__v/V8C00000003R562", "EN-002092781")</f>
        <v>EN-002092781</v>
      </c>
    </row>
    <row r="6722" spans="1:15" ht="16" x14ac:dyDescent="0.2">
      <c r="A6722" s="19"/>
      <c r="B6722" s="19"/>
      <c r="C6722" s="19"/>
      <c r="D6722" s="19"/>
      <c r="E6722" s="19"/>
      <c r="F6722" s="19"/>
      <c r="G6722" s="19"/>
      <c r="H6722" s="19"/>
      <c r="I6722" s="19"/>
      <c r="J6722" s="19"/>
      <c r="K6722" s="19"/>
      <c r="L6722" s="19"/>
      <c r="M6722" s="19"/>
      <c r="N6722" s="19"/>
      <c r="O6722" s="14" t="str">
        <f>HYPERLINK("https://otsuka-europe-crm.veevavault.com/ui/#object/email_activity__v/V8C00000003R564", "EN-002092783")</f>
        <v>EN-002092783</v>
      </c>
    </row>
    <row r="6723" spans="1:15" ht="16" x14ac:dyDescent="0.2">
      <c r="A6723" s="17" t="str">
        <f>HYPERLINK("https://otsuka-europe-crm.veevavault.com/ui/#object/account__v/V4TZ06G6O71TAU0", "MANUEL LUIS MACIA HERAS")</f>
        <v>MANUEL LUIS MACIA HERAS</v>
      </c>
      <c r="B6723" s="17" t="str">
        <f>HYPERLINK("https://otsuka-europe-crm.veevavault.com/ui/#object/vcountry__v/VENZ000004SONF5", "ES")</f>
        <v>ES</v>
      </c>
      <c r="C6723" s="20" t="s">
        <v>41</v>
      </c>
      <c r="D6723" s="21" t="str">
        <f>HYPERLINK("https://otsuka-europe-crm.veevavault.com/ui/#object/approved_document__v/V5O00000001A037", "LUP - VAE Póster Adelphi - Nefro")</f>
        <v>LUP - VAE Póster Adelphi - Nefro</v>
      </c>
      <c r="E6723" s="22" t="str">
        <f>HYPERLINK("https://otsuka-europe-crm.veevavault.com/ui/#object/sent_email__v/VBL00000002S349", "SE-001434613")</f>
        <v>SE-001434613</v>
      </c>
      <c r="F6723" s="23">
        <v>46182.686932870369</v>
      </c>
      <c r="G6723" s="24">
        <v>1</v>
      </c>
      <c r="H6723" s="24">
        <v>1</v>
      </c>
      <c r="I6723" s="24">
        <v>1</v>
      </c>
      <c r="J6723" s="23">
        <v>46182.433252314811</v>
      </c>
      <c r="K6723" s="24">
        <v>1</v>
      </c>
      <c r="L6723" s="22" t="str">
        <f>HYPERLINK("https://otsuka-europe-crm.veevavault.com/ui/#object/approved_document__v/V5O00000001A037", "LUP - VAE Póster Adelphi - Nefro")</f>
        <v>LUP - VAE Póster Adelphi - Nefro</v>
      </c>
      <c r="M6723" s="22" t="str">
        <f>HYPERLINK("mailto:pmartinez@crm.otsuka-europe.com", "pmartinez@crm.otsuka-europe.com")</f>
        <v>pmartinez@crm.otsuka-europe.com</v>
      </c>
      <c r="N6723" s="23">
        <v>46182.405428240738</v>
      </c>
      <c r="O6723" s="14" t="str">
        <f>HYPERLINK("https://otsuka-europe-crm.veevavault.com/ui/#object/email_activity__v/V8C00000003Q831", "EN-002092446")</f>
        <v>EN-002092446</v>
      </c>
    </row>
    <row r="6724" spans="1:15" ht="16" x14ac:dyDescent="0.2">
      <c r="A6724" s="18"/>
      <c r="B6724" s="18"/>
      <c r="C6724" s="18"/>
      <c r="D6724" s="18"/>
      <c r="E6724" s="18"/>
      <c r="F6724" s="18"/>
      <c r="G6724" s="18"/>
      <c r="H6724" s="18"/>
      <c r="I6724" s="18"/>
      <c r="J6724" s="18"/>
      <c r="K6724" s="18"/>
      <c r="L6724" s="18"/>
      <c r="M6724" s="18"/>
      <c r="N6724" s="18"/>
      <c r="O6724" s="14" t="str">
        <f>HYPERLINK("https://otsuka-europe-crm.veevavault.com/ui/#object/email_activity__v/V8C00000003R571", "EN-002092790")</f>
        <v>EN-002092790</v>
      </c>
    </row>
    <row r="6725" spans="1:15" ht="16" x14ac:dyDescent="0.2">
      <c r="A6725" s="18"/>
      <c r="B6725" s="18"/>
      <c r="C6725" s="18"/>
      <c r="D6725" s="18"/>
      <c r="E6725" s="18"/>
      <c r="F6725" s="18"/>
      <c r="G6725" s="18"/>
      <c r="H6725" s="18"/>
      <c r="I6725" s="18"/>
      <c r="J6725" s="18"/>
      <c r="K6725" s="18"/>
      <c r="L6725" s="18"/>
      <c r="M6725" s="18"/>
      <c r="N6725" s="18"/>
      <c r="O6725" s="14" t="str">
        <f>HYPERLINK("https://otsuka-europe-crm.veevavault.com/ui/#object/email_activity__v/V8C00000003R574", "EN-002092798")</f>
        <v>EN-002092798</v>
      </c>
    </row>
    <row r="6726" spans="1:15" ht="16" x14ac:dyDescent="0.2">
      <c r="A6726" s="18"/>
      <c r="B6726" s="18"/>
      <c r="C6726" s="18"/>
      <c r="D6726" s="18"/>
      <c r="E6726" s="18"/>
      <c r="F6726" s="18"/>
      <c r="G6726" s="18"/>
      <c r="H6726" s="18"/>
      <c r="I6726" s="18"/>
      <c r="J6726" s="18"/>
      <c r="K6726" s="18"/>
      <c r="L6726" s="18"/>
      <c r="M6726" s="18"/>
      <c r="N6726" s="18"/>
      <c r="O6726" s="14" t="str">
        <f>HYPERLINK("https://otsuka-europe-crm.veevavault.com/ui/#object/email_activity__v/V8C00000003R602", "EN-002092848")</f>
        <v>EN-002092848</v>
      </c>
    </row>
    <row r="6727" spans="1:15" ht="16" x14ac:dyDescent="0.2">
      <c r="A6727" s="19"/>
      <c r="B6727" s="19"/>
      <c r="C6727" s="19"/>
      <c r="D6727" s="19"/>
      <c r="E6727" s="19"/>
      <c r="F6727" s="19"/>
      <c r="G6727" s="19"/>
      <c r="H6727" s="19"/>
      <c r="I6727" s="19"/>
      <c r="J6727" s="19"/>
      <c r="K6727" s="19"/>
      <c r="L6727" s="19"/>
      <c r="M6727" s="19"/>
      <c r="N6727" s="19"/>
      <c r="O6727" s="14" t="str">
        <f>HYPERLINK("https://otsuka-europe-crm.veevavault.com/ui/#object/email_activity__v/V8C00000003S214", "EN-002093316")</f>
        <v>EN-002093316</v>
      </c>
    </row>
    <row r="6728" spans="1:15" ht="32" x14ac:dyDescent="0.2">
      <c r="A6728" s="7" t="str">
        <f>HYPERLINK("https://otsuka-europe-crm.veevavault.com/ui/#object/account__v/V4TZ06G6O71T8BJ", "IDOIA ACOSTA HERNANDEZ")</f>
        <v>IDOIA ACOSTA HERNANDEZ</v>
      </c>
      <c r="B6728" s="7" t="str">
        <f>HYPERLINK("https://otsuka-europe-crm.veevavault.com/ui/#object/vcountry__v/VENZ000004SONF5", "ES")</f>
        <v>ES</v>
      </c>
      <c r="C6728" s="8" t="s">
        <v>41</v>
      </c>
      <c r="D6728" s="9" t="str">
        <f>HYPERLINK("https://otsuka-europe-crm.veevavault.com/ui/#object/approved_document__v/V5O00000001A037", "LUP - VAE Póster Adelphi - Nefro")</f>
        <v>LUP - VAE Póster Adelphi - Nefro</v>
      </c>
      <c r="E6728" s="10" t="str">
        <f>HYPERLINK("https://otsuka-europe-crm.veevavault.com/ui/#object/sent_email__v/VBL00000002S350", "SE-001434614")</f>
        <v>SE-001434614</v>
      </c>
      <c r="F6728" s="11"/>
      <c r="G6728" s="12">
        <v>0</v>
      </c>
      <c r="H6728" s="12">
        <v>0</v>
      </c>
      <c r="I6728" s="12">
        <v>0</v>
      </c>
      <c r="J6728" s="11"/>
      <c r="K6728" s="12">
        <v>0</v>
      </c>
      <c r="L6728" s="10" t="str">
        <f>HYPERLINK("https://otsuka-europe-crm.veevavault.com/ui/#object/approved_document__v/V5O00000001A037", "LUP - VAE Póster Adelphi - Nefro")</f>
        <v>LUP - VAE Póster Adelphi - Nefro</v>
      </c>
      <c r="M6728" s="10" t="str">
        <f>HYPERLINK("mailto:pmartinez@crm.otsuka-europe.com", "pmartinez@crm.otsuka-europe.com")</f>
        <v>pmartinez@crm.otsuka-europe.com</v>
      </c>
      <c r="N6728" s="13">
        <v>46182.405428240738</v>
      </c>
      <c r="O6728" s="14" t="str">
        <f>HYPERLINK("https://otsuka-europe-crm.veevavault.com/ui/#object/email_activity__v/V8C00000003Q860", "EN-002092475")</f>
        <v>EN-002092475</v>
      </c>
    </row>
    <row r="6729" spans="1:15" ht="32" x14ac:dyDescent="0.2">
      <c r="A6729" s="7" t="str">
        <f>HYPERLINK("https://otsuka-europe-crm.veevavault.com/ui/#object/account__v/V4TZ06G6O71T7OA", "CLARA GARCIA CARRO")</f>
        <v>CLARA GARCIA CARRO</v>
      </c>
      <c r="B6729" s="7" t="str">
        <f>HYPERLINK("https://otsuka-europe-crm.veevavault.com/ui/#object/vcountry__v/VENZ000004SONF5", "ES")</f>
        <v>ES</v>
      </c>
      <c r="C6729" s="8" t="s">
        <v>41</v>
      </c>
      <c r="D6729" s="9" t="str">
        <f>HYPERLINK("https://otsuka-europe-crm.veevavault.com/ui/#object/approved_document__v/V5O00000001A037", "LUP - VAE Póster Adelphi - Nefro")</f>
        <v>LUP - VAE Póster Adelphi - Nefro</v>
      </c>
      <c r="E6729" s="10" t="str">
        <f>HYPERLINK("https://otsuka-europe-crm.veevavault.com/ui/#object/sent_email__v/VBL00000002S351", "SE-001434615")</f>
        <v>SE-001434615</v>
      </c>
      <c r="F6729" s="11"/>
      <c r="G6729" s="12">
        <v>0</v>
      </c>
      <c r="H6729" s="12">
        <v>0</v>
      </c>
      <c r="I6729" s="12">
        <v>0</v>
      </c>
      <c r="J6729" s="11"/>
      <c r="K6729" s="12">
        <v>0</v>
      </c>
      <c r="L6729" s="10" t="str">
        <f>HYPERLINK("https://otsuka-europe-crm.veevavault.com/ui/#object/approved_document__v/V5O00000001A037", "LUP - VAE Póster Adelphi - Nefro")</f>
        <v>LUP - VAE Póster Adelphi - Nefro</v>
      </c>
      <c r="M6729" s="10" t="str">
        <f>HYPERLINK("mailto:pmartinez@crm.otsuka-europe.com", "pmartinez@crm.otsuka-europe.com")</f>
        <v>pmartinez@crm.otsuka-europe.com</v>
      </c>
      <c r="N6729" s="13">
        <v>46182.405428240738</v>
      </c>
      <c r="O6729" s="14" t="str">
        <f>HYPERLINK("https://otsuka-europe-crm.veevavault.com/ui/#object/email_activity__v/V8C00000003Q903", "EN-002092537")</f>
        <v>EN-002092537</v>
      </c>
    </row>
    <row r="6730" spans="1:15" ht="16" x14ac:dyDescent="0.2">
      <c r="A6730" s="17" t="str">
        <f>HYPERLINK("https://otsuka-europe-crm.veevavault.com/ui/#object/account__v/V4TZ06G6O71TAVD", "ENRIQUE LUNA HUERTA")</f>
        <v>ENRIQUE LUNA HUERTA</v>
      </c>
      <c r="B6730" s="17" t="str">
        <f>HYPERLINK("https://otsuka-europe-crm.veevavault.com/ui/#object/vcountry__v/VENZ000004SONF5", "ES")</f>
        <v>ES</v>
      </c>
      <c r="C6730" s="20" t="s">
        <v>41</v>
      </c>
      <c r="D6730" s="21" t="str">
        <f>HYPERLINK("https://otsuka-europe-crm.veevavault.com/ui/#object/approved_document__v/V5O00000001A037", "LUP - VAE Póster Adelphi - Nefro")</f>
        <v>LUP - VAE Póster Adelphi - Nefro</v>
      </c>
      <c r="E6730" s="22" t="str">
        <f>HYPERLINK("https://otsuka-europe-crm.veevavault.com/ui/#object/sent_email__v/VBL00000002S352", "SE-001434616")</f>
        <v>SE-001434616</v>
      </c>
      <c r="F6730" s="25"/>
      <c r="G6730" s="24">
        <v>0</v>
      </c>
      <c r="H6730" s="24">
        <v>0</v>
      </c>
      <c r="I6730" s="24">
        <v>0</v>
      </c>
      <c r="J6730" s="25"/>
      <c r="K6730" s="24">
        <v>0</v>
      </c>
      <c r="L6730" s="22" t="str">
        <f>HYPERLINK("https://otsuka-europe-crm.veevavault.com/ui/#object/approved_document__v/V5O00000001A037", "LUP - VAE Póster Adelphi - Nefro")</f>
        <v>LUP - VAE Póster Adelphi - Nefro</v>
      </c>
      <c r="M6730" s="22" t="str">
        <f>HYPERLINK("mailto:pmartinez@crm.otsuka-europe.com", "pmartinez@crm.otsuka-europe.com")</f>
        <v>pmartinez@crm.otsuka-europe.com</v>
      </c>
      <c r="N6730" s="23">
        <v>46182.405428240738</v>
      </c>
      <c r="O6730" s="14" t="str">
        <f>HYPERLINK("https://otsuka-europe-crm.veevavault.com/ui/#object/email_activity__v/V8C00000003Q901", "EN-002092535")</f>
        <v>EN-002092535</v>
      </c>
    </row>
    <row r="6731" spans="1:15" ht="16" x14ac:dyDescent="0.2">
      <c r="A6731" s="19"/>
      <c r="B6731" s="19"/>
      <c r="C6731" s="19"/>
      <c r="D6731" s="19"/>
      <c r="E6731" s="19"/>
      <c r="F6731" s="19"/>
      <c r="G6731" s="19"/>
      <c r="H6731" s="19"/>
      <c r="I6731" s="19"/>
      <c r="J6731" s="19"/>
      <c r="K6731" s="19"/>
      <c r="L6731" s="19"/>
      <c r="M6731" s="19"/>
      <c r="N6731" s="19"/>
      <c r="O6731" s="14" t="str">
        <f>HYPERLINK("https://otsuka-europe-crm.veevavault.com/ui/#object/email_activity__v/V8C00000003S750", "EN-002094368")</f>
        <v>EN-002094368</v>
      </c>
    </row>
    <row r="6732" spans="1:15" ht="16" x14ac:dyDescent="0.2">
      <c r="A6732" s="17" t="str">
        <f>HYPERLINK("https://otsuka-europe-crm.veevavault.com/ui/#object/account__v/V4TZ06G6O71T9FF", "JORDI CALLS GINESTA")</f>
        <v>JORDI CALLS GINESTA</v>
      </c>
      <c r="B6732" s="17" t="str">
        <f>HYPERLINK("https://otsuka-europe-crm.veevavault.com/ui/#object/vcountry__v/VENZ000004SONF5", "ES")</f>
        <v>ES</v>
      </c>
      <c r="C6732" s="20" t="s">
        <v>41</v>
      </c>
      <c r="D6732" s="21" t="str">
        <f>HYPERLINK("https://otsuka-europe-crm.veevavault.com/ui/#object/approved_document__v/V5O00000001A037", "LUP - VAE Póster Adelphi - Nefro")</f>
        <v>LUP - VAE Póster Adelphi - Nefro</v>
      </c>
      <c r="E6732" s="22" t="str">
        <f>HYPERLINK("https://otsuka-europe-crm.veevavault.com/ui/#object/sent_email__v/VBL00000002S353", "SE-001434617")</f>
        <v>SE-001434617</v>
      </c>
      <c r="F6732" s="25"/>
      <c r="G6732" s="24">
        <v>0</v>
      </c>
      <c r="H6732" s="24">
        <v>0</v>
      </c>
      <c r="I6732" s="24">
        <v>0</v>
      </c>
      <c r="J6732" s="25"/>
      <c r="K6732" s="24">
        <v>0</v>
      </c>
      <c r="L6732" s="22" t="str">
        <f>HYPERLINK("https://otsuka-europe-crm.veevavault.com/ui/#object/approved_document__v/V5O00000001A037", "LUP - VAE Póster Adelphi - Nefro")</f>
        <v>LUP - VAE Póster Adelphi - Nefro</v>
      </c>
      <c r="M6732" s="22" t="str">
        <f>HYPERLINK("mailto:pmartinez@crm.otsuka-europe.com", "pmartinez@crm.otsuka-europe.com")</f>
        <v>pmartinez@crm.otsuka-europe.com</v>
      </c>
      <c r="N6732" s="23">
        <v>46182.405428240738</v>
      </c>
      <c r="O6732" s="14" t="str">
        <f>HYPERLINK("https://otsuka-europe-crm.veevavault.com/ui/#object/email_activity__v/V8C00000003R395", "EN-002092523")</f>
        <v>EN-002092523</v>
      </c>
    </row>
    <row r="6733" spans="1:15" ht="16" x14ac:dyDescent="0.2">
      <c r="A6733" s="19"/>
      <c r="B6733" s="19"/>
      <c r="C6733" s="19"/>
      <c r="D6733" s="19"/>
      <c r="E6733" s="19"/>
      <c r="F6733" s="19"/>
      <c r="G6733" s="19"/>
      <c r="H6733" s="19"/>
      <c r="I6733" s="19"/>
      <c r="J6733" s="19"/>
      <c r="K6733" s="19"/>
      <c r="L6733" s="19"/>
      <c r="M6733" s="19"/>
      <c r="N6733" s="19"/>
      <c r="O6733" s="14" t="str">
        <f>HYPERLINK("https://otsuka-europe-crm.veevavault.com/ui/#object/email_activity__v/V8C00000003T031", "EN-002093645")</f>
        <v>EN-002093645</v>
      </c>
    </row>
    <row r="6734" spans="1:15" ht="32" x14ac:dyDescent="0.2">
      <c r="A6734" s="7" t="str">
        <f>HYPERLINK("https://otsuka-europe-crm.veevavault.com/ui/#object/account__v/V4TZ06G6O71TCDU", "MARIA JOSE SOLER ROMEO")</f>
        <v>MARIA JOSE SOLER ROMEO</v>
      </c>
      <c r="B6734" s="7" t="str">
        <f>HYPERLINK("https://otsuka-europe-crm.veevavault.com/ui/#object/vcountry__v/VENZ000004SONF5", "ES")</f>
        <v>ES</v>
      </c>
      <c r="C6734" s="8" t="s">
        <v>41</v>
      </c>
      <c r="D6734" s="9" t="str">
        <f>HYPERLINK("https://otsuka-europe-crm.veevavault.com/ui/#object/approved_document__v/V5O00000001A037", "LUP - VAE Póster Adelphi - Nefro")</f>
        <v>LUP - VAE Póster Adelphi - Nefro</v>
      </c>
      <c r="E6734" s="10" t="str">
        <f>HYPERLINK("https://otsuka-europe-crm.veevavault.com/ui/#object/sent_email__v/VBL00000002S354", "SE-001434618")</f>
        <v>SE-001434618</v>
      </c>
      <c r="F6734" s="11"/>
      <c r="G6734" s="12">
        <v>0</v>
      </c>
      <c r="H6734" s="12">
        <v>0</v>
      </c>
      <c r="I6734" s="12">
        <v>0</v>
      </c>
      <c r="J6734" s="11"/>
      <c r="K6734" s="12">
        <v>0</v>
      </c>
      <c r="L6734" s="10" t="str">
        <f>HYPERLINK("https://otsuka-europe-crm.veevavault.com/ui/#object/approved_document__v/V5O00000001A037", "LUP - VAE Póster Adelphi - Nefro")</f>
        <v>LUP - VAE Póster Adelphi - Nefro</v>
      </c>
      <c r="M6734" s="10" t="str">
        <f>HYPERLINK("mailto:pmartinez@crm.otsuka-europe.com", "pmartinez@crm.otsuka-europe.com")</f>
        <v>pmartinez@crm.otsuka-europe.com</v>
      </c>
      <c r="N6734" s="13">
        <v>46182.405428240738</v>
      </c>
      <c r="O6734" s="14" t="str">
        <f>HYPERLINK("https://otsuka-europe-crm.veevavault.com/ui/#object/email_activity__v/V8C00000003Q834", "EN-002092449")</f>
        <v>EN-002092449</v>
      </c>
    </row>
    <row r="6735" spans="1:15" ht="16" x14ac:dyDescent="0.2">
      <c r="A6735" s="17" t="str">
        <f>HYPERLINK("https://otsuka-europe-crm.veevavault.com/ui/#object/account__v/V4TZ025E82BHH6P", "ARANZAZU PARDO RUIZ")</f>
        <v>ARANZAZU PARDO RUIZ</v>
      </c>
      <c r="B6735" s="17" t="str">
        <f>HYPERLINK("https://otsuka-europe-crm.veevavault.com/ui/#object/vcountry__v/VENZ000004SONF5", "ES")</f>
        <v>ES</v>
      </c>
      <c r="C6735" s="20" t="s">
        <v>41</v>
      </c>
      <c r="D6735" s="21" t="str">
        <f>HYPERLINK("https://otsuka-europe-crm.veevavault.com/ui/#object/approved_document__v/V5O00000001A037", "LUP - VAE Póster Adelphi - Nefro")</f>
        <v>LUP - VAE Póster Adelphi - Nefro</v>
      </c>
      <c r="E6735" s="22" t="str">
        <f>HYPERLINK("https://otsuka-europe-crm.veevavault.com/ui/#object/sent_email__v/VBL00000002S355", "SE-001434619")</f>
        <v>SE-001434619</v>
      </c>
      <c r="F6735" s="23">
        <v>46182.499178240738</v>
      </c>
      <c r="G6735" s="24">
        <v>1</v>
      </c>
      <c r="H6735" s="24">
        <v>1</v>
      </c>
      <c r="I6735" s="24">
        <v>0</v>
      </c>
      <c r="J6735" s="25"/>
      <c r="K6735" s="24">
        <v>0</v>
      </c>
      <c r="L6735" s="22" t="str">
        <f>HYPERLINK("https://otsuka-europe-crm.veevavault.com/ui/#object/approved_document__v/V5O00000001A037", "LUP - VAE Póster Adelphi - Nefro")</f>
        <v>LUP - VAE Póster Adelphi - Nefro</v>
      </c>
      <c r="M6735" s="22" t="str">
        <f>HYPERLINK("mailto:pmartinez@crm.otsuka-europe.com", "pmartinez@crm.otsuka-europe.com")</f>
        <v>pmartinez@crm.otsuka-europe.com</v>
      </c>
      <c r="N6735" s="23">
        <v>46182.405428240738</v>
      </c>
      <c r="O6735" s="14" t="str">
        <f>HYPERLINK("https://otsuka-europe-crm.veevavault.com/ui/#object/email_activity__v/V8C00000003Q865", "EN-002092485")</f>
        <v>EN-002092485</v>
      </c>
    </row>
    <row r="6736" spans="1:15" ht="16" x14ac:dyDescent="0.2">
      <c r="A6736" s="19"/>
      <c r="B6736" s="19"/>
      <c r="C6736" s="19"/>
      <c r="D6736" s="19"/>
      <c r="E6736" s="19"/>
      <c r="F6736" s="19"/>
      <c r="G6736" s="19"/>
      <c r="H6736" s="19"/>
      <c r="I6736" s="19"/>
      <c r="J6736" s="19"/>
      <c r="K6736" s="19"/>
      <c r="L6736" s="19"/>
      <c r="M6736" s="19"/>
      <c r="N6736" s="19"/>
      <c r="O6736" s="14" t="str">
        <f>HYPERLINK("https://otsuka-europe-crm.veevavault.com/ui/#object/email_activity__v/V8C00000003S032", "EN-002092892")</f>
        <v>EN-002092892</v>
      </c>
    </row>
    <row r="6737" spans="1:15" ht="32" x14ac:dyDescent="0.2">
      <c r="A6737" s="7" t="str">
        <f>HYPERLINK("https://otsuka-europe-crm.veevavault.com/ui/#object/account__v/V4TZ06G6O71TBTI", "NICOLAS ROBERTO ROBLES PEREZ-MONTEOLIVA")</f>
        <v>NICOLAS ROBERTO ROBLES PEREZ-MONTEOLIVA</v>
      </c>
      <c r="B6737" s="7" t="str">
        <f>HYPERLINK("https://otsuka-europe-crm.veevavault.com/ui/#object/vcountry__v/VENZ000004SONF5", "ES")</f>
        <v>ES</v>
      </c>
      <c r="C6737" s="8" t="s">
        <v>41</v>
      </c>
      <c r="D6737" s="9" t="str">
        <f>HYPERLINK("https://otsuka-europe-crm.veevavault.com/ui/#object/approved_document__v/V5O00000001A037", "LUP - VAE Póster Adelphi - Nefro")</f>
        <v>LUP - VAE Póster Adelphi - Nefro</v>
      </c>
      <c r="E6737" s="10" t="str">
        <f>HYPERLINK("https://otsuka-europe-crm.veevavault.com/ui/#object/sent_email__v/VBL00000002S356", "SE-001434620")</f>
        <v>SE-001434620</v>
      </c>
      <c r="F6737" s="11"/>
      <c r="G6737" s="12">
        <v>0</v>
      </c>
      <c r="H6737" s="12">
        <v>0</v>
      </c>
      <c r="I6737" s="12">
        <v>0</v>
      </c>
      <c r="J6737" s="11"/>
      <c r="K6737" s="12">
        <v>0</v>
      </c>
      <c r="L6737" s="10" t="str">
        <f>HYPERLINK("https://otsuka-europe-crm.veevavault.com/ui/#object/approved_document__v/V5O00000001A037", "LUP - VAE Póster Adelphi - Nefro")</f>
        <v>LUP - VAE Póster Adelphi - Nefro</v>
      </c>
      <c r="M6737" s="10" t="str">
        <f>HYPERLINK("mailto:pmartinez@crm.otsuka-europe.com", "pmartinez@crm.otsuka-europe.com")</f>
        <v>pmartinez@crm.otsuka-europe.com</v>
      </c>
      <c r="N6737" s="13">
        <v>46182.405428240738</v>
      </c>
      <c r="O6737" s="14" t="str">
        <f>HYPERLINK("https://otsuka-europe-crm.veevavault.com/ui/#object/email_activity__v/V8C00000003R429", "EN-002092579")</f>
        <v>EN-002092579</v>
      </c>
    </row>
    <row r="6738" spans="1:15" ht="16" x14ac:dyDescent="0.2">
      <c r="A6738" s="17" t="str">
        <f>HYPERLINK("https://otsuka-europe-crm.veevavault.com/ui/#object/account__v/V4TZ06G6O71TBLN", "PATRICIA PEREZ BORGES")</f>
        <v>PATRICIA PEREZ BORGES</v>
      </c>
      <c r="B6738" s="17" t="str">
        <f>HYPERLINK("https://otsuka-europe-crm.veevavault.com/ui/#object/vcountry__v/VENZ000004SONF5", "ES")</f>
        <v>ES</v>
      </c>
      <c r="C6738" s="20" t="s">
        <v>41</v>
      </c>
      <c r="D6738" s="21" t="str">
        <f>HYPERLINK("https://otsuka-europe-crm.veevavault.com/ui/#object/approved_document__v/V5O00000001A037", "LUP - VAE Póster Adelphi - Nefro")</f>
        <v>LUP - VAE Póster Adelphi - Nefro</v>
      </c>
      <c r="E6738" s="22" t="str">
        <f>HYPERLINK("https://otsuka-europe-crm.veevavault.com/ui/#object/sent_email__v/VBL00000002S357", "SE-001434621")</f>
        <v>SE-001434621</v>
      </c>
      <c r="F6738" s="23">
        <v>46182.431921296295</v>
      </c>
      <c r="G6738" s="24">
        <v>1</v>
      </c>
      <c r="H6738" s="24">
        <v>1</v>
      </c>
      <c r="I6738" s="24">
        <v>0</v>
      </c>
      <c r="J6738" s="25"/>
      <c r="K6738" s="24">
        <v>0</v>
      </c>
      <c r="L6738" s="22" t="str">
        <f>HYPERLINK("https://otsuka-europe-crm.veevavault.com/ui/#object/approved_document__v/V5O00000001A037", "LUP - VAE Póster Adelphi - Nefro")</f>
        <v>LUP - VAE Póster Adelphi - Nefro</v>
      </c>
      <c r="M6738" s="22" t="str">
        <f>HYPERLINK("mailto:pmartinez@crm.otsuka-europe.com", "pmartinez@crm.otsuka-europe.com")</f>
        <v>pmartinez@crm.otsuka-europe.com</v>
      </c>
      <c r="N6738" s="23">
        <v>46182.405428240738</v>
      </c>
      <c r="O6738" s="14" t="str">
        <f>HYPERLINK("https://otsuka-europe-crm.veevavault.com/ui/#object/email_activity__v/V8C00000003Q899", "EN-002092533")</f>
        <v>EN-002092533</v>
      </c>
    </row>
    <row r="6739" spans="1:15" ht="16" x14ac:dyDescent="0.2">
      <c r="A6739" s="19"/>
      <c r="B6739" s="19"/>
      <c r="C6739" s="19"/>
      <c r="D6739" s="19"/>
      <c r="E6739" s="19"/>
      <c r="F6739" s="19"/>
      <c r="G6739" s="19"/>
      <c r="H6739" s="19"/>
      <c r="I6739" s="19"/>
      <c r="J6739" s="19"/>
      <c r="K6739" s="19"/>
      <c r="L6739" s="19"/>
      <c r="M6739" s="19"/>
      <c r="N6739" s="19"/>
      <c r="O6739" s="14" t="str">
        <f>HYPERLINK("https://otsuka-europe-crm.veevavault.com/ui/#object/email_activity__v/V8C00000003R573", "EN-002092797")</f>
        <v>EN-002092797</v>
      </c>
    </row>
    <row r="6740" spans="1:15" ht="16" x14ac:dyDescent="0.2">
      <c r="A6740" s="17" t="str">
        <f>HYPERLINK("https://otsuka-europe-crm.veevavault.com/ui/#object/account__v/V4TZ06G6O71T8OW", "JOSE LUIS PEREZ CANGA")</f>
        <v>JOSE LUIS PEREZ CANGA</v>
      </c>
      <c r="B6740" s="17" t="str">
        <f>HYPERLINK("https://otsuka-europe-crm.veevavault.com/ui/#object/vcountry__v/VENZ000004SONF5", "ES")</f>
        <v>ES</v>
      </c>
      <c r="C6740" s="20" t="s">
        <v>41</v>
      </c>
      <c r="D6740" s="21" t="str">
        <f>HYPERLINK("https://otsuka-europe-crm.veevavault.com/ui/#object/approved_document__v/V5O00000001A037", "LUP - VAE Póster Adelphi - Nefro")</f>
        <v>LUP - VAE Póster Adelphi - Nefro</v>
      </c>
      <c r="E6740" s="22" t="str">
        <f>HYPERLINK("https://otsuka-europe-crm.veevavault.com/ui/#object/sent_email__v/VBL00000002S358", "SE-001434622")</f>
        <v>SE-001434622</v>
      </c>
      <c r="F6740" s="23">
        <v>46186.946620370371</v>
      </c>
      <c r="G6740" s="24">
        <v>1</v>
      </c>
      <c r="H6740" s="24">
        <v>2</v>
      </c>
      <c r="I6740" s="24">
        <v>0</v>
      </c>
      <c r="J6740" s="25"/>
      <c r="K6740" s="24">
        <v>0</v>
      </c>
      <c r="L6740" s="22" t="str">
        <f>HYPERLINK("https://otsuka-europe-crm.veevavault.com/ui/#object/approved_document__v/V5O00000001A037", "LUP - VAE Póster Adelphi - Nefro")</f>
        <v>LUP - VAE Póster Adelphi - Nefro</v>
      </c>
      <c r="M6740" s="22" t="str">
        <f>HYPERLINK("mailto:pmartinez@crm.otsuka-europe.com", "pmartinez@crm.otsuka-europe.com")</f>
        <v>pmartinez@crm.otsuka-europe.com</v>
      </c>
      <c r="N6740" s="23">
        <v>46182.405428240738</v>
      </c>
      <c r="O6740" s="14" t="str">
        <f>HYPERLINK("https://otsuka-europe-crm.veevavault.com/ui/#object/email_activity__v/V8C00000003Q982", "EN-002092791")</f>
        <v>EN-002092791</v>
      </c>
    </row>
    <row r="6741" spans="1:15" ht="16" x14ac:dyDescent="0.2">
      <c r="A6741" s="18"/>
      <c r="B6741" s="18"/>
      <c r="C6741" s="18"/>
      <c r="D6741" s="18"/>
      <c r="E6741" s="18"/>
      <c r="F6741" s="18"/>
      <c r="G6741" s="18"/>
      <c r="H6741" s="18"/>
      <c r="I6741" s="18"/>
      <c r="J6741" s="18"/>
      <c r="K6741" s="18"/>
      <c r="L6741" s="18"/>
      <c r="M6741" s="18"/>
      <c r="N6741" s="18"/>
      <c r="O6741" s="14" t="str">
        <f>HYPERLINK("https://otsuka-europe-crm.veevavault.com/ui/#object/email_activity__v/V8C00000003R392", "EN-002092504")</f>
        <v>EN-002092504</v>
      </c>
    </row>
    <row r="6742" spans="1:15" ht="16" x14ac:dyDescent="0.2">
      <c r="A6742" s="18"/>
      <c r="B6742" s="18"/>
      <c r="C6742" s="18"/>
      <c r="D6742" s="18"/>
      <c r="E6742" s="18"/>
      <c r="F6742" s="18"/>
      <c r="G6742" s="18"/>
      <c r="H6742" s="18"/>
      <c r="I6742" s="18"/>
      <c r="J6742" s="18"/>
      <c r="K6742" s="18"/>
      <c r="L6742" s="18"/>
      <c r="M6742" s="18"/>
      <c r="N6742" s="18"/>
      <c r="O6742" s="14" t="str">
        <f>HYPERLINK("https://otsuka-europe-crm.veevavault.com/ui/#object/email_activity__v/V8C00000003S429", "EN-002093769")</f>
        <v>EN-002093769</v>
      </c>
    </row>
    <row r="6743" spans="1:15" ht="16" x14ac:dyDescent="0.2">
      <c r="A6743" s="19"/>
      <c r="B6743" s="19"/>
      <c r="C6743" s="19"/>
      <c r="D6743" s="19"/>
      <c r="E6743" s="19"/>
      <c r="F6743" s="19"/>
      <c r="G6743" s="19"/>
      <c r="H6743" s="19"/>
      <c r="I6743" s="19"/>
      <c r="J6743" s="19"/>
      <c r="K6743" s="19"/>
      <c r="L6743" s="19"/>
      <c r="M6743" s="19"/>
      <c r="N6743" s="19"/>
      <c r="O6743" s="14" t="str">
        <f>HYPERLINK("https://otsuka-europe-crm.veevavault.com/ui/#object/email_activity__v/V8C00000003U407", "EN-002095672")</f>
        <v>EN-002095672</v>
      </c>
    </row>
    <row r="6744" spans="1:15" ht="32" x14ac:dyDescent="0.2">
      <c r="A6744" s="7" t="str">
        <f>HYPERLINK("https://otsuka-europe-crm.veevavault.com/ui/#object/account__v/V4TZ06G6O71T756", "PATRICIA GARCIA FRIAS")</f>
        <v>PATRICIA GARCIA FRIAS</v>
      </c>
      <c r="B6744" s="7" t="str">
        <f>HYPERLINK("https://otsuka-europe-crm.veevavault.com/ui/#object/vcountry__v/VENZ000004SONF5", "ES")</f>
        <v>ES</v>
      </c>
      <c r="C6744" s="8" t="s">
        <v>41</v>
      </c>
      <c r="D6744" s="9" t="str">
        <f>HYPERLINK("https://otsuka-europe-crm.veevavault.com/ui/#object/approved_document__v/V5O00000001A037", "LUP - VAE Póster Adelphi - Nefro")</f>
        <v>LUP - VAE Póster Adelphi - Nefro</v>
      </c>
      <c r="E6744" s="10" t="str">
        <f>HYPERLINK("https://otsuka-europe-crm.veevavault.com/ui/#object/sent_email__v/VBL00000002S359", "SE-001434623")</f>
        <v>SE-001434623</v>
      </c>
      <c r="F6744" s="11"/>
      <c r="G6744" s="12">
        <v>0</v>
      </c>
      <c r="H6744" s="12">
        <v>0</v>
      </c>
      <c r="I6744" s="12">
        <v>0</v>
      </c>
      <c r="J6744" s="11"/>
      <c r="K6744" s="12">
        <v>0</v>
      </c>
      <c r="L6744" s="10" t="str">
        <f>HYPERLINK("https://otsuka-europe-crm.veevavault.com/ui/#object/approved_document__v/V5O00000001A037", "LUP - VAE Póster Adelphi - Nefro")</f>
        <v>LUP - VAE Póster Adelphi - Nefro</v>
      </c>
      <c r="M6744" s="10" t="str">
        <f>HYPERLINK("mailto:pmartinez@crm.otsuka-europe.com", "pmartinez@crm.otsuka-europe.com")</f>
        <v>pmartinez@crm.otsuka-europe.com</v>
      </c>
      <c r="N6744" s="13">
        <v>46182.405428240738</v>
      </c>
      <c r="O6744" s="14" t="str">
        <f>HYPERLINK("https://otsuka-europe-crm.veevavault.com/ui/#object/email_activity__v/V8C00000003Q829", "EN-002092444")</f>
        <v>EN-002092444</v>
      </c>
    </row>
    <row r="6745" spans="1:15" ht="32" x14ac:dyDescent="0.2">
      <c r="A6745" s="7" t="str">
        <f>HYPERLINK("https://otsuka-europe-crm.veevavault.com/ui/#object/account__v/V4TZ06G6O71T9QA", "ISABEL FELEZ JUSTES")</f>
        <v>ISABEL FELEZ JUSTES</v>
      </c>
      <c r="B6745" s="7" t="str">
        <f>HYPERLINK("https://otsuka-europe-crm.veevavault.com/ui/#object/vcountry__v/VENZ000004SONF5", "ES")</f>
        <v>ES</v>
      </c>
      <c r="C6745" s="8" t="s">
        <v>41</v>
      </c>
      <c r="D6745" s="9" t="str">
        <f>HYPERLINK("https://otsuka-europe-crm.veevavault.com/ui/#object/approved_document__v/V5O00000001A037", "LUP - VAE Póster Adelphi - Nefro")</f>
        <v>LUP - VAE Póster Adelphi - Nefro</v>
      </c>
      <c r="E6745" s="10" t="str">
        <f>HYPERLINK("https://otsuka-europe-crm.veevavault.com/ui/#object/sent_email__v/VBL00000002S360", "SE-001434624")</f>
        <v>SE-001434624</v>
      </c>
      <c r="F6745" s="11"/>
      <c r="G6745" s="12">
        <v>0</v>
      </c>
      <c r="H6745" s="12">
        <v>0</v>
      </c>
      <c r="I6745" s="12">
        <v>0</v>
      </c>
      <c r="J6745" s="11"/>
      <c r="K6745" s="12">
        <v>0</v>
      </c>
      <c r="L6745" s="10" t="str">
        <f>HYPERLINK("https://otsuka-europe-crm.veevavault.com/ui/#object/approved_document__v/V5O00000001A037", "LUP - VAE Póster Adelphi - Nefro")</f>
        <v>LUP - VAE Póster Adelphi - Nefro</v>
      </c>
      <c r="M6745" s="10" t="str">
        <f>HYPERLINK("mailto:pmartinez@crm.otsuka-europe.com", "pmartinez@crm.otsuka-europe.com")</f>
        <v>pmartinez@crm.otsuka-europe.com</v>
      </c>
      <c r="N6745" s="13">
        <v>46182.405428240738</v>
      </c>
      <c r="O6745" s="14" t="str">
        <f>HYPERLINK("https://otsuka-europe-crm.veevavault.com/ui/#object/email_activity__v/V8C00000003Q852", "EN-002092467")</f>
        <v>EN-002092467</v>
      </c>
    </row>
    <row r="6746" spans="1:15" ht="16" x14ac:dyDescent="0.2">
      <c r="A6746" s="17" t="str">
        <f>HYPERLINK("https://otsuka-europe-crm.veevavault.com/ui/#object/account__v/V4TZ06G6O71TA98", "MERITXELL IBERNON VILARO")</f>
        <v>MERITXELL IBERNON VILARO</v>
      </c>
      <c r="B6746" s="17" t="str">
        <f>HYPERLINK("https://otsuka-europe-crm.veevavault.com/ui/#object/vcountry__v/VENZ000004SONF5", "ES")</f>
        <v>ES</v>
      </c>
      <c r="C6746" s="20" t="s">
        <v>41</v>
      </c>
      <c r="D6746" s="21" t="str">
        <f>HYPERLINK("https://otsuka-europe-crm.veevavault.com/ui/#object/approved_document__v/V5O00000001A037", "LUP - VAE Póster Adelphi - Nefro")</f>
        <v>LUP - VAE Póster Adelphi - Nefro</v>
      </c>
      <c r="E6746" s="22" t="str">
        <f>HYPERLINK("https://otsuka-europe-crm.veevavault.com/ui/#object/sent_email__v/VBL00000002S361", "SE-001434625")</f>
        <v>SE-001434625</v>
      </c>
      <c r="F6746" s="25"/>
      <c r="G6746" s="24">
        <v>0</v>
      </c>
      <c r="H6746" s="24">
        <v>0</v>
      </c>
      <c r="I6746" s="24">
        <v>0</v>
      </c>
      <c r="J6746" s="25"/>
      <c r="K6746" s="24">
        <v>0</v>
      </c>
      <c r="L6746" s="22" t="str">
        <f>HYPERLINK("https://otsuka-europe-crm.veevavault.com/ui/#object/approved_document__v/V5O00000001A037", "LUP - VAE Póster Adelphi - Nefro")</f>
        <v>LUP - VAE Póster Adelphi - Nefro</v>
      </c>
      <c r="M6746" s="22" t="str">
        <f>HYPERLINK("mailto:pmartinez@crm.otsuka-europe.com", "pmartinez@crm.otsuka-europe.com")</f>
        <v>pmartinez@crm.otsuka-europe.com</v>
      </c>
      <c r="N6746" s="23">
        <v>46182.405428240738</v>
      </c>
      <c r="O6746" s="14" t="str">
        <f>HYPERLINK("https://otsuka-europe-crm.veevavault.com/ui/#object/email_activity__v/V8C00000003Q870", "EN-002092490")</f>
        <v>EN-002092490</v>
      </c>
    </row>
    <row r="6747" spans="1:15" ht="16" x14ac:dyDescent="0.2">
      <c r="A6747" s="19"/>
      <c r="B6747" s="19"/>
      <c r="C6747" s="19"/>
      <c r="D6747" s="19"/>
      <c r="E6747" s="19"/>
      <c r="F6747" s="19"/>
      <c r="G6747" s="19"/>
      <c r="H6747" s="19"/>
      <c r="I6747" s="19"/>
      <c r="J6747" s="19"/>
      <c r="K6747" s="19"/>
      <c r="L6747" s="19"/>
      <c r="M6747" s="19"/>
      <c r="N6747" s="19"/>
      <c r="O6747" s="14" t="str">
        <f>HYPERLINK("https://otsuka-europe-crm.veevavault.com/ui/#object/email_activity__v/V8C00000003R878", "EN-002093355")</f>
        <v>EN-002093355</v>
      </c>
    </row>
    <row r="6748" spans="1:15" ht="32" x14ac:dyDescent="0.2">
      <c r="A6748" s="7" t="str">
        <f>HYPERLINK("https://otsuka-europe-crm.veevavault.com/ui/#object/account__v/V4TZ06G6O71T9S3", "BEATRIZ FERNANDEZ FERNANDEZ")</f>
        <v>BEATRIZ FERNANDEZ FERNANDEZ</v>
      </c>
      <c r="B6748" s="7" t="str">
        <f>HYPERLINK("https://otsuka-europe-crm.veevavault.com/ui/#object/vcountry__v/VENZ000004SONF5", "ES")</f>
        <v>ES</v>
      </c>
      <c r="C6748" s="8" t="s">
        <v>41</v>
      </c>
      <c r="D6748" s="9" t="str">
        <f>HYPERLINK("https://otsuka-europe-crm.veevavault.com/ui/#object/approved_document__v/V5O00000001A037", "LUP - VAE Póster Adelphi - Nefro")</f>
        <v>LUP - VAE Póster Adelphi - Nefro</v>
      </c>
      <c r="E6748" s="10" t="str">
        <f>HYPERLINK("https://otsuka-europe-crm.veevavault.com/ui/#object/sent_email__v/VBL00000002S362", "SE-001434626")</f>
        <v>SE-001434626</v>
      </c>
      <c r="F6748" s="11"/>
      <c r="G6748" s="12">
        <v>0</v>
      </c>
      <c r="H6748" s="12">
        <v>0</v>
      </c>
      <c r="I6748" s="12">
        <v>0</v>
      </c>
      <c r="J6748" s="11"/>
      <c r="K6748" s="12">
        <v>0</v>
      </c>
      <c r="L6748" s="10" t="str">
        <f>HYPERLINK("https://otsuka-europe-crm.veevavault.com/ui/#object/approved_document__v/V5O00000001A037", "LUP - VAE Póster Adelphi - Nefro")</f>
        <v>LUP - VAE Póster Adelphi - Nefro</v>
      </c>
      <c r="M6748" s="10" t="str">
        <f>HYPERLINK("mailto:pmartinez@crm.otsuka-europe.com", "pmartinez@crm.otsuka-europe.com")</f>
        <v>pmartinez@crm.otsuka-europe.com</v>
      </c>
      <c r="N6748" s="13">
        <v>46182.405428240738</v>
      </c>
      <c r="O6748" s="14" t="str">
        <f>HYPERLINK("https://otsuka-europe-crm.veevavault.com/ui/#object/email_activity__v/V8C00000003Q835", "EN-002092450")</f>
        <v>EN-002092450</v>
      </c>
    </row>
    <row r="6749" spans="1:15" ht="32" x14ac:dyDescent="0.2">
      <c r="A6749" s="7" t="str">
        <f>HYPERLINK("https://otsuka-europe-crm.veevavault.com/ui/#object/account__v/V4TZ06G6O71TCEE", "MARIA SAGRARIO SORIANO CABRERA")</f>
        <v>MARIA SAGRARIO SORIANO CABRERA</v>
      </c>
      <c r="B6749" s="7" t="str">
        <f>HYPERLINK("https://otsuka-europe-crm.veevavault.com/ui/#object/vcountry__v/VENZ000004SONF5", "ES")</f>
        <v>ES</v>
      </c>
      <c r="C6749" s="8" t="s">
        <v>41</v>
      </c>
      <c r="D6749" s="9" t="str">
        <f>HYPERLINK("https://otsuka-europe-crm.veevavault.com/ui/#object/approved_document__v/V5O00000001A037", "LUP - VAE Póster Adelphi - Nefro")</f>
        <v>LUP - VAE Póster Adelphi - Nefro</v>
      </c>
      <c r="E6749" s="10" t="str">
        <f>HYPERLINK("https://otsuka-europe-crm.veevavault.com/ui/#object/sent_email__v/VBL00000002S363", "SE-001434627")</f>
        <v>SE-001434627</v>
      </c>
      <c r="F6749" s="11"/>
      <c r="G6749" s="12">
        <v>0</v>
      </c>
      <c r="H6749" s="12">
        <v>0</v>
      </c>
      <c r="I6749" s="12">
        <v>0</v>
      </c>
      <c r="J6749" s="11"/>
      <c r="K6749" s="12">
        <v>0</v>
      </c>
      <c r="L6749" s="10" t="str">
        <f>HYPERLINK("https://otsuka-europe-crm.veevavault.com/ui/#object/approved_document__v/V5O00000001A037", "LUP - VAE Póster Adelphi - Nefro")</f>
        <v>LUP - VAE Póster Adelphi - Nefro</v>
      </c>
      <c r="M6749" s="10" t="str">
        <f>HYPERLINK("mailto:pmartinez@crm.otsuka-europe.com", "pmartinez@crm.otsuka-europe.com")</f>
        <v>pmartinez@crm.otsuka-europe.com</v>
      </c>
      <c r="N6749" s="13">
        <v>46182.405428240738</v>
      </c>
      <c r="O6749" s="14" t="str">
        <f>HYPERLINK("https://otsuka-europe-crm.veevavault.com/ui/#object/email_activity__v/V8C00000003Q864", "EN-002092479")</f>
        <v>EN-002092479</v>
      </c>
    </row>
    <row r="6750" spans="1:15" ht="16" x14ac:dyDescent="0.2">
      <c r="A6750" s="17" t="str">
        <f>HYPERLINK("https://otsuka-europe-crm.veevavault.com/ui/#object/account__v/V4TZ06G6O71T8FL", "ALICIA MOLINA ANDUJAR")</f>
        <v>ALICIA MOLINA ANDUJAR</v>
      </c>
      <c r="B6750" s="17" t="str">
        <f>HYPERLINK("https://otsuka-europe-crm.veevavault.com/ui/#object/vcountry__v/VENZ000004SONF5", "ES")</f>
        <v>ES</v>
      </c>
      <c r="C6750" s="20" t="s">
        <v>41</v>
      </c>
      <c r="D6750" s="21" t="str">
        <f>HYPERLINK("https://otsuka-europe-crm.veevavault.com/ui/#object/approved_document__v/V5O00000001A037", "LUP - VAE Póster Adelphi - Nefro")</f>
        <v>LUP - VAE Póster Adelphi - Nefro</v>
      </c>
      <c r="E6750" s="22" t="str">
        <f>HYPERLINK("https://otsuka-europe-crm.veevavault.com/ui/#object/sent_email__v/VBL00000002S364", "SE-001434628")</f>
        <v>SE-001434628</v>
      </c>
      <c r="F6750" s="23">
        <v>46183.338553240741</v>
      </c>
      <c r="G6750" s="24">
        <v>1</v>
      </c>
      <c r="H6750" s="24">
        <v>1</v>
      </c>
      <c r="I6750" s="24">
        <v>0</v>
      </c>
      <c r="J6750" s="25"/>
      <c r="K6750" s="24">
        <v>0</v>
      </c>
      <c r="L6750" s="22" t="str">
        <f>HYPERLINK("https://otsuka-europe-crm.veevavault.com/ui/#object/approved_document__v/V5O00000001A037", "LUP - VAE Póster Adelphi - Nefro")</f>
        <v>LUP - VAE Póster Adelphi - Nefro</v>
      </c>
      <c r="M6750" s="22" t="str">
        <f>HYPERLINK("mailto:pmartinez@crm.otsuka-europe.com", "pmartinez@crm.otsuka-europe.com")</f>
        <v>pmartinez@crm.otsuka-europe.com</v>
      </c>
      <c r="N6750" s="23">
        <v>46182.405428240738</v>
      </c>
      <c r="O6750" s="14" t="str">
        <f>HYPERLINK("https://otsuka-europe-crm.veevavault.com/ui/#object/email_activity__v/V8C00000003Q851", "EN-002092466")</f>
        <v>EN-002092466</v>
      </c>
    </row>
    <row r="6751" spans="1:15" ht="16" x14ac:dyDescent="0.2">
      <c r="A6751" s="19"/>
      <c r="B6751" s="19"/>
      <c r="C6751" s="19"/>
      <c r="D6751" s="19"/>
      <c r="E6751" s="19"/>
      <c r="F6751" s="19"/>
      <c r="G6751" s="19"/>
      <c r="H6751" s="19"/>
      <c r="I6751" s="19"/>
      <c r="J6751" s="19"/>
      <c r="K6751" s="19"/>
      <c r="L6751" s="19"/>
      <c r="M6751" s="19"/>
      <c r="N6751" s="19"/>
      <c r="O6751" s="14" t="str">
        <f>HYPERLINK("https://otsuka-europe-crm.veevavault.com/ui/#object/email_activity__v/V8C00000003S486", "EN-002093874")</f>
        <v>EN-002093874</v>
      </c>
    </row>
    <row r="6752" spans="1:15" ht="16" x14ac:dyDescent="0.2">
      <c r="A6752" s="17" t="str">
        <f>HYPERLINK("https://otsuka-europe-crm.veevavault.com/ui/#object/account__v/V4TZ06G6O71U962", "JAVIER LORENZO DEIRA LORENZO")</f>
        <v>JAVIER LORENZO DEIRA LORENZO</v>
      </c>
      <c r="B6752" s="17" t="str">
        <f>HYPERLINK("https://otsuka-europe-crm.veevavault.com/ui/#object/vcountry__v/VENZ000004SONF5", "ES")</f>
        <v>ES</v>
      </c>
      <c r="C6752" s="20" t="s">
        <v>41</v>
      </c>
      <c r="D6752" s="21" t="str">
        <f>HYPERLINK("https://otsuka-europe-crm.veevavault.com/ui/#object/approved_document__v/V5O00000001A037", "LUP - VAE Póster Adelphi - Nefro")</f>
        <v>LUP - VAE Póster Adelphi - Nefro</v>
      </c>
      <c r="E6752" s="22" t="str">
        <f>HYPERLINK("https://otsuka-europe-crm.veevavault.com/ui/#object/sent_email__v/VBL00000002S365", "SE-001434629")</f>
        <v>SE-001434629</v>
      </c>
      <c r="F6752" s="23">
        <v>46182.640914351854</v>
      </c>
      <c r="G6752" s="24">
        <v>1</v>
      </c>
      <c r="H6752" s="24">
        <v>2</v>
      </c>
      <c r="I6752" s="24">
        <v>1</v>
      </c>
      <c r="J6752" s="23">
        <v>46182.410451388889</v>
      </c>
      <c r="K6752" s="24">
        <v>2</v>
      </c>
      <c r="L6752" s="22" t="str">
        <f>HYPERLINK("https://otsuka-europe-crm.veevavault.com/ui/#object/approved_document__v/V5O00000001A037", "LUP - VAE Póster Adelphi - Nefro")</f>
        <v>LUP - VAE Póster Adelphi - Nefro</v>
      </c>
      <c r="M6752" s="22" t="str">
        <f>HYPERLINK("mailto:pmartinez@crm.otsuka-europe.com", "pmartinez@crm.otsuka-europe.com")</f>
        <v>pmartinez@crm.otsuka-europe.com</v>
      </c>
      <c r="N6752" s="23">
        <v>46182.405428240738</v>
      </c>
      <c r="O6752" s="14" t="str">
        <f>HYPERLINK("https://otsuka-europe-crm.veevavault.com/ui/#object/email_activity__v/V8C00000003Q964", "EN-002092745")</f>
        <v>EN-002092745</v>
      </c>
    </row>
    <row r="6753" spans="1:15" ht="16" x14ac:dyDescent="0.2">
      <c r="A6753" s="18"/>
      <c r="B6753" s="18"/>
      <c r="C6753" s="18"/>
      <c r="D6753" s="18"/>
      <c r="E6753" s="18"/>
      <c r="F6753" s="18"/>
      <c r="G6753" s="18"/>
      <c r="H6753" s="18"/>
      <c r="I6753" s="18"/>
      <c r="J6753" s="18"/>
      <c r="K6753" s="18"/>
      <c r="L6753" s="18"/>
      <c r="M6753" s="18"/>
      <c r="N6753" s="18"/>
      <c r="O6753" s="14" t="str">
        <f>HYPERLINK("https://otsuka-europe-crm.veevavault.com/ui/#object/email_activity__v/V8C00000003Q965", "EN-002092747")</f>
        <v>EN-002092747</v>
      </c>
    </row>
    <row r="6754" spans="1:15" ht="16" x14ac:dyDescent="0.2">
      <c r="A6754" s="18"/>
      <c r="B6754" s="18"/>
      <c r="C6754" s="18"/>
      <c r="D6754" s="18"/>
      <c r="E6754" s="18"/>
      <c r="F6754" s="18"/>
      <c r="G6754" s="18"/>
      <c r="H6754" s="18"/>
      <c r="I6754" s="18"/>
      <c r="J6754" s="18"/>
      <c r="K6754" s="18"/>
      <c r="L6754" s="18"/>
      <c r="M6754" s="18"/>
      <c r="N6754" s="18"/>
      <c r="O6754" s="14" t="str">
        <f>HYPERLINK("https://otsuka-europe-crm.veevavault.com/ui/#object/email_activity__v/V8C00000003R383", "EN-002092495")</f>
        <v>EN-002092495</v>
      </c>
    </row>
    <row r="6755" spans="1:15" ht="16" x14ac:dyDescent="0.2">
      <c r="A6755" s="18"/>
      <c r="B6755" s="18"/>
      <c r="C6755" s="18"/>
      <c r="D6755" s="18"/>
      <c r="E6755" s="18"/>
      <c r="F6755" s="18"/>
      <c r="G6755" s="18"/>
      <c r="H6755" s="18"/>
      <c r="I6755" s="18"/>
      <c r="J6755" s="18"/>
      <c r="K6755" s="18"/>
      <c r="L6755" s="18"/>
      <c r="M6755" s="18"/>
      <c r="N6755" s="18"/>
      <c r="O6755" s="14" t="str">
        <f>HYPERLINK("https://otsuka-europe-crm.veevavault.com/ui/#object/email_activity__v/V8C00000003R543", "EN-002092744")</f>
        <v>EN-002092744</v>
      </c>
    </row>
    <row r="6756" spans="1:15" ht="16" x14ac:dyDescent="0.2">
      <c r="A6756" s="18"/>
      <c r="B6756" s="18"/>
      <c r="C6756" s="18"/>
      <c r="D6756" s="18"/>
      <c r="E6756" s="18"/>
      <c r="F6756" s="18"/>
      <c r="G6756" s="18"/>
      <c r="H6756" s="18"/>
      <c r="I6756" s="18"/>
      <c r="J6756" s="18"/>
      <c r="K6756" s="18"/>
      <c r="L6756" s="18"/>
      <c r="M6756" s="18"/>
      <c r="N6756" s="18"/>
      <c r="O6756" s="14" t="str">
        <f>HYPERLINK("https://otsuka-europe-crm.veevavault.com/ui/#object/email_activity__v/V8C00000003R566", "EN-002092785")</f>
        <v>EN-002092785</v>
      </c>
    </row>
    <row r="6757" spans="1:15" ht="16" x14ac:dyDescent="0.2">
      <c r="A6757" s="18"/>
      <c r="B6757" s="18"/>
      <c r="C6757" s="18"/>
      <c r="D6757" s="18"/>
      <c r="E6757" s="18"/>
      <c r="F6757" s="18"/>
      <c r="G6757" s="18"/>
      <c r="H6757" s="18"/>
      <c r="I6757" s="18"/>
      <c r="J6757" s="18"/>
      <c r="K6757" s="18"/>
      <c r="L6757" s="18"/>
      <c r="M6757" s="18"/>
      <c r="N6757" s="18"/>
      <c r="O6757" s="14" t="str">
        <f>HYPERLINK("https://otsuka-europe-crm.veevavault.com/ui/#object/email_activity__v/V8C00000003R567", "EN-002092786")</f>
        <v>EN-002092786</v>
      </c>
    </row>
    <row r="6758" spans="1:15" ht="16" x14ac:dyDescent="0.2">
      <c r="A6758" s="18"/>
      <c r="B6758" s="18"/>
      <c r="C6758" s="18"/>
      <c r="D6758" s="18"/>
      <c r="E6758" s="18"/>
      <c r="F6758" s="18"/>
      <c r="G6758" s="18"/>
      <c r="H6758" s="18"/>
      <c r="I6758" s="18"/>
      <c r="J6758" s="18"/>
      <c r="K6758" s="18"/>
      <c r="L6758" s="18"/>
      <c r="M6758" s="18"/>
      <c r="N6758" s="18"/>
      <c r="O6758" s="14" t="str">
        <f>HYPERLINK("https://otsuka-europe-crm.veevavault.com/ui/#object/email_activity__v/V8C00000003R568", "EN-002092787")</f>
        <v>EN-002092787</v>
      </c>
    </row>
    <row r="6759" spans="1:15" ht="16" x14ac:dyDescent="0.2">
      <c r="A6759" s="19"/>
      <c r="B6759" s="19"/>
      <c r="C6759" s="19"/>
      <c r="D6759" s="19"/>
      <c r="E6759" s="19"/>
      <c r="F6759" s="19"/>
      <c r="G6759" s="19"/>
      <c r="H6759" s="19"/>
      <c r="I6759" s="19"/>
      <c r="J6759" s="19"/>
      <c r="K6759" s="19"/>
      <c r="L6759" s="19"/>
      <c r="M6759" s="19"/>
      <c r="N6759" s="19"/>
      <c r="O6759" s="14" t="str">
        <f>HYPERLINK("https://otsuka-europe-crm.veevavault.com/ui/#object/email_activity__v/V8C00000003R798", "EN-002093185")</f>
        <v>EN-002093185</v>
      </c>
    </row>
    <row r="6760" spans="1:15" ht="16" x14ac:dyDescent="0.2">
      <c r="A6760" s="17" t="str">
        <f>HYPERLINK("https://otsuka-europe-crm.veevavault.com/ui/#object/account__v/V4TZ06G6O71T9YI", "OSCAR GARCIA URIARTE")</f>
        <v>OSCAR GARCIA URIARTE</v>
      </c>
      <c r="B6760" s="17" t="str">
        <f>HYPERLINK("https://otsuka-europe-crm.veevavault.com/ui/#object/vcountry__v/VENZ000004SONF5", "ES")</f>
        <v>ES</v>
      </c>
      <c r="C6760" s="20" t="s">
        <v>41</v>
      </c>
      <c r="D6760" s="21" t="str">
        <f>HYPERLINK("https://otsuka-europe-crm.veevavault.com/ui/#object/approved_document__v/V5O00000001A037", "LUP - VAE Póster Adelphi - Nefro")</f>
        <v>LUP - VAE Póster Adelphi - Nefro</v>
      </c>
      <c r="E6760" s="22" t="str">
        <f>HYPERLINK("https://otsuka-europe-crm.veevavault.com/ui/#object/sent_email__v/VBL00000002S366", "SE-001434630")</f>
        <v>SE-001434630</v>
      </c>
      <c r="F6760" s="23">
        <v>46185.336319444446</v>
      </c>
      <c r="G6760" s="24">
        <v>1</v>
      </c>
      <c r="H6760" s="24">
        <v>8</v>
      </c>
      <c r="I6760" s="24">
        <v>1</v>
      </c>
      <c r="J6760" s="23">
        <v>46183.901944444442</v>
      </c>
      <c r="K6760" s="24">
        <v>2</v>
      </c>
      <c r="L6760" s="22" t="str">
        <f>HYPERLINK("https://otsuka-europe-crm.veevavault.com/ui/#object/approved_document__v/V5O00000001A037", "LUP - VAE Póster Adelphi - Nefro")</f>
        <v>LUP - VAE Póster Adelphi - Nefro</v>
      </c>
      <c r="M6760" s="22" t="str">
        <f>HYPERLINK("mailto:pmartinez@crm.otsuka-europe.com", "pmartinez@crm.otsuka-europe.com")</f>
        <v>pmartinez@crm.otsuka-europe.com</v>
      </c>
      <c r="N6760" s="23">
        <v>46182.405428240738</v>
      </c>
      <c r="O6760" s="14" t="str">
        <f>HYPERLINK("https://otsuka-europe-crm.veevavault.com/ui/#object/email_activity__v/V8C00000003Q922", "EN-002092600")</f>
        <v>EN-002092600</v>
      </c>
    </row>
    <row r="6761" spans="1:15" ht="16" x14ac:dyDescent="0.2">
      <c r="A6761" s="18"/>
      <c r="B6761" s="18"/>
      <c r="C6761" s="18"/>
      <c r="D6761" s="18"/>
      <c r="E6761" s="18"/>
      <c r="F6761" s="18"/>
      <c r="G6761" s="18"/>
      <c r="H6761" s="18"/>
      <c r="I6761" s="18"/>
      <c r="J6761" s="18"/>
      <c r="K6761" s="18"/>
      <c r="L6761" s="18"/>
      <c r="M6761" s="18"/>
      <c r="N6761" s="18"/>
      <c r="O6761" s="14" t="str">
        <f>HYPERLINK("https://otsuka-europe-crm.veevavault.com/ui/#object/email_activity__v/V8C00000003S791", "EN-002094437")</f>
        <v>EN-002094437</v>
      </c>
    </row>
    <row r="6762" spans="1:15" ht="16" x14ac:dyDescent="0.2">
      <c r="A6762" s="18"/>
      <c r="B6762" s="18"/>
      <c r="C6762" s="18"/>
      <c r="D6762" s="18"/>
      <c r="E6762" s="18"/>
      <c r="F6762" s="18"/>
      <c r="G6762" s="18"/>
      <c r="H6762" s="18"/>
      <c r="I6762" s="18"/>
      <c r="J6762" s="18"/>
      <c r="K6762" s="18"/>
      <c r="L6762" s="18"/>
      <c r="M6762" s="18"/>
      <c r="N6762" s="18"/>
      <c r="O6762" s="14" t="str">
        <f>HYPERLINK("https://otsuka-europe-crm.veevavault.com/ui/#object/email_activity__v/V8C00000003S792", "EN-002094438")</f>
        <v>EN-002094438</v>
      </c>
    </row>
    <row r="6763" spans="1:15" ht="16" x14ac:dyDescent="0.2">
      <c r="A6763" s="18"/>
      <c r="B6763" s="18"/>
      <c r="C6763" s="18"/>
      <c r="D6763" s="18"/>
      <c r="E6763" s="18"/>
      <c r="F6763" s="18"/>
      <c r="G6763" s="18"/>
      <c r="H6763" s="18"/>
      <c r="I6763" s="18"/>
      <c r="J6763" s="18"/>
      <c r="K6763" s="18"/>
      <c r="L6763" s="18"/>
      <c r="M6763" s="18"/>
      <c r="N6763" s="18"/>
      <c r="O6763" s="14" t="str">
        <f>HYPERLINK("https://otsuka-europe-crm.veevavault.com/ui/#object/email_activity__v/V8C00000003S793", "EN-002094439")</f>
        <v>EN-002094439</v>
      </c>
    </row>
    <row r="6764" spans="1:15" ht="16" x14ac:dyDescent="0.2">
      <c r="A6764" s="18"/>
      <c r="B6764" s="18"/>
      <c r="C6764" s="18"/>
      <c r="D6764" s="18"/>
      <c r="E6764" s="18"/>
      <c r="F6764" s="18"/>
      <c r="G6764" s="18"/>
      <c r="H6764" s="18"/>
      <c r="I6764" s="18"/>
      <c r="J6764" s="18"/>
      <c r="K6764" s="18"/>
      <c r="L6764" s="18"/>
      <c r="M6764" s="18"/>
      <c r="N6764" s="18"/>
      <c r="O6764" s="14" t="str">
        <f>HYPERLINK("https://otsuka-europe-crm.veevavault.com/ui/#object/email_activity__v/V8C00000003S798", "EN-002094446")</f>
        <v>EN-002094446</v>
      </c>
    </row>
    <row r="6765" spans="1:15" ht="16" x14ac:dyDescent="0.2">
      <c r="A6765" s="18"/>
      <c r="B6765" s="18"/>
      <c r="C6765" s="18"/>
      <c r="D6765" s="18"/>
      <c r="E6765" s="18"/>
      <c r="F6765" s="18"/>
      <c r="G6765" s="18"/>
      <c r="H6765" s="18"/>
      <c r="I6765" s="18"/>
      <c r="J6765" s="18"/>
      <c r="K6765" s="18"/>
      <c r="L6765" s="18"/>
      <c r="M6765" s="18"/>
      <c r="N6765" s="18"/>
      <c r="O6765" s="14" t="str">
        <f>HYPERLINK("https://otsuka-europe-crm.veevavault.com/ui/#object/email_activity__v/V8C00000003S799", "EN-002094447")</f>
        <v>EN-002094447</v>
      </c>
    </row>
    <row r="6766" spans="1:15" ht="16" x14ac:dyDescent="0.2">
      <c r="A6766" s="18"/>
      <c r="B6766" s="18"/>
      <c r="C6766" s="18"/>
      <c r="D6766" s="18"/>
      <c r="E6766" s="18"/>
      <c r="F6766" s="18"/>
      <c r="G6766" s="18"/>
      <c r="H6766" s="18"/>
      <c r="I6766" s="18"/>
      <c r="J6766" s="18"/>
      <c r="K6766" s="18"/>
      <c r="L6766" s="18"/>
      <c r="M6766" s="18"/>
      <c r="N6766" s="18"/>
      <c r="O6766" s="14" t="str">
        <f>HYPERLINK("https://otsuka-europe-crm.veevavault.com/ui/#object/email_activity__v/V8C00000003T166", "EN-002093898")</f>
        <v>EN-002093898</v>
      </c>
    </row>
    <row r="6767" spans="1:15" ht="16" x14ac:dyDescent="0.2">
      <c r="A6767" s="18"/>
      <c r="B6767" s="18"/>
      <c r="C6767" s="18"/>
      <c r="D6767" s="18"/>
      <c r="E6767" s="18"/>
      <c r="F6767" s="18"/>
      <c r="G6767" s="18"/>
      <c r="H6767" s="18"/>
      <c r="I6767" s="18"/>
      <c r="J6767" s="18"/>
      <c r="K6767" s="18"/>
      <c r="L6767" s="18"/>
      <c r="M6767" s="18"/>
      <c r="N6767" s="18"/>
      <c r="O6767" s="14" t="str">
        <f>HYPERLINK("https://otsuka-europe-crm.veevavault.com/ui/#object/email_activity__v/V8C00000003T167", "EN-002093899")</f>
        <v>EN-002093899</v>
      </c>
    </row>
    <row r="6768" spans="1:15" ht="16" x14ac:dyDescent="0.2">
      <c r="A6768" s="18"/>
      <c r="B6768" s="18"/>
      <c r="C6768" s="18"/>
      <c r="D6768" s="18"/>
      <c r="E6768" s="18"/>
      <c r="F6768" s="18"/>
      <c r="G6768" s="18"/>
      <c r="H6768" s="18"/>
      <c r="I6768" s="18"/>
      <c r="J6768" s="18"/>
      <c r="K6768" s="18"/>
      <c r="L6768" s="18"/>
      <c r="M6768" s="18"/>
      <c r="N6768" s="18"/>
      <c r="O6768" s="14" t="str">
        <f>HYPERLINK("https://otsuka-europe-crm.veevavault.com/ui/#object/email_activity__v/V8C00000003T168", "EN-002093900")</f>
        <v>EN-002093900</v>
      </c>
    </row>
    <row r="6769" spans="1:15" ht="16" x14ac:dyDescent="0.2">
      <c r="A6769" s="18"/>
      <c r="B6769" s="18"/>
      <c r="C6769" s="18"/>
      <c r="D6769" s="18"/>
      <c r="E6769" s="18"/>
      <c r="F6769" s="18"/>
      <c r="G6769" s="18"/>
      <c r="H6769" s="18"/>
      <c r="I6769" s="18"/>
      <c r="J6769" s="18"/>
      <c r="K6769" s="18"/>
      <c r="L6769" s="18"/>
      <c r="M6769" s="18"/>
      <c r="N6769" s="18"/>
      <c r="O6769" s="14" t="str">
        <f>HYPERLINK("https://otsuka-europe-crm.veevavault.com/ui/#object/email_activity__v/V8C00000003T410", "EN-002094435")</f>
        <v>EN-002094435</v>
      </c>
    </row>
    <row r="6770" spans="1:15" ht="16" x14ac:dyDescent="0.2">
      <c r="A6770" s="18"/>
      <c r="B6770" s="18"/>
      <c r="C6770" s="18"/>
      <c r="D6770" s="18"/>
      <c r="E6770" s="18"/>
      <c r="F6770" s="18"/>
      <c r="G6770" s="18"/>
      <c r="H6770" s="18"/>
      <c r="I6770" s="18"/>
      <c r="J6770" s="18"/>
      <c r="K6770" s="18"/>
      <c r="L6770" s="18"/>
      <c r="M6770" s="18"/>
      <c r="N6770" s="18"/>
      <c r="O6770" s="14" t="str">
        <f>HYPERLINK("https://otsuka-europe-crm.veevavault.com/ui/#object/email_activity__v/V8C00000003T411", "EN-002094436")</f>
        <v>EN-002094436</v>
      </c>
    </row>
    <row r="6771" spans="1:15" ht="16" x14ac:dyDescent="0.2">
      <c r="A6771" s="18"/>
      <c r="B6771" s="18"/>
      <c r="C6771" s="18"/>
      <c r="D6771" s="18"/>
      <c r="E6771" s="18"/>
      <c r="F6771" s="18"/>
      <c r="G6771" s="18"/>
      <c r="H6771" s="18"/>
      <c r="I6771" s="18"/>
      <c r="J6771" s="18"/>
      <c r="K6771" s="18"/>
      <c r="L6771" s="18"/>
      <c r="M6771" s="18"/>
      <c r="N6771" s="18"/>
      <c r="O6771" s="14" t="str">
        <f>HYPERLINK("https://otsuka-europe-crm.veevavault.com/ui/#object/email_activity__v/V8C00000003V166", "EN-002095113")</f>
        <v>EN-002095113</v>
      </c>
    </row>
    <row r="6772" spans="1:15" ht="16" x14ac:dyDescent="0.2">
      <c r="A6772" s="19"/>
      <c r="B6772" s="19"/>
      <c r="C6772" s="19"/>
      <c r="D6772" s="19"/>
      <c r="E6772" s="19"/>
      <c r="F6772" s="19"/>
      <c r="G6772" s="19"/>
      <c r="H6772" s="19"/>
      <c r="I6772" s="19"/>
      <c r="J6772" s="19"/>
      <c r="K6772" s="19"/>
      <c r="L6772" s="19"/>
      <c r="M6772" s="19"/>
      <c r="N6772" s="19"/>
      <c r="O6772" s="14" t="str">
        <f>HYPERLINK("https://otsuka-europe-crm.veevavault.com/ui/#object/email_activity__v/V8C00000003V167", "EN-002095115")</f>
        <v>EN-002095115</v>
      </c>
    </row>
    <row r="6773" spans="1:15" ht="32" x14ac:dyDescent="0.2">
      <c r="A6773" s="7" t="str">
        <f>HYPERLINK("https://otsuka-europe-crm.veevavault.com/ui/#object/account__v/V4TZ06G6O71T8U6", "FLORENTINO VILLANEGO FERNANDEZ")</f>
        <v>FLORENTINO VILLANEGO FERNANDEZ</v>
      </c>
      <c r="B6773" s="7" t="str">
        <f>HYPERLINK("https://otsuka-europe-crm.veevavault.com/ui/#object/vcountry__v/VENZ000004SONF5", "ES")</f>
        <v>ES</v>
      </c>
      <c r="C6773" s="8" t="s">
        <v>41</v>
      </c>
      <c r="D6773" s="9" t="str">
        <f>HYPERLINK("https://otsuka-europe-crm.veevavault.com/ui/#object/approved_document__v/V5O00000001A037", "LUP - VAE Póster Adelphi - Nefro")</f>
        <v>LUP - VAE Póster Adelphi - Nefro</v>
      </c>
      <c r="E6773" s="10" t="str">
        <f>HYPERLINK("https://otsuka-europe-crm.veevavault.com/ui/#object/sent_email__v/VBL00000002S367", "SE-001434631")</f>
        <v>SE-001434631</v>
      </c>
      <c r="F6773" s="11"/>
      <c r="G6773" s="12">
        <v>0</v>
      </c>
      <c r="H6773" s="12">
        <v>0</v>
      </c>
      <c r="I6773" s="12">
        <v>0</v>
      </c>
      <c r="J6773" s="11"/>
      <c r="K6773" s="12">
        <v>0</v>
      </c>
      <c r="L6773" s="10" t="str">
        <f>HYPERLINK("https://otsuka-europe-crm.veevavault.com/ui/#object/approved_document__v/V5O00000001A037", "LUP - VAE Póster Adelphi - Nefro")</f>
        <v>LUP - VAE Póster Adelphi - Nefro</v>
      </c>
      <c r="M6773" s="10" t="str">
        <f>HYPERLINK("mailto:pmartinez@crm.otsuka-europe.com", "pmartinez@crm.otsuka-europe.com")</f>
        <v>pmartinez@crm.otsuka-europe.com</v>
      </c>
      <c r="N6773" s="13">
        <v>46182.405428240738</v>
      </c>
      <c r="O6773" s="14" t="str">
        <f>HYPERLINK("https://otsuka-europe-crm.veevavault.com/ui/#object/email_activity__v/V8C00000003Q880", "EN-002092511")</f>
        <v>EN-002092511</v>
      </c>
    </row>
    <row r="6774" spans="1:15" ht="16" x14ac:dyDescent="0.2">
      <c r="A6774" s="17" t="str">
        <f>HYPERLINK("https://otsuka-europe-crm.veevavault.com/ui/#object/account__v/V4TZ06G6O71TBVS", "FERNANDA RAMOS CARRASCO")</f>
        <v>FERNANDA RAMOS CARRASCO</v>
      </c>
      <c r="B6774" s="17" t="str">
        <f>HYPERLINK("https://otsuka-europe-crm.veevavault.com/ui/#object/vcountry__v/VENZ000004SONF5", "ES")</f>
        <v>ES</v>
      </c>
      <c r="C6774" s="20" t="s">
        <v>41</v>
      </c>
      <c r="D6774" s="21" t="str">
        <f>HYPERLINK("https://otsuka-europe-crm.veevavault.com/ui/#object/approved_document__v/V5O00000001A037", "LUP - VAE Póster Adelphi - Nefro")</f>
        <v>LUP - VAE Póster Adelphi - Nefro</v>
      </c>
      <c r="E6774" s="22" t="str">
        <f>HYPERLINK("https://otsuka-europe-crm.veevavault.com/ui/#object/sent_email__v/VBL00000002S368", "SE-001434632")</f>
        <v>SE-001434632</v>
      </c>
      <c r="F6774" s="23">
        <v>46183.284756944442</v>
      </c>
      <c r="G6774" s="24">
        <v>1</v>
      </c>
      <c r="H6774" s="24">
        <v>1</v>
      </c>
      <c r="I6774" s="24">
        <v>0</v>
      </c>
      <c r="J6774" s="25"/>
      <c r="K6774" s="24">
        <v>0</v>
      </c>
      <c r="L6774" s="22" t="str">
        <f>HYPERLINK("https://otsuka-europe-crm.veevavault.com/ui/#object/approved_document__v/V5O00000001A037", "LUP - VAE Póster Adelphi - Nefro")</f>
        <v>LUP - VAE Póster Adelphi - Nefro</v>
      </c>
      <c r="M6774" s="22" t="str">
        <f>HYPERLINK("mailto:pmartinez@crm.otsuka-europe.com", "pmartinez@crm.otsuka-europe.com")</f>
        <v>pmartinez@crm.otsuka-europe.com</v>
      </c>
      <c r="N6774" s="23">
        <v>46182.405428240738</v>
      </c>
      <c r="O6774" s="14" t="str">
        <f>HYPERLINK("https://otsuka-europe-crm.veevavault.com/ui/#object/email_activity__v/V8C00000003Q916", "EN-002092594")</f>
        <v>EN-002092594</v>
      </c>
    </row>
    <row r="6775" spans="1:15" ht="16" x14ac:dyDescent="0.2">
      <c r="A6775" s="19"/>
      <c r="B6775" s="19"/>
      <c r="C6775" s="19"/>
      <c r="D6775" s="19"/>
      <c r="E6775" s="19"/>
      <c r="F6775" s="19"/>
      <c r="G6775" s="19"/>
      <c r="H6775" s="19"/>
      <c r="I6775" s="19"/>
      <c r="J6775" s="19"/>
      <c r="K6775" s="19"/>
      <c r="L6775" s="19"/>
      <c r="M6775" s="19"/>
      <c r="N6775" s="19"/>
      <c r="O6775" s="14" t="str">
        <f>HYPERLINK("https://otsuka-europe-crm.veevavault.com/ui/#object/email_activity__v/V8C00000003S467", "EN-002093843")</f>
        <v>EN-002093843</v>
      </c>
    </row>
    <row r="6776" spans="1:15" ht="32" x14ac:dyDescent="0.2">
      <c r="A6776" s="7" t="str">
        <f>HYPERLINK("https://otsuka-europe-crm.veevavault.com/ui/#object/account__v/V4TZ06G6O71T8N0", "MARIA PEREZ FERNANDEZ")</f>
        <v>MARIA PEREZ FERNANDEZ</v>
      </c>
      <c r="B6776" s="7" t="str">
        <f>HYPERLINK("https://otsuka-europe-crm.veevavault.com/ui/#object/vcountry__v/VENZ000004SONF5", "ES")</f>
        <v>ES</v>
      </c>
      <c r="C6776" s="8" t="s">
        <v>41</v>
      </c>
      <c r="D6776" s="9" t="str">
        <f>HYPERLINK("https://otsuka-europe-crm.veevavault.com/ui/#object/approved_document__v/V5O00000001A037", "LUP - VAE Póster Adelphi - Nefro")</f>
        <v>LUP - VAE Póster Adelphi - Nefro</v>
      </c>
      <c r="E6776" s="10" t="str">
        <f>HYPERLINK("https://otsuka-europe-crm.veevavault.com/ui/#object/sent_email__v/VBL00000002S369", "SE-001434633")</f>
        <v>SE-001434633</v>
      </c>
      <c r="F6776" s="11"/>
      <c r="G6776" s="12">
        <v>0</v>
      </c>
      <c r="H6776" s="12">
        <v>0</v>
      </c>
      <c r="I6776" s="12">
        <v>0</v>
      </c>
      <c r="J6776" s="11"/>
      <c r="K6776" s="12">
        <v>0</v>
      </c>
      <c r="L6776" s="10" t="str">
        <f>HYPERLINK("https://otsuka-europe-crm.veevavault.com/ui/#object/approved_document__v/V5O00000001A037", "LUP - VAE Póster Adelphi - Nefro")</f>
        <v>LUP - VAE Póster Adelphi - Nefro</v>
      </c>
      <c r="M6776" s="10" t="str">
        <f>HYPERLINK("mailto:pmartinez@crm.otsuka-europe.com", "pmartinez@crm.otsuka-europe.com")</f>
        <v>pmartinez@crm.otsuka-europe.com</v>
      </c>
      <c r="N6776" s="13">
        <v>46182.405428240738</v>
      </c>
      <c r="O6776" s="14" t="str">
        <f>HYPERLINK("https://otsuka-europe-crm.veevavault.com/ui/#object/email_activity__v/V8C00000003Q918", "EN-002092596")</f>
        <v>EN-002092596</v>
      </c>
    </row>
    <row r="6777" spans="1:15" ht="32" x14ac:dyDescent="0.2">
      <c r="A6777" s="7" t="str">
        <f>HYPERLINK("https://otsuka-europe-crm.veevavault.com/ui/#object/account__v/V4TZ025E82F1CW3", "AMAIA BEGOÑA OSORIO MONTES")</f>
        <v>AMAIA BEGOÑA OSORIO MONTES</v>
      </c>
      <c r="B6777" s="7" t="str">
        <f>HYPERLINK("https://otsuka-europe-crm.veevavault.com/ui/#object/vcountry__v/VENZ000004SONF5", "ES")</f>
        <v>ES</v>
      </c>
      <c r="C6777" s="8" t="s">
        <v>41</v>
      </c>
      <c r="D6777" s="9" t="str">
        <f>HYPERLINK("https://otsuka-europe-crm.veevavault.com/ui/#object/approved_document__v/V5O00000001A037", "LUP - VAE Póster Adelphi - Nefro")</f>
        <v>LUP - VAE Póster Adelphi - Nefro</v>
      </c>
      <c r="E6777" s="10" t="str">
        <f>HYPERLINK("https://otsuka-europe-crm.veevavault.com/ui/#object/sent_email__v/VBL00000002S370", "SE-001434634")</f>
        <v>SE-001434634</v>
      </c>
      <c r="F6777" s="11"/>
      <c r="G6777" s="12">
        <v>0</v>
      </c>
      <c r="H6777" s="12">
        <v>0</v>
      </c>
      <c r="I6777" s="12">
        <v>0</v>
      </c>
      <c r="J6777" s="11"/>
      <c r="K6777" s="12">
        <v>0</v>
      </c>
      <c r="L6777" s="10" t="str">
        <f>HYPERLINK("https://otsuka-europe-crm.veevavault.com/ui/#object/approved_document__v/V5O00000001A037", "LUP - VAE Póster Adelphi - Nefro")</f>
        <v>LUP - VAE Póster Adelphi - Nefro</v>
      </c>
      <c r="M6777" s="10" t="str">
        <f>HYPERLINK("mailto:pmartinez@crm.otsuka-europe.com", "pmartinez@crm.otsuka-europe.com")</f>
        <v>pmartinez@crm.otsuka-europe.com</v>
      </c>
      <c r="N6777" s="13">
        <v>46182.405428240738</v>
      </c>
      <c r="O6777" s="14" t="str">
        <f>HYPERLINK("https://otsuka-europe-crm.veevavault.com/ui/#object/email_activity__v/V8C00000003Q890", "EN-002092521")</f>
        <v>EN-002092521</v>
      </c>
    </row>
    <row r="6778" spans="1:15" ht="32" x14ac:dyDescent="0.2">
      <c r="A6778" s="7" t="str">
        <f>HYPERLINK("https://otsuka-europe-crm.veevavault.com/ui/#object/account__v/V4TZ06G6O71TC39", "ASUNCION RIUS PERIS")</f>
        <v>ASUNCION RIUS PERIS</v>
      </c>
      <c r="B6778" s="7" t="str">
        <f>HYPERLINK("https://otsuka-europe-crm.veevavault.com/ui/#object/vcountry__v/VENZ000004SONF5", "ES")</f>
        <v>ES</v>
      </c>
      <c r="C6778" s="8" t="s">
        <v>41</v>
      </c>
      <c r="D6778" s="9" t="str">
        <f>HYPERLINK("https://otsuka-europe-crm.veevavault.com/ui/#object/approved_document__v/V5O00000001A037", "LUP - VAE Póster Adelphi - Nefro")</f>
        <v>LUP - VAE Póster Adelphi - Nefro</v>
      </c>
      <c r="E6778" s="10" t="str">
        <f>HYPERLINK("https://otsuka-europe-crm.veevavault.com/ui/#object/sent_email__v/VBL00000002S371", "SE-001434635")</f>
        <v>SE-001434635</v>
      </c>
      <c r="F6778" s="11"/>
      <c r="G6778" s="12">
        <v>0</v>
      </c>
      <c r="H6778" s="12">
        <v>0</v>
      </c>
      <c r="I6778" s="12">
        <v>0</v>
      </c>
      <c r="J6778" s="11"/>
      <c r="K6778" s="12">
        <v>0</v>
      </c>
      <c r="L6778" s="10" t="str">
        <f>HYPERLINK("https://otsuka-europe-crm.veevavault.com/ui/#object/approved_document__v/V5O00000001A037", "LUP - VAE Póster Adelphi - Nefro")</f>
        <v>LUP - VAE Póster Adelphi - Nefro</v>
      </c>
      <c r="M6778" s="10" t="str">
        <f>HYPERLINK("mailto:pmartinez@crm.otsuka-europe.com", "pmartinez@crm.otsuka-europe.com")</f>
        <v>pmartinez@crm.otsuka-europe.com</v>
      </c>
      <c r="N6778" s="13">
        <v>46182.405428240738</v>
      </c>
      <c r="O6778" s="14" t="str">
        <f>HYPERLINK("https://otsuka-europe-crm.veevavault.com/ui/#object/email_activity__v/V8C00000003R399", "EN-002092546")</f>
        <v>EN-002092546</v>
      </c>
    </row>
    <row r="6779" spans="1:15" ht="32" x14ac:dyDescent="0.2">
      <c r="A6779" s="7" t="str">
        <f>HYPERLINK("https://otsuka-europe-crm.veevavault.com/ui/#object/account__v/V4TZ025E82F095K", "JOSE IGNACIO MINGUELA PESQUERA")</f>
        <v>JOSE IGNACIO MINGUELA PESQUERA</v>
      </c>
      <c r="B6779" s="7" t="str">
        <f>HYPERLINK("https://otsuka-europe-crm.veevavault.com/ui/#object/vcountry__v/VENZ000004SONF5", "ES")</f>
        <v>ES</v>
      </c>
      <c r="C6779" s="8" t="s">
        <v>41</v>
      </c>
      <c r="D6779" s="9" t="str">
        <f>HYPERLINK("https://otsuka-europe-crm.veevavault.com/ui/#object/approved_document__v/V5O00000001A037", "LUP - VAE Póster Adelphi - Nefro")</f>
        <v>LUP - VAE Póster Adelphi - Nefro</v>
      </c>
      <c r="E6779" s="10" t="str">
        <f>HYPERLINK("https://otsuka-europe-crm.veevavault.com/ui/#object/sent_email__v/VBL00000002S372", "SE-001434636")</f>
        <v>SE-001434636</v>
      </c>
      <c r="F6779" s="11"/>
      <c r="G6779" s="12">
        <v>0</v>
      </c>
      <c r="H6779" s="12">
        <v>0</v>
      </c>
      <c r="I6779" s="12">
        <v>0</v>
      </c>
      <c r="J6779" s="11"/>
      <c r="K6779" s="12">
        <v>0</v>
      </c>
      <c r="L6779" s="10" t="str">
        <f>HYPERLINK("https://otsuka-europe-crm.veevavault.com/ui/#object/approved_document__v/V5O00000001A037", "LUP - VAE Póster Adelphi - Nefro")</f>
        <v>LUP - VAE Póster Adelphi - Nefro</v>
      </c>
      <c r="M6779" s="10" t="str">
        <f>HYPERLINK("mailto:pmartinez@crm.otsuka-europe.com", "pmartinez@crm.otsuka-europe.com")</f>
        <v>pmartinez@crm.otsuka-europe.com</v>
      </c>
      <c r="N6779" s="13">
        <v>46182.405428240738</v>
      </c>
      <c r="O6779" s="14" t="str">
        <f>HYPERLINK("https://otsuka-europe-crm.veevavault.com/ui/#object/email_activity__v/V8C00000003Q924", "EN-002092602")</f>
        <v>EN-002092602</v>
      </c>
    </row>
    <row r="6780" spans="1:15" ht="16" x14ac:dyDescent="0.2">
      <c r="A6780" s="17" t="str">
        <f>HYPERLINK("https://otsuka-europe-crm.veevavault.com/ui/#object/account__v/V4TZ025E832TZKP", "MARIO PEREZ ARNEDO")</f>
        <v>MARIO PEREZ ARNEDO</v>
      </c>
      <c r="B6780" s="17" t="str">
        <f>HYPERLINK("https://otsuka-europe-crm.veevavault.com/ui/#object/vcountry__v/VENZ000004SONF5", "ES")</f>
        <v>ES</v>
      </c>
      <c r="C6780" s="20" t="s">
        <v>41</v>
      </c>
      <c r="D6780" s="21" t="str">
        <f>HYPERLINK("https://otsuka-europe-crm.veevavault.com/ui/#object/approved_document__v/V5O00000001A037", "LUP - VAE Póster Adelphi - Nefro")</f>
        <v>LUP - VAE Póster Adelphi - Nefro</v>
      </c>
      <c r="E6780" s="22" t="str">
        <f>HYPERLINK("https://otsuka-europe-crm.veevavault.com/ui/#object/sent_email__v/VBL00000002S373", "SE-001434637")</f>
        <v>SE-001434637</v>
      </c>
      <c r="F6780" s="23">
        <v>46182.406805555554</v>
      </c>
      <c r="G6780" s="24">
        <v>1</v>
      </c>
      <c r="H6780" s="24">
        <v>2</v>
      </c>
      <c r="I6780" s="24">
        <v>0</v>
      </c>
      <c r="J6780" s="25"/>
      <c r="K6780" s="24">
        <v>0</v>
      </c>
      <c r="L6780" s="22" t="str">
        <f>HYPERLINK("https://otsuka-europe-crm.veevavault.com/ui/#object/approved_document__v/V5O00000001A037", "LUP - VAE Póster Adelphi - Nefro")</f>
        <v>LUP - VAE Póster Adelphi - Nefro</v>
      </c>
      <c r="M6780" s="22" t="str">
        <f>HYPERLINK("mailto:pmartinez@crm.otsuka-europe.com", "pmartinez@crm.otsuka-europe.com")</f>
        <v>pmartinez@crm.otsuka-europe.com</v>
      </c>
      <c r="N6780" s="23">
        <v>46182.405428240738</v>
      </c>
      <c r="O6780" s="14" t="str">
        <f>HYPERLINK("https://otsuka-europe-crm.veevavault.com/ui/#object/email_activity__v/V8C00000003Q826", "EN-002092441")</f>
        <v>EN-002092441</v>
      </c>
    </row>
    <row r="6781" spans="1:15" ht="16" x14ac:dyDescent="0.2">
      <c r="A6781" s="18"/>
      <c r="B6781" s="18"/>
      <c r="C6781" s="18"/>
      <c r="D6781" s="18"/>
      <c r="E6781" s="18"/>
      <c r="F6781" s="18"/>
      <c r="G6781" s="18"/>
      <c r="H6781" s="18"/>
      <c r="I6781" s="18"/>
      <c r="J6781" s="18"/>
      <c r="K6781" s="18"/>
      <c r="L6781" s="18"/>
      <c r="M6781" s="18"/>
      <c r="N6781" s="18"/>
      <c r="O6781" s="14" t="str">
        <f>HYPERLINK("https://otsuka-europe-crm.veevavault.com/ui/#object/email_activity__v/V8C00000003R446", "EN-002092619")</f>
        <v>EN-002092619</v>
      </c>
    </row>
    <row r="6782" spans="1:15" ht="16" x14ac:dyDescent="0.2">
      <c r="A6782" s="19"/>
      <c r="B6782" s="19"/>
      <c r="C6782" s="19"/>
      <c r="D6782" s="19"/>
      <c r="E6782" s="19"/>
      <c r="F6782" s="19"/>
      <c r="G6782" s="19"/>
      <c r="H6782" s="19"/>
      <c r="I6782" s="19"/>
      <c r="J6782" s="19"/>
      <c r="K6782" s="19"/>
      <c r="L6782" s="19"/>
      <c r="M6782" s="19"/>
      <c r="N6782" s="19"/>
      <c r="O6782" s="14" t="str">
        <f>HYPERLINK("https://otsuka-europe-crm.veevavault.com/ui/#object/email_activity__v/V8C00000003R447", "EN-002092620")</f>
        <v>EN-002092620</v>
      </c>
    </row>
    <row r="6783" spans="1:15" ht="32" x14ac:dyDescent="0.2">
      <c r="A6783" s="7" t="str">
        <f>HYPERLINK("https://otsuka-europe-crm.veevavault.com/ui/#object/account__v/V4TZ06G6O71TBYD", "EMILIO RODRIGO CALABIA")</f>
        <v>EMILIO RODRIGO CALABIA</v>
      </c>
      <c r="B6783" s="7" t="str">
        <f>HYPERLINK("https://otsuka-europe-crm.veevavault.com/ui/#object/vcountry__v/VENZ000004SONF5", "ES")</f>
        <v>ES</v>
      </c>
      <c r="C6783" s="8" t="s">
        <v>41</v>
      </c>
      <c r="D6783" s="9" t="str">
        <f>HYPERLINK("https://otsuka-europe-crm.veevavault.com/ui/#object/approved_document__v/V5O00000001A037", "LUP - VAE Póster Adelphi - Nefro")</f>
        <v>LUP - VAE Póster Adelphi - Nefro</v>
      </c>
      <c r="E6783" s="10" t="str">
        <f>HYPERLINK("https://otsuka-europe-crm.veevavault.com/ui/#object/sent_email__v/VBL00000002S374", "SE-001434638")</f>
        <v>SE-001434638</v>
      </c>
      <c r="F6783" s="11"/>
      <c r="G6783" s="12">
        <v>0</v>
      </c>
      <c r="H6783" s="12">
        <v>0</v>
      </c>
      <c r="I6783" s="12">
        <v>0</v>
      </c>
      <c r="J6783" s="11"/>
      <c r="K6783" s="12">
        <v>0</v>
      </c>
      <c r="L6783" s="10" t="str">
        <f>HYPERLINK("https://otsuka-europe-crm.veevavault.com/ui/#object/approved_document__v/V5O00000001A037", "LUP - VAE Póster Adelphi - Nefro")</f>
        <v>LUP - VAE Póster Adelphi - Nefro</v>
      </c>
      <c r="M6783" s="10" t="str">
        <f>HYPERLINK("mailto:pmartinez@crm.otsuka-europe.com", "pmartinez@crm.otsuka-europe.com")</f>
        <v>pmartinez@crm.otsuka-europe.com</v>
      </c>
      <c r="N6783" s="13">
        <v>46182.405428240738</v>
      </c>
      <c r="O6783" s="14" t="str">
        <f>HYPERLINK("https://otsuka-europe-crm.veevavault.com/ui/#object/email_activity__v/V8C00000003R418", "EN-002092568")</f>
        <v>EN-002092568</v>
      </c>
    </row>
    <row r="6784" spans="1:15" ht="32" x14ac:dyDescent="0.2">
      <c r="A6784" s="7" t="str">
        <f>HYPERLINK("https://otsuka-europe-crm.veevavault.com/ui/#object/account__v/V4TZ06G6O71TB37", "NADIA MARTIN ALEMANY")</f>
        <v>NADIA MARTIN ALEMANY</v>
      </c>
      <c r="B6784" s="7" t="str">
        <f>HYPERLINK("https://otsuka-europe-crm.veevavault.com/ui/#object/vcountry__v/VENZ000004SONF5", "ES")</f>
        <v>ES</v>
      </c>
      <c r="C6784" s="8" t="s">
        <v>41</v>
      </c>
      <c r="D6784" s="9" t="str">
        <f>HYPERLINK("https://otsuka-europe-crm.veevavault.com/ui/#object/approved_document__v/V5O00000001A037", "LUP - VAE Póster Adelphi - Nefro")</f>
        <v>LUP - VAE Póster Adelphi - Nefro</v>
      </c>
      <c r="E6784" s="10" t="str">
        <f>HYPERLINK("https://otsuka-europe-crm.veevavault.com/ui/#object/sent_email__v/VBL00000002S375", "SE-001434639")</f>
        <v>SE-001434639</v>
      </c>
      <c r="F6784" s="11"/>
      <c r="G6784" s="12">
        <v>0</v>
      </c>
      <c r="H6784" s="12">
        <v>0</v>
      </c>
      <c r="I6784" s="12">
        <v>0</v>
      </c>
      <c r="J6784" s="11"/>
      <c r="K6784" s="12">
        <v>0</v>
      </c>
      <c r="L6784" s="10" t="str">
        <f>HYPERLINK("https://otsuka-europe-crm.veevavault.com/ui/#object/approved_document__v/V5O00000001A037", "LUP - VAE Póster Adelphi - Nefro")</f>
        <v>LUP - VAE Póster Adelphi - Nefro</v>
      </c>
      <c r="M6784" s="10" t="str">
        <f>HYPERLINK("mailto:pmartinez@crm.otsuka-europe.com", "pmartinez@crm.otsuka-europe.com")</f>
        <v>pmartinez@crm.otsuka-europe.com</v>
      </c>
      <c r="N6784" s="13">
        <v>46182.405428240738</v>
      </c>
      <c r="O6784" s="14" t="str">
        <f>HYPERLINK("https://otsuka-europe-crm.veevavault.com/ui/#object/email_activity__v/V8C00000003R430", "EN-002092580")</f>
        <v>EN-002092580</v>
      </c>
    </row>
    <row r="6785" spans="1:15" ht="16" x14ac:dyDescent="0.2">
      <c r="A6785" s="17" t="str">
        <f>HYPERLINK("https://otsuka-europe-crm.veevavault.com/ui/#object/account__v/V4TZ06G6O71T9SU", "MARIA DOLORES DEL PINO Y PINO")</f>
        <v>MARIA DOLORES DEL PINO Y PINO</v>
      </c>
      <c r="B6785" s="17" t="str">
        <f>HYPERLINK("https://otsuka-europe-crm.veevavault.com/ui/#object/vcountry__v/VENZ000004SONF5", "ES")</f>
        <v>ES</v>
      </c>
      <c r="C6785" s="20" t="s">
        <v>41</v>
      </c>
      <c r="D6785" s="21" t="str">
        <f>HYPERLINK("https://otsuka-europe-crm.veevavault.com/ui/#object/approved_document__v/V5O00000001A037", "LUP - VAE Póster Adelphi - Nefro")</f>
        <v>LUP - VAE Póster Adelphi - Nefro</v>
      </c>
      <c r="E6785" s="22" t="str">
        <f>HYPERLINK("https://otsuka-europe-crm.veevavault.com/ui/#object/sent_email__v/VBL00000002S376", "SE-001434640")</f>
        <v>SE-001434640</v>
      </c>
      <c r="F6785" s="23">
        <v>46183.368090277778</v>
      </c>
      <c r="G6785" s="24">
        <v>1</v>
      </c>
      <c r="H6785" s="24">
        <v>3</v>
      </c>
      <c r="I6785" s="24">
        <v>0</v>
      </c>
      <c r="J6785" s="25"/>
      <c r="K6785" s="24">
        <v>0</v>
      </c>
      <c r="L6785" s="22" t="str">
        <f>HYPERLINK("https://otsuka-europe-crm.veevavault.com/ui/#object/approved_document__v/V5O00000001A037", "LUP - VAE Póster Adelphi - Nefro")</f>
        <v>LUP - VAE Póster Adelphi - Nefro</v>
      </c>
      <c r="M6785" s="22" t="str">
        <f>HYPERLINK("mailto:pmartinez@crm.otsuka-europe.com", "pmartinez@crm.otsuka-europe.com")</f>
        <v>pmartinez@crm.otsuka-europe.com</v>
      </c>
      <c r="N6785" s="23">
        <v>46182.405428240738</v>
      </c>
      <c r="O6785" s="14" t="str">
        <f>HYPERLINK("https://otsuka-europe-crm.veevavault.com/ui/#object/email_activity__v/V8C00000003Q917", "EN-002092595")</f>
        <v>EN-002092595</v>
      </c>
    </row>
    <row r="6786" spans="1:15" ht="16" x14ac:dyDescent="0.2">
      <c r="A6786" s="18"/>
      <c r="B6786" s="18"/>
      <c r="C6786" s="18"/>
      <c r="D6786" s="18"/>
      <c r="E6786" s="18"/>
      <c r="F6786" s="18"/>
      <c r="G6786" s="18"/>
      <c r="H6786" s="18"/>
      <c r="I6786" s="18"/>
      <c r="J6786" s="18"/>
      <c r="K6786" s="18"/>
      <c r="L6786" s="18"/>
      <c r="M6786" s="18"/>
      <c r="N6786" s="18"/>
      <c r="O6786" s="14" t="str">
        <f>HYPERLINK("https://otsuka-europe-crm.veevavault.com/ui/#object/email_activity__v/V8C00000003R877", "EN-002093353")</f>
        <v>EN-002093353</v>
      </c>
    </row>
    <row r="6787" spans="1:15" ht="16" x14ac:dyDescent="0.2">
      <c r="A6787" s="18"/>
      <c r="B6787" s="18"/>
      <c r="C6787" s="18"/>
      <c r="D6787" s="18"/>
      <c r="E6787" s="18"/>
      <c r="F6787" s="18"/>
      <c r="G6787" s="18"/>
      <c r="H6787" s="18"/>
      <c r="I6787" s="18"/>
      <c r="J6787" s="18"/>
      <c r="K6787" s="18"/>
      <c r="L6787" s="18"/>
      <c r="M6787" s="18"/>
      <c r="N6787" s="18"/>
      <c r="O6787" s="14" t="str">
        <f>HYPERLINK("https://otsuka-europe-crm.veevavault.com/ui/#object/email_activity__v/V8C00000003S060", "EN-002092959")</f>
        <v>EN-002092959</v>
      </c>
    </row>
    <row r="6788" spans="1:15" ht="16" x14ac:dyDescent="0.2">
      <c r="A6788" s="18"/>
      <c r="B6788" s="18"/>
      <c r="C6788" s="18"/>
      <c r="D6788" s="18"/>
      <c r="E6788" s="18"/>
      <c r="F6788" s="18"/>
      <c r="G6788" s="18"/>
      <c r="H6788" s="18"/>
      <c r="I6788" s="18"/>
      <c r="J6788" s="18"/>
      <c r="K6788" s="18"/>
      <c r="L6788" s="18"/>
      <c r="M6788" s="18"/>
      <c r="N6788" s="18"/>
      <c r="O6788" s="14" t="str">
        <f>HYPERLINK("https://otsuka-europe-crm.veevavault.com/ui/#object/email_activity__v/V8C00000003T172", "EN-002093909")</f>
        <v>EN-002093909</v>
      </c>
    </row>
    <row r="6789" spans="1:15" ht="16" x14ac:dyDescent="0.2">
      <c r="A6789" s="19"/>
      <c r="B6789" s="19"/>
      <c r="C6789" s="19"/>
      <c r="D6789" s="19"/>
      <c r="E6789" s="19"/>
      <c r="F6789" s="19"/>
      <c r="G6789" s="19"/>
      <c r="H6789" s="19"/>
      <c r="I6789" s="19"/>
      <c r="J6789" s="19"/>
      <c r="K6789" s="19"/>
      <c r="L6789" s="19"/>
      <c r="M6789" s="19"/>
      <c r="N6789" s="19"/>
      <c r="O6789" s="14" t="str">
        <f>HYPERLINK("https://otsuka-europe-crm.veevavault.com/ui/#object/email_activity__v/V8C000000040163", "EN-002098981")</f>
        <v>EN-002098981</v>
      </c>
    </row>
    <row r="6790" spans="1:15" ht="16" x14ac:dyDescent="0.2">
      <c r="A6790" s="17" t="str">
        <f>HYPERLINK("https://otsuka-europe-crm.veevavault.com/ui/#object/account__v/V4TZ06G6O71TB7F", "ADELAIDA MARGARITA MORALES UMPIERREZ")</f>
        <v>ADELAIDA MARGARITA MORALES UMPIERREZ</v>
      </c>
      <c r="B6790" s="17" t="str">
        <f>HYPERLINK("https://otsuka-europe-crm.veevavault.com/ui/#object/vcountry__v/VENZ000004SONF5", "ES")</f>
        <v>ES</v>
      </c>
      <c r="C6790" s="20" t="s">
        <v>41</v>
      </c>
      <c r="D6790" s="21" t="str">
        <f>HYPERLINK("https://otsuka-europe-crm.veevavault.com/ui/#object/approved_document__v/V5O00000001A037", "LUP - VAE Póster Adelphi - Nefro")</f>
        <v>LUP - VAE Póster Adelphi - Nefro</v>
      </c>
      <c r="E6790" s="22" t="str">
        <f>HYPERLINK("https://otsuka-europe-crm.veevavault.com/ui/#object/sent_email__v/VBL00000002S377", "SE-001434641")</f>
        <v>SE-001434641</v>
      </c>
      <c r="F6790" s="25"/>
      <c r="G6790" s="24">
        <v>0</v>
      </c>
      <c r="H6790" s="24">
        <v>0</v>
      </c>
      <c r="I6790" s="24">
        <v>0</v>
      </c>
      <c r="J6790" s="25"/>
      <c r="K6790" s="24">
        <v>0</v>
      </c>
      <c r="L6790" s="22" t="str">
        <f>HYPERLINK("https://otsuka-europe-crm.veevavault.com/ui/#object/approved_document__v/V5O00000001A037", "LUP - VAE Póster Adelphi - Nefro")</f>
        <v>LUP - VAE Póster Adelphi - Nefro</v>
      </c>
      <c r="M6790" s="22" t="str">
        <f>HYPERLINK("mailto:pmartinez@crm.otsuka-europe.com", "pmartinez@crm.otsuka-europe.com")</f>
        <v>pmartinez@crm.otsuka-europe.com</v>
      </c>
      <c r="N6790" s="23">
        <v>46182.405428240738</v>
      </c>
      <c r="O6790" s="14" t="str">
        <f>HYPERLINK("https://otsuka-europe-crm.veevavault.com/ui/#object/email_activity__v/V8C00000003Q879", "EN-002092510")</f>
        <v>EN-002092510</v>
      </c>
    </row>
    <row r="6791" spans="1:15" ht="16" x14ac:dyDescent="0.2">
      <c r="A6791" s="18"/>
      <c r="B6791" s="18"/>
      <c r="C6791" s="18"/>
      <c r="D6791" s="18"/>
      <c r="E6791" s="18"/>
      <c r="F6791" s="18"/>
      <c r="G6791" s="18"/>
      <c r="H6791" s="18"/>
      <c r="I6791" s="18"/>
      <c r="J6791" s="18"/>
      <c r="K6791" s="18"/>
      <c r="L6791" s="18"/>
      <c r="M6791" s="18"/>
      <c r="N6791" s="18"/>
      <c r="O6791" s="14" t="str">
        <f>HYPERLINK("https://otsuka-europe-crm.veevavault.com/ui/#object/email_activity__v/V8C00000003T115", "EN-002093788")</f>
        <v>EN-002093788</v>
      </c>
    </row>
    <row r="6792" spans="1:15" ht="16" x14ac:dyDescent="0.2">
      <c r="A6792" s="19"/>
      <c r="B6792" s="19"/>
      <c r="C6792" s="19"/>
      <c r="D6792" s="19"/>
      <c r="E6792" s="19"/>
      <c r="F6792" s="19"/>
      <c r="G6792" s="19"/>
      <c r="H6792" s="19"/>
      <c r="I6792" s="19"/>
      <c r="J6792" s="19"/>
      <c r="K6792" s="19"/>
      <c r="L6792" s="19"/>
      <c r="M6792" s="19"/>
      <c r="N6792" s="19"/>
      <c r="O6792" s="14" t="str">
        <f>HYPERLINK("https://otsuka-europe-crm.veevavault.com/ui/#object/email_activity__v/V8C00000003T422", "EN-002094464")</f>
        <v>EN-002094464</v>
      </c>
    </row>
    <row r="6793" spans="1:15" ht="32" x14ac:dyDescent="0.2">
      <c r="A6793" s="7" t="str">
        <f>HYPERLINK("https://otsuka-europe-crm.veevavault.com/ui/#object/account__v/V4TZ04ASG79T3MJ", "IARA KARLLA DA SILVA SANTOS")</f>
        <v>IARA KARLLA DA SILVA SANTOS</v>
      </c>
      <c r="B6793" s="7" t="str">
        <f>HYPERLINK("https://otsuka-europe-crm.veevavault.com/ui/#object/vcountry__v/VENZ000004SONF5", "ES")</f>
        <v>ES</v>
      </c>
      <c r="C6793" s="8" t="s">
        <v>41</v>
      </c>
      <c r="D6793" s="9" t="str">
        <f>HYPERLINK("https://otsuka-europe-crm.veevavault.com/ui/#object/approved_document__v/V5O00000001A037", "LUP - VAE Póster Adelphi - Nefro")</f>
        <v>LUP - VAE Póster Adelphi - Nefro</v>
      </c>
      <c r="E6793" s="10" t="str">
        <f>HYPERLINK("https://otsuka-europe-crm.veevavault.com/ui/#object/sent_email__v/VBL00000002S378", "SE-001434642")</f>
        <v>SE-001434642</v>
      </c>
      <c r="F6793" s="11"/>
      <c r="G6793" s="12">
        <v>0</v>
      </c>
      <c r="H6793" s="12">
        <v>0</v>
      </c>
      <c r="I6793" s="12">
        <v>0</v>
      </c>
      <c r="J6793" s="11"/>
      <c r="K6793" s="12">
        <v>0</v>
      </c>
      <c r="L6793" s="10" t="str">
        <f>HYPERLINK("https://otsuka-europe-crm.veevavault.com/ui/#object/approved_document__v/V5O00000001A037", "LUP - VAE Póster Adelphi - Nefro")</f>
        <v>LUP - VAE Póster Adelphi - Nefro</v>
      </c>
      <c r="M6793" s="10" t="str">
        <f>HYPERLINK("mailto:pmartinez@crm.otsuka-europe.com", "pmartinez@crm.otsuka-europe.com")</f>
        <v>pmartinez@crm.otsuka-europe.com</v>
      </c>
      <c r="N6793" s="13">
        <v>46182.405428240738</v>
      </c>
      <c r="O6793" s="14" t="str">
        <f>HYPERLINK("https://otsuka-europe-crm.veevavault.com/ui/#object/email_activity__v/V8C00000003Q881", "EN-002092512")</f>
        <v>EN-002092512</v>
      </c>
    </row>
    <row r="6794" spans="1:15" ht="32" x14ac:dyDescent="0.2">
      <c r="A6794" s="7" t="str">
        <f>HYPERLINK("https://otsuka-europe-crm.veevavault.com/ui/#object/account__v/V4TZ025E84TMJY6", "CHRISTIAN ISRAEL ALFARO SANCHEZ")</f>
        <v>CHRISTIAN ISRAEL ALFARO SANCHEZ</v>
      </c>
      <c r="B6794" s="7" t="str">
        <f>HYPERLINK("https://otsuka-europe-crm.veevavault.com/ui/#object/vcountry__v/VENZ000004SONF5", "ES")</f>
        <v>ES</v>
      </c>
      <c r="C6794" s="8" t="s">
        <v>41</v>
      </c>
      <c r="D6794" s="9" t="str">
        <f>HYPERLINK("https://otsuka-europe-crm.veevavault.com/ui/#object/approved_document__v/V5O00000001A037", "LUP - VAE Póster Adelphi - Nefro")</f>
        <v>LUP - VAE Póster Adelphi - Nefro</v>
      </c>
      <c r="E6794" s="10" t="str">
        <f>HYPERLINK("https://otsuka-europe-crm.veevavault.com/ui/#object/sent_email__v/VBL00000002S379", "SE-001434643")</f>
        <v>SE-001434643</v>
      </c>
      <c r="F6794" s="11"/>
      <c r="G6794" s="12">
        <v>0</v>
      </c>
      <c r="H6794" s="12">
        <v>0</v>
      </c>
      <c r="I6794" s="12">
        <v>0</v>
      </c>
      <c r="J6794" s="11"/>
      <c r="K6794" s="12">
        <v>0</v>
      </c>
      <c r="L6794" s="10" t="str">
        <f>HYPERLINK("https://otsuka-europe-crm.veevavault.com/ui/#object/approved_document__v/V5O00000001A037", "LUP - VAE Póster Adelphi - Nefro")</f>
        <v>LUP - VAE Póster Adelphi - Nefro</v>
      </c>
      <c r="M6794" s="10" t="str">
        <f>HYPERLINK("mailto:pmartinez@crm.otsuka-europe.com", "pmartinez@crm.otsuka-europe.com")</f>
        <v>pmartinez@crm.otsuka-europe.com</v>
      </c>
      <c r="N6794" s="13">
        <v>46182.405428240738</v>
      </c>
      <c r="O6794" s="14" t="str">
        <f>HYPERLINK("https://otsuka-europe-crm.veevavault.com/ui/#object/email_activity__v/V8C00000003R439", "EN-002092589")</f>
        <v>EN-002092589</v>
      </c>
    </row>
    <row r="6795" spans="1:15" ht="16" x14ac:dyDescent="0.2">
      <c r="A6795" s="17" t="str">
        <f>HYPERLINK("https://otsuka-europe-crm.veevavault.com/ui/#object/account__v/V4TZ06G6O71TCNC", "ANA MARIA HUERTA ARROYO")</f>
        <v>ANA MARIA HUERTA ARROYO</v>
      </c>
      <c r="B6795" s="17" t="str">
        <f>HYPERLINK("https://otsuka-europe-crm.veevavault.com/ui/#object/vcountry__v/VENZ000004SONF5", "ES")</f>
        <v>ES</v>
      </c>
      <c r="C6795" s="20" t="s">
        <v>41</v>
      </c>
      <c r="D6795" s="21" t="str">
        <f>HYPERLINK("https://otsuka-europe-crm.veevavault.com/ui/#object/approved_document__v/V5O00000001A037", "LUP - VAE Póster Adelphi - Nefro")</f>
        <v>LUP - VAE Póster Adelphi - Nefro</v>
      </c>
      <c r="E6795" s="22" t="str">
        <f>HYPERLINK("https://otsuka-europe-crm.veevavault.com/ui/#object/sent_email__v/VBL00000002S380", "SE-001434644")</f>
        <v>SE-001434644</v>
      </c>
      <c r="F6795" s="25"/>
      <c r="G6795" s="24">
        <v>0</v>
      </c>
      <c r="H6795" s="24">
        <v>0</v>
      </c>
      <c r="I6795" s="24">
        <v>0</v>
      </c>
      <c r="J6795" s="25"/>
      <c r="K6795" s="24">
        <v>0</v>
      </c>
      <c r="L6795" s="22" t="str">
        <f>HYPERLINK("https://otsuka-europe-crm.veevavault.com/ui/#object/approved_document__v/V5O00000001A037", "LUP - VAE Póster Adelphi - Nefro")</f>
        <v>LUP - VAE Póster Adelphi - Nefro</v>
      </c>
      <c r="M6795" s="22" t="str">
        <f>HYPERLINK("mailto:pmartinez@crm.otsuka-europe.com", "pmartinez@crm.otsuka-europe.com")</f>
        <v>pmartinez@crm.otsuka-europe.com</v>
      </c>
      <c r="N6795" s="23">
        <v>46182.405428240738</v>
      </c>
      <c r="O6795" s="14" t="str">
        <f>HYPERLINK("https://otsuka-europe-crm.veevavault.com/ui/#object/email_activity__v/V8C00000003R436", "EN-002092586")</f>
        <v>EN-002092586</v>
      </c>
    </row>
    <row r="6796" spans="1:15" ht="16" x14ac:dyDescent="0.2">
      <c r="A6796" s="19"/>
      <c r="B6796" s="19"/>
      <c r="C6796" s="19"/>
      <c r="D6796" s="19"/>
      <c r="E6796" s="19"/>
      <c r="F6796" s="19"/>
      <c r="G6796" s="19"/>
      <c r="H6796" s="19"/>
      <c r="I6796" s="19"/>
      <c r="J6796" s="19"/>
      <c r="K6796" s="19"/>
      <c r="L6796" s="19"/>
      <c r="M6796" s="19"/>
      <c r="N6796" s="19"/>
      <c r="O6796" s="14" t="str">
        <f>HYPERLINK("https://otsuka-europe-crm.veevavault.com/ui/#object/email_activity__v/V8C00000003S242", "EN-002093357")</f>
        <v>EN-002093357</v>
      </c>
    </row>
    <row r="6797" spans="1:15" ht="16" x14ac:dyDescent="0.2">
      <c r="A6797" s="17" t="str">
        <f>HYPERLINK("https://otsuka-europe-crm.veevavault.com/ui/#object/account__v/V4TZ06G6O71T9UY", "XAVIER FULLADOSA OLIVERAS")</f>
        <v>XAVIER FULLADOSA OLIVERAS</v>
      </c>
      <c r="B6797" s="17" t="str">
        <f>HYPERLINK("https://otsuka-europe-crm.veevavault.com/ui/#object/vcountry__v/VENZ000004SONF5", "ES")</f>
        <v>ES</v>
      </c>
      <c r="C6797" s="20" t="s">
        <v>41</v>
      </c>
      <c r="D6797" s="21" t="str">
        <f>HYPERLINK("https://otsuka-europe-crm.veevavault.com/ui/#object/approved_document__v/V5O00000001A037", "LUP - VAE Póster Adelphi - Nefro")</f>
        <v>LUP - VAE Póster Adelphi - Nefro</v>
      </c>
      <c r="E6797" s="22" t="str">
        <f>HYPERLINK("https://otsuka-europe-crm.veevavault.com/ui/#object/sent_email__v/VBL00000002S381", "SE-001434645")</f>
        <v>SE-001434645</v>
      </c>
      <c r="F6797" s="23">
        <v>46182.949050925927</v>
      </c>
      <c r="G6797" s="24">
        <v>1</v>
      </c>
      <c r="H6797" s="24">
        <v>1</v>
      </c>
      <c r="I6797" s="24">
        <v>1</v>
      </c>
      <c r="J6797" s="23">
        <v>46182.949270833335</v>
      </c>
      <c r="K6797" s="24">
        <v>1</v>
      </c>
      <c r="L6797" s="22" t="str">
        <f>HYPERLINK("https://otsuka-europe-crm.veevavault.com/ui/#object/approved_document__v/V5O00000001A037", "LUP - VAE Póster Adelphi - Nefro")</f>
        <v>LUP - VAE Póster Adelphi - Nefro</v>
      </c>
      <c r="M6797" s="22" t="str">
        <f>HYPERLINK("mailto:pmartinez@crm.otsuka-europe.com", "pmartinez@crm.otsuka-europe.com")</f>
        <v>pmartinez@crm.otsuka-europe.com</v>
      </c>
      <c r="N6797" s="23">
        <v>46182.405428240738</v>
      </c>
      <c r="O6797" s="14" t="str">
        <f>HYPERLINK("https://otsuka-europe-crm.veevavault.com/ui/#object/email_activity__v/V8C00000003Q872", "EN-002092492")</f>
        <v>EN-002092492</v>
      </c>
    </row>
    <row r="6798" spans="1:15" ht="16" x14ac:dyDescent="0.2">
      <c r="A6798" s="18"/>
      <c r="B6798" s="18"/>
      <c r="C6798" s="18"/>
      <c r="D6798" s="18"/>
      <c r="E6798" s="18"/>
      <c r="F6798" s="18"/>
      <c r="G6798" s="18"/>
      <c r="H6798" s="18"/>
      <c r="I6798" s="18"/>
      <c r="J6798" s="18"/>
      <c r="K6798" s="18"/>
      <c r="L6798" s="18"/>
      <c r="M6798" s="18"/>
      <c r="N6798" s="18"/>
      <c r="O6798" s="14" t="str">
        <f>HYPERLINK("https://otsuka-europe-crm.veevavault.com/ui/#object/email_activity__v/V8C00000003T104", "EN-002093767")</f>
        <v>EN-002093767</v>
      </c>
    </row>
    <row r="6799" spans="1:15" ht="16" x14ac:dyDescent="0.2">
      <c r="A6799" s="18"/>
      <c r="B6799" s="18"/>
      <c r="C6799" s="18"/>
      <c r="D6799" s="18"/>
      <c r="E6799" s="18"/>
      <c r="F6799" s="18"/>
      <c r="G6799" s="18"/>
      <c r="H6799" s="18"/>
      <c r="I6799" s="18"/>
      <c r="J6799" s="18"/>
      <c r="K6799" s="18"/>
      <c r="L6799" s="18"/>
      <c r="M6799" s="18"/>
      <c r="N6799" s="18"/>
      <c r="O6799" s="14" t="str">
        <f>HYPERLINK("https://otsuka-europe-crm.veevavault.com/ui/#object/email_activity__v/V8C00000003T105", "EN-002093768")</f>
        <v>EN-002093768</v>
      </c>
    </row>
    <row r="6800" spans="1:15" ht="16" x14ac:dyDescent="0.2">
      <c r="A6800" s="18"/>
      <c r="B6800" s="18"/>
      <c r="C6800" s="18"/>
      <c r="D6800" s="18"/>
      <c r="E6800" s="18"/>
      <c r="F6800" s="18"/>
      <c r="G6800" s="18"/>
      <c r="H6800" s="18"/>
      <c r="I6800" s="18"/>
      <c r="J6800" s="18"/>
      <c r="K6800" s="18"/>
      <c r="L6800" s="18"/>
      <c r="M6800" s="18"/>
      <c r="N6800" s="18"/>
      <c r="O6800" s="14" t="str">
        <f>HYPERLINK("https://otsuka-europe-crm.veevavault.com/ui/#object/email_activity__v/V8C00000003T107", "EN-002093774")</f>
        <v>EN-002093774</v>
      </c>
    </row>
    <row r="6801" spans="1:15" ht="16" x14ac:dyDescent="0.2">
      <c r="A6801" s="18"/>
      <c r="B6801" s="18"/>
      <c r="C6801" s="18"/>
      <c r="D6801" s="18"/>
      <c r="E6801" s="18"/>
      <c r="F6801" s="18"/>
      <c r="G6801" s="18"/>
      <c r="H6801" s="18"/>
      <c r="I6801" s="18"/>
      <c r="J6801" s="18"/>
      <c r="K6801" s="18"/>
      <c r="L6801" s="18"/>
      <c r="M6801" s="18"/>
      <c r="N6801" s="18"/>
      <c r="O6801" s="14" t="str">
        <f>HYPERLINK("https://otsuka-europe-crm.veevavault.com/ui/#object/email_activity__v/V8C00000003T108", "EN-002093775")</f>
        <v>EN-002093775</v>
      </c>
    </row>
    <row r="6802" spans="1:15" ht="16" x14ac:dyDescent="0.2">
      <c r="A6802" s="19"/>
      <c r="B6802" s="19"/>
      <c r="C6802" s="19"/>
      <c r="D6802" s="19"/>
      <c r="E6802" s="19"/>
      <c r="F6802" s="19"/>
      <c r="G6802" s="19"/>
      <c r="H6802" s="19"/>
      <c r="I6802" s="19"/>
      <c r="J6802" s="19"/>
      <c r="K6802" s="19"/>
      <c r="L6802" s="19"/>
      <c r="M6802" s="19"/>
      <c r="N6802" s="19"/>
      <c r="O6802" s="14" t="str">
        <f>HYPERLINK("https://otsuka-europe-crm.veevavault.com/ui/#object/email_activity__v/V8C00000003T109", "EN-002093776")</f>
        <v>EN-002093776</v>
      </c>
    </row>
    <row r="6803" spans="1:15" ht="16" x14ac:dyDescent="0.2">
      <c r="A6803" s="17" t="str">
        <f>HYPERLINK("https://otsuka-europe-crm.veevavault.com/ui/#object/account__v/V4TZ06G6O71TC6D", "RAMON MARIA SARACHO ROTAECHE")</f>
        <v>RAMON MARIA SARACHO ROTAECHE</v>
      </c>
      <c r="B6803" s="17" t="str">
        <f>HYPERLINK("https://otsuka-europe-crm.veevavault.com/ui/#object/vcountry__v/VENZ000004SONF5", "ES")</f>
        <v>ES</v>
      </c>
      <c r="C6803" s="20" t="s">
        <v>41</v>
      </c>
      <c r="D6803" s="21" t="str">
        <f>HYPERLINK("https://otsuka-europe-crm.veevavault.com/ui/#object/approved_document__v/V5O00000001A037", "LUP - VAE Póster Adelphi - Nefro")</f>
        <v>LUP - VAE Póster Adelphi - Nefro</v>
      </c>
      <c r="E6803" s="22" t="str">
        <f>HYPERLINK("https://otsuka-europe-crm.veevavault.com/ui/#object/sent_email__v/VBL00000002S382", "SE-001434646")</f>
        <v>SE-001434646</v>
      </c>
      <c r="F6803" s="23">
        <v>46182.489016203705</v>
      </c>
      <c r="G6803" s="24">
        <v>1</v>
      </c>
      <c r="H6803" s="24">
        <v>1</v>
      </c>
      <c r="I6803" s="24">
        <v>0</v>
      </c>
      <c r="J6803" s="25"/>
      <c r="K6803" s="24">
        <v>0</v>
      </c>
      <c r="L6803" s="22" t="str">
        <f>HYPERLINK("https://otsuka-europe-crm.veevavault.com/ui/#object/approved_document__v/V5O00000001A037", "LUP - VAE Póster Adelphi - Nefro")</f>
        <v>LUP - VAE Póster Adelphi - Nefro</v>
      </c>
      <c r="M6803" s="22" t="str">
        <f>HYPERLINK("mailto:pmartinez@crm.otsuka-europe.com", "pmartinez@crm.otsuka-europe.com")</f>
        <v>pmartinez@crm.otsuka-europe.com</v>
      </c>
      <c r="N6803" s="23">
        <v>46182.405428240738</v>
      </c>
      <c r="O6803" s="14" t="str">
        <f>HYPERLINK("https://otsuka-europe-crm.veevavault.com/ui/#object/email_activity__v/V8C00000003R384", "EN-002092496")</f>
        <v>EN-002092496</v>
      </c>
    </row>
    <row r="6804" spans="1:15" ht="16" x14ac:dyDescent="0.2">
      <c r="A6804" s="18"/>
      <c r="B6804" s="18"/>
      <c r="C6804" s="18"/>
      <c r="D6804" s="18"/>
      <c r="E6804" s="18"/>
      <c r="F6804" s="18"/>
      <c r="G6804" s="18"/>
      <c r="H6804" s="18"/>
      <c r="I6804" s="18"/>
      <c r="J6804" s="18"/>
      <c r="K6804" s="18"/>
      <c r="L6804" s="18"/>
      <c r="M6804" s="18"/>
      <c r="N6804" s="18"/>
      <c r="O6804" s="14" t="str">
        <f>HYPERLINK("https://otsuka-europe-crm.veevavault.com/ui/#object/email_activity__v/V8C00000003R620", "EN-002092882")</f>
        <v>EN-002092882</v>
      </c>
    </row>
    <row r="6805" spans="1:15" ht="16" x14ac:dyDescent="0.2">
      <c r="A6805" s="19"/>
      <c r="B6805" s="19"/>
      <c r="C6805" s="19"/>
      <c r="D6805" s="19"/>
      <c r="E6805" s="19"/>
      <c r="F6805" s="19"/>
      <c r="G6805" s="19"/>
      <c r="H6805" s="19"/>
      <c r="I6805" s="19"/>
      <c r="J6805" s="19"/>
      <c r="K6805" s="19"/>
      <c r="L6805" s="19"/>
      <c r="M6805" s="19"/>
      <c r="N6805" s="19"/>
      <c r="O6805" s="14" t="str">
        <f>HYPERLINK("https://otsuka-europe-crm.veevavault.com/ui/#object/email_activity__v/V8C00000003T100", "EN-002093761")</f>
        <v>EN-002093761</v>
      </c>
    </row>
    <row r="6806" spans="1:15" ht="16" x14ac:dyDescent="0.2">
      <c r="A6806" s="17" t="str">
        <f>HYPERLINK("https://otsuka-europe-crm.veevavault.com/ui/#object/account__v/V4TZ06G6O71TAQ8", "PEDRO JESUS LABRADOR GOMEZ")</f>
        <v>PEDRO JESUS LABRADOR GOMEZ</v>
      </c>
      <c r="B6806" s="17" t="str">
        <f>HYPERLINK("https://otsuka-europe-crm.veevavault.com/ui/#object/vcountry__v/VENZ000004SONF5", "ES")</f>
        <v>ES</v>
      </c>
      <c r="C6806" s="20" t="s">
        <v>41</v>
      </c>
      <c r="D6806" s="21" t="str">
        <f>HYPERLINK("https://otsuka-europe-crm.veevavault.com/ui/#object/approved_document__v/V5O00000001A037", "LUP - VAE Póster Adelphi - Nefro")</f>
        <v>LUP - VAE Póster Adelphi - Nefro</v>
      </c>
      <c r="E6806" s="22" t="str">
        <f>HYPERLINK("https://otsuka-europe-crm.veevavault.com/ui/#object/sent_email__v/VBL00000002S383", "SE-001434647")</f>
        <v>SE-001434647</v>
      </c>
      <c r="F6806" s="23">
        <v>46183.290381944447</v>
      </c>
      <c r="G6806" s="24">
        <v>1</v>
      </c>
      <c r="H6806" s="24">
        <v>4</v>
      </c>
      <c r="I6806" s="24">
        <v>1</v>
      </c>
      <c r="J6806" s="23">
        <v>46183.287627314814</v>
      </c>
      <c r="K6806" s="24">
        <v>1</v>
      </c>
      <c r="L6806" s="22" t="str">
        <f>HYPERLINK("https://otsuka-europe-crm.veevavault.com/ui/#object/approved_document__v/V5O00000001A037", "LUP - VAE Póster Adelphi - Nefro")</f>
        <v>LUP - VAE Póster Adelphi - Nefro</v>
      </c>
      <c r="M6806" s="22" t="str">
        <f>HYPERLINK("mailto:pmartinez@crm.otsuka-europe.com", "pmartinez@crm.otsuka-europe.com")</f>
        <v>pmartinez@crm.otsuka-europe.com</v>
      </c>
      <c r="N6806" s="23">
        <v>46182.405428240738</v>
      </c>
      <c r="O6806" s="14" t="str">
        <f>HYPERLINK("https://otsuka-europe-crm.veevavault.com/ui/#object/email_activity__v/V8C00000003Q910", "EN-002092557")</f>
        <v>EN-002092557</v>
      </c>
    </row>
    <row r="6807" spans="1:15" ht="16" x14ac:dyDescent="0.2">
      <c r="A6807" s="18"/>
      <c r="B6807" s="18"/>
      <c r="C6807" s="18"/>
      <c r="D6807" s="18"/>
      <c r="E6807" s="18"/>
      <c r="F6807" s="18"/>
      <c r="G6807" s="18"/>
      <c r="H6807" s="18"/>
      <c r="I6807" s="18"/>
      <c r="J6807" s="18"/>
      <c r="K6807" s="18"/>
      <c r="L6807" s="18"/>
      <c r="M6807" s="18"/>
      <c r="N6807" s="18"/>
      <c r="O6807" s="14" t="str">
        <f>HYPERLINK("https://otsuka-europe-crm.veevavault.com/ui/#object/email_activity__v/V8C00000003R623", "EN-002092891")</f>
        <v>EN-002092891</v>
      </c>
    </row>
    <row r="6808" spans="1:15" ht="16" x14ac:dyDescent="0.2">
      <c r="A6808" s="18"/>
      <c r="B6808" s="18"/>
      <c r="C6808" s="18"/>
      <c r="D6808" s="18"/>
      <c r="E6808" s="18"/>
      <c r="F6808" s="18"/>
      <c r="G6808" s="18"/>
      <c r="H6808" s="18"/>
      <c r="I6808" s="18"/>
      <c r="J6808" s="18"/>
      <c r="K6808" s="18"/>
      <c r="L6808" s="18"/>
      <c r="M6808" s="18"/>
      <c r="N6808" s="18"/>
      <c r="O6808" s="14" t="str">
        <f>HYPERLINK("https://otsuka-europe-crm.veevavault.com/ui/#object/email_activity__v/V8C00000003S468", "EN-002093844")</f>
        <v>EN-002093844</v>
      </c>
    </row>
    <row r="6809" spans="1:15" ht="16" x14ac:dyDescent="0.2">
      <c r="A6809" s="18"/>
      <c r="B6809" s="18"/>
      <c r="C6809" s="18"/>
      <c r="D6809" s="18"/>
      <c r="E6809" s="18"/>
      <c r="F6809" s="18"/>
      <c r="G6809" s="18"/>
      <c r="H6809" s="18"/>
      <c r="I6809" s="18"/>
      <c r="J6809" s="18"/>
      <c r="K6809" s="18"/>
      <c r="L6809" s="18"/>
      <c r="M6809" s="18"/>
      <c r="N6809" s="18"/>
      <c r="O6809" s="14" t="str">
        <f>HYPERLINK("https://otsuka-europe-crm.veevavault.com/ui/#object/email_activity__v/V8C00000003S469", "EN-002093845")</f>
        <v>EN-002093845</v>
      </c>
    </row>
    <row r="6810" spans="1:15" ht="16" x14ac:dyDescent="0.2">
      <c r="A6810" s="18"/>
      <c r="B6810" s="18"/>
      <c r="C6810" s="18"/>
      <c r="D6810" s="18"/>
      <c r="E6810" s="18"/>
      <c r="F6810" s="18"/>
      <c r="G6810" s="18"/>
      <c r="H6810" s="18"/>
      <c r="I6810" s="18"/>
      <c r="J6810" s="18"/>
      <c r="K6810" s="18"/>
      <c r="L6810" s="18"/>
      <c r="M6810" s="18"/>
      <c r="N6810" s="18"/>
      <c r="O6810" s="14" t="str">
        <f>HYPERLINK("https://otsuka-europe-crm.veevavault.com/ui/#object/email_activity__v/V8C00000003S470", "EN-002093850")</f>
        <v>EN-002093850</v>
      </c>
    </row>
    <row r="6811" spans="1:15" ht="16" x14ac:dyDescent="0.2">
      <c r="A6811" s="18"/>
      <c r="B6811" s="18"/>
      <c r="C6811" s="18"/>
      <c r="D6811" s="18"/>
      <c r="E6811" s="18"/>
      <c r="F6811" s="18"/>
      <c r="G6811" s="18"/>
      <c r="H6811" s="18"/>
      <c r="I6811" s="18"/>
      <c r="J6811" s="18"/>
      <c r="K6811" s="18"/>
      <c r="L6811" s="18"/>
      <c r="M6811" s="18"/>
      <c r="N6811" s="18"/>
      <c r="O6811" s="14" t="str">
        <f>HYPERLINK("https://otsuka-europe-crm.veevavault.com/ui/#object/email_activity__v/V8C00000003S471", "EN-002093851")</f>
        <v>EN-002093851</v>
      </c>
    </row>
    <row r="6812" spans="1:15" ht="16" x14ac:dyDescent="0.2">
      <c r="A6812" s="18"/>
      <c r="B6812" s="18"/>
      <c r="C6812" s="18"/>
      <c r="D6812" s="18"/>
      <c r="E6812" s="18"/>
      <c r="F6812" s="18"/>
      <c r="G6812" s="18"/>
      <c r="H6812" s="18"/>
      <c r="I6812" s="18"/>
      <c r="J6812" s="18"/>
      <c r="K6812" s="18"/>
      <c r="L6812" s="18"/>
      <c r="M6812" s="18"/>
      <c r="N6812" s="18"/>
      <c r="O6812" s="14" t="str">
        <f>HYPERLINK("https://otsuka-europe-crm.veevavault.com/ui/#object/email_activity__v/V8C00000003S472", "EN-002093852")</f>
        <v>EN-002093852</v>
      </c>
    </row>
    <row r="6813" spans="1:15" ht="16" x14ac:dyDescent="0.2">
      <c r="A6813" s="18"/>
      <c r="B6813" s="18"/>
      <c r="C6813" s="18"/>
      <c r="D6813" s="18"/>
      <c r="E6813" s="18"/>
      <c r="F6813" s="18"/>
      <c r="G6813" s="18"/>
      <c r="H6813" s="18"/>
      <c r="I6813" s="18"/>
      <c r="J6813" s="18"/>
      <c r="K6813" s="18"/>
      <c r="L6813" s="18"/>
      <c r="M6813" s="18"/>
      <c r="N6813" s="18"/>
      <c r="O6813" s="14" t="str">
        <f>HYPERLINK("https://otsuka-europe-crm.veevavault.com/ui/#object/email_activity__v/V8C00000003S473", "EN-002093853")</f>
        <v>EN-002093853</v>
      </c>
    </row>
    <row r="6814" spans="1:15" ht="16" x14ac:dyDescent="0.2">
      <c r="A6814" s="18"/>
      <c r="B6814" s="18"/>
      <c r="C6814" s="18"/>
      <c r="D6814" s="18"/>
      <c r="E6814" s="18"/>
      <c r="F6814" s="18"/>
      <c r="G6814" s="18"/>
      <c r="H6814" s="18"/>
      <c r="I6814" s="18"/>
      <c r="J6814" s="18"/>
      <c r="K6814" s="18"/>
      <c r="L6814" s="18"/>
      <c r="M6814" s="18"/>
      <c r="N6814" s="18"/>
      <c r="O6814" s="14" t="str">
        <f>HYPERLINK("https://otsuka-europe-crm.veevavault.com/ui/#object/email_activity__v/V8C00000003S474", "EN-002093854")</f>
        <v>EN-002093854</v>
      </c>
    </row>
    <row r="6815" spans="1:15" ht="16" x14ac:dyDescent="0.2">
      <c r="A6815" s="18"/>
      <c r="B6815" s="18"/>
      <c r="C6815" s="18"/>
      <c r="D6815" s="18"/>
      <c r="E6815" s="18"/>
      <c r="F6815" s="18"/>
      <c r="G6815" s="18"/>
      <c r="H6815" s="18"/>
      <c r="I6815" s="18"/>
      <c r="J6815" s="18"/>
      <c r="K6815" s="18"/>
      <c r="L6815" s="18"/>
      <c r="M6815" s="18"/>
      <c r="N6815" s="18"/>
      <c r="O6815" s="14" t="str">
        <f>HYPERLINK("https://otsuka-europe-crm.veevavault.com/ui/#object/email_activity__v/V8C00000003S476", "EN-002093856")</f>
        <v>EN-002093856</v>
      </c>
    </row>
    <row r="6816" spans="1:15" ht="16" x14ac:dyDescent="0.2">
      <c r="A6816" s="18"/>
      <c r="B6816" s="18"/>
      <c r="C6816" s="18"/>
      <c r="D6816" s="18"/>
      <c r="E6816" s="18"/>
      <c r="F6816" s="18"/>
      <c r="G6816" s="18"/>
      <c r="H6816" s="18"/>
      <c r="I6816" s="18"/>
      <c r="J6816" s="18"/>
      <c r="K6816" s="18"/>
      <c r="L6816" s="18"/>
      <c r="M6816" s="18"/>
      <c r="N6816" s="18"/>
      <c r="O6816" s="14" t="str">
        <f>HYPERLINK("https://otsuka-europe-crm.veevavault.com/ui/#object/email_activity__v/V8C00000003S477", "EN-002093857")</f>
        <v>EN-002093857</v>
      </c>
    </row>
    <row r="6817" spans="1:15" ht="16" x14ac:dyDescent="0.2">
      <c r="A6817" s="18"/>
      <c r="B6817" s="18"/>
      <c r="C6817" s="18"/>
      <c r="D6817" s="18"/>
      <c r="E6817" s="18"/>
      <c r="F6817" s="18"/>
      <c r="G6817" s="18"/>
      <c r="H6817" s="18"/>
      <c r="I6817" s="18"/>
      <c r="J6817" s="18"/>
      <c r="K6817" s="18"/>
      <c r="L6817" s="18"/>
      <c r="M6817" s="18"/>
      <c r="N6817" s="18"/>
      <c r="O6817" s="14" t="str">
        <f>HYPERLINK("https://otsuka-europe-crm.veevavault.com/ui/#object/email_activity__v/V8C00000003S478", "EN-002093858")</f>
        <v>EN-002093858</v>
      </c>
    </row>
    <row r="6818" spans="1:15" ht="16" x14ac:dyDescent="0.2">
      <c r="A6818" s="18"/>
      <c r="B6818" s="18"/>
      <c r="C6818" s="18"/>
      <c r="D6818" s="18"/>
      <c r="E6818" s="18"/>
      <c r="F6818" s="18"/>
      <c r="G6818" s="18"/>
      <c r="H6818" s="18"/>
      <c r="I6818" s="18"/>
      <c r="J6818" s="18"/>
      <c r="K6818" s="18"/>
      <c r="L6818" s="18"/>
      <c r="M6818" s="18"/>
      <c r="N6818" s="18"/>
      <c r="O6818" s="14" t="str">
        <f>HYPERLINK("https://otsuka-europe-crm.veevavault.com/ui/#object/email_activity__v/V8C00000003T144", "EN-002093848")</f>
        <v>EN-002093848</v>
      </c>
    </row>
    <row r="6819" spans="1:15" ht="16" x14ac:dyDescent="0.2">
      <c r="A6819" s="19"/>
      <c r="B6819" s="19"/>
      <c r="C6819" s="19"/>
      <c r="D6819" s="19"/>
      <c r="E6819" s="19"/>
      <c r="F6819" s="19"/>
      <c r="G6819" s="19"/>
      <c r="H6819" s="19"/>
      <c r="I6819" s="19"/>
      <c r="J6819" s="19"/>
      <c r="K6819" s="19"/>
      <c r="L6819" s="19"/>
      <c r="M6819" s="19"/>
      <c r="N6819" s="19"/>
      <c r="O6819" s="14" t="str">
        <f>HYPERLINK("https://otsuka-europe-crm.veevavault.com/ui/#object/email_activity__v/V8C00000003T145", "EN-002093849")</f>
        <v>EN-002093849</v>
      </c>
    </row>
    <row r="6820" spans="1:15" ht="32" x14ac:dyDescent="0.2">
      <c r="A6820" s="7" t="str">
        <f>HYPERLINK("https://otsuka-europe-crm.veevavault.com/ui/#object/account__v/V4TZ06G6O71T761", "ADRIANA PUENTE GARCIA")</f>
        <v>ADRIANA PUENTE GARCIA</v>
      </c>
      <c r="B6820" s="7" t="str">
        <f>HYPERLINK("https://otsuka-europe-crm.veevavault.com/ui/#object/vcountry__v/VENZ000004SONF5", "ES")</f>
        <v>ES</v>
      </c>
      <c r="C6820" s="8" t="s">
        <v>41</v>
      </c>
      <c r="D6820" s="9" t="str">
        <f>HYPERLINK("https://otsuka-europe-crm.veevavault.com/ui/#object/approved_document__v/V5O00000001A037", "LUP - VAE Póster Adelphi - Nefro")</f>
        <v>LUP - VAE Póster Adelphi - Nefro</v>
      </c>
      <c r="E6820" s="10" t="str">
        <f>HYPERLINK("https://otsuka-europe-crm.veevavault.com/ui/#object/sent_email__v/VBL00000002S384", "SE-001434648")</f>
        <v>SE-001434648</v>
      </c>
      <c r="F6820" s="11"/>
      <c r="G6820" s="12">
        <v>0</v>
      </c>
      <c r="H6820" s="12">
        <v>0</v>
      </c>
      <c r="I6820" s="12">
        <v>0</v>
      </c>
      <c r="J6820" s="11"/>
      <c r="K6820" s="12">
        <v>0</v>
      </c>
      <c r="L6820" s="10" t="str">
        <f>HYPERLINK("https://otsuka-europe-crm.veevavault.com/ui/#object/approved_document__v/V5O00000001A037", "LUP - VAE Póster Adelphi - Nefro")</f>
        <v>LUP - VAE Póster Adelphi - Nefro</v>
      </c>
      <c r="M6820" s="10" t="str">
        <f>HYPERLINK("mailto:pmartinez@crm.otsuka-europe.com", "pmartinez@crm.otsuka-europe.com")</f>
        <v>pmartinez@crm.otsuka-europe.com</v>
      </c>
      <c r="N6820" s="13">
        <v>46182.405428240738</v>
      </c>
      <c r="O6820" s="14" t="str">
        <f>HYPERLINK("https://otsuka-europe-crm.veevavault.com/ui/#object/email_activity__v/V8C00000003Q877", "EN-002092508")</f>
        <v>EN-002092508</v>
      </c>
    </row>
    <row r="6821" spans="1:15" ht="32" x14ac:dyDescent="0.2">
      <c r="A6821" s="7" t="str">
        <f>HYPERLINK("https://otsuka-europe-crm.veevavault.com/ui/#object/account__v/V4TZ06G6O71T9MD", "JESUS ANGEL CALVIÑO VARELA")</f>
        <v>JESUS ANGEL CALVIÑO VARELA</v>
      </c>
      <c r="B6821" s="7" t="str">
        <f>HYPERLINK("https://otsuka-europe-crm.veevavault.com/ui/#object/vcountry__v/VENZ000004SONF5", "ES")</f>
        <v>ES</v>
      </c>
      <c r="C6821" s="8" t="s">
        <v>41</v>
      </c>
      <c r="D6821" s="9" t="str">
        <f>HYPERLINK("https://otsuka-europe-crm.veevavault.com/ui/#object/approved_document__v/V5O00000001A037", "LUP - VAE Póster Adelphi - Nefro")</f>
        <v>LUP - VAE Póster Adelphi - Nefro</v>
      </c>
      <c r="E6821" s="10" t="str">
        <f>HYPERLINK("https://otsuka-europe-crm.veevavault.com/ui/#object/sent_email__v/VBL00000002S385", "SE-001434649")</f>
        <v>SE-001434649</v>
      </c>
      <c r="F6821" s="11"/>
      <c r="G6821" s="12">
        <v>0</v>
      </c>
      <c r="H6821" s="12">
        <v>0</v>
      </c>
      <c r="I6821" s="12">
        <v>0</v>
      </c>
      <c r="J6821" s="11"/>
      <c r="K6821" s="12">
        <v>0</v>
      </c>
      <c r="L6821" s="10" t="str">
        <f>HYPERLINK("https://otsuka-europe-crm.veevavault.com/ui/#object/approved_document__v/V5O00000001A037", "LUP - VAE Póster Adelphi - Nefro")</f>
        <v>LUP - VAE Póster Adelphi - Nefro</v>
      </c>
      <c r="M6821" s="10" t="str">
        <f>HYPERLINK("mailto:pmartinez@crm.otsuka-europe.com", "pmartinez@crm.otsuka-europe.com")</f>
        <v>pmartinez@crm.otsuka-europe.com</v>
      </c>
      <c r="N6821" s="13">
        <v>46182.405428240738</v>
      </c>
      <c r="O6821" s="14" t="str">
        <f>HYPERLINK("https://otsuka-europe-crm.veevavault.com/ui/#object/email_activity__v/V8C00000003Q874", "EN-002092494")</f>
        <v>EN-002092494</v>
      </c>
    </row>
    <row r="6822" spans="1:15" ht="32" x14ac:dyDescent="0.2">
      <c r="A6822" s="7" t="str">
        <f>HYPERLINK("https://otsuka-europe-crm.veevavault.com/ui/#object/account__v/V4TZ06G6O71T7W2", "ELENA MONFA GUIX")</f>
        <v>ELENA MONFA GUIX</v>
      </c>
      <c r="B6822" s="7" t="str">
        <f>HYPERLINK("https://otsuka-europe-crm.veevavault.com/ui/#object/vcountry__v/VENZ000004SONF5", "ES")</f>
        <v>ES</v>
      </c>
      <c r="C6822" s="8" t="s">
        <v>41</v>
      </c>
      <c r="D6822" s="9" t="str">
        <f>HYPERLINK("https://otsuka-europe-crm.veevavault.com/ui/#object/approved_document__v/V5O00000001A037", "LUP - VAE Póster Adelphi - Nefro")</f>
        <v>LUP - VAE Póster Adelphi - Nefro</v>
      </c>
      <c r="E6822" s="10" t="str">
        <f>HYPERLINK("https://otsuka-europe-crm.veevavault.com/ui/#object/sent_email__v/VBL00000002S386", "SE-001434650")</f>
        <v>SE-001434650</v>
      </c>
      <c r="F6822" s="11"/>
      <c r="G6822" s="12">
        <v>0</v>
      </c>
      <c r="H6822" s="12">
        <v>0</v>
      </c>
      <c r="I6822" s="12">
        <v>0</v>
      </c>
      <c r="J6822" s="11"/>
      <c r="K6822" s="12">
        <v>0</v>
      </c>
      <c r="L6822" s="10" t="str">
        <f>HYPERLINK("https://otsuka-europe-crm.veevavault.com/ui/#object/approved_document__v/V5O00000001A037", "LUP - VAE Póster Adelphi - Nefro")</f>
        <v>LUP - VAE Póster Adelphi - Nefro</v>
      </c>
      <c r="M6822" s="10" t="str">
        <f>HYPERLINK("mailto:pmartinez@crm.otsuka-europe.com", "pmartinez@crm.otsuka-europe.com")</f>
        <v>pmartinez@crm.otsuka-europe.com</v>
      </c>
      <c r="N6822" s="13">
        <v>46182.405428240738</v>
      </c>
      <c r="O6822" s="14" t="str">
        <f>HYPERLINK("https://otsuka-europe-crm.veevavault.com/ui/#object/email_activity__v/V8C00000003Q818", "EN-002092433")</f>
        <v>EN-002092433</v>
      </c>
    </row>
    <row r="6823" spans="1:15" ht="16" x14ac:dyDescent="0.2">
      <c r="A6823" s="17" t="str">
        <f>HYPERLINK("https://otsuka-europe-crm.veevavault.com/ui/#object/account__v/V4TZ06G6O71TAXL", "JOSE LUIS MERINO RIVAS")</f>
        <v>JOSE LUIS MERINO RIVAS</v>
      </c>
      <c r="B6823" s="17" t="str">
        <f>HYPERLINK("https://otsuka-europe-crm.veevavault.com/ui/#object/vcountry__v/VENZ000004SONF5", "ES")</f>
        <v>ES</v>
      </c>
      <c r="C6823" s="20" t="s">
        <v>41</v>
      </c>
      <c r="D6823" s="21" t="str">
        <f>HYPERLINK("https://otsuka-europe-crm.veevavault.com/ui/#object/approved_document__v/V5O00000001A037", "LUP - VAE Póster Adelphi - Nefro")</f>
        <v>LUP - VAE Póster Adelphi - Nefro</v>
      </c>
      <c r="E6823" s="22" t="str">
        <f>HYPERLINK("https://otsuka-europe-crm.veevavault.com/ui/#object/sent_email__v/VBL00000002S387", "SE-001434651")</f>
        <v>SE-001434651</v>
      </c>
      <c r="F6823" s="23">
        <v>46182.496620370373</v>
      </c>
      <c r="G6823" s="24">
        <v>1</v>
      </c>
      <c r="H6823" s="24">
        <v>1</v>
      </c>
      <c r="I6823" s="24">
        <v>0</v>
      </c>
      <c r="J6823" s="25"/>
      <c r="K6823" s="24">
        <v>0</v>
      </c>
      <c r="L6823" s="22" t="str">
        <f>HYPERLINK("https://otsuka-europe-crm.veevavault.com/ui/#object/approved_document__v/V5O00000001A037", "LUP - VAE Póster Adelphi - Nefro")</f>
        <v>LUP - VAE Póster Adelphi - Nefro</v>
      </c>
      <c r="M6823" s="22" t="str">
        <f>HYPERLINK("mailto:pmartinez@crm.otsuka-europe.com", "pmartinez@crm.otsuka-europe.com")</f>
        <v>pmartinez@crm.otsuka-europe.com</v>
      </c>
      <c r="N6823" s="23">
        <v>46182.405428240738</v>
      </c>
      <c r="O6823" s="14" t="str">
        <f>HYPERLINK("https://otsuka-europe-crm.veevavault.com/ui/#object/email_activity__v/V8C00000003Q909", "EN-002092543")</f>
        <v>EN-002092543</v>
      </c>
    </row>
    <row r="6824" spans="1:15" ht="16" x14ac:dyDescent="0.2">
      <c r="A6824" s="19"/>
      <c r="B6824" s="19"/>
      <c r="C6824" s="19"/>
      <c r="D6824" s="19"/>
      <c r="E6824" s="19"/>
      <c r="F6824" s="19"/>
      <c r="G6824" s="19"/>
      <c r="H6824" s="19"/>
      <c r="I6824" s="19"/>
      <c r="J6824" s="19"/>
      <c r="K6824" s="19"/>
      <c r="L6824" s="19"/>
      <c r="M6824" s="19"/>
      <c r="N6824" s="19"/>
      <c r="O6824" s="14" t="str">
        <f>HYPERLINK("https://otsuka-europe-crm.veevavault.com/ui/#object/email_activity__v/V8C00000003S030", "EN-002092889")</f>
        <v>EN-002092889</v>
      </c>
    </row>
    <row r="6825" spans="1:15" ht="16" x14ac:dyDescent="0.2">
      <c r="A6825" s="17" t="str">
        <f>HYPERLINK("https://otsuka-europe-crm.veevavault.com/ui/#object/account__v/V4TZ06G6O71TBNX", "JOSE MARIA PORTOLES PEREZ")</f>
        <v>JOSE MARIA PORTOLES PEREZ</v>
      </c>
      <c r="B6825" s="17" t="str">
        <f>HYPERLINK("https://otsuka-europe-crm.veevavault.com/ui/#object/vcountry__v/VENZ000004SONF5", "ES")</f>
        <v>ES</v>
      </c>
      <c r="C6825" s="20" t="s">
        <v>41</v>
      </c>
      <c r="D6825" s="21" t="str">
        <f>HYPERLINK("https://otsuka-europe-crm.veevavault.com/ui/#object/approved_document__v/V5O00000001A037", "LUP - VAE Póster Adelphi - Nefro")</f>
        <v>LUP - VAE Póster Adelphi - Nefro</v>
      </c>
      <c r="E6825" s="22" t="str">
        <f>HYPERLINK("https://otsuka-europe-crm.veevavault.com/ui/#object/sent_email__v/VBL00000002S388", "SE-001434652")</f>
        <v>SE-001434652</v>
      </c>
      <c r="F6825" s="23">
        <v>46183.399282407408</v>
      </c>
      <c r="G6825" s="24">
        <v>1</v>
      </c>
      <c r="H6825" s="24">
        <v>1</v>
      </c>
      <c r="I6825" s="24">
        <v>0</v>
      </c>
      <c r="J6825" s="25"/>
      <c r="K6825" s="24">
        <v>0</v>
      </c>
      <c r="L6825" s="22" t="str">
        <f>HYPERLINK("https://otsuka-europe-crm.veevavault.com/ui/#object/approved_document__v/V5O00000001A037", "LUP - VAE Póster Adelphi - Nefro")</f>
        <v>LUP - VAE Póster Adelphi - Nefro</v>
      </c>
      <c r="M6825" s="22" t="str">
        <f>HYPERLINK("mailto:pmartinez@crm.otsuka-europe.com", "pmartinez@crm.otsuka-europe.com")</f>
        <v>pmartinez@crm.otsuka-europe.com</v>
      </c>
      <c r="N6825" s="23">
        <v>46182.405428240738</v>
      </c>
      <c r="O6825" s="14" t="str">
        <f>HYPERLINK("https://otsuka-europe-crm.veevavault.com/ui/#object/email_activity__v/V8C00000003R413", "EN-002092563")</f>
        <v>EN-002092563</v>
      </c>
    </row>
    <row r="6826" spans="1:15" ht="16" x14ac:dyDescent="0.2">
      <c r="A6826" s="19"/>
      <c r="B6826" s="19"/>
      <c r="C6826" s="19"/>
      <c r="D6826" s="19"/>
      <c r="E6826" s="19"/>
      <c r="F6826" s="19"/>
      <c r="G6826" s="19"/>
      <c r="H6826" s="19"/>
      <c r="I6826" s="19"/>
      <c r="J6826" s="19"/>
      <c r="K6826" s="19"/>
      <c r="L6826" s="19"/>
      <c r="M6826" s="19"/>
      <c r="N6826" s="19"/>
      <c r="O6826" s="14" t="str">
        <f>HYPERLINK("https://otsuka-europe-crm.veevavault.com/ui/#object/email_activity__v/V8C00000003S547", "EN-002093980")</f>
        <v>EN-002093980</v>
      </c>
    </row>
    <row r="6827" spans="1:15" ht="32" x14ac:dyDescent="0.2">
      <c r="A6827" s="7" t="str">
        <f>HYPERLINK("https://otsuka-europe-crm.veevavault.com/ui/#object/account__v/V4TZ06G6O71TJXW", "KARLA FLORES GIMENO")</f>
        <v>KARLA FLORES GIMENO</v>
      </c>
      <c r="B6827" s="7" t="str">
        <f>HYPERLINK("https://otsuka-europe-crm.veevavault.com/ui/#object/vcountry__v/VENZ000004SONF5", "ES")</f>
        <v>ES</v>
      </c>
      <c r="C6827" s="8" t="s">
        <v>41</v>
      </c>
      <c r="D6827" s="9" t="str">
        <f>HYPERLINK("https://otsuka-europe-crm.veevavault.com/ui/#object/approved_document__v/V5O00000001A037", "LUP - VAE Póster Adelphi - Nefro")</f>
        <v>LUP - VAE Póster Adelphi - Nefro</v>
      </c>
      <c r="E6827" s="10" t="str">
        <f>HYPERLINK("https://otsuka-europe-crm.veevavault.com/ui/#object/sent_email__v/VBL00000002S389", "SE-001434653")</f>
        <v>SE-001434653</v>
      </c>
      <c r="F6827" s="11"/>
      <c r="G6827" s="12">
        <v>0</v>
      </c>
      <c r="H6827" s="12">
        <v>0</v>
      </c>
      <c r="I6827" s="12">
        <v>0</v>
      </c>
      <c r="J6827" s="11"/>
      <c r="K6827" s="12">
        <v>0</v>
      </c>
      <c r="L6827" s="10" t="str">
        <f>HYPERLINK("https://otsuka-europe-crm.veevavault.com/ui/#object/approved_document__v/V5O00000001A037", "LUP - VAE Póster Adelphi - Nefro")</f>
        <v>LUP - VAE Póster Adelphi - Nefro</v>
      </c>
      <c r="M6827" s="10" t="str">
        <f>HYPERLINK("mailto:pmartinez@crm.otsuka-europe.com", "pmartinez@crm.otsuka-europe.com")</f>
        <v>pmartinez@crm.otsuka-europe.com</v>
      </c>
      <c r="N6827" s="13">
        <v>46182.405428240738</v>
      </c>
      <c r="O6827" s="14" t="str">
        <f>HYPERLINK("https://otsuka-europe-crm.veevavault.com/ui/#object/email_activity__v/V8C00000003Q839", "EN-002092454")</f>
        <v>EN-002092454</v>
      </c>
    </row>
    <row r="6828" spans="1:15" ht="32" x14ac:dyDescent="0.2">
      <c r="A6828" s="7" t="str">
        <f>HYPERLINK("https://otsuka-europe-crm.veevavault.com/ui/#object/account__v/V4TZ06G6O71TBQD", "MONTSERRAT PICAZO SANCHEZ")</f>
        <v>MONTSERRAT PICAZO SANCHEZ</v>
      </c>
      <c r="B6828" s="7" t="str">
        <f>HYPERLINK("https://otsuka-europe-crm.veevavault.com/ui/#object/vcountry__v/VENZ000004SONF5", "ES")</f>
        <v>ES</v>
      </c>
      <c r="C6828" s="8" t="s">
        <v>41</v>
      </c>
      <c r="D6828" s="9" t="str">
        <f>HYPERLINK("https://otsuka-europe-crm.veevavault.com/ui/#object/approved_document__v/V5O00000001A037", "LUP - VAE Póster Adelphi - Nefro")</f>
        <v>LUP - VAE Póster Adelphi - Nefro</v>
      </c>
      <c r="E6828" s="10" t="str">
        <f>HYPERLINK("https://otsuka-europe-crm.veevavault.com/ui/#object/sent_email__v/VBL00000002S390", "SE-001434654")</f>
        <v>SE-001434654</v>
      </c>
      <c r="F6828" s="11"/>
      <c r="G6828" s="12">
        <v>0</v>
      </c>
      <c r="H6828" s="12">
        <v>0</v>
      </c>
      <c r="I6828" s="12">
        <v>0</v>
      </c>
      <c r="J6828" s="11"/>
      <c r="K6828" s="12">
        <v>0</v>
      </c>
      <c r="L6828" s="10" t="str">
        <f>HYPERLINK("https://otsuka-europe-crm.veevavault.com/ui/#object/approved_document__v/V5O00000001A037", "LUP - VAE Póster Adelphi - Nefro")</f>
        <v>LUP - VAE Póster Adelphi - Nefro</v>
      </c>
      <c r="M6828" s="10" t="str">
        <f>HYPERLINK("mailto:pmartinez@crm.otsuka-europe.com", "pmartinez@crm.otsuka-europe.com")</f>
        <v>pmartinez@crm.otsuka-europe.com</v>
      </c>
      <c r="N6828" s="13">
        <v>46182.405671296299</v>
      </c>
      <c r="O6828" s="14" t="str">
        <f>HYPERLINK("https://otsuka-europe-crm.veevavault.com/ui/#object/email_activity__v/V8C00000003Q930", "EN-002092609")</f>
        <v>EN-002092609</v>
      </c>
    </row>
    <row r="6829" spans="1:15" ht="32" x14ac:dyDescent="0.2">
      <c r="A6829" s="7" t="str">
        <f>HYPERLINK("https://otsuka-europe-crm.veevavault.com/ui/#object/account__v/V4TZ06G6O71T7GV", "MARIO ESPINOSA HERNANDEZ")</f>
        <v>MARIO ESPINOSA HERNANDEZ</v>
      </c>
      <c r="B6829" s="7" t="str">
        <f>HYPERLINK("https://otsuka-europe-crm.veevavault.com/ui/#object/vcountry__v/VENZ000004SONF5", "ES")</f>
        <v>ES</v>
      </c>
      <c r="C6829" s="8" t="s">
        <v>41</v>
      </c>
      <c r="D6829" s="9" t="str">
        <f>HYPERLINK("https://otsuka-europe-crm.veevavault.com/ui/#object/approved_document__v/V5O00000001A037", "LUP - VAE Póster Adelphi - Nefro")</f>
        <v>LUP - VAE Póster Adelphi - Nefro</v>
      </c>
      <c r="E6829" s="10" t="str">
        <f>HYPERLINK("https://otsuka-europe-crm.veevavault.com/ui/#object/sent_email__v/VBL00000002S391", "SE-001434655")</f>
        <v>SE-001434655</v>
      </c>
      <c r="F6829" s="11"/>
      <c r="G6829" s="12">
        <v>0</v>
      </c>
      <c r="H6829" s="12">
        <v>0</v>
      </c>
      <c r="I6829" s="12">
        <v>0</v>
      </c>
      <c r="J6829" s="11"/>
      <c r="K6829" s="12">
        <v>0</v>
      </c>
      <c r="L6829" s="10" t="str">
        <f>HYPERLINK("https://otsuka-europe-crm.veevavault.com/ui/#object/approved_document__v/V5O00000001A037", "LUP - VAE Póster Adelphi - Nefro")</f>
        <v>LUP - VAE Póster Adelphi - Nefro</v>
      </c>
      <c r="M6829" s="10" t="str">
        <f>HYPERLINK("mailto:pmartinez@crm.otsuka-europe.com", "pmartinez@crm.otsuka-europe.com")</f>
        <v>pmartinez@crm.otsuka-europe.com</v>
      </c>
      <c r="N6829" s="13">
        <v>46182.405428240738</v>
      </c>
      <c r="O6829" s="14" t="str">
        <f>HYPERLINK("https://otsuka-europe-crm.veevavault.com/ui/#object/email_activity__v/V8C00000003R379", "EN-002092481")</f>
        <v>EN-002092481</v>
      </c>
    </row>
    <row r="6830" spans="1:15" ht="16" x14ac:dyDescent="0.2">
      <c r="A6830" s="17" t="str">
        <f>HYPERLINK("https://otsuka-europe-crm.veevavault.com/ui/#object/account__v/V4TZ06G6O71TCF3", "MARIA MILAGROS SIERRA CARPIO")</f>
        <v>MARIA MILAGROS SIERRA CARPIO</v>
      </c>
      <c r="B6830" s="17" t="str">
        <f>HYPERLINK("https://otsuka-europe-crm.veevavault.com/ui/#object/vcountry__v/VENZ000004SONF5", "ES")</f>
        <v>ES</v>
      </c>
      <c r="C6830" s="20" t="s">
        <v>41</v>
      </c>
      <c r="D6830" s="21" t="str">
        <f>HYPERLINK("https://otsuka-europe-crm.veevavault.com/ui/#object/approved_document__v/V5O00000001A037", "LUP - VAE Póster Adelphi - Nefro")</f>
        <v>LUP - VAE Póster Adelphi - Nefro</v>
      </c>
      <c r="E6830" s="22" t="str">
        <f>HYPERLINK("https://otsuka-europe-crm.veevavault.com/ui/#object/sent_email__v/VBL00000002S392", "SE-001434656")</f>
        <v>SE-001434656</v>
      </c>
      <c r="F6830" s="25"/>
      <c r="G6830" s="24">
        <v>0</v>
      </c>
      <c r="H6830" s="24">
        <v>0</v>
      </c>
      <c r="I6830" s="24">
        <v>0</v>
      </c>
      <c r="J6830" s="25"/>
      <c r="K6830" s="24">
        <v>0</v>
      </c>
      <c r="L6830" s="22" t="str">
        <f>HYPERLINK("https://otsuka-europe-crm.veevavault.com/ui/#object/approved_document__v/V5O00000001A037", "LUP - VAE Póster Adelphi - Nefro")</f>
        <v>LUP - VAE Póster Adelphi - Nefro</v>
      </c>
      <c r="M6830" s="22" t="str">
        <f>HYPERLINK("mailto:pmartinez@crm.otsuka-europe.com", "pmartinez@crm.otsuka-europe.com")</f>
        <v>pmartinez@crm.otsuka-europe.com</v>
      </c>
      <c r="N6830" s="23">
        <v>46182.405428240738</v>
      </c>
      <c r="O6830" s="14" t="str">
        <f>HYPERLINK("https://otsuka-europe-crm.veevavault.com/ui/#object/email_activity__v/V8C00000003R396", "EN-002092524")</f>
        <v>EN-002092524</v>
      </c>
    </row>
    <row r="6831" spans="1:15" ht="16" x14ac:dyDescent="0.2">
      <c r="A6831" s="19"/>
      <c r="B6831" s="19"/>
      <c r="C6831" s="19"/>
      <c r="D6831" s="19"/>
      <c r="E6831" s="19"/>
      <c r="F6831" s="19"/>
      <c r="G6831" s="19"/>
      <c r="H6831" s="19"/>
      <c r="I6831" s="19"/>
      <c r="J6831" s="19"/>
      <c r="K6831" s="19"/>
      <c r="L6831" s="19"/>
      <c r="M6831" s="19"/>
      <c r="N6831" s="19"/>
      <c r="O6831" s="14" t="str">
        <f>HYPERLINK("https://otsuka-europe-crm.veevavault.com/ui/#object/email_activity__v/V8C00000003R617", "EN-002092876")</f>
        <v>EN-002092876</v>
      </c>
    </row>
    <row r="6832" spans="1:15" ht="32" x14ac:dyDescent="0.2">
      <c r="A6832" s="7" t="str">
        <f>HYPERLINK("https://otsuka-europe-crm.veevavault.com/ui/#object/account__v/V4TZ06G6OB40N7Q", "MARIA ISABEL JIMENO MARTIN")</f>
        <v>MARIA ISABEL JIMENO MARTIN</v>
      </c>
      <c r="B6832" s="7" t="str">
        <f>HYPERLINK("https://otsuka-europe-crm.veevavault.com/ui/#object/vcountry__v/VENZ000004SONF5", "ES")</f>
        <v>ES</v>
      </c>
      <c r="C6832" s="8" t="s">
        <v>41</v>
      </c>
      <c r="D6832" s="9" t="str">
        <f>HYPERLINK("https://otsuka-europe-crm.veevavault.com/ui/#object/approved_document__v/V5O00000001A037", "LUP - VAE Póster Adelphi - Nefro")</f>
        <v>LUP - VAE Póster Adelphi - Nefro</v>
      </c>
      <c r="E6832" s="10" t="str">
        <f>HYPERLINK("https://otsuka-europe-crm.veevavault.com/ui/#object/sent_email__v/VBL00000002S393", "SE-001434657")</f>
        <v>SE-001434657</v>
      </c>
      <c r="F6832" s="11"/>
      <c r="G6832" s="12">
        <v>0</v>
      </c>
      <c r="H6832" s="12">
        <v>0</v>
      </c>
      <c r="I6832" s="12">
        <v>0</v>
      </c>
      <c r="J6832" s="11"/>
      <c r="K6832" s="12">
        <v>0</v>
      </c>
      <c r="L6832" s="10" t="str">
        <f>HYPERLINK("https://otsuka-europe-crm.veevavault.com/ui/#object/approved_document__v/V5O00000001A037", "LUP - VAE Póster Adelphi - Nefro")</f>
        <v>LUP - VAE Póster Adelphi - Nefro</v>
      </c>
      <c r="M6832" s="10" t="str">
        <f>HYPERLINK("mailto:pmartinez@crm.otsuka-europe.com", "pmartinez@crm.otsuka-europe.com")</f>
        <v>pmartinez@crm.otsuka-europe.com</v>
      </c>
      <c r="N6832" s="13">
        <v>46182.405428240738</v>
      </c>
      <c r="O6832" s="14" t="str">
        <f>HYPERLINK("https://otsuka-europe-crm.veevavault.com/ui/#object/email_activity__v/V8C00000003Q859", "EN-002092474")</f>
        <v>EN-002092474</v>
      </c>
    </row>
    <row r="6833" spans="1:15" ht="16" x14ac:dyDescent="0.2">
      <c r="A6833" s="17" t="str">
        <f>HYPERLINK("https://otsuka-europe-crm.veevavault.com/ui/#object/account__v/V4TZ06G6O71T7S9", "ISABEL MARIA GALAN CARRILLO")</f>
        <v>ISABEL MARIA GALAN CARRILLO</v>
      </c>
      <c r="B6833" s="17" t="str">
        <f>HYPERLINK("https://otsuka-europe-crm.veevavault.com/ui/#object/vcountry__v/VENZ000004SONF5", "ES")</f>
        <v>ES</v>
      </c>
      <c r="C6833" s="20" t="s">
        <v>41</v>
      </c>
      <c r="D6833" s="21" t="str">
        <f>HYPERLINK("https://otsuka-europe-crm.veevavault.com/ui/#object/approved_document__v/V5O00000001A037", "LUP - VAE Póster Adelphi - Nefro")</f>
        <v>LUP - VAE Póster Adelphi - Nefro</v>
      </c>
      <c r="E6833" s="22" t="str">
        <f>HYPERLINK("https://otsuka-europe-crm.veevavault.com/ui/#object/sent_email__v/VBL00000002S394", "SE-001434658")</f>
        <v>SE-001434658</v>
      </c>
      <c r="F6833" s="23">
        <v>46182.43545138889</v>
      </c>
      <c r="G6833" s="24">
        <v>1</v>
      </c>
      <c r="H6833" s="24">
        <v>1</v>
      </c>
      <c r="I6833" s="24">
        <v>0</v>
      </c>
      <c r="J6833" s="25"/>
      <c r="K6833" s="24">
        <v>0</v>
      </c>
      <c r="L6833" s="22" t="str">
        <f>HYPERLINK("https://otsuka-europe-crm.veevavault.com/ui/#object/approved_document__v/V5O00000001A037", "LUP - VAE Póster Adelphi - Nefro")</f>
        <v>LUP - VAE Póster Adelphi - Nefro</v>
      </c>
      <c r="M6833" s="22" t="str">
        <f>HYPERLINK("mailto:pmartinez@crm.otsuka-europe.com", "pmartinez@crm.otsuka-europe.com")</f>
        <v>pmartinez@crm.otsuka-europe.com</v>
      </c>
      <c r="N6833" s="23">
        <v>46182.405428240738</v>
      </c>
      <c r="O6833" s="14" t="str">
        <f>HYPERLINK("https://otsuka-europe-crm.veevavault.com/ui/#object/email_activity__v/V8C00000003R388", "EN-002092500")</f>
        <v>EN-002092500</v>
      </c>
    </row>
    <row r="6834" spans="1:15" ht="16" x14ac:dyDescent="0.2">
      <c r="A6834" s="19"/>
      <c r="B6834" s="19"/>
      <c r="C6834" s="19"/>
      <c r="D6834" s="19"/>
      <c r="E6834" s="19"/>
      <c r="F6834" s="19"/>
      <c r="G6834" s="19"/>
      <c r="H6834" s="19"/>
      <c r="I6834" s="19"/>
      <c r="J6834" s="19"/>
      <c r="K6834" s="19"/>
      <c r="L6834" s="19"/>
      <c r="M6834" s="19"/>
      <c r="N6834" s="19"/>
      <c r="O6834" s="14" t="str">
        <f>HYPERLINK("https://otsuka-europe-crm.veevavault.com/ui/#object/email_activity__v/V8C00000003R575", "EN-002092801")</f>
        <v>EN-002092801</v>
      </c>
    </row>
    <row r="6835" spans="1:15" ht="32" x14ac:dyDescent="0.2">
      <c r="A6835" s="7" t="str">
        <f>HYPERLINK("https://otsuka-europe-crm.veevavault.com/ui/#object/account__v/V4TZ06G6O71TBNL", "ESTEBAN POCH LOPEZ DE BRIÑAS")</f>
        <v>ESTEBAN POCH LOPEZ DE BRIÑAS</v>
      </c>
      <c r="B6835" s="7" t="str">
        <f>HYPERLINK("https://otsuka-europe-crm.veevavault.com/ui/#object/vcountry__v/VENZ000004SONF5", "ES")</f>
        <v>ES</v>
      </c>
      <c r="C6835" s="8" t="s">
        <v>41</v>
      </c>
      <c r="D6835" s="9" t="str">
        <f>HYPERLINK("https://otsuka-europe-crm.veevavault.com/ui/#object/approved_document__v/V5O00000001A037", "LUP - VAE Póster Adelphi - Nefro")</f>
        <v>LUP - VAE Póster Adelphi - Nefro</v>
      </c>
      <c r="E6835" s="10" t="str">
        <f>HYPERLINK("https://otsuka-europe-crm.veevavault.com/ui/#object/sent_email__v/VBL00000002S395", "SE-001434659")</f>
        <v>SE-001434659</v>
      </c>
      <c r="F6835" s="11"/>
      <c r="G6835" s="12">
        <v>0</v>
      </c>
      <c r="H6835" s="12">
        <v>0</v>
      </c>
      <c r="I6835" s="12">
        <v>0</v>
      </c>
      <c r="J6835" s="11"/>
      <c r="K6835" s="12">
        <v>0</v>
      </c>
      <c r="L6835" s="10" t="str">
        <f>HYPERLINK("https://otsuka-europe-crm.veevavault.com/ui/#object/approved_document__v/V5O00000001A037", "LUP - VAE Póster Adelphi - Nefro")</f>
        <v>LUP - VAE Póster Adelphi - Nefro</v>
      </c>
      <c r="M6835" s="10" t="str">
        <f>HYPERLINK("mailto:pmartinez@crm.otsuka-europe.com", "pmartinez@crm.otsuka-europe.com")</f>
        <v>pmartinez@crm.otsuka-europe.com</v>
      </c>
      <c r="N6835" s="13">
        <v>46182.405428240738</v>
      </c>
      <c r="O6835" s="14" t="str">
        <f>HYPERLINK("https://otsuka-europe-crm.veevavault.com/ui/#object/email_activity__v/V8C00000003R404", "EN-002092551")</f>
        <v>EN-002092551</v>
      </c>
    </row>
    <row r="6836" spans="1:15" ht="32" x14ac:dyDescent="0.2">
      <c r="A6836" s="7" t="str">
        <f>HYPERLINK("https://otsuka-europe-crm.veevavault.com/ui/#object/account__v/V4TZ06G6O71WX8J", "MARTA ARTAMENDI LARRAÑAGA")</f>
        <v>MARTA ARTAMENDI LARRAÑAGA</v>
      </c>
      <c r="B6836" s="7" t="str">
        <f>HYPERLINK("https://otsuka-europe-crm.veevavault.com/ui/#object/vcountry__v/VENZ000004SONF5", "ES")</f>
        <v>ES</v>
      </c>
      <c r="C6836" s="8" t="s">
        <v>41</v>
      </c>
      <c r="D6836" s="9" t="str">
        <f>HYPERLINK("https://otsuka-europe-crm.veevavault.com/ui/#object/approved_document__v/V5O00000001A037", "LUP - VAE Póster Adelphi - Nefro")</f>
        <v>LUP - VAE Póster Adelphi - Nefro</v>
      </c>
      <c r="E6836" s="10" t="str">
        <f>HYPERLINK("https://otsuka-europe-crm.veevavault.com/ui/#object/sent_email__v/VBL00000002S396", "SE-001434660")</f>
        <v>SE-001434660</v>
      </c>
      <c r="F6836" s="11"/>
      <c r="G6836" s="12">
        <v>0</v>
      </c>
      <c r="H6836" s="12">
        <v>0</v>
      </c>
      <c r="I6836" s="12">
        <v>0</v>
      </c>
      <c r="J6836" s="11"/>
      <c r="K6836" s="12">
        <v>0</v>
      </c>
      <c r="L6836" s="10" t="str">
        <f>HYPERLINK("https://otsuka-europe-crm.veevavault.com/ui/#object/approved_document__v/V5O00000001A037", "LUP - VAE Póster Adelphi - Nefro")</f>
        <v>LUP - VAE Póster Adelphi - Nefro</v>
      </c>
      <c r="M6836" s="10" t="str">
        <f>HYPERLINK("mailto:pmartinez@crm.otsuka-europe.com", "pmartinez@crm.otsuka-europe.com")</f>
        <v>pmartinez@crm.otsuka-europe.com</v>
      </c>
      <c r="N6836" s="13">
        <v>46182.405428240738</v>
      </c>
      <c r="O6836" s="14" t="str">
        <f>HYPERLINK("https://otsuka-europe-crm.veevavault.com/ui/#object/email_activity__v/V8C00000003Q863", "EN-002092478")</f>
        <v>EN-002092478</v>
      </c>
    </row>
    <row r="6837" spans="1:15" ht="32" x14ac:dyDescent="0.2">
      <c r="A6837" s="7" t="str">
        <f>HYPERLINK("https://otsuka-europe-crm.veevavault.com/ui/#object/account__v/V4TZ06G6O71T7CY", "KAMIL LEWCZUK")</f>
        <v>KAMIL LEWCZUK</v>
      </c>
      <c r="B6837" s="7" t="str">
        <f>HYPERLINK("https://otsuka-europe-crm.veevavault.com/ui/#object/vcountry__v/VENZ000004SONF5", "ES")</f>
        <v>ES</v>
      </c>
      <c r="C6837" s="8" t="s">
        <v>41</v>
      </c>
      <c r="D6837" s="9" t="str">
        <f>HYPERLINK("https://otsuka-europe-crm.veevavault.com/ui/#object/approved_document__v/V5O00000001A037", "LUP - VAE Póster Adelphi - Nefro")</f>
        <v>LUP - VAE Póster Adelphi - Nefro</v>
      </c>
      <c r="E6837" s="10" t="str">
        <f>HYPERLINK("https://otsuka-europe-crm.veevavault.com/ui/#object/sent_email__v/VBL00000002S397", "SE-001434661")</f>
        <v>SE-001434661</v>
      </c>
      <c r="F6837" s="11"/>
      <c r="G6837" s="12">
        <v>0</v>
      </c>
      <c r="H6837" s="12">
        <v>0</v>
      </c>
      <c r="I6837" s="12">
        <v>0</v>
      </c>
      <c r="J6837" s="11"/>
      <c r="K6837" s="12">
        <v>0</v>
      </c>
      <c r="L6837" s="10" t="str">
        <f>HYPERLINK("https://otsuka-europe-crm.veevavault.com/ui/#object/approved_document__v/V5O00000001A037", "LUP - VAE Póster Adelphi - Nefro")</f>
        <v>LUP - VAE Póster Adelphi - Nefro</v>
      </c>
      <c r="M6837" s="10" t="str">
        <f>HYPERLINK("mailto:pmartinez@crm.otsuka-europe.com", "pmartinez@crm.otsuka-europe.com")</f>
        <v>pmartinez@crm.otsuka-europe.com</v>
      </c>
      <c r="N6837" s="13">
        <v>46182.405428240738</v>
      </c>
      <c r="O6837" s="14" t="str">
        <f>HYPERLINK("https://otsuka-europe-crm.veevavault.com/ui/#object/email_activity__v/V8C00000003R438", "EN-002092588")</f>
        <v>EN-002092588</v>
      </c>
    </row>
    <row r="6838" spans="1:15" ht="16" x14ac:dyDescent="0.2">
      <c r="A6838" s="17" t="str">
        <f>HYPERLINK("https://otsuka-europe-crm.veevavault.com/ui/#object/account__v/V4TZ06G6O71T805", "MELISSA CINTRA CABRERA")</f>
        <v>MELISSA CINTRA CABRERA</v>
      </c>
      <c r="B6838" s="17" t="str">
        <f>HYPERLINK("https://otsuka-europe-crm.veevavault.com/ui/#object/vcountry__v/VENZ000004SONF5", "ES")</f>
        <v>ES</v>
      </c>
      <c r="C6838" s="20" t="s">
        <v>41</v>
      </c>
      <c r="D6838" s="21" t="str">
        <f>HYPERLINK("https://otsuka-europe-crm.veevavault.com/ui/#object/approved_document__v/V5O00000001A037", "LUP - VAE Póster Adelphi - Nefro")</f>
        <v>LUP - VAE Póster Adelphi - Nefro</v>
      </c>
      <c r="E6838" s="22" t="str">
        <f>HYPERLINK("https://otsuka-europe-crm.veevavault.com/ui/#object/sent_email__v/VBL00000002S398", "SE-001434662")</f>
        <v>SE-001434662</v>
      </c>
      <c r="F6838" s="23">
        <v>46182.648912037039</v>
      </c>
      <c r="G6838" s="24">
        <v>1</v>
      </c>
      <c r="H6838" s="24">
        <v>3</v>
      </c>
      <c r="I6838" s="24">
        <v>0</v>
      </c>
      <c r="J6838" s="25"/>
      <c r="K6838" s="24">
        <v>0</v>
      </c>
      <c r="L6838" s="22" t="str">
        <f>HYPERLINK("https://otsuka-europe-crm.veevavault.com/ui/#object/approved_document__v/V5O00000001A037", "LUP - VAE Póster Adelphi - Nefro")</f>
        <v>LUP - VAE Póster Adelphi - Nefro</v>
      </c>
      <c r="M6838" s="22" t="str">
        <f>HYPERLINK("mailto:pmartinez@crm.otsuka-europe.com", "pmartinez@crm.otsuka-europe.com")</f>
        <v>pmartinez@crm.otsuka-europe.com</v>
      </c>
      <c r="N6838" s="23">
        <v>46182.405428240738</v>
      </c>
      <c r="O6838" s="14" t="str">
        <f>HYPERLINK("https://otsuka-europe-crm.veevavault.com/ui/#object/email_activity__v/V8C00000003Q846", "EN-002092461")</f>
        <v>EN-002092461</v>
      </c>
    </row>
    <row r="6839" spans="1:15" ht="16" x14ac:dyDescent="0.2">
      <c r="A6839" s="18"/>
      <c r="B6839" s="18"/>
      <c r="C6839" s="18"/>
      <c r="D6839" s="18"/>
      <c r="E6839" s="18"/>
      <c r="F6839" s="18"/>
      <c r="G6839" s="18"/>
      <c r="H6839" s="18"/>
      <c r="I6839" s="18"/>
      <c r="J6839" s="18"/>
      <c r="K6839" s="18"/>
      <c r="L6839" s="18"/>
      <c r="M6839" s="18"/>
      <c r="N6839" s="18"/>
      <c r="O6839" s="14" t="str">
        <f>HYPERLINK("https://otsuka-europe-crm.veevavault.com/ui/#object/email_activity__v/V8C00000003R808", "EN-002093216")</f>
        <v>EN-002093216</v>
      </c>
    </row>
    <row r="6840" spans="1:15" ht="16" x14ac:dyDescent="0.2">
      <c r="A6840" s="18"/>
      <c r="B6840" s="18"/>
      <c r="C6840" s="18"/>
      <c r="D6840" s="18"/>
      <c r="E6840" s="18"/>
      <c r="F6840" s="18"/>
      <c r="G6840" s="18"/>
      <c r="H6840" s="18"/>
      <c r="I6840" s="18"/>
      <c r="J6840" s="18"/>
      <c r="K6840" s="18"/>
      <c r="L6840" s="18"/>
      <c r="M6840" s="18"/>
      <c r="N6840" s="18"/>
      <c r="O6840" s="14" t="str">
        <f>HYPERLINK("https://otsuka-europe-crm.veevavault.com/ui/#object/email_activity__v/V8C00000003R809", "EN-002093217")</f>
        <v>EN-002093217</v>
      </c>
    </row>
    <row r="6841" spans="1:15" ht="16" x14ac:dyDescent="0.2">
      <c r="A6841" s="19"/>
      <c r="B6841" s="19"/>
      <c r="C6841" s="19"/>
      <c r="D6841" s="19"/>
      <c r="E6841" s="19"/>
      <c r="F6841" s="19"/>
      <c r="G6841" s="19"/>
      <c r="H6841" s="19"/>
      <c r="I6841" s="19"/>
      <c r="J6841" s="19"/>
      <c r="K6841" s="19"/>
      <c r="L6841" s="19"/>
      <c r="M6841" s="19"/>
      <c r="N6841" s="19"/>
      <c r="O6841" s="14" t="str">
        <f>HYPERLINK("https://otsuka-europe-crm.veevavault.com/ui/#object/email_activity__v/V8C00000003S036", "EN-002092904")</f>
        <v>EN-002092904</v>
      </c>
    </row>
    <row r="6842" spans="1:15" ht="32" x14ac:dyDescent="0.2">
      <c r="A6842" s="7" t="str">
        <f>HYPERLINK("https://otsuka-europe-crm.veevavault.com/ui/#object/account__v/V4TZ06G6O71T7H4", "DAVID ARROYO RUEDA")</f>
        <v>DAVID ARROYO RUEDA</v>
      </c>
      <c r="B6842" s="7" t="str">
        <f>HYPERLINK("https://otsuka-europe-crm.veevavault.com/ui/#object/vcountry__v/VENZ000004SONF5", "ES")</f>
        <v>ES</v>
      </c>
      <c r="C6842" s="8" t="s">
        <v>41</v>
      </c>
      <c r="D6842" s="9" t="str">
        <f>HYPERLINK("https://otsuka-europe-crm.veevavault.com/ui/#object/approved_document__v/V5O00000001A037", "LUP - VAE Póster Adelphi - Nefro")</f>
        <v>LUP - VAE Póster Adelphi - Nefro</v>
      </c>
      <c r="E6842" s="10" t="str">
        <f>HYPERLINK("https://otsuka-europe-crm.veevavault.com/ui/#object/sent_email__v/VBL00000002S399", "SE-001434663")</f>
        <v>SE-001434663</v>
      </c>
      <c r="F6842" s="11"/>
      <c r="G6842" s="12">
        <v>0</v>
      </c>
      <c r="H6842" s="12">
        <v>0</v>
      </c>
      <c r="I6842" s="12">
        <v>0</v>
      </c>
      <c r="J6842" s="11"/>
      <c r="K6842" s="12">
        <v>0</v>
      </c>
      <c r="L6842" s="10" t="str">
        <f>HYPERLINK("https://otsuka-europe-crm.veevavault.com/ui/#object/approved_document__v/V5O00000001A037", "LUP - VAE Póster Adelphi - Nefro")</f>
        <v>LUP - VAE Póster Adelphi - Nefro</v>
      </c>
      <c r="M6842" s="10" t="str">
        <f>HYPERLINK("mailto:pmartinez@crm.otsuka-europe.com", "pmartinez@crm.otsuka-europe.com")</f>
        <v>pmartinez@crm.otsuka-europe.com</v>
      </c>
      <c r="N6842" s="13">
        <v>46182.405428240738</v>
      </c>
      <c r="O6842" s="14" t="str">
        <f>HYPERLINK("https://otsuka-europe-crm.veevavault.com/ui/#object/email_activity__v/V8C00000003R412", "EN-002092562")</f>
        <v>EN-002092562</v>
      </c>
    </row>
    <row r="6843" spans="1:15" ht="16" x14ac:dyDescent="0.2">
      <c r="A6843" s="17" t="str">
        <f>HYPERLINK("https://otsuka-europe-crm.veevavault.com/ui/#object/account__v/V4TZ06G6O71TB0J", "ANA MARIA MARTINEZ CANET")</f>
        <v>ANA MARIA MARTINEZ CANET</v>
      </c>
      <c r="B6843" s="17" t="str">
        <f>HYPERLINK("https://otsuka-europe-crm.veevavault.com/ui/#object/vcountry__v/VENZ000004SONF5", "ES")</f>
        <v>ES</v>
      </c>
      <c r="C6843" s="20" t="s">
        <v>41</v>
      </c>
      <c r="D6843" s="21" t="str">
        <f>HYPERLINK("https://otsuka-europe-crm.veevavault.com/ui/#object/approved_document__v/V5O00000001A037", "LUP - VAE Póster Adelphi - Nefro")</f>
        <v>LUP - VAE Póster Adelphi - Nefro</v>
      </c>
      <c r="E6843" s="22" t="str">
        <f>HYPERLINK("https://otsuka-europe-crm.veevavault.com/ui/#object/sent_email__v/VBL00000002S400", "SE-001434664")</f>
        <v>SE-001434664</v>
      </c>
      <c r="F6843" s="25"/>
      <c r="G6843" s="24">
        <v>0</v>
      </c>
      <c r="H6843" s="24">
        <v>0</v>
      </c>
      <c r="I6843" s="24">
        <v>0</v>
      </c>
      <c r="J6843" s="25"/>
      <c r="K6843" s="24">
        <v>0</v>
      </c>
      <c r="L6843" s="22" t="str">
        <f>HYPERLINK("https://otsuka-europe-crm.veevavault.com/ui/#object/approved_document__v/V5O00000001A037", "LUP - VAE Póster Adelphi - Nefro")</f>
        <v>LUP - VAE Póster Adelphi - Nefro</v>
      </c>
      <c r="M6843" s="22" t="str">
        <f>HYPERLINK("mailto:pmartinez@crm.otsuka-europe.com", "pmartinez@crm.otsuka-europe.com")</f>
        <v>pmartinez@crm.otsuka-europe.com</v>
      </c>
      <c r="N6843" s="23">
        <v>46182.405428240738</v>
      </c>
      <c r="O6843" s="14" t="str">
        <f>HYPERLINK("https://otsuka-europe-crm.veevavault.com/ui/#object/email_activity__v/V8C00000003Q897", "EN-002092531")</f>
        <v>EN-002092531</v>
      </c>
    </row>
    <row r="6844" spans="1:15" ht="16" x14ac:dyDescent="0.2">
      <c r="A6844" s="18"/>
      <c r="B6844" s="18"/>
      <c r="C6844" s="18"/>
      <c r="D6844" s="18"/>
      <c r="E6844" s="18"/>
      <c r="F6844" s="18"/>
      <c r="G6844" s="18"/>
      <c r="H6844" s="18"/>
      <c r="I6844" s="18"/>
      <c r="J6844" s="18"/>
      <c r="K6844" s="18"/>
      <c r="L6844" s="18"/>
      <c r="M6844" s="18"/>
      <c r="N6844" s="18"/>
      <c r="O6844" s="14" t="str">
        <f>HYPERLINK("https://otsuka-europe-crm.veevavault.com/ui/#object/email_activity__v/V8C00000003T554", "EN-002094727")</f>
        <v>EN-002094727</v>
      </c>
    </row>
    <row r="6845" spans="1:15" ht="16" x14ac:dyDescent="0.2">
      <c r="A6845" s="19"/>
      <c r="B6845" s="19"/>
      <c r="C6845" s="19"/>
      <c r="D6845" s="19"/>
      <c r="E6845" s="19"/>
      <c r="F6845" s="19"/>
      <c r="G6845" s="19"/>
      <c r="H6845" s="19"/>
      <c r="I6845" s="19"/>
      <c r="J6845" s="19"/>
      <c r="K6845" s="19"/>
      <c r="L6845" s="19"/>
      <c r="M6845" s="19"/>
      <c r="N6845" s="19"/>
      <c r="O6845" s="14" t="str">
        <f>HYPERLINK("https://otsuka-europe-crm.veevavault.com/ui/#object/email_activity__v/V8C00000003V469", "EN-002095714")</f>
        <v>EN-002095714</v>
      </c>
    </row>
    <row r="6846" spans="1:15" ht="32" x14ac:dyDescent="0.2">
      <c r="A6846" s="7" t="str">
        <f>HYPERLINK("https://otsuka-europe-crm.veevavault.com/ui/#object/account__v/V4TZ06G6O71T8VI", "MADELYN SUGEIDY ESTEVEZ RODRIGUEZ")</f>
        <v>MADELYN SUGEIDY ESTEVEZ RODRIGUEZ</v>
      </c>
      <c r="B6846" s="7" t="str">
        <f>HYPERLINK("https://otsuka-europe-crm.veevavault.com/ui/#object/vcountry__v/VENZ000004SONF5", "ES")</f>
        <v>ES</v>
      </c>
      <c r="C6846" s="8" t="s">
        <v>41</v>
      </c>
      <c r="D6846" s="9" t="str">
        <f>HYPERLINK("https://otsuka-europe-crm.veevavault.com/ui/#object/approved_document__v/V5O00000001A037", "LUP - VAE Póster Adelphi - Nefro")</f>
        <v>LUP - VAE Póster Adelphi - Nefro</v>
      </c>
      <c r="E6846" s="10" t="str">
        <f>HYPERLINK("https://otsuka-europe-crm.veevavault.com/ui/#object/sent_email__v/VBL00000002S401", "SE-001434665")</f>
        <v>SE-001434665</v>
      </c>
      <c r="F6846" s="11"/>
      <c r="G6846" s="12">
        <v>0</v>
      </c>
      <c r="H6846" s="12">
        <v>0</v>
      </c>
      <c r="I6846" s="12">
        <v>0</v>
      </c>
      <c r="J6846" s="11"/>
      <c r="K6846" s="12">
        <v>0</v>
      </c>
      <c r="L6846" s="10" t="str">
        <f>HYPERLINK("https://otsuka-europe-crm.veevavault.com/ui/#object/approved_document__v/V5O00000001A037", "LUP - VAE Póster Adelphi - Nefro")</f>
        <v>LUP - VAE Póster Adelphi - Nefro</v>
      </c>
      <c r="M6846" s="10" t="str">
        <f>HYPERLINK("mailto:pmartinez@crm.otsuka-europe.com", "pmartinez@crm.otsuka-europe.com")</f>
        <v>pmartinez@crm.otsuka-europe.com</v>
      </c>
      <c r="N6846" s="13">
        <v>46182.405428240738</v>
      </c>
      <c r="O6846" s="14" t="str">
        <f>HYPERLINK("https://otsuka-europe-crm.veevavault.com/ui/#object/email_activity__v/V8C00000003R440", "EN-002092590")</f>
        <v>EN-002092590</v>
      </c>
    </row>
    <row r="6847" spans="1:15" ht="32" x14ac:dyDescent="0.2">
      <c r="A6847" s="7" t="str">
        <f>HYPERLINK("https://otsuka-europe-crm.veevavault.com/ui/#object/account__v/V4TZ06G6O71T9MP", "SECUNDINO JOSE CIGARRAN GULDRIS")</f>
        <v>SECUNDINO JOSE CIGARRAN GULDRIS</v>
      </c>
      <c r="B6847" s="7" t="str">
        <f>HYPERLINK("https://otsuka-europe-crm.veevavault.com/ui/#object/vcountry__v/VENZ000004SONF5", "ES")</f>
        <v>ES</v>
      </c>
      <c r="C6847" s="8" t="s">
        <v>41</v>
      </c>
      <c r="D6847" s="9" t="str">
        <f>HYPERLINK("https://otsuka-europe-crm.veevavault.com/ui/#object/approved_document__v/V5O00000001A037", "LUP - VAE Póster Adelphi - Nefro")</f>
        <v>LUP - VAE Póster Adelphi - Nefro</v>
      </c>
      <c r="E6847" s="10" t="str">
        <f>HYPERLINK("https://otsuka-europe-crm.veevavault.com/ui/#object/sent_email__v/VBL00000002S402", "SE-001434666")</f>
        <v>SE-001434666</v>
      </c>
      <c r="F6847" s="11"/>
      <c r="G6847" s="12">
        <v>0</v>
      </c>
      <c r="H6847" s="12">
        <v>0</v>
      </c>
      <c r="I6847" s="12">
        <v>0</v>
      </c>
      <c r="J6847" s="11"/>
      <c r="K6847" s="12">
        <v>0</v>
      </c>
      <c r="L6847" s="10" t="str">
        <f>HYPERLINK("https://otsuka-europe-crm.veevavault.com/ui/#object/approved_document__v/V5O00000001A037", "LUP - VAE Póster Adelphi - Nefro")</f>
        <v>LUP - VAE Póster Adelphi - Nefro</v>
      </c>
      <c r="M6847" s="10" t="str">
        <f>HYPERLINK("mailto:pmartinez@crm.otsuka-europe.com", "pmartinez@crm.otsuka-europe.com")</f>
        <v>pmartinez@crm.otsuka-europe.com</v>
      </c>
      <c r="N6847" s="13">
        <v>46182.405428240738</v>
      </c>
      <c r="O6847" s="14" t="str">
        <f>HYPERLINK("https://otsuka-europe-crm.veevavault.com/ui/#object/email_activity__v/V8C00000003Q883", "EN-002092514")</f>
        <v>EN-002092514</v>
      </c>
    </row>
    <row r="6848" spans="1:15" ht="16" x14ac:dyDescent="0.2">
      <c r="A6848" s="17" t="str">
        <f>HYPERLINK("https://otsuka-europe-crm.veevavault.com/ui/#object/account__v/V4TZ06G6OB402C2", "SILVIA MORENO LOSHUERTOS")</f>
        <v>SILVIA MORENO LOSHUERTOS</v>
      </c>
      <c r="B6848" s="17" t="str">
        <f>HYPERLINK("https://otsuka-europe-crm.veevavault.com/ui/#object/vcountry__v/VENZ000004SONF5", "ES")</f>
        <v>ES</v>
      </c>
      <c r="C6848" s="20" t="s">
        <v>41</v>
      </c>
      <c r="D6848" s="21" t="str">
        <f>HYPERLINK("https://otsuka-europe-crm.veevavault.com/ui/#object/approved_document__v/V5O00000001A037", "LUP - VAE Póster Adelphi - Nefro")</f>
        <v>LUP - VAE Póster Adelphi - Nefro</v>
      </c>
      <c r="E6848" s="22" t="str">
        <f>HYPERLINK("https://otsuka-europe-crm.veevavault.com/ui/#object/sent_email__v/VBL00000002S403", "SE-001434667")</f>
        <v>SE-001434667</v>
      </c>
      <c r="F6848" s="23">
        <v>46182.482534722221</v>
      </c>
      <c r="G6848" s="24">
        <v>1</v>
      </c>
      <c r="H6848" s="24">
        <v>1</v>
      </c>
      <c r="I6848" s="24">
        <v>0</v>
      </c>
      <c r="J6848" s="25"/>
      <c r="K6848" s="24">
        <v>0</v>
      </c>
      <c r="L6848" s="22" t="str">
        <f>HYPERLINK("https://otsuka-europe-crm.veevavault.com/ui/#object/approved_document__v/V5O00000001A037", "LUP - VAE Póster Adelphi - Nefro")</f>
        <v>LUP - VAE Póster Adelphi - Nefro</v>
      </c>
      <c r="M6848" s="22" t="str">
        <f>HYPERLINK("mailto:pmartinez@crm.otsuka-europe.com", "pmartinez@crm.otsuka-europe.com")</f>
        <v>pmartinez@crm.otsuka-europe.com</v>
      </c>
      <c r="N6848" s="23">
        <v>46182.405428240738</v>
      </c>
      <c r="O6848" s="14" t="str">
        <f>HYPERLINK("https://otsuka-europe-crm.veevavault.com/ui/#object/email_activity__v/V8C00000003R398", "EN-002092545")</f>
        <v>EN-002092545</v>
      </c>
    </row>
    <row r="6849" spans="1:15" ht="16" x14ac:dyDescent="0.2">
      <c r="A6849" s="19"/>
      <c r="B6849" s="19"/>
      <c r="C6849" s="19"/>
      <c r="D6849" s="19"/>
      <c r="E6849" s="19"/>
      <c r="F6849" s="19"/>
      <c r="G6849" s="19"/>
      <c r="H6849" s="19"/>
      <c r="I6849" s="19"/>
      <c r="J6849" s="19"/>
      <c r="K6849" s="19"/>
      <c r="L6849" s="19"/>
      <c r="M6849" s="19"/>
      <c r="N6849" s="19"/>
      <c r="O6849" s="14" t="str">
        <f>HYPERLINK("https://otsuka-europe-crm.veevavault.com/ui/#object/email_activity__v/V8C00000003S022", "EN-002092875")</f>
        <v>EN-002092875</v>
      </c>
    </row>
    <row r="6850" spans="1:15" ht="32" x14ac:dyDescent="0.2">
      <c r="A6850" s="7" t="str">
        <f>HYPERLINK("https://otsuka-europe-crm.veevavault.com/ui/#object/account__v/V4TZ04ASG8DM3M3", "JOSE MARIA MORA GUTIERREZ")</f>
        <v>JOSE MARIA MORA GUTIERREZ</v>
      </c>
      <c r="B6850" s="7" t="str">
        <f>HYPERLINK("https://otsuka-europe-crm.veevavault.com/ui/#object/vcountry__v/VENZ000004SONF5", "ES")</f>
        <v>ES</v>
      </c>
      <c r="C6850" s="8" t="s">
        <v>41</v>
      </c>
      <c r="D6850" s="9" t="str">
        <f>HYPERLINK("https://otsuka-europe-crm.veevavault.com/ui/#object/approved_document__v/V5O00000001A037", "LUP - VAE Póster Adelphi - Nefro")</f>
        <v>LUP - VAE Póster Adelphi - Nefro</v>
      </c>
      <c r="E6850" s="10" t="str">
        <f>HYPERLINK("https://otsuka-europe-crm.veevavault.com/ui/#object/sent_email__v/VBL00000002S404", "SE-001434668")</f>
        <v>SE-001434668</v>
      </c>
      <c r="F6850" s="11"/>
      <c r="G6850" s="12">
        <v>0</v>
      </c>
      <c r="H6850" s="12">
        <v>0</v>
      </c>
      <c r="I6850" s="12">
        <v>0</v>
      </c>
      <c r="J6850" s="11"/>
      <c r="K6850" s="12">
        <v>0</v>
      </c>
      <c r="L6850" s="10" t="str">
        <f>HYPERLINK("https://otsuka-europe-crm.veevavault.com/ui/#object/approved_document__v/V5O00000001A037", "LUP - VAE Póster Adelphi - Nefro")</f>
        <v>LUP - VAE Póster Adelphi - Nefro</v>
      </c>
      <c r="M6850" s="10" t="str">
        <f>HYPERLINK("mailto:pmartinez@crm.otsuka-europe.com", "pmartinez@crm.otsuka-europe.com")</f>
        <v>pmartinez@crm.otsuka-europe.com</v>
      </c>
      <c r="N6850" s="13">
        <v>46182.405428240738</v>
      </c>
      <c r="O6850" s="14" t="str">
        <f>HYPERLINK("https://otsuka-europe-crm.veevavault.com/ui/#object/email_activity__v/V8C00000003Q827", "EN-002092442")</f>
        <v>EN-002092442</v>
      </c>
    </row>
    <row r="6851" spans="1:15" ht="16" x14ac:dyDescent="0.2">
      <c r="A6851" s="17" t="str">
        <f>HYPERLINK("https://otsuka-europe-crm.veevavault.com/ui/#object/account__v/V4TZ06G6O71TCM3", "ANA VILAR GIMENO")</f>
        <v>ANA VILAR GIMENO</v>
      </c>
      <c r="B6851" s="17" t="str">
        <f>HYPERLINK("https://otsuka-europe-crm.veevavault.com/ui/#object/vcountry__v/VENZ000004SONF5", "ES")</f>
        <v>ES</v>
      </c>
      <c r="C6851" s="20" t="s">
        <v>41</v>
      </c>
      <c r="D6851" s="21" t="str">
        <f>HYPERLINK("https://otsuka-europe-crm.veevavault.com/ui/#object/approved_document__v/V5O00000001A037", "LUP - VAE Póster Adelphi - Nefro")</f>
        <v>LUP - VAE Póster Adelphi - Nefro</v>
      </c>
      <c r="E6851" s="22" t="str">
        <f>HYPERLINK("https://otsuka-europe-crm.veevavault.com/ui/#object/sent_email__v/VBL00000002S405", "SE-001434669")</f>
        <v>SE-001434669</v>
      </c>
      <c r="F6851" s="25"/>
      <c r="G6851" s="24">
        <v>0</v>
      </c>
      <c r="H6851" s="24">
        <v>0</v>
      </c>
      <c r="I6851" s="24">
        <v>0</v>
      </c>
      <c r="J6851" s="25"/>
      <c r="K6851" s="24">
        <v>0</v>
      </c>
      <c r="L6851" s="22" t="str">
        <f>HYPERLINK("https://otsuka-europe-crm.veevavault.com/ui/#object/approved_document__v/V5O00000001A037", "LUP - VAE Póster Adelphi - Nefro")</f>
        <v>LUP - VAE Póster Adelphi - Nefro</v>
      </c>
      <c r="M6851" s="22" t="str">
        <f>HYPERLINK("mailto:pmartinez@crm.otsuka-europe.com", "pmartinez@crm.otsuka-europe.com")</f>
        <v>pmartinez@crm.otsuka-europe.com</v>
      </c>
      <c r="N6851" s="23">
        <v>46182.405428240738</v>
      </c>
      <c r="O6851" s="14" t="str">
        <f>HYPERLINK("https://otsuka-europe-crm.veevavault.com/ui/#object/email_activity__v/V8C00000003Q953", "EN-002092684")</f>
        <v>EN-002092684</v>
      </c>
    </row>
    <row r="6852" spans="1:15" ht="16" x14ac:dyDescent="0.2">
      <c r="A6852" s="18"/>
      <c r="B6852" s="18"/>
      <c r="C6852" s="18"/>
      <c r="D6852" s="18"/>
      <c r="E6852" s="18"/>
      <c r="F6852" s="18"/>
      <c r="G6852" s="18"/>
      <c r="H6852" s="18"/>
      <c r="I6852" s="18"/>
      <c r="J6852" s="18"/>
      <c r="K6852" s="18"/>
      <c r="L6852" s="18"/>
      <c r="M6852" s="18"/>
      <c r="N6852" s="18"/>
      <c r="O6852" s="14" t="str">
        <f>HYPERLINK("https://otsuka-europe-crm.veevavault.com/ui/#object/email_activity__v/V8C00000003R393", "EN-002092505")</f>
        <v>EN-002092505</v>
      </c>
    </row>
    <row r="6853" spans="1:15" ht="16" x14ac:dyDescent="0.2">
      <c r="A6853" s="19"/>
      <c r="B6853" s="19"/>
      <c r="C6853" s="19"/>
      <c r="D6853" s="19"/>
      <c r="E6853" s="19"/>
      <c r="F6853" s="19"/>
      <c r="G6853" s="19"/>
      <c r="H6853" s="19"/>
      <c r="I6853" s="19"/>
      <c r="J6853" s="19"/>
      <c r="K6853" s="19"/>
      <c r="L6853" s="19"/>
      <c r="M6853" s="19"/>
      <c r="N6853" s="19"/>
      <c r="O6853" s="14" t="str">
        <f>HYPERLINK("https://otsuka-europe-crm.veevavault.com/ui/#object/email_activity__v/V8C00000003V478", "EN-002095737")</f>
        <v>EN-002095737</v>
      </c>
    </row>
    <row r="6854" spans="1:15" ht="32" x14ac:dyDescent="0.2">
      <c r="A6854" s="7" t="str">
        <f>HYPERLINK("https://otsuka-europe-crm.veevavault.com/ui/#object/account__v/V4TZ06G6O71T964", "MARIA AUXILIADORA BAJO RUBIO")</f>
        <v>MARIA AUXILIADORA BAJO RUBIO</v>
      </c>
      <c r="B6854" s="7" t="str">
        <f>HYPERLINK("https://otsuka-europe-crm.veevavault.com/ui/#object/vcountry__v/VENZ000004SONF5", "ES")</f>
        <v>ES</v>
      </c>
      <c r="C6854" s="8" t="s">
        <v>41</v>
      </c>
      <c r="D6854" s="9" t="str">
        <f>HYPERLINK("https://otsuka-europe-crm.veevavault.com/ui/#object/approved_document__v/V5O00000001A037", "LUP - VAE Póster Adelphi - Nefro")</f>
        <v>LUP - VAE Póster Adelphi - Nefro</v>
      </c>
      <c r="E6854" s="10" t="str">
        <f>HYPERLINK("https://otsuka-europe-crm.veevavault.com/ui/#object/sent_email__v/VBL00000002S406", "SE-001434670")</f>
        <v>SE-001434670</v>
      </c>
      <c r="F6854" s="11"/>
      <c r="G6854" s="12">
        <v>0</v>
      </c>
      <c r="H6854" s="12">
        <v>0</v>
      </c>
      <c r="I6854" s="12">
        <v>0</v>
      </c>
      <c r="J6854" s="11"/>
      <c r="K6854" s="12">
        <v>0</v>
      </c>
      <c r="L6854" s="10" t="str">
        <f>HYPERLINK("https://otsuka-europe-crm.veevavault.com/ui/#object/approved_document__v/V5O00000001A037", "LUP - VAE Póster Adelphi - Nefro")</f>
        <v>LUP - VAE Póster Adelphi - Nefro</v>
      </c>
      <c r="M6854" s="10" t="str">
        <f>HYPERLINK("mailto:pmartinez@crm.otsuka-europe.com", "pmartinez@crm.otsuka-europe.com")</f>
        <v>pmartinez@crm.otsuka-europe.com</v>
      </c>
      <c r="N6854" s="13">
        <v>46182.405428240738</v>
      </c>
      <c r="O6854" s="14" t="str">
        <f>HYPERLINK("https://otsuka-europe-crm.veevavault.com/ui/#object/email_activity__v/V8C00000003R431", "EN-002092581")</f>
        <v>EN-002092581</v>
      </c>
    </row>
    <row r="6855" spans="1:15" ht="32" x14ac:dyDescent="0.2">
      <c r="A6855" s="7" t="str">
        <f>HYPERLINK("https://otsuka-europe-crm.veevavault.com/ui/#object/account__v/V4TZ06G6O71TABN", "BEATRIZ GIL-CASARES CASANOVA")</f>
        <v>BEATRIZ GIL-CASARES CASANOVA</v>
      </c>
      <c r="B6855" s="7" t="str">
        <f>HYPERLINK("https://otsuka-europe-crm.veevavault.com/ui/#object/vcountry__v/VENZ000004SONF5", "ES")</f>
        <v>ES</v>
      </c>
      <c r="C6855" s="8" t="s">
        <v>41</v>
      </c>
      <c r="D6855" s="9" t="str">
        <f>HYPERLINK("https://otsuka-europe-crm.veevavault.com/ui/#object/approved_document__v/V5O00000001A037", "LUP - VAE Póster Adelphi - Nefro")</f>
        <v>LUP - VAE Póster Adelphi - Nefro</v>
      </c>
      <c r="E6855" s="10" t="str">
        <f>HYPERLINK("https://otsuka-europe-crm.veevavault.com/ui/#object/sent_email__v/VBL00000002S407", "SE-001434671")</f>
        <v>SE-001434671</v>
      </c>
      <c r="F6855" s="11"/>
      <c r="G6855" s="12">
        <v>0</v>
      </c>
      <c r="H6855" s="12">
        <v>0</v>
      </c>
      <c r="I6855" s="12">
        <v>0</v>
      </c>
      <c r="J6855" s="11"/>
      <c r="K6855" s="12">
        <v>0</v>
      </c>
      <c r="L6855" s="10" t="str">
        <f>HYPERLINK("https://otsuka-europe-crm.veevavault.com/ui/#object/approved_document__v/V5O00000001A037", "LUP - VAE Póster Adelphi - Nefro")</f>
        <v>LUP - VAE Póster Adelphi - Nefro</v>
      </c>
      <c r="M6855" s="10" t="str">
        <f>HYPERLINK("mailto:pmartinez@crm.otsuka-europe.com", "pmartinez@crm.otsuka-europe.com")</f>
        <v>pmartinez@crm.otsuka-europe.com</v>
      </c>
      <c r="N6855" s="13">
        <v>46182.405428240738</v>
      </c>
      <c r="O6855" s="14" t="str">
        <f>HYPERLINK("https://otsuka-europe-crm.veevavault.com/ui/#object/email_activity__v/V8C00000003Q821", "EN-002092436")</f>
        <v>EN-002092436</v>
      </c>
    </row>
    <row r="6856" spans="1:15" ht="16" x14ac:dyDescent="0.2">
      <c r="A6856" s="17" t="str">
        <f>HYPERLINK("https://otsuka-europe-crm.veevavault.com/ui/#object/account__v/V4TZ06G6O71TB8Y", "PABLO MOLINA VILA")</f>
        <v>PABLO MOLINA VILA</v>
      </c>
      <c r="B6856" s="17" t="str">
        <f>HYPERLINK("https://otsuka-europe-crm.veevavault.com/ui/#object/vcountry__v/VENZ000004SONF5", "ES")</f>
        <v>ES</v>
      </c>
      <c r="C6856" s="20" t="s">
        <v>41</v>
      </c>
      <c r="D6856" s="21" t="str">
        <f>HYPERLINK("https://otsuka-europe-crm.veevavault.com/ui/#object/approved_document__v/V5O00000001A037", "LUP - VAE Póster Adelphi - Nefro")</f>
        <v>LUP - VAE Póster Adelphi - Nefro</v>
      </c>
      <c r="E6856" s="22" t="str">
        <f>HYPERLINK("https://otsuka-europe-crm.veevavault.com/ui/#object/sent_email__v/VBL00000002S408", "SE-001434672")</f>
        <v>SE-001434672</v>
      </c>
      <c r="F6856" s="23">
        <v>46182.438078703701</v>
      </c>
      <c r="G6856" s="24">
        <v>1</v>
      </c>
      <c r="H6856" s="24">
        <v>3</v>
      </c>
      <c r="I6856" s="24">
        <v>0</v>
      </c>
      <c r="J6856" s="25"/>
      <c r="K6856" s="24">
        <v>0</v>
      </c>
      <c r="L6856" s="22" t="str">
        <f>HYPERLINK("https://otsuka-europe-crm.veevavault.com/ui/#object/approved_document__v/V5O00000001A037", "LUP - VAE Póster Adelphi - Nefro")</f>
        <v>LUP - VAE Póster Adelphi - Nefro</v>
      </c>
      <c r="M6856" s="22" t="str">
        <f>HYPERLINK("mailto:pmartinez@crm.otsuka-europe.com", "pmartinez@crm.otsuka-europe.com")</f>
        <v>pmartinez@crm.otsuka-europe.com</v>
      </c>
      <c r="N6856" s="23">
        <v>46182.405428240738</v>
      </c>
      <c r="O6856" s="14" t="str">
        <f>HYPERLINK("https://otsuka-europe-crm.veevavault.com/ui/#object/email_activity__v/V8C00000003Q991", "EN-002092805")</f>
        <v>EN-002092805</v>
      </c>
    </row>
    <row r="6857" spans="1:15" ht="16" x14ac:dyDescent="0.2">
      <c r="A6857" s="18"/>
      <c r="B6857" s="18"/>
      <c r="C6857" s="18"/>
      <c r="D6857" s="18"/>
      <c r="E6857" s="18"/>
      <c r="F6857" s="18"/>
      <c r="G6857" s="18"/>
      <c r="H6857" s="18"/>
      <c r="I6857" s="18"/>
      <c r="J6857" s="18"/>
      <c r="K6857" s="18"/>
      <c r="L6857" s="18"/>
      <c r="M6857" s="18"/>
      <c r="N6857" s="18"/>
      <c r="O6857" s="14" t="str">
        <f>HYPERLINK("https://otsuka-europe-crm.veevavault.com/ui/#object/email_activity__v/V8C00000003Q993", "EN-002092807")</f>
        <v>EN-002092807</v>
      </c>
    </row>
    <row r="6858" spans="1:15" ht="16" x14ac:dyDescent="0.2">
      <c r="A6858" s="18"/>
      <c r="B6858" s="18"/>
      <c r="C6858" s="18"/>
      <c r="D6858" s="18"/>
      <c r="E6858" s="18"/>
      <c r="F6858" s="18"/>
      <c r="G6858" s="18"/>
      <c r="H6858" s="18"/>
      <c r="I6858" s="18"/>
      <c r="J6858" s="18"/>
      <c r="K6858" s="18"/>
      <c r="L6858" s="18"/>
      <c r="M6858" s="18"/>
      <c r="N6858" s="18"/>
      <c r="O6858" s="14" t="str">
        <f>HYPERLINK("https://otsuka-europe-crm.veevavault.com/ui/#object/email_activity__v/V8C00000003Q994", "EN-002092808")</f>
        <v>EN-002092808</v>
      </c>
    </row>
    <row r="6859" spans="1:15" ht="16" x14ac:dyDescent="0.2">
      <c r="A6859" s="19"/>
      <c r="B6859" s="19"/>
      <c r="C6859" s="19"/>
      <c r="D6859" s="19"/>
      <c r="E6859" s="19"/>
      <c r="F6859" s="19"/>
      <c r="G6859" s="19"/>
      <c r="H6859" s="19"/>
      <c r="I6859" s="19"/>
      <c r="J6859" s="19"/>
      <c r="K6859" s="19"/>
      <c r="L6859" s="19"/>
      <c r="M6859" s="19"/>
      <c r="N6859" s="19"/>
      <c r="O6859" s="14" t="str">
        <f>HYPERLINK("https://otsuka-europe-crm.veevavault.com/ui/#object/email_activity__v/V8C00000003R400", "EN-002092547")</f>
        <v>EN-002092547</v>
      </c>
    </row>
    <row r="6860" spans="1:15" ht="32" x14ac:dyDescent="0.2">
      <c r="A6860" s="7" t="str">
        <f>HYPERLINK("https://otsuka-europe-crm.veevavault.com/ui/#object/account__v/V4TZ06G6OAAU9JM", "SANTIAGO ANDRES CEDEÑO MORA")</f>
        <v>SANTIAGO ANDRES CEDEÑO MORA</v>
      </c>
      <c r="B6860" s="7" t="str">
        <f>HYPERLINK("https://otsuka-europe-crm.veevavault.com/ui/#object/vcountry__v/VENZ000004SONF5", "ES")</f>
        <v>ES</v>
      </c>
      <c r="C6860" s="8" t="s">
        <v>41</v>
      </c>
      <c r="D6860" s="9" t="str">
        <f>HYPERLINK("https://otsuka-europe-crm.veevavault.com/ui/#object/approved_document__v/V5O00000001A037", "LUP - VAE Póster Adelphi - Nefro")</f>
        <v>LUP - VAE Póster Adelphi - Nefro</v>
      </c>
      <c r="E6860" s="10" t="str">
        <f>HYPERLINK("https://otsuka-europe-crm.veevavault.com/ui/#object/sent_email__v/VBL00000002S409", "SE-001434673")</f>
        <v>SE-001434673</v>
      </c>
      <c r="F6860" s="11"/>
      <c r="G6860" s="12">
        <v>0</v>
      </c>
      <c r="H6860" s="12">
        <v>0</v>
      </c>
      <c r="I6860" s="12">
        <v>0</v>
      </c>
      <c r="J6860" s="11"/>
      <c r="K6860" s="12">
        <v>0</v>
      </c>
      <c r="L6860" s="10" t="str">
        <f>HYPERLINK("https://otsuka-europe-crm.veevavault.com/ui/#object/approved_document__v/V5O00000001A037", "LUP - VAE Póster Adelphi - Nefro")</f>
        <v>LUP - VAE Póster Adelphi - Nefro</v>
      </c>
      <c r="M6860" s="10" t="str">
        <f>HYPERLINK("mailto:pmartinez@crm.otsuka-europe.com", "pmartinez@crm.otsuka-europe.com")</f>
        <v>pmartinez@crm.otsuka-europe.com</v>
      </c>
      <c r="N6860" s="13">
        <v>46182.405428240738</v>
      </c>
      <c r="O6860" s="14" t="str">
        <f>HYPERLINK("https://otsuka-europe-crm.veevavault.com/ui/#object/email_activity__v/V8C00000003Q889", "EN-002092520")</f>
        <v>EN-002092520</v>
      </c>
    </row>
    <row r="6861" spans="1:15" ht="32" x14ac:dyDescent="0.2">
      <c r="A6861" s="7" t="str">
        <f>HYPERLINK("https://otsuka-europe-crm.veevavault.com/ui/#object/account__v/V4TZ06G6O71TBGN", "RAQUEL OJEDA LOPEZ")</f>
        <v>RAQUEL OJEDA LOPEZ</v>
      </c>
      <c r="B6861" s="7" t="str">
        <f>HYPERLINK("https://otsuka-europe-crm.veevavault.com/ui/#object/vcountry__v/VENZ000004SONF5", "ES")</f>
        <v>ES</v>
      </c>
      <c r="C6861" s="8" t="s">
        <v>41</v>
      </c>
      <c r="D6861" s="9" t="str">
        <f>HYPERLINK("https://otsuka-europe-crm.veevavault.com/ui/#object/approved_document__v/V5O00000001A037", "LUP - VAE Póster Adelphi - Nefro")</f>
        <v>LUP - VAE Póster Adelphi - Nefro</v>
      </c>
      <c r="E6861" s="10" t="str">
        <f>HYPERLINK("https://otsuka-europe-crm.veevavault.com/ui/#object/sent_email__v/VBL00000002S410", "SE-001434674")</f>
        <v>SE-001434674</v>
      </c>
      <c r="F6861" s="11"/>
      <c r="G6861" s="12">
        <v>0</v>
      </c>
      <c r="H6861" s="12">
        <v>0</v>
      </c>
      <c r="I6861" s="12">
        <v>0</v>
      </c>
      <c r="J6861" s="11"/>
      <c r="K6861" s="12">
        <v>0</v>
      </c>
      <c r="L6861" s="10" t="str">
        <f>HYPERLINK("https://otsuka-europe-crm.veevavault.com/ui/#object/approved_document__v/V5O00000001A037", "LUP - VAE Póster Adelphi - Nefro")</f>
        <v>LUP - VAE Póster Adelphi - Nefro</v>
      </c>
      <c r="M6861" s="10" t="str">
        <f>HYPERLINK("mailto:pmartinez@crm.otsuka-europe.com", "pmartinez@crm.otsuka-europe.com")</f>
        <v>pmartinez@crm.otsuka-europe.com</v>
      </c>
      <c r="N6861" s="13">
        <v>46182.405428240738</v>
      </c>
      <c r="O6861" s="14" t="str">
        <f>HYPERLINK("https://otsuka-europe-crm.veevavault.com/ui/#object/email_activity__v/V8C00000003Q850", "EN-002092465")</f>
        <v>EN-002092465</v>
      </c>
    </row>
    <row r="6862" spans="1:15" ht="16" x14ac:dyDescent="0.2">
      <c r="A6862" s="17" t="str">
        <f>HYPERLINK("https://otsuka-europe-crm.veevavault.com/ui/#object/account__v/V4TZ06G6OCBHSDQ", "ALAITZ FERNANDEZ URIARTE")</f>
        <v>ALAITZ FERNANDEZ URIARTE</v>
      </c>
      <c r="B6862" s="17" t="str">
        <f>HYPERLINK("https://otsuka-europe-crm.veevavault.com/ui/#object/vcountry__v/VENZ000004SONF5", "ES")</f>
        <v>ES</v>
      </c>
      <c r="C6862" s="20" t="s">
        <v>41</v>
      </c>
      <c r="D6862" s="21" t="str">
        <f>HYPERLINK("https://otsuka-europe-crm.veevavault.com/ui/#object/approved_document__v/V5O00000001A037", "LUP - VAE Póster Adelphi - Nefro")</f>
        <v>LUP - VAE Póster Adelphi - Nefro</v>
      </c>
      <c r="E6862" s="22" t="str">
        <f>HYPERLINK("https://otsuka-europe-crm.veevavault.com/ui/#object/sent_email__v/VBL00000002S411", "SE-001434675")</f>
        <v>SE-001434675</v>
      </c>
      <c r="F6862" s="25"/>
      <c r="G6862" s="24">
        <v>0</v>
      </c>
      <c r="H6862" s="24">
        <v>0</v>
      </c>
      <c r="I6862" s="24">
        <v>0</v>
      </c>
      <c r="J6862" s="25"/>
      <c r="K6862" s="24">
        <v>0</v>
      </c>
      <c r="L6862" s="22" t="str">
        <f>HYPERLINK("https://otsuka-europe-crm.veevavault.com/ui/#object/approved_document__v/V5O00000001A037", "LUP - VAE Póster Adelphi - Nefro")</f>
        <v>LUP - VAE Póster Adelphi - Nefro</v>
      </c>
      <c r="M6862" s="22" t="str">
        <f>HYPERLINK("mailto:pmartinez@crm.otsuka-europe.com", "pmartinez@crm.otsuka-europe.com")</f>
        <v>pmartinez@crm.otsuka-europe.com</v>
      </c>
      <c r="N6862" s="23">
        <v>46182.405428240738</v>
      </c>
      <c r="O6862" s="14" t="str">
        <f>HYPERLINK("https://otsuka-europe-crm.veevavault.com/ui/#object/email_activity__v/V8C00000003Q867", "EN-002092487")</f>
        <v>EN-002092487</v>
      </c>
    </row>
    <row r="6863" spans="1:15" ht="16" x14ac:dyDescent="0.2">
      <c r="A6863" s="19"/>
      <c r="B6863" s="19"/>
      <c r="C6863" s="19"/>
      <c r="D6863" s="19"/>
      <c r="E6863" s="19"/>
      <c r="F6863" s="19"/>
      <c r="G6863" s="19"/>
      <c r="H6863" s="19"/>
      <c r="I6863" s="19"/>
      <c r="J6863" s="19"/>
      <c r="K6863" s="19"/>
      <c r="L6863" s="19"/>
      <c r="M6863" s="19"/>
      <c r="N6863" s="19"/>
      <c r="O6863" s="14" t="str">
        <f>HYPERLINK("https://otsuka-europe-crm.veevavault.com/ui/#object/email_activity__v/V8C00000003T090", "EN-002093746")</f>
        <v>EN-002093746</v>
      </c>
    </row>
    <row r="6864" spans="1:15" ht="32" x14ac:dyDescent="0.2">
      <c r="A6864" s="7" t="str">
        <f>HYPERLINK("https://otsuka-europe-crm.veevavault.com/ui/#object/account__v/V4TZ06G6O71TCJQ", "SOFIA ZARRAGA LARRONDO")</f>
        <v>SOFIA ZARRAGA LARRONDO</v>
      </c>
      <c r="B6864" s="7" t="str">
        <f>HYPERLINK("https://otsuka-europe-crm.veevavault.com/ui/#object/vcountry__v/VENZ000004SONF5", "ES")</f>
        <v>ES</v>
      </c>
      <c r="C6864" s="8" t="s">
        <v>41</v>
      </c>
      <c r="D6864" s="9" t="str">
        <f>HYPERLINK("https://otsuka-europe-crm.veevavault.com/ui/#object/approved_document__v/V5O00000001A037", "LUP - VAE Póster Adelphi - Nefro")</f>
        <v>LUP - VAE Póster Adelphi - Nefro</v>
      </c>
      <c r="E6864" s="10" t="str">
        <f>HYPERLINK("https://otsuka-europe-crm.veevavault.com/ui/#object/sent_email__v/VBL00000002S412", "SE-001434676")</f>
        <v>SE-001434676</v>
      </c>
      <c r="F6864" s="11"/>
      <c r="G6864" s="12">
        <v>0</v>
      </c>
      <c r="H6864" s="12">
        <v>0</v>
      </c>
      <c r="I6864" s="12">
        <v>0</v>
      </c>
      <c r="J6864" s="11"/>
      <c r="K6864" s="12">
        <v>0</v>
      </c>
      <c r="L6864" s="10" t="str">
        <f>HYPERLINK("https://otsuka-europe-crm.veevavault.com/ui/#object/approved_document__v/V5O00000001A037", "LUP - VAE Póster Adelphi - Nefro")</f>
        <v>LUP - VAE Póster Adelphi - Nefro</v>
      </c>
      <c r="M6864" s="10" t="str">
        <f>HYPERLINK("mailto:pmartinez@crm.otsuka-europe.com", "pmartinez@crm.otsuka-europe.com")</f>
        <v>pmartinez@crm.otsuka-europe.com</v>
      </c>
      <c r="N6864" s="13">
        <v>46182.405428240738</v>
      </c>
      <c r="O6864" s="14" t="str">
        <f>HYPERLINK("https://otsuka-europe-crm.veevavault.com/ui/#object/email_activity__v/V8C00000003Q923", "EN-002092601")</f>
        <v>EN-002092601</v>
      </c>
    </row>
    <row r="6865" spans="1:15" ht="32" x14ac:dyDescent="0.2">
      <c r="A6865" s="7" t="str">
        <f>HYPERLINK("https://otsuka-europe-crm.veevavault.com/ui/#object/account__v/V4TZ06G6O71TC73", "LAIA SANS ATXER")</f>
        <v>LAIA SANS ATXER</v>
      </c>
      <c r="B6865" s="7" t="str">
        <f>HYPERLINK("https://otsuka-europe-crm.veevavault.com/ui/#object/vcountry__v/VENZ000004SONF5", "ES")</f>
        <v>ES</v>
      </c>
      <c r="C6865" s="8" t="s">
        <v>41</v>
      </c>
      <c r="D6865" s="9" t="str">
        <f>HYPERLINK("https://otsuka-europe-crm.veevavault.com/ui/#object/approved_document__v/V5O00000001A037", "LUP - VAE Póster Adelphi - Nefro")</f>
        <v>LUP - VAE Póster Adelphi - Nefro</v>
      </c>
      <c r="E6865" s="10" t="str">
        <f>HYPERLINK("https://otsuka-europe-crm.veevavault.com/ui/#object/sent_email__v/VBL00000002S413", "SE-001434677")</f>
        <v>SE-001434677</v>
      </c>
      <c r="F6865" s="11"/>
      <c r="G6865" s="12">
        <v>0</v>
      </c>
      <c r="H6865" s="12">
        <v>0</v>
      </c>
      <c r="I6865" s="12">
        <v>0</v>
      </c>
      <c r="J6865" s="11"/>
      <c r="K6865" s="12">
        <v>0</v>
      </c>
      <c r="L6865" s="10" t="str">
        <f>HYPERLINK("https://otsuka-europe-crm.veevavault.com/ui/#object/approved_document__v/V5O00000001A037", "LUP - VAE Póster Adelphi - Nefro")</f>
        <v>LUP - VAE Póster Adelphi - Nefro</v>
      </c>
      <c r="M6865" s="10" t="str">
        <f>HYPERLINK("mailto:pmartinez@crm.otsuka-europe.com", "pmartinez@crm.otsuka-europe.com")</f>
        <v>pmartinez@crm.otsuka-europe.com</v>
      </c>
      <c r="N6865" s="13">
        <v>46182.405428240738</v>
      </c>
      <c r="O6865" s="14" t="str">
        <f>HYPERLINK("https://otsuka-europe-crm.veevavault.com/ui/#object/email_activity__v/V8C00000003Q869", "EN-002092489")</f>
        <v>EN-002092489</v>
      </c>
    </row>
    <row r="6866" spans="1:15" ht="16" x14ac:dyDescent="0.2">
      <c r="A6866" s="17" t="str">
        <f>HYPERLINK("https://otsuka-europe-crm.veevavault.com/ui/#object/account__v/V4TZ06G6O71TBGM", "EDUARDO PARRA MONCASI")</f>
        <v>EDUARDO PARRA MONCASI</v>
      </c>
      <c r="B6866" s="17" t="str">
        <f>HYPERLINK("https://otsuka-europe-crm.veevavault.com/ui/#object/vcountry__v/VENZ000004SONF5", "ES")</f>
        <v>ES</v>
      </c>
      <c r="C6866" s="20" t="s">
        <v>41</v>
      </c>
      <c r="D6866" s="21" t="str">
        <f>HYPERLINK("https://otsuka-europe-crm.veevavault.com/ui/#object/approved_document__v/V5O00000001A037", "LUP - VAE Póster Adelphi - Nefro")</f>
        <v>LUP - VAE Póster Adelphi - Nefro</v>
      </c>
      <c r="E6866" s="22" t="str">
        <f>HYPERLINK("https://otsuka-europe-crm.veevavault.com/ui/#object/sent_email__v/VBL00000002S414", "SE-001434678")</f>
        <v>SE-001434678</v>
      </c>
      <c r="F6866" s="23">
        <v>46182.456643518519</v>
      </c>
      <c r="G6866" s="24">
        <v>1</v>
      </c>
      <c r="H6866" s="24">
        <v>2</v>
      </c>
      <c r="I6866" s="24">
        <v>0</v>
      </c>
      <c r="J6866" s="25"/>
      <c r="K6866" s="24">
        <v>0</v>
      </c>
      <c r="L6866" s="22" t="str">
        <f>HYPERLINK("https://otsuka-europe-crm.veevavault.com/ui/#object/approved_document__v/V5O00000001A037", "LUP - VAE Póster Adelphi - Nefro")</f>
        <v>LUP - VAE Póster Adelphi - Nefro</v>
      </c>
      <c r="M6866" s="22" t="str">
        <f>HYPERLINK("mailto:pmartinez@crm.otsuka-europe.com", "pmartinez@crm.otsuka-europe.com")</f>
        <v>pmartinez@crm.otsuka-europe.com</v>
      </c>
      <c r="N6866" s="23">
        <v>46182.405428240738</v>
      </c>
      <c r="O6866" s="14" t="str">
        <f>HYPERLINK("https://otsuka-europe-crm.veevavault.com/ui/#object/email_activity__v/V8C00000003Q868", "EN-002092488")</f>
        <v>EN-002092488</v>
      </c>
    </row>
    <row r="6867" spans="1:15" ht="16" x14ac:dyDescent="0.2">
      <c r="A6867" s="18"/>
      <c r="B6867" s="18"/>
      <c r="C6867" s="18"/>
      <c r="D6867" s="18"/>
      <c r="E6867" s="18"/>
      <c r="F6867" s="18"/>
      <c r="G6867" s="18"/>
      <c r="H6867" s="18"/>
      <c r="I6867" s="18"/>
      <c r="J6867" s="18"/>
      <c r="K6867" s="18"/>
      <c r="L6867" s="18"/>
      <c r="M6867" s="18"/>
      <c r="N6867" s="18"/>
      <c r="O6867" s="14" t="str">
        <f>HYPERLINK("https://otsuka-europe-crm.veevavault.com/ui/#object/email_activity__v/V8C00000003Q891", "EN-002092525")</f>
        <v>EN-002092525</v>
      </c>
    </row>
    <row r="6868" spans="1:15" ht="16" x14ac:dyDescent="0.2">
      <c r="A6868" s="18"/>
      <c r="B6868" s="18"/>
      <c r="C6868" s="18"/>
      <c r="D6868" s="18"/>
      <c r="E6868" s="18"/>
      <c r="F6868" s="18"/>
      <c r="G6868" s="18"/>
      <c r="H6868" s="18"/>
      <c r="I6868" s="18"/>
      <c r="J6868" s="18"/>
      <c r="K6868" s="18"/>
      <c r="L6868" s="18"/>
      <c r="M6868" s="18"/>
      <c r="N6868" s="18"/>
      <c r="O6868" s="14" t="str">
        <f>HYPERLINK("https://otsuka-europe-crm.veevavault.com/ui/#object/email_activity__v/V8C00000003R590", "EN-002092829")</f>
        <v>EN-002092829</v>
      </c>
    </row>
    <row r="6869" spans="1:15" ht="16" x14ac:dyDescent="0.2">
      <c r="A6869" s="19"/>
      <c r="B6869" s="19"/>
      <c r="C6869" s="19"/>
      <c r="D6869" s="19"/>
      <c r="E6869" s="19"/>
      <c r="F6869" s="19"/>
      <c r="G6869" s="19"/>
      <c r="H6869" s="19"/>
      <c r="I6869" s="19"/>
      <c r="J6869" s="19"/>
      <c r="K6869" s="19"/>
      <c r="L6869" s="19"/>
      <c r="M6869" s="19"/>
      <c r="N6869" s="19"/>
      <c r="O6869" s="14" t="str">
        <f>HYPERLINK("https://otsuka-europe-crm.veevavault.com/ui/#object/email_activity__v/V8C00000003V017", "EN-002094854")</f>
        <v>EN-002094854</v>
      </c>
    </row>
    <row r="6870" spans="1:15" ht="16" x14ac:dyDescent="0.2">
      <c r="A6870" s="17" t="str">
        <f>HYPERLINK("https://otsuka-europe-crm.veevavault.com/ui/#object/account__v/V4TZ06G6O71TC7U", "MARIA DOLORES SANCHEZ DE LA NIETA GARCIA")</f>
        <v>MARIA DOLORES SANCHEZ DE LA NIETA GARCIA</v>
      </c>
      <c r="B6870" s="17" t="str">
        <f>HYPERLINK("https://otsuka-europe-crm.veevavault.com/ui/#object/vcountry__v/VENZ000004SONF5", "ES")</f>
        <v>ES</v>
      </c>
      <c r="C6870" s="20" t="s">
        <v>41</v>
      </c>
      <c r="D6870" s="21" t="str">
        <f>HYPERLINK("https://otsuka-europe-crm.veevavault.com/ui/#object/approved_document__v/V5O00000001A037", "LUP - VAE Póster Adelphi - Nefro")</f>
        <v>LUP - VAE Póster Adelphi - Nefro</v>
      </c>
      <c r="E6870" s="22" t="str">
        <f>HYPERLINK("https://otsuka-europe-crm.veevavault.com/ui/#object/sent_email__v/VBL00000002S415", "SE-001434679")</f>
        <v>SE-001434679</v>
      </c>
      <c r="F6870" s="23">
        <v>46182.434224537035</v>
      </c>
      <c r="G6870" s="24">
        <v>1</v>
      </c>
      <c r="H6870" s="24">
        <v>1</v>
      </c>
      <c r="I6870" s="24">
        <v>0</v>
      </c>
      <c r="J6870" s="25"/>
      <c r="K6870" s="24">
        <v>0</v>
      </c>
      <c r="L6870" s="22" t="str">
        <f>HYPERLINK("https://otsuka-europe-crm.veevavault.com/ui/#object/approved_document__v/V5O00000001A037", "LUP - VAE Póster Adelphi - Nefro")</f>
        <v>LUP - VAE Póster Adelphi - Nefro</v>
      </c>
      <c r="M6870" s="22" t="str">
        <f>HYPERLINK("mailto:pmartinez@crm.otsuka-europe.com", "pmartinez@crm.otsuka-europe.com")</f>
        <v>pmartinez@crm.otsuka-europe.com</v>
      </c>
      <c r="N6870" s="23">
        <v>46182.405428240738</v>
      </c>
      <c r="O6870" s="14" t="str">
        <f>HYPERLINK("https://otsuka-europe-crm.veevavault.com/ui/#object/email_activity__v/V8C00000003Q858", "EN-002092473")</f>
        <v>EN-002092473</v>
      </c>
    </row>
    <row r="6871" spans="1:15" ht="16" x14ac:dyDescent="0.2">
      <c r="A6871" s="18"/>
      <c r="B6871" s="18"/>
      <c r="C6871" s="18"/>
      <c r="D6871" s="18"/>
      <c r="E6871" s="18"/>
      <c r="F6871" s="18"/>
      <c r="G6871" s="18"/>
      <c r="H6871" s="18"/>
      <c r="I6871" s="18"/>
      <c r="J6871" s="18"/>
      <c r="K6871" s="18"/>
      <c r="L6871" s="18"/>
      <c r="M6871" s="18"/>
      <c r="N6871" s="18"/>
      <c r="O6871" s="14" t="str">
        <f>HYPERLINK("https://otsuka-europe-crm.veevavault.com/ui/#object/email_activity__v/V8C00000003Q987", "EN-002092799")</f>
        <v>EN-002092799</v>
      </c>
    </row>
    <row r="6872" spans="1:15" ht="16" x14ac:dyDescent="0.2">
      <c r="A6872" s="19"/>
      <c r="B6872" s="19"/>
      <c r="C6872" s="19"/>
      <c r="D6872" s="19"/>
      <c r="E6872" s="19"/>
      <c r="F6872" s="19"/>
      <c r="G6872" s="19"/>
      <c r="H6872" s="19"/>
      <c r="I6872" s="19"/>
      <c r="J6872" s="19"/>
      <c r="K6872" s="19"/>
      <c r="L6872" s="19"/>
      <c r="M6872" s="19"/>
      <c r="N6872" s="19"/>
      <c r="O6872" s="14" t="str">
        <f>HYPERLINK("https://otsuka-europe-crm.veevavault.com/ui/#object/email_activity__v/V8C00000003V466", "EN-002095704")</f>
        <v>EN-002095704</v>
      </c>
    </row>
    <row r="6873" spans="1:15" ht="16" x14ac:dyDescent="0.2">
      <c r="A6873" s="17" t="str">
        <f>HYPERLINK("https://otsuka-europe-crm.veevavault.com/ui/#object/account__v/V4TZ06G6O71TC72", "PATRICIA DE SEQUERA ORTIZ")</f>
        <v>PATRICIA DE SEQUERA ORTIZ</v>
      </c>
      <c r="B6873" s="17" t="str">
        <f>HYPERLINK("https://otsuka-europe-crm.veevavault.com/ui/#object/vcountry__v/VENZ000004SONF5", "ES")</f>
        <v>ES</v>
      </c>
      <c r="C6873" s="20" t="s">
        <v>41</v>
      </c>
      <c r="D6873" s="21" t="str">
        <f>HYPERLINK("https://otsuka-europe-crm.veevavault.com/ui/#object/approved_document__v/V5O00000001A037", "LUP - VAE Póster Adelphi - Nefro")</f>
        <v>LUP - VAE Póster Adelphi - Nefro</v>
      </c>
      <c r="E6873" s="22" t="str">
        <f>HYPERLINK("https://otsuka-europe-crm.veevavault.com/ui/#object/sent_email__v/VBL00000002S416", "SE-001434680")</f>
        <v>SE-001434680</v>
      </c>
      <c r="F6873" s="23">
        <v>46182.510949074072</v>
      </c>
      <c r="G6873" s="24">
        <v>1</v>
      </c>
      <c r="H6873" s="24">
        <v>1</v>
      </c>
      <c r="I6873" s="24">
        <v>0</v>
      </c>
      <c r="J6873" s="25"/>
      <c r="K6873" s="24">
        <v>0</v>
      </c>
      <c r="L6873" s="22" t="str">
        <f>HYPERLINK("https://otsuka-europe-crm.veevavault.com/ui/#object/approved_document__v/V5O00000001A037", "LUP - VAE Póster Adelphi - Nefro")</f>
        <v>LUP - VAE Póster Adelphi - Nefro</v>
      </c>
      <c r="M6873" s="22" t="str">
        <f>HYPERLINK("mailto:pmartinez@crm.otsuka-europe.com", "pmartinez@crm.otsuka-europe.com")</f>
        <v>pmartinez@crm.otsuka-europe.com</v>
      </c>
      <c r="N6873" s="23">
        <v>46182.405428240738</v>
      </c>
      <c r="O6873" s="14" t="str">
        <f>HYPERLINK("https://otsuka-europe-crm.veevavault.com/ui/#object/email_activity__v/V8C00000003R424", "EN-002092574")</f>
        <v>EN-002092574</v>
      </c>
    </row>
    <row r="6874" spans="1:15" ht="16" x14ac:dyDescent="0.2">
      <c r="A6874" s="19"/>
      <c r="B6874" s="19"/>
      <c r="C6874" s="19"/>
      <c r="D6874" s="19"/>
      <c r="E6874" s="19"/>
      <c r="F6874" s="19"/>
      <c r="G6874" s="19"/>
      <c r="H6874" s="19"/>
      <c r="I6874" s="19"/>
      <c r="J6874" s="19"/>
      <c r="K6874" s="19"/>
      <c r="L6874" s="19"/>
      <c r="M6874" s="19"/>
      <c r="N6874" s="19"/>
      <c r="O6874" s="14" t="str">
        <f>HYPERLINK("https://otsuka-europe-crm.veevavault.com/ui/#object/email_activity__v/V8C00000003R630", "EN-002092901")</f>
        <v>EN-002092901</v>
      </c>
    </row>
    <row r="6875" spans="1:15" ht="16" x14ac:dyDescent="0.2">
      <c r="A6875" s="17" t="str">
        <f>HYPERLINK("https://otsuka-europe-crm.veevavault.com/ui/#object/account__v/V4TZ06G6O71T74Q", "CAROLINA EUGENIA PURROY IRURZUN")</f>
        <v>CAROLINA EUGENIA PURROY IRURZUN</v>
      </c>
      <c r="B6875" s="17" t="str">
        <f>HYPERLINK("https://otsuka-europe-crm.veevavault.com/ui/#object/vcountry__v/VENZ000004SONF5", "ES")</f>
        <v>ES</v>
      </c>
      <c r="C6875" s="20" t="s">
        <v>41</v>
      </c>
      <c r="D6875" s="21" t="str">
        <f>HYPERLINK("https://otsuka-europe-crm.veevavault.com/ui/#object/approved_document__v/V5O00000001A037", "LUP - VAE Póster Adelphi - Nefro")</f>
        <v>LUP - VAE Póster Adelphi - Nefro</v>
      </c>
      <c r="E6875" s="22" t="str">
        <f>HYPERLINK("https://otsuka-europe-crm.veevavault.com/ui/#object/sent_email__v/VBL00000002S417", "SE-001434681")</f>
        <v>SE-001434681</v>
      </c>
      <c r="F6875" s="25"/>
      <c r="G6875" s="24">
        <v>0</v>
      </c>
      <c r="H6875" s="24">
        <v>0</v>
      </c>
      <c r="I6875" s="24">
        <v>0</v>
      </c>
      <c r="J6875" s="25"/>
      <c r="K6875" s="24">
        <v>0</v>
      </c>
      <c r="L6875" s="22" t="str">
        <f>HYPERLINK("https://otsuka-europe-crm.veevavault.com/ui/#object/approved_document__v/V5O00000001A037", "LUP - VAE Póster Adelphi - Nefro")</f>
        <v>LUP - VAE Póster Adelphi - Nefro</v>
      </c>
      <c r="M6875" s="22" t="str">
        <f>HYPERLINK("mailto:pmartinez@crm.otsuka-europe.com", "pmartinez@crm.otsuka-europe.com")</f>
        <v>pmartinez@crm.otsuka-europe.com</v>
      </c>
      <c r="N6875" s="23">
        <v>46182.405428240738</v>
      </c>
      <c r="O6875" s="14" t="str">
        <f>HYPERLINK("https://otsuka-europe-crm.veevavault.com/ui/#object/email_activity__v/V8C00000003R409", "EN-002092556")</f>
        <v>EN-002092556</v>
      </c>
    </row>
    <row r="6876" spans="1:15" ht="16" x14ac:dyDescent="0.2">
      <c r="A6876" s="19"/>
      <c r="B6876" s="19"/>
      <c r="C6876" s="19"/>
      <c r="D6876" s="19"/>
      <c r="E6876" s="19"/>
      <c r="F6876" s="19"/>
      <c r="G6876" s="19"/>
      <c r="H6876" s="19"/>
      <c r="I6876" s="19"/>
      <c r="J6876" s="19"/>
      <c r="K6876" s="19"/>
      <c r="L6876" s="19"/>
      <c r="M6876" s="19"/>
      <c r="N6876" s="19"/>
      <c r="O6876" s="14" t="str">
        <f>HYPERLINK("https://otsuka-europe-crm.veevavault.com/ui/#object/email_activity__v/V8C00000003U401", "EN-002095659")</f>
        <v>EN-002095659</v>
      </c>
    </row>
    <row r="6877" spans="1:15" ht="32" x14ac:dyDescent="0.2">
      <c r="A6877" s="7" t="str">
        <f>HYPERLINK("https://otsuka-europe-crm.veevavault.com/ui/#object/account__v/V4TZ06G6O71TBA1", "ANA ISABEL MORALES GARCIA")</f>
        <v>ANA ISABEL MORALES GARCIA</v>
      </c>
      <c r="B6877" s="7" t="str">
        <f>HYPERLINK("https://otsuka-europe-crm.veevavault.com/ui/#object/vcountry__v/VENZ000004SONF5", "ES")</f>
        <v>ES</v>
      </c>
      <c r="C6877" s="8" t="s">
        <v>41</v>
      </c>
      <c r="D6877" s="9" t="str">
        <f>HYPERLINK("https://otsuka-europe-crm.veevavault.com/ui/#object/approved_document__v/V5O00000001A037", "LUP - VAE Póster Adelphi - Nefro")</f>
        <v>LUP - VAE Póster Adelphi - Nefro</v>
      </c>
      <c r="E6877" s="10" t="str">
        <f>HYPERLINK("https://otsuka-europe-crm.veevavault.com/ui/#object/sent_email__v/VBL00000002S418", "SE-001434682")</f>
        <v>SE-001434682</v>
      </c>
      <c r="F6877" s="11"/>
      <c r="G6877" s="12">
        <v>0</v>
      </c>
      <c r="H6877" s="12">
        <v>0</v>
      </c>
      <c r="I6877" s="12">
        <v>0</v>
      </c>
      <c r="J6877" s="11"/>
      <c r="K6877" s="12">
        <v>0</v>
      </c>
      <c r="L6877" s="10" t="str">
        <f>HYPERLINK("https://otsuka-europe-crm.veevavault.com/ui/#object/approved_document__v/V5O00000001A037", "LUP - VAE Póster Adelphi - Nefro")</f>
        <v>LUP - VAE Póster Adelphi - Nefro</v>
      </c>
      <c r="M6877" s="10" t="str">
        <f>HYPERLINK("mailto:pmartinez@crm.otsuka-europe.com", "pmartinez@crm.otsuka-europe.com")</f>
        <v>pmartinez@crm.otsuka-europe.com</v>
      </c>
      <c r="N6877" s="13">
        <v>46182.405428240738</v>
      </c>
      <c r="O6877" s="14" t="str">
        <f>HYPERLINK("https://otsuka-europe-crm.veevavault.com/ui/#object/email_activity__v/V8C00000003R420", "EN-002092570")</f>
        <v>EN-002092570</v>
      </c>
    </row>
    <row r="6878" spans="1:15" ht="32" x14ac:dyDescent="0.2">
      <c r="A6878" s="7" t="str">
        <f>HYPERLINK("https://otsuka-europe-crm.veevavault.com/ui/#object/account__v/V4TZ06G6O71TA05", "PAULA GARCIA LEDESMA")</f>
        <v>PAULA GARCIA LEDESMA</v>
      </c>
      <c r="B6878" s="7" t="str">
        <f>HYPERLINK("https://otsuka-europe-crm.veevavault.com/ui/#object/vcountry__v/VENZ000004SONF5", "ES")</f>
        <v>ES</v>
      </c>
      <c r="C6878" s="8" t="s">
        <v>41</v>
      </c>
      <c r="D6878" s="9" t="str">
        <f>HYPERLINK("https://otsuka-europe-crm.veevavault.com/ui/#object/approved_document__v/V5O00000001A037", "LUP - VAE Póster Adelphi - Nefro")</f>
        <v>LUP - VAE Póster Adelphi - Nefro</v>
      </c>
      <c r="E6878" s="10" t="str">
        <f>HYPERLINK("https://otsuka-europe-crm.veevavault.com/ui/#object/sent_email__v/VBL00000002S419", "SE-001434683")</f>
        <v>SE-001434683</v>
      </c>
      <c r="F6878" s="11"/>
      <c r="G6878" s="12">
        <v>0</v>
      </c>
      <c r="H6878" s="12">
        <v>0</v>
      </c>
      <c r="I6878" s="12">
        <v>0</v>
      </c>
      <c r="J6878" s="11"/>
      <c r="K6878" s="12">
        <v>0</v>
      </c>
      <c r="L6878" s="10" t="str">
        <f>HYPERLINK("https://otsuka-europe-crm.veevavault.com/ui/#object/approved_document__v/V5O00000001A037", "LUP - VAE Póster Adelphi - Nefro")</f>
        <v>LUP - VAE Póster Adelphi - Nefro</v>
      </c>
      <c r="M6878" s="10" t="str">
        <f>HYPERLINK("mailto:pmartinez@crm.otsuka-europe.com", "pmartinez@crm.otsuka-europe.com")</f>
        <v>pmartinez@crm.otsuka-europe.com</v>
      </c>
      <c r="N6878" s="13">
        <v>46182.405428240738</v>
      </c>
      <c r="O6878" s="14" t="str">
        <f>HYPERLINK("https://otsuka-europe-crm.veevavault.com/ui/#object/email_activity__v/V8C00000003Q886", "EN-002092517")</f>
        <v>EN-002092517</v>
      </c>
    </row>
    <row r="6879" spans="1:15" ht="16" x14ac:dyDescent="0.2">
      <c r="A6879" s="17" t="str">
        <f>HYPERLINK("https://otsuka-europe-crm.veevavault.com/ui/#object/account__v/V4TZ06G6O71TBEJ", "ALBERTO ORTIZ ARDUAN")</f>
        <v>ALBERTO ORTIZ ARDUAN</v>
      </c>
      <c r="B6879" s="17" t="str">
        <f>HYPERLINK("https://otsuka-europe-crm.veevavault.com/ui/#object/vcountry__v/VENZ000004SONF5", "ES")</f>
        <v>ES</v>
      </c>
      <c r="C6879" s="20" t="s">
        <v>41</v>
      </c>
      <c r="D6879" s="21" t="str">
        <f>HYPERLINK("https://otsuka-europe-crm.veevavault.com/ui/#object/approved_document__v/V5O00000001A037", "LUP - VAE Póster Adelphi - Nefro")</f>
        <v>LUP - VAE Póster Adelphi - Nefro</v>
      </c>
      <c r="E6879" s="22" t="str">
        <f>HYPERLINK("https://otsuka-europe-crm.veevavault.com/ui/#object/sent_email__v/VBL00000002S420", "SE-001434684")</f>
        <v>SE-001434684</v>
      </c>
      <c r="F6879" s="23">
        <v>46182.408402777779</v>
      </c>
      <c r="G6879" s="24">
        <v>1</v>
      </c>
      <c r="H6879" s="24">
        <v>1</v>
      </c>
      <c r="I6879" s="24">
        <v>1</v>
      </c>
      <c r="J6879" s="23">
        <v>46182.408402777779</v>
      </c>
      <c r="K6879" s="24">
        <v>1</v>
      </c>
      <c r="L6879" s="22" t="str">
        <f>HYPERLINK("https://otsuka-europe-crm.veevavault.com/ui/#object/approved_document__v/V5O00000001A037", "LUP - VAE Póster Adelphi - Nefro")</f>
        <v>LUP - VAE Póster Adelphi - Nefro</v>
      </c>
      <c r="M6879" s="22" t="str">
        <f>HYPERLINK("mailto:pmartinez@crm.otsuka-europe.com", "pmartinez@crm.otsuka-europe.com")</f>
        <v>pmartinez@crm.otsuka-europe.com</v>
      </c>
      <c r="N6879" s="23">
        <v>46182.405428240738</v>
      </c>
      <c r="O6879" s="14" t="str">
        <f>HYPERLINK("https://otsuka-europe-crm.veevavault.com/ui/#object/email_activity__v/V8C00000003Q885", "EN-002092516")</f>
        <v>EN-002092516</v>
      </c>
    </row>
    <row r="6880" spans="1:15" ht="16" x14ac:dyDescent="0.2">
      <c r="A6880" s="18"/>
      <c r="B6880" s="18"/>
      <c r="C6880" s="18"/>
      <c r="D6880" s="18"/>
      <c r="E6880" s="18"/>
      <c r="F6880" s="18"/>
      <c r="G6880" s="18"/>
      <c r="H6880" s="18"/>
      <c r="I6880" s="18"/>
      <c r="J6880" s="18"/>
      <c r="K6880" s="18"/>
      <c r="L6880" s="18"/>
      <c r="M6880" s="18"/>
      <c r="N6880" s="18"/>
      <c r="O6880" s="14" t="str">
        <f>HYPERLINK("https://otsuka-europe-crm.veevavault.com/ui/#object/email_activity__v/V8C00000003R508", "EN-002092707")</f>
        <v>EN-002092707</v>
      </c>
    </row>
    <row r="6881" spans="1:15" ht="16" x14ac:dyDescent="0.2">
      <c r="A6881" s="18"/>
      <c r="B6881" s="18"/>
      <c r="C6881" s="18"/>
      <c r="D6881" s="18"/>
      <c r="E6881" s="18"/>
      <c r="F6881" s="18"/>
      <c r="G6881" s="18"/>
      <c r="H6881" s="18"/>
      <c r="I6881" s="18"/>
      <c r="J6881" s="18"/>
      <c r="K6881" s="18"/>
      <c r="L6881" s="18"/>
      <c r="M6881" s="18"/>
      <c r="N6881" s="18"/>
      <c r="O6881" s="14" t="str">
        <f>HYPERLINK("https://otsuka-europe-crm.veevavault.com/ui/#object/email_activity__v/V8C00000003R509", "EN-002092701")</f>
        <v>EN-002092701</v>
      </c>
    </row>
    <row r="6882" spans="1:15" ht="16" x14ac:dyDescent="0.2">
      <c r="A6882" s="18"/>
      <c r="B6882" s="18"/>
      <c r="C6882" s="18"/>
      <c r="D6882" s="18"/>
      <c r="E6882" s="18"/>
      <c r="F6882" s="18"/>
      <c r="G6882" s="18"/>
      <c r="H6882" s="18"/>
      <c r="I6882" s="18"/>
      <c r="J6882" s="18"/>
      <c r="K6882" s="18"/>
      <c r="L6882" s="18"/>
      <c r="M6882" s="18"/>
      <c r="N6882" s="18"/>
      <c r="O6882" s="14" t="str">
        <f>HYPERLINK("https://otsuka-europe-crm.veevavault.com/ui/#object/email_activity__v/V8C00000003R558", "EN-002092777")</f>
        <v>EN-002092777</v>
      </c>
    </row>
    <row r="6883" spans="1:15" ht="16" x14ac:dyDescent="0.2">
      <c r="A6883" s="18"/>
      <c r="B6883" s="18"/>
      <c r="C6883" s="18"/>
      <c r="D6883" s="18"/>
      <c r="E6883" s="18"/>
      <c r="F6883" s="18"/>
      <c r="G6883" s="18"/>
      <c r="H6883" s="18"/>
      <c r="I6883" s="18"/>
      <c r="J6883" s="18"/>
      <c r="K6883" s="18"/>
      <c r="L6883" s="18"/>
      <c r="M6883" s="18"/>
      <c r="N6883" s="18"/>
      <c r="O6883" s="14" t="str">
        <f>HYPERLINK("https://otsuka-europe-crm.veevavault.com/ui/#object/email_activity__v/V8C00000003R559", "EN-002092778")</f>
        <v>EN-002092778</v>
      </c>
    </row>
    <row r="6884" spans="1:15" ht="16" x14ac:dyDescent="0.2">
      <c r="A6884" s="18"/>
      <c r="B6884" s="18"/>
      <c r="C6884" s="18"/>
      <c r="D6884" s="18"/>
      <c r="E6884" s="18"/>
      <c r="F6884" s="18"/>
      <c r="G6884" s="18"/>
      <c r="H6884" s="18"/>
      <c r="I6884" s="18"/>
      <c r="J6884" s="18"/>
      <c r="K6884" s="18"/>
      <c r="L6884" s="18"/>
      <c r="M6884" s="18"/>
      <c r="N6884" s="18"/>
      <c r="O6884" s="14" t="str">
        <f>HYPERLINK("https://otsuka-europe-crm.veevavault.com/ui/#object/email_activity__v/V8C00000003R560", "EN-002092779")</f>
        <v>EN-002092779</v>
      </c>
    </row>
    <row r="6885" spans="1:15" ht="16" x14ac:dyDescent="0.2">
      <c r="A6885" s="18"/>
      <c r="B6885" s="18"/>
      <c r="C6885" s="18"/>
      <c r="D6885" s="18"/>
      <c r="E6885" s="18"/>
      <c r="F6885" s="18"/>
      <c r="G6885" s="18"/>
      <c r="H6885" s="18"/>
      <c r="I6885" s="18"/>
      <c r="J6885" s="18"/>
      <c r="K6885" s="18"/>
      <c r="L6885" s="18"/>
      <c r="M6885" s="18"/>
      <c r="N6885" s="18"/>
      <c r="O6885" s="14" t="str">
        <f>HYPERLINK("https://otsuka-europe-crm.veevavault.com/ui/#object/email_activity__v/V8C00000003R561", "EN-002092780")</f>
        <v>EN-002092780</v>
      </c>
    </row>
    <row r="6886" spans="1:15" ht="16" x14ac:dyDescent="0.2">
      <c r="A6886" s="18"/>
      <c r="B6886" s="18"/>
      <c r="C6886" s="18"/>
      <c r="D6886" s="18"/>
      <c r="E6886" s="18"/>
      <c r="F6886" s="18"/>
      <c r="G6886" s="18"/>
      <c r="H6886" s="18"/>
      <c r="I6886" s="18"/>
      <c r="J6886" s="18"/>
      <c r="K6886" s="18"/>
      <c r="L6886" s="18"/>
      <c r="M6886" s="18"/>
      <c r="N6886" s="18"/>
      <c r="O6886" s="14" t="str">
        <f>HYPERLINK("https://otsuka-europe-crm.veevavault.com/ui/#object/email_activity__v/V8C00000003R563", "EN-002092782")</f>
        <v>EN-002092782</v>
      </c>
    </row>
    <row r="6887" spans="1:15" ht="16" x14ac:dyDescent="0.2">
      <c r="A6887" s="19"/>
      <c r="B6887" s="19"/>
      <c r="C6887" s="19"/>
      <c r="D6887" s="19"/>
      <c r="E6887" s="19"/>
      <c r="F6887" s="19"/>
      <c r="G6887" s="19"/>
      <c r="H6887" s="19"/>
      <c r="I6887" s="19"/>
      <c r="J6887" s="19"/>
      <c r="K6887" s="19"/>
      <c r="L6887" s="19"/>
      <c r="M6887" s="19"/>
      <c r="N6887" s="19"/>
      <c r="O6887" s="14" t="str">
        <f>HYPERLINK("https://otsuka-europe-crm.veevavault.com/ui/#object/email_activity__v/V8C00000003R565", "EN-002092784")</f>
        <v>EN-002092784</v>
      </c>
    </row>
    <row r="6888" spans="1:15" ht="32" x14ac:dyDescent="0.2">
      <c r="A6888" s="7" t="str">
        <f>HYPERLINK("https://otsuka-europe-crm.veevavault.com/ui/#object/account__v/V4TZ06G6O71T7H1", "JONAY PANTOJA PEREZ")</f>
        <v>JONAY PANTOJA PEREZ</v>
      </c>
      <c r="B6888" s="7" t="str">
        <f>HYPERLINK("https://otsuka-europe-crm.veevavault.com/ui/#object/vcountry__v/VENZ000004SONF5", "ES")</f>
        <v>ES</v>
      </c>
      <c r="C6888" s="8" t="s">
        <v>41</v>
      </c>
      <c r="D6888" s="9" t="str">
        <f>HYPERLINK("https://otsuka-europe-crm.veevavault.com/ui/#object/approved_document__v/V5O00000001A037", "LUP - VAE Póster Adelphi - Nefro")</f>
        <v>LUP - VAE Póster Adelphi - Nefro</v>
      </c>
      <c r="E6888" s="10" t="str">
        <f>HYPERLINK("https://otsuka-europe-crm.veevavault.com/ui/#object/sent_email__v/VBL00000002S421", "SE-001434685")</f>
        <v>SE-001434685</v>
      </c>
      <c r="F6888" s="11"/>
      <c r="G6888" s="12">
        <v>0</v>
      </c>
      <c r="H6888" s="12">
        <v>0</v>
      </c>
      <c r="I6888" s="12">
        <v>0</v>
      </c>
      <c r="J6888" s="11"/>
      <c r="K6888" s="12">
        <v>0</v>
      </c>
      <c r="L6888" s="10" t="str">
        <f>HYPERLINK("https://otsuka-europe-crm.veevavault.com/ui/#object/approved_document__v/V5O00000001A037", "LUP - VAE Póster Adelphi - Nefro")</f>
        <v>LUP - VAE Póster Adelphi - Nefro</v>
      </c>
      <c r="M6888" s="10" t="str">
        <f>HYPERLINK("mailto:pmartinez@crm.otsuka-europe.com", "pmartinez@crm.otsuka-europe.com")</f>
        <v>pmartinez@crm.otsuka-europe.com</v>
      </c>
      <c r="N6888" s="13">
        <v>46182.405428240738</v>
      </c>
      <c r="O6888" s="14" t="str">
        <f>HYPERLINK("https://otsuka-europe-crm.veevavault.com/ui/#object/email_activity__v/V8C00000003R385", "EN-002092497")</f>
        <v>EN-002092497</v>
      </c>
    </row>
    <row r="6889" spans="1:15" ht="16" x14ac:dyDescent="0.2">
      <c r="A6889" s="17" t="str">
        <f>HYPERLINK("https://otsuka-europe-crm.veevavault.com/ui/#object/account__v/V4TZ06G6O71TASB", "MANUEL LOPEZ MENDOZA")</f>
        <v>MANUEL LOPEZ MENDOZA</v>
      </c>
      <c r="B6889" s="17" t="str">
        <f>HYPERLINK("https://otsuka-europe-crm.veevavault.com/ui/#object/vcountry__v/VENZ000004SONF5", "ES")</f>
        <v>ES</v>
      </c>
      <c r="C6889" s="20" t="s">
        <v>41</v>
      </c>
      <c r="D6889" s="21" t="str">
        <f>HYPERLINK("https://otsuka-europe-crm.veevavault.com/ui/#object/approved_document__v/V5O00000001A037", "LUP - VAE Póster Adelphi - Nefro")</f>
        <v>LUP - VAE Póster Adelphi - Nefro</v>
      </c>
      <c r="E6889" s="22" t="str">
        <f>HYPERLINK("https://otsuka-europe-crm.veevavault.com/ui/#object/sent_email__v/VBL00000002S422", "SE-001434686")</f>
        <v>SE-001434686</v>
      </c>
      <c r="F6889" s="23">
        <v>46182.405555555553</v>
      </c>
      <c r="G6889" s="24">
        <v>1</v>
      </c>
      <c r="H6889" s="24">
        <v>1</v>
      </c>
      <c r="I6889" s="24">
        <v>0</v>
      </c>
      <c r="J6889" s="25"/>
      <c r="K6889" s="24">
        <v>0</v>
      </c>
      <c r="L6889" s="22" t="str">
        <f>HYPERLINK("https://otsuka-europe-crm.veevavault.com/ui/#object/approved_document__v/V5O00000001A037", "LUP - VAE Póster Adelphi - Nefro")</f>
        <v>LUP - VAE Póster Adelphi - Nefro</v>
      </c>
      <c r="M6889" s="22" t="str">
        <f>HYPERLINK("mailto:pmartinez@crm.otsuka-europe.com", "pmartinez@crm.otsuka-europe.com")</f>
        <v>pmartinez@crm.otsuka-europe.com</v>
      </c>
      <c r="N6889" s="23">
        <v>46182.405428240738</v>
      </c>
      <c r="O6889" s="14" t="str">
        <f>HYPERLINK("https://otsuka-europe-crm.veevavault.com/ui/#object/email_activity__v/V8C00000003Q900", "EN-002092534")</f>
        <v>EN-002092534</v>
      </c>
    </row>
    <row r="6890" spans="1:15" ht="16" x14ac:dyDescent="0.2">
      <c r="A6890" s="19"/>
      <c r="B6890" s="19"/>
      <c r="C6890" s="19"/>
      <c r="D6890" s="19"/>
      <c r="E6890" s="19"/>
      <c r="F6890" s="19"/>
      <c r="G6890" s="19"/>
      <c r="H6890" s="19"/>
      <c r="I6890" s="19"/>
      <c r="J6890" s="19"/>
      <c r="K6890" s="19"/>
      <c r="L6890" s="19"/>
      <c r="M6890" s="19"/>
      <c r="N6890" s="19"/>
      <c r="O6890" s="14" t="str">
        <f>HYPERLINK("https://otsuka-europe-crm.veevavault.com/ui/#object/email_activity__v/V8C00000003Q929", "EN-002092608")</f>
        <v>EN-002092608</v>
      </c>
    </row>
    <row r="6891" spans="1:15" ht="32" x14ac:dyDescent="0.2">
      <c r="A6891" s="7" t="str">
        <f>HYPERLINK("https://otsuka-europe-crm.veevavault.com/ui/#object/account__v/V4TZ06G6O71TC2A", "JOSE EMILIO SANCHEZ ALVAREZ")</f>
        <v>JOSE EMILIO SANCHEZ ALVAREZ</v>
      </c>
      <c r="B6891" s="7" t="str">
        <f>HYPERLINK("https://otsuka-europe-crm.veevavault.com/ui/#object/vcountry__v/VENZ000004SONF5", "ES")</f>
        <v>ES</v>
      </c>
      <c r="C6891" s="8" t="s">
        <v>41</v>
      </c>
      <c r="D6891" s="9" t="str">
        <f>HYPERLINK("https://otsuka-europe-crm.veevavault.com/ui/#object/approved_document__v/V5O00000001A037", "LUP - VAE Póster Adelphi - Nefro")</f>
        <v>LUP - VAE Póster Adelphi - Nefro</v>
      </c>
      <c r="E6891" s="10" t="str">
        <f>HYPERLINK("https://otsuka-europe-crm.veevavault.com/ui/#object/sent_email__v/VBL00000002S423", "SE-001434687")</f>
        <v>SE-001434687</v>
      </c>
      <c r="F6891" s="11"/>
      <c r="G6891" s="12">
        <v>0</v>
      </c>
      <c r="H6891" s="12">
        <v>0</v>
      </c>
      <c r="I6891" s="12">
        <v>0</v>
      </c>
      <c r="J6891" s="11"/>
      <c r="K6891" s="12">
        <v>0</v>
      </c>
      <c r="L6891" s="10" t="str">
        <f>HYPERLINK("https://otsuka-europe-crm.veevavault.com/ui/#object/approved_document__v/V5O00000001A037", "LUP - VAE Póster Adelphi - Nefro")</f>
        <v>LUP - VAE Póster Adelphi - Nefro</v>
      </c>
      <c r="M6891" s="10" t="str">
        <f>HYPERLINK("mailto:pmartinez@crm.otsuka-europe.com", "pmartinez@crm.otsuka-europe.com")</f>
        <v>pmartinez@crm.otsuka-europe.com</v>
      </c>
      <c r="N6891" s="13">
        <v>46182.405428240738</v>
      </c>
      <c r="O6891" s="14" t="str">
        <f>HYPERLINK("https://otsuka-europe-crm.veevavault.com/ui/#object/email_activity__v/V8C00000003Q873", "EN-002092493")</f>
        <v>EN-002092493</v>
      </c>
    </row>
    <row r="6892" spans="1:15" ht="16" x14ac:dyDescent="0.2">
      <c r="A6892" s="17" t="str">
        <f>HYPERLINK("https://otsuka-europe-crm.veevavault.com/ui/#object/account__v/V4TZ06G6O71T9R3", "GEMA MARIA FERNANDEZ JUAREZ")</f>
        <v>GEMA MARIA FERNANDEZ JUAREZ</v>
      </c>
      <c r="B6892" s="17" t="str">
        <f>HYPERLINK("https://otsuka-europe-crm.veevavault.com/ui/#object/vcountry__v/VENZ000004SONF5", "ES")</f>
        <v>ES</v>
      </c>
      <c r="C6892" s="20" t="s">
        <v>41</v>
      </c>
      <c r="D6892" s="21" t="str">
        <f>HYPERLINK("https://otsuka-europe-crm.veevavault.com/ui/#object/approved_document__v/V5O00000001A037", "LUP - VAE Póster Adelphi - Nefro")</f>
        <v>LUP - VAE Póster Adelphi - Nefro</v>
      </c>
      <c r="E6892" s="22" t="str">
        <f>HYPERLINK("https://otsuka-europe-crm.veevavault.com/ui/#object/sent_email__v/VBL00000002S424", "SE-001434688")</f>
        <v>SE-001434688</v>
      </c>
      <c r="F6892" s="25"/>
      <c r="G6892" s="24">
        <v>0</v>
      </c>
      <c r="H6892" s="24">
        <v>0</v>
      </c>
      <c r="I6892" s="24">
        <v>0</v>
      </c>
      <c r="J6892" s="25"/>
      <c r="K6892" s="24">
        <v>0</v>
      </c>
      <c r="L6892" s="22" t="str">
        <f>HYPERLINK("https://otsuka-europe-crm.veevavault.com/ui/#object/approved_document__v/V5O00000001A037", "LUP - VAE Póster Adelphi - Nefro")</f>
        <v>LUP - VAE Póster Adelphi - Nefro</v>
      </c>
      <c r="M6892" s="22" t="str">
        <f>HYPERLINK("mailto:pmartinez@crm.otsuka-europe.com", "pmartinez@crm.otsuka-europe.com")</f>
        <v>pmartinez@crm.otsuka-europe.com</v>
      </c>
      <c r="N6892" s="23">
        <v>46182.405428240738</v>
      </c>
      <c r="O6892" s="14" t="str">
        <f>HYPERLINK("https://otsuka-europe-crm.veevavault.com/ui/#object/email_activity__v/V8C00000003Q819", "EN-002092434")</f>
        <v>EN-002092434</v>
      </c>
    </row>
    <row r="6893" spans="1:15" ht="16" x14ac:dyDescent="0.2">
      <c r="A6893" s="19"/>
      <c r="B6893" s="19"/>
      <c r="C6893" s="19"/>
      <c r="D6893" s="19"/>
      <c r="E6893" s="19"/>
      <c r="F6893" s="19"/>
      <c r="G6893" s="19"/>
      <c r="H6893" s="19"/>
      <c r="I6893" s="19"/>
      <c r="J6893" s="19"/>
      <c r="K6893" s="19"/>
      <c r="L6893" s="19"/>
      <c r="M6893" s="19"/>
      <c r="N6893" s="19"/>
      <c r="O6893" s="14" t="str">
        <f>HYPERLINK("https://otsuka-europe-crm.veevavault.com/ui/#object/email_activity__v/V8C00000003S964", "EN-002094775")</f>
        <v>EN-002094775</v>
      </c>
    </row>
    <row r="6894" spans="1:15" ht="16" x14ac:dyDescent="0.2">
      <c r="A6894" s="17" t="str">
        <f>HYPERLINK("https://otsuka-europe-crm.veevavault.com/ui/#object/account__v/V4TZ06G6O71TBBP", "LUIS JAVIER NIETO IGLESIAS")</f>
        <v>LUIS JAVIER NIETO IGLESIAS</v>
      </c>
      <c r="B6894" s="17" t="str">
        <f>HYPERLINK("https://otsuka-europe-crm.veevavault.com/ui/#object/vcountry__v/VENZ000004SONF5", "ES")</f>
        <v>ES</v>
      </c>
      <c r="C6894" s="20" t="s">
        <v>41</v>
      </c>
      <c r="D6894" s="21" t="str">
        <f>HYPERLINK("https://otsuka-europe-crm.veevavault.com/ui/#object/approved_document__v/V5O00000001A037", "LUP - VAE Póster Adelphi - Nefro")</f>
        <v>LUP - VAE Póster Adelphi - Nefro</v>
      </c>
      <c r="E6894" s="22" t="str">
        <f>HYPERLINK("https://otsuka-europe-crm.veevavault.com/ui/#object/sent_email__v/VBL00000002S425", "SE-001434689")</f>
        <v>SE-001434689</v>
      </c>
      <c r="F6894" s="23">
        <v>46182.45034722222</v>
      </c>
      <c r="G6894" s="24">
        <v>1</v>
      </c>
      <c r="H6894" s="24">
        <v>2</v>
      </c>
      <c r="I6894" s="24">
        <v>0</v>
      </c>
      <c r="J6894" s="25"/>
      <c r="K6894" s="24">
        <v>0</v>
      </c>
      <c r="L6894" s="22" t="str">
        <f>HYPERLINK("https://otsuka-europe-crm.veevavault.com/ui/#object/approved_document__v/V5O00000001A037", "LUP - VAE Póster Adelphi - Nefro")</f>
        <v>LUP - VAE Póster Adelphi - Nefro</v>
      </c>
      <c r="M6894" s="22" t="str">
        <f>HYPERLINK("mailto:pmartinez@crm.otsuka-europe.com", "pmartinez@crm.otsuka-europe.com")</f>
        <v>pmartinez@crm.otsuka-europe.com</v>
      </c>
      <c r="N6894" s="23">
        <v>46182.405428240738</v>
      </c>
      <c r="O6894" s="14" t="str">
        <f>HYPERLINK("https://otsuka-europe-crm.veevavault.com/ui/#object/email_activity__v/V8C00000003Q976", "EN-002092770")</f>
        <v>EN-002092770</v>
      </c>
    </row>
    <row r="6895" spans="1:15" ht="16" x14ac:dyDescent="0.2">
      <c r="A6895" s="18"/>
      <c r="B6895" s="18"/>
      <c r="C6895" s="18"/>
      <c r="D6895" s="18"/>
      <c r="E6895" s="18"/>
      <c r="F6895" s="18"/>
      <c r="G6895" s="18"/>
      <c r="H6895" s="18"/>
      <c r="I6895" s="18"/>
      <c r="J6895" s="18"/>
      <c r="K6895" s="18"/>
      <c r="L6895" s="18"/>
      <c r="M6895" s="18"/>
      <c r="N6895" s="18"/>
      <c r="O6895" s="14" t="str">
        <f>HYPERLINK("https://otsuka-europe-crm.veevavault.com/ui/#object/email_activity__v/V8C00000003R422", "EN-002092572")</f>
        <v>EN-002092572</v>
      </c>
    </row>
    <row r="6896" spans="1:15" ht="16" x14ac:dyDescent="0.2">
      <c r="A6896" s="19"/>
      <c r="B6896" s="19"/>
      <c r="C6896" s="19"/>
      <c r="D6896" s="19"/>
      <c r="E6896" s="19"/>
      <c r="F6896" s="19"/>
      <c r="G6896" s="19"/>
      <c r="H6896" s="19"/>
      <c r="I6896" s="19"/>
      <c r="J6896" s="19"/>
      <c r="K6896" s="19"/>
      <c r="L6896" s="19"/>
      <c r="M6896" s="19"/>
      <c r="N6896" s="19"/>
      <c r="O6896" s="14" t="str">
        <f>HYPERLINK("https://otsuka-europe-crm.veevavault.com/ui/#object/email_activity__v/V8C00000003S002", "EN-002092825")</f>
        <v>EN-002092825</v>
      </c>
    </row>
    <row r="6897" spans="1:15" ht="16" x14ac:dyDescent="0.2">
      <c r="A6897" s="17" t="str">
        <f>HYPERLINK("https://otsuka-europe-crm.veevavault.com/ui/#object/account__v/V4TZ06G6O71T73X", "ELENA ASUNCION CORCHETE PRATS")</f>
        <v>ELENA ASUNCION CORCHETE PRATS</v>
      </c>
      <c r="B6897" s="17" t="str">
        <f>HYPERLINK("https://otsuka-europe-crm.veevavault.com/ui/#object/vcountry__v/VENZ000004SONF5", "ES")</f>
        <v>ES</v>
      </c>
      <c r="C6897" s="20" t="s">
        <v>41</v>
      </c>
      <c r="D6897" s="21" t="str">
        <f>HYPERLINK("https://otsuka-europe-crm.veevavault.com/ui/#object/approved_document__v/V5O00000001A037", "LUP - VAE Póster Adelphi - Nefro")</f>
        <v>LUP - VAE Póster Adelphi - Nefro</v>
      </c>
      <c r="E6897" s="22" t="str">
        <f>HYPERLINK("https://otsuka-europe-crm.veevavault.com/ui/#object/sent_email__v/VBL00000002S426", "SE-001434690")</f>
        <v>SE-001434690</v>
      </c>
      <c r="F6897" s="25"/>
      <c r="G6897" s="24">
        <v>0</v>
      </c>
      <c r="H6897" s="24">
        <v>0</v>
      </c>
      <c r="I6897" s="24">
        <v>0</v>
      </c>
      <c r="J6897" s="25"/>
      <c r="K6897" s="24">
        <v>0</v>
      </c>
      <c r="L6897" s="22" t="str">
        <f>HYPERLINK("https://otsuka-europe-crm.veevavault.com/ui/#object/approved_document__v/V5O00000001A037", "LUP - VAE Póster Adelphi - Nefro")</f>
        <v>LUP - VAE Póster Adelphi - Nefro</v>
      </c>
      <c r="M6897" s="22" t="str">
        <f>HYPERLINK("mailto:pmartinez@crm.otsuka-europe.com", "pmartinez@crm.otsuka-europe.com")</f>
        <v>pmartinez@crm.otsuka-europe.com</v>
      </c>
      <c r="N6897" s="23">
        <v>46182.405428240738</v>
      </c>
      <c r="O6897" s="14" t="str">
        <f>HYPERLINK("https://otsuka-europe-crm.veevavault.com/ui/#object/email_activity__v/V8C00000003R381", "EN-002092483")</f>
        <v>EN-002092483</v>
      </c>
    </row>
    <row r="6898" spans="1:15" ht="16" x14ac:dyDescent="0.2">
      <c r="A6898" s="19"/>
      <c r="B6898" s="19"/>
      <c r="C6898" s="19"/>
      <c r="D6898" s="19"/>
      <c r="E6898" s="19"/>
      <c r="F6898" s="19"/>
      <c r="G6898" s="19"/>
      <c r="H6898" s="19"/>
      <c r="I6898" s="19"/>
      <c r="J6898" s="19"/>
      <c r="K6898" s="19"/>
      <c r="L6898" s="19"/>
      <c r="M6898" s="19"/>
      <c r="N6898" s="19"/>
      <c r="O6898" s="14" t="str">
        <f>HYPERLINK("https://otsuka-europe-crm.veevavault.com/ui/#object/email_activity__v/V8C00000003S436", "EN-002093784")</f>
        <v>EN-002093784</v>
      </c>
    </row>
    <row r="6899" spans="1:15" ht="32" x14ac:dyDescent="0.2">
      <c r="A6899" s="7" t="str">
        <f>HYPERLINK("https://otsuka-europe-crm.veevavault.com/ui/#object/account__v/V4TZ06G6O71TAAV", "MARIA JESUS IZQUIERDO ORTIZ")</f>
        <v>MARIA JESUS IZQUIERDO ORTIZ</v>
      </c>
      <c r="B6899" s="7" t="str">
        <f>HYPERLINK("https://otsuka-europe-crm.veevavault.com/ui/#object/vcountry__v/VENZ000004SONF5", "ES")</f>
        <v>ES</v>
      </c>
      <c r="C6899" s="8" t="s">
        <v>41</v>
      </c>
      <c r="D6899" s="9" t="str">
        <f>HYPERLINK("https://otsuka-europe-crm.veevavault.com/ui/#object/approved_document__v/V5O00000001A037", "LUP - VAE Póster Adelphi - Nefro")</f>
        <v>LUP - VAE Póster Adelphi - Nefro</v>
      </c>
      <c r="E6899" s="10" t="str">
        <f>HYPERLINK("https://otsuka-europe-crm.veevavault.com/ui/#object/sent_email__v/VBL00000002S427", "SE-001434691")</f>
        <v>SE-001434691</v>
      </c>
      <c r="F6899" s="11"/>
      <c r="G6899" s="12">
        <v>0</v>
      </c>
      <c r="H6899" s="12">
        <v>0</v>
      </c>
      <c r="I6899" s="12">
        <v>0</v>
      </c>
      <c r="J6899" s="11"/>
      <c r="K6899" s="12">
        <v>0</v>
      </c>
      <c r="L6899" s="10" t="str">
        <f>HYPERLINK("https://otsuka-europe-crm.veevavault.com/ui/#object/approved_document__v/V5O00000001A037", "LUP - VAE Póster Adelphi - Nefro")</f>
        <v>LUP - VAE Póster Adelphi - Nefro</v>
      </c>
      <c r="M6899" s="10" t="str">
        <f>HYPERLINK("mailto:pmartinez@crm.otsuka-europe.com", "pmartinez@crm.otsuka-europe.com")</f>
        <v>pmartinez@crm.otsuka-europe.com</v>
      </c>
      <c r="N6899" s="13">
        <v>46182.405428240738</v>
      </c>
      <c r="O6899" s="14" t="str">
        <f>HYPERLINK("https://otsuka-europe-crm.veevavault.com/ui/#object/email_activity__v/V8C00000003Q912", "EN-002092559")</f>
        <v>EN-002092559</v>
      </c>
    </row>
    <row r="6900" spans="1:15" ht="32" x14ac:dyDescent="0.2">
      <c r="A6900" s="7" t="str">
        <f>HYPERLINK("https://otsuka-europe-crm.veevavault.com/ui/#object/account__v/V4TZ06G6O71T7UI", "MARCO MONTOMOLI")</f>
        <v>MARCO MONTOMOLI</v>
      </c>
      <c r="B6900" s="7" t="str">
        <f>HYPERLINK("https://otsuka-europe-crm.veevavault.com/ui/#object/vcountry__v/VENZ000004SONF5", "ES")</f>
        <v>ES</v>
      </c>
      <c r="C6900" s="8" t="s">
        <v>41</v>
      </c>
      <c r="D6900" s="9" t="str">
        <f>HYPERLINK("https://otsuka-europe-crm.veevavault.com/ui/#object/approved_document__v/V5O00000001A037", "LUP - VAE Póster Adelphi - Nefro")</f>
        <v>LUP - VAE Póster Adelphi - Nefro</v>
      </c>
      <c r="E6900" s="10" t="str">
        <f>HYPERLINK("https://otsuka-europe-crm.veevavault.com/ui/#object/sent_email__v/VBL00000002S428", "SE-001434692")</f>
        <v>SE-001434692</v>
      </c>
      <c r="F6900" s="11"/>
      <c r="G6900" s="12">
        <v>0</v>
      </c>
      <c r="H6900" s="12">
        <v>0</v>
      </c>
      <c r="I6900" s="12">
        <v>0</v>
      </c>
      <c r="J6900" s="11"/>
      <c r="K6900" s="12">
        <v>0</v>
      </c>
      <c r="L6900" s="10" t="str">
        <f>HYPERLINK("https://otsuka-europe-crm.veevavault.com/ui/#object/approved_document__v/V5O00000001A037", "LUP - VAE Póster Adelphi - Nefro")</f>
        <v>LUP - VAE Póster Adelphi - Nefro</v>
      </c>
      <c r="M6900" s="10" t="str">
        <f>HYPERLINK("mailto:pmartinez@crm.otsuka-europe.com", "pmartinez@crm.otsuka-europe.com")</f>
        <v>pmartinez@crm.otsuka-europe.com</v>
      </c>
      <c r="N6900" s="13">
        <v>46182.405428240738</v>
      </c>
      <c r="O6900" s="14" t="str">
        <f>HYPERLINK("https://otsuka-europe-crm.veevavault.com/ui/#object/email_activity__v/V8C00000003Q902", "EN-002092536")</f>
        <v>EN-002092536</v>
      </c>
    </row>
    <row r="6901" spans="1:15" ht="16" x14ac:dyDescent="0.2">
      <c r="A6901" s="17" t="str">
        <f>HYPERLINK("https://otsuka-europe-crm.veevavault.com/ui/#object/account__v/V4TZ06G6O71T8OY", "IRENE AGRAZ PAMPLONA")</f>
        <v>IRENE AGRAZ PAMPLONA</v>
      </c>
      <c r="B6901" s="17" t="str">
        <f>HYPERLINK("https://otsuka-europe-crm.veevavault.com/ui/#object/vcountry__v/VENZ000004SONF5", "ES")</f>
        <v>ES</v>
      </c>
      <c r="C6901" s="20" t="s">
        <v>41</v>
      </c>
      <c r="D6901" s="21" t="str">
        <f>HYPERLINK("https://otsuka-europe-crm.veevavault.com/ui/#object/approved_document__v/V5O00000001A037", "LUP - VAE Póster Adelphi - Nefro")</f>
        <v>LUP - VAE Póster Adelphi - Nefro</v>
      </c>
      <c r="E6901" s="22" t="str">
        <f>HYPERLINK("https://otsuka-europe-crm.veevavault.com/ui/#object/sent_email__v/VBL00000002S429", "SE-001434693")</f>
        <v>SE-001434693</v>
      </c>
      <c r="F6901" s="23">
        <v>46182.430462962962</v>
      </c>
      <c r="G6901" s="24">
        <v>1</v>
      </c>
      <c r="H6901" s="24">
        <v>1</v>
      </c>
      <c r="I6901" s="24">
        <v>0</v>
      </c>
      <c r="J6901" s="25"/>
      <c r="K6901" s="24">
        <v>0</v>
      </c>
      <c r="L6901" s="22" t="str">
        <f>HYPERLINK("https://otsuka-europe-crm.veevavault.com/ui/#object/approved_document__v/V5O00000001A037", "LUP - VAE Póster Adelphi - Nefro")</f>
        <v>LUP - VAE Póster Adelphi - Nefro</v>
      </c>
      <c r="M6901" s="22" t="str">
        <f>HYPERLINK("mailto:pmartinez@crm.otsuka-europe.com", "pmartinez@crm.otsuka-europe.com")</f>
        <v>pmartinez@crm.otsuka-europe.com</v>
      </c>
      <c r="N6901" s="23">
        <v>46182.405428240738</v>
      </c>
      <c r="O6901" s="14" t="str">
        <f>HYPERLINK("https://otsuka-europe-crm.veevavault.com/ui/#object/email_activity__v/V8C00000003Q856", "EN-002092471")</f>
        <v>EN-002092471</v>
      </c>
    </row>
    <row r="6902" spans="1:15" ht="16" x14ac:dyDescent="0.2">
      <c r="A6902" s="19"/>
      <c r="B6902" s="19"/>
      <c r="C6902" s="19"/>
      <c r="D6902" s="19"/>
      <c r="E6902" s="19"/>
      <c r="F6902" s="19"/>
      <c r="G6902" s="19"/>
      <c r="H6902" s="19"/>
      <c r="I6902" s="19"/>
      <c r="J6902" s="19"/>
      <c r="K6902" s="19"/>
      <c r="L6902" s="19"/>
      <c r="M6902" s="19"/>
      <c r="N6902" s="19"/>
      <c r="O6902" s="14" t="str">
        <f>HYPERLINK("https://otsuka-europe-crm.veevavault.com/ui/#object/email_activity__v/V8C00000003R572", "EN-002092794")</f>
        <v>EN-002092794</v>
      </c>
    </row>
    <row r="6903" spans="1:15" ht="32" x14ac:dyDescent="0.2">
      <c r="A6903" s="7" t="str">
        <f>HYPERLINK("https://otsuka-europe-crm.veevavault.com/ui/#object/account__v/V4TZ06G6O71TAIP", "JOSE ANTONIO HERRERO CALVO")</f>
        <v>JOSE ANTONIO HERRERO CALVO</v>
      </c>
      <c r="B6903" s="7" t="str">
        <f>HYPERLINK("https://otsuka-europe-crm.veevavault.com/ui/#object/vcountry__v/VENZ000004SONF5", "ES")</f>
        <v>ES</v>
      </c>
      <c r="C6903" s="8" t="s">
        <v>41</v>
      </c>
      <c r="D6903" s="9" t="str">
        <f>HYPERLINK("https://otsuka-europe-crm.veevavault.com/ui/#object/approved_document__v/V5O00000001A037", "LUP - VAE Póster Adelphi - Nefro")</f>
        <v>LUP - VAE Póster Adelphi - Nefro</v>
      </c>
      <c r="E6903" s="10" t="str">
        <f>HYPERLINK("https://otsuka-europe-crm.veevavault.com/ui/#object/sent_email__v/VBL00000002S430", "SE-001434694")</f>
        <v>SE-001434694</v>
      </c>
      <c r="F6903" s="11"/>
      <c r="G6903" s="12">
        <v>0</v>
      </c>
      <c r="H6903" s="12">
        <v>0</v>
      </c>
      <c r="I6903" s="12">
        <v>0</v>
      </c>
      <c r="J6903" s="11"/>
      <c r="K6903" s="12">
        <v>0</v>
      </c>
      <c r="L6903" s="10" t="str">
        <f>HYPERLINK("https://otsuka-europe-crm.veevavault.com/ui/#object/approved_document__v/V5O00000001A037", "LUP - VAE Póster Adelphi - Nefro")</f>
        <v>LUP - VAE Póster Adelphi - Nefro</v>
      </c>
      <c r="M6903" s="10" t="str">
        <f>HYPERLINK("mailto:pmartinez@crm.otsuka-europe.com", "pmartinez@crm.otsuka-europe.com")</f>
        <v>pmartinez@crm.otsuka-europe.com</v>
      </c>
      <c r="N6903" s="13">
        <v>46182.405428240738</v>
      </c>
      <c r="O6903" s="14" t="str">
        <f>HYPERLINK("https://otsuka-europe-crm.veevavault.com/ui/#object/email_activity__v/V8C00000003Q884", "EN-002092515")</f>
        <v>EN-002092515</v>
      </c>
    </row>
    <row r="6904" spans="1:15" ht="32" x14ac:dyDescent="0.2">
      <c r="A6904" s="7" t="str">
        <f>HYPERLINK("https://otsuka-europe-crm.veevavault.com/ui/#object/account__v/V4TZ06G6O71T8RA", "MARIA LANAU MARTINEZ")</f>
        <v>MARIA LANAU MARTINEZ</v>
      </c>
      <c r="B6904" s="7" t="str">
        <f>HYPERLINK("https://otsuka-europe-crm.veevavault.com/ui/#object/vcountry__v/VENZ000004SONF5", "ES")</f>
        <v>ES</v>
      </c>
      <c r="C6904" s="8" t="s">
        <v>41</v>
      </c>
      <c r="D6904" s="9" t="str">
        <f>HYPERLINK("https://otsuka-europe-crm.veevavault.com/ui/#object/approved_document__v/V5O00000001A037", "LUP - VAE Póster Adelphi - Nefro")</f>
        <v>LUP - VAE Póster Adelphi - Nefro</v>
      </c>
      <c r="E6904" s="10" t="str">
        <f>HYPERLINK("https://otsuka-europe-crm.veevavault.com/ui/#object/sent_email__v/VBL00000002S431", "SE-001434695")</f>
        <v>SE-001434695</v>
      </c>
      <c r="F6904" s="11"/>
      <c r="G6904" s="12">
        <v>0</v>
      </c>
      <c r="H6904" s="12">
        <v>0</v>
      </c>
      <c r="I6904" s="12">
        <v>0</v>
      </c>
      <c r="J6904" s="11"/>
      <c r="K6904" s="12">
        <v>0</v>
      </c>
      <c r="L6904" s="10" t="str">
        <f>HYPERLINK("https://otsuka-europe-crm.veevavault.com/ui/#object/approved_document__v/V5O00000001A037", "LUP - VAE Póster Adelphi - Nefro")</f>
        <v>LUP - VAE Póster Adelphi - Nefro</v>
      </c>
      <c r="M6904" s="10" t="str">
        <f>HYPERLINK("mailto:pmartinez@crm.otsuka-europe.com", "pmartinez@crm.otsuka-europe.com")</f>
        <v>pmartinez@crm.otsuka-europe.com</v>
      </c>
      <c r="N6904" s="13">
        <v>46182.405428240738</v>
      </c>
      <c r="O6904" s="14" t="str">
        <f>HYPERLINK("https://otsuka-europe-crm.veevavault.com/ui/#object/email_activity__v/V8C00000003R408", "EN-002092555")</f>
        <v>EN-002092555</v>
      </c>
    </row>
    <row r="6905" spans="1:15" ht="32" x14ac:dyDescent="0.2">
      <c r="A6905" s="7" t="str">
        <f>HYPERLINK("https://otsuka-europe-crm.veevavault.com/ui/#object/account__v/V4TZ06G6O71T8WQ", "ALVARO GOYOAGA ALVAREZ")</f>
        <v>ALVARO GOYOAGA ALVAREZ</v>
      </c>
      <c r="B6905" s="7" t="str">
        <f>HYPERLINK("https://otsuka-europe-crm.veevavault.com/ui/#object/vcountry__v/VENZ000004SONF5", "ES")</f>
        <v>ES</v>
      </c>
      <c r="C6905" s="8" t="s">
        <v>41</v>
      </c>
      <c r="D6905" s="9" t="str">
        <f>HYPERLINK("https://otsuka-europe-crm.veevavault.com/ui/#object/approved_document__v/V5O00000001A037", "LUP - VAE Póster Adelphi - Nefro")</f>
        <v>LUP - VAE Póster Adelphi - Nefro</v>
      </c>
      <c r="E6905" s="10" t="str">
        <f>HYPERLINK("https://otsuka-europe-crm.veevavault.com/ui/#object/sent_email__v/VBL00000002S432", "SE-001434696")</f>
        <v>SE-001434696</v>
      </c>
      <c r="F6905" s="11"/>
      <c r="G6905" s="12">
        <v>0</v>
      </c>
      <c r="H6905" s="12">
        <v>0</v>
      </c>
      <c r="I6905" s="12">
        <v>0</v>
      </c>
      <c r="J6905" s="11"/>
      <c r="K6905" s="12">
        <v>0</v>
      </c>
      <c r="L6905" s="10" t="str">
        <f>HYPERLINK("https://otsuka-europe-crm.veevavault.com/ui/#object/approved_document__v/V5O00000001A037", "LUP - VAE Póster Adelphi - Nefro")</f>
        <v>LUP - VAE Póster Adelphi - Nefro</v>
      </c>
      <c r="M6905" s="10" t="str">
        <f>HYPERLINK("mailto:pmartinez@crm.otsuka-europe.com", "pmartinez@crm.otsuka-europe.com")</f>
        <v>pmartinez@crm.otsuka-europe.com</v>
      </c>
      <c r="N6905" s="13">
        <v>46182.405428240738</v>
      </c>
      <c r="O6905" s="14" t="str">
        <f>HYPERLINK("https://otsuka-europe-crm.veevavault.com/ui/#object/email_activity__v/V8C00000003Q882", "EN-002092513")</f>
        <v>EN-002092513</v>
      </c>
    </row>
    <row r="6906" spans="1:15" ht="16" x14ac:dyDescent="0.2">
      <c r="A6906" s="17" t="str">
        <f>HYPERLINK("https://otsuka-europe-crm.veevavault.com/ui/#object/account__v/V4TZ06G6O71T7OS", "VIRGINIA DOMINGUEZ PIMENTEL")</f>
        <v>VIRGINIA DOMINGUEZ PIMENTEL</v>
      </c>
      <c r="B6906" s="17" t="str">
        <f>HYPERLINK("https://otsuka-europe-crm.veevavault.com/ui/#object/vcountry__v/VENZ000004SONF5", "ES")</f>
        <v>ES</v>
      </c>
      <c r="C6906" s="20" t="s">
        <v>41</v>
      </c>
      <c r="D6906" s="21" t="str">
        <f>HYPERLINK("https://otsuka-europe-crm.veevavault.com/ui/#object/approved_document__v/V5O00000001A037", "LUP - VAE Póster Adelphi - Nefro")</f>
        <v>LUP - VAE Póster Adelphi - Nefro</v>
      </c>
      <c r="E6906" s="22" t="str">
        <f>HYPERLINK("https://otsuka-europe-crm.veevavault.com/ui/#object/sent_email__v/VBL00000002S433", "SE-001434697")</f>
        <v>SE-001434697</v>
      </c>
      <c r="F6906" s="25"/>
      <c r="G6906" s="24">
        <v>0</v>
      </c>
      <c r="H6906" s="24">
        <v>0</v>
      </c>
      <c r="I6906" s="24">
        <v>0</v>
      </c>
      <c r="J6906" s="25"/>
      <c r="K6906" s="24">
        <v>0</v>
      </c>
      <c r="L6906" s="22" t="str">
        <f>HYPERLINK("https://otsuka-europe-crm.veevavault.com/ui/#object/approved_document__v/V5O00000001A037", "LUP - VAE Póster Adelphi - Nefro")</f>
        <v>LUP - VAE Póster Adelphi - Nefro</v>
      </c>
      <c r="M6906" s="22" t="str">
        <f>HYPERLINK("mailto:pmartinez@crm.otsuka-europe.com", "pmartinez@crm.otsuka-europe.com")</f>
        <v>pmartinez@crm.otsuka-europe.com</v>
      </c>
      <c r="N6906" s="23">
        <v>46182.405428240738</v>
      </c>
      <c r="O6906" s="14" t="str">
        <f>HYPERLINK("https://otsuka-europe-crm.veevavault.com/ui/#object/email_activity__v/V8C00000003R390", "EN-002092502")</f>
        <v>EN-002092502</v>
      </c>
    </row>
    <row r="6907" spans="1:15" ht="16" x14ac:dyDescent="0.2">
      <c r="A6907" s="19"/>
      <c r="B6907" s="19"/>
      <c r="C6907" s="19"/>
      <c r="D6907" s="19"/>
      <c r="E6907" s="19"/>
      <c r="F6907" s="19"/>
      <c r="G6907" s="19"/>
      <c r="H6907" s="19"/>
      <c r="I6907" s="19"/>
      <c r="J6907" s="19"/>
      <c r="K6907" s="19"/>
      <c r="L6907" s="19"/>
      <c r="M6907" s="19"/>
      <c r="N6907" s="19"/>
      <c r="O6907" s="14" t="str">
        <f>HYPERLINK("https://otsuka-europe-crm.veevavault.com/ui/#object/email_activity__v/V8C00000003T419", "EN-002094461")</f>
        <v>EN-002094461</v>
      </c>
    </row>
    <row r="6908" spans="1:15" ht="32" x14ac:dyDescent="0.2">
      <c r="A6908" s="7" t="str">
        <f>HYPERLINK("https://otsuka-europe-crm.veevavault.com/ui/#object/account__v/V4TZ06G6O71T7H5", "ELISA CABELLO MOYA")</f>
        <v>ELISA CABELLO MOYA</v>
      </c>
      <c r="B6908" s="7" t="str">
        <f>HYPERLINK("https://otsuka-europe-crm.veevavault.com/ui/#object/vcountry__v/VENZ000004SONF5", "ES")</f>
        <v>ES</v>
      </c>
      <c r="C6908" s="8" t="s">
        <v>41</v>
      </c>
      <c r="D6908" s="9" t="str">
        <f>HYPERLINK("https://otsuka-europe-crm.veevavault.com/ui/#object/approved_document__v/V5O00000001A037", "LUP - VAE Póster Adelphi - Nefro")</f>
        <v>LUP - VAE Póster Adelphi - Nefro</v>
      </c>
      <c r="E6908" s="10" t="str">
        <f>HYPERLINK("https://otsuka-europe-crm.veevavault.com/ui/#object/sent_email__v/VBL00000002S434", "SE-001434698")</f>
        <v>SE-001434698</v>
      </c>
      <c r="F6908" s="11"/>
      <c r="G6908" s="12">
        <v>0</v>
      </c>
      <c r="H6908" s="12">
        <v>0</v>
      </c>
      <c r="I6908" s="12">
        <v>0</v>
      </c>
      <c r="J6908" s="11"/>
      <c r="K6908" s="12">
        <v>0</v>
      </c>
      <c r="L6908" s="10" t="str">
        <f>HYPERLINK("https://otsuka-europe-crm.veevavault.com/ui/#object/approved_document__v/V5O00000001A037", "LUP - VAE Póster Adelphi - Nefro")</f>
        <v>LUP - VAE Póster Adelphi - Nefro</v>
      </c>
      <c r="M6908" s="10" t="str">
        <f>HYPERLINK("mailto:pmartinez@crm.otsuka-europe.com", "pmartinez@crm.otsuka-europe.com")</f>
        <v>pmartinez@crm.otsuka-europe.com</v>
      </c>
      <c r="N6908" s="13">
        <v>46182.405428240738</v>
      </c>
      <c r="O6908" s="14" t="str">
        <f>HYPERLINK("https://otsuka-europe-crm.veevavault.com/ui/#object/email_activity__v/V8C00000003R425", "EN-002092575")</f>
        <v>EN-002092575</v>
      </c>
    </row>
    <row r="6909" spans="1:15" ht="32" x14ac:dyDescent="0.2">
      <c r="A6909" s="7" t="str">
        <f>HYPERLINK("https://otsuka-europe-crm.veevavault.com/ui/#object/account__v/V4TZ04ASGAZQMEG", "CLAUDIA GRISEL TAPIA CANELAS")</f>
        <v>CLAUDIA GRISEL TAPIA CANELAS</v>
      </c>
      <c r="B6909" s="7" t="str">
        <f>HYPERLINK("https://otsuka-europe-crm.veevavault.com/ui/#object/vcountry__v/VENZ000004SONF5", "ES")</f>
        <v>ES</v>
      </c>
      <c r="C6909" s="8" t="s">
        <v>41</v>
      </c>
      <c r="D6909" s="9" t="str">
        <f>HYPERLINK("https://otsuka-europe-crm.veevavault.com/ui/#object/approved_document__v/V5O00000001A037", "LUP - VAE Póster Adelphi - Nefro")</f>
        <v>LUP - VAE Póster Adelphi - Nefro</v>
      </c>
      <c r="E6909" s="10" t="str">
        <f>HYPERLINK("https://otsuka-europe-crm.veevavault.com/ui/#object/sent_email__v/VBL00000002S435", "SE-001434699")</f>
        <v>SE-001434699</v>
      </c>
      <c r="F6909" s="11"/>
      <c r="G6909" s="12">
        <v>0</v>
      </c>
      <c r="H6909" s="12">
        <v>0</v>
      </c>
      <c r="I6909" s="12">
        <v>0</v>
      </c>
      <c r="J6909" s="11"/>
      <c r="K6909" s="12">
        <v>0</v>
      </c>
      <c r="L6909" s="10" t="str">
        <f>HYPERLINK("https://otsuka-europe-crm.veevavault.com/ui/#object/approved_document__v/V5O00000001A037", "LUP - VAE Póster Adelphi - Nefro")</f>
        <v>LUP - VAE Póster Adelphi - Nefro</v>
      </c>
      <c r="M6909" s="10" t="str">
        <f>HYPERLINK("mailto:pmartinez@crm.otsuka-europe.com", "pmartinez@crm.otsuka-europe.com")</f>
        <v>pmartinez@crm.otsuka-europe.com</v>
      </c>
      <c r="N6909" s="13">
        <v>46182.405428240738</v>
      </c>
      <c r="O6909" s="14" t="str">
        <f>HYPERLINK("https://otsuka-europe-crm.veevavault.com/ui/#object/email_activity__v/V8C00000003Q928", "EN-002092607")</f>
        <v>EN-002092607</v>
      </c>
    </row>
    <row r="6910" spans="1:15" ht="16" x14ac:dyDescent="0.2">
      <c r="A6910" s="17" t="str">
        <f>HYPERLINK("https://otsuka-europe-crm.veevavault.com/ui/#object/account__v/V4TZ06G6O71T8J9", "SARA AFONSO RAMOS")</f>
        <v>SARA AFONSO RAMOS</v>
      </c>
      <c r="B6910" s="17" t="str">
        <f>HYPERLINK("https://otsuka-europe-crm.veevavault.com/ui/#object/vcountry__v/VENZ000004SONF5", "ES")</f>
        <v>ES</v>
      </c>
      <c r="C6910" s="20" t="s">
        <v>41</v>
      </c>
      <c r="D6910" s="21" t="str">
        <f>HYPERLINK("https://otsuka-europe-crm.veevavault.com/ui/#object/approved_document__v/V5O00000001A037", "LUP - VAE Póster Adelphi - Nefro")</f>
        <v>LUP - VAE Póster Adelphi - Nefro</v>
      </c>
      <c r="E6910" s="22" t="str">
        <f>HYPERLINK("https://otsuka-europe-crm.veevavault.com/ui/#object/sent_email__v/VBL00000002S436", "SE-001434700")</f>
        <v>SE-001434700</v>
      </c>
      <c r="F6910" s="23">
        <v>46182.805590277778</v>
      </c>
      <c r="G6910" s="24">
        <v>1</v>
      </c>
      <c r="H6910" s="24">
        <v>2</v>
      </c>
      <c r="I6910" s="24">
        <v>0</v>
      </c>
      <c r="J6910" s="25"/>
      <c r="K6910" s="24">
        <v>0</v>
      </c>
      <c r="L6910" s="22" t="str">
        <f>HYPERLINK("https://otsuka-europe-crm.veevavault.com/ui/#object/approved_document__v/V5O00000001A037", "LUP - VAE Póster Adelphi - Nefro")</f>
        <v>LUP - VAE Póster Adelphi - Nefro</v>
      </c>
      <c r="M6910" s="22" t="str">
        <f>HYPERLINK("mailto:pmartinez@crm.otsuka-europe.com", "pmartinez@crm.otsuka-europe.com")</f>
        <v>pmartinez@crm.otsuka-europe.com</v>
      </c>
      <c r="N6910" s="23">
        <v>46182.405428240738</v>
      </c>
      <c r="O6910" s="14" t="str">
        <f>HYPERLINK("https://otsuka-europe-crm.veevavault.com/ui/#object/email_activity__v/V8C00000003Q841", "EN-002092456")</f>
        <v>EN-002092456</v>
      </c>
    </row>
    <row r="6911" spans="1:15" ht="16" x14ac:dyDescent="0.2">
      <c r="A6911" s="18"/>
      <c r="B6911" s="18"/>
      <c r="C6911" s="18"/>
      <c r="D6911" s="18"/>
      <c r="E6911" s="18"/>
      <c r="F6911" s="18"/>
      <c r="G6911" s="18"/>
      <c r="H6911" s="18"/>
      <c r="I6911" s="18"/>
      <c r="J6911" s="18"/>
      <c r="K6911" s="18"/>
      <c r="L6911" s="18"/>
      <c r="M6911" s="18"/>
      <c r="N6911" s="18"/>
      <c r="O6911" s="14" t="str">
        <f>HYPERLINK("https://otsuka-europe-crm.veevavault.com/ui/#object/email_activity__v/V8C00000003Q968", "EN-002092752")</f>
        <v>EN-002092752</v>
      </c>
    </row>
    <row r="6912" spans="1:15" ht="16" x14ac:dyDescent="0.2">
      <c r="A6912" s="19"/>
      <c r="B6912" s="19"/>
      <c r="C6912" s="19"/>
      <c r="D6912" s="19"/>
      <c r="E6912" s="19"/>
      <c r="F6912" s="19"/>
      <c r="G6912" s="19"/>
      <c r="H6912" s="19"/>
      <c r="I6912" s="19"/>
      <c r="J6912" s="19"/>
      <c r="K6912" s="19"/>
      <c r="L6912" s="19"/>
      <c r="M6912" s="19"/>
      <c r="N6912" s="19"/>
      <c r="O6912" s="14" t="str">
        <f>HYPERLINK("https://otsuka-europe-crm.veevavault.com/ui/#object/email_activity__v/V8C00000003S356", "EN-002093606")</f>
        <v>EN-002093606</v>
      </c>
    </row>
    <row r="6913" spans="1:15" ht="16" x14ac:dyDescent="0.2">
      <c r="A6913" s="17" t="str">
        <f>HYPERLINK("https://otsuka-europe-crm.veevavault.com/ui/#object/account__v/V4TZ06G6O71TB1O", "MARIA ADORACION MARTIN GOMEZ")</f>
        <v>MARIA ADORACION MARTIN GOMEZ</v>
      </c>
      <c r="B6913" s="17" t="str">
        <f>HYPERLINK("https://otsuka-europe-crm.veevavault.com/ui/#object/vcountry__v/VENZ000004SONF5", "ES")</f>
        <v>ES</v>
      </c>
      <c r="C6913" s="20" t="s">
        <v>41</v>
      </c>
      <c r="D6913" s="21" t="str">
        <f>HYPERLINK("https://otsuka-europe-crm.veevavault.com/ui/#object/approved_document__v/V5O00000001A037", "LUP - VAE Póster Adelphi - Nefro")</f>
        <v>LUP - VAE Póster Adelphi - Nefro</v>
      </c>
      <c r="E6913" s="22" t="str">
        <f>HYPERLINK("https://otsuka-europe-crm.veevavault.com/ui/#object/sent_email__v/VBL00000002S437", "SE-001434701")</f>
        <v>SE-001434701</v>
      </c>
      <c r="F6913" s="23">
        <v>46182.416006944448</v>
      </c>
      <c r="G6913" s="24">
        <v>1</v>
      </c>
      <c r="H6913" s="24">
        <v>1</v>
      </c>
      <c r="I6913" s="24">
        <v>0</v>
      </c>
      <c r="J6913" s="25"/>
      <c r="K6913" s="24">
        <v>0</v>
      </c>
      <c r="L6913" s="22" t="str">
        <f>HYPERLINK("https://otsuka-europe-crm.veevavault.com/ui/#object/approved_document__v/V5O00000001A037", "LUP - VAE Póster Adelphi - Nefro")</f>
        <v>LUP - VAE Póster Adelphi - Nefro</v>
      </c>
      <c r="M6913" s="22" t="str">
        <f>HYPERLINK("mailto:pmartinez@crm.otsuka-europe.com", "pmartinez@crm.otsuka-europe.com")</f>
        <v>pmartinez@crm.otsuka-europe.com</v>
      </c>
      <c r="N6913" s="23">
        <v>46182.405428240738</v>
      </c>
      <c r="O6913" s="14" t="str">
        <f>HYPERLINK("https://otsuka-europe-crm.veevavault.com/ui/#object/email_activity__v/V8C00000003Q975", "EN-002092765")</f>
        <v>EN-002092765</v>
      </c>
    </row>
    <row r="6914" spans="1:15" ht="16" x14ac:dyDescent="0.2">
      <c r="A6914" s="18"/>
      <c r="B6914" s="18"/>
      <c r="C6914" s="18"/>
      <c r="D6914" s="18"/>
      <c r="E6914" s="18"/>
      <c r="F6914" s="18"/>
      <c r="G6914" s="18"/>
      <c r="H6914" s="18"/>
      <c r="I6914" s="18"/>
      <c r="J6914" s="18"/>
      <c r="K6914" s="18"/>
      <c r="L6914" s="18"/>
      <c r="M6914" s="18"/>
      <c r="N6914" s="18"/>
      <c r="O6914" s="14" t="str">
        <f>HYPERLINK("https://otsuka-europe-crm.veevavault.com/ui/#object/email_activity__v/V8C00000003R415", "EN-002092565")</f>
        <v>EN-002092565</v>
      </c>
    </row>
    <row r="6915" spans="1:15" ht="16" x14ac:dyDescent="0.2">
      <c r="A6915" s="19"/>
      <c r="B6915" s="19"/>
      <c r="C6915" s="19"/>
      <c r="D6915" s="19"/>
      <c r="E6915" s="19"/>
      <c r="F6915" s="19"/>
      <c r="G6915" s="19"/>
      <c r="H6915" s="19"/>
      <c r="I6915" s="19"/>
      <c r="J6915" s="19"/>
      <c r="K6915" s="19"/>
      <c r="L6915" s="19"/>
      <c r="M6915" s="19"/>
      <c r="N6915" s="19"/>
      <c r="O6915" s="14" t="str">
        <f>HYPERLINK("https://otsuka-europe-crm.veevavault.com/ui/#object/email_activity__v/V8C00000003T118", "EN-002093792")</f>
        <v>EN-002093792</v>
      </c>
    </row>
    <row r="6916" spans="1:15" ht="16" x14ac:dyDescent="0.2">
      <c r="A6916" s="17" t="str">
        <f>HYPERLINK("https://otsuka-europe-crm.veevavault.com/ui/#object/account__v/V4TZ06G6O71TA5J", "EDUARDO GUTIERREZ MARTINEZ")</f>
        <v>EDUARDO GUTIERREZ MARTINEZ</v>
      </c>
      <c r="B6916" s="17" t="str">
        <f>HYPERLINK("https://otsuka-europe-crm.veevavault.com/ui/#object/vcountry__v/VENZ000004SONF5", "ES")</f>
        <v>ES</v>
      </c>
      <c r="C6916" s="20" t="s">
        <v>41</v>
      </c>
      <c r="D6916" s="21" t="str">
        <f>HYPERLINK("https://otsuka-europe-crm.veevavault.com/ui/#object/approved_document__v/V5O00000001A037", "LUP - VAE Póster Adelphi - Nefro")</f>
        <v>LUP - VAE Póster Adelphi - Nefro</v>
      </c>
      <c r="E6916" s="22" t="str">
        <f>HYPERLINK("https://otsuka-europe-crm.veevavault.com/ui/#object/sent_email__v/VBL00000002S438", "SE-001434702")</f>
        <v>SE-001434702</v>
      </c>
      <c r="F6916" s="23">
        <v>46182.405648148146</v>
      </c>
      <c r="G6916" s="24">
        <v>1</v>
      </c>
      <c r="H6916" s="24">
        <v>1</v>
      </c>
      <c r="I6916" s="24">
        <v>0</v>
      </c>
      <c r="J6916" s="25"/>
      <c r="K6916" s="24">
        <v>0</v>
      </c>
      <c r="L6916" s="22" t="str">
        <f>HYPERLINK("https://otsuka-europe-crm.veevavault.com/ui/#object/approved_document__v/V5O00000001A037", "LUP - VAE Póster Adelphi - Nefro")</f>
        <v>LUP - VAE Póster Adelphi - Nefro</v>
      </c>
      <c r="M6916" s="22" t="str">
        <f>HYPERLINK("mailto:pmartinez@crm.otsuka-europe.com", "pmartinez@crm.otsuka-europe.com")</f>
        <v>pmartinez@crm.otsuka-europe.com</v>
      </c>
      <c r="N6916" s="23">
        <v>46182.405428240738</v>
      </c>
      <c r="O6916" s="14" t="str">
        <f>HYPERLINK("https://otsuka-europe-crm.veevavault.com/ui/#object/email_activity__v/V8C00000003Q878", "EN-002092509")</f>
        <v>EN-002092509</v>
      </c>
    </row>
    <row r="6917" spans="1:15" ht="16" x14ac:dyDescent="0.2">
      <c r="A6917" s="19"/>
      <c r="B6917" s="19"/>
      <c r="C6917" s="19"/>
      <c r="D6917" s="19"/>
      <c r="E6917" s="19"/>
      <c r="F6917" s="19"/>
      <c r="G6917" s="19"/>
      <c r="H6917" s="19"/>
      <c r="I6917" s="19"/>
      <c r="J6917" s="19"/>
      <c r="K6917" s="19"/>
      <c r="L6917" s="19"/>
      <c r="M6917" s="19"/>
      <c r="N6917" s="19"/>
      <c r="O6917" s="14" t="str">
        <f>HYPERLINK("https://otsuka-europe-crm.veevavault.com/ui/#object/email_activity__v/V8C00000003Q925", "EN-002092603")</f>
        <v>EN-002092603</v>
      </c>
    </row>
    <row r="6918" spans="1:15" ht="32" x14ac:dyDescent="0.2">
      <c r="A6918" s="7" t="str">
        <f>HYPERLINK("https://otsuka-europe-crm.veevavault.com/ui/#object/account__v/V4TZ06G6O71T98M", "GABRIEL DE ARRIBA DE LA FUENTE")</f>
        <v>GABRIEL DE ARRIBA DE LA FUENTE</v>
      </c>
      <c r="B6918" s="7" t="str">
        <f>HYPERLINK("https://otsuka-europe-crm.veevavault.com/ui/#object/vcountry__v/VENZ000004SONF5", "ES")</f>
        <v>ES</v>
      </c>
      <c r="C6918" s="8" t="s">
        <v>41</v>
      </c>
      <c r="D6918" s="9" t="str">
        <f>HYPERLINK("https://otsuka-europe-crm.veevavault.com/ui/#object/approved_document__v/V5O00000001A037", "LUP - VAE Póster Adelphi - Nefro")</f>
        <v>LUP - VAE Póster Adelphi - Nefro</v>
      </c>
      <c r="E6918" s="10" t="str">
        <f>HYPERLINK("https://otsuka-europe-crm.veevavault.com/ui/#object/sent_email__v/VBL00000002S439", "SE-001434703")</f>
        <v>SE-001434703</v>
      </c>
      <c r="F6918" s="11"/>
      <c r="G6918" s="12">
        <v>0</v>
      </c>
      <c r="H6918" s="12">
        <v>0</v>
      </c>
      <c r="I6918" s="12">
        <v>0</v>
      </c>
      <c r="J6918" s="11"/>
      <c r="K6918" s="12">
        <v>0</v>
      </c>
      <c r="L6918" s="10" t="str">
        <f>HYPERLINK("https://otsuka-europe-crm.veevavault.com/ui/#object/approved_document__v/V5O00000001A037", "LUP - VAE Póster Adelphi - Nefro")</f>
        <v>LUP - VAE Póster Adelphi - Nefro</v>
      </c>
      <c r="M6918" s="10" t="str">
        <f>HYPERLINK("mailto:pmartinez@crm.otsuka-europe.com", "pmartinez@crm.otsuka-europe.com")</f>
        <v>pmartinez@crm.otsuka-europe.com</v>
      </c>
      <c r="N6918" s="13">
        <v>46182.405428240738</v>
      </c>
      <c r="O6918" s="14" t="str">
        <f>HYPERLINK("https://otsuka-europe-crm.veevavault.com/ui/#object/email_activity__v/V8C00000003R403", "EN-002092550")</f>
        <v>EN-002092550</v>
      </c>
    </row>
    <row r="6919" spans="1:15" ht="16" x14ac:dyDescent="0.2">
      <c r="A6919" s="17" t="str">
        <f>HYPERLINK("https://otsuka-europe-crm.veevavault.com/ui/#object/account__v/V4TZ06G6O71TABJ", "FERNANDO GIL CATALINAS")</f>
        <v>FERNANDO GIL CATALINAS</v>
      </c>
      <c r="B6919" s="17" t="str">
        <f>HYPERLINK("https://otsuka-europe-crm.veevavault.com/ui/#object/vcountry__v/VENZ000004SONF5", "ES")</f>
        <v>ES</v>
      </c>
      <c r="C6919" s="20" t="s">
        <v>41</v>
      </c>
      <c r="D6919" s="21" t="str">
        <f>HYPERLINK("https://otsuka-europe-crm.veevavault.com/ui/#object/approved_document__v/V5O00000001A037", "LUP - VAE Póster Adelphi - Nefro")</f>
        <v>LUP - VAE Póster Adelphi - Nefro</v>
      </c>
      <c r="E6919" s="22" t="str">
        <f>HYPERLINK("https://otsuka-europe-crm.veevavault.com/ui/#object/sent_email__v/VBL00000002S440", "SE-001434704")</f>
        <v>SE-001434704</v>
      </c>
      <c r="F6919" s="25"/>
      <c r="G6919" s="24">
        <v>0</v>
      </c>
      <c r="H6919" s="24">
        <v>0</v>
      </c>
      <c r="I6919" s="24">
        <v>0</v>
      </c>
      <c r="J6919" s="25"/>
      <c r="K6919" s="24">
        <v>0</v>
      </c>
      <c r="L6919" s="22" t="str">
        <f>HYPERLINK("https://otsuka-europe-crm.veevavault.com/ui/#object/approved_document__v/V5O00000001A037", "LUP - VAE Póster Adelphi - Nefro")</f>
        <v>LUP - VAE Póster Adelphi - Nefro</v>
      </c>
      <c r="M6919" s="22" t="str">
        <f>HYPERLINK("mailto:pmartinez@crm.otsuka-europe.com", "pmartinez@crm.otsuka-europe.com")</f>
        <v>pmartinez@crm.otsuka-europe.com</v>
      </c>
      <c r="N6919" s="23">
        <v>46182.405428240738</v>
      </c>
      <c r="O6919" s="14" t="str">
        <f>HYPERLINK("https://otsuka-europe-crm.veevavault.com/ui/#object/email_activity__v/V8C00000003R406", "EN-002092553")</f>
        <v>EN-002092553</v>
      </c>
    </row>
    <row r="6920" spans="1:15" ht="16" x14ac:dyDescent="0.2">
      <c r="A6920" s="19"/>
      <c r="B6920" s="19"/>
      <c r="C6920" s="19"/>
      <c r="D6920" s="19"/>
      <c r="E6920" s="19"/>
      <c r="F6920" s="19"/>
      <c r="G6920" s="19"/>
      <c r="H6920" s="19"/>
      <c r="I6920" s="19"/>
      <c r="J6920" s="19"/>
      <c r="K6920" s="19"/>
      <c r="L6920" s="19"/>
      <c r="M6920" s="19"/>
      <c r="N6920" s="19"/>
      <c r="O6920" s="14" t="str">
        <f>HYPERLINK("https://otsuka-europe-crm.veevavault.com/ui/#object/email_activity__v/V8C00000003S431", "EN-002093772")</f>
        <v>EN-002093772</v>
      </c>
    </row>
    <row r="6921" spans="1:15" ht="32" x14ac:dyDescent="0.2">
      <c r="A6921" s="7" t="str">
        <f>HYPERLINK("https://otsuka-europe-crm.veevavault.com/ui/#object/account__v/V4TZ06G6O71TAAJ", "MARIA ANGELES GOICOECHEA DIEZHANDINO")</f>
        <v>MARIA ANGELES GOICOECHEA DIEZHANDINO</v>
      </c>
      <c r="B6921" s="7" t="str">
        <f>HYPERLINK("https://otsuka-europe-crm.veevavault.com/ui/#object/vcountry__v/VENZ000004SONF5", "ES")</f>
        <v>ES</v>
      </c>
      <c r="C6921" s="8" t="s">
        <v>41</v>
      </c>
      <c r="D6921" s="9" t="str">
        <f>HYPERLINK("https://otsuka-europe-crm.veevavault.com/ui/#object/approved_document__v/V5O00000001A037", "LUP - VAE Póster Adelphi - Nefro")</f>
        <v>LUP - VAE Póster Adelphi - Nefro</v>
      </c>
      <c r="E6921" s="10" t="str">
        <f>HYPERLINK("https://otsuka-europe-crm.veevavault.com/ui/#object/sent_email__v/VBL00000002S441", "SE-001434705")</f>
        <v>SE-001434705</v>
      </c>
      <c r="F6921" s="11"/>
      <c r="G6921" s="12">
        <v>0</v>
      </c>
      <c r="H6921" s="12">
        <v>0</v>
      </c>
      <c r="I6921" s="12">
        <v>0</v>
      </c>
      <c r="J6921" s="11"/>
      <c r="K6921" s="12">
        <v>0</v>
      </c>
      <c r="L6921" s="10" t="str">
        <f>HYPERLINK("https://otsuka-europe-crm.veevavault.com/ui/#object/approved_document__v/V5O00000001A037", "LUP - VAE Póster Adelphi - Nefro")</f>
        <v>LUP - VAE Póster Adelphi - Nefro</v>
      </c>
      <c r="M6921" s="10" t="str">
        <f>HYPERLINK("mailto:pmartinez@crm.otsuka-europe.com", "pmartinez@crm.otsuka-europe.com")</f>
        <v>pmartinez@crm.otsuka-europe.com</v>
      </c>
      <c r="N6921" s="13">
        <v>46182.405428240738</v>
      </c>
      <c r="O6921" s="14" t="str">
        <f>HYPERLINK("https://otsuka-europe-crm.veevavault.com/ui/#object/email_activity__v/V8C00000003Q914", "EN-002092592")</f>
        <v>EN-002092592</v>
      </c>
    </row>
    <row r="6922" spans="1:15" ht="16" x14ac:dyDescent="0.2">
      <c r="A6922" s="17" t="str">
        <f>HYPERLINK("https://otsuka-europe-crm.veevavault.com/ui/#object/account__v/V4TZ06G6O71T7T1", "NEREA MARTINEZ SAEZ")</f>
        <v>NEREA MARTINEZ SAEZ</v>
      </c>
      <c r="B6922" s="17" t="str">
        <f>HYPERLINK("https://otsuka-europe-crm.veevavault.com/ui/#object/vcountry__v/VENZ000004SONF5", "ES")</f>
        <v>ES</v>
      </c>
      <c r="C6922" s="20" t="s">
        <v>41</v>
      </c>
      <c r="D6922" s="21" t="str">
        <f>HYPERLINK("https://otsuka-europe-crm.veevavault.com/ui/#object/approved_document__v/V5O00000001A037", "LUP - VAE Póster Adelphi - Nefro")</f>
        <v>LUP - VAE Póster Adelphi - Nefro</v>
      </c>
      <c r="E6922" s="22" t="str">
        <f>HYPERLINK("https://otsuka-europe-crm.veevavault.com/ui/#object/sent_email__v/VBL00000002S442", "SE-001434706")</f>
        <v>SE-001434706</v>
      </c>
      <c r="F6922" s="23">
        <v>46182.450949074075</v>
      </c>
      <c r="G6922" s="24">
        <v>1</v>
      </c>
      <c r="H6922" s="24">
        <v>1</v>
      </c>
      <c r="I6922" s="24">
        <v>0</v>
      </c>
      <c r="J6922" s="25"/>
      <c r="K6922" s="24">
        <v>0</v>
      </c>
      <c r="L6922" s="22" t="str">
        <f>HYPERLINK("https://otsuka-europe-crm.veevavault.com/ui/#object/approved_document__v/V5O00000001A037", "LUP - VAE Póster Adelphi - Nefro")</f>
        <v>LUP - VAE Póster Adelphi - Nefro</v>
      </c>
      <c r="M6922" s="22" t="str">
        <f>HYPERLINK("mailto:pmartinez@crm.otsuka-europe.com", "pmartinez@crm.otsuka-europe.com")</f>
        <v>pmartinez@crm.otsuka-europe.com</v>
      </c>
      <c r="N6922" s="23">
        <v>46182.405428240738</v>
      </c>
      <c r="O6922" s="14" t="str">
        <f>HYPERLINK("https://otsuka-europe-crm.veevavault.com/ui/#object/email_activity__v/V8C00000003R421", "EN-002092571")</f>
        <v>EN-002092571</v>
      </c>
    </row>
    <row r="6923" spans="1:15" ht="16" x14ac:dyDescent="0.2">
      <c r="A6923" s="19"/>
      <c r="B6923" s="19"/>
      <c r="C6923" s="19"/>
      <c r="D6923" s="19"/>
      <c r="E6923" s="19"/>
      <c r="F6923" s="19"/>
      <c r="G6923" s="19"/>
      <c r="H6923" s="19"/>
      <c r="I6923" s="19"/>
      <c r="J6923" s="19"/>
      <c r="K6923" s="19"/>
      <c r="L6923" s="19"/>
      <c r="M6923" s="19"/>
      <c r="N6923" s="19"/>
      <c r="O6923" s="14" t="str">
        <f>HYPERLINK("https://otsuka-europe-crm.veevavault.com/ui/#object/email_activity__v/V8C00000003R587", "EN-002092826")</f>
        <v>EN-002092826</v>
      </c>
    </row>
    <row r="6924" spans="1:15" ht="32" x14ac:dyDescent="0.2">
      <c r="A6924" s="7" t="str">
        <f>HYPERLINK("https://otsuka-europe-crm.veevavault.com/ui/#object/account__v/V4T00000000J162", "PATRICIA ALEJANDRA MILLS SANCHEZ")</f>
        <v>PATRICIA ALEJANDRA MILLS SANCHEZ</v>
      </c>
      <c r="B6924" s="7" t="str">
        <f>HYPERLINK("https://otsuka-europe-crm.veevavault.com/ui/#object/vcountry__v/VENZ000004SONF5", "ES")</f>
        <v>ES</v>
      </c>
      <c r="C6924" s="8" t="s">
        <v>41</v>
      </c>
      <c r="D6924" s="9" t="str">
        <f>HYPERLINK("https://otsuka-europe-crm.veevavault.com/ui/#object/approved_document__v/V5O00000001B037", "LUP - VAE Póster Adelphi - Reuma")</f>
        <v>LUP - VAE Póster Adelphi - Reuma</v>
      </c>
      <c r="E6924" s="10" t="str">
        <f>HYPERLINK("https://otsuka-europe-crm.veevavault.com/ui/#object/sent_email__v/VBL00000002S443", "SE-001434707")</f>
        <v>SE-001434707</v>
      </c>
      <c r="F6924" s="11"/>
      <c r="G6924" s="12">
        <v>0</v>
      </c>
      <c r="H6924" s="12">
        <v>0</v>
      </c>
      <c r="I6924" s="12">
        <v>0</v>
      </c>
      <c r="J6924" s="11"/>
      <c r="K6924" s="12">
        <v>0</v>
      </c>
      <c r="L6924" s="10" t="str">
        <f>HYPERLINK("https://otsuka-europe-crm.veevavault.com/ui/#object/approved_document__v/V5O00000001B037", "LUP - VAE Póster Adelphi - Reuma")</f>
        <v>LUP - VAE Póster Adelphi - Reuma</v>
      </c>
      <c r="M6924" s="10" t="str">
        <f>HYPERLINK("mailto:idiez@crm.otsuka-europe.com", "idiez@crm.otsuka-europe.com")</f>
        <v>idiez@crm.otsuka-europe.com</v>
      </c>
      <c r="N6924" s="13">
        <v>46182.406377314815</v>
      </c>
      <c r="O6924" s="14" t="str">
        <f>HYPERLINK("https://otsuka-europe-crm.veevavault.com/ui/#object/email_activity__v/V8C00000003R444", "EN-002092616")</f>
        <v>EN-002092616</v>
      </c>
    </row>
    <row r="6925" spans="1:15" ht="32" x14ac:dyDescent="0.2">
      <c r="A6925" s="7" t="str">
        <f>HYPERLINK("https://otsuka-europe-crm.veevavault.com/ui/#object/account__v/V4T00000001P471", "CRISTINA AUSIN GARCIA")</f>
        <v>CRISTINA AUSIN GARCIA</v>
      </c>
      <c r="B6925" s="7" t="str">
        <f>HYPERLINK("https://otsuka-europe-crm.veevavault.com/ui/#object/vcountry__v/VENZ000004SONF5", "ES")</f>
        <v>ES</v>
      </c>
      <c r="C6925" s="8" t="s">
        <v>41</v>
      </c>
      <c r="D6925" s="9" t="str">
        <f>HYPERLINK("https://otsuka-europe-crm.veevavault.com/ui/#object/approved_document__v/V5O00000001B037", "LUP - VAE Póster Adelphi - Reuma")</f>
        <v>LUP - VAE Póster Adelphi - Reuma</v>
      </c>
      <c r="E6925" s="10" t="str">
        <f>HYPERLINK("https://otsuka-europe-crm.veevavault.com/ui/#object/sent_email__v/VBL00000002S444", "SE-001434708")</f>
        <v>SE-001434708</v>
      </c>
      <c r="F6925" s="11"/>
      <c r="G6925" s="12">
        <v>0</v>
      </c>
      <c r="H6925" s="12">
        <v>0</v>
      </c>
      <c r="I6925" s="12">
        <v>0</v>
      </c>
      <c r="J6925" s="11"/>
      <c r="K6925" s="12">
        <v>0</v>
      </c>
      <c r="L6925" s="10" t="str">
        <f>HYPERLINK("https://otsuka-europe-crm.veevavault.com/ui/#object/approved_document__v/V5O00000001B037", "LUP - VAE Póster Adelphi - Reuma")</f>
        <v>LUP - VAE Póster Adelphi - Reuma</v>
      </c>
      <c r="M6925" s="10" t="str">
        <f>HYPERLINK("mailto:idiez@crm.otsuka-europe.com", "idiez@crm.otsuka-europe.com")</f>
        <v>idiez@crm.otsuka-europe.com</v>
      </c>
      <c r="N6925" s="13">
        <v>46182.406377314815</v>
      </c>
      <c r="O6925" s="14" t="str">
        <f>HYPERLINK("https://otsuka-europe-crm.veevavault.com/ui/#object/email_activity__v/V8C00000003R445", "EN-002092617")</f>
        <v>EN-002092617</v>
      </c>
    </row>
    <row r="6926" spans="1:15" ht="32" x14ac:dyDescent="0.2">
      <c r="A6926" s="7" t="str">
        <f>HYPERLINK("https://otsuka-europe-crm.veevavault.com/ui/#object/account__v/V4TZ025E898AWJR", "MARIA MARTINEZ URBISTONDO")</f>
        <v>MARIA MARTINEZ URBISTONDO</v>
      </c>
      <c r="B6926" s="7" t="str">
        <f>HYPERLINK("https://otsuka-europe-crm.veevavault.com/ui/#object/vcountry__v/VENZ000004SONF5", "ES")</f>
        <v>ES</v>
      </c>
      <c r="C6926" s="8" t="s">
        <v>41</v>
      </c>
      <c r="D6926" s="9" t="str">
        <f>HYPERLINK("https://otsuka-europe-crm.veevavault.com/ui/#object/approved_document__v/V5O00000001B037", "LUP - VAE Póster Adelphi - Reuma")</f>
        <v>LUP - VAE Póster Adelphi - Reuma</v>
      </c>
      <c r="E6926" s="10" t="str">
        <f>HYPERLINK("https://otsuka-europe-crm.veevavault.com/ui/#object/sent_email__v/VBL00000002S445", "SE-001434709")</f>
        <v>SE-001434709</v>
      </c>
      <c r="F6926" s="11"/>
      <c r="G6926" s="12">
        <v>0</v>
      </c>
      <c r="H6926" s="12">
        <v>0</v>
      </c>
      <c r="I6926" s="12">
        <v>0</v>
      </c>
      <c r="J6926" s="11"/>
      <c r="K6926" s="12">
        <v>0</v>
      </c>
      <c r="L6926" s="10" t="str">
        <f>HYPERLINK("https://otsuka-europe-crm.veevavault.com/ui/#object/approved_document__v/V5O00000001B037", "LUP - VAE Póster Adelphi - Reuma")</f>
        <v>LUP - VAE Póster Adelphi - Reuma</v>
      </c>
      <c r="M6926" s="10" t="str">
        <f>HYPERLINK("mailto:idiez@crm.otsuka-europe.com", "idiez@crm.otsuka-europe.com")</f>
        <v>idiez@crm.otsuka-europe.com</v>
      </c>
      <c r="N6926" s="13">
        <v>46182.406377314815</v>
      </c>
      <c r="O6926" s="14" t="str">
        <f>HYPERLINK("https://otsuka-europe-crm.veevavault.com/ui/#object/email_activity__v/V8C00000003R442", "EN-002092614")</f>
        <v>EN-002092614</v>
      </c>
    </row>
    <row r="6927" spans="1:15" ht="32" x14ac:dyDescent="0.2">
      <c r="A6927" s="7" t="str">
        <f>HYPERLINK("https://otsuka-europe-crm.veevavault.com/ui/#object/account__v/V4TZ04ASGA8VGWG", "ISABEL PERALES FRAILE")</f>
        <v>ISABEL PERALES FRAILE</v>
      </c>
      <c r="B6927" s="7" t="str">
        <f>HYPERLINK("https://otsuka-europe-crm.veevavault.com/ui/#object/vcountry__v/VENZ000004SONF5", "ES")</f>
        <v>ES</v>
      </c>
      <c r="C6927" s="8" t="s">
        <v>41</v>
      </c>
      <c r="D6927" s="9" t="str">
        <f>HYPERLINK("https://otsuka-europe-crm.veevavault.com/ui/#object/approved_document__v/V5O00000001B037", "LUP - VAE Póster Adelphi - Reuma")</f>
        <v>LUP - VAE Póster Adelphi - Reuma</v>
      </c>
      <c r="E6927" s="10" t="str">
        <f>HYPERLINK("https://otsuka-europe-crm.veevavault.com/ui/#object/sent_email__v/VBL00000002S446", "SE-001434710")</f>
        <v>SE-001434710</v>
      </c>
      <c r="F6927" s="11"/>
      <c r="G6927" s="12">
        <v>0</v>
      </c>
      <c r="H6927" s="12">
        <v>0</v>
      </c>
      <c r="I6927" s="12">
        <v>0</v>
      </c>
      <c r="J6927" s="11"/>
      <c r="K6927" s="12">
        <v>0</v>
      </c>
      <c r="L6927" s="10" t="str">
        <f>HYPERLINK("https://otsuka-europe-crm.veevavault.com/ui/#object/approved_document__v/V5O00000001B037", "LUP - VAE Póster Adelphi - Reuma")</f>
        <v>LUP - VAE Póster Adelphi - Reuma</v>
      </c>
      <c r="M6927" s="10" t="str">
        <f>HYPERLINK("mailto:idiez@crm.otsuka-europe.com", "idiez@crm.otsuka-europe.com")</f>
        <v>idiez@crm.otsuka-europe.com</v>
      </c>
      <c r="N6927" s="13">
        <v>46182.406377314815</v>
      </c>
      <c r="O6927" s="14" t="str">
        <f>HYPERLINK("https://otsuka-europe-crm.veevavault.com/ui/#object/email_activity__v/V8C00000003Q935", "EN-002092618")</f>
        <v>EN-002092618</v>
      </c>
    </row>
    <row r="6928" spans="1:15" ht="16" x14ac:dyDescent="0.2">
      <c r="A6928" s="17" t="str">
        <f>HYPERLINK("https://otsuka-europe-crm.veevavault.com/ui/#object/account__v/V4TZ04ASGB4W29K", "ANGEL PEDRO CRISOLINO POZAS")</f>
        <v>ANGEL PEDRO CRISOLINO POZAS</v>
      </c>
      <c r="B6928" s="17" t="str">
        <f>HYPERLINK("https://otsuka-europe-crm.veevavault.com/ui/#object/vcountry__v/VENZ000004SONF5", "ES")</f>
        <v>ES</v>
      </c>
      <c r="C6928" s="20" t="s">
        <v>41</v>
      </c>
      <c r="D6928" s="21" t="str">
        <f>HYPERLINK("https://otsuka-europe-crm.veevavault.com/ui/#object/approved_document__v/V5O00000001B037", "LUP - VAE Póster Adelphi - Reuma")</f>
        <v>LUP - VAE Póster Adelphi - Reuma</v>
      </c>
      <c r="E6928" s="22" t="str">
        <f>HYPERLINK("https://otsuka-europe-crm.veevavault.com/ui/#object/sent_email__v/VBL00000002S447", "SE-001434711")</f>
        <v>SE-001434711</v>
      </c>
      <c r="F6928" s="23">
        <v>46183.012199074074</v>
      </c>
      <c r="G6928" s="24">
        <v>1</v>
      </c>
      <c r="H6928" s="24">
        <v>1</v>
      </c>
      <c r="I6928" s="24">
        <v>0</v>
      </c>
      <c r="J6928" s="25"/>
      <c r="K6928" s="24">
        <v>0</v>
      </c>
      <c r="L6928" s="22" t="str">
        <f>HYPERLINK("https://otsuka-europe-crm.veevavault.com/ui/#object/approved_document__v/V5O00000001B037", "LUP - VAE Póster Adelphi - Reuma")</f>
        <v>LUP - VAE Póster Adelphi - Reuma</v>
      </c>
      <c r="M6928" s="22" t="str">
        <f>HYPERLINK("mailto:idiez@crm.otsuka-europe.com", "idiez@crm.otsuka-europe.com")</f>
        <v>idiez@crm.otsuka-europe.com</v>
      </c>
      <c r="N6928" s="23">
        <v>46182.406377314815</v>
      </c>
      <c r="O6928" s="14" t="str">
        <f>HYPERLINK("https://otsuka-europe-crm.veevavault.com/ui/#object/email_activity__v/V8C00000003Q934", "EN-002092613")</f>
        <v>EN-002092613</v>
      </c>
    </row>
    <row r="6929" spans="1:15" ht="16" x14ac:dyDescent="0.2">
      <c r="A6929" s="19"/>
      <c r="B6929" s="19"/>
      <c r="C6929" s="19"/>
      <c r="D6929" s="19"/>
      <c r="E6929" s="19"/>
      <c r="F6929" s="19"/>
      <c r="G6929" s="19"/>
      <c r="H6929" s="19"/>
      <c r="I6929" s="19"/>
      <c r="J6929" s="19"/>
      <c r="K6929" s="19"/>
      <c r="L6929" s="19"/>
      <c r="M6929" s="19"/>
      <c r="N6929" s="19"/>
      <c r="O6929" s="14" t="str">
        <f>HYPERLINK("https://otsuka-europe-crm.veevavault.com/ui/#object/email_activity__v/V8C00000003T121", "EN-002093801")</f>
        <v>EN-002093801</v>
      </c>
    </row>
    <row r="6930" spans="1:15" ht="32" x14ac:dyDescent="0.2">
      <c r="A6930" s="7" t="str">
        <f>HYPERLINK("https://otsuka-europe-crm.veevavault.com/ui/#object/account__v/V4T000000010097", "PABLO RODRIGUEZ LOPEZ")</f>
        <v>PABLO RODRIGUEZ LOPEZ</v>
      </c>
      <c r="B6930" s="7" t="str">
        <f>HYPERLINK("https://otsuka-europe-crm.veevavault.com/ui/#object/vcountry__v/VENZ000004SONF5", "ES")</f>
        <v>ES</v>
      </c>
      <c r="C6930" s="8" t="s">
        <v>41</v>
      </c>
      <c r="D6930" s="9" t="str">
        <f>HYPERLINK("https://otsuka-europe-crm.veevavault.com/ui/#object/approved_document__v/V5O00000001B037", "LUP - VAE Póster Adelphi - Reuma")</f>
        <v>LUP - VAE Póster Adelphi - Reuma</v>
      </c>
      <c r="E6930" s="10" t="str">
        <f>HYPERLINK("https://otsuka-europe-crm.veevavault.com/ui/#object/sent_email__v/VBL00000002S448", "SE-001434712")</f>
        <v>SE-001434712</v>
      </c>
      <c r="F6930" s="11"/>
      <c r="G6930" s="12">
        <v>0</v>
      </c>
      <c r="H6930" s="12">
        <v>0</v>
      </c>
      <c r="I6930" s="12">
        <v>0</v>
      </c>
      <c r="J6930" s="11"/>
      <c r="K6930" s="12">
        <v>0</v>
      </c>
      <c r="L6930" s="10" t="str">
        <f>HYPERLINK("https://otsuka-europe-crm.veevavault.com/ui/#object/approved_document__v/V5O00000001B037", "LUP - VAE Póster Adelphi - Reuma")</f>
        <v>LUP - VAE Póster Adelphi - Reuma</v>
      </c>
      <c r="M6930" s="10" t="str">
        <f>HYPERLINK("mailto:idiez@crm.otsuka-europe.com", "idiez@crm.otsuka-europe.com")</f>
        <v>idiez@crm.otsuka-europe.com</v>
      </c>
      <c r="N6930" s="13">
        <v>46182.406377314815</v>
      </c>
      <c r="O6930" s="14" t="str">
        <f>HYPERLINK("https://otsuka-europe-crm.veevavault.com/ui/#object/email_activity__v/V8C00000003R443", "EN-002092615")</f>
        <v>EN-002092615</v>
      </c>
    </row>
    <row r="6931" spans="1:15" ht="32" x14ac:dyDescent="0.2">
      <c r="A6931" s="7" t="str">
        <f>HYPERLINK("https://otsuka-europe-crm.veevavault.com/ui/#object/account__v/V4T000000023007", "Max Antoniak")</f>
        <v>Max Antoniak</v>
      </c>
      <c r="B6931" s="7" t="str">
        <f>HYPERLINK("https://otsuka-europe-crm.veevavault.com/ui/#object/vcountry__v/VENZ000004SONFK", "GB")</f>
        <v>GB</v>
      </c>
      <c r="C6931" s="8" t="s">
        <v>39</v>
      </c>
      <c r="D6931" s="9" t="str">
        <f>HYPERLINK("https://otsuka-europe-crm.veevavault.com/ui/#object/approved_document__v/V5OZ025E82PXJSL", "Otsuka Privacy Notice - UK (v2)")</f>
        <v>Otsuka Privacy Notice - UK (v2)</v>
      </c>
      <c r="E6931" s="10" t="str">
        <f>HYPERLINK("https://otsuka-europe-crm.veevavault.com/ui/#object/sent_email__v/VBL00000002R216", "SE-001434713")</f>
        <v>SE-001434713</v>
      </c>
      <c r="F6931" s="11"/>
      <c r="G6931" s="12">
        <v>0</v>
      </c>
      <c r="H6931" s="12">
        <v>0</v>
      </c>
      <c r="I6931" s="12">
        <v>0</v>
      </c>
      <c r="J6931" s="11"/>
      <c r="K6931" s="12">
        <v>0</v>
      </c>
      <c r="L6931" s="10" t="str">
        <f>HYPERLINK("https://otsuka-europe-crm.veevavault.com/ui/#object/approved_document__v/V5OZ025E82PXJSL", "Otsuka Privacy Notice - UK (v2)")</f>
        <v>Otsuka Privacy Notice - UK (v2)</v>
      </c>
      <c r="M6931" s="10" t="str">
        <f>HYPERLINK("mailto:ldimambro@crm.otsuka-europe.com", "ldimambro@crm.otsuka-europe.com")</f>
        <v>ldimambro@crm.otsuka-europe.com</v>
      </c>
      <c r="N6931" s="13">
        <v>46182.406793981485</v>
      </c>
      <c r="O6931" s="14" t="str">
        <f>HYPERLINK("https://otsuka-europe-crm.veevavault.com/ui/#object/email_activity__v/V8C00000003Q936", "EN-002092621")</f>
        <v>EN-002092621</v>
      </c>
    </row>
    <row r="6932" spans="1:15" ht="16" x14ac:dyDescent="0.2">
      <c r="A6932" s="17" t="str">
        <f>HYPERLINK("https://otsuka-europe-crm.veevavault.com/ui/#object/account__v/V4TZ025E88VDXFI", "RODRIGO GARCIA MARINA")</f>
        <v>RODRIGO GARCIA MARINA</v>
      </c>
      <c r="B6932" s="17" t="str">
        <f>HYPERLINK("https://otsuka-europe-crm.veevavault.com/ui/#object/vcountry__v/VENZ000004SONF5", "ES")</f>
        <v>ES</v>
      </c>
      <c r="C6932" s="20" t="s">
        <v>41</v>
      </c>
      <c r="D6932" s="21" t="str">
        <f>HYPERLINK("https://otsuka-europe-crm.veevavault.com/ui/#object/approved_document__v/V5O00000001A037", "LUP - VAE Póster Adelphi - Nefro")</f>
        <v>LUP - VAE Póster Adelphi - Nefro</v>
      </c>
      <c r="E6932" s="22" t="str">
        <f>HYPERLINK("https://otsuka-europe-crm.veevavault.com/ui/#object/sent_email__v/VBL00000002R217", "SE-001434714")</f>
        <v>SE-001434714</v>
      </c>
      <c r="F6932" s="23">
        <v>46187.90865740741</v>
      </c>
      <c r="G6932" s="24">
        <v>1</v>
      </c>
      <c r="H6932" s="24">
        <v>2</v>
      </c>
      <c r="I6932" s="24">
        <v>0</v>
      </c>
      <c r="J6932" s="25"/>
      <c r="K6932" s="24">
        <v>0</v>
      </c>
      <c r="L6932" s="22" t="str">
        <f>HYPERLINK("https://otsuka-europe-crm.veevavault.com/ui/#object/approved_document__v/V5O00000001A037", "LUP - VAE Póster Adelphi - Nefro")</f>
        <v>LUP - VAE Póster Adelphi - Nefro</v>
      </c>
      <c r="M6932" s="22" t="str">
        <f>HYPERLINK("mailto:idiez@crm.otsuka-europe.com", "idiez@crm.otsuka-europe.com")</f>
        <v>idiez@crm.otsuka-europe.com</v>
      </c>
      <c r="N6932" s="23">
        <v>46182.407511574071</v>
      </c>
      <c r="O6932" s="14" t="str">
        <f>HYPERLINK("https://otsuka-europe-crm.veevavault.com/ui/#object/email_activity__v/V8C00000003Q939", "EN-002092643")</f>
        <v>EN-002092643</v>
      </c>
    </row>
    <row r="6933" spans="1:15" ht="16" x14ac:dyDescent="0.2">
      <c r="A6933" s="18"/>
      <c r="B6933" s="18"/>
      <c r="C6933" s="18"/>
      <c r="D6933" s="18"/>
      <c r="E6933" s="18"/>
      <c r="F6933" s="18"/>
      <c r="G6933" s="18"/>
      <c r="H6933" s="18"/>
      <c r="I6933" s="18"/>
      <c r="J6933" s="18"/>
      <c r="K6933" s="18"/>
      <c r="L6933" s="18"/>
      <c r="M6933" s="18"/>
      <c r="N6933" s="18"/>
      <c r="O6933" s="14" t="str">
        <f>HYPERLINK("https://otsuka-europe-crm.veevavault.com/ui/#object/email_activity__v/V8C00000003Q957", "EN-002092688")</f>
        <v>EN-002092688</v>
      </c>
    </row>
    <row r="6934" spans="1:15" ht="16" x14ac:dyDescent="0.2">
      <c r="A6934" s="19"/>
      <c r="B6934" s="19"/>
      <c r="C6934" s="19"/>
      <c r="D6934" s="19"/>
      <c r="E6934" s="19"/>
      <c r="F6934" s="19"/>
      <c r="G6934" s="19"/>
      <c r="H6934" s="19"/>
      <c r="I6934" s="19"/>
      <c r="J6934" s="19"/>
      <c r="K6934" s="19"/>
      <c r="L6934" s="19"/>
      <c r="M6934" s="19"/>
      <c r="N6934" s="19"/>
      <c r="O6934" s="14" t="str">
        <f>HYPERLINK("https://otsuka-europe-crm.veevavault.com/ui/#object/email_activity__v/V8C00000003V476", "EN-002095734")</f>
        <v>EN-002095734</v>
      </c>
    </row>
    <row r="6935" spans="1:15" ht="16" x14ac:dyDescent="0.2">
      <c r="A6935" s="17" t="str">
        <f>HYPERLINK("https://otsuka-europe-crm.veevavault.com/ui/#object/account__v/V4TZ06G6O71TCK5", "MARIA ALMUDENA VEGA MARTINEZ")</f>
        <v>MARIA ALMUDENA VEGA MARTINEZ</v>
      </c>
      <c r="B6935" s="17" t="str">
        <f>HYPERLINK("https://otsuka-europe-crm.veevavault.com/ui/#object/vcountry__v/VENZ000004SONF5", "ES")</f>
        <v>ES</v>
      </c>
      <c r="C6935" s="20" t="s">
        <v>41</v>
      </c>
      <c r="D6935" s="21" t="str">
        <f>HYPERLINK("https://otsuka-europe-crm.veevavault.com/ui/#object/approved_document__v/V5O00000001A037", "LUP - VAE Póster Adelphi - Nefro")</f>
        <v>LUP - VAE Póster Adelphi - Nefro</v>
      </c>
      <c r="E6935" s="22" t="str">
        <f>HYPERLINK("https://otsuka-europe-crm.veevavault.com/ui/#object/sent_email__v/VBL00000002R218", "SE-001434715")</f>
        <v>SE-001434715</v>
      </c>
      <c r="F6935" s="23">
        <v>46182.913738425923</v>
      </c>
      <c r="G6935" s="24">
        <v>1</v>
      </c>
      <c r="H6935" s="24">
        <v>1</v>
      </c>
      <c r="I6935" s="24">
        <v>0</v>
      </c>
      <c r="J6935" s="25"/>
      <c r="K6935" s="24">
        <v>0</v>
      </c>
      <c r="L6935" s="22" t="str">
        <f>HYPERLINK("https://otsuka-europe-crm.veevavault.com/ui/#object/approved_document__v/V5O00000001A037", "LUP - VAE Póster Adelphi - Nefro")</f>
        <v>LUP - VAE Póster Adelphi - Nefro</v>
      </c>
      <c r="M6935" s="22" t="str">
        <f>HYPERLINK("mailto:idiez@crm.otsuka-europe.com", "idiez@crm.otsuka-europe.com")</f>
        <v>idiez@crm.otsuka-europe.com</v>
      </c>
      <c r="N6935" s="23">
        <v>46182.407511574071</v>
      </c>
      <c r="O6935" s="14" t="str">
        <f>HYPERLINK("https://otsuka-europe-crm.veevavault.com/ui/#object/email_activity__v/V8C00000003Q949", "EN-002092676")</f>
        <v>EN-002092676</v>
      </c>
    </row>
    <row r="6936" spans="1:15" ht="16" x14ac:dyDescent="0.2">
      <c r="A6936" s="19"/>
      <c r="B6936" s="19"/>
      <c r="C6936" s="19"/>
      <c r="D6936" s="19"/>
      <c r="E6936" s="19"/>
      <c r="F6936" s="19"/>
      <c r="G6936" s="19"/>
      <c r="H6936" s="19"/>
      <c r="I6936" s="19"/>
      <c r="J6936" s="19"/>
      <c r="K6936" s="19"/>
      <c r="L6936" s="19"/>
      <c r="M6936" s="19"/>
      <c r="N6936" s="19"/>
      <c r="O6936" s="14" t="str">
        <f>HYPERLINK("https://otsuka-europe-crm.veevavault.com/ui/#object/email_activity__v/V8C00000003S422", "EN-002093753")</f>
        <v>EN-002093753</v>
      </c>
    </row>
    <row r="6937" spans="1:15" ht="32" x14ac:dyDescent="0.2">
      <c r="A6937" s="7" t="str">
        <f>HYPERLINK("https://otsuka-europe-crm.veevavault.com/ui/#object/account__v/V4TZ06G6O71T7KA", "ROCIO ECHARRI CARRILLO")</f>
        <v>ROCIO ECHARRI CARRILLO</v>
      </c>
      <c r="B6937" s="7" t="str">
        <f>HYPERLINK("https://otsuka-europe-crm.veevavault.com/ui/#object/vcountry__v/VENZ000004SONF5", "ES")</f>
        <v>ES</v>
      </c>
      <c r="C6937" s="8" t="s">
        <v>41</v>
      </c>
      <c r="D6937" s="9" t="str">
        <f>HYPERLINK("https://otsuka-europe-crm.veevavault.com/ui/#object/approved_document__v/V5O00000001A037", "LUP - VAE Póster Adelphi - Nefro")</f>
        <v>LUP - VAE Póster Adelphi - Nefro</v>
      </c>
      <c r="E6937" s="10" t="str">
        <f>HYPERLINK("https://otsuka-europe-crm.veevavault.com/ui/#object/sent_email__v/VBL00000002R219", "SE-001434716")</f>
        <v>SE-001434716</v>
      </c>
      <c r="F6937" s="11"/>
      <c r="G6937" s="12">
        <v>0</v>
      </c>
      <c r="H6937" s="12">
        <v>0</v>
      </c>
      <c r="I6937" s="12">
        <v>0</v>
      </c>
      <c r="J6937" s="11"/>
      <c r="K6937" s="12">
        <v>0</v>
      </c>
      <c r="L6937" s="10" t="str">
        <f>HYPERLINK("https://otsuka-europe-crm.veevavault.com/ui/#object/approved_document__v/V5O00000001A037", "LUP - VAE Póster Adelphi - Nefro")</f>
        <v>LUP - VAE Póster Adelphi - Nefro</v>
      </c>
      <c r="M6937" s="10" t="str">
        <f>HYPERLINK("mailto:idiez@crm.otsuka-europe.com", "idiez@crm.otsuka-europe.com")</f>
        <v>idiez@crm.otsuka-europe.com</v>
      </c>
      <c r="N6937" s="13">
        <v>46182.407511574071</v>
      </c>
      <c r="O6937" s="14" t="str">
        <f>HYPERLINK("https://otsuka-europe-crm.veevavault.com/ui/#object/email_activity__v/V8C00000003Q944", "EN-002092662")</f>
        <v>EN-002092662</v>
      </c>
    </row>
    <row r="6938" spans="1:15" ht="32" x14ac:dyDescent="0.2">
      <c r="A6938" s="7" t="str">
        <f>HYPERLINK("https://otsuka-europe-crm.veevavault.com/ui/#object/account__v/V4TZ06G6O71TB12", "MARIA SAN MIGUEL MARQUES VIDAS")</f>
        <v>MARIA SAN MIGUEL MARQUES VIDAS</v>
      </c>
      <c r="B6938" s="7" t="str">
        <f>HYPERLINK("https://otsuka-europe-crm.veevavault.com/ui/#object/vcountry__v/VENZ000004SONF5", "ES")</f>
        <v>ES</v>
      </c>
      <c r="C6938" s="8" t="s">
        <v>41</v>
      </c>
      <c r="D6938" s="9" t="str">
        <f>HYPERLINK("https://otsuka-europe-crm.veevavault.com/ui/#object/approved_document__v/V5O00000001A037", "LUP - VAE Póster Adelphi - Nefro")</f>
        <v>LUP - VAE Póster Adelphi - Nefro</v>
      </c>
      <c r="E6938" s="10" t="str">
        <f>HYPERLINK("https://otsuka-europe-crm.veevavault.com/ui/#object/sent_email__v/VBL00000002R220", "SE-001434717")</f>
        <v>SE-001434717</v>
      </c>
      <c r="F6938" s="11"/>
      <c r="G6938" s="12">
        <v>0</v>
      </c>
      <c r="H6938" s="12">
        <v>0</v>
      </c>
      <c r="I6938" s="12">
        <v>0</v>
      </c>
      <c r="J6938" s="11"/>
      <c r="K6938" s="12">
        <v>0</v>
      </c>
      <c r="L6938" s="10" t="str">
        <f>HYPERLINK("https://otsuka-europe-crm.veevavault.com/ui/#object/approved_document__v/V5O00000001A037", "LUP - VAE Póster Adelphi - Nefro")</f>
        <v>LUP - VAE Póster Adelphi - Nefro</v>
      </c>
      <c r="M6938" s="10" t="str">
        <f>HYPERLINK("mailto:idiez@crm.otsuka-europe.com", "idiez@crm.otsuka-europe.com")</f>
        <v>idiez@crm.otsuka-europe.com</v>
      </c>
      <c r="N6938" s="13">
        <v>46182.407511574071</v>
      </c>
      <c r="O6938" s="14" t="str">
        <f>HYPERLINK("https://otsuka-europe-crm.veevavault.com/ui/#object/email_activity__v/V8C00000003Q956", "EN-002092687")</f>
        <v>EN-002092687</v>
      </c>
    </row>
    <row r="6939" spans="1:15" ht="16" x14ac:dyDescent="0.2">
      <c r="A6939" s="17" t="str">
        <f>HYPERLINK("https://otsuka-europe-crm.veevavault.com/ui/#object/account__v/V4TZ06G6O71TAWV", "MARIA ROSA MELERO MARTIN")</f>
        <v>MARIA ROSA MELERO MARTIN</v>
      </c>
      <c r="B6939" s="17" t="str">
        <f>HYPERLINK("https://otsuka-europe-crm.veevavault.com/ui/#object/vcountry__v/VENZ000004SONF5", "ES")</f>
        <v>ES</v>
      </c>
      <c r="C6939" s="20" t="s">
        <v>41</v>
      </c>
      <c r="D6939" s="21" t="str">
        <f>HYPERLINK("https://otsuka-europe-crm.veevavault.com/ui/#object/approved_document__v/V5O00000001A037", "LUP - VAE Póster Adelphi - Nefro")</f>
        <v>LUP - VAE Póster Adelphi - Nefro</v>
      </c>
      <c r="E6939" s="22" t="str">
        <f>HYPERLINK("https://otsuka-europe-crm.veevavault.com/ui/#object/sent_email__v/VBL00000002R221", "SE-001434718")</f>
        <v>SE-001434718</v>
      </c>
      <c r="F6939" s="23">
        <v>46183.447280092594</v>
      </c>
      <c r="G6939" s="24">
        <v>1</v>
      </c>
      <c r="H6939" s="24">
        <v>1</v>
      </c>
      <c r="I6939" s="24">
        <v>1</v>
      </c>
      <c r="J6939" s="23">
        <v>46183.447488425925</v>
      </c>
      <c r="K6939" s="24">
        <v>1</v>
      </c>
      <c r="L6939" s="22" t="str">
        <f>HYPERLINK("https://otsuka-europe-crm.veevavault.com/ui/#object/approved_document__v/V5O00000001A037", "LUP - VAE Póster Adelphi - Nefro")</f>
        <v>LUP - VAE Póster Adelphi - Nefro</v>
      </c>
      <c r="M6939" s="22" t="str">
        <f>HYPERLINK("mailto:idiez@crm.otsuka-europe.com", "idiez@crm.otsuka-europe.com")</f>
        <v>idiez@crm.otsuka-europe.com</v>
      </c>
      <c r="N6939" s="23">
        <v>46182.407546296294</v>
      </c>
      <c r="O6939" s="14" t="str">
        <f>HYPERLINK("https://otsuka-europe-crm.veevavault.com/ui/#object/email_activity__v/V8C00000003R453", "EN-002092629")</f>
        <v>EN-002092629</v>
      </c>
    </row>
    <row r="6940" spans="1:15" ht="16" x14ac:dyDescent="0.2">
      <c r="A6940" s="18"/>
      <c r="B6940" s="18"/>
      <c r="C6940" s="18"/>
      <c r="D6940" s="18"/>
      <c r="E6940" s="18"/>
      <c r="F6940" s="18"/>
      <c r="G6940" s="18"/>
      <c r="H6940" s="18"/>
      <c r="I6940" s="18"/>
      <c r="J6940" s="18"/>
      <c r="K6940" s="18"/>
      <c r="L6940" s="18"/>
      <c r="M6940" s="18"/>
      <c r="N6940" s="18"/>
      <c r="O6940" s="14" t="str">
        <f>HYPERLINK("https://otsuka-europe-crm.veevavault.com/ui/#object/email_activity__v/V8C00000003S618", "EN-002094151")</f>
        <v>EN-002094151</v>
      </c>
    </row>
    <row r="6941" spans="1:15" ht="16" x14ac:dyDescent="0.2">
      <c r="A6941" s="18"/>
      <c r="B6941" s="18"/>
      <c r="C6941" s="18"/>
      <c r="D6941" s="18"/>
      <c r="E6941" s="18"/>
      <c r="F6941" s="18"/>
      <c r="G6941" s="18"/>
      <c r="H6941" s="18"/>
      <c r="I6941" s="18"/>
      <c r="J6941" s="18"/>
      <c r="K6941" s="18"/>
      <c r="L6941" s="18"/>
      <c r="M6941" s="18"/>
      <c r="N6941" s="18"/>
      <c r="O6941" s="14" t="str">
        <f>HYPERLINK("https://otsuka-europe-crm.veevavault.com/ui/#object/email_activity__v/V8C00000003S619", "EN-002094152")</f>
        <v>EN-002094152</v>
      </c>
    </row>
    <row r="6942" spans="1:15" ht="16" x14ac:dyDescent="0.2">
      <c r="A6942" s="19"/>
      <c r="B6942" s="19"/>
      <c r="C6942" s="19"/>
      <c r="D6942" s="19"/>
      <c r="E6942" s="19"/>
      <c r="F6942" s="19"/>
      <c r="G6942" s="19"/>
      <c r="H6942" s="19"/>
      <c r="I6942" s="19"/>
      <c r="J6942" s="19"/>
      <c r="K6942" s="19"/>
      <c r="L6942" s="19"/>
      <c r="M6942" s="19"/>
      <c r="N6942" s="19"/>
      <c r="O6942" s="14" t="str">
        <f>HYPERLINK("https://otsuka-europe-crm.veevavault.com/ui/#object/email_activity__v/V8C00000003S636", "EN-002094175")</f>
        <v>EN-002094175</v>
      </c>
    </row>
    <row r="6943" spans="1:15" ht="16" x14ac:dyDescent="0.2">
      <c r="A6943" s="17" t="str">
        <f>HYPERLINK("https://otsuka-europe-crm.veevavault.com/ui/#object/account__v/V4TZ06G6O71TC30", "ROSA BENITA SANCHEZ HERNANDEZ")</f>
        <v>ROSA BENITA SANCHEZ HERNANDEZ</v>
      </c>
      <c r="B6943" s="17" t="str">
        <f>HYPERLINK("https://otsuka-europe-crm.veevavault.com/ui/#object/vcountry__v/VENZ000004SONF5", "ES")</f>
        <v>ES</v>
      </c>
      <c r="C6943" s="20" t="s">
        <v>41</v>
      </c>
      <c r="D6943" s="21" t="str">
        <f>HYPERLINK("https://otsuka-europe-crm.veevavault.com/ui/#object/approved_document__v/V5O00000001A037", "LUP - VAE Póster Adelphi - Nefro")</f>
        <v>LUP - VAE Póster Adelphi - Nefro</v>
      </c>
      <c r="E6943" s="22" t="str">
        <f>HYPERLINK("https://otsuka-europe-crm.veevavault.com/ui/#object/sent_email__v/VBL00000002R222", "SE-001434719")</f>
        <v>SE-001434719</v>
      </c>
      <c r="F6943" s="23">
        <v>46183.267893518518</v>
      </c>
      <c r="G6943" s="24">
        <v>1</v>
      </c>
      <c r="H6943" s="24">
        <v>2</v>
      </c>
      <c r="I6943" s="24">
        <v>0</v>
      </c>
      <c r="J6943" s="25"/>
      <c r="K6943" s="24">
        <v>0</v>
      </c>
      <c r="L6943" s="22" t="str">
        <f>HYPERLINK("https://otsuka-europe-crm.veevavault.com/ui/#object/approved_document__v/V5O00000001A037", "LUP - VAE Póster Adelphi - Nefro")</f>
        <v>LUP - VAE Póster Adelphi - Nefro</v>
      </c>
      <c r="M6943" s="22" t="str">
        <f>HYPERLINK("mailto:idiez@crm.otsuka-europe.com", "idiez@crm.otsuka-europe.com")</f>
        <v>idiez@crm.otsuka-europe.com</v>
      </c>
      <c r="N6943" s="23">
        <v>46182.407511574071</v>
      </c>
      <c r="O6943" s="14" t="str">
        <f>HYPERLINK("https://otsuka-europe-crm.veevavault.com/ui/#object/email_activity__v/V8C00000003Q941", "EN-002092652")</f>
        <v>EN-002092652</v>
      </c>
    </row>
    <row r="6944" spans="1:15" ht="16" x14ac:dyDescent="0.2">
      <c r="A6944" s="18"/>
      <c r="B6944" s="18"/>
      <c r="C6944" s="18"/>
      <c r="D6944" s="18"/>
      <c r="E6944" s="18"/>
      <c r="F6944" s="18"/>
      <c r="G6944" s="18"/>
      <c r="H6944" s="18"/>
      <c r="I6944" s="18"/>
      <c r="J6944" s="18"/>
      <c r="K6944" s="18"/>
      <c r="L6944" s="18"/>
      <c r="M6944" s="18"/>
      <c r="N6944" s="18"/>
      <c r="O6944" s="14" t="str">
        <f>HYPERLINK("https://otsuka-europe-crm.veevavault.com/ui/#object/email_activity__v/V8C00000003R480", "EN-002092661")</f>
        <v>EN-002092661</v>
      </c>
    </row>
    <row r="6945" spans="1:15" ht="16" x14ac:dyDescent="0.2">
      <c r="A6945" s="19"/>
      <c r="B6945" s="19"/>
      <c r="C6945" s="19"/>
      <c r="D6945" s="19"/>
      <c r="E6945" s="19"/>
      <c r="F6945" s="19"/>
      <c r="G6945" s="19"/>
      <c r="H6945" s="19"/>
      <c r="I6945" s="19"/>
      <c r="J6945" s="19"/>
      <c r="K6945" s="19"/>
      <c r="L6945" s="19"/>
      <c r="M6945" s="19"/>
      <c r="N6945" s="19"/>
      <c r="O6945" s="14" t="str">
        <f>HYPERLINK("https://otsuka-europe-crm.veevavault.com/ui/#object/email_activity__v/V8C00000003T139", "EN-002093832")</f>
        <v>EN-002093832</v>
      </c>
    </row>
    <row r="6946" spans="1:15" ht="32" x14ac:dyDescent="0.2">
      <c r="A6946" s="7" t="str">
        <f>HYPERLINK("https://otsuka-europe-crm.veevavault.com/ui/#object/account__v/V4TZ06G6O71T7CH", "LAURA GARCIA-PUENTE SUAREZ")</f>
        <v>LAURA GARCIA-PUENTE SUAREZ</v>
      </c>
      <c r="B6946" s="7" t="str">
        <f>HYPERLINK("https://otsuka-europe-crm.veevavault.com/ui/#object/vcountry__v/VENZ000004SONF5", "ES")</f>
        <v>ES</v>
      </c>
      <c r="C6946" s="8" t="s">
        <v>41</v>
      </c>
      <c r="D6946" s="9" t="str">
        <f>HYPERLINK("https://otsuka-europe-crm.veevavault.com/ui/#object/approved_document__v/V5O00000001A037", "LUP - VAE Póster Adelphi - Nefro")</f>
        <v>LUP - VAE Póster Adelphi - Nefro</v>
      </c>
      <c r="E6946" s="10" t="str">
        <f>HYPERLINK("https://otsuka-europe-crm.veevavault.com/ui/#object/sent_email__v/VBL00000002R223", "SE-001434720")</f>
        <v>SE-001434720</v>
      </c>
      <c r="F6946" s="11"/>
      <c r="G6946" s="12">
        <v>0</v>
      </c>
      <c r="H6946" s="12">
        <v>0</v>
      </c>
      <c r="I6946" s="12">
        <v>0</v>
      </c>
      <c r="J6946" s="11"/>
      <c r="K6946" s="12">
        <v>0</v>
      </c>
      <c r="L6946" s="10" t="str">
        <f>HYPERLINK("https://otsuka-europe-crm.veevavault.com/ui/#object/approved_document__v/V5O00000001A037", "LUP - VAE Póster Adelphi - Nefro")</f>
        <v>LUP - VAE Póster Adelphi - Nefro</v>
      </c>
      <c r="M6946" s="10" t="str">
        <f>HYPERLINK("mailto:idiez@crm.otsuka-europe.com", "idiez@crm.otsuka-europe.com")</f>
        <v>idiez@crm.otsuka-europe.com</v>
      </c>
      <c r="N6946" s="13">
        <v>46182.407546296294</v>
      </c>
      <c r="O6946" s="14" t="str">
        <f>HYPERLINK("https://otsuka-europe-crm.veevavault.com/ui/#object/email_activity__v/V8C00000003R455", "EN-002092631")</f>
        <v>EN-002092631</v>
      </c>
    </row>
    <row r="6947" spans="1:15" ht="32" x14ac:dyDescent="0.2">
      <c r="A6947" s="7" t="str">
        <f>HYPERLINK("https://otsuka-europe-crm.veevavault.com/ui/#object/account__v/V4TZ06G6O71TAX1", "JUAN ANTONIO MARTIN NAVARRO")</f>
        <v>JUAN ANTONIO MARTIN NAVARRO</v>
      </c>
      <c r="B6947" s="7" t="str">
        <f>HYPERLINK("https://otsuka-europe-crm.veevavault.com/ui/#object/vcountry__v/VENZ000004SONF5", "ES")</f>
        <v>ES</v>
      </c>
      <c r="C6947" s="8" t="s">
        <v>41</v>
      </c>
      <c r="D6947" s="9" t="str">
        <f>HYPERLINK("https://otsuka-europe-crm.veevavault.com/ui/#object/approved_document__v/V5O00000001A037", "LUP - VAE Póster Adelphi - Nefro")</f>
        <v>LUP - VAE Póster Adelphi - Nefro</v>
      </c>
      <c r="E6947" s="10" t="str">
        <f>HYPERLINK("https://otsuka-europe-crm.veevavault.com/ui/#object/sent_email__v/VBL00000002R224", "SE-001434721")</f>
        <v>SE-001434721</v>
      </c>
      <c r="F6947" s="11"/>
      <c r="G6947" s="12">
        <v>0</v>
      </c>
      <c r="H6947" s="12">
        <v>0</v>
      </c>
      <c r="I6947" s="12">
        <v>0</v>
      </c>
      <c r="J6947" s="11"/>
      <c r="K6947" s="12">
        <v>0</v>
      </c>
      <c r="L6947" s="10" t="str">
        <f>HYPERLINK("https://otsuka-europe-crm.veevavault.com/ui/#object/approved_document__v/V5O00000001A037", "LUP - VAE Póster Adelphi - Nefro")</f>
        <v>LUP - VAE Póster Adelphi - Nefro</v>
      </c>
      <c r="M6947" s="10" t="str">
        <f>HYPERLINK("mailto:idiez@crm.otsuka-europe.com", "idiez@crm.otsuka-europe.com")</f>
        <v>idiez@crm.otsuka-europe.com</v>
      </c>
      <c r="N6947" s="13">
        <v>46182.407511574071</v>
      </c>
      <c r="O6947" s="14" t="str">
        <f>HYPERLINK("https://otsuka-europe-crm.veevavault.com/ui/#object/email_activity__v/V8C00000003R472", "EN-002092649")</f>
        <v>EN-002092649</v>
      </c>
    </row>
    <row r="6948" spans="1:15" ht="16" x14ac:dyDescent="0.2">
      <c r="A6948" s="17" t="str">
        <f>HYPERLINK("https://otsuka-europe-crm.veevavault.com/ui/#object/account__v/V4TZ06G6O71TCKB", "URSULA VERDALLES GUZMAN")</f>
        <v>URSULA VERDALLES GUZMAN</v>
      </c>
      <c r="B6948" s="17" t="str">
        <f>HYPERLINK("https://otsuka-europe-crm.veevavault.com/ui/#object/vcountry__v/VENZ000004SONF5", "ES")</f>
        <v>ES</v>
      </c>
      <c r="C6948" s="20" t="s">
        <v>41</v>
      </c>
      <c r="D6948" s="21" t="str">
        <f>HYPERLINK("https://otsuka-europe-crm.veevavault.com/ui/#object/approved_document__v/V5O00000001A037", "LUP - VAE Póster Adelphi - Nefro")</f>
        <v>LUP - VAE Póster Adelphi - Nefro</v>
      </c>
      <c r="E6948" s="22" t="str">
        <f>HYPERLINK("https://otsuka-europe-crm.veevavault.com/ui/#object/sent_email__v/VBL00000002R225", "SE-001434722")</f>
        <v>SE-001434722</v>
      </c>
      <c r="F6948" s="25"/>
      <c r="G6948" s="24">
        <v>0</v>
      </c>
      <c r="H6948" s="24">
        <v>0</v>
      </c>
      <c r="I6948" s="24">
        <v>0</v>
      </c>
      <c r="J6948" s="25"/>
      <c r="K6948" s="24">
        <v>0</v>
      </c>
      <c r="L6948" s="22" t="str">
        <f>HYPERLINK("https://otsuka-europe-crm.veevavault.com/ui/#object/approved_document__v/V5O00000001A037", "LUP - VAE Póster Adelphi - Nefro")</f>
        <v>LUP - VAE Póster Adelphi - Nefro</v>
      </c>
      <c r="M6948" s="22" t="str">
        <f>HYPERLINK("mailto:idiez@crm.otsuka-europe.com", "idiez@crm.otsuka-europe.com")</f>
        <v>idiez@crm.otsuka-europe.com</v>
      </c>
      <c r="N6948" s="23">
        <v>46182.407511574071</v>
      </c>
      <c r="O6948" s="14" t="str">
        <f>HYPERLINK("https://otsuka-europe-crm.veevavault.com/ui/#object/email_activity__v/V8C00000003Q946", "EN-002092664")</f>
        <v>EN-002092664</v>
      </c>
    </row>
    <row r="6949" spans="1:15" ht="16" x14ac:dyDescent="0.2">
      <c r="A6949" s="18"/>
      <c r="B6949" s="18"/>
      <c r="C6949" s="18"/>
      <c r="D6949" s="18"/>
      <c r="E6949" s="18"/>
      <c r="F6949" s="18"/>
      <c r="G6949" s="18"/>
      <c r="H6949" s="18"/>
      <c r="I6949" s="18"/>
      <c r="J6949" s="18"/>
      <c r="K6949" s="18"/>
      <c r="L6949" s="18"/>
      <c r="M6949" s="18"/>
      <c r="N6949" s="18"/>
      <c r="O6949" s="14" t="str">
        <f>HYPERLINK("https://otsuka-europe-crm.veevavault.com/ui/#object/email_activity__v/V8C00000003R863", "EN-002093304")</f>
        <v>EN-002093304</v>
      </c>
    </row>
    <row r="6950" spans="1:15" ht="16" x14ac:dyDescent="0.2">
      <c r="A6950" s="19"/>
      <c r="B6950" s="19"/>
      <c r="C6950" s="19"/>
      <c r="D6950" s="19"/>
      <c r="E6950" s="19"/>
      <c r="F6950" s="19"/>
      <c r="G6950" s="19"/>
      <c r="H6950" s="19"/>
      <c r="I6950" s="19"/>
      <c r="J6950" s="19"/>
      <c r="K6950" s="19"/>
      <c r="L6950" s="19"/>
      <c r="M6950" s="19"/>
      <c r="N6950" s="19"/>
      <c r="O6950" s="14" t="str">
        <f>HYPERLINK("https://otsuka-europe-crm.veevavault.com/ui/#object/email_activity__v/V8C00000003S289", "EN-002093435")</f>
        <v>EN-002093435</v>
      </c>
    </row>
    <row r="6951" spans="1:15" ht="32" x14ac:dyDescent="0.2">
      <c r="A6951" s="7" t="str">
        <f>HYPERLINK("https://otsuka-europe-crm.veevavault.com/ui/#object/account__v/V4TZ06G6OAAU9JM", "SANTIAGO ANDRES CEDEÑO MORA")</f>
        <v>SANTIAGO ANDRES CEDEÑO MORA</v>
      </c>
      <c r="B6951" s="7" t="str">
        <f>HYPERLINK("https://otsuka-europe-crm.veevavault.com/ui/#object/vcountry__v/VENZ000004SONF5", "ES")</f>
        <v>ES</v>
      </c>
      <c r="C6951" s="8" t="s">
        <v>41</v>
      </c>
      <c r="D6951" s="9" t="str">
        <f>HYPERLINK("https://otsuka-europe-crm.veevavault.com/ui/#object/approved_document__v/V5O00000001A037", "LUP - VAE Póster Adelphi - Nefro")</f>
        <v>LUP - VAE Póster Adelphi - Nefro</v>
      </c>
      <c r="E6951" s="10" t="str">
        <f>HYPERLINK("https://otsuka-europe-crm.veevavault.com/ui/#object/sent_email__v/VBL00000002R226", "SE-001434723")</f>
        <v>SE-001434723</v>
      </c>
      <c r="F6951" s="11"/>
      <c r="G6951" s="12">
        <v>0</v>
      </c>
      <c r="H6951" s="12">
        <v>0</v>
      </c>
      <c r="I6951" s="12">
        <v>0</v>
      </c>
      <c r="J6951" s="11"/>
      <c r="K6951" s="12">
        <v>0</v>
      </c>
      <c r="L6951" s="10" t="str">
        <f>HYPERLINK("https://otsuka-europe-crm.veevavault.com/ui/#object/approved_document__v/V5O00000001A037", "LUP - VAE Póster Adelphi - Nefro")</f>
        <v>LUP - VAE Póster Adelphi - Nefro</v>
      </c>
      <c r="M6951" s="10" t="str">
        <f>HYPERLINK("mailto:idiez@crm.otsuka-europe.com", "idiez@crm.otsuka-europe.com")</f>
        <v>idiez@crm.otsuka-europe.com</v>
      </c>
      <c r="N6951" s="13">
        <v>46182.407511574071</v>
      </c>
      <c r="O6951" s="14" t="str">
        <f>HYPERLINK("https://otsuka-europe-crm.veevavault.com/ui/#object/email_activity__v/V8C00000003Q955", "EN-002092686")</f>
        <v>EN-002092686</v>
      </c>
    </row>
    <row r="6952" spans="1:15" ht="32" x14ac:dyDescent="0.2">
      <c r="A6952" s="7" t="str">
        <f>HYPERLINK("https://otsuka-europe-crm.veevavault.com/ui/#object/account__v/V4TZ06G6O71TBYM", "MARIA ASTRID RODRIGUEZ GOMEZ")</f>
        <v>MARIA ASTRID RODRIGUEZ GOMEZ</v>
      </c>
      <c r="B6952" s="7" t="str">
        <f>HYPERLINK("https://otsuka-europe-crm.veevavault.com/ui/#object/vcountry__v/VENZ000004SONF5", "ES")</f>
        <v>ES</v>
      </c>
      <c r="C6952" s="8" t="s">
        <v>41</v>
      </c>
      <c r="D6952" s="9" t="str">
        <f>HYPERLINK("https://otsuka-europe-crm.veevavault.com/ui/#object/approved_document__v/V5O00000001A037", "LUP - VAE Póster Adelphi - Nefro")</f>
        <v>LUP - VAE Póster Adelphi - Nefro</v>
      </c>
      <c r="E6952" s="10" t="str">
        <f>HYPERLINK("https://otsuka-europe-crm.veevavault.com/ui/#object/sent_email__v/VBL00000002R227", "SE-001434724")</f>
        <v>SE-001434724</v>
      </c>
      <c r="F6952" s="11"/>
      <c r="G6952" s="12">
        <v>0</v>
      </c>
      <c r="H6952" s="12">
        <v>0</v>
      </c>
      <c r="I6952" s="12">
        <v>0</v>
      </c>
      <c r="J6952" s="11"/>
      <c r="K6952" s="12">
        <v>0</v>
      </c>
      <c r="L6952" s="10" t="str">
        <f>HYPERLINK("https://otsuka-europe-crm.veevavault.com/ui/#object/approved_document__v/V5O00000001A037", "LUP - VAE Póster Adelphi - Nefro")</f>
        <v>LUP - VAE Póster Adelphi - Nefro</v>
      </c>
      <c r="M6952" s="10" t="str">
        <f>HYPERLINK("mailto:idiez@crm.otsuka-europe.com", "idiez@crm.otsuka-europe.com")</f>
        <v>idiez@crm.otsuka-europe.com</v>
      </c>
      <c r="N6952" s="13">
        <v>46182.407511574071</v>
      </c>
      <c r="O6952" s="14" t="str">
        <f>HYPERLINK("https://otsuka-europe-crm.veevavault.com/ui/#object/email_activity__v/V8C00000003R471", "EN-002092648")</f>
        <v>EN-002092648</v>
      </c>
    </row>
    <row r="6953" spans="1:15" ht="32" x14ac:dyDescent="0.2">
      <c r="A6953" s="7" t="str">
        <f>HYPERLINK("https://otsuka-europe-crm.veevavault.com/ui/#object/account__v/V4TZ025E87IFGCR", "MARIA VERONICA TORRES JARAMILLO")</f>
        <v>MARIA VERONICA TORRES JARAMILLO</v>
      </c>
      <c r="B6953" s="7" t="str">
        <f>HYPERLINK("https://otsuka-europe-crm.veevavault.com/ui/#object/vcountry__v/VENZ000004SONF5", "ES")</f>
        <v>ES</v>
      </c>
      <c r="C6953" s="8" t="s">
        <v>41</v>
      </c>
      <c r="D6953" s="9" t="str">
        <f>HYPERLINK("https://otsuka-europe-crm.veevavault.com/ui/#object/approved_document__v/V5O00000001A037", "LUP - VAE Póster Adelphi - Nefro")</f>
        <v>LUP - VAE Póster Adelphi - Nefro</v>
      </c>
      <c r="E6953" s="10" t="str">
        <f>HYPERLINK("https://otsuka-europe-crm.veevavault.com/ui/#object/sent_email__v/VBL00000002R228", "SE-001434725")</f>
        <v>SE-001434725</v>
      </c>
      <c r="F6953" s="11"/>
      <c r="G6953" s="12">
        <v>0</v>
      </c>
      <c r="H6953" s="12">
        <v>0</v>
      </c>
      <c r="I6953" s="12">
        <v>0</v>
      </c>
      <c r="J6953" s="11"/>
      <c r="K6953" s="12">
        <v>0</v>
      </c>
      <c r="L6953" s="10" t="str">
        <f>HYPERLINK("https://otsuka-europe-crm.veevavault.com/ui/#object/approved_document__v/V5O00000001A037", "LUP - VAE Póster Adelphi - Nefro")</f>
        <v>LUP - VAE Póster Adelphi - Nefro</v>
      </c>
      <c r="M6953" s="10" t="str">
        <f>HYPERLINK("mailto:idiez@crm.otsuka-europe.com", "idiez@crm.otsuka-europe.com")</f>
        <v>idiez@crm.otsuka-europe.com</v>
      </c>
      <c r="N6953" s="13">
        <v>46182.407546296294</v>
      </c>
      <c r="O6953" s="14" t="str">
        <f>HYPERLINK("https://otsuka-europe-crm.veevavault.com/ui/#object/email_activity__v/V8C00000003R452", "EN-002092628")</f>
        <v>EN-002092628</v>
      </c>
    </row>
    <row r="6954" spans="1:15" ht="16" x14ac:dyDescent="0.2">
      <c r="A6954" s="17" t="str">
        <f>HYPERLINK("https://otsuka-europe-crm.veevavault.com/ui/#object/account__v/V4TZ06G6O71TAGN", "LEONARDO CALLE GARCIA")</f>
        <v>LEONARDO CALLE GARCIA</v>
      </c>
      <c r="B6954" s="17" t="str">
        <f>HYPERLINK("https://otsuka-europe-crm.veevavault.com/ui/#object/vcountry__v/VENZ000004SONF5", "ES")</f>
        <v>ES</v>
      </c>
      <c r="C6954" s="20" t="s">
        <v>41</v>
      </c>
      <c r="D6954" s="21" t="str">
        <f>HYPERLINK("https://otsuka-europe-crm.veevavault.com/ui/#object/approved_document__v/V5O00000001A037", "LUP - VAE Póster Adelphi - Nefro")</f>
        <v>LUP - VAE Póster Adelphi - Nefro</v>
      </c>
      <c r="E6954" s="22" t="str">
        <f>HYPERLINK("https://otsuka-europe-crm.veevavault.com/ui/#object/sent_email__v/VBL00000002R229", "SE-001434726")</f>
        <v>SE-001434726</v>
      </c>
      <c r="F6954" s="25"/>
      <c r="G6954" s="24">
        <v>0</v>
      </c>
      <c r="H6954" s="24">
        <v>0</v>
      </c>
      <c r="I6954" s="24">
        <v>0</v>
      </c>
      <c r="J6954" s="25"/>
      <c r="K6954" s="24">
        <v>0</v>
      </c>
      <c r="L6954" s="22" t="str">
        <f>HYPERLINK("https://otsuka-europe-crm.veevavault.com/ui/#object/approved_document__v/V5O00000001A037", "LUP - VAE Póster Adelphi - Nefro")</f>
        <v>LUP - VAE Póster Adelphi - Nefro</v>
      </c>
      <c r="M6954" s="22" t="str">
        <f>HYPERLINK("mailto:idiez@crm.otsuka-europe.com", "idiez@crm.otsuka-europe.com")</f>
        <v>idiez@crm.otsuka-europe.com</v>
      </c>
      <c r="N6954" s="23">
        <v>46182.407511574071</v>
      </c>
      <c r="O6954" s="14" t="str">
        <f>HYPERLINK("https://otsuka-europe-crm.veevavault.com/ui/#object/email_activity__v/V8C00000003R463", "EN-002092639")</f>
        <v>EN-002092639</v>
      </c>
    </row>
    <row r="6955" spans="1:15" ht="16" x14ac:dyDescent="0.2">
      <c r="A6955" s="19"/>
      <c r="B6955" s="19"/>
      <c r="C6955" s="19"/>
      <c r="D6955" s="19"/>
      <c r="E6955" s="19"/>
      <c r="F6955" s="19"/>
      <c r="G6955" s="19"/>
      <c r="H6955" s="19"/>
      <c r="I6955" s="19"/>
      <c r="J6955" s="19"/>
      <c r="K6955" s="19"/>
      <c r="L6955" s="19"/>
      <c r="M6955" s="19"/>
      <c r="N6955" s="19"/>
      <c r="O6955" s="14" t="str">
        <f>HYPERLINK("https://otsuka-europe-crm.veevavault.com/ui/#object/email_activity__v/V8C00000003R557", "EN-002092776")</f>
        <v>EN-002092776</v>
      </c>
    </row>
    <row r="6956" spans="1:15" ht="32" x14ac:dyDescent="0.2">
      <c r="A6956" s="7" t="str">
        <f>HYPERLINK("https://otsuka-europe-crm.veevavault.com/ui/#object/account__v/V4TZ04ASG79QDZF", "SAUL ENRIQUE PAMPA SAICO")</f>
        <v>SAUL ENRIQUE PAMPA SAICO</v>
      </c>
      <c r="B6956" s="7" t="str">
        <f>HYPERLINK("https://otsuka-europe-crm.veevavault.com/ui/#object/vcountry__v/VENZ000004SONF5", "ES")</f>
        <v>ES</v>
      </c>
      <c r="C6956" s="8" t="s">
        <v>41</v>
      </c>
      <c r="D6956" s="9" t="str">
        <f>HYPERLINK("https://otsuka-europe-crm.veevavault.com/ui/#object/approved_document__v/V5O00000001A037", "LUP - VAE Póster Adelphi - Nefro")</f>
        <v>LUP - VAE Póster Adelphi - Nefro</v>
      </c>
      <c r="E6956" s="10" t="str">
        <f>HYPERLINK("https://otsuka-europe-crm.veevavault.com/ui/#object/sent_email__v/VBL00000002R230", "SE-001434727")</f>
        <v>SE-001434727</v>
      </c>
      <c r="F6956" s="11"/>
      <c r="G6956" s="12">
        <v>0</v>
      </c>
      <c r="H6956" s="12">
        <v>0</v>
      </c>
      <c r="I6956" s="12">
        <v>0</v>
      </c>
      <c r="J6956" s="11"/>
      <c r="K6956" s="12">
        <v>0</v>
      </c>
      <c r="L6956" s="10" t="str">
        <f>HYPERLINK("https://otsuka-europe-crm.veevavault.com/ui/#object/approved_document__v/V5O00000001A037", "LUP - VAE Póster Adelphi - Nefro")</f>
        <v>LUP - VAE Póster Adelphi - Nefro</v>
      </c>
      <c r="M6956" s="10" t="str">
        <f>HYPERLINK("mailto:idiez@crm.otsuka-europe.com", "idiez@crm.otsuka-europe.com")</f>
        <v>idiez@crm.otsuka-europe.com</v>
      </c>
      <c r="N6956" s="13">
        <v>46182.407511574071</v>
      </c>
      <c r="O6956" s="14" t="str">
        <f>HYPERLINK("https://otsuka-europe-crm.veevavault.com/ui/#object/email_activity__v/V8C00000003R488", "EN-002092673")</f>
        <v>EN-002092673</v>
      </c>
    </row>
    <row r="6957" spans="1:15" ht="16" x14ac:dyDescent="0.2">
      <c r="A6957" s="17" t="str">
        <f>HYPERLINK("https://otsuka-europe-crm.veevavault.com/ui/#object/account__v/V4TZ025E86ZQGNI", "LUCIA MARTIN TESTILLANO")</f>
        <v>LUCIA MARTIN TESTILLANO</v>
      </c>
      <c r="B6957" s="17" t="str">
        <f>HYPERLINK("https://otsuka-europe-crm.veevavault.com/ui/#object/vcountry__v/VENZ000004SONF5", "ES")</f>
        <v>ES</v>
      </c>
      <c r="C6957" s="20" t="s">
        <v>41</v>
      </c>
      <c r="D6957" s="21" t="str">
        <f>HYPERLINK("https://otsuka-europe-crm.veevavault.com/ui/#object/approved_document__v/V5O00000001A037", "LUP - VAE Póster Adelphi - Nefro")</f>
        <v>LUP - VAE Póster Adelphi - Nefro</v>
      </c>
      <c r="E6957" s="22" t="str">
        <f>HYPERLINK("https://otsuka-europe-crm.veevavault.com/ui/#object/sent_email__v/VBL00000002R231", "SE-001434728")</f>
        <v>SE-001434728</v>
      </c>
      <c r="F6957" s="23">
        <v>46184.755960648145</v>
      </c>
      <c r="G6957" s="24">
        <v>1</v>
      </c>
      <c r="H6957" s="24">
        <v>2</v>
      </c>
      <c r="I6957" s="24">
        <v>1</v>
      </c>
      <c r="J6957" s="23">
        <v>46184.756030092591</v>
      </c>
      <c r="K6957" s="24">
        <v>1</v>
      </c>
      <c r="L6957" s="22" t="str">
        <f>HYPERLINK("https://otsuka-europe-crm.veevavault.com/ui/#object/approved_document__v/V5O00000001A037", "LUP - VAE Póster Adelphi - Nefro")</f>
        <v>LUP - VAE Póster Adelphi - Nefro</v>
      </c>
      <c r="M6957" s="22" t="str">
        <f>HYPERLINK("mailto:idiez@crm.otsuka-europe.com", "idiez@crm.otsuka-europe.com")</f>
        <v>idiez@crm.otsuka-europe.com</v>
      </c>
      <c r="N6957" s="23">
        <v>46182.407523148147</v>
      </c>
      <c r="O6957" s="14" t="str">
        <f>HYPERLINK("https://otsuka-europe-crm.veevavault.com/ui/#object/email_activity__v/V8C00000003R461", "EN-002092637")</f>
        <v>EN-002092637</v>
      </c>
    </row>
    <row r="6958" spans="1:15" ht="16" x14ac:dyDescent="0.2">
      <c r="A6958" s="18"/>
      <c r="B6958" s="18"/>
      <c r="C6958" s="18"/>
      <c r="D6958" s="18"/>
      <c r="E6958" s="18"/>
      <c r="F6958" s="18"/>
      <c r="G6958" s="18"/>
      <c r="H6958" s="18"/>
      <c r="I6958" s="18"/>
      <c r="J6958" s="18"/>
      <c r="K6958" s="18"/>
      <c r="L6958" s="18"/>
      <c r="M6958" s="18"/>
      <c r="N6958" s="18"/>
      <c r="O6958" s="14" t="str">
        <f>HYPERLINK("https://otsuka-europe-crm.veevavault.com/ui/#object/email_activity__v/V8C00000003R494", "EN-002092692")</f>
        <v>EN-002092692</v>
      </c>
    </row>
    <row r="6959" spans="1:15" ht="16" x14ac:dyDescent="0.2">
      <c r="A6959" s="18"/>
      <c r="B6959" s="18"/>
      <c r="C6959" s="18"/>
      <c r="D6959" s="18"/>
      <c r="E6959" s="18"/>
      <c r="F6959" s="18"/>
      <c r="G6959" s="18"/>
      <c r="H6959" s="18"/>
      <c r="I6959" s="18"/>
      <c r="J6959" s="18"/>
      <c r="K6959" s="18"/>
      <c r="L6959" s="18"/>
      <c r="M6959" s="18"/>
      <c r="N6959" s="18"/>
      <c r="O6959" s="14" t="str">
        <f>HYPERLINK("https://otsuka-europe-crm.veevavault.com/ui/#object/email_activity__v/V8C00000003T588", "EN-002094802")</f>
        <v>EN-002094802</v>
      </c>
    </row>
    <row r="6960" spans="1:15" ht="16" x14ac:dyDescent="0.2">
      <c r="A6960" s="18"/>
      <c r="B6960" s="18"/>
      <c r="C6960" s="18"/>
      <c r="D6960" s="18"/>
      <c r="E6960" s="18"/>
      <c r="F6960" s="18"/>
      <c r="G6960" s="18"/>
      <c r="H6960" s="18"/>
      <c r="I6960" s="18"/>
      <c r="J6960" s="18"/>
      <c r="K6960" s="18"/>
      <c r="L6960" s="18"/>
      <c r="M6960" s="18"/>
      <c r="N6960" s="18"/>
      <c r="O6960" s="14" t="str">
        <f>HYPERLINK("https://otsuka-europe-crm.veevavault.com/ui/#object/email_activity__v/V8C00000003T589", "EN-002094803")</f>
        <v>EN-002094803</v>
      </c>
    </row>
    <row r="6961" spans="1:15" ht="16" x14ac:dyDescent="0.2">
      <c r="A6961" s="18"/>
      <c r="B6961" s="18"/>
      <c r="C6961" s="18"/>
      <c r="D6961" s="18"/>
      <c r="E6961" s="18"/>
      <c r="F6961" s="18"/>
      <c r="G6961" s="18"/>
      <c r="H6961" s="18"/>
      <c r="I6961" s="18"/>
      <c r="J6961" s="18"/>
      <c r="K6961" s="18"/>
      <c r="L6961" s="18"/>
      <c r="M6961" s="18"/>
      <c r="N6961" s="18"/>
      <c r="O6961" s="14" t="str">
        <f>HYPERLINK("https://otsuka-europe-crm.veevavault.com/ui/#object/email_activity__v/V8C00000003T592", "EN-002094806")</f>
        <v>EN-002094806</v>
      </c>
    </row>
    <row r="6962" spans="1:15" ht="16" x14ac:dyDescent="0.2">
      <c r="A6962" s="19"/>
      <c r="B6962" s="19"/>
      <c r="C6962" s="19"/>
      <c r="D6962" s="19"/>
      <c r="E6962" s="19"/>
      <c r="F6962" s="19"/>
      <c r="G6962" s="19"/>
      <c r="H6962" s="19"/>
      <c r="I6962" s="19"/>
      <c r="J6962" s="19"/>
      <c r="K6962" s="19"/>
      <c r="L6962" s="19"/>
      <c r="M6962" s="19"/>
      <c r="N6962" s="19"/>
      <c r="O6962" s="14" t="str">
        <f>HYPERLINK("https://otsuka-europe-crm.veevavault.com/ui/#object/email_activity__v/V8C00000003V496", "EN-002095795")</f>
        <v>EN-002095795</v>
      </c>
    </row>
    <row r="6963" spans="1:15" ht="32" x14ac:dyDescent="0.2">
      <c r="A6963" s="7" t="str">
        <f>HYPERLINK("https://otsuka-europe-crm.veevavault.com/ui/#object/account__v/V4TZ06G6O71TBJK", "MARIA VICTORIA OVIEDO GOMEZ")</f>
        <v>MARIA VICTORIA OVIEDO GOMEZ</v>
      </c>
      <c r="B6963" s="7" t="str">
        <f>HYPERLINK("https://otsuka-europe-crm.veevavault.com/ui/#object/vcountry__v/VENZ000004SONF5", "ES")</f>
        <v>ES</v>
      </c>
      <c r="C6963" s="8" t="s">
        <v>41</v>
      </c>
      <c r="D6963" s="9" t="str">
        <f>HYPERLINK("https://otsuka-europe-crm.veevavault.com/ui/#object/approved_document__v/V5O00000001A037", "LUP - VAE Póster Adelphi - Nefro")</f>
        <v>LUP - VAE Póster Adelphi - Nefro</v>
      </c>
      <c r="E6963" s="10" t="str">
        <f>HYPERLINK("https://otsuka-europe-crm.veevavault.com/ui/#object/sent_email__v/VBL00000002R232", "SE-001434729")</f>
        <v>SE-001434729</v>
      </c>
      <c r="F6963" s="11"/>
      <c r="G6963" s="12">
        <v>0</v>
      </c>
      <c r="H6963" s="12">
        <v>0</v>
      </c>
      <c r="I6963" s="12">
        <v>0</v>
      </c>
      <c r="J6963" s="11"/>
      <c r="K6963" s="12">
        <v>0</v>
      </c>
      <c r="L6963" s="10" t="str">
        <f>HYPERLINK("https://otsuka-europe-crm.veevavault.com/ui/#object/approved_document__v/V5O00000001A037", "LUP - VAE Póster Adelphi - Nefro")</f>
        <v>LUP - VAE Póster Adelphi - Nefro</v>
      </c>
      <c r="M6963" s="10" t="str">
        <f>HYPERLINK("mailto:idiez@crm.otsuka-europe.com", "idiez@crm.otsuka-europe.com")</f>
        <v>idiez@crm.otsuka-europe.com</v>
      </c>
      <c r="N6963" s="13">
        <v>46182.407523148147</v>
      </c>
      <c r="O6963" s="14" t="str">
        <f>HYPERLINK("https://otsuka-europe-crm.veevavault.com/ui/#object/email_activity__v/V8C00000003R477", "EN-002092658")</f>
        <v>EN-002092658</v>
      </c>
    </row>
    <row r="6964" spans="1:15" ht="16" x14ac:dyDescent="0.2">
      <c r="A6964" s="17" t="str">
        <f>HYPERLINK("https://otsuka-europe-crm.veevavault.com/ui/#object/account__v/V4TZ06G6OAAZ53R", "PABLO LUIS SANCHEZ GARROTE")</f>
        <v>PABLO LUIS SANCHEZ GARROTE</v>
      </c>
      <c r="B6964" s="17" t="str">
        <f>HYPERLINK("https://otsuka-europe-crm.veevavault.com/ui/#object/vcountry__v/VENZ000004SONF5", "ES")</f>
        <v>ES</v>
      </c>
      <c r="C6964" s="20" t="s">
        <v>41</v>
      </c>
      <c r="D6964" s="21" t="str">
        <f>HYPERLINK("https://otsuka-europe-crm.veevavault.com/ui/#object/approved_document__v/V5O00000001A037", "LUP - VAE Póster Adelphi - Nefro")</f>
        <v>LUP - VAE Póster Adelphi - Nefro</v>
      </c>
      <c r="E6964" s="22" t="str">
        <f>HYPERLINK("https://otsuka-europe-crm.veevavault.com/ui/#object/sent_email__v/VBL00000002R233", "SE-001434730")</f>
        <v>SE-001434730</v>
      </c>
      <c r="F6964" s="23">
        <v>46182.540092592593</v>
      </c>
      <c r="G6964" s="24">
        <v>1</v>
      </c>
      <c r="H6964" s="24">
        <v>1</v>
      </c>
      <c r="I6964" s="24">
        <v>1</v>
      </c>
      <c r="J6964" s="23">
        <v>46182.540092592593</v>
      </c>
      <c r="K6964" s="24">
        <v>1</v>
      </c>
      <c r="L6964" s="22" t="str">
        <f>HYPERLINK("https://otsuka-europe-crm.veevavault.com/ui/#object/approved_document__v/V5O00000001A037", "LUP - VAE Póster Adelphi - Nefro")</f>
        <v>LUP - VAE Póster Adelphi - Nefro</v>
      </c>
      <c r="M6964" s="22" t="str">
        <f>HYPERLINK("mailto:idiez@crm.otsuka-europe.com", "idiez@crm.otsuka-europe.com")</f>
        <v>idiez@crm.otsuka-europe.com</v>
      </c>
      <c r="N6964" s="23">
        <v>46182.407523148147</v>
      </c>
      <c r="O6964" s="14" t="str">
        <f>HYPERLINK("https://otsuka-europe-crm.veevavault.com/ui/#object/email_activity__v/V8C00000003R473", "EN-002092650")</f>
        <v>EN-002092650</v>
      </c>
    </row>
    <row r="6965" spans="1:15" ht="16" x14ac:dyDescent="0.2">
      <c r="A6965" s="18"/>
      <c r="B6965" s="18"/>
      <c r="C6965" s="18"/>
      <c r="D6965" s="18"/>
      <c r="E6965" s="18"/>
      <c r="F6965" s="18"/>
      <c r="G6965" s="18"/>
      <c r="H6965" s="18"/>
      <c r="I6965" s="18"/>
      <c r="J6965" s="18"/>
      <c r="K6965" s="18"/>
      <c r="L6965" s="18"/>
      <c r="M6965" s="18"/>
      <c r="N6965" s="18"/>
      <c r="O6965" s="14" t="str">
        <f>HYPERLINK("https://otsuka-europe-crm.veevavault.com/ui/#object/email_activity__v/V8C00000003R634", "EN-002092918")</f>
        <v>EN-002092918</v>
      </c>
    </row>
    <row r="6966" spans="1:15" ht="16" x14ac:dyDescent="0.2">
      <c r="A6966" s="18"/>
      <c r="B6966" s="18"/>
      <c r="C6966" s="18"/>
      <c r="D6966" s="18"/>
      <c r="E6966" s="18"/>
      <c r="F6966" s="18"/>
      <c r="G6966" s="18"/>
      <c r="H6966" s="18"/>
      <c r="I6966" s="18"/>
      <c r="J6966" s="18"/>
      <c r="K6966" s="18"/>
      <c r="L6966" s="18"/>
      <c r="M6966" s="18"/>
      <c r="N6966" s="18"/>
      <c r="O6966" s="14" t="str">
        <f>HYPERLINK("https://otsuka-europe-crm.veevavault.com/ui/#object/email_activity__v/V8C00000003R635", "EN-002092917")</f>
        <v>EN-002092917</v>
      </c>
    </row>
    <row r="6967" spans="1:15" ht="16" x14ac:dyDescent="0.2">
      <c r="A6967" s="18"/>
      <c r="B6967" s="18"/>
      <c r="C6967" s="18"/>
      <c r="D6967" s="18"/>
      <c r="E6967" s="18"/>
      <c r="F6967" s="18"/>
      <c r="G6967" s="18"/>
      <c r="H6967" s="18"/>
      <c r="I6967" s="18"/>
      <c r="J6967" s="18"/>
      <c r="K6967" s="18"/>
      <c r="L6967" s="18"/>
      <c r="M6967" s="18"/>
      <c r="N6967" s="18"/>
      <c r="O6967" s="14" t="str">
        <f>HYPERLINK("https://otsuka-europe-crm.veevavault.com/ui/#object/email_activity__v/V8C00000003S048", "EN-002092943")</f>
        <v>EN-002092943</v>
      </c>
    </row>
    <row r="6968" spans="1:15" ht="16" x14ac:dyDescent="0.2">
      <c r="A6968" s="18"/>
      <c r="B6968" s="18"/>
      <c r="C6968" s="18"/>
      <c r="D6968" s="18"/>
      <c r="E6968" s="18"/>
      <c r="F6968" s="18"/>
      <c r="G6968" s="18"/>
      <c r="H6968" s="18"/>
      <c r="I6968" s="18"/>
      <c r="J6968" s="18"/>
      <c r="K6968" s="18"/>
      <c r="L6968" s="18"/>
      <c r="M6968" s="18"/>
      <c r="N6968" s="18"/>
      <c r="O6968" s="14" t="str">
        <f>HYPERLINK("https://otsuka-europe-crm.veevavault.com/ui/#object/email_activity__v/V8C00000003S049", "EN-002092944")</f>
        <v>EN-002092944</v>
      </c>
    </row>
    <row r="6969" spans="1:15" ht="16" x14ac:dyDescent="0.2">
      <c r="A6969" s="19"/>
      <c r="B6969" s="19"/>
      <c r="C6969" s="19"/>
      <c r="D6969" s="19"/>
      <c r="E6969" s="19"/>
      <c r="F6969" s="19"/>
      <c r="G6969" s="19"/>
      <c r="H6969" s="19"/>
      <c r="I6969" s="19"/>
      <c r="J6969" s="19"/>
      <c r="K6969" s="19"/>
      <c r="L6969" s="19"/>
      <c r="M6969" s="19"/>
      <c r="N6969" s="19"/>
      <c r="O6969" s="14" t="str">
        <f>HYPERLINK("https://otsuka-europe-crm.veevavault.com/ui/#object/email_activity__v/V8C00000003S051", "EN-002092946")</f>
        <v>EN-002092946</v>
      </c>
    </row>
    <row r="6970" spans="1:15" ht="16" x14ac:dyDescent="0.2">
      <c r="A6970" s="17" t="str">
        <f>HYPERLINK("https://otsuka-europe-crm.veevavault.com/ui/#object/account__v/V4TZ06G6O71TAHA", "MARIA ESTHER HERNANDEZ GARCIA")</f>
        <v>MARIA ESTHER HERNANDEZ GARCIA</v>
      </c>
      <c r="B6970" s="17" t="str">
        <f>HYPERLINK("https://otsuka-europe-crm.veevavault.com/ui/#object/vcountry__v/VENZ000004SONF5", "ES")</f>
        <v>ES</v>
      </c>
      <c r="C6970" s="20" t="s">
        <v>41</v>
      </c>
      <c r="D6970" s="21" t="str">
        <f>HYPERLINK("https://otsuka-europe-crm.veevavault.com/ui/#object/approved_document__v/V5O00000001A037", "LUP - VAE Póster Adelphi - Nefro")</f>
        <v>LUP - VAE Póster Adelphi - Nefro</v>
      </c>
      <c r="E6970" s="22" t="str">
        <f>HYPERLINK("https://otsuka-europe-crm.veevavault.com/ui/#object/sent_email__v/VBL00000002R234", "SE-001434731")</f>
        <v>SE-001434731</v>
      </c>
      <c r="F6970" s="23">
        <v>46182.679074074076</v>
      </c>
      <c r="G6970" s="24">
        <v>1</v>
      </c>
      <c r="H6970" s="24">
        <v>1</v>
      </c>
      <c r="I6970" s="24">
        <v>0</v>
      </c>
      <c r="J6970" s="25"/>
      <c r="K6970" s="24">
        <v>0</v>
      </c>
      <c r="L6970" s="22" t="str">
        <f>HYPERLINK("https://otsuka-europe-crm.veevavault.com/ui/#object/approved_document__v/V5O00000001A037", "LUP - VAE Póster Adelphi - Nefro")</f>
        <v>LUP - VAE Póster Adelphi - Nefro</v>
      </c>
      <c r="M6970" s="22" t="str">
        <f>HYPERLINK("mailto:idiez@crm.otsuka-europe.com", "idiez@crm.otsuka-europe.com")</f>
        <v>idiez@crm.otsuka-europe.com</v>
      </c>
      <c r="N6970" s="23">
        <v>46182.407523148147</v>
      </c>
      <c r="O6970" s="14" t="str">
        <f>HYPERLINK("https://otsuka-europe-crm.veevavault.com/ui/#object/email_activity__v/V8C00000003R462", "EN-002092638")</f>
        <v>EN-002092638</v>
      </c>
    </row>
    <row r="6971" spans="1:15" ht="16" x14ac:dyDescent="0.2">
      <c r="A6971" s="18"/>
      <c r="B6971" s="18"/>
      <c r="C6971" s="18"/>
      <c r="D6971" s="18"/>
      <c r="E6971" s="18"/>
      <c r="F6971" s="18"/>
      <c r="G6971" s="18"/>
      <c r="H6971" s="18"/>
      <c r="I6971" s="18"/>
      <c r="J6971" s="18"/>
      <c r="K6971" s="18"/>
      <c r="L6971" s="18"/>
      <c r="M6971" s="18"/>
      <c r="N6971" s="18"/>
      <c r="O6971" s="14" t="str">
        <f>HYPERLINK("https://otsuka-europe-crm.veevavault.com/ui/#object/email_activity__v/V8C00000003S205", "EN-002093301")</f>
        <v>EN-002093301</v>
      </c>
    </row>
    <row r="6972" spans="1:15" ht="16" x14ac:dyDescent="0.2">
      <c r="A6972" s="19"/>
      <c r="B6972" s="19"/>
      <c r="C6972" s="19"/>
      <c r="D6972" s="19"/>
      <c r="E6972" s="19"/>
      <c r="F6972" s="19"/>
      <c r="G6972" s="19"/>
      <c r="H6972" s="19"/>
      <c r="I6972" s="19"/>
      <c r="J6972" s="19"/>
      <c r="K6972" s="19"/>
      <c r="L6972" s="19"/>
      <c r="M6972" s="19"/>
      <c r="N6972" s="19"/>
      <c r="O6972" s="14" t="str">
        <f>HYPERLINK("https://otsuka-europe-crm.veevavault.com/ui/#object/email_activity__v/V8C00000003T112", "EN-002093781")</f>
        <v>EN-002093781</v>
      </c>
    </row>
    <row r="6973" spans="1:15" ht="32" x14ac:dyDescent="0.2">
      <c r="A6973" s="7" t="str">
        <f>HYPERLINK("https://otsuka-europe-crm.veevavault.com/ui/#object/account__v/V4T00000000K033", "RAQUEL DIAZ MANCEBO")</f>
        <v>RAQUEL DIAZ MANCEBO</v>
      </c>
      <c r="B6973" s="7" t="str">
        <f>HYPERLINK("https://otsuka-europe-crm.veevavault.com/ui/#object/vcountry__v/VENZ000004SONF5", "ES")</f>
        <v>ES</v>
      </c>
      <c r="C6973" s="8" t="s">
        <v>41</v>
      </c>
      <c r="D6973" s="9" t="str">
        <f>HYPERLINK("https://otsuka-europe-crm.veevavault.com/ui/#object/approved_document__v/V5O00000001A037", "LUP - VAE Póster Adelphi - Nefro")</f>
        <v>LUP - VAE Póster Adelphi - Nefro</v>
      </c>
      <c r="E6973" s="10" t="str">
        <f>HYPERLINK("https://otsuka-europe-crm.veevavault.com/ui/#object/sent_email__v/VBL00000002R235", "SE-001434732")</f>
        <v>SE-001434732</v>
      </c>
      <c r="F6973" s="11"/>
      <c r="G6973" s="12">
        <v>0</v>
      </c>
      <c r="H6973" s="12">
        <v>0</v>
      </c>
      <c r="I6973" s="12">
        <v>0</v>
      </c>
      <c r="J6973" s="11"/>
      <c r="K6973" s="12">
        <v>0</v>
      </c>
      <c r="L6973" s="10" t="str">
        <f>HYPERLINK("https://otsuka-europe-crm.veevavault.com/ui/#object/approved_document__v/V5O00000001A037", "LUP - VAE Póster Adelphi - Nefro")</f>
        <v>LUP - VAE Póster Adelphi - Nefro</v>
      </c>
      <c r="M6973" s="10" t="str">
        <f>HYPERLINK("mailto:idiez@crm.otsuka-europe.com", "idiez@crm.otsuka-europe.com")</f>
        <v>idiez@crm.otsuka-europe.com</v>
      </c>
      <c r="N6973" s="13">
        <v>46182.407523148147</v>
      </c>
      <c r="O6973" s="14" t="str">
        <f>HYPERLINK("https://otsuka-europe-crm.veevavault.com/ui/#object/email_activity__v/V8C00000003Q950", "EN-002092681")</f>
        <v>EN-002092681</v>
      </c>
    </row>
    <row r="6974" spans="1:15" ht="16" x14ac:dyDescent="0.2">
      <c r="A6974" s="17" t="str">
        <f>HYPERLINK("https://otsuka-europe-crm.veevavault.com/ui/#object/account__v/V4TZ06G6O71TBNX", "JOSE MARIA PORTOLES PEREZ")</f>
        <v>JOSE MARIA PORTOLES PEREZ</v>
      </c>
      <c r="B6974" s="17" t="str">
        <f>HYPERLINK("https://otsuka-europe-crm.veevavault.com/ui/#object/vcountry__v/VENZ000004SONF5", "ES")</f>
        <v>ES</v>
      </c>
      <c r="C6974" s="20" t="s">
        <v>41</v>
      </c>
      <c r="D6974" s="21" t="str">
        <f>HYPERLINK("https://otsuka-europe-crm.veevavault.com/ui/#object/approved_document__v/V5O00000001A037", "LUP - VAE Póster Adelphi - Nefro")</f>
        <v>LUP - VAE Póster Adelphi - Nefro</v>
      </c>
      <c r="E6974" s="22" t="str">
        <f>HYPERLINK("https://otsuka-europe-crm.veevavault.com/ui/#object/sent_email__v/VBL00000002R236", "SE-001434733")</f>
        <v>SE-001434733</v>
      </c>
      <c r="F6974" s="23">
        <v>46182.462789351855</v>
      </c>
      <c r="G6974" s="24">
        <v>1</v>
      </c>
      <c r="H6974" s="24">
        <v>1</v>
      </c>
      <c r="I6974" s="24">
        <v>0</v>
      </c>
      <c r="J6974" s="25"/>
      <c r="K6974" s="24">
        <v>0</v>
      </c>
      <c r="L6974" s="22" t="str">
        <f>HYPERLINK("https://otsuka-europe-crm.veevavault.com/ui/#object/approved_document__v/V5O00000001A037", "LUP - VAE Póster Adelphi - Nefro")</f>
        <v>LUP - VAE Póster Adelphi - Nefro</v>
      </c>
      <c r="M6974" s="22" t="str">
        <f>HYPERLINK("mailto:idiez@crm.otsuka-europe.com", "idiez@crm.otsuka-europe.com")</f>
        <v>idiez@crm.otsuka-europe.com</v>
      </c>
      <c r="N6974" s="23">
        <v>46182.407523148147</v>
      </c>
      <c r="O6974" s="14" t="str">
        <f>HYPERLINK("https://otsuka-europe-crm.veevavault.com/ui/#object/email_activity__v/V8C00000003R485", "EN-002092670")</f>
        <v>EN-002092670</v>
      </c>
    </row>
    <row r="6975" spans="1:15" ht="16" x14ac:dyDescent="0.2">
      <c r="A6975" s="19"/>
      <c r="B6975" s="19"/>
      <c r="C6975" s="19"/>
      <c r="D6975" s="19"/>
      <c r="E6975" s="19"/>
      <c r="F6975" s="19"/>
      <c r="G6975" s="19"/>
      <c r="H6975" s="19"/>
      <c r="I6975" s="19"/>
      <c r="J6975" s="19"/>
      <c r="K6975" s="19"/>
      <c r="L6975" s="19"/>
      <c r="M6975" s="19"/>
      <c r="N6975" s="19"/>
      <c r="O6975" s="14" t="str">
        <f>HYPERLINK("https://otsuka-europe-crm.veevavault.com/ui/#object/email_activity__v/V8C00000003R595", "EN-002092841")</f>
        <v>EN-002092841</v>
      </c>
    </row>
    <row r="6976" spans="1:15" ht="32" x14ac:dyDescent="0.2">
      <c r="A6976" s="7" t="str">
        <f>HYPERLINK("https://otsuka-europe-crm.veevavault.com/ui/#object/account__v/V4TZ025E891G3D3", "MIGUEL ANGEL NAVAS JIMENEZ")</f>
        <v>MIGUEL ANGEL NAVAS JIMENEZ</v>
      </c>
      <c r="B6976" s="7" t="str">
        <f>HYPERLINK("https://otsuka-europe-crm.veevavault.com/ui/#object/vcountry__v/VENZ000004SONF5", "ES")</f>
        <v>ES</v>
      </c>
      <c r="C6976" s="8" t="s">
        <v>41</v>
      </c>
      <c r="D6976" s="9" t="str">
        <f>HYPERLINK("https://otsuka-europe-crm.veevavault.com/ui/#object/approved_document__v/V5O00000001A037", "LUP - VAE Póster Adelphi - Nefro")</f>
        <v>LUP - VAE Póster Adelphi - Nefro</v>
      </c>
      <c r="E6976" s="10" t="str">
        <f>HYPERLINK("https://otsuka-europe-crm.veevavault.com/ui/#object/sent_email__v/VBL00000002R237", "SE-001434734")</f>
        <v>SE-001434734</v>
      </c>
      <c r="F6976" s="11"/>
      <c r="G6976" s="12">
        <v>0</v>
      </c>
      <c r="H6976" s="12">
        <v>0</v>
      </c>
      <c r="I6976" s="12">
        <v>0</v>
      </c>
      <c r="J6976" s="11"/>
      <c r="K6976" s="12">
        <v>0</v>
      </c>
      <c r="L6976" s="10" t="str">
        <f>HYPERLINK("https://otsuka-europe-crm.veevavault.com/ui/#object/approved_document__v/V5O00000001A037", "LUP - VAE Póster Adelphi - Nefro")</f>
        <v>LUP - VAE Póster Adelphi - Nefro</v>
      </c>
      <c r="M6976" s="10" t="str">
        <f>HYPERLINK("mailto:idiez@crm.otsuka-europe.com", "idiez@crm.otsuka-europe.com")</f>
        <v>idiez@crm.otsuka-europe.com</v>
      </c>
      <c r="N6976" s="13">
        <v>46182.407523148147</v>
      </c>
      <c r="O6976" s="14" t="str">
        <f>HYPERLINK("https://otsuka-europe-crm.veevavault.com/ui/#object/email_activity__v/V8C00000003Q954", "EN-002092685")</f>
        <v>EN-002092685</v>
      </c>
    </row>
    <row r="6977" spans="1:15" ht="16" x14ac:dyDescent="0.2">
      <c r="A6977" s="17" t="str">
        <f>HYPERLINK("https://otsuka-europe-crm.veevavault.com/ui/#object/account__v/V4TZ06G6O71TA4R", "RAQUEL DE GRACIA NUÑEZ")</f>
        <v>RAQUEL DE GRACIA NUÑEZ</v>
      </c>
      <c r="B6977" s="17" t="str">
        <f>HYPERLINK("https://otsuka-europe-crm.veevavault.com/ui/#object/vcountry__v/VENZ000004SONF5", "ES")</f>
        <v>ES</v>
      </c>
      <c r="C6977" s="20" t="s">
        <v>41</v>
      </c>
      <c r="D6977" s="21" t="str">
        <f>HYPERLINK("https://otsuka-europe-crm.veevavault.com/ui/#object/approved_document__v/V5O00000001A037", "LUP - VAE Póster Adelphi - Nefro")</f>
        <v>LUP - VAE Póster Adelphi - Nefro</v>
      </c>
      <c r="E6977" s="22" t="str">
        <f>HYPERLINK("https://otsuka-europe-crm.veevavault.com/ui/#object/sent_email__v/VBL00000002R238", "SE-001434735")</f>
        <v>SE-001434735</v>
      </c>
      <c r="F6977" s="23">
        <v>46182.410486111112</v>
      </c>
      <c r="G6977" s="24">
        <v>1</v>
      </c>
      <c r="H6977" s="24">
        <v>1</v>
      </c>
      <c r="I6977" s="24">
        <v>0</v>
      </c>
      <c r="J6977" s="25"/>
      <c r="K6977" s="24">
        <v>0</v>
      </c>
      <c r="L6977" s="22" t="str">
        <f>HYPERLINK("https://otsuka-europe-crm.veevavault.com/ui/#object/approved_document__v/V5O00000001A037", "LUP - VAE Póster Adelphi - Nefro")</f>
        <v>LUP - VAE Póster Adelphi - Nefro</v>
      </c>
      <c r="M6977" s="22" t="str">
        <f>HYPERLINK("mailto:idiez@crm.otsuka-europe.com", "idiez@crm.otsuka-europe.com")</f>
        <v>idiez@crm.otsuka-europe.com</v>
      </c>
      <c r="N6977" s="23">
        <v>46182.407546296294</v>
      </c>
      <c r="O6977" s="14" t="str">
        <f>HYPERLINK("https://otsuka-europe-crm.veevavault.com/ui/#object/email_activity__v/V8C00000003R456", "EN-002092632")</f>
        <v>EN-002092632</v>
      </c>
    </row>
    <row r="6978" spans="1:15" ht="16" x14ac:dyDescent="0.2">
      <c r="A6978" s="19"/>
      <c r="B6978" s="19"/>
      <c r="C6978" s="19"/>
      <c r="D6978" s="19"/>
      <c r="E6978" s="19"/>
      <c r="F6978" s="19"/>
      <c r="G6978" s="19"/>
      <c r="H6978" s="19"/>
      <c r="I6978" s="19"/>
      <c r="J6978" s="19"/>
      <c r="K6978" s="19"/>
      <c r="L6978" s="19"/>
      <c r="M6978" s="19"/>
      <c r="N6978" s="19"/>
      <c r="O6978" s="14" t="str">
        <f>HYPERLINK("https://otsuka-europe-crm.veevavault.com/ui/#object/email_activity__v/V8C00000003R544", "EN-002092746")</f>
        <v>EN-002092746</v>
      </c>
    </row>
    <row r="6979" spans="1:15" ht="32" x14ac:dyDescent="0.2">
      <c r="A6979" s="7" t="str">
        <f>HYPERLINK("https://otsuka-europe-crm.veevavault.com/ui/#object/account__v/V4TZ06G6OCBJ2CM", "NOELIA SANZ MARTIN")</f>
        <v>NOELIA SANZ MARTIN</v>
      </c>
      <c r="B6979" s="7" t="str">
        <f>HYPERLINK("https://otsuka-europe-crm.veevavault.com/ui/#object/vcountry__v/VENZ000004SONF5", "ES")</f>
        <v>ES</v>
      </c>
      <c r="C6979" s="8" t="s">
        <v>41</v>
      </c>
      <c r="D6979" s="9" t="str">
        <f>HYPERLINK("https://otsuka-europe-crm.veevavault.com/ui/#object/approved_document__v/V5O00000001A037", "LUP - VAE Póster Adelphi - Nefro")</f>
        <v>LUP - VAE Póster Adelphi - Nefro</v>
      </c>
      <c r="E6979" s="10" t="str">
        <f>HYPERLINK("https://otsuka-europe-crm.veevavault.com/ui/#object/sent_email__v/VBL00000002R239", "SE-001434736")</f>
        <v>SE-001434736</v>
      </c>
      <c r="F6979" s="11"/>
      <c r="G6979" s="12">
        <v>0</v>
      </c>
      <c r="H6979" s="12">
        <v>0</v>
      </c>
      <c r="I6979" s="12">
        <v>0</v>
      </c>
      <c r="J6979" s="11"/>
      <c r="K6979" s="12">
        <v>0</v>
      </c>
      <c r="L6979" s="10" t="str">
        <f>HYPERLINK("https://otsuka-europe-crm.veevavault.com/ui/#object/approved_document__v/V5O00000001A037", "LUP - VAE Póster Adelphi - Nefro")</f>
        <v>LUP - VAE Póster Adelphi - Nefro</v>
      </c>
      <c r="M6979" s="10" t="str">
        <f>HYPERLINK("mailto:idiez@crm.otsuka-europe.com", "idiez@crm.otsuka-europe.com")</f>
        <v>idiez@crm.otsuka-europe.com</v>
      </c>
      <c r="N6979" s="13">
        <v>46182.407523148147</v>
      </c>
      <c r="O6979" s="14" t="str">
        <f>HYPERLINK("https://otsuka-europe-crm.veevavault.com/ui/#object/email_activity__v/V8C00000003R465", "EN-002092641")</f>
        <v>EN-002092641</v>
      </c>
    </row>
    <row r="6980" spans="1:15" ht="16" x14ac:dyDescent="0.2">
      <c r="A6980" s="17" t="str">
        <f>HYPERLINK("https://otsuka-europe-crm.veevavault.com/ui/#object/account__v/V4TZ06G6O71T8T6", "JAVIER CARBAYO LOPEZ DE PABLO")</f>
        <v>JAVIER CARBAYO LOPEZ DE PABLO</v>
      </c>
      <c r="B6980" s="17" t="str">
        <f>HYPERLINK("https://otsuka-europe-crm.veevavault.com/ui/#object/vcountry__v/VENZ000004SONF5", "ES")</f>
        <v>ES</v>
      </c>
      <c r="C6980" s="20" t="s">
        <v>41</v>
      </c>
      <c r="D6980" s="21" t="str">
        <f>HYPERLINK("https://otsuka-europe-crm.veevavault.com/ui/#object/approved_document__v/V5O00000001A037", "LUP - VAE Póster Adelphi - Nefro")</f>
        <v>LUP - VAE Póster Adelphi - Nefro</v>
      </c>
      <c r="E6980" s="22" t="str">
        <f>HYPERLINK("https://otsuka-europe-crm.veevavault.com/ui/#object/sent_email__v/VBL00000002R240", "SE-001434737")</f>
        <v>SE-001434737</v>
      </c>
      <c r="F6980" s="23">
        <v>46182.411215277774</v>
      </c>
      <c r="G6980" s="24">
        <v>1</v>
      </c>
      <c r="H6980" s="24">
        <v>1</v>
      </c>
      <c r="I6980" s="24">
        <v>0</v>
      </c>
      <c r="J6980" s="25"/>
      <c r="K6980" s="24">
        <v>0</v>
      </c>
      <c r="L6980" s="22" t="str">
        <f>HYPERLINK("https://otsuka-europe-crm.veevavault.com/ui/#object/approved_document__v/V5O00000001A037", "LUP - VAE Póster Adelphi - Nefro")</f>
        <v>LUP - VAE Póster Adelphi - Nefro</v>
      </c>
      <c r="M6980" s="22" t="str">
        <f>HYPERLINK("mailto:idiez@crm.otsuka-europe.com", "idiez@crm.otsuka-europe.com")</f>
        <v>idiez@crm.otsuka-europe.com</v>
      </c>
      <c r="N6980" s="23">
        <v>46182.407523148147</v>
      </c>
      <c r="O6980" s="14" t="str">
        <f>HYPERLINK("https://otsuka-europe-crm.veevavault.com/ui/#object/email_activity__v/V8C00000003R486", "EN-002092671")</f>
        <v>EN-002092671</v>
      </c>
    </row>
    <row r="6981" spans="1:15" ht="16" x14ac:dyDescent="0.2">
      <c r="A6981" s="19"/>
      <c r="B6981" s="19"/>
      <c r="C6981" s="19"/>
      <c r="D6981" s="19"/>
      <c r="E6981" s="19"/>
      <c r="F6981" s="19"/>
      <c r="G6981" s="19"/>
      <c r="H6981" s="19"/>
      <c r="I6981" s="19"/>
      <c r="J6981" s="19"/>
      <c r="K6981" s="19"/>
      <c r="L6981" s="19"/>
      <c r="M6981" s="19"/>
      <c r="N6981" s="19"/>
      <c r="O6981" s="14" t="str">
        <f>HYPERLINK("https://otsuka-europe-crm.veevavault.com/ui/#object/email_activity__v/V8C00000003R545", "EN-002092748")</f>
        <v>EN-002092748</v>
      </c>
    </row>
    <row r="6982" spans="1:15" ht="32" x14ac:dyDescent="0.2">
      <c r="A6982" s="7" t="str">
        <f>HYPERLINK("https://otsuka-europe-crm.veevavault.com/ui/#object/account__v/V4TZ025E8720CEX", "LUCIA CORDERO GARCIA-GALAN")</f>
        <v>LUCIA CORDERO GARCIA-GALAN</v>
      </c>
      <c r="B6982" s="7" t="str">
        <f>HYPERLINK("https://otsuka-europe-crm.veevavault.com/ui/#object/vcountry__v/VENZ000004SONF5", "ES")</f>
        <v>ES</v>
      </c>
      <c r="C6982" s="8" t="s">
        <v>41</v>
      </c>
      <c r="D6982" s="9" t="str">
        <f>HYPERLINK("https://otsuka-europe-crm.veevavault.com/ui/#object/approved_document__v/V5O00000001A037", "LUP - VAE Póster Adelphi - Nefro")</f>
        <v>LUP - VAE Póster Adelphi - Nefro</v>
      </c>
      <c r="E6982" s="10" t="str">
        <f>HYPERLINK("https://otsuka-europe-crm.veevavault.com/ui/#object/sent_email__v/VBL00000002R241", "SE-001434738")</f>
        <v>SE-001434738</v>
      </c>
      <c r="F6982" s="11"/>
      <c r="G6982" s="12">
        <v>0</v>
      </c>
      <c r="H6982" s="12">
        <v>0</v>
      </c>
      <c r="I6982" s="12">
        <v>0</v>
      </c>
      <c r="J6982" s="11"/>
      <c r="K6982" s="12">
        <v>0</v>
      </c>
      <c r="L6982" s="10" t="str">
        <f>HYPERLINK("https://otsuka-europe-crm.veevavault.com/ui/#object/approved_document__v/V5O00000001A037", "LUP - VAE Póster Adelphi - Nefro")</f>
        <v>LUP - VAE Póster Adelphi - Nefro</v>
      </c>
      <c r="M6982" s="10" t="str">
        <f>HYPERLINK("mailto:idiez@crm.otsuka-europe.com", "idiez@crm.otsuka-europe.com")</f>
        <v>idiez@crm.otsuka-europe.com</v>
      </c>
      <c r="N6982" s="13">
        <v>46182.407523148147</v>
      </c>
      <c r="O6982" s="14" t="str">
        <f>HYPERLINK("https://otsuka-europe-crm.veevavault.com/ui/#object/email_activity__v/V8C00000003R478", "EN-002092659")</f>
        <v>EN-002092659</v>
      </c>
    </row>
    <row r="6983" spans="1:15" ht="16" x14ac:dyDescent="0.2">
      <c r="A6983" s="17" t="str">
        <f>HYPERLINK("https://otsuka-europe-crm.veevavault.com/ui/#object/account__v/V4TZ04ASGGCGCO4", "TERESA RONDA SERRAT")</f>
        <v>TERESA RONDA SERRAT</v>
      </c>
      <c r="B6983" s="17" t="str">
        <f>HYPERLINK("https://otsuka-europe-crm.veevavault.com/ui/#object/vcountry__v/VENZ000004SONF5", "ES")</f>
        <v>ES</v>
      </c>
      <c r="C6983" s="20" t="s">
        <v>41</v>
      </c>
      <c r="D6983" s="21" t="str">
        <f>HYPERLINK("https://otsuka-europe-crm.veevavault.com/ui/#object/approved_document__v/V5O00000001A037", "LUP - VAE Póster Adelphi - Nefro")</f>
        <v>LUP - VAE Póster Adelphi - Nefro</v>
      </c>
      <c r="E6983" s="22" t="str">
        <f>HYPERLINK("https://otsuka-europe-crm.veevavault.com/ui/#object/sent_email__v/VBL00000002R242", "SE-001434739")</f>
        <v>SE-001434739</v>
      </c>
      <c r="F6983" s="23">
        <v>46182.440694444442</v>
      </c>
      <c r="G6983" s="24">
        <v>1</v>
      </c>
      <c r="H6983" s="24">
        <v>1</v>
      </c>
      <c r="I6983" s="24">
        <v>0</v>
      </c>
      <c r="J6983" s="25"/>
      <c r="K6983" s="24">
        <v>0</v>
      </c>
      <c r="L6983" s="22" t="str">
        <f>HYPERLINK("https://otsuka-europe-crm.veevavault.com/ui/#object/approved_document__v/V5O00000001A037", "LUP - VAE Póster Adelphi - Nefro")</f>
        <v>LUP - VAE Póster Adelphi - Nefro</v>
      </c>
      <c r="M6983" s="22" t="str">
        <f>HYPERLINK("mailto:idiez@crm.otsuka-europe.com", "idiez@crm.otsuka-europe.com")</f>
        <v>idiez@crm.otsuka-europe.com</v>
      </c>
      <c r="N6983" s="23">
        <v>46182.407500000001</v>
      </c>
      <c r="O6983" s="14" t="str">
        <f>HYPERLINK("https://otsuka-europe-crm.veevavault.com/ui/#object/email_activity__v/V8C00000003Q940", "EN-002092651")</f>
        <v>EN-002092651</v>
      </c>
    </row>
    <row r="6984" spans="1:15" ht="16" x14ac:dyDescent="0.2">
      <c r="A6984" s="19"/>
      <c r="B6984" s="19"/>
      <c r="C6984" s="19"/>
      <c r="D6984" s="19"/>
      <c r="E6984" s="19"/>
      <c r="F6984" s="19"/>
      <c r="G6984" s="19"/>
      <c r="H6984" s="19"/>
      <c r="I6984" s="19"/>
      <c r="J6984" s="19"/>
      <c r="K6984" s="19"/>
      <c r="L6984" s="19"/>
      <c r="M6984" s="19"/>
      <c r="N6984" s="19"/>
      <c r="O6984" s="14" t="str">
        <f>HYPERLINK("https://otsuka-europe-crm.veevavault.com/ui/#object/email_activity__v/V8C00000003R577", "EN-002092809")</f>
        <v>EN-002092809</v>
      </c>
    </row>
    <row r="6985" spans="1:15" ht="16" x14ac:dyDescent="0.2">
      <c r="A6985" s="17" t="str">
        <f>HYPERLINK("https://otsuka-europe-crm.veevavault.com/ui/#object/account__v/V4TZ06G6O71T830", "JOSE MARIA BAUTISTA CAÑAS")</f>
        <v>JOSE MARIA BAUTISTA CAÑAS</v>
      </c>
      <c r="B6985" s="17" t="str">
        <f>HYPERLINK("https://otsuka-europe-crm.veevavault.com/ui/#object/vcountry__v/VENZ000004SONF5", "ES")</f>
        <v>ES</v>
      </c>
      <c r="C6985" s="20" t="s">
        <v>41</v>
      </c>
      <c r="D6985" s="21" t="str">
        <f>HYPERLINK("https://otsuka-europe-crm.veevavault.com/ui/#object/approved_document__v/V5O00000001A037", "LUP - VAE Póster Adelphi - Nefro")</f>
        <v>LUP - VAE Póster Adelphi - Nefro</v>
      </c>
      <c r="E6985" s="22" t="str">
        <f>HYPERLINK("https://otsuka-europe-crm.veevavault.com/ui/#object/sent_email__v/VBL00000002R243", "SE-001434740")</f>
        <v>SE-001434740</v>
      </c>
      <c r="F6985" s="25"/>
      <c r="G6985" s="24">
        <v>0</v>
      </c>
      <c r="H6985" s="24">
        <v>0</v>
      </c>
      <c r="I6985" s="24">
        <v>0</v>
      </c>
      <c r="J6985" s="25"/>
      <c r="K6985" s="24">
        <v>0</v>
      </c>
      <c r="L6985" s="22" t="str">
        <f>HYPERLINK("https://otsuka-europe-crm.veevavault.com/ui/#object/approved_document__v/V5O00000001A037", "LUP - VAE Póster Adelphi - Nefro")</f>
        <v>LUP - VAE Póster Adelphi - Nefro</v>
      </c>
      <c r="M6985" s="22" t="str">
        <f>HYPERLINK("mailto:idiez@crm.otsuka-europe.com", "idiez@crm.otsuka-europe.com")</f>
        <v>idiez@crm.otsuka-europe.com</v>
      </c>
      <c r="N6985" s="23">
        <v>46182.407500000001</v>
      </c>
      <c r="O6985" s="14" t="str">
        <f>HYPERLINK("https://otsuka-europe-crm.veevavault.com/ui/#object/email_activity__v/V8C00000003R470", "EN-002092647")</f>
        <v>EN-002092647</v>
      </c>
    </row>
    <row r="6986" spans="1:15" ht="16" x14ac:dyDescent="0.2">
      <c r="A6986" s="19"/>
      <c r="B6986" s="19"/>
      <c r="C6986" s="19"/>
      <c r="D6986" s="19"/>
      <c r="E6986" s="19"/>
      <c r="F6986" s="19"/>
      <c r="G6986" s="19"/>
      <c r="H6986" s="19"/>
      <c r="I6986" s="19"/>
      <c r="J6986" s="19"/>
      <c r="K6986" s="19"/>
      <c r="L6986" s="19"/>
      <c r="M6986" s="19"/>
      <c r="N6986" s="19"/>
      <c r="O6986" s="14" t="str">
        <f>HYPERLINK("https://otsuka-europe-crm.veevavault.com/ui/#object/email_activity__v/V8C00000003S053", "EN-002092949")</f>
        <v>EN-002092949</v>
      </c>
    </row>
    <row r="6987" spans="1:15" ht="16" x14ac:dyDescent="0.2">
      <c r="A6987" s="17" t="str">
        <f>HYPERLINK("https://otsuka-europe-crm.veevavault.com/ui/#object/account__v/V4TZ06G6O71T8D6", "RAQUEL ESTERAS RUBIO")</f>
        <v>RAQUEL ESTERAS RUBIO</v>
      </c>
      <c r="B6987" s="17" t="str">
        <f>HYPERLINK("https://otsuka-europe-crm.veevavault.com/ui/#object/vcountry__v/VENZ000004SONF5", "ES")</f>
        <v>ES</v>
      </c>
      <c r="C6987" s="20" t="s">
        <v>41</v>
      </c>
      <c r="D6987" s="21" t="str">
        <f>HYPERLINK("https://otsuka-europe-crm.veevavault.com/ui/#object/approved_document__v/V5O00000001A037", "LUP - VAE Póster Adelphi - Nefro")</f>
        <v>LUP - VAE Póster Adelphi - Nefro</v>
      </c>
      <c r="E6987" s="22" t="str">
        <f>HYPERLINK("https://otsuka-europe-crm.veevavault.com/ui/#object/sent_email__v/VBL00000002R244", "SE-001434741")</f>
        <v>SE-001434741</v>
      </c>
      <c r="F6987" s="25"/>
      <c r="G6987" s="24">
        <v>0</v>
      </c>
      <c r="H6987" s="24">
        <v>0</v>
      </c>
      <c r="I6987" s="24">
        <v>0</v>
      </c>
      <c r="J6987" s="25"/>
      <c r="K6987" s="24">
        <v>0</v>
      </c>
      <c r="L6987" s="22" t="str">
        <f>HYPERLINK("https://otsuka-europe-crm.veevavault.com/ui/#object/approved_document__v/V5O00000001A037", "LUP - VAE Póster Adelphi - Nefro")</f>
        <v>LUP - VAE Póster Adelphi - Nefro</v>
      </c>
      <c r="M6987" s="22" t="str">
        <f>HYPERLINK("mailto:idiez@crm.otsuka-europe.com", "idiez@crm.otsuka-europe.com")</f>
        <v>idiez@crm.otsuka-europe.com</v>
      </c>
      <c r="N6987" s="23">
        <v>46182.407500000001</v>
      </c>
      <c r="O6987" s="14" t="str">
        <f>HYPERLINK("https://otsuka-europe-crm.veevavault.com/ui/#object/email_activity__v/V8C00000003R459", "EN-002092635")</f>
        <v>EN-002092635</v>
      </c>
    </row>
    <row r="6988" spans="1:15" ht="16" x14ac:dyDescent="0.2">
      <c r="A6988" s="19"/>
      <c r="B6988" s="19"/>
      <c r="C6988" s="19"/>
      <c r="D6988" s="19"/>
      <c r="E6988" s="19"/>
      <c r="F6988" s="19"/>
      <c r="G6988" s="19"/>
      <c r="H6988" s="19"/>
      <c r="I6988" s="19"/>
      <c r="J6988" s="19"/>
      <c r="K6988" s="19"/>
      <c r="L6988" s="19"/>
      <c r="M6988" s="19"/>
      <c r="N6988" s="19"/>
      <c r="O6988" s="14" t="str">
        <f>HYPERLINK("https://otsuka-europe-crm.veevavault.com/ui/#object/email_activity__v/V8C00000003T405", "EN-002094428")</f>
        <v>EN-002094428</v>
      </c>
    </row>
    <row r="6989" spans="1:15" ht="16" x14ac:dyDescent="0.2">
      <c r="A6989" s="17" t="str">
        <f>HYPERLINK("https://otsuka-europe-crm.veevavault.com/ui/#object/account__v/V4TZ025E84AZT6U", "MIRYAM ELENA POLO CANOVAS")</f>
        <v>MIRYAM ELENA POLO CANOVAS</v>
      </c>
      <c r="B6989" s="17" t="str">
        <f>HYPERLINK("https://otsuka-europe-crm.veevavault.com/ui/#object/vcountry__v/VENZ000004SONF5", "ES")</f>
        <v>ES</v>
      </c>
      <c r="C6989" s="20" t="s">
        <v>41</v>
      </c>
      <c r="D6989" s="21" t="str">
        <f>HYPERLINK("https://otsuka-europe-crm.veevavault.com/ui/#object/approved_document__v/V5O00000001A037", "LUP - VAE Póster Adelphi - Nefro")</f>
        <v>LUP - VAE Póster Adelphi - Nefro</v>
      </c>
      <c r="E6989" s="22" t="str">
        <f>HYPERLINK("https://otsuka-europe-crm.veevavault.com/ui/#object/sent_email__v/VBL00000002R245", "SE-001434742")</f>
        <v>SE-001434742</v>
      </c>
      <c r="F6989" s="23">
        <v>46190.316643518519</v>
      </c>
      <c r="G6989" s="24">
        <v>1</v>
      </c>
      <c r="H6989" s="24">
        <v>1</v>
      </c>
      <c r="I6989" s="24">
        <v>0</v>
      </c>
      <c r="J6989" s="25"/>
      <c r="K6989" s="24">
        <v>0</v>
      </c>
      <c r="L6989" s="22" t="str">
        <f>HYPERLINK("https://otsuka-europe-crm.veevavault.com/ui/#object/approved_document__v/V5O00000001A037", "LUP - VAE Póster Adelphi - Nefro")</f>
        <v>LUP - VAE Póster Adelphi - Nefro</v>
      </c>
      <c r="M6989" s="22" t="str">
        <f>HYPERLINK("mailto:idiez@crm.otsuka-europe.com", "idiez@crm.otsuka-europe.com")</f>
        <v>idiez@crm.otsuka-europe.com</v>
      </c>
      <c r="N6989" s="23">
        <v>46182.407500000001</v>
      </c>
      <c r="O6989" s="14" t="str">
        <f>HYPERLINK("https://otsuka-europe-crm.veevavault.com/ui/#object/email_activity__v/V8C00000003R469", "EN-002092646")</f>
        <v>EN-002092646</v>
      </c>
    </row>
    <row r="6990" spans="1:15" ht="16" x14ac:dyDescent="0.2">
      <c r="A6990" s="19"/>
      <c r="B6990" s="19"/>
      <c r="C6990" s="19"/>
      <c r="D6990" s="19"/>
      <c r="E6990" s="19"/>
      <c r="F6990" s="19"/>
      <c r="G6990" s="19"/>
      <c r="H6990" s="19"/>
      <c r="I6990" s="19"/>
      <c r="J6990" s="19"/>
      <c r="K6990" s="19"/>
      <c r="L6990" s="19"/>
      <c r="M6990" s="19"/>
      <c r="N6990" s="19"/>
      <c r="O6990" s="14" t="str">
        <f>HYPERLINK("https://otsuka-europe-crm.veevavault.com/ui/#object/email_activity__v/V8C00000003X236", "EN-002097373")</f>
        <v>EN-002097373</v>
      </c>
    </row>
    <row r="6991" spans="1:15" ht="16" x14ac:dyDescent="0.2">
      <c r="A6991" s="17" t="str">
        <f>HYPERLINK("https://otsuka-europe-crm.veevavault.com/ui/#object/account__v/V4T00000000Y097", "JUAN ABEL IGLESIAS PASCUAL")</f>
        <v>JUAN ABEL IGLESIAS PASCUAL</v>
      </c>
      <c r="B6991" s="17" t="str">
        <f>HYPERLINK("https://otsuka-europe-crm.veevavault.com/ui/#object/vcountry__v/VENZ000004SONF5", "ES")</f>
        <v>ES</v>
      </c>
      <c r="C6991" s="20" t="s">
        <v>41</v>
      </c>
      <c r="D6991" s="21" t="str">
        <f>HYPERLINK("https://otsuka-europe-crm.veevavault.com/ui/#object/approved_document__v/V5O00000001A037", "LUP - VAE Póster Adelphi - Nefro")</f>
        <v>LUP - VAE Póster Adelphi - Nefro</v>
      </c>
      <c r="E6991" s="22" t="str">
        <f>HYPERLINK("https://otsuka-europe-crm.veevavault.com/ui/#object/sent_email__v/VBL00000002R246", "SE-001434743")</f>
        <v>SE-001434743</v>
      </c>
      <c r="F6991" s="23">
        <v>46185.810081018521</v>
      </c>
      <c r="G6991" s="24">
        <v>1</v>
      </c>
      <c r="H6991" s="24">
        <v>2</v>
      </c>
      <c r="I6991" s="24">
        <v>0</v>
      </c>
      <c r="J6991" s="25"/>
      <c r="K6991" s="24">
        <v>0</v>
      </c>
      <c r="L6991" s="22" t="str">
        <f>HYPERLINK("https://otsuka-europe-crm.veevavault.com/ui/#object/approved_document__v/V5O00000001A037", "LUP - VAE Póster Adelphi - Nefro")</f>
        <v>LUP - VAE Póster Adelphi - Nefro</v>
      </c>
      <c r="M6991" s="22" t="str">
        <f>HYPERLINK("mailto:idiez@crm.otsuka-europe.com", "idiez@crm.otsuka-europe.com")</f>
        <v>idiez@crm.otsuka-europe.com</v>
      </c>
      <c r="N6991" s="23">
        <v>46182.407500000001</v>
      </c>
      <c r="O6991" s="14" t="str">
        <f>HYPERLINK("https://otsuka-europe-crm.veevavault.com/ui/#object/email_activity__v/V8C00000003Q943", "EN-002092654")</f>
        <v>EN-002092654</v>
      </c>
    </row>
    <row r="6992" spans="1:15" ht="16" x14ac:dyDescent="0.2">
      <c r="A6992" s="18"/>
      <c r="B6992" s="18"/>
      <c r="C6992" s="18"/>
      <c r="D6992" s="18"/>
      <c r="E6992" s="18"/>
      <c r="F6992" s="18"/>
      <c r="G6992" s="18"/>
      <c r="H6992" s="18"/>
      <c r="I6992" s="18"/>
      <c r="J6992" s="18"/>
      <c r="K6992" s="18"/>
      <c r="L6992" s="18"/>
      <c r="M6992" s="18"/>
      <c r="N6992" s="18"/>
      <c r="O6992" s="14" t="str">
        <f>HYPERLINK("https://otsuka-europe-crm.veevavault.com/ui/#object/email_activity__v/V8C00000003S139", "EN-002093169")</f>
        <v>EN-002093169</v>
      </c>
    </row>
    <row r="6993" spans="1:15" ht="16" x14ac:dyDescent="0.2">
      <c r="A6993" s="19"/>
      <c r="B6993" s="19"/>
      <c r="C6993" s="19"/>
      <c r="D6993" s="19"/>
      <c r="E6993" s="19"/>
      <c r="F6993" s="19"/>
      <c r="G6993" s="19"/>
      <c r="H6993" s="19"/>
      <c r="I6993" s="19"/>
      <c r="J6993" s="19"/>
      <c r="K6993" s="19"/>
      <c r="L6993" s="19"/>
      <c r="M6993" s="19"/>
      <c r="N6993" s="19"/>
      <c r="O6993" s="14" t="str">
        <f>HYPERLINK("https://otsuka-europe-crm.veevavault.com/ui/#object/email_activity__v/V8C00000003V398", "EN-002095573")</f>
        <v>EN-002095573</v>
      </c>
    </row>
    <row r="6994" spans="1:15" ht="16" x14ac:dyDescent="0.2">
      <c r="A6994" s="17" t="str">
        <f>HYPERLINK("https://otsuka-europe-crm.veevavault.com/ui/#object/account__v/V4TZ025E83002HN", "YUNAYKA DIAZ ENAMORADO")</f>
        <v>YUNAYKA DIAZ ENAMORADO</v>
      </c>
      <c r="B6994" s="17" t="str">
        <f>HYPERLINK("https://otsuka-europe-crm.veevavault.com/ui/#object/vcountry__v/VENZ000004SONF5", "ES")</f>
        <v>ES</v>
      </c>
      <c r="C6994" s="20" t="s">
        <v>41</v>
      </c>
      <c r="D6994" s="21" t="str">
        <f>HYPERLINK("https://otsuka-europe-crm.veevavault.com/ui/#object/approved_document__v/V5O00000001A037", "LUP - VAE Póster Adelphi - Nefro")</f>
        <v>LUP - VAE Póster Adelphi - Nefro</v>
      </c>
      <c r="E6994" s="22" t="str">
        <f>HYPERLINK("https://otsuka-europe-crm.veevavault.com/ui/#object/sent_email__v/VBL00000002R247", "SE-001434744")</f>
        <v>SE-001434744</v>
      </c>
      <c r="F6994" s="25"/>
      <c r="G6994" s="24">
        <v>0</v>
      </c>
      <c r="H6994" s="24">
        <v>0</v>
      </c>
      <c r="I6994" s="24">
        <v>0</v>
      </c>
      <c r="J6994" s="25"/>
      <c r="K6994" s="24">
        <v>0</v>
      </c>
      <c r="L6994" s="22" t="str">
        <f>HYPERLINK("https://otsuka-europe-crm.veevavault.com/ui/#object/approved_document__v/V5O00000001A037", "LUP - VAE Póster Adelphi - Nefro")</f>
        <v>LUP - VAE Póster Adelphi - Nefro</v>
      </c>
      <c r="M6994" s="22" t="str">
        <f>HYPERLINK("mailto:idiez@crm.otsuka-europe.com", "idiez@crm.otsuka-europe.com")</f>
        <v>idiez@crm.otsuka-europe.com</v>
      </c>
      <c r="N6994" s="23">
        <v>46182.407500000001</v>
      </c>
      <c r="O6994" s="14" t="str">
        <f>HYPERLINK("https://otsuka-europe-crm.veevavault.com/ui/#object/email_activity__v/V8C00000003R475", "EN-002092656")</f>
        <v>EN-002092656</v>
      </c>
    </row>
    <row r="6995" spans="1:15" ht="16" x14ac:dyDescent="0.2">
      <c r="A6995" s="19"/>
      <c r="B6995" s="19"/>
      <c r="C6995" s="19"/>
      <c r="D6995" s="19"/>
      <c r="E6995" s="19"/>
      <c r="F6995" s="19"/>
      <c r="G6995" s="19"/>
      <c r="H6995" s="19"/>
      <c r="I6995" s="19"/>
      <c r="J6995" s="19"/>
      <c r="K6995" s="19"/>
      <c r="L6995" s="19"/>
      <c r="M6995" s="19"/>
      <c r="N6995" s="19"/>
      <c r="O6995" s="14" t="str">
        <f>HYPERLINK("https://otsuka-europe-crm.veevavault.com/ui/#object/email_activity__v/V8C00000003V419", "EN-002095604")</f>
        <v>EN-002095604</v>
      </c>
    </row>
    <row r="6996" spans="1:15" ht="32" x14ac:dyDescent="0.2">
      <c r="A6996" s="7" t="str">
        <f>HYPERLINK("https://otsuka-europe-crm.veevavault.com/ui/#object/account__v/V4TZ06G6O71TBOR", "MARIO ALFREDO PRIETO VELASCO")</f>
        <v>MARIO ALFREDO PRIETO VELASCO</v>
      </c>
      <c r="B6996" s="7" t="str">
        <f>HYPERLINK("https://otsuka-europe-crm.veevavault.com/ui/#object/vcountry__v/VENZ000004SONF5", "ES")</f>
        <v>ES</v>
      </c>
      <c r="C6996" s="8" t="s">
        <v>41</v>
      </c>
      <c r="D6996" s="9" t="str">
        <f>HYPERLINK("https://otsuka-europe-crm.veevavault.com/ui/#object/approved_document__v/V5O00000001A037", "LUP - VAE Póster Adelphi - Nefro")</f>
        <v>LUP - VAE Póster Adelphi - Nefro</v>
      </c>
      <c r="E6996" s="10" t="str">
        <f>HYPERLINK("https://otsuka-europe-crm.veevavault.com/ui/#object/sent_email__v/VBL00000002R248", "SE-001434745")</f>
        <v>SE-001434745</v>
      </c>
      <c r="F6996" s="11"/>
      <c r="G6996" s="12">
        <v>0</v>
      </c>
      <c r="H6996" s="12">
        <v>0</v>
      </c>
      <c r="I6996" s="12">
        <v>0</v>
      </c>
      <c r="J6996" s="11"/>
      <c r="K6996" s="12">
        <v>0</v>
      </c>
      <c r="L6996" s="10" t="str">
        <f>HYPERLINK("https://otsuka-europe-crm.veevavault.com/ui/#object/approved_document__v/V5O00000001A037", "LUP - VAE Póster Adelphi - Nefro")</f>
        <v>LUP - VAE Póster Adelphi - Nefro</v>
      </c>
      <c r="M6996" s="10" t="str">
        <f>HYPERLINK("mailto:idiez@crm.otsuka-europe.com", "idiez@crm.otsuka-europe.com")</f>
        <v>idiez@crm.otsuka-europe.com</v>
      </c>
      <c r="N6996" s="13">
        <v>46182.407500000001</v>
      </c>
      <c r="O6996" s="14" t="str">
        <f>HYPERLINK("https://otsuka-europe-crm.veevavault.com/ui/#object/email_activity__v/V8C00000003R467", "EN-002092644")</f>
        <v>EN-002092644</v>
      </c>
    </row>
    <row r="6997" spans="1:15" ht="32" x14ac:dyDescent="0.2">
      <c r="A6997" s="7" t="str">
        <f>HYPERLINK("https://otsuka-europe-crm.veevavault.com/ui/#object/account__v/V4TZ025E838Q4FM", "PAULA ARDURA AGUDIN")</f>
        <v>PAULA ARDURA AGUDIN</v>
      </c>
      <c r="B6997" s="7" t="str">
        <f>HYPERLINK("https://otsuka-europe-crm.veevavault.com/ui/#object/vcountry__v/VENZ000004SONF5", "ES")</f>
        <v>ES</v>
      </c>
      <c r="C6997" s="8" t="s">
        <v>41</v>
      </c>
      <c r="D6997" s="9" t="str">
        <f>HYPERLINK("https://otsuka-europe-crm.veevavault.com/ui/#object/approved_document__v/V5O00000001A037", "LUP - VAE Póster Adelphi - Nefro")</f>
        <v>LUP - VAE Póster Adelphi - Nefro</v>
      </c>
      <c r="E6997" s="10" t="str">
        <f>HYPERLINK("https://otsuka-europe-crm.veevavault.com/ui/#object/sent_email__v/VBL00000002R249", "SE-001434746")</f>
        <v>SE-001434746</v>
      </c>
      <c r="F6997" s="11"/>
      <c r="G6997" s="12">
        <v>0</v>
      </c>
      <c r="H6997" s="12">
        <v>0</v>
      </c>
      <c r="I6997" s="12">
        <v>0</v>
      </c>
      <c r="J6997" s="11"/>
      <c r="K6997" s="12">
        <v>0</v>
      </c>
      <c r="L6997" s="10" t="str">
        <f>HYPERLINK("https://otsuka-europe-crm.veevavault.com/ui/#object/approved_document__v/V5O00000001A037", "LUP - VAE Póster Adelphi - Nefro")</f>
        <v>LUP - VAE Póster Adelphi - Nefro</v>
      </c>
      <c r="M6997" s="10" t="str">
        <f>HYPERLINK("mailto:idiez@crm.otsuka-europe.com", "idiez@crm.otsuka-europe.com")</f>
        <v>idiez@crm.otsuka-europe.com</v>
      </c>
      <c r="N6997" s="13">
        <v>46182.407500000001</v>
      </c>
      <c r="O6997" s="14" t="str">
        <f>HYPERLINK("https://otsuka-europe-crm.veevavault.com/ui/#object/email_activity__v/V8C00000003R474", "EN-002092655")</f>
        <v>EN-002092655</v>
      </c>
    </row>
    <row r="6998" spans="1:15" ht="32" x14ac:dyDescent="0.2">
      <c r="A6998" s="7" t="str">
        <f>HYPERLINK("https://otsuka-europe-crm.veevavault.com/ui/#object/account__v/V4TZ025E89BFP9Z", "YESIKA MARIA AMEZQUITA ORJUELA")</f>
        <v>YESIKA MARIA AMEZQUITA ORJUELA</v>
      </c>
      <c r="B6998" s="7" t="str">
        <f>HYPERLINK("https://otsuka-europe-crm.veevavault.com/ui/#object/vcountry__v/VENZ000004SONF5", "ES")</f>
        <v>ES</v>
      </c>
      <c r="C6998" s="8" t="s">
        <v>41</v>
      </c>
      <c r="D6998" s="9" t="str">
        <f>HYPERLINK("https://otsuka-europe-crm.veevavault.com/ui/#object/approved_document__v/V5O00000001A037", "LUP - VAE Póster Adelphi - Nefro")</f>
        <v>LUP - VAE Póster Adelphi - Nefro</v>
      </c>
      <c r="E6998" s="10" t="str">
        <f>HYPERLINK("https://otsuka-europe-crm.veevavault.com/ui/#object/sent_email__v/VBL00000002R250", "SE-001434747")</f>
        <v>SE-001434747</v>
      </c>
      <c r="F6998" s="11"/>
      <c r="G6998" s="12">
        <v>0</v>
      </c>
      <c r="H6998" s="12">
        <v>0</v>
      </c>
      <c r="I6998" s="12">
        <v>0</v>
      </c>
      <c r="J6998" s="11"/>
      <c r="K6998" s="12">
        <v>0</v>
      </c>
      <c r="L6998" s="10" t="str">
        <f>HYPERLINK("https://otsuka-europe-crm.veevavault.com/ui/#object/approved_document__v/V5O00000001A037", "LUP - VAE Póster Adelphi - Nefro")</f>
        <v>LUP - VAE Póster Adelphi - Nefro</v>
      </c>
      <c r="M6998" s="10" t="str">
        <f>HYPERLINK("mailto:idiez@crm.otsuka-europe.com", "idiez@crm.otsuka-europe.com")</f>
        <v>idiez@crm.otsuka-europe.com</v>
      </c>
      <c r="N6998" s="13">
        <v>46182.407500000001</v>
      </c>
      <c r="O6998" s="14" t="str">
        <f>HYPERLINK("https://otsuka-europe-crm.veevavault.com/ui/#object/email_activity__v/V8C00000003R458", "EN-002092634")</f>
        <v>EN-002092634</v>
      </c>
    </row>
    <row r="6999" spans="1:15" ht="32" x14ac:dyDescent="0.2">
      <c r="A6999" s="7" t="str">
        <f>HYPERLINK("https://otsuka-europe-crm.veevavault.com/ui/#object/account__v/V4TZ025E838Q4FL", "MARIA MARTINEZ MANRIQUE")</f>
        <v>MARIA MARTINEZ MANRIQUE</v>
      </c>
      <c r="B6999" s="7" t="str">
        <f>HYPERLINK("https://otsuka-europe-crm.veevavault.com/ui/#object/vcountry__v/VENZ000004SONF5", "ES")</f>
        <v>ES</v>
      </c>
      <c r="C6999" s="8" t="s">
        <v>41</v>
      </c>
      <c r="D6999" s="9" t="str">
        <f>HYPERLINK("https://otsuka-europe-crm.veevavault.com/ui/#object/approved_document__v/V5O00000001A037", "LUP - VAE Póster Adelphi - Nefro")</f>
        <v>LUP - VAE Póster Adelphi - Nefro</v>
      </c>
      <c r="E6999" s="10" t="str">
        <f>HYPERLINK("https://otsuka-europe-crm.veevavault.com/ui/#object/sent_email__v/VBL00000002R251", "SE-001434748")</f>
        <v>SE-001434748</v>
      </c>
      <c r="F6999" s="11"/>
      <c r="G6999" s="12">
        <v>0</v>
      </c>
      <c r="H6999" s="12">
        <v>0</v>
      </c>
      <c r="I6999" s="12">
        <v>0</v>
      </c>
      <c r="J6999" s="11"/>
      <c r="K6999" s="12">
        <v>0</v>
      </c>
      <c r="L6999" s="10" t="str">
        <f>HYPERLINK("https://otsuka-europe-crm.veevavault.com/ui/#object/approved_document__v/V5O00000001A037", "LUP - VAE Póster Adelphi - Nefro")</f>
        <v>LUP - VAE Póster Adelphi - Nefro</v>
      </c>
      <c r="M6999" s="10" t="str">
        <f>HYPERLINK("mailto:idiez@crm.otsuka-europe.com", "idiez@crm.otsuka-europe.com")</f>
        <v>idiez@crm.otsuka-europe.com</v>
      </c>
      <c r="N6999" s="13">
        <v>46182.407500000001</v>
      </c>
      <c r="O6999" s="14" t="str">
        <f>HYPERLINK("https://otsuka-europe-crm.veevavault.com/ui/#object/email_activity__v/V8C00000003R468", "EN-002092645")</f>
        <v>EN-002092645</v>
      </c>
    </row>
    <row r="7000" spans="1:15" ht="16" x14ac:dyDescent="0.2">
      <c r="A7000" s="17" t="str">
        <f>HYPERLINK("https://otsuka-europe-crm.veevavault.com/ui/#object/account__v/V4TZ06G6O71T844", "MARCO ANTONIO VACA GALLARDO")</f>
        <v>MARCO ANTONIO VACA GALLARDO</v>
      </c>
      <c r="B7000" s="17" t="str">
        <f>HYPERLINK("https://otsuka-europe-crm.veevavault.com/ui/#object/vcountry__v/VENZ000004SONF5", "ES")</f>
        <v>ES</v>
      </c>
      <c r="C7000" s="20" t="s">
        <v>41</v>
      </c>
      <c r="D7000" s="21" t="str">
        <f>HYPERLINK("https://otsuka-europe-crm.veevavault.com/ui/#object/approved_document__v/V5O00000001A037", "LUP - VAE Póster Adelphi - Nefro")</f>
        <v>LUP - VAE Póster Adelphi - Nefro</v>
      </c>
      <c r="E7000" s="22" t="str">
        <f>HYPERLINK("https://otsuka-europe-crm.veevavault.com/ui/#object/sent_email__v/VBL00000002R252", "SE-001434749")</f>
        <v>SE-001434749</v>
      </c>
      <c r="F7000" s="23">
        <v>46182.547384259262</v>
      </c>
      <c r="G7000" s="24">
        <v>1</v>
      </c>
      <c r="H7000" s="24">
        <v>1</v>
      </c>
      <c r="I7000" s="24">
        <v>0</v>
      </c>
      <c r="J7000" s="25"/>
      <c r="K7000" s="24">
        <v>0</v>
      </c>
      <c r="L7000" s="22" t="str">
        <f>HYPERLINK("https://otsuka-europe-crm.veevavault.com/ui/#object/approved_document__v/V5O00000001A037", "LUP - VAE Póster Adelphi - Nefro")</f>
        <v>LUP - VAE Póster Adelphi - Nefro</v>
      </c>
      <c r="M7000" s="22" t="str">
        <f>HYPERLINK("mailto:idiez@crm.otsuka-europe.com", "idiez@crm.otsuka-europe.com")</f>
        <v>idiez@crm.otsuka-europe.com</v>
      </c>
      <c r="N7000" s="23">
        <v>46182.407500000001</v>
      </c>
      <c r="O7000" s="14" t="str">
        <f>HYPERLINK("https://otsuka-europe-crm.veevavault.com/ui/#object/email_activity__v/V8C00000003Q938", "EN-002092624")</f>
        <v>EN-002092624</v>
      </c>
    </row>
    <row r="7001" spans="1:15" ht="16" x14ac:dyDescent="0.2">
      <c r="A7001" s="19"/>
      <c r="B7001" s="19"/>
      <c r="C7001" s="19"/>
      <c r="D7001" s="19"/>
      <c r="E7001" s="19"/>
      <c r="F7001" s="19"/>
      <c r="G7001" s="19"/>
      <c r="H7001" s="19"/>
      <c r="I7001" s="19"/>
      <c r="J7001" s="19"/>
      <c r="K7001" s="19"/>
      <c r="L7001" s="19"/>
      <c r="M7001" s="19"/>
      <c r="N7001" s="19"/>
      <c r="O7001" s="14" t="str">
        <f>HYPERLINK("https://otsuka-europe-crm.veevavault.com/ui/#object/email_activity__v/V8C00000003R641", "EN-002092925")</f>
        <v>EN-002092925</v>
      </c>
    </row>
    <row r="7002" spans="1:15" ht="16" x14ac:dyDescent="0.2">
      <c r="A7002" s="17" t="str">
        <f>HYPERLINK("https://otsuka-europe-crm.veevavault.com/ui/#object/account__v/V4TZ06G6O71T95T", "SARA ALVAREZ TUNDIDOR")</f>
        <v>SARA ALVAREZ TUNDIDOR</v>
      </c>
      <c r="B7002" s="17" t="str">
        <f>HYPERLINK("https://otsuka-europe-crm.veevavault.com/ui/#object/vcountry__v/VENZ000004SONF5", "ES")</f>
        <v>ES</v>
      </c>
      <c r="C7002" s="20" t="s">
        <v>41</v>
      </c>
      <c r="D7002" s="21" t="str">
        <f>HYPERLINK("https://otsuka-europe-crm.veevavault.com/ui/#object/approved_document__v/V5O00000001A037", "LUP - VAE Póster Adelphi - Nefro")</f>
        <v>LUP - VAE Póster Adelphi - Nefro</v>
      </c>
      <c r="E7002" s="22" t="str">
        <f>HYPERLINK("https://otsuka-europe-crm.veevavault.com/ui/#object/sent_email__v/VBL00000002R253", "SE-001434750")</f>
        <v>SE-001434750</v>
      </c>
      <c r="F7002" s="25"/>
      <c r="G7002" s="24">
        <v>0</v>
      </c>
      <c r="H7002" s="24">
        <v>0</v>
      </c>
      <c r="I7002" s="24">
        <v>0</v>
      </c>
      <c r="J7002" s="25"/>
      <c r="K7002" s="24">
        <v>0</v>
      </c>
      <c r="L7002" s="22" t="str">
        <f>HYPERLINK("https://otsuka-europe-crm.veevavault.com/ui/#object/approved_document__v/V5O00000001A037", "LUP - VAE Póster Adelphi - Nefro")</f>
        <v>LUP - VAE Póster Adelphi - Nefro</v>
      </c>
      <c r="M7002" s="22" t="str">
        <f>HYPERLINK("mailto:idiez@crm.otsuka-europe.com", "idiez@crm.otsuka-europe.com")</f>
        <v>idiez@crm.otsuka-europe.com</v>
      </c>
      <c r="N7002" s="23">
        <v>46182.407511574071</v>
      </c>
      <c r="O7002" s="14" t="str">
        <f>HYPERLINK("https://otsuka-europe-crm.veevavault.com/ui/#object/email_activity__v/V8C00000003R481", "EN-002092666")</f>
        <v>EN-002092666</v>
      </c>
    </row>
    <row r="7003" spans="1:15" ht="16" x14ac:dyDescent="0.2">
      <c r="A7003" s="19"/>
      <c r="B7003" s="19"/>
      <c r="C7003" s="19"/>
      <c r="D7003" s="19"/>
      <c r="E7003" s="19"/>
      <c r="F7003" s="19"/>
      <c r="G7003" s="19"/>
      <c r="H7003" s="19"/>
      <c r="I7003" s="19"/>
      <c r="J7003" s="19"/>
      <c r="K7003" s="19"/>
      <c r="L7003" s="19"/>
      <c r="M7003" s="19"/>
      <c r="N7003" s="19"/>
      <c r="O7003" s="14" t="str">
        <f>HYPERLINK("https://otsuka-europe-crm.veevavault.com/ui/#object/email_activity__v/V8C00000003S808", "EN-002094471")</f>
        <v>EN-002094471</v>
      </c>
    </row>
    <row r="7004" spans="1:15" ht="16" x14ac:dyDescent="0.2">
      <c r="A7004" s="17" t="str">
        <f>HYPERLINK("https://otsuka-europe-crm.veevavault.com/ui/#object/account__v/V4TZ06G6O71TAEZ", "JESUS GRANDE VILLORIA")</f>
        <v>JESUS GRANDE VILLORIA</v>
      </c>
      <c r="B7004" s="17" t="str">
        <f>HYPERLINK("https://otsuka-europe-crm.veevavault.com/ui/#object/vcountry__v/VENZ000004SONF5", "ES")</f>
        <v>ES</v>
      </c>
      <c r="C7004" s="20" t="s">
        <v>41</v>
      </c>
      <c r="D7004" s="21" t="str">
        <f>HYPERLINK("https://otsuka-europe-crm.veevavault.com/ui/#object/approved_document__v/V5O00000001A037", "LUP - VAE Póster Adelphi - Nefro")</f>
        <v>LUP - VAE Póster Adelphi - Nefro</v>
      </c>
      <c r="E7004" s="22" t="str">
        <f>HYPERLINK("https://otsuka-europe-crm.veevavault.com/ui/#object/sent_email__v/VBL00000002R254", "SE-001434751")</f>
        <v>SE-001434751</v>
      </c>
      <c r="F7004" s="25"/>
      <c r="G7004" s="24">
        <v>0</v>
      </c>
      <c r="H7004" s="24">
        <v>0</v>
      </c>
      <c r="I7004" s="24">
        <v>1</v>
      </c>
      <c r="J7004" s="23">
        <v>46185.234722222223</v>
      </c>
      <c r="K7004" s="24">
        <v>1</v>
      </c>
      <c r="L7004" s="22" t="str">
        <f>HYPERLINK("https://otsuka-europe-crm.veevavault.com/ui/#object/approved_document__v/V5O00000001A037", "LUP - VAE Póster Adelphi - Nefro")</f>
        <v>LUP - VAE Póster Adelphi - Nefro</v>
      </c>
      <c r="M7004" s="22" t="str">
        <f>HYPERLINK("mailto:idiez@crm.otsuka-europe.com", "idiez@crm.otsuka-europe.com")</f>
        <v>idiez@crm.otsuka-europe.com</v>
      </c>
      <c r="N7004" s="23">
        <v>46182.407511574071</v>
      </c>
      <c r="O7004" s="14" t="str">
        <f>HYPERLINK("https://otsuka-europe-crm.veevavault.com/ui/#object/email_activity__v/V8C00000003R493", "EN-002092680")</f>
        <v>EN-002092680</v>
      </c>
    </row>
    <row r="7005" spans="1:15" ht="16" x14ac:dyDescent="0.2">
      <c r="A7005" s="18"/>
      <c r="B7005" s="18"/>
      <c r="C7005" s="18"/>
      <c r="D7005" s="18"/>
      <c r="E7005" s="18"/>
      <c r="F7005" s="18"/>
      <c r="G7005" s="18"/>
      <c r="H7005" s="18"/>
      <c r="I7005" s="18"/>
      <c r="J7005" s="18"/>
      <c r="K7005" s="18"/>
      <c r="L7005" s="18"/>
      <c r="M7005" s="18"/>
      <c r="N7005" s="18"/>
      <c r="O7005" s="14" t="str">
        <f>HYPERLINK("https://otsuka-europe-crm.veevavault.com/ui/#object/email_activity__v/V8C00000003T102", "EN-002093765")</f>
        <v>EN-002093765</v>
      </c>
    </row>
    <row r="7006" spans="1:15" ht="16" x14ac:dyDescent="0.2">
      <c r="A7006" s="18"/>
      <c r="B7006" s="18"/>
      <c r="C7006" s="18"/>
      <c r="D7006" s="18"/>
      <c r="E7006" s="18"/>
      <c r="F7006" s="18"/>
      <c r="G7006" s="18"/>
      <c r="H7006" s="18"/>
      <c r="I7006" s="18"/>
      <c r="J7006" s="18"/>
      <c r="K7006" s="18"/>
      <c r="L7006" s="18"/>
      <c r="M7006" s="18"/>
      <c r="N7006" s="18"/>
      <c r="O7006" s="14" t="str">
        <f>HYPERLINK("https://otsuka-europe-crm.veevavault.com/ui/#object/email_activity__v/V8C00000003U045", "EN-002094901")</f>
        <v>EN-002094901</v>
      </c>
    </row>
    <row r="7007" spans="1:15" ht="16" x14ac:dyDescent="0.2">
      <c r="A7007" s="18"/>
      <c r="B7007" s="18"/>
      <c r="C7007" s="18"/>
      <c r="D7007" s="18"/>
      <c r="E7007" s="18"/>
      <c r="F7007" s="18"/>
      <c r="G7007" s="18"/>
      <c r="H7007" s="18"/>
      <c r="I7007" s="18"/>
      <c r="J7007" s="18"/>
      <c r="K7007" s="18"/>
      <c r="L7007" s="18"/>
      <c r="M7007" s="18"/>
      <c r="N7007" s="18"/>
      <c r="O7007" s="14" t="str">
        <f>HYPERLINK("https://otsuka-europe-crm.veevavault.com/ui/#object/email_activity__v/V8C00000003U046", "EN-002094902")</f>
        <v>EN-002094902</v>
      </c>
    </row>
    <row r="7008" spans="1:15" ht="16" x14ac:dyDescent="0.2">
      <c r="A7008" s="19"/>
      <c r="B7008" s="19"/>
      <c r="C7008" s="19"/>
      <c r="D7008" s="19"/>
      <c r="E7008" s="19"/>
      <c r="F7008" s="19"/>
      <c r="G7008" s="19"/>
      <c r="H7008" s="19"/>
      <c r="I7008" s="19"/>
      <c r="J7008" s="19"/>
      <c r="K7008" s="19"/>
      <c r="L7008" s="19"/>
      <c r="M7008" s="19"/>
      <c r="N7008" s="19"/>
      <c r="O7008" s="14" t="str">
        <f>HYPERLINK("https://otsuka-europe-crm.veevavault.com/ui/#object/email_activity__v/V8C00000003U047", "EN-002094903")</f>
        <v>EN-002094903</v>
      </c>
    </row>
    <row r="7009" spans="1:15" ht="16" x14ac:dyDescent="0.2">
      <c r="A7009" s="17" t="str">
        <f>HYPERLINK("https://otsuka-europe-crm.veevavault.com/ui/#object/account__v/V4TZ025E85VQEU0", "MARIA RODRIGUEZ SARMIENTO")</f>
        <v>MARIA RODRIGUEZ SARMIENTO</v>
      </c>
      <c r="B7009" s="17" t="str">
        <f>HYPERLINK("https://otsuka-europe-crm.veevavault.com/ui/#object/vcountry__v/VENZ000004SONF5", "ES")</f>
        <v>ES</v>
      </c>
      <c r="C7009" s="20" t="s">
        <v>41</v>
      </c>
      <c r="D7009" s="21" t="str">
        <f>HYPERLINK("https://otsuka-europe-crm.veevavault.com/ui/#object/approved_document__v/V5O00000001A037", "LUP - VAE Póster Adelphi - Nefro")</f>
        <v>LUP - VAE Póster Adelphi - Nefro</v>
      </c>
      <c r="E7009" s="22" t="str">
        <f>HYPERLINK("https://otsuka-europe-crm.veevavault.com/ui/#object/sent_email__v/VBL00000002R255", "SE-001434752")</f>
        <v>SE-001434752</v>
      </c>
      <c r="F7009" s="23">
        <v>46182.40761574074</v>
      </c>
      <c r="G7009" s="24">
        <v>1</v>
      </c>
      <c r="H7009" s="24">
        <v>1</v>
      </c>
      <c r="I7009" s="24">
        <v>0</v>
      </c>
      <c r="J7009" s="25"/>
      <c r="K7009" s="24">
        <v>0</v>
      </c>
      <c r="L7009" s="22" t="str">
        <f>HYPERLINK("https://otsuka-europe-crm.veevavault.com/ui/#object/approved_document__v/V5O00000001A037", "LUP - VAE Póster Adelphi - Nefro")</f>
        <v>LUP - VAE Póster Adelphi - Nefro</v>
      </c>
      <c r="M7009" s="22" t="str">
        <f>HYPERLINK("mailto:idiez@crm.otsuka-europe.com", "idiez@crm.otsuka-europe.com")</f>
        <v>idiez@crm.otsuka-europe.com</v>
      </c>
      <c r="N7009" s="23">
        <v>46182.407511574071</v>
      </c>
      <c r="O7009" s="14" t="str">
        <f>HYPERLINK("https://otsuka-europe-crm.veevavault.com/ui/#object/email_activity__v/V8C00000003Q942", "EN-002092653")</f>
        <v>EN-002092653</v>
      </c>
    </row>
    <row r="7010" spans="1:15" ht="16" x14ac:dyDescent="0.2">
      <c r="A7010" s="18"/>
      <c r="B7010" s="18"/>
      <c r="C7010" s="18"/>
      <c r="D7010" s="18"/>
      <c r="E7010" s="18"/>
      <c r="F7010" s="18"/>
      <c r="G7010" s="18"/>
      <c r="H7010" s="18"/>
      <c r="I7010" s="18"/>
      <c r="J7010" s="18"/>
      <c r="K7010" s="18"/>
      <c r="L7010" s="18"/>
      <c r="M7010" s="18"/>
      <c r="N7010" s="18"/>
      <c r="O7010" s="14" t="str">
        <f>HYPERLINK("https://otsuka-europe-crm.veevavault.com/ui/#object/email_activity__v/V8C00000003Q960", "EN-002092691")</f>
        <v>EN-002092691</v>
      </c>
    </row>
    <row r="7011" spans="1:15" ht="16" x14ac:dyDescent="0.2">
      <c r="A7011" s="19"/>
      <c r="B7011" s="19"/>
      <c r="C7011" s="19"/>
      <c r="D7011" s="19"/>
      <c r="E7011" s="19"/>
      <c r="F7011" s="19"/>
      <c r="G7011" s="19"/>
      <c r="H7011" s="19"/>
      <c r="I7011" s="19"/>
      <c r="J7011" s="19"/>
      <c r="K7011" s="19"/>
      <c r="L7011" s="19"/>
      <c r="M7011" s="19"/>
      <c r="N7011" s="19"/>
      <c r="O7011" s="14" t="str">
        <f>HYPERLINK("https://otsuka-europe-crm.veevavault.com/ui/#object/email_activity__v/V8C00000003S046", "EN-002092916")</f>
        <v>EN-002092916</v>
      </c>
    </row>
    <row r="7012" spans="1:15" ht="32" x14ac:dyDescent="0.2">
      <c r="A7012" s="7" t="str">
        <f>HYPERLINK("https://otsuka-europe-crm.veevavault.com/ui/#object/account__v/V4TZ04ASGDZZM81", "SARA ALDANA BARCELO")</f>
        <v>SARA ALDANA BARCELO</v>
      </c>
      <c r="B7012" s="7" t="str">
        <f>HYPERLINK("https://otsuka-europe-crm.veevavault.com/ui/#object/vcountry__v/VENZ000004SONF5", "ES")</f>
        <v>ES</v>
      </c>
      <c r="C7012" s="8" t="s">
        <v>41</v>
      </c>
      <c r="D7012" s="9" t="str">
        <f>HYPERLINK("https://otsuka-europe-crm.veevavault.com/ui/#object/approved_document__v/V5O00000001A037", "LUP - VAE Póster Adelphi - Nefro")</f>
        <v>LUP - VAE Póster Adelphi - Nefro</v>
      </c>
      <c r="E7012" s="10" t="str">
        <f>HYPERLINK("https://otsuka-europe-crm.veevavault.com/ui/#object/sent_email__v/VBL00000002R256", "SE-001434753")</f>
        <v>SE-001434753</v>
      </c>
      <c r="F7012" s="11"/>
      <c r="G7012" s="12">
        <v>0</v>
      </c>
      <c r="H7012" s="12">
        <v>0</v>
      </c>
      <c r="I7012" s="12">
        <v>0</v>
      </c>
      <c r="J7012" s="11"/>
      <c r="K7012" s="12">
        <v>0</v>
      </c>
      <c r="L7012" s="10" t="str">
        <f>HYPERLINK("https://otsuka-europe-crm.veevavault.com/ui/#object/approved_document__v/V5O00000001A037", "LUP - VAE Póster Adelphi - Nefro")</f>
        <v>LUP - VAE Póster Adelphi - Nefro</v>
      </c>
      <c r="M7012" s="10" t="str">
        <f>HYPERLINK("mailto:idiez@crm.otsuka-europe.com", "idiez@crm.otsuka-europe.com")</f>
        <v>idiez@crm.otsuka-europe.com</v>
      </c>
      <c r="N7012" s="13">
        <v>46182.407511574071</v>
      </c>
      <c r="O7012" s="14" t="str">
        <f>HYPERLINK("https://otsuka-europe-crm.veevavault.com/ui/#object/email_activity__v/V8C00000003R492", "EN-002092679")</f>
        <v>EN-002092679</v>
      </c>
    </row>
    <row r="7013" spans="1:15" ht="16" x14ac:dyDescent="0.2">
      <c r="A7013" s="17" t="str">
        <f>HYPERLINK("https://otsuka-europe-crm.veevavault.com/ui/#object/account__v/V4TZ06G6OB4BILW", "VERONICA FIDALGO GONZALEZ")</f>
        <v>VERONICA FIDALGO GONZALEZ</v>
      </c>
      <c r="B7013" s="17" t="str">
        <f>HYPERLINK("https://otsuka-europe-crm.veevavault.com/ui/#object/vcountry__v/VENZ000004SONF5", "ES")</f>
        <v>ES</v>
      </c>
      <c r="C7013" s="20" t="s">
        <v>41</v>
      </c>
      <c r="D7013" s="21" t="str">
        <f>HYPERLINK("https://otsuka-europe-crm.veevavault.com/ui/#object/approved_document__v/V5O00000001A037", "LUP - VAE Póster Adelphi - Nefro")</f>
        <v>LUP - VAE Póster Adelphi - Nefro</v>
      </c>
      <c r="E7013" s="22" t="str">
        <f>HYPERLINK("https://otsuka-europe-crm.veevavault.com/ui/#object/sent_email__v/VBL00000002R257", "SE-001434754")</f>
        <v>SE-001434754</v>
      </c>
      <c r="F7013" s="23">
        <v>46182.620798611111</v>
      </c>
      <c r="G7013" s="24">
        <v>1</v>
      </c>
      <c r="H7013" s="24">
        <v>3</v>
      </c>
      <c r="I7013" s="24">
        <v>1</v>
      </c>
      <c r="J7013" s="23">
        <v>46182.620706018519</v>
      </c>
      <c r="K7013" s="24">
        <v>1</v>
      </c>
      <c r="L7013" s="22" t="str">
        <f>HYPERLINK("https://otsuka-europe-crm.veevavault.com/ui/#object/approved_document__v/V5O00000001A037", "LUP - VAE Póster Adelphi - Nefro")</f>
        <v>LUP - VAE Póster Adelphi - Nefro</v>
      </c>
      <c r="M7013" s="22" t="str">
        <f>HYPERLINK("mailto:idiez@crm.otsuka-europe.com", "idiez@crm.otsuka-europe.com")</f>
        <v>idiez@crm.otsuka-europe.com</v>
      </c>
      <c r="N7013" s="23">
        <v>46182.407511574071</v>
      </c>
      <c r="O7013" s="14" t="str">
        <f>HYPERLINK("https://otsuka-europe-crm.veevavault.com/ui/#object/email_activity__v/V8C00000003R487", "EN-002092672")</f>
        <v>EN-002092672</v>
      </c>
    </row>
    <row r="7014" spans="1:15" ht="16" x14ac:dyDescent="0.2">
      <c r="A7014" s="18"/>
      <c r="B7014" s="18"/>
      <c r="C7014" s="18"/>
      <c r="D7014" s="18"/>
      <c r="E7014" s="18"/>
      <c r="F7014" s="18"/>
      <c r="G7014" s="18"/>
      <c r="H7014" s="18"/>
      <c r="I7014" s="18"/>
      <c r="J7014" s="18"/>
      <c r="K7014" s="18"/>
      <c r="L7014" s="18"/>
      <c r="M7014" s="18"/>
      <c r="N7014" s="18"/>
      <c r="O7014" s="14" t="str">
        <f>HYPERLINK("https://otsuka-europe-crm.veevavault.com/ui/#object/email_activity__v/V8C00000003R752", "EN-002093105")</f>
        <v>EN-002093105</v>
      </c>
    </row>
    <row r="7015" spans="1:15" ht="16" x14ac:dyDescent="0.2">
      <c r="A7015" s="18"/>
      <c r="B7015" s="18"/>
      <c r="C7015" s="18"/>
      <c r="D7015" s="18"/>
      <c r="E7015" s="18"/>
      <c r="F7015" s="18"/>
      <c r="G7015" s="18"/>
      <c r="H7015" s="18"/>
      <c r="I7015" s="18"/>
      <c r="J7015" s="18"/>
      <c r="K7015" s="18"/>
      <c r="L7015" s="18"/>
      <c r="M7015" s="18"/>
      <c r="N7015" s="18"/>
      <c r="O7015" s="14" t="str">
        <f>HYPERLINK("https://otsuka-europe-crm.veevavault.com/ui/#object/email_activity__v/V8C00000003R753", "EN-002093103")</f>
        <v>EN-002093103</v>
      </c>
    </row>
    <row r="7016" spans="1:15" ht="16" x14ac:dyDescent="0.2">
      <c r="A7016" s="18"/>
      <c r="B7016" s="18"/>
      <c r="C7016" s="18"/>
      <c r="D7016" s="18"/>
      <c r="E7016" s="18"/>
      <c r="F7016" s="18"/>
      <c r="G7016" s="18"/>
      <c r="H7016" s="18"/>
      <c r="I7016" s="18"/>
      <c r="J7016" s="18"/>
      <c r="K7016" s="18"/>
      <c r="L7016" s="18"/>
      <c r="M7016" s="18"/>
      <c r="N7016" s="18"/>
      <c r="O7016" s="14" t="str">
        <f>HYPERLINK("https://otsuka-europe-crm.veevavault.com/ui/#object/email_activity__v/V8C00000003R773", "EN-002093136")</f>
        <v>EN-002093136</v>
      </c>
    </row>
    <row r="7017" spans="1:15" ht="16" x14ac:dyDescent="0.2">
      <c r="A7017" s="18"/>
      <c r="B7017" s="18"/>
      <c r="C7017" s="18"/>
      <c r="D7017" s="18"/>
      <c r="E7017" s="18"/>
      <c r="F7017" s="18"/>
      <c r="G7017" s="18"/>
      <c r="H7017" s="18"/>
      <c r="I7017" s="18"/>
      <c r="J7017" s="18"/>
      <c r="K7017" s="18"/>
      <c r="L7017" s="18"/>
      <c r="M7017" s="18"/>
      <c r="N7017" s="18"/>
      <c r="O7017" s="14" t="str">
        <f>HYPERLINK("https://otsuka-europe-crm.veevavault.com/ui/#object/email_activity__v/V8C00000003S115", "EN-002093104")</f>
        <v>EN-002093104</v>
      </c>
    </row>
    <row r="7018" spans="1:15" ht="16" x14ac:dyDescent="0.2">
      <c r="A7018" s="19"/>
      <c r="B7018" s="19"/>
      <c r="C7018" s="19"/>
      <c r="D7018" s="19"/>
      <c r="E7018" s="19"/>
      <c r="F7018" s="19"/>
      <c r="G7018" s="19"/>
      <c r="H7018" s="19"/>
      <c r="I7018" s="19"/>
      <c r="J7018" s="19"/>
      <c r="K7018" s="19"/>
      <c r="L7018" s="19"/>
      <c r="M7018" s="19"/>
      <c r="N7018" s="19"/>
      <c r="O7018" s="14" t="str">
        <f>HYPERLINK("https://otsuka-europe-crm.veevavault.com/ui/#object/email_activity__v/V8C00000003S116", "EN-002093106")</f>
        <v>EN-002093106</v>
      </c>
    </row>
    <row r="7019" spans="1:15" ht="16" x14ac:dyDescent="0.2">
      <c r="A7019" s="17" t="str">
        <f>HYPERLINK("https://otsuka-europe-crm.veevavault.com/ui/#object/account__v/V4TZ06G6O71TC72", "PATRICIA DE SEQUERA ORTIZ")</f>
        <v>PATRICIA DE SEQUERA ORTIZ</v>
      </c>
      <c r="B7019" s="17" t="str">
        <f>HYPERLINK("https://otsuka-europe-crm.veevavault.com/ui/#object/vcountry__v/VENZ000004SONF5", "ES")</f>
        <v>ES</v>
      </c>
      <c r="C7019" s="20" t="s">
        <v>41</v>
      </c>
      <c r="D7019" s="21" t="str">
        <f>HYPERLINK("https://otsuka-europe-crm.veevavault.com/ui/#object/approved_document__v/V5O00000001A037", "LUP - VAE Póster Adelphi - Nefro")</f>
        <v>LUP - VAE Póster Adelphi - Nefro</v>
      </c>
      <c r="E7019" s="22" t="str">
        <f>HYPERLINK("https://otsuka-europe-crm.veevavault.com/ui/#object/sent_email__v/VBL00000002R258", "SE-001434755")</f>
        <v>SE-001434755</v>
      </c>
      <c r="F7019" s="23">
        <v>46182.51090277778</v>
      </c>
      <c r="G7019" s="24">
        <v>1</v>
      </c>
      <c r="H7019" s="24">
        <v>1</v>
      </c>
      <c r="I7019" s="24">
        <v>0</v>
      </c>
      <c r="J7019" s="25"/>
      <c r="K7019" s="24">
        <v>0</v>
      </c>
      <c r="L7019" s="22" t="str">
        <f>HYPERLINK("https://otsuka-europe-crm.veevavault.com/ui/#object/approved_document__v/V5O00000001A037", "LUP - VAE Póster Adelphi - Nefro")</f>
        <v>LUP - VAE Póster Adelphi - Nefro</v>
      </c>
      <c r="M7019" s="22" t="str">
        <f>HYPERLINK("mailto:idiez@crm.otsuka-europe.com", "idiez@crm.otsuka-europe.com")</f>
        <v>idiez@crm.otsuka-europe.com</v>
      </c>
      <c r="N7019" s="23">
        <v>46182.407511574071</v>
      </c>
      <c r="O7019" s="14" t="str">
        <f>HYPERLINK("https://otsuka-europe-crm.veevavault.com/ui/#object/email_activity__v/V8C00000003Q958", "EN-002092689")</f>
        <v>EN-002092689</v>
      </c>
    </row>
    <row r="7020" spans="1:15" ht="16" x14ac:dyDescent="0.2">
      <c r="A7020" s="19"/>
      <c r="B7020" s="19"/>
      <c r="C7020" s="19"/>
      <c r="D7020" s="19"/>
      <c r="E7020" s="19"/>
      <c r="F7020" s="19"/>
      <c r="G7020" s="19"/>
      <c r="H7020" s="19"/>
      <c r="I7020" s="19"/>
      <c r="J7020" s="19"/>
      <c r="K7020" s="19"/>
      <c r="L7020" s="19"/>
      <c r="M7020" s="19"/>
      <c r="N7020" s="19"/>
      <c r="O7020" s="14" t="str">
        <f>HYPERLINK("https://otsuka-europe-crm.veevavault.com/ui/#object/email_activity__v/V8C00000003R631", "EN-002092902")</f>
        <v>EN-002092902</v>
      </c>
    </row>
    <row r="7021" spans="1:15" ht="32" x14ac:dyDescent="0.2">
      <c r="A7021" s="7" t="str">
        <f>HYPERLINK("https://otsuka-europe-crm.veevavault.com/ui/#object/account__v/V4TZ06G6O71TATE", "MARIA TERESA LOPEZ PICASSO")</f>
        <v>MARIA TERESA LOPEZ PICASSO</v>
      </c>
      <c r="B7021" s="7" t="str">
        <f>HYPERLINK("https://otsuka-europe-crm.veevavault.com/ui/#object/vcountry__v/VENZ000004SONF5", "ES")</f>
        <v>ES</v>
      </c>
      <c r="C7021" s="8" t="s">
        <v>41</v>
      </c>
      <c r="D7021" s="9" t="str">
        <f>HYPERLINK("https://otsuka-europe-crm.veevavault.com/ui/#object/approved_document__v/V5O00000001A037", "LUP - VAE Póster Adelphi - Nefro")</f>
        <v>LUP - VAE Póster Adelphi - Nefro</v>
      </c>
      <c r="E7021" s="10" t="str">
        <f>HYPERLINK("https://otsuka-europe-crm.veevavault.com/ui/#object/sent_email__v/VBL00000002R259", "SE-001434756")</f>
        <v>SE-001434756</v>
      </c>
      <c r="F7021" s="11"/>
      <c r="G7021" s="12">
        <v>0</v>
      </c>
      <c r="H7021" s="12">
        <v>0</v>
      </c>
      <c r="I7021" s="12">
        <v>0</v>
      </c>
      <c r="J7021" s="11"/>
      <c r="K7021" s="12">
        <v>0</v>
      </c>
      <c r="L7021" s="10" t="str">
        <f>HYPERLINK("https://otsuka-europe-crm.veevavault.com/ui/#object/approved_document__v/V5O00000001A037", "LUP - VAE Póster Adelphi - Nefro")</f>
        <v>LUP - VAE Póster Adelphi - Nefro</v>
      </c>
      <c r="M7021" s="10" t="str">
        <f>HYPERLINK("mailto:idiez@crm.otsuka-europe.com", "idiez@crm.otsuka-europe.com")</f>
        <v>idiez@crm.otsuka-europe.com</v>
      </c>
      <c r="N7021" s="13">
        <v>46182.407511574071</v>
      </c>
      <c r="O7021" s="14" t="str">
        <f>HYPERLINK("https://otsuka-europe-crm.veevavault.com/ui/#object/email_activity__v/V8C00000003Q947", "EN-002092665")</f>
        <v>EN-002092665</v>
      </c>
    </row>
    <row r="7022" spans="1:15" ht="32" x14ac:dyDescent="0.2">
      <c r="A7022" s="7" t="str">
        <f>HYPERLINK("https://otsuka-europe-crm.veevavault.com/ui/#object/account__v/V4TZ06G6O71T93K", "SIMONA ALEXANDRU")</f>
        <v>SIMONA ALEXANDRU</v>
      </c>
      <c r="B7022" s="7" t="str">
        <f>HYPERLINK("https://otsuka-europe-crm.veevavault.com/ui/#object/vcountry__v/VENZ000004SONF5", "ES")</f>
        <v>ES</v>
      </c>
      <c r="C7022" s="8" t="s">
        <v>41</v>
      </c>
      <c r="D7022" s="9" t="str">
        <f>HYPERLINK("https://otsuka-europe-crm.veevavault.com/ui/#object/approved_document__v/V5O00000001A037", "LUP - VAE Póster Adelphi - Nefro")</f>
        <v>LUP - VAE Póster Adelphi - Nefro</v>
      </c>
      <c r="E7022" s="10" t="str">
        <f>HYPERLINK("https://otsuka-europe-crm.veevavault.com/ui/#object/sent_email__v/VBL00000002R260", "SE-001434757")</f>
        <v>SE-001434757</v>
      </c>
      <c r="F7022" s="11"/>
      <c r="G7022" s="12">
        <v>0</v>
      </c>
      <c r="H7022" s="12">
        <v>0</v>
      </c>
      <c r="I7022" s="12">
        <v>0</v>
      </c>
      <c r="J7022" s="11"/>
      <c r="K7022" s="12">
        <v>0</v>
      </c>
      <c r="L7022" s="10" t="str">
        <f>HYPERLINK("https://otsuka-europe-crm.veevavault.com/ui/#object/approved_document__v/V5O00000001A037", "LUP - VAE Póster Adelphi - Nefro")</f>
        <v>LUP - VAE Póster Adelphi - Nefro</v>
      </c>
      <c r="M7022" s="10" t="str">
        <f>HYPERLINK("mailto:idiez@crm.otsuka-europe.com", "idiez@crm.otsuka-europe.com")</f>
        <v>idiez@crm.otsuka-europe.com</v>
      </c>
      <c r="N7022" s="13">
        <v>46182.407511574071</v>
      </c>
      <c r="O7022" s="14" t="str">
        <f>HYPERLINK("https://otsuka-europe-crm.veevavault.com/ui/#object/email_activity__v/V8C00000003Q952", "EN-002092683")</f>
        <v>EN-002092683</v>
      </c>
    </row>
    <row r="7023" spans="1:15" ht="16" x14ac:dyDescent="0.2">
      <c r="A7023" s="17" t="str">
        <f>HYPERLINK("https://otsuka-europe-crm.veevavault.com/ui/#object/account__v/V4TZ06G6O71TBVD", "MARIA FLOR RODRIGUEZ MARTIN")</f>
        <v>MARIA FLOR RODRIGUEZ MARTIN</v>
      </c>
      <c r="B7023" s="17" t="str">
        <f>HYPERLINK("https://otsuka-europe-crm.veevavault.com/ui/#object/vcountry__v/VENZ000004SONF5", "ES")</f>
        <v>ES</v>
      </c>
      <c r="C7023" s="20" t="s">
        <v>41</v>
      </c>
      <c r="D7023" s="21" t="str">
        <f>HYPERLINK("https://otsuka-europe-crm.veevavault.com/ui/#object/approved_document__v/V5O00000001A037", "LUP - VAE Póster Adelphi - Nefro")</f>
        <v>LUP - VAE Póster Adelphi - Nefro</v>
      </c>
      <c r="E7023" s="22" t="str">
        <f>HYPERLINK("https://otsuka-europe-crm.veevavault.com/ui/#object/sent_email__v/VBL00000002R261", "SE-001434758")</f>
        <v>SE-001434758</v>
      </c>
      <c r="F7023" s="25"/>
      <c r="G7023" s="24">
        <v>0</v>
      </c>
      <c r="H7023" s="24">
        <v>0</v>
      </c>
      <c r="I7023" s="24">
        <v>0</v>
      </c>
      <c r="J7023" s="25"/>
      <c r="K7023" s="24">
        <v>0</v>
      </c>
      <c r="L7023" s="22" t="str">
        <f>HYPERLINK("https://otsuka-europe-crm.veevavault.com/ui/#object/approved_document__v/V5O00000001A037", "LUP - VAE Póster Adelphi - Nefro")</f>
        <v>LUP - VAE Póster Adelphi - Nefro</v>
      </c>
      <c r="M7023" s="22" t="str">
        <f>HYPERLINK("mailto:idiez@crm.otsuka-europe.com", "idiez@crm.otsuka-europe.com")</f>
        <v>idiez@crm.otsuka-europe.com</v>
      </c>
      <c r="N7023" s="23">
        <v>46182.407511574071</v>
      </c>
      <c r="O7023" s="14" t="str">
        <f>HYPERLINK("https://otsuka-europe-crm.veevavault.com/ui/#object/email_activity__v/V8C00000003R490", "EN-002092677")</f>
        <v>EN-002092677</v>
      </c>
    </row>
    <row r="7024" spans="1:15" ht="16" x14ac:dyDescent="0.2">
      <c r="A7024" s="19"/>
      <c r="B7024" s="19"/>
      <c r="C7024" s="19"/>
      <c r="D7024" s="19"/>
      <c r="E7024" s="19"/>
      <c r="F7024" s="19"/>
      <c r="G7024" s="19"/>
      <c r="H7024" s="19"/>
      <c r="I7024" s="19"/>
      <c r="J7024" s="19"/>
      <c r="K7024" s="19"/>
      <c r="L7024" s="19"/>
      <c r="M7024" s="19"/>
      <c r="N7024" s="19"/>
      <c r="O7024" s="14" t="str">
        <f>HYPERLINK("https://otsuka-europe-crm.veevavault.com/ui/#object/email_activity__v/V8C00000003T418", "EN-002094460")</f>
        <v>EN-002094460</v>
      </c>
    </row>
    <row r="7025" spans="1:15" ht="32" x14ac:dyDescent="0.2">
      <c r="A7025" s="7" t="str">
        <f>HYPERLINK("https://otsuka-europe-crm.veevavault.com/ui/#object/account__v/V4TZ025E85VPH46", "LINA PAOLA GOMEZ ACOSTA")</f>
        <v>LINA PAOLA GOMEZ ACOSTA</v>
      </c>
      <c r="B7025" s="7" t="str">
        <f>HYPERLINK("https://otsuka-europe-crm.veevavault.com/ui/#object/vcountry__v/VENZ000004SONF5", "ES")</f>
        <v>ES</v>
      </c>
      <c r="C7025" s="8" t="s">
        <v>41</v>
      </c>
      <c r="D7025" s="9" t="str">
        <f>HYPERLINK("https://otsuka-europe-crm.veevavault.com/ui/#object/approved_document__v/V5O00000001A037", "LUP - VAE Póster Adelphi - Nefro")</f>
        <v>LUP - VAE Póster Adelphi - Nefro</v>
      </c>
      <c r="E7025" s="10" t="str">
        <f>HYPERLINK("https://otsuka-europe-crm.veevavault.com/ui/#object/sent_email__v/VBL00000002R262", "SE-001434759")</f>
        <v>SE-001434759</v>
      </c>
      <c r="F7025" s="11"/>
      <c r="G7025" s="12">
        <v>0</v>
      </c>
      <c r="H7025" s="12">
        <v>0</v>
      </c>
      <c r="I7025" s="12">
        <v>0</v>
      </c>
      <c r="J7025" s="11"/>
      <c r="K7025" s="12">
        <v>0</v>
      </c>
      <c r="L7025" s="10" t="str">
        <f>HYPERLINK("https://otsuka-europe-crm.veevavault.com/ui/#object/approved_document__v/V5O00000001A037", "LUP - VAE Póster Adelphi - Nefro")</f>
        <v>LUP - VAE Póster Adelphi - Nefro</v>
      </c>
      <c r="M7025" s="10" t="str">
        <f>HYPERLINK("mailto:idiez@crm.otsuka-europe.com", "idiez@crm.otsuka-europe.com")</f>
        <v>idiez@crm.otsuka-europe.com</v>
      </c>
      <c r="N7025" s="13">
        <v>46182.407511574071</v>
      </c>
      <c r="O7025" s="14" t="str">
        <f>HYPERLINK("https://otsuka-europe-crm.veevavault.com/ui/#object/email_activity__v/V8C00000003Q959", "EN-002092690")</f>
        <v>EN-002092690</v>
      </c>
    </row>
    <row r="7026" spans="1:15" ht="16" x14ac:dyDescent="0.2">
      <c r="A7026" s="17" t="str">
        <f>HYPERLINK("https://otsuka-europe-crm.veevavault.com/ui/#object/account__v/V4TZ04ASGDUBC5M", "JORGE ARMANDO TORRES ORTIZ")</f>
        <v>JORGE ARMANDO TORRES ORTIZ</v>
      </c>
      <c r="B7026" s="17" t="str">
        <f>HYPERLINK("https://otsuka-europe-crm.veevavault.com/ui/#object/vcountry__v/VENZ000004SONF5", "ES")</f>
        <v>ES</v>
      </c>
      <c r="C7026" s="20" t="s">
        <v>41</v>
      </c>
      <c r="D7026" s="21" t="str">
        <f>HYPERLINK("https://otsuka-europe-crm.veevavault.com/ui/#object/approved_document__v/V5O00000001A037", "LUP - VAE Póster Adelphi - Nefro")</f>
        <v>LUP - VAE Póster Adelphi - Nefro</v>
      </c>
      <c r="E7026" s="22" t="str">
        <f>HYPERLINK("https://otsuka-europe-crm.veevavault.com/ui/#object/sent_email__v/VBL00000002R263", "SE-001434760")</f>
        <v>SE-001434760</v>
      </c>
      <c r="F7026" s="25"/>
      <c r="G7026" s="24">
        <v>0</v>
      </c>
      <c r="H7026" s="24">
        <v>0</v>
      </c>
      <c r="I7026" s="24">
        <v>0</v>
      </c>
      <c r="J7026" s="25"/>
      <c r="K7026" s="24">
        <v>0</v>
      </c>
      <c r="L7026" s="22" t="str">
        <f>HYPERLINK("https://otsuka-europe-crm.veevavault.com/ui/#object/approved_document__v/V5O00000001A037", "LUP - VAE Póster Adelphi - Nefro")</f>
        <v>LUP - VAE Póster Adelphi - Nefro</v>
      </c>
      <c r="M7026" s="22" t="str">
        <f>HYPERLINK("mailto:idiez@crm.otsuka-europe.com", "idiez@crm.otsuka-europe.com")</f>
        <v>idiez@crm.otsuka-europe.com</v>
      </c>
      <c r="N7026" s="23">
        <v>46182.407511574071</v>
      </c>
      <c r="O7026" s="14" t="str">
        <f>HYPERLINK("https://otsuka-europe-crm.veevavault.com/ui/#object/email_activity__v/V8C00000003R460", "EN-002092636")</f>
        <v>EN-002092636</v>
      </c>
    </row>
    <row r="7027" spans="1:15" ht="16" x14ac:dyDescent="0.2">
      <c r="A7027" s="19"/>
      <c r="B7027" s="19"/>
      <c r="C7027" s="19"/>
      <c r="D7027" s="19"/>
      <c r="E7027" s="19"/>
      <c r="F7027" s="19"/>
      <c r="G7027" s="19"/>
      <c r="H7027" s="19"/>
      <c r="I7027" s="19"/>
      <c r="J7027" s="19"/>
      <c r="K7027" s="19"/>
      <c r="L7027" s="19"/>
      <c r="M7027" s="19"/>
      <c r="N7027" s="19"/>
      <c r="O7027" s="14" t="str">
        <f>HYPERLINK("https://otsuka-europe-crm.veevavault.com/ui/#object/email_activity__v/V8C00000003R852", "EN-002093278")</f>
        <v>EN-002093278</v>
      </c>
    </row>
    <row r="7028" spans="1:15" ht="16" x14ac:dyDescent="0.2">
      <c r="A7028" s="17" t="str">
        <f>HYPERLINK("https://otsuka-europe-crm.veevavault.com/ui/#object/account__v/V4TZ06G6O71T8B1", "NATHALIE MARTINEZ TEJEDA")</f>
        <v>NATHALIE MARTINEZ TEJEDA</v>
      </c>
      <c r="B7028" s="17" t="str">
        <f>HYPERLINK("https://otsuka-europe-crm.veevavault.com/ui/#object/vcountry__v/VENZ000004SONF5", "ES")</f>
        <v>ES</v>
      </c>
      <c r="C7028" s="20" t="s">
        <v>41</v>
      </c>
      <c r="D7028" s="21" t="str">
        <f>HYPERLINK("https://otsuka-europe-crm.veevavault.com/ui/#object/approved_document__v/V5O00000001A037", "LUP - VAE Póster Adelphi - Nefro")</f>
        <v>LUP - VAE Póster Adelphi - Nefro</v>
      </c>
      <c r="E7028" s="22" t="str">
        <f>HYPERLINK("https://otsuka-europe-crm.veevavault.com/ui/#object/sent_email__v/VBL00000002R264", "SE-001434761")</f>
        <v>SE-001434761</v>
      </c>
      <c r="F7028" s="23">
        <v>46191.330995370372</v>
      </c>
      <c r="G7028" s="24">
        <v>1</v>
      </c>
      <c r="H7028" s="24">
        <v>7</v>
      </c>
      <c r="I7028" s="24">
        <v>0</v>
      </c>
      <c r="J7028" s="25"/>
      <c r="K7028" s="24">
        <v>0</v>
      </c>
      <c r="L7028" s="22" t="str">
        <f>HYPERLINK("https://otsuka-europe-crm.veevavault.com/ui/#object/approved_document__v/V5O00000001A037", "LUP - VAE Póster Adelphi - Nefro")</f>
        <v>LUP - VAE Póster Adelphi - Nefro</v>
      </c>
      <c r="M7028" s="22" t="str">
        <f>HYPERLINK("mailto:idiez@crm.otsuka-europe.com", "idiez@crm.otsuka-europe.com")</f>
        <v>idiez@crm.otsuka-europe.com</v>
      </c>
      <c r="N7028" s="23">
        <v>46182.407534722224</v>
      </c>
      <c r="O7028" s="14" t="str">
        <f>HYPERLINK("https://otsuka-europe-crm.veevavault.com/ui/#object/email_activity__v/V8C00000003Q997", "EN-002092816")</f>
        <v>EN-002092816</v>
      </c>
    </row>
    <row r="7029" spans="1:15" ht="16" x14ac:dyDescent="0.2">
      <c r="A7029" s="18"/>
      <c r="B7029" s="18"/>
      <c r="C7029" s="18"/>
      <c r="D7029" s="18"/>
      <c r="E7029" s="18"/>
      <c r="F7029" s="18"/>
      <c r="G7029" s="18"/>
      <c r="H7029" s="18"/>
      <c r="I7029" s="18"/>
      <c r="J7029" s="18"/>
      <c r="K7029" s="18"/>
      <c r="L7029" s="18"/>
      <c r="M7029" s="18"/>
      <c r="N7029" s="18"/>
      <c r="O7029" s="14" t="str">
        <f>HYPERLINK("https://otsuka-europe-crm.veevavault.com/ui/#object/email_activity__v/V8C00000003R451", "EN-002092627")</f>
        <v>EN-002092627</v>
      </c>
    </row>
    <row r="7030" spans="1:15" ht="16" x14ac:dyDescent="0.2">
      <c r="A7030" s="18"/>
      <c r="B7030" s="18"/>
      <c r="C7030" s="18"/>
      <c r="D7030" s="18"/>
      <c r="E7030" s="18"/>
      <c r="F7030" s="18"/>
      <c r="G7030" s="18"/>
      <c r="H7030" s="18"/>
      <c r="I7030" s="18"/>
      <c r="J7030" s="18"/>
      <c r="K7030" s="18"/>
      <c r="L7030" s="18"/>
      <c r="M7030" s="18"/>
      <c r="N7030" s="18"/>
      <c r="O7030" s="14" t="str">
        <f>HYPERLINK("https://otsuka-europe-crm.veevavault.com/ui/#object/email_activity__v/V8C00000003X959", "EN-002098526")</f>
        <v>EN-002098526</v>
      </c>
    </row>
    <row r="7031" spans="1:15" ht="16" x14ac:dyDescent="0.2">
      <c r="A7031" s="18"/>
      <c r="B7031" s="18"/>
      <c r="C7031" s="18"/>
      <c r="D7031" s="18"/>
      <c r="E7031" s="18"/>
      <c r="F7031" s="18"/>
      <c r="G7031" s="18"/>
      <c r="H7031" s="18"/>
      <c r="I7031" s="18"/>
      <c r="J7031" s="18"/>
      <c r="K7031" s="18"/>
      <c r="L7031" s="18"/>
      <c r="M7031" s="18"/>
      <c r="N7031" s="18"/>
      <c r="O7031" s="14" t="str">
        <f>HYPERLINK("https://otsuka-europe-crm.veevavault.com/ui/#object/email_activity__v/V8C00000003X960", "EN-002098527")</f>
        <v>EN-002098527</v>
      </c>
    </row>
    <row r="7032" spans="1:15" ht="16" x14ac:dyDescent="0.2">
      <c r="A7032" s="18"/>
      <c r="B7032" s="18"/>
      <c r="C7032" s="18"/>
      <c r="D7032" s="18"/>
      <c r="E7032" s="18"/>
      <c r="F7032" s="18"/>
      <c r="G7032" s="18"/>
      <c r="H7032" s="18"/>
      <c r="I7032" s="18"/>
      <c r="J7032" s="18"/>
      <c r="K7032" s="18"/>
      <c r="L7032" s="18"/>
      <c r="M7032" s="18"/>
      <c r="N7032" s="18"/>
      <c r="O7032" s="14" t="str">
        <f>HYPERLINK("https://otsuka-europe-crm.veevavault.com/ui/#object/email_activity__v/V8C00000003X961", "EN-002098528")</f>
        <v>EN-002098528</v>
      </c>
    </row>
    <row r="7033" spans="1:15" ht="16" x14ac:dyDescent="0.2">
      <c r="A7033" s="18"/>
      <c r="B7033" s="18"/>
      <c r="C7033" s="18"/>
      <c r="D7033" s="18"/>
      <c r="E7033" s="18"/>
      <c r="F7033" s="18"/>
      <c r="G7033" s="18"/>
      <c r="H7033" s="18"/>
      <c r="I7033" s="18"/>
      <c r="J7033" s="18"/>
      <c r="K7033" s="18"/>
      <c r="L7033" s="18"/>
      <c r="M7033" s="18"/>
      <c r="N7033" s="18"/>
      <c r="O7033" s="14" t="str">
        <f>HYPERLINK("https://otsuka-europe-crm.veevavault.com/ui/#object/email_activity__v/V8C00000003X962", "EN-002098529")</f>
        <v>EN-002098529</v>
      </c>
    </row>
    <row r="7034" spans="1:15" ht="16" x14ac:dyDescent="0.2">
      <c r="A7034" s="18"/>
      <c r="B7034" s="18"/>
      <c r="C7034" s="18"/>
      <c r="D7034" s="18"/>
      <c r="E7034" s="18"/>
      <c r="F7034" s="18"/>
      <c r="G7034" s="18"/>
      <c r="H7034" s="18"/>
      <c r="I7034" s="18"/>
      <c r="J7034" s="18"/>
      <c r="K7034" s="18"/>
      <c r="L7034" s="18"/>
      <c r="M7034" s="18"/>
      <c r="N7034" s="18"/>
      <c r="O7034" s="14" t="str">
        <f>HYPERLINK("https://otsuka-europe-crm.veevavault.com/ui/#object/email_activity__v/V8C00000003X963", "EN-002098530")</f>
        <v>EN-002098530</v>
      </c>
    </row>
    <row r="7035" spans="1:15" ht="16" x14ac:dyDescent="0.2">
      <c r="A7035" s="19"/>
      <c r="B7035" s="19"/>
      <c r="C7035" s="19"/>
      <c r="D7035" s="19"/>
      <c r="E7035" s="19"/>
      <c r="F7035" s="19"/>
      <c r="G7035" s="19"/>
      <c r="H7035" s="19"/>
      <c r="I7035" s="19"/>
      <c r="J7035" s="19"/>
      <c r="K7035" s="19"/>
      <c r="L7035" s="19"/>
      <c r="M7035" s="19"/>
      <c r="N7035" s="19"/>
      <c r="O7035" s="14" t="str">
        <f>HYPERLINK("https://otsuka-europe-crm.veevavault.com/ui/#object/email_activity__v/V8C00000003X965", "EN-002098532")</f>
        <v>EN-002098532</v>
      </c>
    </row>
    <row r="7036" spans="1:15" ht="16" x14ac:dyDescent="0.2">
      <c r="A7036" s="17" t="str">
        <f>HYPERLINK("https://otsuka-europe-crm.veevavault.com/ui/#object/account__v/V4TZ06G6O71T7I4", "LAURA RODRIGUEZ-OSORIO JIMENEZ")</f>
        <v>LAURA RODRIGUEZ-OSORIO JIMENEZ</v>
      </c>
      <c r="B7036" s="17" t="str">
        <f>HYPERLINK("https://otsuka-europe-crm.veevavault.com/ui/#object/vcountry__v/VENZ000004SONF5", "ES")</f>
        <v>ES</v>
      </c>
      <c r="C7036" s="20" t="s">
        <v>41</v>
      </c>
      <c r="D7036" s="21" t="str">
        <f>HYPERLINK("https://otsuka-europe-crm.veevavault.com/ui/#object/approved_document__v/V5O00000001A037", "LUP - VAE Póster Adelphi - Nefro")</f>
        <v>LUP - VAE Póster Adelphi - Nefro</v>
      </c>
      <c r="E7036" s="22" t="str">
        <f>HYPERLINK("https://otsuka-europe-crm.veevavault.com/ui/#object/sent_email__v/VBL00000002R265", "SE-001434762")</f>
        <v>SE-001434762</v>
      </c>
      <c r="F7036" s="23">
        <v>46182.479085648149</v>
      </c>
      <c r="G7036" s="24">
        <v>1</v>
      </c>
      <c r="H7036" s="24">
        <v>1</v>
      </c>
      <c r="I7036" s="24">
        <v>0</v>
      </c>
      <c r="J7036" s="25"/>
      <c r="K7036" s="24">
        <v>0</v>
      </c>
      <c r="L7036" s="22" t="str">
        <f>HYPERLINK("https://otsuka-europe-crm.veevavault.com/ui/#object/approved_document__v/V5O00000001A037", "LUP - VAE Póster Adelphi - Nefro")</f>
        <v>LUP - VAE Póster Adelphi - Nefro</v>
      </c>
      <c r="M7036" s="22" t="str">
        <f>HYPERLINK("mailto:idiez@crm.otsuka-europe.com", "idiez@crm.otsuka-europe.com")</f>
        <v>idiez@crm.otsuka-europe.com</v>
      </c>
      <c r="N7036" s="23">
        <v>46182.407546296294</v>
      </c>
      <c r="O7036" s="14" t="str">
        <f>HYPERLINK("https://otsuka-europe-crm.veevavault.com/ui/#object/email_activity__v/V8C00000003R454", "EN-002092630")</f>
        <v>EN-002092630</v>
      </c>
    </row>
    <row r="7037" spans="1:15" ht="16" x14ac:dyDescent="0.2">
      <c r="A7037" s="19"/>
      <c r="B7037" s="19"/>
      <c r="C7037" s="19"/>
      <c r="D7037" s="19"/>
      <c r="E7037" s="19"/>
      <c r="F7037" s="19"/>
      <c r="G7037" s="19"/>
      <c r="H7037" s="19"/>
      <c r="I7037" s="19"/>
      <c r="J7037" s="19"/>
      <c r="K7037" s="19"/>
      <c r="L7037" s="19"/>
      <c r="M7037" s="19"/>
      <c r="N7037" s="19"/>
      <c r="O7037" s="14" t="str">
        <f>HYPERLINK("https://otsuka-europe-crm.veevavault.com/ui/#object/email_activity__v/V8C00000003S018", "EN-002092867")</f>
        <v>EN-002092867</v>
      </c>
    </row>
    <row r="7038" spans="1:15" ht="16" x14ac:dyDescent="0.2">
      <c r="A7038" s="17" t="str">
        <f>HYPERLINK("https://otsuka-europe-crm.veevavault.com/ui/#object/account__v/V4TZ06G6O71T8K5", "LUIS ALBERTO SANCHEZ CAMARA")</f>
        <v>LUIS ALBERTO SANCHEZ CAMARA</v>
      </c>
      <c r="B7038" s="17" t="str">
        <f>HYPERLINK("https://otsuka-europe-crm.veevavault.com/ui/#object/vcountry__v/VENZ000004SONF5", "ES")</f>
        <v>ES</v>
      </c>
      <c r="C7038" s="20" t="s">
        <v>41</v>
      </c>
      <c r="D7038" s="21" t="str">
        <f>HYPERLINK("https://otsuka-europe-crm.veevavault.com/ui/#object/approved_document__v/V5O00000001A037", "LUP - VAE Póster Adelphi - Nefro")</f>
        <v>LUP - VAE Póster Adelphi - Nefro</v>
      </c>
      <c r="E7038" s="22" t="str">
        <f>HYPERLINK("https://otsuka-europe-crm.veevavault.com/ui/#object/sent_email__v/VBL00000002R266", "SE-001434763")</f>
        <v>SE-001434763</v>
      </c>
      <c r="F7038" s="23">
        <v>46182.666145833333</v>
      </c>
      <c r="G7038" s="24">
        <v>1</v>
      </c>
      <c r="H7038" s="24">
        <v>2</v>
      </c>
      <c r="I7038" s="24">
        <v>0</v>
      </c>
      <c r="J7038" s="25"/>
      <c r="K7038" s="24">
        <v>0</v>
      </c>
      <c r="L7038" s="22" t="str">
        <f>HYPERLINK("https://otsuka-europe-crm.veevavault.com/ui/#object/approved_document__v/V5O00000001A037", "LUP - VAE Póster Adelphi - Nefro")</f>
        <v>LUP - VAE Póster Adelphi - Nefro</v>
      </c>
      <c r="M7038" s="22" t="str">
        <f>HYPERLINK("mailto:idiez@crm.otsuka-europe.com", "idiez@crm.otsuka-europe.com")</f>
        <v>idiez@crm.otsuka-europe.com</v>
      </c>
      <c r="N7038" s="23">
        <v>46182.407511574071</v>
      </c>
      <c r="O7038" s="14" t="str">
        <f>HYPERLINK("https://otsuka-europe-crm.veevavault.com/ui/#object/email_activity__v/V8C00000003Q948", "EN-002092675")</f>
        <v>EN-002092675</v>
      </c>
    </row>
    <row r="7039" spans="1:15" ht="16" x14ac:dyDescent="0.2">
      <c r="A7039" s="18"/>
      <c r="B7039" s="18"/>
      <c r="C7039" s="18"/>
      <c r="D7039" s="18"/>
      <c r="E7039" s="18"/>
      <c r="F7039" s="18"/>
      <c r="G7039" s="18"/>
      <c r="H7039" s="18"/>
      <c r="I7039" s="18"/>
      <c r="J7039" s="18"/>
      <c r="K7039" s="18"/>
      <c r="L7039" s="18"/>
      <c r="M7039" s="18"/>
      <c r="N7039" s="18"/>
      <c r="O7039" s="14" t="str">
        <f>HYPERLINK("https://otsuka-europe-crm.veevavault.com/ui/#object/email_activity__v/V8C00000003R549", "EN-002092760")</f>
        <v>EN-002092760</v>
      </c>
    </row>
    <row r="7040" spans="1:15" ht="16" x14ac:dyDescent="0.2">
      <c r="A7040" s="19"/>
      <c r="B7040" s="19"/>
      <c r="C7040" s="19"/>
      <c r="D7040" s="19"/>
      <c r="E7040" s="19"/>
      <c r="F7040" s="19"/>
      <c r="G7040" s="19"/>
      <c r="H7040" s="19"/>
      <c r="I7040" s="19"/>
      <c r="J7040" s="19"/>
      <c r="K7040" s="19"/>
      <c r="L7040" s="19"/>
      <c r="M7040" s="19"/>
      <c r="N7040" s="19"/>
      <c r="O7040" s="14" t="str">
        <f>HYPERLINK("https://otsuka-europe-crm.veevavault.com/ui/#object/email_activity__v/V8C00000003R851", "EN-002093277")</f>
        <v>EN-002093277</v>
      </c>
    </row>
    <row r="7041" spans="1:15" ht="32" x14ac:dyDescent="0.2">
      <c r="A7041" s="7" t="str">
        <f>HYPERLINK("https://otsuka-europe-crm.veevavault.com/ui/#object/account__v/V4TZ06G6O71T81W", "RUBEN VELASCO PILAR")</f>
        <v>RUBEN VELASCO PILAR</v>
      </c>
      <c r="B7041" s="7" t="str">
        <f>HYPERLINK("https://otsuka-europe-crm.veevavault.com/ui/#object/vcountry__v/VENZ000004SONF5", "ES")</f>
        <v>ES</v>
      </c>
      <c r="C7041" s="8" t="s">
        <v>41</v>
      </c>
      <c r="D7041" s="9" t="str">
        <f>HYPERLINK("https://otsuka-europe-crm.veevavault.com/ui/#object/approved_document__v/V5O00000001A037", "LUP - VAE Póster Adelphi - Nefro")</f>
        <v>LUP - VAE Póster Adelphi - Nefro</v>
      </c>
      <c r="E7041" s="10" t="str">
        <f>HYPERLINK("https://otsuka-europe-crm.veevavault.com/ui/#object/sent_email__v/VBL00000002R267", "SE-001434764")</f>
        <v>SE-001434764</v>
      </c>
      <c r="F7041" s="11"/>
      <c r="G7041" s="12">
        <v>0</v>
      </c>
      <c r="H7041" s="12">
        <v>0</v>
      </c>
      <c r="I7041" s="12">
        <v>0</v>
      </c>
      <c r="J7041" s="11"/>
      <c r="K7041" s="12">
        <v>0</v>
      </c>
      <c r="L7041" s="10" t="str">
        <f>HYPERLINK("https://otsuka-europe-crm.veevavault.com/ui/#object/approved_document__v/V5O00000001A037", "LUP - VAE Póster Adelphi - Nefro")</f>
        <v>LUP - VAE Póster Adelphi - Nefro</v>
      </c>
      <c r="M7041" s="10" t="str">
        <f>HYPERLINK("mailto:idiez@crm.otsuka-europe.com", "idiez@crm.otsuka-europe.com")</f>
        <v>idiez@crm.otsuka-europe.com</v>
      </c>
      <c r="N7041" s="13">
        <v>46182.407511574071</v>
      </c>
      <c r="O7041" s="14" t="str">
        <f>HYPERLINK("https://otsuka-europe-crm.veevavault.com/ui/#object/email_activity__v/V8C00000003Q945", "EN-002092663")</f>
        <v>EN-002092663</v>
      </c>
    </row>
    <row r="7042" spans="1:15" ht="32" x14ac:dyDescent="0.2">
      <c r="A7042" s="7" t="str">
        <f>HYPERLINK("https://otsuka-europe-crm.veevavault.com/ui/#object/account__v/V4TZ06G6O71TC7P", "LUISA GEMMA SANCHEZ GARCIA")</f>
        <v>LUISA GEMMA SANCHEZ GARCIA</v>
      </c>
      <c r="B7042" s="7" t="str">
        <f>HYPERLINK("https://otsuka-europe-crm.veevavault.com/ui/#object/vcountry__v/VENZ000004SONF5", "ES")</f>
        <v>ES</v>
      </c>
      <c r="C7042" s="8" t="s">
        <v>41</v>
      </c>
      <c r="D7042" s="9" t="str">
        <f>HYPERLINK("https://otsuka-europe-crm.veevavault.com/ui/#object/approved_document__v/V5O00000001A037", "LUP - VAE Póster Adelphi - Nefro")</f>
        <v>LUP - VAE Póster Adelphi - Nefro</v>
      </c>
      <c r="E7042" s="10" t="str">
        <f>HYPERLINK("https://otsuka-europe-crm.veevavault.com/ui/#object/sent_email__v/VBL00000002R268", "SE-001434765")</f>
        <v>SE-001434765</v>
      </c>
      <c r="F7042" s="11"/>
      <c r="G7042" s="12">
        <v>0</v>
      </c>
      <c r="H7042" s="12">
        <v>0</v>
      </c>
      <c r="I7042" s="12">
        <v>0</v>
      </c>
      <c r="J7042" s="11"/>
      <c r="K7042" s="12">
        <v>0</v>
      </c>
      <c r="L7042" s="10" t="str">
        <f>HYPERLINK("https://otsuka-europe-crm.veevavault.com/ui/#object/approved_document__v/V5O00000001A037", "LUP - VAE Póster Adelphi - Nefro")</f>
        <v>LUP - VAE Póster Adelphi - Nefro</v>
      </c>
      <c r="M7042" s="10" t="str">
        <f>HYPERLINK("mailto:idiez@crm.otsuka-europe.com", "idiez@crm.otsuka-europe.com")</f>
        <v>idiez@crm.otsuka-europe.com</v>
      </c>
      <c r="N7042" s="13">
        <v>46182.407511574071</v>
      </c>
      <c r="O7042" s="14" t="str">
        <f>HYPERLINK("https://otsuka-europe-crm.veevavault.com/ui/#object/email_activity__v/V8C00000003R491", "EN-002092678")</f>
        <v>EN-002092678</v>
      </c>
    </row>
    <row r="7043" spans="1:15" ht="32" x14ac:dyDescent="0.2">
      <c r="A7043" s="7" t="str">
        <f>HYPERLINK("https://otsuka-europe-crm.veevavault.com/ui/#object/account__v/V4TZ06G6O71T93Q", "MARIA BEGOÑA ALAGUERO DEL POZO")</f>
        <v>MARIA BEGOÑA ALAGUERO DEL POZO</v>
      </c>
      <c r="B7043" s="7" t="str">
        <f>HYPERLINK("https://otsuka-europe-crm.veevavault.com/ui/#object/vcountry__v/VENZ000004SONF5", "ES")</f>
        <v>ES</v>
      </c>
      <c r="C7043" s="8" t="s">
        <v>41</v>
      </c>
      <c r="D7043" s="9" t="str">
        <f>HYPERLINK("https://otsuka-europe-crm.veevavault.com/ui/#object/approved_document__v/V5O00000001A037", "LUP - VAE Póster Adelphi - Nefro")</f>
        <v>LUP - VAE Póster Adelphi - Nefro</v>
      </c>
      <c r="E7043" s="10" t="str">
        <f>HYPERLINK("https://otsuka-europe-crm.veevavault.com/ui/#object/sent_email__v/VBL00000002R269", "SE-001434766")</f>
        <v>SE-001434766</v>
      </c>
      <c r="F7043" s="11"/>
      <c r="G7043" s="12">
        <v>0</v>
      </c>
      <c r="H7043" s="12">
        <v>0</v>
      </c>
      <c r="I7043" s="12">
        <v>0</v>
      </c>
      <c r="J7043" s="11"/>
      <c r="K7043" s="12">
        <v>0</v>
      </c>
      <c r="L7043" s="10" t="str">
        <f>HYPERLINK("https://otsuka-europe-crm.veevavault.com/ui/#object/approved_document__v/V5O00000001A037", "LUP - VAE Póster Adelphi - Nefro")</f>
        <v>LUP - VAE Póster Adelphi - Nefro</v>
      </c>
      <c r="M7043" s="10" t="str">
        <f>HYPERLINK("mailto:idiez@crm.otsuka-europe.com", "idiez@crm.otsuka-europe.com")</f>
        <v>idiez@crm.otsuka-europe.com</v>
      </c>
      <c r="N7043" s="13">
        <v>46182.407511574071</v>
      </c>
      <c r="O7043" s="14" t="str">
        <f>HYPERLINK("https://otsuka-europe-crm.veevavault.com/ui/#object/email_activity__v/V8C00000003R476", "EN-002092657")</f>
        <v>EN-002092657</v>
      </c>
    </row>
    <row r="7044" spans="1:15" ht="32" x14ac:dyDescent="0.2">
      <c r="A7044" s="7" t="str">
        <f>HYPERLINK("https://otsuka-europe-crm.veevavault.com/ui/#object/account__v/V4TZ06G6O9VMVOR", "PAULO GARCIA GUTIERREZ")</f>
        <v>PAULO GARCIA GUTIERREZ</v>
      </c>
      <c r="B7044" s="7" t="str">
        <f>HYPERLINK("https://otsuka-europe-crm.veevavault.com/ui/#object/vcountry__v/VENZ000004SONF5", "ES")</f>
        <v>ES</v>
      </c>
      <c r="C7044" s="8" t="s">
        <v>41</v>
      </c>
      <c r="D7044" s="9" t="str">
        <f>HYPERLINK("https://otsuka-europe-crm.veevavault.com/ui/#object/approved_document__v/V5O00000001A037", "LUP - VAE Póster Adelphi - Nefro")</f>
        <v>LUP - VAE Póster Adelphi - Nefro</v>
      </c>
      <c r="E7044" s="10" t="str">
        <f>HYPERLINK("https://otsuka-europe-crm.veevavault.com/ui/#object/sent_email__v/VBL00000002R270", "SE-001434767")</f>
        <v>SE-001434767</v>
      </c>
      <c r="F7044" s="11"/>
      <c r="G7044" s="12">
        <v>0</v>
      </c>
      <c r="H7044" s="12">
        <v>0</v>
      </c>
      <c r="I7044" s="12">
        <v>0</v>
      </c>
      <c r="J7044" s="11"/>
      <c r="K7044" s="12">
        <v>0</v>
      </c>
      <c r="L7044" s="10" t="str">
        <f>HYPERLINK("https://otsuka-europe-crm.veevavault.com/ui/#object/approved_document__v/V5O00000001A037", "LUP - VAE Póster Adelphi - Nefro")</f>
        <v>LUP - VAE Póster Adelphi - Nefro</v>
      </c>
      <c r="M7044" s="10" t="str">
        <f>HYPERLINK("mailto:idiez@crm.otsuka-europe.com", "idiez@crm.otsuka-europe.com")</f>
        <v>idiez@crm.otsuka-europe.com</v>
      </c>
      <c r="N7044" s="13">
        <v>46182.407511574071</v>
      </c>
      <c r="O7044" s="14" t="str">
        <f>HYPERLINK("https://otsuka-europe-crm.veevavault.com/ui/#object/email_activity__v/V8C00000003R489", "EN-002092674")</f>
        <v>EN-002092674</v>
      </c>
    </row>
    <row r="7045" spans="1:15" ht="16" x14ac:dyDescent="0.2">
      <c r="A7045" s="17" t="str">
        <f>HYPERLINK("https://otsuka-europe-crm.veevavault.com/ui/#object/account__v/V4TZ06G6O9VM8CS", "IRENE GALINDO MARIN")</f>
        <v>IRENE GALINDO MARIN</v>
      </c>
      <c r="B7045" s="17" t="str">
        <f>HYPERLINK("https://otsuka-europe-crm.veevavault.com/ui/#object/vcountry__v/VENZ000004SONF5", "ES")</f>
        <v>ES</v>
      </c>
      <c r="C7045" s="20" t="s">
        <v>41</v>
      </c>
      <c r="D7045" s="21" t="str">
        <f>HYPERLINK("https://otsuka-europe-crm.veevavault.com/ui/#object/approved_document__v/V5O00000001A037", "LUP - VAE Póster Adelphi - Nefro")</f>
        <v>LUP - VAE Póster Adelphi - Nefro</v>
      </c>
      <c r="E7045" s="22" t="str">
        <f>HYPERLINK("https://otsuka-europe-crm.veevavault.com/ui/#object/sent_email__v/VBL00000002R271", "SE-001434768")</f>
        <v>SE-001434768</v>
      </c>
      <c r="F7045" s="23">
        <v>46182.449849537035</v>
      </c>
      <c r="G7045" s="24">
        <v>1</v>
      </c>
      <c r="H7045" s="24">
        <v>2</v>
      </c>
      <c r="I7045" s="24">
        <v>0</v>
      </c>
      <c r="J7045" s="25"/>
      <c r="K7045" s="24">
        <v>0</v>
      </c>
      <c r="L7045" s="22" t="str">
        <f>HYPERLINK("https://otsuka-europe-crm.veevavault.com/ui/#object/approved_document__v/V5O00000001A037", "LUP - VAE Póster Adelphi - Nefro")</f>
        <v>LUP - VAE Póster Adelphi - Nefro</v>
      </c>
      <c r="M7045" s="22" t="str">
        <f>HYPERLINK("mailto:idiez@crm.otsuka-europe.com", "idiez@crm.otsuka-europe.com")</f>
        <v>idiez@crm.otsuka-europe.com</v>
      </c>
      <c r="N7045" s="23">
        <v>46182.407511574071</v>
      </c>
      <c r="O7045" s="14" t="str">
        <f>HYPERLINK("https://otsuka-europe-crm.veevavault.com/ui/#object/email_activity__v/V8C00000003Q999", "EN-002092820")</f>
        <v>EN-002092820</v>
      </c>
    </row>
    <row r="7046" spans="1:15" ht="16" x14ac:dyDescent="0.2">
      <c r="A7046" s="18"/>
      <c r="B7046" s="18"/>
      <c r="C7046" s="18"/>
      <c r="D7046" s="18"/>
      <c r="E7046" s="18"/>
      <c r="F7046" s="18"/>
      <c r="G7046" s="18"/>
      <c r="H7046" s="18"/>
      <c r="I7046" s="18"/>
      <c r="J7046" s="18"/>
      <c r="K7046" s="18"/>
      <c r="L7046" s="18"/>
      <c r="M7046" s="18"/>
      <c r="N7046" s="18"/>
      <c r="O7046" s="14" t="str">
        <f>HYPERLINK("https://otsuka-europe-crm.veevavault.com/ui/#object/email_activity__v/V8C00000003R483", "EN-002092668")</f>
        <v>EN-002092668</v>
      </c>
    </row>
    <row r="7047" spans="1:15" ht="16" x14ac:dyDescent="0.2">
      <c r="A7047" s="19"/>
      <c r="B7047" s="19"/>
      <c r="C7047" s="19"/>
      <c r="D7047" s="19"/>
      <c r="E7047" s="19"/>
      <c r="F7047" s="19"/>
      <c r="G7047" s="19"/>
      <c r="H7047" s="19"/>
      <c r="I7047" s="19"/>
      <c r="J7047" s="19"/>
      <c r="K7047" s="19"/>
      <c r="L7047" s="19"/>
      <c r="M7047" s="19"/>
      <c r="N7047" s="19"/>
      <c r="O7047" s="14" t="str">
        <f>HYPERLINK("https://otsuka-europe-crm.veevavault.com/ui/#object/email_activity__v/V8C00000003S001", "EN-002092821")</f>
        <v>EN-002092821</v>
      </c>
    </row>
    <row r="7048" spans="1:15" ht="16" x14ac:dyDescent="0.2">
      <c r="A7048" s="17" t="str">
        <f>HYPERLINK("https://otsuka-europe-crm.veevavault.com/ui/#object/account__v/V4TZ06G6O71T9QW", "MARIA JOSE FERNANDEZ-REYES LUIS")</f>
        <v>MARIA JOSE FERNANDEZ-REYES LUIS</v>
      </c>
      <c r="B7048" s="17" t="str">
        <f>HYPERLINK("https://otsuka-europe-crm.veevavault.com/ui/#object/vcountry__v/VENZ000004SONF5", "ES")</f>
        <v>ES</v>
      </c>
      <c r="C7048" s="20" t="s">
        <v>41</v>
      </c>
      <c r="D7048" s="21" t="str">
        <f>HYPERLINK("https://otsuka-europe-crm.veevavault.com/ui/#object/approved_document__v/V5O00000001A037", "LUP - VAE Póster Adelphi - Nefro")</f>
        <v>LUP - VAE Póster Adelphi - Nefro</v>
      </c>
      <c r="E7048" s="22" t="str">
        <f>HYPERLINK("https://otsuka-europe-crm.veevavault.com/ui/#object/sent_email__v/VBL00000002R272", "SE-001434769")</f>
        <v>SE-001434769</v>
      </c>
      <c r="F7048" s="23">
        <v>46182.650613425925</v>
      </c>
      <c r="G7048" s="24">
        <v>1</v>
      </c>
      <c r="H7048" s="24">
        <v>2</v>
      </c>
      <c r="I7048" s="24">
        <v>0</v>
      </c>
      <c r="J7048" s="25"/>
      <c r="K7048" s="24">
        <v>0</v>
      </c>
      <c r="L7048" s="22" t="str">
        <f>HYPERLINK("https://otsuka-europe-crm.veevavault.com/ui/#object/approved_document__v/V5O00000001A037", "LUP - VAE Póster Adelphi - Nefro")</f>
        <v>LUP - VAE Póster Adelphi - Nefro</v>
      </c>
      <c r="M7048" s="22" t="str">
        <f>HYPERLINK("mailto:idiez@crm.otsuka-europe.com", "idiez@crm.otsuka-europe.com")</f>
        <v>idiez@crm.otsuka-europe.com</v>
      </c>
      <c r="N7048" s="23">
        <v>46182.407534722224</v>
      </c>
      <c r="O7048" s="14" t="str">
        <f>HYPERLINK("https://otsuka-europe-crm.veevavault.com/ui/#object/email_activity__v/V8C00000003R450", "EN-002092626")</f>
        <v>EN-002092626</v>
      </c>
    </row>
    <row r="7049" spans="1:15" ht="16" x14ac:dyDescent="0.2">
      <c r="A7049" s="18"/>
      <c r="B7049" s="18"/>
      <c r="C7049" s="18"/>
      <c r="D7049" s="18"/>
      <c r="E7049" s="18"/>
      <c r="F7049" s="18"/>
      <c r="G7049" s="18"/>
      <c r="H7049" s="18"/>
      <c r="I7049" s="18"/>
      <c r="J7049" s="18"/>
      <c r="K7049" s="18"/>
      <c r="L7049" s="18"/>
      <c r="M7049" s="18"/>
      <c r="N7049" s="18"/>
      <c r="O7049" s="14" t="str">
        <f>HYPERLINK("https://otsuka-europe-crm.veevavault.com/ui/#object/email_activity__v/V8C00000003R812", "EN-002093220")</f>
        <v>EN-002093220</v>
      </c>
    </row>
    <row r="7050" spans="1:15" ht="16" x14ac:dyDescent="0.2">
      <c r="A7050" s="19"/>
      <c r="B7050" s="19"/>
      <c r="C7050" s="19"/>
      <c r="D7050" s="19"/>
      <c r="E7050" s="19"/>
      <c r="F7050" s="19"/>
      <c r="G7050" s="19"/>
      <c r="H7050" s="19"/>
      <c r="I7050" s="19"/>
      <c r="J7050" s="19"/>
      <c r="K7050" s="19"/>
      <c r="L7050" s="19"/>
      <c r="M7050" s="19"/>
      <c r="N7050" s="19"/>
      <c r="O7050" s="14" t="str">
        <f>HYPERLINK("https://otsuka-europe-crm.veevavault.com/ui/#object/email_activity__v/V8C00000003R814", "EN-002093222")</f>
        <v>EN-002093222</v>
      </c>
    </row>
    <row r="7051" spans="1:15" ht="32" x14ac:dyDescent="0.2">
      <c r="A7051" s="7" t="str">
        <f>HYPERLINK("https://otsuka-europe-crm.veevavault.com/ui/#object/account__v/V4T000000017510", "JACQUELINE EDITH APAZA CHAVEZ")</f>
        <v>JACQUELINE EDITH APAZA CHAVEZ</v>
      </c>
      <c r="B7051" s="7" t="str">
        <f>HYPERLINK("https://otsuka-europe-crm.veevavault.com/ui/#object/vcountry__v/VENZ000004SONF5", "ES")</f>
        <v>ES</v>
      </c>
      <c r="C7051" s="8" t="s">
        <v>41</v>
      </c>
      <c r="D7051" s="9" t="str">
        <f>HYPERLINK("https://otsuka-europe-crm.veevavault.com/ui/#object/approved_document__v/V5O00000001A037", "LUP - VAE Póster Adelphi - Nefro")</f>
        <v>LUP - VAE Póster Adelphi - Nefro</v>
      </c>
      <c r="E7051" s="10" t="str">
        <f>HYPERLINK("https://otsuka-europe-crm.veevavault.com/ui/#object/sent_email__v/VBL00000002R273", "SE-001434770")</f>
        <v>SE-001434770</v>
      </c>
      <c r="F7051" s="11"/>
      <c r="G7051" s="12">
        <v>0</v>
      </c>
      <c r="H7051" s="12">
        <v>0</v>
      </c>
      <c r="I7051" s="12">
        <v>0</v>
      </c>
      <c r="J7051" s="11"/>
      <c r="K7051" s="12">
        <v>0</v>
      </c>
      <c r="L7051" s="10" t="str">
        <f>HYPERLINK("https://otsuka-europe-crm.veevavault.com/ui/#object/approved_document__v/V5O00000001A037", "LUP - VAE Póster Adelphi - Nefro")</f>
        <v>LUP - VAE Póster Adelphi - Nefro</v>
      </c>
      <c r="M7051" s="10" t="str">
        <f>HYPERLINK("mailto:idiez@crm.otsuka-europe.com", "idiez@crm.otsuka-europe.com")</f>
        <v>idiez@crm.otsuka-europe.com</v>
      </c>
      <c r="N7051" s="13">
        <v>46182.407546296294</v>
      </c>
      <c r="O7051" s="14" t="str">
        <f>HYPERLINK("https://otsuka-europe-crm.veevavault.com/ui/#object/email_activity__v/V8C00000003R457", "EN-002092633")</f>
        <v>EN-002092633</v>
      </c>
    </row>
    <row r="7052" spans="1:15" ht="32" x14ac:dyDescent="0.2">
      <c r="A7052" s="7" t="str">
        <f>HYPERLINK("https://otsuka-europe-crm.veevavault.com/ui/#object/account__v/V4TZ06G6O71TAAJ", "MARIA ANGELES GOICOECHEA DIEZHANDINO")</f>
        <v>MARIA ANGELES GOICOECHEA DIEZHANDINO</v>
      </c>
      <c r="B7052" s="7" t="str">
        <f>HYPERLINK("https://otsuka-europe-crm.veevavault.com/ui/#object/vcountry__v/VENZ000004SONF5", "ES")</f>
        <v>ES</v>
      </c>
      <c r="C7052" s="8" t="s">
        <v>41</v>
      </c>
      <c r="D7052" s="9" t="str">
        <f>HYPERLINK("https://otsuka-europe-crm.veevavault.com/ui/#object/approved_document__v/V5O00000001A037", "LUP - VAE Póster Adelphi - Nefro")</f>
        <v>LUP - VAE Póster Adelphi - Nefro</v>
      </c>
      <c r="E7052" s="10" t="str">
        <f>HYPERLINK("https://otsuka-europe-crm.veevavault.com/ui/#object/sent_email__v/VBL00000002R274", "SE-001434771")</f>
        <v>SE-001434771</v>
      </c>
      <c r="F7052" s="11"/>
      <c r="G7052" s="12">
        <v>0</v>
      </c>
      <c r="H7052" s="12">
        <v>0</v>
      </c>
      <c r="I7052" s="12">
        <v>0</v>
      </c>
      <c r="J7052" s="11"/>
      <c r="K7052" s="12">
        <v>0</v>
      </c>
      <c r="L7052" s="10" t="str">
        <f>HYPERLINK("https://otsuka-europe-crm.veevavault.com/ui/#object/approved_document__v/V5O00000001A037", "LUP - VAE Póster Adelphi - Nefro")</f>
        <v>LUP - VAE Póster Adelphi - Nefro</v>
      </c>
      <c r="M7052" s="10" t="str">
        <f>HYPERLINK("mailto:idiez@crm.otsuka-europe.com", "idiez@crm.otsuka-europe.com")</f>
        <v>idiez@crm.otsuka-europe.com</v>
      </c>
      <c r="N7052" s="13">
        <v>46182.407511574071</v>
      </c>
      <c r="O7052" s="14" t="str">
        <f>HYPERLINK("https://otsuka-europe-crm.veevavault.com/ui/#object/email_activity__v/V8C00000003R482", "EN-002092667")</f>
        <v>EN-002092667</v>
      </c>
    </row>
    <row r="7053" spans="1:15" ht="32" x14ac:dyDescent="0.2">
      <c r="A7053" s="7" t="str">
        <f>HYPERLINK("https://otsuka-europe-crm.veevavault.com/ui/#object/account__v/V4TZ06G6O71TAIN", "MARTIN JUAN CARLOS HERRERO BERRON")</f>
        <v>MARTIN JUAN CARLOS HERRERO BERRON</v>
      </c>
      <c r="B7053" s="7" t="str">
        <f>HYPERLINK("https://otsuka-europe-crm.veevavault.com/ui/#object/vcountry__v/VENZ000004SONF5", "ES")</f>
        <v>ES</v>
      </c>
      <c r="C7053" s="8" t="s">
        <v>41</v>
      </c>
      <c r="D7053" s="9" t="str">
        <f>HYPERLINK("https://otsuka-europe-crm.veevavault.com/ui/#object/approved_document__v/V5O00000001A037", "LUP - VAE Póster Adelphi - Nefro")</f>
        <v>LUP - VAE Póster Adelphi - Nefro</v>
      </c>
      <c r="E7053" s="10" t="str">
        <f>HYPERLINK("https://otsuka-europe-crm.veevavault.com/ui/#object/sent_email__v/VBL00000002R275", "SE-001434772")</f>
        <v>SE-001434772</v>
      </c>
      <c r="F7053" s="11"/>
      <c r="G7053" s="12">
        <v>0</v>
      </c>
      <c r="H7053" s="12">
        <v>0</v>
      </c>
      <c r="I7053" s="12">
        <v>0</v>
      </c>
      <c r="J7053" s="11"/>
      <c r="K7053" s="12">
        <v>0</v>
      </c>
      <c r="L7053" s="10" t="str">
        <f>HYPERLINK("https://otsuka-europe-crm.veevavault.com/ui/#object/approved_document__v/V5O00000001A037", "LUP - VAE Póster Adelphi - Nefro")</f>
        <v>LUP - VAE Póster Adelphi - Nefro</v>
      </c>
      <c r="M7053" s="10" t="str">
        <f>HYPERLINK("mailto:idiez@crm.otsuka-europe.com", "idiez@crm.otsuka-europe.com")</f>
        <v>idiez@crm.otsuka-europe.com</v>
      </c>
      <c r="N7053" s="13">
        <v>46182.407523148147</v>
      </c>
      <c r="O7053" s="14" t="str">
        <f>HYPERLINK("https://otsuka-europe-crm.veevavault.com/ui/#object/email_activity__v/V8C00000003R464", "EN-002092640")</f>
        <v>EN-002092640</v>
      </c>
    </row>
    <row r="7054" spans="1:15" ht="16" x14ac:dyDescent="0.2">
      <c r="A7054" s="17" t="str">
        <f>HYPERLINK("https://otsuka-europe-crm.veevavault.com/ui/#object/account__v/V4TZ06G6O71T75C", "MARIA MOYA GARCIA-RENEDO")</f>
        <v>MARIA MOYA GARCIA-RENEDO</v>
      </c>
      <c r="B7054" s="17" t="str">
        <f>HYPERLINK("https://otsuka-europe-crm.veevavault.com/ui/#object/vcountry__v/VENZ000004SONF5", "ES")</f>
        <v>ES</v>
      </c>
      <c r="C7054" s="20" t="s">
        <v>41</v>
      </c>
      <c r="D7054" s="21" t="str">
        <f>HYPERLINK("https://otsuka-europe-crm.veevavault.com/ui/#object/approved_document__v/V5O00000001A037", "LUP - VAE Póster Adelphi - Nefro")</f>
        <v>LUP - VAE Póster Adelphi - Nefro</v>
      </c>
      <c r="E7054" s="22" t="str">
        <f>HYPERLINK("https://otsuka-europe-crm.veevavault.com/ui/#object/sent_email__v/VBL00000002R276", "SE-001434773")</f>
        <v>SE-001434773</v>
      </c>
      <c r="F7054" s="23">
        <v>46185.290231481478</v>
      </c>
      <c r="G7054" s="24">
        <v>1</v>
      </c>
      <c r="H7054" s="24">
        <v>2</v>
      </c>
      <c r="I7054" s="24">
        <v>0</v>
      </c>
      <c r="J7054" s="25"/>
      <c r="K7054" s="24">
        <v>0</v>
      </c>
      <c r="L7054" s="22" t="str">
        <f>HYPERLINK("https://otsuka-europe-crm.veevavault.com/ui/#object/approved_document__v/V5O00000001A037", "LUP - VAE Póster Adelphi - Nefro")</f>
        <v>LUP - VAE Póster Adelphi - Nefro</v>
      </c>
      <c r="M7054" s="22" t="str">
        <f>HYPERLINK("mailto:idiez@crm.otsuka-europe.com", "idiez@crm.otsuka-europe.com")</f>
        <v>idiez@crm.otsuka-europe.com</v>
      </c>
      <c r="N7054" s="23">
        <v>46182.407534722224</v>
      </c>
      <c r="O7054" s="14" t="str">
        <f>HYPERLINK("https://otsuka-europe-crm.veevavault.com/ui/#object/email_activity__v/V8C00000003R449", "EN-002092625")</f>
        <v>EN-002092625</v>
      </c>
    </row>
    <row r="7055" spans="1:15" ht="16" x14ac:dyDescent="0.2">
      <c r="A7055" s="18"/>
      <c r="B7055" s="18"/>
      <c r="C7055" s="18"/>
      <c r="D7055" s="18"/>
      <c r="E7055" s="18"/>
      <c r="F7055" s="18"/>
      <c r="G7055" s="18"/>
      <c r="H7055" s="18"/>
      <c r="I7055" s="18"/>
      <c r="J7055" s="18"/>
      <c r="K7055" s="18"/>
      <c r="L7055" s="18"/>
      <c r="M7055" s="18"/>
      <c r="N7055" s="18"/>
      <c r="O7055" s="14" t="str">
        <f>HYPERLINK("https://otsuka-europe-crm.veevavault.com/ui/#object/email_activity__v/V8C00000003R868", "EN-002093323")</f>
        <v>EN-002093323</v>
      </c>
    </row>
    <row r="7056" spans="1:15" ht="16" x14ac:dyDescent="0.2">
      <c r="A7056" s="19"/>
      <c r="B7056" s="19"/>
      <c r="C7056" s="19"/>
      <c r="D7056" s="19"/>
      <c r="E7056" s="19"/>
      <c r="F7056" s="19"/>
      <c r="G7056" s="19"/>
      <c r="H7056" s="19"/>
      <c r="I7056" s="19"/>
      <c r="J7056" s="19"/>
      <c r="K7056" s="19"/>
      <c r="L7056" s="19"/>
      <c r="M7056" s="19"/>
      <c r="N7056" s="19"/>
      <c r="O7056" s="14" t="str">
        <f>HYPERLINK("https://otsuka-europe-crm.veevavault.com/ui/#object/email_activity__v/V8C00000003V042", "EN-002094910")</f>
        <v>EN-002094910</v>
      </c>
    </row>
    <row r="7057" spans="1:15" ht="32" x14ac:dyDescent="0.2">
      <c r="A7057" s="7" t="str">
        <f>HYPERLINK("https://otsuka-europe-crm.veevavault.com/ui/#object/account__v/V4TZ06G6O71TBU5", "PATROCINIO RODRIGUEZ BENITEZ")</f>
        <v>PATROCINIO RODRIGUEZ BENITEZ</v>
      </c>
      <c r="B7057" s="7" t="str">
        <f>HYPERLINK("https://otsuka-europe-crm.veevavault.com/ui/#object/vcountry__v/VENZ000004SONF5", "ES")</f>
        <v>ES</v>
      </c>
      <c r="C7057" s="8" t="s">
        <v>41</v>
      </c>
      <c r="D7057" s="9" t="str">
        <f>HYPERLINK("https://otsuka-europe-crm.veevavault.com/ui/#object/approved_document__v/V5O00000001A037", "LUP - VAE Póster Adelphi - Nefro")</f>
        <v>LUP - VAE Póster Adelphi - Nefro</v>
      </c>
      <c r="E7057" s="10" t="str">
        <f>HYPERLINK("https://otsuka-europe-crm.veevavault.com/ui/#object/sent_email__v/VBL00000002R277", "SE-001434774")</f>
        <v>SE-001434774</v>
      </c>
      <c r="F7057" s="11"/>
      <c r="G7057" s="12">
        <v>0</v>
      </c>
      <c r="H7057" s="12">
        <v>0</v>
      </c>
      <c r="I7057" s="12">
        <v>0</v>
      </c>
      <c r="J7057" s="11"/>
      <c r="K7057" s="12">
        <v>0</v>
      </c>
      <c r="L7057" s="10" t="str">
        <f>HYPERLINK("https://otsuka-europe-crm.veevavault.com/ui/#object/approved_document__v/V5O00000001A037", "LUP - VAE Póster Adelphi - Nefro")</f>
        <v>LUP - VAE Póster Adelphi - Nefro</v>
      </c>
      <c r="M7057" s="10" t="str">
        <f>HYPERLINK("mailto:idiez@crm.otsuka-europe.com", "idiez@crm.otsuka-europe.com")</f>
        <v>idiez@crm.otsuka-europe.com</v>
      </c>
      <c r="N7057" s="13">
        <v>46182.407523148147</v>
      </c>
      <c r="O7057" s="14" t="str">
        <f>HYPERLINK("https://otsuka-europe-crm.veevavault.com/ui/#object/email_activity__v/V8C00000003Q951", "EN-002092682")</f>
        <v>EN-002092682</v>
      </c>
    </row>
    <row r="7058" spans="1:15" ht="32" x14ac:dyDescent="0.2">
      <c r="A7058" s="7" t="str">
        <f>HYPERLINK("https://otsuka-europe-crm.veevavault.com/ui/#object/account__v/V4TZ06G6O71T9RY", "YOLANDA HERNANDEZ HERNANDEZ")</f>
        <v>YOLANDA HERNANDEZ HERNANDEZ</v>
      </c>
      <c r="B7058" s="7" t="str">
        <f>HYPERLINK("https://otsuka-europe-crm.veevavault.com/ui/#object/vcountry__v/VENZ000004SONF5", "ES")</f>
        <v>ES</v>
      </c>
      <c r="C7058" s="8" t="s">
        <v>41</v>
      </c>
      <c r="D7058" s="9" t="str">
        <f>HYPERLINK("https://otsuka-europe-crm.veevavault.com/ui/#object/approved_document__v/V5O00000001A037", "LUP - VAE Póster Adelphi - Nefro")</f>
        <v>LUP - VAE Póster Adelphi - Nefro</v>
      </c>
      <c r="E7058" s="10" t="str">
        <f>HYPERLINK("https://otsuka-europe-crm.veevavault.com/ui/#object/sent_email__v/VBL00000002R278", "SE-001434775")</f>
        <v>SE-001434775</v>
      </c>
      <c r="F7058" s="11"/>
      <c r="G7058" s="12">
        <v>0</v>
      </c>
      <c r="H7058" s="12">
        <v>0</v>
      </c>
      <c r="I7058" s="12">
        <v>0</v>
      </c>
      <c r="J7058" s="11"/>
      <c r="K7058" s="12">
        <v>0</v>
      </c>
      <c r="L7058" s="10" t="str">
        <f>HYPERLINK("https://otsuka-europe-crm.veevavault.com/ui/#object/approved_document__v/V5O00000001A037", "LUP - VAE Póster Adelphi - Nefro")</f>
        <v>LUP - VAE Póster Adelphi - Nefro</v>
      </c>
      <c r="M7058" s="10" t="str">
        <f>HYPERLINK("mailto:idiez@crm.otsuka-europe.com", "idiez@crm.otsuka-europe.com")</f>
        <v>idiez@crm.otsuka-europe.com</v>
      </c>
      <c r="N7058" s="13">
        <v>46182.407523148147</v>
      </c>
      <c r="O7058" s="14" t="str">
        <f>HYPERLINK("https://otsuka-europe-crm.veevavault.com/ui/#object/email_activity__v/V8C00000003R466", "EN-002092642")</f>
        <v>EN-002092642</v>
      </c>
    </row>
    <row r="7059" spans="1:15" ht="32" x14ac:dyDescent="0.2">
      <c r="A7059" s="7" t="str">
        <f>HYPERLINK("https://otsuka-europe-crm.veevavault.com/ui/#object/account__v/V4TZ06G6O71T8XZ", "ROBERTO ALCAZAR ARROYO")</f>
        <v>ROBERTO ALCAZAR ARROYO</v>
      </c>
      <c r="B7059" s="7" t="str">
        <f>HYPERLINK("https://otsuka-europe-crm.veevavault.com/ui/#object/vcountry__v/VENZ000004SONF5", "ES")</f>
        <v>ES</v>
      </c>
      <c r="C7059" s="8" t="s">
        <v>41</v>
      </c>
      <c r="D7059" s="9" t="str">
        <f>HYPERLINK("https://otsuka-europe-crm.veevavault.com/ui/#object/approved_document__v/V5O00000001A037", "LUP - VAE Póster Adelphi - Nefro")</f>
        <v>LUP - VAE Póster Adelphi - Nefro</v>
      </c>
      <c r="E7059" s="10" t="str">
        <f>HYPERLINK("https://otsuka-europe-crm.veevavault.com/ui/#object/sent_email__v/VBL00000002R279", "SE-001434776")</f>
        <v>SE-001434776</v>
      </c>
      <c r="F7059" s="11"/>
      <c r="G7059" s="12">
        <v>0</v>
      </c>
      <c r="H7059" s="12">
        <v>0</v>
      </c>
      <c r="I7059" s="12">
        <v>0</v>
      </c>
      <c r="J7059" s="11"/>
      <c r="K7059" s="12">
        <v>0</v>
      </c>
      <c r="L7059" s="10" t="str">
        <f>HYPERLINK("https://otsuka-europe-crm.veevavault.com/ui/#object/approved_document__v/V5O00000001A037", "LUP - VAE Póster Adelphi - Nefro")</f>
        <v>LUP - VAE Póster Adelphi - Nefro</v>
      </c>
      <c r="M7059" s="10" t="str">
        <f>HYPERLINK("mailto:idiez@crm.otsuka-europe.com", "idiez@crm.otsuka-europe.com")</f>
        <v>idiez@crm.otsuka-europe.com</v>
      </c>
      <c r="N7059" s="13">
        <v>46182.407523148147</v>
      </c>
      <c r="O7059" s="14" t="str">
        <f>HYPERLINK("https://otsuka-europe-crm.veevavault.com/ui/#object/email_activity__v/V8C00000003R484", "EN-002092669")</f>
        <v>EN-002092669</v>
      </c>
    </row>
    <row r="7060" spans="1:15" ht="16" x14ac:dyDescent="0.2">
      <c r="A7060" s="17" t="str">
        <f>HYPERLINK("https://otsuka-europe-crm.veevavault.com/ui/#object/account__v/V4T000000023007", "Max Antoniak")</f>
        <v>Max Antoniak</v>
      </c>
      <c r="B7060" s="17" t="str">
        <f>HYPERLINK("https://otsuka-europe-crm.veevavault.com/ui/#object/vcountry__v/VENZ000004SONFK", "GB")</f>
        <v>GB</v>
      </c>
      <c r="C7060" s="20" t="s">
        <v>39</v>
      </c>
      <c r="D7060" s="21" t="str">
        <f>HYPERLINK("https://otsuka-europe-crm.veevavault.com/ui/#object/approved_document__v/V5O00000000D081", "UK - Consent Email 1 Aug 25")</f>
        <v>UK - Consent Email 1 Aug 25</v>
      </c>
      <c r="E7060" s="22" t="str">
        <f>HYPERLINK("https://otsuka-europe-crm.veevavault.com/ui/#object/sent_email__v/VBL00000002R280", "SE-001434777")</f>
        <v>SE-001434777</v>
      </c>
      <c r="F7060" s="23">
        <v>46183.450925925928</v>
      </c>
      <c r="G7060" s="24">
        <v>1</v>
      </c>
      <c r="H7060" s="24">
        <v>1</v>
      </c>
      <c r="I7060" s="24">
        <v>1</v>
      </c>
      <c r="J7060" s="23">
        <v>46183.450925925928</v>
      </c>
      <c r="K7060" s="24">
        <v>1</v>
      </c>
      <c r="L7060" s="22" t="str">
        <f>HYPERLINK("https://otsuka-europe-crm.veevavault.com/ui/#object/approved_document__v/V5O00000000D081", "UK - Consent Email 1 Aug 25")</f>
        <v>UK - Consent Email 1 Aug 25</v>
      </c>
      <c r="M7060" s="22" t="str">
        <f>HYPERLINK("mailto:ldimambro@crm.otsuka-europe.com", "ldimambro@crm.otsuka-europe.com")</f>
        <v>ldimambro@crm.otsuka-europe.com</v>
      </c>
      <c r="N7060" s="23">
        <v>46182.407858796294</v>
      </c>
      <c r="O7060" s="14" t="str">
        <f>HYPERLINK("https://otsuka-europe-crm.veevavault.com/ui/#object/email_activity__v/V8C00000003R495", "EN-002092693")</f>
        <v>EN-002092693</v>
      </c>
    </row>
    <row r="7061" spans="1:15" ht="16" x14ac:dyDescent="0.2">
      <c r="A7061" s="18"/>
      <c r="B7061" s="18"/>
      <c r="C7061" s="18"/>
      <c r="D7061" s="18"/>
      <c r="E7061" s="18"/>
      <c r="F7061" s="18"/>
      <c r="G7061" s="18"/>
      <c r="H7061" s="18"/>
      <c r="I7061" s="18"/>
      <c r="J7061" s="18"/>
      <c r="K7061" s="18"/>
      <c r="L7061" s="18"/>
      <c r="M7061" s="18"/>
      <c r="N7061" s="18"/>
      <c r="O7061" s="14" t="str">
        <f>HYPERLINK("https://otsuka-europe-crm.veevavault.com/ui/#object/email_activity__v/V8C00000003T299", "EN-002094157")</f>
        <v>EN-002094157</v>
      </c>
    </row>
    <row r="7062" spans="1:15" ht="16" x14ac:dyDescent="0.2">
      <c r="A7062" s="19"/>
      <c r="B7062" s="19"/>
      <c r="C7062" s="19"/>
      <c r="D7062" s="19"/>
      <c r="E7062" s="19"/>
      <c r="F7062" s="19"/>
      <c r="G7062" s="19"/>
      <c r="H7062" s="19"/>
      <c r="I7062" s="19"/>
      <c r="J7062" s="19"/>
      <c r="K7062" s="19"/>
      <c r="L7062" s="19"/>
      <c r="M7062" s="19"/>
      <c r="N7062" s="19"/>
      <c r="O7062" s="14" t="str">
        <f>HYPERLINK("https://otsuka-europe-crm.veevavault.com/ui/#object/email_activity__v/V8C00000003T300", "EN-002094156")</f>
        <v>EN-002094156</v>
      </c>
    </row>
    <row r="7063" spans="1:15" ht="32" x14ac:dyDescent="0.2">
      <c r="A7063" s="7" t="str">
        <f>HYPERLINK("https://otsuka-europe-crm.veevavault.com/ui/#object/account__v/V4TZ06G6O71TBYD", "EMILIO RODRIGO CALABIA")</f>
        <v>EMILIO RODRIGO CALABIA</v>
      </c>
      <c r="B7063" s="7" t="str">
        <f>HYPERLINK("https://otsuka-europe-crm.veevavault.com/ui/#object/vcountry__v/VENZ000004SONF5", "ES")</f>
        <v>ES</v>
      </c>
      <c r="C7063" s="8" t="s">
        <v>41</v>
      </c>
      <c r="D7063" s="9" t="str">
        <f>HYPERLINK("https://otsuka-europe-crm.veevavault.com/ui/#object/approved_document__v/V5OZ06G6O6RFL1P", "ES Veeva Privacy Notice Email")</f>
        <v>ES Veeva Privacy Notice Email</v>
      </c>
      <c r="E7063" s="10" t="str">
        <f>HYPERLINK("https://otsuka-europe-crm.veevavault.com/ui/#object/sent_email__v/VBL00000002R281", "SE-001434778")</f>
        <v>SE-001434778</v>
      </c>
      <c r="F7063" s="11"/>
      <c r="G7063" s="12">
        <v>0</v>
      </c>
      <c r="H7063" s="12">
        <v>0</v>
      </c>
      <c r="I7063" s="12">
        <v>0</v>
      </c>
      <c r="J7063" s="11"/>
      <c r="K7063" s="12">
        <v>0</v>
      </c>
      <c r="L7063" s="10" t="str">
        <f>HYPERLINK("https://otsuka-europe-crm.veevavault.com/ui/#object/approved_document__v/V5OZ06G6O6RFL1P", "ES Veeva Privacy Notice Email")</f>
        <v>ES Veeva Privacy Notice Email</v>
      </c>
      <c r="M7063" s="10" t="str">
        <f>HYPERLINK("mailto:alegazpi@crm.otsuka-europe.com", "alegazpi@crm.otsuka-europe.com")</f>
        <v>alegazpi@crm.otsuka-europe.com</v>
      </c>
      <c r="N7063" s="13">
        <v>46182.407951388886</v>
      </c>
      <c r="O7063" s="14" t="str">
        <f>HYPERLINK("https://otsuka-europe-crm.veevavault.com/ui/#object/email_activity__v/V8C00000003R496", "EN-002092694")</f>
        <v>EN-002092694</v>
      </c>
    </row>
    <row r="7064" spans="1:15" ht="16" x14ac:dyDescent="0.2">
      <c r="A7064" s="17" t="str">
        <f>HYPERLINK("https://otsuka-europe-crm.veevavault.com/ui/#object/account__v/V4TZ06G6O71TBM9", "ANA PEREZ DE JOSE")</f>
        <v>ANA PEREZ DE JOSE</v>
      </c>
      <c r="B7064" s="17" t="str">
        <f>HYPERLINK("https://otsuka-europe-crm.veevavault.com/ui/#object/vcountry__v/VENZ000004SONF5", "ES")</f>
        <v>ES</v>
      </c>
      <c r="C7064" s="20" t="s">
        <v>41</v>
      </c>
      <c r="D7064" s="21" t="str">
        <f>HYPERLINK("https://otsuka-europe-crm.veevavault.com/ui/#object/approved_document__v/V5O00000001A037", "LUP - VAE Póster Adelphi - Nefro")</f>
        <v>LUP - VAE Póster Adelphi - Nefro</v>
      </c>
      <c r="E7064" s="22" t="str">
        <f>HYPERLINK("https://otsuka-europe-crm.veevavault.com/ui/#object/sent_email__v/VBL00000002R282", "SE-001434779")</f>
        <v>SE-001434779</v>
      </c>
      <c r="F7064" s="25"/>
      <c r="G7064" s="24">
        <v>0</v>
      </c>
      <c r="H7064" s="24">
        <v>0</v>
      </c>
      <c r="I7064" s="24">
        <v>0</v>
      </c>
      <c r="J7064" s="25"/>
      <c r="K7064" s="24">
        <v>0</v>
      </c>
      <c r="L7064" s="22" t="str">
        <f>HYPERLINK("https://otsuka-europe-crm.veevavault.com/ui/#object/approved_document__v/V5O00000001A037", "LUP - VAE Póster Adelphi - Nefro")</f>
        <v>LUP - VAE Póster Adelphi - Nefro</v>
      </c>
      <c r="M7064" s="22" t="str">
        <f>HYPERLINK("mailto:idiez@crm.otsuka-europe.com", "idiez@crm.otsuka-europe.com")</f>
        <v>idiez@crm.otsuka-europe.com</v>
      </c>
      <c r="N7064" s="23">
        <v>46182.408321759256</v>
      </c>
      <c r="O7064" s="14" t="str">
        <f>HYPERLINK("https://otsuka-europe-crm.veevavault.com/ui/#object/email_activity__v/V8C00000003R499", "EN-002092697")</f>
        <v>EN-002092697</v>
      </c>
    </row>
    <row r="7065" spans="1:15" ht="16" x14ac:dyDescent="0.2">
      <c r="A7065" s="19"/>
      <c r="B7065" s="19"/>
      <c r="C7065" s="19"/>
      <c r="D7065" s="19"/>
      <c r="E7065" s="19"/>
      <c r="F7065" s="19"/>
      <c r="G7065" s="19"/>
      <c r="H7065" s="19"/>
      <c r="I7065" s="19"/>
      <c r="J7065" s="19"/>
      <c r="K7065" s="19"/>
      <c r="L7065" s="19"/>
      <c r="M7065" s="19"/>
      <c r="N7065" s="19"/>
      <c r="O7065" s="14" t="str">
        <f>HYPERLINK("https://otsuka-europe-crm.veevavault.com/ui/#object/email_activity__v/V8C00000003T116", "EN-002093789")</f>
        <v>EN-002093789</v>
      </c>
    </row>
    <row r="7066" spans="1:15" ht="32" x14ac:dyDescent="0.2">
      <c r="A7066" s="7" t="str">
        <f>HYPERLINK("https://otsuka-europe-crm.veevavault.com/ui/#object/account__v/V4TZ06G6O71TABN", "BEATRIZ GIL-CASARES CASANOVA")</f>
        <v>BEATRIZ GIL-CASARES CASANOVA</v>
      </c>
      <c r="B7066" s="7" t="str">
        <f>HYPERLINK("https://otsuka-europe-crm.veevavault.com/ui/#object/vcountry__v/VENZ000004SONF5", "ES")</f>
        <v>ES</v>
      </c>
      <c r="C7066" s="8" t="s">
        <v>41</v>
      </c>
      <c r="D7066" s="9" t="str">
        <f>HYPERLINK("https://otsuka-europe-crm.veevavault.com/ui/#object/approved_document__v/V5O00000001A037", "LUP - VAE Póster Adelphi - Nefro")</f>
        <v>LUP - VAE Póster Adelphi - Nefro</v>
      </c>
      <c r="E7066" s="10" t="str">
        <f>HYPERLINK("https://otsuka-europe-crm.veevavault.com/ui/#object/sent_email__v/VBL00000002R283", "SE-001434780")</f>
        <v>SE-001434780</v>
      </c>
      <c r="F7066" s="11"/>
      <c r="G7066" s="12">
        <v>0</v>
      </c>
      <c r="H7066" s="12">
        <v>0</v>
      </c>
      <c r="I7066" s="12">
        <v>0</v>
      </c>
      <c r="J7066" s="11"/>
      <c r="K7066" s="12">
        <v>0</v>
      </c>
      <c r="L7066" s="10" t="str">
        <f>HYPERLINK("https://otsuka-europe-crm.veevavault.com/ui/#object/approved_document__v/V5O00000001A037", "LUP - VAE Póster Adelphi - Nefro")</f>
        <v>LUP - VAE Póster Adelphi - Nefro</v>
      </c>
      <c r="M7066" s="10" t="str">
        <f>HYPERLINK("mailto:idiez@crm.otsuka-europe.com", "idiez@crm.otsuka-europe.com")</f>
        <v>idiez@crm.otsuka-europe.com</v>
      </c>
      <c r="N7066" s="13">
        <v>46182.408321759256</v>
      </c>
      <c r="O7066" s="14" t="str">
        <f>HYPERLINK("https://otsuka-europe-crm.veevavault.com/ui/#object/email_activity__v/V8C00000003R531", "EN-002092729")</f>
        <v>EN-002092729</v>
      </c>
    </row>
    <row r="7067" spans="1:15" ht="16" x14ac:dyDescent="0.2">
      <c r="A7067" s="17" t="str">
        <f>HYPERLINK("https://otsuka-europe-crm.veevavault.com/ui/#object/account__v/V4TZ025E88UYM1E", "CARLOS LUIS MERIZALDE MOSCOSO")</f>
        <v>CARLOS LUIS MERIZALDE MOSCOSO</v>
      </c>
      <c r="B7067" s="17" t="str">
        <f>HYPERLINK("https://otsuka-europe-crm.veevavault.com/ui/#object/vcountry__v/VENZ000004SONF5", "ES")</f>
        <v>ES</v>
      </c>
      <c r="C7067" s="20" t="s">
        <v>41</v>
      </c>
      <c r="D7067" s="21" t="str">
        <f>HYPERLINK("https://otsuka-europe-crm.veevavault.com/ui/#object/approved_document__v/V5O00000001A037", "LUP - VAE Póster Adelphi - Nefro")</f>
        <v>LUP - VAE Póster Adelphi - Nefro</v>
      </c>
      <c r="E7067" s="22" t="str">
        <f>HYPERLINK("https://otsuka-europe-crm.veevavault.com/ui/#object/sent_email__v/VBL00000002R284", "SE-001434781")</f>
        <v>SE-001434781</v>
      </c>
      <c r="F7067" s="25"/>
      <c r="G7067" s="24">
        <v>0</v>
      </c>
      <c r="H7067" s="24">
        <v>0</v>
      </c>
      <c r="I7067" s="24">
        <v>0</v>
      </c>
      <c r="J7067" s="25"/>
      <c r="K7067" s="24">
        <v>0</v>
      </c>
      <c r="L7067" s="22" t="str">
        <f>HYPERLINK("https://otsuka-europe-crm.veevavault.com/ui/#object/approved_document__v/V5O00000001A037", "LUP - VAE Póster Adelphi - Nefro")</f>
        <v>LUP - VAE Póster Adelphi - Nefro</v>
      </c>
      <c r="M7067" s="22" t="str">
        <f>HYPERLINK("mailto:idiez@crm.otsuka-europe.com", "idiez@crm.otsuka-europe.com")</f>
        <v>idiez@crm.otsuka-europe.com</v>
      </c>
      <c r="N7067" s="23">
        <v>46182.408368055556</v>
      </c>
      <c r="O7067" s="14" t="str">
        <f>HYPERLINK("https://otsuka-europe-crm.veevavault.com/ui/#object/email_activity__v/V8C00000003R519", "EN-002092717")</f>
        <v>EN-002092717</v>
      </c>
    </row>
    <row r="7068" spans="1:15" ht="16" x14ac:dyDescent="0.2">
      <c r="A7068" s="19"/>
      <c r="B7068" s="19"/>
      <c r="C7068" s="19"/>
      <c r="D7068" s="19"/>
      <c r="E7068" s="19"/>
      <c r="F7068" s="19"/>
      <c r="G7068" s="19"/>
      <c r="H7068" s="19"/>
      <c r="I7068" s="19"/>
      <c r="J7068" s="19"/>
      <c r="K7068" s="19"/>
      <c r="L7068" s="19"/>
      <c r="M7068" s="19"/>
      <c r="N7068" s="19"/>
      <c r="O7068" s="14" t="str">
        <f>HYPERLINK("https://otsuka-europe-crm.veevavault.com/ui/#object/email_activity__v/V8C00000003R739", "EN-002093088")</f>
        <v>EN-002093088</v>
      </c>
    </row>
    <row r="7069" spans="1:15" ht="32" x14ac:dyDescent="0.2">
      <c r="A7069" s="7" t="str">
        <f>HYPERLINK("https://otsuka-europe-crm.veevavault.com/ui/#object/account__v/V4TZ025E82IZMVQ", "ANA LUISA MARTINS DA SILVA")</f>
        <v>ANA LUISA MARTINS DA SILVA</v>
      </c>
      <c r="B7069" s="7" t="str">
        <f>HYPERLINK("https://otsuka-europe-crm.veevavault.com/ui/#object/vcountry__v/VENZ000004SONF5", "ES")</f>
        <v>ES</v>
      </c>
      <c r="C7069" s="8" t="s">
        <v>41</v>
      </c>
      <c r="D7069" s="9" t="str">
        <f>HYPERLINK("https://otsuka-europe-crm.veevavault.com/ui/#object/approved_document__v/V5O00000001A037", "LUP - VAE Póster Adelphi - Nefro")</f>
        <v>LUP - VAE Póster Adelphi - Nefro</v>
      </c>
      <c r="E7069" s="10" t="str">
        <f>HYPERLINK("https://otsuka-europe-crm.veevavault.com/ui/#object/sent_email__v/VBL00000002R285", "SE-001434782")</f>
        <v>SE-001434782</v>
      </c>
      <c r="F7069" s="11"/>
      <c r="G7069" s="12">
        <v>0</v>
      </c>
      <c r="H7069" s="12">
        <v>0</v>
      </c>
      <c r="I7069" s="12">
        <v>0</v>
      </c>
      <c r="J7069" s="11"/>
      <c r="K7069" s="12">
        <v>0</v>
      </c>
      <c r="L7069" s="10" t="str">
        <f>HYPERLINK("https://otsuka-europe-crm.veevavault.com/ui/#object/approved_document__v/V5O00000001A037", "LUP - VAE Póster Adelphi - Nefro")</f>
        <v>LUP - VAE Póster Adelphi - Nefro</v>
      </c>
      <c r="M7069" s="10" t="str">
        <f>HYPERLINK("mailto:idiez@crm.otsuka-europe.com", "idiez@crm.otsuka-europe.com")</f>
        <v>idiez@crm.otsuka-europe.com</v>
      </c>
      <c r="N7069" s="13">
        <v>46182.408321759256</v>
      </c>
      <c r="O7069" s="14" t="str">
        <f>HYPERLINK("https://otsuka-europe-crm.veevavault.com/ui/#object/email_activity__v/V8C00000003R502", "EN-002092700")</f>
        <v>EN-002092700</v>
      </c>
    </row>
    <row r="7070" spans="1:15" ht="32" x14ac:dyDescent="0.2">
      <c r="A7070" s="7" t="str">
        <f>HYPERLINK("https://otsuka-europe-crm.veevavault.com/ui/#object/account__v/V4TZ06G6O71T7H4", "DAVID ARROYO RUEDA")</f>
        <v>DAVID ARROYO RUEDA</v>
      </c>
      <c r="B7070" s="7" t="str">
        <f>HYPERLINK("https://otsuka-europe-crm.veevavault.com/ui/#object/vcountry__v/VENZ000004SONF5", "ES")</f>
        <v>ES</v>
      </c>
      <c r="C7070" s="8" t="s">
        <v>41</v>
      </c>
      <c r="D7070" s="9" t="str">
        <f>HYPERLINK("https://otsuka-europe-crm.veevavault.com/ui/#object/approved_document__v/V5O00000001A037", "LUP - VAE Póster Adelphi - Nefro")</f>
        <v>LUP - VAE Póster Adelphi - Nefro</v>
      </c>
      <c r="E7070" s="10" t="str">
        <f>HYPERLINK("https://otsuka-europe-crm.veevavault.com/ui/#object/sent_email__v/VBL00000002R286", "SE-001434783")</f>
        <v>SE-001434783</v>
      </c>
      <c r="F7070" s="11"/>
      <c r="G7070" s="12">
        <v>0</v>
      </c>
      <c r="H7070" s="12">
        <v>0</v>
      </c>
      <c r="I7070" s="12">
        <v>0</v>
      </c>
      <c r="J7070" s="11"/>
      <c r="K7070" s="12">
        <v>0</v>
      </c>
      <c r="L7070" s="10" t="str">
        <f>HYPERLINK("https://otsuka-europe-crm.veevavault.com/ui/#object/approved_document__v/V5O00000001A037", "LUP - VAE Póster Adelphi - Nefro")</f>
        <v>LUP - VAE Póster Adelphi - Nefro</v>
      </c>
      <c r="M7070" s="10" t="str">
        <f>HYPERLINK("mailto:idiez@crm.otsuka-europe.com", "idiez@crm.otsuka-europe.com")</f>
        <v>idiez@crm.otsuka-europe.com</v>
      </c>
      <c r="N7070" s="13">
        <v>46182.408321759256</v>
      </c>
      <c r="O7070" s="14" t="str">
        <f>HYPERLINK("https://otsuka-europe-crm.veevavault.com/ui/#object/email_activity__v/V8C00000003R536", "EN-002092734")</f>
        <v>EN-002092734</v>
      </c>
    </row>
    <row r="7071" spans="1:15" ht="16" x14ac:dyDescent="0.2">
      <c r="A7071" s="17" t="str">
        <f>HYPERLINK("https://otsuka-europe-crm.veevavault.com/ui/#object/account__v/V4TZ06G6O71TB53", "ALICIA MENDILUCE HERRERO")</f>
        <v>ALICIA MENDILUCE HERRERO</v>
      </c>
      <c r="B7071" s="17" t="str">
        <f>HYPERLINK("https://otsuka-europe-crm.veevavault.com/ui/#object/vcountry__v/VENZ000004SONF5", "ES")</f>
        <v>ES</v>
      </c>
      <c r="C7071" s="20" t="s">
        <v>41</v>
      </c>
      <c r="D7071" s="21" t="str">
        <f>HYPERLINK("https://otsuka-europe-crm.veevavault.com/ui/#object/approved_document__v/V5O00000001A037", "LUP - VAE Póster Adelphi - Nefro")</f>
        <v>LUP - VAE Póster Adelphi - Nefro</v>
      </c>
      <c r="E7071" s="22" t="str">
        <f>HYPERLINK("https://otsuka-europe-crm.veevavault.com/ui/#object/sent_email__v/VBL00000002R287", "SE-001434784")</f>
        <v>SE-001434784</v>
      </c>
      <c r="F7071" s="23">
        <v>46182.547511574077</v>
      </c>
      <c r="G7071" s="24">
        <v>1</v>
      </c>
      <c r="H7071" s="24">
        <v>1</v>
      </c>
      <c r="I7071" s="24">
        <v>1</v>
      </c>
      <c r="J7071" s="23">
        <v>46182.547777777778</v>
      </c>
      <c r="K7071" s="24">
        <v>1</v>
      </c>
      <c r="L7071" s="22" t="str">
        <f>HYPERLINK("https://otsuka-europe-crm.veevavault.com/ui/#object/approved_document__v/V5O00000001A037", "LUP - VAE Póster Adelphi - Nefro")</f>
        <v>LUP - VAE Póster Adelphi - Nefro</v>
      </c>
      <c r="M7071" s="22" t="str">
        <f>HYPERLINK("mailto:idiez@crm.otsuka-europe.com", "idiez@crm.otsuka-europe.com")</f>
        <v>idiez@crm.otsuka-europe.com</v>
      </c>
      <c r="N7071" s="23">
        <v>46182.408368055556</v>
      </c>
      <c r="O7071" s="14" t="str">
        <f>HYPERLINK("https://otsuka-europe-crm.veevavault.com/ui/#object/email_activity__v/V8C00000003R518", "EN-002092716")</f>
        <v>EN-002092716</v>
      </c>
    </row>
    <row r="7072" spans="1:15" ht="16" x14ac:dyDescent="0.2">
      <c r="A7072" s="18"/>
      <c r="B7072" s="18"/>
      <c r="C7072" s="18"/>
      <c r="D7072" s="18"/>
      <c r="E7072" s="18"/>
      <c r="F7072" s="18"/>
      <c r="G7072" s="18"/>
      <c r="H7072" s="18"/>
      <c r="I7072" s="18"/>
      <c r="J7072" s="18"/>
      <c r="K7072" s="18"/>
      <c r="L7072" s="18"/>
      <c r="M7072" s="18"/>
      <c r="N7072" s="18"/>
      <c r="O7072" s="14" t="str">
        <f>HYPERLINK("https://otsuka-europe-crm.veevavault.com/ui/#object/email_activity__v/V8C00000003R642", "EN-002092926")</f>
        <v>EN-002092926</v>
      </c>
    </row>
    <row r="7073" spans="1:15" ht="16" x14ac:dyDescent="0.2">
      <c r="A7073" s="18"/>
      <c r="B7073" s="18"/>
      <c r="C7073" s="18"/>
      <c r="D7073" s="18"/>
      <c r="E7073" s="18"/>
      <c r="F7073" s="18"/>
      <c r="G7073" s="18"/>
      <c r="H7073" s="18"/>
      <c r="I7073" s="18"/>
      <c r="J7073" s="18"/>
      <c r="K7073" s="18"/>
      <c r="L7073" s="18"/>
      <c r="M7073" s="18"/>
      <c r="N7073" s="18"/>
      <c r="O7073" s="14" t="str">
        <f>HYPERLINK("https://otsuka-europe-crm.veevavault.com/ui/#object/email_activity__v/V8C00000003R643", "EN-002092927")</f>
        <v>EN-002092927</v>
      </c>
    </row>
    <row r="7074" spans="1:15" ht="16" x14ac:dyDescent="0.2">
      <c r="A7074" s="19"/>
      <c r="B7074" s="19"/>
      <c r="C7074" s="19"/>
      <c r="D7074" s="19"/>
      <c r="E7074" s="19"/>
      <c r="F7074" s="19"/>
      <c r="G7074" s="19"/>
      <c r="H7074" s="19"/>
      <c r="I7074" s="19"/>
      <c r="J7074" s="19"/>
      <c r="K7074" s="19"/>
      <c r="L7074" s="19"/>
      <c r="M7074" s="19"/>
      <c r="N7074" s="19"/>
      <c r="O7074" s="14" t="str">
        <f>HYPERLINK("https://otsuka-europe-crm.veevavault.com/ui/#object/email_activity__v/V8C00000003S052", "EN-002092947")</f>
        <v>EN-002092947</v>
      </c>
    </row>
    <row r="7075" spans="1:15" ht="16" x14ac:dyDescent="0.2">
      <c r="A7075" s="17" t="str">
        <f>HYPERLINK("https://otsuka-europe-crm.veevavault.com/ui/#object/account__v/V4TZ06G6O71TC2K", "ESTHER RUBIO GONZALEZ")</f>
        <v>ESTHER RUBIO GONZALEZ</v>
      </c>
      <c r="B7075" s="17" t="str">
        <f>HYPERLINK("https://otsuka-europe-crm.veevavault.com/ui/#object/vcountry__v/VENZ000004SONF5", "ES")</f>
        <v>ES</v>
      </c>
      <c r="C7075" s="20" t="s">
        <v>41</v>
      </c>
      <c r="D7075" s="21" t="str">
        <f>HYPERLINK("https://otsuka-europe-crm.veevavault.com/ui/#object/approved_document__v/V5O00000001A037", "LUP - VAE Póster Adelphi - Nefro")</f>
        <v>LUP - VAE Póster Adelphi - Nefro</v>
      </c>
      <c r="E7075" s="22" t="str">
        <f>HYPERLINK("https://otsuka-europe-crm.veevavault.com/ui/#object/sent_email__v/VBL00000002R288", "SE-001434785")</f>
        <v>SE-001434785</v>
      </c>
      <c r="F7075" s="25"/>
      <c r="G7075" s="24">
        <v>0</v>
      </c>
      <c r="H7075" s="24">
        <v>0</v>
      </c>
      <c r="I7075" s="24">
        <v>0</v>
      </c>
      <c r="J7075" s="25"/>
      <c r="K7075" s="24">
        <v>0</v>
      </c>
      <c r="L7075" s="22" t="str">
        <f>HYPERLINK("https://otsuka-europe-crm.veevavault.com/ui/#object/approved_document__v/V5O00000001A037", "LUP - VAE Póster Adelphi - Nefro")</f>
        <v>LUP - VAE Póster Adelphi - Nefro</v>
      </c>
      <c r="M7075" s="22" t="str">
        <f>HYPERLINK("mailto:idiez@crm.otsuka-europe.com", "idiez@crm.otsuka-europe.com")</f>
        <v>idiez@crm.otsuka-europe.com</v>
      </c>
      <c r="N7075" s="23">
        <v>46182.408321759256</v>
      </c>
      <c r="O7075" s="14" t="str">
        <f>HYPERLINK("https://otsuka-europe-crm.veevavault.com/ui/#object/email_activity__v/V8C00000003R532", "EN-002092730")</f>
        <v>EN-002092730</v>
      </c>
    </row>
    <row r="7076" spans="1:15" ht="16" x14ac:dyDescent="0.2">
      <c r="A7076" s="18"/>
      <c r="B7076" s="18"/>
      <c r="C7076" s="18"/>
      <c r="D7076" s="18"/>
      <c r="E7076" s="18"/>
      <c r="F7076" s="18"/>
      <c r="G7076" s="18"/>
      <c r="H7076" s="18"/>
      <c r="I7076" s="18"/>
      <c r="J7076" s="18"/>
      <c r="K7076" s="18"/>
      <c r="L7076" s="18"/>
      <c r="M7076" s="18"/>
      <c r="N7076" s="18"/>
      <c r="O7076" s="14" t="str">
        <f>HYPERLINK("https://otsuka-europe-crm.veevavault.com/ui/#object/email_activity__v/V8C00000003S223", "EN-002093330")</f>
        <v>EN-002093330</v>
      </c>
    </row>
    <row r="7077" spans="1:15" ht="16" x14ac:dyDescent="0.2">
      <c r="A7077" s="19"/>
      <c r="B7077" s="19"/>
      <c r="C7077" s="19"/>
      <c r="D7077" s="19"/>
      <c r="E7077" s="19"/>
      <c r="F7077" s="19"/>
      <c r="G7077" s="19"/>
      <c r="H7077" s="19"/>
      <c r="I7077" s="19"/>
      <c r="J7077" s="19"/>
      <c r="K7077" s="19"/>
      <c r="L7077" s="19"/>
      <c r="M7077" s="19"/>
      <c r="N7077" s="19"/>
      <c r="O7077" s="14" t="str">
        <f>HYPERLINK("https://otsuka-europe-crm.veevavault.com/ui/#object/email_activity__v/V8C00000003Z263", "EN-002099117")</f>
        <v>EN-002099117</v>
      </c>
    </row>
    <row r="7078" spans="1:15" ht="16" x14ac:dyDescent="0.2">
      <c r="A7078" s="17" t="str">
        <f>HYPERLINK("https://otsuka-europe-crm.veevavault.com/ui/#object/account__v/V4TZ06G6O71WMJ0", "ANA ROCIO MUÑOZ SANCHEZ")</f>
        <v>ANA ROCIO MUÑOZ SANCHEZ</v>
      </c>
      <c r="B7078" s="17" t="str">
        <f>HYPERLINK("https://otsuka-europe-crm.veevavault.com/ui/#object/vcountry__v/VENZ000004SONF5", "ES")</f>
        <v>ES</v>
      </c>
      <c r="C7078" s="20" t="s">
        <v>41</v>
      </c>
      <c r="D7078" s="21" t="str">
        <f>HYPERLINK("https://otsuka-europe-crm.veevavault.com/ui/#object/approved_document__v/V5O00000001A037", "LUP - VAE Póster Adelphi - Nefro")</f>
        <v>LUP - VAE Póster Adelphi - Nefro</v>
      </c>
      <c r="E7078" s="22" t="str">
        <f>HYPERLINK("https://otsuka-europe-crm.veevavault.com/ui/#object/sent_email__v/VBL00000002R289", "SE-001434786")</f>
        <v>SE-001434786</v>
      </c>
      <c r="F7078" s="25"/>
      <c r="G7078" s="24">
        <v>0</v>
      </c>
      <c r="H7078" s="24">
        <v>0</v>
      </c>
      <c r="I7078" s="24">
        <v>0</v>
      </c>
      <c r="J7078" s="25"/>
      <c r="K7078" s="24">
        <v>0</v>
      </c>
      <c r="L7078" s="22" t="str">
        <f>HYPERLINK("https://otsuka-europe-crm.veevavault.com/ui/#object/approved_document__v/V5O00000001A037", "LUP - VAE Póster Adelphi - Nefro")</f>
        <v>LUP - VAE Póster Adelphi - Nefro</v>
      </c>
      <c r="M7078" s="22" t="str">
        <f>HYPERLINK("mailto:idiez@crm.otsuka-europe.com", "idiez@crm.otsuka-europe.com")</f>
        <v>idiez@crm.otsuka-europe.com</v>
      </c>
      <c r="N7078" s="23">
        <v>46182.408321759256</v>
      </c>
      <c r="O7078" s="14" t="str">
        <f>HYPERLINK("https://otsuka-europe-crm.veevavault.com/ui/#object/email_activity__v/V8C00000003R500", "EN-002092698")</f>
        <v>EN-002092698</v>
      </c>
    </row>
    <row r="7079" spans="1:15" ht="16" x14ac:dyDescent="0.2">
      <c r="A7079" s="19"/>
      <c r="B7079" s="19"/>
      <c r="C7079" s="19"/>
      <c r="D7079" s="19"/>
      <c r="E7079" s="19"/>
      <c r="F7079" s="19"/>
      <c r="G7079" s="19"/>
      <c r="H7079" s="19"/>
      <c r="I7079" s="19"/>
      <c r="J7079" s="19"/>
      <c r="K7079" s="19"/>
      <c r="L7079" s="19"/>
      <c r="M7079" s="19"/>
      <c r="N7079" s="19"/>
      <c r="O7079" s="14" t="str">
        <f>HYPERLINK("https://otsuka-europe-crm.veevavault.com/ui/#object/email_activity__v/V8C00000003U012", "EN-002094846")</f>
        <v>EN-002094846</v>
      </c>
    </row>
    <row r="7080" spans="1:15" ht="32" x14ac:dyDescent="0.2">
      <c r="A7080" s="7" t="str">
        <f>HYPERLINK("https://otsuka-europe-crm.veevavault.com/ui/#object/account__v/V4TZ06G6OB40QZC", "EMINA PERVAN GONZALEZ")</f>
        <v>EMINA PERVAN GONZALEZ</v>
      </c>
      <c r="B7080" s="7" t="str">
        <f>HYPERLINK("https://otsuka-europe-crm.veevavault.com/ui/#object/vcountry__v/VENZ000004SONF5", "ES")</f>
        <v>ES</v>
      </c>
      <c r="C7080" s="8" t="s">
        <v>41</v>
      </c>
      <c r="D7080" s="9" t="str">
        <f>HYPERLINK("https://otsuka-europe-crm.veevavault.com/ui/#object/approved_document__v/V5O00000001A037", "LUP - VAE Póster Adelphi - Nefro")</f>
        <v>LUP - VAE Póster Adelphi - Nefro</v>
      </c>
      <c r="E7080" s="10" t="str">
        <f>HYPERLINK("https://otsuka-europe-crm.veevavault.com/ui/#object/sent_email__v/VBL00000002R290", "SE-001434787")</f>
        <v>SE-001434787</v>
      </c>
      <c r="F7080" s="11"/>
      <c r="G7080" s="12">
        <v>0</v>
      </c>
      <c r="H7080" s="12">
        <v>0</v>
      </c>
      <c r="I7080" s="12">
        <v>0</v>
      </c>
      <c r="J7080" s="11"/>
      <c r="K7080" s="12">
        <v>0</v>
      </c>
      <c r="L7080" s="10" t="str">
        <f>HYPERLINK("https://otsuka-europe-crm.veevavault.com/ui/#object/approved_document__v/V5O00000001A037", "LUP - VAE Póster Adelphi - Nefro")</f>
        <v>LUP - VAE Póster Adelphi - Nefro</v>
      </c>
      <c r="M7080" s="10" t="str">
        <f>HYPERLINK("mailto:idiez@crm.otsuka-europe.com", "idiez@crm.otsuka-europe.com")</f>
        <v>idiez@crm.otsuka-europe.com</v>
      </c>
      <c r="N7080" s="13">
        <v>46182.408321759256</v>
      </c>
      <c r="O7080" s="14" t="str">
        <f>HYPERLINK("https://otsuka-europe-crm.veevavault.com/ui/#object/email_activity__v/V8C00000003R527", "EN-002092725")</f>
        <v>EN-002092725</v>
      </c>
    </row>
    <row r="7081" spans="1:15" ht="16" x14ac:dyDescent="0.2">
      <c r="A7081" s="17" t="str">
        <f>HYPERLINK("https://otsuka-europe-crm.veevavault.com/ui/#object/account__v/V4TZ04ASG99APL3", "AVINASH CHANDU NANWANI")</f>
        <v>AVINASH CHANDU NANWANI</v>
      </c>
      <c r="B7081" s="17" t="str">
        <f>HYPERLINK("https://otsuka-europe-crm.veevavault.com/ui/#object/vcountry__v/VENZ000004SONF5", "ES")</f>
        <v>ES</v>
      </c>
      <c r="C7081" s="20" t="s">
        <v>41</v>
      </c>
      <c r="D7081" s="21" t="str">
        <f>HYPERLINK("https://otsuka-europe-crm.veevavault.com/ui/#object/approved_document__v/V5O00000001A037", "LUP - VAE Póster Adelphi - Nefro")</f>
        <v>LUP - VAE Póster Adelphi - Nefro</v>
      </c>
      <c r="E7081" s="22" t="str">
        <f>HYPERLINK("https://otsuka-europe-crm.veevavault.com/ui/#object/sent_email__v/VBL00000002R291", "SE-001434788")</f>
        <v>SE-001434788</v>
      </c>
      <c r="F7081" s="23">
        <v>46182.775937500002</v>
      </c>
      <c r="G7081" s="24">
        <v>1</v>
      </c>
      <c r="H7081" s="24">
        <v>1</v>
      </c>
      <c r="I7081" s="24">
        <v>0</v>
      </c>
      <c r="J7081" s="25"/>
      <c r="K7081" s="24">
        <v>0</v>
      </c>
      <c r="L7081" s="22" t="str">
        <f>HYPERLINK("https://otsuka-europe-crm.veevavault.com/ui/#object/approved_document__v/V5O00000001A037", "LUP - VAE Póster Adelphi - Nefro")</f>
        <v>LUP - VAE Póster Adelphi - Nefro</v>
      </c>
      <c r="M7081" s="22" t="str">
        <f>HYPERLINK("mailto:idiez@crm.otsuka-europe.com", "idiez@crm.otsuka-europe.com")</f>
        <v>idiez@crm.otsuka-europe.com</v>
      </c>
      <c r="N7081" s="23">
        <v>46182.408321759256</v>
      </c>
      <c r="O7081" s="14" t="str">
        <f>HYPERLINK("https://otsuka-europe-crm.veevavault.com/ui/#object/email_activity__v/V8C00000003R514", "EN-002092712")</f>
        <v>EN-002092712</v>
      </c>
    </row>
    <row r="7082" spans="1:15" ht="16" x14ac:dyDescent="0.2">
      <c r="A7082" s="19"/>
      <c r="B7082" s="19"/>
      <c r="C7082" s="19"/>
      <c r="D7082" s="19"/>
      <c r="E7082" s="19"/>
      <c r="F7082" s="19"/>
      <c r="G7082" s="19"/>
      <c r="H7082" s="19"/>
      <c r="I7082" s="19"/>
      <c r="J7082" s="19"/>
      <c r="K7082" s="19"/>
      <c r="L7082" s="19"/>
      <c r="M7082" s="19"/>
      <c r="N7082" s="19"/>
      <c r="O7082" s="14" t="str">
        <f>HYPERLINK("https://otsuka-europe-crm.veevavault.com/ui/#object/email_activity__v/V8C00000003R928", "EN-002093481")</f>
        <v>EN-002093481</v>
      </c>
    </row>
    <row r="7083" spans="1:15" ht="32" x14ac:dyDescent="0.2">
      <c r="A7083" s="7" t="str">
        <f>HYPERLINK("https://otsuka-europe-crm.veevavault.com/ui/#object/account__v/V4TZ06G6O8S5LD1", "ANA MARIA GARCIA PRIETO")</f>
        <v>ANA MARIA GARCIA PRIETO</v>
      </c>
      <c r="B7083" s="7" t="str">
        <f>HYPERLINK("https://otsuka-europe-crm.veevavault.com/ui/#object/vcountry__v/VENZ000004SONF5", "ES")</f>
        <v>ES</v>
      </c>
      <c r="C7083" s="8" t="s">
        <v>41</v>
      </c>
      <c r="D7083" s="9" t="str">
        <f>HYPERLINK("https://otsuka-europe-crm.veevavault.com/ui/#object/approved_document__v/V5O00000001A037", "LUP - VAE Póster Adelphi - Nefro")</f>
        <v>LUP - VAE Póster Adelphi - Nefro</v>
      </c>
      <c r="E7083" s="10" t="str">
        <f>HYPERLINK("https://otsuka-europe-crm.veevavault.com/ui/#object/sent_email__v/VBL00000002R292", "SE-001434789")</f>
        <v>SE-001434789</v>
      </c>
      <c r="F7083" s="11"/>
      <c r="G7083" s="12">
        <v>0</v>
      </c>
      <c r="H7083" s="12">
        <v>0</v>
      </c>
      <c r="I7083" s="12">
        <v>0</v>
      </c>
      <c r="J7083" s="11"/>
      <c r="K7083" s="12">
        <v>0</v>
      </c>
      <c r="L7083" s="10" t="str">
        <f>HYPERLINK("https://otsuka-europe-crm.veevavault.com/ui/#object/approved_document__v/V5O00000001A037", "LUP - VAE Póster Adelphi - Nefro")</f>
        <v>LUP - VAE Póster Adelphi - Nefro</v>
      </c>
      <c r="M7083" s="10" t="str">
        <f>HYPERLINK("mailto:idiez@crm.otsuka-europe.com", "idiez@crm.otsuka-europe.com")</f>
        <v>idiez@crm.otsuka-europe.com</v>
      </c>
      <c r="N7083" s="13">
        <v>46182.408321759256</v>
      </c>
      <c r="O7083" s="14" t="str">
        <f>HYPERLINK("https://otsuka-europe-crm.veevavault.com/ui/#object/email_activity__v/V8C00000003R503", "EN-002092702")</f>
        <v>EN-002092702</v>
      </c>
    </row>
    <row r="7084" spans="1:15" ht="32" x14ac:dyDescent="0.2">
      <c r="A7084" s="7" t="str">
        <f>HYPERLINK("https://otsuka-europe-crm.veevavault.com/ui/#object/account__v/V4TZ06G6O71TCGQ", "EDUARDO VERDE MORENO")</f>
        <v>EDUARDO VERDE MORENO</v>
      </c>
      <c r="B7084" s="7" t="str">
        <f>HYPERLINK("https://otsuka-europe-crm.veevavault.com/ui/#object/vcountry__v/VENZ000004SONF5", "ES")</f>
        <v>ES</v>
      </c>
      <c r="C7084" s="8" t="s">
        <v>41</v>
      </c>
      <c r="D7084" s="9" t="str">
        <f>HYPERLINK("https://otsuka-europe-crm.veevavault.com/ui/#object/approved_document__v/V5O00000001A037", "LUP - VAE Póster Adelphi - Nefro")</f>
        <v>LUP - VAE Póster Adelphi - Nefro</v>
      </c>
      <c r="E7084" s="10" t="str">
        <f>HYPERLINK("https://otsuka-europe-crm.veevavault.com/ui/#object/sent_email__v/VBL00000002R293", "SE-001434790")</f>
        <v>SE-001434790</v>
      </c>
      <c r="F7084" s="11"/>
      <c r="G7084" s="12">
        <v>0</v>
      </c>
      <c r="H7084" s="12">
        <v>0</v>
      </c>
      <c r="I7084" s="12">
        <v>0</v>
      </c>
      <c r="J7084" s="11"/>
      <c r="K7084" s="12">
        <v>0</v>
      </c>
      <c r="L7084" s="10" t="str">
        <f>HYPERLINK("https://otsuka-europe-crm.veevavault.com/ui/#object/approved_document__v/V5O00000001A037", "LUP - VAE Póster Adelphi - Nefro")</f>
        <v>LUP - VAE Póster Adelphi - Nefro</v>
      </c>
      <c r="M7084" s="10" t="str">
        <f>HYPERLINK("mailto:idiez@crm.otsuka-europe.com", "idiez@crm.otsuka-europe.com")</f>
        <v>idiez@crm.otsuka-europe.com</v>
      </c>
      <c r="N7084" s="13">
        <v>46182.408321759256</v>
      </c>
      <c r="O7084" s="14" t="str">
        <f>HYPERLINK("https://otsuka-europe-crm.veevavault.com/ui/#object/email_activity__v/V8C00000003R506", "EN-002092705")</f>
        <v>EN-002092705</v>
      </c>
    </row>
    <row r="7085" spans="1:15" ht="16" x14ac:dyDescent="0.2">
      <c r="A7085" s="17" t="str">
        <f>HYPERLINK("https://otsuka-europe-crm.veevavault.com/ui/#object/account__v/V4TZ06G6O71TCDC", "ANTONIO CIRUGEDA GARCIA")</f>
        <v>ANTONIO CIRUGEDA GARCIA</v>
      </c>
      <c r="B7085" s="17" t="str">
        <f>HYPERLINK("https://otsuka-europe-crm.veevavault.com/ui/#object/vcountry__v/VENZ000004SONF5", "ES")</f>
        <v>ES</v>
      </c>
      <c r="C7085" s="20" t="s">
        <v>41</v>
      </c>
      <c r="D7085" s="21" t="str">
        <f>HYPERLINK("https://otsuka-europe-crm.veevavault.com/ui/#object/approved_document__v/V5O00000001A037", "LUP - VAE Póster Adelphi - Nefro")</f>
        <v>LUP - VAE Póster Adelphi - Nefro</v>
      </c>
      <c r="E7085" s="22" t="str">
        <f>HYPERLINK("https://otsuka-europe-crm.veevavault.com/ui/#object/sent_email__v/VBL00000002R294", "SE-001434791")</f>
        <v>SE-001434791</v>
      </c>
      <c r="F7085" s="23">
        <v>46182.509236111109</v>
      </c>
      <c r="G7085" s="24">
        <v>1</v>
      </c>
      <c r="H7085" s="24">
        <v>1</v>
      </c>
      <c r="I7085" s="24">
        <v>0</v>
      </c>
      <c r="J7085" s="25"/>
      <c r="K7085" s="24">
        <v>0</v>
      </c>
      <c r="L7085" s="22" t="str">
        <f>HYPERLINK("https://otsuka-europe-crm.veevavault.com/ui/#object/approved_document__v/V5O00000001A037", "LUP - VAE Póster Adelphi - Nefro")</f>
        <v>LUP - VAE Póster Adelphi - Nefro</v>
      </c>
      <c r="M7085" s="22" t="str">
        <f>HYPERLINK("mailto:idiez@crm.otsuka-europe.com", "idiez@crm.otsuka-europe.com")</f>
        <v>idiez@crm.otsuka-europe.com</v>
      </c>
      <c r="N7085" s="23">
        <v>46182.408321759256</v>
      </c>
      <c r="O7085" s="14" t="str">
        <f>HYPERLINK("https://otsuka-europe-crm.veevavault.com/ui/#object/email_activity__v/V8C00000003R537", "EN-002092735")</f>
        <v>EN-002092735</v>
      </c>
    </row>
    <row r="7086" spans="1:15" ht="16" x14ac:dyDescent="0.2">
      <c r="A7086" s="19"/>
      <c r="B7086" s="19"/>
      <c r="C7086" s="19"/>
      <c r="D7086" s="19"/>
      <c r="E7086" s="19"/>
      <c r="F7086" s="19"/>
      <c r="G7086" s="19"/>
      <c r="H7086" s="19"/>
      <c r="I7086" s="19"/>
      <c r="J7086" s="19"/>
      <c r="K7086" s="19"/>
      <c r="L7086" s="19"/>
      <c r="M7086" s="19"/>
      <c r="N7086" s="19"/>
      <c r="O7086" s="14" t="str">
        <f>HYPERLINK("https://otsuka-europe-crm.veevavault.com/ui/#object/email_activity__v/V8C00000003S034", "EN-002092900")</f>
        <v>EN-002092900</v>
      </c>
    </row>
    <row r="7087" spans="1:15" ht="16" x14ac:dyDescent="0.2">
      <c r="A7087" s="17" t="str">
        <f>HYPERLINK("https://otsuka-europe-crm.veevavault.com/ui/#object/account__v/V4TZ06G6O71TBFC", "ALVARO NAVA REBOLLO")</f>
        <v>ALVARO NAVA REBOLLO</v>
      </c>
      <c r="B7087" s="17" t="str">
        <f>HYPERLINK("https://otsuka-europe-crm.veevavault.com/ui/#object/vcountry__v/VENZ000004SONF5", "ES")</f>
        <v>ES</v>
      </c>
      <c r="C7087" s="20" t="s">
        <v>41</v>
      </c>
      <c r="D7087" s="21" t="str">
        <f>HYPERLINK("https://otsuka-europe-crm.veevavault.com/ui/#object/approved_document__v/V5O00000001A037", "LUP - VAE Póster Adelphi - Nefro")</f>
        <v>LUP - VAE Póster Adelphi - Nefro</v>
      </c>
      <c r="E7087" s="22" t="str">
        <f>HYPERLINK("https://otsuka-europe-crm.veevavault.com/ui/#object/sent_email__v/VBL00000002R295", "SE-001434792")</f>
        <v>SE-001434792</v>
      </c>
      <c r="F7087" s="23">
        <v>46182.421053240738</v>
      </c>
      <c r="G7087" s="24">
        <v>1</v>
      </c>
      <c r="H7087" s="24">
        <v>3</v>
      </c>
      <c r="I7087" s="24">
        <v>0</v>
      </c>
      <c r="J7087" s="25"/>
      <c r="K7087" s="24">
        <v>0</v>
      </c>
      <c r="L7087" s="22" t="str">
        <f>HYPERLINK("https://otsuka-europe-crm.veevavault.com/ui/#object/approved_document__v/V5O00000001A037", "LUP - VAE Póster Adelphi - Nefro")</f>
        <v>LUP - VAE Póster Adelphi - Nefro</v>
      </c>
      <c r="M7087" s="22" t="str">
        <f>HYPERLINK("mailto:idiez@crm.otsuka-europe.com", "idiez@crm.otsuka-europe.com")</f>
        <v>idiez@crm.otsuka-europe.com</v>
      </c>
      <c r="N7087" s="23">
        <v>46182.408321759256</v>
      </c>
      <c r="O7087" s="14" t="str">
        <f>HYPERLINK("https://otsuka-europe-crm.veevavault.com/ui/#object/email_activity__v/V8C00000003Q977", "EN-002092771")</f>
        <v>EN-002092771</v>
      </c>
    </row>
    <row r="7088" spans="1:15" ht="16" x14ac:dyDescent="0.2">
      <c r="A7088" s="18"/>
      <c r="B7088" s="18"/>
      <c r="C7088" s="18"/>
      <c r="D7088" s="18"/>
      <c r="E7088" s="18"/>
      <c r="F7088" s="18"/>
      <c r="G7088" s="18"/>
      <c r="H7088" s="18"/>
      <c r="I7088" s="18"/>
      <c r="J7088" s="18"/>
      <c r="K7088" s="18"/>
      <c r="L7088" s="18"/>
      <c r="M7088" s="18"/>
      <c r="N7088" s="18"/>
      <c r="O7088" s="14" t="str">
        <f>HYPERLINK("https://otsuka-europe-crm.veevavault.com/ui/#object/email_activity__v/V8C00000003Q978", "EN-002092772")</f>
        <v>EN-002092772</v>
      </c>
    </row>
    <row r="7089" spans="1:15" ht="16" x14ac:dyDescent="0.2">
      <c r="A7089" s="18"/>
      <c r="B7089" s="18"/>
      <c r="C7089" s="18"/>
      <c r="D7089" s="18"/>
      <c r="E7089" s="18"/>
      <c r="F7089" s="18"/>
      <c r="G7089" s="18"/>
      <c r="H7089" s="18"/>
      <c r="I7089" s="18"/>
      <c r="J7089" s="18"/>
      <c r="K7089" s="18"/>
      <c r="L7089" s="18"/>
      <c r="M7089" s="18"/>
      <c r="N7089" s="18"/>
      <c r="O7089" s="14" t="str">
        <f>HYPERLINK("https://otsuka-europe-crm.veevavault.com/ui/#object/email_activity__v/V8C00000003Q979", "EN-002092773")</f>
        <v>EN-002092773</v>
      </c>
    </row>
    <row r="7090" spans="1:15" ht="16" x14ac:dyDescent="0.2">
      <c r="A7090" s="19"/>
      <c r="B7090" s="19"/>
      <c r="C7090" s="19"/>
      <c r="D7090" s="19"/>
      <c r="E7090" s="19"/>
      <c r="F7090" s="19"/>
      <c r="G7090" s="19"/>
      <c r="H7090" s="19"/>
      <c r="I7090" s="19"/>
      <c r="J7090" s="19"/>
      <c r="K7090" s="19"/>
      <c r="L7090" s="19"/>
      <c r="M7090" s="19"/>
      <c r="N7090" s="19"/>
      <c r="O7090" s="14" t="str">
        <f>HYPERLINK("https://otsuka-europe-crm.veevavault.com/ui/#object/email_activity__v/V8C00000003R511", "EN-002092709")</f>
        <v>EN-002092709</v>
      </c>
    </row>
    <row r="7091" spans="1:15" ht="16" x14ac:dyDescent="0.2">
      <c r="A7091" s="17" t="str">
        <f>HYPERLINK("https://otsuka-europe-crm.veevavault.com/ui/#object/account__v/V4TZ06G6O71T73X", "ELENA ASUNCION CORCHETE PRATS")</f>
        <v>ELENA ASUNCION CORCHETE PRATS</v>
      </c>
      <c r="B7091" s="17" t="str">
        <f>HYPERLINK("https://otsuka-europe-crm.veevavault.com/ui/#object/vcountry__v/VENZ000004SONF5", "ES")</f>
        <v>ES</v>
      </c>
      <c r="C7091" s="20" t="s">
        <v>41</v>
      </c>
      <c r="D7091" s="21" t="str">
        <f>HYPERLINK("https://otsuka-europe-crm.veevavault.com/ui/#object/approved_document__v/V5O00000001A037", "LUP - VAE Póster Adelphi - Nefro")</f>
        <v>LUP - VAE Póster Adelphi - Nefro</v>
      </c>
      <c r="E7091" s="22" t="str">
        <f>HYPERLINK("https://otsuka-europe-crm.veevavault.com/ui/#object/sent_email__v/VBL00000002R296", "SE-001434793")</f>
        <v>SE-001434793</v>
      </c>
      <c r="F7091" s="25"/>
      <c r="G7091" s="24">
        <v>0</v>
      </c>
      <c r="H7091" s="24">
        <v>0</v>
      </c>
      <c r="I7091" s="24">
        <v>0</v>
      </c>
      <c r="J7091" s="25"/>
      <c r="K7091" s="24">
        <v>0</v>
      </c>
      <c r="L7091" s="22" t="str">
        <f>HYPERLINK("https://otsuka-europe-crm.veevavault.com/ui/#object/approved_document__v/V5O00000001A037", "LUP - VAE Póster Adelphi - Nefro")</f>
        <v>LUP - VAE Póster Adelphi - Nefro</v>
      </c>
      <c r="M7091" s="22" t="str">
        <f>HYPERLINK("mailto:idiez@crm.otsuka-europe.com", "idiez@crm.otsuka-europe.com")</f>
        <v>idiez@crm.otsuka-europe.com</v>
      </c>
      <c r="N7091" s="23">
        <v>46182.408321759256</v>
      </c>
      <c r="O7091" s="14" t="str">
        <f>HYPERLINK("https://otsuka-europe-crm.veevavault.com/ui/#object/email_activity__v/V8C00000003R528", "EN-002092726")</f>
        <v>EN-002092726</v>
      </c>
    </row>
    <row r="7092" spans="1:15" ht="16" x14ac:dyDescent="0.2">
      <c r="A7092" s="19"/>
      <c r="B7092" s="19"/>
      <c r="C7092" s="19"/>
      <c r="D7092" s="19"/>
      <c r="E7092" s="19"/>
      <c r="F7092" s="19"/>
      <c r="G7092" s="19"/>
      <c r="H7092" s="19"/>
      <c r="I7092" s="19"/>
      <c r="J7092" s="19"/>
      <c r="K7092" s="19"/>
      <c r="L7092" s="19"/>
      <c r="M7092" s="19"/>
      <c r="N7092" s="19"/>
      <c r="O7092" s="14" t="str">
        <f>HYPERLINK("https://otsuka-europe-crm.veevavault.com/ui/#object/email_activity__v/V8C00000003S435", "EN-002093783")</f>
        <v>EN-002093783</v>
      </c>
    </row>
    <row r="7093" spans="1:15" ht="32" x14ac:dyDescent="0.2">
      <c r="A7093" s="7" t="str">
        <f>HYPERLINK("https://otsuka-europe-crm.veevavault.com/ui/#object/account__v/V4TZ025E85H7OJN", "CLAUDIA MUÑOZ MARTINEZ")</f>
        <v>CLAUDIA MUÑOZ MARTINEZ</v>
      </c>
      <c r="B7093" s="7" t="str">
        <f>HYPERLINK("https://otsuka-europe-crm.veevavault.com/ui/#object/vcountry__v/VENZ000004SONF5", "ES")</f>
        <v>ES</v>
      </c>
      <c r="C7093" s="8" t="s">
        <v>41</v>
      </c>
      <c r="D7093" s="9" t="str">
        <f>HYPERLINK("https://otsuka-europe-crm.veevavault.com/ui/#object/approved_document__v/V5O00000001A037", "LUP - VAE Póster Adelphi - Nefro")</f>
        <v>LUP - VAE Póster Adelphi - Nefro</v>
      </c>
      <c r="E7093" s="10" t="str">
        <f>HYPERLINK("https://otsuka-europe-crm.veevavault.com/ui/#object/sent_email__v/VBL00000002R297", "SE-001434794")</f>
        <v>SE-001434794</v>
      </c>
      <c r="F7093" s="11"/>
      <c r="G7093" s="12">
        <v>0</v>
      </c>
      <c r="H7093" s="12">
        <v>0</v>
      </c>
      <c r="I7093" s="12">
        <v>0</v>
      </c>
      <c r="J7093" s="11"/>
      <c r="K7093" s="12">
        <v>0</v>
      </c>
      <c r="L7093" s="10" t="str">
        <f>HYPERLINK("https://otsuka-europe-crm.veevavault.com/ui/#object/approved_document__v/V5O00000001A037", "LUP - VAE Póster Adelphi - Nefro")</f>
        <v>LUP - VAE Póster Adelphi - Nefro</v>
      </c>
      <c r="M7093" s="10" t="str">
        <f>HYPERLINK("mailto:idiez@crm.otsuka-europe.com", "idiez@crm.otsuka-europe.com")</f>
        <v>idiez@crm.otsuka-europe.com</v>
      </c>
      <c r="N7093" s="13">
        <v>46182.408321759256</v>
      </c>
      <c r="O7093" s="14" t="str">
        <f>HYPERLINK("https://otsuka-europe-crm.veevavault.com/ui/#object/email_activity__v/V8C00000003R498", "EN-002092696")</f>
        <v>EN-002092696</v>
      </c>
    </row>
    <row r="7094" spans="1:15" ht="16" x14ac:dyDescent="0.2">
      <c r="A7094" s="17" t="str">
        <f>HYPERLINK("https://otsuka-europe-crm.veevavault.com/ui/#object/account__v/V4TZ06G6O71T85Q", "GONZALO CESAR DELGADO LAPEIRA")</f>
        <v>GONZALO CESAR DELGADO LAPEIRA</v>
      </c>
      <c r="B7094" s="17" t="str">
        <f>HYPERLINK("https://otsuka-europe-crm.veevavault.com/ui/#object/vcountry__v/VENZ000004SONF5", "ES")</f>
        <v>ES</v>
      </c>
      <c r="C7094" s="20" t="s">
        <v>41</v>
      </c>
      <c r="D7094" s="21" t="str">
        <f>HYPERLINK("https://otsuka-europe-crm.veevavault.com/ui/#object/approved_document__v/V5O00000001A037", "LUP - VAE Póster Adelphi - Nefro")</f>
        <v>LUP - VAE Póster Adelphi - Nefro</v>
      </c>
      <c r="E7094" s="22" t="str">
        <f>HYPERLINK("https://otsuka-europe-crm.veevavault.com/ui/#object/sent_email__v/VBL00000002R298", "SE-001434795")</f>
        <v>SE-001434795</v>
      </c>
      <c r="F7094" s="25"/>
      <c r="G7094" s="24">
        <v>0</v>
      </c>
      <c r="H7094" s="24">
        <v>0</v>
      </c>
      <c r="I7094" s="24">
        <v>0</v>
      </c>
      <c r="J7094" s="25"/>
      <c r="K7094" s="24">
        <v>0</v>
      </c>
      <c r="L7094" s="22" t="str">
        <f>HYPERLINK("https://otsuka-europe-crm.veevavault.com/ui/#object/approved_document__v/V5O00000001A037", "LUP - VAE Póster Adelphi - Nefro")</f>
        <v>LUP - VAE Póster Adelphi - Nefro</v>
      </c>
      <c r="M7094" s="22" t="str">
        <f>HYPERLINK("mailto:idiez@crm.otsuka-europe.com", "idiez@crm.otsuka-europe.com")</f>
        <v>idiez@crm.otsuka-europe.com</v>
      </c>
      <c r="N7094" s="23">
        <v>46182.408321759256</v>
      </c>
      <c r="O7094" s="14" t="str">
        <f>HYPERLINK("https://otsuka-europe-crm.veevavault.com/ui/#object/email_activity__v/V8C00000003R501", "EN-002092699")</f>
        <v>EN-002092699</v>
      </c>
    </row>
    <row r="7095" spans="1:15" ht="16" x14ac:dyDescent="0.2">
      <c r="A7095" s="19"/>
      <c r="B7095" s="19"/>
      <c r="C7095" s="19"/>
      <c r="D7095" s="19"/>
      <c r="E7095" s="19"/>
      <c r="F7095" s="19"/>
      <c r="G7095" s="19"/>
      <c r="H7095" s="19"/>
      <c r="I7095" s="19"/>
      <c r="J7095" s="19"/>
      <c r="K7095" s="19"/>
      <c r="L7095" s="19"/>
      <c r="M7095" s="19"/>
      <c r="N7095" s="19"/>
      <c r="O7095" s="14" t="str">
        <f>HYPERLINK("https://otsuka-europe-crm.veevavault.com/ui/#object/email_activity__v/V8C00000003R581", "EN-002092815")</f>
        <v>EN-002092815</v>
      </c>
    </row>
    <row r="7096" spans="1:15" ht="16" x14ac:dyDescent="0.2">
      <c r="A7096" s="17" t="str">
        <f>HYPERLINK("https://otsuka-europe-crm.veevavault.com/ui/#object/account__v/V4TZ025E87CB4SL", "GEMA SANCHEZ SANCHEZ")</f>
        <v>GEMA SANCHEZ SANCHEZ</v>
      </c>
      <c r="B7096" s="17" t="str">
        <f>HYPERLINK("https://otsuka-europe-crm.veevavault.com/ui/#object/vcountry__v/VENZ000004SONF5", "ES")</f>
        <v>ES</v>
      </c>
      <c r="C7096" s="20" t="s">
        <v>41</v>
      </c>
      <c r="D7096" s="21" t="str">
        <f>HYPERLINK("https://otsuka-europe-crm.veevavault.com/ui/#object/approved_document__v/V5O00000001A037", "LUP - VAE Póster Adelphi - Nefro")</f>
        <v>LUP - VAE Póster Adelphi - Nefro</v>
      </c>
      <c r="E7096" s="22" t="str">
        <f>HYPERLINK("https://otsuka-europe-crm.veevavault.com/ui/#object/sent_email__v/VBL00000002R299", "SE-001434796")</f>
        <v>SE-001434796</v>
      </c>
      <c r="F7096" s="23">
        <v>46182.409363425926</v>
      </c>
      <c r="G7096" s="24">
        <v>1</v>
      </c>
      <c r="H7096" s="24">
        <v>2</v>
      </c>
      <c r="I7096" s="24">
        <v>0</v>
      </c>
      <c r="J7096" s="25"/>
      <c r="K7096" s="24">
        <v>0</v>
      </c>
      <c r="L7096" s="22" t="str">
        <f>HYPERLINK("https://otsuka-europe-crm.veevavault.com/ui/#object/approved_document__v/V5O00000001A037", "LUP - VAE Póster Adelphi - Nefro")</f>
        <v>LUP - VAE Póster Adelphi - Nefro</v>
      </c>
      <c r="M7096" s="22" t="str">
        <f>HYPERLINK("mailto:idiez@crm.otsuka-europe.com", "idiez@crm.otsuka-europe.com")</f>
        <v>idiez@crm.otsuka-europe.com</v>
      </c>
      <c r="N7096" s="23">
        <v>46182.408321759256</v>
      </c>
      <c r="O7096" s="14" t="str">
        <f>HYPERLINK("https://otsuka-europe-crm.veevavault.com/ui/#object/email_activity__v/V8C00000003R505", "EN-002092704")</f>
        <v>EN-002092704</v>
      </c>
    </row>
    <row r="7097" spans="1:15" ht="16" x14ac:dyDescent="0.2">
      <c r="A7097" s="18"/>
      <c r="B7097" s="18"/>
      <c r="C7097" s="18"/>
      <c r="D7097" s="18"/>
      <c r="E7097" s="18"/>
      <c r="F7097" s="18"/>
      <c r="G7097" s="18"/>
      <c r="H7097" s="18"/>
      <c r="I7097" s="18"/>
      <c r="J7097" s="18"/>
      <c r="K7097" s="18"/>
      <c r="L7097" s="18"/>
      <c r="M7097" s="18"/>
      <c r="N7097" s="18"/>
      <c r="O7097" s="14" t="str">
        <f>HYPERLINK("https://otsuka-europe-crm.veevavault.com/ui/#object/email_activity__v/V8C00000003R540", "EN-002092740")</f>
        <v>EN-002092740</v>
      </c>
    </row>
    <row r="7098" spans="1:15" ht="16" x14ac:dyDescent="0.2">
      <c r="A7098" s="19"/>
      <c r="B7098" s="19"/>
      <c r="C7098" s="19"/>
      <c r="D7098" s="19"/>
      <c r="E7098" s="19"/>
      <c r="F7098" s="19"/>
      <c r="G7098" s="19"/>
      <c r="H7098" s="19"/>
      <c r="I7098" s="19"/>
      <c r="J7098" s="19"/>
      <c r="K7098" s="19"/>
      <c r="L7098" s="19"/>
      <c r="M7098" s="19"/>
      <c r="N7098" s="19"/>
      <c r="O7098" s="14" t="str">
        <f>HYPERLINK("https://otsuka-europe-crm.veevavault.com/ui/#object/email_activity__v/V8C00000003R541", "EN-002092741")</f>
        <v>EN-002092741</v>
      </c>
    </row>
    <row r="7099" spans="1:15" ht="16" x14ac:dyDescent="0.2">
      <c r="A7099" s="17" t="str">
        <f>HYPERLINK("https://otsuka-europe-crm.veevavault.com/ui/#object/account__v/V4TZ06G6O71T8G9", "CARMEN RITA MARTIN VARAS")</f>
        <v>CARMEN RITA MARTIN VARAS</v>
      </c>
      <c r="B7099" s="17" t="str">
        <f>HYPERLINK("https://otsuka-europe-crm.veevavault.com/ui/#object/vcountry__v/VENZ000004SONF5", "ES")</f>
        <v>ES</v>
      </c>
      <c r="C7099" s="20" t="s">
        <v>41</v>
      </c>
      <c r="D7099" s="21" t="str">
        <f>HYPERLINK("https://otsuka-europe-crm.veevavault.com/ui/#object/approved_document__v/V5O00000001A037", "LUP - VAE Póster Adelphi - Nefro")</f>
        <v>LUP - VAE Póster Adelphi - Nefro</v>
      </c>
      <c r="E7099" s="22" t="str">
        <f>HYPERLINK("https://otsuka-europe-crm.veevavault.com/ui/#object/sent_email__v/VBL00000002R300", "SE-001434797")</f>
        <v>SE-001434797</v>
      </c>
      <c r="F7099" s="23">
        <v>46182.485636574071</v>
      </c>
      <c r="G7099" s="24">
        <v>1</v>
      </c>
      <c r="H7099" s="24">
        <v>1</v>
      </c>
      <c r="I7099" s="24">
        <v>0</v>
      </c>
      <c r="J7099" s="25"/>
      <c r="K7099" s="24">
        <v>0</v>
      </c>
      <c r="L7099" s="22" t="str">
        <f>HYPERLINK("https://otsuka-europe-crm.veevavault.com/ui/#object/approved_document__v/V5O00000001A037", "LUP - VAE Póster Adelphi - Nefro")</f>
        <v>LUP - VAE Póster Adelphi - Nefro</v>
      </c>
      <c r="M7099" s="22" t="str">
        <f>HYPERLINK("mailto:idiez@crm.otsuka-europe.com", "idiez@crm.otsuka-europe.com")</f>
        <v>idiez@crm.otsuka-europe.com</v>
      </c>
      <c r="N7099" s="23">
        <v>46182.408321759256</v>
      </c>
      <c r="O7099" s="14" t="str">
        <f>HYPERLINK("https://otsuka-europe-crm.veevavault.com/ui/#object/email_activity__v/V8C00000003R522", "EN-002092720")</f>
        <v>EN-002092720</v>
      </c>
    </row>
    <row r="7100" spans="1:15" ht="16" x14ac:dyDescent="0.2">
      <c r="A7100" s="18"/>
      <c r="B7100" s="18"/>
      <c r="C7100" s="18"/>
      <c r="D7100" s="18"/>
      <c r="E7100" s="18"/>
      <c r="F7100" s="18"/>
      <c r="G7100" s="18"/>
      <c r="H7100" s="18"/>
      <c r="I7100" s="18"/>
      <c r="J7100" s="18"/>
      <c r="K7100" s="18"/>
      <c r="L7100" s="18"/>
      <c r="M7100" s="18"/>
      <c r="N7100" s="18"/>
      <c r="O7100" s="14" t="str">
        <f>HYPERLINK("https://otsuka-europe-crm.veevavault.com/ui/#object/email_activity__v/V8C00000003R618", "EN-002092877")</f>
        <v>EN-002092877</v>
      </c>
    </row>
    <row r="7101" spans="1:15" ht="16" x14ac:dyDescent="0.2">
      <c r="A7101" s="19"/>
      <c r="B7101" s="19"/>
      <c r="C7101" s="19"/>
      <c r="D7101" s="19"/>
      <c r="E7101" s="19"/>
      <c r="F7101" s="19"/>
      <c r="G7101" s="19"/>
      <c r="H7101" s="19"/>
      <c r="I7101" s="19"/>
      <c r="J7101" s="19"/>
      <c r="K7101" s="19"/>
      <c r="L7101" s="19"/>
      <c r="M7101" s="19"/>
      <c r="N7101" s="19"/>
      <c r="O7101" s="14" t="str">
        <f>HYPERLINK("https://otsuka-europe-crm.veevavault.com/ui/#object/email_activity__v/V8C00000003T568", "EN-002094759")</f>
        <v>EN-002094759</v>
      </c>
    </row>
    <row r="7102" spans="1:15" ht="32" x14ac:dyDescent="0.2">
      <c r="A7102" s="7" t="str">
        <f>HYPERLINK("https://otsuka-europe-crm.veevavault.com/ui/#object/account__v/V4TZ06G6O71UQQL", "CARLOS SANTOS ALONSO")</f>
        <v>CARLOS SANTOS ALONSO</v>
      </c>
      <c r="B7102" s="7" t="str">
        <f>HYPERLINK("https://otsuka-europe-crm.veevavault.com/ui/#object/vcountry__v/VENZ000004SONF5", "ES")</f>
        <v>ES</v>
      </c>
      <c r="C7102" s="8" t="s">
        <v>41</v>
      </c>
      <c r="D7102" s="9" t="str">
        <f>HYPERLINK("https://otsuka-europe-crm.veevavault.com/ui/#object/approved_document__v/V5O00000001A037", "LUP - VAE Póster Adelphi - Nefro")</f>
        <v>LUP - VAE Póster Adelphi - Nefro</v>
      </c>
      <c r="E7102" s="10" t="str">
        <f>HYPERLINK("https://otsuka-europe-crm.veevavault.com/ui/#object/sent_email__v/VBL00000002R301", "SE-001434798")</f>
        <v>SE-001434798</v>
      </c>
      <c r="F7102" s="11"/>
      <c r="G7102" s="12">
        <v>0</v>
      </c>
      <c r="H7102" s="12">
        <v>0</v>
      </c>
      <c r="I7102" s="12">
        <v>0</v>
      </c>
      <c r="J7102" s="11"/>
      <c r="K7102" s="12">
        <v>0</v>
      </c>
      <c r="L7102" s="10" t="str">
        <f>HYPERLINK("https://otsuka-europe-crm.veevavault.com/ui/#object/approved_document__v/V5O00000001A037", "LUP - VAE Póster Adelphi - Nefro")</f>
        <v>LUP - VAE Póster Adelphi - Nefro</v>
      </c>
      <c r="M7102" s="10" t="str">
        <f>HYPERLINK("mailto:idiez@crm.otsuka-europe.com", "idiez@crm.otsuka-europe.com")</f>
        <v>idiez@crm.otsuka-europe.com</v>
      </c>
      <c r="N7102" s="13">
        <v>46182.40829861111</v>
      </c>
      <c r="O7102" s="14" t="str">
        <f>HYPERLINK("https://otsuka-europe-crm.veevavault.com/ui/#object/email_activity__v/V8C00000003R533", "EN-002092731")</f>
        <v>EN-002092731</v>
      </c>
    </row>
    <row r="7103" spans="1:15" ht="32" x14ac:dyDescent="0.2">
      <c r="A7103" s="7" t="str">
        <f>HYPERLINK("https://otsuka-europe-crm.veevavault.com/ui/#object/account__v/V4TZ06G6OB47PYP", "GABRIELA PILAR GONZALEZ ZHINDON")</f>
        <v>GABRIELA PILAR GONZALEZ ZHINDON</v>
      </c>
      <c r="B7103" s="7" t="str">
        <f>HYPERLINK("https://otsuka-europe-crm.veevavault.com/ui/#object/vcountry__v/VENZ000004SONF5", "ES")</f>
        <v>ES</v>
      </c>
      <c r="C7103" s="8" t="s">
        <v>41</v>
      </c>
      <c r="D7103" s="9" t="str">
        <f>HYPERLINK("https://otsuka-europe-crm.veevavault.com/ui/#object/approved_document__v/V5O00000001A037", "LUP - VAE Póster Adelphi - Nefro")</f>
        <v>LUP - VAE Póster Adelphi - Nefro</v>
      </c>
      <c r="E7103" s="10" t="str">
        <f>HYPERLINK("https://otsuka-europe-crm.veevavault.com/ui/#object/sent_email__v/VBL00000002R302", "SE-001434799")</f>
        <v>SE-001434799</v>
      </c>
      <c r="F7103" s="11"/>
      <c r="G7103" s="12">
        <v>0</v>
      </c>
      <c r="H7103" s="12">
        <v>0</v>
      </c>
      <c r="I7103" s="12">
        <v>0</v>
      </c>
      <c r="J7103" s="11"/>
      <c r="K7103" s="12">
        <v>0</v>
      </c>
      <c r="L7103" s="10" t="str">
        <f>HYPERLINK("https://otsuka-europe-crm.veevavault.com/ui/#object/approved_document__v/V5O00000001A037", "LUP - VAE Póster Adelphi - Nefro")</f>
        <v>LUP - VAE Póster Adelphi - Nefro</v>
      </c>
      <c r="M7103" s="10" t="str">
        <f>HYPERLINK("mailto:idiez@crm.otsuka-europe.com", "idiez@crm.otsuka-europe.com")</f>
        <v>idiez@crm.otsuka-europe.com</v>
      </c>
      <c r="N7103" s="13">
        <v>46182.40829861111</v>
      </c>
      <c r="O7103" s="14" t="str">
        <f>HYPERLINK("https://otsuka-europe-crm.veevavault.com/ui/#object/email_activity__v/V8C00000003R525", "EN-002092723")</f>
        <v>EN-002092723</v>
      </c>
    </row>
    <row r="7104" spans="1:15" ht="32" x14ac:dyDescent="0.2">
      <c r="A7104" s="7" t="str">
        <f>HYPERLINK("https://otsuka-europe-crm.veevavault.com/ui/#object/account__v/V4TZ06G6OBIJK7D", "ANGELO ROBERTO FALCONI SARMIENTO")</f>
        <v>ANGELO ROBERTO FALCONI SARMIENTO</v>
      </c>
      <c r="B7104" s="7" t="str">
        <f>HYPERLINK("https://otsuka-europe-crm.veevavault.com/ui/#object/vcountry__v/VENZ000004SONF5", "ES")</f>
        <v>ES</v>
      </c>
      <c r="C7104" s="8" t="s">
        <v>41</v>
      </c>
      <c r="D7104" s="9" t="str">
        <f>HYPERLINK("https://otsuka-europe-crm.veevavault.com/ui/#object/approved_document__v/V5O00000001A037", "LUP - VAE Póster Adelphi - Nefro")</f>
        <v>LUP - VAE Póster Adelphi - Nefro</v>
      </c>
      <c r="E7104" s="10" t="str">
        <f>HYPERLINK("https://otsuka-europe-crm.veevavault.com/ui/#object/sent_email__v/VBL00000002R303", "SE-001434800")</f>
        <v>SE-001434800</v>
      </c>
      <c r="F7104" s="11"/>
      <c r="G7104" s="12">
        <v>0</v>
      </c>
      <c r="H7104" s="12">
        <v>0</v>
      </c>
      <c r="I7104" s="12">
        <v>0</v>
      </c>
      <c r="J7104" s="11"/>
      <c r="K7104" s="12">
        <v>0</v>
      </c>
      <c r="L7104" s="10" t="str">
        <f>HYPERLINK("https://otsuka-europe-crm.veevavault.com/ui/#object/approved_document__v/V5O00000001A037", "LUP - VAE Póster Adelphi - Nefro")</f>
        <v>LUP - VAE Póster Adelphi - Nefro</v>
      </c>
      <c r="M7104" s="10" t="str">
        <f>HYPERLINK("mailto:idiez@crm.otsuka-europe.com", "idiez@crm.otsuka-europe.com")</f>
        <v>idiez@crm.otsuka-europe.com</v>
      </c>
      <c r="N7104" s="13">
        <v>46182.40829861111</v>
      </c>
      <c r="O7104" s="14" t="str">
        <f>HYPERLINK("https://otsuka-europe-crm.veevavault.com/ui/#object/email_activity__v/V8C00000003R510", "EN-002092708")</f>
        <v>EN-002092708</v>
      </c>
    </row>
    <row r="7105" spans="1:15" ht="32" x14ac:dyDescent="0.2">
      <c r="A7105" s="7" t="str">
        <f>HYPERLINK("https://otsuka-europe-crm.veevavault.com/ui/#object/account__v/V4TZ06G6O71TCHN", "FERNANDO TORNERO MOLINA")</f>
        <v>FERNANDO TORNERO MOLINA</v>
      </c>
      <c r="B7105" s="7" t="str">
        <f>HYPERLINK("https://otsuka-europe-crm.veevavault.com/ui/#object/vcountry__v/VENZ000004SONF5", "ES")</f>
        <v>ES</v>
      </c>
      <c r="C7105" s="8" t="s">
        <v>41</v>
      </c>
      <c r="D7105" s="9" t="str">
        <f>HYPERLINK("https://otsuka-europe-crm.veevavault.com/ui/#object/approved_document__v/V5O00000001A037", "LUP - VAE Póster Adelphi - Nefro")</f>
        <v>LUP - VAE Póster Adelphi - Nefro</v>
      </c>
      <c r="E7105" s="10" t="str">
        <f>HYPERLINK("https://otsuka-europe-crm.veevavault.com/ui/#object/sent_email__v/VBL00000002R304", "SE-001434801")</f>
        <v>SE-001434801</v>
      </c>
      <c r="F7105" s="11"/>
      <c r="G7105" s="12">
        <v>0</v>
      </c>
      <c r="H7105" s="12">
        <v>0</v>
      </c>
      <c r="I7105" s="12">
        <v>0</v>
      </c>
      <c r="J7105" s="11"/>
      <c r="K7105" s="12">
        <v>0</v>
      </c>
      <c r="L7105" s="10" t="str">
        <f>HYPERLINK("https://otsuka-europe-crm.veevavault.com/ui/#object/approved_document__v/V5O00000001A037", "LUP - VAE Póster Adelphi - Nefro")</f>
        <v>LUP - VAE Póster Adelphi - Nefro</v>
      </c>
      <c r="M7105" s="10" t="str">
        <f>HYPERLINK("mailto:idiez@crm.otsuka-europe.com", "idiez@crm.otsuka-europe.com")</f>
        <v>idiez@crm.otsuka-europe.com</v>
      </c>
      <c r="N7105" s="13">
        <v>46182.40829861111</v>
      </c>
      <c r="O7105" s="14" t="str">
        <f>HYPERLINK("https://otsuka-europe-crm.veevavault.com/ui/#object/email_activity__v/V8C00000003Q961", "EN-002092736")</f>
        <v>EN-002092736</v>
      </c>
    </row>
    <row r="7106" spans="1:15" ht="16" x14ac:dyDescent="0.2">
      <c r="A7106" s="17" t="str">
        <f>HYPERLINK("https://otsuka-europe-crm.veevavault.com/ui/#object/account__v/V4TZ06G6O71TAQ4", "CAROLINA LENTISCO RAMIREZ")</f>
        <v>CAROLINA LENTISCO RAMIREZ</v>
      </c>
      <c r="B7106" s="17" t="str">
        <f>HYPERLINK("https://otsuka-europe-crm.veevavault.com/ui/#object/vcountry__v/VENZ000004SONF5", "ES")</f>
        <v>ES</v>
      </c>
      <c r="C7106" s="20" t="s">
        <v>41</v>
      </c>
      <c r="D7106" s="21" t="str">
        <f>HYPERLINK("https://otsuka-europe-crm.veevavault.com/ui/#object/approved_document__v/V5O00000001A037", "LUP - VAE Póster Adelphi - Nefro")</f>
        <v>LUP - VAE Póster Adelphi - Nefro</v>
      </c>
      <c r="E7106" s="22" t="str">
        <f>HYPERLINK("https://otsuka-europe-crm.veevavault.com/ui/#object/sent_email__v/VBL00000002R305", "SE-001434802")</f>
        <v>SE-001434802</v>
      </c>
      <c r="F7106" s="23">
        <v>46182.409421296295</v>
      </c>
      <c r="G7106" s="24">
        <v>1</v>
      </c>
      <c r="H7106" s="24">
        <v>1</v>
      </c>
      <c r="I7106" s="24">
        <v>0</v>
      </c>
      <c r="J7106" s="25"/>
      <c r="K7106" s="24">
        <v>0</v>
      </c>
      <c r="L7106" s="22" t="str">
        <f>HYPERLINK("https://otsuka-europe-crm.veevavault.com/ui/#object/approved_document__v/V5O00000001A037", "LUP - VAE Póster Adelphi - Nefro")</f>
        <v>LUP - VAE Póster Adelphi - Nefro</v>
      </c>
      <c r="M7106" s="22" t="str">
        <f>HYPERLINK("mailto:idiez@crm.otsuka-europe.com", "idiez@crm.otsuka-europe.com")</f>
        <v>idiez@crm.otsuka-europe.com</v>
      </c>
      <c r="N7106" s="23">
        <v>46182.408321759256</v>
      </c>
      <c r="O7106" s="14" t="str">
        <f>HYPERLINK("https://otsuka-europe-crm.veevavault.com/ui/#object/email_activity__v/V8C00000003R523", "EN-002092721")</f>
        <v>EN-002092721</v>
      </c>
    </row>
    <row r="7107" spans="1:15" ht="16" x14ac:dyDescent="0.2">
      <c r="A7107" s="19"/>
      <c r="B7107" s="19"/>
      <c r="C7107" s="19"/>
      <c r="D7107" s="19"/>
      <c r="E7107" s="19"/>
      <c r="F7107" s="19"/>
      <c r="G7107" s="19"/>
      <c r="H7107" s="19"/>
      <c r="I7107" s="19"/>
      <c r="J7107" s="19"/>
      <c r="K7107" s="19"/>
      <c r="L7107" s="19"/>
      <c r="M7107" s="19"/>
      <c r="N7107" s="19"/>
      <c r="O7107" s="14" t="str">
        <f>HYPERLINK("https://otsuka-europe-crm.veevavault.com/ui/#object/email_activity__v/V8C00000003R542", "EN-002092742")</f>
        <v>EN-002092742</v>
      </c>
    </row>
    <row r="7108" spans="1:15" ht="16" x14ac:dyDescent="0.2">
      <c r="A7108" s="17" t="str">
        <f>HYPERLINK("https://otsuka-europe-crm.veevavault.com/ui/#object/account__v/V4TZ06G6O71T7UZ", "GUADALUPE RODRIGUEZ PORTELA")</f>
        <v>GUADALUPE RODRIGUEZ PORTELA</v>
      </c>
      <c r="B7108" s="17" t="str">
        <f>HYPERLINK("https://otsuka-europe-crm.veevavault.com/ui/#object/vcountry__v/VENZ000004SONF5", "ES")</f>
        <v>ES</v>
      </c>
      <c r="C7108" s="20" t="s">
        <v>41</v>
      </c>
      <c r="D7108" s="21" t="str">
        <f>HYPERLINK("https://otsuka-europe-crm.veevavault.com/ui/#object/approved_document__v/V5O00000001A037", "LUP - VAE Póster Adelphi - Nefro")</f>
        <v>LUP - VAE Póster Adelphi - Nefro</v>
      </c>
      <c r="E7108" s="22" t="str">
        <f>HYPERLINK("https://otsuka-europe-crm.veevavault.com/ui/#object/sent_email__v/VBL00000002R306", "SE-001434803")</f>
        <v>SE-001434803</v>
      </c>
      <c r="F7108" s="23">
        <v>46182.598344907405</v>
      </c>
      <c r="G7108" s="24">
        <v>1</v>
      </c>
      <c r="H7108" s="24">
        <v>1</v>
      </c>
      <c r="I7108" s="24">
        <v>1</v>
      </c>
      <c r="J7108" s="23">
        <v>46189.79488425926</v>
      </c>
      <c r="K7108" s="24">
        <v>2</v>
      </c>
      <c r="L7108" s="22" t="str">
        <f>HYPERLINK("https://otsuka-europe-crm.veevavault.com/ui/#object/approved_document__v/V5O00000001A037", "LUP - VAE Póster Adelphi - Nefro")</f>
        <v>LUP - VAE Póster Adelphi - Nefro</v>
      </c>
      <c r="M7108" s="22" t="str">
        <f>HYPERLINK("mailto:idiez@crm.otsuka-europe.com", "idiez@crm.otsuka-europe.com")</f>
        <v>idiez@crm.otsuka-europe.com</v>
      </c>
      <c r="N7108" s="23">
        <v>46182.408321759256</v>
      </c>
      <c r="O7108" s="14" t="str">
        <f>HYPERLINK("https://otsuka-europe-crm.veevavault.com/ui/#object/email_activity__v/V8C00000003R507", "EN-002092706")</f>
        <v>EN-002092706</v>
      </c>
    </row>
    <row r="7109" spans="1:15" ht="16" x14ac:dyDescent="0.2">
      <c r="A7109" s="18"/>
      <c r="B7109" s="18"/>
      <c r="C7109" s="18"/>
      <c r="D7109" s="18"/>
      <c r="E7109" s="18"/>
      <c r="F7109" s="18"/>
      <c r="G7109" s="18"/>
      <c r="H7109" s="18"/>
      <c r="I7109" s="18"/>
      <c r="J7109" s="18"/>
      <c r="K7109" s="18"/>
      <c r="L7109" s="18"/>
      <c r="M7109" s="18"/>
      <c r="N7109" s="18"/>
      <c r="O7109" s="14" t="str">
        <f>HYPERLINK("https://otsuka-europe-crm.veevavault.com/ui/#object/email_activity__v/V8C00000003R670", "EN-002092980")</f>
        <v>EN-002092980</v>
      </c>
    </row>
    <row r="7110" spans="1:15" ht="16" x14ac:dyDescent="0.2">
      <c r="A7110" s="18"/>
      <c r="B7110" s="18"/>
      <c r="C7110" s="18"/>
      <c r="D7110" s="18"/>
      <c r="E7110" s="18"/>
      <c r="F7110" s="18"/>
      <c r="G7110" s="18"/>
      <c r="H7110" s="18"/>
      <c r="I7110" s="18"/>
      <c r="J7110" s="18"/>
      <c r="K7110" s="18"/>
      <c r="L7110" s="18"/>
      <c r="M7110" s="18"/>
      <c r="N7110" s="18"/>
      <c r="O7110" s="14" t="str">
        <f>HYPERLINK("https://otsuka-europe-crm.veevavault.com/ui/#object/email_activity__v/V8C00000003R671", "EN-002092982")</f>
        <v>EN-002092982</v>
      </c>
    </row>
    <row r="7111" spans="1:15" ht="16" x14ac:dyDescent="0.2">
      <c r="A7111" s="18"/>
      <c r="B7111" s="18"/>
      <c r="C7111" s="18"/>
      <c r="D7111" s="18"/>
      <c r="E7111" s="18"/>
      <c r="F7111" s="18"/>
      <c r="G7111" s="18"/>
      <c r="H7111" s="18"/>
      <c r="I7111" s="18"/>
      <c r="J7111" s="18"/>
      <c r="K7111" s="18"/>
      <c r="L7111" s="18"/>
      <c r="M7111" s="18"/>
      <c r="N7111" s="18"/>
      <c r="O7111" s="14" t="str">
        <f>HYPERLINK("https://otsuka-europe-crm.veevavault.com/ui/#object/email_activity__v/V8C00000003R771", "EN-002093134")</f>
        <v>EN-002093134</v>
      </c>
    </row>
    <row r="7112" spans="1:15" ht="16" x14ac:dyDescent="0.2">
      <c r="A7112" s="18"/>
      <c r="B7112" s="18"/>
      <c r="C7112" s="18"/>
      <c r="D7112" s="18"/>
      <c r="E7112" s="18"/>
      <c r="F7112" s="18"/>
      <c r="G7112" s="18"/>
      <c r="H7112" s="18"/>
      <c r="I7112" s="18"/>
      <c r="J7112" s="18"/>
      <c r="K7112" s="18"/>
      <c r="L7112" s="18"/>
      <c r="M7112" s="18"/>
      <c r="N7112" s="18"/>
      <c r="O7112" s="14" t="str">
        <f>HYPERLINK("https://otsuka-europe-crm.veevavault.com/ui/#object/email_activity__v/V8C00000003R774", "EN-002093137")</f>
        <v>EN-002093137</v>
      </c>
    </row>
    <row r="7113" spans="1:15" ht="16" x14ac:dyDescent="0.2">
      <c r="A7113" s="18"/>
      <c r="B7113" s="18"/>
      <c r="C7113" s="18"/>
      <c r="D7113" s="18"/>
      <c r="E7113" s="18"/>
      <c r="F7113" s="18"/>
      <c r="G7113" s="18"/>
      <c r="H7113" s="18"/>
      <c r="I7113" s="18"/>
      <c r="J7113" s="18"/>
      <c r="K7113" s="18"/>
      <c r="L7113" s="18"/>
      <c r="M7113" s="18"/>
      <c r="N7113" s="18"/>
      <c r="O7113" s="14" t="str">
        <f>HYPERLINK("https://otsuka-europe-crm.veevavault.com/ui/#object/email_activity__v/V8C00000003R778", "EN-002093141")</f>
        <v>EN-002093141</v>
      </c>
    </row>
    <row r="7114" spans="1:15" ht="16" x14ac:dyDescent="0.2">
      <c r="A7114" s="18"/>
      <c r="B7114" s="18"/>
      <c r="C7114" s="18"/>
      <c r="D7114" s="18"/>
      <c r="E7114" s="18"/>
      <c r="F7114" s="18"/>
      <c r="G7114" s="18"/>
      <c r="H7114" s="18"/>
      <c r="I7114" s="18"/>
      <c r="J7114" s="18"/>
      <c r="K7114" s="18"/>
      <c r="L7114" s="18"/>
      <c r="M7114" s="18"/>
      <c r="N7114" s="18"/>
      <c r="O7114" s="14" t="str">
        <f>HYPERLINK("https://otsuka-europe-crm.veevavault.com/ui/#object/email_activity__v/V8C00000003X207", "EN-002097309")</f>
        <v>EN-002097309</v>
      </c>
    </row>
    <row r="7115" spans="1:15" ht="16" x14ac:dyDescent="0.2">
      <c r="A7115" s="19"/>
      <c r="B7115" s="19"/>
      <c r="C7115" s="19"/>
      <c r="D7115" s="19"/>
      <c r="E7115" s="19"/>
      <c r="F7115" s="19"/>
      <c r="G7115" s="19"/>
      <c r="H7115" s="19"/>
      <c r="I7115" s="19"/>
      <c r="J7115" s="19"/>
      <c r="K7115" s="19"/>
      <c r="L7115" s="19"/>
      <c r="M7115" s="19"/>
      <c r="N7115" s="19"/>
      <c r="O7115" s="14" t="str">
        <f>HYPERLINK("https://otsuka-europe-crm.veevavault.com/ui/#object/email_activity__v/V8C00000003X208", "EN-002097310")</f>
        <v>EN-002097310</v>
      </c>
    </row>
    <row r="7116" spans="1:15" ht="32" x14ac:dyDescent="0.2">
      <c r="A7116" s="7" t="str">
        <f>HYPERLINK("https://otsuka-europe-crm.veevavault.com/ui/#object/account__v/V4TZ06G6O71TA0J", "ALICIA GARCIA PEREZ")</f>
        <v>ALICIA GARCIA PEREZ</v>
      </c>
      <c r="B7116" s="7" t="str">
        <f>HYPERLINK("https://otsuka-europe-crm.veevavault.com/ui/#object/vcountry__v/VENZ000004SONF5", "ES")</f>
        <v>ES</v>
      </c>
      <c r="C7116" s="8" t="s">
        <v>41</v>
      </c>
      <c r="D7116" s="9" t="str">
        <f>HYPERLINK("https://otsuka-europe-crm.veevavault.com/ui/#object/approved_document__v/V5O00000001A037", "LUP - VAE Póster Adelphi - Nefro")</f>
        <v>LUP - VAE Póster Adelphi - Nefro</v>
      </c>
      <c r="E7116" s="10" t="str">
        <f>HYPERLINK("https://otsuka-europe-crm.veevavault.com/ui/#object/sent_email__v/VBL00000002R307", "SE-001434804")</f>
        <v>SE-001434804</v>
      </c>
      <c r="F7116" s="11"/>
      <c r="G7116" s="12">
        <v>0</v>
      </c>
      <c r="H7116" s="12">
        <v>0</v>
      </c>
      <c r="I7116" s="12">
        <v>0</v>
      </c>
      <c r="J7116" s="11"/>
      <c r="K7116" s="12">
        <v>0</v>
      </c>
      <c r="L7116" s="10" t="str">
        <f>HYPERLINK("https://otsuka-europe-crm.veevavault.com/ui/#object/approved_document__v/V5O00000001A037", "LUP - VAE Póster Adelphi - Nefro")</f>
        <v>LUP - VAE Póster Adelphi - Nefro</v>
      </c>
      <c r="M7116" s="10" t="str">
        <f>HYPERLINK("mailto:idiez@crm.otsuka-europe.com", "idiez@crm.otsuka-europe.com")</f>
        <v>idiez@crm.otsuka-europe.com</v>
      </c>
      <c r="N7116" s="13">
        <v>46182.408321759256</v>
      </c>
      <c r="O7116" s="14" t="str">
        <f>HYPERLINK("https://otsuka-europe-crm.veevavault.com/ui/#object/email_activity__v/V8C00000003R530", "EN-002092728")</f>
        <v>EN-002092728</v>
      </c>
    </row>
    <row r="7117" spans="1:15" ht="16" x14ac:dyDescent="0.2">
      <c r="A7117" s="17" t="str">
        <f>HYPERLINK("https://otsuka-europe-crm.veevavault.com/ui/#object/account__v/V4TZ06G6O71T8T5", "DIEGO BARBIERI MERLO")</f>
        <v>DIEGO BARBIERI MERLO</v>
      </c>
      <c r="B7117" s="17" t="str">
        <f>HYPERLINK("https://otsuka-europe-crm.veevavault.com/ui/#object/vcountry__v/VENZ000004SONF5", "ES")</f>
        <v>ES</v>
      </c>
      <c r="C7117" s="20" t="s">
        <v>41</v>
      </c>
      <c r="D7117" s="21" t="str">
        <f>HYPERLINK("https://otsuka-europe-crm.veevavault.com/ui/#object/approved_document__v/V5O00000001A037", "LUP - VAE Póster Adelphi - Nefro")</f>
        <v>LUP - VAE Póster Adelphi - Nefro</v>
      </c>
      <c r="E7117" s="22" t="str">
        <f>HYPERLINK("https://otsuka-europe-crm.veevavault.com/ui/#object/sent_email__v/VBL00000002R308", "SE-001434805")</f>
        <v>SE-001434805</v>
      </c>
      <c r="F7117" s="23">
        <v>46182.442094907405</v>
      </c>
      <c r="G7117" s="24">
        <v>1</v>
      </c>
      <c r="H7117" s="24">
        <v>1</v>
      </c>
      <c r="I7117" s="24">
        <v>0</v>
      </c>
      <c r="J7117" s="25"/>
      <c r="K7117" s="24">
        <v>0</v>
      </c>
      <c r="L7117" s="22" t="str">
        <f>HYPERLINK("https://otsuka-europe-crm.veevavault.com/ui/#object/approved_document__v/V5O00000001A037", "LUP - VAE Póster Adelphi - Nefro")</f>
        <v>LUP - VAE Póster Adelphi - Nefro</v>
      </c>
      <c r="M7117" s="22" t="str">
        <f>HYPERLINK("mailto:idiez@crm.otsuka-europe.com", "idiez@crm.otsuka-europe.com")</f>
        <v>idiez@crm.otsuka-europe.com</v>
      </c>
      <c r="N7117" s="23">
        <v>46182.408321759256</v>
      </c>
      <c r="O7117" s="14" t="str">
        <f>HYPERLINK("https://otsuka-europe-crm.veevavault.com/ui/#object/email_activity__v/V8C00000003R524", "EN-002092722")</f>
        <v>EN-002092722</v>
      </c>
    </row>
    <row r="7118" spans="1:15" ht="16" x14ac:dyDescent="0.2">
      <c r="A7118" s="19"/>
      <c r="B7118" s="19"/>
      <c r="C7118" s="19"/>
      <c r="D7118" s="19"/>
      <c r="E7118" s="19"/>
      <c r="F7118" s="19"/>
      <c r="G7118" s="19"/>
      <c r="H7118" s="19"/>
      <c r="I7118" s="19"/>
      <c r="J7118" s="19"/>
      <c r="K7118" s="19"/>
      <c r="L7118" s="19"/>
      <c r="M7118" s="19"/>
      <c r="N7118" s="19"/>
      <c r="O7118" s="14" t="str">
        <f>HYPERLINK("https://otsuka-europe-crm.veevavault.com/ui/#object/email_activity__v/V8C00000003R578", "EN-002092812")</f>
        <v>EN-002092812</v>
      </c>
    </row>
    <row r="7119" spans="1:15" ht="16" x14ac:dyDescent="0.2">
      <c r="A7119" s="17" t="str">
        <f>HYPERLINK("https://otsuka-europe-crm.veevavault.com/ui/#object/account__v/V4TZ04ASGB4URBB", "ARMANDO COCA ROJO")</f>
        <v>ARMANDO COCA ROJO</v>
      </c>
      <c r="B7119" s="17" t="str">
        <f>HYPERLINK("https://otsuka-europe-crm.veevavault.com/ui/#object/vcountry__v/VENZ000004SONF5", "ES")</f>
        <v>ES</v>
      </c>
      <c r="C7119" s="20" t="s">
        <v>41</v>
      </c>
      <c r="D7119" s="21" t="str">
        <f>HYPERLINK("https://otsuka-europe-crm.veevavault.com/ui/#object/approved_document__v/V5O00000001A037", "LUP - VAE Póster Adelphi - Nefro")</f>
        <v>LUP - VAE Póster Adelphi - Nefro</v>
      </c>
      <c r="E7119" s="22" t="str">
        <f>HYPERLINK("https://otsuka-europe-crm.veevavault.com/ui/#object/sent_email__v/VBL00000002R309", "SE-001434806")</f>
        <v>SE-001434806</v>
      </c>
      <c r="F7119" s="23">
        <v>46182.624988425923</v>
      </c>
      <c r="G7119" s="24">
        <v>1</v>
      </c>
      <c r="H7119" s="24">
        <v>1</v>
      </c>
      <c r="I7119" s="24">
        <v>0</v>
      </c>
      <c r="J7119" s="25"/>
      <c r="K7119" s="24">
        <v>0</v>
      </c>
      <c r="L7119" s="22" t="str">
        <f>HYPERLINK("https://otsuka-europe-crm.veevavault.com/ui/#object/approved_document__v/V5O00000001A037", "LUP - VAE Póster Adelphi - Nefro")</f>
        <v>LUP - VAE Póster Adelphi - Nefro</v>
      </c>
      <c r="M7119" s="22" t="str">
        <f>HYPERLINK("mailto:idiez@crm.otsuka-europe.com", "idiez@crm.otsuka-europe.com")</f>
        <v>idiez@crm.otsuka-europe.com</v>
      </c>
      <c r="N7119" s="23">
        <v>46182.408321759256</v>
      </c>
      <c r="O7119" s="14" t="str">
        <f>HYPERLINK("https://otsuka-europe-crm.veevavault.com/ui/#object/email_activity__v/V8C00000003R513", "EN-002092711")</f>
        <v>EN-002092711</v>
      </c>
    </row>
    <row r="7120" spans="1:15" ht="16" x14ac:dyDescent="0.2">
      <c r="A7120" s="19"/>
      <c r="B7120" s="19"/>
      <c r="C7120" s="19"/>
      <c r="D7120" s="19"/>
      <c r="E7120" s="19"/>
      <c r="F7120" s="19"/>
      <c r="G7120" s="19"/>
      <c r="H7120" s="19"/>
      <c r="I7120" s="19"/>
      <c r="J7120" s="19"/>
      <c r="K7120" s="19"/>
      <c r="L7120" s="19"/>
      <c r="M7120" s="19"/>
      <c r="N7120" s="19"/>
      <c r="O7120" s="14" t="str">
        <f>HYPERLINK("https://otsuka-europe-crm.veevavault.com/ui/#object/email_activity__v/V8C00000003R759", "EN-002093116")</f>
        <v>EN-002093116</v>
      </c>
    </row>
    <row r="7121" spans="1:15" ht="16" x14ac:dyDescent="0.2">
      <c r="A7121" s="17" t="str">
        <f>HYPERLINK("https://otsuka-europe-crm.veevavault.com/ui/#object/account__v/V4TZ06G6O71T7W2", "ELENA MONFA GUIX")</f>
        <v>ELENA MONFA GUIX</v>
      </c>
      <c r="B7121" s="17" t="str">
        <f>HYPERLINK("https://otsuka-europe-crm.veevavault.com/ui/#object/vcountry__v/VENZ000004SONF5", "ES")</f>
        <v>ES</v>
      </c>
      <c r="C7121" s="20" t="s">
        <v>41</v>
      </c>
      <c r="D7121" s="21" t="str">
        <f>HYPERLINK("https://otsuka-europe-crm.veevavault.com/ui/#object/approved_document__v/V5O00000001A037", "LUP - VAE Póster Adelphi - Nefro")</f>
        <v>LUP - VAE Póster Adelphi - Nefro</v>
      </c>
      <c r="E7121" s="22" t="str">
        <f>HYPERLINK("https://otsuka-europe-crm.veevavault.com/ui/#object/sent_email__v/VBL00000002R310", "SE-001434807")</f>
        <v>SE-001434807</v>
      </c>
      <c r="F7121" s="23">
        <v>46182.459479166668</v>
      </c>
      <c r="G7121" s="24">
        <v>1</v>
      </c>
      <c r="H7121" s="24">
        <v>1</v>
      </c>
      <c r="I7121" s="24">
        <v>1</v>
      </c>
      <c r="J7121" s="23">
        <v>46182.459479166668</v>
      </c>
      <c r="K7121" s="24">
        <v>1</v>
      </c>
      <c r="L7121" s="22" t="str">
        <f>HYPERLINK("https://otsuka-europe-crm.veevavault.com/ui/#object/approved_document__v/V5O00000001A037", "LUP - VAE Póster Adelphi - Nefro")</f>
        <v>LUP - VAE Póster Adelphi - Nefro</v>
      </c>
      <c r="M7121" s="22" t="str">
        <f>HYPERLINK("mailto:idiez@crm.otsuka-europe.com", "idiez@crm.otsuka-europe.com")</f>
        <v>idiez@crm.otsuka-europe.com</v>
      </c>
      <c r="N7121" s="23">
        <v>46182.408321759256</v>
      </c>
      <c r="O7121" s="14" t="str">
        <f>HYPERLINK("https://otsuka-europe-crm.veevavault.com/ui/#object/email_activity__v/V8C00000003R529", "EN-002092727")</f>
        <v>EN-002092727</v>
      </c>
    </row>
    <row r="7122" spans="1:15" ht="16" x14ac:dyDescent="0.2">
      <c r="A7122" s="18"/>
      <c r="B7122" s="18"/>
      <c r="C7122" s="18"/>
      <c r="D7122" s="18"/>
      <c r="E7122" s="18"/>
      <c r="F7122" s="18"/>
      <c r="G7122" s="18"/>
      <c r="H7122" s="18"/>
      <c r="I7122" s="18"/>
      <c r="J7122" s="18"/>
      <c r="K7122" s="18"/>
      <c r="L7122" s="18"/>
      <c r="M7122" s="18"/>
      <c r="N7122" s="18"/>
      <c r="O7122" s="14" t="str">
        <f>HYPERLINK("https://otsuka-europe-crm.veevavault.com/ui/#object/email_activity__v/V8C00000003R593", "EN-002092837")</f>
        <v>EN-002092837</v>
      </c>
    </row>
    <row r="7123" spans="1:15" ht="16" x14ac:dyDescent="0.2">
      <c r="A7123" s="18"/>
      <c r="B7123" s="18"/>
      <c r="C7123" s="18"/>
      <c r="D7123" s="18"/>
      <c r="E7123" s="18"/>
      <c r="F7123" s="18"/>
      <c r="G7123" s="18"/>
      <c r="H7123" s="18"/>
      <c r="I7123" s="18"/>
      <c r="J7123" s="18"/>
      <c r="K7123" s="18"/>
      <c r="L7123" s="18"/>
      <c r="M7123" s="18"/>
      <c r="N7123" s="18"/>
      <c r="O7123" s="14" t="str">
        <f>HYPERLINK("https://otsuka-europe-crm.veevavault.com/ui/#object/email_activity__v/V8C00000003R594", "EN-002092836")</f>
        <v>EN-002092836</v>
      </c>
    </row>
    <row r="7124" spans="1:15" ht="16" x14ac:dyDescent="0.2">
      <c r="A7124" s="18"/>
      <c r="B7124" s="18"/>
      <c r="C7124" s="18"/>
      <c r="D7124" s="18"/>
      <c r="E7124" s="18"/>
      <c r="F7124" s="18"/>
      <c r="G7124" s="18"/>
      <c r="H7124" s="18"/>
      <c r="I7124" s="18"/>
      <c r="J7124" s="18"/>
      <c r="K7124" s="18"/>
      <c r="L7124" s="18"/>
      <c r="M7124" s="18"/>
      <c r="N7124" s="18"/>
      <c r="O7124" s="14" t="str">
        <f>HYPERLINK("https://otsuka-europe-crm.veevavault.com/ui/#object/email_activity__v/V8C00000003R599", "EN-002092845")</f>
        <v>EN-002092845</v>
      </c>
    </row>
    <row r="7125" spans="1:15" ht="16" x14ac:dyDescent="0.2">
      <c r="A7125" s="18"/>
      <c r="B7125" s="18"/>
      <c r="C7125" s="18"/>
      <c r="D7125" s="18"/>
      <c r="E7125" s="18"/>
      <c r="F7125" s="18"/>
      <c r="G7125" s="18"/>
      <c r="H7125" s="18"/>
      <c r="I7125" s="18"/>
      <c r="J7125" s="18"/>
      <c r="K7125" s="18"/>
      <c r="L7125" s="18"/>
      <c r="M7125" s="18"/>
      <c r="N7125" s="18"/>
      <c r="O7125" s="14" t="str">
        <f>HYPERLINK("https://otsuka-europe-crm.veevavault.com/ui/#object/email_activity__v/V8C00000003R600", "EN-002092846")</f>
        <v>EN-002092846</v>
      </c>
    </row>
    <row r="7126" spans="1:15" ht="16" x14ac:dyDescent="0.2">
      <c r="A7126" s="19"/>
      <c r="B7126" s="19"/>
      <c r="C7126" s="19"/>
      <c r="D7126" s="19"/>
      <c r="E7126" s="19"/>
      <c r="F7126" s="19"/>
      <c r="G7126" s="19"/>
      <c r="H7126" s="19"/>
      <c r="I7126" s="19"/>
      <c r="J7126" s="19"/>
      <c r="K7126" s="19"/>
      <c r="L7126" s="19"/>
      <c r="M7126" s="19"/>
      <c r="N7126" s="19"/>
      <c r="O7126" s="14" t="str">
        <f>HYPERLINK("https://otsuka-europe-crm.veevavault.com/ui/#object/email_activity__v/V8C00000003R601", "EN-002092847")</f>
        <v>EN-002092847</v>
      </c>
    </row>
    <row r="7127" spans="1:15" ht="16" x14ac:dyDescent="0.2">
      <c r="A7127" s="17" t="str">
        <f>HYPERLINK("https://otsuka-europe-crm.veevavault.com/ui/#object/account__v/V4TZ06G6OB3YW8J", "CARMEN CALDERON GONZALEZ")</f>
        <v>CARMEN CALDERON GONZALEZ</v>
      </c>
      <c r="B7127" s="17" t="str">
        <f>HYPERLINK("https://otsuka-europe-crm.veevavault.com/ui/#object/vcountry__v/VENZ000004SONF5", "ES")</f>
        <v>ES</v>
      </c>
      <c r="C7127" s="20" t="s">
        <v>41</v>
      </c>
      <c r="D7127" s="21" t="str">
        <f>HYPERLINK("https://otsuka-europe-crm.veevavault.com/ui/#object/approved_document__v/V5O00000001A037", "LUP - VAE Póster Adelphi - Nefro")</f>
        <v>LUP - VAE Póster Adelphi - Nefro</v>
      </c>
      <c r="E7127" s="22" t="str">
        <f>HYPERLINK("https://otsuka-europe-crm.veevavault.com/ui/#object/sent_email__v/VBL00000002R311", "SE-001434808")</f>
        <v>SE-001434808</v>
      </c>
      <c r="F7127" s="25"/>
      <c r="G7127" s="24">
        <v>0</v>
      </c>
      <c r="H7127" s="24">
        <v>0</v>
      </c>
      <c r="I7127" s="24">
        <v>0</v>
      </c>
      <c r="J7127" s="25"/>
      <c r="K7127" s="24">
        <v>0</v>
      </c>
      <c r="L7127" s="22" t="str">
        <f>HYPERLINK("https://otsuka-europe-crm.veevavault.com/ui/#object/approved_document__v/V5O00000001A037", "LUP - VAE Póster Adelphi - Nefro")</f>
        <v>LUP - VAE Póster Adelphi - Nefro</v>
      </c>
      <c r="M7127" s="22" t="str">
        <f>HYPERLINK("mailto:idiez@crm.otsuka-europe.com", "idiez@crm.otsuka-europe.com")</f>
        <v>idiez@crm.otsuka-europe.com</v>
      </c>
      <c r="N7127" s="23">
        <v>46182.408321759256</v>
      </c>
      <c r="O7127" s="14" t="str">
        <f>HYPERLINK("https://otsuka-europe-crm.veevavault.com/ui/#object/email_activity__v/V8C00000003R520", "EN-002092718")</f>
        <v>EN-002092718</v>
      </c>
    </row>
    <row r="7128" spans="1:15" ht="16" x14ac:dyDescent="0.2">
      <c r="A7128" s="19"/>
      <c r="B7128" s="19"/>
      <c r="C7128" s="19"/>
      <c r="D7128" s="19"/>
      <c r="E7128" s="19"/>
      <c r="F7128" s="19"/>
      <c r="G7128" s="19"/>
      <c r="H7128" s="19"/>
      <c r="I7128" s="19"/>
      <c r="J7128" s="19"/>
      <c r="K7128" s="19"/>
      <c r="L7128" s="19"/>
      <c r="M7128" s="19"/>
      <c r="N7128" s="19"/>
      <c r="O7128" s="14" t="str">
        <f>HYPERLINK("https://otsuka-europe-crm.veevavault.com/ui/#object/email_activity__v/V8C00000003S173", "EN-002093226")</f>
        <v>EN-002093226</v>
      </c>
    </row>
    <row r="7129" spans="1:15" ht="32" x14ac:dyDescent="0.2">
      <c r="A7129" s="7" t="str">
        <f>HYPERLINK("https://otsuka-europe-crm.veevavault.com/ui/#object/account__v/V4TZ04ASGGCGCVC", "ANA LUCIA VALENCIA PELAEZ")</f>
        <v>ANA LUCIA VALENCIA PELAEZ</v>
      </c>
      <c r="B7129" s="7" t="str">
        <f>HYPERLINK("https://otsuka-europe-crm.veevavault.com/ui/#object/vcountry__v/VENZ000004SONF5", "ES")</f>
        <v>ES</v>
      </c>
      <c r="C7129" s="8" t="s">
        <v>41</v>
      </c>
      <c r="D7129" s="9" t="str">
        <f>HYPERLINK("https://otsuka-europe-crm.veevavault.com/ui/#object/approved_document__v/V5O00000001A037", "LUP - VAE Póster Adelphi - Nefro")</f>
        <v>LUP - VAE Póster Adelphi - Nefro</v>
      </c>
      <c r="E7129" s="10" t="str">
        <f>HYPERLINK("https://otsuka-europe-crm.veevavault.com/ui/#object/sent_email__v/VBL00000002R312", "SE-001434809")</f>
        <v>SE-001434809</v>
      </c>
      <c r="F7129" s="11"/>
      <c r="G7129" s="12">
        <v>0</v>
      </c>
      <c r="H7129" s="12">
        <v>0</v>
      </c>
      <c r="I7129" s="12">
        <v>0</v>
      </c>
      <c r="J7129" s="11"/>
      <c r="K7129" s="12">
        <v>0</v>
      </c>
      <c r="L7129" s="10" t="str">
        <f>HYPERLINK("https://otsuka-europe-crm.veevavault.com/ui/#object/approved_document__v/V5O00000001A037", "LUP - VAE Póster Adelphi - Nefro")</f>
        <v>LUP - VAE Póster Adelphi - Nefro</v>
      </c>
      <c r="M7129" s="10" t="str">
        <f>HYPERLINK("mailto:idiez@crm.otsuka-europe.com", "idiez@crm.otsuka-europe.com")</f>
        <v>idiez@crm.otsuka-europe.com</v>
      </c>
      <c r="N7129" s="13">
        <v>46182.408321759256</v>
      </c>
      <c r="O7129" s="14" t="str">
        <f>HYPERLINK("https://otsuka-europe-crm.veevavault.com/ui/#object/email_activity__v/V8C00000003R504", "EN-002092703")</f>
        <v>EN-002092703</v>
      </c>
    </row>
    <row r="7130" spans="1:15" ht="32" x14ac:dyDescent="0.2">
      <c r="A7130" s="7" t="str">
        <f>HYPERLINK("https://otsuka-europe-crm.veevavault.com/ui/#object/account__v/V4TZ06G6O71T8CW", "FABIO LUCA PROCACCINI")</f>
        <v>FABIO LUCA PROCACCINI</v>
      </c>
      <c r="B7130" s="7" t="str">
        <f>HYPERLINK("https://otsuka-europe-crm.veevavault.com/ui/#object/vcountry__v/VENZ000004SONF5", "ES")</f>
        <v>ES</v>
      </c>
      <c r="C7130" s="8" t="s">
        <v>41</v>
      </c>
      <c r="D7130" s="9" t="str">
        <f>HYPERLINK("https://otsuka-europe-crm.veevavault.com/ui/#object/approved_document__v/V5O00000001A037", "LUP - VAE Póster Adelphi - Nefro")</f>
        <v>LUP - VAE Póster Adelphi - Nefro</v>
      </c>
      <c r="E7130" s="10" t="str">
        <f>HYPERLINK("https://otsuka-europe-crm.veevavault.com/ui/#object/sent_email__v/VBL00000002R313", "SE-001434810")</f>
        <v>SE-001434810</v>
      </c>
      <c r="F7130" s="11"/>
      <c r="G7130" s="12">
        <v>0</v>
      </c>
      <c r="H7130" s="12">
        <v>0</v>
      </c>
      <c r="I7130" s="12">
        <v>0</v>
      </c>
      <c r="J7130" s="11"/>
      <c r="K7130" s="12">
        <v>0</v>
      </c>
      <c r="L7130" s="10" t="str">
        <f>HYPERLINK("https://otsuka-europe-crm.veevavault.com/ui/#object/approved_document__v/V5O00000001A037", "LUP - VAE Póster Adelphi - Nefro")</f>
        <v>LUP - VAE Póster Adelphi - Nefro</v>
      </c>
      <c r="M7130" s="10" t="str">
        <f>HYPERLINK("mailto:idiez@crm.otsuka-europe.com", "idiez@crm.otsuka-europe.com")</f>
        <v>idiez@crm.otsuka-europe.com</v>
      </c>
      <c r="N7130" s="13">
        <v>46182.408321759256</v>
      </c>
      <c r="O7130" s="14" t="str">
        <f>HYPERLINK("https://otsuka-europe-crm.veevavault.com/ui/#object/email_activity__v/V8C00000003R497", "EN-002092695")</f>
        <v>EN-002092695</v>
      </c>
    </row>
    <row r="7131" spans="1:15" ht="16" x14ac:dyDescent="0.2">
      <c r="A7131" s="17" t="str">
        <f>HYPERLINK("https://otsuka-europe-crm.veevavault.com/ui/#object/account__v/V4TZ06G6O71T8TH", "DANAY ARELI TICONA ESPINOZA")</f>
        <v>DANAY ARELI TICONA ESPINOZA</v>
      </c>
      <c r="B7131" s="17" t="str">
        <f>HYPERLINK("https://otsuka-europe-crm.veevavault.com/ui/#object/vcountry__v/VENZ000004SONF5", "ES")</f>
        <v>ES</v>
      </c>
      <c r="C7131" s="20" t="s">
        <v>41</v>
      </c>
      <c r="D7131" s="21" t="str">
        <f>HYPERLINK("https://otsuka-europe-crm.veevavault.com/ui/#object/approved_document__v/V5O00000001A037", "LUP - VAE Póster Adelphi - Nefro")</f>
        <v>LUP - VAE Póster Adelphi - Nefro</v>
      </c>
      <c r="E7131" s="22" t="str">
        <f>HYPERLINK("https://otsuka-europe-crm.veevavault.com/ui/#object/sent_email__v/VBL00000002R314", "SE-001434811")</f>
        <v>SE-001434811</v>
      </c>
      <c r="F7131" s="25"/>
      <c r="G7131" s="24">
        <v>0</v>
      </c>
      <c r="H7131" s="24">
        <v>0</v>
      </c>
      <c r="I7131" s="24">
        <v>0</v>
      </c>
      <c r="J7131" s="25"/>
      <c r="K7131" s="24">
        <v>0</v>
      </c>
      <c r="L7131" s="22" t="str">
        <f>HYPERLINK("https://otsuka-europe-crm.veevavault.com/ui/#object/approved_document__v/V5O00000001A037", "LUP - VAE Póster Adelphi - Nefro")</f>
        <v>LUP - VAE Póster Adelphi - Nefro</v>
      </c>
      <c r="M7131" s="22" t="str">
        <f>HYPERLINK("mailto:idiez@crm.otsuka-europe.com", "idiez@crm.otsuka-europe.com")</f>
        <v>idiez@crm.otsuka-europe.com</v>
      </c>
      <c r="N7131" s="23">
        <v>46182.408321759256</v>
      </c>
      <c r="O7131" s="14" t="str">
        <f>HYPERLINK("https://otsuka-europe-crm.veevavault.com/ui/#object/email_activity__v/V8C00000003R535", "EN-002092733")</f>
        <v>EN-002092733</v>
      </c>
    </row>
    <row r="7132" spans="1:15" ht="16" x14ac:dyDescent="0.2">
      <c r="A7132" s="19"/>
      <c r="B7132" s="19"/>
      <c r="C7132" s="19"/>
      <c r="D7132" s="19"/>
      <c r="E7132" s="19"/>
      <c r="F7132" s="19"/>
      <c r="G7132" s="19"/>
      <c r="H7132" s="19"/>
      <c r="I7132" s="19"/>
      <c r="J7132" s="19"/>
      <c r="K7132" s="19"/>
      <c r="L7132" s="19"/>
      <c r="M7132" s="19"/>
      <c r="N7132" s="19"/>
      <c r="O7132" s="14" t="str">
        <f>HYPERLINK("https://otsuka-europe-crm.veevavault.com/ui/#object/email_activity__v/V8C00000003S425", "EN-002093758")</f>
        <v>EN-002093758</v>
      </c>
    </row>
    <row r="7133" spans="1:15" ht="16" x14ac:dyDescent="0.2">
      <c r="A7133" s="17" t="str">
        <f>HYPERLINK("https://otsuka-europe-crm.veevavault.com/ui/#object/account__v/V4TZ06G6O71T8D2", "GILDA ALESSANDRA CARREÑO CORNEJO")</f>
        <v>GILDA ALESSANDRA CARREÑO CORNEJO</v>
      </c>
      <c r="B7133" s="17" t="str">
        <f>HYPERLINK("https://otsuka-europe-crm.veevavault.com/ui/#object/vcountry__v/VENZ000004SONF5", "ES")</f>
        <v>ES</v>
      </c>
      <c r="C7133" s="20" t="s">
        <v>41</v>
      </c>
      <c r="D7133" s="21" t="str">
        <f>HYPERLINK("https://otsuka-europe-crm.veevavault.com/ui/#object/approved_document__v/V5O00000001A037", "LUP - VAE Póster Adelphi - Nefro")</f>
        <v>LUP - VAE Póster Adelphi - Nefro</v>
      </c>
      <c r="E7133" s="22" t="str">
        <f>HYPERLINK("https://otsuka-europe-crm.veevavault.com/ui/#object/sent_email__v/VBL00000002R315", "SE-001434812")</f>
        <v>SE-001434812</v>
      </c>
      <c r="F7133" s="23">
        <v>46189.580023148148</v>
      </c>
      <c r="G7133" s="24">
        <v>1</v>
      </c>
      <c r="H7133" s="24">
        <v>2</v>
      </c>
      <c r="I7133" s="24">
        <v>0</v>
      </c>
      <c r="J7133" s="25"/>
      <c r="K7133" s="24">
        <v>0</v>
      </c>
      <c r="L7133" s="22" t="str">
        <f>HYPERLINK("https://otsuka-europe-crm.veevavault.com/ui/#object/approved_document__v/V5O00000001A037", "LUP - VAE Póster Adelphi - Nefro")</f>
        <v>LUP - VAE Póster Adelphi - Nefro</v>
      </c>
      <c r="M7133" s="22" t="str">
        <f>HYPERLINK("mailto:idiez@crm.otsuka-europe.com", "idiez@crm.otsuka-europe.com")</f>
        <v>idiez@crm.otsuka-europe.com</v>
      </c>
      <c r="N7133" s="23">
        <v>46182.408321759256</v>
      </c>
      <c r="O7133" s="14" t="str">
        <f>HYPERLINK("https://otsuka-europe-crm.veevavault.com/ui/#object/email_activity__v/V8C00000003R534", "EN-002092732")</f>
        <v>EN-002092732</v>
      </c>
    </row>
    <row r="7134" spans="1:15" ht="16" x14ac:dyDescent="0.2">
      <c r="A7134" s="18"/>
      <c r="B7134" s="18"/>
      <c r="C7134" s="18"/>
      <c r="D7134" s="18"/>
      <c r="E7134" s="18"/>
      <c r="F7134" s="18"/>
      <c r="G7134" s="18"/>
      <c r="H7134" s="18"/>
      <c r="I7134" s="18"/>
      <c r="J7134" s="18"/>
      <c r="K7134" s="18"/>
      <c r="L7134" s="18"/>
      <c r="M7134" s="18"/>
      <c r="N7134" s="18"/>
      <c r="O7134" s="14" t="str">
        <f>HYPERLINK("https://otsuka-europe-crm.veevavault.com/ui/#object/email_activity__v/V8C00000003S673", "EN-002094239")</f>
        <v>EN-002094239</v>
      </c>
    </row>
    <row r="7135" spans="1:15" ht="16" x14ac:dyDescent="0.2">
      <c r="A7135" s="19"/>
      <c r="B7135" s="19"/>
      <c r="C7135" s="19"/>
      <c r="D7135" s="19"/>
      <c r="E7135" s="19"/>
      <c r="F7135" s="19"/>
      <c r="G7135" s="19"/>
      <c r="H7135" s="19"/>
      <c r="I7135" s="19"/>
      <c r="J7135" s="19"/>
      <c r="K7135" s="19"/>
      <c r="L7135" s="19"/>
      <c r="M7135" s="19"/>
      <c r="N7135" s="19"/>
      <c r="O7135" s="14" t="str">
        <f>HYPERLINK("https://otsuka-europe-crm.veevavault.com/ui/#object/email_activity__v/V8C00000003X157", "EN-002097203")</f>
        <v>EN-002097203</v>
      </c>
    </row>
    <row r="7136" spans="1:15" ht="16" x14ac:dyDescent="0.2">
      <c r="A7136" s="17" t="str">
        <f>HYPERLINK("https://otsuka-europe-crm.veevavault.com/ui/#object/account__v/V4TZ06G6O71T8D1", "GABRIEL LEDESMA SANCHEZ")</f>
        <v>GABRIEL LEDESMA SANCHEZ</v>
      </c>
      <c r="B7136" s="17" t="str">
        <f>HYPERLINK("https://otsuka-europe-crm.veevavault.com/ui/#object/vcountry__v/VENZ000004SONF5", "ES")</f>
        <v>ES</v>
      </c>
      <c r="C7136" s="20" t="s">
        <v>41</v>
      </c>
      <c r="D7136" s="21" t="str">
        <f>HYPERLINK("https://otsuka-europe-crm.veevavault.com/ui/#object/approved_document__v/V5O00000001A037", "LUP - VAE Póster Adelphi - Nefro")</f>
        <v>LUP - VAE Póster Adelphi - Nefro</v>
      </c>
      <c r="E7136" s="22" t="str">
        <f>HYPERLINK("https://otsuka-europe-crm.veevavault.com/ui/#object/sent_email__v/VBL00000002R316", "SE-001434813")</f>
        <v>SE-001434813</v>
      </c>
      <c r="F7136" s="25"/>
      <c r="G7136" s="24">
        <v>0</v>
      </c>
      <c r="H7136" s="24">
        <v>0</v>
      </c>
      <c r="I7136" s="24">
        <v>0</v>
      </c>
      <c r="J7136" s="25"/>
      <c r="K7136" s="24">
        <v>0</v>
      </c>
      <c r="L7136" s="22" t="str">
        <f>HYPERLINK("https://otsuka-europe-crm.veevavault.com/ui/#object/approved_document__v/V5O00000001A037", "LUP - VAE Póster Adelphi - Nefro")</f>
        <v>LUP - VAE Póster Adelphi - Nefro</v>
      </c>
      <c r="M7136" s="22" t="str">
        <f>HYPERLINK("mailto:idiez@crm.otsuka-europe.com", "idiez@crm.otsuka-europe.com")</f>
        <v>idiez@crm.otsuka-europe.com</v>
      </c>
      <c r="N7136" s="23">
        <v>46182.408321759256</v>
      </c>
      <c r="O7136" s="14" t="str">
        <f>HYPERLINK("https://otsuka-europe-crm.veevavault.com/ui/#object/email_activity__v/V8C00000003R521", "EN-002092719")</f>
        <v>EN-002092719</v>
      </c>
    </row>
    <row r="7137" spans="1:15" ht="16" x14ac:dyDescent="0.2">
      <c r="A7137" s="19"/>
      <c r="B7137" s="19"/>
      <c r="C7137" s="19"/>
      <c r="D7137" s="19"/>
      <c r="E7137" s="19"/>
      <c r="F7137" s="19"/>
      <c r="G7137" s="19"/>
      <c r="H7137" s="19"/>
      <c r="I7137" s="19"/>
      <c r="J7137" s="19"/>
      <c r="K7137" s="19"/>
      <c r="L7137" s="19"/>
      <c r="M7137" s="19"/>
      <c r="N7137" s="19"/>
      <c r="O7137" s="14" t="str">
        <f>HYPERLINK("https://otsuka-europe-crm.veevavault.com/ui/#object/email_activity__v/V8C00000003U030", "EN-002094884")</f>
        <v>EN-002094884</v>
      </c>
    </row>
    <row r="7138" spans="1:15" ht="16" x14ac:dyDescent="0.2">
      <c r="A7138" s="17" t="str">
        <f>HYPERLINK("https://otsuka-europe-crm.veevavault.com/ui/#object/account__v/V4TZ06G6O71T7K5", "BORJA QUIROGA GILI")</f>
        <v>BORJA QUIROGA GILI</v>
      </c>
      <c r="B7138" s="17" t="str">
        <f>HYPERLINK("https://otsuka-europe-crm.veevavault.com/ui/#object/vcountry__v/VENZ000004SONF5", "ES")</f>
        <v>ES</v>
      </c>
      <c r="C7138" s="20" t="s">
        <v>41</v>
      </c>
      <c r="D7138" s="21" t="str">
        <f>HYPERLINK("https://otsuka-europe-crm.veevavault.com/ui/#object/approved_document__v/V5O00000001A037", "LUP - VAE Póster Adelphi - Nefro")</f>
        <v>LUP - VAE Póster Adelphi - Nefro</v>
      </c>
      <c r="E7138" s="22" t="str">
        <f>HYPERLINK("https://otsuka-europe-crm.veevavault.com/ui/#object/sent_email__v/VBL00000002R317", "SE-001434814")</f>
        <v>SE-001434814</v>
      </c>
      <c r="F7138" s="23">
        <v>46182.411666666667</v>
      </c>
      <c r="G7138" s="24">
        <v>1</v>
      </c>
      <c r="H7138" s="24">
        <v>1</v>
      </c>
      <c r="I7138" s="24">
        <v>0</v>
      </c>
      <c r="J7138" s="25"/>
      <c r="K7138" s="24">
        <v>0</v>
      </c>
      <c r="L7138" s="22" t="str">
        <f>HYPERLINK("https://otsuka-europe-crm.veevavault.com/ui/#object/approved_document__v/V5O00000001A037", "LUP - VAE Póster Adelphi - Nefro")</f>
        <v>LUP - VAE Póster Adelphi - Nefro</v>
      </c>
      <c r="M7138" s="22" t="str">
        <f>HYPERLINK("mailto:idiez@crm.otsuka-europe.com", "idiez@crm.otsuka-europe.com")</f>
        <v>idiez@crm.otsuka-europe.com</v>
      </c>
      <c r="N7138" s="23">
        <v>46182.408321759256</v>
      </c>
      <c r="O7138" s="14" t="str">
        <f>HYPERLINK("https://otsuka-europe-crm.veevavault.com/ui/#object/email_activity__v/V8C00000003Q967", "EN-002092751")</f>
        <v>EN-002092751</v>
      </c>
    </row>
    <row r="7139" spans="1:15" ht="16" x14ac:dyDescent="0.2">
      <c r="A7139" s="19"/>
      <c r="B7139" s="19"/>
      <c r="C7139" s="19"/>
      <c r="D7139" s="19"/>
      <c r="E7139" s="19"/>
      <c r="F7139" s="19"/>
      <c r="G7139" s="19"/>
      <c r="H7139" s="19"/>
      <c r="I7139" s="19"/>
      <c r="J7139" s="19"/>
      <c r="K7139" s="19"/>
      <c r="L7139" s="19"/>
      <c r="M7139" s="19"/>
      <c r="N7139" s="19"/>
      <c r="O7139" s="14" t="str">
        <f>HYPERLINK("https://otsuka-europe-crm.veevavault.com/ui/#object/email_activity__v/V8C00000003R526", "EN-002092724")</f>
        <v>EN-002092724</v>
      </c>
    </row>
    <row r="7140" spans="1:15" ht="32" x14ac:dyDescent="0.2">
      <c r="A7140" s="7" t="str">
        <f>HYPERLINK("https://otsuka-europe-crm.veevavault.com/ui/#object/account__v/V4TZ06G6OBIJK73", "CAROLINA FONSECA DE JESUS SILVA")</f>
        <v>CAROLINA FONSECA DE JESUS SILVA</v>
      </c>
      <c r="B7140" s="7" t="str">
        <f>HYPERLINK("https://otsuka-europe-crm.veevavault.com/ui/#object/vcountry__v/VENZ000004SONF5", "ES")</f>
        <v>ES</v>
      </c>
      <c r="C7140" s="8" t="s">
        <v>41</v>
      </c>
      <c r="D7140" s="9" t="str">
        <f>HYPERLINK("https://otsuka-europe-crm.veevavault.com/ui/#object/approved_document__v/V5O00000001A037", "LUP - VAE Póster Adelphi - Nefro")</f>
        <v>LUP - VAE Póster Adelphi - Nefro</v>
      </c>
      <c r="E7140" s="10" t="str">
        <f>HYPERLINK("https://otsuka-europe-crm.veevavault.com/ui/#object/sent_email__v/VBL00000002R318", "SE-001434815")</f>
        <v>SE-001434815</v>
      </c>
      <c r="F7140" s="11"/>
      <c r="G7140" s="12">
        <v>0</v>
      </c>
      <c r="H7140" s="12">
        <v>0</v>
      </c>
      <c r="I7140" s="12">
        <v>0</v>
      </c>
      <c r="J7140" s="11"/>
      <c r="K7140" s="12">
        <v>0</v>
      </c>
      <c r="L7140" s="10" t="str">
        <f>HYPERLINK("https://otsuka-europe-crm.veevavault.com/ui/#object/approved_document__v/V5O00000001A037", "LUP - VAE Póster Adelphi - Nefro")</f>
        <v>LUP - VAE Póster Adelphi - Nefro</v>
      </c>
      <c r="M7140" s="10" t="str">
        <f>HYPERLINK("mailto:idiez@crm.otsuka-europe.com", "idiez@crm.otsuka-europe.com")</f>
        <v>idiez@crm.otsuka-europe.com</v>
      </c>
      <c r="N7140" s="13">
        <v>46182.408356481479</v>
      </c>
      <c r="O7140" s="14" t="str">
        <f>HYPERLINK("https://otsuka-europe-crm.veevavault.com/ui/#object/email_activity__v/V8C00000003R516", "EN-002092714")</f>
        <v>EN-002092714</v>
      </c>
    </row>
    <row r="7141" spans="1:15" ht="16" x14ac:dyDescent="0.2">
      <c r="A7141" s="17" t="str">
        <f>HYPERLINK("https://otsuka-europe-crm.veevavault.com/ui/#object/account__v/V4TZ04ASGBJBXKV", "CATERINE VANESA MARTINEZ ROSERO")</f>
        <v>CATERINE VANESA MARTINEZ ROSERO</v>
      </c>
      <c r="B7141" s="17" t="str">
        <f>HYPERLINK("https://otsuka-europe-crm.veevavault.com/ui/#object/vcountry__v/VENZ000004SONF5", "ES")</f>
        <v>ES</v>
      </c>
      <c r="C7141" s="20" t="s">
        <v>41</v>
      </c>
      <c r="D7141" s="21" t="str">
        <f>HYPERLINK("https://otsuka-europe-crm.veevavault.com/ui/#object/approved_document__v/V5O00000001A037", "LUP - VAE Póster Adelphi - Nefro")</f>
        <v>LUP - VAE Póster Adelphi - Nefro</v>
      </c>
      <c r="E7141" s="22" t="str">
        <f>HYPERLINK("https://otsuka-europe-crm.veevavault.com/ui/#object/sent_email__v/VBL00000002R319", "SE-001434816")</f>
        <v>SE-001434816</v>
      </c>
      <c r="F7141" s="23">
        <v>46182.99322916667</v>
      </c>
      <c r="G7141" s="24">
        <v>1</v>
      </c>
      <c r="H7141" s="24">
        <v>1</v>
      </c>
      <c r="I7141" s="24">
        <v>0</v>
      </c>
      <c r="J7141" s="25"/>
      <c r="K7141" s="24">
        <v>0</v>
      </c>
      <c r="L7141" s="22" t="str">
        <f>HYPERLINK("https://otsuka-europe-crm.veevavault.com/ui/#object/approved_document__v/V5O00000001A037", "LUP - VAE Póster Adelphi - Nefro")</f>
        <v>LUP - VAE Póster Adelphi - Nefro</v>
      </c>
      <c r="M7141" s="22" t="str">
        <f>HYPERLINK("mailto:idiez@crm.otsuka-europe.com", "idiez@crm.otsuka-europe.com")</f>
        <v>idiez@crm.otsuka-europe.com</v>
      </c>
      <c r="N7141" s="23">
        <v>46182.408321759256</v>
      </c>
      <c r="O7141" s="14" t="str">
        <f>HYPERLINK("https://otsuka-europe-crm.veevavault.com/ui/#object/email_activity__v/V8C00000003R512", "EN-002092710")</f>
        <v>EN-002092710</v>
      </c>
    </row>
    <row r="7142" spans="1:15" ht="16" x14ac:dyDescent="0.2">
      <c r="A7142" s="19"/>
      <c r="B7142" s="19"/>
      <c r="C7142" s="19"/>
      <c r="D7142" s="19"/>
      <c r="E7142" s="19"/>
      <c r="F7142" s="19"/>
      <c r="G7142" s="19"/>
      <c r="H7142" s="19"/>
      <c r="I7142" s="19"/>
      <c r="J7142" s="19"/>
      <c r="K7142" s="19"/>
      <c r="L7142" s="19"/>
      <c r="M7142" s="19"/>
      <c r="N7142" s="19"/>
      <c r="O7142" s="14" t="str">
        <f>HYPERLINK("https://otsuka-europe-crm.veevavault.com/ui/#object/email_activity__v/V8C00000003S439", "EN-002093791")</f>
        <v>EN-002093791</v>
      </c>
    </row>
    <row r="7143" spans="1:15" ht="16" x14ac:dyDescent="0.2">
      <c r="A7143" s="17" t="str">
        <f>HYPERLINK("https://otsuka-europe-crm.veevavault.com/ui/#object/account__v/V4TZ06G6O71TCNC", "ANA MARIA HUERTA ARROYO")</f>
        <v>ANA MARIA HUERTA ARROYO</v>
      </c>
      <c r="B7143" s="17" t="str">
        <f>HYPERLINK("https://otsuka-europe-crm.veevavault.com/ui/#object/vcountry__v/VENZ000004SONF5", "ES")</f>
        <v>ES</v>
      </c>
      <c r="C7143" s="20" t="s">
        <v>41</v>
      </c>
      <c r="D7143" s="21" t="str">
        <f>HYPERLINK("https://otsuka-europe-crm.veevavault.com/ui/#object/approved_document__v/V5O00000001A037", "LUP - VAE Póster Adelphi - Nefro")</f>
        <v>LUP - VAE Póster Adelphi - Nefro</v>
      </c>
      <c r="E7143" s="22" t="str">
        <f>HYPERLINK("https://otsuka-europe-crm.veevavault.com/ui/#object/sent_email__v/VBL00000002R320", "SE-001434817")</f>
        <v>SE-001434817</v>
      </c>
      <c r="F7143" s="25"/>
      <c r="G7143" s="24">
        <v>0</v>
      </c>
      <c r="H7143" s="24">
        <v>0</v>
      </c>
      <c r="I7143" s="24">
        <v>0</v>
      </c>
      <c r="J7143" s="25"/>
      <c r="K7143" s="24">
        <v>0</v>
      </c>
      <c r="L7143" s="22" t="str">
        <f>HYPERLINK("https://otsuka-europe-crm.veevavault.com/ui/#object/approved_document__v/V5O00000001A037", "LUP - VAE Póster Adelphi - Nefro")</f>
        <v>LUP - VAE Póster Adelphi - Nefro</v>
      </c>
      <c r="M7143" s="22" t="str">
        <f>HYPERLINK("mailto:idiez@crm.otsuka-europe.com", "idiez@crm.otsuka-europe.com")</f>
        <v>idiez@crm.otsuka-europe.com</v>
      </c>
      <c r="N7143" s="23">
        <v>46182.408368055556</v>
      </c>
      <c r="O7143" s="14" t="str">
        <f>HYPERLINK("https://otsuka-europe-crm.veevavault.com/ui/#object/email_activity__v/V8C00000003R517", "EN-002092715")</f>
        <v>EN-002092715</v>
      </c>
    </row>
    <row r="7144" spans="1:15" ht="16" x14ac:dyDescent="0.2">
      <c r="A7144" s="18"/>
      <c r="B7144" s="18"/>
      <c r="C7144" s="18"/>
      <c r="D7144" s="18"/>
      <c r="E7144" s="18"/>
      <c r="F7144" s="18"/>
      <c r="G7144" s="18"/>
      <c r="H7144" s="18"/>
      <c r="I7144" s="18"/>
      <c r="J7144" s="18"/>
      <c r="K7144" s="18"/>
      <c r="L7144" s="18"/>
      <c r="M7144" s="18"/>
      <c r="N7144" s="18"/>
      <c r="O7144" s="14" t="str">
        <f>HYPERLINK("https://otsuka-europe-crm.veevavault.com/ui/#object/email_activity__v/V8C00000003R879", "EN-002093356")</f>
        <v>EN-002093356</v>
      </c>
    </row>
    <row r="7145" spans="1:15" ht="16" x14ac:dyDescent="0.2">
      <c r="A7145" s="19"/>
      <c r="B7145" s="19"/>
      <c r="C7145" s="19"/>
      <c r="D7145" s="19"/>
      <c r="E7145" s="19"/>
      <c r="F7145" s="19"/>
      <c r="G7145" s="19"/>
      <c r="H7145" s="19"/>
      <c r="I7145" s="19"/>
      <c r="J7145" s="19"/>
      <c r="K7145" s="19"/>
      <c r="L7145" s="19"/>
      <c r="M7145" s="19"/>
      <c r="N7145" s="19"/>
      <c r="O7145" s="14" t="str">
        <f>HYPERLINK("https://otsuka-europe-crm.veevavault.com/ui/#object/email_activity__v/V8C00000003U472", "EN-002095777")</f>
        <v>EN-002095777</v>
      </c>
    </row>
    <row r="7146" spans="1:15" ht="32" x14ac:dyDescent="0.2">
      <c r="A7146" s="7" t="str">
        <f>HYPERLINK("https://otsuka-europe-crm.veevavault.com/ui/#object/account__v/V4TZ04ASGGCGCR6", "AYA MOULTAMIS")</f>
        <v>AYA MOULTAMIS</v>
      </c>
      <c r="B7146" s="7" t="str">
        <f>HYPERLINK("https://otsuka-europe-crm.veevavault.com/ui/#object/vcountry__v/VENZ000004SONF5", "ES")</f>
        <v>ES</v>
      </c>
      <c r="C7146" s="8" t="s">
        <v>41</v>
      </c>
      <c r="D7146" s="9" t="str">
        <f>HYPERLINK("https://otsuka-europe-crm.veevavault.com/ui/#object/approved_document__v/V5O00000001A037", "LUP - VAE Póster Adelphi - Nefro")</f>
        <v>LUP - VAE Póster Adelphi - Nefro</v>
      </c>
      <c r="E7146" s="10" t="str">
        <f>HYPERLINK("https://otsuka-europe-crm.veevavault.com/ui/#object/sent_email__v/VBL00000002R321", "SE-001434818")</f>
        <v>SE-001434818</v>
      </c>
      <c r="F7146" s="11"/>
      <c r="G7146" s="12">
        <v>0</v>
      </c>
      <c r="H7146" s="12">
        <v>0</v>
      </c>
      <c r="I7146" s="12">
        <v>0</v>
      </c>
      <c r="J7146" s="11"/>
      <c r="K7146" s="12">
        <v>0</v>
      </c>
      <c r="L7146" s="10" t="str">
        <f>HYPERLINK("https://otsuka-europe-crm.veevavault.com/ui/#object/approved_document__v/V5O00000001A037", "LUP - VAE Póster Adelphi - Nefro")</f>
        <v>LUP - VAE Póster Adelphi - Nefro</v>
      </c>
      <c r="M7146" s="10" t="str">
        <f>HYPERLINK("mailto:idiez@crm.otsuka-europe.com", "idiez@crm.otsuka-europe.com")</f>
        <v>idiez@crm.otsuka-europe.com</v>
      </c>
      <c r="N7146" s="13">
        <v>46182.408321759256</v>
      </c>
      <c r="O7146" s="14" t="str">
        <f>HYPERLINK("https://otsuka-europe-crm.veevavault.com/ui/#object/email_activity__v/V8C00000003R515", "EN-002092713")</f>
        <v>EN-002092713</v>
      </c>
    </row>
    <row r="7147" spans="1:15" ht="32" x14ac:dyDescent="0.2">
      <c r="A7147" s="7" t="str">
        <f>HYPERLINK("https://otsuka-europe-crm.veevavault.com/ui/#object/account__v/V4TZ06G6O71TBYD", "EMILIO RODRIGO CALABIA")</f>
        <v>EMILIO RODRIGO CALABIA</v>
      </c>
      <c r="B7147" s="7" t="str">
        <f>HYPERLINK("https://otsuka-europe-crm.veevavault.com/ui/#object/vcountry__v/VENZ000004SONF5", "ES")</f>
        <v>ES</v>
      </c>
      <c r="C7147" s="8" t="s">
        <v>41</v>
      </c>
      <c r="D7147" s="9" t="str">
        <f>HYPERLINK("https://otsuka-europe-crm.veevavault.com/ui/#object/approved_document__v/V5OZ06G6O6RFL1P", "ES Veeva Privacy Notice Email")</f>
        <v>ES Veeva Privacy Notice Email</v>
      </c>
      <c r="E7147" s="10" t="str">
        <f>HYPERLINK("https://otsuka-europe-crm.veevavault.com/ui/#object/sent_email__v/VBL00000002R322", "SE-001434819")</f>
        <v>SE-001434819</v>
      </c>
      <c r="F7147" s="11"/>
      <c r="G7147" s="12">
        <v>0</v>
      </c>
      <c r="H7147" s="12">
        <v>0</v>
      </c>
      <c r="I7147" s="12">
        <v>0</v>
      </c>
      <c r="J7147" s="11"/>
      <c r="K7147" s="12">
        <v>0</v>
      </c>
      <c r="L7147" s="10" t="str">
        <f>HYPERLINK("https://otsuka-europe-crm.veevavault.com/ui/#object/approved_document__v/V5OZ06G6O6RFL1P", "ES Veeva Privacy Notice Email")</f>
        <v>ES Veeva Privacy Notice Email</v>
      </c>
      <c r="M7147" s="10" t="str">
        <f>HYPERLINK("mailto:alegazpi@crm.otsuka-europe.com", "alegazpi@crm.otsuka-europe.com")</f>
        <v>alegazpi@crm.otsuka-europe.com</v>
      </c>
      <c r="N7147" s="13">
        <v>46182.408437500002</v>
      </c>
      <c r="O7147" s="14" t="str">
        <f>HYPERLINK("https://otsuka-europe-crm.veevavault.com/ui/#object/email_activity__v/V8C00000003Q962", "EN-002092739")</f>
        <v>EN-002092739</v>
      </c>
    </row>
    <row r="7148" spans="1:15" ht="16" x14ac:dyDescent="0.2">
      <c r="A7148" s="17" t="str">
        <f>HYPERLINK("https://otsuka-europe-crm.veevavault.com/ui/#object/account__v/V4T000000022006", "Jennifer Newport")</f>
        <v>Jennifer Newport</v>
      </c>
      <c r="B7148" s="17" t="str">
        <f>HYPERLINK("https://otsuka-europe-crm.veevavault.com/ui/#object/vcountry__v/VENZ000004SONFK", "GB")</f>
        <v>GB</v>
      </c>
      <c r="C7148" s="20" t="s">
        <v>39</v>
      </c>
      <c r="D7148" s="21" t="str">
        <f>HYPERLINK("https://otsuka-europe-crm.veevavault.com/ui/#object/approved_document__v/V5OZ025E82PXJSL", "Otsuka Privacy Notice - UK (v2)")</f>
        <v>Otsuka Privacy Notice - UK (v2)</v>
      </c>
      <c r="E7148" s="22" t="str">
        <f>HYPERLINK("https://otsuka-europe-crm.veevavault.com/ui/#object/sent_email__v/VBL00000002S449", "SE-001434820")</f>
        <v>SE-001434820</v>
      </c>
      <c r="F7148" s="23">
        <v>46184.607905092591</v>
      </c>
      <c r="G7148" s="24">
        <v>1</v>
      </c>
      <c r="H7148" s="24">
        <v>1</v>
      </c>
      <c r="I7148" s="24">
        <v>0</v>
      </c>
      <c r="J7148" s="25"/>
      <c r="K7148" s="24">
        <v>0</v>
      </c>
      <c r="L7148" s="22" t="str">
        <f>HYPERLINK("https://otsuka-europe-crm.veevavault.com/ui/#object/approved_document__v/V5OZ025E82PXJSL", "Otsuka Privacy Notice - UK (v2)")</f>
        <v>Otsuka Privacy Notice - UK (v2)</v>
      </c>
      <c r="M7148" s="22" t="str">
        <f>HYPERLINK("mailto:ldimambro@crm.otsuka-europe.com", "ldimambro@crm.otsuka-europe.com")</f>
        <v>ldimambro@crm.otsuka-europe.com</v>
      </c>
      <c r="N7148" s="23">
        <v>46182.417708333334</v>
      </c>
      <c r="O7148" s="14" t="str">
        <f>HYPERLINK("https://otsuka-europe-crm.veevavault.com/ui/#object/email_activity__v/V8C00000003R554", "EN-002092767")</f>
        <v>EN-002092767</v>
      </c>
    </row>
    <row r="7149" spans="1:15" ht="16" x14ac:dyDescent="0.2">
      <c r="A7149" s="19"/>
      <c r="B7149" s="19"/>
      <c r="C7149" s="19"/>
      <c r="D7149" s="19"/>
      <c r="E7149" s="19"/>
      <c r="F7149" s="19"/>
      <c r="G7149" s="19"/>
      <c r="H7149" s="19"/>
      <c r="I7149" s="19"/>
      <c r="J7149" s="19"/>
      <c r="K7149" s="19"/>
      <c r="L7149" s="19"/>
      <c r="M7149" s="19"/>
      <c r="N7149" s="19"/>
      <c r="O7149" s="14" t="str">
        <f>HYPERLINK("https://otsuka-europe-crm.veevavault.com/ui/#object/email_activity__v/V8C00000003T550", "EN-002094721")</f>
        <v>EN-002094721</v>
      </c>
    </row>
    <row r="7150" spans="1:15" ht="16" x14ac:dyDescent="0.2">
      <c r="A7150" s="17" t="str">
        <f>HYPERLINK("https://otsuka-europe-crm.veevavault.com/ui/#object/account__v/V4T000000022006", "Jennifer Newport")</f>
        <v>Jennifer Newport</v>
      </c>
      <c r="B7150" s="17" t="str">
        <f>HYPERLINK("https://otsuka-europe-crm.veevavault.com/ui/#object/vcountry__v/VENZ000004SONFK", "GB")</f>
        <v>GB</v>
      </c>
      <c r="C7150" s="20" t="s">
        <v>39</v>
      </c>
      <c r="D7150" s="21" t="str">
        <f>HYPERLINK("https://otsuka-europe-crm.veevavault.com/ui/#object/approved_document__v/V5O00000000D081", "UK - Consent Email 1 Aug 25")</f>
        <v>UK - Consent Email 1 Aug 25</v>
      </c>
      <c r="E7150" s="22" t="str">
        <f>HYPERLINK("https://otsuka-europe-crm.veevavault.com/ui/#object/sent_email__v/VBL00000002S450", "SE-001434821")</f>
        <v>SE-001434821</v>
      </c>
      <c r="F7150" s="23">
        <v>46184.464108796295</v>
      </c>
      <c r="G7150" s="24">
        <v>1</v>
      </c>
      <c r="H7150" s="24">
        <v>1</v>
      </c>
      <c r="I7150" s="24">
        <v>1</v>
      </c>
      <c r="J7150" s="23">
        <v>46184.464120370372</v>
      </c>
      <c r="K7150" s="24">
        <v>1</v>
      </c>
      <c r="L7150" s="22" t="str">
        <f>HYPERLINK("https://otsuka-europe-crm.veevavault.com/ui/#object/approved_document__v/V5O00000000D081", "UK - Consent Email 1 Aug 25")</f>
        <v>UK - Consent Email 1 Aug 25</v>
      </c>
      <c r="M7150" s="22" t="str">
        <f>HYPERLINK("mailto:ldimambro@crm.otsuka-europe.com", "ldimambro@crm.otsuka-europe.com")</f>
        <v>ldimambro@crm.otsuka-europe.com</v>
      </c>
      <c r="N7150" s="23">
        <v>46182.418391203704</v>
      </c>
      <c r="O7150" s="14" t="str">
        <f>HYPERLINK("https://otsuka-europe-crm.veevavault.com/ui/#object/email_activity__v/V8C00000003R555", "EN-002092768")</f>
        <v>EN-002092768</v>
      </c>
    </row>
    <row r="7151" spans="1:15" ht="16" x14ac:dyDescent="0.2">
      <c r="A7151" s="18"/>
      <c r="B7151" s="18"/>
      <c r="C7151" s="18"/>
      <c r="D7151" s="18"/>
      <c r="E7151" s="18"/>
      <c r="F7151" s="18"/>
      <c r="G7151" s="18"/>
      <c r="H7151" s="18"/>
      <c r="I7151" s="18"/>
      <c r="J7151" s="18"/>
      <c r="K7151" s="18"/>
      <c r="L7151" s="18"/>
      <c r="M7151" s="18"/>
      <c r="N7151" s="18"/>
      <c r="O7151" s="14" t="str">
        <f>HYPERLINK("https://otsuka-europe-crm.veevavault.com/ui/#object/email_activity__v/V8C00000003S876", "EN-002094603")</f>
        <v>EN-002094603</v>
      </c>
    </row>
    <row r="7152" spans="1:15" ht="16" x14ac:dyDescent="0.2">
      <c r="A7152" s="19"/>
      <c r="B7152" s="19"/>
      <c r="C7152" s="19"/>
      <c r="D7152" s="19"/>
      <c r="E7152" s="19"/>
      <c r="F7152" s="19"/>
      <c r="G7152" s="19"/>
      <c r="H7152" s="19"/>
      <c r="I7152" s="19"/>
      <c r="J7152" s="19"/>
      <c r="K7152" s="19"/>
      <c r="L7152" s="19"/>
      <c r="M7152" s="19"/>
      <c r="N7152" s="19"/>
      <c r="O7152" s="14" t="str">
        <f>HYPERLINK("https://otsuka-europe-crm.veevavault.com/ui/#object/email_activity__v/V8C00000003T493", "EN-002094604")</f>
        <v>EN-002094604</v>
      </c>
    </row>
    <row r="7153" spans="1:15" ht="16" x14ac:dyDescent="0.2">
      <c r="A7153" s="17" t="str">
        <f>HYPERLINK("https://otsuka-europe-crm.veevavault.com/ui/#object/account__v/V4T000000022027", "Hakeem Perring")</f>
        <v>Hakeem Perring</v>
      </c>
      <c r="B7153" s="17" t="str">
        <f>HYPERLINK("https://otsuka-europe-crm.veevavault.com/ui/#object/vcountry__v/VENZ000004SONFK", "GB")</f>
        <v>GB</v>
      </c>
      <c r="C7153" s="20" t="s">
        <v>39</v>
      </c>
      <c r="D7153" s="21" t="str">
        <f>HYPERLINK("https://otsuka-europe-crm.veevavault.com/ui/#object/approved_document__v/V5O00000001H007", "DR P2P Invite 18-Jun-26 [digital]")</f>
        <v>DR P2P Invite 18-Jun-26 [digital]</v>
      </c>
      <c r="E7153" s="22" t="str">
        <f>HYPERLINK("https://otsuka-europe-crm.veevavault.com/ui/#object/sent_email__v/VBL00000002R323", "SE-001434822")</f>
        <v>SE-001434822</v>
      </c>
      <c r="F7153" s="23">
        <v>46182.481087962966</v>
      </c>
      <c r="G7153" s="24">
        <v>1</v>
      </c>
      <c r="H7153" s="24">
        <v>2</v>
      </c>
      <c r="I7153" s="24">
        <v>0</v>
      </c>
      <c r="J7153" s="25"/>
      <c r="K7153" s="24">
        <v>0</v>
      </c>
      <c r="L7153" s="22" t="str">
        <f>HYPERLINK("https://otsuka-europe-crm.veevavault.com/ui/#object/approved_document__v/V5O00000001H007", "DR P2P Invite 18-Jun-26 [digital]")</f>
        <v>DR P2P Invite 18-Jun-26 [digital]</v>
      </c>
      <c r="M7153" s="22" t="str">
        <f>HYPERLINK("mailto:draval@crm.otsuka-europe.com", "draval@crm.otsuka-europe.com")</f>
        <v>draval@crm.otsuka-europe.com</v>
      </c>
      <c r="N7153" s="23">
        <v>46182.41951388889</v>
      </c>
      <c r="O7153" s="14" t="str">
        <f>HYPERLINK("https://otsuka-europe-crm.veevavault.com/ui/#object/email_activity__v/V8C00000003Q981", "EN-002092775")</f>
        <v>EN-002092775</v>
      </c>
    </row>
    <row r="7154" spans="1:15" ht="16" x14ac:dyDescent="0.2">
      <c r="A7154" s="18"/>
      <c r="B7154" s="18"/>
      <c r="C7154" s="18"/>
      <c r="D7154" s="18"/>
      <c r="E7154" s="18"/>
      <c r="F7154" s="18"/>
      <c r="G7154" s="18"/>
      <c r="H7154" s="18"/>
      <c r="I7154" s="18"/>
      <c r="J7154" s="18"/>
      <c r="K7154" s="18"/>
      <c r="L7154" s="18"/>
      <c r="M7154" s="18"/>
      <c r="N7154" s="18"/>
      <c r="O7154" s="14" t="str">
        <f>HYPERLINK("https://otsuka-europe-crm.veevavault.com/ui/#object/email_activity__v/V8C00000003R556", "EN-002092769")</f>
        <v>EN-002092769</v>
      </c>
    </row>
    <row r="7155" spans="1:15" ht="16" x14ac:dyDescent="0.2">
      <c r="A7155" s="19"/>
      <c r="B7155" s="19"/>
      <c r="C7155" s="19"/>
      <c r="D7155" s="19"/>
      <c r="E7155" s="19"/>
      <c r="F7155" s="19"/>
      <c r="G7155" s="19"/>
      <c r="H7155" s="19"/>
      <c r="I7155" s="19"/>
      <c r="J7155" s="19"/>
      <c r="K7155" s="19"/>
      <c r="L7155" s="19"/>
      <c r="M7155" s="19"/>
      <c r="N7155" s="19"/>
      <c r="O7155" s="14" t="str">
        <f>HYPERLINK("https://otsuka-europe-crm.veevavault.com/ui/#object/email_activity__v/V8C00000003S021", "EN-002092874")</f>
        <v>EN-002092874</v>
      </c>
    </row>
    <row r="7156" spans="1:15" ht="16" x14ac:dyDescent="0.2">
      <c r="A7156" s="17" t="str">
        <f>HYPERLINK("https://otsuka-europe-crm.veevavault.com/ui/#object/account__v/V4T000000021064", "Joseph Clubb")</f>
        <v>Joseph Clubb</v>
      </c>
      <c r="B7156" s="17" t="str">
        <f>HYPERLINK("https://otsuka-europe-crm.veevavault.com/ui/#object/vcountry__v/VENZ000004SONFK", "GB")</f>
        <v>GB</v>
      </c>
      <c r="C7156" s="20" t="s">
        <v>39</v>
      </c>
      <c r="D7156" s="21" t="str">
        <f>HYPERLINK("https://otsuka-europe-crm.veevavault.com/ui/#object/approved_document__v/V5O00000000D081", "UK - Consent Email 1 Aug 25")</f>
        <v>UK - Consent Email 1 Aug 25</v>
      </c>
      <c r="E7156" s="22" t="str">
        <f>HYPERLINK("https://otsuka-europe-crm.veevavault.com/ui/#object/sent_email__v/VBL00000002S451", "SE-001434823")</f>
        <v>SE-001434823</v>
      </c>
      <c r="F7156" s="23">
        <v>46188.535162037035</v>
      </c>
      <c r="G7156" s="24">
        <v>1</v>
      </c>
      <c r="H7156" s="24">
        <v>1</v>
      </c>
      <c r="I7156" s="24">
        <v>1</v>
      </c>
      <c r="J7156" s="23">
        <v>46188.535162037035</v>
      </c>
      <c r="K7156" s="24">
        <v>1</v>
      </c>
      <c r="L7156" s="22" t="str">
        <f>HYPERLINK("https://otsuka-europe-crm.veevavault.com/ui/#object/approved_document__v/V5O00000000D081", "UK - Consent Email 1 Aug 25")</f>
        <v>UK - Consent Email 1 Aug 25</v>
      </c>
      <c r="M7156" s="22" t="str">
        <f>HYPERLINK("mailto:ldimambro@crm.otsuka-europe.com", "ldimambro@crm.otsuka-europe.com")</f>
        <v>ldimambro@crm.otsuka-europe.com</v>
      </c>
      <c r="N7156" s="23">
        <v>46182.421412037038</v>
      </c>
      <c r="O7156" s="14" t="str">
        <f>HYPERLINK("https://otsuka-europe-crm.veevavault.com/ui/#object/email_activity__v/V8C00000003Q980", "EN-002092774")</f>
        <v>EN-002092774</v>
      </c>
    </row>
    <row r="7157" spans="1:15" ht="16" x14ac:dyDescent="0.2">
      <c r="A7157" s="18"/>
      <c r="B7157" s="18"/>
      <c r="C7157" s="18"/>
      <c r="D7157" s="18"/>
      <c r="E7157" s="18"/>
      <c r="F7157" s="18"/>
      <c r="G7157" s="18"/>
      <c r="H7157" s="18"/>
      <c r="I7157" s="18"/>
      <c r="J7157" s="18"/>
      <c r="K7157" s="18"/>
      <c r="L7157" s="18"/>
      <c r="M7157" s="18"/>
      <c r="N7157" s="18"/>
      <c r="O7157" s="14" t="str">
        <f>HYPERLINK("https://otsuka-europe-crm.veevavault.com/ui/#object/email_activity__v/V8C00000003U679", "EN-002096185")</f>
        <v>EN-002096185</v>
      </c>
    </row>
    <row r="7158" spans="1:15" ht="16" x14ac:dyDescent="0.2">
      <c r="A7158" s="19"/>
      <c r="B7158" s="19"/>
      <c r="C7158" s="19"/>
      <c r="D7158" s="19"/>
      <c r="E7158" s="19"/>
      <c r="F7158" s="19"/>
      <c r="G7158" s="19"/>
      <c r="H7158" s="19"/>
      <c r="I7158" s="19"/>
      <c r="J7158" s="19"/>
      <c r="K7158" s="19"/>
      <c r="L7158" s="19"/>
      <c r="M7158" s="19"/>
      <c r="N7158" s="19"/>
      <c r="O7158" s="14" t="str">
        <f>HYPERLINK("https://otsuka-europe-crm.veevavault.com/ui/#object/email_activity__v/V8C00000003U680", "EN-002096184")</f>
        <v>EN-002096184</v>
      </c>
    </row>
    <row r="7159" spans="1:15" ht="16" x14ac:dyDescent="0.2">
      <c r="A7159" s="17" t="str">
        <f>HYPERLINK("https://otsuka-europe-crm.veevavault.com/ui/#object/account__v/V4T000000023052", "SARA GARCIA GIL")</f>
        <v>SARA GARCIA GIL</v>
      </c>
      <c r="B7159" s="17" t="str">
        <f>HYPERLINK("https://otsuka-europe-crm.veevavault.com/ui/#object/vcountry__v/VENZ000004SONF5", "ES")</f>
        <v>ES</v>
      </c>
      <c r="C7159" s="20" t="s">
        <v>41</v>
      </c>
      <c r="D7159" s="21" t="str">
        <f>HYPERLINK("https://otsuka-europe-crm.veevavault.com/ui/#object/approved_document__v/V5OZ06G6O6RFL1P", "ES Veeva Privacy Notice Email")</f>
        <v>ES Veeva Privacy Notice Email</v>
      </c>
      <c r="E7159" s="22" t="str">
        <f>HYPERLINK("https://otsuka-europe-crm.veevavault.com/ui/#object/sent_email__v/VBL00000002R324", "SE-001434824")</f>
        <v>SE-001434824</v>
      </c>
      <c r="F7159" s="25"/>
      <c r="G7159" s="24">
        <v>0</v>
      </c>
      <c r="H7159" s="24">
        <v>0</v>
      </c>
      <c r="I7159" s="24">
        <v>0</v>
      </c>
      <c r="J7159" s="25"/>
      <c r="K7159" s="24">
        <v>0</v>
      </c>
      <c r="L7159" s="22" t="str">
        <f>HYPERLINK("https://otsuka-europe-crm.veevavault.com/ui/#object/approved_document__v/V5OZ06G6O6RFL1P", "ES Veeva Privacy Notice Email")</f>
        <v>ES Veeva Privacy Notice Email</v>
      </c>
      <c r="M7159" s="22" t="str">
        <f>HYPERLINK("mailto:pbasualdo@crm.otsuka-europe.com", "pbasualdo@crm.otsuka-europe.com")</f>
        <v>pbasualdo@crm.otsuka-europe.com</v>
      </c>
      <c r="N7159" s="23">
        <v>46182.425347222219</v>
      </c>
      <c r="O7159" s="14" t="str">
        <f>HYPERLINK("https://otsuka-europe-crm.veevavault.com/ui/#object/email_activity__v/V8C00000003Q983", "EN-002092792")</f>
        <v>EN-002092792</v>
      </c>
    </row>
    <row r="7160" spans="1:15" ht="16" x14ac:dyDescent="0.2">
      <c r="A7160" s="19"/>
      <c r="B7160" s="19"/>
      <c r="C7160" s="19"/>
      <c r="D7160" s="19"/>
      <c r="E7160" s="19"/>
      <c r="F7160" s="19"/>
      <c r="G7160" s="19"/>
      <c r="H7160" s="19"/>
      <c r="I7160" s="19"/>
      <c r="J7160" s="19"/>
      <c r="K7160" s="19"/>
      <c r="L7160" s="19"/>
      <c r="M7160" s="19"/>
      <c r="N7160" s="19"/>
      <c r="O7160" s="14" t="str">
        <f>HYPERLINK("https://otsuka-europe-crm.veevavault.com/ui/#object/email_activity__v/V8C00000003Q984", "EN-002092793")</f>
        <v>EN-002092793</v>
      </c>
    </row>
    <row r="7161" spans="1:15" ht="16" x14ac:dyDescent="0.2">
      <c r="A7161" s="17" t="str">
        <f>HYPERLINK("https://otsuka-europe-crm.veevavault.com/ui/#object/account__v/V4T000000023053", "LYDIA FRUCTUOSO GONZALEZ")</f>
        <v>LYDIA FRUCTUOSO GONZALEZ</v>
      </c>
      <c r="B7161" s="17" t="str">
        <f>HYPERLINK("https://otsuka-europe-crm.veevavault.com/ui/#object/vcountry__v/VENZ000004SONF5", "ES")</f>
        <v>ES</v>
      </c>
      <c r="C7161" s="20" t="s">
        <v>41</v>
      </c>
      <c r="D7161" s="21" t="str">
        <f>HYPERLINK("https://otsuka-europe-crm.veevavault.com/ui/#object/approved_document__v/V5OZ06G6O6RFL1P", "ES Veeva Privacy Notice Email")</f>
        <v>ES Veeva Privacy Notice Email</v>
      </c>
      <c r="E7161" s="22" t="str">
        <f>HYPERLINK("https://otsuka-europe-crm.veevavault.com/ui/#object/sent_email__v/VBL00000002R325", "SE-001434825")</f>
        <v>SE-001434825</v>
      </c>
      <c r="F7161" s="23">
        <v>46182.437418981484</v>
      </c>
      <c r="G7161" s="24">
        <v>1</v>
      </c>
      <c r="H7161" s="24">
        <v>1</v>
      </c>
      <c r="I7161" s="24">
        <v>0</v>
      </c>
      <c r="J7161" s="25"/>
      <c r="K7161" s="24">
        <v>0</v>
      </c>
      <c r="L7161" s="22" t="str">
        <f>HYPERLINK("https://otsuka-europe-crm.veevavault.com/ui/#object/approved_document__v/V5OZ06G6O6RFL1P", "ES Veeva Privacy Notice Email")</f>
        <v>ES Veeva Privacy Notice Email</v>
      </c>
      <c r="M7161" s="22" t="str">
        <f>HYPERLINK("mailto:farias@crm.otsuka-europe.com", "farias@crm.otsuka-europe.com")</f>
        <v>farias@crm.otsuka-europe.com</v>
      </c>
      <c r="N7161" s="23">
        <v>46182.437326388892</v>
      </c>
      <c r="O7161" s="14" t="str">
        <f>HYPERLINK("https://otsuka-europe-crm.veevavault.com/ui/#object/email_activity__v/V8C00000003Q989", "EN-002092803")</f>
        <v>EN-002092803</v>
      </c>
    </row>
    <row r="7162" spans="1:15" ht="16" x14ac:dyDescent="0.2">
      <c r="A7162" s="19"/>
      <c r="B7162" s="19"/>
      <c r="C7162" s="19"/>
      <c r="D7162" s="19"/>
      <c r="E7162" s="19"/>
      <c r="F7162" s="19"/>
      <c r="G7162" s="19"/>
      <c r="H7162" s="19"/>
      <c r="I7162" s="19"/>
      <c r="J7162" s="19"/>
      <c r="K7162" s="19"/>
      <c r="L7162" s="19"/>
      <c r="M7162" s="19"/>
      <c r="N7162" s="19"/>
      <c r="O7162" s="14" t="str">
        <f>HYPERLINK("https://otsuka-europe-crm.veevavault.com/ui/#object/email_activity__v/V8C00000003Q990", "EN-002092804")</f>
        <v>EN-002092804</v>
      </c>
    </row>
    <row r="7163" spans="1:15" ht="16" x14ac:dyDescent="0.2">
      <c r="A7163" s="17" t="str">
        <f>HYPERLINK("https://otsuka-europe-crm.veevavault.com/ui/#object/account__v/V4TZ025E85NHZM1", "NATALIA CARPIZO JIMENEZ")</f>
        <v>NATALIA CARPIZO JIMENEZ</v>
      </c>
      <c r="B7163" s="17" t="str">
        <f>HYPERLINK("https://otsuka-europe-crm.veevavault.com/ui/#object/vcountry__v/VENZ000004SONF5", "ES")</f>
        <v>ES</v>
      </c>
      <c r="C7163" s="20" t="s">
        <v>41</v>
      </c>
      <c r="D7163" s="21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7163" s="22" t="str">
        <f>HYPERLINK("https://otsuka-europe-crm.veevavault.com/ui/#object/sent_email__v/VBL00000002R326", "SE-001434826")</f>
        <v>SE-001434826</v>
      </c>
      <c r="F7163" s="23">
        <v>46189.702893518515</v>
      </c>
      <c r="G7163" s="24">
        <v>1</v>
      </c>
      <c r="H7163" s="24">
        <v>7</v>
      </c>
      <c r="I7163" s="24">
        <v>0</v>
      </c>
      <c r="J7163" s="25"/>
      <c r="K7163" s="24">
        <v>0</v>
      </c>
      <c r="L7163" s="22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7163" s="22" t="str">
        <f>HYPERLINK("mailto:idiez@crm.otsuka-europe.com", "idiez@crm.otsuka-europe.com")</f>
        <v>idiez@crm.otsuka-europe.com</v>
      </c>
      <c r="N7163" s="23">
        <v>46182.461550925924</v>
      </c>
      <c r="O7163" s="14" t="str">
        <f>HYPERLINK("https://otsuka-europe-crm.veevavault.com/ui/#object/email_activity__v/V8C00000003R637", "EN-002092920")</f>
        <v>EN-002092920</v>
      </c>
    </row>
    <row r="7164" spans="1:15" ht="16" x14ac:dyDescent="0.2">
      <c r="A7164" s="18"/>
      <c r="B7164" s="18"/>
      <c r="C7164" s="18"/>
      <c r="D7164" s="18"/>
      <c r="E7164" s="18"/>
      <c r="F7164" s="18"/>
      <c r="G7164" s="18"/>
      <c r="H7164" s="18"/>
      <c r="I7164" s="18"/>
      <c r="J7164" s="18"/>
      <c r="K7164" s="18"/>
      <c r="L7164" s="18"/>
      <c r="M7164" s="18"/>
      <c r="N7164" s="18"/>
      <c r="O7164" s="14" t="str">
        <f>HYPERLINK("https://otsuka-europe-crm.veevavault.com/ui/#object/email_activity__v/V8C00000003R638", "EN-002092921")</f>
        <v>EN-002092921</v>
      </c>
    </row>
    <row r="7165" spans="1:15" ht="16" x14ac:dyDescent="0.2">
      <c r="A7165" s="18"/>
      <c r="B7165" s="18"/>
      <c r="C7165" s="18"/>
      <c r="D7165" s="18"/>
      <c r="E7165" s="18"/>
      <c r="F7165" s="18"/>
      <c r="G7165" s="18"/>
      <c r="H7165" s="18"/>
      <c r="I7165" s="18"/>
      <c r="J7165" s="18"/>
      <c r="K7165" s="18"/>
      <c r="L7165" s="18"/>
      <c r="M7165" s="18"/>
      <c r="N7165" s="18"/>
      <c r="O7165" s="14" t="str">
        <f>HYPERLINK("https://otsuka-europe-crm.veevavault.com/ui/#object/email_activity__v/V8C00000003S007", "EN-002092838")</f>
        <v>EN-002092838</v>
      </c>
    </row>
    <row r="7166" spans="1:15" ht="16" x14ac:dyDescent="0.2">
      <c r="A7166" s="18"/>
      <c r="B7166" s="18"/>
      <c r="C7166" s="18"/>
      <c r="D7166" s="18"/>
      <c r="E7166" s="18"/>
      <c r="F7166" s="18"/>
      <c r="G7166" s="18"/>
      <c r="H7166" s="18"/>
      <c r="I7166" s="18"/>
      <c r="J7166" s="18"/>
      <c r="K7166" s="18"/>
      <c r="L7166" s="18"/>
      <c r="M7166" s="18"/>
      <c r="N7166" s="18"/>
      <c r="O7166" s="14" t="str">
        <f>HYPERLINK("https://otsuka-europe-crm.veevavault.com/ui/#object/email_activity__v/V8C00000003S461", "EN-002093835")</f>
        <v>EN-002093835</v>
      </c>
    </row>
    <row r="7167" spans="1:15" ht="16" x14ac:dyDescent="0.2">
      <c r="A7167" s="18"/>
      <c r="B7167" s="18"/>
      <c r="C7167" s="18"/>
      <c r="D7167" s="18"/>
      <c r="E7167" s="18"/>
      <c r="F7167" s="18"/>
      <c r="G7167" s="18"/>
      <c r="H7167" s="18"/>
      <c r="I7167" s="18"/>
      <c r="J7167" s="18"/>
      <c r="K7167" s="18"/>
      <c r="L7167" s="18"/>
      <c r="M7167" s="18"/>
      <c r="N7167" s="18"/>
      <c r="O7167" s="14" t="str">
        <f>HYPERLINK("https://otsuka-europe-crm.veevavault.com/ui/#object/email_activity__v/V8C00000003S462", "EN-002093836")</f>
        <v>EN-002093836</v>
      </c>
    </row>
    <row r="7168" spans="1:15" ht="16" x14ac:dyDescent="0.2">
      <c r="A7168" s="18"/>
      <c r="B7168" s="18"/>
      <c r="C7168" s="18"/>
      <c r="D7168" s="18"/>
      <c r="E7168" s="18"/>
      <c r="F7168" s="18"/>
      <c r="G7168" s="18"/>
      <c r="H7168" s="18"/>
      <c r="I7168" s="18"/>
      <c r="J7168" s="18"/>
      <c r="K7168" s="18"/>
      <c r="L7168" s="18"/>
      <c r="M7168" s="18"/>
      <c r="N7168" s="18"/>
      <c r="O7168" s="14" t="str">
        <f>HYPERLINK("https://otsuka-europe-crm.veevavault.com/ui/#object/email_activity__v/V8C00000003S464", "EN-002093838")</f>
        <v>EN-002093838</v>
      </c>
    </row>
    <row r="7169" spans="1:15" ht="16" x14ac:dyDescent="0.2">
      <c r="A7169" s="18"/>
      <c r="B7169" s="18"/>
      <c r="C7169" s="18"/>
      <c r="D7169" s="18"/>
      <c r="E7169" s="18"/>
      <c r="F7169" s="18"/>
      <c r="G7169" s="18"/>
      <c r="H7169" s="18"/>
      <c r="I7169" s="18"/>
      <c r="J7169" s="18"/>
      <c r="K7169" s="18"/>
      <c r="L7169" s="18"/>
      <c r="M7169" s="18"/>
      <c r="N7169" s="18"/>
      <c r="O7169" s="14" t="str">
        <f>HYPERLINK("https://otsuka-europe-crm.veevavault.com/ui/#object/email_activity__v/V8C00000003W287", "EN-002097294")</f>
        <v>EN-002097294</v>
      </c>
    </row>
    <row r="7170" spans="1:15" ht="16" x14ac:dyDescent="0.2">
      <c r="A7170" s="19"/>
      <c r="B7170" s="19"/>
      <c r="C7170" s="19"/>
      <c r="D7170" s="19"/>
      <c r="E7170" s="19"/>
      <c r="F7170" s="19"/>
      <c r="G7170" s="19"/>
      <c r="H7170" s="19"/>
      <c r="I7170" s="19"/>
      <c r="J7170" s="19"/>
      <c r="K7170" s="19"/>
      <c r="L7170" s="19"/>
      <c r="M7170" s="19"/>
      <c r="N7170" s="19"/>
      <c r="O7170" s="14" t="str">
        <f>HYPERLINK("https://otsuka-europe-crm.veevavault.com/ui/#object/email_activity__v/V8C00000003X198", "EN-002097293")</f>
        <v>EN-002097293</v>
      </c>
    </row>
    <row r="7171" spans="1:15" ht="16" x14ac:dyDescent="0.2">
      <c r="A7171" s="17" t="str">
        <f>HYPERLINK("https://otsuka-europe-crm.veevavault.com/ui/#object/account__v/V4TZ025E85NHUDA", "BEATRIZ GONZALEZ MENA")</f>
        <v>BEATRIZ GONZALEZ MENA</v>
      </c>
      <c r="B7171" s="17" t="str">
        <f>HYPERLINK("https://otsuka-europe-crm.veevavault.com/ui/#object/vcountry__v/VENZ000004SONF5", "ES")</f>
        <v>ES</v>
      </c>
      <c r="C7171" s="20" t="s">
        <v>41</v>
      </c>
      <c r="D7171" s="21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7171" s="22" t="str">
        <f>HYPERLINK("https://otsuka-europe-crm.veevavault.com/ui/#object/sent_email__v/VBL00000002R327", "SE-001434827")</f>
        <v>SE-001434827</v>
      </c>
      <c r="F7171" s="23">
        <v>46183.365694444445</v>
      </c>
      <c r="G7171" s="24">
        <v>1</v>
      </c>
      <c r="H7171" s="24">
        <v>2</v>
      </c>
      <c r="I7171" s="24">
        <v>0</v>
      </c>
      <c r="J7171" s="25"/>
      <c r="K7171" s="24">
        <v>0</v>
      </c>
      <c r="L7171" s="22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7171" s="22" t="str">
        <f>HYPERLINK("mailto:idiez@crm.otsuka-europe.com", "idiez@crm.otsuka-europe.com")</f>
        <v>idiez@crm.otsuka-europe.com</v>
      </c>
      <c r="N7171" s="23">
        <v>46182.46166666667</v>
      </c>
      <c r="O7171" s="14" t="str">
        <f>HYPERLINK("https://otsuka-europe-crm.veevavault.com/ui/#object/email_activity__v/V8C00000003S008", "EN-002092839")</f>
        <v>EN-002092839</v>
      </c>
    </row>
    <row r="7172" spans="1:15" ht="16" x14ac:dyDescent="0.2">
      <c r="A7172" s="18"/>
      <c r="B7172" s="18"/>
      <c r="C7172" s="18"/>
      <c r="D7172" s="18"/>
      <c r="E7172" s="18"/>
      <c r="F7172" s="18"/>
      <c r="G7172" s="18"/>
      <c r="H7172" s="18"/>
      <c r="I7172" s="18"/>
      <c r="J7172" s="18"/>
      <c r="K7172" s="18"/>
      <c r="L7172" s="18"/>
      <c r="M7172" s="18"/>
      <c r="N7172" s="18"/>
      <c r="O7172" s="14" t="str">
        <f>HYPERLINK("https://otsuka-europe-crm.veevavault.com/ui/#object/email_activity__v/V8C00000003S498", "EN-002093901")</f>
        <v>EN-002093901</v>
      </c>
    </row>
    <row r="7173" spans="1:15" ht="16" x14ac:dyDescent="0.2">
      <c r="A7173" s="19"/>
      <c r="B7173" s="19"/>
      <c r="C7173" s="19"/>
      <c r="D7173" s="19"/>
      <c r="E7173" s="19"/>
      <c r="F7173" s="19"/>
      <c r="G7173" s="19"/>
      <c r="H7173" s="19"/>
      <c r="I7173" s="19"/>
      <c r="J7173" s="19"/>
      <c r="K7173" s="19"/>
      <c r="L7173" s="19"/>
      <c r="M7173" s="19"/>
      <c r="N7173" s="19"/>
      <c r="O7173" s="14" t="str">
        <f>HYPERLINK("https://otsuka-europe-crm.veevavault.com/ui/#object/email_activity__v/V8C00000003S499", "EN-002093902")</f>
        <v>EN-002093902</v>
      </c>
    </row>
    <row r="7174" spans="1:15" ht="48" x14ac:dyDescent="0.2">
      <c r="A7174" s="7" t="str">
        <f>HYPERLINK("https://otsuka-europe-crm.veevavault.com/ui/#object/account__v/V4TZ00000633LAT", "HOUCINE EMBOUAZZA")</f>
        <v>HOUCINE EMBOUAZZA</v>
      </c>
      <c r="B7174" s="7" t="str">
        <f>HYPERLINK("https://otsuka-europe-crm.veevavault.com/ui/#object/vcountry__v/VENZ000004SONFA", "FR")</f>
        <v>FR</v>
      </c>
      <c r="C7174" s="8" t="s">
        <v>42</v>
      </c>
      <c r="D7174" s="9" t="str">
        <f>HYPERLINK("https://otsuka-europe-crm.veevavault.com/ui/#object/approved_document__v/V5OZ025E82HK86R", "Email à fragment trajectoires schizophrénies - FR-CNS-2400018")</f>
        <v>Email à fragment trajectoires schizophrénies - FR-CNS-2400018</v>
      </c>
      <c r="E7174" s="10" t="str">
        <f>HYPERLINK("https://otsuka-europe-crm.veevavault.com/ui/#object/sent_email__v/VBL00000002R328", "SE-001434828")</f>
        <v>SE-001434828</v>
      </c>
      <c r="F7174" s="11"/>
      <c r="G7174" s="12">
        <v>0</v>
      </c>
      <c r="H7174" s="12">
        <v>0</v>
      </c>
      <c r="I7174" s="12">
        <v>0</v>
      </c>
      <c r="J7174" s="11"/>
      <c r="K7174" s="12">
        <v>0</v>
      </c>
      <c r="L7174" s="10" t="str">
        <f>HYPERLINK("https://otsuka-europe-crm.veevavault.com/ui/#object/approved_document__v/V5OZ025E82HK86R", "Email à fragment trajectoires schizophrénies - FR-CNS-2400018")</f>
        <v>Email à fragment trajectoires schizophrénies - FR-CNS-2400018</v>
      </c>
      <c r="M7174" s="10" t="str">
        <f>HYPERLINK("mailto:mperrin@crm.otsuka-europe.com", "mperrin@crm.otsuka-europe.com")</f>
        <v>mperrin@crm.otsuka-europe.com</v>
      </c>
      <c r="N7174" s="13">
        <v>46182.464733796296</v>
      </c>
      <c r="O7174" s="14" t="str">
        <f>HYPERLINK("https://otsuka-europe-crm.veevavault.com/ui/#object/email_activity__v/V8C00000003R597", "EN-002092843")</f>
        <v>EN-002092843</v>
      </c>
    </row>
    <row r="7175" spans="1:15" ht="16" x14ac:dyDescent="0.2">
      <c r="A7175" s="17" t="str">
        <f>HYPERLINK("https://otsuka-europe-crm.veevavault.com/ui/#object/account__v/V4TZ06G6OBIHDEN", "JULIEN SABATIER")</f>
        <v>JULIEN SABATIER</v>
      </c>
      <c r="B7175" s="17" t="str">
        <f>HYPERLINK("https://otsuka-europe-crm.veevavault.com/ui/#object/vcountry__v/VENZ000004SONFA", "FR")</f>
        <v>FR</v>
      </c>
      <c r="C7175" s="20" t="s">
        <v>42</v>
      </c>
      <c r="D7175" s="21" t="str">
        <f>HYPERLINK("https://otsuka-europe-crm.veevavault.com/ui/#object/approved_document__v/V5OZ025E82HK86R", "Email à fragment trajectoires schizophrénies - FR-CNS-2400018")</f>
        <v>Email à fragment trajectoires schizophrénies - FR-CNS-2400018</v>
      </c>
      <c r="E7175" s="22" t="str">
        <f>HYPERLINK("https://otsuka-europe-crm.veevavault.com/ui/#object/sent_email__v/VBL00000002R329", "SE-001434829")</f>
        <v>SE-001434829</v>
      </c>
      <c r="F7175" s="23">
        <v>46182.475497685184</v>
      </c>
      <c r="G7175" s="24">
        <v>1</v>
      </c>
      <c r="H7175" s="24">
        <v>2</v>
      </c>
      <c r="I7175" s="24">
        <v>1</v>
      </c>
      <c r="J7175" s="23">
        <v>46182.467349537037</v>
      </c>
      <c r="K7175" s="24">
        <v>1</v>
      </c>
      <c r="L7175" s="22" t="str">
        <f>HYPERLINK("https://otsuka-europe-crm.veevavault.com/ui/#object/approved_document__v/V5OZ025E82HK86R", "Email à fragment trajectoires schizophrénies - FR-CNS-2400018")</f>
        <v>Email à fragment trajectoires schizophrénies - FR-CNS-2400018</v>
      </c>
      <c r="M7175" s="22" t="str">
        <f>HYPERLINK("mailto:mperrin@crm.otsuka-europe.com", "mperrin@crm.otsuka-europe.com")</f>
        <v>mperrin@crm.otsuka-europe.com</v>
      </c>
      <c r="N7175" s="23">
        <v>46182.465081018519</v>
      </c>
      <c r="O7175" s="14" t="str">
        <f>HYPERLINK("https://otsuka-europe-crm.veevavault.com/ui/#object/email_activity__v/V8C00000003R598", "EN-002092844")</f>
        <v>EN-002092844</v>
      </c>
    </row>
    <row r="7176" spans="1:15" ht="16" x14ac:dyDescent="0.2">
      <c r="A7176" s="18"/>
      <c r="B7176" s="18"/>
      <c r="C7176" s="18"/>
      <c r="D7176" s="18"/>
      <c r="E7176" s="18"/>
      <c r="F7176" s="18"/>
      <c r="G7176" s="18"/>
      <c r="H7176" s="18"/>
      <c r="I7176" s="18"/>
      <c r="J7176" s="18"/>
      <c r="K7176" s="18"/>
      <c r="L7176" s="18"/>
      <c r="M7176" s="18"/>
      <c r="N7176" s="18"/>
      <c r="O7176" s="14" t="str">
        <f>HYPERLINK("https://otsuka-europe-crm.veevavault.com/ui/#object/email_activity__v/V8C00000003R610", "EN-002092863")</f>
        <v>EN-002092863</v>
      </c>
    </row>
    <row r="7177" spans="1:15" ht="16" x14ac:dyDescent="0.2">
      <c r="A7177" s="18"/>
      <c r="B7177" s="18"/>
      <c r="C7177" s="18"/>
      <c r="D7177" s="18"/>
      <c r="E7177" s="18"/>
      <c r="F7177" s="18"/>
      <c r="G7177" s="18"/>
      <c r="H7177" s="18"/>
      <c r="I7177" s="18"/>
      <c r="J7177" s="18"/>
      <c r="K7177" s="18"/>
      <c r="L7177" s="18"/>
      <c r="M7177" s="18"/>
      <c r="N7177" s="18"/>
      <c r="O7177" s="14" t="str">
        <f>HYPERLINK("https://otsuka-europe-crm.veevavault.com/ui/#object/email_activity__v/V8C00000003S010", "EN-002092851")</f>
        <v>EN-002092851</v>
      </c>
    </row>
    <row r="7178" spans="1:15" ht="16" x14ac:dyDescent="0.2">
      <c r="A7178" s="18"/>
      <c r="B7178" s="18"/>
      <c r="C7178" s="18"/>
      <c r="D7178" s="18"/>
      <c r="E7178" s="18"/>
      <c r="F7178" s="18"/>
      <c r="G7178" s="18"/>
      <c r="H7178" s="18"/>
      <c r="I7178" s="18"/>
      <c r="J7178" s="18"/>
      <c r="K7178" s="18"/>
      <c r="L7178" s="18"/>
      <c r="M7178" s="18"/>
      <c r="N7178" s="18"/>
      <c r="O7178" s="14" t="str">
        <f>HYPERLINK("https://otsuka-europe-crm.veevavault.com/ui/#object/email_activity__v/V8C00000003S011", "EN-002092850")</f>
        <v>EN-002092850</v>
      </c>
    </row>
    <row r="7179" spans="1:15" ht="16" x14ac:dyDescent="0.2">
      <c r="A7179" s="19"/>
      <c r="B7179" s="19"/>
      <c r="C7179" s="19"/>
      <c r="D7179" s="19"/>
      <c r="E7179" s="19"/>
      <c r="F7179" s="19"/>
      <c r="G7179" s="19"/>
      <c r="H7179" s="19"/>
      <c r="I7179" s="19"/>
      <c r="J7179" s="19"/>
      <c r="K7179" s="19"/>
      <c r="L7179" s="19"/>
      <c r="M7179" s="19"/>
      <c r="N7179" s="19"/>
      <c r="O7179" s="14" t="str">
        <f>HYPERLINK("https://otsuka-europe-crm.veevavault.com/ui/#object/email_activity__v/V8C00000003S033", "EN-002092895")</f>
        <v>EN-002092895</v>
      </c>
    </row>
    <row r="7180" spans="1:15" ht="16" x14ac:dyDescent="0.2">
      <c r="A7180" s="17" t="str">
        <f>HYPERLINK("https://otsuka-europe-crm.veevavault.com/ui/#object/account__v/V4TZ00000633HA4", "PIERRE MESSENDE")</f>
        <v>PIERRE MESSENDE</v>
      </c>
      <c r="B7180" s="17" t="str">
        <f>HYPERLINK("https://otsuka-europe-crm.veevavault.com/ui/#object/vcountry__v/VENZ000004SONFA", "FR")</f>
        <v>FR</v>
      </c>
      <c r="C7180" s="20" t="s">
        <v>42</v>
      </c>
      <c r="D7180" s="21" t="str">
        <f>HYPERLINK("https://otsuka-europe-crm.veevavault.com/ui/#object/approved_document__v/V5OZ04ASG4G02Y6", "INVITATION_VAD_2023")</f>
        <v>INVITATION_VAD_2023</v>
      </c>
      <c r="E7180" s="22" t="str">
        <f>HYPERLINK("https://otsuka-europe-crm.veevavault.com/ui/#object/sent_email__v/VBL00000002R330", "SE-001434830")</f>
        <v>SE-001434830</v>
      </c>
      <c r="F7180" s="23">
        <v>46182.487604166665</v>
      </c>
      <c r="G7180" s="24">
        <v>1</v>
      </c>
      <c r="H7180" s="24">
        <v>1</v>
      </c>
      <c r="I7180" s="24">
        <v>0</v>
      </c>
      <c r="J7180" s="25"/>
      <c r="K7180" s="24">
        <v>0</v>
      </c>
      <c r="L7180" s="22" t="str">
        <f>HYPERLINK("https://otsuka-europe-crm.veevavault.com/ui/#object/approved_document__v/V5OZ04ASG4G02Y6", "INVITATION_VAD_2023")</f>
        <v>INVITATION_VAD_2023</v>
      </c>
      <c r="M7180" s="22" t="str">
        <f>HYPERLINK("mailto:cchevalliermiserole@crm.otsuka-europe.com", "cchevalliermiserole@crm.otsuka-europe.com")</f>
        <v>cchevalliermiserole@crm.otsuka-europe.com</v>
      </c>
      <c r="N7180" s="23">
        <v>46182.486087962963</v>
      </c>
      <c r="O7180" s="14" t="str">
        <f>HYPERLINK("https://otsuka-europe-crm.veevavault.com/ui/#object/email_activity__v/V8C00000003S023", "EN-002092878")</f>
        <v>EN-002092878</v>
      </c>
    </row>
    <row r="7181" spans="1:15" ht="16" x14ac:dyDescent="0.2">
      <c r="A7181" s="19"/>
      <c r="B7181" s="19"/>
      <c r="C7181" s="19"/>
      <c r="D7181" s="19"/>
      <c r="E7181" s="19"/>
      <c r="F7181" s="19"/>
      <c r="G7181" s="19"/>
      <c r="H7181" s="19"/>
      <c r="I7181" s="19"/>
      <c r="J7181" s="19"/>
      <c r="K7181" s="19"/>
      <c r="L7181" s="19"/>
      <c r="M7181" s="19"/>
      <c r="N7181" s="19"/>
      <c r="O7181" s="14" t="str">
        <f>HYPERLINK("https://otsuka-europe-crm.veevavault.com/ui/#object/email_activity__v/V8C00000003S025", "EN-002092881")</f>
        <v>EN-002092881</v>
      </c>
    </row>
    <row r="7182" spans="1:15" ht="32" x14ac:dyDescent="0.2">
      <c r="A7182" s="7" t="str">
        <f>HYPERLINK("https://otsuka-europe-crm.veevavault.com/ui/#object/account__v/V4TZ00000633UNS", "AURELIEN LAURENT")</f>
        <v>AURELIEN LAURENT</v>
      </c>
      <c r="B7182" s="7" t="str">
        <f>HYPERLINK("https://otsuka-europe-crm.veevavault.com/ui/#object/vcountry__v/VENZ000004SONFA", "FR")</f>
        <v>FR</v>
      </c>
      <c r="C7182" s="8" t="s">
        <v>42</v>
      </c>
      <c r="D7182" s="9" t="str">
        <f>HYPERLINK("https://otsuka-europe-crm.veevavault.com/ui/#object/approved_document__v/V5OZ04ASG4G02Y6", "INVITATION_VAD_2023")</f>
        <v>INVITATION_VAD_2023</v>
      </c>
      <c r="E7182" s="10" t="str">
        <f>HYPERLINK("https://otsuka-europe-crm.veevavault.com/ui/#object/sent_email__v/VBL00000002R331", "SE-001434831")</f>
        <v>SE-001434831</v>
      </c>
      <c r="F7182" s="11"/>
      <c r="G7182" s="12">
        <v>0</v>
      </c>
      <c r="H7182" s="12">
        <v>0</v>
      </c>
      <c r="I7182" s="12">
        <v>0</v>
      </c>
      <c r="J7182" s="11"/>
      <c r="K7182" s="12">
        <v>0</v>
      </c>
      <c r="L7182" s="10" t="str">
        <f>HYPERLINK("https://otsuka-europe-crm.veevavault.com/ui/#object/approved_document__v/V5OZ04ASG4G02Y6", "INVITATION_VAD_2023")</f>
        <v>INVITATION_VAD_2023</v>
      </c>
      <c r="M7182" s="10" t="str">
        <f>HYPERLINK("mailto:cchevalliermiserole@crm.otsuka-europe.com", "cchevalliermiserole@crm.otsuka-europe.com")</f>
        <v>cchevalliermiserole@crm.otsuka-europe.com</v>
      </c>
      <c r="N7182" s="13">
        <v>46182.486145833333</v>
      </c>
      <c r="O7182" s="14" t="str">
        <f>HYPERLINK("https://otsuka-europe-crm.veevavault.com/ui/#object/email_activity__v/V8C00000003S024", "EN-002092880")</f>
        <v>EN-002092880</v>
      </c>
    </row>
    <row r="7183" spans="1:15" ht="16" x14ac:dyDescent="0.2">
      <c r="A7183" s="17" t="str">
        <f>HYPERLINK("https://otsuka-europe-crm.veevavault.com/ui/#object/account__v/V4TZ00000633HA4", "PIERRE MESSENDE")</f>
        <v>PIERRE MESSENDE</v>
      </c>
      <c r="B7183" s="17" t="str">
        <f>HYPERLINK("https://otsuka-europe-crm.veevavault.com/ui/#object/vcountry__v/VENZ000004SONFA", "FR")</f>
        <v>FR</v>
      </c>
      <c r="C7183" s="20" t="s">
        <v>42</v>
      </c>
      <c r="D7183" s="21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E7183" s="22" t="str">
        <f>HYPERLINK("https://otsuka-europe-crm.veevavault.com/ui/#object/sent_email__v/VBL00000002S452", "SE-001434832")</f>
        <v>SE-001434832</v>
      </c>
      <c r="F7183" s="23">
        <v>46183.355416666665</v>
      </c>
      <c r="G7183" s="24">
        <v>1</v>
      </c>
      <c r="H7183" s="24">
        <v>1</v>
      </c>
      <c r="I7183" s="24">
        <v>0</v>
      </c>
      <c r="J7183" s="25"/>
      <c r="K7183" s="24">
        <v>0</v>
      </c>
      <c r="L7183" s="22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M7183" s="22" t="str">
        <f>HYPERLINK("mailto:cchevalliermiserole@crm.otsuka-europe.com", "cchevalliermiserole@crm.otsuka-europe.com")</f>
        <v>cchevalliermiserole@crm.otsuka-europe.com</v>
      </c>
      <c r="N7183" s="23">
        <v>46183.217430555553</v>
      </c>
      <c r="O7183" s="14" t="str">
        <f>HYPERLINK("https://otsuka-europe-crm.veevavault.com/ui/#object/email_activity__v/V8C00000003T128", "EN-002093811")</f>
        <v>EN-002093811</v>
      </c>
    </row>
    <row r="7184" spans="1:15" ht="16" x14ac:dyDescent="0.2">
      <c r="A7184" s="19"/>
      <c r="B7184" s="19"/>
      <c r="C7184" s="19"/>
      <c r="D7184" s="19"/>
      <c r="E7184" s="19"/>
      <c r="F7184" s="19"/>
      <c r="G7184" s="19"/>
      <c r="H7184" s="19"/>
      <c r="I7184" s="19"/>
      <c r="J7184" s="19"/>
      <c r="K7184" s="19"/>
      <c r="L7184" s="19"/>
      <c r="M7184" s="19"/>
      <c r="N7184" s="19"/>
      <c r="O7184" s="14" t="str">
        <f>HYPERLINK("https://otsuka-europe-crm.veevavault.com/ui/#object/email_activity__v/V8C00000003T158", "EN-002093880")</f>
        <v>EN-002093880</v>
      </c>
    </row>
    <row r="7185" spans="1:15" ht="16" x14ac:dyDescent="0.2">
      <c r="A7185" s="17" t="str">
        <f>HYPERLINK("https://otsuka-europe-crm.veevavault.com/ui/#object/account__v/V4TZ00000633HA4", "PIERRE MESSENDE")</f>
        <v>PIERRE MESSENDE</v>
      </c>
      <c r="B7185" s="17" t="str">
        <f>HYPERLINK("https://otsuka-europe-crm.veevavault.com/ui/#object/vcountry__v/VENZ000004SONFA", "FR")</f>
        <v>FR</v>
      </c>
      <c r="C7185" s="20" t="s">
        <v>42</v>
      </c>
      <c r="D7185" s="21" t="str">
        <f>HYPERLINK("https://otsuka-europe-crm.veevavault.com/ui/#object/approved_document__v/V5OZ04ASG4G02Y7", "REMERCIEMENTS_VAD_2023")</f>
        <v>REMERCIEMENTS_VAD_2023</v>
      </c>
      <c r="E7185" s="22" t="str">
        <f>HYPERLINK("https://otsuka-europe-crm.veevavault.com/ui/#object/sent_email__v/VBL00000002S453", "SE-001434833")</f>
        <v>SE-001434833</v>
      </c>
      <c r="F7185" s="23">
        <v>46182.508310185185</v>
      </c>
      <c r="G7185" s="24">
        <v>1</v>
      </c>
      <c r="H7185" s="24">
        <v>2</v>
      </c>
      <c r="I7185" s="24">
        <v>0</v>
      </c>
      <c r="J7185" s="25"/>
      <c r="K7185" s="24">
        <v>0</v>
      </c>
      <c r="L7185" s="22" t="str">
        <f>HYPERLINK("https://otsuka-europe-crm.veevavault.com/ui/#object/approved_document__v/V5OZ04ASG4G02Y7", "REMERCIEMENTS_VAD_2023")</f>
        <v>REMERCIEMENTS_VAD_2023</v>
      </c>
      <c r="M7185" s="22" t="str">
        <f>HYPERLINK("mailto:cchevalliermiserole@crm.otsuka-europe.com", "cchevalliermiserole@crm.otsuka-europe.com")</f>
        <v>cchevalliermiserole@crm.otsuka-europe.com</v>
      </c>
      <c r="N7185" s="23">
        <v>46182.506504629629</v>
      </c>
      <c r="O7185" s="14" t="str">
        <f>HYPERLINK("https://otsuka-europe-crm.veevavault.com/ui/#object/email_activity__v/V8C00000003R625", "EN-002092894")</f>
        <v>EN-002092894</v>
      </c>
    </row>
    <row r="7186" spans="1:15" ht="16" x14ac:dyDescent="0.2">
      <c r="A7186" s="18"/>
      <c r="B7186" s="18"/>
      <c r="C7186" s="18"/>
      <c r="D7186" s="18"/>
      <c r="E7186" s="18"/>
      <c r="F7186" s="18"/>
      <c r="G7186" s="18"/>
      <c r="H7186" s="18"/>
      <c r="I7186" s="18"/>
      <c r="J7186" s="18"/>
      <c r="K7186" s="18"/>
      <c r="L7186" s="18"/>
      <c r="M7186" s="18"/>
      <c r="N7186" s="18"/>
      <c r="O7186" s="14" t="str">
        <f>HYPERLINK("https://otsuka-europe-crm.veevavault.com/ui/#object/email_activity__v/V8C00000003R626", "EN-002092896")</f>
        <v>EN-002092896</v>
      </c>
    </row>
    <row r="7187" spans="1:15" ht="16" x14ac:dyDescent="0.2">
      <c r="A7187" s="19"/>
      <c r="B7187" s="19"/>
      <c r="C7187" s="19"/>
      <c r="D7187" s="19"/>
      <c r="E7187" s="19"/>
      <c r="F7187" s="19"/>
      <c r="G7187" s="19"/>
      <c r="H7187" s="19"/>
      <c r="I7187" s="19"/>
      <c r="J7187" s="19"/>
      <c r="K7187" s="19"/>
      <c r="L7187" s="19"/>
      <c r="M7187" s="19"/>
      <c r="N7187" s="19"/>
      <c r="O7187" s="14" t="str">
        <f>HYPERLINK("https://otsuka-europe-crm.veevavault.com/ui/#object/email_activity__v/V8C00000003R629", "EN-002092899")</f>
        <v>EN-002092899</v>
      </c>
    </row>
    <row r="7188" spans="1:15" ht="16" x14ac:dyDescent="0.2">
      <c r="A7188" s="17" t="str">
        <f>HYPERLINK("https://otsuka-europe-crm.veevavault.com/ui/#object/account__v/V4TZ00000633HA4", "PIERRE MESSENDE")</f>
        <v>PIERRE MESSENDE</v>
      </c>
      <c r="B7188" s="17" t="str">
        <f>HYPERLINK("https://otsuka-europe-crm.veevavault.com/ui/#object/vcountry__v/VENZ000004SONFA", "FR")</f>
        <v>FR</v>
      </c>
      <c r="C7188" s="20" t="s">
        <v>42</v>
      </c>
      <c r="D7188" s="21" t="str">
        <f>HYPERLINK("https://otsuka-europe-crm.veevavault.com/ui/#object/approved_document__v/V5OZ04ASG4G02Y6", "INVITATION_VAD_2023")</f>
        <v>INVITATION_VAD_2023</v>
      </c>
      <c r="E7188" s="22" t="str">
        <f>HYPERLINK("https://otsuka-europe-crm.veevavault.com/ui/#object/sent_email__v/VBL00000002R332", "SE-001434834")</f>
        <v>SE-001434834</v>
      </c>
      <c r="F7188" s="23">
        <v>46182.529722222222</v>
      </c>
      <c r="G7188" s="24">
        <v>1</v>
      </c>
      <c r="H7188" s="24">
        <v>2</v>
      </c>
      <c r="I7188" s="24">
        <v>0</v>
      </c>
      <c r="J7188" s="25"/>
      <c r="K7188" s="24">
        <v>0</v>
      </c>
      <c r="L7188" s="22" t="str">
        <f>HYPERLINK("https://otsuka-europe-crm.veevavault.com/ui/#object/approved_document__v/V5OZ04ASG4G02Y6", "INVITATION_VAD_2023")</f>
        <v>INVITATION_VAD_2023</v>
      </c>
      <c r="M7188" s="22" t="str">
        <f>HYPERLINK("mailto:cchevalliermiserole@crm.otsuka-europe.com", "cchevalliermiserole@crm.otsuka-europe.com")</f>
        <v>cchevalliermiserole@crm.otsuka-europe.com</v>
      </c>
      <c r="N7188" s="23">
        <v>46182.508217592593</v>
      </c>
      <c r="O7188" s="14" t="str">
        <f>HYPERLINK("https://otsuka-europe-crm.veevavault.com/ui/#object/email_activity__v/V8C00000003R627", "EN-002092897")</f>
        <v>EN-002092897</v>
      </c>
    </row>
    <row r="7189" spans="1:15" ht="16" x14ac:dyDescent="0.2">
      <c r="A7189" s="18"/>
      <c r="B7189" s="18"/>
      <c r="C7189" s="18"/>
      <c r="D7189" s="18"/>
      <c r="E7189" s="18"/>
      <c r="F7189" s="18"/>
      <c r="G7189" s="18"/>
      <c r="H7189" s="18"/>
      <c r="I7189" s="18"/>
      <c r="J7189" s="18"/>
      <c r="K7189" s="18"/>
      <c r="L7189" s="18"/>
      <c r="M7189" s="18"/>
      <c r="N7189" s="18"/>
      <c r="O7189" s="14" t="str">
        <f>HYPERLINK("https://otsuka-europe-crm.veevavault.com/ui/#object/email_activity__v/V8C00000003R628", "EN-002092898")</f>
        <v>EN-002092898</v>
      </c>
    </row>
    <row r="7190" spans="1:15" ht="16" x14ac:dyDescent="0.2">
      <c r="A7190" s="19"/>
      <c r="B7190" s="19"/>
      <c r="C7190" s="19"/>
      <c r="D7190" s="19"/>
      <c r="E7190" s="19"/>
      <c r="F7190" s="19"/>
      <c r="G7190" s="19"/>
      <c r="H7190" s="19"/>
      <c r="I7190" s="19"/>
      <c r="J7190" s="19"/>
      <c r="K7190" s="19"/>
      <c r="L7190" s="19"/>
      <c r="M7190" s="19"/>
      <c r="N7190" s="19"/>
      <c r="O7190" s="14" t="str">
        <f>HYPERLINK("https://otsuka-europe-crm.veevavault.com/ui/#object/email_activity__v/V8C00000003R632", "EN-002092908")</f>
        <v>EN-002092908</v>
      </c>
    </row>
    <row r="7191" spans="1:15" ht="32" x14ac:dyDescent="0.2">
      <c r="A7191" s="7" t="str">
        <f>HYPERLINK("https://otsuka-europe-crm.veevavault.com/ui/#object/account__v/V4TZ00000633UNS", "AURELIEN LAURENT")</f>
        <v>AURELIEN LAURENT</v>
      </c>
      <c r="B7191" s="7" t="str">
        <f>HYPERLINK("https://otsuka-europe-crm.veevavault.com/ui/#object/vcountry__v/VENZ000004SONFA", "FR")</f>
        <v>FR</v>
      </c>
      <c r="C7191" s="8" t="s">
        <v>42</v>
      </c>
      <c r="D7191" s="9" t="str">
        <f>HYPERLINK("https://otsuka-europe-crm.veevavault.com/ui/#object/approved_document__v/V5OZ04ASG4G02Y6", "INVITATION_VAD_2023")</f>
        <v>INVITATION_VAD_2023</v>
      </c>
      <c r="E7191" s="10" t="str">
        <f>HYPERLINK("https://otsuka-europe-crm.veevavault.com/ui/#object/sent_email__v/VBL00000002R333", "SE-001434835")</f>
        <v>SE-001434835</v>
      </c>
      <c r="F7191" s="11"/>
      <c r="G7191" s="12">
        <v>0</v>
      </c>
      <c r="H7191" s="12">
        <v>0</v>
      </c>
      <c r="I7191" s="12">
        <v>0</v>
      </c>
      <c r="J7191" s="11"/>
      <c r="K7191" s="12">
        <v>0</v>
      </c>
      <c r="L7191" s="10" t="str">
        <f>HYPERLINK("https://otsuka-europe-crm.veevavault.com/ui/#object/approved_document__v/V5OZ04ASG4G02Y6", "INVITATION_VAD_2023")</f>
        <v>INVITATION_VAD_2023</v>
      </c>
      <c r="M7191" s="10" t="str">
        <f>HYPERLINK("mailto:cchevalliermiserole@crm.otsuka-europe.com", "cchevalliermiserole@crm.otsuka-europe.com")</f>
        <v>cchevalliermiserole@crm.otsuka-europe.com</v>
      </c>
      <c r="N7191" s="13">
        <v>46182.530335648145</v>
      </c>
      <c r="O7191" s="14" t="str">
        <f>HYPERLINK("https://otsuka-europe-crm.veevavault.com/ui/#object/email_activity__v/V8C00000003S040", "EN-002092910")</f>
        <v>EN-002092910</v>
      </c>
    </row>
    <row r="7192" spans="1:15" ht="48" x14ac:dyDescent="0.2">
      <c r="A7192" s="7" t="str">
        <f>HYPERLINK("https://otsuka-europe-crm.veevavault.com/ui/#object/account__v/V4TZ00000633UNS", "AURELIEN LAURENT")</f>
        <v>AURELIEN LAURENT</v>
      </c>
      <c r="B7192" s="7" t="str">
        <f>HYPERLINK("https://otsuka-europe-crm.veevavault.com/ui/#object/vcountry__v/VENZ000004SONFA", "FR")</f>
        <v>FR</v>
      </c>
      <c r="C7192" s="8" t="s">
        <v>42</v>
      </c>
      <c r="D7192" s="9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E7192" s="10" t="str">
        <f>HYPERLINK("https://otsuka-europe-crm.veevavault.com/ui/#object/sent_email__v/VBL00000002R334", "SE-001434836")</f>
        <v>SE-001434836</v>
      </c>
      <c r="F7192" s="11"/>
      <c r="G7192" s="12">
        <v>0</v>
      </c>
      <c r="H7192" s="12">
        <v>0</v>
      </c>
      <c r="I7192" s="12">
        <v>0</v>
      </c>
      <c r="J7192" s="11"/>
      <c r="K7192" s="12">
        <v>0</v>
      </c>
      <c r="L7192" s="10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M7192" s="10" t="str">
        <f>HYPERLINK("mailto:cchevalliermiserole@crm.otsuka-europe.com", "cchevalliermiserole@crm.otsuka-europe.com")</f>
        <v>cchevalliermiserole@crm.otsuka-europe.com</v>
      </c>
      <c r="N7192" s="13">
        <v>46183.008877314816</v>
      </c>
      <c r="O7192" s="14" t="str">
        <f>HYPERLINK("https://otsuka-europe-crm.veevavault.com/ui/#object/email_activity__v/V8C00000003S443", "EN-002093797")</f>
        <v>EN-002093797</v>
      </c>
    </row>
    <row r="7193" spans="1:15" ht="16" x14ac:dyDescent="0.2">
      <c r="A7193" s="17" t="str">
        <f>HYPERLINK("https://otsuka-europe-crm.veevavault.com/ui/#object/account__v/V4TZ00000633UNS", "AURELIEN LAURENT")</f>
        <v>AURELIEN LAURENT</v>
      </c>
      <c r="B7193" s="17" t="str">
        <f>HYPERLINK("https://otsuka-europe-crm.veevavault.com/ui/#object/vcountry__v/VENZ000004SONFA", "FR")</f>
        <v>FR</v>
      </c>
      <c r="C7193" s="20" t="s">
        <v>42</v>
      </c>
      <c r="D7193" s="21" t="str">
        <f>HYPERLINK("https://otsuka-europe-crm.veevavault.com/ui/#object/approved_document__v/V5OZ04ASG4G02Y7", "REMERCIEMENTS_VAD_2023")</f>
        <v>REMERCIEMENTS_VAD_2023</v>
      </c>
      <c r="E7193" s="22" t="str">
        <f>HYPERLINK("https://otsuka-europe-crm.veevavault.com/ui/#object/sent_email__v/VBL00000002R335", "SE-001434837")</f>
        <v>SE-001434837</v>
      </c>
      <c r="F7193" s="23">
        <v>46182.531307870369</v>
      </c>
      <c r="G7193" s="24">
        <v>1</v>
      </c>
      <c r="H7193" s="24">
        <v>1</v>
      </c>
      <c r="I7193" s="24">
        <v>1</v>
      </c>
      <c r="J7193" s="23">
        <v>46182.532060185185</v>
      </c>
      <c r="K7193" s="24">
        <v>3</v>
      </c>
      <c r="L7193" s="22" t="str">
        <f>HYPERLINK("https://otsuka-europe-crm.veevavault.com/ui/#object/approved_document__v/V5OZ04ASG4G02Y7", "REMERCIEMENTS_VAD_2023")</f>
        <v>REMERCIEMENTS_VAD_2023</v>
      </c>
      <c r="M7193" s="22" t="str">
        <f>HYPERLINK("mailto:cchevalliermiserole@crm.otsuka-europe.com", "cchevalliermiserole@crm.otsuka-europe.com")</f>
        <v>cchevalliermiserole@crm.otsuka-europe.com</v>
      </c>
      <c r="N7193" s="23">
        <v>46182.530787037038</v>
      </c>
      <c r="O7193" s="14" t="str">
        <f>HYPERLINK("https://otsuka-europe-crm.veevavault.com/ui/#object/email_activity__v/V8C00000003S041", "EN-002092911")</f>
        <v>EN-002092911</v>
      </c>
    </row>
    <row r="7194" spans="1:15" ht="16" x14ac:dyDescent="0.2">
      <c r="A7194" s="18"/>
      <c r="B7194" s="18"/>
      <c r="C7194" s="18"/>
      <c r="D7194" s="18"/>
      <c r="E7194" s="18"/>
      <c r="F7194" s="18"/>
      <c r="G7194" s="18"/>
      <c r="H7194" s="18"/>
      <c r="I7194" s="18"/>
      <c r="J7194" s="18"/>
      <c r="K7194" s="18"/>
      <c r="L7194" s="18"/>
      <c r="M7194" s="18"/>
      <c r="N7194" s="18"/>
      <c r="O7194" s="14" t="str">
        <f>HYPERLINK("https://otsuka-europe-crm.veevavault.com/ui/#object/email_activity__v/V8C00000003S042", "EN-002092913")</f>
        <v>EN-002092913</v>
      </c>
    </row>
    <row r="7195" spans="1:15" ht="16" x14ac:dyDescent="0.2">
      <c r="A7195" s="18"/>
      <c r="B7195" s="18"/>
      <c r="C7195" s="18"/>
      <c r="D7195" s="18"/>
      <c r="E7195" s="18"/>
      <c r="F7195" s="18"/>
      <c r="G7195" s="18"/>
      <c r="H7195" s="18"/>
      <c r="I7195" s="18"/>
      <c r="J7195" s="18"/>
      <c r="K7195" s="18"/>
      <c r="L7195" s="18"/>
      <c r="M7195" s="18"/>
      <c r="N7195" s="18"/>
      <c r="O7195" s="14" t="str">
        <f>HYPERLINK("https://otsuka-europe-crm.veevavault.com/ui/#object/email_activity__v/V8C00000003S043", "EN-002092912")</f>
        <v>EN-002092912</v>
      </c>
    </row>
    <row r="7196" spans="1:15" ht="16" x14ac:dyDescent="0.2">
      <c r="A7196" s="18"/>
      <c r="B7196" s="18"/>
      <c r="C7196" s="18"/>
      <c r="D7196" s="18"/>
      <c r="E7196" s="18"/>
      <c r="F7196" s="18"/>
      <c r="G7196" s="18"/>
      <c r="H7196" s="18"/>
      <c r="I7196" s="18"/>
      <c r="J7196" s="18"/>
      <c r="K7196" s="18"/>
      <c r="L7196" s="18"/>
      <c r="M7196" s="18"/>
      <c r="N7196" s="18"/>
      <c r="O7196" s="14" t="str">
        <f>HYPERLINK("https://otsuka-europe-crm.veevavault.com/ui/#object/email_activity__v/V8C00000003S044", "EN-002092914")</f>
        <v>EN-002092914</v>
      </c>
    </row>
    <row r="7197" spans="1:15" ht="16" x14ac:dyDescent="0.2">
      <c r="A7197" s="19"/>
      <c r="B7197" s="19"/>
      <c r="C7197" s="19"/>
      <c r="D7197" s="19"/>
      <c r="E7197" s="19"/>
      <c r="F7197" s="19"/>
      <c r="G7197" s="19"/>
      <c r="H7197" s="19"/>
      <c r="I7197" s="19"/>
      <c r="J7197" s="19"/>
      <c r="K7197" s="19"/>
      <c r="L7197" s="19"/>
      <c r="M7197" s="19"/>
      <c r="N7197" s="19"/>
      <c r="O7197" s="14" t="str">
        <f>HYPERLINK("https://otsuka-europe-crm.veevavault.com/ui/#object/email_activity__v/V8C00000003S045", "EN-002092915")</f>
        <v>EN-002092915</v>
      </c>
    </row>
    <row r="7198" spans="1:15" ht="16" x14ac:dyDescent="0.2">
      <c r="A7198" s="17" t="str">
        <f>HYPERLINK("https://otsuka-europe-crm.veevavault.com/ui/#object/account__v/V4TZ06G6OB46CNB", "RICARDO BLANCO ALONSO")</f>
        <v>RICARDO BLANCO ALONSO</v>
      </c>
      <c r="B7198" s="17" t="str">
        <f>HYPERLINK("https://otsuka-europe-crm.veevavault.com/ui/#object/vcountry__v/VENZ000004SONF5", "ES")</f>
        <v>ES</v>
      </c>
      <c r="C7198" s="20" t="s">
        <v>41</v>
      </c>
      <c r="D7198" s="21" t="str">
        <f>HYPERLINK("https://otsuka-europe-crm.veevavault.com/ui/#object/approved_document__v/V5O00000001B037", "LUP - VAE Póster Adelphi - Reuma")</f>
        <v>LUP - VAE Póster Adelphi - Reuma</v>
      </c>
      <c r="E7198" s="22" t="str">
        <f>HYPERLINK("https://otsuka-europe-crm.veevavault.com/ui/#object/sent_email__v/VBL00000002S454", "SE-001434838")</f>
        <v>SE-001434838</v>
      </c>
      <c r="F7198" s="23">
        <v>46182.585185185184</v>
      </c>
      <c r="G7198" s="24">
        <v>1</v>
      </c>
      <c r="H7198" s="24">
        <v>1</v>
      </c>
      <c r="I7198" s="24">
        <v>0</v>
      </c>
      <c r="J7198" s="25"/>
      <c r="K7198" s="24">
        <v>0</v>
      </c>
      <c r="L7198" s="22" t="str">
        <f>HYPERLINK("https://otsuka-europe-crm.veevavault.com/ui/#object/approved_document__v/V5O00000001B037", "LUP - VAE Póster Adelphi - Reuma")</f>
        <v>LUP - VAE Póster Adelphi - Reuma</v>
      </c>
      <c r="M7198" s="22" t="str">
        <f>HYPERLINK("mailto:pmartinez@crm.otsuka-europe.com", "pmartinez@crm.otsuka-europe.com")</f>
        <v>pmartinez@crm.otsuka-europe.com</v>
      </c>
      <c r="N7198" s="23">
        <v>46182.548402777778</v>
      </c>
      <c r="O7198" s="14" t="str">
        <f>HYPERLINK("https://otsuka-europe-crm.veevavault.com/ui/#object/email_activity__v/V8C00000003R651", "EN-002092935")</f>
        <v>EN-002092935</v>
      </c>
    </row>
    <row r="7199" spans="1:15" ht="16" x14ac:dyDescent="0.2">
      <c r="A7199" s="19"/>
      <c r="B7199" s="19"/>
      <c r="C7199" s="19"/>
      <c r="D7199" s="19"/>
      <c r="E7199" s="19"/>
      <c r="F7199" s="19"/>
      <c r="G7199" s="19"/>
      <c r="H7199" s="19"/>
      <c r="I7199" s="19"/>
      <c r="J7199" s="19"/>
      <c r="K7199" s="19"/>
      <c r="L7199" s="19"/>
      <c r="M7199" s="19"/>
      <c r="N7199" s="19"/>
      <c r="O7199" s="14" t="str">
        <f>HYPERLINK("https://otsuka-europe-crm.veevavault.com/ui/#object/email_activity__v/V8C00000003S061", "EN-002092961")</f>
        <v>EN-002092961</v>
      </c>
    </row>
    <row r="7200" spans="1:15" ht="32" x14ac:dyDescent="0.2">
      <c r="A7200" s="7" t="str">
        <f>HYPERLINK("https://otsuka-europe-crm.veevavault.com/ui/#object/account__v/V4TZ06G6OCEKLDE", "ELENA AURRECOECHEA AGUINAGA")</f>
        <v>ELENA AURRECOECHEA AGUINAGA</v>
      </c>
      <c r="B7200" s="7" t="str">
        <f>HYPERLINK("https://otsuka-europe-crm.veevavault.com/ui/#object/vcountry__v/VENZ000004SONF5", "ES")</f>
        <v>ES</v>
      </c>
      <c r="C7200" s="8" t="s">
        <v>41</v>
      </c>
      <c r="D7200" s="9" t="str">
        <f>HYPERLINK("https://otsuka-europe-crm.veevavault.com/ui/#object/approved_document__v/V5O00000001B037", "LUP - VAE Póster Adelphi - Reuma")</f>
        <v>LUP - VAE Póster Adelphi - Reuma</v>
      </c>
      <c r="E7200" s="10" t="str">
        <f>HYPERLINK("https://otsuka-europe-crm.veevavault.com/ui/#object/sent_email__v/VBL00000002S455", "SE-001434839")</f>
        <v>SE-001434839</v>
      </c>
      <c r="F7200" s="11"/>
      <c r="G7200" s="12">
        <v>0</v>
      </c>
      <c r="H7200" s="12">
        <v>0</v>
      </c>
      <c r="I7200" s="12">
        <v>0</v>
      </c>
      <c r="J7200" s="11"/>
      <c r="K7200" s="12">
        <v>0</v>
      </c>
      <c r="L7200" s="10" t="str">
        <f>HYPERLINK("https://otsuka-europe-crm.veevavault.com/ui/#object/approved_document__v/V5O00000001B037", "LUP - VAE Póster Adelphi - Reuma")</f>
        <v>LUP - VAE Póster Adelphi - Reuma</v>
      </c>
      <c r="M7200" s="10" t="str">
        <f>HYPERLINK("mailto:pmartinez@crm.otsuka-europe.com", "pmartinez@crm.otsuka-europe.com")</f>
        <v>pmartinez@crm.otsuka-europe.com</v>
      </c>
      <c r="N7200" s="13">
        <v>46182.548437500001</v>
      </c>
      <c r="O7200" s="14" t="str">
        <f>HYPERLINK("https://otsuka-europe-crm.veevavault.com/ui/#object/email_activity__v/V8C00000003R654", "EN-002092938")</f>
        <v>EN-002092938</v>
      </c>
    </row>
    <row r="7201" spans="1:15" ht="16" x14ac:dyDescent="0.2">
      <c r="A7201" s="17" t="str">
        <f>HYPERLINK("https://otsuka-europe-crm.veevavault.com/ui/#object/account__v/V4TZ04ASGBCEZRF", "JULIANA RESTREPO VELEZ")</f>
        <v>JULIANA RESTREPO VELEZ</v>
      </c>
      <c r="B7201" s="17" t="str">
        <f>HYPERLINK("https://otsuka-europe-crm.veevavault.com/ui/#object/vcountry__v/VENZ000004SONF5", "ES")</f>
        <v>ES</v>
      </c>
      <c r="C7201" s="20" t="s">
        <v>41</v>
      </c>
      <c r="D7201" s="21" t="str">
        <f>HYPERLINK("https://otsuka-europe-crm.veevavault.com/ui/#object/approved_document__v/V5O00000001B037", "LUP - VAE Póster Adelphi - Reuma")</f>
        <v>LUP - VAE Póster Adelphi - Reuma</v>
      </c>
      <c r="E7201" s="22" t="str">
        <f>HYPERLINK("https://otsuka-europe-crm.veevavault.com/ui/#object/sent_email__v/VBL00000002S456", "SE-001434840")</f>
        <v>SE-001434840</v>
      </c>
      <c r="F7201" s="23">
        <v>46182.616006944445</v>
      </c>
      <c r="G7201" s="24">
        <v>1</v>
      </c>
      <c r="H7201" s="24">
        <v>1</v>
      </c>
      <c r="I7201" s="24">
        <v>0</v>
      </c>
      <c r="J7201" s="25"/>
      <c r="K7201" s="24">
        <v>0</v>
      </c>
      <c r="L7201" s="22" t="str">
        <f>HYPERLINK("https://otsuka-europe-crm.veevavault.com/ui/#object/approved_document__v/V5O00000001B037", "LUP - VAE Póster Adelphi - Reuma")</f>
        <v>LUP - VAE Póster Adelphi - Reuma</v>
      </c>
      <c r="M7201" s="22" t="str">
        <f>HYPERLINK("mailto:pmartinez@crm.otsuka-europe.com", "pmartinez@crm.otsuka-europe.com")</f>
        <v>pmartinez@crm.otsuka-europe.com</v>
      </c>
      <c r="N7201" s="23">
        <v>46182.548402777778</v>
      </c>
      <c r="O7201" s="14" t="str">
        <f>HYPERLINK("https://otsuka-europe-crm.veevavault.com/ui/#object/email_activity__v/V8C00000003R647", "EN-002092931")</f>
        <v>EN-002092931</v>
      </c>
    </row>
    <row r="7202" spans="1:15" ht="16" x14ac:dyDescent="0.2">
      <c r="A7202" s="19"/>
      <c r="B7202" s="19"/>
      <c r="C7202" s="19"/>
      <c r="D7202" s="19"/>
      <c r="E7202" s="19"/>
      <c r="F7202" s="19"/>
      <c r="G7202" s="19"/>
      <c r="H7202" s="19"/>
      <c r="I7202" s="19"/>
      <c r="J7202" s="19"/>
      <c r="K7202" s="19"/>
      <c r="L7202" s="19"/>
      <c r="M7202" s="19"/>
      <c r="N7202" s="19"/>
      <c r="O7202" s="14" t="str">
        <f>HYPERLINK("https://otsuka-europe-crm.veevavault.com/ui/#object/email_activity__v/V8C00000003R726", "EN-002093075")</f>
        <v>EN-002093075</v>
      </c>
    </row>
    <row r="7203" spans="1:15" ht="16" x14ac:dyDescent="0.2">
      <c r="A7203" s="17" t="str">
        <f>HYPERLINK("https://otsuka-europe-crm.veevavault.com/ui/#object/account__v/V4TZ04ASG8VBZEH", "DIANA PRIETO PEÑA")</f>
        <v>DIANA PRIETO PEÑA</v>
      </c>
      <c r="B7203" s="17" t="str">
        <f>HYPERLINK("https://otsuka-europe-crm.veevavault.com/ui/#object/vcountry__v/VENZ000004SONF5", "ES")</f>
        <v>ES</v>
      </c>
      <c r="C7203" s="20" t="s">
        <v>41</v>
      </c>
      <c r="D7203" s="21" t="str">
        <f>HYPERLINK("https://otsuka-europe-crm.veevavault.com/ui/#object/approved_document__v/V5O00000001B037", "LUP - VAE Póster Adelphi - Reuma")</f>
        <v>LUP - VAE Póster Adelphi - Reuma</v>
      </c>
      <c r="E7203" s="22" t="str">
        <f>HYPERLINK("https://otsuka-europe-crm.veevavault.com/ui/#object/sent_email__v/VBL00000002S457", "SE-001434841")</f>
        <v>SE-001434841</v>
      </c>
      <c r="F7203" s="23">
        <v>46182.571562500001</v>
      </c>
      <c r="G7203" s="24">
        <v>1</v>
      </c>
      <c r="H7203" s="24">
        <v>2</v>
      </c>
      <c r="I7203" s="24">
        <v>0</v>
      </c>
      <c r="J7203" s="25"/>
      <c r="K7203" s="24">
        <v>0</v>
      </c>
      <c r="L7203" s="22" t="str">
        <f>HYPERLINK("https://otsuka-europe-crm.veevavault.com/ui/#object/approved_document__v/V5O00000001B037", "LUP - VAE Póster Adelphi - Reuma")</f>
        <v>LUP - VAE Póster Adelphi - Reuma</v>
      </c>
      <c r="M7203" s="22" t="str">
        <f>HYPERLINK("mailto:pmartinez@crm.otsuka-europe.com", "pmartinez@crm.otsuka-europe.com")</f>
        <v>pmartinez@crm.otsuka-europe.com</v>
      </c>
      <c r="N7203" s="23">
        <v>46182.548402777778</v>
      </c>
      <c r="O7203" s="14" t="str">
        <f>HYPERLINK("https://otsuka-europe-crm.veevavault.com/ui/#object/email_activity__v/V8C00000003R644", "EN-002092928")</f>
        <v>EN-002092928</v>
      </c>
    </row>
    <row r="7204" spans="1:15" ht="16" x14ac:dyDescent="0.2">
      <c r="A7204" s="18"/>
      <c r="B7204" s="18"/>
      <c r="C7204" s="18"/>
      <c r="D7204" s="18"/>
      <c r="E7204" s="18"/>
      <c r="F7204" s="18"/>
      <c r="G7204" s="18"/>
      <c r="H7204" s="18"/>
      <c r="I7204" s="18"/>
      <c r="J7204" s="18"/>
      <c r="K7204" s="18"/>
      <c r="L7204" s="18"/>
      <c r="M7204" s="18"/>
      <c r="N7204" s="18"/>
      <c r="O7204" s="14" t="str">
        <f>HYPERLINK("https://otsuka-europe-crm.veevavault.com/ui/#object/email_activity__v/V8C00000003R660", "EN-002092950")</f>
        <v>EN-002092950</v>
      </c>
    </row>
    <row r="7205" spans="1:15" ht="16" x14ac:dyDescent="0.2">
      <c r="A7205" s="19"/>
      <c r="B7205" s="19"/>
      <c r="C7205" s="19"/>
      <c r="D7205" s="19"/>
      <c r="E7205" s="19"/>
      <c r="F7205" s="19"/>
      <c r="G7205" s="19"/>
      <c r="H7205" s="19"/>
      <c r="I7205" s="19"/>
      <c r="J7205" s="19"/>
      <c r="K7205" s="19"/>
      <c r="L7205" s="19"/>
      <c r="M7205" s="19"/>
      <c r="N7205" s="19"/>
      <c r="O7205" s="14" t="str">
        <f>HYPERLINK("https://otsuka-europe-crm.veevavault.com/ui/#object/email_activity__v/V8C00000003S057", "EN-002092956")</f>
        <v>EN-002092956</v>
      </c>
    </row>
    <row r="7206" spans="1:15" ht="32" x14ac:dyDescent="0.2">
      <c r="A7206" s="7" t="str">
        <f>HYPERLINK("https://otsuka-europe-crm.veevavault.com/ui/#object/account__v/V4TZ04ASG9BD32G", "IRATI URIONAGUENA ONAINDIA")</f>
        <v>IRATI URIONAGUENA ONAINDIA</v>
      </c>
      <c r="B7206" s="7" t="str">
        <f>HYPERLINK("https://otsuka-europe-crm.veevavault.com/ui/#object/vcountry__v/VENZ000004SONF5", "ES")</f>
        <v>ES</v>
      </c>
      <c r="C7206" s="8" t="s">
        <v>41</v>
      </c>
      <c r="D7206" s="9" t="str">
        <f>HYPERLINK("https://otsuka-europe-crm.veevavault.com/ui/#object/approved_document__v/V5O00000001B037", "LUP - VAE Póster Adelphi - Reuma")</f>
        <v>LUP - VAE Póster Adelphi - Reuma</v>
      </c>
      <c r="E7206" s="10" t="str">
        <f>HYPERLINK("https://otsuka-europe-crm.veevavault.com/ui/#object/sent_email__v/VBL00000002S458", "SE-001434842")</f>
        <v>SE-001434842</v>
      </c>
      <c r="F7206" s="11"/>
      <c r="G7206" s="12">
        <v>0</v>
      </c>
      <c r="H7206" s="12">
        <v>0</v>
      </c>
      <c r="I7206" s="12">
        <v>0</v>
      </c>
      <c r="J7206" s="11"/>
      <c r="K7206" s="12">
        <v>0</v>
      </c>
      <c r="L7206" s="10" t="str">
        <f>HYPERLINK("https://otsuka-europe-crm.veevavault.com/ui/#object/approved_document__v/V5O00000001B037", "LUP - VAE Póster Adelphi - Reuma")</f>
        <v>LUP - VAE Póster Adelphi - Reuma</v>
      </c>
      <c r="M7206" s="10" t="str">
        <f>HYPERLINK("mailto:pmartinez@crm.otsuka-europe.com", "pmartinez@crm.otsuka-europe.com")</f>
        <v>pmartinez@crm.otsuka-europe.com</v>
      </c>
      <c r="N7206" s="13">
        <v>46182.548414351855</v>
      </c>
      <c r="O7206" s="14" t="str">
        <f>HYPERLINK("https://otsuka-europe-crm.veevavault.com/ui/#object/email_activity__v/V8C00000003R650", "EN-002092934")</f>
        <v>EN-002092934</v>
      </c>
    </row>
    <row r="7207" spans="1:15" ht="16" x14ac:dyDescent="0.2">
      <c r="A7207" s="17" t="str">
        <f>HYPERLINK("https://otsuka-europe-crm.veevavault.com/ui/#object/account__v/V4TZ06G6OCEKLFM", "JOSE FRANCISCO GARCIA LLORENTE")</f>
        <v>JOSE FRANCISCO GARCIA LLORENTE</v>
      </c>
      <c r="B7207" s="17" t="str">
        <f>HYPERLINK("https://otsuka-europe-crm.veevavault.com/ui/#object/vcountry__v/VENZ000004SONF5", "ES")</f>
        <v>ES</v>
      </c>
      <c r="C7207" s="20" t="s">
        <v>41</v>
      </c>
      <c r="D7207" s="21" t="str">
        <f>HYPERLINK("https://otsuka-europe-crm.veevavault.com/ui/#object/approved_document__v/V5O00000001B037", "LUP - VAE Póster Adelphi - Reuma")</f>
        <v>LUP - VAE Póster Adelphi - Reuma</v>
      </c>
      <c r="E7207" s="22" t="str">
        <f>HYPERLINK("https://otsuka-europe-crm.veevavault.com/ui/#object/sent_email__v/VBL00000002S459", "SE-001434843")</f>
        <v>SE-001434843</v>
      </c>
      <c r="F7207" s="23">
        <v>46183.751516203702</v>
      </c>
      <c r="G7207" s="24">
        <v>1</v>
      </c>
      <c r="H7207" s="24">
        <v>2</v>
      </c>
      <c r="I7207" s="24">
        <v>0</v>
      </c>
      <c r="J7207" s="25"/>
      <c r="K7207" s="24">
        <v>0</v>
      </c>
      <c r="L7207" s="22" t="str">
        <f>HYPERLINK("https://otsuka-europe-crm.veevavault.com/ui/#object/approved_document__v/V5O00000001B037", "LUP - VAE Póster Adelphi - Reuma")</f>
        <v>LUP - VAE Póster Adelphi - Reuma</v>
      </c>
      <c r="M7207" s="22" t="str">
        <f>HYPERLINK("mailto:pmartinez@crm.otsuka-europe.com", "pmartinez@crm.otsuka-europe.com")</f>
        <v>pmartinez@crm.otsuka-europe.com</v>
      </c>
      <c r="N7207" s="23">
        <v>46182.548414351855</v>
      </c>
      <c r="O7207" s="14" t="str">
        <f>HYPERLINK("https://otsuka-europe-crm.veevavault.com/ui/#object/email_activity__v/V8C00000003R652", "EN-002092936")</f>
        <v>EN-002092936</v>
      </c>
    </row>
    <row r="7208" spans="1:15" ht="16" x14ac:dyDescent="0.2">
      <c r="A7208" s="18"/>
      <c r="B7208" s="18"/>
      <c r="C7208" s="18"/>
      <c r="D7208" s="18"/>
      <c r="E7208" s="18"/>
      <c r="F7208" s="18"/>
      <c r="G7208" s="18"/>
      <c r="H7208" s="18"/>
      <c r="I7208" s="18"/>
      <c r="J7208" s="18"/>
      <c r="K7208" s="18"/>
      <c r="L7208" s="18"/>
      <c r="M7208" s="18"/>
      <c r="N7208" s="18"/>
      <c r="O7208" s="14" t="str">
        <f>HYPERLINK("https://otsuka-europe-crm.veevavault.com/ui/#object/email_activity__v/V8C00000003S224", "EN-002093331")</f>
        <v>EN-002093331</v>
      </c>
    </row>
    <row r="7209" spans="1:15" ht="16" x14ac:dyDescent="0.2">
      <c r="A7209" s="19"/>
      <c r="B7209" s="19"/>
      <c r="C7209" s="19"/>
      <c r="D7209" s="19"/>
      <c r="E7209" s="19"/>
      <c r="F7209" s="19"/>
      <c r="G7209" s="19"/>
      <c r="H7209" s="19"/>
      <c r="I7209" s="19"/>
      <c r="J7209" s="19"/>
      <c r="K7209" s="19"/>
      <c r="L7209" s="19"/>
      <c r="M7209" s="19"/>
      <c r="N7209" s="19"/>
      <c r="O7209" s="14" t="str">
        <f>HYPERLINK("https://otsuka-europe-crm.veevavault.com/ui/#object/email_activity__v/V8C00000003T384", "EN-002094369")</f>
        <v>EN-002094369</v>
      </c>
    </row>
    <row r="7210" spans="1:15" ht="16" x14ac:dyDescent="0.2">
      <c r="A7210" s="17" t="str">
        <f>HYPERLINK("https://otsuka-europe-crm.veevavault.com/ui/#object/account__v/V4TZ04ASG6FSYLU", "JOAQUIN BELZUNEGUI OTANO")</f>
        <v>JOAQUIN BELZUNEGUI OTANO</v>
      </c>
      <c r="B7210" s="17" t="str">
        <f>HYPERLINK("https://otsuka-europe-crm.veevavault.com/ui/#object/vcountry__v/VENZ000004SONF5", "ES")</f>
        <v>ES</v>
      </c>
      <c r="C7210" s="20" t="s">
        <v>41</v>
      </c>
      <c r="D7210" s="21" t="str">
        <f>HYPERLINK("https://otsuka-europe-crm.veevavault.com/ui/#object/approved_document__v/V5O00000001B037", "LUP - VAE Póster Adelphi - Reuma")</f>
        <v>LUP - VAE Póster Adelphi - Reuma</v>
      </c>
      <c r="E7210" s="22" t="str">
        <f>HYPERLINK("https://otsuka-europe-crm.veevavault.com/ui/#object/sent_email__v/VBL00000002S460", "SE-001434844")</f>
        <v>SE-001434844</v>
      </c>
      <c r="F7210" s="23">
        <v>46189.27584490741</v>
      </c>
      <c r="G7210" s="24">
        <v>1</v>
      </c>
      <c r="H7210" s="24">
        <v>9</v>
      </c>
      <c r="I7210" s="24">
        <v>0</v>
      </c>
      <c r="J7210" s="25"/>
      <c r="K7210" s="24">
        <v>0</v>
      </c>
      <c r="L7210" s="22" t="str">
        <f>HYPERLINK("https://otsuka-europe-crm.veevavault.com/ui/#object/approved_document__v/V5O00000001B037", "LUP - VAE Póster Adelphi - Reuma")</f>
        <v>LUP - VAE Póster Adelphi - Reuma</v>
      </c>
      <c r="M7210" s="22" t="str">
        <f>HYPERLINK("mailto:pmartinez@crm.otsuka-europe.com", "pmartinez@crm.otsuka-europe.com")</f>
        <v>pmartinez@crm.otsuka-europe.com</v>
      </c>
      <c r="N7210" s="23">
        <v>46182.548402777778</v>
      </c>
      <c r="O7210" s="14" t="str">
        <f>HYPERLINK("https://otsuka-europe-crm.veevavault.com/ui/#object/email_activity__v/V8C00000003R645", "EN-002092929")</f>
        <v>EN-002092929</v>
      </c>
    </row>
    <row r="7211" spans="1:15" ht="16" x14ac:dyDescent="0.2">
      <c r="A7211" s="18"/>
      <c r="B7211" s="18"/>
      <c r="C7211" s="18"/>
      <c r="D7211" s="18"/>
      <c r="E7211" s="18"/>
      <c r="F7211" s="18"/>
      <c r="G7211" s="18"/>
      <c r="H7211" s="18"/>
      <c r="I7211" s="18"/>
      <c r="J7211" s="18"/>
      <c r="K7211" s="18"/>
      <c r="L7211" s="18"/>
      <c r="M7211" s="18"/>
      <c r="N7211" s="18"/>
      <c r="O7211" s="14" t="str">
        <f>HYPERLINK("https://otsuka-europe-crm.veevavault.com/ui/#object/email_activity__v/V8C00000003R663", "EN-002092960")</f>
        <v>EN-002092960</v>
      </c>
    </row>
    <row r="7212" spans="1:15" ht="16" x14ac:dyDescent="0.2">
      <c r="A7212" s="18"/>
      <c r="B7212" s="18"/>
      <c r="C7212" s="18"/>
      <c r="D7212" s="18"/>
      <c r="E7212" s="18"/>
      <c r="F7212" s="18"/>
      <c r="G7212" s="18"/>
      <c r="H7212" s="18"/>
      <c r="I7212" s="18"/>
      <c r="J7212" s="18"/>
      <c r="K7212" s="18"/>
      <c r="L7212" s="18"/>
      <c r="M7212" s="18"/>
      <c r="N7212" s="18"/>
      <c r="O7212" s="14" t="str">
        <f>HYPERLINK("https://otsuka-europe-crm.veevavault.com/ui/#object/email_activity__v/V8C00000003S054", "EN-002092951")</f>
        <v>EN-002092951</v>
      </c>
    </row>
    <row r="7213" spans="1:15" ht="16" x14ac:dyDescent="0.2">
      <c r="A7213" s="18"/>
      <c r="B7213" s="18"/>
      <c r="C7213" s="18"/>
      <c r="D7213" s="18"/>
      <c r="E7213" s="18"/>
      <c r="F7213" s="18"/>
      <c r="G7213" s="18"/>
      <c r="H7213" s="18"/>
      <c r="I7213" s="18"/>
      <c r="J7213" s="18"/>
      <c r="K7213" s="18"/>
      <c r="L7213" s="18"/>
      <c r="M7213" s="18"/>
      <c r="N7213" s="18"/>
      <c r="O7213" s="14" t="str">
        <f>HYPERLINK("https://otsuka-europe-crm.veevavault.com/ui/#object/email_activity__v/V8C00000003S884", "EN-002094627")</f>
        <v>EN-002094627</v>
      </c>
    </row>
    <row r="7214" spans="1:15" ht="16" x14ac:dyDescent="0.2">
      <c r="A7214" s="18"/>
      <c r="B7214" s="18"/>
      <c r="C7214" s="18"/>
      <c r="D7214" s="18"/>
      <c r="E7214" s="18"/>
      <c r="F7214" s="18"/>
      <c r="G7214" s="18"/>
      <c r="H7214" s="18"/>
      <c r="I7214" s="18"/>
      <c r="J7214" s="18"/>
      <c r="K7214" s="18"/>
      <c r="L7214" s="18"/>
      <c r="M7214" s="18"/>
      <c r="N7214" s="18"/>
      <c r="O7214" s="14" t="str">
        <f>HYPERLINK("https://otsuka-europe-crm.veevavault.com/ui/#object/email_activity__v/V8C00000003T133", "EN-002093818")</f>
        <v>EN-002093818</v>
      </c>
    </row>
    <row r="7215" spans="1:15" ht="16" x14ac:dyDescent="0.2">
      <c r="A7215" s="18"/>
      <c r="B7215" s="18"/>
      <c r="C7215" s="18"/>
      <c r="D7215" s="18"/>
      <c r="E7215" s="18"/>
      <c r="F7215" s="18"/>
      <c r="G7215" s="18"/>
      <c r="H7215" s="18"/>
      <c r="I7215" s="18"/>
      <c r="J7215" s="18"/>
      <c r="K7215" s="18"/>
      <c r="L7215" s="18"/>
      <c r="M7215" s="18"/>
      <c r="N7215" s="18"/>
      <c r="O7215" s="14" t="str">
        <f>HYPERLINK("https://otsuka-europe-crm.veevavault.com/ui/#object/email_activity__v/V8C00000003T379", "EN-002094354")</f>
        <v>EN-002094354</v>
      </c>
    </row>
    <row r="7216" spans="1:15" ht="16" x14ac:dyDescent="0.2">
      <c r="A7216" s="18"/>
      <c r="B7216" s="18"/>
      <c r="C7216" s="18"/>
      <c r="D7216" s="18"/>
      <c r="E7216" s="18"/>
      <c r="F7216" s="18"/>
      <c r="G7216" s="18"/>
      <c r="H7216" s="18"/>
      <c r="I7216" s="18"/>
      <c r="J7216" s="18"/>
      <c r="K7216" s="18"/>
      <c r="L7216" s="18"/>
      <c r="M7216" s="18"/>
      <c r="N7216" s="18"/>
      <c r="O7216" s="14" t="str">
        <f>HYPERLINK("https://otsuka-europe-crm.veevavault.com/ui/#object/email_activity__v/V8C00000003U433", "EN-002095722")</f>
        <v>EN-002095722</v>
      </c>
    </row>
    <row r="7217" spans="1:15" ht="16" x14ac:dyDescent="0.2">
      <c r="A7217" s="18"/>
      <c r="B7217" s="18"/>
      <c r="C7217" s="18"/>
      <c r="D7217" s="18"/>
      <c r="E7217" s="18"/>
      <c r="F7217" s="18"/>
      <c r="G7217" s="18"/>
      <c r="H7217" s="18"/>
      <c r="I7217" s="18"/>
      <c r="J7217" s="18"/>
      <c r="K7217" s="18"/>
      <c r="L7217" s="18"/>
      <c r="M7217" s="18"/>
      <c r="N7217" s="18"/>
      <c r="O7217" s="14" t="str">
        <f>HYPERLINK("https://otsuka-europe-crm.veevavault.com/ui/#object/email_activity__v/V8C00000003U809", "EN-002096534")</f>
        <v>EN-002096534</v>
      </c>
    </row>
    <row r="7218" spans="1:15" ht="16" x14ac:dyDescent="0.2">
      <c r="A7218" s="18"/>
      <c r="B7218" s="18"/>
      <c r="C7218" s="18"/>
      <c r="D7218" s="18"/>
      <c r="E7218" s="18"/>
      <c r="F7218" s="18"/>
      <c r="G7218" s="18"/>
      <c r="H7218" s="18"/>
      <c r="I7218" s="18"/>
      <c r="J7218" s="18"/>
      <c r="K7218" s="18"/>
      <c r="L7218" s="18"/>
      <c r="M7218" s="18"/>
      <c r="N7218" s="18"/>
      <c r="O7218" s="14" t="str">
        <f>HYPERLINK("https://otsuka-europe-crm.veevavault.com/ui/#object/email_activity__v/V8C00000003U810", "EN-002096535")</f>
        <v>EN-002096535</v>
      </c>
    </row>
    <row r="7219" spans="1:15" ht="16" x14ac:dyDescent="0.2">
      <c r="A7219" s="19"/>
      <c r="B7219" s="19"/>
      <c r="C7219" s="19"/>
      <c r="D7219" s="19"/>
      <c r="E7219" s="19"/>
      <c r="F7219" s="19"/>
      <c r="G7219" s="19"/>
      <c r="H7219" s="19"/>
      <c r="I7219" s="19"/>
      <c r="J7219" s="19"/>
      <c r="K7219" s="19"/>
      <c r="L7219" s="19"/>
      <c r="M7219" s="19"/>
      <c r="N7219" s="19"/>
      <c r="O7219" s="14" t="str">
        <f>HYPERLINK("https://otsuka-europe-crm.veevavault.com/ui/#object/email_activity__v/V8C00000003W125", "EN-002096888")</f>
        <v>EN-002096888</v>
      </c>
    </row>
    <row r="7220" spans="1:15" ht="32" x14ac:dyDescent="0.2">
      <c r="A7220" s="7" t="str">
        <f>HYPERLINK("https://otsuka-europe-crm.veevavault.com/ui/#object/account__v/V4TZ06G6OBUMOMR", "VANESA CALVO DEL RIO")</f>
        <v>VANESA CALVO DEL RIO</v>
      </c>
      <c r="B7220" s="7" t="str">
        <f>HYPERLINK("https://otsuka-europe-crm.veevavault.com/ui/#object/vcountry__v/VENZ000004SONF5", "ES")</f>
        <v>ES</v>
      </c>
      <c r="C7220" s="8" t="s">
        <v>41</v>
      </c>
      <c r="D7220" s="9" t="str">
        <f>HYPERLINK("https://otsuka-europe-crm.veevavault.com/ui/#object/approved_document__v/V5O00000001B037", "LUP - VAE Póster Adelphi - Reuma")</f>
        <v>LUP - VAE Póster Adelphi - Reuma</v>
      </c>
      <c r="E7220" s="10" t="str">
        <f>HYPERLINK("https://otsuka-europe-crm.veevavault.com/ui/#object/sent_email__v/VBL00000002S461", "SE-001434845")</f>
        <v>SE-001434845</v>
      </c>
      <c r="F7220" s="11"/>
      <c r="G7220" s="12">
        <v>0</v>
      </c>
      <c r="H7220" s="12">
        <v>0</v>
      </c>
      <c r="I7220" s="12">
        <v>0</v>
      </c>
      <c r="J7220" s="11"/>
      <c r="K7220" s="12">
        <v>0</v>
      </c>
      <c r="L7220" s="10" t="str">
        <f>HYPERLINK("https://otsuka-europe-crm.veevavault.com/ui/#object/approved_document__v/V5O00000001B037", "LUP - VAE Póster Adelphi - Reuma")</f>
        <v>LUP - VAE Póster Adelphi - Reuma</v>
      </c>
      <c r="M7220" s="10" t="str">
        <f>HYPERLINK("mailto:pmartinez@crm.otsuka-europe.com", "pmartinez@crm.otsuka-europe.com")</f>
        <v>pmartinez@crm.otsuka-europe.com</v>
      </c>
      <c r="N7220" s="13">
        <v>46182.548449074071</v>
      </c>
      <c r="O7220" s="14" t="str">
        <f>HYPERLINK("https://otsuka-europe-crm.veevavault.com/ui/#object/email_activity__v/V8C00000003R655", "EN-002092939")</f>
        <v>EN-002092939</v>
      </c>
    </row>
    <row r="7221" spans="1:15" ht="16" x14ac:dyDescent="0.2">
      <c r="A7221" s="17" t="str">
        <f>HYPERLINK("https://otsuka-europe-crm.veevavault.com/ui/#object/account__v/V4TZ04ASGBXJ6FA", "CRISTINA CORRALES SELAYA")</f>
        <v>CRISTINA CORRALES SELAYA</v>
      </c>
      <c r="B7221" s="17" t="str">
        <f>HYPERLINK("https://otsuka-europe-crm.veevavault.com/ui/#object/vcountry__v/VENZ000004SONF5", "ES")</f>
        <v>ES</v>
      </c>
      <c r="C7221" s="20" t="s">
        <v>41</v>
      </c>
      <c r="D7221" s="21" t="str">
        <f>HYPERLINK("https://otsuka-europe-crm.veevavault.com/ui/#object/approved_document__v/V5O00000001B037", "LUP - VAE Póster Adelphi - Reuma")</f>
        <v>LUP - VAE Póster Adelphi - Reuma</v>
      </c>
      <c r="E7221" s="22" t="str">
        <f>HYPERLINK("https://otsuka-europe-crm.veevavault.com/ui/#object/sent_email__v/VBL00000002S462", "SE-001434846")</f>
        <v>SE-001434846</v>
      </c>
      <c r="F7221" s="23">
        <v>46183.280868055554</v>
      </c>
      <c r="G7221" s="24">
        <v>1</v>
      </c>
      <c r="H7221" s="24">
        <v>2</v>
      </c>
      <c r="I7221" s="24">
        <v>0</v>
      </c>
      <c r="J7221" s="25"/>
      <c r="K7221" s="24">
        <v>0</v>
      </c>
      <c r="L7221" s="22" t="str">
        <f>HYPERLINK("https://otsuka-europe-crm.veevavault.com/ui/#object/approved_document__v/V5O00000001B037", "LUP - VAE Póster Adelphi - Reuma")</f>
        <v>LUP - VAE Póster Adelphi - Reuma</v>
      </c>
      <c r="M7221" s="22" t="str">
        <f>HYPERLINK("mailto:pmartinez@crm.otsuka-europe.com", "pmartinez@crm.otsuka-europe.com")</f>
        <v>pmartinez@crm.otsuka-europe.com</v>
      </c>
      <c r="N7221" s="23">
        <v>46182.548402777778</v>
      </c>
      <c r="O7221" s="14" t="str">
        <f>HYPERLINK("https://otsuka-europe-crm.veevavault.com/ui/#object/email_activity__v/V8C00000003R648", "EN-002092932")</f>
        <v>EN-002092932</v>
      </c>
    </row>
    <row r="7222" spans="1:15" ht="16" x14ac:dyDescent="0.2">
      <c r="A7222" s="18"/>
      <c r="B7222" s="18"/>
      <c r="C7222" s="18"/>
      <c r="D7222" s="18"/>
      <c r="E7222" s="18"/>
      <c r="F7222" s="18"/>
      <c r="G7222" s="18"/>
      <c r="H7222" s="18"/>
      <c r="I7222" s="18"/>
      <c r="J7222" s="18"/>
      <c r="K7222" s="18"/>
      <c r="L7222" s="18"/>
      <c r="M7222" s="18"/>
      <c r="N7222" s="18"/>
      <c r="O7222" s="14" t="str">
        <f>HYPERLINK("https://otsuka-europe-crm.veevavault.com/ui/#object/email_activity__v/V8C00000003S465", "EN-002093841")</f>
        <v>EN-002093841</v>
      </c>
    </row>
    <row r="7223" spans="1:15" ht="16" x14ac:dyDescent="0.2">
      <c r="A7223" s="19"/>
      <c r="B7223" s="19"/>
      <c r="C7223" s="19"/>
      <c r="D7223" s="19"/>
      <c r="E7223" s="19"/>
      <c r="F7223" s="19"/>
      <c r="G7223" s="19"/>
      <c r="H7223" s="19"/>
      <c r="I7223" s="19"/>
      <c r="J7223" s="19"/>
      <c r="K7223" s="19"/>
      <c r="L7223" s="19"/>
      <c r="M7223" s="19"/>
      <c r="N7223" s="19"/>
      <c r="O7223" s="14" t="str">
        <f>HYPERLINK("https://otsuka-europe-crm.veevavault.com/ui/#object/email_activity__v/V8C00000003S466", "EN-002093842")</f>
        <v>EN-002093842</v>
      </c>
    </row>
    <row r="7224" spans="1:15" ht="16" x14ac:dyDescent="0.2">
      <c r="A7224" s="17" t="str">
        <f>HYPERLINK("https://otsuka-europe-crm.veevavault.com/ui/#object/account__v/V4TZ06G6OBUNB0Y", "JAIME CALVO ALEN")</f>
        <v>JAIME CALVO ALEN</v>
      </c>
      <c r="B7224" s="17" t="str">
        <f>HYPERLINK("https://otsuka-europe-crm.veevavault.com/ui/#object/vcountry__v/VENZ000004SONF5", "ES")</f>
        <v>ES</v>
      </c>
      <c r="C7224" s="20" t="s">
        <v>41</v>
      </c>
      <c r="D7224" s="21" t="str">
        <f>HYPERLINK("https://otsuka-europe-crm.veevavault.com/ui/#object/approved_document__v/V5O00000001B037", "LUP - VAE Póster Adelphi - Reuma")</f>
        <v>LUP - VAE Póster Adelphi - Reuma</v>
      </c>
      <c r="E7224" s="22" t="str">
        <f>HYPERLINK("https://otsuka-europe-crm.veevavault.com/ui/#object/sent_email__v/VBL00000002S463", "SE-001434847")</f>
        <v>SE-001434847</v>
      </c>
      <c r="F7224" s="25"/>
      <c r="G7224" s="24">
        <v>0</v>
      </c>
      <c r="H7224" s="24">
        <v>0</v>
      </c>
      <c r="I7224" s="24">
        <v>0</v>
      </c>
      <c r="J7224" s="25"/>
      <c r="K7224" s="24">
        <v>0</v>
      </c>
      <c r="L7224" s="22" t="str">
        <f>HYPERLINK("https://otsuka-europe-crm.veevavault.com/ui/#object/approved_document__v/V5O00000001B037", "LUP - VAE Póster Adelphi - Reuma")</f>
        <v>LUP - VAE Póster Adelphi - Reuma</v>
      </c>
      <c r="M7224" s="22" t="str">
        <f>HYPERLINK("mailto:pmartinez@crm.otsuka-europe.com", "pmartinez@crm.otsuka-europe.com")</f>
        <v>pmartinez@crm.otsuka-europe.com</v>
      </c>
      <c r="N7224" s="23">
        <v>46182.548414351855</v>
      </c>
      <c r="O7224" s="14" t="str">
        <f>HYPERLINK("https://otsuka-europe-crm.veevavault.com/ui/#object/email_activity__v/V8C00000003R656", "EN-002092940")</f>
        <v>EN-002092940</v>
      </c>
    </row>
    <row r="7225" spans="1:15" ht="16" x14ac:dyDescent="0.2">
      <c r="A7225" s="18"/>
      <c r="B7225" s="18"/>
      <c r="C7225" s="18"/>
      <c r="D7225" s="18"/>
      <c r="E7225" s="18"/>
      <c r="F7225" s="18"/>
      <c r="G7225" s="18"/>
      <c r="H7225" s="18"/>
      <c r="I7225" s="18"/>
      <c r="J7225" s="18"/>
      <c r="K7225" s="18"/>
      <c r="L7225" s="18"/>
      <c r="M7225" s="18"/>
      <c r="N7225" s="18"/>
      <c r="O7225" s="14" t="str">
        <f>HYPERLINK("https://otsuka-europe-crm.veevavault.com/ui/#object/email_activity__v/V8C00000003S758", "EN-002094386")</f>
        <v>EN-002094386</v>
      </c>
    </row>
    <row r="7226" spans="1:15" ht="16" x14ac:dyDescent="0.2">
      <c r="A7226" s="19"/>
      <c r="B7226" s="19"/>
      <c r="C7226" s="19"/>
      <c r="D7226" s="19"/>
      <c r="E7226" s="19"/>
      <c r="F7226" s="19"/>
      <c r="G7226" s="19"/>
      <c r="H7226" s="19"/>
      <c r="I7226" s="19"/>
      <c r="J7226" s="19"/>
      <c r="K7226" s="19"/>
      <c r="L7226" s="19"/>
      <c r="M7226" s="19"/>
      <c r="N7226" s="19"/>
      <c r="O7226" s="14" t="str">
        <f>HYPERLINK("https://otsuka-europe-crm.veevavault.com/ui/#object/email_activity__v/V8C00000003T086", "EN-002093740")</f>
        <v>EN-002093740</v>
      </c>
    </row>
    <row r="7227" spans="1:15" ht="32" x14ac:dyDescent="0.2">
      <c r="A7227" s="7" t="str">
        <f>HYPERLINK("https://otsuka-europe-crm.veevavault.com/ui/#object/account__v/V4TZ04ASGGI1WPJ", "MARIA CRUZ LAIÑO PIÑEIRO")</f>
        <v>MARIA CRUZ LAIÑO PIÑEIRO</v>
      </c>
      <c r="B7227" s="7" t="str">
        <f>HYPERLINK("https://otsuka-europe-crm.veevavault.com/ui/#object/vcountry__v/VENZ000004SONF5", "ES")</f>
        <v>ES</v>
      </c>
      <c r="C7227" s="8" t="s">
        <v>41</v>
      </c>
      <c r="D7227" s="9" t="str">
        <f>HYPERLINK("https://otsuka-europe-crm.veevavault.com/ui/#object/approved_document__v/V5O00000001B037", "LUP - VAE Póster Adelphi - Reuma")</f>
        <v>LUP - VAE Póster Adelphi - Reuma</v>
      </c>
      <c r="E7227" s="10" t="str">
        <f>HYPERLINK("https://otsuka-europe-crm.veevavault.com/ui/#object/sent_email__v/VBL00000002S464", "SE-001434848")</f>
        <v>SE-001434848</v>
      </c>
      <c r="F7227" s="11"/>
      <c r="G7227" s="12">
        <v>0</v>
      </c>
      <c r="H7227" s="12">
        <v>0</v>
      </c>
      <c r="I7227" s="12">
        <v>0</v>
      </c>
      <c r="J7227" s="11"/>
      <c r="K7227" s="12">
        <v>0</v>
      </c>
      <c r="L7227" s="10" t="str">
        <f>HYPERLINK("https://otsuka-europe-crm.veevavault.com/ui/#object/approved_document__v/V5O00000001B037", "LUP - VAE Póster Adelphi - Reuma")</f>
        <v>LUP - VAE Póster Adelphi - Reuma</v>
      </c>
      <c r="M7227" s="10" t="str">
        <f>HYPERLINK("mailto:pmartinez@crm.otsuka-europe.com", "pmartinez@crm.otsuka-europe.com")</f>
        <v>pmartinez@crm.otsuka-europe.com</v>
      </c>
      <c r="N7227" s="13">
        <v>46182.548414351855</v>
      </c>
      <c r="O7227" s="14" t="str">
        <f>HYPERLINK("https://otsuka-europe-crm.veevavault.com/ui/#object/email_activity__v/V8C00000003R646", "EN-002092930")</f>
        <v>EN-002092930</v>
      </c>
    </row>
    <row r="7228" spans="1:15" ht="32" x14ac:dyDescent="0.2">
      <c r="A7228" s="7" t="str">
        <f>HYPERLINK("https://otsuka-europe-crm.veevavault.com/ui/#object/account__v/V4TZ04ASGCYNHM1", "ALICIA SILVA RIVEIRO")</f>
        <v>ALICIA SILVA RIVEIRO</v>
      </c>
      <c r="B7228" s="7" t="str">
        <f>HYPERLINK("https://otsuka-europe-crm.veevavault.com/ui/#object/vcountry__v/VENZ000004SONF5", "ES")</f>
        <v>ES</v>
      </c>
      <c r="C7228" s="8" t="s">
        <v>41</v>
      </c>
      <c r="D7228" s="9" t="str">
        <f>HYPERLINK("https://otsuka-europe-crm.veevavault.com/ui/#object/approved_document__v/V5O00000001B037", "LUP - VAE Póster Adelphi - Reuma")</f>
        <v>LUP - VAE Póster Adelphi - Reuma</v>
      </c>
      <c r="E7228" s="10" t="str">
        <f>HYPERLINK("https://otsuka-europe-crm.veevavault.com/ui/#object/sent_email__v/VBL00000002S465", "SE-001434849")</f>
        <v>SE-001434849</v>
      </c>
      <c r="F7228" s="11"/>
      <c r="G7228" s="12">
        <v>0</v>
      </c>
      <c r="H7228" s="12">
        <v>0</v>
      </c>
      <c r="I7228" s="12">
        <v>0</v>
      </c>
      <c r="J7228" s="11"/>
      <c r="K7228" s="12">
        <v>0</v>
      </c>
      <c r="L7228" s="10" t="str">
        <f>HYPERLINK("https://otsuka-europe-crm.veevavault.com/ui/#object/approved_document__v/V5O00000001B037", "LUP - VAE Póster Adelphi - Reuma")</f>
        <v>LUP - VAE Póster Adelphi - Reuma</v>
      </c>
      <c r="M7228" s="10" t="str">
        <f>HYPERLINK("mailto:pmartinez@crm.otsuka-europe.com", "pmartinez@crm.otsuka-europe.com")</f>
        <v>pmartinez@crm.otsuka-europe.com</v>
      </c>
      <c r="N7228" s="13">
        <v>46182.548425925925</v>
      </c>
      <c r="O7228" s="14" t="str">
        <f>HYPERLINK("https://otsuka-europe-crm.veevavault.com/ui/#object/email_activity__v/V8C00000003R658", "EN-002092942")</f>
        <v>EN-002092942</v>
      </c>
    </row>
    <row r="7229" spans="1:15" ht="16" x14ac:dyDescent="0.2">
      <c r="A7229" s="17" t="str">
        <f>HYPERLINK("https://otsuka-europe-crm.veevavault.com/ui/#object/account__v/V4TZ025E83CIIUI", "NAHIA PLAZA AULESTIA")</f>
        <v>NAHIA PLAZA AULESTIA</v>
      </c>
      <c r="B7229" s="17" t="str">
        <f>HYPERLINK("https://otsuka-europe-crm.veevavault.com/ui/#object/vcountry__v/VENZ000004SONF5", "ES")</f>
        <v>ES</v>
      </c>
      <c r="C7229" s="20" t="s">
        <v>41</v>
      </c>
      <c r="D7229" s="21" t="str">
        <f>HYPERLINK("https://otsuka-europe-crm.veevavault.com/ui/#object/approved_document__v/V5O00000001B037", "LUP - VAE Póster Adelphi - Reuma")</f>
        <v>LUP - VAE Póster Adelphi - Reuma</v>
      </c>
      <c r="E7229" s="22" t="str">
        <f>HYPERLINK("https://otsuka-europe-crm.veevavault.com/ui/#object/sent_email__v/VBL00000002S466", "SE-001434850")</f>
        <v>SE-001434850</v>
      </c>
      <c r="F7229" s="23">
        <v>46189.443414351852</v>
      </c>
      <c r="G7229" s="24">
        <v>1</v>
      </c>
      <c r="H7229" s="24">
        <v>2</v>
      </c>
      <c r="I7229" s="24">
        <v>0</v>
      </c>
      <c r="J7229" s="25"/>
      <c r="K7229" s="24">
        <v>0</v>
      </c>
      <c r="L7229" s="22" t="str">
        <f>HYPERLINK("https://otsuka-europe-crm.veevavault.com/ui/#object/approved_document__v/V5O00000001B037", "LUP - VAE Póster Adelphi - Reuma")</f>
        <v>LUP - VAE Póster Adelphi - Reuma</v>
      </c>
      <c r="M7229" s="22" t="str">
        <f>HYPERLINK("mailto:pmartinez@crm.otsuka-europe.com", "pmartinez@crm.otsuka-europe.com")</f>
        <v>pmartinez@crm.otsuka-europe.com</v>
      </c>
      <c r="N7229" s="23">
        <v>46182.548437500001</v>
      </c>
      <c r="O7229" s="14" t="str">
        <f>HYPERLINK("https://otsuka-europe-crm.veevavault.com/ui/#object/email_activity__v/V8C00000003R653", "EN-002092937")</f>
        <v>EN-002092937</v>
      </c>
    </row>
    <row r="7230" spans="1:15" ht="16" x14ac:dyDescent="0.2">
      <c r="A7230" s="18"/>
      <c r="B7230" s="18"/>
      <c r="C7230" s="18"/>
      <c r="D7230" s="18"/>
      <c r="E7230" s="18"/>
      <c r="F7230" s="18"/>
      <c r="G7230" s="18"/>
      <c r="H7230" s="18"/>
      <c r="I7230" s="18"/>
      <c r="J7230" s="18"/>
      <c r="K7230" s="18"/>
      <c r="L7230" s="18"/>
      <c r="M7230" s="18"/>
      <c r="N7230" s="18"/>
      <c r="O7230" s="14" t="str">
        <f>HYPERLINK("https://otsuka-europe-crm.veevavault.com/ui/#object/email_activity__v/V8C00000003S191", "EN-002093279")</f>
        <v>EN-002093279</v>
      </c>
    </row>
    <row r="7231" spans="1:15" ht="16" x14ac:dyDescent="0.2">
      <c r="A7231" s="19"/>
      <c r="B7231" s="19"/>
      <c r="C7231" s="19"/>
      <c r="D7231" s="19"/>
      <c r="E7231" s="19"/>
      <c r="F7231" s="19"/>
      <c r="G7231" s="19"/>
      <c r="H7231" s="19"/>
      <c r="I7231" s="19"/>
      <c r="J7231" s="19"/>
      <c r="K7231" s="19"/>
      <c r="L7231" s="19"/>
      <c r="M7231" s="19"/>
      <c r="N7231" s="19"/>
      <c r="O7231" s="14" t="str">
        <f>HYPERLINK("https://otsuka-europe-crm.veevavault.com/ui/#object/email_activity__v/V8C00000003W186", "EN-002097099")</f>
        <v>EN-002097099</v>
      </c>
    </row>
    <row r="7232" spans="1:15" ht="16" x14ac:dyDescent="0.2">
      <c r="A7232" s="17" t="str">
        <f>HYPERLINK("https://otsuka-europe-crm.veevavault.com/ui/#object/account__v/V4TZ025E83MS697", "NURIA VEGAS REVENGA")</f>
        <v>NURIA VEGAS REVENGA</v>
      </c>
      <c r="B7232" s="17" t="str">
        <f>HYPERLINK("https://otsuka-europe-crm.veevavault.com/ui/#object/vcountry__v/VENZ000004SONF5", "ES")</f>
        <v>ES</v>
      </c>
      <c r="C7232" s="20" t="s">
        <v>41</v>
      </c>
      <c r="D7232" s="21" t="str">
        <f>HYPERLINK("https://otsuka-europe-crm.veevavault.com/ui/#object/approved_document__v/V5O00000001B037", "LUP - VAE Póster Adelphi - Reuma")</f>
        <v>LUP - VAE Póster Adelphi - Reuma</v>
      </c>
      <c r="E7232" s="22" t="str">
        <f>HYPERLINK("https://otsuka-europe-crm.veevavault.com/ui/#object/sent_email__v/VBL00000002S467", "SE-001434851")</f>
        <v>SE-001434851</v>
      </c>
      <c r="F7232" s="23">
        <v>46182.572824074072</v>
      </c>
      <c r="G7232" s="24">
        <v>1</v>
      </c>
      <c r="H7232" s="24">
        <v>2</v>
      </c>
      <c r="I7232" s="24">
        <v>0</v>
      </c>
      <c r="J7232" s="25"/>
      <c r="K7232" s="24">
        <v>0</v>
      </c>
      <c r="L7232" s="22" t="str">
        <f>HYPERLINK("https://otsuka-europe-crm.veevavault.com/ui/#object/approved_document__v/V5O00000001B037", "LUP - VAE Póster Adelphi - Reuma")</f>
        <v>LUP - VAE Póster Adelphi - Reuma</v>
      </c>
      <c r="M7232" s="22" t="str">
        <f>HYPERLINK("mailto:pmartinez@crm.otsuka-europe.com", "pmartinez@crm.otsuka-europe.com")</f>
        <v>pmartinez@crm.otsuka-europe.com</v>
      </c>
      <c r="N7232" s="23">
        <v>46182.548402777778</v>
      </c>
      <c r="O7232" s="14" t="str">
        <f>HYPERLINK("https://otsuka-europe-crm.veevavault.com/ui/#object/email_activity__v/V8C00000003R649", "EN-002092933")</f>
        <v>EN-002092933</v>
      </c>
    </row>
    <row r="7233" spans="1:15" ht="16" x14ac:dyDescent="0.2">
      <c r="A7233" s="18"/>
      <c r="B7233" s="18"/>
      <c r="C7233" s="18"/>
      <c r="D7233" s="18"/>
      <c r="E7233" s="18"/>
      <c r="F7233" s="18"/>
      <c r="G7233" s="18"/>
      <c r="H7233" s="18"/>
      <c r="I7233" s="18"/>
      <c r="J7233" s="18"/>
      <c r="K7233" s="18"/>
      <c r="L7233" s="18"/>
      <c r="M7233" s="18"/>
      <c r="N7233" s="18"/>
      <c r="O7233" s="14" t="str">
        <f>HYPERLINK("https://otsuka-europe-crm.veevavault.com/ui/#object/email_activity__v/V8C00000003S058", "EN-002092957")</f>
        <v>EN-002092957</v>
      </c>
    </row>
    <row r="7234" spans="1:15" ht="16" x14ac:dyDescent="0.2">
      <c r="A7234" s="19"/>
      <c r="B7234" s="19"/>
      <c r="C7234" s="19"/>
      <c r="D7234" s="19"/>
      <c r="E7234" s="19"/>
      <c r="F7234" s="19"/>
      <c r="G7234" s="19"/>
      <c r="H7234" s="19"/>
      <c r="I7234" s="19"/>
      <c r="J7234" s="19"/>
      <c r="K7234" s="19"/>
      <c r="L7234" s="19"/>
      <c r="M7234" s="19"/>
      <c r="N7234" s="19"/>
      <c r="O7234" s="14" t="str">
        <f>HYPERLINK("https://otsuka-europe-crm.veevavault.com/ui/#object/email_activity__v/V8C00000003S059", "EN-002092958")</f>
        <v>EN-002092958</v>
      </c>
    </row>
    <row r="7235" spans="1:15" ht="16" x14ac:dyDescent="0.2">
      <c r="A7235" s="17" t="str">
        <f>HYPERLINK("https://otsuka-europe-crm.veevavault.com/ui/#object/account__v/V4TZ025E82F0S4T", "MARIA ESTHER RUIZ LUCEA")</f>
        <v>MARIA ESTHER RUIZ LUCEA</v>
      </c>
      <c r="B7235" s="17" t="str">
        <f>HYPERLINK("https://otsuka-europe-crm.veevavault.com/ui/#object/vcountry__v/VENZ000004SONF5", "ES")</f>
        <v>ES</v>
      </c>
      <c r="C7235" s="20" t="s">
        <v>41</v>
      </c>
      <c r="D7235" s="21" t="str">
        <f>HYPERLINK("https://otsuka-europe-crm.veevavault.com/ui/#object/approved_document__v/V5O00000001B037", "LUP - VAE Póster Adelphi - Reuma")</f>
        <v>LUP - VAE Póster Adelphi - Reuma</v>
      </c>
      <c r="E7235" s="22" t="str">
        <f>HYPERLINK("https://otsuka-europe-crm.veevavault.com/ui/#object/sent_email__v/VBL00000002S468", "SE-001434852")</f>
        <v>SE-001434852</v>
      </c>
      <c r="F7235" s="23">
        <v>46182.918680555558</v>
      </c>
      <c r="G7235" s="24">
        <v>1</v>
      </c>
      <c r="H7235" s="24">
        <v>1</v>
      </c>
      <c r="I7235" s="24">
        <v>0</v>
      </c>
      <c r="J7235" s="25"/>
      <c r="K7235" s="24">
        <v>0</v>
      </c>
      <c r="L7235" s="22" t="str">
        <f>HYPERLINK("https://otsuka-europe-crm.veevavault.com/ui/#object/approved_document__v/V5O00000001B037", "LUP - VAE Póster Adelphi - Reuma")</f>
        <v>LUP - VAE Póster Adelphi - Reuma</v>
      </c>
      <c r="M7235" s="22" t="str">
        <f>HYPERLINK("mailto:pmartinez@crm.otsuka-europe.com", "pmartinez@crm.otsuka-europe.com")</f>
        <v>pmartinez@crm.otsuka-europe.com</v>
      </c>
      <c r="N7235" s="23">
        <v>46182.548425925925</v>
      </c>
      <c r="O7235" s="14" t="str">
        <f>HYPERLINK("https://otsuka-europe-crm.veevavault.com/ui/#object/email_activity__v/V8C00000003R657", "EN-002092941")</f>
        <v>EN-002092941</v>
      </c>
    </row>
    <row r="7236" spans="1:15" ht="16" x14ac:dyDescent="0.2">
      <c r="A7236" s="19"/>
      <c r="B7236" s="19"/>
      <c r="C7236" s="19"/>
      <c r="D7236" s="19"/>
      <c r="E7236" s="19"/>
      <c r="F7236" s="19"/>
      <c r="G7236" s="19"/>
      <c r="H7236" s="19"/>
      <c r="I7236" s="19"/>
      <c r="J7236" s="19"/>
      <c r="K7236" s="19"/>
      <c r="L7236" s="19"/>
      <c r="M7236" s="19"/>
      <c r="N7236" s="19"/>
      <c r="O7236" s="14" t="str">
        <f>HYPERLINK("https://otsuka-europe-crm.veevavault.com/ui/#object/email_activity__v/V8C00000003T098", "EN-002093756")</f>
        <v>EN-002093756</v>
      </c>
    </row>
    <row r="7237" spans="1:15" ht="16" x14ac:dyDescent="0.2">
      <c r="A7237" s="17" t="str">
        <f>HYPERLINK("https://otsuka-europe-crm.veevavault.com/ui/#object/account__v/V4TZ06G6O71S9DA", "DARIO GALEANO")</f>
        <v>DARIO GALEANO</v>
      </c>
      <c r="B7237" s="17" t="str">
        <f>HYPERLINK("https://otsuka-europe-crm.veevavault.com/ui/#object/vcountry__v/VENZ000004SONFQ", "IT")</f>
        <v>IT</v>
      </c>
      <c r="C7237" s="20" t="s">
        <v>44</v>
      </c>
      <c r="D7237" s="21" t="str">
        <f>HYPERLINK("https://otsuka-europe-crm.veevavault.com/ui/#object/approved_document__v/V5O00000001A024", "Lupkynis - rischio - IT-LUP-2600002 v1.0 -  NEPHRO")</f>
        <v>Lupkynis - rischio - IT-LUP-2600002 v1.0 -  NEPHRO</v>
      </c>
      <c r="E7237" s="22" t="str">
        <f>HYPERLINK("https://otsuka-europe-crm.veevavault.com/ui/#object/sent_email__v/VBL00000002S469", "SE-001434853")</f>
        <v>SE-001434853</v>
      </c>
      <c r="F7237" s="23">
        <v>46195.713483796295</v>
      </c>
      <c r="G7237" s="24">
        <v>1</v>
      </c>
      <c r="H7237" s="24">
        <v>1</v>
      </c>
      <c r="I7237" s="24">
        <v>0</v>
      </c>
      <c r="J7237" s="25"/>
      <c r="K7237" s="24">
        <v>0</v>
      </c>
      <c r="L7237" s="22" t="str">
        <f>HYPERLINK("https://otsuka-europe-crm.veevavault.com/ui/#object/approved_document__v/V5O00000001A024", "Lupkynis - rischio - IT-LUP-2600002 v1.0 -  NEPHRO")</f>
        <v>Lupkynis - rischio - IT-LUP-2600002 v1.0 -  NEPHRO</v>
      </c>
      <c r="M7237" s="22" t="str">
        <f>HYPERLINK("mailto:alfredo.pisapia@crm.otsuka-europe.com", "alfredo.pisapia@crm.otsuka-europe.com")</f>
        <v>alfredo.pisapia@crm.otsuka-europe.com</v>
      </c>
      <c r="N7237" s="23">
        <v>46182.550439814811</v>
      </c>
      <c r="O7237" s="14" t="str">
        <f>HYPERLINK("https://otsuka-europe-crm.veevavault.com/ui/#object/email_activity__v/V8C00000003R659", "EN-002092948")</f>
        <v>EN-002092948</v>
      </c>
    </row>
    <row r="7238" spans="1:15" ht="16" x14ac:dyDescent="0.2">
      <c r="A7238" s="19"/>
      <c r="B7238" s="19"/>
      <c r="C7238" s="19"/>
      <c r="D7238" s="19"/>
      <c r="E7238" s="19"/>
      <c r="F7238" s="19"/>
      <c r="G7238" s="19"/>
      <c r="H7238" s="19"/>
      <c r="I7238" s="19"/>
      <c r="J7238" s="19"/>
      <c r="K7238" s="19"/>
      <c r="L7238" s="19"/>
      <c r="M7238" s="19"/>
      <c r="N7238" s="19"/>
      <c r="O7238" s="14" t="str">
        <f>HYPERLINK("https://otsuka-europe-crm.veevavault.com/ui/#object/email_activity__v/V8C00000003Z259", "EN-002099111")</f>
        <v>EN-002099111</v>
      </c>
    </row>
    <row r="7239" spans="1:15" ht="16" x14ac:dyDescent="0.2">
      <c r="A7239" s="17" t="str">
        <f>HYPERLINK("https://otsuka-europe-crm.veevavault.com/ui/#object/account__v/V4T000000023056", "Adrian Thomas")</f>
        <v>Adrian Thomas</v>
      </c>
      <c r="B7239" s="17" t="str">
        <f>HYPERLINK("https://otsuka-europe-crm.veevavault.com/ui/#object/vcountry__v/VENZ000004SONFK", "GB")</f>
        <v>GB</v>
      </c>
      <c r="C7239" s="20" t="s">
        <v>39</v>
      </c>
      <c r="D7239" s="21" t="str">
        <f>HYPERLINK("https://otsuka-europe-crm.veevavault.com/ui/#object/approved_document__v/V5OZ025E82PXJSL", "Otsuka Privacy Notice - UK (v2)")</f>
        <v>Otsuka Privacy Notice - UK (v2)</v>
      </c>
      <c r="E7239" s="22" t="str">
        <f>HYPERLINK("https://otsuka-europe-crm.veevavault.com/ui/#object/sent_email__v/VBL00000002R336", "SE-001434854")</f>
        <v>SE-001434854</v>
      </c>
      <c r="F7239" s="23">
        <v>46183.374942129631</v>
      </c>
      <c r="G7239" s="24">
        <v>1</v>
      </c>
      <c r="H7239" s="24">
        <v>1</v>
      </c>
      <c r="I7239" s="24">
        <v>0</v>
      </c>
      <c r="J7239" s="25"/>
      <c r="K7239" s="24">
        <v>0</v>
      </c>
      <c r="L7239" s="22" t="str">
        <f>HYPERLINK("https://otsuka-europe-crm.veevavault.com/ui/#object/approved_document__v/V5OZ025E82PXJSL", "Otsuka Privacy Notice - UK (v2)")</f>
        <v>Otsuka Privacy Notice - UK (v2)</v>
      </c>
      <c r="M7239" s="22" t="str">
        <f>HYPERLINK("mailto:ldimambro@crm.otsuka-europe.com", "ldimambro@crm.otsuka-europe.com")</f>
        <v>ldimambro@crm.otsuka-europe.com</v>
      </c>
      <c r="N7239" s="23">
        <v>46182.555891203701</v>
      </c>
      <c r="O7239" s="14" t="str">
        <f>HYPERLINK("https://otsuka-europe-crm.veevavault.com/ui/#object/email_activity__v/V8C00000003S055", "EN-002092952")</f>
        <v>EN-002092952</v>
      </c>
    </row>
    <row r="7240" spans="1:15" ht="16" x14ac:dyDescent="0.2">
      <c r="A7240" s="19"/>
      <c r="B7240" s="19"/>
      <c r="C7240" s="19"/>
      <c r="D7240" s="19"/>
      <c r="E7240" s="19"/>
      <c r="F7240" s="19"/>
      <c r="G7240" s="19"/>
      <c r="H7240" s="19"/>
      <c r="I7240" s="19"/>
      <c r="J7240" s="19"/>
      <c r="K7240" s="19"/>
      <c r="L7240" s="19"/>
      <c r="M7240" s="19"/>
      <c r="N7240" s="19"/>
      <c r="O7240" s="14" t="str">
        <f>HYPERLINK("https://otsuka-europe-crm.veevavault.com/ui/#object/email_activity__v/V8C00000003T177", "EN-002093925")</f>
        <v>EN-002093925</v>
      </c>
    </row>
    <row r="7241" spans="1:15" ht="16" x14ac:dyDescent="0.2">
      <c r="A7241" s="17" t="str">
        <f>HYPERLINK("https://otsuka-europe-crm.veevavault.com/ui/#object/account__v/V4T000000023056", "Adrian Thomas")</f>
        <v>Adrian Thomas</v>
      </c>
      <c r="B7241" s="17" t="str">
        <f>HYPERLINK("https://otsuka-europe-crm.veevavault.com/ui/#object/vcountry__v/VENZ000004SONFK", "GB")</f>
        <v>GB</v>
      </c>
      <c r="C7241" s="20" t="s">
        <v>39</v>
      </c>
      <c r="D7241" s="21" t="str">
        <f>HYPERLINK("https://otsuka-europe-crm.veevavault.com/ui/#object/approved_document__v/V5O00000000D081", "UK - Consent Email 1 Aug 25")</f>
        <v>UK - Consent Email 1 Aug 25</v>
      </c>
      <c r="E7241" s="22" t="str">
        <f>HYPERLINK("https://otsuka-europe-crm.veevavault.com/ui/#object/sent_email__v/VBL00000002S470", "SE-001434855")</f>
        <v>SE-001434855</v>
      </c>
      <c r="F7241" s="23">
        <v>46183.375347222223</v>
      </c>
      <c r="G7241" s="24">
        <v>1</v>
      </c>
      <c r="H7241" s="24">
        <v>1</v>
      </c>
      <c r="I7241" s="24">
        <v>1</v>
      </c>
      <c r="J7241" s="23">
        <v>46183.375740740739</v>
      </c>
      <c r="K7241" s="24">
        <v>1</v>
      </c>
      <c r="L7241" s="22" t="str">
        <f>HYPERLINK("https://otsuka-europe-crm.veevavault.com/ui/#object/approved_document__v/V5O00000000D081", "UK - Consent Email 1 Aug 25")</f>
        <v>UK - Consent Email 1 Aug 25</v>
      </c>
      <c r="M7241" s="22" t="str">
        <f>HYPERLINK("mailto:ldimambro@crm.otsuka-europe.com", "ldimambro@crm.otsuka-europe.com")</f>
        <v>ldimambro@crm.otsuka-europe.com</v>
      </c>
      <c r="N7241" s="23">
        <v>46182.557638888888</v>
      </c>
      <c r="O7241" s="14" t="str">
        <f>HYPERLINK("https://otsuka-europe-crm.veevavault.com/ui/#object/email_activity__v/V8C00000003R661", "EN-002092953")</f>
        <v>EN-002092953</v>
      </c>
    </row>
    <row r="7242" spans="1:15" ht="16" x14ac:dyDescent="0.2">
      <c r="A7242" s="18"/>
      <c r="B7242" s="18"/>
      <c r="C7242" s="18"/>
      <c r="D7242" s="18"/>
      <c r="E7242" s="18"/>
      <c r="F7242" s="18"/>
      <c r="G7242" s="18"/>
      <c r="H7242" s="18"/>
      <c r="I7242" s="18"/>
      <c r="J7242" s="18"/>
      <c r="K7242" s="18"/>
      <c r="L7242" s="18"/>
      <c r="M7242" s="18"/>
      <c r="N7242" s="18"/>
      <c r="O7242" s="14" t="str">
        <f>HYPERLINK("https://otsuka-europe-crm.veevavault.com/ui/#object/email_activity__v/V8C00000003T178", "EN-002093926")</f>
        <v>EN-002093926</v>
      </c>
    </row>
    <row r="7243" spans="1:15" ht="16" x14ac:dyDescent="0.2">
      <c r="A7243" s="19"/>
      <c r="B7243" s="19"/>
      <c r="C7243" s="19"/>
      <c r="D7243" s="19"/>
      <c r="E7243" s="19"/>
      <c r="F7243" s="19"/>
      <c r="G7243" s="19"/>
      <c r="H7243" s="19"/>
      <c r="I7243" s="19"/>
      <c r="J7243" s="19"/>
      <c r="K7243" s="19"/>
      <c r="L7243" s="19"/>
      <c r="M7243" s="19"/>
      <c r="N7243" s="19"/>
      <c r="O7243" s="14" t="str">
        <f>HYPERLINK("https://otsuka-europe-crm.veevavault.com/ui/#object/email_activity__v/V8C00000003T179", "EN-002093927")</f>
        <v>EN-002093927</v>
      </c>
    </row>
    <row r="7244" spans="1:15" ht="16" x14ac:dyDescent="0.2">
      <c r="A7244" s="17" t="str">
        <f>HYPERLINK("https://otsuka-europe-crm.veevavault.com/ui/#object/account__v/V4TZ00000633JYZ", "BAYA SACI LARFI")</f>
        <v>BAYA SACI LARFI</v>
      </c>
      <c r="B7244" s="17" t="str">
        <f>HYPERLINK("https://otsuka-europe-crm.veevavault.com/ui/#object/vcountry__v/VENZ000004SONFA", "FR")</f>
        <v>FR</v>
      </c>
      <c r="C7244" s="20" t="s">
        <v>42</v>
      </c>
      <c r="D7244" s="21" t="str">
        <f>HYPERLINK("https://otsuka-europe-crm.veevavault.com/ui/#object/approved_document__v/V5O00000000P003", "FR-AM2-2500027")</f>
        <v>FR-AM2-2500027</v>
      </c>
      <c r="E7244" s="22" t="str">
        <f>HYPERLINK("https://otsuka-europe-crm.veevavault.com/ui/#object/sent_email__v/VBL00000002S471", "SE-001434856")</f>
        <v>SE-001434856</v>
      </c>
      <c r="F7244" s="23">
        <v>46182.588854166665</v>
      </c>
      <c r="G7244" s="24">
        <v>1</v>
      </c>
      <c r="H7244" s="24">
        <v>1</v>
      </c>
      <c r="I7244" s="24">
        <v>0</v>
      </c>
      <c r="J7244" s="25"/>
      <c r="K7244" s="24">
        <v>0</v>
      </c>
      <c r="L7244" s="22" t="str">
        <f>HYPERLINK("https://otsuka-europe-crm.veevavault.com/ui/#object/approved_document__v/V5O00000000P003", "FR-AM2-2500027")</f>
        <v>FR-AM2-2500027</v>
      </c>
      <c r="M7244" s="22" t="str">
        <f>HYPERLINK("mailto:ssaouab@crm.otsuka-europe.com", "ssaouab@crm.otsuka-europe.com")</f>
        <v>ssaouab@crm.otsuka-europe.com</v>
      </c>
      <c r="N7244" s="23">
        <v>46182.588622685187</v>
      </c>
      <c r="O7244" s="14" t="str">
        <f>HYPERLINK("https://otsuka-europe-crm.veevavault.com/ui/#object/email_activity__v/V8C00000003S063", "EN-002092964")</f>
        <v>EN-002092964</v>
      </c>
    </row>
    <row r="7245" spans="1:15" ht="16" x14ac:dyDescent="0.2">
      <c r="A7245" s="19"/>
      <c r="B7245" s="19"/>
      <c r="C7245" s="19"/>
      <c r="D7245" s="19"/>
      <c r="E7245" s="19"/>
      <c r="F7245" s="19"/>
      <c r="G7245" s="19"/>
      <c r="H7245" s="19"/>
      <c r="I7245" s="19"/>
      <c r="J7245" s="19"/>
      <c r="K7245" s="19"/>
      <c r="L7245" s="19"/>
      <c r="M7245" s="19"/>
      <c r="N7245" s="19"/>
      <c r="O7245" s="14" t="str">
        <f>HYPERLINK("https://otsuka-europe-crm.veevavault.com/ui/#object/email_activity__v/V8C00000003S064", "EN-002092965")</f>
        <v>EN-002092965</v>
      </c>
    </row>
    <row r="7246" spans="1:15" ht="16" x14ac:dyDescent="0.2">
      <c r="A7246" s="17" t="str">
        <f>HYPERLINK("https://otsuka-europe-crm.veevavault.com/ui/#object/account__v/V4TZ00000633JYR", "LAAZIZ ABACHI")</f>
        <v>LAAZIZ ABACHI</v>
      </c>
      <c r="B7246" s="17" t="str">
        <f>HYPERLINK("https://otsuka-europe-crm.veevavault.com/ui/#object/vcountry__v/VENZ000004SONFA", "FR")</f>
        <v>FR</v>
      </c>
      <c r="C7246" s="20" t="s">
        <v>42</v>
      </c>
      <c r="D7246" s="21" t="str">
        <f>HYPERLINK("https://otsuka-europe-crm.veevavault.com/ui/#object/approved_document__v/V5O00000000P003", "FR-AM2-2500027")</f>
        <v>FR-AM2-2500027</v>
      </c>
      <c r="E7246" s="22" t="str">
        <f>HYPERLINK("https://otsuka-europe-crm.veevavault.com/ui/#object/sent_email__v/VBL00000002S472", "SE-001434857")</f>
        <v>SE-001434857</v>
      </c>
      <c r="F7246" s="23">
        <v>46182.712233796294</v>
      </c>
      <c r="G7246" s="24">
        <v>1</v>
      </c>
      <c r="H7246" s="24">
        <v>1</v>
      </c>
      <c r="I7246" s="24">
        <v>0</v>
      </c>
      <c r="J7246" s="25"/>
      <c r="K7246" s="24">
        <v>0</v>
      </c>
      <c r="L7246" s="22" t="str">
        <f>HYPERLINK("https://otsuka-europe-crm.veevavault.com/ui/#object/approved_document__v/V5O00000000P003", "FR-AM2-2500027")</f>
        <v>FR-AM2-2500027</v>
      </c>
      <c r="M7246" s="22" t="str">
        <f>HYPERLINK("mailto:ssaouab@crm.otsuka-europe.com", "ssaouab@crm.otsuka-europe.com")</f>
        <v>ssaouab@crm.otsuka-europe.com</v>
      </c>
      <c r="N7246" s="23">
        <v>46182.593923611108</v>
      </c>
      <c r="O7246" s="14" t="str">
        <f>HYPERLINK("https://otsuka-europe-crm.veevavault.com/ui/#object/email_activity__v/V8C00000003R666", "EN-002092967")</f>
        <v>EN-002092967</v>
      </c>
    </row>
    <row r="7247" spans="1:15" ht="16" x14ac:dyDescent="0.2">
      <c r="A7247" s="19"/>
      <c r="B7247" s="19"/>
      <c r="C7247" s="19"/>
      <c r="D7247" s="19"/>
      <c r="E7247" s="19"/>
      <c r="F7247" s="19"/>
      <c r="G7247" s="19"/>
      <c r="H7247" s="19"/>
      <c r="I7247" s="19"/>
      <c r="J7247" s="19"/>
      <c r="K7247" s="19"/>
      <c r="L7247" s="19"/>
      <c r="M7247" s="19"/>
      <c r="N7247" s="19"/>
      <c r="O7247" s="14" t="str">
        <f>HYPERLINK("https://otsuka-europe-crm.veevavault.com/ui/#object/email_activity__v/V8C00000003S233", "EN-002093343")</f>
        <v>EN-002093343</v>
      </c>
    </row>
    <row r="7248" spans="1:15" ht="16" x14ac:dyDescent="0.2">
      <c r="A7248" s="17" t="str">
        <f>HYPERLINK("https://otsuka-europe-crm.veevavault.com/ui/#object/account__v/V4TZ00000633IST", "DJILALI ADDA")</f>
        <v>DJILALI ADDA</v>
      </c>
      <c r="B7248" s="17" t="str">
        <f>HYPERLINK("https://otsuka-europe-crm.veevavault.com/ui/#object/vcountry__v/VENZ000004SONFA", "FR")</f>
        <v>FR</v>
      </c>
      <c r="C7248" s="20" t="s">
        <v>42</v>
      </c>
      <c r="D7248" s="21" t="str">
        <f>HYPERLINK("https://otsuka-europe-crm.veevavault.com/ui/#object/approved_document__v/V5O00000000P003", "FR-AM2-2500027")</f>
        <v>FR-AM2-2500027</v>
      </c>
      <c r="E7248" s="22" t="str">
        <f>HYPERLINK("https://otsuka-europe-crm.veevavault.com/ui/#object/sent_email__v/VBL00000002S473", "SE-001434858")</f>
        <v>SE-001434858</v>
      </c>
      <c r="F7248" s="23">
        <v>46182.69153935185</v>
      </c>
      <c r="G7248" s="24">
        <v>1</v>
      </c>
      <c r="H7248" s="24">
        <v>1</v>
      </c>
      <c r="I7248" s="24">
        <v>0</v>
      </c>
      <c r="J7248" s="25"/>
      <c r="K7248" s="24">
        <v>0</v>
      </c>
      <c r="L7248" s="22" t="str">
        <f>HYPERLINK("https://otsuka-europe-crm.veevavault.com/ui/#object/approved_document__v/V5O00000000P003", "FR-AM2-2500027")</f>
        <v>FR-AM2-2500027</v>
      </c>
      <c r="M7248" s="22" t="str">
        <f>HYPERLINK("mailto:ssaouab@crm.otsuka-europe.com", "ssaouab@crm.otsuka-europe.com")</f>
        <v>ssaouab@crm.otsuka-europe.com</v>
      </c>
      <c r="N7248" s="23">
        <v>46182.595185185186</v>
      </c>
      <c r="O7248" s="14" t="str">
        <f>HYPERLINK("https://otsuka-europe-crm.veevavault.com/ui/#object/email_activity__v/V8C00000003R667", "EN-002092968")</f>
        <v>EN-002092968</v>
      </c>
    </row>
    <row r="7249" spans="1:15" ht="16" x14ac:dyDescent="0.2">
      <c r="A7249" s="19"/>
      <c r="B7249" s="19"/>
      <c r="C7249" s="19"/>
      <c r="D7249" s="19"/>
      <c r="E7249" s="19"/>
      <c r="F7249" s="19"/>
      <c r="G7249" s="19"/>
      <c r="H7249" s="19"/>
      <c r="I7249" s="19"/>
      <c r="J7249" s="19"/>
      <c r="K7249" s="19"/>
      <c r="L7249" s="19"/>
      <c r="M7249" s="19"/>
      <c r="N7249" s="19"/>
      <c r="O7249" s="14" t="str">
        <f>HYPERLINK("https://otsuka-europe-crm.veevavault.com/ui/#object/email_activity__v/V8C00000003S221", "EN-002093327")</f>
        <v>EN-002093327</v>
      </c>
    </row>
    <row r="7250" spans="1:15" ht="48" x14ac:dyDescent="0.2">
      <c r="A7250" s="7" t="str">
        <f>HYPERLINK("https://otsuka-europe-crm.veevavault.com/ui/#object/account__v/V4T00000000Y195", "MARZIA DI NICOLO'")</f>
        <v>MARZIA DI NICOLO'</v>
      </c>
      <c r="B7250" s="7" t="str">
        <f>HYPERLINK("https://otsuka-europe-crm.veevavault.com/ui/#object/vcountry__v/VENZ000004SONFQ", "IT")</f>
        <v>IT</v>
      </c>
      <c r="C7250" s="8" t="s">
        <v>44</v>
      </c>
      <c r="D7250" s="9" t="str">
        <f>HYPERLINK("https://otsuka-europe-crm.veevavault.com/ui/#object/approved_document__v/V5OZ025E82T9SYM", "ABILIFY 960/720_Branded_AE Burden_IT-AM2-2500124")</f>
        <v>ABILIFY 960/720_Branded_AE Burden_IT-AM2-2500124</v>
      </c>
      <c r="E7250" s="10" t="str">
        <f>HYPERLINK("https://otsuka-europe-crm.veevavault.com/ui/#object/sent_email__v/VBL00000002R337", "SE-001434859")</f>
        <v>SE-001434859</v>
      </c>
      <c r="F7250" s="11"/>
      <c r="G7250" s="12">
        <v>0</v>
      </c>
      <c r="H7250" s="12">
        <v>0</v>
      </c>
      <c r="I7250" s="12">
        <v>0</v>
      </c>
      <c r="J7250" s="11"/>
      <c r="K7250" s="12">
        <v>0</v>
      </c>
      <c r="L7250" s="10" t="str">
        <f>HYPERLINK("https://otsuka-europe-crm.veevavault.com/ui/#object/approved_document__v/V5OZ025E82T9SYM", "ABILIFY 960/720_Branded_AE Burden_IT-AM2-2500124")</f>
        <v>ABILIFY 960/720_Branded_AE Burden_IT-AM2-2500124</v>
      </c>
      <c r="M7250" s="10" t="str">
        <f>HYPERLINK("mailto:tiziana.faini@crm.otsuka-europe.com", "tiziana.faini@crm.otsuka-europe.com")</f>
        <v>tiziana.faini@crm.otsuka-europe.com</v>
      </c>
      <c r="N7250" s="13">
        <v>46182.595509259256</v>
      </c>
      <c r="O7250" s="14" t="str">
        <f>HYPERLINK("https://otsuka-europe-crm.veevavault.com/ui/#object/email_activity__v/V8C00000003S070", "EN-002092974")</f>
        <v>EN-002092974</v>
      </c>
    </row>
    <row r="7251" spans="1:15" ht="32" x14ac:dyDescent="0.2">
      <c r="A7251" s="7" t="str">
        <f>HYPERLINK("https://otsuka-europe-crm.veevavault.com/ui/#object/account__v/V4T00000000Y195", "MARZIA DI NICOLO'")</f>
        <v>MARZIA DI NICOLO'</v>
      </c>
      <c r="B7251" s="7" t="str">
        <f>HYPERLINK("https://otsuka-europe-crm.veevavault.com/ui/#object/vcountry__v/VENZ000004SONFQ", "IT")</f>
        <v>IT</v>
      </c>
      <c r="C7251" s="8" t="s">
        <v>44</v>
      </c>
      <c r="D7251" s="9" t="str">
        <f>HYPERLINK("https://otsuka-europe-crm.veevavault.com/ui/#object/approved_document__v/V5OZ025E82JJ7FL", "NL AE HCP Portal")</f>
        <v>NL AE HCP Portal</v>
      </c>
      <c r="E7251" s="10" t="str">
        <f>HYPERLINK("https://otsuka-europe-crm.veevavault.com/ui/#object/sent_email__v/VBL00000002S474", "SE-001434860")</f>
        <v>SE-001434860</v>
      </c>
      <c r="F7251" s="11"/>
      <c r="G7251" s="12">
        <v>0</v>
      </c>
      <c r="H7251" s="12">
        <v>0</v>
      </c>
      <c r="I7251" s="12">
        <v>0</v>
      </c>
      <c r="J7251" s="11"/>
      <c r="K7251" s="12">
        <v>0</v>
      </c>
      <c r="L7251" s="10" t="str">
        <f>HYPERLINK("https://otsuka-europe-crm.veevavault.com/ui/#object/approved_document__v/V5OZ025E82JJ7FL", "NL AE HCP Portal")</f>
        <v>NL AE HCP Portal</v>
      </c>
      <c r="M7251" s="10" t="str">
        <f>HYPERLINK("mailto:tiziana.faini@crm.otsuka-europe.com", "tiziana.faini@crm.otsuka-europe.com")</f>
        <v>tiziana.faini@crm.otsuka-europe.com</v>
      </c>
      <c r="N7251" s="13">
        <v>46182.595497685186</v>
      </c>
      <c r="O7251" s="14" t="str">
        <f>HYPERLINK("https://otsuka-europe-crm.veevavault.com/ui/#object/email_activity__v/V8C00000003S068", "EN-002092972")</f>
        <v>EN-002092972</v>
      </c>
    </row>
    <row r="7252" spans="1:15" ht="32" x14ac:dyDescent="0.2">
      <c r="A7252" s="7" t="str">
        <f>HYPERLINK("https://otsuka-europe-crm.veevavault.com/ui/#object/account__v/V4T00000000Y195", "MARZIA DI NICOLO'")</f>
        <v>MARZIA DI NICOLO'</v>
      </c>
      <c r="B7252" s="7" t="str">
        <f>HYPERLINK("https://otsuka-europe-crm.veevavault.com/ui/#object/vcountry__v/VENZ000004SONFQ", "IT")</f>
        <v>IT</v>
      </c>
      <c r="C7252" s="8" t="s">
        <v>44</v>
      </c>
      <c r="D7252" s="9" t="str">
        <f>HYPERLINK("https://otsuka-europe-crm.veevavault.com/ui/#object/approved_document__v/V5O00000001G004", "Branded_RXULTI_AE Ansia_IT-RXU-2500035")</f>
        <v>Branded_RXULTI_AE Ansia_IT-RXU-2500035</v>
      </c>
      <c r="E7252" s="10" t="str">
        <f>HYPERLINK("https://otsuka-europe-crm.veevavault.com/ui/#object/sent_email__v/VBL00000002R338", "SE-001434861")</f>
        <v>SE-001434861</v>
      </c>
      <c r="F7252" s="11"/>
      <c r="G7252" s="12">
        <v>0</v>
      </c>
      <c r="H7252" s="12">
        <v>0</v>
      </c>
      <c r="I7252" s="12">
        <v>0</v>
      </c>
      <c r="J7252" s="11"/>
      <c r="K7252" s="12">
        <v>0</v>
      </c>
      <c r="L7252" s="10" t="str">
        <f>HYPERLINK("https://otsuka-europe-crm.veevavault.com/ui/#object/approved_document__v/V5O00000001G004", "Branded_RXULTI_AE Ansia_IT-RXU-2500035")</f>
        <v>Branded_RXULTI_AE Ansia_IT-RXU-2500035</v>
      </c>
      <c r="M7252" s="10" t="str">
        <f>HYPERLINK("mailto:tiziana.faini@crm.otsuka-europe.com", "tiziana.faini@crm.otsuka-europe.com")</f>
        <v>tiziana.faini@crm.otsuka-europe.com</v>
      </c>
      <c r="N7252" s="13">
        <v>46182.595509259256</v>
      </c>
      <c r="O7252" s="14" t="str">
        <f>HYPERLINK("https://otsuka-europe-crm.veevavault.com/ui/#object/email_activity__v/V8C00000003S067", "EN-002092971")</f>
        <v>EN-002092971</v>
      </c>
    </row>
    <row r="7253" spans="1:15" ht="80" x14ac:dyDescent="0.2">
      <c r="A7253" s="7" t="str">
        <f>HYPERLINK("https://otsuka-europe-crm.veevavault.com/ui/#object/account__v/V4T00000000Y195", "MARZIA DI NICOLO'")</f>
        <v>MARZIA DI NICOLO'</v>
      </c>
      <c r="B7253" s="7" t="str">
        <f>HYPERLINK("https://otsuka-europe-crm.veevavault.com/ui/#object/vcountry__v/VENZ000004SONFQ", "IT")</f>
        <v>IT</v>
      </c>
      <c r="C7253" s="8" t="s">
        <v>44</v>
      </c>
      <c r="D7253" s="9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E7253" s="10" t="str">
        <f>HYPERLINK("https://otsuka-europe-crm.veevavault.com/ui/#object/sent_email__v/VBL00000002S475", "SE-001434862")</f>
        <v>SE-001434862</v>
      </c>
      <c r="F7253" s="11"/>
      <c r="G7253" s="12">
        <v>0</v>
      </c>
      <c r="H7253" s="12">
        <v>0</v>
      </c>
      <c r="I7253" s="12">
        <v>0</v>
      </c>
      <c r="J7253" s="11"/>
      <c r="K7253" s="12">
        <v>0</v>
      </c>
      <c r="L7253" s="10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M7253" s="10" t="str">
        <f>HYPERLINK("mailto:tiziana.faini@crm.otsuka-europe.com", "tiziana.faini@crm.otsuka-europe.com")</f>
        <v>tiziana.faini@crm.otsuka-europe.com</v>
      </c>
      <c r="N7253" s="13">
        <v>46182.595520833333</v>
      </c>
      <c r="O7253" s="14" t="str">
        <f>HYPERLINK("https://otsuka-europe-crm.veevavault.com/ui/#object/email_activity__v/V8C00000003S069", "EN-002092973")</f>
        <v>EN-002092973</v>
      </c>
    </row>
    <row r="7254" spans="1:15" ht="32" x14ac:dyDescent="0.2">
      <c r="A7254" s="7" t="str">
        <f>HYPERLINK("https://otsuka-europe-crm.veevavault.com/ui/#object/account__v/V4TZ00000633L16", "CHERIF AIT BACHIR")</f>
        <v>CHERIF AIT BACHIR</v>
      </c>
      <c r="B7254" s="7" t="str">
        <f>HYPERLINK("https://otsuka-europe-crm.veevavault.com/ui/#object/vcountry__v/VENZ000004SONFA", "FR")</f>
        <v>FR</v>
      </c>
      <c r="C7254" s="8" t="s">
        <v>42</v>
      </c>
      <c r="D7254" s="9" t="str">
        <f>HYPERLINK("https://otsuka-europe-crm.veevavault.com/ui/#object/approved_document__v/V5O00000000P003", "FR-AM2-2500027")</f>
        <v>FR-AM2-2500027</v>
      </c>
      <c r="E7254" s="10" t="str">
        <f>HYPERLINK("https://otsuka-europe-crm.veevavault.com/ui/#object/sent_email__v/VBL00000002R339", "SE-001434863")</f>
        <v>SE-001434863</v>
      </c>
      <c r="F7254" s="11"/>
      <c r="G7254" s="12">
        <v>0</v>
      </c>
      <c r="H7254" s="12">
        <v>0</v>
      </c>
      <c r="I7254" s="12">
        <v>0</v>
      </c>
      <c r="J7254" s="11"/>
      <c r="K7254" s="12">
        <v>0</v>
      </c>
      <c r="L7254" s="10" t="str">
        <f>HYPERLINK("https://otsuka-europe-crm.veevavault.com/ui/#object/approved_document__v/V5O00000000P003", "FR-AM2-2500027")</f>
        <v>FR-AM2-2500027</v>
      </c>
      <c r="M7254" s="10" t="str">
        <f>HYPERLINK("mailto:ssaouab@crm.otsuka-europe.com", "ssaouab@crm.otsuka-europe.com")</f>
        <v>ssaouab@crm.otsuka-europe.com</v>
      </c>
      <c r="N7254" s="13">
        <v>46182.595729166664</v>
      </c>
      <c r="O7254" s="14" t="str">
        <f>HYPERLINK("https://otsuka-europe-crm.veevavault.com/ui/#object/email_activity__v/V8C00000003S065", "EN-002092969")</f>
        <v>EN-002092969</v>
      </c>
    </row>
    <row r="7255" spans="1:15" ht="16" x14ac:dyDescent="0.2">
      <c r="A7255" s="17" t="str">
        <f>HYPERLINK("https://otsuka-europe-crm.veevavault.com/ui/#object/account__v/V4TZ06G6OC6L3XF", "AZOUAOU AIT HAMOU")</f>
        <v>AZOUAOU AIT HAMOU</v>
      </c>
      <c r="B7255" s="17" t="str">
        <f>HYPERLINK("https://otsuka-europe-crm.veevavault.com/ui/#object/vcountry__v/VENZ000004SONFA", "FR")</f>
        <v>FR</v>
      </c>
      <c r="C7255" s="20" t="s">
        <v>42</v>
      </c>
      <c r="D7255" s="21" t="str">
        <f>HYPERLINK("https://otsuka-europe-crm.veevavault.com/ui/#object/approved_document__v/V5O00000000P003", "FR-AM2-2500027")</f>
        <v>FR-AM2-2500027</v>
      </c>
      <c r="E7255" s="22" t="str">
        <f>HYPERLINK("https://otsuka-europe-crm.veevavault.com/ui/#object/sent_email__v/VBL00000002R340", "SE-001434864")</f>
        <v>SE-001434864</v>
      </c>
      <c r="F7255" s="23">
        <v>46182.628240740742</v>
      </c>
      <c r="G7255" s="24">
        <v>1</v>
      </c>
      <c r="H7255" s="24">
        <v>1</v>
      </c>
      <c r="I7255" s="24">
        <v>0</v>
      </c>
      <c r="J7255" s="25"/>
      <c r="K7255" s="24">
        <v>0</v>
      </c>
      <c r="L7255" s="22" t="str">
        <f>HYPERLINK("https://otsuka-europe-crm.veevavault.com/ui/#object/approved_document__v/V5O00000000P003", "FR-AM2-2500027")</f>
        <v>FR-AM2-2500027</v>
      </c>
      <c r="M7255" s="22" t="str">
        <f>HYPERLINK("mailto:ssaouab@crm.otsuka-europe.com", "ssaouab@crm.otsuka-europe.com")</f>
        <v>ssaouab@crm.otsuka-europe.com</v>
      </c>
      <c r="N7255" s="23">
        <v>46182.596006944441</v>
      </c>
      <c r="O7255" s="14" t="str">
        <f>HYPERLINK("https://otsuka-europe-crm.veevavault.com/ui/#object/email_activity__v/V8C00000003R760", "EN-002093119")</f>
        <v>EN-002093119</v>
      </c>
    </row>
    <row r="7256" spans="1:15" ht="16" x14ac:dyDescent="0.2">
      <c r="A7256" s="19"/>
      <c r="B7256" s="19"/>
      <c r="C7256" s="19"/>
      <c r="D7256" s="19"/>
      <c r="E7256" s="19"/>
      <c r="F7256" s="19"/>
      <c r="G7256" s="19"/>
      <c r="H7256" s="19"/>
      <c r="I7256" s="19"/>
      <c r="J7256" s="19"/>
      <c r="K7256" s="19"/>
      <c r="L7256" s="19"/>
      <c r="M7256" s="19"/>
      <c r="N7256" s="19"/>
      <c r="O7256" s="14" t="str">
        <f>HYPERLINK("https://otsuka-europe-crm.veevavault.com/ui/#object/email_activity__v/V8C00000003S066", "EN-002092970")</f>
        <v>EN-002092970</v>
      </c>
    </row>
    <row r="7257" spans="1:15" ht="32" x14ac:dyDescent="0.2">
      <c r="A7257" s="7" t="str">
        <f>HYPERLINK("https://otsuka-europe-crm.veevavault.com/ui/#object/account__v/V4TZ00000633IQP", "ABDESSATAR AKARI")</f>
        <v>ABDESSATAR AKARI</v>
      </c>
      <c r="B7257" s="7" t="str">
        <f>HYPERLINK("https://otsuka-europe-crm.veevavault.com/ui/#object/vcountry__v/VENZ000004SONFA", "FR")</f>
        <v>FR</v>
      </c>
      <c r="C7257" s="8" t="s">
        <v>42</v>
      </c>
      <c r="D7257" s="9" t="str">
        <f>HYPERLINK("https://otsuka-europe-crm.veevavault.com/ui/#object/approved_document__v/V5O00000000P003", "FR-AM2-2500027")</f>
        <v>FR-AM2-2500027</v>
      </c>
      <c r="E7257" s="10" t="str">
        <f>HYPERLINK("https://otsuka-europe-crm.veevavault.com/ui/#object/sent_email__v/VBL00000002S476", "SE-001434865")</f>
        <v>SE-001434865</v>
      </c>
      <c r="F7257" s="11"/>
      <c r="G7257" s="12">
        <v>0</v>
      </c>
      <c r="H7257" s="12">
        <v>0</v>
      </c>
      <c r="I7257" s="12">
        <v>0</v>
      </c>
      <c r="J7257" s="11"/>
      <c r="K7257" s="12">
        <v>0</v>
      </c>
      <c r="L7257" s="10" t="str">
        <f>HYPERLINK("https://otsuka-europe-crm.veevavault.com/ui/#object/approved_document__v/V5O00000000P003", "FR-AM2-2500027")</f>
        <v>FR-AM2-2500027</v>
      </c>
      <c r="M7257" s="10" t="str">
        <f>HYPERLINK("mailto:ssaouab@crm.otsuka-europe.com", "ssaouab@crm.otsuka-europe.com")</f>
        <v>ssaouab@crm.otsuka-europe.com</v>
      </c>
      <c r="N7257" s="13">
        <v>46182.596712962964</v>
      </c>
      <c r="O7257" s="14" t="str">
        <f>HYPERLINK("https://otsuka-europe-crm.veevavault.com/ui/#object/email_activity__v/V8C00000003S071", "EN-002092975")</f>
        <v>EN-002092975</v>
      </c>
    </row>
    <row r="7258" spans="1:15" ht="16" x14ac:dyDescent="0.2">
      <c r="A7258" s="17" t="str">
        <f>HYPERLINK("https://otsuka-europe-crm.veevavault.com/ui/#object/account__v/V4TZ00000633LLP", "MARIUS ALESTWANI")</f>
        <v>MARIUS ALESTWANI</v>
      </c>
      <c r="B7258" s="17" t="str">
        <f>HYPERLINK("https://otsuka-europe-crm.veevavault.com/ui/#object/vcountry__v/VENZ000004SONFA", "FR")</f>
        <v>FR</v>
      </c>
      <c r="C7258" s="20" t="s">
        <v>42</v>
      </c>
      <c r="D7258" s="21" t="str">
        <f>HYPERLINK("https://otsuka-europe-crm.veevavault.com/ui/#object/approved_document__v/V5O00000000P003", "FR-AM2-2500027")</f>
        <v>FR-AM2-2500027</v>
      </c>
      <c r="E7258" s="22" t="str">
        <f>HYPERLINK("https://otsuka-europe-crm.veevavault.com/ui/#object/sent_email__v/VBL00000002R341", "SE-001434866")</f>
        <v>SE-001434866</v>
      </c>
      <c r="F7258" s="23">
        <v>46182.857731481483</v>
      </c>
      <c r="G7258" s="24">
        <v>1</v>
      </c>
      <c r="H7258" s="24">
        <v>1</v>
      </c>
      <c r="I7258" s="24">
        <v>0</v>
      </c>
      <c r="J7258" s="25"/>
      <c r="K7258" s="24">
        <v>0</v>
      </c>
      <c r="L7258" s="22" t="str">
        <f>HYPERLINK("https://otsuka-europe-crm.veevavault.com/ui/#object/approved_document__v/V5O00000000P003", "FR-AM2-2500027")</f>
        <v>FR-AM2-2500027</v>
      </c>
      <c r="M7258" s="22" t="str">
        <f>HYPERLINK("mailto:ssaouab@crm.otsuka-europe.com", "ssaouab@crm.otsuka-europe.com")</f>
        <v>ssaouab@crm.otsuka-europe.com</v>
      </c>
      <c r="N7258" s="23">
        <v>46182.596932870372</v>
      </c>
      <c r="O7258" s="14" t="str">
        <f>HYPERLINK("https://otsuka-europe-crm.veevavault.com/ui/#object/email_activity__v/V8C00000003S072", "EN-002092976")</f>
        <v>EN-002092976</v>
      </c>
    </row>
    <row r="7259" spans="1:15" ht="16" x14ac:dyDescent="0.2">
      <c r="A7259" s="19"/>
      <c r="B7259" s="19"/>
      <c r="C7259" s="19"/>
      <c r="D7259" s="19"/>
      <c r="E7259" s="19"/>
      <c r="F7259" s="19"/>
      <c r="G7259" s="19"/>
      <c r="H7259" s="19"/>
      <c r="I7259" s="19"/>
      <c r="J7259" s="19"/>
      <c r="K7259" s="19"/>
      <c r="L7259" s="19"/>
      <c r="M7259" s="19"/>
      <c r="N7259" s="19"/>
      <c r="O7259" s="14" t="str">
        <f>HYPERLINK("https://otsuka-europe-crm.veevavault.com/ui/#object/email_activity__v/V8C00000003T065", "EN-002093691")</f>
        <v>EN-002093691</v>
      </c>
    </row>
    <row r="7260" spans="1:15" ht="16" x14ac:dyDescent="0.2">
      <c r="A7260" s="17" t="str">
        <f>HYPERLINK("https://otsuka-europe-crm.veevavault.com/ui/#object/account__v/V4TZ00000633LOA", "MOUHANAD ALQUNTAR")</f>
        <v>MOUHANAD ALQUNTAR</v>
      </c>
      <c r="B7260" s="17" t="str">
        <f>HYPERLINK("https://otsuka-europe-crm.veevavault.com/ui/#object/vcountry__v/VENZ000004SONFA", "FR")</f>
        <v>FR</v>
      </c>
      <c r="C7260" s="20" t="s">
        <v>42</v>
      </c>
      <c r="D7260" s="21" t="str">
        <f>HYPERLINK("https://otsuka-europe-crm.veevavault.com/ui/#object/approved_document__v/V5O00000000P003", "FR-AM2-2500027")</f>
        <v>FR-AM2-2500027</v>
      </c>
      <c r="E7260" s="22" t="str">
        <f>HYPERLINK("https://otsuka-europe-crm.veevavault.com/ui/#object/sent_email__v/VBL00000002R342", "SE-001434867")</f>
        <v>SE-001434867</v>
      </c>
      <c r="F7260" s="23">
        <v>46182.598055555558</v>
      </c>
      <c r="G7260" s="24">
        <v>1</v>
      </c>
      <c r="H7260" s="24">
        <v>1</v>
      </c>
      <c r="I7260" s="24">
        <v>0</v>
      </c>
      <c r="J7260" s="25"/>
      <c r="K7260" s="24">
        <v>0</v>
      </c>
      <c r="L7260" s="22" t="str">
        <f>HYPERLINK("https://otsuka-europe-crm.veevavault.com/ui/#object/approved_document__v/V5O00000000P003", "FR-AM2-2500027")</f>
        <v>FR-AM2-2500027</v>
      </c>
      <c r="M7260" s="22" t="str">
        <f>HYPERLINK("mailto:ssaouab@crm.otsuka-europe.com", "ssaouab@crm.otsuka-europe.com")</f>
        <v>ssaouab@crm.otsuka-europe.com</v>
      </c>
      <c r="N7260" s="23">
        <v>46182.597581018519</v>
      </c>
      <c r="O7260" s="14" t="str">
        <f>HYPERLINK("https://otsuka-europe-crm.veevavault.com/ui/#object/email_activity__v/V8C00000003R669", "EN-002092979")</f>
        <v>EN-002092979</v>
      </c>
    </row>
    <row r="7261" spans="1:15" ht="16" x14ac:dyDescent="0.2">
      <c r="A7261" s="19"/>
      <c r="B7261" s="19"/>
      <c r="C7261" s="19"/>
      <c r="D7261" s="19"/>
      <c r="E7261" s="19"/>
      <c r="F7261" s="19"/>
      <c r="G7261" s="19"/>
      <c r="H7261" s="19"/>
      <c r="I7261" s="19"/>
      <c r="J7261" s="19"/>
      <c r="K7261" s="19"/>
      <c r="L7261" s="19"/>
      <c r="M7261" s="19"/>
      <c r="N7261" s="19"/>
      <c r="O7261" s="14" t="str">
        <f>HYPERLINK("https://otsuka-europe-crm.veevavault.com/ui/#object/email_activity__v/V8C00000003S073", "EN-002092977")</f>
        <v>EN-002092977</v>
      </c>
    </row>
    <row r="7262" spans="1:15" ht="32" x14ac:dyDescent="0.2">
      <c r="A7262" s="7" t="str">
        <f>HYPERLINK("https://otsuka-europe-crm.veevavault.com/ui/#object/account__v/V4TZ04ASGBNGJQA", "DJEDJIGA AMIRECHE")</f>
        <v>DJEDJIGA AMIRECHE</v>
      </c>
      <c r="B7262" s="7" t="str">
        <f>HYPERLINK("https://otsuka-europe-crm.veevavault.com/ui/#object/vcountry__v/VENZ000004SONFA", "FR")</f>
        <v>FR</v>
      </c>
      <c r="C7262" s="8" t="s">
        <v>42</v>
      </c>
      <c r="D7262" s="9" t="str">
        <f>HYPERLINK("https://otsuka-europe-crm.veevavault.com/ui/#object/approved_document__v/V5O00000000P003", "FR-AM2-2500027")</f>
        <v>FR-AM2-2500027</v>
      </c>
      <c r="E7262" s="10" t="str">
        <f>HYPERLINK("https://otsuka-europe-crm.veevavault.com/ui/#object/sent_email__v/VBL00000002R343", "SE-001434868")</f>
        <v>SE-001434868</v>
      </c>
      <c r="F7262" s="11"/>
      <c r="G7262" s="12">
        <v>0</v>
      </c>
      <c r="H7262" s="12">
        <v>0</v>
      </c>
      <c r="I7262" s="12">
        <v>0</v>
      </c>
      <c r="J7262" s="11"/>
      <c r="K7262" s="12">
        <v>0</v>
      </c>
      <c r="L7262" s="10" t="str">
        <f>HYPERLINK("https://otsuka-europe-crm.veevavault.com/ui/#object/approved_document__v/V5O00000000P003", "FR-AM2-2500027")</f>
        <v>FR-AM2-2500027</v>
      </c>
      <c r="M7262" s="10" t="str">
        <f>HYPERLINK("mailto:ssaouab@crm.otsuka-europe.com", "ssaouab@crm.otsuka-europe.com")</f>
        <v>ssaouab@crm.otsuka-europe.com</v>
      </c>
      <c r="N7262" s="13">
        <v>46182.597939814812</v>
      </c>
      <c r="O7262" s="14" t="str">
        <f>HYPERLINK("https://otsuka-europe-crm.veevavault.com/ui/#object/email_activity__v/V8C00000003R668", "EN-002092978")</f>
        <v>EN-002092978</v>
      </c>
    </row>
    <row r="7263" spans="1:15" ht="32" x14ac:dyDescent="0.2">
      <c r="A7263" s="7" t="str">
        <f>HYPERLINK("https://otsuka-europe-crm.veevavault.com/ui/#object/account__v/V4TZ00000633LR9", "HOCINE AMROUCHE")</f>
        <v>HOCINE AMROUCHE</v>
      </c>
      <c r="B7263" s="7" t="str">
        <f>HYPERLINK("https://otsuka-europe-crm.veevavault.com/ui/#object/vcountry__v/VENZ000004SONFA", "FR")</f>
        <v>FR</v>
      </c>
      <c r="C7263" s="8" t="s">
        <v>42</v>
      </c>
      <c r="D7263" s="9" t="str">
        <f>HYPERLINK("https://otsuka-europe-crm.veevavault.com/ui/#object/approved_document__v/V5O00000000P003", "FR-AM2-2500027")</f>
        <v>FR-AM2-2500027</v>
      </c>
      <c r="E7263" s="10" t="str">
        <f>HYPERLINK("https://otsuka-europe-crm.veevavault.com/ui/#object/sent_email__v/VBL00000002R344", "SE-001434869")</f>
        <v>SE-001434869</v>
      </c>
      <c r="F7263" s="11"/>
      <c r="G7263" s="12">
        <v>0</v>
      </c>
      <c r="H7263" s="12">
        <v>0</v>
      </c>
      <c r="I7263" s="12">
        <v>0</v>
      </c>
      <c r="J7263" s="11"/>
      <c r="K7263" s="12">
        <v>0</v>
      </c>
      <c r="L7263" s="10" t="str">
        <f>HYPERLINK("https://otsuka-europe-crm.veevavault.com/ui/#object/approved_document__v/V5O00000000P003", "FR-AM2-2500027")</f>
        <v>FR-AM2-2500027</v>
      </c>
      <c r="M7263" s="10" t="str">
        <f>HYPERLINK("mailto:ssaouab@crm.otsuka-europe.com", "ssaouab@crm.otsuka-europe.com")</f>
        <v>ssaouab@crm.otsuka-europe.com</v>
      </c>
      <c r="N7263" s="13">
        <v>46182.598460648151</v>
      </c>
      <c r="O7263" s="14" t="str">
        <f>HYPERLINK("https://otsuka-europe-crm.veevavault.com/ui/#object/email_activity__v/V8C00000003S074", "EN-002092981")</f>
        <v>EN-002092981</v>
      </c>
    </row>
    <row r="7264" spans="1:15" ht="48" x14ac:dyDescent="0.2">
      <c r="A7264" s="7" t="str">
        <f>HYPERLINK("https://otsuka-europe-crm.veevavault.com/ui/#object/account__v/V4TZ025E82C78KX", "MIREILLE ANDOY")</f>
        <v>MIREILLE ANDOY</v>
      </c>
      <c r="B7264" s="7" t="str">
        <f>HYPERLINK("https://otsuka-europe-crm.veevavault.com/ui/#object/vcountry__v/VENZ000004SONFA", "FR")</f>
        <v>FR</v>
      </c>
      <c r="C7264" s="8" t="s">
        <v>42</v>
      </c>
      <c r="D7264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264" s="10" t="str">
        <f>HYPERLINK("https://otsuka-europe-crm.veevavault.com/ui/#object/sent_email__v/VBL00000002R345", "SE-001434870")</f>
        <v>SE-001434870</v>
      </c>
      <c r="F7264" s="11"/>
      <c r="G7264" s="12">
        <v>0</v>
      </c>
      <c r="H7264" s="12">
        <v>0</v>
      </c>
      <c r="I7264" s="12">
        <v>0</v>
      </c>
      <c r="J7264" s="11"/>
      <c r="K7264" s="12">
        <v>0</v>
      </c>
      <c r="L7264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264" s="10" t="str">
        <f>HYPERLINK("mailto:ssaouab@crm.otsuka-europe.com", "ssaouab@crm.otsuka-europe.com")</f>
        <v>ssaouab@crm.otsuka-europe.com</v>
      </c>
      <c r="N7264" s="13">
        <v>46182.598599537036</v>
      </c>
      <c r="O7264" s="14" t="str">
        <f>HYPERLINK("https://otsuka-europe-crm.veevavault.com/ui/#object/email_activity__v/V8C00000003R672", "EN-002092983")</f>
        <v>EN-002092983</v>
      </c>
    </row>
    <row r="7265" spans="1:15" ht="16" x14ac:dyDescent="0.2">
      <c r="A7265" s="17" t="str">
        <f>HYPERLINK("https://otsuka-europe-crm.veevavault.com/ui/#object/account__v/V4TZ025E82C78KX", "MIREILLE ANDOY")</f>
        <v>MIREILLE ANDOY</v>
      </c>
      <c r="B7265" s="17" t="str">
        <f>HYPERLINK("https://otsuka-europe-crm.veevavault.com/ui/#object/vcountry__v/VENZ000004SONFA", "FR")</f>
        <v>FR</v>
      </c>
      <c r="C7265" s="20" t="s">
        <v>42</v>
      </c>
      <c r="D7265" s="21" t="str">
        <f>HYPERLINK("https://otsuka-europe-crm.veevavault.com/ui/#object/approved_document__v/V5O00000000P003", "FR-AM2-2500027")</f>
        <v>FR-AM2-2500027</v>
      </c>
      <c r="E7265" s="22" t="str">
        <f>HYPERLINK("https://otsuka-europe-crm.veevavault.com/ui/#object/sent_email__v/VBL00000002R346", "SE-001434871")</f>
        <v>SE-001434871</v>
      </c>
      <c r="F7265" s="23">
        <v>46182.630891203706</v>
      </c>
      <c r="G7265" s="24">
        <v>1</v>
      </c>
      <c r="H7265" s="24">
        <v>1</v>
      </c>
      <c r="I7265" s="24">
        <v>0</v>
      </c>
      <c r="J7265" s="25"/>
      <c r="K7265" s="24">
        <v>0</v>
      </c>
      <c r="L7265" s="22" t="str">
        <f>HYPERLINK("https://otsuka-europe-crm.veevavault.com/ui/#object/approved_document__v/V5O00000000P003", "FR-AM2-2500027")</f>
        <v>FR-AM2-2500027</v>
      </c>
      <c r="M7265" s="22" t="str">
        <f>HYPERLINK("mailto:ssaouab@crm.otsuka-europe.com", "ssaouab@crm.otsuka-europe.com")</f>
        <v>ssaouab@crm.otsuka-europe.com</v>
      </c>
      <c r="N7265" s="23">
        <v>46182.598807870374</v>
      </c>
      <c r="O7265" s="14" t="str">
        <f>HYPERLINK("https://otsuka-europe-crm.veevavault.com/ui/#object/email_activity__v/V8C00000003R673", "EN-002092984")</f>
        <v>EN-002092984</v>
      </c>
    </row>
    <row r="7266" spans="1:15" ht="16" x14ac:dyDescent="0.2">
      <c r="A7266" s="19"/>
      <c r="B7266" s="19"/>
      <c r="C7266" s="19"/>
      <c r="D7266" s="19"/>
      <c r="E7266" s="19"/>
      <c r="F7266" s="19"/>
      <c r="G7266" s="19"/>
      <c r="H7266" s="19"/>
      <c r="I7266" s="19"/>
      <c r="J7266" s="19"/>
      <c r="K7266" s="19"/>
      <c r="L7266" s="19"/>
      <c r="M7266" s="19"/>
      <c r="N7266" s="19"/>
      <c r="O7266" s="14" t="str">
        <f>HYPERLINK("https://otsuka-europe-crm.veevavault.com/ui/#object/email_activity__v/V8C00000003R764", "EN-002093125")</f>
        <v>EN-002093125</v>
      </c>
    </row>
    <row r="7267" spans="1:15" ht="16" x14ac:dyDescent="0.2">
      <c r="A7267" s="17" t="str">
        <f>HYPERLINK("https://otsuka-europe-crm.veevavault.com/ui/#object/account__v/V4TZ00000633IQS", "SAMIR ARAB")</f>
        <v>SAMIR ARAB</v>
      </c>
      <c r="B7267" s="17" t="str">
        <f>HYPERLINK("https://otsuka-europe-crm.veevavault.com/ui/#object/vcountry__v/VENZ000004SONFA", "FR")</f>
        <v>FR</v>
      </c>
      <c r="C7267" s="20" t="s">
        <v>42</v>
      </c>
      <c r="D7267" s="21" t="str">
        <f>HYPERLINK("https://otsuka-europe-crm.veevavault.com/ui/#object/approved_document__v/V5O00000000P003", "FR-AM2-2500027")</f>
        <v>FR-AM2-2500027</v>
      </c>
      <c r="E7267" s="22" t="str">
        <f>HYPERLINK("https://otsuka-europe-crm.veevavault.com/ui/#object/sent_email__v/VBL00000002R347", "SE-001434872")</f>
        <v>SE-001434872</v>
      </c>
      <c r="F7267" s="23">
        <v>46182.739618055559</v>
      </c>
      <c r="G7267" s="24">
        <v>1</v>
      </c>
      <c r="H7267" s="24">
        <v>1</v>
      </c>
      <c r="I7267" s="24">
        <v>0</v>
      </c>
      <c r="J7267" s="25"/>
      <c r="K7267" s="24">
        <v>0</v>
      </c>
      <c r="L7267" s="22" t="str">
        <f>HYPERLINK("https://otsuka-europe-crm.veevavault.com/ui/#object/approved_document__v/V5O00000000P003", "FR-AM2-2500027")</f>
        <v>FR-AM2-2500027</v>
      </c>
      <c r="M7267" s="22" t="str">
        <f>HYPERLINK("mailto:ssaouab@crm.otsuka-europe.com", "ssaouab@crm.otsuka-europe.com")</f>
        <v>ssaouab@crm.otsuka-europe.com</v>
      </c>
      <c r="N7267" s="23">
        <v>46182.599143518521</v>
      </c>
      <c r="O7267" s="14" t="str">
        <f>HYPERLINK("https://otsuka-europe-crm.veevavault.com/ui/#object/email_activity__v/V8C00000003R674", "EN-002092985")</f>
        <v>EN-002092985</v>
      </c>
    </row>
    <row r="7268" spans="1:15" ht="16" x14ac:dyDescent="0.2">
      <c r="A7268" s="19"/>
      <c r="B7268" s="19"/>
      <c r="C7268" s="19"/>
      <c r="D7268" s="19"/>
      <c r="E7268" s="19"/>
      <c r="F7268" s="19"/>
      <c r="G7268" s="19"/>
      <c r="H7268" s="19"/>
      <c r="I7268" s="19"/>
      <c r="J7268" s="19"/>
      <c r="K7268" s="19"/>
      <c r="L7268" s="19"/>
      <c r="M7268" s="19"/>
      <c r="N7268" s="19"/>
      <c r="O7268" s="14" t="str">
        <f>HYPERLINK("https://otsuka-europe-crm.veevavault.com/ui/#object/email_activity__v/V8C00000003S243", "EN-002093360")</f>
        <v>EN-002093360</v>
      </c>
    </row>
    <row r="7269" spans="1:15" ht="16" x14ac:dyDescent="0.2">
      <c r="A7269" s="17" t="str">
        <f>HYPERLINK("https://otsuka-europe-crm.veevavault.com/ui/#object/account__v/V4TZ00000633IQS", "SAMIR ARAB")</f>
        <v>SAMIR ARAB</v>
      </c>
      <c r="B7269" s="17" t="str">
        <f>HYPERLINK("https://otsuka-europe-crm.veevavault.com/ui/#object/vcountry__v/VENZ000004SONFA", "FR")</f>
        <v>FR</v>
      </c>
      <c r="C7269" s="20" t="s">
        <v>42</v>
      </c>
      <c r="D7269" s="21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269" s="22" t="str">
        <f>HYPERLINK("https://otsuka-europe-crm.veevavault.com/ui/#object/sent_email__v/VBL00000002S477", "SE-001434873")</f>
        <v>SE-001434873</v>
      </c>
      <c r="F7269" s="23">
        <v>46183.631354166668</v>
      </c>
      <c r="G7269" s="24">
        <v>1</v>
      </c>
      <c r="H7269" s="24">
        <v>2</v>
      </c>
      <c r="I7269" s="24">
        <v>0</v>
      </c>
      <c r="J7269" s="25"/>
      <c r="K7269" s="24">
        <v>0</v>
      </c>
      <c r="L7269" s="22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269" s="22" t="str">
        <f>HYPERLINK("mailto:ssaouab@crm.otsuka-europe.com", "ssaouab@crm.otsuka-europe.com")</f>
        <v>ssaouab@crm.otsuka-europe.com</v>
      </c>
      <c r="N7269" s="23">
        <v>46182.599212962959</v>
      </c>
      <c r="O7269" s="14" t="str">
        <f>HYPERLINK("https://otsuka-europe-crm.veevavault.com/ui/#object/email_activity__v/V8C00000003R675", "EN-002092986")</f>
        <v>EN-002092986</v>
      </c>
    </row>
    <row r="7270" spans="1:15" ht="16" x14ac:dyDescent="0.2">
      <c r="A7270" s="18"/>
      <c r="B7270" s="18"/>
      <c r="C7270" s="18"/>
      <c r="D7270" s="18"/>
      <c r="E7270" s="18"/>
      <c r="F7270" s="18"/>
      <c r="G7270" s="18"/>
      <c r="H7270" s="18"/>
      <c r="I7270" s="18"/>
      <c r="J7270" s="18"/>
      <c r="K7270" s="18"/>
      <c r="L7270" s="18"/>
      <c r="M7270" s="18"/>
      <c r="N7270" s="18"/>
      <c r="O7270" s="14" t="str">
        <f>HYPERLINK("https://otsuka-europe-crm.veevavault.com/ui/#object/email_activity__v/V8C00000003S245", "EN-002093363")</f>
        <v>EN-002093363</v>
      </c>
    </row>
    <row r="7271" spans="1:15" ht="16" x14ac:dyDescent="0.2">
      <c r="A7271" s="19"/>
      <c r="B7271" s="19"/>
      <c r="C7271" s="19"/>
      <c r="D7271" s="19"/>
      <c r="E7271" s="19"/>
      <c r="F7271" s="19"/>
      <c r="G7271" s="19"/>
      <c r="H7271" s="19"/>
      <c r="I7271" s="19"/>
      <c r="J7271" s="19"/>
      <c r="K7271" s="19"/>
      <c r="L7271" s="19"/>
      <c r="M7271" s="19"/>
      <c r="N7271" s="19"/>
      <c r="O7271" s="14" t="str">
        <f>HYPERLINK("https://otsuka-europe-crm.veevavault.com/ui/#object/email_activity__v/V8C00000003T353", "EN-002094286")</f>
        <v>EN-002094286</v>
      </c>
    </row>
    <row r="7272" spans="1:15" ht="16" x14ac:dyDescent="0.2">
      <c r="A7272" s="17" t="str">
        <f>HYPERLINK("https://otsuka-europe-crm.veevavault.com/ui/#object/account__v/V4TZ00000633IZX", "FARIZA ARKAM")</f>
        <v>FARIZA ARKAM</v>
      </c>
      <c r="B7272" s="17" t="str">
        <f>HYPERLINK("https://otsuka-europe-crm.veevavault.com/ui/#object/vcountry__v/VENZ000004SONFA", "FR")</f>
        <v>FR</v>
      </c>
      <c r="C7272" s="20" t="s">
        <v>42</v>
      </c>
      <c r="D7272" s="21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272" s="22" t="str">
        <f>HYPERLINK("https://otsuka-europe-crm.veevavault.com/ui/#object/sent_email__v/VBL00000002R348", "SE-001434874")</f>
        <v>SE-001434874</v>
      </c>
      <c r="F7272" s="23">
        <v>46189.424143518518</v>
      </c>
      <c r="G7272" s="24">
        <v>1</v>
      </c>
      <c r="H7272" s="24">
        <v>1</v>
      </c>
      <c r="I7272" s="24">
        <v>0</v>
      </c>
      <c r="J7272" s="25"/>
      <c r="K7272" s="24">
        <v>0</v>
      </c>
      <c r="L7272" s="22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272" s="22" t="str">
        <f>HYPERLINK("mailto:ssaouab@crm.otsuka-europe.com", "ssaouab@crm.otsuka-europe.com")</f>
        <v>ssaouab@crm.otsuka-europe.com</v>
      </c>
      <c r="N7272" s="23">
        <v>46182.599560185183</v>
      </c>
      <c r="O7272" s="14" t="str">
        <f>HYPERLINK("https://otsuka-europe-crm.veevavault.com/ui/#object/email_activity__v/V8C00000003R677", "EN-002092988")</f>
        <v>EN-002092988</v>
      </c>
    </row>
    <row r="7273" spans="1:15" ht="16" x14ac:dyDescent="0.2">
      <c r="A7273" s="19"/>
      <c r="B7273" s="19"/>
      <c r="C7273" s="19"/>
      <c r="D7273" s="19"/>
      <c r="E7273" s="19"/>
      <c r="F7273" s="19"/>
      <c r="G7273" s="19"/>
      <c r="H7273" s="19"/>
      <c r="I7273" s="19"/>
      <c r="J7273" s="19"/>
      <c r="K7273" s="19"/>
      <c r="L7273" s="19"/>
      <c r="M7273" s="19"/>
      <c r="N7273" s="19"/>
      <c r="O7273" s="14" t="str">
        <f>HYPERLINK("https://otsuka-europe-crm.veevavault.com/ui/#object/email_activity__v/V8C00000003W170", "EN-002097054")</f>
        <v>EN-002097054</v>
      </c>
    </row>
    <row r="7274" spans="1:15" ht="16" x14ac:dyDescent="0.2">
      <c r="A7274" s="17" t="str">
        <f>HYPERLINK("https://otsuka-europe-crm.veevavault.com/ui/#object/account__v/V4TZ00000633IZX", "FARIZA ARKAM")</f>
        <v>FARIZA ARKAM</v>
      </c>
      <c r="B7274" s="17" t="str">
        <f>HYPERLINK("https://otsuka-europe-crm.veevavault.com/ui/#object/vcountry__v/VENZ000004SONFA", "FR")</f>
        <v>FR</v>
      </c>
      <c r="C7274" s="20" t="s">
        <v>42</v>
      </c>
      <c r="D7274" s="21" t="str">
        <f>HYPERLINK("https://otsuka-europe-crm.veevavault.com/ui/#object/approved_document__v/V5O00000000P003", "FR-AM2-2500027")</f>
        <v>FR-AM2-2500027</v>
      </c>
      <c r="E7274" s="22" t="str">
        <f>HYPERLINK("https://otsuka-europe-crm.veevavault.com/ui/#object/sent_email__v/VBL00000002R349", "SE-001434875")</f>
        <v>SE-001434875</v>
      </c>
      <c r="F7274" s="23">
        <v>46189.423958333333</v>
      </c>
      <c r="G7274" s="24">
        <v>1</v>
      </c>
      <c r="H7274" s="24">
        <v>1</v>
      </c>
      <c r="I7274" s="24">
        <v>0</v>
      </c>
      <c r="J7274" s="25"/>
      <c r="K7274" s="24">
        <v>0</v>
      </c>
      <c r="L7274" s="22" t="str">
        <f>HYPERLINK("https://otsuka-europe-crm.veevavault.com/ui/#object/approved_document__v/V5O00000000P003", "FR-AM2-2500027")</f>
        <v>FR-AM2-2500027</v>
      </c>
      <c r="M7274" s="22" t="str">
        <f>HYPERLINK("mailto:ssaouab@crm.otsuka-europe.com", "ssaouab@crm.otsuka-europe.com")</f>
        <v>ssaouab@crm.otsuka-europe.com</v>
      </c>
      <c r="N7274" s="23">
        <v>46182.599675925929</v>
      </c>
      <c r="O7274" s="14" t="str">
        <f>HYPERLINK("https://otsuka-europe-crm.veevavault.com/ui/#object/email_activity__v/V8C00000003R676", "EN-002092987")</f>
        <v>EN-002092987</v>
      </c>
    </row>
    <row r="7275" spans="1:15" ht="16" x14ac:dyDescent="0.2">
      <c r="A7275" s="19"/>
      <c r="B7275" s="19"/>
      <c r="C7275" s="19"/>
      <c r="D7275" s="19"/>
      <c r="E7275" s="19"/>
      <c r="F7275" s="19"/>
      <c r="G7275" s="19"/>
      <c r="H7275" s="19"/>
      <c r="I7275" s="19"/>
      <c r="J7275" s="19"/>
      <c r="K7275" s="19"/>
      <c r="L7275" s="19"/>
      <c r="M7275" s="19"/>
      <c r="N7275" s="19"/>
      <c r="O7275" s="14" t="str">
        <f>HYPERLINK("https://otsuka-europe-crm.veevavault.com/ui/#object/email_activity__v/V8C00000003W169", "EN-002097053")</f>
        <v>EN-002097053</v>
      </c>
    </row>
    <row r="7276" spans="1:15" ht="48" x14ac:dyDescent="0.2">
      <c r="A7276" s="7" t="str">
        <f>HYPERLINK("https://otsuka-europe-crm.veevavault.com/ui/#object/account__v/V4TZ00000633LWM", "MANUELA ARNAULT MITU")</f>
        <v>MANUELA ARNAULT MITU</v>
      </c>
      <c r="B7276" s="7" t="str">
        <f>HYPERLINK("https://otsuka-europe-crm.veevavault.com/ui/#object/vcountry__v/VENZ000004SONFA", "FR")</f>
        <v>FR</v>
      </c>
      <c r="C7276" s="8" t="s">
        <v>42</v>
      </c>
      <c r="D7276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276" s="10" t="str">
        <f>HYPERLINK("https://otsuka-europe-crm.veevavault.com/ui/#object/sent_email__v/VBL00000002R350", "SE-001434876")</f>
        <v>SE-001434876</v>
      </c>
      <c r="F7276" s="11"/>
      <c r="G7276" s="12">
        <v>0</v>
      </c>
      <c r="H7276" s="12">
        <v>0</v>
      </c>
      <c r="I7276" s="12">
        <v>0</v>
      </c>
      <c r="J7276" s="11"/>
      <c r="K7276" s="12">
        <v>0</v>
      </c>
      <c r="L7276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276" s="10" t="str">
        <f>HYPERLINK("mailto:ssaouab@crm.otsuka-europe.com", "ssaouab@crm.otsuka-europe.com")</f>
        <v>ssaouab@crm.otsuka-europe.com</v>
      </c>
      <c r="N7276" s="13">
        <v>46182.600011574075</v>
      </c>
      <c r="O7276" s="14" t="str">
        <f>HYPERLINK("https://otsuka-europe-crm.veevavault.com/ui/#object/email_activity__v/V8C00000003R678", "EN-002092989")</f>
        <v>EN-002092989</v>
      </c>
    </row>
    <row r="7277" spans="1:15" ht="32" x14ac:dyDescent="0.2">
      <c r="A7277" s="7" t="str">
        <f>HYPERLINK("https://otsuka-europe-crm.veevavault.com/ui/#object/account__v/V4TZ00000633LWM", "MANUELA ARNAULT MITU")</f>
        <v>MANUELA ARNAULT MITU</v>
      </c>
      <c r="B7277" s="7" t="str">
        <f>HYPERLINK("https://otsuka-europe-crm.veevavault.com/ui/#object/vcountry__v/VENZ000004SONFA", "FR")</f>
        <v>FR</v>
      </c>
      <c r="C7277" s="8" t="s">
        <v>42</v>
      </c>
      <c r="D7277" s="9" t="str">
        <f>HYPERLINK("https://otsuka-europe-crm.veevavault.com/ui/#object/approved_document__v/V5O00000000P003", "FR-AM2-2500027")</f>
        <v>FR-AM2-2500027</v>
      </c>
      <c r="E7277" s="10" t="str">
        <f>HYPERLINK("https://otsuka-europe-crm.veevavault.com/ui/#object/sent_email__v/VBL00000002S478", "SE-001434877")</f>
        <v>SE-001434877</v>
      </c>
      <c r="F7277" s="11"/>
      <c r="G7277" s="12">
        <v>0</v>
      </c>
      <c r="H7277" s="12">
        <v>0</v>
      </c>
      <c r="I7277" s="12">
        <v>0</v>
      </c>
      <c r="J7277" s="11"/>
      <c r="K7277" s="12">
        <v>0</v>
      </c>
      <c r="L7277" s="10" t="str">
        <f>HYPERLINK("https://otsuka-europe-crm.veevavault.com/ui/#object/approved_document__v/V5O00000000P003", "FR-AM2-2500027")</f>
        <v>FR-AM2-2500027</v>
      </c>
      <c r="M7277" s="10" t="str">
        <f>HYPERLINK("mailto:ssaouab@crm.otsuka-europe.com", "ssaouab@crm.otsuka-europe.com")</f>
        <v>ssaouab@crm.otsuka-europe.com</v>
      </c>
      <c r="N7277" s="13">
        <v>46182.600127314814</v>
      </c>
      <c r="O7277" s="14" t="str">
        <f>HYPERLINK("https://otsuka-europe-crm.veevavault.com/ui/#object/email_activity__v/V8C00000003R679", "EN-002092990")</f>
        <v>EN-002092990</v>
      </c>
    </row>
    <row r="7278" spans="1:15" ht="32" x14ac:dyDescent="0.2">
      <c r="A7278" s="7" t="str">
        <f>HYPERLINK("https://otsuka-europe-crm.veevavault.com/ui/#object/account__v/V4TZ00000634C30", "BELKACEM ASBAI")</f>
        <v>BELKACEM ASBAI</v>
      </c>
      <c r="B7278" s="7" t="str">
        <f>HYPERLINK("https://otsuka-europe-crm.veevavault.com/ui/#object/vcountry__v/VENZ000004SONFA", "FR")</f>
        <v>FR</v>
      </c>
      <c r="C7278" s="8" t="s">
        <v>42</v>
      </c>
      <c r="D7278" s="9" t="str">
        <f>HYPERLINK("https://otsuka-europe-crm.veevavault.com/ui/#object/approved_document__v/V5O00000000P003", "FR-AM2-2500027")</f>
        <v>FR-AM2-2500027</v>
      </c>
      <c r="E7278" s="10" t="str">
        <f>HYPERLINK("https://otsuka-europe-crm.veevavault.com/ui/#object/sent_email__v/VBL00000002R351", "SE-001434878")</f>
        <v>SE-001434878</v>
      </c>
      <c r="F7278" s="11"/>
      <c r="G7278" s="12">
        <v>0</v>
      </c>
      <c r="H7278" s="12">
        <v>0</v>
      </c>
      <c r="I7278" s="12">
        <v>0</v>
      </c>
      <c r="J7278" s="11"/>
      <c r="K7278" s="12">
        <v>0</v>
      </c>
      <c r="L7278" s="10" t="str">
        <f>HYPERLINK("https://otsuka-europe-crm.veevavault.com/ui/#object/approved_document__v/V5O00000000P003", "FR-AM2-2500027")</f>
        <v>FR-AM2-2500027</v>
      </c>
      <c r="M7278" s="10" t="str">
        <f>HYPERLINK("mailto:ssaouab@crm.otsuka-europe.com", "ssaouab@crm.otsuka-europe.com")</f>
        <v>ssaouab@crm.otsuka-europe.com</v>
      </c>
      <c r="N7278" s="13">
        <v>46182.600358796299</v>
      </c>
      <c r="O7278" s="14" t="str">
        <f>HYPERLINK("https://otsuka-europe-crm.veevavault.com/ui/#object/email_activity__v/V8C00000003R680", "EN-002092991")</f>
        <v>EN-002092991</v>
      </c>
    </row>
    <row r="7279" spans="1:15" ht="48" x14ac:dyDescent="0.2">
      <c r="A7279" s="7" t="str">
        <f>HYPERLINK("https://otsuka-europe-crm.veevavault.com/ui/#object/account__v/V4TZ00000634C30", "BELKACEM ASBAI")</f>
        <v>BELKACEM ASBAI</v>
      </c>
      <c r="B7279" s="7" t="str">
        <f>HYPERLINK("https://otsuka-europe-crm.veevavault.com/ui/#object/vcountry__v/VENZ000004SONFA", "FR")</f>
        <v>FR</v>
      </c>
      <c r="C7279" s="8" t="s">
        <v>42</v>
      </c>
      <c r="D7279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279" s="10" t="str">
        <f>HYPERLINK("https://otsuka-europe-crm.veevavault.com/ui/#object/sent_email__v/VBL00000002R352", "SE-001434879")</f>
        <v>SE-001434879</v>
      </c>
      <c r="F7279" s="11"/>
      <c r="G7279" s="12">
        <v>0</v>
      </c>
      <c r="H7279" s="12">
        <v>0</v>
      </c>
      <c r="I7279" s="12">
        <v>0</v>
      </c>
      <c r="J7279" s="11"/>
      <c r="K7279" s="12">
        <v>0</v>
      </c>
      <c r="L7279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279" s="10" t="str">
        <f>HYPERLINK("mailto:ssaouab@crm.otsuka-europe.com", "ssaouab@crm.otsuka-europe.com")</f>
        <v>ssaouab@crm.otsuka-europe.com</v>
      </c>
      <c r="N7279" s="13">
        <v>46182.600393518522</v>
      </c>
      <c r="O7279" s="14" t="str">
        <f>HYPERLINK("https://otsuka-europe-crm.veevavault.com/ui/#object/email_activity__v/V8C00000003R681", "EN-002092992")</f>
        <v>EN-002092992</v>
      </c>
    </row>
    <row r="7280" spans="1:15" ht="48" x14ac:dyDescent="0.2">
      <c r="A7280" s="7" t="str">
        <f>HYPERLINK("https://otsuka-europe-crm.veevavault.com/ui/#object/account__v/V4TZ00000633LCH", "MARIE CLAIRE ASMAR")</f>
        <v>MARIE CLAIRE ASMAR</v>
      </c>
      <c r="B7280" s="7" t="str">
        <f>HYPERLINK("https://otsuka-europe-crm.veevavault.com/ui/#object/vcountry__v/VENZ000004SONFA", "FR")</f>
        <v>FR</v>
      </c>
      <c r="C7280" s="8" t="s">
        <v>42</v>
      </c>
      <c r="D7280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280" s="10" t="str">
        <f>HYPERLINK("https://otsuka-europe-crm.veevavault.com/ui/#object/sent_email__v/VBL00000002R353", "SE-001434880")</f>
        <v>SE-001434880</v>
      </c>
      <c r="F7280" s="11"/>
      <c r="G7280" s="12">
        <v>0</v>
      </c>
      <c r="H7280" s="12">
        <v>0</v>
      </c>
      <c r="I7280" s="12">
        <v>0</v>
      </c>
      <c r="J7280" s="11"/>
      <c r="K7280" s="12">
        <v>0</v>
      </c>
      <c r="L7280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280" s="10" t="str">
        <f>HYPERLINK("mailto:ssaouab@crm.otsuka-europe.com", "ssaouab@crm.otsuka-europe.com")</f>
        <v>ssaouab@crm.otsuka-europe.com</v>
      </c>
      <c r="N7280" s="13">
        <v>46182.600729166668</v>
      </c>
      <c r="O7280" s="14" t="str">
        <f>HYPERLINK("https://otsuka-europe-crm.veevavault.com/ui/#object/email_activity__v/V8C00000003R684", "EN-002092995")</f>
        <v>EN-002092995</v>
      </c>
    </row>
    <row r="7281" spans="1:15" ht="32" x14ac:dyDescent="0.2">
      <c r="A7281" s="7" t="str">
        <f>HYPERLINK("https://otsuka-europe-crm.veevavault.com/ui/#object/account__v/V4TZ0000062PCIJ", "Halilu Abdullahi")</f>
        <v>Halilu Abdullahi</v>
      </c>
      <c r="B7281" s="7" t="str">
        <f>HYPERLINK("https://otsuka-europe-crm.veevavault.com/ui/#object/vcountry__v/VENZ000004SONFK", "GB")</f>
        <v>GB</v>
      </c>
      <c r="C7281" s="8" t="s">
        <v>39</v>
      </c>
      <c r="D7281" s="9" t="str">
        <f>HYPERLINK("https://otsuka-europe-crm.veevavault.com/ui/#object/approved_document__v/V5OZ025E82TSZBI", "Aripiprazole 960mg Fragment VAE")</f>
        <v>Aripiprazole 960mg Fragment VAE</v>
      </c>
      <c r="E7281" s="10" t="str">
        <f>HYPERLINK("https://otsuka-europe-crm.veevavault.com/ui/#object/sent_email__v/VBL00000002R354", "SE-001434881")</f>
        <v>SE-001434881</v>
      </c>
      <c r="F7281" s="11"/>
      <c r="G7281" s="12">
        <v>0</v>
      </c>
      <c r="H7281" s="12">
        <v>0</v>
      </c>
      <c r="I7281" s="12">
        <v>0</v>
      </c>
      <c r="J7281" s="11"/>
      <c r="K7281" s="12">
        <v>0</v>
      </c>
      <c r="L7281" s="10" t="str">
        <f>HYPERLINK("https://otsuka-europe-crm.veevavault.com/ui/#object/approved_document__v/V5OZ025E82TSZBI", "Aripiprazole 960mg Fragment VAE")</f>
        <v>Aripiprazole 960mg Fragment VAE</v>
      </c>
      <c r="M7281" s="10" t="str">
        <f>HYPERLINK("mailto:sfinnigan@crm.otsuka-europe.com", "sfinnigan@crm.otsuka-europe.com")</f>
        <v>sfinnigan@crm.otsuka-europe.com</v>
      </c>
      <c r="N7281" s="13">
        <v>46182.600729166668</v>
      </c>
      <c r="O7281" s="14" t="str">
        <f>HYPERLINK("https://otsuka-europe-crm.veevavault.com/ui/#object/email_activity__v/V8C00000003R682", "EN-002092993")</f>
        <v>EN-002092993</v>
      </c>
    </row>
    <row r="7282" spans="1:15" ht="32" x14ac:dyDescent="0.2">
      <c r="A7282" s="7" t="str">
        <f>HYPERLINK("https://otsuka-europe-crm.veevavault.com/ui/#object/account__v/V4TZ00000633LCH", "MARIE CLAIRE ASMAR")</f>
        <v>MARIE CLAIRE ASMAR</v>
      </c>
      <c r="B7282" s="7" t="str">
        <f>HYPERLINK("https://otsuka-europe-crm.veevavault.com/ui/#object/vcountry__v/VENZ000004SONFA", "FR")</f>
        <v>FR</v>
      </c>
      <c r="C7282" s="8" t="s">
        <v>42</v>
      </c>
      <c r="D7282" s="9" t="str">
        <f>HYPERLINK("https://otsuka-europe-crm.veevavault.com/ui/#object/approved_document__v/V5O00000000P003", "FR-AM2-2500027")</f>
        <v>FR-AM2-2500027</v>
      </c>
      <c r="E7282" s="10" t="str">
        <f>HYPERLINK("https://otsuka-europe-crm.veevavault.com/ui/#object/sent_email__v/VBL00000002S479", "SE-001434882")</f>
        <v>SE-001434882</v>
      </c>
      <c r="F7282" s="11"/>
      <c r="G7282" s="12">
        <v>0</v>
      </c>
      <c r="H7282" s="12">
        <v>0</v>
      </c>
      <c r="I7282" s="12">
        <v>0</v>
      </c>
      <c r="J7282" s="11"/>
      <c r="K7282" s="12">
        <v>0</v>
      </c>
      <c r="L7282" s="10" t="str">
        <f>HYPERLINK("https://otsuka-europe-crm.veevavault.com/ui/#object/approved_document__v/V5O00000000P003", "FR-AM2-2500027")</f>
        <v>FR-AM2-2500027</v>
      </c>
      <c r="M7282" s="10" t="str">
        <f>HYPERLINK("mailto:ssaouab@crm.otsuka-europe.com", "ssaouab@crm.otsuka-europe.com")</f>
        <v>ssaouab@crm.otsuka-europe.com</v>
      </c>
      <c r="N7282" s="13">
        <v>46182.60083333333</v>
      </c>
      <c r="O7282" s="14" t="str">
        <f>HYPERLINK("https://otsuka-europe-crm.veevavault.com/ui/#object/email_activity__v/V8C00000003R683", "EN-002092994")</f>
        <v>EN-002092994</v>
      </c>
    </row>
    <row r="7283" spans="1:15" ht="48" x14ac:dyDescent="0.2">
      <c r="A7283" s="7" t="str">
        <f>HYPERLINK("https://otsuka-europe-crm.veevavault.com/ui/#object/account__v/V4TZ00000633KW1", "SARRA ATEB")</f>
        <v>SARRA ATEB</v>
      </c>
      <c r="B7283" s="7" t="str">
        <f>HYPERLINK("https://otsuka-europe-crm.veevavault.com/ui/#object/vcountry__v/VENZ000004SONFA", "FR")</f>
        <v>FR</v>
      </c>
      <c r="C7283" s="8" t="s">
        <v>42</v>
      </c>
      <c r="D7283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283" s="10" t="str">
        <f>HYPERLINK("https://otsuka-europe-crm.veevavault.com/ui/#object/sent_email__v/VBL00000002R355", "SE-001434883")</f>
        <v>SE-001434883</v>
      </c>
      <c r="F7283" s="11"/>
      <c r="G7283" s="12">
        <v>0</v>
      </c>
      <c r="H7283" s="12">
        <v>0</v>
      </c>
      <c r="I7283" s="12">
        <v>0</v>
      </c>
      <c r="J7283" s="11"/>
      <c r="K7283" s="12">
        <v>0</v>
      </c>
      <c r="L7283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283" s="10" t="str">
        <f>HYPERLINK("mailto:ssaouab@crm.otsuka-europe.com", "ssaouab@crm.otsuka-europe.com")</f>
        <v>ssaouab@crm.otsuka-europe.com</v>
      </c>
      <c r="N7283" s="13">
        <v>46182.601238425923</v>
      </c>
      <c r="O7283" s="14" t="str">
        <f>HYPERLINK("https://otsuka-europe-crm.veevavault.com/ui/#object/email_activity__v/V8C00000003R685", "EN-002092996")</f>
        <v>EN-002092996</v>
      </c>
    </row>
    <row r="7284" spans="1:15" ht="16" x14ac:dyDescent="0.2">
      <c r="A7284" s="17" t="str">
        <f>HYPERLINK("https://otsuka-europe-crm.veevavault.com/ui/#object/account__v/V4TZ06G6OCEI9W1", "Babatunde Adeniji")</f>
        <v>Babatunde Adeniji</v>
      </c>
      <c r="B7284" s="17" t="str">
        <f>HYPERLINK("https://otsuka-europe-crm.veevavault.com/ui/#object/vcountry__v/VENZ000004SONFK", "GB")</f>
        <v>GB</v>
      </c>
      <c r="C7284" s="20" t="s">
        <v>39</v>
      </c>
      <c r="D7284" s="21" t="str">
        <f>HYPERLINK("https://otsuka-europe-crm.veevavault.com/ui/#object/approved_document__v/V5OZ025E82TSZBI", "Aripiprazole 960mg Fragment VAE")</f>
        <v>Aripiprazole 960mg Fragment VAE</v>
      </c>
      <c r="E7284" s="22" t="str">
        <f>HYPERLINK("https://otsuka-europe-crm.veevavault.com/ui/#object/sent_email__v/VBL00000002R356", "SE-001434884")</f>
        <v>SE-001434884</v>
      </c>
      <c r="F7284" s="23">
        <v>46182.603634259256</v>
      </c>
      <c r="G7284" s="24">
        <v>1</v>
      </c>
      <c r="H7284" s="24">
        <v>1</v>
      </c>
      <c r="I7284" s="24">
        <v>0</v>
      </c>
      <c r="J7284" s="25"/>
      <c r="K7284" s="24">
        <v>0</v>
      </c>
      <c r="L7284" s="22" t="str">
        <f>HYPERLINK("https://otsuka-europe-crm.veevavault.com/ui/#object/approved_document__v/V5OZ025E82TSZBI", "Aripiprazole 960mg Fragment VAE")</f>
        <v>Aripiprazole 960mg Fragment VAE</v>
      </c>
      <c r="M7284" s="22" t="str">
        <f>HYPERLINK("mailto:sfinnigan@crm.otsuka-europe.com", "sfinnigan@crm.otsuka-europe.com")</f>
        <v>sfinnigan@crm.otsuka-europe.com</v>
      </c>
      <c r="N7284" s="23">
        <v>46182.601319444446</v>
      </c>
      <c r="O7284" s="14" t="str">
        <f>HYPERLINK("https://otsuka-europe-crm.veevavault.com/ui/#object/email_activity__v/V8C00000003R686", "EN-002092997")</f>
        <v>EN-002092997</v>
      </c>
    </row>
    <row r="7285" spans="1:15" ht="16" x14ac:dyDescent="0.2">
      <c r="A7285" s="19"/>
      <c r="B7285" s="19"/>
      <c r="C7285" s="19"/>
      <c r="D7285" s="19"/>
      <c r="E7285" s="19"/>
      <c r="F7285" s="19"/>
      <c r="G7285" s="19"/>
      <c r="H7285" s="19"/>
      <c r="I7285" s="19"/>
      <c r="J7285" s="19"/>
      <c r="K7285" s="19"/>
      <c r="L7285" s="19"/>
      <c r="M7285" s="19"/>
      <c r="N7285" s="19"/>
      <c r="O7285" s="14" t="str">
        <f>HYPERLINK("https://otsuka-europe-crm.veevavault.com/ui/#object/email_activity__v/V8C00000003R692", "EN-002093012")</f>
        <v>EN-002093012</v>
      </c>
    </row>
    <row r="7286" spans="1:15" ht="32" x14ac:dyDescent="0.2">
      <c r="A7286" s="7" t="str">
        <f>HYPERLINK("https://otsuka-europe-crm.veevavault.com/ui/#object/account__v/V4TZ00000633KW1", "SARRA ATEB")</f>
        <v>SARRA ATEB</v>
      </c>
      <c r="B7286" s="7" t="str">
        <f>HYPERLINK("https://otsuka-europe-crm.veevavault.com/ui/#object/vcountry__v/VENZ000004SONFA", "FR")</f>
        <v>FR</v>
      </c>
      <c r="C7286" s="8" t="s">
        <v>42</v>
      </c>
      <c r="D7286" s="9" t="str">
        <f>HYPERLINK("https://otsuka-europe-crm.veevavault.com/ui/#object/approved_document__v/V5O00000000P003", "FR-AM2-2500027")</f>
        <v>FR-AM2-2500027</v>
      </c>
      <c r="E7286" s="10" t="str">
        <f>HYPERLINK("https://otsuka-europe-crm.veevavault.com/ui/#object/sent_email__v/VBL00000002R357", "SE-001434885")</f>
        <v>SE-001434885</v>
      </c>
      <c r="F7286" s="11"/>
      <c r="G7286" s="12">
        <v>0</v>
      </c>
      <c r="H7286" s="12">
        <v>0</v>
      </c>
      <c r="I7286" s="12">
        <v>0</v>
      </c>
      <c r="J7286" s="11"/>
      <c r="K7286" s="12">
        <v>0</v>
      </c>
      <c r="L7286" s="10" t="str">
        <f>HYPERLINK("https://otsuka-europe-crm.veevavault.com/ui/#object/approved_document__v/V5O00000000P003", "FR-AM2-2500027")</f>
        <v>FR-AM2-2500027</v>
      </c>
      <c r="M7286" s="10" t="str">
        <f>HYPERLINK("mailto:ssaouab@crm.otsuka-europe.com", "ssaouab@crm.otsuka-europe.com")</f>
        <v>ssaouab@crm.otsuka-europe.com</v>
      </c>
      <c r="N7286" s="13">
        <v>46182.601469907408</v>
      </c>
      <c r="O7286" s="14" t="str">
        <f>HYPERLINK("https://otsuka-europe-crm.veevavault.com/ui/#object/email_activity__v/V8C00000003R687", "EN-002092998")</f>
        <v>EN-002092998</v>
      </c>
    </row>
    <row r="7287" spans="1:15" ht="48" x14ac:dyDescent="0.2">
      <c r="A7287" s="7" t="str">
        <f>HYPERLINK("https://otsuka-europe-crm.veevavault.com/ui/#object/account__v/V4TZ04ASG9MGQ73", "BADER AZAM")</f>
        <v>BADER AZAM</v>
      </c>
      <c r="B7287" s="7" t="str">
        <f>HYPERLINK("https://otsuka-europe-crm.veevavault.com/ui/#object/vcountry__v/VENZ000004SONFA", "FR")</f>
        <v>FR</v>
      </c>
      <c r="C7287" s="8" t="s">
        <v>42</v>
      </c>
      <c r="D7287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287" s="10" t="str">
        <f>HYPERLINK("https://otsuka-europe-crm.veevavault.com/ui/#object/sent_email__v/VBL00000002R358", "SE-001434886")</f>
        <v>SE-001434886</v>
      </c>
      <c r="F7287" s="11"/>
      <c r="G7287" s="12">
        <v>0</v>
      </c>
      <c r="H7287" s="12">
        <v>0</v>
      </c>
      <c r="I7287" s="12">
        <v>0</v>
      </c>
      <c r="J7287" s="11"/>
      <c r="K7287" s="12">
        <v>0</v>
      </c>
      <c r="L7287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287" s="10" t="str">
        <f>HYPERLINK("mailto:ssaouab@crm.otsuka-europe.com", "ssaouab@crm.otsuka-europe.com")</f>
        <v>ssaouab@crm.otsuka-europe.com</v>
      </c>
      <c r="N7287" s="13">
        <v>46182.60193287037</v>
      </c>
      <c r="O7287" s="14" t="str">
        <f>HYPERLINK("https://otsuka-europe-crm.veevavault.com/ui/#object/email_activity__v/V8C00000003S077", "EN-002093001")</f>
        <v>EN-002093001</v>
      </c>
    </row>
    <row r="7288" spans="1:15" ht="32" x14ac:dyDescent="0.2">
      <c r="A7288" s="7" t="str">
        <f>HYPERLINK("https://otsuka-europe-crm.veevavault.com/ui/#object/account__v/V4TZ0000062PCRM", "Wakil Ahmed")</f>
        <v>Wakil Ahmed</v>
      </c>
      <c r="B7288" s="7" t="str">
        <f>HYPERLINK("https://otsuka-europe-crm.veevavault.com/ui/#object/vcountry__v/VENZ000004SONFK", "GB")</f>
        <v>GB</v>
      </c>
      <c r="C7288" s="8" t="s">
        <v>39</v>
      </c>
      <c r="D7288" s="9" t="str">
        <f>HYPERLINK("https://otsuka-europe-crm.veevavault.com/ui/#object/approved_document__v/V5OZ025E82TSZBI", "Aripiprazole 960mg Fragment VAE")</f>
        <v>Aripiprazole 960mg Fragment VAE</v>
      </c>
      <c r="E7288" s="10" t="str">
        <f>HYPERLINK("https://otsuka-europe-crm.veevavault.com/ui/#object/sent_email__v/VBL00000002R359", "SE-001434887")</f>
        <v>SE-001434887</v>
      </c>
      <c r="F7288" s="11"/>
      <c r="G7288" s="12">
        <v>0</v>
      </c>
      <c r="H7288" s="12">
        <v>0</v>
      </c>
      <c r="I7288" s="12">
        <v>0</v>
      </c>
      <c r="J7288" s="11"/>
      <c r="K7288" s="12">
        <v>0</v>
      </c>
      <c r="L7288" s="10" t="str">
        <f>HYPERLINK("https://otsuka-europe-crm.veevavault.com/ui/#object/approved_document__v/V5OZ025E82TSZBI", "Aripiprazole 960mg Fragment VAE")</f>
        <v>Aripiprazole 960mg Fragment VAE</v>
      </c>
      <c r="M7288" s="10" t="str">
        <f>HYPERLINK("mailto:sfinnigan@crm.otsuka-europe.com", "sfinnigan@crm.otsuka-europe.com")</f>
        <v>sfinnigan@crm.otsuka-europe.com</v>
      </c>
      <c r="N7288" s="13">
        <v>46182.60193287037</v>
      </c>
      <c r="O7288" s="14" t="str">
        <f>HYPERLINK("https://otsuka-europe-crm.veevavault.com/ui/#object/email_activity__v/V8C00000003S076", "EN-002093000")</f>
        <v>EN-002093000</v>
      </c>
    </row>
    <row r="7289" spans="1:15" ht="32" x14ac:dyDescent="0.2">
      <c r="A7289" s="7" t="str">
        <f>HYPERLINK("https://otsuka-europe-crm.veevavault.com/ui/#object/account__v/V4TZ04ASG9MGQ73", "BADER AZAM")</f>
        <v>BADER AZAM</v>
      </c>
      <c r="B7289" s="7" t="str">
        <f>HYPERLINK("https://otsuka-europe-crm.veevavault.com/ui/#object/vcountry__v/VENZ000004SONFA", "FR")</f>
        <v>FR</v>
      </c>
      <c r="C7289" s="8" t="s">
        <v>42</v>
      </c>
      <c r="D7289" s="9" t="str">
        <f>HYPERLINK("https://otsuka-europe-crm.veevavault.com/ui/#object/approved_document__v/V5O00000000P003", "FR-AM2-2500027")</f>
        <v>FR-AM2-2500027</v>
      </c>
      <c r="E7289" s="10" t="str">
        <f>HYPERLINK("https://otsuka-europe-crm.veevavault.com/ui/#object/sent_email__v/VBL00000002R360", "SE-001434888")</f>
        <v>SE-001434888</v>
      </c>
      <c r="F7289" s="11"/>
      <c r="G7289" s="12">
        <v>0</v>
      </c>
      <c r="H7289" s="12">
        <v>0</v>
      </c>
      <c r="I7289" s="12">
        <v>0</v>
      </c>
      <c r="J7289" s="11"/>
      <c r="K7289" s="12">
        <v>0</v>
      </c>
      <c r="L7289" s="10" t="str">
        <f>HYPERLINK("https://otsuka-europe-crm.veevavault.com/ui/#object/approved_document__v/V5O00000000P003", "FR-AM2-2500027")</f>
        <v>FR-AM2-2500027</v>
      </c>
      <c r="M7289" s="10" t="str">
        <f>HYPERLINK("mailto:ssaouab@crm.otsuka-europe.com", "ssaouab@crm.otsuka-europe.com")</f>
        <v>ssaouab@crm.otsuka-europe.com</v>
      </c>
      <c r="N7289" s="13">
        <v>46182.601944444446</v>
      </c>
      <c r="O7289" s="14" t="str">
        <f>HYPERLINK("https://otsuka-europe-crm.veevavault.com/ui/#object/email_activity__v/V8C00000003S075", "EN-002092999")</f>
        <v>EN-002092999</v>
      </c>
    </row>
    <row r="7290" spans="1:15" ht="16" x14ac:dyDescent="0.2">
      <c r="A7290" s="17" t="str">
        <f>HYPERLINK("https://otsuka-europe-crm.veevavault.com/ui/#object/account__v/V4TZ00000633LJ3", "HAKIMA AZIBI")</f>
        <v>HAKIMA AZIBI</v>
      </c>
      <c r="B7290" s="17" t="str">
        <f>HYPERLINK("https://otsuka-europe-crm.veevavault.com/ui/#object/vcountry__v/VENZ000004SONFA", "FR")</f>
        <v>FR</v>
      </c>
      <c r="C7290" s="20" t="s">
        <v>42</v>
      </c>
      <c r="D7290" s="21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290" s="22" t="str">
        <f>HYPERLINK("https://otsuka-europe-crm.veevavault.com/ui/#object/sent_email__v/VBL00000002R361", "SE-001434889")</f>
        <v>SE-001434889</v>
      </c>
      <c r="F7290" s="23">
        <v>46182.615787037037</v>
      </c>
      <c r="G7290" s="24">
        <v>1</v>
      </c>
      <c r="H7290" s="24">
        <v>1</v>
      </c>
      <c r="I7290" s="24">
        <v>0</v>
      </c>
      <c r="J7290" s="25"/>
      <c r="K7290" s="24">
        <v>0</v>
      </c>
      <c r="L7290" s="22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290" s="22" t="str">
        <f>HYPERLINK("mailto:ssaouab@crm.otsuka-europe.com", "ssaouab@crm.otsuka-europe.com")</f>
        <v>ssaouab@crm.otsuka-europe.com</v>
      </c>
      <c r="N7290" s="23">
        <v>46182.602106481485</v>
      </c>
      <c r="O7290" s="14" t="str">
        <f>HYPERLINK("https://otsuka-europe-crm.veevavault.com/ui/#object/email_activity__v/V8C00000003R688", "EN-002093002")</f>
        <v>EN-002093002</v>
      </c>
    </row>
    <row r="7291" spans="1:15" ht="16" x14ac:dyDescent="0.2">
      <c r="A7291" s="19"/>
      <c r="B7291" s="19"/>
      <c r="C7291" s="19"/>
      <c r="D7291" s="19"/>
      <c r="E7291" s="19"/>
      <c r="F7291" s="19"/>
      <c r="G7291" s="19"/>
      <c r="H7291" s="19"/>
      <c r="I7291" s="19"/>
      <c r="J7291" s="19"/>
      <c r="K7291" s="19"/>
      <c r="L7291" s="19"/>
      <c r="M7291" s="19"/>
      <c r="N7291" s="19"/>
      <c r="O7291" s="14" t="str">
        <f>HYPERLINK("https://otsuka-europe-crm.veevavault.com/ui/#object/email_activity__v/V8C00000003R721", "EN-002093070")</f>
        <v>EN-002093070</v>
      </c>
    </row>
    <row r="7292" spans="1:15" ht="16" x14ac:dyDescent="0.2">
      <c r="A7292" s="17" t="str">
        <f>HYPERLINK("https://otsuka-europe-crm.veevavault.com/ui/#object/account__v/V4TZ00000633LJ3", "HAKIMA AZIBI")</f>
        <v>HAKIMA AZIBI</v>
      </c>
      <c r="B7292" s="17" t="str">
        <f>HYPERLINK("https://otsuka-europe-crm.veevavault.com/ui/#object/vcountry__v/VENZ000004SONFA", "FR")</f>
        <v>FR</v>
      </c>
      <c r="C7292" s="20" t="s">
        <v>42</v>
      </c>
      <c r="D7292" s="21" t="str">
        <f>HYPERLINK("https://otsuka-europe-crm.veevavault.com/ui/#object/approved_document__v/V5O00000000P003", "FR-AM2-2500027")</f>
        <v>FR-AM2-2500027</v>
      </c>
      <c r="E7292" s="22" t="str">
        <f>HYPERLINK("https://otsuka-europe-crm.veevavault.com/ui/#object/sent_email__v/VBL00000002R362", "SE-001434890")</f>
        <v>SE-001434890</v>
      </c>
      <c r="F7292" s="23">
        <v>46182.674687500003</v>
      </c>
      <c r="G7292" s="24">
        <v>1</v>
      </c>
      <c r="H7292" s="24">
        <v>1</v>
      </c>
      <c r="I7292" s="24">
        <v>0</v>
      </c>
      <c r="J7292" s="25"/>
      <c r="K7292" s="24">
        <v>0</v>
      </c>
      <c r="L7292" s="22" t="str">
        <f>HYPERLINK("https://otsuka-europe-crm.veevavault.com/ui/#object/approved_document__v/V5O00000000P003", "FR-AM2-2500027")</f>
        <v>FR-AM2-2500027</v>
      </c>
      <c r="M7292" s="22" t="str">
        <f>HYPERLINK("mailto:ssaouab@crm.otsuka-europe.com", "ssaouab@crm.otsuka-europe.com")</f>
        <v>ssaouab@crm.otsuka-europe.com</v>
      </c>
      <c r="N7292" s="23">
        <v>46182.602233796293</v>
      </c>
      <c r="O7292" s="14" t="str">
        <f>HYPERLINK("https://otsuka-europe-crm.veevavault.com/ui/#object/email_activity__v/V8C00000003S078", "EN-002093003")</f>
        <v>EN-002093003</v>
      </c>
    </row>
    <row r="7293" spans="1:15" ht="16" x14ac:dyDescent="0.2">
      <c r="A7293" s="19"/>
      <c r="B7293" s="19"/>
      <c r="C7293" s="19"/>
      <c r="D7293" s="19"/>
      <c r="E7293" s="19"/>
      <c r="F7293" s="19"/>
      <c r="G7293" s="19"/>
      <c r="H7293" s="19"/>
      <c r="I7293" s="19"/>
      <c r="J7293" s="19"/>
      <c r="K7293" s="19"/>
      <c r="L7293" s="19"/>
      <c r="M7293" s="19"/>
      <c r="N7293" s="19"/>
      <c r="O7293" s="14" t="str">
        <f>HYPERLINK("https://otsuka-europe-crm.veevavault.com/ui/#object/email_activity__v/V8C00000003S196", "EN-002093284")</f>
        <v>EN-002093284</v>
      </c>
    </row>
    <row r="7294" spans="1:15" ht="32" x14ac:dyDescent="0.2">
      <c r="A7294" s="7" t="str">
        <f>HYPERLINK("https://otsuka-europe-crm.veevavault.com/ui/#object/account__v/V4TZ0000062PCM0", "Sesan Ajayi")</f>
        <v>Sesan Ajayi</v>
      </c>
      <c r="B7294" s="7" t="str">
        <f>HYPERLINK("https://otsuka-europe-crm.veevavault.com/ui/#object/vcountry__v/VENZ000004SONFK", "GB")</f>
        <v>GB</v>
      </c>
      <c r="C7294" s="8" t="s">
        <v>39</v>
      </c>
      <c r="D7294" s="9" t="str">
        <f>HYPERLINK("https://otsuka-europe-crm.veevavault.com/ui/#object/approved_document__v/V5OZ025E82TSZBI", "Aripiprazole 960mg Fragment VAE")</f>
        <v>Aripiprazole 960mg Fragment VAE</v>
      </c>
      <c r="E7294" s="10" t="str">
        <f>HYPERLINK("https://otsuka-europe-crm.veevavault.com/ui/#object/sent_email__v/VBL00000002R363", "SE-001434891")</f>
        <v>SE-001434891</v>
      </c>
      <c r="F7294" s="11"/>
      <c r="G7294" s="12">
        <v>0</v>
      </c>
      <c r="H7294" s="12">
        <v>0</v>
      </c>
      <c r="I7294" s="12">
        <v>0</v>
      </c>
      <c r="J7294" s="11"/>
      <c r="K7294" s="12">
        <v>0</v>
      </c>
      <c r="L7294" s="10" t="str">
        <f>HYPERLINK("https://otsuka-europe-crm.veevavault.com/ui/#object/approved_document__v/V5OZ025E82TSZBI", "Aripiprazole 960mg Fragment VAE")</f>
        <v>Aripiprazole 960mg Fragment VAE</v>
      </c>
      <c r="M7294" s="10" t="str">
        <f>HYPERLINK("mailto:sfinnigan@crm.otsuka-europe.com", "sfinnigan@crm.otsuka-europe.com")</f>
        <v>sfinnigan@crm.otsuka-europe.com</v>
      </c>
      <c r="N7294" s="13">
        <v>46182.602268518516</v>
      </c>
      <c r="O7294" s="14" t="str">
        <f>HYPERLINK("https://otsuka-europe-crm.veevavault.com/ui/#object/email_activity__v/V8C00000003S079", "EN-002093004")</f>
        <v>EN-002093004</v>
      </c>
    </row>
    <row r="7295" spans="1:15" ht="16" x14ac:dyDescent="0.2">
      <c r="A7295" s="17" t="str">
        <f>HYPERLINK("https://otsuka-europe-crm.veevavault.com/ui/#object/account__v/V4TZ00000633J9S", "AOMAR AZOUAOU")</f>
        <v>AOMAR AZOUAOU</v>
      </c>
      <c r="B7295" s="17" t="str">
        <f>HYPERLINK("https://otsuka-europe-crm.veevavault.com/ui/#object/vcountry__v/VENZ000004SONFA", "FR")</f>
        <v>FR</v>
      </c>
      <c r="C7295" s="20" t="s">
        <v>42</v>
      </c>
      <c r="D7295" s="21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295" s="22" t="str">
        <f>HYPERLINK("https://otsuka-europe-crm.veevavault.com/ui/#object/sent_email__v/VBL00000002R364", "SE-001434892")</f>
        <v>SE-001434892</v>
      </c>
      <c r="F7295" s="23">
        <v>46182.606990740744</v>
      </c>
      <c r="G7295" s="24">
        <v>1</v>
      </c>
      <c r="H7295" s="24">
        <v>1</v>
      </c>
      <c r="I7295" s="24">
        <v>0</v>
      </c>
      <c r="J7295" s="25"/>
      <c r="K7295" s="24">
        <v>0</v>
      </c>
      <c r="L7295" s="22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295" s="22" t="str">
        <f>HYPERLINK("mailto:ssaouab@crm.otsuka-europe.com", "ssaouab@crm.otsuka-europe.com")</f>
        <v>ssaouab@crm.otsuka-europe.com</v>
      </c>
      <c r="N7295" s="23">
        <v>46182.602638888886</v>
      </c>
      <c r="O7295" s="14" t="str">
        <f>HYPERLINK("https://otsuka-europe-crm.veevavault.com/ui/#object/email_activity__v/V8C00000003R701", "EN-002093028")</f>
        <v>EN-002093028</v>
      </c>
    </row>
    <row r="7296" spans="1:15" ht="16" x14ac:dyDescent="0.2">
      <c r="A7296" s="19"/>
      <c r="B7296" s="19"/>
      <c r="C7296" s="19"/>
      <c r="D7296" s="19"/>
      <c r="E7296" s="19"/>
      <c r="F7296" s="19"/>
      <c r="G7296" s="19"/>
      <c r="H7296" s="19"/>
      <c r="I7296" s="19"/>
      <c r="J7296" s="19"/>
      <c r="K7296" s="19"/>
      <c r="L7296" s="19"/>
      <c r="M7296" s="19"/>
      <c r="N7296" s="19"/>
      <c r="O7296" s="14" t="str">
        <f>HYPERLINK("https://otsuka-europe-crm.veevavault.com/ui/#object/email_activity__v/V8C00000003S080", "EN-002093005")</f>
        <v>EN-002093005</v>
      </c>
    </row>
    <row r="7297" spans="1:15" ht="16" x14ac:dyDescent="0.2">
      <c r="A7297" s="17" t="str">
        <f>HYPERLINK("https://otsuka-europe-crm.veevavault.com/ui/#object/account__v/V4TZ00000633J9S", "AOMAR AZOUAOU")</f>
        <v>AOMAR AZOUAOU</v>
      </c>
      <c r="B7297" s="17" t="str">
        <f>HYPERLINK("https://otsuka-europe-crm.veevavault.com/ui/#object/vcountry__v/VENZ000004SONFA", "FR")</f>
        <v>FR</v>
      </c>
      <c r="C7297" s="20" t="s">
        <v>42</v>
      </c>
      <c r="D7297" s="21" t="str">
        <f>HYPERLINK("https://otsuka-europe-crm.veevavault.com/ui/#object/approved_document__v/V5O00000000P003", "FR-AM2-2500027")</f>
        <v>FR-AM2-2500027</v>
      </c>
      <c r="E7297" s="22" t="str">
        <f>HYPERLINK("https://otsuka-europe-crm.veevavault.com/ui/#object/sent_email__v/VBL00000002R365", "SE-001434893")</f>
        <v>SE-001434893</v>
      </c>
      <c r="F7297" s="23">
        <v>46182.603217592594</v>
      </c>
      <c r="G7297" s="24">
        <v>1</v>
      </c>
      <c r="H7297" s="24">
        <v>1</v>
      </c>
      <c r="I7297" s="24">
        <v>0</v>
      </c>
      <c r="J7297" s="25"/>
      <c r="K7297" s="24">
        <v>0</v>
      </c>
      <c r="L7297" s="22" t="str">
        <f>HYPERLINK("https://otsuka-europe-crm.veevavault.com/ui/#object/approved_document__v/V5O00000000P003", "FR-AM2-2500027")</f>
        <v>FR-AM2-2500027</v>
      </c>
      <c r="M7297" s="22" t="str">
        <f>HYPERLINK("mailto:ssaouab@crm.otsuka-europe.com", "ssaouab@crm.otsuka-europe.com")</f>
        <v>ssaouab@crm.otsuka-europe.com</v>
      </c>
      <c r="N7297" s="23">
        <v>46182.602743055555</v>
      </c>
      <c r="O7297" s="14" t="str">
        <f>HYPERLINK("https://otsuka-europe-crm.veevavault.com/ui/#object/email_activity__v/V8C00000003S081", "EN-002093007")</f>
        <v>EN-002093007</v>
      </c>
    </row>
    <row r="7298" spans="1:15" ht="16" x14ac:dyDescent="0.2">
      <c r="A7298" s="19"/>
      <c r="B7298" s="19"/>
      <c r="C7298" s="19"/>
      <c r="D7298" s="19"/>
      <c r="E7298" s="19"/>
      <c r="F7298" s="19"/>
      <c r="G7298" s="19"/>
      <c r="H7298" s="19"/>
      <c r="I7298" s="19"/>
      <c r="J7298" s="19"/>
      <c r="K7298" s="19"/>
      <c r="L7298" s="19"/>
      <c r="M7298" s="19"/>
      <c r="N7298" s="19"/>
      <c r="O7298" s="14" t="str">
        <f>HYPERLINK("https://otsuka-europe-crm.veevavault.com/ui/#object/email_activity__v/V8C00000003S083", "EN-002093010")</f>
        <v>EN-002093010</v>
      </c>
    </row>
    <row r="7299" spans="1:15" ht="48" x14ac:dyDescent="0.2">
      <c r="A7299" s="7" t="str">
        <f>HYPERLINK("https://otsuka-europe-crm.veevavault.com/ui/#object/account__v/V4TZ00000633LXC", "GHENIMA AZOUAOU")</f>
        <v>GHENIMA AZOUAOU</v>
      </c>
      <c r="B7299" s="7" t="str">
        <f>HYPERLINK("https://otsuka-europe-crm.veevavault.com/ui/#object/vcountry__v/VENZ000004SONFA", "FR")</f>
        <v>FR</v>
      </c>
      <c r="C7299" s="8" t="s">
        <v>42</v>
      </c>
      <c r="D7299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299" s="10" t="str">
        <f>HYPERLINK("https://otsuka-europe-crm.veevavault.com/ui/#object/sent_email__v/VBL00000002R366", "SE-001434894")</f>
        <v>SE-001434894</v>
      </c>
      <c r="F7299" s="11"/>
      <c r="G7299" s="12">
        <v>0</v>
      </c>
      <c r="H7299" s="12">
        <v>0</v>
      </c>
      <c r="I7299" s="12">
        <v>0</v>
      </c>
      <c r="J7299" s="11"/>
      <c r="K7299" s="12">
        <v>0</v>
      </c>
      <c r="L7299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299" s="10" t="str">
        <f>HYPERLINK("mailto:ssaouab@crm.otsuka-europe.com", "ssaouab@crm.otsuka-europe.com")</f>
        <v>ssaouab@crm.otsuka-europe.com</v>
      </c>
      <c r="N7299" s="13">
        <v>46182.60297453704</v>
      </c>
      <c r="O7299" s="14" t="str">
        <f>HYPERLINK("https://otsuka-europe-crm.veevavault.com/ui/#object/email_activity__v/V8C00000003R689", "EN-002093006")</f>
        <v>EN-002093006</v>
      </c>
    </row>
    <row r="7300" spans="1:15" ht="32" x14ac:dyDescent="0.2">
      <c r="A7300" s="7" t="str">
        <f>HYPERLINK("https://otsuka-europe-crm.veevavault.com/ui/#object/account__v/V4TZ00000633LXC", "GHENIMA AZOUAOU")</f>
        <v>GHENIMA AZOUAOU</v>
      </c>
      <c r="B7300" s="7" t="str">
        <f>HYPERLINK("https://otsuka-europe-crm.veevavault.com/ui/#object/vcountry__v/VENZ000004SONFA", "FR")</f>
        <v>FR</v>
      </c>
      <c r="C7300" s="8" t="s">
        <v>42</v>
      </c>
      <c r="D7300" s="9" t="str">
        <f>HYPERLINK("https://otsuka-europe-crm.veevavault.com/ui/#object/approved_document__v/V5O00000000P003", "FR-AM2-2500027")</f>
        <v>FR-AM2-2500027</v>
      </c>
      <c r="E7300" s="10" t="str">
        <f>HYPERLINK("https://otsuka-europe-crm.veevavault.com/ui/#object/sent_email__v/VBL00000002R367", "SE-001434895")</f>
        <v>SE-001434895</v>
      </c>
      <c r="F7300" s="11"/>
      <c r="G7300" s="12">
        <v>0</v>
      </c>
      <c r="H7300" s="12">
        <v>0</v>
      </c>
      <c r="I7300" s="12">
        <v>0</v>
      </c>
      <c r="J7300" s="11"/>
      <c r="K7300" s="12">
        <v>0</v>
      </c>
      <c r="L7300" s="10" t="str">
        <f>HYPERLINK("https://otsuka-europe-crm.veevavault.com/ui/#object/approved_document__v/V5O00000000P003", "FR-AM2-2500027")</f>
        <v>FR-AM2-2500027</v>
      </c>
      <c r="M7300" s="10" t="str">
        <f>HYPERLINK("mailto:ssaouab@crm.otsuka-europe.com", "ssaouab@crm.otsuka-europe.com")</f>
        <v>ssaouab@crm.otsuka-europe.com</v>
      </c>
      <c r="N7300" s="13">
        <v>46182.603159722225</v>
      </c>
      <c r="O7300" s="14" t="str">
        <f>HYPERLINK("https://otsuka-europe-crm.veevavault.com/ui/#object/email_activity__v/V8C00000003R690", "EN-002093008")</f>
        <v>EN-002093008</v>
      </c>
    </row>
    <row r="7301" spans="1:15" ht="16" x14ac:dyDescent="0.2">
      <c r="A7301" s="17" t="str">
        <f>HYPERLINK("https://otsuka-europe-crm.veevavault.com/ui/#object/account__v/V4TZ00000633MRX", "YOUCEF AZOUAOU")</f>
        <v>YOUCEF AZOUAOU</v>
      </c>
      <c r="B7301" s="17" t="str">
        <f>HYPERLINK("https://otsuka-europe-crm.veevavault.com/ui/#object/vcountry__v/VENZ000004SONFA", "FR")</f>
        <v>FR</v>
      </c>
      <c r="C7301" s="20" t="s">
        <v>42</v>
      </c>
      <c r="D7301" s="21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301" s="22" t="str">
        <f>HYPERLINK("https://otsuka-europe-crm.veevavault.com/ui/#object/sent_email__v/VBL00000002S480", "SE-001434896")</f>
        <v>SE-001434896</v>
      </c>
      <c r="F7301" s="23">
        <v>46189.345219907409</v>
      </c>
      <c r="G7301" s="24">
        <v>1</v>
      </c>
      <c r="H7301" s="24">
        <v>2</v>
      </c>
      <c r="I7301" s="24">
        <v>0</v>
      </c>
      <c r="J7301" s="25"/>
      <c r="K7301" s="24">
        <v>0</v>
      </c>
      <c r="L7301" s="22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301" s="22" t="str">
        <f>HYPERLINK("mailto:ssaouab@crm.otsuka-europe.com", "ssaouab@crm.otsuka-europe.com")</f>
        <v>ssaouab@crm.otsuka-europe.com</v>
      </c>
      <c r="N7301" s="23">
        <v>46182.603310185186</v>
      </c>
      <c r="O7301" s="14" t="str">
        <f>HYPERLINK("https://otsuka-europe-crm.veevavault.com/ui/#object/email_activity__v/V8C00000003R691", "EN-002093011")</f>
        <v>EN-002093011</v>
      </c>
    </row>
    <row r="7302" spans="1:15" ht="16" x14ac:dyDescent="0.2">
      <c r="A7302" s="18"/>
      <c r="B7302" s="18"/>
      <c r="C7302" s="18"/>
      <c r="D7302" s="18"/>
      <c r="E7302" s="18"/>
      <c r="F7302" s="18"/>
      <c r="G7302" s="18"/>
      <c r="H7302" s="18"/>
      <c r="I7302" s="18"/>
      <c r="J7302" s="18"/>
      <c r="K7302" s="18"/>
      <c r="L7302" s="18"/>
      <c r="M7302" s="18"/>
      <c r="N7302" s="18"/>
      <c r="O7302" s="14" t="str">
        <f>HYPERLINK("https://otsuka-europe-crm.veevavault.com/ui/#object/email_activity__v/V8C00000003S941", "EN-002094735")</f>
        <v>EN-002094735</v>
      </c>
    </row>
    <row r="7303" spans="1:15" ht="16" x14ac:dyDescent="0.2">
      <c r="A7303" s="19"/>
      <c r="B7303" s="19"/>
      <c r="C7303" s="19"/>
      <c r="D7303" s="19"/>
      <c r="E7303" s="19"/>
      <c r="F7303" s="19"/>
      <c r="G7303" s="19"/>
      <c r="H7303" s="19"/>
      <c r="I7303" s="19"/>
      <c r="J7303" s="19"/>
      <c r="K7303" s="19"/>
      <c r="L7303" s="19"/>
      <c r="M7303" s="19"/>
      <c r="N7303" s="19"/>
      <c r="O7303" s="14" t="str">
        <f>HYPERLINK("https://otsuka-europe-crm.veevavault.com/ui/#object/email_activity__v/V8C00000003U969", "EN-002096928")</f>
        <v>EN-002096928</v>
      </c>
    </row>
    <row r="7304" spans="1:15" ht="16" x14ac:dyDescent="0.2">
      <c r="A7304" s="17" t="str">
        <f>HYPERLINK("https://otsuka-europe-crm.veevavault.com/ui/#object/account__v/V4TZ00000633MRX", "YOUCEF AZOUAOU")</f>
        <v>YOUCEF AZOUAOU</v>
      </c>
      <c r="B7304" s="17" t="str">
        <f>HYPERLINK("https://otsuka-europe-crm.veevavault.com/ui/#object/vcountry__v/VENZ000004SONFA", "FR")</f>
        <v>FR</v>
      </c>
      <c r="C7304" s="20" t="s">
        <v>42</v>
      </c>
      <c r="D7304" s="21" t="str">
        <f>HYPERLINK("https://otsuka-europe-crm.veevavault.com/ui/#object/approved_document__v/V5O00000000P003", "FR-AM2-2500027")</f>
        <v>FR-AM2-2500027</v>
      </c>
      <c r="E7304" s="22" t="str">
        <f>HYPERLINK("https://otsuka-europe-crm.veevavault.com/ui/#object/sent_email__v/VBL00000002R368", "SE-001434897")</f>
        <v>SE-001434897</v>
      </c>
      <c r="F7304" s="23">
        <v>46184.650740740741</v>
      </c>
      <c r="G7304" s="24">
        <v>1</v>
      </c>
      <c r="H7304" s="24">
        <v>1</v>
      </c>
      <c r="I7304" s="24">
        <v>0</v>
      </c>
      <c r="J7304" s="25"/>
      <c r="K7304" s="24">
        <v>0</v>
      </c>
      <c r="L7304" s="22" t="str">
        <f>HYPERLINK("https://otsuka-europe-crm.veevavault.com/ui/#object/approved_document__v/V5O00000000P003", "FR-AM2-2500027")</f>
        <v>FR-AM2-2500027</v>
      </c>
      <c r="M7304" s="22" t="str">
        <f>HYPERLINK("mailto:ssaouab@crm.otsuka-europe.com", "ssaouab@crm.otsuka-europe.com")</f>
        <v>ssaouab@crm.otsuka-europe.com</v>
      </c>
      <c r="N7304" s="23">
        <v>46182.603495370371</v>
      </c>
      <c r="O7304" s="14" t="str">
        <f>HYPERLINK("https://otsuka-europe-crm.veevavault.com/ui/#object/email_activity__v/V8C00000003R693", "EN-002093013")</f>
        <v>EN-002093013</v>
      </c>
    </row>
    <row r="7305" spans="1:15" ht="16" x14ac:dyDescent="0.2">
      <c r="A7305" s="19"/>
      <c r="B7305" s="19"/>
      <c r="C7305" s="19"/>
      <c r="D7305" s="19"/>
      <c r="E7305" s="19"/>
      <c r="F7305" s="19"/>
      <c r="G7305" s="19"/>
      <c r="H7305" s="19"/>
      <c r="I7305" s="19"/>
      <c r="J7305" s="19"/>
      <c r="K7305" s="19"/>
      <c r="L7305" s="19"/>
      <c r="M7305" s="19"/>
      <c r="N7305" s="19"/>
      <c r="O7305" s="14" t="str">
        <f>HYPERLINK("https://otsuka-europe-crm.veevavault.com/ui/#object/email_activity__v/V8C00000003T558", "EN-002094733")</f>
        <v>EN-002094733</v>
      </c>
    </row>
    <row r="7306" spans="1:15" ht="16" x14ac:dyDescent="0.2">
      <c r="A7306" s="17" t="str">
        <f>HYPERLINK("https://otsuka-europe-crm.veevavault.com/ui/#object/account__v/V4TZ0000062PCRN", "Jafar Amery")</f>
        <v>Jafar Amery</v>
      </c>
      <c r="B7306" s="17" t="str">
        <f>HYPERLINK("https://otsuka-europe-crm.veevavault.com/ui/#object/vcountry__v/VENZ000004SONFK", "GB")</f>
        <v>GB</v>
      </c>
      <c r="C7306" s="20" t="s">
        <v>39</v>
      </c>
      <c r="D7306" s="21" t="str">
        <f>HYPERLINK("https://otsuka-europe-crm.veevavault.com/ui/#object/approved_document__v/V5OZ025E82TSZBI", "Aripiprazole 960mg Fragment VAE")</f>
        <v>Aripiprazole 960mg Fragment VAE</v>
      </c>
      <c r="E7306" s="22" t="str">
        <f>HYPERLINK("https://otsuka-europe-crm.veevavault.com/ui/#object/sent_email__v/VBL00000002R369", "SE-001434898")</f>
        <v>SE-001434898</v>
      </c>
      <c r="F7306" s="23">
        <v>46182.614247685182</v>
      </c>
      <c r="G7306" s="24">
        <v>1</v>
      </c>
      <c r="H7306" s="24">
        <v>1</v>
      </c>
      <c r="I7306" s="24">
        <v>1</v>
      </c>
      <c r="J7306" s="23">
        <v>46182.614247685182</v>
      </c>
      <c r="K7306" s="24">
        <v>1</v>
      </c>
      <c r="L7306" s="22" t="str">
        <f>HYPERLINK("https://otsuka-europe-crm.veevavault.com/ui/#object/approved_document__v/V5OZ025E82TSZBI", "Aripiprazole 960mg Fragment VAE")</f>
        <v>Aripiprazole 960mg Fragment VAE</v>
      </c>
      <c r="M7306" s="22" t="str">
        <f>HYPERLINK("mailto:sfinnigan@crm.otsuka-europe.com", "sfinnigan@crm.otsuka-europe.com")</f>
        <v>sfinnigan@crm.otsuka-europe.com</v>
      </c>
      <c r="N7306" s="23">
        <v>46182.603854166664</v>
      </c>
      <c r="O7306" s="14" t="str">
        <f>HYPERLINK("https://otsuka-europe-crm.veevavault.com/ui/#object/email_activity__v/V8C00000003R695", "EN-002093016")</f>
        <v>EN-002093016</v>
      </c>
    </row>
    <row r="7307" spans="1:15" ht="16" x14ac:dyDescent="0.2">
      <c r="A7307" s="18"/>
      <c r="B7307" s="18"/>
      <c r="C7307" s="18"/>
      <c r="D7307" s="18"/>
      <c r="E7307" s="18"/>
      <c r="F7307" s="18"/>
      <c r="G7307" s="18"/>
      <c r="H7307" s="18"/>
      <c r="I7307" s="18"/>
      <c r="J7307" s="18"/>
      <c r="K7307" s="18"/>
      <c r="L7307" s="18"/>
      <c r="M7307" s="18"/>
      <c r="N7307" s="18"/>
      <c r="O7307" s="14" t="str">
        <f>HYPERLINK("https://otsuka-europe-crm.veevavault.com/ui/#object/email_activity__v/V8C00000003R713", "EN-002093063")</f>
        <v>EN-002093063</v>
      </c>
    </row>
    <row r="7308" spans="1:15" ht="16" x14ac:dyDescent="0.2">
      <c r="A7308" s="18"/>
      <c r="B7308" s="18"/>
      <c r="C7308" s="18"/>
      <c r="D7308" s="18"/>
      <c r="E7308" s="18"/>
      <c r="F7308" s="18"/>
      <c r="G7308" s="18"/>
      <c r="H7308" s="18"/>
      <c r="I7308" s="18"/>
      <c r="J7308" s="18"/>
      <c r="K7308" s="18"/>
      <c r="L7308" s="18"/>
      <c r="M7308" s="18"/>
      <c r="N7308" s="18"/>
      <c r="O7308" s="14" t="str">
        <f>HYPERLINK("https://otsuka-europe-crm.veevavault.com/ui/#object/email_activity__v/V8C00000003R714", "EN-002093062")</f>
        <v>EN-002093062</v>
      </c>
    </row>
    <row r="7309" spans="1:15" ht="16" x14ac:dyDescent="0.2">
      <c r="A7309" s="18"/>
      <c r="B7309" s="18"/>
      <c r="C7309" s="18"/>
      <c r="D7309" s="18"/>
      <c r="E7309" s="18"/>
      <c r="F7309" s="18"/>
      <c r="G7309" s="18"/>
      <c r="H7309" s="18"/>
      <c r="I7309" s="18"/>
      <c r="J7309" s="18"/>
      <c r="K7309" s="18"/>
      <c r="L7309" s="18"/>
      <c r="M7309" s="18"/>
      <c r="N7309" s="18"/>
      <c r="O7309" s="14" t="str">
        <f>HYPERLINK("https://otsuka-europe-crm.veevavault.com/ui/#object/email_activity__v/V8C00000003R770", "EN-002093133")</f>
        <v>EN-002093133</v>
      </c>
    </row>
    <row r="7310" spans="1:15" ht="16" x14ac:dyDescent="0.2">
      <c r="A7310" s="18"/>
      <c r="B7310" s="18"/>
      <c r="C7310" s="18"/>
      <c r="D7310" s="18"/>
      <c r="E7310" s="18"/>
      <c r="F7310" s="18"/>
      <c r="G7310" s="18"/>
      <c r="H7310" s="18"/>
      <c r="I7310" s="18"/>
      <c r="J7310" s="18"/>
      <c r="K7310" s="18"/>
      <c r="L7310" s="18"/>
      <c r="M7310" s="18"/>
      <c r="N7310" s="18"/>
      <c r="O7310" s="14" t="str">
        <f>HYPERLINK("https://otsuka-europe-crm.veevavault.com/ui/#object/email_activity__v/V8C00000003R772", "EN-002093135")</f>
        <v>EN-002093135</v>
      </c>
    </row>
    <row r="7311" spans="1:15" ht="16" x14ac:dyDescent="0.2">
      <c r="A7311" s="18"/>
      <c r="B7311" s="18"/>
      <c r="C7311" s="18"/>
      <c r="D7311" s="18"/>
      <c r="E7311" s="18"/>
      <c r="F7311" s="18"/>
      <c r="G7311" s="18"/>
      <c r="H7311" s="18"/>
      <c r="I7311" s="18"/>
      <c r="J7311" s="18"/>
      <c r="K7311" s="18"/>
      <c r="L7311" s="18"/>
      <c r="M7311" s="18"/>
      <c r="N7311" s="18"/>
      <c r="O7311" s="14" t="str">
        <f>HYPERLINK("https://otsuka-europe-crm.veevavault.com/ui/#object/email_activity__v/V8C00000003R775", "EN-002093138")</f>
        <v>EN-002093138</v>
      </c>
    </row>
    <row r="7312" spans="1:15" ht="16" x14ac:dyDescent="0.2">
      <c r="A7312" s="18"/>
      <c r="B7312" s="18"/>
      <c r="C7312" s="18"/>
      <c r="D7312" s="18"/>
      <c r="E7312" s="18"/>
      <c r="F7312" s="18"/>
      <c r="G7312" s="18"/>
      <c r="H7312" s="18"/>
      <c r="I7312" s="18"/>
      <c r="J7312" s="18"/>
      <c r="K7312" s="18"/>
      <c r="L7312" s="18"/>
      <c r="M7312" s="18"/>
      <c r="N7312" s="18"/>
      <c r="O7312" s="14" t="str">
        <f>HYPERLINK("https://otsuka-europe-crm.veevavault.com/ui/#object/email_activity__v/V8C00000003R776", "EN-002093139")</f>
        <v>EN-002093139</v>
      </c>
    </row>
    <row r="7313" spans="1:15" ht="16" x14ac:dyDescent="0.2">
      <c r="A7313" s="18"/>
      <c r="B7313" s="18"/>
      <c r="C7313" s="18"/>
      <c r="D7313" s="18"/>
      <c r="E7313" s="18"/>
      <c r="F7313" s="18"/>
      <c r="G7313" s="18"/>
      <c r="H7313" s="18"/>
      <c r="I7313" s="18"/>
      <c r="J7313" s="18"/>
      <c r="K7313" s="18"/>
      <c r="L7313" s="18"/>
      <c r="M7313" s="18"/>
      <c r="N7313" s="18"/>
      <c r="O7313" s="14" t="str">
        <f>HYPERLINK("https://otsuka-europe-crm.veevavault.com/ui/#object/email_activity__v/V8C00000003R777", "EN-002093140")</f>
        <v>EN-002093140</v>
      </c>
    </row>
    <row r="7314" spans="1:15" ht="16" x14ac:dyDescent="0.2">
      <c r="A7314" s="19"/>
      <c r="B7314" s="19"/>
      <c r="C7314" s="19"/>
      <c r="D7314" s="19"/>
      <c r="E7314" s="19"/>
      <c r="F7314" s="19"/>
      <c r="G7314" s="19"/>
      <c r="H7314" s="19"/>
      <c r="I7314" s="19"/>
      <c r="J7314" s="19"/>
      <c r="K7314" s="19"/>
      <c r="L7314" s="19"/>
      <c r="M7314" s="19"/>
      <c r="N7314" s="19"/>
      <c r="O7314" s="14" t="str">
        <f>HYPERLINK("https://otsuka-europe-crm.veevavault.com/ui/#object/email_activity__v/V8C00000003R779", "EN-002093142")</f>
        <v>EN-002093142</v>
      </c>
    </row>
    <row r="7315" spans="1:15" ht="16" x14ac:dyDescent="0.2">
      <c r="A7315" s="17" t="str">
        <f>HYPERLINK("https://otsuka-europe-crm.veevavault.com/ui/#object/account__v/V4TZ06G6OCESX6W", "NASR EDDINE BABA AHMED")</f>
        <v>NASR EDDINE BABA AHMED</v>
      </c>
      <c r="B7315" s="17" t="str">
        <f>HYPERLINK("https://otsuka-europe-crm.veevavault.com/ui/#object/vcountry__v/VENZ000004SONFA", "FR")</f>
        <v>FR</v>
      </c>
      <c r="C7315" s="20" t="s">
        <v>42</v>
      </c>
      <c r="D7315" s="21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315" s="22" t="str">
        <f>HYPERLINK("https://otsuka-europe-crm.veevavault.com/ui/#object/sent_email__v/VBL00000002R370", "SE-001434899")</f>
        <v>SE-001434899</v>
      </c>
      <c r="F7315" s="23">
        <v>46182.641597222224</v>
      </c>
      <c r="G7315" s="24">
        <v>1</v>
      </c>
      <c r="H7315" s="24">
        <v>1</v>
      </c>
      <c r="I7315" s="24">
        <v>0</v>
      </c>
      <c r="J7315" s="25"/>
      <c r="K7315" s="24">
        <v>0</v>
      </c>
      <c r="L7315" s="22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315" s="22" t="str">
        <f>HYPERLINK("mailto:ssaouab@crm.otsuka-europe.com", "ssaouab@crm.otsuka-europe.com")</f>
        <v>ssaouab@crm.otsuka-europe.com</v>
      </c>
      <c r="N7315" s="23">
        <v>46182.603854166664</v>
      </c>
      <c r="O7315" s="14" t="str">
        <f>HYPERLINK("https://otsuka-europe-crm.veevavault.com/ui/#object/email_activity__v/V8C00000003R694", "EN-002093015")</f>
        <v>EN-002093015</v>
      </c>
    </row>
    <row r="7316" spans="1:15" ht="16" x14ac:dyDescent="0.2">
      <c r="A7316" s="19"/>
      <c r="B7316" s="19"/>
      <c r="C7316" s="19"/>
      <c r="D7316" s="19"/>
      <c r="E7316" s="19"/>
      <c r="F7316" s="19"/>
      <c r="G7316" s="19"/>
      <c r="H7316" s="19"/>
      <c r="I7316" s="19"/>
      <c r="J7316" s="19"/>
      <c r="K7316" s="19"/>
      <c r="L7316" s="19"/>
      <c r="M7316" s="19"/>
      <c r="N7316" s="19"/>
      <c r="O7316" s="14" t="str">
        <f>HYPERLINK("https://otsuka-europe-crm.veevavault.com/ui/#object/email_activity__v/V8C00000003R799", "EN-002093186")</f>
        <v>EN-002093186</v>
      </c>
    </row>
    <row r="7317" spans="1:15" ht="16" x14ac:dyDescent="0.2">
      <c r="A7317" s="17" t="str">
        <f>HYPERLINK("https://otsuka-europe-crm.veevavault.com/ui/#object/account__v/V4TZ06G6OCESX6W", "NASR EDDINE BABA AHMED")</f>
        <v>NASR EDDINE BABA AHMED</v>
      </c>
      <c r="B7317" s="17" t="str">
        <f>HYPERLINK("https://otsuka-europe-crm.veevavault.com/ui/#object/vcountry__v/VENZ000004SONFA", "FR")</f>
        <v>FR</v>
      </c>
      <c r="C7317" s="20" t="s">
        <v>42</v>
      </c>
      <c r="D7317" s="21" t="str">
        <f>HYPERLINK("https://otsuka-europe-crm.veevavault.com/ui/#object/approved_document__v/V5O00000000P003", "FR-AM2-2500027")</f>
        <v>FR-AM2-2500027</v>
      </c>
      <c r="E7317" s="22" t="str">
        <f>HYPERLINK("https://otsuka-europe-crm.veevavault.com/ui/#object/sent_email__v/VBL00000002R371", "SE-001434900")</f>
        <v>SE-001434900</v>
      </c>
      <c r="F7317" s="23">
        <v>46182.642164351855</v>
      </c>
      <c r="G7317" s="24">
        <v>1</v>
      </c>
      <c r="H7317" s="24">
        <v>1</v>
      </c>
      <c r="I7317" s="24">
        <v>0</v>
      </c>
      <c r="J7317" s="25"/>
      <c r="K7317" s="24">
        <v>0</v>
      </c>
      <c r="L7317" s="22" t="str">
        <f>HYPERLINK("https://otsuka-europe-crm.veevavault.com/ui/#object/approved_document__v/V5O00000000P003", "FR-AM2-2500027")</f>
        <v>FR-AM2-2500027</v>
      </c>
      <c r="M7317" s="22" t="str">
        <f>HYPERLINK("mailto:ssaouab@crm.otsuka-europe.com", "ssaouab@crm.otsuka-europe.com")</f>
        <v>ssaouab@crm.otsuka-europe.com</v>
      </c>
      <c r="N7317" s="23">
        <v>46182.603993055556</v>
      </c>
      <c r="O7317" s="14" t="str">
        <f>HYPERLINK("https://otsuka-europe-crm.veevavault.com/ui/#object/email_activity__v/V8C00000003S085", "EN-002093017")</f>
        <v>EN-002093017</v>
      </c>
    </row>
    <row r="7318" spans="1:15" ht="16" x14ac:dyDescent="0.2">
      <c r="A7318" s="19"/>
      <c r="B7318" s="19"/>
      <c r="C7318" s="19"/>
      <c r="D7318" s="19"/>
      <c r="E7318" s="19"/>
      <c r="F7318" s="19"/>
      <c r="G7318" s="19"/>
      <c r="H7318" s="19"/>
      <c r="I7318" s="19"/>
      <c r="J7318" s="19"/>
      <c r="K7318" s="19"/>
      <c r="L7318" s="19"/>
      <c r="M7318" s="19"/>
      <c r="N7318" s="19"/>
      <c r="O7318" s="14" t="str">
        <f>HYPERLINK("https://otsuka-europe-crm.veevavault.com/ui/#object/email_activity__v/V8C00000003S151", "EN-002093187")</f>
        <v>EN-002093187</v>
      </c>
    </row>
    <row r="7319" spans="1:15" ht="16" x14ac:dyDescent="0.2">
      <c r="A7319" s="17" t="str">
        <f>HYPERLINK("https://otsuka-europe-crm.veevavault.com/ui/#object/account__v/V4TZ00000633NNN", "DJAMAL BAHA")</f>
        <v>DJAMAL BAHA</v>
      </c>
      <c r="B7319" s="17" t="str">
        <f>HYPERLINK("https://otsuka-europe-crm.veevavault.com/ui/#object/vcountry__v/VENZ000004SONFA", "FR")</f>
        <v>FR</v>
      </c>
      <c r="C7319" s="20" t="s">
        <v>42</v>
      </c>
      <c r="D7319" s="21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319" s="22" t="str">
        <f>HYPERLINK("https://otsuka-europe-crm.veevavault.com/ui/#object/sent_email__v/VBL00000002R372", "SE-001434901")</f>
        <v>SE-001434901</v>
      </c>
      <c r="F7319" s="25"/>
      <c r="G7319" s="24">
        <v>0</v>
      </c>
      <c r="H7319" s="24">
        <v>0</v>
      </c>
      <c r="I7319" s="24">
        <v>0</v>
      </c>
      <c r="J7319" s="25"/>
      <c r="K7319" s="24">
        <v>0</v>
      </c>
      <c r="L7319" s="22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319" s="22" t="str">
        <f>HYPERLINK("mailto:ssaouab@crm.otsuka-europe.com", "ssaouab@crm.otsuka-europe.com")</f>
        <v>ssaouab@crm.otsuka-europe.com</v>
      </c>
      <c r="N7319" s="23">
        <v>46182.604247685187</v>
      </c>
      <c r="O7319" s="14" t="str">
        <f>HYPERLINK("https://otsuka-europe-crm.veevavault.com/ui/#object/email_activity__v/V8C00000003R703", "EN-002093044")</f>
        <v>EN-002093044</v>
      </c>
    </row>
    <row r="7320" spans="1:15" ht="16" x14ac:dyDescent="0.2">
      <c r="A7320" s="19"/>
      <c r="B7320" s="19"/>
      <c r="C7320" s="19"/>
      <c r="D7320" s="19"/>
      <c r="E7320" s="19"/>
      <c r="F7320" s="19"/>
      <c r="G7320" s="19"/>
      <c r="H7320" s="19"/>
      <c r="I7320" s="19"/>
      <c r="J7320" s="19"/>
      <c r="K7320" s="19"/>
      <c r="L7320" s="19"/>
      <c r="M7320" s="19"/>
      <c r="N7320" s="19"/>
      <c r="O7320" s="14" t="str">
        <f>HYPERLINK("https://otsuka-europe-crm.veevavault.com/ui/#object/email_activity__v/V8C00000003S086", "EN-002093019")</f>
        <v>EN-002093019</v>
      </c>
    </row>
    <row r="7321" spans="1:15" ht="16" x14ac:dyDescent="0.2">
      <c r="A7321" s="17" t="str">
        <f>HYPERLINK("https://otsuka-europe-crm.veevavault.com/ui/#object/account__v/V4TZ00000633NNN", "DJAMAL BAHA")</f>
        <v>DJAMAL BAHA</v>
      </c>
      <c r="B7321" s="17" t="str">
        <f>HYPERLINK("https://otsuka-europe-crm.veevavault.com/ui/#object/vcountry__v/VENZ000004SONFA", "FR")</f>
        <v>FR</v>
      </c>
      <c r="C7321" s="20" t="s">
        <v>42</v>
      </c>
      <c r="D7321" s="21" t="str">
        <f>HYPERLINK("https://otsuka-europe-crm.veevavault.com/ui/#object/approved_document__v/V5O00000000P003", "FR-AM2-2500027")</f>
        <v>FR-AM2-2500027</v>
      </c>
      <c r="E7321" s="22" t="str">
        <f>HYPERLINK("https://otsuka-europe-crm.veevavault.com/ui/#object/sent_email__v/VBL00000002S481", "SE-001434902")</f>
        <v>SE-001434902</v>
      </c>
      <c r="F7321" s="25"/>
      <c r="G7321" s="24">
        <v>0</v>
      </c>
      <c r="H7321" s="24">
        <v>0</v>
      </c>
      <c r="I7321" s="24">
        <v>0</v>
      </c>
      <c r="J7321" s="25"/>
      <c r="K7321" s="24">
        <v>0</v>
      </c>
      <c r="L7321" s="22" t="str">
        <f>HYPERLINK("https://otsuka-europe-crm.veevavault.com/ui/#object/approved_document__v/V5O00000000P003", "FR-AM2-2500027")</f>
        <v>FR-AM2-2500027</v>
      </c>
      <c r="M7321" s="22" t="str">
        <f>HYPERLINK("mailto:ssaouab@crm.otsuka-europe.com", "ssaouab@crm.otsuka-europe.com")</f>
        <v>ssaouab@crm.otsuka-europe.com</v>
      </c>
      <c r="N7321" s="23">
        <v>46182.604351851849</v>
      </c>
      <c r="O7321" s="14" t="str">
        <f>HYPERLINK("https://otsuka-europe-crm.veevavault.com/ui/#object/email_activity__v/V8C00000003R696", "EN-002093018")</f>
        <v>EN-002093018</v>
      </c>
    </row>
    <row r="7322" spans="1:15" ht="16" x14ac:dyDescent="0.2">
      <c r="A7322" s="19"/>
      <c r="B7322" s="19"/>
      <c r="C7322" s="19"/>
      <c r="D7322" s="19"/>
      <c r="E7322" s="19"/>
      <c r="F7322" s="19"/>
      <c r="G7322" s="19"/>
      <c r="H7322" s="19"/>
      <c r="I7322" s="19"/>
      <c r="J7322" s="19"/>
      <c r="K7322" s="19"/>
      <c r="L7322" s="19"/>
      <c r="M7322" s="19"/>
      <c r="N7322" s="19"/>
      <c r="O7322" s="14" t="str">
        <f>HYPERLINK("https://otsuka-europe-crm.veevavault.com/ui/#object/email_activity__v/V8C00000003S106", "EN-002093046")</f>
        <v>EN-002093046</v>
      </c>
    </row>
    <row r="7323" spans="1:15" ht="48" x14ac:dyDescent="0.2">
      <c r="A7323" s="7" t="str">
        <f>HYPERLINK("https://otsuka-europe-crm.veevavault.com/ui/#object/account__v/V4TZ00000633NQW", "BOUALEM BAHMED")</f>
        <v>BOUALEM BAHMED</v>
      </c>
      <c r="B7323" s="7" t="str">
        <f>HYPERLINK("https://otsuka-europe-crm.veevavault.com/ui/#object/vcountry__v/VENZ000004SONFA", "FR")</f>
        <v>FR</v>
      </c>
      <c r="C7323" s="8" t="s">
        <v>42</v>
      </c>
      <c r="D7323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323" s="10" t="str">
        <f>HYPERLINK("https://otsuka-europe-crm.veevavault.com/ui/#object/sent_email__v/VBL00000002S482", "SE-001434903")</f>
        <v>SE-001434903</v>
      </c>
      <c r="F7323" s="11"/>
      <c r="G7323" s="12">
        <v>0</v>
      </c>
      <c r="H7323" s="12">
        <v>0</v>
      </c>
      <c r="I7323" s="12">
        <v>0</v>
      </c>
      <c r="J7323" s="11"/>
      <c r="K7323" s="12">
        <v>0</v>
      </c>
      <c r="L7323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323" s="10" t="str">
        <f>HYPERLINK("mailto:ssaouab@crm.otsuka-europe.com", "ssaouab@crm.otsuka-europe.com")</f>
        <v>ssaouab@crm.otsuka-europe.com</v>
      </c>
      <c r="N7323" s="13">
        <v>46182.604594907411</v>
      </c>
      <c r="O7323" s="14" t="str">
        <f>HYPERLINK("https://otsuka-europe-crm.veevavault.com/ui/#object/email_activity__v/V8C00000003R697", "EN-002093020")</f>
        <v>EN-002093020</v>
      </c>
    </row>
    <row r="7324" spans="1:15" ht="32" x14ac:dyDescent="0.2">
      <c r="A7324" s="7" t="str">
        <f>HYPERLINK("https://otsuka-europe-crm.veevavault.com/ui/#object/account__v/V4TZ00000633NQW", "BOUALEM BAHMED")</f>
        <v>BOUALEM BAHMED</v>
      </c>
      <c r="B7324" s="7" t="str">
        <f>HYPERLINK("https://otsuka-europe-crm.veevavault.com/ui/#object/vcountry__v/VENZ000004SONFA", "FR")</f>
        <v>FR</v>
      </c>
      <c r="C7324" s="8" t="s">
        <v>42</v>
      </c>
      <c r="D7324" s="9" t="str">
        <f>HYPERLINK("https://otsuka-europe-crm.veevavault.com/ui/#object/approved_document__v/V5O00000000P003", "FR-AM2-2500027")</f>
        <v>FR-AM2-2500027</v>
      </c>
      <c r="E7324" s="10" t="str">
        <f>HYPERLINK("https://otsuka-europe-crm.veevavault.com/ui/#object/sent_email__v/VBL00000002R373", "SE-001434904")</f>
        <v>SE-001434904</v>
      </c>
      <c r="F7324" s="11"/>
      <c r="G7324" s="12">
        <v>0</v>
      </c>
      <c r="H7324" s="12">
        <v>0</v>
      </c>
      <c r="I7324" s="12">
        <v>0</v>
      </c>
      <c r="J7324" s="11"/>
      <c r="K7324" s="12">
        <v>0</v>
      </c>
      <c r="L7324" s="10" t="str">
        <f>HYPERLINK("https://otsuka-europe-crm.veevavault.com/ui/#object/approved_document__v/V5O00000000P003", "FR-AM2-2500027")</f>
        <v>FR-AM2-2500027</v>
      </c>
      <c r="M7324" s="10" t="str">
        <f>HYPERLINK("mailto:ssaouab@crm.otsuka-europe.com", "ssaouab@crm.otsuka-europe.com")</f>
        <v>ssaouab@crm.otsuka-europe.com</v>
      </c>
      <c r="N7324" s="13">
        <v>46182.604733796295</v>
      </c>
      <c r="O7324" s="14" t="str">
        <f>HYPERLINK("https://otsuka-europe-crm.veevavault.com/ui/#object/email_activity__v/V8C00000003R698", "EN-002093021")</f>
        <v>EN-002093021</v>
      </c>
    </row>
    <row r="7325" spans="1:15" ht="32" x14ac:dyDescent="0.2">
      <c r="A7325" s="7" t="str">
        <f>HYPERLINK("https://otsuka-europe-crm.veevavault.com/ui/#object/account__v/V4TZ0000062PCTI", "Eniyinnaya Anosike")</f>
        <v>Eniyinnaya Anosike</v>
      </c>
      <c r="B7325" s="7" t="str">
        <f>HYPERLINK("https://otsuka-europe-crm.veevavault.com/ui/#object/vcountry__v/VENZ000004SONFK", "GB")</f>
        <v>GB</v>
      </c>
      <c r="C7325" s="8" t="s">
        <v>39</v>
      </c>
      <c r="D7325" s="9" t="str">
        <f>HYPERLINK("https://otsuka-europe-crm.veevavault.com/ui/#object/approved_document__v/V5OZ025E82TSZBI", "Aripiprazole 960mg Fragment VAE")</f>
        <v>Aripiprazole 960mg Fragment VAE</v>
      </c>
      <c r="E7325" s="10" t="str">
        <f>HYPERLINK("https://otsuka-europe-crm.veevavault.com/ui/#object/sent_email__v/VBL00000002S483", "SE-001434905")</f>
        <v>SE-001434905</v>
      </c>
      <c r="F7325" s="11"/>
      <c r="G7325" s="12">
        <v>0</v>
      </c>
      <c r="H7325" s="12">
        <v>0</v>
      </c>
      <c r="I7325" s="12">
        <v>0</v>
      </c>
      <c r="J7325" s="11"/>
      <c r="K7325" s="12">
        <v>0</v>
      </c>
      <c r="L7325" s="10" t="str">
        <f>HYPERLINK("https://otsuka-europe-crm.veevavault.com/ui/#object/approved_document__v/V5OZ025E82TSZBI", "Aripiprazole 960mg Fragment VAE")</f>
        <v>Aripiprazole 960mg Fragment VAE</v>
      </c>
      <c r="M7325" s="10" t="str">
        <f>HYPERLINK("mailto:sfinnigan@crm.otsuka-europe.com", "sfinnigan@crm.otsuka-europe.com")</f>
        <v>sfinnigan@crm.otsuka-europe.com</v>
      </c>
      <c r="N7325" s="13">
        <v>46182.604895833334</v>
      </c>
      <c r="O7325" s="14" t="str">
        <f>HYPERLINK("https://otsuka-europe-crm.veevavault.com/ui/#object/email_activity__v/V8C00000003S087", "EN-002093022")</f>
        <v>EN-002093022</v>
      </c>
    </row>
    <row r="7326" spans="1:15" ht="32" x14ac:dyDescent="0.2">
      <c r="A7326" s="7" t="str">
        <f>HYPERLINK("https://otsuka-europe-crm.veevavault.com/ui/#object/account__v/V4TZ0000062PBRJ", "Fareeba Anwar")</f>
        <v>Fareeba Anwar</v>
      </c>
      <c r="B7326" s="7" t="str">
        <f>HYPERLINK("https://otsuka-europe-crm.veevavault.com/ui/#object/vcountry__v/VENZ000004SONFK", "GB")</f>
        <v>GB</v>
      </c>
      <c r="C7326" s="8" t="s">
        <v>39</v>
      </c>
      <c r="D7326" s="9" t="str">
        <f>HYPERLINK("https://otsuka-europe-crm.veevavault.com/ui/#object/approved_document__v/V5OZ025E82TSZBI", "Aripiprazole 960mg Fragment VAE")</f>
        <v>Aripiprazole 960mg Fragment VAE</v>
      </c>
      <c r="E7326" s="10" t="str">
        <f>HYPERLINK("https://otsuka-europe-crm.veevavault.com/ui/#object/sent_email__v/VBL00000002S484", "SE-001434906")</f>
        <v>SE-001434906</v>
      </c>
      <c r="F7326" s="11"/>
      <c r="G7326" s="12">
        <v>0</v>
      </c>
      <c r="H7326" s="12">
        <v>0</v>
      </c>
      <c r="I7326" s="12">
        <v>0</v>
      </c>
      <c r="J7326" s="11"/>
      <c r="K7326" s="12">
        <v>0</v>
      </c>
      <c r="L7326" s="10" t="str">
        <f>HYPERLINK("https://otsuka-europe-crm.veevavault.com/ui/#object/approved_document__v/V5OZ025E82TSZBI", "Aripiprazole 960mg Fragment VAE")</f>
        <v>Aripiprazole 960mg Fragment VAE</v>
      </c>
      <c r="M7326" s="10" t="str">
        <f>HYPERLINK("mailto:sfinnigan@crm.otsuka-europe.com", "sfinnigan@crm.otsuka-europe.com")</f>
        <v>sfinnigan@crm.otsuka-europe.com</v>
      </c>
      <c r="N7326" s="13">
        <v>46182.60560185185</v>
      </c>
      <c r="O7326" s="14" t="str">
        <f>HYPERLINK("https://otsuka-europe-crm.veevavault.com/ui/#object/email_activity__v/V8C00000003S088", "EN-002093023")</f>
        <v>EN-002093023</v>
      </c>
    </row>
    <row r="7327" spans="1:15" ht="32" x14ac:dyDescent="0.2">
      <c r="A7327" s="7" t="str">
        <f>HYPERLINK("https://otsuka-europe-crm.veevavault.com/ui/#object/account__v/V4TZ00000634CF9", "ABIBATA BANGOURA")</f>
        <v>ABIBATA BANGOURA</v>
      </c>
      <c r="B7327" s="7" t="str">
        <f>HYPERLINK("https://otsuka-europe-crm.veevavault.com/ui/#object/vcountry__v/VENZ000004SONFA", "FR")</f>
        <v>FR</v>
      </c>
      <c r="C7327" s="8" t="s">
        <v>42</v>
      </c>
      <c r="D7327" s="9" t="str">
        <f>HYPERLINK("https://otsuka-europe-crm.veevavault.com/ui/#object/approved_document__v/V5O00000000P003", "FR-AM2-2500027")</f>
        <v>FR-AM2-2500027</v>
      </c>
      <c r="E7327" s="10" t="str">
        <f>HYPERLINK("https://otsuka-europe-crm.veevavault.com/ui/#object/sent_email__v/VBL00000002R374", "SE-001434907")</f>
        <v>SE-001434907</v>
      </c>
      <c r="F7327" s="11"/>
      <c r="G7327" s="12">
        <v>0</v>
      </c>
      <c r="H7327" s="12">
        <v>0</v>
      </c>
      <c r="I7327" s="12">
        <v>0</v>
      </c>
      <c r="J7327" s="11"/>
      <c r="K7327" s="12">
        <v>0</v>
      </c>
      <c r="L7327" s="10" t="str">
        <f>HYPERLINK("https://otsuka-europe-crm.veevavault.com/ui/#object/approved_document__v/V5O00000000P003", "FR-AM2-2500027")</f>
        <v>FR-AM2-2500027</v>
      </c>
      <c r="M7327" s="10" t="str">
        <f>HYPERLINK("mailto:ssaouab@crm.otsuka-europe.com", "ssaouab@crm.otsuka-europe.com")</f>
        <v>ssaouab@crm.otsuka-europe.com</v>
      </c>
      <c r="N7327" s="13">
        <v>46182.606631944444</v>
      </c>
      <c r="O7327" s="14" t="str">
        <f>HYPERLINK("https://otsuka-europe-crm.veevavault.com/ui/#object/email_activity__v/V8C00000003S090", "EN-002093026")</f>
        <v>EN-002093026</v>
      </c>
    </row>
    <row r="7328" spans="1:15" ht="48" x14ac:dyDescent="0.2">
      <c r="A7328" s="7" t="str">
        <f>HYPERLINK("https://otsuka-europe-crm.veevavault.com/ui/#object/account__v/V4TZ00000633NRD", "FRANK BARNEL")</f>
        <v>FRANK BARNEL</v>
      </c>
      <c r="B7328" s="7" t="str">
        <f>HYPERLINK("https://otsuka-europe-crm.veevavault.com/ui/#object/vcountry__v/VENZ000004SONFA", "FR")</f>
        <v>FR</v>
      </c>
      <c r="C7328" s="8" t="s">
        <v>42</v>
      </c>
      <c r="D7328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328" s="10" t="str">
        <f>HYPERLINK("https://otsuka-europe-crm.veevavault.com/ui/#object/sent_email__v/VBL00000002R376", "SE-001434909")</f>
        <v>SE-001434909</v>
      </c>
      <c r="F7328" s="11"/>
      <c r="G7328" s="12">
        <v>0</v>
      </c>
      <c r="H7328" s="12">
        <v>0</v>
      </c>
      <c r="I7328" s="12">
        <v>0</v>
      </c>
      <c r="J7328" s="11"/>
      <c r="K7328" s="12">
        <v>0</v>
      </c>
      <c r="L7328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328" s="10" t="str">
        <f>HYPERLINK("mailto:ssaouab@crm.otsuka-europe.com", "ssaouab@crm.otsuka-europe.com")</f>
        <v>ssaouab@crm.otsuka-europe.com</v>
      </c>
      <c r="N7328" s="13">
        <v>46182.607557870368</v>
      </c>
      <c r="O7328" s="14" t="str">
        <f>HYPERLINK("https://otsuka-europe-crm.veevavault.com/ui/#object/email_activity__v/V8C00000003S092", "EN-002093030")</f>
        <v>EN-002093030</v>
      </c>
    </row>
    <row r="7329" spans="1:15" ht="16" x14ac:dyDescent="0.2">
      <c r="A7329" s="17" t="str">
        <f>HYPERLINK("https://otsuka-europe-crm.veevavault.com/ui/#object/account__v/V4TZ00000633NRD", "FRANK BARNEL")</f>
        <v>FRANK BARNEL</v>
      </c>
      <c r="B7329" s="17" t="str">
        <f>HYPERLINK("https://otsuka-europe-crm.veevavault.com/ui/#object/vcountry__v/VENZ000004SONFA", "FR")</f>
        <v>FR</v>
      </c>
      <c r="C7329" s="20" t="s">
        <v>42</v>
      </c>
      <c r="D7329" s="21" t="str">
        <f>HYPERLINK("https://otsuka-europe-crm.veevavault.com/ui/#object/approved_document__v/V5O00000000P003", "FR-AM2-2500027")</f>
        <v>FR-AM2-2500027</v>
      </c>
      <c r="E7329" s="22" t="str">
        <f>HYPERLINK("https://otsuka-europe-crm.veevavault.com/ui/#object/sent_email__v/VBL00000002R377", "SE-001434910")</f>
        <v>SE-001434910</v>
      </c>
      <c r="F7329" s="23">
        <v>46183.554560185185</v>
      </c>
      <c r="G7329" s="24">
        <v>1</v>
      </c>
      <c r="H7329" s="24">
        <v>1</v>
      </c>
      <c r="I7329" s="24">
        <v>0</v>
      </c>
      <c r="J7329" s="25"/>
      <c r="K7329" s="24">
        <v>0</v>
      </c>
      <c r="L7329" s="22" t="str">
        <f>HYPERLINK("https://otsuka-europe-crm.veevavault.com/ui/#object/approved_document__v/V5O00000000P003", "FR-AM2-2500027")</f>
        <v>FR-AM2-2500027</v>
      </c>
      <c r="M7329" s="22" t="str">
        <f>HYPERLINK("mailto:ssaouab@crm.otsuka-europe.com", "ssaouab@crm.otsuka-europe.com")</f>
        <v>ssaouab@crm.otsuka-europe.com</v>
      </c>
      <c r="N7329" s="23">
        <v>46182.607627314814</v>
      </c>
      <c r="O7329" s="14" t="str">
        <f>HYPERLINK("https://otsuka-europe-crm.veevavault.com/ui/#object/email_activity__v/V8C00000003S093", "EN-002093031")</f>
        <v>EN-002093031</v>
      </c>
    </row>
    <row r="7330" spans="1:15" ht="16" x14ac:dyDescent="0.2">
      <c r="A7330" s="19"/>
      <c r="B7330" s="19"/>
      <c r="C7330" s="19"/>
      <c r="D7330" s="19"/>
      <c r="E7330" s="19"/>
      <c r="F7330" s="19"/>
      <c r="G7330" s="19"/>
      <c r="H7330" s="19"/>
      <c r="I7330" s="19"/>
      <c r="J7330" s="19"/>
      <c r="K7330" s="19"/>
      <c r="L7330" s="19"/>
      <c r="M7330" s="19"/>
      <c r="N7330" s="19"/>
      <c r="O7330" s="14" t="str">
        <f>HYPERLINK("https://otsuka-europe-crm.veevavault.com/ui/#object/email_activity__v/V8C00000003T335", "EN-002094243")</f>
        <v>EN-002094243</v>
      </c>
    </row>
    <row r="7331" spans="1:15" ht="48" x14ac:dyDescent="0.2">
      <c r="A7331" s="7" t="str">
        <f>HYPERLINK("https://otsuka-europe-crm.veevavault.com/ui/#object/account__v/V4TZ00000633O34", "THIERRY BAUDOIN")</f>
        <v>THIERRY BAUDOIN</v>
      </c>
      <c r="B7331" s="7" t="str">
        <f>HYPERLINK("https://otsuka-europe-crm.veevavault.com/ui/#object/vcountry__v/VENZ000004SONFA", "FR")</f>
        <v>FR</v>
      </c>
      <c r="C7331" s="8" t="s">
        <v>42</v>
      </c>
      <c r="D7331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331" s="10" t="str">
        <f>HYPERLINK("https://otsuka-europe-crm.veevavault.com/ui/#object/sent_email__v/VBL00000002R378", "SE-001434911")</f>
        <v>SE-001434911</v>
      </c>
      <c r="F7331" s="11"/>
      <c r="G7331" s="12">
        <v>0</v>
      </c>
      <c r="H7331" s="12">
        <v>0</v>
      </c>
      <c r="I7331" s="12">
        <v>0</v>
      </c>
      <c r="J7331" s="11"/>
      <c r="K7331" s="12">
        <v>0</v>
      </c>
      <c r="L7331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331" s="10" t="str">
        <f>HYPERLINK("mailto:ssaouab@crm.otsuka-europe.com", "ssaouab@crm.otsuka-europe.com")</f>
        <v>ssaouab@crm.otsuka-europe.com</v>
      </c>
      <c r="N7331" s="13">
        <v>46182.608020833337</v>
      </c>
      <c r="O7331" s="14" t="str">
        <f>HYPERLINK("https://otsuka-europe-crm.veevavault.com/ui/#object/email_activity__v/V8C00000003S094", "EN-002093032")</f>
        <v>EN-002093032</v>
      </c>
    </row>
    <row r="7332" spans="1:15" ht="16" x14ac:dyDescent="0.2">
      <c r="A7332" s="17" t="str">
        <f>HYPERLINK("https://otsuka-europe-crm.veevavault.com/ui/#object/account__v/V4TZ00000633O34", "THIERRY BAUDOIN")</f>
        <v>THIERRY BAUDOIN</v>
      </c>
      <c r="B7332" s="17" t="str">
        <f>HYPERLINK("https://otsuka-europe-crm.veevavault.com/ui/#object/vcountry__v/VENZ000004SONFA", "FR")</f>
        <v>FR</v>
      </c>
      <c r="C7332" s="20" t="s">
        <v>42</v>
      </c>
      <c r="D7332" s="21" t="str">
        <f>HYPERLINK("https://otsuka-europe-crm.veevavault.com/ui/#object/approved_document__v/V5O00000000P003", "FR-AM2-2500027")</f>
        <v>FR-AM2-2500027</v>
      </c>
      <c r="E7332" s="22" t="str">
        <f>HYPERLINK("https://otsuka-europe-crm.veevavault.com/ui/#object/sent_email__v/VBL00000002R379", "SE-001434912")</f>
        <v>SE-001434912</v>
      </c>
      <c r="F7332" s="23">
        <v>46185.303865740738</v>
      </c>
      <c r="G7332" s="24">
        <v>1</v>
      </c>
      <c r="H7332" s="24">
        <v>2</v>
      </c>
      <c r="I7332" s="24">
        <v>0</v>
      </c>
      <c r="J7332" s="25"/>
      <c r="K7332" s="24">
        <v>0</v>
      </c>
      <c r="L7332" s="22" t="str">
        <f>HYPERLINK("https://otsuka-europe-crm.veevavault.com/ui/#object/approved_document__v/V5O00000000P003", "FR-AM2-2500027")</f>
        <v>FR-AM2-2500027</v>
      </c>
      <c r="M7332" s="22" t="str">
        <f>HYPERLINK("mailto:ssaouab@crm.otsuka-europe.com", "ssaouab@crm.otsuka-europe.com")</f>
        <v>ssaouab@crm.otsuka-europe.com</v>
      </c>
      <c r="N7332" s="23">
        <v>46182.608113425929</v>
      </c>
      <c r="O7332" s="14" t="str">
        <f>HYPERLINK("https://otsuka-europe-crm.veevavault.com/ui/#object/email_activity__v/V8C00000003S095", "EN-002093033")</f>
        <v>EN-002093033</v>
      </c>
    </row>
    <row r="7333" spans="1:15" ht="16" x14ac:dyDescent="0.2">
      <c r="A7333" s="18"/>
      <c r="B7333" s="18"/>
      <c r="C7333" s="18"/>
      <c r="D7333" s="18"/>
      <c r="E7333" s="18"/>
      <c r="F7333" s="18"/>
      <c r="G7333" s="18"/>
      <c r="H7333" s="18"/>
      <c r="I7333" s="18"/>
      <c r="J7333" s="18"/>
      <c r="K7333" s="18"/>
      <c r="L7333" s="18"/>
      <c r="M7333" s="18"/>
      <c r="N7333" s="18"/>
      <c r="O7333" s="14" t="str">
        <f>HYPERLINK("https://otsuka-europe-crm.veevavault.com/ui/#object/email_activity__v/V8C00000003U052", "EN-002094913")</f>
        <v>EN-002094913</v>
      </c>
    </row>
    <row r="7334" spans="1:15" ht="16" x14ac:dyDescent="0.2">
      <c r="A7334" s="19"/>
      <c r="B7334" s="19"/>
      <c r="C7334" s="19"/>
      <c r="D7334" s="19"/>
      <c r="E7334" s="19"/>
      <c r="F7334" s="19"/>
      <c r="G7334" s="19"/>
      <c r="H7334" s="19"/>
      <c r="I7334" s="19"/>
      <c r="J7334" s="19"/>
      <c r="K7334" s="19"/>
      <c r="L7334" s="19"/>
      <c r="M7334" s="19"/>
      <c r="N7334" s="19"/>
      <c r="O7334" s="14" t="str">
        <f>HYPERLINK("https://otsuka-europe-crm.veevavault.com/ui/#object/email_activity__v/V8C00000003V043", "EN-002094912")</f>
        <v>EN-002094912</v>
      </c>
    </row>
    <row r="7335" spans="1:15" ht="16" x14ac:dyDescent="0.2">
      <c r="A7335" s="17" t="str">
        <f>HYPERLINK("https://otsuka-europe-crm.veevavault.com/ui/#object/account__v/V4TZ00000633O5F", "MARIE CHRISTINE BEAUCOUSIN")</f>
        <v>MARIE CHRISTINE BEAUCOUSIN</v>
      </c>
      <c r="B7335" s="17" t="str">
        <f>HYPERLINK("https://otsuka-europe-crm.veevavault.com/ui/#object/vcountry__v/VENZ000004SONFA", "FR")</f>
        <v>FR</v>
      </c>
      <c r="C7335" s="20" t="s">
        <v>42</v>
      </c>
      <c r="D7335" s="21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335" s="22" t="str">
        <f>HYPERLINK("https://otsuka-europe-crm.veevavault.com/ui/#object/sent_email__v/VBL00000002R380", "SE-001434913")</f>
        <v>SE-001434913</v>
      </c>
      <c r="F7335" s="23">
        <v>46182.815810185188</v>
      </c>
      <c r="G7335" s="24">
        <v>1</v>
      </c>
      <c r="H7335" s="24">
        <v>1</v>
      </c>
      <c r="I7335" s="24">
        <v>0</v>
      </c>
      <c r="J7335" s="25"/>
      <c r="K7335" s="24">
        <v>0</v>
      </c>
      <c r="L7335" s="22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335" s="22" t="str">
        <f>HYPERLINK("mailto:ssaouab@crm.otsuka-europe.com", "ssaouab@crm.otsuka-europe.com")</f>
        <v>ssaouab@crm.otsuka-europe.com</v>
      </c>
      <c r="N7335" s="23">
        <v>46182.608391203707</v>
      </c>
      <c r="O7335" s="14" t="str">
        <f>HYPERLINK("https://otsuka-europe-crm.veevavault.com/ui/#object/email_activity__v/V8C00000003S096", "EN-002093034")</f>
        <v>EN-002093034</v>
      </c>
    </row>
    <row r="7336" spans="1:15" ht="16" x14ac:dyDescent="0.2">
      <c r="A7336" s="19"/>
      <c r="B7336" s="19"/>
      <c r="C7336" s="19"/>
      <c r="D7336" s="19"/>
      <c r="E7336" s="19"/>
      <c r="F7336" s="19"/>
      <c r="G7336" s="19"/>
      <c r="H7336" s="19"/>
      <c r="I7336" s="19"/>
      <c r="J7336" s="19"/>
      <c r="K7336" s="19"/>
      <c r="L7336" s="19"/>
      <c r="M7336" s="19"/>
      <c r="N7336" s="19"/>
      <c r="O7336" s="14" t="str">
        <f>HYPERLINK("https://otsuka-europe-crm.veevavault.com/ui/#object/email_activity__v/V8C00000003T026", "EN-002093637")</f>
        <v>EN-002093637</v>
      </c>
    </row>
    <row r="7337" spans="1:15" ht="16" x14ac:dyDescent="0.2">
      <c r="A7337" s="17" t="str">
        <f>HYPERLINK("https://otsuka-europe-crm.veevavault.com/ui/#object/account__v/V4TZ00000633O5F", "MARIE CHRISTINE BEAUCOUSIN")</f>
        <v>MARIE CHRISTINE BEAUCOUSIN</v>
      </c>
      <c r="B7337" s="17" t="str">
        <f>HYPERLINK("https://otsuka-europe-crm.veevavault.com/ui/#object/vcountry__v/VENZ000004SONFA", "FR")</f>
        <v>FR</v>
      </c>
      <c r="C7337" s="20" t="s">
        <v>42</v>
      </c>
      <c r="D7337" s="21" t="str">
        <f>HYPERLINK("https://otsuka-europe-crm.veevavault.com/ui/#object/approved_document__v/V5O00000000P003", "FR-AM2-2500027")</f>
        <v>FR-AM2-2500027</v>
      </c>
      <c r="E7337" s="22" t="str">
        <f>HYPERLINK("https://otsuka-europe-crm.veevavault.com/ui/#object/sent_email__v/VBL00000002R381", "SE-001434914")</f>
        <v>SE-001434914</v>
      </c>
      <c r="F7337" s="23">
        <v>46182.857488425929</v>
      </c>
      <c r="G7337" s="24">
        <v>1</v>
      </c>
      <c r="H7337" s="24">
        <v>2</v>
      </c>
      <c r="I7337" s="24">
        <v>0</v>
      </c>
      <c r="J7337" s="25"/>
      <c r="K7337" s="24">
        <v>0</v>
      </c>
      <c r="L7337" s="22" t="str">
        <f>HYPERLINK("https://otsuka-europe-crm.veevavault.com/ui/#object/approved_document__v/V5O00000000P003", "FR-AM2-2500027")</f>
        <v>FR-AM2-2500027</v>
      </c>
      <c r="M7337" s="22" t="str">
        <f>HYPERLINK("mailto:ssaouab@crm.otsuka-europe.com", "ssaouab@crm.otsuka-europe.com")</f>
        <v>ssaouab@crm.otsuka-europe.com</v>
      </c>
      <c r="N7337" s="23">
        <v>46182.608472222222</v>
      </c>
      <c r="O7337" s="14" t="str">
        <f>HYPERLINK("https://otsuka-europe-crm.veevavault.com/ui/#object/email_activity__v/V8C00000003S097", "EN-002093035")</f>
        <v>EN-002093035</v>
      </c>
    </row>
    <row r="7338" spans="1:15" ht="16" x14ac:dyDescent="0.2">
      <c r="A7338" s="18"/>
      <c r="B7338" s="18"/>
      <c r="C7338" s="18"/>
      <c r="D7338" s="18"/>
      <c r="E7338" s="18"/>
      <c r="F7338" s="18"/>
      <c r="G7338" s="18"/>
      <c r="H7338" s="18"/>
      <c r="I7338" s="18"/>
      <c r="J7338" s="18"/>
      <c r="K7338" s="18"/>
      <c r="L7338" s="18"/>
      <c r="M7338" s="18"/>
      <c r="N7338" s="18"/>
      <c r="O7338" s="14" t="str">
        <f>HYPERLINK("https://otsuka-europe-crm.veevavault.com/ui/#object/email_activity__v/V8C00000003S391", "EN-002093689")</f>
        <v>EN-002093689</v>
      </c>
    </row>
    <row r="7339" spans="1:15" ht="16" x14ac:dyDescent="0.2">
      <c r="A7339" s="19"/>
      <c r="B7339" s="19"/>
      <c r="C7339" s="19"/>
      <c r="D7339" s="19"/>
      <c r="E7339" s="19"/>
      <c r="F7339" s="19"/>
      <c r="G7339" s="19"/>
      <c r="H7339" s="19"/>
      <c r="I7339" s="19"/>
      <c r="J7339" s="19"/>
      <c r="K7339" s="19"/>
      <c r="L7339" s="19"/>
      <c r="M7339" s="19"/>
      <c r="N7339" s="19"/>
      <c r="O7339" s="14" t="str">
        <f>HYPERLINK("https://otsuka-europe-crm.veevavault.com/ui/#object/email_activity__v/V8C00000003T064", "EN-002093690")</f>
        <v>EN-002093690</v>
      </c>
    </row>
    <row r="7340" spans="1:15" ht="48" x14ac:dyDescent="0.2">
      <c r="A7340" s="7" t="str">
        <f>HYPERLINK("https://otsuka-europe-crm.veevavault.com/ui/#object/account__v/V4TZ00000633HBG", "AMEL BEDOUI")</f>
        <v>AMEL BEDOUI</v>
      </c>
      <c r="B7340" s="7" t="str">
        <f>HYPERLINK("https://otsuka-europe-crm.veevavault.com/ui/#object/vcountry__v/VENZ000004SONFA", "FR")</f>
        <v>FR</v>
      </c>
      <c r="C7340" s="8" t="s">
        <v>42</v>
      </c>
      <c r="D7340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340" s="10" t="str">
        <f>HYPERLINK("https://otsuka-europe-crm.veevavault.com/ui/#object/sent_email__v/VBL00000002R382", "SE-001434915")</f>
        <v>SE-001434915</v>
      </c>
      <c r="F7340" s="11"/>
      <c r="G7340" s="12">
        <v>0</v>
      </c>
      <c r="H7340" s="12">
        <v>0</v>
      </c>
      <c r="I7340" s="12">
        <v>0</v>
      </c>
      <c r="J7340" s="11"/>
      <c r="K7340" s="12">
        <v>0</v>
      </c>
      <c r="L7340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340" s="10" t="str">
        <f>HYPERLINK("mailto:ssaouab@crm.otsuka-europe.com", "ssaouab@crm.otsuka-europe.com")</f>
        <v>ssaouab@crm.otsuka-europe.com</v>
      </c>
      <c r="N7340" s="13">
        <v>46182.608703703707</v>
      </c>
      <c r="O7340" s="14" t="str">
        <f>HYPERLINK("https://otsuka-europe-crm.veevavault.com/ui/#object/email_activity__v/V8C00000003S098", "EN-002093036")</f>
        <v>EN-002093036</v>
      </c>
    </row>
    <row r="7341" spans="1:15" ht="32" x14ac:dyDescent="0.2">
      <c r="A7341" s="7" t="str">
        <f>HYPERLINK("https://otsuka-europe-crm.veevavault.com/ui/#object/account__v/V4TZ00000633HBG", "AMEL BEDOUI")</f>
        <v>AMEL BEDOUI</v>
      </c>
      <c r="B7341" s="7" t="str">
        <f>HYPERLINK("https://otsuka-europe-crm.veevavault.com/ui/#object/vcountry__v/VENZ000004SONFA", "FR")</f>
        <v>FR</v>
      </c>
      <c r="C7341" s="8" t="s">
        <v>42</v>
      </c>
      <c r="D7341" s="9" t="str">
        <f>HYPERLINK("https://otsuka-europe-crm.veevavault.com/ui/#object/approved_document__v/V5O00000000P003", "FR-AM2-2500027")</f>
        <v>FR-AM2-2500027</v>
      </c>
      <c r="E7341" s="10" t="str">
        <f>HYPERLINK("https://otsuka-europe-crm.veevavault.com/ui/#object/sent_email__v/VBL00000002R383", "SE-001434916")</f>
        <v>SE-001434916</v>
      </c>
      <c r="F7341" s="11"/>
      <c r="G7341" s="12">
        <v>0</v>
      </c>
      <c r="H7341" s="12">
        <v>0</v>
      </c>
      <c r="I7341" s="12">
        <v>0</v>
      </c>
      <c r="J7341" s="11"/>
      <c r="K7341" s="12">
        <v>0</v>
      </c>
      <c r="L7341" s="10" t="str">
        <f>HYPERLINK("https://otsuka-europe-crm.veevavault.com/ui/#object/approved_document__v/V5O00000000P003", "FR-AM2-2500027")</f>
        <v>FR-AM2-2500027</v>
      </c>
      <c r="M7341" s="10" t="str">
        <f>HYPERLINK("mailto:ssaouab@crm.otsuka-europe.com", "ssaouab@crm.otsuka-europe.com")</f>
        <v>ssaouab@crm.otsuka-europe.com</v>
      </c>
      <c r="N7341" s="13">
        <v>46182.608935185184</v>
      </c>
      <c r="O7341" s="14" t="str">
        <f>HYPERLINK("https://otsuka-europe-crm.veevavault.com/ui/#object/email_activity__v/V8C00000003S099", "EN-002093037")</f>
        <v>EN-002093037</v>
      </c>
    </row>
    <row r="7342" spans="1:15" ht="16" x14ac:dyDescent="0.2">
      <c r="A7342" s="17" t="str">
        <f>HYPERLINK("https://otsuka-europe-crm.veevavault.com/ui/#object/account__v/V4TZ00000633N0I", "CHAKIR BEGGAR")</f>
        <v>CHAKIR BEGGAR</v>
      </c>
      <c r="B7342" s="17" t="str">
        <f>HYPERLINK("https://otsuka-europe-crm.veevavault.com/ui/#object/vcountry__v/VENZ000004SONFA", "FR")</f>
        <v>FR</v>
      </c>
      <c r="C7342" s="20" t="s">
        <v>42</v>
      </c>
      <c r="D7342" s="21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342" s="22" t="str">
        <f>HYPERLINK("https://otsuka-europe-crm.veevavault.com/ui/#object/sent_email__v/VBL00000002R384", "SE-001434917")</f>
        <v>SE-001434917</v>
      </c>
      <c r="F7342" s="23">
        <v>46182.616365740738</v>
      </c>
      <c r="G7342" s="24">
        <v>1</v>
      </c>
      <c r="H7342" s="24">
        <v>2</v>
      </c>
      <c r="I7342" s="24">
        <v>0</v>
      </c>
      <c r="J7342" s="25"/>
      <c r="K7342" s="24">
        <v>0</v>
      </c>
      <c r="L7342" s="22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342" s="22" t="str">
        <f>HYPERLINK("mailto:ssaouab@crm.otsuka-europe.com", "ssaouab@crm.otsuka-europe.com")</f>
        <v>ssaouab@crm.otsuka-europe.com</v>
      </c>
      <c r="N7342" s="23">
        <v>46182.6091087963</v>
      </c>
      <c r="O7342" s="14" t="str">
        <f>HYPERLINK("https://otsuka-europe-crm.veevavault.com/ui/#object/email_activity__v/V8C00000003R728", "EN-002093077")</f>
        <v>EN-002093077</v>
      </c>
    </row>
    <row r="7343" spans="1:15" ht="16" x14ac:dyDescent="0.2">
      <c r="A7343" s="18"/>
      <c r="B7343" s="18"/>
      <c r="C7343" s="18"/>
      <c r="D7343" s="18"/>
      <c r="E7343" s="18"/>
      <c r="F7343" s="18"/>
      <c r="G7343" s="18"/>
      <c r="H7343" s="18"/>
      <c r="I7343" s="18"/>
      <c r="J7343" s="18"/>
      <c r="K7343" s="18"/>
      <c r="L7343" s="18"/>
      <c r="M7343" s="18"/>
      <c r="N7343" s="18"/>
      <c r="O7343" s="14" t="str">
        <f>HYPERLINK("https://otsuka-europe-crm.veevavault.com/ui/#object/email_activity__v/V8C00000003R730", "EN-002093079")</f>
        <v>EN-002093079</v>
      </c>
    </row>
    <row r="7344" spans="1:15" ht="16" x14ac:dyDescent="0.2">
      <c r="A7344" s="19"/>
      <c r="B7344" s="19"/>
      <c r="C7344" s="19"/>
      <c r="D7344" s="19"/>
      <c r="E7344" s="19"/>
      <c r="F7344" s="19"/>
      <c r="G7344" s="19"/>
      <c r="H7344" s="19"/>
      <c r="I7344" s="19"/>
      <c r="J7344" s="19"/>
      <c r="K7344" s="19"/>
      <c r="L7344" s="19"/>
      <c r="M7344" s="19"/>
      <c r="N7344" s="19"/>
      <c r="O7344" s="14" t="str">
        <f>HYPERLINK("https://otsuka-europe-crm.veevavault.com/ui/#object/email_activity__v/V8C00000003S100", "EN-002093038")</f>
        <v>EN-002093038</v>
      </c>
    </row>
    <row r="7345" spans="1:15" ht="16" x14ac:dyDescent="0.2">
      <c r="A7345" s="17" t="str">
        <f>HYPERLINK("https://otsuka-europe-crm.veevavault.com/ui/#object/account__v/V4TZ00000633N0I", "CHAKIR BEGGAR")</f>
        <v>CHAKIR BEGGAR</v>
      </c>
      <c r="B7345" s="17" t="str">
        <f>HYPERLINK("https://otsuka-europe-crm.veevavault.com/ui/#object/vcountry__v/VENZ000004SONFA", "FR")</f>
        <v>FR</v>
      </c>
      <c r="C7345" s="20" t="s">
        <v>42</v>
      </c>
      <c r="D7345" s="21" t="str">
        <f>HYPERLINK("https://otsuka-europe-crm.veevavault.com/ui/#object/approved_document__v/V5O00000000P003", "FR-AM2-2500027")</f>
        <v>FR-AM2-2500027</v>
      </c>
      <c r="E7345" s="22" t="str">
        <f>HYPERLINK("https://otsuka-europe-crm.veevavault.com/ui/#object/sent_email__v/VBL00000002R385", "SE-001434918")</f>
        <v>SE-001434918</v>
      </c>
      <c r="F7345" s="23">
        <v>46185.344097222223</v>
      </c>
      <c r="G7345" s="24">
        <v>1</v>
      </c>
      <c r="H7345" s="24">
        <v>5</v>
      </c>
      <c r="I7345" s="24">
        <v>0</v>
      </c>
      <c r="J7345" s="25"/>
      <c r="K7345" s="24">
        <v>0</v>
      </c>
      <c r="L7345" s="22" t="str">
        <f>HYPERLINK("https://otsuka-europe-crm.veevavault.com/ui/#object/approved_document__v/V5O00000000P003", "FR-AM2-2500027")</f>
        <v>FR-AM2-2500027</v>
      </c>
      <c r="M7345" s="22" t="str">
        <f>HYPERLINK("mailto:ssaouab@crm.otsuka-europe.com", "ssaouab@crm.otsuka-europe.com")</f>
        <v>ssaouab@crm.otsuka-europe.com</v>
      </c>
      <c r="N7345" s="23">
        <v>46182.609293981484</v>
      </c>
      <c r="O7345" s="14" t="str">
        <f>HYPERLINK("https://otsuka-europe-crm.veevavault.com/ui/#object/email_activity__v/V8C00000003R729", "EN-002093078")</f>
        <v>EN-002093078</v>
      </c>
    </row>
    <row r="7346" spans="1:15" ht="16" x14ac:dyDescent="0.2">
      <c r="A7346" s="18"/>
      <c r="B7346" s="18"/>
      <c r="C7346" s="18"/>
      <c r="D7346" s="18"/>
      <c r="E7346" s="18"/>
      <c r="F7346" s="18"/>
      <c r="G7346" s="18"/>
      <c r="H7346" s="18"/>
      <c r="I7346" s="18"/>
      <c r="J7346" s="18"/>
      <c r="K7346" s="18"/>
      <c r="L7346" s="18"/>
      <c r="M7346" s="18"/>
      <c r="N7346" s="18"/>
      <c r="O7346" s="14" t="str">
        <f>HYPERLINK("https://otsuka-europe-crm.veevavault.com/ui/#object/email_activity__v/V8C00000003R731", "EN-002093080")</f>
        <v>EN-002093080</v>
      </c>
    </row>
    <row r="7347" spans="1:15" ht="16" x14ac:dyDescent="0.2">
      <c r="A7347" s="18"/>
      <c r="B7347" s="18"/>
      <c r="C7347" s="18"/>
      <c r="D7347" s="18"/>
      <c r="E7347" s="18"/>
      <c r="F7347" s="18"/>
      <c r="G7347" s="18"/>
      <c r="H7347" s="18"/>
      <c r="I7347" s="18"/>
      <c r="J7347" s="18"/>
      <c r="K7347" s="18"/>
      <c r="L7347" s="18"/>
      <c r="M7347" s="18"/>
      <c r="N7347" s="18"/>
      <c r="O7347" s="14" t="str">
        <f>HYPERLINK("https://otsuka-europe-crm.veevavault.com/ui/#object/email_activity__v/V8C00000003S101", "EN-002093039")</f>
        <v>EN-002093039</v>
      </c>
    </row>
    <row r="7348" spans="1:15" ht="16" x14ac:dyDescent="0.2">
      <c r="A7348" s="18"/>
      <c r="B7348" s="18"/>
      <c r="C7348" s="18"/>
      <c r="D7348" s="18"/>
      <c r="E7348" s="18"/>
      <c r="F7348" s="18"/>
      <c r="G7348" s="18"/>
      <c r="H7348" s="18"/>
      <c r="I7348" s="18"/>
      <c r="J7348" s="18"/>
      <c r="K7348" s="18"/>
      <c r="L7348" s="18"/>
      <c r="M7348" s="18"/>
      <c r="N7348" s="18"/>
      <c r="O7348" s="14" t="str">
        <f>HYPERLINK("https://otsuka-europe-crm.veevavault.com/ui/#object/email_activity__v/V8C00000003U140", "EN-002095125")</f>
        <v>EN-002095125</v>
      </c>
    </row>
    <row r="7349" spans="1:15" ht="16" x14ac:dyDescent="0.2">
      <c r="A7349" s="18"/>
      <c r="B7349" s="18"/>
      <c r="C7349" s="18"/>
      <c r="D7349" s="18"/>
      <c r="E7349" s="18"/>
      <c r="F7349" s="18"/>
      <c r="G7349" s="18"/>
      <c r="H7349" s="18"/>
      <c r="I7349" s="18"/>
      <c r="J7349" s="18"/>
      <c r="K7349" s="18"/>
      <c r="L7349" s="18"/>
      <c r="M7349" s="18"/>
      <c r="N7349" s="18"/>
      <c r="O7349" s="14" t="str">
        <f>HYPERLINK("https://otsuka-europe-crm.veevavault.com/ui/#object/email_activity__v/V8C00000003V168", "EN-002095126")</f>
        <v>EN-002095126</v>
      </c>
    </row>
    <row r="7350" spans="1:15" ht="16" x14ac:dyDescent="0.2">
      <c r="A7350" s="19"/>
      <c r="B7350" s="19"/>
      <c r="C7350" s="19"/>
      <c r="D7350" s="19"/>
      <c r="E7350" s="19"/>
      <c r="F7350" s="19"/>
      <c r="G7350" s="19"/>
      <c r="H7350" s="19"/>
      <c r="I7350" s="19"/>
      <c r="J7350" s="19"/>
      <c r="K7350" s="19"/>
      <c r="L7350" s="19"/>
      <c r="M7350" s="19"/>
      <c r="N7350" s="19"/>
      <c r="O7350" s="14" t="str">
        <f>HYPERLINK("https://otsuka-europe-crm.veevavault.com/ui/#object/email_activity__v/V8C00000003V169", "EN-002095127")</f>
        <v>EN-002095127</v>
      </c>
    </row>
    <row r="7351" spans="1:15" ht="16" x14ac:dyDescent="0.2">
      <c r="A7351" s="17" t="str">
        <f>HYPERLINK("https://otsuka-europe-crm.veevavault.com/ui/#object/account__v/V4T000000023058", "ALFONSO LORENZO QUEROL")</f>
        <v>ALFONSO LORENZO QUEROL</v>
      </c>
      <c r="B7351" s="17" t="str">
        <f>HYPERLINK("https://otsuka-europe-crm.veevavault.com/ui/#object/vcountry__v/VENZ000004SONF5", "ES")</f>
        <v>ES</v>
      </c>
      <c r="C7351" s="20" t="s">
        <v>41</v>
      </c>
      <c r="D7351" s="21" t="str">
        <f>HYPERLINK("https://otsuka-europe-crm.veevavault.com/ui/#object/approved_document__v/V5OZ06G6O6RFL1P", "ES Veeva Privacy Notice Email")</f>
        <v>ES Veeva Privacy Notice Email</v>
      </c>
      <c r="E7351" s="22" t="str">
        <f>HYPERLINK("https://otsuka-europe-crm.veevavault.com/ui/#object/sent_email__v/VBL00000002S485", "SE-001434919")</f>
        <v>SE-001434919</v>
      </c>
      <c r="F7351" s="23">
        <v>46182.609664351854</v>
      </c>
      <c r="G7351" s="24">
        <v>1</v>
      </c>
      <c r="H7351" s="24">
        <v>1</v>
      </c>
      <c r="I7351" s="24">
        <v>0</v>
      </c>
      <c r="J7351" s="25"/>
      <c r="K7351" s="24">
        <v>0</v>
      </c>
      <c r="L7351" s="22" t="str">
        <f>HYPERLINK("https://otsuka-europe-crm.veevavault.com/ui/#object/approved_document__v/V5OZ06G6O6RFL1P", "ES Veeva Privacy Notice Email")</f>
        <v>ES Veeva Privacy Notice Email</v>
      </c>
      <c r="M7351" s="22" t="str">
        <f>HYPERLINK("mailto:ccoll@crm.otsuka-europe.com", "ccoll@crm.otsuka-europe.com")</f>
        <v>ccoll@crm.otsuka-europe.com</v>
      </c>
      <c r="N7351" s="23">
        <v>46182.609594907408</v>
      </c>
      <c r="O7351" s="14" t="str">
        <f>HYPERLINK("https://otsuka-europe-crm.veevavault.com/ui/#object/email_activity__v/V8C00000003R702", "EN-002093041")</f>
        <v>EN-002093041</v>
      </c>
    </row>
    <row r="7352" spans="1:15" ht="16" x14ac:dyDescent="0.2">
      <c r="A7352" s="19"/>
      <c r="B7352" s="19"/>
      <c r="C7352" s="19"/>
      <c r="D7352" s="19"/>
      <c r="E7352" s="19"/>
      <c r="F7352" s="19"/>
      <c r="G7352" s="19"/>
      <c r="H7352" s="19"/>
      <c r="I7352" s="19"/>
      <c r="J7352" s="19"/>
      <c r="K7352" s="19"/>
      <c r="L7352" s="19"/>
      <c r="M7352" s="19"/>
      <c r="N7352" s="19"/>
      <c r="O7352" s="14" t="str">
        <f>HYPERLINK("https://otsuka-europe-crm.veevavault.com/ui/#object/email_activity__v/V8C00000003S102", "EN-002093040")</f>
        <v>EN-002093040</v>
      </c>
    </row>
    <row r="7353" spans="1:15" ht="16" x14ac:dyDescent="0.2">
      <c r="A7353" s="17" t="str">
        <f>HYPERLINK("https://otsuka-europe-crm.veevavault.com/ui/#object/account__v/V4TZ00000633N0I", "CHAKIR BEGGAR")</f>
        <v>CHAKIR BEGGAR</v>
      </c>
      <c r="B7353" s="17" t="str">
        <f>HYPERLINK("https://otsuka-europe-crm.veevavault.com/ui/#object/vcountry__v/VENZ000004SONFA", "FR")</f>
        <v>FR</v>
      </c>
      <c r="C7353" s="20" t="s">
        <v>42</v>
      </c>
      <c r="D7353" s="21" t="str">
        <f>HYPERLINK("https://otsuka-europe-crm.veevavault.com/ui/#object/approved_document__v/V5O00000000P003", "FR-AM2-2500027")</f>
        <v>FR-AM2-2500027</v>
      </c>
      <c r="E7353" s="22" t="str">
        <f>HYPERLINK("https://otsuka-europe-crm.veevavault.com/ui/#object/sent_email__v/VBL00000002R386", "SE-001434920")</f>
        <v>SE-001434920</v>
      </c>
      <c r="F7353" s="23">
        <v>46182.615706018521</v>
      </c>
      <c r="G7353" s="24">
        <v>1</v>
      </c>
      <c r="H7353" s="24">
        <v>2</v>
      </c>
      <c r="I7353" s="24">
        <v>0</v>
      </c>
      <c r="J7353" s="25"/>
      <c r="K7353" s="24">
        <v>0</v>
      </c>
      <c r="L7353" s="22" t="str">
        <f>HYPERLINK("https://otsuka-europe-crm.veevavault.com/ui/#object/approved_document__v/V5O00000000P003", "FR-AM2-2500027")</f>
        <v>FR-AM2-2500027</v>
      </c>
      <c r="M7353" s="22" t="str">
        <f>HYPERLINK("mailto:ssaouab@crm.otsuka-europe.com", "ssaouab@crm.otsuka-europe.com")</f>
        <v>ssaouab@crm.otsuka-europe.com</v>
      </c>
      <c r="N7353" s="23">
        <v>46182.609953703701</v>
      </c>
      <c r="O7353" s="14" t="str">
        <f>HYPERLINK("https://otsuka-europe-crm.veevavault.com/ui/#object/email_activity__v/V8C00000003R719", "EN-002093068")</f>
        <v>EN-002093068</v>
      </c>
    </row>
    <row r="7354" spans="1:15" ht="16" x14ac:dyDescent="0.2">
      <c r="A7354" s="18"/>
      <c r="B7354" s="18"/>
      <c r="C7354" s="18"/>
      <c r="D7354" s="18"/>
      <c r="E7354" s="18"/>
      <c r="F7354" s="18"/>
      <c r="G7354" s="18"/>
      <c r="H7354" s="18"/>
      <c r="I7354" s="18"/>
      <c r="J7354" s="18"/>
      <c r="K7354" s="18"/>
      <c r="L7354" s="18"/>
      <c r="M7354" s="18"/>
      <c r="N7354" s="18"/>
      <c r="O7354" s="14" t="str">
        <f>HYPERLINK("https://otsuka-europe-crm.veevavault.com/ui/#object/email_activity__v/V8C00000003R720", "EN-002093069")</f>
        <v>EN-002093069</v>
      </c>
    </row>
    <row r="7355" spans="1:15" ht="16" x14ac:dyDescent="0.2">
      <c r="A7355" s="19"/>
      <c r="B7355" s="19"/>
      <c r="C7355" s="19"/>
      <c r="D7355" s="19"/>
      <c r="E7355" s="19"/>
      <c r="F7355" s="19"/>
      <c r="G7355" s="19"/>
      <c r="H7355" s="19"/>
      <c r="I7355" s="19"/>
      <c r="J7355" s="19"/>
      <c r="K7355" s="19"/>
      <c r="L7355" s="19"/>
      <c r="M7355" s="19"/>
      <c r="N7355" s="19"/>
      <c r="O7355" s="14" t="str">
        <f>HYPERLINK("https://otsuka-europe-crm.veevavault.com/ui/#object/email_activity__v/V8C00000003S103", "EN-002093042")</f>
        <v>EN-002093042</v>
      </c>
    </row>
    <row r="7356" spans="1:15" ht="48" x14ac:dyDescent="0.2">
      <c r="A7356" s="7" t="str">
        <f>HYPERLINK("https://otsuka-europe-crm.veevavault.com/ui/#object/account__v/V4TZ00000633N11", "FAOUZI BEJIA")</f>
        <v>FAOUZI BEJIA</v>
      </c>
      <c r="B7356" s="7" t="str">
        <f>HYPERLINK("https://otsuka-europe-crm.veevavault.com/ui/#object/vcountry__v/VENZ000004SONFA", "FR")</f>
        <v>FR</v>
      </c>
      <c r="C7356" s="8" t="s">
        <v>42</v>
      </c>
      <c r="D7356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356" s="10" t="str">
        <f>HYPERLINK("https://otsuka-europe-crm.veevavault.com/ui/#object/sent_email__v/VBL00000002R387", "SE-001434921")</f>
        <v>SE-001434921</v>
      </c>
      <c r="F7356" s="11"/>
      <c r="G7356" s="12">
        <v>0</v>
      </c>
      <c r="H7356" s="12">
        <v>0</v>
      </c>
      <c r="I7356" s="12">
        <v>0</v>
      </c>
      <c r="J7356" s="11"/>
      <c r="K7356" s="12">
        <v>0</v>
      </c>
      <c r="L7356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356" s="10" t="str">
        <f>HYPERLINK("mailto:ssaouab@crm.otsuka-europe.com", "ssaouab@crm.otsuka-europe.com")</f>
        <v>ssaouab@crm.otsuka-europe.com</v>
      </c>
      <c r="N7356" s="13">
        <v>46182.611388888887</v>
      </c>
      <c r="O7356" s="14" t="str">
        <f>HYPERLINK("https://otsuka-europe-crm.veevavault.com/ui/#object/email_activity__v/V8C00000003S104", "EN-002093043")</f>
        <v>EN-002093043</v>
      </c>
    </row>
    <row r="7357" spans="1:15" ht="16" x14ac:dyDescent="0.2">
      <c r="A7357" s="17" t="str">
        <f>HYPERLINK("https://otsuka-europe-crm.veevavault.com/ui/#object/account__v/V4TZ00000633N11", "FAOUZI BEJIA")</f>
        <v>FAOUZI BEJIA</v>
      </c>
      <c r="B7357" s="17" t="str">
        <f>HYPERLINK("https://otsuka-europe-crm.veevavault.com/ui/#object/vcountry__v/VENZ000004SONFA", "FR")</f>
        <v>FR</v>
      </c>
      <c r="C7357" s="20" t="s">
        <v>42</v>
      </c>
      <c r="D7357" s="21" t="str">
        <f>HYPERLINK("https://otsuka-europe-crm.veevavault.com/ui/#object/approved_document__v/V5O00000000P003", "FR-AM2-2500027")</f>
        <v>FR-AM2-2500027</v>
      </c>
      <c r="E7357" s="22" t="str">
        <f>HYPERLINK("https://otsuka-europe-crm.veevavault.com/ui/#object/sent_email__v/VBL00000002R388", "SE-001434922")</f>
        <v>SE-001434922</v>
      </c>
      <c r="F7357" s="23">
        <v>46194.877708333333</v>
      </c>
      <c r="G7357" s="24">
        <v>1</v>
      </c>
      <c r="H7357" s="24">
        <v>3</v>
      </c>
      <c r="I7357" s="24">
        <v>0</v>
      </c>
      <c r="J7357" s="25"/>
      <c r="K7357" s="24">
        <v>0</v>
      </c>
      <c r="L7357" s="22" t="str">
        <f>HYPERLINK("https://otsuka-europe-crm.veevavault.com/ui/#object/approved_document__v/V5O00000000P003", "FR-AM2-2500027")</f>
        <v>FR-AM2-2500027</v>
      </c>
      <c r="M7357" s="22" t="str">
        <f>HYPERLINK("mailto:ssaouab@crm.otsuka-europe.com", "ssaouab@crm.otsuka-europe.com")</f>
        <v>ssaouab@crm.otsuka-europe.com</v>
      </c>
      <c r="N7357" s="23">
        <v>46182.611527777779</v>
      </c>
      <c r="O7357" s="14" t="str">
        <f>HYPERLINK("https://otsuka-europe-crm.veevavault.com/ui/#object/email_activity__v/V8C00000003S105", "EN-002093045")</f>
        <v>EN-002093045</v>
      </c>
    </row>
    <row r="7358" spans="1:15" ht="16" x14ac:dyDescent="0.2">
      <c r="A7358" s="18"/>
      <c r="B7358" s="18"/>
      <c r="C7358" s="18"/>
      <c r="D7358" s="18"/>
      <c r="E7358" s="18"/>
      <c r="F7358" s="18"/>
      <c r="G7358" s="18"/>
      <c r="H7358" s="18"/>
      <c r="I7358" s="18"/>
      <c r="J7358" s="18"/>
      <c r="K7358" s="18"/>
      <c r="L7358" s="18"/>
      <c r="M7358" s="18"/>
      <c r="N7358" s="18"/>
      <c r="O7358" s="14" t="str">
        <f>HYPERLINK("https://otsuka-europe-crm.veevavault.com/ui/#object/email_activity__v/V8C00000003X843", "EN-002098331")</f>
        <v>EN-002098331</v>
      </c>
    </row>
    <row r="7359" spans="1:15" ht="16" x14ac:dyDescent="0.2">
      <c r="A7359" s="18"/>
      <c r="B7359" s="18"/>
      <c r="C7359" s="18"/>
      <c r="D7359" s="18"/>
      <c r="E7359" s="18"/>
      <c r="F7359" s="18"/>
      <c r="G7359" s="18"/>
      <c r="H7359" s="18"/>
      <c r="I7359" s="18"/>
      <c r="J7359" s="18"/>
      <c r="K7359" s="18"/>
      <c r="L7359" s="18"/>
      <c r="M7359" s="18"/>
      <c r="N7359" s="18"/>
      <c r="O7359" s="14" t="str">
        <f>HYPERLINK("https://otsuka-europe-crm.veevavault.com/ui/#object/email_activity__v/V8C000000040160", "EN-002098978")</f>
        <v>EN-002098978</v>
      </c>
    </row>
    <row r="7360" spans="1:15" ht="16" x14ac:dyDescent="0.2">
      <c r="A7360" s="19"/>
      <c r="B7360" s="19"/>
      <c r="C7360" s="19"/>
      <c r="D7360" s="19"/>
      <c r="E7360" s="19"/>
      <c r="F7360" s="19"/>
      <c r="G7360" s="19"/>
      <c r="H7360" s="19"/>
      <c r="I7360" s="19"/>
      <c r="J7360" s="19"/>
      <c r="K7360" s="19"/>
      <c r="L7360" s="19"/>
      <c r="M7360" s="19"/>
      <c r="N7360" s="19"/>
      <c r="O7360" s="14" t="str">
        <f>HYPERLINK("https://otsuka-europe-crm.veevavault.com/ui/#object/email_activity__v/V8C000000040161", "EN-002098979")</f>
        <v>EN-002098979</v>
      </c>
    </row>
    <row r="7361" spans="1:15" ht="48" x14ac:dyDescent="0.2">
      <c r="A7361" s="7" t="str">
        <f>HYPERLINK("https://otsuka-europe-crm.veevavault.com/ui/#object/account__v/V4TZ00000633HDG", "HANA BELBACHIR")</f>
        <v>HANA BELBACHIR</v>
      </c>
      <c r="B7361" s="7" t="str">
        <f t="shared" ref="B7361:B7367" si="624">HYPERLINK("https://otsuka-europe-crm.veevavault.com/ui/#object/vcountry__v/VENZ000004SONFA", "FR")</f>
        <v>FR</v>
      </c>
      <c r="C7361" s="8" t="s">
        <v>42</v>
      </c>
      <c r="D7361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361" s="10" t="str">
        <f>HYPERLINK("https://otsuka-europe-crm.veevavault.com/ui/#object/sent_email__v/VBL00000002R389", "SE-001434923")</f>
        <v>SE-001434923</v>
      </c>
      <c r="F7361" s="11"/>
      <c r="G7361" s="12">
        <v>0</v>
      </c>
      <c r="H7361" s="12">
        <v>0</v>
      </c>
      <c r="I7361" s="12">
        <v>0</v>
      </c>
      <c r="J7361" s="11"/>
      <c r="K7361" s="12">
        <v>0</v>
      </c>
      <c r="L7361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361" s="10" t="str">
        <f t="shared" ref="M7361:M7367" si="625">HYPERLINK("mailto:ssaouab@crm.otsuka-europe.com", "ssaouab@crm.otsuka-europe.com")</f>
        <v>ssaouab@crm.otsuka-europe.com</v>
      </c>
      <c r="N7361" s="13">
        <v>46182.611898148149</v>
      </c>
      <c r="O7361" s="14" t="str">
        <f>HYPERLINK("https://otsuka-europe-crm.veevavault.com/ui/#object/email_activity__v/V8C00000003S109", "EN-002093049")</f>
        <v>EN-002093049</v>
      </c>
    </row>
    <row r="7362" spans="1:15" ht="48" x14ac:dyDescent="0.2">
      <c r="A7362" s="7" t="str">
        <f>HYPERLINK("https://otsuka-europe-crm.veevavault.com/ui/#object/account__v/V4TZ00000633HDG", "HANA BELBACHIR")</f>
        <v>HANA BELBACHIR</v>
      </c>
      <c r="B7362" s="7" t="str">
        <f t="shared" si="624"/>
        <v>FR</v>
      </c>
      <c r="C7362" s="8" t="s">
        <v>42</v>
      </c>
      <c r="D7362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362" s="10" t="str">
        <f>HYPERLINK("https://otsuka-europe-crm.veevavault.com/ui/#object/sent_email__v/VBL00000002S486", "SE-001434924")</f>
        <v>SE-001434924</v>
      </c>
      <c r="F7362" s="11"/>
      <c r="G7362" s="12">
        <v>0</v>
      </c>
      <c r="H7362" s="12">
        <v>0</v>
      </c>
      <c r="I7362" s="12">
        <v>0</v>
      </c>
      <c r="J7362" s="11"/>
      <c r="K7362" s="12">
        <v>0</v>
      </c>
      <c r="L7362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362" s="10" t="str">
        <f t="shared" si="625"/>
        <v>ssaouab@crm.otsuka-europe.com</v>
      </c>
      <c r="N7362" s="13">
        <v>46182.61204861111</v>
      </c>
      <c r="O7362" s="14" t="str">
        <f>HYPERLINK("https://otsuka-europe-crm.veevavault.com/ui/#object/email_activity__v/V8C00000003S107", "EN-002093047")</f>
        <v>EN-002093047</v>
      </c>
    </row>
    <row r="7363" spans="1:15" ht="32" x14ac:dyDescent="0.2">
      <c r="A7363" s="7" t="str">
        <f>HYPERLINK("https://otsuka-europe-crm.veevavault.com/ui/#object/account__v/V4TZ000006348TF", "JEANNY BELIZAIRE")</f>
        <v>JEANNY BELIZAIRE</v>
      </c>
      <c r="B7363" s="7" t="str">
        <f t="shared" si="624"/>
        <v>FR</v>
      </c>
      <c r="C7363" s="8" t="s">
        <v>42</v>
      </c>
      <c r="D7363" s="9" t="str">
        <f>HYPERLINK("https://otsuka-europe-crm.veevavault.com/ui/#object/approved_document__v/V5O00000000P003", "FR-AM2-2500027")</f>
        <v>FR-AM2-2500027</v>
      </c>
      <c r="E7363" s="10" t="str">
        <f>HYPERLINK("https://otsuka-europe-crm.veevavault.com/ui/#object/sent_email__v/VBL00000002R390", "SE-001434925")</f>
        <v>SE-001434925</v>
      </c>
      <c r="F7363" s="11"/>
      <c r="G7363" s="12">
        <v>0</v>
      </c>
      <c r="H7363" s="12">
        <v>0</v>
      </c>
      <c r="I7363" s="12">
        <v>0</v>
      </c>
      <c r="J7363" s="11"/>
      <c r="K7363" s="12">
        <v>0</v>
      </c>
      <c r="L7363" s="10" t="str">
        <f>HYPERLINK("https://otsuka-europe-crm.veevavault.com/ui/#object/approved_document__v/V5O00000000P003", "FR-AM2-2500027")</f>
        <v>FR-AM2-2500027</v>
      </c>
      <c r="M7363" s="10" t="str">
        <f t="shared" si="625"/>
        <v>ssaouab@crm.otsuka-europe.com</v>
      </c>
      <c r="N7363" s="13">
        <v>46182.612708333334</v>
      </c>
      <c r="O7363" s="14" t="str">
        <f>HYPERLINK("https://otsuka-europe-crm.veevavault.com/ui/#object/email_activity__v/V8C00000003R705", "EN-002093052")</f>
        <v>EN-002093052</v>
      </c>
    </row>
    <row r="7364" spans="1:15" ht="32" x14ac:dyDescent="0.2">
      <c r="A7364" s="7" t="str">
        <f>HYPERLINK("https://otsuka-europe-crm.veevavault.com/ui/#object/account__v/V4TZ000006348TF", "JEANNY BELIZAIRE")</f>
        <v>JEANNY BELIZAIRE</v>
      </c>
      <c r="B7364" s="7" t="str">
        <f t="shared" si="624"/>
        <v>FR</v>
      </c>
      <c r="C7364" s="8" t="s">
        <v>42</v>
      </c>
      <c r="D7364" s="9" t="str">
        <f>HYPERLINK("https://otsuka-europe-crm.veevavault.com/ui/#object/approved_document__v/V5O00000000P003", "FR-AM2-2500027")</f>
        <v>FR-AM2-2500027</v>
      </c>
      <c r="E7364" s="10" t="str">
        <f>HYPERLINK("https://otsuka-europe-crm.veevavault.com/ui/#object/sent_email__v/VBL00000002R391", "SE-001434926")</f>
        <v>SE-001434926</v>
      </c>
      <c r="F7364" s="11"/>
      <c r="G7364" s="12">
        <v>0</v>
      </c>
      <c r="H7364" s="12">
        <v>0</v>
      </c>
      <c r="I7364" s="12">
        <v>0</v>
      </c>
      <c r="J7364" s="11"/>
      <c r="K7364" s="12">
        <v>0</v>
      </c>
      <c r="L7364" s="10" t="str">
        <f>HYPERLINK("https://otsuka-europe-crm.veevavault.com/ui/#object/approved_document__v/V5O00000000P003", "FR-AM2-2500027")</f>
        <v>FR-AM2-2500027</v>
      </c>
      <c r="M7364" s="10" t="str">
        <f t="shared" si="625"/>
        <v>ssaouab@crm.otsuka-europe.com</v>
      </c>
      <c r="N7364" s="13">
        <v>46182.612812500003</v>
      </c>
      <c r="O7364" s="14" t="str">
        <f>HYPERLINK("https://otsuka-europe-crm.veevavault.com/ui/#object/email_activity__v/V8C00000003S111", "EN-002093053")</f>
        <v>EN-002093053</v>
      </c>
    </row>
    <row r="7365" spans="1:15" ht="48" x14ac:dyDescent="0.2">
      <c r="A7365" s="7" t="str">
        <f>HYPERLINK("https://otsuka-europe-crm.veevavault.com/ui/#object/account__v/V4TZ00000633N1T", "ANNE LAURE BELLIARD")</f>
        <v>ANNE LAURE BELLIARD</v>
      </c>
      <c r="B7365" s="7" t="str">
        <f t="shared" si="624"/>
        <v>FR</v>
      </c>
      <c r="C7365" s="8" t="s">
        <v>42</v>
      </c>
      <c r="D7365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365" s="10" t="str">
        <f>HYPERLINK("https://otsuka-europe-crm.veevavault.com/ui/#object/sent_email__v/VBL00000002S487", "SE-001434927")</f>
        <v>SE-001434927</v>
      </c>
      <c r="F7365" s="11"/>
      <c r="G7365" s="12">
        <v>0</v>
      </c>
      <c r="H7365" s="12">
        <v>0</v>
      </c>
      <c r="I7365" s="12">
        <v>0</v>
      </c>
      <c r="J7365" s="11"/>
      <c r="K7365" s="12">
        <v>0</v>
      </c>
      <c r="L7365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365" s="10" t="str">
        <f t="shared" si="625"/>
        <v>ssaouab@crm.otsuka-europe.com</v>
      </c>
      <c r="N7365" s="13">
        <v>46182.613067129627</v>
      </c>
      <c r="O7365" s="14" t="str">
        <f>HYPERLINK("https://otsuka-europe-crm.veevavault.com/ui/#object/email_activity__v/V8C00000003S112", "EN-002093054")</f>
        <v>EN-002093054</v>
      </c>
    </row>
    <row r="7366" spans="1:15" ht="32" x14ac:dyDescent="0.2">
      <c r="A7366" s="7" t="str">
        <f>HYPERLINK("https://otsuka-europe-crm.veevavault.com/ui/#object/account__v/V4TZ00000633N1T", "ANNE LAURE BELLIARD")</f>
        <v>ANNE LAURE BELLIARD</v>
      </c>
      <c r="B7366" s="7" t="str">
        <f t="shared" si="624"/>
        <v>FR</v>
      </c>
      <c r="C7366" s="8" t="s">
        <v>42</v>
      </c>
      <c r="D7366" s="9" t="str">
        <f>HYPERLINK("https://otsuka-europe-crm.veevavault.com/ui/#object/approved_document__v/V5O00000000P003", "FR-AM2-2500027")</f>
        <v>FR-AM2-2500027</v>
      </c>
      <c r="E7366" s="10" t="str">
        <f>HYPERLINK("https://otsuka-europe-crm.veevavault.com/ui/#object/sent_email__v/VBL00000002R392", "SE-001434928")</f>
        <v>SE-001434928</v>
      </c>
      <c r="F7366" s="11"/>
      <c r="G7366" s="12">
        <v>0</v>
      </c>
      <c r="H7366" s="12">
        <v>0</v>
      </c>
      <c r="I7366" s="12">
        <v>0</v>
      </c>
      <c r="J7366" s="11"/>
      <c r="K7366" s="12">
        <v>0</v>
      </c>
      <c r="L7366" s="10" t="str">
        <f>HYPERLINK("https://otsuka-europe-crm.veevavault.com/ui/#object/approved_document__v/V5O00000000P003", "FR-AM2-2500027")</f>
        <v>FR-AM2-2500027</v>
      </c>
      <c r="M7366" s="10" t="str">
        <f t="shared" si="625"/>
        <v>ssaouab@crm.otsuka-europe.com</v>
      </c>
      <c r="N7366" s="13">
        <v>46182.613182870373</v>
      </c>
      <c r="O7366" s="14" t="str">
        <f>HYPERLINK("https://otsuka-europe-crm.veevavault.com/ui/#object/email_activity__v/V8C00000003R706", "EN-002093055")</f>
        <v>EN-002093055</v>
      </c>
    </row>
    <row r="7367" spans="1:15" ht="16" x14ac:dyDescent="0.2">
      <c r="A7367" s="17" t="str">
        <f>HYPERLINK("https://otsuka-europe-crm.veevavault.com/ui/#object/account__v/V4TZ00000633N3J", "MOUH OU RAMDANE BELLIL")</f>
        <v>MOUH OU RAMDANE BELLIL</v>
      </c>
      <c r="B7367" s="17" t="str">
        <f t="shared" si="624"/>
        <v>FR</v>
      </c>
      <c r="C7367" s="20" t="s">
        <v>42</v>
      </c>
      <c r="D7367" s="21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367" s="22" t="str">
        <f>HYPERLINK("https://otsuka-europe-crm.veevavault.com/ui/#object/sent_email__v/VBL00000002S488", "SE-001434929")</f>
        <v>SE-001434929</v>
      </c>
      <c r="F7367" s="25"/>
      <c r="G7367" s="24">
        <v>0</v>
      </c>
      <c r="H7367" s="24">
        <v>0</v>
      </c>
      <c r="I7367" s="24">
        <v>0</v>
      </c>
      <c r="J7367" s="25"/>
      <c r="K7367" s="24">
        <v>0</v>
      </c>
      <c r="L7367" s="22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367" s="22" t="str">
        <f t="shared" si="625"/>
        <v>ssaouab@crm.otsuka-europe.com</v>
      </c>
      <c r="N7367" s="23">
        <v>46182.613425925927</v>
      </c>
      <c r="O7367" s="14" t="str">
        <f>HYPERLINK("https://otsuka-europe-crm.veevavault.com/ui/#object/email_activity__v/V8C00000003R710", "EN-002093059")</f>
        <v>EN-002093059</v>
      </c>
    </row>
    <row r="7368" spans="1:15" ht="16" x14ac:dyDescent="0.2">
      <c r="A7368" s="19"/>
      <c r="B7368" s="19"/>
      <c r="C7368" s="19"/>
      <c r="D7368" s="19"/>
      <c r="E7368" s="19"/>
      <c r="F7368" s="19"/>
      <c r="G7368" s="19"/>
      <c r="H7368" s="19"/>
      <c r="I7368" s="19"/>
      <c r="J7368" s="19"/>
      <c r="K7368" s="19"/>
      <c r="L7368" s="19"/>
      <c r="M7368" s="19"/>
      <c r="N7368" s="19"/>
      <c r="O7368" s="14" t="str">
        <f>HYPERLINK("https://otsuka-europe-crm.veevavault.com/ui/#object/email_activity__v/V8C00000003R818", "EN-002093230")</f>
        <v>EN-002093230</v>
      </c>
    </row>
    <row r="7369" spans="1:15" ht="16" x14ac:dyDescent="0.2">
      <c r="A7369" s="17" t="str">
        <f>HYPERLINK("https://otsuka-europe-crm.veevavault.com/ui/#object/account__v/V4TZ00000633N3J", "MOUH OU RAMDANE BELLIL")</f>
        <v>MOUH OU RAMDANE BELLIL</v>
      </c>
      <c r="B7369" s="17" t="str">
        <f>HYPERLINK("https://otsuka-europe-crm.veevavault.com/ui/#object/vcountry__v/VENZ000004SONFA", "FR")</f>
        <v>FR</v>
      </c>
      <c r="C7369" s="20" t="s">
        <v>42</v>
      </c>
      <c r="D7369" s="21" t="str">
        <f>HYPERLINK("https://otsuka-europe-crm.veevavault.com/ui/#object/approved_document__v/V5O00000000P003", "FR-AM2-2500027")</f>
        <v>FR-AM2-2500027</v>
      </c>
      <c r="E7369" s="22" t="str">
        <f>HYPERLINK("https://otsuka-europe-crm.veevavault.com/ui/#object/sent_email__v/VBL00000002R393", "SE-001434930")</f>
        <v>SE-001434930</v>
      </c>
      <c r="F7369" s="25"/>
      <c r="G7369" s="24">
        <v>0</v>
      </c>
      <c r="H7369" s="24">
        <v>0</v>
      </c>
      <c r="I7369" s="24">
        <v>0</v>
      </c>
      <c r="J7369" s="25"/>
      <c r="K7369" s="24">
        <v>0</v>
      </c>
      <c r="L7369" s="22" t="str">
        <f>HYPERLINK("https://otsuka-europe-crm.veevavault.com/ui/#object/approved_document__v/V5O00000000P003", "FR-AM2-2500027")</f>
        <v>FR-AM2-2500027</v>
      </c>
      <c r="M7369" s="22" t="str">
        <f>HYPERLINK("mailto:ssaouab@crm.otsuka-europe.com", "ssaouab@crm.otsuka-europe.com")</f>
        <v>ssaouab@crm.otsuka-europe.com</v>
      </c>
      <c r="N7369" s="23">
        <v>46182.613449074073</v>
      </c>
      <c r="O7369" s="14" t="str">
        <f>HYPERLINK("https://otsuka-europe-crm.veevavault.com/ui/#object/email_activity__v/V8C00000003R709", "EN-002093058")</f>
        <v>EN-002093058</v>
      </c>
    </row>
    <row r="7370" spans="1:15" ht="16" x14ac:dyDescent="0.2">
      <c r="A7370" s="19"/>
      <c r="B7370" s="19"/>
      <c r="C7370" s="19"/>
      <c r="D7370" s="19"/>
      <c r="E7370" s="19"/>
      <c r="F7370" s="19"/>
      <c r="G7370" s="19"/>
      <c r="H7370" s="19"/>
      <c r="I7370" s="19"/>
      <c r="J7370" s="19"/>
      <c r="K7370" s="19"/>
      <c r="L7370" s="19"/>
      <c r="M7370" s="19"/>
      <c r="N7370" s="19"/>
      <c r="O7370" s="14" t="str">
        <f>HYPERLINK("https://otsuka-europe-crm.veevavault.com/ui/#object/email_activity__v/V8C00000003S177", "EN-002093231")</f>
        <v>EN-002093231</v>
      </c>
    </row>
    <row r="7371" spans="1:15" ht="16" x14ac:dyDescent="0.2">
      <c r="A7371" s="17" t="str">
        <f>HYPERLINK("https://otsuka-europe-crm.veevavault.com/ui/#object/account__v/V4TZ00000633MBR", "AVICENNE BELLIS")</f>
        <v>AVICENNE BELLIS</v>
      </c>
      <c r="B7371" s="17" t="str">
        <f>HYPERLINK("https://otsuka-europe-crm.veevavault.com/ui/#object/vcountry__v/VENZ000004SONFA", "FR")</f>
        <v>FR</v>
      </c>
      <c r="C7371" s="20" t="s">
        <v>42</v>
      </c>
      <c r="D7371" s="21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371" s="22" t="str">
        <f>HYPERLINK("https://otsuka-europe-crm.veevavault.com/ui/#object/sent_email__v/VBL00000002R394", "SE-001434931")</f>
        <v>SE-001434931</v>
      </c>
      <c r="F7371" s="25"/>
      <c r="G7371" s="24">
        <v>0</v>
      </c>
      <c r="H7371" s="24">
        <v>0</v>
      </c>
      <c r="I7371" s="24">
        <v>0</v>
      </c>
      <c r="J7371" s="25"/>
      <c r="K7371" s="24">
        <v>0</v>
      </c>
      <c r="L7371" s="22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371" s="22" t="str">
        <f>HYPERLINK("mailto:ssaouab@crm.otsuka-europe.com", "ssaouab@crm.otsuka-europe.com")</f>
        <v>ssaouab@crm.otsuka-europe.com</v>
      </c>
      <c r="N7371" s="23">
        <v>46182.613749999997</v>
      </c>
      <c r="O7371" s="14" t="str">
        <f>HYPERLINK("https://otsuka-europe-crm.veevavault.com/ui/#object/email_activity__v/V8C00000003R711", "EN-002093060")</f>
        <v>EN-002093060</v>
      </c>
    </row>
    <row r="7372" spans="1:15" ht="16" x14ac:dyDescent="0.2">
      <c r="A7372" s="18"/>
      <c r="B7372" s="18"/>
      <c r="C7372" s="18"/>
      <c r="D7372" s="18"/>
      <c r="E7372" s="18"/>
      <c r="F7372" s="18"/>
      <c r="G7372" s="18"/>
      <c r="H7372" s="18"/>
      <c r="I7372" s="18"/>
      <c r="J7372" s="18"/>
      <c r="K7372" s="18"/>
      <c r="L7372" s="18"/>
      <c r="M7372" s="18"/>
      <c r="N7372" s="18"/>
      <c r="O7372" s="14" t="str">
        <f>HYPERLINK("https://otsuka-europe-crm.veevavault.com/ui/#object/email_activity__v/V8C00000003S121", "EN-002093117")</f>
        <v>EN-002093117</v>
      </c>
    </row>
    <row r="7373" spans="1:15" ht="16" x14ac:dyDescent="0.2">
      <c r="A7373" s="19"/>
      <c r="B7373" s="19"/>
      <c r="C7373" s="19"/>
      <c r="D7373" s="19"/>
      <c r="E7373" s="19"/>
      <c r="F7373" s="19"/>
      <c r="G7373" s="19"/>
      <c r="H7373" s="19"/>
      <c r="I7373" s="19"/>
      <c r="J7373" s="19"/>
      <c r="K7373" s="19"/>
      <c r="L7373" s="19"/>
      <c r="M7373" s="19"/>
      <c r="N7373" s="19"/>
      <c r="O7373" s="14" t="str">
        <f>HYPERLINK("https://otsuka-europe-crm.veevavault.com/ui/#object/email_activity__v/V8C00000003V003", "EN-002094828")</f>
        <v>EN-002094828</v>
      </c>
    </row>
    <row r="7374" spans="1:15" ht="16" x14ac:dyDescent="0.2">
      <c r="A7374" s="17" t="str">
        <f>HYPERLINK("https://otsuka-europe-crm.veevavault.com/ui/#object/account__v/V4TZ00000633MBR", "AVICENNE BELLIS")</f>
        <v>AVICENNE BELLIS</v>
      </c>
      <c r="B7374" s="17" t="str">
        <f>HYPERLINK("https://otsuka-europe-crm.veevavault.com/ui/#object/vcountry__v/VENZ000004SONFA", "FR")</f>
        <v>FR</v>
      </c>
      <c r="C7374" s="20" t="s">
        <v>42</v>
      </c>
      <c r="D7374" s="21" t="str">
        <f>HYPERLINK("https://otsuka-europe-crm.veevavault.com/ui/#object/approved_document__v/V5O00000000P003", "FR-AM2-2500027")</f>
        <v>FR-AM2-2500027</v>
      </c>
      <c r="E7374" s="22" t="str">
        <f>HYPERLINK("https://otsuka-europe-crm.veevavault.com/ui/#object/sent_email__v/VBL00000002S489", "SE-001434932")</f>
        <v>SE-001434932</v>
      </c>
      <c r="F7374" s="25"/>
      <c r="G7374" s="24">
        <v>0</v>
      </c>
      <c r="H7374" s="24">
        <v>0</v>
      </c>
      <c r="I7374" s="24">
        <v>0</v>
      </c>
      <c r="J7374" s="25"/>
      <c r="K7374" s="24">
        <v>0</v>
      </c>
      <c r="L7374" s="22" t="str">
        <f>HYPERLINK("https://otsuka-europe-crm.veevavault.com/ui/#object/approved_document__v/V5O00000000P003", "FR-AM2-2500027")</f>
        <v>FR-AM2-2500027</v>
      </c>
      <c r="M7374" s="22" t="str">
        <f>HYPERLINK("mailto:ssaouab@crm.otsuka-europe.com", "ssaouab@crm.otsuka-europe.com")</f>
        <v>ssaouab@crm.otsuka-europe.com</v>
      </c>
      <c r="N7374" s="23">
        <v>46182.613865740743</v>
      </c>
      <c r="O7374" s="14" t="str">
        <f>HYPERLINK("https://otsuka-europe-crm.veevavault.com/ui/#object/email_activity__v/V8C00000003R712", "EN-002093061")</f>
        <v>EN-002093061</v>
      </c>
    </row>
    <row r="7375" spans="1:15" ht="16" x14ac:dyDescent="0.2">
      <c r="A7375" s="18"/>
      <c r="B7375" s="18"/>
      <c r="C7375" s="18"/>
      <c r="D7375" s="18"/>
      <c r="E7375" s="18"/>
      <c r="F7375" s="18"/>
      <c r="G7375" s="18"/>
      <c r="H7375" s="18"/>
      <c r="I7375" s="18"/>
      <c r="J7375" s="18"/>
      <c r="K7375" s="18"/>
      <c r="L7375" s="18"/>
      <c r="M7375" s="18"/>
      <c r="N7375" s="18"/>
      <c r="O7375" s="14" t="str">
        <f>HYPERLINK("https://otsuka-europe-crm.veevavault.com/ui/#object/email_activity__v/V8C00000003S427", "EN-002093762")</f>
        <v>EN-002093762</v>
      </c>
    </row>
    <row r="7376" spans="1:15" ht="16" x14ac:dyDescent="0.2">
      <c r="A7376" s="19"/>
      <c r="B7376" s="19"/>
      <c r="C7376" s="19"/>
      <c r="D7376" s="19"/>
      <c r="E7376" s="19"/>
      <c r="F7376" s="19"/>
      <c r="G7376" s="19"/>
      <c r="H7376" s="19"/>
      <c r="I7376" s="19"/>
      <c r="J7376" s="19"/>
      <c r="K7376" s="19"/>
      <c r="L7376" s="19"/>
      <c r="M7376" s="19"/>
      <c r="N7376" s="19"/>
      <c r="O7376" s="14" t="str">
        <f>HYPERLINK("https://otsuka-europe-crm.veevavault.com/ui/#object/email_activity__v/V8C00000003V002", "EN-002094827")</f>
        <v>EN-002094827</v>
      </c>
    </row>
    <row r="7377" spans="1:15" ht="48" x14ac:dyDescent="0.2">
      <c r="A7377" s="7" t="str">
        <f>HYPERLINK("https://otsuka-europe-crm.veevavault.com/ui/#object/account__v/V4TZ00000633KAZ", "SELMA BEN YOUNES")</f>
        <v>SELMA BEN YOUNES</v>
      </c>
      <c r="B7377" s="7" t="str">
        <f t="shared" ref="B7377:B7382" si="626">HYPERLINK("https://otsuka-europe-crm.veevavault.com/ui/#object/vcountry__v/VENZ000004SONFA", "FR")</f>
        <v>FR</v>
      </c>
      <c r="C7377" s="8" t="s">
        <v>42</v>
      </c>
      <c r="D7377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377" s="10" t="str">
        <f>HYPERLINK("https://otsuka-europe-crm.veevavault.com/ui/#object/sent_email__v/VBL00000002R395", "SE-001434933")</f>
        <v>SE-001434933</v>
      </c>
      <c r="F7377" s="11"/>
      <c r="G7377" s="12">
        <v>0</v>
      </c>
      <c r="H7377" s="12">
        <v>0</v>
      </c>
      <c r="I7377" s="12">
        <v>0</v>
      </c>
      <c r="J7377" s="11"/>
      <c r="K7377" s="12">
        <v>0</v>
      </c>
      <c r="L7377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377" s="10" t="str">
        <f t="shared" ref="M7377:M7382" si="627">HYPERLINK("mailto:ssaouab@crm.otsuka-europe.com", "ssaouab@crm.otsuka-europe.com")</f>
        <v>ssaouab@crm.otsuka-europe.com</v>
      </c>
      <c r="N7377" s="13">
        <v>46182.614618055559</v>
      </c>
      <c r="O7377" s="14" t="str">
        <f>HYPERLINK("https://otsuka-europe-crm.veevavault.com/ui/#object/email_activity__v/V8C00000003R715", "EN-002093064")</f>
        <v>EN-002093064</v>
      </c>
    </row>
    <row r="7378" spans="1:15" ht="32" x14ac:dyDescent="0.2">
      <c r="A7378" s="7" t="str">
        <f>HYPERLINK("https://otsuka-europe-crm.veevavault.com/ui/#object/account__v/V4TZ00000633KAZ", "SELMA BEN YOUNES")</f>
        <v>SELMA BEN YOUNES</v>
      </c>
      <c r="B7378" s="7" t="str">
        <f t="shared" si="626"/>
        <v>FR</v>
      </c>
      <c r="C7378" s="8" t="s">
        <v>42</v>
      </c>
      <c r="D7378" s="9" t="str">
        <f>HYPERLINK("https://otsuka-europe-crm.veevavault.com/ui/#object/approved_document__v/V5O00000000P003", "FR-AM2-2500027")</f>
        <v>FR-AM2-2500027</v>
      </c>
      <c r="E7378" s="10" t="str">
        <f>HYPERLINK("https://otsuka-europe-crm.veevavault.com/ui/#object/sent_email__v/VBL00000002R396", "SE-001434934")</f>
        <v>SE-001434934</v>
      </c>
      <c r="F7378" s="11"/>
      <c r="G7378" s="12">
        <v>0</v>
      </c>
      <c r="H7378" s="12">
        <v>0</v>
      </c>
      <c r="I7378" s="12">
        <v>0</v>
      </c>
      <c r="J7378" s="11"/>
      <c r="K7378" s="12">
        <v>0</v>
      </c>
      <c r="L7378" s="10" t="str">
        <f>HYPERLINK("https://otsuka-europe-crm.veevavault.com/ui/#object/approved_document__v/V5O00000000P003", "FR-AM2-2500027")</f>
        <v>FR-AM2-2500027</v>
      </c>
      <c r="M7378" s="10" t="str">
        <f t="shared" si="627"/>
        <v>ssaouab@crm.otsuka-europe.com</v>
      </c>
      <c r="N7378" s="13">
        <v>46182.614745370367</v>
      </c>
      <c r="O7378" s="14" t="str">
        <f>HYPERLINK("https://otsuka-europe-crm.veevavault.com/ui/#object/email_activity__v/V8C00000003R716", "EN-002093065")</f>
        <v>EN-002093065</v>
      </c>
    </row>
    <row r="7379" spans="1:15" ht="48" x14ac:dyDescent="0.2">
      <c r="A7379" s="7" t="str">
        <f>HYPERLINK("https://otsuka-europe-crm.veevavault.com/ui/#object/account__v/V4TZ00000633N5C", "RENE BENADHIRA")</f>
        <v>RENE BENADHIRA</v>
      </c>
      <c r="B7379" s="7" t="str">
        <f t="shared" si="626"/>
        <v>FR</v>
      </c>
      <c r="C7379" s="8" t="s">
        <v>42</v>
      </c>
      <c r="D7379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379" s="10" t="str">
        <f>HYPERLINK("https://otsuka-europe-crm.veevavault.com/ui/#object/sent_email__v/VBL00000002S490", "SE-001434935")</f>
        <v>SE-001434935</v>
      </c>
      <c r="F7379" s="11"/>
      <c r="G7379" s="12">
        <v>0</v>
      </c>
      <c r="H7379" s="12">
        <v>0</v>
      </c>
      <c r="I7379" s="12">
        <v>0</v>
      </c>
      <c r="J7379" s="11"/>
      <c r="K7379" s="12">
        <v>0</v>
      </c>
      <c r="L7379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379" s="10" t="str">
        <f t="shared" si="627"/>
        <v>ssaouab@crm.otsuka-europe.com</v>
      </c>
      <c r="N7379" s="13">
        <v>46182.614999999998</v>
      </c>
      <c r="O7379" s="14" t="str">
        <f>HYPERLINK("https://otsuka-europe-crm.veevavault.com/ui/#object/email_activity__v/V8C00000003R717", "EN-002093066")</f>
        <v>EN-002093066</v>
      </c>
    </row>
    <row r="7380" spans="1:15" ht="32" x14ac:dyDescent="0.2">
      <c r="A7380" s="7" t="str">
        <f>HYPERLINK("https://otsuka-europe-crm.veevavault.com/ui/#object/account__v/V4TZ00000633N5C", "RENE BENADHIRA")</f>
        <v>RENE BENADHIRA</v>
      </c>
      <c r="B7380" s="7" t="str">
        <f t="shared" si="626"/>
        <v>FR</v>
      </c>
      <c r="C7380" s="8" t="s">
        <v>42</v>
      </c>
      <c r="D7380" s="9" t="str">
        <f>HYPERLINK("https://otsuka-europe-crm.veevavault.com/ui/#object/approved_document__v/V5O00000000P003", "FR-AM2-2500027")</f>
        <v>FR-AM2-2500027</v>
      </c>
      <c r="E7380" s="10" t="str">
        <f>HYPERLINK("https://otsuka-europe-crm.veevavault.com/ui/#object/sent_email__v/VBL00000002S491", "SE-001434936")</f>
        <v>SE-001434936</v>
      </c>
      <c r="F7380" s="11"/>
      <c r="G7380" s="12">
        <v>0</v>
      </c>
      <c r="H7380" s="12">
        <v>0</v>
      </c>
      <c r="I7380" s="12">
        <v>0</v>
      </c>
      <c r="J7380" s="11"/>
      <c r="K7380" s="12">
        <v>0</v>
      </c>
      <c r="L7380" s="10" t="str">
        <f>HYPERLINK("https://otsuka-europe-crm.veevavault.com/ui/#object/approved_document__v/V5O00000000P003", "FR-AM2-2500027")</f>
        <v>FR-AM2-2500027</v>
      </c>
      <c r="M7380" s="10" t="str">
        <f t="shared" si="627"/>
        <v>ssaouab@crm.otsuka-europe.com</v>
      </c>
      <c r="N7380" s="13">
        <v>46182.614999999998</v>
      </c>
      <c r="O7380" s="14" t="str">
        <f>HYPERLINK("https://otsuka-europe-crm.veevavault.com/ui/#object/email_activity__v/V8C00000003R718", "EN-002093067")</f>
        <v>EN-002093067</v>
      </c>
    </row>
    <row r="7381" spans="1:15" ht="48" x14ac:dyDescent="0.2">
      <c r="A7381" s="7" t="str">
        <f>HYPERLINK("https://otsuka-europe-crm.veevavault.com/ui/#object/account__v/V4TZ00000633JDX", "FARID BENALI")</f>
        <v>FARID BENALI</v>
      </c>
      <c r="B7381" s="7" t="str">
        <f t="shared" si="626"/>
        <v>FR</v>
      </c>
      <c r="C7381" s="8" t="s">
        <v>42</v>
      </c>
      <c r="D7381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381" s="10" t="str">
        <f>HYPERLINK("https://otsuka-europe-crm.veevavault.com/ui/#object/sent_email__v/VBL00000002R397", "SE-001434937")</f>
        <v>SE-001434937</v>
      </c>
      <c r="F7381" s="11"/>
      <c r="G7381" s="12">
        <v>0</v>
      </c>
      <c r="H7381" s="12">
        <v>0</v>
      </c>
      <c r="I7381" s="12">
        <v>0</v>
      </c>
      <c r="J7381" s="11"/>
      <c r="K7381" s="12">
        <v>0</v>
      </c>
      <c r="L7381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381" s="10" t="str">
        <f t="shared" si="627"/>
        <v>ssaouab@crm.otsuka-europe.com</v>
      </c>
      <c r="N7381" s="13">
        <v>46182.615856481483</v>
      </c>
      <c r="O7381" s="14" t="str">
        <f>HYPERLINK("https://otsuka-europe-crm.veevavault.com/ui/#object/email_activity__v/V8C00000003R724", "EN-002093073")</f>
        <v>EN-002093073</v>
      </c>
    </row>
    <row r="7382" spans="1:15" ht="32" x14ac:dyDescent="0.2">
      <c r="A7382" s="7" t="str">
        <f>HYPERLINK("https://otsuka-europe-crm.veevavault.com/ui/#object/account__v/V4TZ00000633JDX", "FARID BENALI")</f>
        <v>FARID BENALI</v>
      </c>
      <c r="B7382" s="7" t="str">
        <f t="shared" si="626"/>
        <v>FR</v>
      </c>
      <c r="C7382" s="8" t="s">
        <v>42</v>
      </c>
      <c r="D7382" s="9" t="str">
        <f>HYPERLINK("https://otsuka-europe-crm.veevavault.com/ui/#object/approved_document__v/V5O00000000P003", "FR-AM2-2500027")</f>
        <v>FR-AM2-2500027</v>
      </c>
      <c r="E7382" s="10" t="str">
        <f>HYPERLINK("https://otsuka-europe-crm.veevavault.com/ui/#object/sent_email__v/VBL00000002R398", "SE-001434938")</f>
        <v>SE-001434938</v>
      </c>
      <c r="F7382" s="11"/>
      <c r="G7382" s="12">
        <v>0</v>
      </c>
      <c r="H7382" s="12">
        <v>0</v>
      </c>
      <c r="I7382" s="12">
        <v>0</v>
      </c>
      <c r="J7382" s="11"/>
      <c r="K7382" s="12">
        <v>0</v>
      </c>
      <c r="L7382" s="10" t="str">
        <f>HYPERLINK("https://otsuka-europe-crm.veevavault.com/ui/#object/approved_document__v/V5O00000000P003", "FR-AM2-2500027")</f>
        <v>FR-AM2-2500027</v>
      </c>
      <c r="M7382" s="10" t="str">
        <f t="shared" si="627"/>
        <v>ssaouab@crm.otsuka-europe.com</v>
      </c>
      <c r="N7382" s="13">
        <v>46182.615972222222</v>
      </c>
      <c r="O7382" s="14" t="str">
        <f>HYPERLINK("https://otsuka-europe-crm.veevavault.com/ui/#object/email_activity__v/V8C00000003R725", "EN-002093074")</f>
        <v>EN-002093074</v>
      </c>
    </row>
    <row r="7383" spans="1:15" ht="32" x14ac:dyDescent="0.2">
      <c r="A7383" s="7" t="str">
        <f>HYPERLINK("https://otsuka-europe-crm.veevavault.com/ui/#object/account__v/V4TZ0000062PCTK", "Thirunavukkarasu Aravinth")</f>
        <v>Thirunavukkarasu Aravinth</v>
      </c>
      <c r="B7383" s="7" t="str">
        <f>HYPERLINK("https://otsuka-europe-crm.veevavault.com/ui/#object/vcountry__v/VENZ000004SONFK", "GB")</f>
        <v>GB</v>
      </c>
      <c r="C7383" s="8" t="s">
        <v>39</v>
      </c>
      <c r="D7383" s="9" t="str">
        <f>HYPERLINK("https://otsuka-europe-crm.veevavault.com/ui/#object/approved_document__v/V5OZ025E82TSZBI", "Aripiprazole 960mg Fragment VAE")</f>
        <v>Aripiprazole 960mg Fragment VAE</v>
      </c>
      <c r="E7383" s="10" t="str">
        <f>HYPERLINK("https://otsuka-europe-crm.veevavault.com/ui/#object/sent_email__v/VBL00000002R399", "SE-001434939")</f>
        <v>SE-001434939</v>
      </c>
      <c r="F7383" s="11"/>
      <c r="G7383" s="12">
        <v>0</v>
      </c>
      <c r="H7383" s="12">
        <v>0</v>
      </c>
      <c r="I7383" s="12">
        <v>0</v>
      </c>
      <c r="J7383" s="11"/>
      <c r="K7383" s="12">
        <v>0</v>
      </c>
      <c r="L7383" s="10" t="str">
        <f>HYPERLINK("https://otsuka-europe-crm.veevavault.com/ui/#object/approved_document__v/V5OZ025E82TSZBI", "Aripiprazole 960mg Fragment VAE")</f>
        <v>Aripiprazole 960mg Fragment VAE</v>
      </c>
      <c r="M7383" s="10" t="str">
        <f>HYPERLINK("mailto:sfinnigan@crm.otsuka-europe.com", "sfinnigan@crm.otsuka-europe.com")</f>
        <v>sfinnigan@crm.otsuka-europe.com</v>
      </c>
      <c r="N7383" s="13">
        <v>46182.6169212963</v>
      </c>
      <c r="O7383" s="14" t="str">
        <f>HYPERLINK("https://otsuka-europe-crm.veevavault.com/ui/#object/email_activity__v/V8C00000003R732", "EN-002093081")</f>
        <v>EN-002093081</v>
      </c>
    </row>
    <row r="7384" spans="1:15" ht="48" x14ac:dyDescent="0.2">
      <c r="A7384" s="7" t="str">
        <f>HYPERLINK("https://otsuka-europe-crm.veevavault.com/ui/#object/account__v/V4TZ00000633N5L", "FARID BENARBIA")</f>
        <v>FARID BENARBIA</v>
      </c>
      <c r="B7384" s="7" t="str">
        <f>HYPERLINK("https://otsuka-europe-crm.veevavault.com/ui/#object/vcountry__v/VENZ000004SONFA", "FR")</f>
        <v>FR</v>
      </c>
      <c r="C7384" s="8" t="s">
        <v>42</v>
      </c>
      <c r="D7384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384" s="10" t="str">
        <f>HYPERLINK("https://otsuka-europe-crm.veevavault.com/ui/#object/sent_email__v/VBL00000002R400", "SE-001434940")</f>
        <v>SE-001434940</v>
      </c>
      <c r="F7384" s="11"/>
      <c r="G7384" s="12">
        <v>0</v>
      </c>
      <c r="H7384" s="12">
        <v>0</v>
      </c>
      <c r="I7384" s="12">
        <v>0</v>
      </c>
      <c r="J7384" s="11"/>
      <c r="K7384" s="12">
        <v>0</v>
      </c>
      <c r="L7384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384" s="10" t="str">
        <f>HYPERLINK("mailto:ssaouab@crm.otsuka-europe.com", "ssaouab@crm.otsuka-europe.com")</f>
        <v>ssaouab@crm.otsuka-europe.com</v>
      </c>
      <c r="N7384" s="13">
        <v>46182.6172337963</v>
      </c>
      <c r="O7384" s="14" t="str">
        <f>HYPERLINK("https://otsuka-europe-crm.veevavault.com/ui/#object/email_activity__v/V8C00000003R733", "EN-002093082")</f>
        <v>EN-002093082</v>
      </c>
    </row>
    <row r="7385" spans="1:15" ht="32" x14ac:dyDescent="0.2">
      <c r="A7385" s="7" t="str">
        <f>HYPERLINK("https://otsuka-europe-crm.veevavault.com/ui/#object/account__v/V4TZ00000633N5L", "FARID BENARBIA")</f>
        <v>FARID BENARBIA</v>
      </c>
      <c r="B7385" s="7" t="str">
        <f>HYPERLINK("https://otsuka-europe-crm.veevavault.com/ui/#object/vcountry__v/VENZ000004SONFA", "FR")</f>
        <v>FR</v>
      </c>
      <c r="C7385" s="8" t="s">
        <v>42</v>
      </c>
      <c r="D7385" s="9" t="str">
        <f>HYPERLINK("https://otsuka-europe-crm.veevavault.com/ui/#object/approved_document__v/V5O00000000P003", "FR-AM2-2500027")</f>
        <v>FR-AM2-2500027</v>
      </c>
      <c r="E7385" s="10" t="str">
        <f>HYPERLINK("https://otsuka-europe-crm.veevavault.com/ui/#object/sent_email__v/VBL00000002R401", "SE-001434941")</f>
        <v>SE-001434941</v>
      </c>
      <c r="F7385" s="11"/>
      <c r="G7385" s="12">
        <v>0</v>
      </c>
      <c r="H7385" s="12">
        <v>0</v>
      </c>
      <c r="I7385" s="12">
        <v>0</v>
      </c>
      <c r="J7385" s="11"/>
      <c r="K7385" s="12">
        <v>0</v>
      </c>
      <c r="L7385" s="10" t="str">
        <f>HYPERLINK("https://otsuka-europe-crm.veevavault.com/ui/#object/approved_document__v/V5O00000000P003", "FR-AM2-2500027")</f>
        <v>FR-AM2-2500027</v>
      </c>
      <c r="M7385" s="10" t="str">
        <f>HYPERLINK("mailto:ssaouab@crm.otsuka-europe.com", "ssaouab@crm.otsuka-europe.com")</f>
        <v>ssaouab@crm.otsuka-europe.com</v>
      </c>
      <c r="N7385" s="13">
        <v>46182.6172337963</v>
      </c>
      <c r="O7385" s="14" t="str">
        <f>HYPERLINK("https://otsuka-europe-crm.veevavault.com/ui/#object/email_activity__v/V8C00000003R734", "EN-002093083")</f>
        <v>EN-002093083</v>
      </c>
    </row>
    <row r="7386" spans="1:15" ht="32" x14ac:dyDescent="0.2">
      <c r="A7386" s="7" t="str">
        <f>HYPERLINK("https://otsuka-europe-crm.veevavault.com/ui/#object/account__v/V4TZ0000062PBRY", "Gulam Arbab Tafti")</f>
        <v>Gulam Arbab Tafti</v>
      </c>
      <c r="B7386" s="7" t="str">
        <f>HYPERLINK("https://otsuka-europe-crm.veevavault.com/ui/#object/vcountry__v/VENZ000004SONFK", "GB")</f>
        <v>GB</v>
      </c>
      <c r="C7386" s="8" t="s">
        <v>39</v>
      </c>
      <c r="D7386" s="9" t="str">
        <f>HYPERLINK("https://otsuka-europe-crm.veevavault.com/ui/#object/approved_document__v/V5OZ025E82TSZBI", "Aripiprazole 960mg Fragment VAE")</f>
        <v>Aripiprazole 960mg Fragment VAE</v>
      </c>
      <c r="E7386" s="10" t="str">
        <f>HYPERLINK("https://otsuka-europe-crm.veevavault.com/ui/#object/sent_email__v/VBL00000002S492", "SE-001434942")</f>
        <v>SE-001434942</v>
      </c>
      <c r="F7386" s="11"/>
      <c r="G7386" s="12">
        <v>0</v>
      </c>
      <c r="H7386" s="12">
        <v>0</v>
      </c>
      <c r="I7386" s="12">
        <v>0</v>
      </c>
      <c r="J7386" s="11"/>
      <c r="K7386" s="12">
        <v>0</v>
      </c>
      <c r="L7386" s="10" t="str">
        <f>HYPERLINK("https://otsuka-europe-crm.veevavault.com/ui/#object/approved_document__v/V5OZ025E82TSZBI", "Aripiprazole 960mg Fragment VAE")</f>
        <v>Aripiprazole 960mg Fragment VAE</v>
      </c>
      <c r="M7386" s="10" t="str">
        <f>HYPERLINK("mailto:sfinnigan@crm.otsuka-europe.com", "sfinnigan@crm.otsuka-europe.com")</f>
        <v>sfinnigan@crm.otsuka-europe.com</v>
      </c>
      <c r="N7386" s="13">
        <v>46182.617291666669</v>
      </c>
      <c r="O7386" s="14" t="str">
        <f>HYPERLINK("https://otsuka-europe-crm.veevavault.com/ui/#object/email_activity__v/V8C00000003R735", "EN-002093084")</f>
        <v>EN-002093084</v>
      </c>
    </row>
    <row r="7387" spans="1:15" ht="16" x14ac:dyDescent="0.2">
      <c r="A7387" s="17" t="str">
        <f>HYPERLINK("https://otsuka-europe-crm.veevavault.com/ui/#object/account__v/V4TZ00000633N5P", "REDHA FOUZI BENAZZOUZ")</f>
        <v>REDHA FOUZI BENAZZOUZ</v>
      </c>
      <c r="B7387" s="17" t="str">
        <f>HYPERLINK("https://otsuka-europe-crm.veevavault.com/ui/#object/vcountry__v/VENZ000004SONFA", "FR")</f>
        <v>FR</v>
      </c>
      <c r="C7387" s="20" t="s">
        <v>42</v>
      </c>
      <c r="D7387" s="21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387" s="22" t="str">
        <f>HYPERLINK("https://otsuka-europe-crm.veevavault.com/ui/#object/sent_email__v/VBL00000002R402", "SE-001434943")</f>
        <v>SE-001434943</v>
      </c>
      <c r="F7387" s="23">
        <v>46183.470879629633</v>
      </c>
      <c r="G7387" s="24">
        <v>1</v>
      </c>
      <c r="H7387" s="24">
        <v>3</v>
      </c>
      <c r="I7387" s="24">
        <v>0</v>
      </c>
      <c r="J7387" s="25"/>
      <c r="K7387" s="24">
        <v>0</v>
      </c>
      <c r="L7387" s="22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387" s="22" t="str">
        <f>HYPERLINK("mailto:ssaouab@crm.otsuka-europe.com", "ssaouab@crm.otsuka-europe.com")</f>
        <v>ssaouab@crm.otsuka-europe.com</v>
      </c>
      <c r="N7387" s="23">
        <v>46182.617581018516</v>
      </c>
      <c r="O7387" s="14" t="str">
        <f>HYPERLINK("https://otsuka-europe-crm.veevavault.com/ui/#object/email_activity__v/V8C00000003R737", "EN-002093086")</f>
        <v>EN-002093086</v>
      </c>
    </row>
    <row r="7388" spans="1:15" ht="16" x14ac:dyDescent="0.2">
      <c r="A7388" s="18"/>
      <c r="B7388" s="18"/>
      <c r="C7388" s="18"/>
      <c r="D7388" s="18"/>
      <c r="E7388" s="18"/>
      <c r="F7388" s="18"/>
      <c r="G7388" s="18"/>
      <c r="H7388" s="18"/>
      <c r="I7388" s="18"/>
      <c r="J7388" s="18"/>
      <c r="K7388" s="18"/>
      <c r="L7388" s="18"/>
      <c r="M7388" s="18"/>
      <c r="N7388" s="18"/>
      <c r="O7388" s="14" t="str">
        <f>HYPERLINK("https://otsuka-europe-crm.veevavault.com/ui/#object/email_activity__v/V8C00000003S207", "EN-002093307")</f>
        <v>EN-002093307</v>
      </c>
    </row>
    <row r="7389" spans="1:15" ht="16" x14ac:dyDescent="0.2">
      <c r="A7389" s="18"/>
      <c r="B7389" s="18"/>
      <c r="C7389" s="18"/>
      <c r="D7389" s="18"/>
      <c r="E7389" s="18"/>
      <c r="F7389" s="18"/>
      <c r="G7389" s="18"/>
      <c r="H7389" s="18"/>
      <c r="I7389" s="18"/>
      <c r="J7389" s="18"/>
      <c r="K7389" s="18"/>
      <c r="L7389" s="18"/>
      <c r="M7389" s="18"/>
      <c r="N7389" s="18"/>
      <c r="O7389" s="14" t="str">
        <f>HYPERLINK("https://otsuka-europe-crm.veevavault.com/ui/#object/email_activity__v/V8C00000003S209", "EN-002093310")</f>
        <v>EN-002093310</v>
      </c>
    </row>
    <row r="7390" spans="1:15" ht="16" x14ac:dyDescent="0.2">
      <c r="A7390" s="19"/>
      <c r="B7390" s="19"/>
      <c r="C7390" s="19"/>
      <c r="D7390" s="19"/>
      <c r="E7390" s="19"/>
      <c r="F7390" s="19"/>
      <c r="G7390" s="19"/>
      <c r="H7390" s="19"/>
      <c r="I7390" s="19"/>
      <c r="J7390" s="19"/>
      <c r="K7390" s="19"/>
      <c r="L7390" s="19"/>
      <c r="M7390" s="19"/>
      <c r="N7390" s="19"/>
      <c r="O7390" s="14" t="str">
        <f>HYPERLINK("https://otsuka-europe-crm.veevavault.com/ui/#object/email_activity__v/V8C00000003S638", "EN-002094177")</f>
        <v>EN-002094177</v>
      </c>
    </row>
    <row r="7391" spans="1:15" ht="16" x14ac:dyDescent="0.2">
      <c r="A7391" s="17" t="str">
        <f>HYPERLINK("https://otsuka-europe-crm.veevavault.com/ui/#object/account__v/V4TZ0000062PC9P", "Muhammad Asghar")</f>
        <v>Muhammad Asghar</v>
      </c>
      <c r="B7391" s="17" t="str">
        <f>HYPERLINK("https://otsuka-europe-crm.veevavault.com/ui/#object/vcountry__v/VENZ000004SONFK", "GB")</f>
        <v>GB</v>
      </c>
      <c r="C7391" s="20" t="s">
        <v>39</v>
      </c>
      <c r="D7391" s="21" t="str">
        <f>HYPERLINK("https://otsuka-europe-crm.veevavault.com/ui/#object/approved_document__v/V5OZ025E82TSZBI", "Aripiprazole 960mg Fragment VAE")</f>
        <v>Aripiprazole 960mg Fragment VAE</v>
      </c>
      <c r="E7391" s="22" t="str">
        <f>HYPERLINK("https://otsuka-europe-crm.veevavault.com/ui/#object/sent_email__v/VBL00000002R403", "SE-001434944")</f>
        <v>SE-001434944</v>
      </c>
      <c r="F7391" s="25"/>
      <c r="G7391" s="24">
        <v>0</v>
      </c>
      <c r="H7391" s="24">
        <v>0</v>
      </c>
      <c r="I7391" s="24">
        <v>0</v>
      </c>
      <c r="J7391" s="25"/>
      <c r="K7391" s="24">
        <v>0</v>
      </c>
      <c r="L7391" s="22" t="str">
        <f>HYPERLINK("https://otsuka-europe-crm.veevavault.com/ui/#object/approved_document__v/V5OZ025E82TSZBI", "Aripiprazole 960mg Fragment VAE")</f>
        <v>Aripiprazole 960mg Fragment VAE</v>
      </c>
      <c r="M7391" s="22" t="str">
        <f>HYPERLINK("mailto:sfinnigan@crm.otsuka-europe.com", "sfinnigan@crm.otsuka-europe.com")</f>
        <v>sfinnigan@crm.otsuka-europe.com</v>
      </c>
      <c r="N7391" s="23">
        <v>46182.617650462962</v>
      </c>
      <c r="O7391" s="14" t="str">
        <f>HYPERLINK("https://otsuka-europe-crm.veevavault.com/ui/#object/email_activity__v/V8C00000003R736", "EN-002093085")</f>
        <v>EN-002093085</v>
      </c>
    </row>
    <row r="7392" spans="1:15" ht="16" x14ac:dyDescent="0.2">
      <c r="A7392" s="18"/>
      <c r="B7392" s="18"/>
      <c r="C7392" s="18"/>
      <c r="D7392" s="18"/>
      <c r="E7392" s="18"/>
      <c r="F7392" s="18"/>
      <c r="G7392" s="18"/>
      <c r="H7392" s="18"/>
      <c r="I7392" s="18"/>
      <c r="J7392" s="18"/>
      <c r="K7392" s="18"/>
      <c r="L7392" s="18"/>
      <c r="M7392" s="18"/>
      <c r="N7392" s="18"/>
      <c r="O7392" s="14" t="str">
        <f>HYPERLINK("https://otsuka-europe-crm.veevavault.com/ui/#object/email_activity__v/V8C00000003S445", "EN-002093799")</f>
        <v>EN-002093799</v>
      </c>
    </row>
    <row r="7393" spans="1:15" ht="16" x14ac:dyDescent="0.2">
      <c r="A7393" s="19"/>
      <c r="B7393" s="19"/>
      <c r="C7393" s="19"/>
      <c r="D7393" s="19"/>
      <c r="E7393" s="19"/>
      <c r="F7393" s="19"/>
      <c r="G7393" s="19"/>
      <c r="H7393" s="19"/>
      <c r="I7393" s="19"/>
      <c r="J7393" s="19"/>
      <c r="K7393" s="19"/>
      <c r="L7393" s="19"/>
      <c r="M7393" s="19"/>
      <c r="N7393" s="19"/>
      <c r="O7393" s="14" t="str">
        <f>HYPERLINK("https://otsuka-europe-crm.veevavault.com/ui/#object/email_activity__v/V8C00000003V036", "EN-002094883")</f>
        <v>EN-002094883</v>
      </c>
    </row>
    <row r="7394" spans="1:15" ht="16" x14ac:dyDescent="0.2">
      <c r="A7394" s="17" t="str">
        <f>HYPERLINK("https://otsuka-europe-crm.veevavault.com/ui/#object/account__v/V4TZ00000633N5P", "REDHA FOUZI BENAZZOUZ")</f>
        <v>REDHA FOUZI BENAZZOUZ</v>
      </c>
      <c r="B7394" s="17" t="str">
        <f>HYPERLINK("https://otsuka-europe-crm.veevavault.com/ui/#object/vcountry__v/VENZ000004SONFA", "FR")</f>
        <v>FR</v>
      </c>
      <c r="C7394" s="20" t="s">
        <v>42</v>
      </c>
      <c r="D7394" s="21" t="str">
        <f>HYPERLINK("https://otsuka-europe-crm.veevavault.com/ui/#object/approved_document__v/V5O00000000P003", "FR-AM2-2500027")</f>
        <v>FR-AM2-2500027</v>
      </c>
      <c r="E7394" s="22" t="str">
        <f>HYPERLINK("https://otsuka-europe-crm.veevavault.com/ui/#object/sent_email__v/VBL00000002R404", "SE-001434945")</f>
        <v>SE-001434945</v>
      </c>
      <c r="F7394" s="23">
        <v>46183.471967592595</v>
      </c>
      <c r="G7394" s="24">
        <v>1</v>
      </c>
      <c r="H7394" s="24">
        <v>7</v>
      </c>
      <c r="I7394" s="24">
        <v>1</v>
      </c>
      <c r="J7394" s="23">
        <v>46183.472430555557</v>
      </c>
      <c r="K7394" s="24">
        <v>1</v>
      </c>
      <c r="L7394" s="22" t="str">
        <f>HYPERLINK("https://otsuka-europe-crm.veevavault.com/ui/#object/approved_document__v/V5O00000000P003", "FR-AM2-2500027")</f>
        <v>FR-AM2-2500027</v>
      </c>
      <c r="M7394" s="22" t="str">
        <f>HYPERLINK("mailto:ssaouab@crm.otsuka-europe.com", "ssaouab@crm.otsuka-europe.com")</f>
        <v>ssaouab@crm.otsuka-europe.com</v>
      </c>
      <c r="N7394" s="23">
        <v>46182.617754629631</v>
      </c>
      <c r="O7394" s="14" t="str">
        <f>HYPERLINK("https://otsuka-europe-crm.veevavault.com/ui/#object/email_activity__v/V8C00000003R738", "EN-002093087")</f>
        <v>EN-002093087</v>
      </c>
    </row>
    <row r="7395" spans="1:15" ht="16" x14ac:dyDescent="0.2">
      <c r="A7395" s="18"/>
      <c r="B7395" s="18"/>
      <c r="C7395" s="18"/>
      <c r="D7395" s="18"/>
      <c r="E7395" s="18"/>
      <c r="F7395" s="18"/>
      <c r="G7395" s="18"/>
      <c r="H7395" s="18"/>
      <c r="I7395" s="18"/>
      <c r="J7395" s="18"/>
      <c r="K7395" s="18"/>
      <c r="L7395" s="18"/>
      <c r="M7395" s="18"/>
      <c r="N7395" s="18"/>
      <c r="O7395" s="14" t="str">
        <f>HYPERLINK("https://otsuka-europe-crm.veevavault.com/ui/#object/email_activity__v/V8C00000003R865", "EN-002093309")</f>
        <v>EN-002093309</v>
      </c>
    </row>
    <row r="7396" spans="1:15" ht="16" x14ac:dyDescent="0.2">
      <c r="A7396" s="18"/>
      <c r="B7396" s="18"/>
      <c r="C7396" s="18"/>
      <c r="D7396" s="18"/>
      <c r="E7396" s="18"/>
      <c r="F7396" s="18"/>
      <c r="G7396" s="18"/>
      <c r="H7396" s="18"/>
      <c r="I7396" s="18"/>
      <c r="J7396" s="18"/>
      <c r="K7396" s="18"/>
      <c r="L7396" s="18"/>
      <c r="M7396" s="18"/>
      <c r="N7396" s="18"/>
      <c r="O7396" s="14" t="str">
        <f>HYPERLINK("https://otsuka-europe-crm.veevavault.com/ui/#object/email_activity__v/V8C00000003R866", "EN-002093311")</f>
        <v>EN-002093311</v>
      </c>
    </row>
    <row r="7397" spans="1:15" ht="16" x14ac:dyDescent="0.2">
      <c r="A7397" s="18"/>
      <c r="B7397" s="18"/>
      <c r="C7397" s="18"/>
      <c r="D7397" s="18"/>
      <c r="E7397" s="18"/>
      <c r="F7397" s="18"/>
      <c r="G7397" s="18"/>
      <c r="H7397" s="18"/>
      <c r="I7397" s="18"/>
      <c r="J7397" s="18"/>
      <c r="K7397" s="18"/>
      <c r="L7397" s="18"/>
      <c r="M7397" s="18"/>
      <c r="N7397" s="18"/>
      <c r="O7397" s="14" t="str">
        <f>HYPERLINK("https://otsuka-europe-crm.veevavault.com/ui/#object/email_activity__v/V8C00000003S208", "EN-002093308")</f>
        <v>EN-002093308</v>
      </c>
    </row>
    <row r="7398" spans="1:15" ht="16" x14ac:dyDescent="0.2">
      <c r="A7398" s="18"/>
      <c r="B7398" s="18"/>
      <c r="C7398" s="18"/>
      <c r="D7398" s="18"/>
      <c r="E7398" s="18"/>
      <c r="F7398" s="18"/>
      <c r="G7398" s="18"/>
      <c r="H7398" s="18"/>
      <c r="I7398" s="18"/>
      <c r="J7398" s="18"/>
      <c r="K7398" s="18"/>
      <c r="L7398" s="18"/>
      <c r="M7398" s="18"/>
      <c r="N7398" s="18"/>
      <c r="O7398" s="14" t="str">
        <f>HYPERLINK("https://otsuka-europe-crm.veevavault.com/ui/#object/email_activity__v/V8C00000003S639", "EN-002094178")</f>
        <v>EN-002094178</v>
      </c>
    </row>
    <row r="7399" spans="1:15" ht="16" x14ac:dyDescent="0.2">
      <c r="A7399" s="18"/>
      <c r="B7399" s="18"/>
      <c r="C7399" s="18"/>
      <c r="D7399" s="18"/>
      <c r="E7399" s="18"/>
      <c r="F7399" s="18"/>
      <c r="G7399" s="18"/>
      <c r="H7399" s="18"/>
      <c r="I7399" s="18"/>
      <c r="J7399" s="18"/>
      <c r="K7399" s="18"/>
      <c r="L7399" s="18"/>
      <c r="M7399" s="18"/>
      <c r="N7399" s="18"/>
      <c r="O7399" s="14" t="str">
        <f>HYPERLINK("https://otsuka-europe-crm.veevavault.com/ui/#object/email_activity__v/V8C00000003S640", "EN-002094179")</f>
        <v>EN-002094179</v>
      </c>
    </row>
    <row r="7400" spans="1:15" ht="16" x14ac:dyDescent="0.2">
      <c r="A7400" s="18"/>
      <c r="B7400" s="18"/>
      <c r="C7400" s="18"/>
      <c r="D7400" s="18"/>
      <c r="E7400" s="18"/>
      <c r="F7400" s="18"/>
      <c r="G7400" s="18"/>
      <c r="H7400" s="18"/>
      <c r="I7400" s="18"/>
      <c r="J7400" s="18"/>
      <c r="K7400" s="18"/>
      <c r="L7400" s="18"/>
      <c r="M7400" s="18"/>
      <c r="N7400" s="18"/>
      <c r="O7400" s="14" t="str">
        <f>HYPERLINK("https://otsuka-europe-crm.veevavault.com/ui/#object/email_activity__v/V8C00000003S642", "EN-002094181")</f>
        <v>EN-002094181</v>
      </c>
    </row>
    <row r="7401" spans="1:15" ht="16" x14ac:dyDescent="0.2">
      <c r="A7401" s="18"/>
      <c r="B7401" s="18"/>
      <c r="C7401" s="18"/>
      <c r="D7401" s="18"/>
      <c r="E7401" s="18"/>
      <c r="F7401" s="18"/>
      <c r="G7401" s="18"/>
      <c r="H7401" s="18"/>
      <c r="I7401" s="18"/>
      <c r="J7401" s="18"/>
      <c r="K7401" s="18"/>
      <c r="L7401" s="18"/>
      <c r="M7401" s="18"/>
      <c r="N7401" s="18"/>
      <c r="O7401" s="14" t="str">
        <f>HYPERLINK("https://otsuka-europe-crm.veevavault.com/ui/#object/email_activity__v/V8C00000003S658", "EN-002094210")</f>
        <v>EN-002094210</v>
      </c>
    </row>
    <row r="7402" spans="1:15" ht="16" x14ac:dyDescent="0.2">
      <c r="A7402" s="18"/>
      <c r="B7402" s="18"/>
      <c r="C7402" s="18"/>
      <c r="D7402" s="18"/>
      <c r="E7402" s="18"/>
      <c r="F7402" s="18"/>
      <c r="G7402" s="18"/>
      <c r="H7402" s="18"/>
      <c r="I7402" s="18"/>
      <c r="J7402" s="18"/>
      <c r="K7402" s="18"/>
      <c r="L7402" s="18"/>
      <c r="M7402" s="18"/>
      <c r="N7402" s="18"/>
      <c r="O7402" s="14" t="str">
        <f>HYPERLINK("https://otsuka-europe-crm.veevavault.com/ui/#object/email_activity__v/V8C00000003T305", "EN-002094182")</f>
        <v>EN-002094182</v>
      </c>
    </row>
    <row r="7403" spans="1:15" ht="16" x14ac:dyDescent="0.2">
      <c r="A7403" s="19"/>
      <c r="B7403" s="19"/>
      <c r="C7403" s="19"/>
      <c r="D7403" s="19"/>
      <c r="E7403" s="19"/>
      <c r="F7403" s="19"/>
      <c r="G7403" s="19"/>
      <c r="H7403" s="19"/>
      <c r="I7403" s="19"/>
      <c r="J7403" s="19"/>
      <c r="K7403" s="19"/>
      <c r="L7403" s="19"/>
      <c r="M7403" s="19"/>
      <c r="N7403" s="19"/>
      <c r="O7403" s="14" t="str">
        <f>HYPERLINK("https://otsuka-europe-crm.veevavault.com/ui/#object/email_activity__v/V8C00000003T306", "EN-002094183")</f>
        <v>EN-002094183</v>
      </c>
    </row>
    <row r="7404" spans="1:15" ht="32" x14ac:dyDescent="0.2">
      <c r="A7404" s="7" t="str">
        <f>HYPERLINK("https://otsuka-europe-crm.veevavault.com/ui/#object/account__v/V4TZ06G6O71TLKJ", "ROBERTO VERONICO")</f>
        <v>ROBERTO VERONICO</v>
      </c>
      <c r="B7404" s="7" t="str">
        <f>HYPERLINK("https://otsuka-europe-crm.veevavault.com/ui/#object/vcountry__v/VENZ000004SONFQ", "IT")</f>
        <v>IT</v>
      </c>
      <c r="C7404" s="8" t="s">
        <v>44</v>
      </c>
      <c r="D7404" s="9" t="str">
        <f>HYPERLINK("https://otsuka-europe-crm.veevavault.com/ui/#object/approved_document__v/V5OZ025E82LS9PY", "IT ToV Veeva Privacy Notice Email")</f>
        <v>IT ToV Veeva Privacy Notice Email</v>
      </c>
      <c r="E7404" s="10" t="str">
        <f>HYPERLINK("https://otsuka-europe-crm.veevavault.com/ui/#object/sent_email__v/VBL00000002R405", "SE-001434946")</f>
        <v>SE-001434946</v>
      </c>
      <c r="F7404" s="11"/>
      <c r="G7404" s="12">
        <v>0</v>
      </c>
      <c r="H7404" s="12">
        <v>0</v>
      </c>
      <c r="I7404" s="12">
        <v>0</v>
      </c>
      <c r="J7404" s="11"/>
      <c r="K7404" s="12">
        <v>0</v>
      </c>
      <c r="L7404" s="10" t="str">
        <f>HYPERLINK("https://otsuka-europe-crm.veevavault.com/ui/#object/approved_document__v/V5OZ025E82LS9PY", "IT ToV Veeva Privacy Notice Email")</f>
        <v>IT ToV Veeva Privacy Notice Email</v>
      </c>
      <c r="M7404" s="10" t="str">
        <f>HYPERLINK("mailto:sandro.vitto@crm.otsuka-europe.com", "sandro.vitto@crm.otsuka-europe.com")</f>
        <v>sandro.vitto@crm.otsuka-europe.com</v>
      </c>
      <c r="N7404" s="13">
        <v>46182.617812500001</v>
      </c>
      <c r="O7404" s="14" t="str">
        <f>HYPERLINK("https://otsuka-europe-crm.veevavault.com/ui/#object/email_activity__v/V8C00000003R741", "EN-002093090")</f>
        <v>EN-002093090</v>
      </c>
    </row>
    <row r="7405" spans="1:15" ht="32" x14ac:dyDescent="0.2">
      <c r="A7405" s="7" t="str">
        <f>HYPERLINK("https://otsuka-europe-crm.veevavault.com/ui/#object/account__v/V4TZ06G6O71TLKJ", "ROBERTO VERONICO")</f>
        <v>ROBERTO VERONICO</v>
      </c>
      <c r="B7405" s="7" t="str">
        <f>HYPERLINK("https://otsuka-europe-crm.veevavault.com/ui/#object/vcountry__v/VENZ000004SONFQ", "IT")</f>
        <v>IT</v>
      </c>
      <c r="C7405" s="8" t="s">
        <v>44</v>
      </c>
      <c r="D7405" s="9" t="str">
        <f>HYPERLINK("https://otsuka-europe-crm.veevavault.com/ui/#object/approved_document__v/V5OZ06G6O6RG2EV", "IT Veeva Privacy Notice Email")</f>
        <v>IT Veeva Privacy Notice Email</v>
      </c>
      <c r="E7405" s="10" t="str">
        <f>HYPERLINK("https://otsuka-europe-crm.veevavault.com/ui/#object/sent_email__v/VBL00000002R406", "SE-001434947")</f>
        <v>SE-001434947</v>
      </c>
      <c r="F7405" s="11"/>
      <c r="G7405" s="12">
        <v>0</v>
      </c>
      <c r="H7405" s="12">
        <v>0</v>
      </c>
      <c r="I7405" s="12">
        <v>0</v>
      </c>
      <c r="J7405" s="11"/>
      <c r="K7405" s="12">
        <v>0</v>
      </c>
      <c r="L7405" s="10" t="str">
        <f>HYPERLINK("https://otsuka-europe-crm.veevavault.com/ui/#object/approved_document__v/V5OZ06G6O6RG2EV", "IT Veeva Privacy Notice Email")</f>
        <v>IT Veeva Privacy Notice Email</v>
      </c>
      <c r="M7405" s="10" t="str">
        <f>HYPERLINK("mailto:sandro.vitto@crm.otsuka-europe.com", "sandro.vitto@crm.otsuka-europe.com")</f>
        <v>sandro.vitto@crm.otsuka-europe.com</v>
      </c>
      <c r="N7405" s="13">
        <v>46182.617835648147</v>
      </c>
      <c r="O7405" s="14" t="str">
        <f>HYPERLINK("https://otsuka-europe-crm.veevavault.com/ui/#object/email_activity__v/V8C00000003R740", "EN-002093089")</f>
        <v>EN-002093089</v>
      </c>
    </row>
    <row r="7406" spans="1:15" ht="16" x14ac:dyDescent="0.2">
      <c r="A7406" s="17" t="str">
        <f>HYPERLINK("https://otsuka-europe-crm.veevavault.com/ui/#object/account__v/V4TZ04ASG7NLGJR", "Simon Ayela-Uwangue")</f>
        <v>Simon Ayela-Uwangue</v>
      </c>
      <c r="B7406" s="17" t="str">
        <f>HYPERLINK("https://otsuka-europe-crm.veevavault.com/ui/#object/vcountry__v/VENZ000004SONFK", "GB")</f>
        <v>GB</v>
      </c>
      <c r="C7406" s="20" t="s">
        <v>39</v>
      </c>
      <c r="D7406" s="21" t="str">
        <f>HYPERLINK("https://otsuka-europe-crm.veevavault.com/ui/#object/approved_document__v/V5OZ025E82TSZBI", "Aripiprazole 960mg Fragment VAE")</f>
        <v>Aripiprazole 960mg Fragment VAE</v>
      </c>
      <c r="E7406" s="22" t="str">
        <f>HYPERLINK("https://otsuka-europe-crm.veevavault.com/ui/#object/sent_email__v/VBL00000002R407", "SE-001434948")</f>
        <v>SE-001434948</v>
      </c>
      <c r="F7406" s="23">
        <v>46183.814456018517</v>
      </c>
      <c r="G7406" s="24">
        <v>1</v>
      </c>
      <c r="H7406" s="24">
        <v>1</v>
      </c>
      <c r="I7406" s="24">
        <v>0</v>
      </c>
      <c r="J7406" s="25"/>
      <c r="K7406" s="24">
        <v>0</v>
      </c>
      <c r="L7406" s="22" t="str">
        <f>HYPERLINK("https://otsuka-europe-crm.veevavault.com/ui/#object/approved_document__v/V5OZ025E82TSZBI", "Aripiprazole 960mg Fragment VAE")</f>
        <v>Aripiprazole 960mg Fragment VAE</v>
      </c>
      <c r="M7406" s="22" t="str">
        <f>HYPERLINK("mailto:sfinnigan@crm.otsuka-europe.com", "sfinnigan@crm.otsuka-europe.com")</f>
        <v>sfinnigan@crm.otsuka-europe.com</v>
      </c>
      <c r="N7406" s="23">
        <v>46182.618125000001</v>
      </c>
      <c r="O7406" s="14" t="str">
        <f>HYPERLINK("https://otsuka-europe-crm.veevavault.com/ui/#object/email_activity__v/V8C00000003R742", "EN-002093091")</f>
        <v>EN-002093091</v>
      </c>
    </row>
    <row r="7407" spans="1:15" ht="16" x14ac:dyDescent="0.2">
      <c r="A7407" s="19"/>
      <c r="B7407" s="19"/>
      <c r="C7407" s="19"/>
      <c r="D7407" s="19"/>
      <c r="E7407" s="19"/>
      <c r="F7407" s="19"/>
      <c r="G7407" s="19"/>
      <c r="H7407" s="19"/>
      <c r="I7407" s="19"/>
      <c r="J7407" s="19"/>
      <c r="K7407" s="19"/>
      <c r="L7407" s="19"/>
      <c r="M7407" s="19"/>
      <c r="N7407" s="19"/>
      <c r="O7407" s="14" t="str">
        <f>HYPERLINK("https://otsuka-europe-crm.veevavault.com/ui/#object/email_activity__v/V8C00000003T396", "EN-002094400")</f>
        <v>EN-002094400</v>
      </c>
    </row>
    <row r="7408" spans="1:15" ht="48" x14ac:dyDescent="0.2">
      <c r="A7408" s="7" t="str">
        <f>HYPERLINK("https://otsuka-europe-crm.veevavault.com/ui/#object/account__v/V4TZ00000633NK1", "KHOUDIR BENHADDAD")</f>
        <v>KHOUDIR BENHADDAD</v>
      </c>
      <c r="B7408" s="7" t="str">
        <f>HYPERLINK("https://otsuka-europe-crm.veevavault.com/ui/#object/vcountry__v/VENZ000004SONFA", "FR")</f>
        <v>FR</v>
      </c>
      <c r="C7408" s="8" t="s">
        <v>42</v>
      </c>
      <c r="D7408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408" s="10" t="str">
        <f>HYPERLINK("https://otsuka-europe-crm.veevavault.com/ui/#object/sent_email__v/VBL00000002S493", "SE-001434949")</f>
        <v>SE-001434949</v>
      </c>
      <c r="F7408" s="11"/>
      <c r="G7408" s="12">
        <v>0</v>
      </c>
      <c r="H7408" s="12">
        <v>0</v>
      </c>
      <c r="I7408" s="12">
        <v>0</v>
      </c>
      <c r="J7408" s="11"/>
      <c r="K7408" s="12">
        <v>0</v>
      </c>
      <c r="L7408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408" s="10" t="str">
        <f>HYPERLINK("mailto:ssaouab@crm.otsuka-europe.com", "ssaouab@crm.otsuka-europe.com")</f>
        <v>ssaouab@crm.otsuka-europe.com</v>
      </c>
      <c r="N7408" s="13">
        <v>46182.618449074071</v>
      </c>
      <c r="O7408" s="14" t="str">
        <f>HYPERLINK("https://otsuka-europe-crm.veevavault.com/ui/#object/email_activity__v/V8C00000003R743", "EN-002093092")</f>
        <v>EN-002093092</v>
      </c>
    </row>
    <row r="7409" spans="1:15" ht="16" x14ac:dyDescent="0.2">
      <c r="A7409" s="17" t="str">
        <f>HYPERLINK("https://otsuka-europe-crm.veevavault.com/ui/#object/account__v/V4TZ00000633NK1", "KHOUDIR BENHADDAD")</f>
        <v>KHOUDIR BENHADDAD</v>
      </c>
      <c r="B7409" s="17" t="str">
        <f>HYPERLINK("https://otsuka-europe-crm.veevavault.com/ui/#object/vcountry__v/VENZ000004SONFA", "FR")</f>
        <v>FR</v>
      </c>
      <c r="C7409" s="20" t="s">
        <v>42</v>
      </c>
      <c r="D7409" s="21" t="str">
        <f>HYPERLINK("https://otsuka-europe-crm.veevavault.com/ui/#object/approved_document__v/V5O00000000P003", "FR-AM2-2500027")</f>
        <v>FR-AM2-2500027</v>
      </c>
      <c r="E7409" s="22" t="str">
        <f>HYPERLINK("https://otsuka-europe-crm.veevavault.com/ui/#object/sent_email__v/VBL00000002R408", "SE-001434950")</f>
        <v>SE-001434950</v>
      </c>
      <c r="F7409" s="23">
        <v>46183.417268518519</v>
      </c>
      <c r="G7409" s="24">
        <v>1</v>
      </c>
      <c r="H7409" s="24">
        <v>1</v>
      </c>
      <c r="I7409" s="24">
        <v>1</v>
      </c>
      <c r="J7409" s="23">
        <v>46183.417268518519</v>
      </c>
      <c r="K7409" s="24">
        <v>1</v>
      </c>
      <c r="L7409" s="22" t="str">
        <f>HYPERLINK("https://otsuka-europe-crm.veevavault.com/ui/#object/approved_document__v/V5O00000000P003", "FR-AM2-2500027")</f>
        <v>FR-AM2-2500027</v>
      </c>
      <c r="M7409" s="22" t="str">
        <f>HYPERLINK("mailto:ssaouab@crm.otsuka-europe.com", "ssaouab@crm.otsuka-europe.com")</f>
        <v>ssaouab@crm.otsuka-europe.com</v>
      </c>
      <c r="N7409" s="23">
        <v>46182.618495370371</v>
      </c>
      <c r="O7409" s="14" t="str">
        <f>HYPERLINK("https://otsuka-europe-crm.veevavault.com/ui/#object/email_activity__v/V8C00000003R744", "EN-002093093")</f>
        <v>EN-002093093</v>
      </c>
    </row>
    <row r="7410" spans="1:15" ht="16" x14ac:dyDescent="0.2">
      <c r="A7410" s="18"/>
      <c r="B7410" s="18"/>
      <c r="C7410" s="18"/>
      <c r="D7410" s="18"/>
      <c r="E7410" s="18"/>
      <c r="F7410" s="18"/>
      <c r="G7410" s="18"/>
      <c r="H7410" s="18"/>
      <c r="I7410" s="18"/>
      <c r="J7410" s="18"/>
      <c r="K7410" s="18"/>
      <c r="L7410" s="18"/>
      <c r="M7410" s="18"/>
      <c r="N7410" s="18"/>
      <c r="O7410" s="14" t="str">
        <f>HYPERLINK("https://otsuka-europe-crm.veevavault.com/ui/#object/email_activity__v/V8C00000003T256", "EN-002094089")</f>
        <v>EN-002094089</v>
      </c>
    </row>
    <row r="7411" spans="1:15" ht="16" x14ac:dyDescent="0.2">
      <c r="A7411" s="18"/>
      <c r="B7411" s="18"/>
      <c r="C7411" s="18"/>
      <c r="D7411" s="18"/>
      <c r="E7411" s="18"/>
      <c r="F7411" s="18"/>
      <c r="G7411" s="18"/>
      <c r="H7411" s="18"/>
      <c r="I7411" s="18"/>
      <c r="J7411" s="18"/>
      <c r="K7411" s="18"/>
      <c r="L7411" s="18"/>
      <c r="M7411" s="18"/>
      <c r="N7411" s="18"/>
      <c r="O7411" s="14" t="str">
        <f>HYPERLINK("https://otsuka-europe-crm.veevavault.com/ui/#object/email_activity__v/V8C00000003T257", "EN-002094088")</f>
        <v>EN-002094088</v>
      </c>
    </row>
    <row r="7412" spans="1:15" ht="16" x14ac:dyDescent="0.2">
      <c r="A7412" s="19"/>
      <c r="B7412" s="19"/>
      <c r="C7412" s="19"/>
      <c r="D7412" s="19"/>
      <c r="E7412" s="19"/>
      <c r="F7412" s="19"/>
      <c r="G7412" s="19"/>
      <c r="H7412" s="19"/>
      <c r="I7412" s="19"/>
      <c r="J7412" s="19"/>
      <c r="K7412" s="19"/>
      <c r="L7412" s="19"/>
      <c r="M7412" s="19"/>
      <c r="N7412" s="19"/>
      <c r="O7412" s="14" t="str">
        <f>HYPERLINK("https://otsuka-europe-crm.veevavault.com/ui/#object/email_activity__v/V8C00000003T283", "EN-002094124")</f>
        <v>EN-002094124</v>
      </c>
    </row>
    <row r="7413" spans="1:15" ht="48" x14ac:dyDescent="0.2">
      <c r="A7413" s="7" t="str">
        <f>HYPERLINK("https://otsuka-europe-crm.veevavault.com/ui/#object/account__v/V4TZ00000633NL9", "LARBI BENLADGHEM")</f>
        <v>LARBI BENLADGHEM</v>
      </c>
      <c r="B7413" s="7" t="str">
        <f>HYPERLINK("https://otsuka-europe-crm.veevavault.com/ui/#object/vcountry__v/VENZ000004SONFA", "FR")</f>
        <v>FR</v>
      </c>
      <c r="C7413" s="8" t="s">
        <v>42</v>
      </c>
      <c r="D7413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413" s="10" t="str">
        <f>HYPERLINK("https://otsuka-europe-crm.veevavault.com/ui/#object/sent_email__v/VBL00000002R409", "SE-001434951")</f>
        <v>SE-001434951</v>
      </c>
      <c r="F7413" s="11"/>
      <c r="G7413" s="12">
        <v>0</v>
      </c>
      <c r="H7413" s="12">
        <v>0</v>
      </c>
      <c r="I7413" s="12">
        <v>0</v>
      </c>
      <c r="J7413" s="11"/>
      <c r="K7413" s="12">
        <v>0</v>
      </c>
      <c r="L7413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413" s="10" t="str">
        <f>HYPERLINK("mailto:ssaouab@crm.otsuka-europe.com", "ssaouab@crm.otsuka-europe.com")</f>
        <v>ssaouab@crm.otsuka-europe.com</v>
      </c>
      <c r="N7413" s="13">
        <v>46182.618807870371</v>
      </c>
      <c r="O7413" s="14" t="str">
        <f>HYPERLINK("https://otsuka-europe-crm.veevavault.com/ui/#object/email_activity__v/V8C00000003R745", "EN-002093094")</f>
        <v>EN-002093094</v>
      </c>
    </row>
    <row r="7414" spans="1:15" ht="32" x14ac:dyDescent="0.2">
      <c r="A7414" s="7" t="str">
        <f>HYPERLINK("https://otsuka-europe-crm.veevavault.com/ui/#object/account__v/V4TZ00000633NL9", "LARBI BENLADGHEM")</f>
        <v>LARBI BENLADGHEM</v>
      </c>
      <c r="B7414" s="7" t="str">
        <f>HYPERLINK("https://otsuka-europe-crm.veevavault.com/ui/#object/vcountry__v/VENZ000004SONFA", "FR")</f>
        <v>FR</v>
      </c>
      <c r="C7414" s="8" t="s">
        <v>42</v>
      </c>
      <c r="D7414" s="9" t="str">
        <f>HYPERLINK("https://otsuka-europe-crm.veevavault.com/ui/#object/approved_document__v/V5O00000000P003", "FR-AM2-2500027")</f>
        <v>FR-AM2-2500027</v>
      </c>
      <c r="E7414" s="10" t="str">
        <f>HYPERLINK("https://otsuka-europe-crm.veevavault.com/ui/#object/sent_email__v/VBL00000002S494", "SE-001434952")</f>
        <v>SE-001434952</v>
      </c>
      <c r="F7414" s="11"/>
      <c r="G7414" s="12">
        <v>0</v>
      </c>
      <c r="H7414" s="12">
        <v>0</v>
      </c>
      <c r="I7414" s="12">
        <v>0</v>
      </c>
      <c r="J7414" s="11"/>
      <c r="K7414" s="12">
        <v>0</v>
      </c>
      <c r="L7414" s="10" t="str">
        <f>HYPERLINK("https://otsuka-europe-crm.veevavault.com/ui/#object/approved_document__v/V5O00000000P003", "FR-AM2-2500027")</f>
        <v>FR-AM2-2500027</v>
      </c>
      <c r="M7414" s="10" t="str">
        <f>HYPERLINK("mailto:ssaouab@crm.otsuka-europe.com", "ssaouab@crm.otsuka-europe.com")</f>
        <v>ssaouab@crm.otsuka-europe.com</v>
      </c>
      <c r="N7414" s="13">
        <v>46182.618935185186</v>
      </c>
      <c r="O7414" s="14" t="str">
        <f>HYPERLINK("https://otsuka-europe-crm.veevavault.com/ui/#object/email_activity__v/V8C00000003R748", "EN-002093097")</f>
        <v>EN-002093097</v>
      </c>
    </row>
    <row r="7415" spans="1:15" ht="16" x14ac:dyDescent="0.2">
      <c r="A7415" s="17" t="str">
        <f>HYPERLINK("https://otsuka-europe-crm.veevavault.com/ui/#object/account__v/V4TZ00000633NLI", "KARIMA BENRAHMANI")</f>
        <v>KARIMA BENRAHMANI</v>
      </c>
      <c r="B7415" s="17" t="str">
        <f>HYPERLINK("https://otsuka-europe-crm.veevavault.com/ui/#object/vcountry__v/VENZ000004SONFA", "FR")</f>
        <v>FR</v>
      </c>
      <c r="C7415" s="20" t="s">
        <v>42</v>
      </c>
      <c r="D7415" s="21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415" s="22" t="str">
        <f>HYPERLINK("https://otsuka-europe-crm.veevavault.com/ui/#object/sent_email__v/VBL00000002R410", "SE-001434953")</f>
        <v>SE-001434953</v>
      </c>
      <c r="F7415" s="23">
        <v>46182.724918981483</v>
      </c>
      <c r="G7415" s="24">
        <v>1</v>
      </c>
      <c r="H7415" s="24">
        <v>2</v>
      </c>
      <c r="I7415" s="24">
        <v>0</v>
      </c>
      <c r="J7415" s="25"/>
      <c r="K7415" s="24">
        <v>0</v>
      </c>
      <c r="L7415" s="22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415" s="22" t="str">
        <f>HYPERLINK("mailto:ssaouab@crm.otsuka-europe.com", "ssaouab@crm.otsuka-europe.com")</f>
        <v>ssaouab@crm.otsuka-europe.com</v>
      </c>
      <c r="N7415" s="23">
        <v>46182.619502314818</v>
      </c>
      <c r="O7415" s="14" t="str">
        <f>HYPERLINK("https://otsuka-europe-crm.veevavault.com/ui/#object/email_activity__v/V8C00000003R750", "EN-002093099")</f>
        <v>EN-002093099</v>
      </c>
    </row>
    <row r="7416" spans="1:15" ht="16" x14ac:dyDescent="0.2">
      <c r="A7416" s="18"/>
      <c r="B7416" s="18"/>
      <c r="C7416" s="18"/>
      <c r="D7416" s="18"/>
      <c r="E7416" s="18"/>
      <c r="F7416" s="18"/>
      <c r="G7416" s="18"/>
      <c r="H7416" s="18"/>
      <c r="I7416" s="18"/>
      <c r="J7416" s="18"/>
      <c r="K7416" s="18"/>
      <c r="L7416" s="18"/>
      <c r="M7416" s="18"/>
      <c r="N7416" s="18"/>
      <c r="O7416" s="14" t="str">
        <f>HYPERLINK("https://otsuka-europe-crm.veevavault.com/ui/#object/email_activity__v/V8C00000003S238", "EN-002093349")</f>
        <v>EN-002093349</v>
      </c>
    </row>
    <row r="7417" spans="1:15" ht="16" x14ac:dyDescent="0.2">
      <c r="A7417" s="19"/>
      <c r="B7417" s="19"/>
      <c r="C7417" s="19"/>
      <c r="D7417" s="19"/>
      <c r="E7417" s="19"/>
      <c r="F7417" s="19"/>
      <c r="G7417" s="19"/>
      <c r="H7417" s="19"/>
      <c r="I7417" s="19"/>
      <c r="J7417" s="19"/>
      <c r="K7417" s="19"/>
      <c r="L7417" s="19"/>
      <c r="M7417" s="19"/>
      <c r="N7417" s="19"/>
      <c r="O7417" s="14" t="str">
        <f>HYPERLINK("https://otsuka-europe-crm.veevavault.com/ui/#object/email_activity__v/V8C00000003S239", "EN-002093350")</f>
        <v>EN-002093350</v>
      </c>
    </row>
    <row r="7418" spans="1:15" ht="16" x14ac:dyDescent="0.2">
      <c r="A7418" s="17" t="str">
        <f>HYPERLINK("https://otsuka-europe-crm.veevavault.com/ui/#object/account__v/V4TZ00000633NLI", "KARIMA BENRAHMANI")</f>
        <v>KARIMA BENRAHMANI</v>
      </c>
      <c r="B7418" s="17" t="str">
        <f>HYPERLINK("https://otsuka-europe-crm.veevavault.com/ui/#object/vcountry__v/VENZ000004SONFA", "FR")</f>
        <v>FR</v>
      </c>
      <c r="C7418" s="20" t="s">
        <v>42</v>
      </c>
      <c r="D7418" s="21" t="str">
        <f>HYPERLINK("https://otsuka-europe-crm.veevavault.com/ui/#object/approved_document__v/V5O00000000P003", "FR-AM2-2500027")</f>
        <v>FR-AM2-2500027</v>
      </c>
      <c r="E7418" s="22" t="str">
        <f>HYPERLINK("https://otsuka-europe-crm.veevavault.com/ui/#object/sent_email__v/VBL00000002S495", "SE-001434954")</f>
        <v>SE-001434954</v>
      </c>
      <c r="F7418" s="23">
        <v>46183.797789351855</v>
      </c>
      <c r="G7418" s="24">
        <v>1</v>
      </c>
      <c r="H7418" s="24">
        <v>2</v>
      </c>
      <c r="I7418" s="24">
        <v>0</v>
      </c>
      <c r="J7418" s="25"/>
      <c r="K7418" s="24">
        <v>0</v>
      </c>
      <c r="L7418" s="22" t="str">
        <f>HYPERLINK("https://otsuka-europe-crm.veevavault.com/ui/#object/approved_document__v/V5O00000000P003", "FR-AM2-2500027")</f>
        <v>FR-AM2-2500027</v>
      </c>
      <c r="M7418" s="22" t="str">
        <f>HYPERLINK("mailto:ssaouab@crm.otsuka-europe.com", "ssaouab@crm.otsuka-europe.com")</f>
        <v>ssaouab@crm.otsuka-europe.com</v>
      </c>
      <c r="N7418" s="23">
        <v>46182.61959490741</v>
      </c>
      <c r="O7418" s="14" t="str">
        <f>HYPERLINK("https://otsuka-europe-crm.veevavault.com/ui/#object/email_activity__v/V8C00000003R751", "EN-002093100")</f>
        <v>EN-002093100</v>
      </c>
    </row>
    <row r="7419" spans="1:15" ht="16" x14ac:dyDescent="0.2">
      <c r="A7419" s="18"/>
      <c r="B7419" s="18"/>
      <c r="C7419" s="18"/>
      <c r="D7419" s="18"/>
      <c r="E7419" s="18"/>
      <c r="F7419" s="18"/>
      <c r="G7419" s="18"/>
      <c r="H7419" s="18"/>
      <c r="I7419" s="18"/>
      <c r="J7419" s="18"/>
      <c r="K7419" s="18"/>
      <c r="L7419" s="18"/>
      <c r="M7419" s="18"/>
      <c r="N7419" s="18"/>
      <c r="O7419" s="14" t="str">
        <f>HYPERLINK("https://otsuka-europe-crm.veevavault.com/ui/#object/email_activity__v/V8C00000003S761", "EN-002094392")</f>
        <v>EN-002094392</v>
      </c>
    </row>
    <row r="7420" spans="1:15" ht="16" x14ac:dyDescent="0.2">
      <c r="A7420" s="19"/>
      <c r="B7420" s="19"/>
      <c r="C7420" s="19"/>
      <c r="D7420" s="19"/>
      <c r="E7420" s="19"/>
      <c r="F7420" s="19"/>
      <c r="G7420" s="19"/>
      <c r="H7420" s="19"/>
      <c r="I7420" s="19"/>
      <c r="J7420" s="19"/>
      <c r="K7420" s="19"/>
      <c r="L7420" s="19"/>
      <c r="M7420" s="19"/>
      <c r="N7420" s="19"/>
      <c r="O7420" s="14" t="str">
        <f>HYPERLINK("https://otsuka-europe-crm.veevavault.com/ui/#object/email_activity__v/V8C00000003S762", "EN-002094391")</f>
        <v>EN-002094391</v>
      </c>
    </row>
    <row r="7421" spans="1:15" ht="32" x14ac:dyDescent="0.2">
      <c r="A7421" s="7" t="str">
        <f>HYPERLINK("https://otsuka-europe-crm.veevavault.com/ui/#object/account__v/V4TZ00000633NM1", "ISABELLE BENSILUM")</f>
        <v>ISABELLE BENSILUM</v>
      </c>
      <c r="B7421" s="7" t="str">
        <f>HYPERLINK("https://otsuka-europe-crm.veevavault.com/ui/#object/vcountry__v/VENZ000004SONFA", "FR")</f>
        <v>FR</v>
      </c>
      <c r="C7421" s="8" t="s">
        <v>42</v>
      </c>
      <c r="D7421" s="9" t="str">
        <f>HYPERLINK("https://otsuka-europe-crm.veevavault.com/ui/#object/approved_document__v/V5O00000000P003", "FR-AM2-2500027")</f>
        <v>FR-AM2-2500027</v>
      </c>
      <c r="E7421" s="10" t="str">
        <f>HYPERLINK("https://otsuka-europe-crm.veevavault.com/ui/#object/sent_email__v/VBL00000002R411", "SE-001434955")</f>
        <v>SE-001434955</v>
      </c>
      <c r="F7421" s="11"/>
      <c r="G7421" s="12">
        <v>0</v>
      </c>
      <c r="H7421" s="12">
        <v>0</v>
      </c>
      <c r="I7421" s="12">
        <v>0</v>
      </c>
      <c r="J7421" s="11"/>
      <c r="K7421" s="12">
        <v>0</v>
      </c>
      <c r="L7421" s="10" t="str">
        <f>HYPERLINK("https://otsuka-europe-crm.veevavault.com/ui/#object/approved_document__v/V5O00000000P003", "FR-AM2-2500027")</f>
        <v>FR-AM2-2500027</v>
      </c>
      <c r="M7421" s="10" t="str">
        <f>HYPERLINK("mailto:ssaouab@crm.otsuka-europe.com", "ssaouab@crm.otsuka-europe.com")</f>
        <v>ssaouab@crm.otsuka-europe.com</v>
      </c>
      <c r="N7421" s="13">
        <v>46182.621412037035</v>
      </c>
      <c r="O7421" s="14" t="str">
        <f>HYPERLINK("https://otsuka-europe-crm.veevavault.com/ui/#object/email_activity__v/V8C00000003S117", "EN-002093108")</f>
        <v>EN-002093108</v>
      </c>
    </row>
    <row r="7422" spans="1:15" ht="48" x14ac:dyDescent="0.2">
      <c r="A7422" s="7" t="str">
        <f>HYPERLINK("https://otsuka-europe-crm.veevavault.com/ui/#object/account__v/V4TZ00000633NM1", "ISABELLE BENSILUM")</f>
        <v>ISABELLE BENSILUM</v>
      </c>
      <c r="B7422" s="7" t="str">
        <f>HYPERLINK("https://otsuka-europe-crm.veevavault.com/ui/#object/vcountry__v/VENZ000004SONFA", "FR")</f>
        <v>FR</v>
      </c>
      <c r="C7422" s="8" t="s">
        <v>42</v>
      </c>
      <c r="D7422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422" s="10" t="str">
        <f>HYPERLINK("https://otsuka-europe-crm.veevavault.com/ui/#object/sent_email__v/VBL00000002R412", "SE-001434956")</f>
        <v>SE-001434956</v>
      </c>
      <c r="F7422" s="11"/>
      <c r="G7422" s="12">
        <v>0</v>
      </c>
      <c r="H7422" s="12">
        <v>0</v>
      </c>
      <c r="I7422" s="12">
        <v>0</v>
      </c>
      <c r="J7422" s="11"/>
      <c r="K7422" s="12">
        <v>0</v>
      </c>
      <c r="L7422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422" s="10" t="str">
        <f>HYPERLINK("mailto:ssaouab@crm.otsuka-europe.com", "ssaouab@crm.otsuka-europe.com")</f>
        <v>ssaouab@crm.otsuka-europe.com</v>
      </c>
      <c r="N7422" s="13">
        <v>46182.621550925927</v>
      </c>
      <c r="O7422" s="14" t="str">
        <f>HYPERLINK("https://otsuka-europe-crm.veevavault.com/ui/#object/email_activity__v/V8C00000003R754", "EN-002093107")</f>
        <v>EN-002093107</v>
      </c>
    </row>
    <row r="7423" spans="1:15" ht="48" x14ac:dyDescent="0.2">
      <c r="A7423" s="7" t="str">
        <f>HYPERLINK("https://otsuka-europe-crm.veevavault.com/ui/#object/account__v/V4TZ000006DLZJ3", "AMEL BENYELLES")</f>
        <v>AMEL BENYELLES</v>
      </c>
      <c r="B7423" s="7" t="str">
        <f>HYPERLINK("https://otsuka-europe-crm.veevavault.com/ui/#object/vcountry__v/VENZ000004SONFA", "FR")</f>
        <v>FR</v>
      </c>
      <c r="C7423" s="8" t="s">
        <v>42</v>
      </c>
      <c r="D7423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423" s="10" t="str">
        <f>HYPERLINK("https://otsuka-europe-crm.veevavault.com/ui/#object/sent_email__v/VBL00000002S496", "SE-001434957")</f>
        <v>SE-001434957</v>
      </c>
      <c r="F7423" s="11"/>
      <c r="G7423" s="12">
        <v>0</v>
      </c>
      <c r="H7423" s="12">
        <v>0</v>
      </c>
      <c r="I7423" s="12">
        <v>0</v>
      </c>
      <c r="J7423" s="11"/>
      <c r="K7423" s="12">
        <v>0</v>
      </c>
      <c r="L7423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423" s="10" t="str">
        <f>HYPERLINK("mailto:ssaouab@crm.otsuka-europe.com", "ssaouab@crm.otsuka-europe.com")</f>
        <v>ssaouab@crm.otsuka-europe.com</v>
      </c>
      <c r="N7423" s="13">
        <v>46182.621782407405</v>
      </c>
      <c r="O7423" s="14" t="str">
        <f>HYPERLINK("https://otsuka-europe-crm.veevavault.com/ui/#object/email_activity__v/V8C00000003S118", "EN-002093109")</f>
        <v>EN-002093109</v>
      </c>
    </row>
    <row r="7424" spans="1:15" ht="16" x14ac:dyDescent="0.2">
      <c r="A7424" s="17" t="str">
        <f>HYPERLINK("https://otsuka-europe-crm.veevavault.com/ui/#object/account__v/V4TZ000006DLZJ3", "AMEL BENYELLES")</f>
        <v>AMEL BENYELLES</v>
      </c>
      <c r="B7424" s="17" t="str">
        <f>HYPERLINK("https://otsuka-europe-crm.veevavault.com/ui/#object/vcountry__v/VENZ000004SONFA", "FR")</f>
        <v>FR</v>
      </c>
      <c r="C7424" s="20" t="s">
        <v>42</v>
      </c>
      <c r="D7424" s="21" t="str">
        <f>HYPERLINK("https://otsuka-europe-crm.veevavault.com/ui/#object/approved_document__v/V5O00000000P003", "FR-AM2-2500027")</f>
        <v>FR-AM2-2500027</v>
      </c>
      <c r="E7424" s="22" t="str">
        <f>HYPERLINK("https://otsuka-europe-crm.veevavault.com/ui/#object/sent_email__v/VBL00000002R413", "SE-001434958")</f>
        <v>SE-001434958</v>
      </c>
      <c r="F7424" s="23">
        <v>46183.508217592593</v>
      </c>
      <c r="G7424" s="24">
        <v>1</v>
      </c>
      <c r="H7424" s="24">
        <v>2</v>
      </c>
      <c r="I7424" s="24">
        <v>0</v>
      </c>
      <c r="J7424" s="25"/>
      <c r="K7424" s="24">
        <v>0</v>
      </c>
      <c r="L7424" s="22" t="str">
        <f>HYPERLINK("https://otsuka-europe-crm.veevavault.com/ui/#object/approved_document__v/V5O00000000P003", "FR-AM2-2500027")</f>
        <v>FR-AM2-2500027</v>
      </c>
      <c r="M7424" s="22" t="str">
        <f>HYPERLINK("mailto:ssaouab@crm.otsuka-europe.com", "ssaouab@crm.otsuka-europe.com")</f>
        <v>ssaouab@crm.otsuka-europe.com</v>
      </c>
      <c r="N7424" s="23">
        <v>46182.621932870374</v>
      </c>
      <c r="O7424" s="14" t="str">
        <f>HYPERLINK("https://otsuka-europe-crm.veevavault.com/ui/#object/email_activity__v/V8C00000003S119", "EN-002093110")</f>
        <v>EN-002093110</v>
      </c>
    </row>
    <row r="7425" spans="1:15" ht="16" x14ac:dyDescent="0.2">
      <c r="A7425" s="18"/>
      <c r="B7425" s="18"/>
      <c r="C7425" s="18"/>
      <c r="D7425" s="18"/>
      <c r="E7425" s="18"/>
      <c r="F7425" s="18"/>
      <c r="G7425" s="18"/>
      <c r="H7425" s="18"/>
      <c r="I7425" s="18"/>
      <c r="J7425" s="18"/>
      <c r="K7425" s="18"/>
      <c r="L7425" s="18"/>
      <c r="M7425" s="18"/>
      <c r="N7425" s="18"/>
      <c r="O7425" s="14" t="str">
        <f>HYPERLINK("https://otsuka-europe-crm.veevavault.com/ui/#object/email_activity__v/V8C00000003S659", "EN-002094211")</f>
        <v>EN-002094211</v>
      </c>
    </row>
    <row r="7426" spans="1:15" ht="16" x14ac:dyDescent="0.2">
      <c r="A7426" s="19"/>
      <c r="B7426" s="19"/>
      <c r="C7426" s="19"/>
      <c r="D7426" s="19"/>
      <c r="E7426" s="19"/>
      <c r="F7426" s="19"/>
      <c r="G7426" s="19"/>
      <c r="H7426" s="19"/>
      <c r="I7426" s="19"/>
      <c r="J7426" s="19"/>
      <c r="K7426" s="19"/>
      <c r="L7426" s="19"/>
      <c r="M7426" s="19"/>
      <c r="N7426" s="19"/>
      <c r="O7426" s="14" t="str">
        <f>HYPERLINK("https://otsuka-europe-crm.veevavault.com/ui/#object/email_activity__v/V8C00000003T318", "EN-002094212")</f>
        <v>EN-002094212</v>
      </c>
    </row>
    <row r="7427" spans="1:15" ht="16" x14ac:dyDescent="0.2">
      <c r="A7427" s="17" t="str">
        <f>HYPERLINK("https://otsuka-europe-crm.veevavault.com/ui/#object/account__v/V4TZ00000634CND", "LAKHDAR BENZERAFA")</f>
        <v>LAKHDAR BENZERAFA</v>
      </c>
      <c r="B7427" s="17" t="str">
        <f>HYPERLINK("https://otsuka-europe-crm.veevavault.com/ui/#object/vcountry__v/VENZ000004SONFA", "FR")</f>
        <v>FR</v>
      </c>
      <c r="C7427" s="20" t="s">
        <v>42</v>
      </c>
      <c r="D7427" s="21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427" s="22" t="str">
        <f>HYPERLINK("https://otsuka-europe-crm.veevavault.com/ui/#object/sent_email__v/VBL00000002R414", "SE-001434959")</f>
        <v>SE-001434959</v>
      </c>
      <c r="F7427" s="23">
        <v>46185.664363425924</v>
      </c>
      <c r="G7427" s="24">
        <v>1</v>
      </c>
      <c r="H7427" s="24">
        <v>1</v>
      </c>
      <c r="I7427" s="24">
        <v>0</v>
      </c>
      <c r="J7427" s="25"/>
      <c r="K7427" s="24">
        <v>0</v>
      </c>
      <c r="L7427" s="22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427" s="22" t="str">
        <f>HYPERLINK("mailto:ssaouab@crm.otsuka-europe.com", "ssaouab@crm.otsuka-europe.com")</f>
        <v>ssaouab@crm.otsuka-europe.com</v>
      </c>
      <c r="N7427" s="23">
        <v>46182.622858796298</v>
      </c>
      <c r="O7427" s="14" t="str">
        <f>HYPERLINK("https://otsuka-europe-crm.veevavault.com/ui/#object/email_activity__v/V8C00000003R755", "EN-002093111")</f>
        <v>EN-002093111</v>
      </c>
    </row>
    <row r="7428" spans="1:15" ht="16" x14ac:dyDescent="0.2">
      <c r="A7428" s="19"/>
      <c r="B7428" s="19"/>
      <c r="C7428" s="19"/>
      <c r="D7428" s="19"/>
      <c r="E7428" s="19"/>
      <c r="F7428" s="19"/>
      <c r="G7428" s="19"/>
      <c r="H7428" s="19"/>
      <c r="I7428" s="19"/>
      <c r="J7428" s="19"/>
      <c r="K7428" s="19"/>
      <c r="L7428" s="19"/>
      <c r="M7428" s="19"/>
      <c r="N7428" s="19"/>
      <c r="O7428" s="14" t="str">
        <f>HYPERLINK("https://otsuka-europe-crm.veevavault.com/ui/#object/email_activity__v/V8C00000003U344", "EN-002095523")</f>
        <v>EN-002095523</v>
      </c>
    </row>
    <row r="7429" spans="1:15" ht="16" x14ac:dyDescent="0.2">
      <c r="A7429" s="17" t="str">
        <f>HYPERLINK("https://otsuka-europe-crm.veevavault.com/ui/#object/account__v/V4TZ00000634CND", "LAKHDAR BENZERAFA")</f>
        <v>LAKHDAR BENZERAFA</v>
      </c>
      <c r="B7429" s="17" t="str">
        <f>HYPERLINK("https://otsuka-europe-crm.veevavault.com/ui/#object/vcountry__v/VENZ000004SONFA", "FR")</f>
        <v>FR</v>
      </c>
      <c r="C7429" s="20" t="s">
        <v>42</v>
      </c>
      <c r="D7429" s="21" t="str">
        <f>HYPERLINK("https://otsuka-europe-crm.veevavault.com/ui/#object/approved_document__v/V5O00000000P003", "FR-AM2-2500027")</f>
        <v>FR-AM2-2500027</v>
      </c>
      <c r="E7429" s="22" t="str">
        <f>HYPERLINK("https://otsuka-europe-crm.veevavault.com/ui/#object/sent_email__v/VBL00000002S497", "SE-001434960")</f>
        <v>SE-001434960</v>
      </c>
      <c r="F7429" s="23">
        <v>46185.664201388892</v>
      </c>
      <c r="G7429" s="24">
        <v>1</v>
      </c>
      <c r="H7429" s="24">
        <v>1</v>
      </c>
      <c r="I7429" s="24">
        <v>0</v>
      </c>
      <c r="J7429" s="25"/>
      <c r="K7429" s="24">
        <v>0</v>
      </c>
      <c r="L7429" s="22" t="str">
        <f>HYPERLINK("https://otsuka-europe-crm.veevavault.com/ui/#object/approved_document__v/V5O00000000P003", "FR-AM2-2500027")</f>
        <v>FR-AM2-2500027</v>
      </c>
      <c r="M7429" s="22" t="str">
        <f>HYPERLINK("mailto:ssaouab@crm.otsuka-europe.com", "ssaouab@crm.otsuka-europe.com")</f>
        <v>ssaouab@crm.otsuka-europe.com</v>
      </c>
      <c r="N7429" s="23">
        <v>46182.622997685183</v>
      </c>
      <c r="O7429" s="14" t="str">
        <f>HYPERLINK("https://otsuka-europe-crm.veevavault.com/ui/#object/email_activity__v/V8C00000003R756", "EN-002093112")</f>
        <v>EN-002093112</v>
      </c>
    </row>
    <row r="7430" spans="1:15" ht="16" x14ac:dyDescent="0.2">
      <c r="A7430" s="19"/>
      <c r="B7430" s="19"/>
      <c r="C7430" s="19"/>
      <c r="D7430" s="19"/>
      <c r="E7430" s="19"/>
      <c r="F7430" s="19"/>
      <c r="G7430" s="19"/>
      <c r="H7430" s="19"/>
      <c r="I7430" s="19"/>
      <c r="J7430" s="19"/>
      <c r="K7430" s="19"/>
      <c r="L7430" s="19"/>
      <c r="M7430" s="19"/>
      <c r="N7430" s="19"/>
      <c r="O7430" s="14" t="str">
        <f>HYPERLINK("https://otsuka-europe-crm.veevavault.com/ui/#object/email_activity__v/V8C00000003U343", "EN-002095522")</f>
        <v>EN-002095522</v>
      </c>
    </row>
    <row r="7431" spans="1:15" ht="16" x14ac:dyDescent="0.2">
      <c r="A7431" s="17" t="str">
        <f>HYPERLINK("https://otsuka-europe-crm.veevavault.com/ui/#object/account__v/V4TZ00000633JCG", "HAKIM BERGHOUT")</f>
        <v>HAKIM BERGHOUT</v>
      </c>
      <c r="B7431" s="17" t="str">
        <f>HYPERLINK("https://otsuka-europe-crm.veevavault.com/ui/#object/vcountry__v/VENZ000004SONFA", "FR")</f>
        <v>FR</v>
      </c>
      <c r="C7431" s="20" t="s">
        <v>42</v>
      </c>
      <c r="D7431" s="21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431" s="22" t="str">
        <f>HYPERLINK("https://otsuka-europe-crm.veevavault.com/ui/#object/sent_email__v/VBL00000002S498", "SE-001434961")</f>
        <v>SE-001434961</v>
      </c>
      <c r="F7431" s="23">
        <v>46182.711608796293</v>
      </c>
      <c r="G7431" s="24">
        <v>1</v>
      </c>
      <c r="H7431" s="24">
        <v>1</v>
      </c>
      <c r="I7431" s="24">
        <v>0</v>
      </c>
      <c r="J7431" s="25"/>
      <c r="K7431" s="24">
        <v>0</v>
      </c>
      <c r="L7431" s="22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431" s="22" t="str">
        <f>HYPERLINK("mailto:ssaouab@crm.otsuka-europe.com", "ssaouab@crm.otsuka-europe.com")</f>
        <v>ssaouab@crm.otsuka-europe.com</v>
      </c>
      <c r="N7431" s="23">
        <v>46182.623206018521</v>
      </c>
      <c r="O7431" s="14" t="str">
        <f>HYPERLINK("https://otsuka-europe-crm.veevavault.com/ui/#object/email_activity__v/V8C00000003R757", "EN-002093113")</f>
        <v>EN-002093113</v>
      </c>
    </row>
    <row r="7432" spans="1:15" ht="16" x14ac:dyDescent="0.2">
      <c r="A7432" s="19"/>
      <c r="B7432" s="19"/>
      <c r="C7432" s="19"/>
      <c r="D7432" s="19"/>
      <c r="E7432" s="19"/>
      <c r="F7432" s="19"/>
      <c r="G7432" s="19"/>
      <c r="H7432" s="19"/>
      <c r="I7432" s="19"/>
      <c r="J7432" s="19"/>
      <c r="K7432" s="19"/>
      <c r="L7432" s="19"/>
      <c r="M7432" s="19"/>
      <c r="N7432" s="19"/>
      <c r="O7432" s="14" t="str">
        <f>HYPERLINK("https://otsuka-europe-crm.veevavault.com/ui/#object/email_activity__v/V8C00000003S232", "EN-002093342")</f>
        <v>EN-002093342</v>
      </c>
    </row>
    <row r="7433" spans="1:15" ht="16" x14ac:dyDescent="0.2">
      <c r="A7433" s="17" t="str">
        <f>HYPERLINK("https://otsuka-europe-crm.veevavault.com/ui/#object/account__v/V4TZ00000633JCG", "HAKIM BERGHOUT")</f>
        <v>HAKIM BERGHOUT</v>
      </c>
      <c r="B7433" s="17" t="str">
        <f>HYPERLINK("https://otsuka-europe-crm.veevavault.com/ui/#object/vcountry__v/VENZ000004SONFA", "FR")</f>
        <v>FR</v>
      </c>
      <c r="C7433" s="20" t="s">
        <v>42</v>
      </c>
      <c r="D7433" s="21" t="str">
        <f>HYPERLINK("https://otsuka-europe-crm.veevavault.com/ui/#object/approved_document__v/V5O00000000P003", "FR-AM2-2500027")</f>
        <v>FR-AM2-2500027</v>
      </c>
      <c r="E7433" s="22" t="str">
        <f>HYPERLINK("https://otsuka-europe-crm.veevavault.com/ui/#object/sent_email__v/VBL00000002S499", "SE-001434962")</f>
        <v>SE-001434962</v>
      </c>
      <c r="F7433" s="23">
        <v>46182.711342592593</v>
      </c>
      <c r="G7433" s="24">
        <v>1</v>
      </c>
      <c r="H7433" s="24">
        <v>1</v>
      </c>
      <c r="I7433" s="24">
        <v>0</v>
      </c>
      <c r="J7433" s="25"/>
      <c r="K7433" s="24">
        <v>0</v>
      </c>
      <c r="L7433" s="22" t="str">
        <f>HYPERLINK("https://otsuka-europe-crm.veevavault.com/ui/#object/approved_document__v/V5O00000000P003", "FR-AM2-2500027")</f>
        <v>FR-AM2-2500027</v>
      </c>
      <c r="M7433" s="22" t="str">
        <f>HYPERLINK("mailto:ssaouab@crm.otsuka-europe.com", "ssaouab@crm.otsuka-europe.com")</f>
        <v>ssaouab@crm.otsuka-europe.com</v>
      </c>
      <c r="N7433" s="23">
        <v>46182.623530092591</v>
      </c>
      <c r="O7433" s="14" t="str">
        <f>HYPERLINK("https://otsuka-europe-crm.veevavault.com/ui/#object/email_activity__v/V8C00000003R758", "EN-002093114")</f>
        <v>EN-002093114</v>
      </c>
    </row>
    <row r="7434" spans="1:15" ht="16" x14ac:dyDescent="0.2">
      <c r="A7434" s="19"/>
      <c r="B7434" s="19"/>
      <c r="C7434" s="19"/>
      <c r="D7434" s="19"/>
      <c r="E7434" s="19"/>
      <c r="F7434" s="19"/>
      <c r="G7434" s="19"/>
      <c r="H7434" s="19"/>
      <c r="I7434" s="19"/>
      <c r="J7434" s="19"/>
      <c r="K7434" s="19"/>
      <c r="L7434" s="19"/>
      <c r="M7434" s="19"/>
      <c r="N7434" s="19"/>
      <c r="O7434" s="14" t="str">
        <f>HYPERLINK("https://otsuka-europe-crm.veevavault.com/ui/#object/email_activity__v/V8C00000003S231", "EN-002093341")</f>
        <v>EN-002093341</v>
      </c>
    </row>
    <row r="7435" spans="1:15" ht="48" x14ac:dyDescent="0.2">
      <c r="A7435" s="7" t="str">
        <f>HYPERLINK("https://otsuka-europe-crm.veevavault.com/ui/#object/account__v/V4TZ00000633JV9", "ELIZABETH BERTOLINO")</f>
        <v>ELIZABETH BERTOLINO</v>
      </c>
      <c r="B7435" s="7" t="str">
        <f>HYPERLINK("https://otsuka-europe-crm.veevavault.com/ui/#object/vcountry__v/VENZ000004SONFA", "FR")</f>
        <v>FR</v>
      </c>
      <c r="C7435" s="8" t="s">
        <v>42</v>
      </c>
      <c r="D7435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435" s="10" t="str">
        <f>HYPERLINK("https://otsuka-europe-crm.veevavault.com/ui/#object/sent_email__v/VBL00000002R415", "SE-001434963")</f>
        <v>SE-001434963</v>
      </c>
      <c r="F7435" s="11"/>
      <c r="G7435" s="12">
        <v>0</v>
      </c>
      <c r="H7435" s="12">
        <v>0</v>
      </c>
      <c r="I7435" s="12">
        <v>0</v>
      </c>
      <c r="J7435" s="11"/>
      <c r="K7435" s="12">
        <v>0</v>
      </c>
      <c r="L7435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435" s="10" t="str">
        <f>HYPERLINK("mailto:ssaouab@crm.otsuka-europe.com", "ssaouab@crm.otsuka-europe.com")</f>
        <v>ssaouab@crm.otsuka-europe.com</v>
      </c>
      <c r="N7435" s="13">
        <v>46182.62909722222</v>
      </c>
      <c r="O7435" s="14" t="str">
        <f>HYPERLINK("https://otsuka-europe-crm.veevavault.com/ui/#object/email_activity__v/V8C00000003S123", "EN-002093120")</f>
        <v>EN-002093120</v>
      </c>
    </row>
    <row r="7436" spans="1:15" ht="32" x14ac:dyDescent="0.2">
      <c r="A7436" s="7" t="str">
        <f>HYPERLINK("https://otsuka-europe-crm.veevavault.com/ui/#object/account__v/V4TZ00000633JV9", "ELIZABETH BERTOLINO")</f>
        <v>ELIZABETH BERTOLINO</v>
      </c>
      <c r="B7436" s="7" t="str">
        <f>HYPERLINK("https://otsuka-europe-crm.veevavault.com/ui/#object/vcountry__v/VENZ000004SONFA", "FR")</f>
        <v>FR</v>
      </c>
      <c r="C7436" s="8" t="s">
        <v>42</v>
      </c>
      <c r="D7436" s="9" t="str">
        <f>HYPERLINK("https://otsuka-europe-crm.veevavault.com/ui/#object/approved_document__v/V5O00000000P003", "FR-AM2-2500027")</f>
        <v>FR-AM2-2500027</v>
      </c>
      <c r="E7436" s="10" t="str">
        <f>HYPERLINK("https://otsuka-europe-crm.veevavault.com/ui/#object/sent_email__v/VBL00000002S500", "SE-001434964")</f>
        <v>SE-001434964</v>
      </c>
      <c r="F7436" s="11"/>
      <c r="G7436" s="12">
        <v>0</v>
      </c>
      <c r="H7436" s="12">
        <v>0</v>
      </c>
      <c r="I7436" s="12">
        <v>0</v>
      </c>
      <c r="J7436" s="11"/>
      <c r="K7436" s="12">
        <v>0</v>
      </c>
      <c r="L7436" s="10" t="str">
        <f>HYPERLINK("https://otsuka-europe-crm.veevavault.com/ui/#object/approved_document__v/V5O00000000P003", "FR-AM2-2500027")</f>
        <v>FR-AM2-2500027</v>
      </c>
      <c r="M7436" s="10" t="str">
        <f>HYPERLINK("mailto:ssaouab@crm.otsuka-europe.com", "ssaouab@crm.otsuka-europe.com")</f>
        <v>ssaouab@crm.otsuka-europe.com</v>
      </c>
      <c r="N7436" s="13">
        <v>46182.629224537035</v>
      </c>
      <c r="O7436" s="14" t="str">
        <f>HYPERLINK("https://otsuka-europe-crm.veevavault.com/ui/#object/email_activity__v/V8C00000003S124", "EN-002093121")</f>
        <v>EN-002093121</v>
      </c>
    </row>
    <row r="7437" spans="1:15" ht="16" x14ac:dyDescent="0.2">
      <c r="A7437" s="17" t="str">
        <f>HYPERLINK("https://otsuka-europe-crm.veevavault.com/ui/#object/account__v/V4TZ00000633NIU", "ABDELHAMID BETTAHAR")</f>
        <v>ABDELHAMID BETTAHAR</v>
      </c>
      <c r="B7437" s="17" t="str">
        <f>HYPERLINK("https://otsuka-europe-crm.veevavault.com/ui/#object/vcountry__v/VENZ000004SONFA", "FR")</f>
        <v>FR</v>
      </c>
      <c r="C7437" s="20" t="s">
        <v>42</v>
      </c>
      <c r="D7437" s="21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437" s="22" t="str">
        <f>HYPERLINK("https://otsuka-europe-crm.veevavault.com/ui/#object/sent_email__v/VBL00000002R416", "SE-001434965")</f>
        <v>SE-001434965</v>
      </c>
      <c r="F7437" s="23">
        <v>46184.348263888889</v>
      </c>
      <c r="G7437" s="24">
        <v>1</v>
      </c>
      <c r="H7437" s="24">
        <v>1</v>
      </c>
      <c r="I7437" s="24">
        <v>0</v>
      </c>
      <c r="J7437" s="25"/>
      <c r="K7437" s="24">
        <v>0</v>
      </c>
      <c r="L7437" s="22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437" s="22" t="str">
        <f>HYPERLINK("mailto:ssaouab@crm.otsuka-europe.com", "ssaouab@crm.otsuka-europe.com")</f>
        <v>ssaouab@crm.otsuka-europe.com</v>
      </c>
      <c r="N7437" s="23">
        <v>46182.63</v>
      </c>
      <c r="O7437" s="14" t="str">
        <f>HYPERLINK("https://otsuka-europe-crm.veevavault.com/ui/#object/email_activity__v/V8C00000003R762", "EN-002093123")</f>
        <v>EN-002093123</v>
      </c>
    </row>
    <row r="7438" spans="1:15" ht="16" x14ac:dyDescent="0.2">
      <c r="A7438" s="19"/>
      <c r="B7438" s="19"/>
      <c r="C7438" s="19"/>
      <c r="D7438" s="19"/>
      <c r="E7438" s="19"/>
      <c r="F7438" s="19"/>
      <c r="G7438" s="19"/>
      <c r="H7438" s="19"/>
      <c r="I7438" s="19"/>
      <c r="J7438" s="19"/>
      <c r="K7438" s="19"/>
      <c r="L7438" s="19"/>
      <c r="M7438" s="19"/>
      <c r="N7438" s="19"/>
      <c r="O7438" s="14" t="str">
        <f>HYPERLINK("https://otsuka-europe-crm.veevavault.com/ui/#object/email_activity__v/V8C00000003S825", "EN-002094501")</f>
        <v>EN-002094501</v>
      </c>
    </row>
    <row r="7439" spans="1:15" ht="16" x14ac:dyDescent="0.2">
      <c r="A7439" s="17" t="str">
        <f>HYPERLINK("https://otsuka-europe-crm.veevavault.com/ui/#object/account__v/V4TZ00000633NIU", "ABDELHAMID BETTAHAR")</f>
        <v>ABDELHAMID BETTAHAR</v>
      </c>
      <c r="B7439" s="17" t="str">
        <f>HYPERLINK("https://otsuka-europe-crm.veevavault.com/ui/#object/vcountry__v/VENZ000004SONFA", "FR")</f>
        <v>FR</v>
      </c>
      <c r="C7439" s="20" t="s">
        <v>42</v>
      </c>
      <c r="D7439" s="21" t="str">
        <f>HYPERLINK("https://otsuka-europe-crm.veevavault.com/ui/#object/approved_document__v/V5O00000000P003", "FR-AM2-2500027")</f>
        <v>FR-AM2-2500027</v>
      </c>
      <c r="E7439" s="22" t="str">
        <f>HYPERLINK("https://otsuka-europe-crm.veevavault.com/ui/#object/sent_email__v/VBL00000002S501", "SE-001434966")</f>
        <v>SE-001434966</v>
      </c>
      <c r="F7439" s="23">
        <v>46184.348229166666</v>
      </c>
      <c r="G7439" s="24">
        <v>1</v>
      </c>
      <c r="H7439" s="24">
        <v>1</v>
      </c>
      <c r="I7439" s="24">
        <v>0</v>
      </c>
      <c r="J7439" s="25"/>
      <c r="K7439" s="24">
        <v>0</v>
      </c>
      <c r="L7439" s="22" t="str">
        <f>HYPERLINK("https://otsuka-europe-crm.veevavault.com/ui/#object/approved_document__v/V5O00000000P003", "FR-AM2-2500027")</f>
        <v>FR-AM2-2500027</v>
      </c>
      <c r="M7439" s="22" t="str">
        <f>HYPERLINK("mailto:ssaouab@crm.otsuka-europe.com", "ssaouab@crm.otsuka-europe.com")</f>
        <v>ssaouab@crm.otsuka-europe.com</v>
      </c>
      <c r="N7439" s="23">
        <v>46182.630057870374</v>
      </c>
      <c r="O7439" s="14" t="str">
        <f>HYPERLINK("https://otsuka-europe-crm.veevavault.com/ui/#object/email_activity__v/V8C00000003R763", "EN-002093124")</f>
        <v>EN-002093124</v>
      </c>
    </row>
    <row r="7440" spans="1:15" ht="16" x14ac:dyDescent="0.2">
      <c r="A7440" s="19"/>
      <c r="B7440" s="19"/>
      <c r="C7440" s="19"/>
      <c r="D7440" s="19"/>
      <c r="E7440" s="19"/>
      <c r="F7440" s="19"/>
      <c r="G7440" s="19"/>
      <c r="H7440" s="19"/>
      <c r="I7440" s="19"/>
      <c r="J7440" s="19"/>
      <c r="K7440" s="19"/>
      <c r="L7440" s="19"/>
      <c r="M7440" s="19"/>
      <c r="N7440" s="19"/>
      <c r="O7440" s="14" t="str">
        <f>HYPERLINK("https://otsuka-europe-crm.veevavault.com/ui/#object/email_activity__v/V8C00000003S824", "EN-002094500")</f>
        <v>EN-002094500</v>
      </c>
    </row>
    <row r="7441" spans="1:15" ht="48" x14ac:dyDescent="0.2">
      <c r="A7441" s="7" t="str">
        <f>HYPERLINK("https://otsuka-europe-crm.veevavault.com/ui/#object/account__v/V4TZ025E836327N", "ROUFKA BOUANANI")</f>
        <v>ROUFKA BOUANANI</v>
      </c>
      <c r="B7441" s="7" t="str">
        <f>HYPERLINK("https://otsuka-europe-crm.veevavault.com/ui/#object/vcountry__v/VENZ000004SONFA", "FR")</f>
        <v>FR</v>
      </c>
      <c r="C7441" s="8" t="s">
        <v>42</v>
      </c>
      <c r="D7441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441" s="10" t="str">
        <f>HYPERLINK("https://otsuka-europe-crm.veevavault.com/ui/#object/sent_email__v/VBL00000002R417", "SE-001434967")</f>
        <v>SE-001434967</v>
      </c>
      <c r="F7441" s="11"/>
      <c r="G7441" s="12">
        <v>0</v>
      </c>
      <c r="H7441" s="12">
        <v>0</v>
      </c>
      <c r="I7441" s="12">
        <v>0</v>
      </c>
      <c r="J7441" s="11"/>
      <c r="K7441" s="12">
        <v>0</v>
      </c>
      <c r="L7441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441" s="10" t="str">
        <f>HYPERLINK("mailto:ssaouab@crm.otsuka-europe.com", "ssaouab@crm.otsuka-europe.com")</f>
        <v>ssaouab@crm.otsuka-europe.com</v>
      </c>
      <c r="N7441" s="13">
        <v>46182.630856481483</v>
      </c>
      <c r="O7441" s="14" t="str">
        <f>HYPERLINK("https://otsuka-europe-crm.veevavault.com/ui/#object/email_activity__v/V8C00000003R766", "EN-002093127")</f>
        <v>EN-002093127</v>
      </c>
    </row>
    <row r="7442" spans="1:15" ht="16" x14ac:dyDescent="0.2">
      <c r="A7442" s="17" t="str">
        <f>HYPERLINK("https://otsuka-europe-crm.veevavault.com/ui/#object/account__v/V4TZ025E836327N", "ROUFKA BOUANANI")</f>
        <v>ROUFKA BOUANANI</v>
      </c>
      <c r="B7442" s="17" t="str">
        <f>HYPERLINK("https://otsuka-europe-crm.veevavault.com/ui/#object/vcountry__v/VENZ000004SONFA", "FR")</f>
        <v>FR</v>
      </c>
      <c r="C7442" s="20" t="s">
        <v>42</v>
      </c>
      <c r="D7442" s="21" t="str">
        <f>HYPERLINK("https://otsuka-europe-crm.veevavault.com/ui/#object/approved_document__v/V5O00000000P003", "FR-AM2-2500027")</f>
        <v>FR-AM2-2500027</v>
      </c>
      <c r="E7442" s="22" t="str">
        <f>HYPERLINK("https://otsuka-europe-crm.veevavault.com/ui/#object/sent_email__v/VBL00000002S502", "SE-001434968")</f>
        <v>SE-001434968</v>
      </c>
      <c r="F7442" s="23">
        <v>46182.64638888889</v>
      </c>
      <c r="G7442" s="24">
        <v>1</v>
      </c>
      <c r="H7442" s="24">
        <v>2</v>
      </c>
      <c r="I7442" s="24">
        <v>0</v>
      </c>
      <c r="J7442" s="25"/>
      <c r="K7442" s="24">
        <v>0</v>
      </c>
      <c r="L7442" s="22" t="str">
        <f>HYPERLINK("https://otsuka-europe-crm.veevavault.com/ui/#object/approved_document__v/V5O00000000P003", "FR-AM2-2500027")</f>
        <v>FR-AM2-2500027</v>
      </c>
      <c r="M7442" s="22" t="str">
        <f>HYPERLINK("mailto:ssaouab@crm.otsuka-europe.com", "ssaouab@crm.otsuka-europe.com")</f>
        <v>ssaouab@crm.otsuka-europe.com</v>
      </c>
      <c r="N7442" s="23">
        <v>46182.630937499998</v>
      </c>
      <c r="O7442" s="14" t="str">
        <f>HYPERLINK("https://otsuka-europe-crm.veevavault.com/ui/#object/email_activity__v/V8C00000003R765", "EN-002093126")</f>
        <v>EN-002093126</v>
      </c>
    </row>
    <row r="7443" spans="1:15" ht="16" x14ac:dyDescent="0.2">
      <c r="A7443" s="18"/>
      <c r="B7443" s="18"/>
      <c r="C7443" s="18"/>
      <c r="D7443" s="18"/>
      <c r="E7443" s="18"/>
      <c r="F7443" s="18"/>
      <c r="G7443" s="18"/>
      <c r="H7443" s="18"/>
      <c r="I7443" s="18"/>
      <c r="J7443" s="18"/>
      <c r="K7443" s="18"/>
      <c r="L7443" s="18"/>
      <c r="M7443" s="18"/>
      <c r="N7443" s="18"/>
      <c r="O7443" s="14" t="str">
        <f>HYPERLINK("https://otsuka-europe-crm.veevavault.com/ui/#object/email_activity__v/V8C00000003R792", "EN-002093165")</f>
        <v>EN-002093165</v>
      </c>
    </row>
    <row r="7444" spans="1:15" ht="16" x14ac:dyDescent="0.2">
      <c r="A7444" s="19"/>
      <c r="B7444" s="19"/>
      <c r="C7444" s="19"/>
      <c r="D7444" s="19"/>
      <c r="E7444" s="19"/>
      <c r="F7444" s="19"/>
      <c r="G7444" s="19"/>
      <c r="H7444" s="19"/>
      <c r="I7444" s="19"/>
      <c r="J7444" s="19"/>
      <c r="K7444" s="19"/>
      <c r="L7444" s="19"/>
      <c r="M7444" s="19"/>
      <c r="N7444" s="19"/>
      <c r="O7444" s="14" t="str">
        <f>HYPERLINK("https://otsuka-europe-crm.veevavault.com/ui/#object/email_activity__v/V8C00000003S162", "EN-002093200")</f>
        <v>EN-002093200</v>
      </c>
    </row>
    <row r="7445" spans="1:15" ht="48" x14ac:dyDescent="0.2">
      <c r="A7445" s="7" t="str">
        <f>HYPERLINK("https://otsuka-europe-crm.veevavault.com/ui/#object/account__v/V4TZ00000633OK9", "AHCENE BOUARAB")</f>
        <v>AHCENE BOUARAB</v>
      </c>
      <c r="B7445" s="7" t="str">
        <f>HYPERLINK("https://otsuka-europe-crm.veevavault.com/ui/#object/vcountry__v/VENZ000004SONFA", "FR")</f>
        <v>FR</v>
      </c>
      <c r="C7445" s="8" t="s">
        <v>42</v>
      </c>
      <c r="D7445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445" s="10" t="str">
        <f>HYPERLINK("https://otsuka-europe-crm.veevavault.com/ui/#object/sent_email__v/VBL00000002R418", "SE-001434969")</f>
        <v>SE-001434969</v>
      </c>
      <c r="F7445" s="11"/>
      <c r="G7445" s="12">
        <v>0</v>
      </c>
      <c r="H7445" s="12">
        <v>0</v>
      </c>
      <c r="I7445" s="12">
        <v>0</v>
      </c>
      <c r="J7445" s="11"/>
      <c r="K7445" s="12">
        <v>0</v>
      </c>
      <c r="L7445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445" s="10" t="str">
        <f>HYPERLINK("mailto:ssaouab@crm.otsuka-europe.com", "ssaouab@crm.otsuka-europe.com")</f>
        <v>ssaouab@crm.otsuka-europe.com</v>
      </c>
      <c r="N7445" s="13">
        <v>46182.631331018521</v>
      </c>
      <c r="O7445" s="14" t="str">
        <f>HYPERLINK("https://otsuka-europe-crm.veevavault.com/ui/#object/email_activity__v/V8C00000003R767", "EN-002093128")</f>
        <v>EN-002093128</v>
      </c>
    </row>
    <row r="7446" spans="1:15" ht="32" x14ac:dyDescent="0.2">
      <c r="A7446" s="7" t="str">
        <f>HYPERLINK("https://otsuka-europe-crm.veevavault.com/ui/#object/account__v/V4TZ00000633OK9", "AHCENE BOUARAB")</f>
        <v>AHCENE BOUARAB</v>
      </c>
      <c r="B7446" s="7" t="str">
        <f>HYPERLINK("https://otsuka-europe-crm.veevavault.com/ui/#object/vcountry__v/VENZ000004SONFA", "FR")</f>
        <v>FR</v>
      </c>
      <c r="C7446" s="8" t="s">
        <v>42</v>
      </c>
      <c r="D7446" s="9" t="str">
        <f>HYPERLINK("https://otsuka-europe-crm.veevavault.com/ui/#object/approved_document__v/V5O00000000P003", "FR-AM2-2500027")</f>
        <v>FR-AM2-2500027</v>
      </c>
      <c r="E7446" s="10" t="str">
        <f>HYPERLINK("https://otsuka-europe-crm.veevavault.com/ui/#object/sent_email__v/VBL00000002R419", "SE-001434970")</f>
        <v>SE-001434970</v>
      </c>
      <c r="F7446" s="11"/>
      <c r="G7446" s="12">
        <v>0</v>
      </c>
      <c r="H7446" s="12">
        <v>0</v>
      </c>
      <c r="I7446" s="12">
        <v>0</v>
      </c>
      <c r="J7446" s="11"/>
      <c r="K7446" s="12">
        <v>0</v>
      </c>
      <c r="L7446" s="10" t="str">
        <f>HYPERLINK("https://otsuka-europe-crm.veevavault.com/ui/#object/approved_document__v/V5O00000000P003", "FR-AM2-2500027")</f>
        <v>FR-AM2-2500027</v>
      </c>
      <c r="M7446" s="10" t="str">
        <f>HYPERLINK("mailto:ssaouab@crm.otsuka-europe.com", "ssaouab@crm.otsuka-europe.com")</f>
        <v>ssaouab@crm.otsuka-europe.com</v>
      </c>
      <c r="N7446" s="13">
        <v>46182.631354166668</v>
      </c>
      <c r="O7446" s="14" t="str">
        <f>HYPERLINK("https://otsuka-europe-crm.veevavault.com/ui/#object/email_activity__v/V8C00000003S125", "EN-002093129")</f>
        <v>EN-002093129</v>
      </c>
    </row>
    <row r="7447" spans="1:15" ht="16" x14ac:dyDescent="0.2">
      <c r="A7447" s="17" t="str">
        <f>HYPERLINK("https://otsuka-europe-crm.veevavault.com/ui/#object/account__v/V4TZ00000633OKE", "NOOMANE BOUAZIZ")</f>
        <v>NOOMANE BOUAZIZ</v>
      </c>
      <c r="B7447" s="17" t="str">
        <f>HYPERLINK("https://otsuka-europe-crm.veevavault.com/ui/#object/vcountry__v/VENZ000004SONFA", "FR")</f>
        <v>FR</v>
      </c>
      <c r="C7447" s="20" t="s">
        <v>42</v>
      </c>
      <c r="D7447" s="21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447" s="22" t="str">
        <f>HYPERLINK("https://otsuka-europe-crm.veevavault.com/ui/#object/sent_email__v/VBL00000002R420", "SE-001434971")</f>
        <v>SE-001434971</v>
      </c>
      <c r="F7447" s="23">
        <v>46183.913159722222</v>
      </c>
      <c r="G7447" s="24">
        <v>1</v>
      </c>
      <c r="H7447" s="24">
        <v>3</v>
      </c>
      <c r="I7447" s="24">
        <v>0</v>
      </c>
      <c r="J7447" s="25"/>
      <c r="K7447" s="24">
        <v>0</v>
      </c>
      <c r="L7447" s="22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447" s="22" t="str">
        <f>HYPERLINK("mailto:ssaouab@crm.otsuka-europe.com", "ssaouab@crm.otsuka-europe.com")</f>
        <v>ssaouab@crm.otsuka-europe.com</v>
      </c>
      <c r="N7447" s="23">
        <v>46182.631689814814</v>
      </c>
      <c r="O7447" s="14" t="str">
        <f>HYPERLINK("https://otsuka-europe-crm.veevavault.com/ui/#object/email_activity__v/V8C00000003R768", "EN-002093130")</f>
        <v>EN-002093130</v>
      </c>
    </row>
    <row r="7448" spans="1:15" ht="16" x14ac:dyDescent="0.2">
      <c r="A7448" s="18"/>
      <c r="B7448" s="18"/>
      <c r="C7448" s="18"/>
      <c r="D7448" s="18"/>
      <c r="E7448" s="18"/>
      <c r="F7448" s="18"/>
      <c r="G7448" s="18"/>
      <c r="H7448" s="18"/>
      <c r="I7448" s="18"/>
      <c r="J7448" s="18"/>
      <c r="K7448" s="18"/>
      <c r="L7448" s="18"/>
      <c r="M7448" s="18"/>
      <c r="N7448" s="18"/>
      <c r="O7448" s="14" t="str">
        <f>HYPERLINK("https://otsuka-europe-crm.veevavault.com/ui/#object/email_activity__v/V8C00000003R780", "EN-002093143")</f>
        <v>EN-002093143</v>
      </c>
    </row>
    <row r="7449" spans="1:15" ht="16" x14ac:dyDescent="0.2">
      <c r="A7449" s="18"/>
      <c r="B7449" s="18"/>
      <c r="C7449" s="18"/>
      <c r="D7449" s="18"/>
      <c r="E7449" s="18"/>
      <c r="F7449" s="18"/>
      <c r="G7449" s="18"/>
      <c r="H7449" s="18"/>
      <c r="I7449" s="18"/>
      <c r="J7449" s="18"/>
      <c r="K7449" s="18"/>
      <c r="L7449" s="18"/>
      <c r="M7449" s="18"/>
      <c r="N7449" s="18"/>
      <c r="O7449" s="14" t="str">
        <f>HYPERLINK("https://otsuka-europe-crm.veevavault.com/ui/#object/email_activity__v/V8C00000003R783", "EN-002093146")</f>
        <v>EN-002093146</v>
      </c>
    </row>
    <row r="7450" spans="1:15" ht="16" x14ac:dyDescent="0.2">
      <c r="A7450" s="19"/>
      <c r="B7450" s="19"/>
      <c r="C7450" s="19"/>
      <c r="D7450" s="19"/>
      <c r="E7450" s="19"/>
      <c r="F7450" s="19"/>
      <c r="G7450" s="19"/>
      <c r="H7450" s="19"/>
      <c r="I7450" s="19"/>
      <c r="J7450" s="19"/>
      <c r="K7450" s="19"/>
      <c r="L7450" s="19"/>
      <c r="M7450" s="19"/>
      <c r="N7450" s="19"/>
      <c r="O7450" s="14" t="str">
        <f>HYPERLINK("https://otsuka-europe-crm.veevavault.com/ui/#object/email_activity__v/V8C00000003S794", "EN-002094441")</f>
        <v>EN-002094441</v>
      </c>
    </row>
    <row r="7451" spans="1:15" ht="16" x14ac:dyDescent="0.2">
      <c r="A7451" s="17" t="str">
        <f>HYPERLINK("https://otsuka-europe-crm.veevavault.com/ui/#object/account__v/V4TZ00000633OKE", "NOOMANE BOUAZIZ")</f>
        <v>NOOMANE BOUAZIZ</v>
      </c>
      <c r="B7451" s="17" t="str">
        <f>HYPERLINK("https://otsuka-europe-crm.veevavault.com/ui/#object/vcountry__v/VENZ000004SONFA", "FR")</f>
        <v>FR</v>
      </c>
      <c r="C7451" s="20" t="s">
        <v>42</v>
      </c>
      <c r="D7451" s="21" t="str">
        <f>HYPERLINK("https://otsuka-europe-crm.veevavault.com/ui/#object/approved_document__v/V5O00000000P003", "FR-AM2-2500027")</f>
        <v>FR-AM2-2500027</v>
      </c>
      <c r="E7451" s="22" t="str">
        <f>HYPERLINK("https://otsuka-europe-crm.veevavault.com/ui/#object/sent_email__v/VBL00000002S503", "SE-001434972")</f>
        <v>SE-001434972</v>
      </c>
      <c r="F7451" s="23">
        <v>46183.913159722222</v>
      </c>
      <c r="G7451" s="24">
        <v>1</v>
      </c>
      <c r="H7451" s="24">
        <v>3</v>
      </c>
      <c r="I7451" s="24">
        <v>0</v>
      </c>
      <c r="J7451" s="25"/>
      <c r="K7451" s="24">
        <v>0</v>
      </c>
      <c r="L7451" s="22" t="str">
        <f>HYPERLINK("https://otsuka-europe-crm.veevavault.com/ui/#object/approved_document__v/V5O00000000P003", "FR-AM2-2500027")</f>
        <v>FR-AM2-2500027</v>
      </c>
      <c r="M7451" s="22" t="str">
        <f>HYPERLINK("mailto:ssaouab@crm.otsuka-europe.com", "ssaouab@crm.otsuka-europe.com")</f>
        <v>ssaouab@crm.otsuka-europe.com</v>
      </c>
      <c r="N7451" s="23">
        <v>46182.631782407407</v>
      </c>
      <c r="O7451" s="14" t="str">
        <f>HYPERLINK("https://otsuka-europe-crm.veevavault.com/ui/#object/email_activity__v/V8C00000003R769", "EN-002093131")</f>
        <v>EN-002093131</v>
      </c>
    </row>
    <row r="7452" spans="1:15" ht="16" x14ac:dyDescent="0.2">
      <c r="A7452" s="18"/>
      <c r="B7452" s="18"/>
      <c r="C7452" s="18"/>
      <c r="D7452" s="18"/>
      <c r="E7452" s="18"/>
      <c r="F7452" s="18"/>
      <c r="G7452" s="18"/>
      <c r="H7452" s="18"/>
      <c r="I7452" s="18"/>
      <c r="J7452" s="18"/>
      <c r="K7452" s="18"/>
      <c r="L7452" s="18"/>
      <c r="M7452" s="18"/>
      <c r="N7452" s="18"/>
      <c r="O7452" s="14" t="str">
        <f>HYPERLINK("https://otsuka-europe-crm.veevavault.com/ui/#object/email_activity__v/V8C00000003R781", "EN-002093144")</f>
        <v>EN-002093144</v>
      </c>
    </row>
    <row r="7453" spans="1:15" ht="16" x14ac:dyDescent="0.2">
      <c r="A7453" s="18"/>
      <c r="B7453" s="18"/>
      <c r="C7453" s="18"/>
      <c r="D7453" s="18"/>
      <c r="E7453" s="18"/>
      <c r="F7453" s="18"/>
      <c r="G7453" s="18"/>
      <c r="H7453" s="18"/>
      <c r="I7453" s="18"/>
      <c r="J7453" s="18"/>
      <c r="K7453" s="18"/>
      <c r="L7453" s="18"/>
      <c r="M7453" s="18"/>
      <c r="N7453" s="18"/>
      <c r="O7453" s="14" t="str">
        <f>HYPERLINK("https://otsuka-europe-crm.veevavault.com/ui/#object/email_activity__v/V8C00000003S126", "EN-002093132")</f>
        <v>EN-002093132</v>
      </c>
    </row>
    <row r="7454" spans="1:15" ht="16" x14ac:dyDescent="0.2">
      <c r="A7454" s="19"/>
      <c r="B7454" s="19"/>
      <c r="C7454" s="19"/>
      <c r="D7454" s="19"/>
      <c r="E7454" s="19"/>
      <c r="F7454" s="19"/>
      <c r="G7454" s="19"/>
      <c r="H7454" s="19"/>
      <c r="I7454" s="19"/>
      <c r="J7454" s="19"/>
      <c r="K7454" s="19"/>
      <c r="L7454" s="19"/>
      <c r="M7454" s="19"/>
      <c r="N7454" s="19"/>
      <c r="O7454" s="14" t="str">
        <f>HYPERLINK("https://otsuka-europe-crm.veevavault.com/ui/#object/email_activity__v/V8C00000003S795", "EN-002094442")</f>
        <v>EN-002094442</v>
      </c>
    </row>
    <row r="7455" spans="1:15" ht="48" x14ac:dyDescent="0.2">
      <c r="A7455" s="7" t="str">
        <f>HYPERLINK("https://otsuka-europe-crm.veevavault.com/ui/#object/account__v/V4TZ00000633IRM", "ABDELGHANI BOUBLENZA")</f>
        <v>ABDELGHANI BOUBLENZA</v>
      </c>
      <c r="B7455" s="7" t="str">
        <f>HYPERLINK("https://otsuka-europe-crm.veevavault.com/ui/#object/vcountry__v/VENZ000004SONFA", "FR")</f>
        <v>FR</v>
      </c>
      <c r="C7455" s="8" t="s">
        <v>42</v>
      </c>
      <c r="D7455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455" s="10" t="str">
        <f>HYPERLINK("https://otsuka-europe-crm.veevavault.com/ui/#object/sent_email__v/VBL00000002R421", "SE-001434973")</f>
        <v>SE-001434973</v>
      </c>
      <c r="F7455" s="11"/>
      <c r="G7455" s="12">
        <v>0</v>
      </c>
      <c r="H7455" s="12">
        <v>0</v>
      </c>
      <c r="I7455" s="12">
        <v>0</v>
      </c>
      <c r="J7455" s="11"/>
      <c r="K7455" s="12">
        <v>0</v>
      </c>
      <c r="L7455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455" s="10" t="str">
        <f>HYPERLINK("mailto:ssaouab@crm.otsuka-europe.com", "ssaouab@crm.otsuka-europe.com")</f>
        <v>ssaouab@crm.otsuka-europe.com</v>
      </c>
      <c r="N7455" s="13">
        <v>46182.632025462961</v>
      </c>
      <c r="O7455" s="14" t="str">
        <f>HYPERLINK("https://otsuka-europe-crm.veevavault.com/ui/#object/email_activity__v/V8C00000003R782", "EN-002093145")</f>
        <v>EN-002093145</v>
      </c>
    </row>
    <row r="7456" spans="1:15" ht="32" x14ac:dyDescent="0.2">
      <c r="A7456" s="7" t="str">
        <f>HYPERLINK("https://otsuka-europe-crm.veevavault.com/ui/#object/account__v/V4TZ00000633IRM", "ABDELGHANI BOUBLENZA")</f>
        <v>ABDELGHANI BOUBLENZA</v>
      </c>
      <c r="B7456" s="7" t="str">
        <f>HYPERLINK("https://otsuka-europe-crm.veevavault.com/ui/#object/vcountry__v/VENZ000004SONFA", "FR")</f>
        <v>FR</v>
      </c>
      <c r="C7456" s="8" t="s">
        <v>42</v>
      </c>
      <c r="D7456" s="9" t="str">
        <f>HYPERLINK("https://otsuka-europe-crm.veevavault.com/ui/#object/approved_document__v/V5O00000000P003", "FR-AM2-2500027")</f>
        <v>FR-AM2-2500027</v>
      </c>
      <c r="E7456" s="10" t="str">
        <f>HYPERLINK("https://otsuka-europe-crm.veevavault.com/ui/#object/sent_email__v/VBL00000002S504", "SE-001434974")</f>
        <v>SE-001434974</v>
      </c>
      <c r="F7456" s="11"/>
      <c r="G7456" s="12">
        <v>0</v>
      </c>
      <c r="H7456" s="12">
        <v>0</v>
      </c>
      <c r="I7456" s="12">
        <v>0</v>
      </c>
      <c r="J7456" s="11"/>
      <c r="K7456" s="12">
        <v>0</v>
      </c>
      <c r="L7456" s="10" t="str">
        <f>HYPERLINK("https://otsuka-europe-crm.veevavault.com/ui/#object/approved_document__v/V5O00000000P003", "FR-AM2-2500027")</f>
        <v>FR-AM2-2500027</v>
      </c>
      <c r="M7456" s="10" t="str">
        <f>HYPERLINK("mailto:ssaouab@crm.otsuka-europe.com", "ssaouab@crm.otsuka-europe.com")</f>
        <v>ssaouab@crm.otsuka-europe.com</v>
      </c>
      <c r="N7456" s="13">
        <v>46182.632164351853</v>
      </c>
      <c r="O7456" s="14" t="str">
        <f>HYPERLINK("https://otsuka-europe-crm.veevavault.com/ui/#object/email_activity__v/V8C00000003R784", "EN-002093147")</f>
        <v>EN-002093147</v>
      </c>
    </row>
    <row r="7457" spans="1:15" ht="48" x14ac:dyDescent="0.2">
      <c r="A7457" s="7" t="str">
        <f>HYPERLINK("https://otsuka-europe-crm.veevavault.com/ui/#object/account__v/V4TZ00000633OO0", "RYAD BOUBRIT")</f>
        <v>RYAD BOUBRIT</v>
      </c>
      <c r="B7457" s="7" t="str">
        <f>HYPERLINK("https://otsuka-europe-crm.veevavault.com/ui/#object/vcountry__v/VENZ000004SONFA", "FR")</f>
        <v>FR</v>
      </c>
      <c r="C7457" s="8" t="s">
        <v>42</v>
      </c>
      <c r="D7457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457" s="10" t="str">
        <f>HYPERLINK("https://otsuka-europe-crm.veevavault.com/ui/#object/sent_email__v/VBL00000002S505", "SE-001434975")</f>
        <v>SE-001434975</v>
      </c>
      <c r="F7457" s="11"/>
      <c r="G7457" s="12">
        <v>0</v>
      </c>
      <c r="H7457" s="12">
        <v>0</v>
      </c>
      <c r="I7457" s="12">
        <v>0</v>
      </c>
      <c r="J7457" s="11"/>
      <c r="K7457" s="12">
        <v>0</v>
      </c>
      <c r="L7457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457" s="10" t="str">
        <f>HYPERLINK("mailto:ssaouab@crm.otsuka-europe.com", "ssaouab@crm.otsuka-europe.com")</f>
        <v>ssaouab@crm.otsuka-europe.com</v>
      </c>
      <c r="N7457" s="13">
        <v>46182.632430555554</v>
      </c>
      <c r="O7457" s="14" t="str">
        <f>HYPERLINK("https://otsuka-europe-crm.veevavault.com/ui/#object/email_activity__v/V8C00000003S127", "EN-002093148")</f>
        <v>EN-002093148</v>
      </c>
    </row>
    <row r="7458" spans="1:15" ht="32" x14ac:dyDescent="0.2">
      <c r="A7458" s="7" t="str">
        <f>HYPERLINK("https://otsuka-europe-crm.veevavault.com/ui/#object/account__v/V4TZ00000633OO0", "RYAD BOUBRIT")</f>
        <v>RYAD BOUBRIT</v>
      </c>
      <c r="B7458" s="7" t="str">
        <f>HYPERLINK("https://otsuka-europe-crm.veevavault.com/ui/#object/vcountry__v/VENZ000004SONFA", "FR")</f>
        <v>FR</v>
      </c>
      <c r="C7458" s="8" t="s">
        <v>42</v>
      </c>
      <c r="D7458" s="9" t="str">
        <f>HYPERLINK("https://otsuka-europe-crm.veevavault.com/ui/#object/approved_document__v/V5O00000000P003", "FR-AM2-2500027")</f>
        <v>FR-AM2-2500027</v>
      </c>
      <c r="E7458" s="10" t="str">
        <f>HYPERLINK("https://otsuka-europe-crm.veevavault.com/ui/#object/sent_email__v/VBL00000002S506", "SE-001434976")</f>
        <v>SE-001434976</v>
      </c>
      <c r="F7458" s="11"/>
      <c r="G7458" s="12">
        <v>0</v>
      </c>
      <c r="H7458" s="12">
        <v>0</v>
      </c>
      <c r="I7458" s="12">
        <v>0</v>
      </c>
      <c r="J7458" s="11"/>
      <c r="K7458" s="12">
        <v>0</v>
      </c>
      <c r="L7458" s="10" t="str">
        <f>HYPERLINK("https://otsuka-europe-crm.veevavault.com/ui/#object/approved_document__v/V5O00000000P003", "FR-AM2-2500027")</f>
        <v>FR-AM2-2500027</v>
      </c>
      <c r="M7458" s="10" t="str">
        <f>HYPERLINK("mailto:ssaouab@crm.otsuka-europe.com", "ssaouab@crm.otsuka-europe.com")</f>
        <v>ssaouab@crm.otsuka-europe.com</v>
      </c>
      <c r="N7458" s="13">
        <v>46182.632719907408</v>
      </c>
      <c r="O7458" s="14" t="str">
        <f>HYPERLINK("https://otsuka-europe-crm.veevavault.com/ui/#object/email_activity__v/V8C00000003R785", "EN-002093149")</f>
        <v>EN-002093149</v>
      </c>
    </row>
    <row r="7459" spans="1:15" ht="16" x14ac:dyDescent="0.2">
      <c r="A7459" s="17" t="str">
        <f>HYPERLINK("https://otsuka-europe-crm.veevavault.com/ui/#object/account__v/V4TZ06G6O9VJ93H", "OUASSILA BOUCHAIR")</f>
        <v>OUASSILA BOUCHAIR</v>
      </c>
      <c r="B7459" s="17" t="str">
        <f>HYPERLINK("https://otsuka-europe-crm.veevavault.com/ui/#object/vcountry__v/VENZ000004SONFA", "FR")</f>
        <v>FR</v>
      </c>
      <c r="C7459" s="20" t="s">
        <v>42</v>
      </c>
      <c r="D7459" s="21" t="str">
        <f>HYPERLINK("https://otsuka-europe-crm.veevavault.com/ui/#object/approved_document__v/V5O00000000P003", "FR-AM2-2500027")</f>
        <v>FR-AM2-2500027</v>
      </c>
      <c r="E7459" s="22" t="str">
        <f>HYPERLINK("https://otsuka-europe-crm.veevavault.com/ui/#object/sent_email__v/VBL00000002S507", "SE-001434977")</f>
        <v>SE-001434977</v>
      </c>
      <c r="F7459" s="23">
        <v>46182.804224537038</v>
      </c>
      <c r="G7459" s="24">
        <v>1</v>
      </c>
      <c r="H7459" s="24">
        <v>1</v>
      </c>
      <c r="I7459" s="24">
        <v>0</v>
      </c>
      <c r="J7459" s="25"/>
      <c r="K7459" s="24">
        <v>0</v>
      </c>
      <c r="L7459" s="22" t="str">
        <f>HYPERLINK("https://otsuka-europe-crm.veevavault.com/ui/#object/approved_document__v/V5O00000000P003", "FR-AM2-2500027")</f>
        <v>FR-AM2-2500027</v>
      </c>
      <c r="M7459" s="22" t="str">
        <f>HYPERLINK("mailto:ssaouab@crm.otsuka-europe.com", "ssaouab@crm.otsuka-europe.com")</f>
        <v>ssaouab@crm.otsuka-europe.com</v>
      </c>
      <c r="N7459" s="23">
        <v>46182.632939814815</v>
      </c>
      <c r="O7459" s="14" t="str">
        <f>HYPERLINK("https://otsuka-europe-crm.veevavault.com/ui/#object/email_activity__v/V8C00000003R786", "EN-002093150")</f>
        <v>EN-002093150</v>
      </c>
    </row>
    <row r="7460" spans="1:15" ht="16" x14ac:dyDescent="0.2">
      <c r="A7460" s="19"/>
      <c r="B7460" s="19"/>
      <c r="C7460" s="19"/>
      <c r="D7460" s="19"/>
      <c r="E7460" s="19"/>
      <c r="F7460" s="19"/>
      <c r="G7460" s="19"/>
      <c r="H7460" s="19"/>
      <c r="I7460" s="19"/>
      <c r="J7460" s="19"/>
      <c r="K7460" s="19"/>
      <c r="L7460" s="19"/>
      <c r="M7460" s="19"/>
      <c r="N7460" s="19"/>
      <c r="O7460" s="14" t="str">
        <f>HYPERLINK("https://otsuka-europe-crm.veevavault.com/ui/#object/email_activity__v/V8C00000003S350", "EN-002093600")</f>
        <v>EN-002093600</v>
      </c>
    </row>
    <row r="7461" spans="1:15" ht="16" x14ac:dyDescent="0.2">
      <c r="A7461" s="17" t="str">
        <f>HYPERLINK("https://otsuka-europe-crm.veevavault.com/ui/#object/account__v/V4TZ06G6O9VJ93H", "OUASSILA BOUCHAIR")</f>
        <v>OUASSILA BOUCHAIR</v>
      </c>
      <c r="B7461" s="17" t="str">
        <f>HYPERLINK("https://otsuka-europe-crm.veevavault.com/ui/#object/vcountry__v/VENZ000004SONFA", "FR")</f>
        <v>FR</v>
      </c>
      <c r="C7461" s="20" t="s">
        <v>42</v>
      </c>
      <c r="D7461" s="21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461" s="22" t="str">
        <f>HYPERLINK("https://otsuka-europe-crm.veevavault.com/ui/#object/sent_email__v/VBL00000002R422", "SE-001434978")</f>
        <v>SE-001434978</v>
      </c>
      <c r="F7461" s="23">
        <v>46184.889004629629</v>
      </c>
      <c r="G7461" s="24">
        <v>1</v>
      </c>
      <c r="H7461" s="24">
        <v>4</v>
      </c>
      <c r="I7461" s="24">
        <v>0</v>
      </c>
      <c r="J7461" s="25"/>
      <c r="K7461" s="24">
        <v>0</v>
      </c>
      <c r="L7461" s="22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461" s="22" t="str">
        <f>HYPERLINK("mailto:ssaouab@crm.otsuka-europe.com", "ssaouab@crm.otsuka-europe.com")</f>
        <v>ssaouab@crm.otsuka-europe.com</v>
      </c>
      <c r="N7461" s="23">
        <v>46182.633067129631</v>
      </c>
      <c r="O7461" s="14" t="str">
        <f>HYPERLINK("https://otsuka-europe-crm.veevavault.com/ui/#object/email_activity__v/V8C00000003S128", "EN-002093151")</f>
        <v>EN-002093151</v>
      </c>
    </row>
    <row r="7462" spans="1:15" ht="16" x14ac:dyDescent="0.2">
      <c r="A7462" s="18"/>
      <c r="B7462" s="18"/>
      <c r="C7462" s="18"/>
      <c r="D7462" s="18"/>
      <c r="E7462" s="18"/>
      <c r="F7462" s="18"/>
      <c r="G7462" s="18"/>
      <c r="H7462" s="18"/>
      <c r="I7462" s="18"/>
      <c r="J7462" s="18"/>
      <c r="K7462" s="18"/>
      <c r="L7462" s="18"/>
      <c r="M7462" s="18"/>
      <c r="N7462" s="18"/>
      <c r="O7462" s="14" t="str">
        <f>HYPERLINK("https://otsuka-europe-crm.veevavault.com/ui/#object/email_activity__v/V8C00000003S345", "EN-002093593")</f>
        <v>EN-002093593</v>
      </c>
    </row>
    <row r="7463" spans="1:15" ht="16" x14ac:dyDescent="0.2">
      <c r="A7463" s="18"/>
      <c r="B7463" s="18"/>
      <c r="C7463" s="18"/>
      <c r="D7463" s="18"/>
      <c r="E7463" s="18"/>
      <c r="F7463" s="18"/>
      <c r="G7463" s="18"/>
      <c r="H7463" s="18"/>
      <c r="I7463" s="18"/>
      <c r="J7463" s="18"/>
      <c r="K7463" s="18"/>
      <c r="L7463" s="18"/>
      <c r="M7463" s="18"/>
      <c r="N7463" s="18"/>
      <c r="O7463" s="14" t="str">
        <f>HYPERLINK("https://otsuka-europe-crm.veevavault.com/ui/#object/email_activity__v/V8C00000003S351", "EN-002093601")</f>
        <v>EN-002093601</v>
      </c>
    </row>
    <row r="7464" spans="1:15" ht="16" x14ac:dyDescent="0.2">
      <c r="A7464" s="18"/>
      <c r="B7464" s="18"/>
      <c r="C7464" s="18"/>
      <c r="D7464" s="18"/>
      <c r="E7464" s="18"/>
      <c r="F7464" s="18"/>
      <c r="G7464" s="18"/>
      <c r="H7464" s="18"/>
      <c r="I7464" s="18"/>
      <c r="J7464" s="18"/>
      <c r="K7464" s="18"/>
      <c r="L7464" s="18"/>
      <c r="M7464" s="18"/>
      <c r="N7464" s="18"/>
      <c r="O7464" s="14" t="str">
        <f>HYPERLINK("https://otsuka-europe-crm.veevavault.com/ui/#object/email_activity__v/V8C00000003V015", "EN-002094844")</f>
        <v>EN-002094844</v>
      </c>
    </row>
    <row r="7465" spans="1:15" ht="16" x14ac:dyDescent="0.2">
      <c r="A7465" s="19"/>
      <c r="B7465" s="19"/>
      <c r="C7465" s="19"/>
      <c r="D7465" s="19"/>
      <c r="E7465" s="19"/>
      <c r="F7465" s="19"/>
      <c r="G7465" s="19"/>
      <c r="H7465" s="19"/>
      <c r="I7465" s="19"/>
      <c r="J7465" s="19"/>
      <c r="K7465" s="19"/>
      <c r="L7465" s="19"/>
      <c r="M7465" s="19"/>
      <c r="N7465" s="19"/>
      <c r="O7465" s="14" t="str">
        <f>HYPERLINK("https://otsuka-europe-crm.veevavault.com/ui/#object/email_activity__v/V8C00000003V016", "EN-002094845")</f>
        <v>EN-002094845</v>
      </c>
    </row>
    <row r="7466" spans="1:15" ht="48" x14ac:dyDescent="0.2">
      <c r="A7466" s="7" t="str">
        <f>HYPERLINK("https://otsuka-europe-crm.veevavault.com/ui/#object/account__v/V4TZ00000633OOD", "ANTAR BOUDAA")</f>
        <v>ANTAR BOUDAA</v>
      </c>
      <c r="B7466" s="7" t="str">
        <f>HYPERLINK("https://otsuka-europe-crm.veevavault.com/ui/#object/vcountry__v/VENZ000004SONFA", "FR")</f>
        <v>FR</v>
      </c>
      <c r="C7466" s="8" t="s">
        <v>42</v>
      </c>
      <c r="D7466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466" s="10" t="str">
        <f>HYPERLINK("https://otsuka-europe-crm.veevavault.com/ui/#object/sent_email__v/VBL00000002S508", "SE-001434979")</f>
        <v>SE-001434979</v>
      </c>
      <c r="F7466" s="11"/>
      <c r="G7466" s="12">
        <v>0</v>
      </c>
      <c r="H7466" s="12">
        <v>0</v>
      </c>
      <c r="I7466" s="12">
        <v>0</v>
      </c>
      <c r="J7466" s="11"/>
      <c r="K7466" s="12">
        <v>0</v>
      </c>
      <c r="L7466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466" s="10" t="str">
        <f>HYPERLINK("mailto:ssaouab@crm.otsuka-europe.com", "ssaouab@crm.otsuka-europe.com")</f>
        <v>ssaouab@crm.otsuka-europe.com</v>
      </c>
      <c r="N7466" s="13">
        <v>46182.633414351854</v>
      </c>
      <c r="O7466" s="14" t="str">
        <f>HYPERLINK("https://otsuka-europe-crm.veevavault.com/ui/#object/email_activity__v/V8C00000003R788", "EN-002093153")</f>
        <v>EN-002093153</v>
      </c>
    </row>
    <row r="7467" spans="1:15" ht="32" x14ac:dyDescent="0.2">
      <c r="A7467" s="7" t="str">
        <f>HYPERLINK("https://otsuka-europe-crm.veevavault.com/ui/#object/account__v/V4TZ00000633OOD", "ANTAR BOUDAA")</f>
        <v>ANTAR BOUDAA</v>
      </c>
      <c r="B7467" s="7" t="str">
        <f>HYPERLINK("https://otsuka-europe-crm.veevavault.com/ui/#object/vcountry__v/VENZ000004SONFA", "FR")</f>
        <v>FR</v>
      </c>
      <c r="C7467" s="8" t="s">
        <v>42</v>
      </c>
      <c r="D7467" s="9" t="str">
        <f>HYPERLINK("https://otsuka-europe-crm.veevavault.com/ui/#object/approved_document__v/V5O00000000P003", "FR-AM2-2500027")</f>
        <v>FR-AM2-2500027</v>
      </c>
      <c r="E7467" s="10" t="str">
        <f>HYPERLINK("https://otsuka-europe-crm.veevavault.com/ui/#object/sent_email__v/VBL00000002S509", "SE-001434980")</f>
        <v>SE-001434980</v>
      </c>
      <c r="F7467" s="11"/>
      <c r="G7467" s="12">
        <v>0</v>
      </c>
      <c r="H7467" s="12">
        <v>0</v>
      </c>
      <c r="I7467" s="12">
        <v>0</v>
      </c>
      <c r="J7467" s="11"/>
      <c r="K7467" s="12">
        <v>0</v>
      </c>
      <c r="L7467" s="10" t="str">
        <f>HYPERLINK("https://otsuka-europe-crm.veevavault.com/ui/#object/approved_document__v/V5O00000000P003", "FR-AM2-2500027")</f>
        <v>FR-AM2-2500027</v>
      </c>
      <c r="M7467" s="10" t="str">
        <f>HYPERLINK("mailto:ssaouab@crm.otsuka-europe.com", "ssaouab@crm.otsuka-europe.com")</f>
        <v>ssaouab@crm.otsuka-europe.com</v>
      </c>
      <c r="N7467" s="13">
        <v>46182.633518518516</v>
      </c>
      <c r="O7467" s="14" t="str">
        <f>HYPERLINK("https://otsuka-europe-crm.veevavault.com/ui/#object/email_activity__v/V8C00000003R787", "EN-002093152")</f>
        <v>EN-002093152</v>
      </c>
    </row>
    <row r="7468" spans="1:15" ht="48" x14ac:dyDescent="0.2">
      <c r="A7468" s="7" t="str">
        <f>HYPERLINK("https://otsuka-europe-crm.veevavault.com/ui/#object/account__v/V4TZ00000633IZV", "TAYEB BOUHANNA")</f>
        <v>TAYEB BOUHANNA</v>
      </c>
      <c r="B7468" s="7" t="str">
        <f>HYPERLINK("https://otsuka-europe-crm.veevavault.com/ui/#object/vcountry__v/VENZ000004SONFA", "FR")</f>
        <v>FR</v>
      </c>
      <c r="C7468" s="8" t="s">
        <v>42</v>
      </c>
      <c r="D7468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468" s="10" t="str">
        <f>HYPERLINK("https://otsuka-europe-crm.veevavault.com/ui/#object/sent_email__v/VBL00000002S510", "SE-001434981")</f>
        <v>SE-001434981</v>
      </c>
      <c r="F7468" s="11"/>
      <c r="G7468" s="12">
        <v>0</v>
      </c>
      <c r="H7468" s="12">
        <v>0</v>
      </c>
      <c r="I7468" s="12">
        <v>0</v>
      </c>
      <c r="J7468" s="11"/>
      <c r="K7468" s="12">
        <v>0</v>
      </c>
      <c r="L7468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468" s="10" t="str">
        <f>HYPERLINK("mailto:ssaouab@crm.otsuka-europe.com", "ssaouab@crm.otsuka-europe.com")</f>
        <v>ssaouab@crm.otsuka-europe.com</v>
      </c>
      <c r="N7468" s="13">
        <v>46182.633935185186</v>
      </c>
      <c r="O7468" s="14" t="str">
        <f>HYPERLINK("https://otsuka-europe-crm.veevavault.com/ui/#object/email_activity__v/V8C00000003S129", "EN-002093154")</f>
        <v>EN-002093154</v>
      </c>
    </row>
    <row r="7469" spans="1:15" ht="32" x14ac:dyDescent="0.2">
      <c r="A7469" s="7" t="str">
        <f>HYPERLINK("https://otsuka-europe-crm.veevavault.com/ui/#object/account__v/V4TZ00000633IZV", "TAYEB BOUHANNA")</f>
        <v>TAYEB BOUHANNA</v>
      </c>
      <c r="B7469" s="7" t="str">
        <f>HYPERLINK("https://otsuka-europe-crm.veevavault.com/ui/#object/vcountry__v/VENZ000004SONFA", "FR")</f>
        <v>FR</v>
      </c>
      <c r="C7469" s="8" t="s">
        <v>42</v>
      </c>
      <c r="D7469" s="9" t="str">
        <f>HYPERLINK("https://otsuka-europe-crm.veevavault.com/ui/#object/approved_document__v/V5O00000000P003", "FR-AM2-2500027")</f>
        <v>FR-AM2-2500027</v>
      </c>
      <c r="E7469" s="10" t="str">
        <f>HYPERLINK("https://otsuka-europe-crm.veevavault.com/ui/#object/sent_email__v/VBL00000002S511", "SE-001434982")</f>
        <v>SE-001434982</v>
      </c>
      <c r="F7469" s="11"/>
      <c r="G7469" s="12">
        <v>0</v>
      </c>
      <c r="H7469" s="12">
        <v>0</v>
      </c>
      <c r="I7469" s="12">
        <v>0</v>
      </c>
      <c r="J7469" s="11"/>
      <c r="K7469" s="12">
        <v>0</v>
      </c>
      <c r="L7469" s="10" t="str">
        <f>HYPERLINK("https://otsuka-europe-crm.veevavault.com/ui/#object/approved_document__v/V5O00000000P003", "FR-AM2-2500027")</f>
        <v>FR-AM2-2500027</v>
      </c>
      <c r="M7469" s="10" t="str">
        <f>HYPERLINK("mailto:ssaouab@crm.otsuka-europe.com", "ssaouab@crm.otsuka-europe.com")</f>
        <v>ssaouab@crm.otsuka-europe.com</v>
      </c>
      <c r="N7469" s="13">
        <v>46182.634016203701</v>
      </c>
      <c r="O7469" s="14" t="str">
        <f>HYPERLINK("https://otsuka-europe-crm.veevavault.com/ui/#object/email_activity__v/V8C00000003R789", "EN-002093157")</f>
        <v>EN-002093157</v>
      </c>
    </row>
    <row r="7470" spans="1:15" ht="16" x14ac:dyDescent="0.2">
      <c r="A7470" s="17" t="str">
        <f>HYPERLINK("https://otsuka-europe-crm.veevavault.com/ui/#object/account__v/V4TZ00000633M9P", "MOHAMED BOUKHADIA")</f>
        <v>MOHAMED BOUKHADIA</v>
      </c>
      <c r="B7470" s="17" t="str">
        <f>HYPERLINK("https://otsuka-europe-crm.veevavault.com/ui/#object/vcountry__v/VENZ000004SONFA", "FR")</f>
        <v>FR</v>
      </c>
      <c r="C7470" s="20" t="s">
        <v>42</v>
      </c>
      <c r="D7470" s="21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470" s="22" t="str">
        <f>HYPERLINK("https://otsuka-europe-crm.veevavault.com/ui/#object/sent_email__v/VBL00000002R423", "SE-001434983")</f>
        <v>SE-001434983</v>
      </c>
      <c r="F7470" s="23">
        <v>46182.882395833331</v>
      </c>
      <c r="G7470" s="24">
        <v>1</v>
      </c>
      <c r="H7470" s="24">
        <v>2</v>
      </c>
      <c r="I7470" s="24">
        <v>0</v>
      </c>
      <c r="J7470" s="25"/>
      <c r="K7470" s="24">
        <v>0</v>
      </c>
      <c r="L7470" s="22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470" s="22" t="str">
        <f>HYPERLINK("mailto:ssaouab@crm.otsuka-europe.com", "ssaouab@crm.otsuka-europe.com")</f>
        <v>ssaouab@crm.otsuka-europe.com</v>
      </c>
      <c r="N7470" s="23">
        <v>46182.634351851855</v>
      </c>
      <c r="O7470" s="14" t="str">
        <f>HYPERLINK("https://otsuka-europe-crm.veevavault.com/ui/#object/email_activity__v/V8C00000003S132", "EN-002093158")</f>
        <v>EN-002093158</v>
      </c>
    </row>
    <row r="7471" spans="1:15" ht="16" x14ac:dyDescent="0.2">
      <c r="A7471" s="18"/>
      <c r="B7471" s="18"/>
      <c r="C7471" s="18"/>
      <c r="D7471" s="18"/>
      <c r="E7471" s="18"/>
      <c r="F7471" s="18"/>
      <c r="G7471" s="18"/>
      <c r="H7471" s="18"/>
      <c r="I7471" s="18"/>
      <c r="J7471" s="18"/>
      <c r="K7471" s="18"/>
      <c r="L7471" s="18"/>
      <c r="M7471" s="18"/>
      <c r="N7471" s="18"/>
      <c r="O7471" s="14" t="str">
        <f>HYPERLINK("https://otsuka-europe-crm.veevavault.com/ui/#object/email_activity__v/V8C00000003S415", "EN-002093732")</f>
        <v>EN-002093732</v>
      </c>
    </row>
    <row r="7472" spans="1:15" ht="16" x14ac:dyDescent="0.2">
      <c r="A7472" s="19"/>
      <c r="B7472" s="19"/>
      <c r="C7472" s="19"/>
      <c r="D7472" s="19"/>
      <c r="E7472" s="19"/>
      <c r="F7472" s="19"/>
      <c r="G7472" s="19"/>
      <c r="H7472" s="19"/>
      <c r="I7472" s="19"/>
      <c r="J7472" s="19"/>
      <c r="K7472" s="19"/>
      <c r="L7472" s="19"/>
      <c r="M7472" s="19"/>
      <c r="N7472" s="19"/>
      <c r="O7472" s="14" t="str">
        <f>HYPERLINK("https://otsuka-europe-crm.veevavault.com/ui/#object/email_activity__v/V8C00000003S416", "EN-002093734")</f>
        <v>EN-002093734</v>
      </c>
    </row>
    <row r="7473" spans="1:15" ht="32" x14ac:dyDescent="0.2">
      <c r="A7473" s="7" t="str">
        <f>HYPERLINK("https://otsuka-europe-crm.veevavault.com/ui/#object/account__v/V4TZ00000633M9P", "MOHAMED BOUKHADIA")</f>
        <v>MOHAMED BOUKHADIA</v>
      </c>
      <c r="B7473" s="7" t="str">
        <f>HYPERLINK("https://otsuka-europe-crm.veevavault.com/ui/#object/vcountry__v/VENZ000004SONFA", "FR")</f>
        <v>FR</v>
      </c>
      <c r="C7473" s="8" t="s">
        <v>42</v>
      </c>
      <c r="D7473" s="9" t="str">
        <f>HYPERLINK("https://otsuka-europe-crm.veevavault.com/ui/#object/approved_document__v/V5O00000000P003", "FR-AM2-2500027")</f>
        <v>FR-AM2-2500027</v>
      </c>
      <c r="E7473" s="10" t="str">
        <f>HYPERLINK("https://otsuka-europe-crm.veevavault.com/ui/#object/sent_email__v/VBL00000002R424", "SE-001434984")</f>
        <v>SE-001434984</v>
      </c>
      <c r="F7473" s="11"/>
      <c r="G7473" s="12">
        <v>0</v>
      </c>
      <c r="H7473" s="12">
        <v>0</v>
      </c>
      <c r="I7473" s="12">
        <v>0</v>
      </c>
      <c r="J7473" s="11"/>
      <c r="K7473" s="12">
        <v>0</v>
      </c>
      <c r="L7473" s="10" t="str">
        <f>HYPERLINK("https://otsuka-europe-crm.veevavault.com/ui/#object/approved_document__v/V5O00000000P003", "FR-AM2-2500027")</f>
        <v>FR-AM2-2500027</v>
      </c>
      <c r="M7473" s="10" t="str">
        <f>HYPERLINK("mailto:ssaouab@crm.otsuka-europe.com", "ssaouab@crm.otsuka-europe.com")</f>
        <v>ssaouab@crm.otsuka-europe.com</v>
      </c>
      <c r="N7473" s="13">
        <v>46182.634456018517</v>
      </c>
      <c r="O7473" s="14" t="str">
        <f>HYPERLINK("https://otsuka-europe-crm.veevavault.com/ui/#object/email_activity__v/V8C00000003S133", "EN-002093159")</f>
        <v>EN-002093159</v>
      </c>
    </row>
    <row r="7474" spans="1:15" ht="16" x14ac:dyDescent="0.2">
      <c r="A7474" s="17" t="str">
        <f>HYPERLINK("https://otsuka-europe-crm.veevavault.com/ui/#object/account__v/V4TZ00000633ISE", "RIAD BOUMETLOUA")</f>
        <v>RIAD BOUMETLOUA</v>
      </c>
      <c r="B7474" s="17" t="str">
        <f>HYPERLINK("https://otsuka-europe-crm.veevavault.com/ui/#object/vcountry__v/VENZ000004SONFA", "FR")</f>
        <v>FR</v>
      </c>
      <c r="C7474" s="20" t="s">
        <v>42</v>
      </c>
      <c r="D7474" s="21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474" s="22" t="str">
        <f>HYPERLINK("https://otsuka-europe-crm.veevavault.com/ui/#object/sent_email__v/VBL00000002S512", "SE-001434985")</f>
        <v>SE-001434985</v>
      </c>
      <c r="F7474" s="23">
        <v>46183.934224537035</v>
      </c>
      <c r="G7474" s="24">
        <v>1</v>
      </c>
      <c r="H7474" s="24">
        <v>1</v>
      </c>
      <c r="I7474" s="24">
        <v>0</v>
      </c>
      <c r="J7474" s="25"/>
      <c r="K7474" s="24">
        <v>0</v>
      </c>
      <c r="L7474" s="22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474" s="22" t="str">
        <f>HYPERLINK("mailto:ssaouab@crm.otsuka-europe.com", "ssaouab@crm.otsuka-europe.com")</f>
        <v>ssaouab@crm.otsuka-europe.com</v>
      </c>
      <c r="N7474" s="23">
        <v>46182.635000000002</v>
      </c>
      <c r="O7474" s="14" t="str">
        <f>HYPERLINK("https://otsuka-europe-crm.veevavault.com/ui/#object/email_activity__v/V8C00000003R790", "EN-002093161")</f>
        <v>EN-002093161</v>
      </c>
    </row>
    <row r="7475" spans="1:15" ht="16" x14ac:dyDescent="0.2">
      <c r="A7475" s="19"/>
      <c r="B7475" s="19"/>
      <c r="C7475" s="19"/>
      <c r="D7475" s="19"/>
      <c r="E7475" s="19"/>
      <c r="F7475" s="19"/>
      <c r="G7475" s="19"/>
      <c r="H7475" s="19"/>
      <c r="I7475" s="19"/>
      <c r="J7475" s="19"/>
      <c r="K7475" s="19"/>
      <c r="L7475" s="19"/>
      <c r="M7475" s="19"/>
      <c r="N7475" s="19"/>
      <c r="O7475" s="14" t="str">
        <f>HYPERLINK("https://otsuka-europe-crm.veevavault.com/ui/#object/email_activity__v/V8C00000003S802", "EN-002094451")</f>
        <v>EN-002094451</v>
      </c>
    </row>
    <row r="7476" spans="1:15" ht="32" x14ac:dyDescent="0.2">
      <c r="A7476" s="7" t="str">
        <f>HYPERLINK("https://otsuka-europe-crm.veevavault.com/ui/#object/account__v/V4TZ00000633ISE", "RIAD BOUMETLOUA")</f>
        <v>RIAD BOUMETLOUA</v>
      </c>
      <c r="B7476" s="7" t="str">
        <f>HYPERLINK("https://otsuka-europe-crm.veevavault.com/ui/#object/vcountry__v/VENZ000004SONFA", "FR")</f>
        <v>FR</v>
      </c>
      <c r="C7476" s="8" t="s">
        <v>42</v>
      </c>
      <c r="D7476" s="9" t="str">
        <f>HYPERLINK("https://otsuka-europe-crm.veevavault.com/ui/#object/approved_document__v/V5O00000000P003", "FR-AM2-2500027")</f>
        <v>FR-AM2-2500027</v>
      </c>
      <c r="E7476" s="10" t="str">
        <f>HYPERLINK("https://otsuka-europe-crm.veevavault.com/ui/#object/sent_email__v/VBL00000002R425", "SE-001434986")</f>
        <v>SE-001434986</v>
      </c>
      <c r="F7476" s="11"/>
      <c r="G7476" s="12">
        <v>0</v>
      </c>
      <c r="H7476" s="12">
        <v>0</v>
      </c>
      <c r="I7476" s="12">
        <v>0</v>
      </c>
      <c r="J7476" s="11"/>
      <c r="K7476" s="12">
        <v>0</v>
      </c>
      <c r="L7476" s="10" t="str">
        <f>HYPERLINK("https://otsuka-europe-crm.veevavault.com/ui/#object/approved_document__v/V5O00000000P003", "FR-AM2-2500027")</f>
        <v>FR-AM2-2500027</v>
      </c>
      <c r="M7476" s="10" t="str">
        <f>HYPERLINK("mailto:ssaouab@crm.otsuka-europe.com", "ssaouab@crm.otsuka-europe.com")</f>
        <v>ssaouab@crm.otsuka-europe.com</v>
      </c>
      <c r="N7476" s="13">
        <v>46182.635023148148</v>
      </c>
      <c r="O7476" s="14" t="str">
        <f>HYPERLINK("https://otsuka-europe-crm.veevavault.com/ui/#object/email_activity__v/V8C00000003S134", "EN-002093160")</f>
        <v>EN-002093160</v>
      </c>
    </row>
    <row r="7477" spans="1:15" ht="16" x14ac:dyDescent="0.2">
      <c r="A7477" s="17" t="str">
        <f>HYPERLINK("https://otsuka-europe-crm.veevavault.com/ui/#object/account__v/V4TZ04ASGG79FXH", "KAHINA BOUMRAR")</f>
        <v>KAHINA BOUMRAR</v>
      </c>
      <c r="B7477" s="17" t="str">
        <f>HYPERLINK("https://otsuka-europe-crm.veevavault.com/ui/#object/vcountry__v/VENZ000004SONFA", "FR")</f>
        <v>FR</v>
      </c>
      <c r="C7477" s="20" t="s">
        <v>42</v>
      </c>
      <c r="D7477" s="21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477" s="22" t="str">
        <f>HYPERLINK("https://otsuka-europe-crm.veevavault.com/ui/#object/sent_email__v/VBL00000002R426", "SE-001434987")</f>
        <v>SE-001434987</v>
      </c>
      <c r="F7477" s="23">
        <v>46182.777962962966</v>
      </c>
      <c r="G7477" s="24">
        <v>1</v>
      </c>
      <c r="H7477" s="24">
        <v>1</v>
      </c>
      <c r="I7477" s="24">
        <v>0</v>
      </c>
      <c r="J7477" s="25"/>
      <c r="K7477" s="24">
        <v>0</v>
      </c>
      <c r="L7477" s="22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477" s="22" t="str">
        <f>HYPERLINK("mailto:ssaouab@crm.otsuka-europe.com", "ssaouab@crm.otsuka-europe.com")</f>
        <v>ssaouab@crm.otsuka-europe.com</v>
      </c>
      <c r="N7477" s="23">
        <v>46182.635497685187</v>
      </c>
      <c r="O7477" s="14" t="str">
        <f>HYPERLINK("https://otsuka-europe-crm.veevavault.com/ui/#object/email_activity__v/V8C00000003S135", "EN-002093163")</f>
        <v>EN-002093163</v>
      </c>
    </row>
    <row r="7478" spans="1:15" ht="16" x14ac:dyDescent="0.2">
      <c r="A7478" s="19"/>
      <c r="B7478" s="19"/>
      <c r="C7478" s="19"/>
      <c r="D7478" s="19"/>
      <c r="E7478" s="19"/>
      <c r="F7478" s="19"/>
      <c r="G7478" s="19"/>
      <c r="H7478" s="19"/>
      <c r="I7478" s="19"/>
      <c r="J7478" s="19"/>
      <c r="K7478" s="19"/>
      <c r="L7478" s="19"/>
      <c r="M7478" s="19"/>
      <c r="N7478" s="19"/>
      <c r="O7478" s="14" t="str">
        <f>HYPERLINK("https://otsuka-europe-crm.veevavault.com/ui/#object/email_activity__v/V8C00000003S318", "EN-002093482")</f>
        <v>EN-002093482</v>
      </c>
    </row>
    <row r="7479" spans="1:15" ht="16" x14ac:dyDescent="0.2">
      <c r="A7479" s="17" t="str">
        <f>HYPERLINK("https://otsuka-europe-crm.veevavault.com/ui/#object/account__v/V4TZ04ASGG79FXH", "KAHINA BOUMRAR")</f>
        <v>KAHINA BOUMRAR</v>
      </c>
      <c r="B7479" s="17" t="str">
        <f>HYPERLINK("https://otsuka-europe-crm.veevavault.com/ui/#object/vcountry__v/VENZ000004SONFA", "FR")</f>
        <v>FR</v>
      </c>
      <c r="C7479" s="20" t="s">
        <v>42</v>
      </c>
      <c r="D7479" s="21" t="str">
        <f>HYPERLINK("https://otsuka-europe-crm.veevavault.com/ui/#object/approved_document__v/V5O00000000P003", "FR-AM2-2500027")</f>
        <v>FR-AM2-2500027</v>
      </c>
      <c r="E7479" s="22" t="str">
        <f>HYPERLINK("https://otsuka-europe-crm.veevavault.com/ui/#object/sent_email__v/VBL00000002S513", "SE-001434988")</f>
        <v>SE-001434988</v>
      </c>
      <c r="F7479" s="23">
        <v>46182.778113425928</v>
      </c>
      <c r="G7479" s="24">
        <v>1</v>
      </c>
      <c r="H7479" s="24">
        <v>1</v>
      </c>
      <c r="I7479" s="24">
        <v>0</v>
      </c>
      <c r="J7479" s="25"/>
      <c r="K7479" s="24">
        <v>0</v>
      </c>
      <c r="L7479" s="22" t="str">
        <f>HYPERLINK("https://otsuka-europe-crm.veevavault.com/ui/#object/approved_document__v/V5O00000000P003", "FR-AM2-2500027")</f>
        <v>FR-AM2-2500027</v>
      </c>
      <c r="M7479" s="22" t="str">
        <f>HYPERLINK("mailto:ssaouab@crm.otsuka-europe.com", "ssaouab@crm.otsuka-europe.com")</f>
        <v>ssaouab@crm.otsuka-europe.com</v>
      </c>
      <c r="N7479" s="23">
        <v>46182.635601851849</v>
      </c>
      <c r="O7479" s="14" t="str">
        <f>HYPERLINK("https://otsuka-europe-crm.veevavault.com/ui/#object/email_activity__v/V8C00000003S137", "EN-002093166")</f>
        <v>EN-002093166</v>
      </c>
    </row>
    <row r="7480" spans="1:15" ht="16" x14ac:dyDescent="0.2">
      <c r="A7480" s="19"/>
      <c r="B7480" s="19"/>
      <c r="C7480" s="19"/>
      <c r="D7480" s="19"/>
      <c r="E7480" s="19"/>
      <c r="F7480" s="19"/>
      <c r="G7480" s="19"/>
      <c r="H7480" s="19"/>
      <c r="I7480" s="19"/>
      <c r="J7480" s="19"/>
      <c r="K7480" s="19"/>
      <c r="L7480" s="19"/>
      <c r="M7480" s="19"/>
      <c r="N7480" s="19"/>
      <c r="O7480" s="14" t="str">
        <f>HYPERLINK("https://otsuka-europe-crm.veevavault.com/ui/#object/email_activity__v/V8C00000003S319", "EN-002093483")</f>
        <v>EN-002093483</v>
      </c>
    </row>
    <row r="7481" spans="1:15" ht="16" x14ac:dyDescent="0.2">
      <c r="A7481" s="17" t="str">
        <f>HYPERLINK("https://otsuka-europe-crm.veevavault.com/ui/#object/account__v/V4TZ00000633OSJ", "HICHEM BOURGUIBA")</f>
        <v>HICHEM BOURGUIBA</v>
      </c>
      <c r="B7481" s="17" t="str">
        <f>HYPERLINK("https://otsuka-europe-crm.veevavault.com/ui/#object/vcountry__v/VENZ000004SONFA", "FR")</f>
        <v>FR</v>
      </c>
      <c r="C7481" s="20" t="s">
        <v>42</v>
      </c>
      <c r="D7481" s="21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481" s="22" t="str">
        <f>HYPERLINK("https://otsuka-europe-crm.veevavault.com/ui/#object/sent_email__v/VBL00000002S514", "SE-001434989")</f>
        <v>SE-001434989</v>
      </c>
      <c r="F7481" s="23">
        <v>46185.345949074072</v>
      </c>
      <c r="G7481" s="24">
        <v>1</v>
      </c>
      <c r="H7481" s="24">
        <v>2</v>
      </c>
      <c r="I7481" s="24">
        <v>0</v>
      </c>
      <c r="J7481" s="25"/>
      <c r="K7481" s="24">
        <v>0</v>
      </c>
      <c r="L7481" s="22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481" s="22" t="str">
        <f>HYPERLINK("mailto:ssaouab@crm.otsuka-europe.com", "ssaouab@crm.otsuka-europe.com")</f>
        <v>ssaouab@crm.otsuka-europe.com</v>
      </c>
      <c r="N7481" s="23">
        <v>46182.63590277778</v>
      </c>
      <c r="O7481" s="14" t="str">
        <f>HYPERLINK("https://otsuka-europe-crm.veevavault.com/ui/#object/email_activity__v/V8C00000003S138", "EN-002093167")</f>
        <v>EN-002093167</v>
      </c>
    </row>
    <row r="7482" spans="1:15" ht="16" x14ac:dyDescent="0.2">
      <c r="A7482" s="18"/>
      <c r="B7482" s="18"/>
      <c r="C7482" s="18"/>
      <c r="D7482" s="18"/>
      <c r="E7482" s="18"/>
      <c r="F7482" s="18"/>
      <c r="G7482" s="18"/>
      <c r="H7482" s="18"/>
      <c r="I7482" s="18"/>
      <c r="J7482" s="18"/>
      <c r="K7482" s="18"/>
      <c r="L7482" s="18"/>
      <c r="M7482" s="18"/>
      <c r="N7482" s="18"/>
      <c r="O7482" s="14" t="str">
        <f>HYPERLINK("https://otsuka-europe-crm.veevavault.com/ui/#object/email_activity__v/V8C00000003U141", "EN-002095128")</f>
        <v>EN-002095128</v>
      </c>
    </row>
    <row r="7483" spans="1:15" ht="16" x14ac:dyDescent="0.2">
      <c r="A7483" s="19"/>
      <c r="B7483" s="19"/>
      <c r="C7483" s="19"/>
      <c r="D7483" s="19"/>
      <c r="E7483" s="19"/>
      <c r="F7483" s="19"/>
      <c r="G7483" s="19"/>
      <c r="H7483" s="19"/>
      <c r="I7483" s="19"/>
      <c r="J7483" s="19"/>
      <c r="K7483" s="19"/>
      <c r="L7483" s="19"/>
      <c r="M7483" s="19"/>
      <c r="N7483" s="19"/>
      <c r="O7483" s="14" t="str">
        <f>HYPERLINK("https://otsuka-europe-crm.veevavault.com/ui/#object/email_activity__v/V8C00000003U142", "EN-002095129")</f>
        <v>EN-002095129</v>
      </c>
    </row>
    <row r="7484" spans="1:15" ht="32" x14ac:dyDescent="0.2">
      <c r="A7484" s="7" t="str">
        <f>HYPERLINK("https://otsuka-europe-crm.veevavault.com/ui/#object/account__v/V4TZ00000633OSJ", "HICHEM BOURGUIBA")</f>
        <v>HICHEM BOURGUIBA</v>
      </c>
      <c r="B7484" s="7" t="str">
        <f t="shared" ref="B7484:B7492" si="628">HYPERLINK("https://otsuka-europe-crm.veevavault.com/ui/#object/vcountry__v/VENZ000004SONFA", "FR")</f>
        <v>FR</v>
      </c>
      <c r="C7484" s="8" t="s">
        <v>42</v>
      </c>
      <c r="D7484" s="9" t="str">
        <f>HYPERLINK("https://otsuka-europe-crm.veevavault.com/ui/#object/approved_document__v/V5O00000000P003", "FR-AM2-2500027")</f>
        <v>FR-AM2-2500027</v>
      </c>
      <c r="E7484" s="10" t="str">
        <f>HYPERLINK("https://otsuka-europe-crm.veevavault.com/ui/#object/sent_email__v/VBL00000002S515", "SE-001434990")</f>
        <v>SE-001434990</v>
      </c>
      <c r="F7484" s="11"/>
      <c r="G7484" s="12">
        <v>0</v>
      </c>
      <c r="H7484" s="12">
        <v>0</v>
      </c>
      <c r="I7484" s="12">
        <v>0</v>
      </c>
      <c r="J7484" s="11"/>
      <c r="K7484" s="12">
        <v>0</v>
      </c>
      <c r="L7484" s="10" t="str">
        <f>HYPERLINK("https://otsuka-europe-crm.veevavault.com/ui/#object/approved_document__v/V5O00000000P003", "FR-AM2-2500027")</f>
        <v>FR-AM2-2500027</v>
      </c>
      <c r="M7484" s="10" t="str">
        <f t="shared" ref="M7484:M7492" si="629">HYPERLINK("mailto:ssaouab@crm.otsuka-europe.com", "ssaouab@crm.otsuka-europe.com")</f>
        <v>ssaouab@crm.otsuka-europe.com</v>
      </c>
      <c r="N7484" s="13">
        <v>46182.636087962965</v>
      </c>
      <c r="O7484" s="14" t="str">
        <f>HYPERLINK("https://otsuka-europe-crm.veevavault.com/ui/#object/email_activity__v/V8C00000003R793", "EN-002093168")</f>
        <v>EN-002093168</v>
      </c>
    </row>
    <row r="7485" spans="1:15" ht="48" x14ac:dyDescent="0.2">
      <c r="A7485" s="7" t="str">
        <f>HYPERLINK("https://otsuka-europe-crm.veevavault.com/ui/#object/account__v/V4TZ06G6O9VK4EC", "YASMINA BOURIR")</f>
        <v>YASMINA BOURIR</v>
      </c>
      <c r="B7485" s="7" t="str">
        <f t="shared" si="628"/>
        <v>FR</v>
      </c>
      <c r="C7485" s="8" t="s">
        <v>42</v>
      </c>
      <c r="D7485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485" s="10" t="str">
        <f>HYPERLINK("https://otsuka-europe-crm.veevavault.com/ui/#object/sent_email__v/VBL00000002S516", "SE-001434991")</f>
        <v>SE-001434991</v>
      </c>
      <c r="F7485" s="11"/>
      <c r="G7485" s="12">
        <v>0</v>
      </c>
      <c r="H7485" s="12">
        <v>0</v>
      </c>
      <c r="I7485" s="12">
        <v>0</v>
      </c>
      <c r="J7485" s="11"/>
      <c r="K7485" s="12">
        <v>0</v>
      </c>
      <c r="L7485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485" s="10" t="str">
        <f t="shared" si="629"/>
        <v>ssaouab@crm.otsuka-europe.com</v>
      </c>
      <c r="N7485" s="13">
        <v>46182.636435185188</v>
      </c>
      <c r="O7485" s="14" t="str">
        <f>HYPERLINK("https://otsuka-europe-crm.veevavault.com/ui/#object/email_activity__v/V8C00000003S142", "EN-002093172")</f>
        <v>EN-002093172</v>
      </c>
    </row>
    <row r="7486" spans="1:15" ht="32" x14ac:dyDescent="0.2">
      <c r="A7486" s="7" t="str">
        <f>HYPERLINK("https://otsuka-europe-crm.veevavault.com/ui/#object/account__v/V4TZ06G6O9VK4EC", "YASMINA BOURIR")</f>
        <v>YASMINA BOURIR</v>
      </c>
      <c r="B7486" s="7" t="str">
        <f t="shared" si="628"/>
        <v>FR</v>
      </c>
      <c r="C7486" s="8" t="s">
        <v>42</v>
      </c>
      <c r="D7486" s="9" t="str">
        <f>HYPERLINK("https://otsuka-europe-crm.veevavault.com/ui/#object/approved_document__v/V5O00000000P003", "FR-AM2-2500027")</f>
        <v>FR-AM2-2500027</v>
      </c>
      <c r="E7486" s="10" t="str">
        <f>HYPERLINK("https://otsuka-europe-crm.veevavault.com/ui/#object/sent_email__v/VBL00000002S517", "SE-001434992")</f>
        <v>SE-001434992</v>
      </c>
      <c r="F7486" s="11"/>
      <c r="G7486" s="12">
        <v>0</v>
      </c>
      <c r="H7486" s="12">
        <v>0</v>
      </c>
      <c r="I7486" s="12">
        <v>0</v>
      </c>
      <c r="J7486" s="11"/>
      <c r="K7486" s="12">
        <v>0</v>
      </c>
      <c r="L7486" s="10" t="str">
        <f>HYPERLINK("https://otsuka-europe-crm.veevavault.com/ui/#object/approved_document__v/V5O00000000P003", "FR-AM2-2500027")</f>
        <v>FR-AM2-2500027</v>
      </c>
      <c r="M7486" s="10" t="str">
        <f t="shared" si="629"/>
        <v>ssaouab@crm.otsuka-europe.com</v>
      </c>
      <c r="N7486" s="13">
        <v>46182.636493055557</v>
      </c>
      <c r="O7486" s="14" t="str">
        <f>HYPERLINK("https://otsuka-europe-crm.veevavault.com/ui/#object/email_activity__v/V8C00000003S143", "EN-002093173")</f>
        <v>EN-002093173</v>
      </c>
    </row>
    <row r="7487" spans="1:15" ht="48" x14ac:dyDescent="0.2">
      <c r="A7487" s="7" t="str">
        <f>HYPERLINK("https://otsuka-europe-crm.veevavault.com/ui/#object/account__v/V4TZ00000633OTF", "MADANI BOUSSADIA")</f>
        <v>MADANI BOUSSADIA</v>
      </c>
      <c r="B7487" s="7" t="str">
        <f t="shared" si="628"/>
        <v>FR</v>
      </c>
      <c r="C7487" s="8" t="s">
        <v>42</v>
      </c>
      <c r="D7487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487" s="10" t="str">
        <f>HYPERLINK("https://otsuka-europe-crm.veevavault.com/ui/#object/sent_email__v/VBL00000002S518", "SE-001434993")</f>
        <v>SE-001434993</v>
      </c>
      <c r="F7487" s="11"/>
      <c r="G7487" s="12">
        <v>0</v>
      </c>
      <c r="H7487" s="12">
        <v>0</v>
      </c>
      <c r="I7487" s="12">
        <v>0</v>
      </c>
      <c r="J7487" s="11"/>
      <c r="K7487" s="12">
        <v>0</v>
      </c>
      <c r="L7487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487" s="10" t="str">
        <f t="shared" si="629"/>
        <v>ssaouab@crm.otsuka-europe.com</v>
      </c>
      <c r="N7487" s="13">
        <v>46182.636782407404</v>
      </c>
      <c r="O7487" s="14" t="str">
        <f>HYPERLINK("https://otsuka-europe-crm.veevavault.com/ui/#object/email_activity__v/V8C00000003S144", "EN-002093174")</f>
        <v>EN-002093174</v>
      </c>
    </row>
    <row r="7488" spans="1:15" ht="32" x14ac:dyDescent="0.2">
      <c r="A7488" s="7" t="str">
        <f>HYPERLINK("https://otsuka-europe-crm.veevavault.com/ui/#object/account__v/V4TZ00000633OTF", "MADANI BOUSSADIA")</f>
        <v>MADANI BOUSSADIA</v>
      </c>
      <c r="B7488" s="7" t="str">
        <f t="shared" si="628"/>
        <v>FR</v>
      </c>
      <c r="C7488" s="8" t="s">
        <v>42</v>
      </c>
      <c r="D7488" s="9" t="str">
        <f>HYPERLINK("https://otsuka-europe-crm.veevavault.com/ui/#object/approved_document__v/V5O00000000P003", "FR-AM2-2500027")</f>
        <v>FR-AM2-2500027</v>
      </c>
      <c r="E7488" s="10" t="str">
        <f>HYPERLINK("https://otsuka-europe-crm.veevavault.com/ui/#object/sent_email__v/VBL00000002S519", "SE-001434994")</f>
        <v>SE-001434994</v>
      </c>
      <c r="F7488" s="11"/>
      <c r="G7488" s="12">
        <v>0</v>
      </c>
      <c r="H7488" s="12">
        <v>0</v>
      </c>
      <c r="I7488" s="12">
        <v>0</v>
      </c>
      <c r="J7488" s="11"/>
      <c r="K7488" s="12">
        <v>0</v>
      </c>
      <c r="L7488" s="10" t="str">
        <f>HYPERLINK("https://otsuka-europe-crm.veevavault.com/ui/#object/approved_document__v/V5O00000000P003", "FR-AM2-2500027")</f>
        <v>FR-AM2-2500027</v>
      </c>
      <c r="M7488" s="10" t="str">
        <f t="shared" si="629"/>
        <v>ssaouab@crm.otsuka-europe.com</v>
      </c>
      <c r="N7488" s="13">
        <v>46182.63689814815</v>
      </c>
      <c r="O7488" s="14" t="str">
        <f>HYPERLINK("https://otsuka-europe-crm.veevavault.com/ui/#object/email_activity__v/V8C00000003S146", "EN-002093176")</f>
        <v>EN-002093176</v>
      </c>
    </row>
    <row r="7489" spans="1:15" ht="32" x14ac:dyDescent="0.2">
      <c r="A7489" s="7" t="str">
        <f>HYPERLINK("https://otsuka-europe-crm.veevavault.com/ui/#object/account__v/V4TZ00000633OVE", "MALIKA BOUZERD")</f>
        <v>MALIKA BOUZERD</v>
      </c>
      <c r="B7489" s="7" t="str">
        <f t="shared" si="628"/>
        <v>FR</v>
      </c>
      <c r="C7489" s="8" t="s">
        <v>42</v>
      </c>
      <c r="D7489" s="9" t="str">
        <f>HYPERLINK("https://otsuka-europe-crm.veevavault.com/ui/#object/approved_document__v/V5O00000000P003", "FR-AM2-2500027")</f>
        <v>FR-AM2-2500027</v>
      </c>
      <c r="E7489" s="10" t="str">
        <f>HYPERLINK("https://otsuka-europe-crm.veevavault.com/ui/#object/sent_email__v/VBL00000002S520", "SE-001434995")</f>
        <v>SE-001434995</v>
      </c>
      <c r="F7489" s="11"/>
      <c r="G7489" s="12">
        <v>0</v>
      </c>
      <c r="H7489" s="12">
        <v>0</v>
      </c>
      <c r="I7489" s="12">
        <v>0</v>
      </c>
      <c r="J7489" s="11"/>
      <c r="K7489" s="12">
        <v>0</v>
      </c>
      <c r="L7489" s="10" t="str">
        <f>HYPERLINK("https://otsuka-europe-crm.veevavault.com/ui/#object/approved_document__v/V5O00000000P003", "FR-AM2-2500027")</f>
        <v>FR-AM2-2500027</v>
      </c>
      <c r="M7489" s="10" t="str">
        <f t="shared" si="629"/>
        <v>ssaouab@crm.otsuka-europe.com</v>
      </c>
      <c r="N7489" s="13">
        <v>46182.637615740743</v>
      </c>
      <c r="O7489" s="14" t="str">
        <f>HYPERLINK("https://otsuka-europe-crm.veevavault.com/ui/#object/email_activity__v/V8C00000003R795", "EN-002093178")</f>
        <v>EN-002093178</v>
      </c>
    </row>
    <row r="7490" spans="1:15" ht="48" x14ac:dyDescent="0.2">
      <c r="A7490" s="7" t="str">
        <f>HYPERLINK("https://otsuka-europe-crm.veevavault.com/ui/#object/account__v/V4TZ00000633OVE", "MALIKA BOUZERD")</f>
        <v>MALIKA BOUZERD</v>
      </c>
      <c r="B7490" s="7" t="str">
        <f t="shared" si="628"/>
        <v>FR</v>
      </c>
      <c r="C7490" s="8" t="s">
        <v>42</v>
      </c>
      <c r="D7490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490" s="10" t="str">
        <f>HYPERLINK("https://otsuka-europe-crm.veevavault.com/ui/#object/sent_email__v/VBL00000002S521", "SE-001434996")</f>
        <v>SE-001434996</v>
      </c>
      <c r="F7490" s="11"/>
      <c r="G7490" s="12">
        <v>0</v>
      </c>
      <c r="H7490" s="12">
        <v>0</v>
      </c>
      <c r="I7490" s="12">
        <v>0</v>
      </c>
      <c r="J7490" s="11"/>
      <c r="K7490" s="12">
        <v>0</v>
      </c>
      <c r="L7490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490" s="10" t="str">
        <f t="shared" si="629"/>
        <v>ssaouab@crm.otsuka-europe.com</v>
      </c>
      <c r="N7490" s="13">
        <v>46182.637650462966</v>
      </c>
      <c r="O7490" s="14" t="str">
        <f>HYPERLINK("https://otsuka-europe-crm.veevavault.com/ui/#object/email_activity__v/V8C00000003R796", "EN-002093179")</f>
        <v>EN-002093179</v>
      </c>
    </row>
    <row r="7491" spans="1:15" ht="48" x14ac:dyDescent="0.2">
      <c r="A7491" s="7" t="str">
        <f>HYPERLINK("https://otsuka-europe-crm.veevavault.com/ui/#object/account__v/V4TZ00000633OIJ", "MOHD NASRULLAH BURHAN")</f>
        <v>MOHD NASRULLAH BURHAN</v>
      </c>
      <c r="B7491" s="7" t="str">
        <f t="shared" si="628"/>
        <v>FR</v>
      </c>
      <c r="C7491" s="8" t="s">
        <v>42</v>
      </c>
      <c r="D7491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491" s="10" t="str">
        <f>HYPERLINK("https://otsuka-europe-crm.veevavault.com/ui/#object/sent_email__v/VBL00000002S522", "SE-001434997")</f>
        <v>SE-001434997</v>
      </c>
      <c r="F7491" s="11"/>
      <c r="G7491" s="12">
        <v>0</v>
      </c>
      <c r="H7491" s="12">
        <v>0</v>
      </c>
      <c r="I7491" s="12">
        <v>0</v>
      </c>
      <c r="J7491" s="11"/>
      <c r="K7491" s="12">
        <v>0</v>
      </c>
      <c r="L7491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491" s="10" t="str">
        <f t="shared" si="629"/>
        <v>ssaouab@crm.otsuka-europe.com</v>
      </c>
      <c r="N7491" s="13">
        <v>46182.638101851851</v>
      </c>
      <c r="O7491" s="14" t="str">
        <f>HYPERLINK("https://otsuka-europe-crm.veevavault.com/ui/#object/email_activity__v/V8C00000003S149", "EN-002093182")</f>
        <v>EN-002093182</v>
      </c>
    </row>
    <row r="7492" spans="1:15" ht="16" x14ac:dyDescent="0.2">
      <c r="A7492" s="17" t="str">
        <f>HYPERLINK("https://otsuka-europe-crm.veevavault.com/ui/#object/account__v/V4TZ00000633OIJ", "MOHD NASRULLAH BURHAN")</f>
        <v>MOHD NASRULLAH BURHAN</v>
      </c>
      <c r="B7492" s="17" t="str">
        <f t="shared" si="628"/>
        <v>FR</v>
      </c>
      <c r="C7492" s="20" t="s">
        <v>42</v>
      </c>
      <c r="D7492" s="21" t="str">
        <f>HYPERLINK("https://otsuka-europe-crm.veevavault.com/ui/#object/approved_document__v/V5O00000000P003", "FR-AM2-2500027")</f>
        <v>FR-AM2-2500027</v>
      </c>
      <c r="E7492" s="22" t="str">
        <f>HYPERLINK("https://otsuka-europe-crm.veevavault.com/ui/#object/sent_email__v/VBL00000002S523", "SE-001434998")</f>
        <v>SE-001434998</v>
      </c>
      <c r="F7492" s="23">
        <v>46184.916655092595</v>
      </c>
      <c r="G7492" s="24">
        <v>1</v>
      </c>
      <c r="H7492" s="24">
        <v>2</v>
      </c>
      <c r="I7492" s="24">
        <v>1</v>
      </c>
      <c r="J7492" s="23">
        <v>46184.917488425926</v>
      </c>
      <c r="K7492" s="24">
        <v>2</v>
      </c>
      <c r="L7492" s="22" t="str">
        <f>HYPERLINK("https://otsuka-europe-crm.veevavault.com/ui/#object/approved_document__v/V5O00000000P003", "FR-AM2-2500027")</f>
        <v>FR-AM2-2500027</v>
      </c>
      <c r="M7492" s="22" t="str">
        <f t="shared" si="629"/>
        <v>ssaouab@crm.otsuka-europe.com</v>
      </c>
      <c r="N7492" s="23">
        <v>46182.638194444444</v>
      </c>
      <c r="O7492" s="14" t="str">
        <f>HYPERLINK("https://otsuka-europe-crm.veevavault.com/ui/#object/email_activity__v/V8C00000003S150", "EN-002093183")</f>
        <v>EN-002093183</v>
      </c>
    </row>
    <row r="7493" spans="1:15" ht="16" x14ac:dyDescent="0.2">
      <c r="A7493" s="18"/>
      <c r="B7493" s="18"/>
      <c r="C7493" s="18"/>
      <c r="D7493" s="18"/>
      <c r="E7493" s="18"/>
      <c r="F7493" s="18"/>
      <c r="G7493" s="18"/>
      <c r="H7493" s="18"/>
      <c r="I7493" s="18"/>
      <c r="J7493" s="18"/>
      <c r="K7493" s="18"/>
      <c r="L7493" s="18"/>
      <c r="M7493" s="18"/>
      <c r="N7493" s="18"/>
      <c r="O7493" s="14" t="str">
        <f>HYPERLINK("https://otsuka-europe-crm.veevavault.com/ui/#object/email_activity__v/V8C00000003T414", "EN-002094450")</f>
        <v>EN-002094450</v>
      </c>
    </row>
    <row r="7494" spans="1:15" ht="16" x14ac:dyDescent="0.2">
      <c r="A7494" s="18"/>
      <c r="B7494" s="18"/>
      <c r="C7494" s="18"/>
      <c r="D7494" s="18"/>
      <c r="E7494" s="18"/>
      <c r="F7494" s="18"/>
      <c r="G7494" s="18"/>
      <c r="H7494" s="18"/>
      <c r="I7494" s="18"/>
      <c r="J7494" s="18"/>
      <c r="K7494" s="18"/>
      <c r="L7494" s="18"/>
      <c r="M7494" s="18"/>
      <c r="N7494" s="18"/>
      <c r="O7494" s="14" t="str">
        <f>HYPERLINK("https://otsuka-europe-crm.veevavault.com/ui/#object/email_activity__v/V8C00000003V018", "EN-002094855")</f>
        <v>EN-002094855</v>
      </c>
    </row>
    <row r="7495" spans="1:15" ht="16" x14ac:dyDescent="0.2">
      <c r="A7495" s="18"/>
      <c r="B7495" s="18"/>
      <c r="C7495" s="18"/>
      <c r="D7495" s="18"/>
      <c r="E7495" s="18"/>
      <c r="F7495" s="18"/>
      <c r="G7495" s="18"/>
      <c r="H7495" s="18"/>
      <c r="I7495" s="18"/>
      <c r="J7495" s="18"/>
      <c r="K7495" s="18"/>
      <c r="L7495" s="18"/>
      <c r="M7495" s="18"/>
      <c r="N7495" s="18"/>
      <c r="O7495" s="14" t="str">
        <f>HYPERLINK("https://otsuka-europe-crm.veevavault.com/ui/#object/email_activity__v/V8C00000003V019", "EN-002094856")</f>
        <v>EN-002094856</v>
      </c>
    </row>
    <row r="7496" spans="1:15" ht="16" x14ac:dyDescent="0.2">
      <c r="A7496" s="18"/>
      <c r="B7496" s="18"/>
      <c r="C7496" s="18"/>
      <c r="D7496" s="18"/>
      <c r="E7496" s="18"/>
      <c r="F7496" s="18"/>
      <c r="G7496" s="18"/>
      <c r="H7496" s="18"/>
      <c r="I7496" s="18"/>
      <c r="J7496" s="18"/>
      <c r="K7496" s="18"/>
      <c r="L7496" s="18"/>
      <c r="M7496" s="18"/>
      <c r="N7496" s="18"/>
      <c r="O7496" s="14" t="str">
        <f>HYPERLINK("https://otsuka-europe-crm.veevavault.com/ui/#object/email_activity__v/V8C00000003V020", "EN-002094857")</f>
        <v>EN-002094857</v>
      </c>
    </row>
    <row r="7497" spans="1:15" ht="16" x14ac:dyDescent="0.2">
      <c r="A7497" s="18"/>
      <c r="B7497" s="18"/>
      <c r="C7497" s="18"/>
      <c r="D7497" s="18"/>
      <c r="E7497" s="18"/>
      <c r="F7497" s="18"/>
      <c r="G7497" s="18"/>
      <c r="H7497" s="18"/>
      <c r="I7497" s="18"/>
      <c r="J7497" s="18"/>
      <c r="K7497" s="18"/>
      <c r="L7497" s="18"/>
      <c r="M7497" s="18"/>
      <c r="N7497" s="18"/>
      <c r="O7497" s="14" t="str">
        <f>HYPERLINK("https://otsuka-europe-crm.veevavault.com/ui/#object/email_activity__v/V8C00000003V023", "EN-002094860")</f>
        <v>EN-002094860</v>
      </c>
    </row>
    <row r="7498" spans="1:15" ht="16" x14ac:dyDescent="0.2">
      <c r="A7498" s="19"/>
      <c r="B7498" s="19"/>
      <c r="C7498" s="19"/>
      <c r="D7498" s="19"/>
      <c r="E7498" s="19"/>
      <c r="F7498" s="19"/>
      <c r="G7498" s="19"/>
      <c r="H7498" s="19"/>
      <c r="I7498" s="19"/>
      <c r="J7498" s="19"/>
      <c r="K7498" s="19"/>
      <c r="L7498" s="19"/>
      <c r="M7498" s="19"/>
      <c r="N7498" s="19"/>
      <c r="O7498" s="14" t="str">
        <f>HYPERLINK("https://otsuka-europe-crm.veevavault.com/ui/#object/email_activity__v/V8C00000003V024", "EN-002094861")</f>
        <v>EN-002094861</v>
      </c>
    </row>
    <row r="7499" spans="1:15" ht="16" x14ac:dyDescent="0.2">
      <c r="A7499" s="17" t="str">
        <f>HYPERLINK("https://otsuka-europe-crm.veevavault.com/ui/#object/account__v/V4TZ00000633S3Z", "FERHAT CHABI")</f>
        <v>FERHAT CHABI</v>
      </c>
      <c r="B7499" s="17" t="str">
        <f>HYPERLINK("https://otsuka-europe-crm.veevavault.com/ui/#object/vcountry__v/VENZ000004SONFA", "FR")</f>
        <v>FR</v>
      </c>
      <c r="C7499" s="20" t="s">
        <v>42</v>
      </c>
      <c r="D7499" s="21" t="str">
        <f>HYPERLINK("https://otsuka-europe-crm.veevavault.com/ui/#object/approved_document__v/V5O00000000P003", "FR-AM2-2500027")</f>
        <v>FR-AM2-2500027</v>
      </c>
      <c r="E7499" s="22" t="str">
        <f>HYPERLINK("https://otsuka-europe-crm.veevavault.com/ui/#object/sent_email__v/VBL00000002S524", "SE-001434999")</f>
        <v>SE-001434999</v>
      </c>
      <c r="F7499" s="23">
        <v>46183.816990740743</v>
      </c>
      <c r="G7499" s="24">
        <v>1</v>
      </c>
      <c r="H7499" s="24">
        <v>5</v>
      </c>
      <c r="I7499" s="24">
        <v>1</v>
      </c>
      <c r="J7499" s="23">
        <v>46183.817372685182</v>
      </c>
      <c r="K7499" s="24">
        <v>1</v>
      </c>
      <c r="L7499" s="22" t="str">
        <f>HYPERLINK("https://otsuka-europe-crm.veevavault.com/ui/#object/approved_document__v/V5O00000000P003", "FR-AM2-2500027")</f>
        <v>FR-AM2-2500027</v>
      </c>
      <c r="M7499" s="22" t="str">
        <f>HYPERLINK("mailto:ssaouab@crm.otsuka-europe.com", "ssaouab@crm.otsuka-europe.com")</f>
        <v>ssaouab@crm.otsuka-europe.com</v>
      </c>
      <c r="N7499" s="23">
        <v>46182.642638888887</v>
      </c>
      <c r="O7499" s="14" t="str">
        <f>HYPERLINK("https://otsuka-europe-crm.veevavault.com/ui/#object/email_activity__v/V8C00000003S154", "EN-002093190")</f>
        <v>EN-002093190</v>
      </c>
    </row>
    <row r="7500" spans="1:15" ht="16" x14ac:dyDescent="0.2">
      <c r="A7500" s="18"/>
      <c r="B7500" s="18"/>
      <c r="C7500" s="18"/>
      <c r="D7500" s="18"/>
      <c r="E7500" s="18"/>
      <c r="F7500" s="18"/>
      <c r="G7500" s="18"/>
      <c r="H7500" s="18"/>
      <c r="I7500" s="18"/>
      <c r="J7500" s="18"/>
      <c r="K7500" s="18"/>
      <c r="L7500" s="18"/>
      <c r="M7500" s="18"/>
      <c r="N7500" s="18"/>
      <c r="O7500" s="14" t="str">
        <f>HYPERLINK("https://otsuka-europe-crm.veevavault.com/ui/#object/email_activity__v/V8C00000003S623", "EN-002094159")</f>
        <v>EN-002094159</v>
      </c>
    </row>
    <row r="7501" spans="1:15" ht="16" x14ac:dyDescent="0.2">
      <c r="A7501" s="18"/>
      <c r="B7501" s="18"/>
      <c r="C7501" s="18"/>
      <c r="D7501" s="18"/>
      <c r="E7501" s="18"/>
      <c r="F7501" s="18"/>
      <c r="G7501" s="18"/>
      <c r="H7501" s="18"/>
      <c r="I7501" s="18"/>
      <c r="J7501" s="18"/>
      <c r="K7501" s="18"/>
      <c r="L7501" s="18"/>
      <c r="M7501" s="18"/>
      <c r="N7501" s="18"/>
      <c r="O7501" s="14" t="str">
        <f>HYPERLINK("https://otsuka-europe-crm.veevavault.com/ui/#object/email_activity__v/V8C00000003S624", "EN-002094160")</f>
        <v>EN-002094160</v>
      </c>
    </row>
    <row r="7502" spans="1:15" ht="16" x14ac:dyDescent="0.2">
      <c r="A7502" s="18"/>
      <c r="B7502" s="18"/>
      <c r="C7502" s="18"/>
      <c r="D7502" s="18"/>
      <c r="E7502" s="18"/>
      <c r="F7502" s="18"/>
      <c r="G7502" s="18"/>
      <c r="H7502" s="18"/>
      <c r="I7502" s="18"/>
      <c r="J7502" s="18"/>
      <c r="K7502" s="18"/>
      <c r="L7502" s="18"/>
      <c r="M7502" s="18"/>
      <c r="N7502" s="18"/>
      <c r="O7502" s="14" t="str">
        <f>HYPERLINK("https://otsuka-europe-crm.veevavault.com/ui/#object/email_activity__v/V8C00000003S628", "EN-002094164")</f>
        <v>EN-002094164</v>
      </c>
    </row>
    <row r="7503" spans="1:15" ht="16" x14ac:dyDescent="0.2">
      <c r="A7503" s="18"/>
      <c r="B7503" s="18"/>
      <c r="C7503" s="18"/>
      <c r="D7503" s="18"/>
      <c r="E7503" s="18"/>
      <c r="F7503" s="18"/>
      <c r="G7503" s="18"/>
      <c r="H7503" s="18"/>
      <c r="I7503" s="18"/>
      <c r="J7503" s="18"/>
      <c r="K7503" s="18"/>
      <c r="L7503" s="18"/>
      <c r="M7503" s="18"/>
      <c r="N7503" s="18"/>
      <c r="O7503" s="14" t="str">
        <f>HYPERLINK("https://otsuka-europe-crm.veevavault.com/ui/#object/email_activity__v/V8C00000003S770", "EN-002094401")</f>
        <v>EN-002094401</v>
      </c>
    </row>
    <row r="7504" spans="1:15" ht="16" x14ac:dyDescent="0.2">
      <c r="A7504" s="18"/>
      <c r="B7504" s="18"/>
      <c r="C7504" s="18"/>
      <c r="D7504" s="18"/>
      <c r="E7504" s="18"/>
      <c r="F7504" s="18"/>
      <c r="G7504" s="18"/>
      <c r="H7504" s="18"/>
      <c r="I7504" s="18"/>
      <c r="J7504" s="18"/>
      <c r="K7504" s="18"/>
      <c r="L7504" s="18"/>
      <c r="M7504" s="18"/>
      <c r="N7504" s="18"/>
      <c r="O7504" s="14" t="str">
        <f>HYPERLINK("https://otsuka-europe-crm.veevavault.com/ui/#object/email_activity__v/V8C00000003S771", "EN-002094403")</f>
        <v>EN-002094403</v>
      </c>
    </row>
    <row r="7505" spans="1:15" ht="16" x14ac:dyDescent="0.2">
      <c r="A7505" s="18"/>
      <c r="B7505" s="18"/>
      <c r="C7505" s="18"/>
      <c r="D7505" s="18"/>
      <c r="E7505" s="18"/>
      <c r="F7505" s="18"/>
      <c r="G7505" s="18"/>
      <c r="H7505" s="18"/>
      <c r="I7505" s="18"/>
      <c r="J7505" s="18"/>
      <c r="K7505" s="18"/>
      <c r="L7505" s="18"/>
      <c r="M7505" s="18"/>
      <c r="N7505" s="18"/>
      <c r="O7505" s="14" t="str">
        <f>HYPERLINK("https://otsuka-europe-crm.veevavault.com/ui/#object/email_activity__v/V8C00000003S783", "EN-002094420")</f>
        <v>EN-002094420</v>
      </c>
    </row>
    <row r="7506" spans="1:15" ht="16" x14ac:dyDescent="0.2">
      <c r="A7506" s="19"/>
      <c r="B7506" s="19"/>
      <c r="C7506" s="19"/>
      <c r="D7506" s="19"/>
      <c r="E7506" s="19"/>
      <c r="F7506" s="19"/>
      <c r="G7506" s="19"/>
      <c r="H7506" s="19"/>
      <c r="I7506" s="19"/>
      <c r="J7506" s="19"/>
      <c r="K7506" s="19"/>
      <c r="L7506" s="19"/>
      <c r="M7506" s="19"/>
      <c r="N7506" s="19"/>
      <c r="O7506" s="14" t="str">
        <f>HYPERLINK("https://otsuka-europe-crm.veevavault.com/ui/#object/email_activity__v/V8C00000003T397", "EN-002094402")</f>
        <v>EN-002094402</v>
      </c>
    </row>
    <row r="7507" spans="1:15" ht="16" x14ac:dyDescent="0.2">
      <c r="A7507" s="17" t="str">
        <f>HYPERLINK("https://otsuka-europe-crm.veevavault.com/ui/#object/account__v/V4TZ00000633S3Z", "FERHAT CHABI")</f>
        <v>FERHAT CHABI</v>
      </c>
      <c r="B7507" s="17" t="str">
        <f>HYPERLINK("https://otsuka-europe-crm.veevavault.com/ui/#object/vcountry__v/VENZ000004SONFA", "FR")</f>
        <v>FR</v>
      </c>
      <c r="C7507" s="20" t="s">
        <v>42</v>
      </c>
      <c r="D7507" s="21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507" s="22" t="str">
        <f>HYPERLINK("https://otsuka-europe-crm.veevavault.com/ui/#object/sent_email__v/VBL00000002R427", "SE-001435000")</f>
        <v>SE-001435000</v>
      </c>
      <c r="F7507" s="23">
        <v>46183.817430555559</v>
      </c>
      <c r="G7507" s="24">
        <v>1</v>
      </c>
      <c r="H7507" s="24">
        <v>5</v>
      </c>
      <c r="I7507" s="24">
        <v>1</v>
      </c>
      <c r="J7507" s="23">
        <v>46183.817546296297</v>
      </c>
      <c r="K7507" s="24">
        <v>1</v>
      </c>
      <c r="L7507" s="22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507" s="22" t="str">
        <f>HYPERLINK("mailto:ssaouab@crm.otsuka-europe.com", "ssaouab@crm.otsuka-europe.com")</f>
        <v>ssaouab@crm.otsuka-europe.com</v>
      </c>
      <c r="N7507" s="23">
        <v>46182.642789351848</v>
      </c>
      <c r="O7507" s="14" t="str">
        <f>HYPERLINK("https://otsuka-europe-crm.veevavault.com/ui/#object/email_activity__v/V8C00000003S155", "EN-002093191")</f>
        <v>EN-002093191</v>
      </c>
    </row>
    <row r="7508" spans="1:15" ht="16" x14ac:dyDescent="0.2">
      <c r="A7508" s="18"/>
      <c r="B7508" s="18"/>
      <c r="C7508" s="18"/>
      <c r="D7508" s="18"/>
      <c r="E7508" s="18"/>
      <c r="F7508" s="18"/>
      <c r="G7508" s="18"/>
      <c r="H7508" s="18"/>
      <c r="I7508" s="18"/>
      <c r="J7508" s="18"/>
      <c r="K7508" s="18"/>
      <c r="L7508" s="18"/>
      <c r="M7508" s="18"/>
      <c r="N7508" s="18"/>
      <c r="O7508" s="14" t="str">
        <f>HYPERLINK("https://otsuka-europe-crm.veevavault.com/ui/#object/email_activity__v/V8C00000003S625", "EN-002094161")</f>
        <v>EN-002094161</v>
      </c>
    </row>
    <row r="7509" spans="1:15" ht="16" x14ac:dyDescent="0.2">
      <c r="A7509" s="18"/>
      <c r="B7509" s="18"/>
      <c r="C7509" s="18"/>
      <c r="D7509" s="18"/>
      <c r="E7509" s="18"/>
      <c r="F7509" s="18"/>
      <c r="G7509" s="18"/>
      <c r="H7509" s="18"/>
      <c r="I7509" s="18"/>
      <c r="J7509" s="18"/>
      <c r="K7509" s="18"/>
      <c r="L7509" s="18"/>
      <c r="M7509" s="18"/>
      <c r="N7509" s="18"/>
      <c r="O7509" s="14" t="str">
        <f>HYPERLINK("https://otsuka-europe-crm.veevavault.com/ui/#object/email_activity__v/V8C00000003S626", "EN-002094162")</f>
        <v>EN-002094162</v>
      </c>
    </row>
    <row r="7510" spans="1:15" ht="16" x14ac:dyDescent="0.2">
      <c r="A7510" s="18"/>
      <c r="B7510" s="18"/>
      <c r="C7510" s="18"/>
      <c r="D7510" s="18"/>
      <c r="E7510" s="18"/>
      <c r="F7510" s="18"/>
      <c r="G7510" s="18"/>
      <c r="H7510" s="18"/>
      <c r="I7510" s="18"/>
      <c r="J7510" s="18"/>
      <c r="K7510" s="18"/>
      <c r="L7510" s="18"/>
      <c r="M7510" s="18"/>
      <c r="N7510" s="18"/>
      <c r="O7510" s="14" t="str">
        <f>HYPERLINK("https://otsuka-europe-crm.veevavault.com/ui/#object/email_activity__v/V8C00000003S632", "EN-002094168")</f>
        <v>EN-002094168</v>
      </c>
    </row>
    <row r="7511" spans="1:15" ht="16" x14ac:dyDescent="0.2">
      <c r="A7511" s="18"/>
      <c r="B7511" s="18"/>
      <c r="C7511" s="18"/>
      <c r="D7511" s="18"/>
      <c r="E7511" s="18"/>
      <c r="F7511" s="18"/>
      <c r="G7511" s="18"/>
      <c r="H7511" s="18"/>
      <c r="I7511" s="18"/>
      <c r="J7511" s="18"/>
      <c r="K7511" s="18"/>
      <c r="L7511" s="18"/>
      <c r="M7511" s="18"/>
      <c r="N7511" s="18"/>
      <c r="O7511" s="14" t="str">
        <f>HYPERLINK("https://otsuka-europe-crm.veevavault.com/ui/#object/email_activity__v/V8C00000003S772", "EN-002094404")</f>
        <v>EN-002094404</v>
      </c>
    </row>
    <row r="7512" spans="1:15" ht="16" x14ac:dyDescent="0.2">
      <c r="A7512" s="18"/>
      <c r="B7512" s="18"/>
      <c r="C7512" s="18"/>
      <c r="D7512" s="18"/>
      <c r="E7512" s="18"/>
      <c r="F7512" s="18"/>
      <c r="G7512" s="18"/>
      <c r="H7512" s="18"/>
      <c r="I7512" s="18"/>
      <c r="J7512" s="18"/>
      <c r="K7512" s="18"/>
      <c r="L7512" s="18"/>
      <c r="M7512" s="18"/>
      <c r="N7512" s="18"/>
      <c r="O7512" s="14" t="str">
        <f>HYPERLINK("https://otsuka-europe-crm.veevavault.com/ui/#object/email_activity__v/V8C00000003S773", "EN-002094405")</f>
        <v>EN-002094405</v>
      </c>
    </row>
    <row r="7513" spans="1:15" ht="16" x14ac:dyDescent="0.2">
      <c r="A7513" s="18"/>
      <c r="B7513" s="18"/>
      <c r="C7513" s="18"/>
      <c r="D7513" s="18"/>
      <c r="E7513" s="18"/>
      <c r="F7513" s="18"/>
      <c r="G7513" s="18"/>
      <c r="H7513" s="18"/>
      <c r="I7513" s="18"/>
      <c r="J7513" s="18"/>
      <c r="K7513" s="18"/>
      <c r="L7513" s="18"/>
      <c r="M7513" s="18"/>
      <c r="N7513" s="18"/>
      <c r="O7513" s="14" t="str">
        <f>HYPERLINK("https://otsuka-europe-crm.veevavault.com/ui/#object/email_activity__v/V8C00000003S774", "EN-002094406")</f>
        <v>EN-002094406</v>
      </c>
    </row>
    <row r="7514" spans="1:15" ht="16" x14ac:dyDescent="0.2">
      <c r="A7514" s="19"/>
      <c r="B7514" s="19"/>
      <c r="C7514" s="19"/>
      <c r="D7514" s="19"/>
      <c r="E7514" s="19"/>
      <c r="F7514" s="19"/>
      <c r="G7514" s="19"/>
      <c r="H7514" s="19"/>
      <c r="I7514" s="19"/>
      <c r="J7514" s="19"/>
      <c r="K7514" s="19"/>
      <c r="L7514" s="19"/>
      <c r="M7514" s="19"/>
      <c r="N7514" s="19"/>
      <c r="O7514" s="14" t="str">
        <f>HYPERLINK("https://otsuka-europe-crm.veevavault.com/ui/#object/email_activity__v/V8C00000003S784", "EN-002094421")</f>
        <v>EN-002094421</v>
      </c>
    </row>
    <row r="7515" spans="1:15" ht="16" x14ac:dyDescent="0.2">
      <c r="A7515" s="17" t="str">
        <f>HYPERLINK("https://otsuka-europe-crm.veevavault.com/ui/#object/account__v/V4TZ04ASGBJRDDI", "LARBI CHABOUNI")</f>
        <v>LARBI CHABOUNI</v>
      </c>
      <c r="B7515" s="17" t="str">
        <f>HYPERLINK("https://otsuka-europe-crm.veevavault.com/ui/#object/vcountry__v/VENZ000004SONFA", "FR")</f>
        <v>FR</v>
      </c>
      <c r="C7515" s="20" t="s">
        <v>42</v>
      </c>
      <c r="D7515" s="21" t="str">
        <f>HYPERLINK("https://otsuka-europe-crm.veevavault.com/ui/#object/approved_document__v/V5O00000000P003", "FR-AM2-2500027")</f>
        <v>FR-AM2-2500027</v>
      </c>
      <c r="E7515" s="22" t="str">
        <f>HYPERLINK("https://otsuka-europe-crm.veevavault.com/ui/#object/sent_email__v/VBL00000002R428", "SE-001435001")</f>
        <v>SE-001435001</v>
      </c>
      <c r="F7515" s="23">
        <v>46185.628750000003</v>
      </c>
      <c r="G7515" s="24">
        <v>1</v>
      </c>
      <c r="H7515" s="24">
        <v>3</v>
      </c>
      <c r="I7515" s="24">
        <v>0</v>
      </c>
      <c r="J7515" s="25"/>
      <c r="K7515" s="24">
        <v>0</v>
      </c>
      <c r="L7515" s="22" t="str">
        <f>HYPERLINK("https://otsuka-europe-crm.veevavault.com/ui/#object/approved_document__v/V5O00000000P003", "FR-AM2-2500027")</f>
        <v>FR-AM2-2500027</v>
      </c>
      <c r="M7515" s="22" t="str">
        <f>HYPERLINK("mailto:ssaouab@crm.otsuka-europe.com", "ssaouab@crm.otsuka-europe.com")</f>
        <v>ssaouab@crm.otsuka-europe.com</v>
      </c>
      <c r="N7515" s="23">
        <v>46182.643217592595</v>
      </c>
      <c r="O7515" s="14" t="str">
        <f>HYPERLINK("https://otsuka-europe-crm.veevavault.com/ui/#object/email_activity__v/V8C00000003S156", "EN-002093192")</f>
        <v>EN-002093192</v>
      </c>
    </row>
    <row r="7516" spans="1:15" ht="16" x14ac:dyDescent="0.2">
      <c r="A7516" s="18"/>
      <c r="B7516" s="18"/>
      <c r="C7516" s="18"/>
      <c r="D7516" s="18"/>
      <c r="E7516" s="18"/>
      <c r="F7516" s="18"/>
      <c r="G7516" s="18"/>
      <c r="H7516" s="18"/>
      <c r="I7516" s="18"/>
      <c r="J7516" s="18"/>
      <c r="K7516" s="18"/>
      <c r="L7516" s="18"/>
      <c r="M7516" s="18"/>
      <c r="N7516" s="18"/>
      <c r="O7516" s="14" t="str">
        <f>HYPERLINK("https://otsuka-europe-crm.veevavault.com/ui/#object/email_activity__v/V8C00000003U329", "EN-002095490")</f>
        <v>EN-002095490</v>
      </c>
    </row>
    <row r="7517" spans="1:15" ht="16" x14ac:dyDescent="0.2">
      <c r="A7517" s="18"/>
      <c r="B7517" s="18"/>
      <c r="C7517" s="18"/>
      <c r="D7517" s="18"/>
      <c r="E7517" s="18"/>
      <c r="F7517" s="18"/>
      <c r="G7517" s="18"/>
      <c r="H7517" s="18"/>
      <c r="I7517" s="18"/>
      <c r="J7517" s="18"/>
      <c r="K7517" s="18"/>
      <c r="L7517" s="18"/>
      <c r="M7517" s="18"/>
      <c r="N7517" s="18"/>
      <c r="O7517" s="14" t="str">
        <f>HYPERLINK("https://otsuka-europe-crm.veevavault.com/ui/#object/email_activity__v/V8C00000003U333", "EN-002095500")</f>
        <v>EN-002095500</v>
      </c>
    </row>
    <row r="7518" spans="1:15" ht="16" x14ac:dyDescent="0.2">
      <c r="A7518" s="19"/>
      <c r="B7518" s="19"/>
      <c r="C7518" s="19"/>
      <c r="D7518" s="19"/>
      <c r="E7518" s="19"/>
      <c r="F7518" s="19"/>
      <c r="G7518" s="19"/>
      <c r="H7518" s="19"/>
      <c r="I7518" s="19"/>
      <c r="J7518" s="19"/>
      <c r="K7518" s="19"/>
      <c r="L7518" s="19"/>
      <c r="M7518" s="19"/>
      <c r="N7518" s="19"/>
      <c r="O7518" s="14" t="str">
        <f>HYPERLINK("https://otsuka-europe-crm.veevavault.com/ui/#object/email_activity__v/V8C00000003V345", "EN-002095487")</f>
        <v>EN-002095487</v>
      </c>
    </row>
    <row r="7519" spans="1:15" ht="16" x14ac:dyDescent="0.2">
      <c r="A7519" s="17" t="str">
        <f>HYPERLINK("https://otsuka-europe-crm.veevavault.com/ui/#object/account__v/V4TZ04ASGBJRDDI", "LARBI CHABOUNI")</f>
        <v>LARBI CHABOUNI</v>
      </c>
      <c r="B7519" s="17" t="str">
        <f>HYPERLINK("https://otsuka-europe-crm.veevavault.com/ui/#object/vcountry__v/VENZ000004SONFA", "FR")</f>
        <v>FR</v>
      </c>
      <c r="C7519" s="20" t="s">
        <v>42</v>
      </c>
      <c r="D7519" s="21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519" s="22" t="str">
        <f>HYPERLINK("https://otsuka-europe-crm.veevavault.com/ui/#object/sent_email__v/VBL00000002R429", "SE-001435002")</f>
        <v>SE-001435002</v>
      </c>
      <c r="F7519" s="23">
        <v>46185.60728009259</v>
      </c>
      <c r="G7519" s="24">
        <v>1</v>
      </c>
      <c r="H7519" s="24">
        <v>2</v>
      </c>
      <c r="I7519" s="24">
        <v>0</v>
      </c>
      <c r="J7519" s="25"/>
      <c r="K7519" s="24">
        <v>0</v>
      </c>
      <c r="L7519" s="22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519" s="22" t="str">
        <f>HYPERLINK("mailto:ssaouab@crm.otsuka-europe.com", "ssaouab@crm.otsuka-europe.com")</f>
        <v>ssaouab@crm.otsuka-europe.com</v>
      </c>
      <c r="N7519" s="23">
        <v>46182.643854166665</v>
      </c>
      <c r="O7519" s="14" t="str">
        <f>HYPERLINK("https://otsuka-europe-crm.veevavault.com/ui/#object/email_activity__v/V8C00000003S157", "EN-002093193")</f>
        <v>EN-002093193</v>
      </c>
    </row>
    <row r="7520" spans="1:15" ht="16" x14ac:dyDescent="0.2">
      <c r="A7520" s="18"/>
      <c r="B7520" s="18"/>
      <c r="C7520" s="18"/>
      <c r="D7520" s="18"/>
      <c r="E7520" s="18"/>
      <c r="F7520" s="18"/>
      <c r="G7520" s="18"/>
      <c r="H7520" s="18"/>
      <c r="I7520" s="18"/>
      <c r="J7520" s="18"/>
      <c r="K7520" s="18"/>
      <c r="L7520" s="18"/>
      <c r="M7520" s="18"/>
      <c r="N7520" s="18"/>
      <c r="O7520" s="14" t="str">
        <f>HYPERLINK("https://otsuka-europe-crm.veevavault.com/ui/#object/email_activity__v/V8C00000003S645", "EN-002094186")</f>
        <v>EN-002094186</v>
      </c>
    </row>
    <row r="7521" spans="1:15" ht="16" x14ac:dyDescent="0.2">
      <c r="A7521" s="19"/>
      <c r="B7521" s="19"/>
      <c r="C7521" s="19"/>
      <c r="D7521" s="19"/>
      <c r="E7521" s="19"/>
      <c r="F7521" s="19"/>
      <c r="G7521" s="19"/>
      <c r="H7521" s="19"/>
      <c r="I7521" s="19"/>
      <c r="J7521" s="19"/>
      <c r="K7521" s="19"/>
      <c r="L7521" s="19"/>
      <c r="M7521" s="19"/>
      <c r="N7521" s="19"/>
      <c r="O7521" s="14" t="str">
        <f>HYPERLINK("https://otsuka-europe-crm.veevavault.com/ui/#object/email_activity__v/V8C00000003U328", "EN-002095489")</f>
        <v>EN-002095489</v>
      </c>
    </row>
    <row r="7522" spans="1:15" ht="16" x14ac:dyDescent="0.2">
      <c r="A7522" s="17" t="str">
        <f>HYPERLINK("https://otsuka-europe-crm.veevavault.com/ui/#object/account__v/V4TZ00000633J9T", "CHOUKRI CHADLI")</f>
        <v>CHOUKRI CHADLI</v>
      </c>
      <c r="B7522" s="17" t="str">
        <f>HYPERLINK("https://otsuka-europe-crm.veevavault.com/ui/#object/vcountry__v/VENZ000004SONFA", "FR")</f>
        <v>FR</v>
      </c>
      <c r="C7522" s="20" t="s">
        <v>42</v>
      </c>
      <c r="D7522" s="21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522" s="22" t="str">
        <f>HYPERLINK("https://otsuka-europe-crm.veevavault.com/ui/#object/sent_email__v/VBL00000002R430", "SE-001435003")</f>
        <v>SE-001435003</v>
      </c>
      <c r="F7522" s="23">
        <v>46185.012719907405</v>
      </c>
      <c r="G7522" s="24">
        <v>1</v>
      </c>
      <c r="H7522" s="24">
        <v>1</v>
      </c>
      <c r="I7522" s="24">
        <v>0</v>
      </c>
      <c r="J7522" s="25"/>
      <c r="K7522" s="24">
        <v>0</v>
      </c>
      <c r="L7522" s="22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522" s="22" t="str">
        <f>HYPERLINK("mailto:ssaouab@crm.otsuka-europe.com", "ssaouab@crm.otsuka-europe.com")</f>
        <v>ssaouab@crm.otsuka-europe.com</v>
      </c>
      <c r="N7522" s="23">
        <v>46182.644201388888</v>
      </c>
      <c r="O7522" s="14" t="str">
        <f>HYPERLINK("https://otsuka-europe-crm.veevavault.com/ui/#object/email_activity__v/V8C00000003S160", "EN-002093196")</f>
        <v>EN-002093196</v>
      </c>
    </row>
    <row r="7523" spans="1:15" ht="16" x14ac:dyDescent="0.2">
      <c r="A7523" s="18"/>
      <c r="B7523" s="18"/>
      <c r="C7523" s="18"/>
      <c r="D7523" s="18"/>
      <c r="E7523" s="18"/>
      <c r="F7523" s="18"/>
      <c r="G7523" s="18"/>
      <c r="H7523" s="18"/>
      <c r="I7523" s="18"/>
      <c r="J7523" s="18"/>
      <c r="K7523" s="18"/>
      <c r="L7523" s="18"/>
      <c r="M7523" s="18"/>
      <c r="N7523" s="18"/>
      <c r="O7523" s="14" t="str">
        <f>HYPERLINK("https://otsuka-europe-crm.veevavault.com/ui/#object/email_activity__v/V8C00000003S676", "EN-002094248")</f>
        <v>EN-002094248</v>
      </c>
    </row>
    <row r="7524" spans="1:15" ht="16" x14ac:dyDescent="0.2">
      <c r="A7524" s="18"/>
      <c r="B7524" s="18"/>
      <c r="C7524" s="18"/>
      <c r="D7524" s="18"/>
      <c r="E7524" s="18"/>
      <c r="F7524" s="18"/>
      <c r="G7524" s="18"/>
      <c r="H7524" s="18"/>
      <c r="I7524" s="18"/>
      <c r="J7524" s="18"/>
      <c r="K7524" s="18"/>
      <c r="L7524" s="18"/>
      <c r="M7524" s="18"/>
      <c r="N7524" s="18"/>
      <c r="O7524" s="14" t="str">
        <f>HYPERLINK("https://otsuka-europe-crm.veevavault.com/ui/#object/email_activity__v/V8C00000003S801", "EN-002094449")</f>
        <v>EN-002094449</v>
      </c>
    </row>
    <row r="7525" spans="1:15" ht="16" x14ac:dyDescent="0.2">
      <c r="A7525" s="18"/>
      <c r="B7525" s="18"/>
      <c r="C7525" s="18"/>
      <c r="D7525" s="18"/>
      <c r="E7525" s="18"/>
      <c r="F7525" s="18"/>
      <c r="G7525" s="18"/>
      <c r="H7525" s="18"/>
      <c r="I7525" s="18"/>
      <c r="J7525" s="18"/>
      <c r="K7525" s="18"/>
      <c r="L7525" s="18"/>
      <c r="M7525" s="18"/>
      <c r="N7525" s="18"/>
      <c r="O7525" s="14" t="str">
        <f>HYPERLINK("https://otsuka-europe-crm.veevavault.com/ui/#object/email_activity__v/V8C00000003U028", "EN-002094881")</f>
        <v>EN-002094881</v>
      </c>
    </row>
    <row r="7526" spans="1:15" ht="16" x14ac:dyDescent="0.2">
      <c r="A7526" s="19"/>
      <c r="B7526" s="19"/>
      <c r="C7526" s="19"/>
      <c r="D7526" s="19"/>
      <c r="E7526" s="19"/>
      <c r="F7526" s="19"/>
      <c r="G7526" s="19"/>
      <c r="H7526" s="19"/>
      <c r="I7526" s="19"/>
      <c r="J7526" s="19"/>
      <c r="K7526" s="19"/>
      <c r="L7526" s="19"/>
      <c r="M7526" s="19"/>
      <c r="N7526" s="19"/>
      <c r="O7526" s="14" t="str">
        <f>HYPERLINK("https://otsuka-europe-crm.veevavault.com/ui/#object/email_activity__v/V8C000000041295", "EN-002100260")</f>
        <v>EN-002100260</v>
      </c>
    </row>
    <row r="7527" spans="1:15" ht="16" x14ac:dyDescent="0.2">
      <c r="A7527" s="17" t="str">
        <f>HYPERLINK("https://otsuka-europe-crm.veevavault.com/ui/#object/account__v/V4TZ00000633J9T", "CHOUKRI CHADLI")</f>
        <v>CHOUKRI CHADLI</v>
      </c>
      <c r="B7527" s="17" t="str">
        <f>HYPERLINK("https://otsuka-europe-crm.veevavault.com/ui/#object/vcountry__v/VENZ000004SONFA", "FR")</f>
        <v>FR</v>
      </c>
      <c r="C7527" s="20" t="s">
        <v>42</v>
      </c>
      <c r="D7527" s="21" t="str">
        <f>HYPERLINK("https://otsuka-europe-crm.veevavault.com/ui/#object/approved_document__v/V5O00000000P003", "FR-AM2-2500027")</f>
        <v>FR-AM2-2500027</v>
      </c>
      <c r="E7527" s="22" t="str">
        <f>HYPERLINK("https://otsuka-europe-crm.veevavault.com/ui/#object/sent_email__v/VBL00000002R431", "SE-001435004")</f>
        <v>SE-001435004</v>
      </c>
      <c r="F7527" s="23">
        <v>46185.012731481482</v>
      </c>
      <c r="G7527" s="24">
        <v>1</v>
      </c>
      <c r="H7527" s="24">
        <v>1</v>
      </c>
      <c r="I7527" s="24">
        <v>0</v>
      </c>
      <c r="J7527" s="25"/>
      <c r="K7527" s="24">
        <v>0</v>
      </c>
      <c r="L7527" s="22" t="str">
        <f>HYPERLINK("https://otsuka-europe-crm.veevavault.com/ui/#object/approved_document__v/V5O00000000P003", "FR-AM2-2500027")</f>
        <v>FR-AM2-2500027</v>
      </c>
      <c r="M7527" s="22" t="str">
        <f>HYPERLINK("mailto:ssaouab@crm.otsuka-europe.com", "ssaouab@crm.otsuka-europe.com")</f>
        <v>ssaouab@crm.otsuka-europe.com</v>
      </c>
      <c r="N7527" s="23">
        <v>46182.644282407404</v>
      </c>
      <c r="O7527" s="14" t="str">
        <f>HYPERLINK("https://otsuka-europe-crm.veevavault.com/ui/#object/email_activity__v/V8C00000003S159", "EN-002093195")</f>
        <v>EN-002093195</v>
      </c>
    </row>
    <row r="7528" spans="1:15" ht="16" x14ac:dyDescent="0.2">
      <c r="A7528" s="18"/>
      <c r="B7528" s="18"/>
      <c r="C7528" s="18"/>
      <c r="D7528" s="18"/>
      <c r="E7528" s="18"/>
      <c r="F7528" s="18"/>
      <c r="G7528" s="18"/>
      <c r="H7528" s="18"/>
      <c r="I7528" s="18"/>
      <c r="J7528" s="18"/>
      <c r="K7528" s="18"/>
      <c r="L7528" s="18"/>
      <c r="M7528" s="18"/>
      <c r="N7528" s="18"/>
      <c r="O7528" s="14" t="str">
        <f>HYPERLINK("https://otsuka-europe-crm.veevavault.com/ui/#object/email_activity__v/V8C00000003S675", "EN-002094247")</f>
        <v>EN-002094247</v>
      </c>
    </row>
    <row r="7529" spans="1:15" ht="16" x14ac:dyDescent="0.2">
      <c r="A7529" s="18"/>
      <c r="B7529" s="18"/>
      <c r="C7529" s="18"/>
      <c r="D7529" s="18"/>
      <c r="E7529" s="18"/>
      <c r="F7529" s="18"/>
      <c r="G7529" s="18"/>
      <c r="H7529" s="18"/>
      <c r="I7529" s="18"/>
      <c r="J7529" s="18"/>
      <c r="K7529" s="18"/>
      <c r="L7529" s="18"/>
      <c r="M7529" s="18"/>
      <c r="N7529" s="18"/>
      <c r="O7529" s="14" t="str">
        <f>HYPERLINK("https://otsuka-europe-crm.veevavault.com/ui/#object/email_activity__v/V8C00000003S800", "EN-002094448")</f>
        <v>EN-002094448</v>
      </c>
    </row>
    <row r="7530" spans="1:15" ht="16" x14ac:dyDescent="0.2">
      <c r="A7530" s="18"/>
      <c r="B7530" s="18"/>
      <c r="C7530" s="18"/>
      <c r="D7530" s="18"/>
      <c r="E7530" s="18"/>
      <c r="F7530" s="18"/>
      <c r="G7530" s="18"/>
      <c r="H7530" s="18"/>
      <c r="I7530" s="18"/>
      <c r="J7530" s="18"/>
      <c r="K7530" s="18"/>
      <c r="L7530" s="18"/>
      <c r="M7530" s="18"/>
      <c r="N7530" s="18"/>
      <c r="O7530" s="14" t="str">
        <f>HYPERLINK("https://otsuka-europe-crm.veevavault.com/ui/#object/email_activity__v/V8C00000003U029", "EN-002094882")</f>
        <v>EN-002094882</v>
      </c>
    </row>
    <row r="7531" spans="1:15" ht="16" x14ac:dyDescent="0.2">
      <c r="A7531" s="19"/>
      <c r="B7531" s="19"/>
      <c r="C7531" s="19"/>
      <c r="D7531" s="19"/>
      <c r="E7531" s="19"/>
      <c r="F7531" s="19"/>
      <c r="G7531" s="19"/>
      <c r="H7531" s="19"/>
      <c r="I7531" s="19"/>
      <c r="J7531" s="19"/>
      <c r="K7531" s="19"/>
      <c r="L7531" s="19"/>
      <c r="M7531" s="19"/>
      <c r="N7531" s="19"/>
      <c r="O7531" s="14" t="str">
        <f>HYPERLINK("https://otsuka-europe-crm.veevavault.com/ui/#object/email_activity__v/V8C000000042253", "EN-002100214")</f>
        <v>EN-002100214</v>
      </c>
    </row>
    <row r="7532" spans="1:15" ht="16" x14ac:dyDescent="0.2">
      <c r="A7532" s="17" t="str">
        <f>HYPERLINK("https://otsuka-europe-crm.veevavault.com/ui/#object/account__v/V4TZ00000633KMY", "AHMED CHAREF BENDAHA")</f>
        <v>AHMED CHAREF BENDAHA</v>
      </c>
      <c r="B7532" s="17" t="str">
        <f>HYPERLINK("https://otsuka-europe-crm.veevavault.com/ui/#object/vcountry__v/VENZ000004SONFA", "FR")</f>
        <v>FR</v>
      </c>
      <c r="C7532" s="20" t="s">
        <v>42</v>
      </c>
      <c r="D7532" s="21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532" s="22" t="str">
        <f>HYPERLINK("https://otsuka-europe-crm.veevavault.com/ui/#object/sent_email__v/VBL00000002R432", "SE-001435005")</f>
        <v>SE-001435005</v>
      </c>
      <c r="F7532" s="23">
        <v>46182.665578703702</v>
      </c>
      <c r="G7532" s="24">
        <v>1</v>
      </c>
      <c r="H7532" s="24">
        <v>2</v>
      </c>
      <c r="I7532" s="24">
        <v>0</v>
      </c>
      <c r="J7532" s="25"/>
      <c r="K7532" s="24">
        <v>0</v>
      </c>
      <c r="L7532" s="22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532" s="22" t="str">
        <f>HYPERLINK("mailto:ssaouab@crm.otsuka-europe.com", "ssaouab@crm.otsuka-europe.com")</f>
        <v>ssaouab@crm.otsuka-europe.com</v>
      </c>
      <c r="N7532" s="23">
        <v>46182.645590277774</v>
      </c>
      <c r="O7532" s="14" t="str">
        <f>HYPERLINK("https://otsuka-europe-crm.veevavault.com/ui/#object/email_activity__v/V8C00000003R801", "EN-002093199")</f>
        <v>EN-002093199</v>
      </c>
    </row>
    <row r="7533" spans="1:15" ht="16" x14ac:dyDescent="0.2">
      <c r="A7533" s="18"/>
      <c r="B7533" s="18"/>
      <c r="C7533" s="18"/>
      <c r="D7533" s="18"/>
      <c r="E7533" s="18"/>
      <c r="F7533" s="18"/>
      <c r="G7533" s="18"/>
      <c r="H7533" s="18"/>
      <c r="I7533" s="18"/>
      <c r="J7533" s="18"/>
      <c r="K7533" s="18"/>
      <c r="L7533" s="18"/>
      <c r="M7533" s="18"/>
      <c r="N7533" s="18"/>
      <c r="O7533" s="14" t="str">
        <f>HYPERLINK("https://otsuka-europe-crm.veevavault.com/ui/#object/email_activity__v/V8C00000003R846", "EN-002093272")</f>
        <v>EN-002093272</v>
      </c>
    </row>
    <row r="7534" spans="1:15" ht="16" x14ac:dyDescent="0.2">
      <c r="A7534" s="19"/>
      <c r="B7534" s="19"/>
      <c r="C7534" s="19"/>
      <c r="D7534" s="19"/>
      <c r="E7534" s="19"/>
      <c r="F7534" s="19"/>
      <c r="G7534" s="19"/>
      <c r="H7534" s="19"/>
      <c r="I7534" s="19"/>
      <c r="J7534" s="19"/>
      <c r="K7534" s="19"/>
      <c r="L7534" s="19"/>
      <c r="M7534" s="19"/>
      <c r="N7534" s="19"/>
      <c r="O7534" s="14" t="str">
        <f>HYPERLINK("https://otsuka-europe-crm.veevavault.com/ui/#object/email_activity__v/V8C00000003R848", "EN-002093274")</f>
        <v>EN-002093274</v>
      </c>
    </row>
    <row r="7535" spans="1:15" ht="16" x14ac:dyDescent="0.2">
      <c r="A7535" s="17" t="str">
        <f>HYPERLINK("https://otsuka-europe-crm.veevavault.com/ui/#object/account__v/V4TZ00000633KMY", "AHMED CHAREF BENDAHA")</f>
        <v>AHMED CHAREF BENDAHA</v>
      </c>
      <c r="B7535" s="17" t="str">
        <f>HYPERLINK("https://otsuka-europe-crm.veevavault.com/ui/#object/vcountry__v/VENZ000004SONFA", "FR")</f>
        <v>FR</v>
      </c>
      <c r="C7535" s="20" t="s">
        <v>42</v>
      </c>
      <c r="D7535" s="21" t="str">
        <f>HYPERLINK("https://otsuka-europe-crm.veevavault.com/ui/#object/approved_document__v/V5O00000000P003", "FR-AM2-2500027")</f>
        <v>FR-AM2-2500027</v>
      </c>
      <c r="E7535" s="22" t="str">
        <f>HYPERLINK("https://otsuka-europe-crm.veevavault.com/ui/#object/sent_email__v/VBL00000002R433", "SE-001435006")</f>
        <v>SE-001435006</v>
      </c>
      <c r="F7535" s="23">
        <v>46183.407407407409</v>
      </c>
      <c r="G7535" s="24">
        <v>1</v>
      </c>
      <c r="H7535" s="24">
        <v>2</v>
      </c>
      <c r="I7535" s="24">
        <v>0</v>
      </c>
      <c r="J7535" s="25"/>
      <c r="K7535" s="24">
        <v>0</v>
      </c>
      <c r="L7535" s="22" t="str">
        <f>HYPERLINK("https://otsuka-europe-crm.veevavault.com/ui/#object/approved_document__v/V5O00000000P003", "FR-AM2-2500027")</f>
        <v>FR-AM2-2500027</v>
      </c>
      <c r="M7535" s="22" t="str">
        <f>HYPERLINK("mailto:ssaouab@crm.otsuka-europe.com", "ssaouab@crm.otsuka-europe.com")</f>
        <v>ssaouab@crm.otsuka-europe.com</v>
      </c>
      <c r="N7535" s="23">
        <v>46182.645601851851</v>
      </c>
      <c r="O7535" s="14" t="str">
        <f>HYPERLINK("https://otsuka-europe-crm.veevavault.com/ui/#object/email_activity__v/V8C00000003R800", "EN-002093198")</f>
        <v>EN-002093198</v>
      </c>
    </row>
    <row r="7536" spans="1:15" ht="16" x14ac:dyDescent="0.2">
      <c r="A7536" s="18"/>
      <c r="B7536" s="18"/>
      <c r="C7536" s="18"/>
      <c r="D7536" s="18"/>
      <c r="E7536" s="18"/>
      <c r="F7536" s="18"/>
      <c r="G7536" s="18"/>
      <c r="H7536" s="18"/>
      <c r="I7536" s="18"/>
      <c r="J7536" s="18"/>
      <c r="K7536" s="18"/>
      <c r="L7536" s="18"/>
      <c r="M7536" s="18"/>
      <c r="N7536" s="18"/>
      <c r="O7536" s="14" t="str">
        <f>HYPERLINK("https://otsuka-europe-crm.veevavault.com/ui/#object/email_activity__v/V8C00000003R847", "EN-002093273")</f>
        <v>EN-002093273</v>
      </c>
    </row>
    <row r="7537" spans="1:15" ht="16" x14ac:dyDescent="0.2">
      <c r="A7537" s="19"/>
      <c r="B7537" s="19"/>
      <c r="C7537" s="19"/>
      <c r="D7537" s="19"/>
      <c r="E7537" s="19"/>
      <c r="F7537" s="19"/>
      <c r="G7537" s="19"/>
      <c r="H7537" s="19"/>
      <c r="I7537" s="19"/>
      <c r="J7537" s="19"/>
      <c r="K7537" s="19"/>
      <c r="L7537" s="19"/>
      <c r="M7537" s="19"/>
      <c r="N7537" s="19"/>
      <c r="O7537" s="14" t="str">
        <f>HYPERLINK("https://otsuka-europe-crm.veevavault.com/ui/#object/email_activity__v/V8C00000003T211", "EN-002094023")</f>
        <v>EN-002094023</v>
      </c>
    </row>
    <row r="7538" spans="1:15" ht="48" x14ac:dyDescent="0.2">
      <c r="A7538" s="7" t="str">
        <f>HYPERLINK("https://otsuka-europe-crm.veevavault.com/ui/#object/account__v/V4TZ00000633NEV", "SELIMA CHEBLI")</f>
        <v>SELIMA CHEBLI</v>
      </c>
      <c r="B7538" s="7" t="str">
        <f>HYPERLINK("https://otsuka-europe-crm.veevavault.com/ui/#object/vcountry__v/VENZ000004SONFA", "FR")</f>
        <v>FR</v>
      </c>
      <c r="C7538" s="8" t="s">
        <v>42</v>
      </c>
      <c r="D7538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538" s="10" t="str">
        <f>HYPERLINK("https://otsuka-europe-crm.veevavault.com/ui/#object/sent_email__v/VBL00000002R434", "SE-001435007")</f>
        <v>SE-001435007</v>
      </c>
      <c r="F7538" s="11"/>
      <c r="G7538" s="12">
        <v>0</v>
      </c>
      <c r="H7538" s="12">
        <v>0</v>
      </c>
      <c r="I7538" s="12">
        <v>0</v>
      </c>
      <c r="J7538" s="11"/>
      <c r="K7538" s="12">
        <v>0</v>
      </c>
      <c r="L7538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538" s="10" t="str">
        <f>HYPERLINK("mailto:ssaouab@crm.otsuka-europe.com", "ssaouab@crm.otsuka-europe.com")</f>
        <v>ssaouab@crm.otsuka-europe.com</v>
      </c>
      <c r="N7538" s="13">
        <v>46182.646469907406</v>
      </c>
      <c r="O7538" s="14" t="str">
        <f>HYPERLINK("https://otsuka-europe-crm.veevavault.com/ui/#object/email_activity__v/V8C00000003S163", "EN-002093201")</f>
        <v>EN-002093201</v>
      </c>
    </row>
    <row r="7539" spans="1:15" ht="32" x14ac:dyDescent="0.2">
      <c r="A7539" s="7" t="str">
        <f>HYPERLINK("https://otsuka-europe-crm.veevavault.com/ui/#object/account__v/V4TZ00000633NEV", "SELIMA CHEBLI")</f>
        <v>SELIMA CHEBLI</v>
      </c>
      <c r="B7539" s="7" t="str">
        <f>HYPERLINK("https://otsuka-europe-crm.veevavault.com/ui/#object/vcountry__v/VENZ000004SONFA", "FR")</f>
        <v>FR</v>
      </c>
      <c r="C7539" s="8" t="s">
        <v>42</v>
      </c>
      <c r="D7539" s="9" t="str">
        <f>HYPERLINK("https://otsuka-europe-crm.veevavault.com/ui/#object/approved_document__v/V5O00000000P003", "FR-AM2-2500027")</f>
        <v>FR-AM2-2500027</v>
      </c>
      <c r="E7539" s="10" t="str">
        <f>HYPERLINK("https://otsuka-europe-crm.veevavault.com/ui/#object/sent_email__v/VBL00000002R435", "SE-001435008")</f>
        <v>SE-001435008</v>
      </c>
      <c r="F7539" s="11"/>
      <c r="G7539" s="12">
        <v>0</v>
      </c>
      <c r="H7539" s="12">
        <v>0</v>
      </c>
      <c r="I7539" s="12">
        <v>0</v>
      </c>
      <c r="J7539" s="11"/>
      <c r="K7539" s="12">
        <v>0</v>
      </c>
      <c r="L7539" s="10" t="str">
        <f>HYPERLINK("https://otsuka-europe-crm.veevavault.com/ui/#object/approved_document__v/V5O00000000P003", "FR-AM2-2500027")</f>
        <v>FR-AM2-2500027</v>
      </c>
      <c r="M7539" s="10" t="str">
        <f>HYPERLINK("mailto:ssaouab@crm.otsuka-europe.com", "ssaouab@crm.otsuka-europe.com")</f>
        <v>ssaouab@crm.otsuka-europe.com</v>
      </c>
      <c r="N7539" s="13">
        <v>46182.646851851852</v>
      </c>
      <c r="O7539" s="14" t="str">
        <f>HYPERLINK("https://otsuka-europe-crm.veevavault.com/ui/#object/email_activity__v/V8C00000003S164", "EN-002093202")</f>
        <v>EN-002093202</v>
      </c>
    </row>
    <row r="7540" spans="1:15" ht="48" x14ac:dyDescent="0.2">
      <c r="A7540" s="7" t="str">
        <f>HYPERLINK("https://otsuka-europe-crm.veevavault.com/ui/#object/account__v/V4TZ06G6OB4527A", "NADIA CHEFFI")</f>
        <v>NADIA CHEFFI</v>
      </c>
      <c r="B7540" s="7" t="str">
        <f>HYPERLINK("https://otsuka-europe-crm.veevavault.com/ui/#object/vcountry__v/VENZ000004SONFA", "FR")</f>
        <v>FR</v>
      </c>
      <c r="C7540" s="8" t="s">
        <v>42</v>
      </c>
      <c r="D7540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540" s="10" t="str">
        <f>HYPERLINK("https://otsuka-europe-crm.veevavault.com/ui/#object/sent_email__v/VBL00000002R436", "SE-001435009")</f>
        <v>SE-001435009</v>
      </c>
      <c r="F7540" s="11"/>
      <c r="G7540" s="12">
        <v>0</v>
      </c>
      <c r="H7540" s="12">
        <v>0</v>
      </c>
      <c r="I7540" s="12">
        <v>0</v>
      </c>
      <c r="J7540" s="11"/>
      <c r="K7540" s="12">
        <v>0</v>
      </c>
      <c r="L7540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540" s="10" t="str">
        <f>HYPERLINK("mailto:ssaouab@crm.otsuka-europe.com", "ssaouab@crm.otsuka-europe.com")</f>
        <v>ssaouab@crm.otsuka-europe.com</v>
      </c>
      <c r="N7540" s="13">
        <v>46182.646886574075</v>
      </c>
      <c r="O7540" s="14" t="str">
        <f>HYPERLINK("https://otsuka-europe-crm.veevavault.com/ui/#object/email_activity__v/V8C00000003R804", "EN-002093205")</f>
        <v>EN-002093205</v>
      </c>
    </row>
    <row r="7541" spans="1:15" ht="16" x14ac:dyDescent="0.2">
      <c r="A7541" s="17" t="str">
        <f>HYPERLINK("https://otsuka-europe-crm.veevavault.com/ui/#object/account__v/V4TZ06G6OB4527A", "NADIA CHEFFI")</f>
        <v>NADIA CHEFFI</v>
      </c>
      <c r="B7541" s="17" t="str">
        <f>HYPERLINK("https://otsuka-europe-crm.veevavault.com/ui/#object/vcountry__v/VENZ000004SONFA", "FR")</f>
        <v>FR</v>
      </c>
      <c r="C7541" s="20" t="s">
        <v>42</v>
      </c>
      <c r="D7541" s="21" t="str">
        <f>HYPERLINK("https://otsuka-europe-crm.veevavault.com/ui/#object/approved_document__v/V5O00000000P003", "FR-AM2-2500027")</f>
        <v>FR-AM2-2500027</v>
      </c>
      <c r="E7541" s="22" t="str">
        <f>HYPERLINK("https://otsuka-europe-crm.veevavault.com/ui/#object/sent_email__v/VBL00000002R437", "SE-001435010")</f>
        <v>SE-001435010</v>
      </c>
      <c r="F7541" s="23">
        <v>46182.794849537036</v>
      </c>
      <c r="G7541" s="24">
        <v>1</v>
      </c>
      <c r="H7541" s="24">
        <v>2</v>
      </c>
      <c r="I7541" s="24">
        <v>0</v>
      </c>
      <c r="J7541" s="25"/>
      <c r="K7541" s="24">
        <v>0</v>
      </c>
      <c r="L7541" s="22" t="str">
        <f>HYPERLINK("https://otsuka-europe-crm.veevavault.com/ui/#object/approved_document__v/V5O00000000P003", "FR-AM2-2500027")</f>
        <v>FR-AM2-2500027</v>
      </c>
      <c r="M7541" s="22" t="str">
        <f>HYPERLINK("mailto:ssaouab@crm.otsuka-europe.com", "ssaouab@crm.otsuka-europe.com")</f>
        <v>ssaouab@crm.otsuka-europe.com</v>
      </c>
      <c r="N7541" s="23">
        <v>46182.647037037037</v>
      </c>
      <c r="O7541" s="14" t="str">
        <f>HYPERLINK("https://otsuka-europe-crm.veevavault.com/ui/#object/email_activity__v/V8C00000003R991", "EN-002093554")</f>
        <v>EN-002093554</v>
      </c>
    </row>
    <row r="7542" spans="1:15" ht="16" x14ac:dyDescent="0.2">
      <c r="A7542" s="18"/>
      <c r="B7542" s="18"/>
      <c r="C7542" s="18"/>
      <c r="D7542" s="18"/>
      <c r="E7542" s="18"/>
      <c r="F7542" s="18"/>
      <c r="G7542" s="18"/>
      <c r="H7542" s="18"/>
      <c r="I7542" s="18"/>
      <c r="J7542" s="18"/>
      <c r="K7542" s="18"/>
      <c r="L7542" s="18"/>
      <c r="M7542" s="18"/>
      <c r="N7542" s="18"/>
      <c r="O7542" s="14" t="str">
        <f>HYPERLINK("https://otsuka-europe-crm.veevavault.com/ui/#object/email_activity__v/V8C00000003R992", "EN-002093555")</f>
        <v>EN-002093555</v>
      </c>
    </row>
    <row r="7543" spans="1:15" ht="16" x14ac:dyDescent="0.2">
      <c r="A7543" s="19"/>
      <c r="B7543" s="19"/>
      <c r="C7543" s="19"/>
      <c r="D7543" s="19"/>
      <c r="E7543" s="19"/>
      <c r="F7543" s="19"/>
      <c r="G7543" s="19"/>
      <c r="H7543" s="19"/>
      <c r="I7543" s="19"/>
      <c r="J7543" s="19"/>
      <c r="K7543" s="19"/>
      <c r="L7543" s="19"/>
      <c r="M7543" s="19"/>
      <c r="N7543" s="19"/>
      <c r="O7543" s="14" t="str">
        <f>HYPERLINK("https://otsuka-europe-crm.veevavault.com/ui/#object/email_activity__v/V8C00000003S165", "EN-002093206")</f>
        <v>EN-002093206</v>
      </c>
    </row>
    <row r="7544" spans="1:15" ht="48" x14ac:dyDescent="0.2">
      <c r="A7544" s="7" t="str">
        <f>HYPERLINK("https://otsuka-europe-crm.veevavault.com/ui/#object/account__v/V4TZ00000633S0O", "TARIK CHEKKAL")</f>
        <v>TARIK CHEKKAL</v>
      </c>
      <c r="B7544" s="7" t="str">
        <f>HYPERLINK("https://otsuka-europe-crm.veevavault.com/ui/#object/vcountry__v/VENZ000004SONFA", "FR")</f>
        <v>FR</v>
      </c>
      <c r="C7544" s="8" t="s">
        <v>42</v>
      </c>
      <c r="D7544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544" s="10" t="str">
        <f>HYPERLINK("https://otsuka-europe-crm.veevavault.com/ui/#object/sent_email__v/VBL00000002S525", "SE-001435011")</f>
        <v>SE-001435011</v>
      </c>
      <c r="F7544" s="11"/>
      <c r="G7544" s="12">
        <v>0</v>
      </c>
      <c r="H7544" s="12">
        <v>0</v>
      </c>
      <c r="I7544" s="12">
        <v>0</v>
      </c>
      <c r="J7544" s="11"/>
      <c r="K7544" s="12">
        <v>0</v>
      </c>
      <c r="L7544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544" s="10" t="str">
        <f>HYPERLINK("mailto:ssaouab@crm.otsuka-europe.com", "ssaouab@crm.otsuka-europe.com")</f>
        <v>ssaouab@crm.otsuka-europe.com</v>
      </c>
      <c r="N7544" s="13">
        <v>46182.647337962961</v>
      </c>
      <c r="O7544" s="14" t="str">
        <f>HYPERLINK("https://otsuka-europe-crm.veevavault.com/ui/#object/email_activity__v/V8C00000003S170", "EN-002093211")</f>
        <v>EN-002093211</v>
      </c>
    </row>
    <row r="7545" spans="1:15" ht="32" x14ac:dyDescent="0.2">
      <c r="A7545" s="7" t="str">
        <f>HYPERLINK("https://otsuka-europe-crm.veevavault.com/ui/#object/account__v/V4TZ00000633S0O", "TARIK CHEKKAL")</f>
        <v>TARIK CHEKKAL</v>
      </c>
      <c r="B7545" s="7" t="str">
        <f>HYPERLINK("https://otsuka-europe-crm.veevavault.com/ui/#object/vcountry__v/VENZ000004SONFA", "FR")</f>
        <v>FR</v>
      </c>
      <c r="C7545" s="8" t="s">
        <v>42</v>
      </c>
      <c r="D7545" s="9" t="str">
        <f>HYPERLINK("https://otsuka-europe-crm.veevavault.com/ui/#object/approved_document__v/V5O00000000P003", "FR-AM2-2500027")</f>
        <v>FR-AM2-2500027</v>
      </c>
      <c r="E7545" s="10" t="str">
        <f>HYPERLINK("https://otsuka-europe-crm.veevavault.com/ui/#object/sent_email__v/VBL00000002R438", "SE-001435012")</f>
        <v>SE-001435012</v>
      </c>
      <c r="F7545" s="11"/>
      <c r="G7545" s="12">
        <v>0</v>
      </c>
      <c r="H7545" s="12">
        <v>0</v>
      </c>
      <c r="I7545" s="12">
        <v>0</v>
      </c>
      <c r="J7545" s="11"/>
      <c r="K7545" s="12">
        <v>0</v>
      </c>
      <c r="L7545" s="10" t="str">
        <f>HYPERLINK("https://otsuka-europe-crm.veevavault.com/ui/#object/approved_document__v/V5O00000000P003", "FR-AM2-2500027")</f>
        <v>FR-AM2-2500027</v>
      </c>
      <c r="M7545" s="10" t="str">
        <f>HYPERLINK("mailto:ssaouab@crm.otsuka-europe.com", "ssaouab@crm.otsuka-europe.com")</f>
        <v>ssaouab@crm.otsuka-europe.com</v>
      </c>
      <c r="N7545" s="13">
        <v>46182.647349537037</v>
      </c>
      <c r="O7545" s="14" t="str">
        <f>HYPERLINK("https://otsuka-europe-crm.veevavault.com/ui/#object/email_activity__v/V8C00000003S166", "EN-002093207")</f>
        <v>EN-002093207</v>
      </c>
    </row>
    <row r="7546" spans="1:15" ht="16" x14ac:dyDescent="0.2">
      <c r="A7546" s="17" t="str">
        <f>HYPERLINK("https://otsuka-europe-crm.veevavault.com/ui/#object/account__v/V4TZ00000633IQO", "SALIM CHELFAOUI")</f>
        <v>SALIM CHELFAOUI</v>
      </c>
      <c r="B7546" s="17" t="str">
        <f>HYPERLINK("https://otsuka-europe-crm.veevavault.com/ui/#object/vcountry__v/VENZ000004SONFA", "FR")</f>
        <v>FR</v>
      </c>
      <c r="C7546" s="20" t="s">
        <v>42</v>
      </c>
      <c r="D7546" s="21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546" s="22" t="str">
        <f>HYPERLINK("https://otsuka-europe-crm.veevavault.com/ui/#object/sent_email__v/VBL00000002R439", "SE-001435013")</f>
        <v>SE-001435013</v>
      </c>
      <c r="F7546" s="23">
        <v>46185.564710648148</v>
      </c>
      <c r="G7546" s="24">
        <v>1</v>
      </c>
      <c r="H7546" s="24">
        <v>1</v>
      </c>
      <c r="I7546" s="24">
        <v>1</v>
      </c>
      <c r="J7546" s="23">
        <v>46185.564965277779</v>
      </c>
      <c r="K7546" s="24">
        <v>1</v>
      </c>
      <c r="L7546" s="22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546" s="22" t="str">
        <f>HYPERLINK("mailto:ssaouab@crm.otsuka-europe.com", "ssaouab@crm.otsuka-europe.com")</f>
        <v>ssaouab@crm.otsuka-europe.com</v>
      </c>
      <c r="N7546" s="23">
        <v>46182.647569444445</v>
      </c>
      <c r="O7546" s="14" t="str">
        <f>HYPERLINK("https://otsuka-europe-crm.veevavault.com/ui/#object/email_activity__v/V8C00000003R805", "EN-002093213")</f>
        <v>EN-002093213</v>
      </c>
    </row>
    <row r="7547" spans="1:15" ht="16" x14ac:dyDescent="0.2">
      <c r="A7547" s="18"/>
      <c r="B7547" s="18"/>
      <c r="C7547" s="18"/>
      <c r="D7547" s="18"/>
      <c r="E7547" s="18"/>
      <c r="F7547" s="18"/>
      <c r="G7547" s="18"/>
      <c r="H7547" s="18"/>
      <c r="I7547" s="18"/>
      <c r="J7547" s="18"/>
      <c r="K7547" s="18"/>
      <c r="L7547" s="18"/>
      <c r="M7547" s="18"/>
      <c r="N7547" s="18"/>
      <c r="O7547" s="14" t="str">
        <f>HYPERLINK("https://otsuka-europe-crm.veevavault.com/ui/#object/email_activity__v/V8C00000003U313", "EN-002095467")</f>
        <v>EN-002095467</v>
      </c>
    </row>
    <row r="7548" spans="1:15" ht="16" x14ac:dyDescent="0.2">
      <c r="A7548" s="18"/>
      <c r="B7548" s="18"/>
      <c r="C7548" s="18"/>
      <c r="D7548" s="18"/>
      <c r="E7548" s="18"/>
      <c r="F7548" s="18"/>
      <c r="G7548" s="18"/>
      <c r="H7548" s="18"/>
      <c r="I7548" s="18"/>
      <c r="J7548" s="18"/>
      <c r="K7548" s="18"/>
      <c r="L7548" s="18"/>
      <c r="M7548" s="18"/>
      <c r="N7548" s="18"/>
      <c r="O7548" s="14" t="str">
        <f>HYPERLINK("https://otsuka-europe-crm.veevavault.com/ui/#object/email_activity__v/V8C00000003U324", "EN-002095482")</f>
        <v>EN-002095482</v>
      </c>
    </row>
    <row r="7549" spans="1:15" ht="16" x14ac:dyDescent="0.2">
      <c r="A7549" s="19"/>
      <c r="B7549" s="19"/>
      <c r="C7549" s="19"/>
      <c r="D7549" s="19"/>
      <c r="E7549" s="19"/>
      <c r="F7549" s="19"/>
      <c r="G7549" s="19"/>
      <c r="H7549" s="19"/>
      <c r="I7549" s="19"/>
      <c r="J7549" s="19"/>
      <c r="K7549" s="19"/>
      <c r="L7549" s="19"/>
      <c r="M7549" s="19"/>
      <c r="N7549" s="19"/>
      <c r="O7549" s="14" t="str">
        <f>HYPERLINK("https://otsuka-europe-crm.veevavault.com/ui/#object/email_activity__v/V8C00000003V338", "EN-002095466")</f>
        <v>EN-002095466</v>
      </c>
    </row>
    <row r="7550" spans="1:15" ht="16" x14ac:dyDescent="0.2">
      <c r="A7550" s="17" t="str">
        <f>HYPERLINK("https://otsuka-europe-crm.veevavault.com/ui/#object/account__v/V4TZ00000633IQO", "SALIM CHELFAOUI")</f>
        <v>SALIM CHELFAOUI</v>
      </c>
      <c r="B7550" s="17" t="str">
        <f>HYPERLINK("https://otsuka-europe-crm.veevavault.com/ui/#object/vcountry__v/VENZ000004SONFA", "FR")</f>
        <v>FR</v>
      </c>
      <c r="C7550" s="20" t="s">
        <v>42</v>
      </c>
      <c r="D7550" s="21" t="str">
        <f>HYPERLINK("https://otsuka-europe-crm.veevavault.com/ui/#object/approved_document__v/V5O00000000P003", "FR-AM2-2500027")</f>
        <v>FR-AM2-2500027</v>
      </c>
      <c r="E7550" s="22" t="str">
        <f>HYPERLINK("https://otsuka-europe-crm.veevavault.com/ui/#object/sent_email__v/VBL00000002S526", "SE-001435014")</f>
        <v>SE-001435014</v>
      </c>
      <c r="F7550" s="23">
        <v>46183.179525462961</v>
      </c>
      <c r="G7550" s="24">
        <v>1</v>
      </c>
      <c r="H7550" s="24">
        <v>1</v>
      </c>
      <c r="I7550" s="24">
        <v>0</v>
      </c>
      <c r="J7550" s="25"/>
      <c r="K7550" s="24">
        <v>0</v>
      </c>
      <c r="L7550" s="22" t="str">
        <f>HYPERLINK("https://otsuka-europe-crm.veevavault.com/ui/#object/approved_document__v/V5O00000000P003", "FR-AM2-2500027")</f>
        <v>FR-AM2-2500027</v>
      </c>
      <c r="M7550" s="22" t="str">
        <f>HYPERLINK("mailto:ssaouab@crm.otsuka-europe.com", "ssaouab@crm.otsuka-europe.com")</f>
        <v>ssaouab@crm.otsuka-europe.com</v>
      </c>
      <c r="N7550" s="23">
        <v>46182.647650462961</v>
      </c>
      <c r="O7550" s="14" t="str">
        <f>HYPERLINK("https://otsuka-europe-crm.veevavault.com/ui/#object/email_activity__v/V8C00000003S171", "EN-002093212")</f>
        <v>EN-002093212</v>
      </c>
    </row>
    <row r="7551" spans="1:15" ht="16" x14ac:dyDescent="0.2">
      <c r="A7551" s="19"/>
      <c r="B7551" s="19"/>
      <c r="C7551" s="19"/>
      <c r="D7551" s="19"/>
      <c r="E7551" s="19"/>
      <c r="F7551" s="19"/>
      <c r="G7551" s="19"/>
      <c r="H7551" s="19"/>
      <c r="I7551" s="19"/>
      <c r="J7551" s="19"/>
      <c r="K7551" s="19"/>
      <c r="L7551" s="19"/>
      <c r="M7551" s="19"/>
      <c r="N7551" s="19"/>
      <c r="O7551" s="14" t="str">
        <f>HYPERLINK("https://otsuka-europe-crm.veevavault.com/ui/#object/email_activity__v/V8C00000003T126", "EN-002093809")</f>
        <v>EN-002093809</v>
      </c>
    </row>
    <row r="7552" spans="1:15" ht="48" x14ac:dyDescent="0.2">
      <c r="A7552" s="7" t="str">
        <f>HYPERLINK("https://otsuka-europe-crm.veevavault.com/ui/#object/account__v/V4TZ00000633S19", "SAAD CHERRAK")</f>
        <v>SAAD CHERRAK</v>
      </c>
      <c r="B7552" s="7" t="str">
        <f t="shared" ref="B7552:B7557" si="630">HYPERLINK("https://otsuka-europe-crm.veevavault.com/ui/#object/vcountry__v/VENZ000004SONFA", "FR")</f>
        <v>FR</v>
      </c>
      <c r="C7552" s="8" t="s">
        <v>42</v>
      </c>
      <c r="D7552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552" s="10" t="str">
        <f>HYPERLINK("https://otsuka-europe-crm.veevavault.com/ui/#object/sent_email__v/VBL00000002S527", "SE-001435015")</f>
        <v>SE-001435015</v>
      </c>
      <c r="F7552" s="11"/>
      <c r="G7552" s="12">
        <v>0</v>
      </c>
      <c r="H7552" s="12">
        <v>0</v>
      </c>
      <c r="I7552" s="12">
        <v>0</v>
      </c>
      <c r="J7552" s="11"/>
      <c r="K7552" s="12">
        <v>0</v>
      </c>
      <c r="L7552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552" s="10" t="str">
        <f t="shared" ref="M7552:M7557" si="631">HYPERLINK("mailto:ssaouab@crm.otsuka-europe.com", "ssaouab@crm.otsuka-europe.com")</f>
        <v>ssaouab@crm.otsuka-europe.com</v>
      </c>
      <c r="N7552" s="13">
        <v>46182.648206018515</v>
      </c>
      <c r="O7552" s="14" t="str">
        <f>HYPERLINK("https://otsuka-europe-crm.veevavault.com/ui/#object/email_activity__v/V8C00000003R806", "EN-002093214")</f>
        <v>EN-002093214</v>
      </c>
    </row>
    <row r="7553" spans="1:15" ht="32" x14ac:dyDescent="0.2">
      <c r="A7553" s="7" t="str">
        <f>HYPERLINK("https://otsuka-europe-crm.veevavault.com/ui/#object/account__v/V4TZ00000633S19", "SAAD CHERRAK")</f>
        <v>SAAD CHERRAK</v>
      </c>
      <c r="B7553" s="7" t="str">
        <f t="shared" si="630"/>
        <v>FR</v>
      </c>
      <c r="C7553" s="8" t="s">
        <v>42</v>
      </c>
      <c r="D7553" s="9" t="str">
        <f>HYPERLINK("https://otsuka-europe-crm.veevavault.com/ui/#object/approved_document__v/V5O00000000P003", "FR-AM2-2500027")</f>
        <v>FR-AM2-2500027</v>
      </c>
      <c r="E7553" s="10" t="str">
        <f>HYPERLINK("https://otsuka-europe-crm.veevavault.com/ui/#object/sent_email__v/VBL00000002R440", "SE-001435016")</f>
        <v>SE-001435016</v>
      </c>
      <c r="F7553" s="11"/>
      <c r="G7553" s="12">
        <v>0</v>
      </c>
      <c r="H7553" s="12">
        <v>0</v>
      </c>
      <c r="I7553" s="12">
        <v>0</v>
      </c>
      <c r="J7553" s="11"/>
      <c r="K7553" s="12">
        <v>0</v>
      </c>
      <c r="L7553" s="10" t="str">
        <f>HYPERLINK("https://otsuka-europe-crm.veevavault.com/ui/#object/approved_document__v/V5O00000000P003", "FR-AM2-2500027")</f>
        <v>FR-AM2-2500027</v>
      </c>
      <c r="M7553" s="10" t="str">
        <f t="shared" si="631"/>
        <v>ssaouab@crm.otsuka-europe.com</v>
      </c>
      <c r="N7553" s="13">
        <v>46182.648368055554</v>
      </c>
      <c r="O7553" s="14" t="str">
        <f>HYPERLINK("https://otsuka-europe-crm.veevavault.com/ui/#object/email_activity__v/V8C00000003R807", "EN-002093215")</f>
        <v>EN-002093215</v>
      </c>
    </row>
    <row r="7554" spans="1:15" ht="32" x14ac:dyDescent="0.2">
      <c r="A7554" s="7" t="str">
        <f>HYPERLINK("https://otsuka-europe-crm.veevavault.com/ui/#object/account__v/V4T00000000Z020", "MAYSSEN CHERRI")</f>
        <v>MAYSSEN CHERRI</v>
      </c>
      <c r="B7554" s="7" t="str">
        <f t="shared" si="630"/>
        <v>FR</v>
      </c>
      <c r="C7554" s="8" t="s">
        <v>42</v>
      </c>
      <c r="D7554" s="9" t="str">
        <f>HYPERLINK("https://otsuka-europe-crm.veevavault.com/ui/#object/approved_document__v/V5O00000000P003", "FR-AM2-2500027")</f>
        <v>FR-AM2-2500027</v>
      </c>
      <c r="E7554" s="10" t="str">
        <f>HYPERLINK("https://otsuka-europe-crm.veevavault.com/ui/#object/sent_email__v/VBL00000002R441", "SE-001435017")</f>
        <v>SE-001435017</v>
      </c>
      <c r="F7554" s="11"/>
      <c r="G7554" s="12">
        <v>0</v>
      </c>
      <c r="H7554" s="12">
        <v>0</v>
      </c>
      <c r="I7554" s="12">
        <v>0</v>
      </c>
      <c r="J7554" s="11"/>
      <c r="K7554" s="12">
        <v>0</v>
      </c>
      <c r="L7554" s="10" t="str">
        <f>HYPERLINK("https://otsuka-europe-crm.veevavault.com/ui/#object/approved_document__v/V5O00000000P003", "FR-AM2-2500027")</f>
        <v>FR-AM2-2500027</v>
      </c>
      <c r="M7554" s="10" t="str">
        <f t="shared" si="631"/>
        <v>ssaouab@crm.otsuka-europe.com</v>
      </c>
      <c r="N7554" s="13">
        <v>46182.649074074077</v>
      </c>
      <c r="O7554" s="14" t="str">
        <f>HYPERLINK("https://otsuka-europe-crm.veevavault.com/ui/#object/email_activity__v/V8C00000003R811", "EN-002093219")</f>
        <v>EN-002093219</v>
      </c>
    </row>
    <row r="7555" spans="1:15" ht="48" x14ac:dyDescent="0.2">
      <c r="A7555" s="7" t="str">
        <f>HYPERLINK("https://otsuka-europe-crm.veevavault.com/ui/#object/account__v/V4T00000000Z020", "MAYSSEN CHERRI")</f>
        <v>MAYSSEN CHERRI</v>
      </c>
      <c r="B7555" s="7" t="str">
        <f t="shared" si="630"/>
        <v>FR</v>
      </c>
      <c r="C7555" s="8" t="s">
        <v>42</v>
      </c>
      <c r="D7555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555" s="10" t="str">
        <f>HYPERLINK("https://otsuka-europe-crm.veevavault.com/ui/#object/sent_email__v/VBL00000002R442", "SE-001435018")</f>
        <v>SE-001435018</v>
      </c>
      <c r="F7555" s="11"/>
      <c r="G7555" s="12">
        <v>0</v>
      </c>
      <c r="H7555" s="12">
        <v>0</v>
      </c>
      <c r="I7555" s="12">
        <v>0</v>
      </c>
      <c r="J7555" s="11"/>
      <c r="K7555" s="12">
        <v>0</v>
      </c>
      <c r="L7555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555" s="10" t="str">
        <f t="shared" si="631"/>
        <v>ssaouab@crm.otsuka-europe.com</v>
      </c>
      <c r="N7555" s="13">
        <v>46182.649212962962</v>
      </c>
      <c r="O7555" s="14" t="str">
        <f>HYPERLINK("https://otsuka-europe-crm.veevavault.com/ui/#object/email_activity__v/V8C00000003R810", "EN-002093218")</f>
        <v>EN-002093218</v>
      </c>
    </row>
    <row r="7556" spans="1:15" ht="32" x14ac:dyDescent="0.2">
      <c r="A7556" s="7" t="str">
        <f>HYPERLINK("https://otsuka-europe-crm.veevavault.com/ui/#object/account__v/V4T00000000Z020", "MAYSSEN CHERRI")</f>
        <v>MAYSSEN CHERRI</v>
      </c>
      <c r="B7556" s="7" t="str">
        <f t="shared" si="630"/>
        <v>FR</v>
      </c>
      <c r="C7556" s="8" t="s">
        <v>42</v>
      </c>
      <c r="D7556" s="9" t="str">
        <f>HYPERLINK("https://otsuka-europe-crm.veevavault.com/ui/#object/approved_document__v/V5O00000000P003", "FR-AM2-2500027")</f>
        <v>FR-AM2-2500027</v>
      </c>
      <c r="E7556" s="10" t="str">
        <f>HYPERLINK("https://otsuka-europe-crm.veevavault.com/ui/#object/sent_email__v/VBL00000002R443", "SE-001435019")</f>
        <v>SE-001435019</v>
      </c>
      <c r="F7556" s="11"/>
      <c r="G7556" s="12">
        <v>0</v>
      </c>
      <c r="H7556" s="12">
        <v>0</v>
      </c>
      <c r="I7556" s="12">
        <v>0</v>
      </c>
      <c r="J7556" s="11"/>
      <c r="K7556" s="12">
        <v>0</v>
      </c>
      <c r="L7556" s="10" t="str">
        <f>HYPERLINK("https://otsuka-europe-crm.veevavault.com/ui/#object/approved_document__v/V5O00000000P003", "FR-AM2-2500027")</f>
        <v>FR-AM2-2500027</v>
      </c>
      <c r="M7556" s="10" t="str">
        <f t="shared" si="631"/>
        <v>ssaouab@crm.otsuka-europe.com</v>
      </c>
      <c r="N7556" s="13">
        <v>46182.649594907409</v>
      </c>
      <c r="O7556" s="14" t="str">
        <f>HYPERLINK("https://otsuka-europe-crm.veevavault.com/ui/#object/email_activity__v/V8C00000003R813", "EN-002093221")</f>
        <v>EN-002093221</v>
      </c>
    </row>
    <row r="7557" spans="1:15" ht="16" x14ac:dyDescent="0.2">
      <c r="A7557" s="17" t="str">
        <f>HYPERLINK("https://otsuka-europe-crm.veevavault.com/ui/#object/account__v/V4TZ00000633HW5", "CHRISTIANE CHEVROTEE")</f>
        <v>CHRISTIANE CHEVROTEE</v>
      </c>
      <c r="B7557" s="17" t="str">
        <f t="shared" si="630"/>
        <v>FR</v>
      </c>
      <c r="C7557" s="20" t="s">
        <v>42</v>
      </c>
      <c r="D7557" s="21" t="str">
        <f>HYPERLINK("https://otsuka-europe-crm.veevavault.com/ui/#object/approved_document__v/V5O00000000P003", "FR-AM2-2500027")</f>
        <v>FR-AM2-2500027</v>
      </c>
      <c r="E7557" s="22" t="str">
        <f>HYPERLINK("https://otsuka-europe-crm.veevavault.com/ui/#object/sent_email__v/VBL00000002R444", "SE-001435020")</f>
        <v>SE-001435020</v>
      </c>
      <c r="F7557" s="23">
        <v>46182.659560185188</v>
      </c>
      <c r="G7557" s="24">
        <v>1</v>
      </c>
      <c r="H7557" s="24">
        <v>2</v>
      </c>
      <c r="I7557" s="24">
        <v>0</v>
      </c>
      <c r="J7557" s="25"/>
      <c r="K7557" s="24">
        <v>0</v>
      </c>
      <c r="L7557" s="22" t="str">
        <f>HYPERLINK("https://otsuka-europe-crm.veevavault.com/ui/#object/approved_document__v/V5O00000000P003", "FR-AM2-2500027")</f>
        <v>FR-AM2-2500027</v>
      </c>
      <c r="M7557" s="22" t="str">
        <f t="shared" si="631"/>
        <v>ssaouab@crm.otsuka-europe.com</v>
      </c>
      <c r="N7557" s="23">
        <v>46182.651192129626</v>
      </c>
      <c r="O7557" s="14" t="str">
        <f>HYPERLINK("https://otsuka-europe-crm.veevavault.com/ui/#object/email_activity__v/V8C00000003R815", "EN-002093223")</f>
        <v>EN-002093223</v>
      </c>
    </row>
    <row r="7558" spans="1:15" ht="16" x14ac:dyDescent="0.2">
      <c r="A7558" s="18"/>
      <c r="B7558" s="18"/>
      <c r="C7558" s="18"/>
      <c r="D7558" s="18"/>
      <c r="E7558" s="18"/>
      <c r="F7558" s="18"/>
      <c r="G7558" s="18"/>
      <c r="H7558" s="18"/>
      <c r="I7558" s="18"/>
      <c r="J7558" s="18"/>
      <c r="K7558" s="18"/>
      <c r="L7558" s="18"/>
      <c r="M7558" s="18"/>
      <c r="N7558" s="18"/>
      <c r="O7558" s="14" t="str">
        <f>HYPERLINK("https://otsuka-europe-crm.veevavault.com/ui/#object/email_activity__v/V8C00000003R827", "EN-002093245")</f>
        <v>EN-002093245</v>
      </c>
    </row>
    <row r="7559" spans="1:15" ht="16" x14ac:dyDescent="0.2">
      <c r="A7559" s="19"/>
      <c r="B7559" s="19"/>
      <c r="C7559" s="19"/>
      <c r="D7559" s="19"/>
      <c r="E7559" s="19"/>
      <c r="F7559" s="19"/>
      <c r="G7559" s="19"/>
      <c r="H7559" s="19"/>
      <c r="I7559" s="19"/>
      <c r="J7559" s="19"/>
      <c r="K7559" s="19"/>
      <c r="L7559" s="19"/>
      <c r="M7559" s="19"/>
      <c r="N7559" s="19"/>
      <c r="O7559" s="14" t="str">
        <f>HYPERLINK("https://otsuka-europe-crm.veevavault.com/ui/#object/email_activity__v/V8C00000003S184", "EN-002093247")</f>
        <v>EN-002093247</v>
      </c>
    </row>
    <row r="7560" spans="1:15" ht="16" x14ac:dyDescent="0.2">
      <c r="A7560" s="17" t="str">
        <f>HYPERLINK("https://otsuka-europe-crm.veevavault.com/ui/#object/account__v/V4TZ00000633HW5", "CHRISTIANE CHEVROTEE")</f>
        <v>CHRISTIANE CHEVROTEE</v>
      </c>
      <c r="B7560" s="17" t="str">
        <f>HYPERLINK("https://otsuka-europe-crm.veevavault.com/ui/#object/vcountry__v/VENZ000004SONFA", "FR")</f>
        <v>FR</v>
      </c>
      <c r="C7560" s="20" t="s">
        <v>42</v>
      </c>
      <c r="D7560" s="21" t="str">
        <f>HYPERLINK("https://otsuka-europe-crm.veevavault.com/ui/#object/approved_document__v/V5O00000000P003", "FR-AM2-2500027")</f>
        <v>FR-AM2-2500027</v>
      </c>
      <c r="E7560" s="22" t="str">
        <f>HYPERLINK("https://otsuka-europe-crm.veevavault.com/ui/#object/sent_email__v/VBL00000002R445", "SE-001435021")</f>
        <v>SE-001435021</v>
      </c>
      <c r="F7560" s="23">
        <v>46182.659351851849</v>
      </c>
      <c r="G7560" s="24">
        <v>1</v>
      </c>
      <c r="H7560" s="24">
        <v>2</v>
      </c>
      <c r="I7560" s="24">
        <v>0</v>
      </c>
      <c r="J7560" s="25"/>
      <c r="K7560" s="24">
        <v>0</v>
      </c>
      <c r="L7560" s="22" t="str">
        <f>HYPERLINK("https://otsuka-europe-crm.veevavault.com/ui/#object/approved_document__v/V5O00000000P003", "FR-AM2-2500027")</f>
        <v>FR-AM2-2500027</v>
      </c>
      <c r="M7560" s="22" t="str">
        <f>HYPERLINK("mailto:ssaouab@crm.otsuka-europe.com", "ssaouab@crm.otsuka-europe.com")</f>
        <v>ssaouab@crm.otsuka-europe.com</v>
      </c>
      <c r="N7560" s="23">
        <v>46182.651192129626</v>
      </c>
      <c r="O7560" s="14" t="str">
        <f>HYPERLINK("https://otsuka-europe-crm.veevavault.com/ui/#object/email_activity__v/V8C00000003R816", "EN-002093224")</f>
        <v>EN-002093224</v>
      </c>
    </row>
    <row r="7561" spans="1:15" ht="16" x14ac:dyDescent="0.2">
      <c r="A7561" s="18"/>
      <c r="B7561" s="18"/>
      <c r="C7561" s="18"/>
      <c r="D7561" s="18"/>
      <c r="E7561" s="18"/>
      <c r="F7561" s="18"/>
      <c r="G7561" s="18"/>
      <c r="H7561" s="18"/>
      <c r="I7561" s="18"/>
      <c r="J7561" s="18"/>
      <c r="K7561" s="18"/>
      <c r="L7561" s="18"/>
      <c r="M7561" s="18"/>
      <c r="N7561" s="18"/>
      <c r="O7561" s="14" t="str">
        <f>HYPERLINK("https://otsuka-europe-crm.veevavault.com/ui/#object/email_activity__v/V8C00000003S181", "EN-002093243")</f>
        <v>EN-002093243</v>
      </c>
    </row>
    <row r="7562" spans="1:15" ht="16" x14ac:dyDescent="0.2">
      <c r="A7562" s="19"/>
      <c r="B7562" s="19"/>
      <c r="C7562" s="19"/>
      <c r="D7562" s="19"/>
      <c r="E7562" s="19"/>
      <c r="F7562" s="19"/>
      <c r="G7562" s="19"/>
      <c r="H7562" s="19"/>
      <c r="I7562" s="19"/>
      <c r="J7562" s="19"/>
      <c r="K7562" s="19"/>
      <c r="L7562" s="19"/>
      <c r="M7562" s="19"/>
      <c r="N7562" s="19"/>
      <c r="O7562" s="14" t="str">
        <f>HYPERLINK("https://otsuka-europe-crm.veevavault.com/ui/#object/email_activity__v/V8C00000003S182", "EN-002093244")</f>
        <v>EN-002093244</v>
      </c>
    </row>
    <row r="7563" spans="1:15" ht="48" x14ac:dyDescent="0.2">
      <c r="A7563" s="7" t="str">
        <f>HYPERLINK("https://otsuka-europe-crm.veevavault.com/ui/#object/account__v/V4TZ00000633QJN", "VERONIQUE DAOUD")</f>
        <v>VERONIQUE DAOUD</v>
      </c>
      <c r="B7563" s="7" t="str">
        <f>HYPERLINK("https://otsuka-europe-crm.veevavault.com/ui/#object/vcountry__v/VENZ000004SONFA", "FR")</f>
        <v>FR</v>
      </c>
      <c r="C7563" s="8" t="s">
        <v>42</v>
      </c>
      <c r="D7563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563" s="10" t="str">
        <f>HYPERLINK("https://otsuka-europe-crm.veevavault.com/ui/#object/sent_email__v/VBL00000002R446", "SE-001435022")</f>
        <v>SE-001435022</v>
      </c>
      <c r="F7563" s="11"/>
      <c r="G7563" s="12">
        <v>0</v>
      </c>
      <c r="H7563" s="12">
        <v>0</v>
      </c>
      <c r="I7563" s="12">
        <v>0</v>
      </c>
      <c r="J7563" s="11"/>
      <c r="K7563" s="12">
        <v>0</v>
      </c>
      <c r="L7563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563" s="10" t="str">
        <f>HYPERLINK("mailto:ssaouab@crm.otsuka-europe.com", "ssaouab@crm.otsuka-europe.com")</f>
        <v>ssaouab@crm.otsuka-europe.com</v>
      </c>
      <c r="N7563" s="13">
        <v>46182.652557870373</v>
      </c>
      <c r="O7563" s="14" t="str">
        <f>HYPERLINK("https://otsuka-europe-crm.veevavault.com/ui/#object/email_activity__v/V8C00000003S172", "EN-002093225")</f>
        <v>EN-002093225</v>
      </c>
    </row>
    <row r="7564" spans="1:15" ht="16" x14ac:dyDescent="0.2">
      <c r="A7564" s="17" t="str">
        <f>HYPERLINK("https://otsuka-europe-crm.veevavault.com/ui/#object/account__v/V4TZ06G6OCENK3H", "EDOUARD DELASSUS SAINT GENIES")</f>
        <v>EDOUARD DELASSUS SAINT GENIES</v>
      </c>
      <c r="B7564" s="17" t="str">
        <f>HYPERLINK("https://otsuka-europe-crm.veevavault.com/ui/#object/vcountry__v/VENZ000004SONFA", "FR")</f>
        <v>FR</v>
      </c>
      <c r="C7564" s="20" t="s">
        <v>42</v>
      </c>
      <c r="D7564" s="21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564" s="22" t="str">
        <f>HYPERLINK("https://otsuka-europe-crm.veevavault.com/ui/#object/sent_email__v/VBL00000002R447", "SE-001435023")</f>
        <v>SE-001435023</v>
      </c>
      <c r="F7564" s="23">
        <v>46187.324537037035</v>
      </c>
      <c r="G7564" s="24">
        <v>1</v>
      </c>
      <c r="H7564" s="24">
        <v>1</v>
      </c>
      <c r="I7564" s="24">
        <v>0</v>
      </c>
      <c r="J7564" s="25"/>
      <c r="K7564" s="24">
        <v>0</v>
      </c>
      <c r="L7564" s="22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564" s="22" t="str">
        <f>HYPERLINK("mailto:ssaouab@crm.otsuka-europe.com", "ssaouab@crm.otsuka-europe.com")</f>
        <v>ssaouab@crm.otsuka-europe.com</v>
      </c>
      <c r="N7564" s="23">
        <v>46182.654143518521</v>
      </c>
      <c r="O7564" s="14" t="str">
        <f>HYPERLINK("https://otsuka-europe-crm.veevavault.com/ui/#object/email_activity__v/V8C00000003S175", "EN-002093227")</f>
        <v>EN-002093227</v>
      </c>
    </row>
    <row r="7565" spans="1:15" ht="16" x14ac:dyDescent="0.2">
      <c r="A7565" s="19"/>
      <c r="B7565" s="19"/>
      <c r="C7565" s="19"/>
      <c r="D7565" s="19"/>
      <c r="E7565" s="19"/>
      <c r="F7565" s="19"/>
      <c r="G7565" s="19"/>
      <c r="H7565" s="19"/>
      <c r="I7565" s="19"/>
      <c r="J7565" s="19"/>
      <c r="K7565" s="19"/>
      <c r="L7565" s="19"/>
      <c r="M7565" s="19"/>
      <c r="N7565" s="19"/>
      <c r="O7565" s="14" t="str">
        <f>HYPERLINK("https://otsuka-europe-crm.veevavault.com/ui/#object/email_activity__v/V8C00000003U410", "EN-002095680")</f>
        <v>EN-002095680</v>
      </c>
    </row>
    <row r="7566" spans="1:15" ht="16" x14ac:dyDescent="0.2">
      <c r="A7566" s="17" t="str">
        <f>HYPERLINK("https://otsuka-europe-crm.veevavault.com/ui/#object/account__v/V4TZ06G6OCENK3H", "EDOUARD DELASSUS SAINT GENIES")</f>
        <v>EDOUARD DELASSUS SAINT GENIES</v>
      </c>
      <c r="B7566" s="17" t="str">
        <f>HYPERLINK("https://otsuka-europe-crm.veevavault.com/ui/#object/vcountry__v/VENZ000004SONFA", "FR")</f>
        <v>FR</v>
      </c>
      <c r="C7566" s="20" t="s">
        <v>42</v>
      </c>
      <c r="D7566" s="21" t="str">
        <f>HYPERLINK("https://otsuka-europe-crm.veevavault.com/ui/#object/approved_document__v/V5O00000000P003", "FR-AM2-2500027")</f>
        <v>FR-AM2-2500027</v>
      </c>
      <c r="E7566" s="22" t="str">
        <f>HYPERLINK("https://otsuka-europe-crm.veevavault.com/ui/#object/sent_email__v/VBL00000002S528", "SE-001435024")</f>
        <v>SE-001435024</v>
      </c>
      <c r="F7566" s="23">
        <v>46187.324675925927</v>
      </c>
      <c r="G7566" s="24">
        <v>1</v>
      </c>
      <c r="H7566" s="24">
        <v>1</v>
      </c>
      <c r="I7566" s="24">
        <v>0</v>
      </c>
      <c r="J7566" s="25"/>
      <c r="K7566" s="24">
        <v>0</v>
      </c>
      <c r="L7566" s="22" t="str">
        <f>HYPERLINK("https://otsuka-europe-crm.veevavault.com/ui/#object/approved_document__v/V5O00000000P003", "FR-AM2-2500027")</f>
        <v>FR-AM2-2500027</v>
      </c>
      <c r="M7566" s="22" t="str">
        <f>HYPERLINK("mailto:ssaouab@crm.otsuka-europe.com", "ssaouab@crm.otsuka-europe.com")</f>
        <v>ssaouab@crm.otsuka-europe.com</v>
      </c>
      <c r="N7566" s="23">
        <v>46182.654166666667</v>
      </c>
      <c r="O7566" s="14" t="str">
        <f>HYPERLINK("https://otsuka-europe-crm.veevavault.com/ui/#object/email_activity__v/V8C00000003S176", "EN-002093229")</f>
        <v>EN-002093229</v>
      </c>
    </row>
    <row r="7567" spans="1:15" ht="16" x14ac:dyDescent="0.2">
      <c r="A7567" s="19"/>
      <c r="B7567" s="19"/>
      <c r="C7567" s="19"/>
      <c r="D7567" s="19"/>
      <c r="E7567" s="19"/>
      <c r="F7567" s="19"/>
      <c r="G7567" s="19"/>
      <c r="H7567" s="19"/>
      <c r="I7567" s="19"/>
      <c r="J7567" s="19"/>
      <c r="K7567" s="19"/>
      <c r="L7567" s="19"/>
      <c r="M7567" s="19"/>
      <c r="N7567" s="19"/>
      <c r="O7567" s="14" t="str">
        <f>HYPERLINK("https://otsuka-europe-crm.veevavault.com/ui/#object/email_activity__v/V8C00000003U411", "EN-002095681")</f>
        <v>EN-002095681</v>
      </c>
    </row>
    <row r="7568" spans="1:15" ht="16" x14ac:dyDescent="0.2">
      <c r="A7568" s="17" t="str">
        <f>HYPERLINK("https://otsuka-europe-crm.veevavault.com/ui/#object/account__v/V4TZ04ASG6P00GS", "Anup Sakha")</f>
        <v>Anup Sakha</v>
      </c>
      <c r="B7568" s="17" t="str">
        <f>HYPERLINK("https://otsuka-europe-crm.veevavault.com/ui/#object/vcountry__v/VENZ000004SONFK", "GB")</f>
        <v>GB</v>
      </c>
      <c r="C7568" s="20" t="s">
        <v>39</v>
      </c>
      <c r="D7568" s="21" t="str">
        <f>HYPERLINK("https://otsuka-europe-crm.veevavault.com/ui/#object/approved_document__v/V5O00000001H007", "DR P2P Invite 18-Jun-26 [digital]")</f>
        <v>DR P2P Invite 18-Jun-26 [digital]</v>
      </c>
      <c r="E7568" s="22" t="str">
        <f>HYPERLINK("https://otsuka-europe-crm.veevavault.com/ui/#object/sent_email__v/VBL00000002S529", "SE-001435025")</f>
        <v>SE-001435025</v>
      </c>
      <c r="F7568" s="23">
        <v>46182.69021990741</v>
      </c>
      <c r="G7568" s="24">
        <v>1</v>
      </c>
      <c r="H7568" s="24">
        <v>1</v>
      </c>
      <c r="I7568" s="24">
        <v>0</v>
      </c>
      <c r="J7568" s="25"/>
      <c r="K7568" s="24">
        <v>0</v>
      </c>
      <c r="L7568" s="22" t="str">
        <f>HYPERLINK("https://otsuka-europe-crm.veevavault.com/ui/#object/approved_document__v/V5O00000001H007", "DR P2P Invite 18-Jun-26 [digital]")</f>
        <v>DR P2P Invite 18-Jun-26 [digital]</v>
      </c>
      <c r="M7568" s="22" t="str">
        <f>HYPERLINK("mailto:draval@crm.otsuka-europe.com", "draval@crm.otsuka-europe.com")</f>
        <v>draval@crm.otsuka-europe.com</v>
      </c>
      <c r="N7568" s="23">
        <v>46182.654699074075</v>
      </c>
      <c r="O7568" s="14" t="str">
        <f>HYPERLINK("https://otsuka-europe-crm.veevavault.com/ui/#object/email_activity__v/V8C00000003R819", "EN-002093232")</f>
        <v>EN-002093232</v>
      </c>
    </row>
    <row r="7569" spans="1:15" ht="16" x14ac:dyDescent="0.2">
      <c r="A7569" s="19"/>
      <c r="B7569" s="19"/>
      <c r="C7569" s="19"/>
      <c r="D7569" s="19"/>
      <c r="E7569" s="19"/>
      <c r="F7569" s="19"/>
      <c r="G7569" s="19"/>
      <c r="H7569" s="19"/>
      <c r="I7569" s="19"/>
      <c r="J7569" s="19"/>
      <c r="K7569" s="19"/>
      <c r="L7569" s="19"/>
      <c r="M7569" s="19"/>
      <c r="N7569" s="19"/>
      <c r="O7569" s="14" t="str">
        <f>HYPERLINK("https://otsuka-europe-crm.veevavault.com/ui/#object/email_activity__v/V8C00000003R869", "EN-002093324")</f>
        <v>EN-002093324</v>
      </c>
    </row>
    <row r="7570" spans="1:15" ht="48" x14ac:dyDescent="0.2">
      <c r="A7570" s="7" t="str">
        <f>HYPERLINK("https://otsuka-europe-crm.veevavault.com/ui/#object/account__v/V4TZ00000633QYN", "JEAN DESMARQUET")</f>
        <v>JEAN DESMARQUET</v>
      </c>
      <c r="B7570" s="7" t="str">
        <f>HYPERLINK("https://otsuka-europe-crm.veevavault.com/ui/#object/vcountry__v/VENZ000004SONFA", "FR")</f>
        <v>FR</v>
      </c>
      <c r="C7570" s="8" t="s">
        <v>42</v>
      </c>
      <c r="D7570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570" s="10" t="str">
        <f>HYPERLINK("https://otsuka-europe-crm.veevavault.com/ui/#object/sent_email__v/VBL00000002R448", "SE-001435026")</f>
        <v>SE-001435026</v>
      </c>
      <c r="F7570" s="11"/>
      <c r="G7570" s="12">
        <v>0</v>
      </c>
      <c r="H7570" s="12">
        <v>0</v>
      </c>
      <c r="I7570" s="12">
        <v>0</v>
      </c>
      <c r="J7570" s="11"/>
      <c r="K7570" s="12">
        <v>0</v>
      </c>
      <c r="L7570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570" s="10" t="str">
        <f>HYPERLINK("mailto:ssaouab@crm.otsuka-europe.com", "ssaouab@crm.otsuka-europe.com")</f>
        <v>ssaouab@crm.otsuka-europe.com</v>
      </c>
      <c r="N7570" s="13">
        <v>46182.65483796296</v>
      </c>
      <c r="O7570" s="14" t="str">
        <f>HYPERLINK("https://otsuka-europe-crm.veevavault.com/ui/#object/email_activity__v/V8C00000003R820", "EN-002093233")</f>
        <v>EN-002093233</v>
      </c>
    </row>
    <row r="7571" spans="1:15" ht="32" x14ac:dyDescent="0.2">
      <c r="A7571" s="7" t="str">
        <f>HYPERLINK("https://otsuka-europe-crm.veevavault.com/ui/#object/account__v/V4TZ00000633QYN", "JEAN DESMARQUET")</f>
        <v>JEAN DESMARQUET</v>
      </c>
      <c r="B7571" s="7" t="str">
        <f>HYPERLINK("https://otsuka-europe-crm.veevavault.com/ui/#object/vcountry__v/VENZ000004SONFA", "FR")</f>
        <v>FR</v>
      </c>
      <c r="C7571" s="8" t="s">
        <v>42</v>
      </c>
      <c r="D7571" s="9" t="str">
        <f>HYPERLINK("https://otsuka-europe-crm.veevavault.com/ui/#object/approved_document__v/V5O00000000P003", "FR-AM2-2500027")</f>
        <v>FR-AM2-2500027</v>
      </c>
      <c r="E7571" s="10" t="str">
        <f>HYPERLINK("https://otsuka-europe-crm.veevavault.com/ui/#object/sent_email__v/VBL00000002S530", "SE-001435027")</f>
        <v>SE-001435027</v>
      </c>
      <c r="F7571" s="11"/>
      <c r="G7571" s="12">
        <v>0</v>
      </c>
      <c r="H7571" s="12">
        <v>0</v>
      </c>
      <c r="I7571" s="12">
        <v>0</v>
      </c>
      <c r="J7571" s="11"/>
      <c r="K7571" s="12">
        <v>0</v>
      </c>
      <c r="L7571" s="10" t="str">
        <f>HYPERLINK("https://otsuka-europe-crm.veevavault.com/ui/#object/approved_document__v/V5O00000000P003", "FR-AM2-2500027")</f>
        <v>FR-AM2-2500027</v>
      </c>
      <c r="M7571" s="10" t="str">
        <f>HYPERLINK("mailto:ssaouab@crm.otsuka-europe.com", "ssaouab@crm.otsuka-europe.com")</f>
        <v>ssaouab@crm.otsuka-europe.com</v>
      </c>
      <c r="N7571" s="13">
        <v>46182.654988425929</v>
      </c>
      <c r="O7571" s="14" t="str">
        <f>HYPERLINK("https://otsuka-europe-crm.veevavault.com/ui/#object/email_activity__v/V8C00000003S178", "EN-002093234")</f>
        <v>EN-002093234</v>
      </c>
    </row>
    <row r="7572" spans="1:15" ht="48" x14ac:dyDescent="0.2">
      <c r="A7572" s="7" t="str">
        <f>HYPERLINK("https://otsuka-europe-crm.veevavault.com/ui/#object/account__v/V4TZ06G6OCBH080", "SACHITHANANDAM DEVANADHAN")</f>
        <v>SACHITHANANDAM DEVANADHAN</v>
      </c>
      <c r="B7572" s="7" t="str">
        <f>HYPERLINK("https://otsuka-europe-crm.veevavault.com/ui/#object/vcountry__v/VENZ000004SONFA", "FR")</f>
        <v>FR</v>
      </c>
      <c r="C7572" s="8" t="s">
        <v>42</v>
      </c>
      <c r="D7572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572" s="10" t="str">
        <f>HYPERLINK("https://otsuka-europe-crm.veevavault.com/ui/#object/sent_email__v/VBL00000002R449", "SE-001435028")</f>
        <v>SE-001435028</v>
      </c>
      <c r="F7572" s="11"/>
      <c r="G7572" s="12">
        <v>0</v>
      </c>
      <c r="H7572" s="12">
        <v>0</v>
      </c>
      <c r="I7572" s="12">
        <v>0</v>
      </c>
      <c r="J7572" s="11"/>
      <c r="K7572" s="12">
        <v>0</v>
      </c>
      <c r="L7572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572" s="10" t="str">
        <f>HYPERLINK("mailto:ssaouab@crm.otsuka-europe.com", "ssaouab@crm.otsuka-europe.com")</f>
        <v>ssaouab@crm.otsuka-europe.com</v>
      </c>
      <c r="N7572" s="13">
        <v>46182.655138888891</v>
      </c>
      <c r="O7572" s="14" t="str">
        <f>HYPERLINK("https://otsuka-europe-crm.veevavault.com/ui/#object/email_activity__v/V8C00000003R822", "EN-002093236")</f>
        <v>EN-002093236</v>
      </c>
    </row>
    <row r="7573" spans="1:15" ht="32" x14ac:dyDescent="0.2">
      <c r="A7573" s="7" t="str">
        <f>HYPERLINK("https://otsuka-europe-crm.veevavault.com/ui/#object/account__v/V4TZ06G6OCBH080", "SACHITHANANDAM DEVANADHAN")</f>
        <v>SACHITHANANDAM DEVANADHAN</v>
      </c>
      <c r="B7573" s="7" t="str">
        <f>HYPERLINK("https://otsuka-europe-crm.veevavault.com/ui/#object/vcountry__v/VENZ000004SONFA", "FR")</f>
        <v>FR</v>
      </c>
      <c r="C7573" s="8" t="s">
        <v>42</v>
      </c>
      <c r="D7573" s="9" t="str">
        <f>HYPERLINK("https://otsuka-europe-crm.veevavault.com/ui/#object/approved_document__v/V5O00000000P003", "FR-AM2-2500027")</f>
        <v>FR-AM2-2500027</v>
      </c>
      <c r="E7573" s="10" t="str">
        <f>HYPERLINK("https://otsuka-europe-crm.veevavault.com/ui/#object/sent_email__v/VBL00000002S531", "SE-001435029")</f>
        <v>SE-001435029</v>
      </c>
      <c r="F7573" s="11"/>
      <c r="G7573" s="12">
        <v>0</v>
      </c>
      <c r="H7573" s="12">
        <v>0</v>
      </c>
      <c r="I7573" s="12">
        <v>0</v>
      </c>
      <c r="J7573" s="11"/>
      <c r="K7573" s="12">
        <v>0</v>
      </c>
      <c r="L7573" s="10" t="str">
        <f>HYPERLINK("https://otsuka-europe-crm.veevavault.com/ui/#object/approved_document__v/V5O00000000P003", "FR-AM2-2500027")</f>
        <v>FR-AM2-2500027</v>
      </c>
      <c r="M7573" s="10" t="str">
        <f>HYPERLINK("mailto:ssaouab@crm.otsuka-europe.com", "ssaouab@crm.otsuka-europe.com")</f>
        <v>ssaouab@crm.otsuka-europe.com</v>
      </c>
      <c r="N7573" s="13">
        <v>46182.655347222222</v>
      </c>
      <c r="O7573" s="14" t="str">
        <f>HYPERLINK("https://otsuka-europe-crm.veevavault.com/ui/#object/email_activity__v/V8C00000003R823", "EN-002093237")</f>
        <v>EN-002093237</v>
      </c>
    </row>
    <row r="7574" spans="1:15" ht="16" x14ac:dyDescent="0.2">
      <c r="A7574" s="17" t="str">
        <f>HYPERLINK("https://otsuka-europe-crm.veevavault.com/ui/#object/account__v/V4TZ0000062PDFZ", "Mazin Burhan")</f>
        <v>Mazin Burhan</v>
      </c>
      <c r="B7574" s="17" t="str">
        <f>HYPERLINK("https://otsuka-europe-crm.veevavault.com/ui/#object/vcountry__v/VENZ000004SONFK", "GB")</f>
        <v>GB</v>
      </c>
      <c r="C7574" s="20" t="s">
        <v>39</v>
      </c>
      <c r="D7574" s="21" t="str">
        <f>HYPERLINK("https://otsuka-europe-crm.veevavault.com/ui/#object/approved_document__v/V5O00000001H007", "DR P2P Invite 18-Jun-26 [digital]")</f>
        <v>DR P2P Invite 18-Jun-26 [digital]</v>
      </c>
      <c r="E7574" s="22" t="str">
        <f>HYPERLINK("https://otsuka-europe-crm.veevavault.com/ui/#object/sent_email__v/VBL00000002S532", "SE-001435030")</f>
        <v>SE-001435030</v>
      </c>
      <c r="F7574" s="23">
        <v>46182.661226851851</v>
      </c>
      <c r="G7574" s="24">
        <v>1</v>
      </c>
      <c r="H7574" s="24">
        <v>1</v>
      </c>
      <c r="I7574" s="24">
        <v>0</v>
      </c>
      <c r="J7574" s="25"/>
      <c r="K7574" s="24">
        <v>0</v>
      </c>
      <c r="L7574" s="22" t="str">
        <f>HYPERLINK("https://otsuka-europe-crm.veevavault.com/ui/#object/approved_document__v/V5O00000001H007", "DR P2P Invite 18-Jun-26 [digital]")</f>
        <v>DR P2P Invite 18-Jun-26 [digital]</v>
      </c>
      <c r="M7574" s="22" t="str">
        <f>HYPERLINK("mailto:draval@crm.otsuka-europe.com", "draval@crm.otsuka-europe.com")</f>
        <v>draval@crm.otsuka-europe.com</v>
      </c>
      <c r="N7574" s="23">
        <v>46182.6565625</v>
      </c>
      <c r="O7574" s="14" t="str">
        <f>HYPERLINK("https://otsuka-europe-crm.veevavault.com/ui/#object/email_activity__v/V8C00000003R824", "EN-002093239")</f>
        <v>EN-002093239</v>
      </c>
    </row>
    <row r="7575" spans="1:15" ht="16" x14ac:dyDescent="0.2">
      <c r="A7575" s="19"/>
      <c r="B7575" s="19"/>
      <c r="C7575" s="19"/>
      <c r="D7575" s="19"/>
      <c r="E7575" s="19"/>
      <c r="F7575" s="19"/>
      <c r="G7575" s="19"/>
      <c r="H7575" s="19"/>
      <c r="I7575" s="19"/>
      <c r="J7575" s="19"/>
      <c r="K7575" s="19"/>
      <c r="L7575" s="19"/>
      <c r="M7575" s="19"/>
      <c r="N7575" s="19"/>
      <c r="O7575" s="14" t="str">
        <f>HYPERLINK("https://otsuka-europe-crm.veevavault.com/ui/#object/email_activity__v/V8C00000003R829", "EN-002093253")</f>
        <v>EN-002093253</v>
      </c>
    </row>
    <row r="7576" spans="1:15" ht="32" x14ac:dyDescent="0.2">
      <c r="A7576" s="7" t="str">
        <f>HYPERLINK("https://otsuka-europe-crm.veevavault.com/ui/#object/account__v/V4TZ04ASG6T723A", "Shah Safi")</f>
        <v>Shah Safi</v>
      </c>
      <c r="B7576" s="7" t="str">
        <f>HYPERLINK("https://otsuka-europe-crm.veevavault.com/ui/#object/vcountry__v/VENZ000004SONFK", "GB")</f>
        <v>GB</v>
      </c>
      <c r="C7576" s="8" t="s">
        <v>39</v>
      </c>
      <c r="D7576" s="9" t="str">
        <f>HYPERLINK("https://otsuka-europe-crm.veevavault.com/ui/#object/approved_document__v/V5O00000001H007", "DR P2P Invite 18-Jun-26 [digital]")</f>
        <v>DR P2P Invite 18-Jun-26 [digital]</v>
      </c>
      <c r="E7576" s="10" t="str">
        <f>HYPERLINK("https://otsuka-europe-crm.veevavault.com/ui/#object/sent_email__v/VBL00000002S533", "SE-001435031")</f>
        <v>SE-001435031</v>
      </c>
      <c r="F7576" s="11"/>
      <c r="G7576" s="12">
        <v>0</v>
      </c>
      <c r="H7576" s="12">
        <v>0</v>
      </c>
      <c r="I7576" s="12">
        <v>0</v>
      </c>
      <c r="J7576" s="11"/>
      <c r="K7576" s="12">
        <v>0</v>
      </c>
      <c r="L7576" s="10" t="str">
        <f>HYPERLINK("https://otsuka-europe-crm.veevavault.com/ui/#object/approved_document__v/V5O00000001H007", "DR P2P Invite 18-Jun-26 [digital]")</f>
        <v>DR P2P Invite 18-Jun-26 [digital]</v>
      </c>
      <c r="M7576" s="10" t="str">
        <f>HYPERLINK("mailto:draval@crm.otsuka-europe.com", "draval@crm.otsuka-europe.com")</f>
        <v>draval@crm.otsuka-europe.com</v>
      </c>
      <c r="N7576" s="13">
        <v>46182.656782407408</v>
      </c>
      <c r="O7576" s="14" t="str">
        <f>HYPERLINK("https://otsuka-europe-crm.veevavault.com/ui/#object/email_activity__v/V8C00000003R825", "EN-002093240")</f>
        <v>EN-002093240</v>
      </c>
    </row>
    <row r="7577" spans="1:15" ht="48" x14ac:dyDescent="0.2">
      <c r="A7577" s="7" t="str">
        <f>HYPERLINK("https://otsuka-europe-crm.veevavault.com/ui/#object/account__v/V4TZ06G6OCBH080", "SACHITHANANDAM DEVANADHAN")</f>
        <v>SACHITHANANDAM DEVANADHAN</v>
      </c>
      <c r="B7577" s="7" t="str">
        <f t="shared" ref="B7577:B7582" si="632">HYPERLINK("https://otsuka-europe-crm.veevavault.com/ui/#object/vcountry__v/VENZ000004SONFA", "FR")</f>
        <v>FR</v>
      </c>
      <c r="C7577" s="8" t="s">
        <v>42</v>
      </c>
      <c r="D7577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577" s="10" t="str">
        <f>HYPERLINK("https://otsuka-europe-crm.veevavault.com/ui/#object/sent_email__v/VBL00000002S534", "SE-001435032")</f>
        <v>SE-001435032</v>
      </c>
      <c r="F7577" s="11"/>
      <c r="G7577" s="12">
        <v>0</v>
      </c>
      <c r="H7577" s="12">
        <v>0</v>
      </c>
      <c r="I7577" s="12">
        <v>0</v>
      </c>
      <c r="J7577" s="11"/>
      <c r="K7577" s="12">
        <v>0</v>
      </c>
      <c r="L7577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577" s="10" t="str">
        <f t="shared" ref="M7577:M7582" si="633">HYPERLINK("mailto:ssaouab@crm.otsuka-europe.com", "ssaouab@crm.otsuka-europe.com")</f>
        <v>ssaouab@crm.otsuka-europe.com</v>
      </c>
      <c r="N7577" s="13">
        <v>46182.658206018517</v>
      </c>
      <c r="O7577" s="14" t="str">
        <f>HYPERLINK("https://otsuka-europe-crm.veevavault.com/ui/#object/email_activity__v/V8C00000003S180", "EN-002093241")</f>
        <v>EN-002093241</v>
      </c>
    </row>
    <row r="7578" spans="1:15" ht="32" x14ac:dyDescent="0.2">
      <c r="A7578" s="7" t="str">
        <f>HYPERLINK("https://otsuka-europe-crm.veevavault.com/ui/#object/account__v/V4TZ06G6OCBH080", "SACHITHANANDAM DEVANADHAN")</f>
        <v>SACHITHANANDAM DEVANADHAN</v>
      </c>
      <c r="B7578" s="7" t="str">
        <f t="shared" si="632"/>
        <v>FR</v>
      </c>
      <c r="C7578" s="8" t="s">
        <v>42</v>
      </c>
      <c r="D7578" s="9" t="str">
        <f>HYPERLINK("https://otsuka-europe-crm.veevavault.com/ui/#object/approved_document__v/V5O00000000P003", "FR-AM2-2500027")</f>
        <v>FR-AM2-2500027</v>
      </c>
      <c r="E7578" s="10" t="str">
        <f>HYPERLINK("https://otsuka-europe-crm.veevavault.com/ui/#object/sent_email__v/VBL00000002S535", "SE-001435033")</f>
        <v>SE-001435033</v>
      </c>
      <c r="F7578" s="11"/>
      <c r="G7578" s="12">
        <v>0</v>
      </c>
      <c r="H7578" s="12">
        <v>0</v>
      </c>
      <c r="I7578" s="12">
        <v>0</v>
      </c>
      <c r="J7578" s="11"/>
      <c r="K7578" s="12">
        <v>0</v>
      </c>
      <c r="L7578" s="10" t="str">
        <f>HYPERLINK("https://otsuka-europe-crm.veevavault.com/ui/#object/approved_document__v/V5O00000000P003", "FR-AM2-2500027")</f>
        <v>FR-AM2-2500027</v>
      </c>
      <c r="M7578" s="10" t="str">
        <f t="shared" si="633"/>
        <v>ssaouab@crm.otsuka-europe.com</v>
      </c>
      <c r="N7578" s="13">
        <v>46182.659166666665</v>
      </c>
      <c r="O7578" s="14" t="str">
        <f>HYPERLINK("https://otsuka-europe-crm.veevavault.com/ui/#object/email_activity__v/V8C00000003R826", "EN-002093242")</f>
        <v>EN-002093242</v>
      </c>
    </row>
    <row r="7579" spans="1:15" ht="48" x14ac:dyDescent="0.2">
      <c r="A7579" s="7" t="str">
        <f>HYPERLINK("https://otsuka-europe-crm.veevavault.com/ui/#object/account__v/V4TZ00000633QGS", "HAJER DIMASSI")</f>
        <v>HAJER DIMASSI</v>
      </c>
      <c r="B7579" s="7" t="str">
        <f t="shared" si="632"/>
        <v>FR</v>
      </c>
      <c r="C7579" s="8" t="s">
        <v>42</v>
      </c>
      <c r="D7579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579" s="10" t="str">
        <f>HYPERLINK("https://otsuka-europe-crm.veevavault.com/ui/#object/sent_email__v/VBL00000002R450", "SE-001435034")</f>
        <v>SE-001435034</v>
      </c>
      <c r="F7579" s="11"/>
      <c r="G7579" s="12">
        <v>0</v>
      </c>
      <c r="H7579" s="12">
        <v>0</v>
      </c>
      <c r="I7579" s="12">
        <v>0</v>
      </c>
      <c r="J7579" s="11"/>
      <c r="K7579" s="12">
        <v>0</v>
      </c>
      <c r="L7579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579" s="10" t="str">
        <f t="shared" si="633"/>
        <v>ssaouab@crm.otsuka-europe.com</v>
      </c>
      <c r="N7579" s="13">
        <v>46182.659687500003</v>
      </c>
      <c r="O7579" s="14" t="str">
        <f>HYPERLINK("https://otsuka-europe-crm.veevavault.com/ui/#object/email_activity__v/V8C00000003S183", "EN-002093246")</f>
        <v>EN-002093246</v>
      </c>
    </row>
    <row r="7580" spans="1:15" ht="32" x14ac:dyDescent="0.2">
      <c r="A7580" s="7" t="str">
        <f>HYPERLINK("https://otsuka-europe-crm.veevavault.com/ui/#object/account__v/V4TZ00000633QGS", "HAJER DIMASSI")</f>
        <v>HAJER DIMASSI</v>
      </c>
      <c r="B7580" s="7" t="str">
        <f t="shared" si="632"/>
        <v>FR</v>
      </c>
      <c r="C7580" s="8" t="s">
        <v>42</v>
      </c>
      <c r="D7580" s="9" t="str">
        <f>HYPERLINK("https://otsuka-europe-crm.veevavault.com/ui/#object/approved_document__v/V5O00000000P003", "FR-AM2-2500027")</f>
        <v>FR-AM2-2500027</v>
      </c>
      <c r="E7580" s="10" t="str">
        <f>HYPERLINK("https://otsuka-europe-crm.veevavault.com/ui/#object/sent_email__v/VBL00000002S536", "SE-001435035")</f>
        <v>SE-001435035</v>
      </c>
      <c r="F7580" s="11"/>
      <c r="G7580" s="12">
        <v>0</v>
      </c>
      <c r="H7580" s="12">
        <v>0</v>
      </c>
      <c r="I7580" s="12">
        <v>0</v>
      </c>
      <c r="J7580" s="11"/>
      <c r="K7580" s="12">
        <v>0</v>
      </c>
      <c r="L7580" s="10" t="str">
        <f>HYPERLINK("https://otsuka-europe-crm.veevavault.com/ui/#object/approved_document__v/V5O00000000P003", "FR-AM2-2500027")</f>
        <v>FR-AM2-2500027</v>
      </c>
      <c r="M7580" s="10" t="str">
        <f t="shared" si="633"/>
        <v>ssaouab@crm.otsuka-europe.com</v>
      </c>
      <c r="N7580" s="13">
        <v>46182.659733796296</v>
      </c>
      <c r="O7580" s="14" t="str">
        <f>HYPERLINK("https://otsuka-europe-crm.veevavault.com/ui/#object/email_activity__v/V8C00000003R828", "EN-002093248")</f>
        <v>EN-002093248</v>
      </c>
    </row>
    <row r="7581" spans="1:15" ht="48" x14ac:dyDescent="0.2">
      <c r="A7581" s="7" t="str">
        <f>HYPERLINK("https://otsuka-europe-crm.veevavault.com/ui/#object/account__v/V4TZ04ASGGCAM1R", "RAPHAEL DIMOKE")</f>
        <v>RAPHAEL DIMOKE</v>
      </c>
      <c r="B7581" s="7" t="str">
        <f t="shared" si="632"/>
        <v>FR</v>
      </c>
      <c r="C7581" s="8" t="s">
        <v>42</v>
      </c>
      <c r="D7581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581" s="10" t="str">
        <f>HYPERLINK("https://otsuka-europe-crm.veevavault.com/ui/#object/sent_email__v/VBL00000002S537", "SE-001435036")</f>
        <v>SE-001435036</v>
      </c>
      <c r="F7581" s="11"/>
      <c r="G7581" s="12">
        <v>0</v>
      </c>
      <c r="H7581" s="12">
        <v>0</v>
      </c>
      <c r="I7581" s="12">
        <v>0</v>
      </c>
      <c r="J7581" s="11"/>
      <c r="K7581" s="12">
        <v>0</v>
      </c>
      <c r="L7581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581" s="10" t="str">
        <f t="shared" si="633"/>
        <v>ssaouab@crm.otsuka-europe.com</v>
      </c>
      <c r="N7581" s="13">
        <v>46182.660092592596</v>
      </c>
      <c r="O7581" s="14" t="str">
        <f>HYPERLINK("https://otsuka-europe-crm.veevavault.com/ui/#object/email_activity__v/V8C00000003S185", "EN-002093249")</f>
        <v>EN-002093249</v>
      </c>
    </row>
    <row r="7582" spans="1:15" ht="16" x14ac:dyDescent="0.2">
      <c r="A7582" s="17" t="str">
        <f>HYPERLINK("https://otsuka-europe-crm.veevavault.com/ui/#object/account__v/V4TZ04ASGGCAM1R", "RAPHAEL DIMOKE")</f>
        <v>RAPHAEL DIMOKE</v>
      </c>
      <c r="B7582" s="17" t="str">
        <f t="shared" si="632"/>
        <v>FR</v>
      </c>
      <c r="C7582" s="20" t="s">
        <v>42</v>
      </c>
      <c r="D7582" s="21" t="str">
        <f>HYPERLINK("https://otsuka-europe-crm.veevavault.com/ui/#object/approved_document__v/V5O00000000P003", "FR-AM2-2500027")</f>
        <v>FR-AM2-2500027</v>
      </c>
      <c r="E7582" s="22" t="str">
        <f>HYPERLINK("https://otsuka-europe-crm.veevavault.com/ui/#object/sent_email__v/VBL00000002R451", "SE-001435037")</f>
        <v>SE-001435037</v>
      </c>
      <c r="F7582" s="23">
        <v>46199.800300925926</v>
      </c>
      <c r="G7582" s="24">
        <v>1</v>
      </c>
      <c r="H7582" s="24">
        <v>1</v>
      </c>
      <c r="I7582" s="24">
        <v>0</v>
      </c>
      <c r="J7582" s="25"/>
      <c r="K7582" s="24">
        <v>0</v>
      </c>
      <c r="L7582" s="22" t="str">
        <f>HYPERLINK("https://otsuka-europe-crm.veevavault.com/ui/#object/approved_document__v/V5O00000000P003", "FR-AM2-2500027")</f>
        <v>FR-AM2-2500027</v>
      </c>
      <c r="M7582" s="22" t="str">
        <f t="shared" si="633"/>
        <v>ssaouab@crm.otsuka-europe.com</v>
      </c>
      <c r="N7582" s="23">
        <v>46182.660219907404</v>
      </c>
      <c r="O7582" s="14" t="str">
        <f>HYPERLINK("https://otsuka-europe-crm.veevavault.com/ui/#object/email_activity__v/V8C00000003S186", "EN-002093250")</f>
        <v>EN-002093250</v>
      </c>
    </row>
    <row r="7583" spans="1:15" ht="16" x14ac:dyDescent="0.2">
      <c r="A7583" s="19"/>
      <c r="B7583" s="19"/>
      <c r="C7583" s="19"/>
      <c r="D7583" s="19"/>
      <c r="E7583" s="19"/>
      <c r="F7583" s="19"/>
      <c r="G7583" s="19"/>
      <c r="H7583" s="19"/>
      <c r="I7583" s="19"/>
      <c r="J7583" s="19"/>
      <c r="K7583" s="19"/>
      <c r="L7583" s="19"/>
      <c r="M7583" s="19"/>
      <c r="N7583" s="19"/>
      <c r="O7583" s="14" t="str">
        <f>HYPERLINK("https://otsuka-europe-crm.veevavault.com/ui/#object/email_activity__v/V8C000000042213", "EN-002100141")</f>
        <v>EN-002100141</v>
      </c>
    </row>
    <row r="7584" spans="1:15" ht="48" x14ac:dyDescent="0.2">
      <c r="A7584" s="7" t="str">
        <f>HYPERLINK("https://otsuka-europe-crm.veevavault.com/ui/#object/account__v/V4TZ04ASGBNGJQ7", "MICHEL DJE")</f>
        <v>MICHEL DJE</v>
      </c>
      <c r="B7584" s="7" t="str">
        <f>HYPERLINK("https://otsuka-europe-crm.veevavault.com/ui/#object/vcountry__v/VENZ000004SONFA", "FR")</f>
        <v>FR</v>
      </c>
      <c r="C7584" s="8" t="s">
        <v>42</v>
      </c>
      <c r="D7584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584" s="10" t="str">
        <f>HYPERLINK("https://otsuka-europe-crm.veevavault.com/ui/#object/sent_email__v/VBL00000002S538", "SE-001435038")</f>
        <v>SE-001435038</v>
      </c>
      <c r="F7584" s="11"/>
      <c r="G7584" s="12">
        <v>0</v>
      </c>
      <c r="H7584" s="12">
        <v>0</v>
      </c>
      <c r="I7584" s="12">
        <v>0</v>
      </c>
      <c r="J7584" s="11"/>
      <c r="K7584" s="12">
        <v>0</v>
      </c>
      <c r="L7584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584" s="10" t="str">
        <f>HYPERLINK("mailto:ssaouab@crm.otsuka-europe.com", "ssaouab@crm.otsuka-europe.com")</f>
        <v>ssaouab@crm.otsuka-europe.com</v>
      </c>
      <c r="N7584" s="13">
        <v>46182.660613425927</v>
      </c>
      <c r="O7584" s="14" t="str">
        <f>HYPERLINK("https://otsuka-europe-crm.veevavault.com/ui/#object/email_activity__v/V8C00000003S187", "EN-002093251")</f>
        <v>EN-002093251</v>
      </c>
    </row>
    <row r="7585" spans="1:15" ht="32" x14ac:dyDescent="0.2">
      <c r="A7585" s="7" t="str">
        <f>HYPERLINK("https://otsuka-europe-crm.veevavault.com/ui/#object/account__v/V4TZ04ASGBNGJQ7", "MICHEL DJE")</f>
        <v>MICHEL DJE</v>
      </c>
      <c r="B7585" s="7" t="str">
        <f>HYPERLINK("https://otsuka-europe-crm.veevavault.com/ui/#object/vcountry__v/VENZ000004SONFA", "FR")</f>
        <v>FR</v>
      </c>
      <c r="C7585" s="8" t="s">
        <v>42</v>
      </c>
      <c r="D7585" s="9" t="str">
        <f>HYPERLINK("https://otsuka-europe-crm.veevavault.com/ui/#object/approved_document__v/V5O00000000P003", "FR-AM2-2500027")</f>
        <v>FR-AM2-2500027</v>
      </c>
      <c r="E7585" s="10" t="str">
        <f>HYPERLINK("https://otsuka-europe-crm.veevavault.com/ui/#object/sent_email__v/VBL00000002S539", "SE-001435039")</f>
        <v>SE-001435039</v>
      </c>
      <c r="F7585" s="11"/>
      <c r="G7585" s="12">
        <v>0</v>
      </c>
      <c r="H7585" s="12">
        <v>0</v>
      </c>
      <c r="I7585" s="12">
        <v>0</v>
      </c>
      <c r="J7585" s="11"/>
      <c r="K7585" s="12">
        <v>0</v>
      </c>
      <c r="L7585" s="10" t="str">
        <f>HYPERLINK("https://otsuka-europe-crm.veevavault.com/ui/#object/approved_document__v/V5O00000000P003", "FR-AM2-2500027")</f>
        <v>FR-AM2-2500027</v>
      </c>
      <c r="M7585" s="10" t="str">
        <f>HYPERLINK("mailto:ssaouab@crm.otsuka-europe.com", "ssaouab@crm.otsuka-europe.com")</f>
        <v>ssaouab@crm.otsuka-europe.com</v>
      </c>
      <c r="N7585" s="13">
        <v>46182.660937499997</v>
      </c>
      <c r="O7585" s="14" t="str">
        <f>HYPERLINK("https://otsuka-europe-crm.veevavault.com/ui/#object/email_activity__v/V8C00000003S188", "EN-002093252")</f>
        <v>EN-002093252</v>
      </c>
    </row>
    <row r="7586" spans="1:15" ht="32" x14ac:dyDescent="0.2">
      <c r="A7586" s="7" t="str">
        <f>HYPERLINK("https://otsuka-europe-crm.veevavault.com/ui/#object/account__v/V4TZ04ASGEIBQEX", "EMMANUEL DUPONT")</f>
        <v>EMMANUEL DUPONT</v>
      </c>
      <c r="B7586" s="7" t="str">
        <f>HYPERLINK("https://otsuka-europe-crm.veevavault.com/ui/#object/vcountry__v/VENZ000004SONFA", "FR")</f>
        <v>FR</v>
      </c>
      <c r="C7586" s="8" t="s">
        <v>42</v>
      </c>
      <c r="D7586" s="9" t="str">
        <f>HYPERLINK("https://otsuka-europe-crm.veevavault.com/ui/#object/approved_document__v/V5O00000000P003", "FR-AM2-2500027")</f>
        <v>FR-AM2-2500027</v>
      </c>
      <c r="E7586" s="10" t="str">
        <f>HYPERLINK("https://otsuka-europe-crm.veevavault.com/ui/#object/sent_email__v/VBL00000002S540", "SE-001435040")</f>
        <v>SE-001435040</v>
      </c>
      <c r="F7586" s="11"/>
      <c r="G7586" s="12">
        <v>0</v>
      </c>
      <c r="H7586" s="12">
        <v>0</v>
      </c>
      <c r="I7586" s="12">
        <v>0</v>
      </c>
      <c r="J7586" s="11"/>
      <c r="K7586" s="12">
        <v>0</v>
      </c>
      <c r="L7586" s="10" t="str">
        <f>HYPERLINK("https://otsuka-europe-crm.veevavault.com/ui/#object/approved_document__v/V5O00000000P003", "FR-AM2-2500027")</f>
        <v>FR-AM2-2500027</v>
      </c>
      <c r="M7586" s="10" t="str">
        <f>HYPERLINK("mailto:ssaouab@crm.otsuka-europe.com", "ssaouab@crm.otsuka-europe.com")</f>
        <v>ssaouab@crm.otsuka-europe.com</v>
      </c>
      <c r="N7586" s="13">
        <v>46182.661597222221</v>
      </c>
      <c r="O7586" s="14" t="str">
        <f>HYPERLINK("https://otsuka-europe-crm.veevavault.com/ui/#object/email_activity__v/V8C00000003R830", "EN-002093255")</f>
        <v>EN-002093255</v>
      </c>
    </row>
    <row r="7587" spans="1:15" ht="48" x14ac:dyDescent="0.2">
      <c r="A7587" s="7" t="str">
        <f>HYPERLINK("https://otsuka-europe-crm.veevavault.com/ui/#object/account__v/V4TZ04ASGEIBQEX", "EMMANUEL DUPONT")</f>
        <v>EMMANUEL DUPONT</v>
      </c>
      <c r="B7587" s="7" t="str">
        <f>HYPERLINK("https://otsuka-europe-crm.veevavault.com/ui/#object/vcountry__v/VENZ000004SONFA", "FR")</f>
        <v>FR</v>
      </c>
      <c r="C7587" s="8" t="s">
        <v>42</v>
      </c>
      <c r="D7587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587" s="10" t="str">
        <f>HYPERLINK("https://otsuka-europe-crm.veevavault.com/ui/#object/sent_email__v/VBL00000002S541", "SE-001435041")</f>
        <v>SE-001435041</v>
      </c>
      <c r="F7587" s="11"/>
      <c r="G7587" s="12">
        <v>0</v>
      </c>
      <c r="H7587" s="12">
        <v>0</v>
      </c>
      <c r="I7587" s="12">
        <v>0</v>
      </c>
      <c r="J7587" s="11"/>
      <c r="K7587" s="12">
        <v>0</v>
      </c>
      <c r="L7587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587" s="10" t="str">
        <f>HYPERLINK("mailto:ssaouab@crm.otsuka-europe.com", "ssaouab@crm.otsuka-europe.com")</f>
        <v>ssaouab@crm.otsuka-europe.com</v>
      </c>
      <c r="N7587" s="13">
        <v>46182.66165509259</v>
      </c>
      <c r="O7587" s="14" t="str">
        <f>HYPERLINK("https://otsuka-europe-crm.veevavault.com/ui/#object/email_activity__v/V8C00000003R831", "EN-002093256")</f>
        <v>EN-002093256</v>
      </c>
    </row>
    <row r="7588" spans="1:15" ht="16" x14ac:dyDescent="0.2">
      <c r="A7588" s="17" t="str">
        <f>HYPERLINK("https://otsuka-europe-crm.veevavault.com/ui/#object/account__v/V4TZ000006349SR", "BOUCHRA EL HASNAOUI")</f>
        <v>BOUCHRA EL HASNAOUI</v>
      </c>
      <c r="B7588" s="17" t="str">
        <f>HYPERLINK("https://otsuka-europe-crm.veevavault.com/ui/#object/vcountry__v/VENZ000004SONFA", "FR")</f>
        <v>FR</v>
      </c>
      <c r="C7588" s="20" t="s">
        <v>42</v>
      </c>
      <c r="D7588" s="21" t="str">
        <f>HYPERLINK("https://otsuka-europe-crm.veevavault.com/ui/#object/approved_document__v/V5O00000000P003", "FR-AM2-2500027")</f>
        <v>FR-AM2-2500027</v>
      </c>
      <c r="E7588" s="22" t="str">
        <f>HYPERLINK("https://otsuka-europe-crm.veevavault.com/ui/#object/sent_email__v/VBL00000002R452", "SE-001435042")</f>
        <v>SE-001435042</v>
      </c>
      <c r="F7588" s="23">
        <v>46182.878333333334</v>
      </c>
      <c r="G7588" s="24">
        <v>1</v>
      </c>
      <c r="H7588" s="24">
        <v>1</v>
      </c>
      <c r="I7588" s="24">
        <v>0</v>
      </c>
      <c r="J7588" s="25"/>
      <c r="K7588" s="24">
        <v>0</v>
      </c>
      <c r="L7588" s="22" t="str">
        <f>HYPERLINK("https://otsuka-europe-crm.veevavault.com/ui/#object/approved_document__v/V5O00000000P003", "FR-AM2-2500027")</f>
        <v>FR-AM2-2500027</v>
      </c>
      <c r="M7588" s="22" t="str">
        <f>HYPERLINK("mailto:ssaouab@crm.otsuka-europe.com", "ssaouab@crm.otsuka-europe.com")</f>
        <v>ssaouab@crm.otsuka-europe.com</v>
      </c>
      <c r="N7588" s="23">
        <v>46182.66265046296</v>
      </c>
      <c r="O7588" s="14" t="str">
        <f>HYPERLINK("https://otsuka-europe-crm.veevavault.com/ui/#object/email_activity__v/V8C00000003S190", "EN-002093257")</f>
        <v>EN-002093257</v>
      </c>
    </row>
    <row r="7589" spans="1:15" ht="16" x14ac:dyDescent="0.2">
      <c r="A7589" s="19"/>
      <c r="B7589" s="19"/>
      <c r="C7589" s="19"/>
      <c r="D7589" s="19"/>
      <c r="E7589" s="19"/>
      <c r="F7589" s="19"/>
      <c r="G7589" s="19"/>
      <c r="H7589" s="19"/>
      <c r="I7589" s="19"/>
      <c r="J7589" s="19"/>
      <c r="K7589" s="19"/>
      <c r="L7589" s="19"/>
      <c r="M7589" s="19"/>
      <c r="N7589" s="19"/>
      <c r="O7589" s="14" t="str">
        <f>HYPERLINK("https://otsuka-europe-crm.veevavault.com/ui/#object/email_activity__v/V8C00000003S405", "EN-002093720")</f>
        <v>EN-002093720</v>
      </c>
    </row>
    <row r="7590" spans="1:15" ht="16" x14ac:dyDescent="0.2">
      <c r="A7590" s="17" t="str">
        <f>HYPERLINK("https://otsuka-europe-crm.veevavault.com/ui/#object/account__v/V4TZ000006349SR", "BOUCHRA EL HASNAOUI")</f>
        <v>BOUCHRA EL HASNAOUI</v>
      </c>
      <c r="B7590" s="17" t="str">
        <f>HYPERLINK("https://otsuka-europe-crm.veevavault.com/ui/#object/vcountry__v/VENZ000004SONFA", "FR")</f>
        <v>FR</v>
      </c>
      <c r="C7590" s="20" t="s">
        <v>42</v>
      </c>
      <c r="D7590" s="21" t="str">
        <f>HYPERLINK("https://otsuka-europe-crm.veevavault.com/ui/#object/approved_document__v/V5O00000000P003", "FR-AM2-2500027")</f>
        <v>FR-AM2-2500027</v>
      </c>
      <c r="E7590" s="22" t="str">
        <f>HYPERLINK("https://otsuka-europe-crm.veevavault.com/ui/#object/sent_email__v/VBL00000002S542", "SE-001435043")</f>
        <v>SE-001435043</v>
      </c>
      <c r="F7590" s="23">
        <v>46182.878194444442</v>
      </c>
      <c r="G7590" s="24">
        <v>1</v>
      </c>
      <c r="H7590" s="24">
        <v>1</v>
      </c>
      <c r="I7590" s="24">
        <v>0</v>
      </c>
      <c r="J7590" s="25"/>
      <c r="K7590" s="24">
        <v>0</v>
      </c>
      <c r="L7590" s="22" t="str">
        <f>HYPERLINK("https://otsuka-europe-crm.veevavault.com/ui/#object/approved_document__v/V5O00000000P003", "FR-AM2-2500027")</f>
        <v>FR-AM2-2500027</v>
      </c>
      <c r="M7590" s="22" t="str">
        <f>HYPERLINK("mailto:ssaouab@crm.otsuka-europe.com", "ssaouab@crm.otsuka-europe.com")</f>
        <v>ssaouab@crm.otsuka-europe.com</v>
      </c>
      <c r="N7590" s="23">
        <v>46182.662754629629</v>
      </c>
      <c r="O7590" s="14" t="str">
        <f>HYPERLINK("https://otsuka-europe-crm.veevavault.com/ui/#object/email_activity__v/V8C00000003R832", "EN-002093258")</f>
        <v>EN-002093258</v>
      </c>
    </row>
    <row r="7591" spans="1:15" ht="16" x14ac:dyDescent="0.2">
      <c r="A7591" s="19"/>
      <c r="B7591" s="19"/>
      <c r="C7591" s="19"/>
      <c r="D7591" s="19"/>
      <c r="E7591" s="19"/>
      <c r="F7591" s="19"/>
      <c r="G7591" s="19"/>
      <c r="H7591" s="19"/>
      <c r="I7591" s="19"/>
      <c r="J7591" s="19"/>
      <c r="K7591" s="19"/>
      <c r="L7591" s="19"/>
      <c r="M7591" s="19"/>
      <c r="N7591" s="19"/>
      <c r="O7591" s="14" t="str">
        <f>HYPERLINK("https://otsuka-europe-crm.veevavault.com/ui/#object/email_activity__v/V8C00000003T080", "EN-002093719")</f>
        <v>EN-002093719</v>
      </c>
    </row>
    <row r="7592" spans="1:15" ht="16" x14ac:dyDescent="0.2">
      <c r="A7592" s="17" t="str">
        <f>HYPERLINK("https://otsuka-europe-crm.veevavault.com/ui/#object/account__v/V4TZ06G6OBI9DL8", "NADJIA EL KAMEL MAHI")</f>
        <v>NADJIA EL KAMEL MAHI</v>
      </c>
      <c r="B7592" s="17" t="str">
        <f>HYPERLINK("https://otsuka-europe-crm.veevavault.com/ui/#object/vcountry__v/VENZ000004SONFA", "FR")</f>
        <v>FR</v>
      </c>
      <c r="C7592" s="20" t="s">
        <v>42</v>
      </c>
      <c r="D7592" s="21" t="str">
        <f>HYPERLINK("https://otsuka-europe-crm.veevavault.com/ui/#object/approved_document__v/V5O00000000P003", "FR-AM2-2500027")</f>
        <v>FR-AM2-2500027</v>
      </c>
      <c r="E7592" s="22" t="str">
        <f>HYPERLINK("https://otsuka-europe-crm.veevavault.com/ui/#object/sent_email__v/VBL00000002S543", "SE-001435044")</f>
        <v>SE-001435044</v>
      </c>
      <c r="F7592" s="23">
        <v>46185.330648148149</v>
      </c>
      <c r="G7592" s="24">
        <v>1</v>
      </c>
      <c r="H7592" s="24">
        <v>2</v>
      </c>
      <c r="I7592" s="24">
        <v>0</v>
      </c>
      <c r="J7592" s="25"/>
      <c r="K7592" s="24">
        <v>0</v>
      </c>
      <c r="L7592" s="22" t="str">
        <f>HYPERLINK("https://otsuka-europe-crm.veevavault.com/ui/#object/approved_document__v/V5O00000000P003", "FR-AM2-2500027")</f>
        <v>FR-AM2-2500027</v>
      </c>
      <c r="M7592" s="22" t="str">
        <f>HYPERLINK("mailto:ssaouab@crm.otsuka-europe.com", "ssaouab@crm.otsuka-europe.com")</f>
        <v>ssaouab@crm.otsuka-europe.com</v>
      </c>
      <c r="N7592" s="23">
        <v>46182.66333333333</v>
      </c>
      <c r="O7592" s="14" t="str">
        <f>HYPERLINK("https://otsuka-europe-crm.veevavault.com/ui/#object/email_activity__v/V8C00000003R833", "EN-002093259")</f>
        <v>EN-002093259</v>
      </c>
    </row>
    <row r="7593" spans="1:15" ht="16" x14ac:dyDescent="0.2">
      <c r="A7593" s="18"/>
      <c r="B7593" s="18"/>
      <c r="C7593" s="18"/>
      <c r="D7593" s="18"/>
      <c r="E7593" s="18"/>
      <c r="F7593" s="18"/>
      <c r="G7593" s="18"/>
      <c r="H7593" s="18"/>
      <c r="I7593" s="18"/>
      <c r="J7593" s="18"/>
      <c r="K7593" s="18"/>
      <c r="L7593" s="18"/>
      <c r="M7593" s="18"/>
      <c r="N7593" s="18"/>
      <c r="O7593" s="14" t="str">
        <f>HYPERLINK("https://otsuka-europe-crm.veevavault.com/ui/#object/email_activity__v/V8C00000003R837", "EN-002093263")</f>
        <v>EN-002093263</v>
      </c>
    </row>
    <row r="7594" spans="1:15" ht="16" x14ac:dyDescent="0.2">
      <c r="A7594" s="19"/>
      <c r="B7594" s="19"/>
      <c r="C7594" s="19"/>
      <c r="D7594" s="19"/>
      <c r="E7594" s="19"/>
      <c r="F7594" s="19"/>
      <c r="G7594" s="19"/>
      <c r="H7594" s="19"/>
      <c r="I7594" s="19"/>
      <c r="J7594" s="19"/>
      <c r="K7594" s="19"/>
      <c r="L7594" s="19"/>
      <c r="M7594" s="19"/>
      <c r="N7594" s="19"/>
      <c r="O7594" s="14" t="str">
        <f>HYPERLINK("https://otsuka-europe-crm.veevavault.com/ui/#object/email_activity__v/V8C00000003V162", "EN-002095107")</f>
        <v>EN-002095107</v>
      </c>
    </row>
    <row r="7595" spans="1:15" ht="16" x14ac:dyDescent="0.2">
      <c r="A7595" s="17" t="str">
        <f>HYPERLINK("https://otsuka-europe-crm.veevavault.com/ui/#object/account__v/V4TZ06G6OBI9DL8", "NADJIA EL KAMEL MAHI")</f>
        <v>NADJIA EL KAMEL MAHI</v>
      </c>
      <c r="B7595" s="17" t="str">
        <f>HYPERLINK("https://otsuka-europe-crm.veevavault.com/ui/#object/vcountry__v/VENZ000004SONFA", "FR")</f>
        <v>FR</v>
      </c>
      <c r="C7595" s="20" t="s">
        <v>42</v>
      </c>
      <c r="D7595" s="21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595" s="22" t="str">
        <f>HYPERLINK("https://otsuka-europe-crm.veevavault.com/ui/#object/sent_email__v/VBL00000002R453", "SE-001435045")</f>
        <v>SE-001435045</v>
      </c>
      <c r="F7595" s="23">
        <v>46185.330775462964</v>
      </c>
      <c r="G7595" s="24">
        <v>1</v>
      </c>
      <c r="H7595" s="24">
        <v>3</v>
      </c>
      <c r="I7595" s="24">
        <v>0</v>
      </c>
      <c r="J7595" s="25"/>
      <c r="K7595" s="24">
        <v>0</v>
      </c>
      <c r="L7595" s="22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595" s="22" t="str">
        <f>HYPERLINK("mailto:ssaouab@crm.otsuka-europe.com", "ssaouab@crm.otsuka-europe.com")</f>
        <v>ssaouab@crm.otsuka-europe.com</v>
      </c>
      <c r="N7595" s="23">
        <v>46182.663356481484</v>
      </c>
      <c r="O7595" s="14" t="str">
        <f>HYPERLINK("https://otsuka-europe-crm.veevavault.com/ui/#object/email_activity__v/V8C00000003R834", "EN-002093260")</f>
        <v>EN-002093260</v>
      </c>
    </row>
    <row r="7596" spans="1:15" ht="16" x14ac:dyDescent="0.2">
      <c r="A7596" s="18"/>
      <c r="B7596" s="18"/>
      <c r="C7596" s="18"/>
      <c r="D7596" s="18"/>
      <c r="E7596" s="18"/>
      <c r="F7596" s="18"/>
      <c r="G7596" s="18"/>
      <c r="H7596" s="18"/>
      <c r="I7596" s="18"/>
      <c r="J7596" s="18"/>
      <c r="K7596" s="18"/>
      <c r="L7596" s="18"/>
      <c r="M7596" s="18"/>
      <c r="N7596" s="18"/>
      <c r="O7596" s="14" t="str">
        <f>HYPERLINK("https://otsuka-europe-crm.veevavault.com/ui/#object/email_activity__v/V8C00000003R840", "EN-002093266")</f>
        <v>EN-002093266</v>
      </c>
    </row>
    <row r="7597" spans="1:15" ht="16" x14ac:dyDescent="0.2">
      <c r="A7597" s="18"/>
      <c r="B7597" s="18"/>
      <c r="C7597" s="18"/>
      <c r="D7597" s="18"/>
      <c r="E7597" s="18"/>
      <c r="F7597" s="18"/>
      <c r="G7597" s="18"/>
      <c r="H7597" s="18"/>
      <c r="I7597" s="18"/>
      <c r="J7597" s="18"/>
      <c r="K7597" s="18"/>
      <c r="L7597" s="18"/>
      <c r="M7597" s="18"/>
      <c r="N7597" s="18"/>
      <c r="O7597" s="14" t="str">
        <f>HYPERLINK("https://otsuka-europe-crm.veevavault.com/ui/#object/email_activity__v/V8C00000003R849", "EN-002093275")</f>
        <v>EN-002093275</v>
      </c>
    </row>
    <row r="7598" spans="1:15" ht="16" x14ac:dyDescent="0.2">
      <c r="A7598" s="19"/>
      <c r="B7598" s="19"/>
      <c r="C7598" s="19"/>
      <c r="D7598" s="19"/>
      <c r="E7598" s="19"/>
      <c r="F7598" s="19"/>
      <c r="G7598" s="19"/>
      <c r="H7598" s="19"/>
      <c r="I7598" s="19"/>
      <c r="J7598" s="19"/>
      <c r="K7598" s="19"/>
      <c r="L7598" s="19"/>
      <c r="M7598" s="19"/>
      <c r="N7598" s="19"/>
      <c r="O7598" s="14" t="str">
        <f>HYPERLINK("https://otsuka-europe-crm.veevavault.com/ui/#object/email_activity__v/V8C00000003V163", "EN-002095109")</f>
        <v>EN-002095109</v>
      </c>
    </row>
    <row r="7599" spans="1:15" ht="16" x14ac:dyDescent="0.2">
      <c r="A7599" s="17" t="str">
        <f>HYPERLINK("https://otsuka-europe-crm.veevavault.com/ui/#object/account__v/V4TZ00000633IK7", "THOURAYA ELATI")</f>
        <v>THOURAYA ELATI</v>
      </c>
      <c r="B7599" s="17" t="str">
        <f>HYPERLINK("https://otsuka-europe-crm.veevavault.com/ui/#object/vcountry__v/VENZ000004SONFA", "FR")</f>
        <v>FR</v>
      </c>
      <c r="C7599" s="20" t="s">
        <v>42</v>
      </c>
      <c r="D7599" s="21" t="str">
        <f>HYPERLINK("https://otsuka-europe-crm.veevavault.com/ui/#object/approved_document__v/V5O00000000P003", "FR-AM2-2500027")</f>
        <v>FR-AM2-2500027</v>
      </c>
      <c r="E7599" s="22" t="str">
        <f>HYPERLINK("https://otsuka-europe-crm.veevavault.com/ui/#object/sent_email__v/VBL00000002S544", "SE-001435046")</f>
        <v>SE-001435046</v>
      </c>
      <c r="F7599" s="23">
        <v>46186.747986111113</v>
      </c>
      <c r="G7599" s="24">
        <v>1</v>
      </c>
      <c r="H7599" s="24">
        <v>3</v>
      </c>
      <c r="I7599" s="24">
        <v>0</v>
      </c>
      <c r="J7599" s="25"/>
      <c r="K7599" s="24">
        <v>0</v>
      </c>
      <c r="L7599" s="22" t="str">
        <f>HYPERLINK("https://otsuka-europe-crm.veevavault.com/ui/#object/approved_document__v/V5O00000000P003", "FR-AM2-2500027")</f>
        <v>FR-AM2-2500027</v>
      </c>
      <c r="M7599" s="22" t="str">
        <f>HYPERLINK("mailto:ssaouab@crm.otsuka-europe.com", "ssaouab@crm.otsuka-europe.com")</f>
        <v>ssaouab@crm.otsuka-europe.com</v>
      </c>
      <c r="N7599" s="23">
        <v>46182.6640625</v>
      </c>
      <c r="O7599" s="14" t="str">
        <f>HYPERLINK("https://otsuka-europe-crm.veevavault.com/ui/#object/email_activity__v/V8C00000003R838", "EN-002093264")</f>
        <v>EN-002093264</v>
      </c>
    </row>
    <row r="7600" spans="1:15" ht="16" x14ac:dyDescent="0.2">
      <c r="A7600" s="18"/>
      <c r="B7600" s="18"/>
      <c r="C7600" s="18"/>
      <c r="D7600" s="18"/>
      <c r="E7600" s="18"/>
      <c r="F7600" s="18"/>
      <c r="G7600" s="18"/>
      <c r="H7600" s="18"/>
      <c r="I7600" s="18"/>
      <c r="J7600" s="18"/>
      <c r="K7600" s="18"/>
      <c r="L7600" s="18"/>
      <c r="M7600" s="18"/>
      <c r="N7600" s="18"/>
      <c r="O7600" s="14" t="str">
        <f>HYPERLINK("https://otsuka-europe-crm.veevavault.com/ui/#object/email_activity__v/V8C00000003S216", "EN-002093318")</f>
        <v>EN-002093318</v>
      </c>
    </row>
    <row r="7601" spans="1:15" ht="16" x14ac:dyDescent="0.2">
      <c r="A7601" s="18"/>
      <c r="B7601" s="18"/>
      <c r="C7601" s="18"/>
      <c r="D7601" s="18"/>
      <c r="E7601" s="18"/>
      <c r="F7601" s="18"/>
      <c r="G7601" s="18"/>
      <c r="H7601" s="18"/>
      <c r="I7601" s="18"/>
      <c r="J7601" s="18"/>
      <c r="K7601" s="18"/>
      <c r="L7601" s="18"/>
      <c r="M7601" s="18"/>
      <c r="N7601" s="18"/>
      <c r="O7601" s="14" t="str">
        <f>HYPERLINK("https://otsuka-europe-crm.veevavault.com/ui/#object/email_activity__v/V8C00000003S217", "EN-002093319")</f>
        <v>EN-002093319</v>
      </c>
    </row>
    <row r="7602" spans="1:15" ht="16" x14ac:dyDescent="0.2">
      <c r="A7602" s="19"/>
      <c r="B7602" s="19"/>
      <c r="C7602" s="19"/>
      <c r="D7602" s="19"/>
      <c r="E7602" s="19"/>
      <c r="F7602" s="19"/>
      <c r="G7602" s="19"/>
      <c r="H7602" s="19"/>
      <c r="I7602" s="19"/>
      <c r="J7602" s="19"/>
      <c r="K7602" s="19"/>
      <c r="L7602" s="19"/>
      <c r="M7602" s="19"/>
      <c r="N7602" s="19"/>
      <c r="O7602" s="14" t="str">
        <f>HYPERLINK("https://otsuka-europe-crm.veevavault.com/ui/#object/email_activity__v/V8C00000003U402", "EN-002095663")</f>
        <v>EN-002095663</v>
      </c>
    </row>
    <row r="7603" spans="1:15" ht="16" x14ac:dyDescent="0.2">
      <c r="A7603" s="17" t="str">
        <f>HYPERLINK("https://otsuka-europe-crm.veevavault.com/ui/#object/account__v/V4TZ00000633IK7", "THOURAYA ELATI")</f>
        <v>THOURAYA ELATI</v>
      </c>
      <c r="B7603" s="17" t="str">
        <f>HYPERLINK("https://otsuka-europe-crm.veevavault.com/ui/#object/vcountry__v/VENZ000004SONFA", "FR")</f>
        <v>FR</v>
      </c>
      <c r="C7603" s="20" t="s">
        <v>42</v>
      </c>
      <c r="D7603" s="21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603" s="22" t="str">
        <f>HYPERLINK("https://otsuka-europe-crm.veevavault.com/ui/#object/sent_email__v/VBL00000002R454", "SE-001435047")</f>
        <v>SE-001435047</v>
      </c>
      <c r="F7603" s="23">
        <v>46186.747986111113</v>
      </c>
      <c r="G7603" s="24">
        <v>1</v>
      </c>
      <c r="H7603" s="24">
        <v>4</v>
      </c>
      <c r="I7603" s="24">
        <v>0</v>
      </c>
      <c r="J7603" s="25"/>
      <c r="K7603" s="24">
        <v>0</v>
      </c>
      <c r="L7603" s="22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603" s="22" t="str">
        <f>HYPERLINK("mailto:ssaouab@crm.otsuka-europe.com", "ssaouab@crm.otsuka-europe.com")</f>
        <v>ssaouab@crm.otsuka-europe.com</v>
      </c>
      <c r="N7603" s="23">
        <v>46182.664050925923</v>
      </c>
      <c r="O7603" s="14" t="str">
        <f>HYPERLINK("https://otsuka-europe-crm.veevavault.com/ui/#object/email_activity__v/V8C00000003R836", "EN-002093262")</f>
        <v>EN-002093262</v>
      </c>
    </row>
    <row r="7604" spans="1:15" ht="16" x14ac:dyDescent="0.2">
      <c r="A7604" s="18"/>
      <c r="B7604" s="18"/>
      <c r="C7604" s="18"/>
      <c r="D7604" s="18"/>
      <c r="E7604" s="18"/>
      <c r="F7604" s="18"/>
      <c r="G7604" s="18"/>
      <c r="H7604" s="18"/>
      <c r="I7604" s="18"/>
      <c r="J7604" s="18"/>
      <c r="K7604" s="18"/>
      <c r="L7604" s="18"/>
      <c r="M7604" s="18"/>
      <c r="N7604" s="18"/>
      <c r="O7604" s="14" t="str">
        <f>HYPERLINK("https://otsuka-europe-crm.veevavault.com/ui/#object/email_activity__v/V8C00000003S215", "EN-002093317")</f>
        <v>EN-002093317</v>
      </c>
    </row>
    <row r="7605" spans="1:15" ht="16" x14ac:dyDescent="0.2">
      <c r="A7605" s="18"/>
      <c r="B7605" s="18"/>
      <c r="C7605" s="18"/>
      <c r="D7605" s="18"/>
      <c r="E7605" s="18"/>
      <c r="F7605" s="18"/>
      <c r="G7605" s="18"/>
      <c r="H7605" s="18"/>
      <c r="I7605" s="18"/>
      <c r="J7605" s="18"/>
      <c r="K7605" s="18"/>
      <c r="L7605" s="18"/>
      <c r="M7605" s="18"/>
      <c r="N7605" s="18"/>
      <c r="O7605" s="14" t="str">
        <f>HYPERLINK("https://otsuka-europe-crm.veevavault.com/ui/#object/email_activity__v/V8C00000003S218", "EN-002093320")</f>
        <v>EN-002093320</v>
      </c>
    </row>
    <row r="7606" spans="1:15" ht="16" x14ac:dyDescent="0.2">
      <c r="A7606" s="18"/>
      <c r="B7606" s="18"/>
      <c r="C7606" s="18"/>
      <c r="D7606" s="18"/>
      <c r="E7606" s="18"/>
      <c r="F7606" s="18"/>
      <c r="G7606" s="18"/>
      <c r="H7606" s="18"/>
      <c r="I7606" s="18"/>
      <c r="J7606" s="18"/>
      <c r="K7606" s="18"/>
      <c r="L7606" s="18"/>
      <c r="M7606" s="18"/>
      <c r="N7606" s="18"/>
      <c r="O7606" s="14" t="str">
        <f>HYPERLINK("https://otsuka-europe-crm.veevavault.com/ui/#object/email_activity__v/V8C00000003T153", "EN-002093871")</f>
        <v>EN-002093871</v>
      </c>
    </row>
    <row r="7607" spans="1:15" ht="16" x14ac:dyDescent="0.2">
      <c r="A7607" s="19"/>
      <c r="B7607" s="19"/>
      <c r="C7607" s="19"/>
      <c r="D7607" s="19"/>
      <c r="E7607" s="19"/>
      <c r="F7607" s="19"/>
      <c r="G7607" s="19"/>
      <c r="H7607" s="19"/>
      <c r="I7607" s="19"/>
      <c r="J7607" s="19"/>
      <c r="K7607" s="19"/>
      <c r="L7607" s="19"/>
      <c r="M7607" s="19"/>
      <c r="N7607" s="19"/>
      <c r="O7607" s="14" t="str">
        <f>HYPERLINK("https://otsuka-europe-crm.veevavault.com/ui/#object/email_activity__v/V8C00000003V445", "EN-002095662")</f>
        <v>EN-002095662</v>
      </c>
    </row>
    <row r="7608" spans="1:15" ht="16" x14ac:dyDescent="0.2">
      <c r="A7608" s="17" t="str">
        <f>HYPERLINK("https://otsuka-europe-crm.veevavault.com/ui/#object/account__v/V4TZ025E845QQEE", "CYNTHIA ELIZABETH")</f>
        <v>CYNTHIA ELIZABETH</v>
      </c>
      <c r="B7608" s="17" t="str">
        <f>HYPERLINK("https://otsuka-europe-crm.veevavault.com/ui/#object/vcountry__v/VENZ000004SONFA", "FR")</f>
        <v>FR</v>
      </c>
      <c r="C7608" s="20" t="s">
        <v>42</v>
      </c>
      <c r="D7608" s="21" t="str">
        <f>HYPERLINK("https://otsuka-europe-crm.veevavault.com/ui/#object/approved_document__v/V5O00000000P003", "FR-AM2-2500027")</f>
        <v>FR-AM2-2500027</v>
      </c>
      <c r="E7608" s="22" t="str">
        <f>HYPERLINK("https://otsuka-europe-crm.veevavault.com/ui/#object/sent_email__v/VBL00000002R455", "SE-001435048")</f>
        <v>SE-001435048</v>
      </c>
      <c r="F7608" s="23">
        <v>46191.497939814813</v>
      </c>
      <c r="G7608" s="24">
        <v>1</v>
      </c>
      <c r="H7608" s="24">
        <v>3</v>
      </c>
      <c r="I7608" s="24">
        <v>0</v>
      </c>
      <c r="J7608" s="25"/>
      <c r="K7608" s="24">
        <v>0</v>
      </c>
      <c r="L7608" s="22" t="str">
        <f>HYPERLINK("https://otsuka-europe-crm.veevavault.com/ui/#object/approved_document__v/V5O00000000P003", "FR-AM2-2500027")</f>
        <v>FR-AM2-2500027</v>
      </c>
      <c r="M7608" s="22" t="str">
        <f>HYPERLINK("mailto:ssaouab@crm.otsuka-europe.com", "ssaouab@crm.otsuka-europe.com")</f>
        <v>ssaouab@crm.otsuka-europe.com</v>
      </c>
      <c r="N7608" s="23">
        <v>46182.664398148147</v>
      </c>
      <c r="O7608" s="14" t="str">
        <f>HYPERLINK("https://otsuka-europe-crm.veevavault.com/ui/#object/email_activity__v/V8C00000003R841", "EN-002093267")</f>
        <v>EN-002093267</v>
      </c>
    </row>
    <row r="7609" spans="1:15" ht="16" x14ac:dyDescent="0.2">
      <c r="A7609" s="18"/>
      <c r="B7609" s="18"/>
      <c r="C7609" s="18"/>
      <c r="D7609" s="18"/>
      <c r="E7609" s="18"/>
      <c r="F7609" s="18"/>
      <c r="G7609" s="18"/>
      <c r="H7609" s="18"/>
      <c r="I7609" s="18"/>
      <c r="J7609" s="18"/>
      <c r="K7609" s="18"/>
      <c r="L7609" s="18"/>
      <c r="M7609" s="18"/>
      <c r="N7609" s="18"/>
      <c r="O7609" s="14" t="str">
        <f>HYPERLINK("https://otsuka-europe-crm.veevavault.com/ui/#object/email_activity__v/V8C00000003X989", "EN-002098588")</f>
        <v>EN-002098588</v>
      </c>
    </row>
    <row r="7610" spans="1:15" ht="16" x14ac:dyDescent="0.2">
      <c r="A7610" s="18"/>
      <c r="B7610" s="18"/>
      <c r="C7610" s="18"/>
      <c r="D7610" s="18"/>
      <c r="E7610" s="18"/>
      <c r="F7610" s="18"/>
      <c r="G7610" s="18"/>
      <c r="H7610" s="18"/>
      <c r="I7610" s="18"/>
      <c r="J7610" s="18"/>
      <c r="K7610" s="18"/>
      <c r="L7610" s="18"/>
      <c r="M7610" s="18"/>
      <c r="N7610" s="18"/>
      <c r="O7610" s="14" t="str">
        <f>HYPERLINK("https://otsuka-europe-crm.veevavault.com/ui/#object/email_activity__v/V8C00000003X990", "EN-002098589")</f>
        <v>EN-002098589</v>
      </c>
    </row>
    <row r="7611" spans="1:15" ht="16" x14ac:dyDescent="0.2">
      <c r="A7611" s="19"/>
      <c r="B7611" s="19"/>
      <c r="C7611" s="19"/>
      <c r="D7611" s="19"/>
      <c r="E7611" s="19"/>
      <c r="F7611" s="19"/>
      <c r="G7611" s="19"/>
      <c r="H7611" s="19"/>
      <c r="I7611" s="19"/>
      <c r="J7611" s="19"/>
      <c r="K7611" s="19"/>
      <c r="L7611" s="19"/>
      <c r="M7611" s="19"/>
      <c r="N7611" s="19"/>
      <c r="O7611" s="14" t="str">
        <f>HYPERLINK("https://otsuka-europe-crm.veevavault.com/ui/#object/email_activity__v/V8C00000003X991", "EN-002098590")</f>
        <v>EN-002098590</v>
      </c>
    </row>
    <row r="7612" spans="1:15" ht="16" x14ac:dyDescent="0.2">
      <c r="A7612" s="17" t="str">
        <f>HYPERLINK("https://otsuka-europe-crm.veevavault.com/ui/#object/account__v/V4TZ025E845QQEE", "CYNTHIA ELIZABETH")</f>
        <v>CYNTHIA ELIZABETH</v>
      </c>
      <c r="B7612" s="17" t="str">
        <f>HYPERLINK("https://otsuka-europe-crm.veevavault.com/ui/#object/vcountry__v/VENZ000004SONFA", "FR")</f>
        <v>FR</v>
      </c>
      <c r="C7612" s="20" t="s">
        <v>42</v>
      </c>
      <c r="D7612" s="21" t="str">
        <f>HYPERLINK("https://otsuka-europe-crm.veevavault.com/ui/#object/approved_document__v/V5O00000000P003", "FR-AM2-2500027")</f>
        <v>FR-AM2-2500027</v>
      </c>
      <c r="E7612" s="22" t="str">
        <f>HYPERLINK("https://otsuka-europe-crm.veevavault.com/ui/#object/sent_email__v/VBL00000002R456", "SE-001435049")</f>
        <v>SE-001435049</v>
      </c>
      <c r="F7612" s="23">
        <v>46191.496840277781</v>
      </c>
      <c r="G7612" s="24">
        <v>1</v>
      </c>
      <c r="H7612" s="24">
        <v>1</v>
      </c>
      <c r="I7612" s="24">
        <v>0</v>
      </c>
      <c r="J7612" s="25"/>
      <c r="K7612" s="24">
        <v>0</v>
      </c>
      <c r="L7612" s="22" t="str">
        <f>HYPERLINK("https://otsuka-europe-crm.veevavault.com/ui/#object/approved_document__v/V5O00000000P003", "FR-AM2-2500027")</f>
        <v>FR-AM2-2500027</v>
      </c>
      <c r="M7612" s="22" t="str">
        <f>HYPERLINK("mailto:ssaouab@crm.otsuka-europe.com", "ssaouab@crm.otsuka-europe.com")</f>
        <v>ssaouab@crm.otsuka-europe.com</v>
      </c>
      <c r="N7612" s="23">
        <v>46182.664490740739</v>
      </c>
      <c r="O7612" s="14" t="str">
        <f>HYPERLINK("https://otsuka-europe-crm.veevavault.com/ui/#object/email_activity__v/V8C00000003R842", "EN-002093268")</f>
        <v>EN-002093268</v>
      </c>
    </row>
    <row r="7613" spans="1:15" ht="16" x14ac:dyDescent="0.2">
      <c r="A7613" s="19"/>
      <c r="B7613" s="19"/>
      <c r="C7613" s="19"/>
      <c r="D7613" s="19"/>
      <c r="E7613" s="19"/>
      <c r="F7613" s="19"/>
      <c r="G7613" s="19"/>
      <c r="H7613" s="19"/>
      <c r="I7613" s="19"/>
      <c r="J7613" s="19"/>
      <c r="K7613" s="19"/>
      <c r="L7613" s="19"/>
      <c r="M7613" s="19"/>
      <c r="N7613" s="19"/>
      <c r="O7613" s="14" t="str">
        <f>HYPERLINK("https://otsuka-europe-crm.veevavault.com/ui/#object/email_activity__v/V8C00000003X988", "EN-002098587")</f>
        <v>EN-002098587</v>
      </c>
    </row>
    <row r="7614" spans="1:15" ht="16" x14ac:dyDescent="0.2">
      <c r="A7614" s="17" t="str">
        <f>HYPERLINK("https://otsuka-europe-crm.veevavault.com/ui/#object/account__v/V4TZ00000633KYU", "THIBAUD ERNOUF")</f>
        <v>THIBAUD ERNOUF</v>
      </c>
      <c r="B7614" s="17" t="str">
        <f>HYPERLINK("https://otsuka-europe-crm.veevavault.com/ui/#object/vcountry__v/VENZ000004SONFA", "FR")</f>
        <v>FR</v>
      </c>
      <c r="C7614" s="20" t="s">
        <v>42</v>
      </c>
      <c r="D7614" s="21" t="str">
        <f>HYPERLINK("https://otsuka-europe-crm.veevavault.com/ui/#object/approved_document__v/V5O00000000P003", "FR-AM2-2500027")</f>
        <v>FR-AM2-2500027</v>
      </c>
      <c r="E7614" s="22" t="str">
        <f>HYPERLINK("https://otsuka-europe-crm.veevavault.com/ui/#object/sent_email__v/VBL00000002S545", "SE-001435050")</f>
        <v>SE-001435050</v>
      </c>
      <c r="F7614" s="23">
        <v>46182.792893518519</v>
      </c>
      <c r="G7614" s="24">
        <v>1</v>
      </c>
      <c r="H7614" s="24">
        <v>2</v>
      </c>
      <c r="I7614" s="24">
        <v>0</v>
      </c>
      <c r="J7614" s="25"/>
      <c r="K7614" s="24">
        <v>0</v>
      </c>
      <c r="L7614" s="22" t="str">
        <f>HYPERLINK("https://otsuka-europe-crm.veevavault.com/ui/#object/approved_document__v/V5O00000000P003", "FR-AM2-2500027")</f>
        <v>FR-AM2-2500027</v>
      </c>
      <c r="M7614" s="22" t="str">
        <f>HYPERLINK("mailto:ssaouab@crm.otsuka-europe.com", "ssaouab@crm.otsuka-europe.com")</f>
        <v>ssaouab@crm.otsuka-europe.com</v>
      </c>
      <c r="N7614" s="23">
        <v>46182.664780092593</v>
      </c>
      <c r="O7614" s="14" t="str">
        <f>HYPERLINK("https://otsuka-europe-crm.veevavault.com/ui/#object/email_activity__v/V8C00000003R844", "EN-002093270")</f>
        <v>EN-002093270</v>
      </c>
    </row>
    <row r="7615" spans="1:15" ht="16" x14ac:dyDescent="0.2">
      <c r="A7615" s="18"/>
      <c r="B7615" s="18"/>
      <c r="C7615" s="18"/>
      <c r="D7615" s="18"/>
      <c r="E7615" s="18"/>
      <c r="F7615" s="18"/>
      <c r="G7615" s="18"/>
      <c r="H7615" s="18"/>
      <c r="I7615" s="18"/>
      <c r="J7615" s="18"/>
      <c r="K7615" s="18"/>
      <c r="L7615" s="18"/>
      <c r="M7615" s="18"/>
      <c r="N7615" s="18"/>
      <c r="O7615" s="14" t="str">
        <f>HYPERLINK("https://otsuka-europe-crm.veevavault.com/ui/#object/email_activity__v/V8C00000003R973", "EN-002093534")</f>
        <v>EN-002093534</v>
      </c>
    </row>
    <row r="7616" spans="1:15" ht="16" x14ac:dyDescent="0.2">
      <c r="A7616" s="19"/>
      <c r="B7616" s="19"/>
      <c r="C7616" s="19"/>
      <c r="D7616" s="19"/>
      <c r="E7616" s="19"/>
      <c r="F7616" s="19"/>
      <c r="G7616" s="19"/>
      <c r="H7616" s="19"/>
      <c r="I7616" s="19"/>
      <c r="J7616" s="19"/>
      <c r="K7616" s="19"/>
      <c r="L7616" s="19"/>
      <c r="M7616" s="19"/>
      <c r="N7616" s="19"/>
      <c r="O7616" s="14" t="str">
        <f>HYPERLINK("https://otsuka-europe-crm.veevavault.com/ui/#object/email_activity__v/V8C00000003R974", "EN-002093535")</f>
        <v>EN-002093535</v>
      </c>
    </row>
    <row r="7617" spans="1:15" ht="48" x14ac:dyDescent="0.2">
      <c r="A7617" s="7" t="str">
        <f>HYPERLINK("https://otsuka-europe-crm.veevavault.com/ui/#object/account__v/V4TZ00000633KYU", "THIBAUD ERNOUF")</f>
        <v>THIBAUD ERNOUF</v>
      </c>
      <c r="B7617" s="7" t="str">
        <f>HYPERLINK("https://otsuka-europe-crm.veevavault.com/ui/#object/vcountry__v/VENZ000004SONFA", "FR")</f>
        <v>FR</v>
      </c>
      <c r="C7617" s="8" t="s">
        <v>42</v>
      </c>
      <c r="D7617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617" s="10" t="str">
        <f>HYPERLINK("https://otsuka-europe-crm.veevavault.com/ui/#object/sent_email__v/VBL00000002R457", "SE-001435051")</f>
        <v>SE-001435051</v>
      </c>
      <c r="F7617" s="11"/>
      <c r="G7617" s="12">
        <v>0</v>
      </c>
      <c r="H7617" s="12">
        <v>0</v>
      </c>
      <c r="I7617" s="12">
        <v>0</v>
      </c>
      <c r="J7617" s="11"/>
      <c r="K7617" s="12">
        <v>0</v>
      </c>
      <c r="L7617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617" s="10" t="str">
        <f>HYPERLINK("mailto:ssaouab@crm.otsuka-europe.com", "ssaouab@crm.otsuka-europe.com")</f>
        <v>ssaouab@crm.otsuka-europe.com</v>
      </c>
      <c r="N7617" s="13">
        <v>46182.664930555555</v>
      </c>
      <c r="O7617" s="14" t="str">
        <f>HYPERLINK("https://otsuka-europe-crm.veevavault.com/ui/#object/email_activity__v/V8C00000003R845", "EN-002093271")</f>
        <v>EN-002093271</v>
      </c>
    </row>
    <row r="7618" spans="1:15" ht="16" x14ac:dyDescent="0.2">
      <c r="A7618" s="17" t="str">
        <f>HYPERLINK("https://otsuka-europe-crm.veevavault.com/ui/#object/account__v/V4TZ00000633MRT", "ABDULLAH AZRAK")</f>
        <v>ABDULLAH AZRAK</v>
      </c>
      <c r="B7618" s="17" t="str">
        <f>HYPERLINK("https://otsuka-europe-crm.veevavault.com/ui/#object/vcountry__v/VENZ000004SONFA", "FR")</f>
        <v>FR</v>
      </c>
      <c r="C7618" s="20" t="s">
        <v>42</v>
      </c>
      <c r="D7618" s="21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E7618" s="22" t="str">
        <f>HYPERLINK("https://otsuka-europe-crm.veevavault.com/ui/#object/sent_email__v/VBL00000002R458", "SE-001435052")</f>
        <v>SE-001435052</v>
      </c>
      <c r="F7618" s="23">
        <v>46187.520381944443</v>
      </c>
      <c r="G7618" s="24">
        <v>1</v>
      </c>
      <c r="H7618" s="24">
        <v>2</v>
      </c>
      <c r="I7618" s="24">
        <v>0</v>
      </c>
      <c r="J7618" s="25"/>
      <c r="K7618" s="24">
        <v>0</v>
      </c>
      <c r="L7618" s="22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M7618" s="22" t="str">
        <f>HYPERLINK("mailto:ijardy@crm.otsuka-europe.com", "ijardy@crm.otsuka-europe.com")</f>
        <v>ijardy@crm.otsuka-europe.com</v>
      </c>
      <c r="N7618" s="23">
        <v>46183.509062500001</v>
      </c>
      <c r="O7618" s="14" t="str">
        <f>HYPERLINK("https://otsuka-europe-crm.veevavault.com/ui/#object/email_activity__v/V8C00000003T322", "EN-002094216")</f>
        <v>EN-002094216</v>
      </c>
    </row>
    <row r="7619" spans="1:15" ht="16" x14ac:dyDescent="0.2">
      <c r="A7619" s="18"/>
      <c r="B7619" s="18"/>
      <c r="C7619" s="18"/>
      <c r="D7619" s="18"/>
      <c r="E7619" s="18"/>
      <c r="F7619" s="18"/>
      <c r="G7619" s="18"/>
      <c r="H7619" s="18"/>
      <c r="I7619" s="18"/>
      <c r="J7619" s="18"/>
      <c r="K7619" s="18"/>
      <c r="L7619" s="18"/>
      <c r="M7619" s="18"/>
      <c r="N7619" s="18"/>
      <c r="O7619" s="14" t="str">
        <f>HYPERLINK("https://otsuka-europe-crm.veevavault.com/ui/#object/email_activity__v/V8C00000003U418", "EN-002095692")</f>
        <v>EN-002095692</v>
      </c>
    </row>
    <row r="7620" spans="1:15" ht="16" x14ac:dyDescent="0.2">
      <c r="A7620" s="19"/>
      <c r="B7620" s="19"/>
      <c r="C7620" s="19"/>
      <c r="D7620" s="19"/>
      <c r="E7620" s="19"/>
      <c r="F7620" s="19"/>
      <c r="G7620" s="19"/>
      <c r="H7620" s="19"/>
      <c r="I7620" s="19"/>
      <c r="J7620" s="19"/>
      <c r="K7620" s="19"/>
      <c r="L7620" s="19"/>
      <c r="M7620" s="19"/>
      <c r="N7620" s="19"/>
      <c r="O7620" s="14" t="str">
        <f>HYPERLINK("https://otsuka-europe-crm.veevavault.com/ui/#object/email_activity__v/V8C00000003V352", "EN-002095501")</f>
        <v>EN-002095501</v>
      </c>
    </row>
    <row r="7621" spans="1:15" ht="16" x14ac:dyDescent="0.2">
      <c r="A7621" s="17" t="str">
        <f>HYPERLINK("https://otsuka-europe-crm.veevavault.com/ui/#object/account__v/V4TZ00000633VUY", "THERESE PELIZZARI NASY")</f>
        <v>THERESE PELIZZARI NASY</v>
      </c>
      <c r="B7621" s="17" t="str">
        <f>HYPERLINK("https://otsuka-europe-crm.veevavault.com/ui/#object/vcountry__v/VENZ000004SONFA", "FR")</f>
        <v>FR</v>
      </c>
      <c r="C7621" s="20" t="s">
        <v>42</v>
      </c>
      <c r="D7621" s="21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E7621" s="22" t="str">
        <f>HYPERLINK("https://otsuka-europe-crm.veevavault.com/ui/#object/sent_email__v/VBL00000002R459", "SE-001435053")</f>
        <v>SE-001435053</v>
      </c>
      <c r="F7621" s="25"/>
      <c r="G7621" s="24">
        <v>0</v>
      </c>
      <c r="H7621" s="24">
        <v>0</v>
      </c>
      <c r="I7621" s="24">
        <v>0</v>
      </c>
      <c r="J7621" s="25"/>
      <c r="K7621" s="24">
        <v>0</v>
      </c>
      <c r="L7621" s="22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M7621" s="22" t="str">
        <f>HYPERLINK("mailto:ijardy@crm.otsuka-europe.com", "ijardy@crm.otsuka-europe.com")</f>
        <v>ijardy@crm.otsuka-europe.com</v>
      </c>
      <c r="N7621" s="23">
        <v>46183.217430555553</v>
      </c>
      <c r="O7621" s="14" t="str">
        <f>HYPERLINK("https://otsuka-europe-crm.veevavault.com/ui/#object/email_activity__v/V8C00000003S487", "EN-002093875")</f>
        <v>EN-002093875</v>
      </c>
    </row>
    <row r="7622" spans="1:15" ht="16" x14ac:dyDescent="0.2">
      <c r="A7622" s="19"/>
      <c r="B7622" s="19"/>
      <c r="C7622" s="19"/>
      <c r="D7622" s="19"/>
      <c r="E7622" s="19"/>
      <c r="F7622" s="19"/>
      <c r="G7622" s="19"/>
      <c r="H7622" s="19"/>
      <c r="I7622" s="19"/>
      <c r="J7622" s="19"/>
      <c r="K7622" s="19"/>
      <c r="L7622" s="19"/>
      <c r="M7622" s="19"/>
      <c r="N7622" s="19"/>
      <c r="O7622" s="14" t="str">
        <f>HYPERLINK("https://otsuka-europe-crm.veevavault.com/ui/#object/email_activity__v/V8C00000003T127", "EN-002093810")</f>
        <v>EN-002093810</v>
      </c>
    </row>
    <row r="7623" spans="1:15" ht="16" x14ac:dyDescent="0.2">
      <c r="A7623" s="17" t="str">
        <f>HYPERLINK("https://otsuka-europe-crm.veevavault.com/ui/#object/account__v/V4TZ04ASGDUAVUM", "Diana Toma")</f>
        <v>Diana Toma</v>
      </c>
      <c r="B7623" s="17" t="str">
        <f>HYPERLINK("https://otsuka-europe-crm.veevavault.com/ui/#object/vcountry__v/VENZ000004SONFK", "GB")</f>
        <v>GB</v>
      </c>
      <c r="C7623" s="20" t="s">
        <v>39</v>
      </c>
      <c r="D7623" s="21" t="str">
        <f>HYPERLINK("https://otsuka-europe-crm.veevavault.com/ui/#object/approved_document__v/V5O00000001H005", "LDM DR P2P Invite 23-Jun-26 [digital]")</f>
        <v>LDM DR P2P Invite 23-Jun-26 [digital]</v>
      </c>
      <c r="E7623" s="22" t="str">
        <f>HYPERLINK("https://otsuka-europe-crm.veevavault.com/ui/#object/sent_email__v/VBL00000002S546", "SE-001435054")</f>
        <v>SE-001435054</v>
      </c>
      <c r="F7623" s="23">
        <v>46183.518101851849</v>
      </c>
      <c r="G7623" s="24">
        <v>1</v>
      </c>
      <c r="H7623" s="24">
        <v>6</v>
      </c>
      <c r="I7623" s="24">
        <v>0</v>
      </c>
      <c r="J7623" s="25"/>
      <c r="K7623" s="24">
        <v>0</v>
      </c>
      <c r="L7623" s="22" t="str">
        <f>HYPERLINK("https://otsuka-europe-crm.veevavault.com/ui/#object/approved_document__v/V5O00000001H005", "LDM DR P2P Invite 23-Jun-26 [digital]")</f>
        <v>LDM DR P2P Invite 23-Jun-26 [digital]</v>
      </c>
      <c r="M7623" s="22" t="str">
        <f>HYPERLINK("mailto:draval@crm.otsuka-europe.com", "draval@crm.otsuka-europe.com")</f>
        <v>draval@crm.otsuka-europe.com</v>
      </c>
      <c r="N7623" s="23">
        <v>46182.672083333331</v>
      </c>
      <c r="O7623" s="14" t="str">
        <f>HYPERLINK("https://otsuka-europe-crm.veevavault.com/ui/#object/email_activity__v/V8C00000003R870", "EN-002093326")</f>
        <v>EN-002093326</v>
      </c>
    </row>
    <row r="7624" spans="1:15" ht="16" x14ac:dyDescent="0.2">
      <c r="A7624" s="18"/>
      <c r="B7624" s="18"/>
      <c r="C7624" s="18"/>
      <c r="D7624" s="18"/>
      <c r="E7624" s="18"/>
      <c r="F7624" s="18"/>
      <c r="G7624" s="18"/>
      <c r="H7624" s="18"/>
      <c r="I7624" s="18"/>
      <c r="J7624" s="18"/>
      <c r="K7624" s="18"/>
      <c r="L7624" s="18"/>
      <c r="M7624" s="18"/>
      <c r="N7624" s="18"/>
      <c r="O7624" s="14" t="str">
        <f>HYPERLINK("https://otsuka-europe-crm.veevavault.com/ui/#object/email_activity__v/V8C00000003R871", "EN-002093329")</f>
        <v>EN-002093329</v>
      </c>
    </row>
    <row r="7625" spans="1:15" ht="16" x14ac:dyDescent="0.2">
      <c r="A7625" s="18"/>
      <c r="B7625" s="18"/>
      <c r="C7625" s="18"/>
      <c r="D7625" s="18"/>
      <c r="E7625" s="18"/>
      <c r="F7625" s="18"/>
      <c r="G7625" s="18"/>
      <c r="H7625" s="18"/>
      <c r="I7625" s="18"/>
      <c r="J7625" s="18"/>
      <c r="K7625" s="18"/>
      <c r="L7625" s="18"/>
      <c r="M7625" s="18"/>
      <c r="N7625" s="18"/>
      <c r="O7625" s="14" t="str">
        <f>HYPERLINK("https://otsuka-europe-crm.veevavault.com/ui/#object/email_activity__v/V8C00000003S192", "EN-002093280")</f>
        <v>EN-002093280</v>
      </c>
    </row>
    <row r="7626" spans="1:15" ht="16" x14ac:dyDescent="0.2">
      <c r="A7626" s="18"/>
      <c r="B7626" s="18"/>
      <c r="C7626" s="18"/>
      <c r="D7626" s="18"/>
      <c r="E7626" s="18"/>
      <c r="F7626" s="18"/>
      <c r="G7626" s="18"/>
      <c r="H7626" s="18"/>
      <c r="I7626" s="18"/>
      <c r="J7626" s="18"/>
      <c r="K7626" s="18"/>
      <c r="L7626" s="18"/>
      <c r="M7626" s="18"/>
      <c r="N7626" s="18"/>
      <c r="O7626" s="14" t="str">
        <f>HYPERLINK("https://otsuka-europe-crm.veevavault.com/ui/#object/email_activity__v/V8C00000003S237", "EN-002093348")</f>
        <v>EN-002093348</v>
      </c>
    </row>
    <row r="7627" spans="1:15" ht="16" x14ac:dyDescent="0.2">
      <c r="A7627" s="18"/>
      <c r="B7627" s="18"/>
      <c r="C7627" s="18"/>
      <c r="D7627" s="18"/>
      <c r="E7627" s="18"/>
      <c r="F7627" s="18"/>
      <c r="G7627" s="18"/>
      <c r="H7627" s="18"/>
      <c r="I7627" s="18"/>
      <c r="J7627" s="18"/>
      <c r="K7627" s="18"/>
      <c r="L7627" s="18"/>
      <c r="M7627" s="18"/>
      <c r="N7627" s="18"/>
      <c r="O7627" s="14" t="str">
        <f>HYPERLINK("https://otsuka-europe-crm.veevavault.com/ui/#object/email_activity__v/V8C00000003S660", "EN-002094218")</f>
        <v>EN-002094218</v>
      </c>
    </row>
    <row r="7628" spans="1:15" ht="16" x14ac:dyDescent="0.2">
      <c r="A7628" s="18"/>
      <c r="B7628" s="18"/>
      <c r="C7628" s="18"/>
      <c r="D7628" s="18"/>
      <c r="E7628" s="18"/>
      <c r="F7628" s="18"/>
      <c r="G7628" s="18"/>
      <c r="H7628" s="18"/>
      <c r="I7628" s="18"/>
      <c r="J7628" s="18"/>
      <c r="K7628" s="18"/>
      <c r="L7628" s="18"/>
      <c r="M7628" s="18"/>
      <c r="N7628" s="18"/>
      <c r="O7628" s="14" t="str">
        <f>HYPERLINK("https://otsuka-europe-crm.veevavault.com/ui/#object/email_activity__v/V8C00000003T189", "EN-002093947")</f>
        <v>EN-002093947</v>
      </c>
    </row>
    <row r="7629" spans="1:15" ht="16" x14ac:dyDescent="0.2">
      <c r="A7629" s="19"/>
      <c r="B7629" s="19"/>
      <c r="C7629" s="19"/>
      <c r="D7629" s="19"/>
      <c r="E7629" s="19"/>
      <c r="F7629" s="19"/>
      <c r="G7629" s="19"/>
      <c r="H7629" s="19"/>
      <c r="I7629" s="19"/>
      <c r="J7629" s="19"/>
      <c r="K7629" s="19"/>
      <c r="L7629" s="19"/>
      <c r="M7629" s="19"/>
      <c r="N7629" s="19"/>
      <c r="O7629" s="14" t="str">
        <f>HYPERLINK("https://otsuka-europe-crm.veevavault.com/ui/#object/email_activity__v/V8C00000003T190", "EN-002093948")</f>
        <v>EN-002093948</v>
      </c>
    </row>
    <row r="7630" spans="1:15" ht="16" x14ac:dyDescent="0.2">
      <c r="A7630" s="17" t="str">
        <f>HYPERLINK("https://otsuka-europe-crm.veevavault.com/ui/#object/account__v/V4TZ0000062PQ8C", "Logavadee Soobrayen")</f>
        <v>Logavadee Soobrayen</v>
      </c>
      <c r="B7630" s="17" t="str">
        <f>HYPERLINK("https://otsuka-europe-crm.veevavault.com/ui/#object/vcountry__v/VENZ000004SONFK", "GB")</f>
        <v>GB</v>
      </c>
      <c r="C7630" s="20" t="s">
        <v>39</v>
      </c>
      <c r="D7630" s="21" t="str">
        <f>HYPERLINK("https://otsuka-europe-crm.veevavault.com/ui/#object/approved_document__v/V5O00000001H005", "LDM DR P2P Invite 23-Jun-26 [digital]")</f>
        <v>LDM DR P2P Invite 23-Jun-26 [digital]</v>
      </c>
      <c r="E7630" s="22" t="str">
        <f>HYPERLINK("https://otsuka-europe-crm.veevavault.com/ui/#object/sent_email__v/VBL00000002S547", "SE-001435055")</f>
        <v>SE-001435055</v>
      </c>
      <c r="F7630" s="23">
        <v>46184.932118055556</v>
      </c>
      <c r="G7630" s="24">
        <v>1</v>
      </c>
      <c r="H7630" s="24">
        <v>3</v>
      </c>
      <c r="I7630" s="24">
        <v>0</v>
      </c>
      <c r="J7630" s="25"/>
      <c r="K7630" s="24">
        <v>0</v>
      </c>
      <c r="L7630" s="22" t="str">
        <f>HYPERLINK("https://otsuka-europe-crm.veevavault.com/ui/#object/approved_document__v/V5O00000001H005", "LDM DR P2P Invite 23-Jun-26 [digital]")</f>
        <v>LDM DR P2P Invite 23-Jun-26 [digital]</v>
      </c>
      <c r="M7630" s="22" t="str">
        <f>HYPERLINK("mailto:draval@crm.otsuka-europe.com", "draval@crm.otsuka-europe.com")</f>
        <v>draval@crm.otsuka-europe.com</v>
      </c>
      <c r="N7630" s="23">
        <v>46182.674849537034</v>
      </c>
      <c r="O7630" s="14" t="str">
        <f>HYPERLINK("https://otsuka-europe-crm.veevavault.com/ui/#object/email_activity__v/V8C00000003R854", "EN-002093286")</f>
        <v>EN-002093286</v>
      </c>
    </row>
    <row r="7631" spans="1:15" ht="16" x14ac:dyDescent="0.2">
      <c r="A7631" s="18"/>
      <c r="B7631" s="18"/>
      <c r="C7631" s="18"/>
      <c r="D7631" s="18"/>
      <c r="E7631" s="18"/>
      <c r="F7631" s="18"/>
      <c r="G7631" s="18"/>
      <c r="H7631" s="18"/>
      <c r="I7631" s="18"/>
      <c r="J7631" s="18"/>
      <c r="K7631" s="18"/>
      <c r="L7631" s="18"/>
      <c r="M7631" s="18"/>
      <c r="N7631" s="18"/>
      <c r="O7631" s="14" t="str">
        <f>HYPERLINK("https://otsuka-europe-crm.veevavault.com/ui/#object/email_activity__v/V8C00000003S441", "EN-002093795")</f>
        <v>EN-002093795</v>
      </c>
    </row>
    <row r="7632" spans="1:15" ht="16" x14ac:dyDescent="0.2">
      <c r="A7632" s="18"/>
      <c r="B7632" s="18"/>
      <c r="C7632" s="18"/>
      <c r="D7632" s="18"/>
      <c r="E7632" s="18"/>
      <c r="F7632" s="18"/>
      <c r="G7632" s="18"/>
      <c r="H7632" s="18"/>
      <c r="I7632" s="18"/>
      <c r="J7632" s="18"/>
      <c r="K7632" s="18"/>
      <c r="L7632" s="18"/>
      <c r="M7632" s="18"/>
      <c r="N7632" s="18"/>
      <c r="O7632" s="14" t="str">
        <f>HYPERLINK("https://otsuka-europe-crm.veevavault.com/ui/#object/email_activity__v/V8C00000003S442", "EN-002093796")</f>
        <v>EN-002093796</v>
      </c>
    </row>
    <row r="7633" spans="1:15" ht="16" x14ac:dyDescent="0.2">
      <c r="A7633" s="18"/>
      <c r="B7633" s="18"/>
      <c r="C7633" s="18"/>
      <c r="D7633" s="18"/>
      <c r="E7633" s="18"/>
      <c r="F7633" s="18"/>
      <c r="G7633" s="18"/>
      <c r="H7633" s="18"/>
      <c r="I7633" s="18"/>
      <c r="J7633" s="18"/>
      <c r="K7633" s="18"/>
      <c r="L7633" s="18"/>
      <c r="M7633" s="18"/>
      <c r="N7633" s="18"/>
      <c r="O7633" s="14" t="str">
        <f>HYPERLINK("https://otsuka-europe-crm.veevavault.com/ui/#object/email_activity__v/V8C00000003S446", "EN-002093802")</f>
        <v>EN-002093802</v>
      </c>
    </row>
    <row r="7634" spans="1:15" ht="16" x14ac:dyDescent="0.2">
      <c r="A7634" s="18"/>
      <c r="B7634" s="18"/>
      <c r="C7634" s="18"/>
      <c r="D7634" s="18"/>
      <c r="E7634" s="18"/>
      <c r="F7634" s="18"/>
      <c r="G7634" s="18"/>
      <c r="H7634" s="18"/>
      <c r="I7634" s="18"/>
      <c r="J7634" s="18"/>
      <c r="K7634" s="18"/>
      <c r="L7634" s="18"/>
      <c r="M7634" s="18"/>
      <c r="N7634" s="18"/>
      <c r="O7634" s="14" t="str">
        <f>HYPERLINK("https://otsuka-europe-crm.veevavault.com/ui/#object/email_activity__v/V8C00000003U022", "EN-002094864")</f>
        <v>EN-002094864</v>
      </c>
    </row>
    <row r="7635" spans="1:15" ht="16" x14ac:dyDescent="0.2">
      <c r="A7635" s="19"/>
      <c r="B7635" s="19"/>
      <c r="C7635" s="19"/>
      <c r="D7635" s="19"/>
      <c r="E7635" s="19"/>
      <c r="F7635" s="19"/>
      <c r="G7635" s="19"/>
      <c r="H7635" s="19"/>
      <c r="I7635" s="19"/>
      <c r="J7635" s="19"/>
      <c r="K7635" s="19"/>
      <c r="L7635" s="19"/>
      <c r="M7635" s="19"/>
      <c r="N7635" s="19"/>
      <c r="O7635" s="14" t="str">
        <f>HYPERLINK("https://otsuka-europe-crm.veevavault.com/ui/#object/email_activity__v/V8C00000003X952", "EN-002098512")</f>
        <v>EN-002098512</v>
      </c>
    </row>
    <row r="7636" spans="1:15" ht="32" x14ac:dyDescent="0.2">
      <c r="A7636" s="7" t="str">
        <f>HYPERLINK("https://otsuka-europe-crm.veevavault.com/ui/#object/account__v/V4TZ025E87TXNUO", "David Rogalski")</f>
        <v>David Rogalski</v>
      </c>
      <c r="B7636" s="7" t="str">
        <f t="shared" ref="B7636:B7642" si="634">HYPERLINK("https://otsuka-europe-crm.veevavault.com/ui/#object/vcountry__v/VENZ000004SONFK", "GB")</f>
        <v>GB</v>
      </c>
      <c r="C7636" s="8" t="s">
        <v>39</v>
      </c>
      <c r="D7636" s="9" t="str">
        <f t="shared" ref="D7636:D7642" si="635">HYPERLINK("https://otsuka-europe-crm.veevavault.com/ui/#object/approved_document__v/V5O00000001H005", "LDM DR P2P Invite 23-Jun-26 [digital]")</f>
        <v>LDM DR P2P Invite 23-Jun-26 [digital]</v>
      </c>
      <c r="E7636" s="10" t="str">
        <f>HYPERLINK("https://otsuka-europe-crm.veevavault.com/ui/#object/sent_email__v/VBL00000002R460", "SE-001435056")</f>
        <v>SE-001435056</v>
      </c>
      <c r="F7636" s="11"/>
      <c r="G7636" s="12">
        <v>0</v>
      </c>
      <c r="H7636" s="12">
        <v>0</v>
      </c>
      <c r="I7636" s="12">
        <v>0</v>
      </c>
      <c r="J7636" s="11"/>
      <c r="K7636" s="12">
        <v>0</v>
      </c>
      <c r="L7636" s="10" t="str">
        <f t="shared" ref="L7636:L7642" si="636">HYPERLINK("https://otsuka-europe-crm.veevavault.com/ui/#object/approved_document__v/V5O00000001H005", "LDM DR P2P Invite 23-Jun-26 [digital]")</f>
        <v>LDM DR P2P Invite 23-Jun-26 [digital]</v>
      </c>
      <c r="M7636" s="10" t="str">
        <f t="shared" ref="M7636:M7642" si="637">HYPERLINK("mailto:draval@crm.otsuka-europe.com", "draval@crm.otsuka-europe.com")</f>
        <v>draval@crm.otsuka-europe.com</v>
      </c>
      <c r="N7636" s="13">
        <v>46182.675682870373</v>
      </c>
      <c r="O7636" s="14" t="str">
        <f>HYPERLINK("https://otsuka-europe-crm.veevavault.com/ui/#object/email_activity__v/V8C00000003S199", "EN-002093289")</f>
        <v>EN-002093289</v>
      </c>
    </row>
    <row r="7637" spans="1:15" ht="32" x14ac:dyDescent="0.2">
      <c r="A7637" s="7" t="str">
        <f>HYPERLINK("https://otsuka-europe-crm.veevavault.com/ui/#object/account__v/V4TZ0000062PGK0", "Abdolali Mohammadi")</f>
        <v>Abdolali Mohammadi</v>
      </c>
      <c r="B7637" s="7" t="str">
        <f t="shared" si="634"/>
        <v>GB</v>
      </c>
      <c r="C7637" s="8" t="s">
        <v>39</v>
      </c>
      <c r="D7637" s="9" t="str">
        <f t="shared" si="635"/>
        <v>LDM DR P2P Invite 23-Jun-26 [digital]</v>
      </c>
      <c r="E7637" s="10" t="str">
        <f>HYPERLINK("https://otsuka-europe-crm.veevavault.com/ui/#object/sent_email__v/VBL00000002S548", "SE-001435057")</f>
        <v>SE-001435057</v>
      </c>
      <c r="F7637" s="11"/>
      <c r="G7637" s="12">
        <v>0</v>
      </c>
      <c r="H7637" s="12">
        <v>0</v>
      </c>
      <c r="I7637" s="12">
        <v>0</v>
      </c>
      <c r="J7637" s="11"/>
      <c r="K7637" s="12">
        <v>0</v>
      </c>
      <c r="L7637" s="10" t="str">
        <f t="shared" si="636"/>
        <v>LDM DR P2P Invite 23-Jun-26 [digital]</v>
      </c>
      <c r="M7637" s="10" t="str">
        <f t="shared" si="637"/>
        <v>draval@crm.otsuka-europe.com</v>
      </c>
      <c r="N7637" s="13">
        <v>46182.677615740744</v>
      </c>
      <c r="O7637" s="14" t="str">
        <f>HYPERLINK("https://otsuka-europe-crm.veevavault.com/ui/#object/email_activity__v/V8C00000003R855", "EN-002093292")</f>
        <v>EN-002093292</v>
      </c>
    </row>
    <row r="7638" spans="1:15" ht="32" x14ac:dyDescent="0.2">
      <c r="A7638" s="7" t="str">
        <f>HYPERLINK("https://otsuka-europe-crm.veevavault.com/ui/#object/account__v/V4TZ0000062PD9N", "Paola McNally")</f>
        <v>Paola McNally</v>
      </c>
      <c r="B7638" s="7" t="str">
        <f t="shared" si="634"/>
        <v>GB</v>
      </c>
      <c r="C7638" s="8" t="s">
        <v>39</v>
      </c>
      <c r="D7638" s="9" t="str">
        <f t="shared" si="635"/>
        <v>LDM DR P2P Invite 23-Jun-26 [digital]</v>
      </c>
      <c r="E7638" s="10" t="str">
        <f>HYPERLINK("https://otsuka-europe-crm.veevavault.com/ui/#object/sent_email__v/VBL00000002R461", "SE-001435058")</f>
        <v>SE-001435058</v>
      </c>
      <c r="F7638" s="11"/>
      <c r="G7638" s="12">
        <v>0</v>
      </c>
      <c r="H7638" s="12">
        <v>0</v>
      </c>
      <c r="I7638" s="12">
        <v>0</v>
      </c>
      <c r="J7638" s="11"/>
      <c r="K7638" s="12">
        <v>0</v>
      </c>
      <c r="L7638" s="10" t="str">
        <f t="shared" si="636"/>
        <v>LDM DR P2P Invite 23-Jun-26 [digital]</v>
      </c>
      <c r="M7638" s="10" t="str">
        <f t="shared" si="637"/>
        <v>draval@crm.otsuka-europe.com</v>
      </c>
      <c r="N7638" s="13">
        <v>46182.678483796299</v>
      </c>
      <c r="O7638" s="14" t="str">
        <f>HYPERLINK("https://otsuka-europe-crm.veevavault.com/ui/#object/email_activity__v/V8C00000003R858", "EN-002093297")</f>
        <v>EN-002093297</v>
      </c>
    </row>
    <row r="7639" spans="1:15" ht="32" x14ac:dyDescent="0.2">
      <c r="A7639" s="7" t="str">
        <f>HYPERLINK("https://otsuka-europe-crm.veevavault.com/ui/#object/account__v/V4TZ0000062PFEX", "Girija Kottalgi")</f>
        <v>Girija Kottalgi</v>
      </c>
      <c r="B7639" s="7" t="str">
        <f t="shared" si="634"/>
        <v>GB</v>
      </c>
      <c r="C7639" s="8" t="s">
        <v>39</v>
      </c>
      <c r="D7639" s="9" t="str">
        <f t="shared" si="635"/>
        <v>LDM DR P2P Invite 23-Jun-26 [digital]</v>
      </c>
      <c r="E7639" s="10" t="str">
        <f>HYPERLINK("https://otsuka-europe-crm.veevavault.com/ui/#object/sent_email__v/VBL00000002R462", "SE-001435059")</f>
        <v>SE-001435059</v>
      </c>
      <c r="F7639" s="11"/>
      <c r="G7639" s="12">
        <v>0</v>
      </c>
      <c r="H7639" s="12">
        <v>0</v>
      </c>
      <c r="I7639" s="12">
        <v>0</v>
      </c>
      <c r="J7639" s="11"/>
      <c r="K7639" s="12">
        <v>0</v>
      </c>
      <c r="L7639" s="10" t="str">
        <f t="shared" si="636"/>
        <v>LDM DR P2P Invite 23-Jun-26 [digital]</v>
      </c>
      <c r="M7639" s="10" t="str">
        <f t="shared" si="637"/>
        <v>draval@crm.otsuka-europe.com</v>
      </c>
      <c r="N7639" s="13">
        <v>46182.678703703707</v>
      </c>
      <c r="O7639" s="14" t="str">
        <f>HYPERLINK("https://otsuka-europe-crm.veevavault.com/ui/#object/email_activity__v/V8C00000003R860", "EN-002093299")</f>
        <v>EN-002093299</v>
      </c>
    </row>
    <row r="7640" spans="1:15" ht="32" x14ac:dyDescent="0.2">
      <c r="A7640" s="7" t="str">
        <f>HYPERLINK("https://otsuka-europe-crm.veevavault.com/ui/#object/account__v/V4TZ025E85KJ5JQ", "Titilola Haruna")</f>
        <v>Titilola Haruna</v>
      </c>
      <c r="B7640" s="7" t="str">
        <f t="shared" si="634"/>
        <v>GB</v>
      </c>
      <c r="C7640" s="8" t="s">
        <v>39</v>
      </c>
      <c r="D7640" s="9" t="str">
        <f t="shared" si="635"/>
        <v>LDM DR P2P Invite 23-Jun-26 [digital]</v>
      </c>
      <c r="E7640" s="10" t="str">
        <f>HYPERLINK("https://otsuka-europe-crm.veevavault.com/ui/#object/sent_email__v/VBL00000002R463", "SE-001435060")</f>
        <v>SE-001435060</v>
      </c>
      <c r="F7640" s="11"/>
      <c r="G7640" s="12">
        <v>0</v>
      </c>
      <c r="H7640" s="12">
        <v>0</v>
      </c>
      <c r="I7640" s="12">
        <v>0</v>
      </c>
      <c r="J7640" s="11"/>
      <c r="K7640" s="12">
        <v>0</v>
      </c>
      <c r="L7640" s="10" t="str">
        <f t="shared" si="636"/>
        <v>LDM DR P2P Invite 23-Jun-26 [digital]</v>
      </c>
      <c r="M7640" s="10" t="str">
        <f t="shared" si="637"/>
        <v>draval@crm.otsuka-europe.com</v>
      </c>
      <c r="N7640" s="13">
        <v>46182.679224537038</v>
      </c>
      <c r="O7640" s="14" t="str">
        <f>HYPERLINK("https://otsuka-europe-crm.veevavault.com/ui/#object/email_activity__v/V8C00000003R861", "EN-002093302")</f>
        <v>EN-002093302</v>
      </c>
    </row>
    <row r="7641" spans="1:15" ht="32" x14ac:dyDescent="0.2">
      <c r="A7641" s="7" t="str">
        <f>HYPERLINK("https://otsuka-europe-crm.veevavault.com/ui/#object/account__v/V4TZ025E845HGIX", "Noran Elshahawy")</f>
        <v>Noran Elshahawy</v>
      </c>
      <c r="B7641" s="7" t="str">
        <f t="shared" si="634"/>
        <v>GB</v>
      </c>
      <c r="C7641" s="8" t="s">
        <v>39</v>
      </c>
      <c r="D7641" s="9" t="str">
        <f t="shared" si="635"/>
        <v>LDM DR P2P Invite 23-Jun-26 [digital]</v>
      </c>
      <c r="E7641" s="10" t="str">
        <f>HYPERLINK("https://otsuka-europe-crm.veevavault.com/ui/#object/sent_email__v/VBL00000002S549", "SE-001435061")</f>
        <v>SE-001435061</v>
      </c>
      <c r="F7641" s="11"/>
      <c r="G7641" s="12">
        <v>0</v>
      </c>
      <c r="H7641" s="12">
        <v>0</v>
      </c>
      <c r="I7641" s="12">
        <v>0</v>
      </c>
      <c r="J7641" s="11"/>
      <c r="K7641" s="12">
        <v>0</v>
      </c>
      <c r="L7641" s="10" t="str">
        <f t="shared" si="636"/>
        <v>LDM DR P2P Invite 23-Jun-26 [digital]</v>
      </c>
      <c r="M7641" s="10" t="str">
        <f t="shared" si="637"/>
        <v>draval@crm.otsuka-europe.com</v>
      </c>
      <c r="N7641" s="13">
        <v>46182.680104166669</v>
      </c>
      <c r="O7641" s="14" t="str">
        <f>HYPERLINK("https://otsuka-europe-crm.veevavault.com/ui/#object/email_activity__v/V8C00000003R862", "EN-002093303")</f>
        <v>EN-002093303</v>
      </c>
    </row>
    <row r="7642" spans="1:15" ht="16" x14ac:dyDescent="0.2">
      <c r="A7642" s="17" t="str">
        <f>HYPERLINK("https://otsuka-europe-crm.veevavault.com/ui/#object/account__v/V4TZ04ASG7A062O", "Gurbachan Bilku")</f>
        <v>Gurbachan Bilku</v>
      </c>
      <c r="B7642" s="17" t="str">
        <f t="shared" si="634"/>
        <v>GB</v>
      </c>
      <c r="C7642" s="20" t="s">
        <v>39</v>
      </c>
      <c r="D7642" s="21" t="str">
        <f t="shared" si="635"/>
        <v>LDM DR P2P Invite 23-Jun-26 [digital]</v>
      </c>
      <c r="E7642" s="22" t="str">
        <f>HYPERLINK("https://otsuka-europe-crm.veevavault.com/ui/#object/sent_email__v/VBL00000002S550", "SE-001435062")</f>
        <v>SE-001435062</v>
      </c>
      <c r="F7642" s="23">
        <v>46183.687060185184</v>
      </c>
      <c r="G7642" s="24">
        <v>1</v>
      </c>
      <c r="H7642" s="24">
        <v>1</v>
      </c>
      <c r="I7642" s="24">
        <v>0</v>
      </c>
      <c r="J7642" s="25"/>
      <c r="K7642" s="24">
        <v>0</v>
      </c>
      <c r="L7642" s="22" t="str">
        <f t="shared" si="636"/>
        <v>LDM DR P2P Invite 23-Jun-26 [digital]</v>
      </c>
      <c r="M7642" s="22" t="str">
        <f t="shared" si="637"/>
        <v>draval@crm.otsuka-europe.com</v>
      </c>
      <c r="N7642" s="23">
        <v>46182.682025462964</v>
      </c>
      <c r="O7642" s="14" t="str">
        <f>HYPERLINK("https://otsuka-europe-crm.veevavault.com/ui/#object/email_activity__v/V8C00000003S206", "EN-002093305")</f>
        <v>EN-002093305</v>
      </c>
    </row>
    <row r="7643" spans="1:15" ht="16" x14ac:dyDescent="0.2">
      <c r="A7643" s="19"/>
      <c r="B7643" s="19"/>
      <c r="C7643" s="19"/>
      <c r="D7643" s="19"/>
      <c r="E7643" s="19"/>
      <c r="F7643" s="19"/>
      <c r="G7643" s="19"/>
      <c r="H7643" s="19"/>
      <c r="I7643" s="19"/>
      <c r="J7643" s="19"/>
      <c r="K7643" s="19"/>
      <c r="L7643" s="19"/>
      <c r="M7643" s="19"/>
      <c r="N7643" s="19"/>
      <c r="O7643" s="14" t="str">
        <f>HYPERLINK("https://otsuka-europe-crm.veevavault.com/ui/#object/email_activity__v/V8C00000003T367", "EN-002094325")</f>
        <v>EN-002094325</v>
      </c>
    </row>
    <row r="7644" spans="1:15" ht="48" x14ac:dyDescent="0.2">
      <c r="A7644" s="7" t="str">
        <f>HYPERLINK("https://otsuka-europe-crm.veevavault.com/ui/#object/account__v/V4TZ00000633X9E", "SORAYA REGAT")</f>
        <v>SORAYA REGAT</v>
      </c>
      <c r="B7644" s="7" t="str">
        <f>HYPERLINK("https://otsuka-europe-crm.veevavault.com/ui/#object/vcountry__v/VENZ000004SONFA", "FR")</f>
        <v>FR</v>
      </c>
      <c r="C7644" s="8" t="s">
        <v>42</v>
      </c>
      <c r="D7644" s="9" t="str">
        <f>HYPERLINK("https://otsuka-europe-crm.veevavault.com/ui/#object/approved_document__v/V5OZ025E82HK86R", "Email à fragment trajectoires schizophrénies - FR-CNS-2400018")</f>
        <v>Email à fragment trajectoires schizophrénies - FR-CNS-2400018</v>
      </c>
      <c r="E7644" s="10" t="str">
        <f>HYPERLINK("https://otsuka-europe-crm.veevavault.com/ui/#object/sent_email__v/VBL00000002R476", "SE-001435063")</f>
        <v>SE-001435063</v>
      </c>
      <c r="F7644" s="11"/>
      <c r="G7644" s="12">
        <v>0</v>
      </c>
      <c r="H7644" s="12">
        <v>0</v>
      </c>
      <c r="I7644" s="12">
        <v>0</v>
      </c>
      <c r="J7644" s="11"/>
      <c r="K7644" s="12">
        <v>0</v>
      </c>
      <c r="L7644" s="10" t="str">
        <f>HYPERLINK("https://otsuka-europe-crm.veevavault.com/ui/#object/approved_document__v/V5OZ025E82HK86R", "Email à fragment trajectoires schizophrénies - FR-CNS-2400018")</f>
        <v>Email à fragment trajectoires schizophrénies - FR-CNS-2400018</v>
      </c>
      <c r="M7644" s="10" t="str">
        <f>HYPERLINK("mailto:mperrin@crm.otsuka-europe.com", "mperrin@crm.otsuka-europe.com")</f>
        <v>mperrin@crm.otsuka-europe.com</v>
      </c>
      <c r="N7644" s="13">
        <v>46182.738923611112</v>
      </c>
      <c r="O7644" s="14" t="str">
        <f>HYPERLINK("https://otsuka-europe-crm.veevavault.com/ui/#object/email_activity__v/V8C00000003R880", "EN-002093358")</f>
        <v>EN-002093358</v>
      </c>
    </row>
    <row r="7645" spans="1:15" ht="16" x14ac:dyDescent="0.2">
      <c r="A7645" s="17" t="str">
        <f>HYPERLINK("https://otsuka-europe-crm.veevavault.com/ui/#object/account__v/V4TZ00000633VA7", "SABRINA MAOUCHE")</f>
        <v>SABRINA MAOUCHE</v>
      </c>
      <c r="B7645" s="17" t="str">
        <f>HYPERLINK("https://otsuka-europe-crm.veevavault.com/ui/#object/vcountry__v/VENZ000004SONFA", "FR")</f>
        <v>FR</v>
      </c>
      <c r="C7645" s="20" t="s">
        <v>42</v>
      </c>
      <c r="D7645" s="21" t="str">
        <f>HYPERLINK("https://otsuka-europe-crm.veevavault.com/ui/#object/approved_document__v/V5OZ025E82HK86R", "Email à fragment trajectoires schizophrénies - FR-CNS-2400018")</f>
        <v>Email à fragment trajectoires schizophrénies - FR-CNS-2400018</v>
      </c>
      <c r="E7645" s="22" t="str">
        <f>HYPERLINK("https://otsuka-europe-crm.veevavault.com/ui/#object/sent_email__v/VBL00000002S559", "SE-001435064")</f>
        <v>SE-001435064</v>
      </c>
      <c r="F7645" s="23">
        <v>46184.374884259261</v>
      </c>
      <c r="G7645" s="24">
        <v>1</v>
      </c>
      <c r="H7645" s="24">
        <v>4</v>
      </c>
      <c r="I7645" s="24">
        <v>1</v>
      </c>
      <c r="J7645" s="23">
        <v>46183.390497685185</v>
      </c>
      <c r="K7645" s="24">
        <v>1</v>
      </c>
      <c r="L7645" s="22" t="str">
        <f>HYPERLINK("https://otsuka-europe-crm.veevavault.com/ui/#object/approved_document__v/V5OZ025E82HK86R", "Email à fragment trajectoires schizophrénies - FR-CNS-2400018")</f>
        <v>Email à fragment trajectoires schizophrénies - FR-CNS-2400018</v>
      </c>
      <c r="M7645" s="22" t="str">
        <f>HYPERLINK("mailto:mperrin@crm.otsuka-europe.com", "mperrin@crm.otsuka-europe.com")</f>
        <v>mperrin@crm.otsuka-europe.com</v>
      </c>
      <c r="N7645" s="23">
        <v>46182.73940972222</v>
      </c>
      <c r="O7645" s="14" t="str">
        <f>HYPERLINK("https://otsuka-europe-crm.veevavault.com/ui/#object/email_activity__v/V8C00000003R881", "EN-002093359")</f>
        <v>EN-002093359</v>
      </c>
    </row>
    <row r="7646" spans="1:15" ht="16" x14ac:dyDescent="0.2">
      <c r="A7646" s="18"/>
      <c r="B7646" s="18"/>
      <c r="C7646" s="18"/>
      <c r="D7646" s="18"/>
      <c r="E7646" s="18"/>
      <c r="F7646" s="18"/>
      <c r="G7646" s="18"/>
      <c r="H7646" s="18"/>
      <c r="I7646" s="18"/>
      <c r="J7646" s="18"/>
      <c r="K7646" s="18"/>
      <c r="L7646" s="18"/>
      <c r="M7646" s="18"/>
      <c r="N7646" s="18"/>
      <c r="O7646" s="14" t="str">
        <f>HYPERLINK("https://otsuka-europe-crm.veevavault.com/ui/#object/email_activity__v/V8C00000003S526", "EN-002093956")</f>
        <v>EN-002093956</v>
      </c>
    </row>
    <row r="7647" spans="1:15" ht="16" x14ac:dyDescent="0.2">
      <c r="A7647" s="18"/>
      <c r="B7647" s="18"/>
      <c r="C7647" s="18"/>
      <c r="D7647" s="18"/>
      <c r="E7647" s="18"/>
      <c r="F7647" s="18"/>
      <c r="G7647" s="18"/>
      <c r="H7647" s="18"/>
      <c r="I7647" s="18"/>
      <c r="J7647" s="18"/>
      <c r="K7647" s="18"/>
      <c r="L7647" s="18"/>
      <c r="M7647" s="18"/>
      <c r="N7647" s="18"/>
      <c r="O7647" s="14" t="str">
        <f>HYPERLINK("https://otsuka-europe-crm.veevavault.com/ui/#object/email_activity__v/V8C00000003S527", "EN-002093955")</f>
        <v>EN-002093955</v>
      </c>
    </row>
    <row r="7648" spans="1:15" ht="16" x14ac:dyDescent="0.2">
      <c r="A7648" s="18"/>
      <c r="B7648" s="18"/>
      <c r="C7648" s="18"/>
      <c r="D7648" s="18"/>
      <c r="E7648" s="18"/>
      <c r="F7648" s="18"/>
      <c r="G7648" s="18"/>
      <c r="H7648" s="18"/>
      <c r="I7648" s="18"/>
      <c r="J7648" s="18"/>
      <c r="K7648" s="18"/>
      <c r="L7648" s="18"/>
      <c r="M7648" s="18"/>
      <c r="N7648" s="18"/>
      <c r="O7648" s="14" t="str">
        <f>HYPERLINK("https://otsuka-europe-crm.veevavault.com/ui/#object/email_activity__v/V8C00000003S609", "EN-002094132")</f>
        <v>EN-002094132</v>
      </c>
    </row>
    <row r="7649" spans="1:15" ht="16" x14ac:dyDescent="0.2">
      <c r="A7649" s="18"/>
      <c r="B7649" s="18"/>
      <c r="C7649" s="18"/>
      <c r="D7649" s="18"/>
      <c r="E7649" s="18"/>
      <c r="F7649" s="18"/>
      <c r="G7649" s="18"/>
      <c r="H7649" s="18"/>
      <c r="I7649" s="18"/>
      <c r="J7649" s="18"/>
      <c r="K7649" s="18"/>
      <c r="L7649" s="18"/>
      <c r="M7649" s="18"/>
      <c r="N7649" s="18"/>
      <c r="O7649" s="14" t="str">
        <f>HYPERLINK("https://otsuka-europe-crm.veevavault.com/ui/#object/email_activity__v/V8C00000003S610", "EN-002094133")</f>
        <v>EN-002094133</v>
      </c>
    </row>
    <row r="7650" spans="1:15" ht="16" x14ac:dyDescent="0.2">
      <c r="A7650" s="18"/>
      <c r="B7650" s="18"/>
      <c r="C7650" s="18"/>
      <c r="D7650" s="18"/>
      <c r="E7650" s="18"/>
      <c r="F7650" s="18"/>
      <c r="G7650" s="18"/>
      <c r="H7650" s="18"/>
      <c r="I7650" s="18"/>
      <c r="J7650" s="18"/>
      <c r="K7650" s="18"/>
      <c r="L7650" s="18"/>
      <c r="M7650" s="18"/>
      <c r="N7650" s="18"/>
      <c r="O7650" s="14" t="str">
        <f>HYPERLINK("https://otsuka-europe-crm.veevavault.com/ui/#object/email_activity__v/V8C00000003S831", "EN-002094511")</f>
        <v>EN-002094511</v>
      </c>
    </row>
    <row r="7651" spans="1:15" ht="16" x14ac:dyDescent="0.2">
      <c r="A7651" s="19"/>
      <c r="B7651" s="19"/>
      <c r="C7651" s="19"/>
      <c r="D7651" s="19"/>
      <c r="E7651" s="19"/>
      <c r="F7651" s="19"/>
      <c r="G7651" s="19"/>
      <c r="H7651" s="19"/>
      <c r="I7651" s="19"/>
      <c r="J7651" s="19"/>
      <c r="K7651" s="19"/>
      <c r="L7651" s="19"/>
      <c r="M7651" s="19"/>
      <c r="N7651" s="19"/>
      <c r="O7651" s="14" t="str">
        <f>HYPERLINK("https://otsuka-europe-crm.veevavault.com/ui/#object/email_activity__v/V8C00000003T195", "EN-002093957")</f>
        <v>EN-002093957</v>
      </c>
    </row>
    <row r="7652" spans="1:15" ht="16" x14ac:dyDescent="0.2">
      <c r="A7652" s="17" t="str">
        <f>HYPERLINK("https://otsuka-europe-crm.veevavault.com/ui/#object/account__v/V4TZ06G6O9VJ93M", "SOUMIA FAGHROUR")</f>
        <v>SOUMIA FAGHROUR</v>
      </c>
      <c r="B7652" s="17" t="str">
        <f>HYPERLINK("https://otsuka-europe-crm.veevavault.com/ui/#object/vcountry__v/VENZ000004SONFA", "FR")</f>
        <v>FR</v>
      </c>
      <c r="C7652" s="20" t="s">
        <v>42</v>
      </c>
      <c r="D7652" s="21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652" s="22" t="str">
        <f>HYPERLINK("https://otsuka-europe-crm.veevavault.com/ui/#object/sent_email__v/VBL00000002R477", "SE-001435065")</f>
        <v>SE-001435065</v>
      </c>
      <c r="F7652" s="23">
        <v>46184.591574074075</v>
      </c>
      <c r="G7652" s="24">
        <v>1</v>
      </c>
      <c r="H7652" s="24">
        <v>1</v>
      </c>
      <c r="I7652" s="24">
        <v>0</v>
      </c>
      <c r="J7652" s="25"/>
      <c r="K7652" s="24">
        <v>0</v>
      </c>
      <c r="L7652" s="22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652" s="22" t="str">
        <f>HYPERLINK("mailto:ssaouab@crm.otsuka-europe.com", "ssaouab@crm.otsuka-europe.com")</f>
        <v>ssaouab@crm.otsuka-europe.com</v>
      </c>
      <c r="N7652" s="23">
        <v>46182.739722222221</v>
      </c>
      <c r="O7652" s="14" t="str">
        <f>HYPERLINK("https://otsuka-europe-crm.veevavault.com/ui/#object/email_activity__v/V8C00000003S244", "EN-002093361")</f>
        <v>EN-002093361</v>
      </c>
    </row>
    <row r="7653" spans="1:15" ht="16" x14ac:dyDescent="0.2">
      <c r="A7653" s="19"/>
      <c r="B7653" s="19"/>
      <c r="C7653" s="19"/>
      <c r="D7653" s="19"/>
      <c r="E7653" s="19"/>
      <c r="F7653" s="19"/>
      <c r="G7653" s="19"/>
      <c r="H7653" s="19"/>
      <c r="I7653" s="19"/>
      <c r="J7653" s="19"/>
      <c r="K7653" s="19"/>
      <c r="L7653" s="19"/>
      <c r="M7653" s="19"/>
      <c r="N7653" s="19"/>
      <c r="O7653" s="14" t="str">
        <f>HYPERLINK("https://otsuka-europe-crm.veevavault.com/ui/#object/email_activity__v/V8C00000003S934", "EN-002094717")</f>
        <v>EN-002094717</v>
      </c>
    </row>
    <row r="7654" spans="1:15" ht="48" x14ac:dyDescent="0.2">
      <c r="A7654" s="7" t="str">
        <f>HYPERLINK("https://otsuka-europe-crm.veevavault.com/ui/#object/account__v/V4TZ06G6O9VM8A0", "LENA DASHDORJ")</f>
        <v>LENA DASHDORJ</v>
      </c>
      <c r="B7654" s="7" t="str">
        <f>HYPERLINK("https://otsuka-europe-crm.veevavault.com/ui/#object/vcountry__v/VENZ000004SONFA", "FR")</f>
        <v>FR</v>
      </c>
      <c r="C7654" s="8" t="s">
        <v>42</v>
      </c>
      <c r="D7654" s="9" t="str">
        <f>HYPERLINK("https://otsuka-europe-crm.veevavault.com/ui/#object/approved_document__v/V5OZ025E82HK86R", "Email à fragment trajectoires schizophrénies - FR-CNS-2400018")</f>
        <v>Email à fragment trajectoires schizophrénies - FR-CNS-2400018</v>
      </c>
      <c r="E7654" s="10" t="str">
        <f>HYPERLINK("https://otsuka-europe-crm.veevavault.com/ui/#object/sent_email__v/VBL00000002S560", "SE-001435066")</f>
        <v>SE-001435066</v>
      </c>
      <c r="F7654" s="11"/>
      <c r="G7654" s="12">
        <v>0</v>
      </c>
      <c r="H7654" s="12">
        <v>0</v>
      </c>
      <c r="I7654" s="12">
        <v>0</v>
      </c>
      <c r="J7654" s="11"/>
      <c r="K7654" s="12">
        <v>0</v>
      </c>
      <c r="L7654" s="10" t="str">
        <f>HYPERLINK("https://otsuka-europe-crm.veevavault.com/ui/#object/approved_document__v/V5OZ025E82HK86R", "Email à fragment trajectoires schizophrénies - FR-CNS-2400018")</f>
        <v>Email à fragment trajectoires schizophrénies - FR-CNS-2400018</v>
      </c>
      <c r="M7654" s="10" t="str">
        <f>HYPERLINK("mailto:mperrin@crm.otsuka-europe.com", "mperrin@crm.otsuka-europe.com")</f>
        <v>mperrin@crm.otsuka-europe.com</v>
      </c>
      <c r="N7654" s="13">
        <v>46182.739710648151</v>
      </c>
      <c r="O7654" s="14" t="str">
        <f>HYPERLINK("https://otsuka-europe-crm.veevavault.com/ui/#object/email_activity__v/V8C00000003R882", "EN-002093362")</f>
        <v>EN-002093362</v>
      </c>
    </row>
    <row r="7655" spans="1:15" ht="16" x14ac:dyDescent="0.2">
      <c r="A7655" s="17" t="str">
        <f>HYPERLINK("https://otsuka-europe-crm.veevavault.com/ui/#object/account__v/V4TZ06G6O9VJ93M", "SOUMIA FAGHROUR")</f>
        <v>SOUMIA FAGHROUR</v>
      </c>
      <c r="B7655" s="17" t="str">
        <f>HYPERLINK("https://otsuka-europe-crm.veevavault.com/ui/#object/vcountry__v/VENZ000004SONFA", "FR")</f>
        <v>FR</v>
      </c>
      <c r="C7655" s="20" t="s">
        <v>42</v>
      </c>
      <c r="D7655" s="21" t="str">
        <f>HYPERLINK("https://otsuka-europe-crm.veevavault.com/ui/#object/approved_document__v/V5O00000000P003", "FR-AM2-2500027")</f>
        <v>FR-AM2-2500027</v>
      </c>
      <c r="E7655" s="22" t="str">
        <f>HYPERLINK("https://otsuka-europe-crm.veevavault.com/ui/#object/sent_email__v/VBL00000002S561", "SE-001435067")</f>
        <v>SE-001435067</v>
      </c>
      <c r="F7655" s="23">
        <v>46184.591620370367</v>
      </c>
      <c r="G7655" s="24">
        <v>1</v>
      </c>
      <c r="H7655" s="24">
        <v>1</v>
      </c>
      <c r="I7655" s="24">
        <v>0</v>
      </c>
      <c r="J7655" s="25"/>
      <c r="K7655" s="24">
        <v>0</v>
      </c>
      <c r="L7655" s="22" t="str">
        <f>HYPERLINK("https://otsuka-europe-crm.veevavault.com/ui/#object/approved_document__v/V5O00000000P003", "FR-AM2-2500027")</f>
        <v>FR-AM2-2500027</v>
      </c>
      <c r="M7655" s="22" t="str">
        <f>HYPERLINK("mailto:ssaouab@crm.otsuka-europe.com", "ssaouab@crm.otsuka-europe.com")</f>
        <v>ssaouab@crm.otsuka-europe.com</v>
      </c>
      <c r="N7655" s="23">
        <v>46182.740069444444</v>
      </c>
      <c r="O7655" s="14" t="str">
        <f>HYPERLINK("https://otsuka-europe-crm.veevavault.com/ui/#object/email_activity__v/V8C00000003S246", "EN-002093364")</f>
        <v>EN-002093364</v>
      </c>
    </row>
    <row r="7656" spans="1:15" ht="16" x14ac:dyDescent="0.2">
      <c r="A7656" s="19"/>
      <c r="B7656" s="19"/>
      <c r="C7656" s="19"/>
      <c r="D7656" s="19"/>
      <c r="E7656" s="19"/>
      <c r="F7656" s="19"/>
      <c r="G7656" s="19"/>
      <c r="H7656" s="19"/>
      <c r="I7656" s="19"/>
      <c r="J7656" s="19"/>
      <c r="K7656" s="19"/>
      <c r="L7656" s="19"/>
      <c r="M7656" s="19"/>
      <c r="N7656" s="19"/>
      <c r="O7656" s="14" t="str">
        <f>HYPERLINK("https://otsuka-europe-crm.veevavault.com/ui/#object/email_activity__v/V8C00000003T549", "EN-002094718")</f>
        <v>EN-002094718</v>
      </c>
    </row>
    <row r="7657" spans="1:15" ht="16" x14ac:dyDescent="0.2">
      <c r="A7657" s="17" t="str">
        <f>HYPERLINK("https://otsuka-europe-crm.veevavault.com/ui/#object/account__v/V4TZ00000633KKS", "CLAIRE JAFFRE BERGERON")</f>
        <v>CLAIRE JAFFRE BERGERON</v>
      </c>
      <c r="B7657" s="17" t="str">
        <f>HYPERLINK("https://otsuka-europe-crm.veevavault.com/ui/#object/vcountry__v/VENZ000004SONFA", "FR")</f>
        <v>FR</v>
      </c>
      <c r="C7657" s="20" t="s">
        <v>42</v>
      </c>
      <c r="D7657" s="21" t="str">
        <f>HYPERLINK("https://otsuka-europe-crm.veevavault.com/ui/#object/approved_document__v/V5OZ025E82HK86R", "Email à fragment trajectoires schizophrénies - FR-CNS-2400018")</f>
        <v>Email à fragment trajectoires schizophrénies - FR-CNS-2400018</v>
      </c>
      <c r="E7657" s="22" t="str">
        <f>HYPERLINK("https://otsuka-europe-crm.veevavault.com/ui/#object/sent_email__v/VBL00000002R478", "SE-001435068")</f>
        <v>SE-001435068</v>
      </c>
      <c r="F7657" s="23">
        <v>46182.752025462964</v>
      </c>
      <c r="G7657" s="24">
        <v>1</v>
      </c>
      <c r="H7657" s="24">
        <v>1</v>
      </c>
      <c r="I7657" s="24">
        <v>0</v>
      </c>
      <c r="J7657" s="25"/>
      <c r="K7657" s="24">
        <v>0</v>
      </c>
      <c r="L7657" s="22" t="str">
        <f>HYPERLINK("https://otsuka-europe-crm.veevavault.com/ui/#object/approved_document__v/V5OZ025E82HK86R", "Email à fragment trajectoires schizophrénies - FR-CNS-2400018")</f>
        <v>Email à fragment trajectoires schizophrénies - FR-CNS-2400018</v>
      </c>
      <c r="M7657" s="22" t="str">
        <f>HYPERLINK("mailto:mperrin@crm.otsuka-europe.com", "mperrin@crm.otsuka-europe.com")</f>
        <v>mperrin@crm.otsuka-europe.com</v>
      </c>
      <c r="N7657" s="23">
        <v>46182.740081018521</v>
      </c>
      <c r="O7657" s="14" t="str">
        <f>HYPERLINK("https://otsuka-europe-crm.veevavault.com/ui/#object/email_activity__v/V8C00000003R883", "EN-002093365")</f>
        <v>EN-002093365</v>
      </c>
    </row>
    <row r="7658" spans="1:15" ht="16" x14ac:dyDescent="0.2">
      <c r="A7658" s="19"/>
      <c r="B7658" s="19"/>
      <c r="C7658" s="19"/>
      <c r="D7658" s="19"/>
      <c r="E7658" s="19"/>
      <c r="F7658" s="19"/>
      <c r="G7658" s="19"/>
      <c r="H7658" s="19"/>
      <c r="I7658" s="19"/>
      <c r="J7658" s="19"/>
      <c r="K7658" s="19"/>
      <c r="L7658" s="19"/>
      <c r="M7658" s="19"/>
      <c r="N7658" s="19"/>
      <c r="O7658" s="14" t="str">
        <f>HYPERLINK("https://otsuka-europe-crm.veevavault.com/ui/#object/email_activity__v/V8C00000003S267", "EN-002093413")</f>
        <v>EN-002093413</v>
      </c>
    </row>
    <row r="7659" spans="1:15" ht="16" x14ac:dyDescent="0.2">
      <c r="A7659" s="17" t="str">
        <f>HYPERLINK("https://otsuka-europe-crm.veevavault.com/ui/#object/account__v/V4TZ06G6OCERQKG", "JACOB DHOTE")</f>
        <v>JACOB DHOTE</v>
      </c>
      <c r="B7659" s="17" t="str">
        <f>HYPERLINK("https://otsuka-europe-crm.veevavault.com/ui/#object/vcountry__v/VENZ000004SONFA", "FR")</f>
        <v>FR</v>
      </c>
      <c r="C7659" s="20" t="s">
        <v>42</v>
      </c>
      <c r="D7659" s="21" t="str">
        <f>HYPERLINK("https://otsuka-europe-crm.veevavault.com/ui/#object/approved_document__v/V5OZ025E82HK86R", "Email à fragment trajectoires schizophrénies - FR-CNS-2400018")</f>
        <v>Email à fragment trajectoires schizophrénies - FR-CNS-2400018</v>
      </c>
      <c r="E7659" s="22" t="str">
        <f>HYPERLINK("https://otsuka-europe-crm.veevavault.com/ui/#object/sent_email__v/VBL00000002R479", "SE-001435069")</f>
        <v>SE-001435069</v>
      </c>
      <c r="F7659" s="23">
        <v>46183.375844907408</v>
      </c>
      <c r="G7659" s="24">
        <v>1</v>
      </c>
      <c r="H7659" s="24">
        <v>3</v>
      </c>
      <c r="I7659" s="24">
        <v>0</v>
      </c>
      <c r="J7659" s="25"/>
      <c r="K7659" s="24">
        <v>0</v>
      </c>
      <c r="L7659" s="22" t="str">
        <f>HYPERLINK("https://otsuka-europe-crm.veevavault.com/ui/#object/approved_document__v/V5OZ025E82HK86R", "Email à fragment trajectoires schizophrénies - FR-CNS-2400018")</f>
        <v>Email à fragment trajectoires schizophrénies - FR-CNS-2400018</v>
      </c>
      <c r="M7659" s="22" t="str">
        <f>HYPERLINK("mailto:mperrin@crm.otsuka-europe.com", "mperrin@crm.otsuka-europe.com")</f>
        <v>mperrin@crm.otsuka-europe.com</v>
      </c>
      <c r="N7659" s="23">
        <v>46182.740405092591</v>
      </c>
      <c r="O7659" s="14" t="str">
        <f>HYPERLINK("https://otsuka-europe-crm.veevavault.com/ui/#object/email_activity__v/V8C00000003R884", "EN-002093366")</f>
        <v>EN-002093366</v>
      </c>
    </row>
    <row r="7660" spans="1:15" ht="16" x14ac:dyDescent="0.2">
      <c r="A7660" s="18"/>
      <c r="B7660" s="18"/>
      <c r="C7660" s="18"/>
      <c r="D7660" s="18"/>
      <c r="E7660" s="18"/>
      <c r="F7660" s="18"/>
      <c r="G7660" s="18"/>
      <c r="H7660" s="18"/>
      <c r="I7660" s="18"/>
      <c r="J7660" s="18"/>
      <c r="K7660" s="18"/>
      <c r="L7660" s="18"/>
      <c r="M7660" s="18"/>
      <c r="N7660" s="18"/>
      <c r="O7660" s="14" t="str">
        <f>HYPERLINK("https://otsuka-europe-crm.veevavault.com/ui/#object/email_activity__v/V8C00000003T164", "EN-002093896")</f>
        <v>EN-002093896</v>
      </c>
    </row>
    <row r="7661" spans="1:15" ht="16" x14ac:dyDescent="0.2">
      <c r="A7661" s="18"/>
      <c r="B7661" s="18"/>
      <c r="C7661" s="18"/>
      <c r="D7661" s="18"/>
      <c r="E7661" s="18"/>
      <c r="F7661" s="18"/>
      <c r="G7661" s="18"/>
      <c r="H7661" s="18"/>
      <c r="I7661" s="18"/>
      <c r="J7661" s="18"/>
      <c r="K7661" s="18"/>
      <c r="L7661" s="18"/>
      <c r="M7661" s="18"/>
      <c r="N7661" s="18"/>
      <c r="O7661" s="14" t="str">
        <f>HYPERLINK("https://otsuka-europe-crm.veevavault.com/ui/#object/email_activity__v/V8C00000003T165", "EN-002093897")</f>
        <v>EN-002093897</v>
      </c>
    </row>
    <row r="7662" spans="1:15" ht="16" x14ac:dyDescent="0.2">
      <c r="A7662" s="19"/>
      <c r="B7662" s="19"/>
      <c r="C7662" s="19"/>
      <c r="D7662" s="19"/>
      <c r="E7662" s="19"/>
      <c r="F7662" s="19"/>
      <c r="G7662" s="19"/>
      <c r="H7662" s="19"/>
      <c r="I7662" s="19"/>
      <c r="J7662" s="19"/>
      <c r="K7662" s="19"/>
      <c r="L7662" s="19"/>
      <c r="M7662" s="19"/>
      <c r="N7662" s="19"/>
      <c r="O7662" s="14" t="str">
        <f>HYPERLINK("https://otsuka-europe-crm.veevavault.com/ui/#object/email_activity__v/V8C00000003T180", "EN-002093929")</f>
        <v>EN-002093929</v>
      </c>
    </row>
    <row r="7663" spans="1:15" ht="48" x14ac:dyDescent="0.2">
      <c r="A7663" s="7" t="str">
        <f>HYPERLINK("https://otsuka-europe-crm.veevavault.com/ui/#object/account__v/V4TZ00000633ROF", "PASCAL FAVRE")</f>
        <v>PASCAL FAVRE</v>
      </c>
      <c r="B7663" s="7" t="str">
        <f>HYPERLINK("https://otsuka-europe-crm.veevavault.com/ui/#object/vcountry__v/VENZ000004SONFA", "FR")</f>
        <v>FR</v>
      </c>
      <c r="C7663" s="8" t="s">
        <v>42</v>
      </c>
      <c r="D7663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663" s="10" t="str">
        <f>HYPERLINK("https://otsuka-europe-crm.veevavault.com/ui/#object/sent_email__v/VBL00000002S562", "SE-001435070")</f>
        <v>SE-001435070</v>
      </c>
      <c r="F7663" s="11"/>
      <c r="G7663" s="12">
        <v>0</v>
      </c>
      <c r="H7663" s="12">
        <v>0</v>
      </c>
      <c r="I7663" s="12">
        <v>0</v>
      </c>
      <c r="J7663" s="11"/>
      <c r="K7663" s="12">
        <v>0</v>
      </c>
      <c r="L7663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663" s="10" t="str">
        <f>HYPERLINK("mailto:ssaouab@crm.otsuka-europe.com", "ssaouab@crm.otsuka-europe.com")</f>
        <v>ssaouab@crm.otsuka-europe.com</v>
      </c>
      <c r="N7663" s="13">
        <v>46182.740763888891</v>
      </c>
      <c r="O7663" s="14" t="str">
        <f>HYPERLINK("https://otsuka-europe-crm.veevavault.com/ui/#object/email_activity__v/V8C00000003S247", "EN-002093367")</f>
        <v>EN-002093367</v>
      </c>
    </row>
    <row r="7664" spans="1:15" ht="32" x14ac:dyDescent="0.2">
      <c r="A7664" s="7" t="str">
        <f>HYPERLINK("https://otsuka-europe-crm.veevavault.com/ui/#object/account__v/V4TZ00000633ROF", "PASCAL FAVRE")</f>
        <v>PASCAL FAVRE</v>
      </c>
      <c r="B7664" s="7" t="str">
        <f>HYPERLINK("https://otsuka-europe-crm.veevavault.com/ui/#object/vcountry__v/VENZ000004SONFA", "FR")</f>
        <v>FR</v>
      </c>
      <c r="C7664" s="8" t="s">
        <v>42</v>
      </c>
      <c r="D7664" s="9" t="str">
        <f>HYPERLINK("https://otsuka-europe-crm.veevavault.com/ui/#object/approved_document__v/V5O00000000P003", "FR-AM2-2500027")</f>
        <v>FR-AM2-2500027</v>
      </c>
      <c r="E7664" s="10" t="str">
        <f>HYPERLINK("https://otsuka-europe-crm.veevavault.com/ui/#object/sent_email__v/VBL00000002S563", "SE-001435071")</f>
        <v>SE-001435071</v>
      </c>
      <c r="F7664" s="11"/>
      <c r="G7664" s="12">
        <v>0</v>
      </c>
      <c r="H7664" s="12">
        <v>0</v>
      </c>
      <c r="I7664" s="12">
        <v>0</v>
      </c>
      <c r="J7664" s="11"/>
      <c r="K7664" s="12">
        <v>0</v>
      </c>
      <c r="L7664" s="10" t="str">
        <f>HYPERLINK("https://otsuka-europe-crm.veevavault.com/ui/#object/approved_document__v/V5O00000000P003", "FR-AM2-2500027")</f>
        <v>FR-AM2-2500027</v>
      </c>
      <c r="M7664" s="10" t="str">
        <f>HYPERLINK("mailto:ssaouab@crm.otsuka-europe.com", "ssaouab@crm.otsuka-europe.com")</f>
        <v>ssaouab@crm.otsuka-europe.com</v>
      </c>
      <c r="N7664" s="13">
        <v>46182.740856481483</v>
      </c>
      <c r="O7664" s="14" t="str">
        <f>HYPERLINK("https://otsuka-europe-crm.veevavault.com/ui/#object/email_activity__v/V8C00000003R885", "EN-002093368")</f>
        <v>EN-002093368</v>
      </c>
    </row>
    <row r="7665" spans="1:15" ht="16" x14ac:dyDescent="0.2">
      <c r="A7665" s="17" t="str">
        <f>HYPERLINK("https://otsuka-europe-crm.veevavault.com/ui/#object/account__v/V4TZ00000633W7X", "BEATRICE AUBRIOT")</f>
        <v>BEATRICE AUBRIOT</v>
      </c>
      <c r="B7665" s="17" t="str">
        <f>HYPERLINK("https://otsuka-europe-crm.veevavault.com/ui/#object/vcountry__v/VENZ000004SONFA", "FR")</f>
        <v>FR</v>
      </c>
      <c r="C7665" s="20" t="s">
        <v>42</v>
      </c>
      <c r="D7665" s="21" t="str">
        <f>HYPERLINK("https://otsuka-europe-crm.veevavault.com/ui/#object/approved_document__v/V5OZ025E82HK86R", "Email à fragment trajectoires schizophrénies - FR-CNS-2400018")</f>
        <v>Email à fragment trajectoires schizophrénies - FR-CNS-2400018</v>
      </c>
      <c r="E7665" s="22" t="str">
        <f>HYPERLINK("https://otsuka-europe-crm.veevavault.com/ui/#object/sent_email__v/VBL00000002R480", "SE-001435072")</f>
        <v>SE-001435072</v>
      </c>
      <c r="F7665" s="23">
        <v>46183.45417824074</v>
      </c>
      <c r="G7665" s="24">
        <v>1</v>
      </c>
      <c r="H7665" s="24">
        <v>2</v>
      </c>
      <c r="I7665" s="24">
        <v>0</v>
      </c>
      <c r="J7665" s="25"/>
      <c r="K7665" s="24">
        <v>0</v>
      </c>
      <c r="L7665" s="22" t="str">
        <f>HYPERLINK("https://otsuka-europe-crm.veevavault.com/ui/#object/approved_document__v/V5OZ025E82HK86R", "Email à fragment trajectoires schizophrénies - FR-CNS-2400018")</f>
        <v>Email à fragment trajectoires schizophrénies - FR-CNS-2400018</v>
      </c>
      <c r="M7665" s="22" t="str">
        <f>HYPERLINK("mailto:mperrin@crm.otsuka-europe.com", "mperrin@crm.otsuka-europe.com")</f>
        <v>mperrin@crm.otsuka-europe.com</v>
      </c>
      <c r="N7665" s="23">
        <v>46182.741307870368</v>
      </c>
      <c r="O7665" s="14" t="str">
        <f>HYPERLINK("https://otsuka-europe-crm.veevavault.com/ui/#object/email_activity__v/V8C00000003R886", "EN-002093369")</f>
        <v>EN-002093369</v>
      </c>
    </row>
    <row r="7666" spans="1:15" ht="16" x14ac:dyDescent="0.2">
      <c r="A7666" s="18"/>
      <c r="B7666" s="18"/>
      <c r="C7666" s="18"/>
      <c r="D7666" s="18"/>
      <c r="E7666" s="18"/>
      <c r="F7666" s="18"/>
      <c r="G7666" s="18"/>
      <c r="H7666" s="18"/>
      <c r="I7666" s="18"/>
      <c r="J7666" s="18"/>
      <c r="K7666" s="18"/>
      <c r="L7666" s="18"/>
      <c r="M7666" s="18"/>
      <c r="N7666" s="18"/>
      <c r="O7666" s="14" t="str">
        <f>HYPERLINK("https://otsuka-europe-crm.veevavault.com/ui/#object/email_activity__v/V8C00000003S630", "EN-002094166")</f>
        <v>EN-002094166</v>
      </c>
    </row>
    <row r="7667" spans="1:15" ht="16" x14ac:dyDescent="0.2">
      <c r="A7667" s="19"/>
      <c r="B7667" s="19"/>
      <c r="C7667" s="19"/>
      <c r="D7667" s="19"/>
      <c r="E7667" s="19"/>
      <c r="F7667" s="19"/>
      <c r="G7667" s="19"/>
      <c r="H7667" s="19"/>
      <c r="I7667" s="19"/>
      <c r="J7667" s="19"/>
      <c r="K7667" s="19"/>
      <c r="L7667" s="19"/>
      <c r="M7667" s="19"/>
      <c r="N7667" s="19"/>
      <c r="O7667" s="14" t="str">
        <f>HYPERLINK("https://otsuka-europe-crm.veevavault.com/ui/#object/email_activity__v/V8C00000003S631", "EN-002094167")</f>
        <v>EN-002094167</v>
      </c>
    </row>
    <row r="7668" spans="1:15" ht="16" x14ac:dyDescent="0.2">
      <c r="A7668" s="17" t="str">
        <f>HYPERLINK("https://otsuka-europe-crm.veevavault.com/ui/#object/account__v/V4TZ00000633QWO", "MOHAMED FEKAIR")</f>
        <v>MOHAMED FEKAIR</v>
      </c>
      <c r="B7668" s="17" t="str">
        <f>HYPERLINK("https://otsuka-europe-crm.veevavault.com/ui/#object/vcountry__v/VENZ000004SONFA", "FR")</f>
        <v>FR</v>
      </c>
      <c r="C7668" s="20" t="s">
        <v>42</v>
      </c>
      <c r="D7668" s="21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668" s="22" t="str">
        <f>HYPERLINK("https://otsuka-europe-crm.veevavault.com/ui/#object/sent_email__v/VBL00000002R481", "SE-001435073")</f>
        <v>SE-001435073</v>
      </c>
      <c r="F7668" s="23">
        <v>46183.226203703707</v>
      </c>
      <c r="G7668" s="24">
        <v>1</v>
      </c>
      <c r="H7668" s="24">
        <v>2</v>
      </c>
      <c r="I7668" s="24">
        <v>0</v>
      </c>
      <c r="J7668" s="25"/>
      <c r="K7668" s="24">
        <v>0</v>
      </c>
      <c r="L7668" s="22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668" s="22" t="str">
        <f>HYPERLINK("mailto:ssaouab@crm.otsuka-europe.com", "ssaouab@crm.otsuka-europe.com")</f>
        <v>ssaouab@crm.otsuka-europe.com</v>
      </c>
      <c r="N7668" s="23">
        <v>46182.741354166668</v>
      </c>
      <c r="O7668" s="14" t="str">
        <f>HYPERLINK("https://otsuka-europe-crm.veevavault.com/ui/#object/email_activity__v/V8C00000003S248", "EN-002093370")</f>
        <v>EN-002093370</v>
      </c>
    </row>
    <row r="7669" spans="1:15" ht="16" x14ac:dyDescent="0.2">
      <c r="A7669" s="18"/>
      <c r="B7669" s="18"/>
      <c r="C7669" s="18"/>
      <c r="D7669" s="18"/>
      <c r="E7669" s="18"/>
      <c r="F7669" s="18"/>
      <c r="G7669" s="18"/>
      <c r="H7669" s="18"/>
      <c r="I7669" s="18"/>
      <c r="J7669" s="18"/>
      <c r="K7669" s="18"/>
      <c r="L7669" s="18"/>
      <c r="M7669" s="18"/>
      <c r="N7669" s="18"/>
      <c r="O7669" s="14" t="str">
        <f>HYPERLINK("https://otsuka-europe-crm.veevavault.com/ui/#object/email_activity__v/V8C00000003S450", "EN-002093816")</f>
        <v>EN-002093816</v>
      </c>
    </row>
    <row r="7670" spans="1:15" ht="16" x14ac:dyDescent="0.2">
      <c r="A7670" s="19"/>
      <c r="B7670" s="19"/>
      <c r="C7670" s="19"/>
      <c r="D7670" s="19"/>
      <c r="E7670" s="19"/>
      <c r="F7670" s="19"/>
      <c r="G7670" s="19"/>
      <c r="H7670" s="19"/>
      <c r="I7670" s="19"/>
      <c r="J7670" s="19"/>
      <c r="K7670" s="19"/>
      <c r="L7670" s="19"/>
      <c r="M7670" s="19"/>
      <c r="N7670" s="19"/>
      <c r="O7670" s="14" t="str">
        <f>HYPERLINK("https://otsuka-europe-crm.veevavault.com/ui/#object/email_activity__v/V8C00000003T131", "EN-002093815")</f>
        <v>EN-002093815</v>
      </c>
    </row>
    <row r="7671" spans="1:15" ht="16" x14ac:dyDescent="0.2">
      <c r="A7671" s="17" t="str">
        <f>HYPERLINK("https://otsuka-europe-crm.veevavault.com/ui/#object/account__v/V4TZ00000633QWO", "MOHAMED FEKAIR")</f>
        <v>MOHAMED FEKAIR</v>
      </c>
      <c r="B7671" s="17" t="str">
        <f>HYPERLINK("https://otsuka-europe-crm.veevavault.com/ui/#object/vcountry__v/VENZ000004SONFA", "FR")</f>
        <v>FR</v>
      </c>
      <c r="C7671" s="20" t="s">
        <v>42</v>
      </c>
      <c r="D7671" s="21" t="str">
        <f>HYPERLINK("https://otsuka-europe-crm.veevavault.com/ui/#object/approved_document__v/V5O00000000P003", "FR-AM2-2500027")</f>
        <v>FR-AM2-2500027</v>
      </c>
      <c r="E7671" s="22" t="str">
        <f>HYPERLINK("https://otsuka-europe-crm.veevavault.com/ui/#object/sent_email__v/VBL00000002R482", "SE-001435074")</f>
        <v>SE-001435074</v>
      </c>
      <c r="F7671" s="23">
        <v>46183.225995370369</v>
      </c>
      <c r="G7671" s="24">
        <v>1</v>
      </c>
      <c r="H7671" s="24">
        <v>2</v>
      </c>
      <c r="I7671" s="24">
        <v>0</v>
      </c>
      <c r="J7671" s="25"/>
      <c r="K7671" s="24">
        <v>0</v>
      </c>
      <c r="L7671" s="22" t="str">
        <f>HYPERLINK("https://otsuka-europe-crm.veevavault.com/ui/#object/approved_document__v/V5O00000000P003", "FR-AM2-2500027")</f>
        <v>FR-AM2-2500027</v>
      </c>
      <c r="M7671" s="22" t="str">
        <f>HYPERLINK("mailto:ssaouab@crm.otsuka-europe.com", "ssaouab@crm.otsuka-europe.com")</f>
        <v>ssaouab@crm.otsuka-europe.com</v>
      </c>
      <c r="N7671" s="23">
        <v>46182.741620370369</v>
      </c>
      <c r="O7671" s="14" t="str">
        <f>HYPERLINK("https://otsuka-europe-crm.veevavault.com/ui/#object/email_activity__v/V8C00000003S249", "EN-002093372")</f>
        <v>EN-002093372</v>
      </c>
    </row>
    <row r="7672" spans="1:15" ht="16" x14ac:dyDescent="0.2">
      <c r="A7672" s="18"/>
      <c r="B7672" s="18"/>
      <c r="C7672" s="18"/>
      <c r="D7672" s="18"/>
      <c r="E7672" s="18"/>
      <c r="F7672" s="18"/>
      <c r="G7672" s="18"/>
      <c r="H7672" s="18"/>
      <c r="I7672" s="18"/>
      <c r="J7672" s="18"/>
      <c r="K7672" s="18"/>
      <c r="L7672" s="18"/>
      <c r="M7672" s="18"/>
      <c r="N7672" s="18"/>
      <c r="O7672" s="14" t="str">
        <f>HYPERLINK("https://otsuka-europe-crm.veevavault.com/ui/#object/email_activity__v/V8C00000003S449", "EN-002093813")</f>
        <v>EN-002093813</v>
      </c>
    </row>
    <row r="7673" spans="1:15" ht="16" x14ac:dyDescent="0.2">
      <c r="A7673" s="19"/>
      <c r="B7673" s="19"/>
      <c r="C7673" s="19"/>
      <c r="D7673" s="19"/>
      <c r="E7673" s="19"/>
      <c r="F7673" s="19"/>
      <c r="G7673" s="19"/>
      <c r="H7673" s="19"/>
      <c r="I7673" s="19"/>
      <c r="J7673" s="19"/>
      <c r="K7673" s="19"/>
      <c r="L7673" s="19"/>
      <c r="M7673" s="19"/>
      <c r="N7673" s="19"/>
      <c r="O7673" s="14" t="str">
        <f>HYPERLINK("https://otsuka-europe-crm.veevavault.com/ui/#object/email_activity__v/V8C00000003T130", "EN-002093814")</f>
        <v>EN-002093814</v>
      </c>
    </row>
    <row r="7674" spans="1:15" ht="48" x14ac:dyDescent="0.2">
      <c r="A7674" s="7" t="str">
        <f>HYPERLINK("https://otsuka-europe-crm.veevavault.com/ui/#object/account__v/V4TZ00000633R8P", "IMEN FRADI KAMOUN")</f>
        <v>IMEN FRADI KAMOUN</v>
      </c>
      <c r="B7674" s="7" t="str">
        <f t="shared" ref="B7674:B7680" si="638">HYPERLINK("https://otsuka-europe-crm.veevavault.com/ui/#object/vcountry__v/VENZ000004SONFA", "FR")</f>
        <v>FR</v>
      </c>
      <c r="C7674" s="8" t="s">
        <v>42</v>
      </c>
      <c r="D7674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674" s="10" t="str">
        <f>HYPERLINK("https://otsuka-europe-crm.veevavault.com/ui/#object/sent_email__v/VBL00000002R483", "SE-001435075")</f>
        <v>SE-001435075</v>
      </c>
      <c r="F7674" s="11"/>
      <c r="G7674" s="12">
        <v>0</v>
      </c>
      <c r="H7674" s="12">
        <v>0</v>
      </c>
      <c r="I7674" s="12">
        <v>0</v>
      </c>
      <c r="J7674" s="11"/>
      <c r="K7674" s="12">
        <v>0</v>
      </c>
      <c r="L7674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674" s="10" t="str">
        <f t="shared" ref="M7674:M7680" si="639">HYPERLINK("mailto:ssaouab@crm.otsuka-europe.com", "ssaouab@crm.otsuka-europe.com")</f>
        <v>ssaouab@crm.otsuka-europe.com</v>
      </c>
      <c r="N7674" s="13">
        <v>46182.7425</v>
      </c>
      <c r="O7674" s="14" t="str">
        <f>HYPERLINK("https://otsuka-europe-crm.veevavault.com/ui/#object/email_activity__v/V8C00000003S250", "EN-002093373")</f>
        <v>EN-002093373</v>
      </c>
    </row>
    <row r="7675" spans="1:15" ht="32" x14ac:dyDescent="0.2">
      <c r="A7675" s="7" t="str">
        <f>HYPERLINK("https://otsuka-europe-crm.veevavault.com/ui/#object/account__v/V4TZ00000633R8P", "IMEN FRADI KAMOUN")</f>
        <v>IMEN FRADI KAMOUN</v>
      </c>
      <c r="B7675" s="7" t="str">
        <f t="shared" si="638"/>
        <v>FR</v>
      </c>
      <c r="C7675" s="8" t="s">
        <v>42</v>
      </c>
      <c r="D7675" s="9" t="str">
        <f>HYPERLINK("https://otsuka-europe-crm.veevavault.com/ui/#object/approved_document__v/V5O00000000P003", "FR-AM2-2500027")</f>
        <v>FR-AM2-2500027</v>
      </c>
      <c r="E7675" s="10" t="str">
        <f>HYPERLINK("https://otsuka-europe-crm.veevavault.com/ui/#object/sent_email__v/VBL00000002R484", "SE-001435076")</f>
        <v>SE-001435076</v>
      </c>
      <c r="F7675" s="11"/>
      <c r="G7675" s="12">
        <v>0</v>
      </c>
      <c r="H7675" s="12">
        <v>0</v>
      </c>
      <c r="I7675" s="12">
        <v>0</v>
      </c>
      <c r="J7675" s="11"/>
      <c r="K7675" s="12">
        <v>0</v>
      </c>
      <c r="L7675" s="10" t="str">
        <f>HYPERLINK("https://otsuka-europe-crm.veevavault.com/ui/#object/approved_document__v/V5O00000000P003", "FR-AM2-2500027")</f>
        <v>FR-AM2-2500027</v>
      </c>
      <c r="M7675" s="10" t="str">
        <f t="shared" si="639"/>
        <v>ssaouab@crm.otsuka-europe.com</v>
      </c>
      <c r="N7675" s="13">
        <v>46182.742534722223</v>
      </c>
      <c r="O7675" s="14" t="str">
        <f>HYPERLINK("https://otsuka-europe-crm.veevavault.com/ui/#object/email_activity__v/V8C00000003S251", "EN-002093374")</f>
        <v>EN-002093374</v>
      </c>
    </row>
    <row r="7676" spans="1:15" ht="32" x14ac:dyDescent="0.2">
      <c r="A7676" s="7" t="str">
        <f>HYPERLINK("https://otsuka-europe-crm.veevavault.com/ui/#object/account__v/V4TZ04ASGG79FXV", "TAHAR GADOUCHE")</f>
        <v>TAHAR GADOUCHE</v>
      </c>
      <c r="B7676" s="7" t="str">
        <f t="shared" si="638"/>
        <v>FR</v>
      </c>
      <c r="C7676" s="8" t="s">
        <v>42</v>
      </c>
      <c r="D7676" s="9" t="str">
        <f>HYPERLINK("https://otsuka-europe-crm.veevavault.com/ui/#object/approved_document__v/V5O00000000P003", "FR-AM2-2500027")</f>
        <v>FR-AM2-2500027</v>
      </c>
      <c r="E7676" s="10" t="str">
        <f>HYPERLINK("https://otsuka-europe-crm.veevavault.com/ui/#object/sent_email__v/VBL00000002S564", "SE-001435077")</f>
        <v>SE-001435077</v>
      </c>
      <c r="F7676" s="11"/>
      <c r="G7676" s="12">
        <v>0</v>
      </c>
      <c r="H7676" s="12">
        <v>0</v>
      </c>
      <c r="I7676" s="12">
        <v>0</v>
      </c>
      <c r="J7676" s="11"/>
      <c r="K7676" s="12">
        <v>0</v>
      </c>
      <c r="L7676" s="10" t="str">
        <f>HYPERLINK("https://otsuka-europe-crm.veevavault.com/ui/#object/approved_document__v/V5O00000000P003", "FR-AM2-2500027")</f>
        <v>FR-AM2-2500027</v>
      </c>
      <c r="M7676" s="10" t="str">
        <f t="shared" si="639"/>
        <v>ssaouab@crm.otsuka-europe.com</v>
      </c>
      <c r="N7676" s="13">
        <v>46182.74428240741</v>
      </c>
      <c r="O7676" s="14" t="str">
        <f>HYPERLINK("https://otsuka-europe-crm.veevavault.com/ui/#object/email_activity__v/V8C00000003S252", "EN-002093376")</f>
        <v>EN-002093376</v>
      </c>
    </row>
    <row r="7677" spans="1:15" ht="48" x14ac:dyDescent="0.2">
      <c r="A7677" s="7" t="str">
        <f>HYPERLINK("https://otsuka-europe-crm.veevavault.com/ui/#object/account__v/V4TZ04ASGG79FXV", "TAHAR GADOUCHE")</f>
        <v>TAHAR GADOUCHE</v>
      </c>
      <c r="B7677" s="7" t="str">
        <f t="shared" si="638"/>
        <v>FR</v>
      </c>
      <c r="C7677" s="8" t="s">
        <v>42</v>
      </c>
      <c r="D7677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677" s="10" t="str">
        <f>HYPERLINK("https://otsuka-europe-crm.veevavault.com/ui/#object/sent_email__v/VBL00000002R485", "SE-001435078")</f>
        <v>SE-001435078</v>
      </c>
      <c r="F7677" s="11"/>
      <c r="G7677" s="12">
        <v>0</v>
      </c>
      <c r="H7677" s="12">
        <v>0</v>
      </c>
      <c r="I7677" s="12">
        <v>0</v>
      </c>
      <c r="J7677" s="11"/>
      <c r="K7677" s="12">
        <v>0</v>
      </c>
      <c r="L7677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677" s="10" t="str">
        <f t="shared" si="639"/>
        <v>ssaouab@crm.otsuka-europe.com</v>
      </c>
      <c r="N7677" s="13">
        <v>46182.744398148148</v>
      </c>
      <c r="O7677" s="14" t="str">
        <f>HYPERLINK("https://otsuka-europe-crm.veevavault.com/ui/#object/email_activity__v/V8C00000003S253", "EN-002093378")</f>
        <v>EN-002093378</v>
      </c>
    </row>
    <row r="7678" spans="1:15" ht="48" x14ac:dyDescent="0.2">
      <c r="A7678" s="7" t="str">
        <f>HYPERLINK("https://otsuka-europe-crm.veevavault.com/ui/#object/account__v/V4TZ025E8427FLT", "ZAKARIA GAID")</f>
        <v>ZAKARIA GAID</v>
      </c>
      <c r="B7678" s="7" t="str">
        <f t="shared" si="638"/>
        <v>FR</v>
      </c>
      <c r="C7678" s="8" t="s">
        <v>42</v>
      </c>
      <c r="D7678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678" s="10" t="str">
        <f>HYPERLINK("https://otsuka-europe-crm.veevavault.com/ui/#object/sent_email__v/VBL00000002R486", "SE-001435079")</f>
        <v>SE-001435079</v>
      </c>
      <c r="F7678" s="11"/>
      <c r="G7678" s="12">
        <v>0</v>
      </c>
      <c r="H7678" s="12">
        <v>0</v>
      </c>
      <c r="I7678" s="12">
        <v>0</v>
      </c>
      <c r="J7678" s="11"/>
      <c r="K7678" s="12">
        <v>0</v>
      </c>
      <c r="L7678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678" s="10" t="str">
        <f t="shared" si="639"/>
        <v>ssaouab@crm.otsuka-europe.com</v>
      </c>
      <c r="N7678" s="13">
        <v>46182.744756944441</v>
      </c>
      <c r="O7678" s="14" t="str">
        <f>HYPERLINK("https://otsuka-europe-crm.veevavault.com/ui/#object/email_activity__v/V8C00000003S254", "EN-002093379")</f>
        <v>EN-002093379</v>
      </c>
    </row>
    <row r="7679" spans="1:15" ht="32" x14ac:dyDescent="0.2">
      <c r="A7679" s="7" t="str">
        <f>HYPERLINK("https://otsuka-europe-crm.veevavault.com/ui/#object/account__v/V4TZ025E8427FLT", "ZAKARIA GAID")</f>
        <v>ZAKARIA GAID</v>
      </c>
      <c r="B7679" s="7" t="str">
        <f t="shared" si="638"/>
        <v>FR</v>
      </c>
      <c r="C7679" s="8" t="s">
        <v>42</v>
      </c>
      <c r="D7679" s="9" t="str">
        <f>HYPERLINK("https://otsuka-europe-crm.veevavault.com/ui/#object/approved_document__v/V5O00000000P003", "FR-AM2-2500027")</f>
        <v>FR-AM2-2500027</v>
      </c>
      <c r="E7679" s="10" t="str">
        <f>HYPERLINK("https://otsuka-europe-crm.veevavault.com/ui/#object/sent_email__v/VBL00000002R487", "SE-001435080")</f>
        <v>SE-001435080</v>
      </c>
      <c r="F7679" s="11"/>
      <c r="G7679" s="12">
        <v>0</v>
      </c>
      <c r="H7679" s="12">
        <v>0</v>
      </c>
      <c r="I7679" s="12">
        <v>0</v>
      </c>
      <c r="J7679" s="11"/>
      <c r="K7679" s="12">
        <v>0</v>
      </c>
      <c r="L7679" s="10" t="str">
        <f>HYPERLINK("https://otsuka-europe-crm.veevavault.com/ui/#object/approved_document__v/V5O00000000P003", "FR-AM2-2500027")</f>
        <v>FR-AM2-2500027</v>
      </c>
      <c r="M7679" s="10" t="str">
        <f t="shared" si="639"/>
        <v>ssaouab@crm.otsuka-europe.com</v>
      </c>
      <c r="N7679" s="13">
        <v>46182.744976851849</v>
      </c>
      <c r="O7679" s="14" t="str">
        <f>HYPERLINK("https://otsuka-europe-crm.veevavault.com/ui/#object/email_activity__v/V8C00000003R890", "EN-002093380")</f>
        <v>EN-002093380</v>
      </c>
    </row>
    <row r="7680" spans="1:15" ht="16" x14ac:dyDescent="0.2">
      <c r="A7680" s="17" t="str">
        <f>HYPERLINK("https://otsuka-europe-crm.veevavault.com/ui/#object/account__v/V4TZ00000633HC3", "SOUAD GANNI REMILA")</f>
        <v>SOUAD GANNI REMILA</v>
      </c>
      <c r="B7680" s="17" t="str">
        <f t="shared" si="638"/>
        <v>FR</v>
      </c>
      <c r="C7680" s="20" t="s">
        <v>42</v>
      </c>
      <c r="D7680" s="21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680" s="22" t="str">
        <f>HYPERLINK("https://otsuka-europe-crm.veevavault.com/ui/#object/sent_email__v/VBL00000002R488", "SE-001435081")</f>
        <v>SE-001435081</v>
      </c>
      <c r="F7680" s="23">
        <v>46182.756238425929</v>
      </c>
      <c r="G7680" s="24">
        <v>1</v>
      </c>
      <c r="H7680" s="24">
        <v>1</v>
      </c>
      <c r="I7680" s="24">
        <v>0</v>
      </c>
      <c r="J7680" s="25"/>
      <c r="K7680" s="24">
        <v>0</v>
      </c>
      <c r="L7680" s="22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680" s="22" t="str">
        <f t="shared" si="639"/>
        <v>ssaouab@crm.otsuka-europe.com</v>
      </c>
      <c r="N7680" s="23">
        <v>46182.745289351849</v>
      </c>
      <c r="O7680" s="14" t="str">
        <f>HYPERLINK("https://otsuka-europe-crm.veevavault.com/ui/#object/email_activity__v/V8C00000003R891", "EN-002093382")</f>
        <v>EN-002093382</v>
      </c>
    </row>
    <row r="7681" spans="1:15" ht="16" x14ac:dyDescent="0.2">
      <c r="A7681" s="19"/>
      <c r="B7681" s="19"/>
      <c r="C7681" s="19"/>
      <c r="D7681" s="19"/>
      <c r="E7681" s="19"/>
      <c r="F7681" s="19"/>
      <c r="G7681" s="19"/>
      <c r="H7681" s="19"/>
      <c r="I7681" s="19"/>
      <c r="J7681" s="19"/>
      <c r="K7681" s="19"/>
      <c r="L7681" s="19"/>
      <c r="M7681" s="19"/>
      <c r="N7681" s="19"/>
      <c r="O7681" s="14" t="str">
        <f>HYPERLINK("https://otsuka-europe-crm.veevavault.com/ui/#object/email_activity__v/V8C00000003S278", "EN-002093424")</f>
        <v>EN-002093424</v>
      </c>
    </row>
    <row r="7682" spans="1:15" ht="16" x14ac:dyDescent="0.2">
      <c r="A7682" s="17" t="str">
        <f>HYPERLINK("https://otsuka-europe-crm.veevavault.com/ui/#object/account__v/V4TZ00000633HC3", "SOUAD GANNI REMILA")</f>
        <v>SOUAD GANNI REMILA</v>
      </c>
      <c r="B7682" s="17" t="str">
        <f>HYPERLINK("https://otsuka-europe-crm.veevavault.com/ui/#object/vcountry__v/VENZ000004SONFA", "FR")</f>
        <v>FR</v>
      </c>
      <c r="C7682" s="20" t="s">
        <v>42</v>
      </c>
      <c r="D7682" s="21" t="str">
        <f>HYPERLINK("https://otsuka-europe-crm.veevavault.com/ui/#object/approved_document__v/V5O00000000P003", "FR-AM2-2500027")</f>
        <v>FR-AM2-2500027</v>
      </c>
      <c r="E7682" s="22" t="str">
        <f>HYPERLINK("https://otsuka-europe-crm.veevavault.com/ui/#object/sent_email__v/VBL00000002R489", "SE-001435082")</f>
        <v>SE-001435082</v>
      </c>
      <c r="F7682" s="23">
        <v>46183.735162037039</v>
      </c>
      <c r="G7682" s="24">
        <v>1</v>
      </c>
      <c r="H7682" s="24">
        <v>3</v>
      </c>
      <c r="I7682" s="24">
        <v>0</v>
      </c>
      <c r="J7682" s="25"/>
      <c r="K7682" s="24">
        <v>0</v>
      </c>
      <c r="L7682" s="22" t="str">
        <f>HYPERLINK("https://otsuka-europe-crm.veevavault.com/ui/#object/approved_document__v/V5O00000000P003", "FR-AM2-2500027")</f>
        <v>FR-AM2-2500027</v>
      </c>
      <c r="M7682" s="22" t="str">
        <f>HYPERLINK("mailto:ssaouab@crm.otsuka-europe.com", "ssaouab@crm.otsuka-europe.com")</f>
        <v>ssaouab@crm.otsuka-europe.com</v>
      </c>
      <c r="N7682" s="23">
        <v>46182.745300925926</v>
      </c>
      <c r="O7682" s="14" t="str">
        <f>HYPERLINK("https://otsuka-europe-crm.veevavault.com/ui/#object/email_activity__v/V8C00000003S255", "EN-002093381")</f>
        <v>EN-002093381</v>
      </c>
    </row>
    <row r="7683" spans="1:15" ht="16" x14ac:dyDescent="0.2">
      <c r="A7683" s="18"/>
      <c r="B7683" s="18"/>
      <c r="C7683" s="18"/>
      <c r="D7683" s="18"/>
      <c r="E7683" s="18"/>
      <c r="F7683" s="18"/>
      <c r="G7683" s="18"/>
      <c r="H7683" s="18"/>
      <c r="I7683" s="18"/>
      <c r="J7683" s="18"/>
      <c r="K7683" s="18"/>
      <c r="L7683" s="18"/>
      <c r="M7683" s="18"/>
      <c r="N7683" s="18"/>
      <c r="O7683" s="14" t="str">
        <f>HYPERLINK("https://otsuka-europe-crm.veevavault.com/ui/#object/email_activity__v/V8C00000003S277", "EN-002093423")</f>
        <v>EN-002093423</v>
      </c>
    </row>
    <row r="7684" spans="1:15" ht="16" x14ac:dyDescent="0.2">
      <c r="A7684" s="18"/>
      <c r="B7684" s="18"/>
      <c r="C7684" s="18"/>
      <c r="D7684" s="18"/>
      <c r="E7684" s="18"/>
      <c r="F7684" s="18"/>
      <c r="G7684" s="18"/>
      <c r="H7684" s="18"/>
      <c r="I7684" s="18"/>
      <c r="J7684" s="18"/>
      <c r="K7684" s="18"/>
      <c r="L7684" s="18"/>
      <c r="M7684" s="18"/>
      <c r="N7684" s="18"/>
      <c r="O7684" s="14" t="str">
        <f>HYPERLINK("https://otsuka-europe-crm.veevavault.com/ui/#object/email_activity__v/V8C00000003S515", "EN-002093930")</f>
        <v>EN-002093930</v>
      </c>
    </row>
    <row r="7685" spans="1:15" ht="16" x14ac:dyDescent="0.2">
      <c r="A7685" s="19"/>
      <c r="B7685" s="19"/>
      <c r="C7685" s="19"/>
      <c r="D7685" s="19"/>
      <c r="E7685" s="19"/>
      <c r="F7685" s="19"/>
      <c r="G7685" s="19"/>
      <c r="H7685" s="19"/>
      <c r="I7685" s="19"/>
      <c r="J7685" s="19"/>
      <c r="K7685" s="19"/>
      <c r="L7685" s="19"/>
      <c r="M7685" s="19"/>
      <c r="N7685" s="19"/>
      <c r="O7685" s="14" t="str">
        <f>HYPERLINK("https://otsuka-europe-crm.veevavault.com/ui/#object/email_activity__v/V8C00000003S746", "EN-002094360")</f>
        <v>EN-002094360</v>
      </c>
    </row>
    <row r="7686" spans="1:15" ht="16" x14ac:dyDescent="0.2">
      <c r="A7686" s="17" t="str">
        <f>HYPERLINK("https://otsuka-europe-crm.veevavault.com/ui/#object/account__v/V4TZ00000633MEU", "CANDICE GERMAIN")</f>
        <v>CANDICE GERMAIN</v>
      </c>
      <c r="B7686" s="17" t="str">
        <f>HYPERLINK("https://otsuka-europe-crm.veevavault.com/ui/#object/vcountry__v/VENZ000004SONFA", "FR")</f>
        <v>FR</v>
      </c>
      <c r="C7686" s="20" t="s">
        <v>42</v>
      </c>
      <c r="D7686" s="21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686" s="22" t="str">
        <f>HYPERLINK("https://otsuka-europe-crm.veevavault.com/ui/#object/sent_email__v/VBL00000002S565", "SE-001435083")</f>
        <v>SE-001435083</v>
      </c>
      <c r="F7686" s="23">
        <v>46183.359236111108</v>
      </c>
      <c r="G7686" s="24">
        <v>1</v>
      </c>
      <c r="H7686" s="24">
        <v>2</v>
      </c>
      <c r="I7686" s="24">
        <v>0</v>
      </c>
      <c r="J7686" s="25"/>
      <c r="K7686" s="24">
        <v>0</v>
      </c>
      <c r="L7686" s="22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686" s="22" t="str">
        <f>HYPERLINK("mailto:ssaouab@crm.otsuka-europe.com", "ssaouab@crm.otsuka-europe.com")</f>
        <v>ssaouab@crm.otsuka-europe.com</v>
      </c>
      <c r="N7686" s="23">
        <v>46182.745798611111</v>
      </c>
      <c r="O7686" s="14" t="str">
        <f>HYPERLINK("https://otsuka-europe-crm.veevavault.com/ui/#object/email_activity__v/V8C00000003R892", "EN-002093384")</f>
        <v>EN-002093384</v>
      </c>
    </row>
    <row r="7687" spans="1:15" ht="16" x14ac:dyDescent="0.2">
      <c r="A7687" s="18"/>
      <c r="B7687" s="18"/>
      <c r="C7687" s="18"/>
      <c r="D7687" s="18"/>
      <c r="E7687" s="18"/>
      <c r="F7687" s="18"/>
      <c r="G7687" s="18"/>
      <c r="H7687" s="18"/>
      <c r="I7687" s="18"/>
      <c r="J7687" s="18"/>
      <c r="K7687" s="18"/>
      <c r="L7687" s="18"/>
      <c r="M7687" s="18"/>
      <c r="N7687" s="18"/>
      <c r="O7687" s="14" t="str">
        <f>HYPERLINK("https://otsuka-europe-crm.veevavault.com/ui/#object/email_activity__v/V8C00000003S489", "EN-002093882")</f>
        <v>EN-002093882</v>
      </c>
    </row>
    <row r="7688" spans="1:15" ht="16" x14ac:dyDescent="0.2">
      <c r="A7688" s="19"/>
      <c r="B7688" s="19"/>
      <c r="C7688" s="19"/>
      <c r="D7688" s="19"/>
      <c r="E7688" s="19"/>
      <c r="F7688" s="19"/>
      <c r="G7688" s="19"/>
      <c r="H7688" s="19"/>
      <c r="I7688" s="19"/>
      <c r="J7688" s="19"/>
      <c r="K7688" s="19"/>
      <c r="L7688" s="19"/>
      <c r="M7688" s="19"/>
      <c r="N7688" s="19"/>
      <c r="O7688" s="14" t="str">
        <f>HYPERLINK("https://otsuka-europe-crm.veevavault.com/ui/#object/email_activity__v/V8C00000003S494", "EN-002093888")</f>
        <v>EN-002093888</v>
      </c>
    </row>
    <row r="7689" spans="1:15" ht="16" x14ac:dyDescent="0.2">
      <c r="A7689" s="17" t="str">
        <f>HYPERLINK("https://otsuka-europe-crm.veevavault.com/ui/#object/account__v/V4TZ00000633MEU", "CANDICE GERMAIN")</f>
        <v>CANDICE GERMAIN</v>
      </c>
      <c r="B7689" s="17" t="str">
        <f>HYPERLINK("https://otsuka-europe-crm.veevavault.com/ui/#object/vcountry__v/VENZ000004SONFA", "FR")</f>
        <v>FR</v>
      </c>
      <c r="C7689" s="20" t="s">
        <v>42</v>
      </c>
      <c r="D7689" s="21" t="str">
        <f>HYPERLINK("https://otsuka-europe-crm.veevavault.com/ui/#object/approved_document__v/V5O00000000P003", "FR-AM2-2500027")</f>
        <v>FR-AM2-2500027</v>
      </c>
      <c r="E7689" s="22" t="str">
        <f>HYPERLINK("https://otsuka-europe-crm.veevavault.com/ui/#object/sent_email__v/VBL00000002R490", "SE-001435084")</f>
        <v>SE-001435084</v>
      </c>
      <c r="F7689" s="23">
        <v>46183.498819444445</v>
      </c>
      <c r="G7689" s="24">
        <v>1</v>
      </c>
      <c r="H7689" s="24">
        <v>3</v>
      </c>
      <c r="I7689" s="24">
        <v>0</v>
      </c>
      <c r="J7689" s="25"/>
      <c r="K7689" s="24">
        <v>0</v>
      </c>
      <c r="L7689" s="22" t="str">
        <f>HYPERLINK("https://otsuka-europe-crm.veevavault.com/ui/#object/approved_document__v/V5O00000000P003", "FR-AM2-2500027")</f>
        <v>FR-AM2-2500027</v>
      </c>
      <c r="M7689" s="22" t="str">
        <f>HYPERLINK("mailto:ssaouab@crm.otsuka-europe.com", "ssaouab@crm.otsuka-europe.com")</f>
        <v>ssaouab@crm.otsuka-europe.com</v>
      </c>
      <c r="N7689" s="23">
        <v>46182.745972222219</v>
      </c>
      <c r="O7689" s="14" t="str">
        <f>HYPERLINK("https://otsuka-europe-crm.veevavault.com/ui/#object/email_activity__v/V8C00000003S257", "EN-002093385")</f>
        <v>EN-002093385</v>
      </c>
    </row>
    <row r="7690" spans="1:15" ht="16" x14ac:dyDescent="0.2">
      <c r="A7690" s="18"/>
      <c r="B7690" s="18"/>
      <c r="C7690" s="18"/>
      <c r="D7690" s="18"/>
      <c r="E7690" s="18"/>
      <c r="F7690" s="18"/>
      <c r="G7690" s="18"/>
      <c r="H7690" s="18"/>
      <c r="I7690" s="18"/>
      <c r="J7690" s="18"/>
      <c r="K7690" s="18"/>
      <c r="L7690" s="18"/>
      <c r="M7690" s="18"/>
      <c r="N7690" s="18"/>
      <c r="O7690" s="14" t="str">
        <f>HYPERLINK("https://otsuka-europe-crm.veevavault.com/ui/#object/email_activity__v/V8C00000003S488", "EN-002093881")</f>
        <v>EN-002093881</v>
      </c>
    </row>
    <row r="7691" spans="1:15" ht="16" x14ac:dyDescent="0.2">
      <c r="A7691" s="18"/>
      <c r="B7691" s="18"/>
      <c r="C7691" s="18"/>
      <c r="D7691" s="18"/>
      <c r="E7691" s="18"/>
      <c r="F7691" s="18"/>
      <c r="G7691" s="18"/>
      <c r="H7691" s="18"/>
      <c r="I7691" s="18"/>
      <c r="J7691" s="18"/>
      <c r="K7691" s="18"/>
      <c r="L7691" s="18"/>
      <c r="M7691" s="18"/>
      <c r="N7691" s="18"/>
      <c r="O7691" s="14" t="str">
        <f>HYPERLINK("https://otsuka-europe-crm.veevavault.com/ui/#object/email_activity__v/V8C00000003S654", "EN-002094203")</f>
        <v>EN-002094203</v>
      </c>
    </row>
    <row r="7692" spans="1:15" ht="16" x14ac:dyDescent="0.2">
      <c r="A7692" s="19"/>
      <c r="B7692" s="19"/>
      <c r="C7692" s="19"/>
      <c r="D7692" s="19"/>
      <c r="E7692" s="19"/>
      <c r="F7692" s="19"/>
      <c r="G7692" s="19"/>
      <c r="H7692" s="19"/>
      <c r="I7692" s="19"/>
      <c r="J7692" s="19"/>
      <c r="K7692" s="19"/>
      <c r="L7692" s="19"/>
      <c r="M7692" s="19"/>
      <c r="N7692" s="19"/>
      <c r="O7692" s="14" t="str">
        <f>HYPERLINK("https://otsuka-europe-crm.veevavault.com/ui/#object/email_activity__v/V8C00000003T160", "EN-002093889")</f>
        <v>EN-002093889</v>
      </c>
    </row>
    <row r="7693" spans="1:15" ht="48" x14ac:dyDescent="0.2">
      <c r="A7693" s="7" t="str">
        <f>HYPERLINK("https://otsuka-europe-crm.veevavault.com/ui/#object/account__v/V4TZ00000633RR3", "LUNU OLEG GHEORGHIES")</f>
        <v>LUNU OLEG GHEORGHIES</v>
      </c>
      <c r="B7693" s="7" t="str">
        <f>HYPERLINK("https://otsuka-europe-crm.veevavault.com/ui/#object/vcountry__v/VENZ000004SONFA", "FR")</f>
        <v>FR</v>
      </c>
      <c r="C7693" s="8" t="s">
        <v>42</v>
      </c>
      <c r="D7693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693" s="10" t="str">
        <f>HYPERLINK("https://otsuka-europe-crm.veevavault.com/ui/#object/sent_email__v/VBL00000002R491", "SE-001435085")</f>
        <v>SE-001435085</v>
      </c>
      <c r="F7693" s="11"/>
      <c r="G7693" s="12">
        <v>0</v>
      </c>
      <c r="H7693" s="12">
        <v>0</v>
      </c>
      <c r="I7693" s="12">
        <v>0</v>
      </c>
      <c r="J7693" s="11"/>
      <c r="K7693" s="12">
        <v>0</v>
      </c>
      <c r="L7693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693" s="10" t="str">
        <f>HYPERLINK("mailto:ssaouab@crm.otsuka-europe.com", "ssaouab@crm.otsuka-europe.com")</f>
        <v>ssaouab@crm.otsuka-europe.com</v>
      </c>
      <c r="N7693" s="13">
        <v>46182.746678240743</v>
      </c>
      <c r="O7693" s="14" t="str">
        <f>HYPERLINK("https://otsuka-europe-crm.veevavault.com/ui/#object/email_activity__v/V8C00000003R893", "EN-002093387")</f>
        <v>EN-002093387</v>
      </c>
    </row>
    <row r="7694" spans="1:15" ht="32" x14ac:dyDescent="0.2">
      <c r="A7694" s="7" t="str">
        <f>HYPERLINK("https://otsuka-europe-crm.veevavault.com/ui/#object/account__v/V4TZ00000633RR3", "LUNU OLEG GHEORGHIES")</f>
        <v>LUNU OLEG GHEORGHIES</v>
      </c>
      <c r="B7694" s="7" t="str">
        <f>HYPERLINK("https://otsuka-europe-crm.veevavault.com/ui/#object/vcountry__v/VENZ000004SONFA", "FR")</f>
        <v>FR</v>
      </c>
      <c r="C7694" s="8" t="s">
        <v>42</v>
      </c>
      <c r="D7694" s="9" t="str">
        <f>HYPERLINK("https://otsuka-europe-crm.veevavault.com/ui/#object/approved_document__v/V5O00000000P003", "FR-AM2-2500027")</f>
        <v>FR-AM2-2500027</v>
      </c>
      <c r="E7694" s="10" t="str">
        <f>HYPERLINK("https://otsuka-europe-crm.veevavault.com/ui/#object/sent_email__v/VBL00000002R492", "SE-001435086")</f>
        <v>SE-001435086</v>
      </c>
      <c r="F7694" s="11"/>
      <c r="G7694" s="12">
        <v>0</v>
      </c>
      <c r="H7694" s="12">
        <v>0</v>
      </c>
      <c r="I7694" s="12">
        <v>0</v>
      </c>
      <c r="J7694" s="11"/>
      <c r="K7694" s="12">
        <v>0</v>
      </c>
      <c r="L7694" s="10" t="str">
        <f>HYPERLINK("https://otsuka-europe-crm.veevavault.com/ui/#object/approved_document__v/V5O00000000P003", "FR-AM2-2500027")</f>
        <v>FR-AM2-2500027</v>
      </c>
      <c r="M7694" s="10" t="str">
        <f>HYPERLINK("mailto:ssaouab@crm.otsuka-europe.com", "ssaouab@crm.otsuka-europe.com")</f>
        <v>ssaouab@crm.otsuka-europe.com</v>
      </c>
      <c r="N7694" s="13">
        <v>46182.746782407405</v>
      </c>
      <c r="O7694" s="14" t="str">
        <f>HYPERLINK("https://otsuka-europe-crm.veevavault.com/ui/#object/email_activity__v/V8C00000003S259", "EN-002093388")</f>
        <v>EN-002093388</v>
      </c>
    </row>
    <row r="7695" spans="1:15" ht="16" x14ac:dyDescent="0.2">
      <c r="A7695" s="17" t="str">
        <f>HYPERLINK("https://otsuka-europe-crm.veevavault.com/ui/#object/account__v/V4TZ00000633L46", "HAMZA GUERIBI")</f>
        <v>HAMZA GUERIBI</v>
      </c>
      <c r="B7695" s="17" t="str">
        <f>HYPERLINK("https://otsuka-europe-crm.veevavault.com/ui/#object/vcountry__v/VENZ000004SONFA", "FR")</f>
        <v>FR</v>
      </c>
      <c r="C7695" s="20" t="s">
        <v>42</v>
      </c>
      <c r="D7695" s="21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695" s="22" t="str">
        <f>HYPERLINK("https://otsuka-europe-crm.veevavault.com/ui/#object/sent_email__v/VBL00000002S566", "SE-001435087")</f>
        <v>SE-001435087</v>
      </c>
      <c r="F7695" s="25"/>
      <c r="G7695" s="24">
        <v>0</v>
      </c>
      <c r="H7695" s="24">
        <v>0</v>
      </c>
      <c r="I7695" s="24">
        <v>0</v>
      </c>
      <c r="J7695" s="25"/>
      <c r="K7695" s="24">
        <v>0</v>
      </c>
      <c r="L7695" s="22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695" s="22" t="str">
        <f>HYPERLINK("mailto:ssaouab@crm.otsuka-europe.com", "ssaouab@crm.otsuka-europe.com")</f>
        <v>ssaouab@crm.otsuka-europe.com</v>
      </c>
      <c r="N7695" s="23">
        <v>46182.747893518521</v>
      </c>
      <c r="O7695" s="14" t="str">
        <f>HYPERLINK("https://otsuka-europe-crm.veevavault.com/ui/#object/email_activity__v/V8C00000003R895", "EN-002093390")</f>
        <v>EN-002093390</v>
      </c>
    </row>
    <row r="7696" spans="1:15" ht="16" x14ac:dyDescent="0.2">
      <c r="A7696" s="19"/>
      <c r="B7696" s="19"/>
      <c r="C7696" s="19"/>
      <c r="D7696" s="19"/>
      <c r="E7696" s="19"/>
      <c r="F7696" s="19"/>
      <c r="G7696" s="19"/>
      <c r="H7696" s="19"/>
      <c r="I7696" s="19"/>
      <c r="J7696" s="19"/>
      <c r="K7696" s="19"/>
      <c r="L7696" s="19"/>
      <c r="M7696" s="19"/>
      <c r="N7696" s="19"/>
      <c r="O7696" s="14" t="str">
        <f>HYPERLINK("https://otsuka-europe-crm.veevavault.com/ui/#object/email_activity__v/V8C00000003R996", "EN-002093564")</f>
        <v>EN-002093564</v>
      </c>
    </row>
    <row r="7697" spans="1:15" ht="32" x14ac:dyDescent="0.2">
      <c r="A7697" s="7" t="str">
        <f>HYPERLINK("https://otsuka-europe-crm.veevavault.com/ui/#object/account__v/V4TZ00000633L46", "HAMZA GUERIBI")</f>
        <v>HAMZA GUERIBI</v>
      </c>
      <c r="B7697" s="7" t="str">
        <f>HYPERLINK("https://otsuka-europe-crm.veevavault.com/ui/#object/vcountry__v/VENZ000004SONFA", "FR")</f>
        <v>FR</v>
      </c>
      <c r="C7697" s="8" t="s">
        <v>42</v>
      </c>
      <c r="D7697" s="9" t="str">
        <f>HYPERLINK("https://otsuka-europe-crm.veevavault.com/ui/#object/approved_document__v/V5O00000000P003", "FR-AM2-2500027")</f>
        <v>FR-AM2-2500027</v>
      </c>
      <c r="E7697" s="10" t="str">
        <f>HYPERLINK("https://otsuka-europe-crm.veevavault.com/ui/#object/sent_email__v/VBL00000002S567", "SE-001435088")</f>
        <v>SE-001435088</v>
      </c>
      <c r="F7697" s="11"/>
      <c r="G7697" s="12">
        <v>0</v>
      </c>
      <c r="H7697" s="12">
        <v>0</v>
      </c>
      <c r="I7697" s="12">
        <v>0</v>
      </c>
      <c r="J7697" s="11"/>
      <c r="K7697" s="12">
        <v>0</v>
      </c>
      <c r="L7697" s="10" t="str">
        <f>HYPERLINK("https://otsuka-europe-crm.veevavault.com/ui/#object/approved_document__v/V5O00000000P003", "FR-AM2-2500027")</f>
        <v>FR-AM2-2500027</v>
      </c>
      <c r="M7697" s="10" t="str">
        <f>HYPERLINK("mailto:ssaouab@crm.otsuka-europe.com", "ssaouab@crm.otsuka-europe.com")</f>
        <v>ssaouab@crm.otsuka-europe.com</v>
      </c>
      <c r="N7697" s="13">
        <v>46182.748101851852</v>
      </c>
      <c r="O7697" s="14" t="str">
        <f>HYPERLINK("https://otsuka-europe-crm.veevavault.com/ui/#object/email_activity__v/V8C00000003R897", "EN-002093392")</f>
        <v>EN-002093392</v>
      </c>
    </row>
    <row r="7698" spans="1:15" ht="48" x14ac:dyDescent="0.2">
      <c r="A7698" s="7" t="str">
        <f>HYPERLINK("https://otsuka-europe-crm.veevavault.com/ui/#object/account__v/V4TZ04ASGBJRDEI", "FATEN HABI")</f>
        <v>FATEN HABI</v>
      </c>
      <c r="B7698" s="7" t="str">
        <f>HYPERLINK("https://otsuka-europe-crm.veevavault.com/ui/#object/vcountry__v/VENZ000004SONFA", "FR")</f>
        <v>FR</v>
      </c>
      <c r="C7698" s="8" t="s">
        <v>42</v>
      </c>
      <c r="D7698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698" s="10" t="str">
        <f>HYPERLINK("https://otsuka-europe-crm.veevavault.com/ui/#object/sent_email__v/VBL00000002S568", "SE-001435089")</f>
        <v>SE-001435089</v>
      </c>
      <c r="F7698" s="11"/>
      <c r="G7698" s="12">
        <v>0</v>
      </c>
      <c r="H7698" s="12">
        <v>0</v>
      </c>
      <c r="I7698" s="12">
        <v>0</v>
      </c>
      <c r="J7698" s="11"/>
      <c r="K7698" s="12">
        <v>0</v>
      </c>
      <c r="L7698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698" s="10" t="str">
        <f>HYPERLINK("mailto:ssaouab@crm.otsuka-europe.com", "ssaouab@crm.otsuka-europe.com")</f>
        <v>ssaouab@crm.otsuka-europe.com</v>
      </c>
      <c r="N7698" s="13">
        <v>46182.748460648145</v>
      </c>
      <c r="O7698" s="14" t="str">
        <f>HYPERLINK("https://otsuka-europe-crm.veevavault.com/ui/#object/email_activity__v/V8C00000003R898", "EN-002093393")</f>
        <v>EN-002093393</v>
      </c>
    </row>
    <row r="7699" spans="1:15" ht="32" x14ac:dyDescent="0.2">
      <c r="A7699" s="7" t="str">
        <f>HYPERLINK("https://otsuka-europe-crm.veevavault.com/ui/#object/account__v/V4TZ04ASGBJRDEI", "FATEN HABI")</f>
        <v>FATEN HABI</v>
      </c>
      <c r="B7699" s="7" t="str">
        <f>HYPERLINK("https://otsuka-europe-crm.veevavault.com/ui/#object/vcountry__v/VENZ000004SONFA", "FR")</f>
        <v>FR</v>
      </c>
      <c r="C7699" s="8" t="s">
        <v>42</v>
      </c>
      <c r="D7699" s="9" t="str">
        <f>HYPERLINK("https://otsuka-europe-crm.veevavault.com/ui/#object/approved_document__v/V5O00000000P003", "FR-AM2-2500027")</f>
        <v>FR-AM2-2500027</v>
      </c>
      <c r="E7699" s="10" t="str">
        <f>HYPERLINK("https://otsuka-europe-crm.veevavault.com/ui/#object/sent_email__v/VBL00000002S569", "SE-001435090")</f>
        <v>SE-001435090</v>
      </c>
      <c r="F7699" s="11"/>
      <c r="G7699" s="12">
        <v>0</v>
      </c>
      <c r="H7699" s="12">
        <v>0</v>
      </c>
      <c r="I7699" s="12">
        <v>0</v>
      </c>
      <c r="J7699" s="11"/>
      <c r="K7699" s="12">
        <v>0</v>
      </c>
      <c r="L7699" s="10" t="str">
        <f>HYPERLINK("https://otsuka-europe-crm.veevavault.com/ui/#object/approved_document__v/V5O00000000P003", "FR-AM2-2500027")</f>
        <v>FR-AM2-2500027</v>
      </c>
      <c r="M7699" s="10" t="str">
        <f>HYPERLINK("mailto:ssaouab@crm.otsuka-europe.com", "ssaouab@crm.otsuka-europe.com")</f>
        <v>ssaouab@crm.otsuka-europe.com</v>
      </c>
      <c r="N7699" s="13">
        <v>46182.748576388891</v>
      </c>
      <c r="O7699" s="14" t="str">
        <f>HYPERLINK("https://otsuka-europe-crm.veevavault.com/ui/#object/email_activity__v/V8C00000003R899", "EN-002093394")</f>
        <v>EN-002093394</v>
      </c>
    </row>
    <row r="7700" spans="1:15" ht="16" x14ac:dyDescent="0.2">
      <c r="A7700" s="17" t="str">
        <f>HYPERLINK("https://otsuka-europe-crm.veevavault.com/ui/#object/account__v/V4TZ06G6OCEQ0J5", "MOHAMED HADDAD")</f>
        <v>MOHAMED HADDAD</v>
      </c>
      <c r="B7700" s="17" t="str">
        <f>HYPERLINK("https://otsuka-europe-crm.veevavault.com/ui/#object/vcountry__v/VENZ000004SONFA", "FR")</f>
        <v>FR</v>
      </c>
      <c r="C7700" s="20" t="s">
        <v>42</v>
      </c>
      <c r="D7700" s="21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700" s="22" t="str">
        <f>HYPERLINK("https://otsuka-europe-crm.veevavault.com/ui/#object/sent_email__v/VBL00000002R493", "SE-001435091")</f>
        <v>SE-001435091</v>
      </c>
      <c r="F7700" s="23">
        <v>46182.749097222222</v>
      </c>
      <c r="G7700" s="24">
        <v>1</v>
      </c>
      <c r="H7700" s="24">
        <v>2</v>
      </c>
      <c r="I7700" s="24">
        <v>0</v>
      </c>
      <c r="J7700" s="25"/>
      <c r="K7700" s="24">
        <v>0</v>
      </c>
      <c r="L7700" s="22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700" s="22" t="str">
        <f>HYPERLINK("mailto:ssaouab@crm.otsuka-europe.com", "ssaouab@crm.otsuka-europe.com")</f>
        <v>ssaouab@crm.otsuka-europe.com</v>
      </c>
      <c r="N7700" s="23">
        <v>46182.748923611114</v>
      </c>
      <c r="O7700" s="14" t="str">
        <f>HYPERLINK("https://otsuka-europe-crm.veevavault.com/ui/#object/email_activity__v/V8C00000003R901", "EN-002093396")</f>
        <v>EN-002093396</v>
      </c>
    </row>
    <row r="7701" spans="1:15" ht="16" x14ac:dyDescent="0.2">
      <c r="A7701" s="18"/>
      <c r="B7701" s="18"/>
      <c r="C7701" s="18"/>
      <c r="D7701" s="18"/>
      <c r="E7701" s="18"/>
      <c r="F7701" s="18"/>
      <c r="G7701" s="18"/>
      <c r="H7701" s="18"/>
      <c r="I7701" s="18"/>
      <c r="J7701" s="18"/>
      <c r="K7701" s="18"/>
      <c r="L7701" s="18"/>
      <c r="M7701" s="18"/>
      <c r="N7701" s="18"/>
      <c r="O7701" s="14" t="str">
        <f>HYPERLINK("https://otsuka-europe-crm.veevavault.com/ui/#object/email_activity__v/V8C00000003R902", "EN-002093397")</f>
        <v>EN-002093397</v>
      </c>
    </row>
    <row r="7702" spans="1:15" ht="16" x14ac:dyDescent="0.2">
      <c r="A7702" s="19"/>
      <c r="B7702" s="19"/>
      <c r="C7702" s="19"/>
      <c r="D7702" s="19"/>
      <c r="E7702" s="19"/>
      <c r="F7702" s="19"/>
      <c r="G7702" s="19"/>
      <c r="H7702" s="19"/>
      <c r="I7702" s="19"/>
      <c r="J7702" s="19"/>
      <c r="K7702" s="19"/>
      <c r="L7702" s="19"/>
      <c r="M7702" s="19"/>
      <c r="N7702" s="19"/>
      <c r="O7702" s="14" t="str">
        <f>HYPERLINK("https://otsuka-europe-crm.veevavault.com/ui/#object/email_activity__v/V8C00000003S260", "EN-002093398")</f>
        <v>EN-002093398</v>
      </c>
    </row>
    <row r="7703" spans="1:15" ht="16" x14ac:dyDescent="0.2">
      <c r="A7703" s="17" t="str">
        <f>HYPERLINK("https://otsuka-europe-crm.veevavault.com/ui/#object/account__v/V4TZ06G6OCEQ0J5", "MOHAMED HADDAD")</f>
        <v>MOHAMED HADDAD</v>
      </c>
      <c r="B7703" s="17" t="str">
        <f>HYPERLINK("https://otsuka-europe-crm.veevavault.com/ui/#object/vcountry__v/VENZ000004SONFA", "FR")</f>
        <v>FR</v>
      </c>
      <c r="C7703" s="20" t="s">
        <v>42</v>
      </c>
      <c r="D7703" s="21" t="str">
        <f>HYPERLINK("https://otsuka-europe-crm.veevavault.com/ui/#object/approved_document__v/V5O00000000P003", "FR-AM2-2500027")</f>
        <v>FR-AM2-2500027</v>
      </c>
      <c r="E7703" s="22" t="str">
        <f>HYPERLINK("https://otsuka-europe-crm.veevavault.com/ui/#object/sent_email__v/VBL00000002S570", "SE-001435092")</f>
        <v>SE-001435092</v>
      </c>
      <c r="F7703" s="23">
        <v>46182.749328703707</v>
      </c>
      <c r="G7703" s="24">
        <v>1</v>
      </c>
      <c r="H7703" s="24">
        <v>2</v>
      </c>
      <c r="I7703" s="24">
        <v>0</v>
      </c>
      <c r="J7703" s="25"/>
      <c r="K7703" s="24">
        <v>0</v>
      </c>
      <c r="L7703" s="22" t="str">
        <f>HYPERLINK("https://otsuka-europe-crm.veevavault.com/ui/#object/approved_document__v/V5O00000000P003", "FR-AM2-2500027")</f>
        <v>FR-AM2-2500027</v>
      </c>
      <c r="M7703" s="22" t="str">
        <f>HYPERLINK("mailto:ssaouab@crm.otsuka-europe.com", "ssaouab@crm.otsuka-europe.com")</f>
        <v>ssaouab@crm.otsuka-europe.com</v>
      </c>
      <c r="N7703" s="23">
        <v>46182.749050925922</v>
      </c>
      <c r="O7703" s="14" t="str">
        <f>HYPERLINK("https://otsuka-europe-crm.veevavault.com/ui/#object/email_activity__v/V8C00000003R900", "EN-002093395")</f>
        <v>EN-002093395</v>
      </c>
    </row>
    <row r="7704" spans="1:15" ht="16" x14ac:dyDescent="0.2">
      <c r="A7704" s="18"/>
      <c r="B7704" s="18"/>
      <c r="C7704" s="18"/>
      <c r="D7704" s="18"/>
      <c r="E7704" s="18"/>
      <c r="F7704" s="18"/>
      <c r="G7704" s="18"/>
      <c r="H7704" s="18"/>
      <c r="I7704" s="18"/>
      <c r="J7704" s="18"/>
      <c r="K7704" s="18"/>
      <c r="L7704" s="18"/>
      <c r="M7704" s="18"/>
      <c r="N7704" s="18"/>
      <c r="O7704" s="14" t="str">
        <f>HYPERLINK("https://otsuka-europe-crm.veevavault.com/ui/#object/email_activity__v/V8C00000003R903", "EN-002093399")</f>
        <v>EN-002093399</v>
      </c>
    </row>
    <row r="7705" spans="1:15" ht="16" x14ac:dyDescent="0.2">
      <c r="A7705" s="19"/>
      <c r="B7705" s="19"/>
      <c r="C7705" s="19"/>
      <c r="D7705" s="19"/>
      <c r="E7705" s="19"/>
      <c r="F7705" s="19"/>
      <c r="G7705" s="19"/>
      <c r="H7705" s="19"/>
      <c r="I7705" s="19"/>
      <c r="J7705" s="19"/>
      <c r="K7705" s="19"/>
      <c r="L7705" s="19"/>
      <c r="M7705" s="19"/>
      <c r="N7705" s="19"/>
      <c r="O7705" s="14" t="str">
        <f>HYPERLINK("https://otsuka-europe-crm.veevavault.com/ui/#object/email_activity__v/V8C00000003R904", "EN-002093400")</f>
        <v>EN-002093400</v>
      </c>
    </row>
    <row r="7706" spans="1:15" ht="16" x14ac:dyDescent="0.2">
      <c r="A7706" s="17" t="str">
        <f>HYPERLINK("https://otsuka-europe-crm.veevavault.com/ui/#object/account__v/V4TZ00000633HD5", "LOUNES HADJ AHMED")</f>
        <v>LOUNES HADJ AHMED</v>
      </c>
      <c r="B7706" s="17" t="str">
        <f>HYPERLINK("https://otsuka-europe-crm.veevavault.com/ui/#object/vcountry__v/VENZ000004SONFA", "FR")</f>
        <v>FR</v>
      </c>
      <c r="C7706" s="20" t="s">
        <v>42</v>
      </c>
      <c r="D7706" s="21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706" s="22" t="str">
        <f>HYPERLINK("https://otsuka-europe-crm.veevavault.com/ui/#object/sent_email__v/VBL00000002S571", "SE-001435093")</f>
        <v>SE-001435093</v>
      </c>
      <c r="F7706" s="23">
        <v>46183.358541666668</v>
      </c>
      <c r="G7706" s="24">
        <v>1</v>
      </c>
      <c r="H7706" s="24">
        <v>1</v>
      </c>
      <c r="I7706" s="24">
        <v>0</v>
      </c>
      <c r="J7706" s="25"/>
      <c r="K7706" s="24">
        <v>0</v>
      </c>
      <c r="L7706" s="22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706" s="22" t="str">
        <f>HYPERLINK("mailto:ssaouab@crm.otsuka-europe.com", "ssaouab@crm.otsuka-europe.com")</f>
        <v>ssaouab@crm.otsuka-europe.com</v>
      </c>
      <c r="N7706" s="23">
        <v>46182.749328703707</v>
      </c>
      <c r="O7706" s="14" t="str">
        <f>HYPERLINK("https://otsuka-europe-crm.veevavault.com/ui/#object/email_activity__v/V8C00000003R905", "EN-002093401")</f>
        <v>EN-002093401</v>
      </c>
    </row>
    <row r="7707" spans="1:15" ht="16" x14ac:dyDescent="0.2">
      <c r="A7707" s="19"/>
      <c r="B7707" s="19"/>
      <c r="C7707" s="19"/>
      <c r="D7707" s="19"/>
      <c r="E7707" s="19"/>
      <c r="F7707" s="19"/>
      <c r="G7707" s="19"/>
      <c r="H7707" s="19"/>
      <c r="I7707" s="19"/>
      <c r="J7707" s="19"/>
      <c r="K7707" s="19"/>
      <c r="L7707" s="19"/>
      <c r="M7707" s="19"/>
      <c r="N7707" s="19"/>
      <c r="O7707" s="14" t="str">
        <f>HYPERLINK("https://otsuka-europe-crm.veevavault.com/ui/#object/email_activity__v/V8C00000003T159", "EN-002093887")</f>
        <v>EN-002093887</v>
      </c>
    </row>
    <row r="7708" spans="1:15" ht="16" x14ac:dyDescent="0.2">
      <c r="A7708" s="17" t="str">
        <f>HYPERLINK("https://otsuka-europe-crm.veevavault.com/ui/#object/account__v/V4TZ00000633HD5", "LOUNES HADJ AHMED")</f>
        <v>LOUNES HADJ AHMED</v>
      </c>
      <c r="B7708" s="17" t="str">
        <f>HYPERLINK("https://otsuka-europe-crm.veevavault.com/ui/#object/vcountry__v/VENZ000004SONFA", "FR")</f>
        <v>FR</v>
      </c>
      <c r="C7708" s="20" t="s">
        <v>42</v>
      </c>
      <c r="D7708" s="21" t="str">
        <f>HYPERLINK("https://otsuka-europe-crm.veevavault.com/ui/#object/approved_document__v/V5O00000000P003", "FR-AM2-2500027")</f>
        <v>FR-AM2-2500027</v>
      </c>
      <c r="E7708" s="22" t="str">
        <f>HYPERLINK("https://otsuka-europe-crm.veevavault.com/ui/#object/sent_email__v/VBL00000002S572", "SE-001435094")</f>
        <v>SE-001435094</v>
      </c>
      <c r="F7708" s="23">
        <v>46183.358252314814</v>
      </c>
      <c r="G7708" s="24">
        <v>1</v>
      </c>
      <c r="H7708" s="24">
        <v>1</v>
      </c>
      <c r="I7708" s="24">
        <v>0</v>
      </c>
      <c r="J7708" s="25"/>
      <c r="K7708" s="24">
        <v>0</v>
      </c>
      <c r="L7708" s="22" t="str">
        <f>HYPERLINK("https://otsuka-europe-crm.veevavault.com/ui/#object/approved_document__v/V5O00000000P003", "FR-AM2-2500027")</f>
        <v>FR-AM2-2500027</v>
      </c>
      <c r="M7708" s="22" t="str">
        <f>HYPERLINK("mailto:ssaouab@crm.otsuka-europe.com", "ssaouab@crm.otsuka-europe.com")</f>
        <v>ssaouab@crm.otsuka-europe.com</v>
      </c>
      <c r="N7708" s="23">
        <v>46182.749421296299</v>
      </c>
      <c r="O7708" s="14" t="str">
        <f>HYPERLINK("https://otsuka-europe-crm.veevavault.com/ui/#object/email_activity__v/V8C00000003S261", "EN-002093402")</f>
        <v>EN-002093402</v>
      </c>
    </row>
    <row r="7709" spans="1:15" ht="16" x14ac:dyDescent="0.2">
      <c r="A7709" s="19"/>
      <c r="B7709" s="19"/>
      <c r="C7709" s="19"/>
      <c r="D7709" s="19"/>
      <c r="E7709" s="19"/>
      <c r="F7709" s="19"/>
      <c r="G7709" s="19"/>
      <c r="H7709" s="19"/>
      <c r="I7709" s="19"/>
      <c r="J7709" s="19"/>
      <c r="K7709" s="19"/>
      <c r="L7709" s="19"/>
      <c r="M7709" s="19"/>
      <c r="N7709" s="19"/>
      <c r="O7709" s="14" t="str">
        <f>HYPERLINK("https://otsuka-europe-crm.veevavault.com/ui/#object/email_activity__v/V8C00000003S493", "EN-002093886")</f>
        <v>EN-002093886</v>
      </c>
    </row>
    <row r="7710" spans="1:15" ht="16" x14ac:dyDescent="0.2">
      <c r="A7710" s="17" t="str">
        <f>HYPERLINK("https://otsuka-europe-crm.veevavault.com/ui/#object/account__v/V4TZ00000633HCN", "MOHAMAD HAIDAR")</f>
        <v>MOHAMAD HAIDAR</v>
      </c>
      <c r="B7710" s="17" t="str">
        <f>HYPERLINK("https://otsuka-europe-crm.veevavault.com/ui/#object/vcountry__v/VENZ000004SONFA", "FR")</f>
        <v>FR</v>
      </c>
      <c r="C7710" s="20" t="s">
        <v>42</v>
      </c>
      <c r="D7710" s="21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710" s="22" t="str">
        <f>HYPERLINK("https://otsuka-europe-crm.veevavault.com/ui/#object/sent_email__v/VBL00000002R494", "SE-001435095")</f>
        <v>SE-001435095</v>
      </c>
      <c r="F7710" s="23">
        <v>46183.711817129632</v>
      </c>
      <c r="G7710" s="24">
        <v>1</v>
      </c>
      <c r="H7710" s="24">
        <v>1</v>
      </c>
      <c r="I7710" s="24">
        <v>0</v>
      </c>
      <c r="J7710" s="25"/>
      <c r="K7710" s="24">
        <v>0</v>
      </c>
      <c r="L7710" s="22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710" s="22" t="str">
        <f>HYPERLINK("mailto:ssaouab@crm.otsuka-europe.com", "ssaouab@crm.otsuka-europe.com")</f>
        <v>ssaouab@crm.otsuka-europe.com</v>
      </c>
      <c r="N7710" s="23">
        <v>46182.749675925923</v>
      </c>
      <c r="O7710" s="14" t="str">
        <f>HYPERLINK("https://otsuka-europe-crm.veevavault.com/ui/#object/email_activity__v/V8C00000003S263", "EN-002093404")</f>
        <v>EN-002093404</v>
      </c>
    </row>
    <row r="7711" spans="1:15" ht="16" x14ac:dyDescent="0.2">
      <c r="A7711" s="19"/>
      <c r="B7711" s="19"/>
      <c r="C7711" s="19"/>
      <c r="D7711" s="19"/>
      <c r="E7711" s="19"/>
      <c r="F7711" s="19"/>
      <c r="G7711" s="19"/>
      <c r="H7711" s="19"/>
      <c r="I7711" s="19"/>
      <c r="J7711" s="19"/>
      <c r="K7711" s="19"/>
      <c r="L7711" s="19"/>
      <c r="M7711" s="19"/>
      <c r="N7711" s="19"/>
      <c r="O7711" s="14" t="str">
        <f>HYPERLINK("https://otsuka-europe-crm.veevavault.com/ui/#object/email_activity__v/V8C00000003S737", "EN-002094342")</f>
        <v>EN-002094342</v>
      </c>
    </row>
    <row r="7712" spans="1:15" ht="16" x14ac:dyDescent="0.2">
      <c r="A7712" s="17" t="str">
        <f>HYPERLINK("https://otsuka-europe-crm.veevavault.com/ui/#object/account__v/V4TZ00000633HCN", "MOHAMAD HAIDAR")</f>
        <v>MOHAMAD HAIDAR</v>
      </c>
      <c r="B7712" s="17" t="str">
        <f>HYPERLINK("https://otsuka-europe-crm.veevavault.com/ui/#object/vcountry__v/VENZ000004SONFA", "FR")</f>
        <v>FR</v>
      </c>
      <c r="C7712" s="20" t="s">
        <v>42</v>
      </c>
      <c r="D7712" s="21" t="str">
        <f>HYPERLINK("https://otsuka-europe-crm.veevavault.com/ui/#object/approved_document__v/V5O00000000P003", "FR-AM2-2500027")</f>
        <v>FR-AM2-2500027</v>
      </c>
      <c r="E7712" s="22" t="str">
        <f>HYPERLINK("https://otsuka-europe-crm.veevavault.com/ui/#object/sent_email__v/VBL00000002S573", "SE-001435096")</f>
        <v>SE-001435096</v>
      </c>
      <c r="F7712" s="23">
        <v>46183.711828703701</v>
      </c>
      <c r="G7712" s="24">
        <v>1</v>
      </c>
      <c r="H7712" s="24">
        <v>1</v>
      </c>
      <c r="I7712" s="24">
        <v>0</v>
      </c>
      <c r="J7712" s="25"/>
      <c r="K7712" s="24">
        <v>0</v>
      </c>
      <c r="L7712" s="22" t="str">
        <f>HYPERLINK("https://otsuka-europe-crm.veevavault.com/ui/#object/approved_document__v/V5O00000000P003", "FR-AM2-2500027")</f>
        <v>FR-AM2-2500027</v>
      </c>
      <c r="M7712" s="22" t="str">
        <f>HYPERLINK("mailto:ssaouab@crm.otsuka-europe.com", "ssaouab@crm.otsuka-europe.com")</f>
        <v>ssaouab@crm.otsuka-europe.com</v>
      </c>
      <c r="N7712" s="23">
        <v>46182.749768518515</v>
      </c>
      <c r="O7712" s="14" t="str">
        <f>HYPERLINK("https://otsuka-europe-crm.veevavault.com/ui/#object/email_activity__v/V8C00000003S262", "EN-002093403")</f>
        <v>EN-002093403</v>
      </c>
    </row>
    <row r="7713" spans="1:15" ht="16" x14ac:dyDescent="0.2">
      <c r="A7713" s="19"/>
      <c r="B7713" s="19"/>
      <c r="C7713" s="19"/>
      <c r="D7713" s="19"/>
      <c r="E7713" s="19"/>
      <c r="F7713" s="19"/>
      <c r="G7713" s="19"/>
      <c r="H7713" s="19"/>
      <c r="I7713" s="19"/>
      <c r="J7713" s="19"/>
      <c r="K7713" s="19"/>
      <c r="L7713" s="19"/>
      <c r="M7713" s="19"/>
      <c r="N7713" s="19"/>
      <c r="O7713" s="14" t="str">
        <f>HYPERLINK("https://otsuka-europe-crm.veevavault.com/ui/#object/email_activity__v/V8C00000003S736", "EN-002094341")</f>
        <v>EN-002094341</v>
      </c>
    </row>
    <row r="7714" spans="1:15" ht="16" x14ac:dyDescent="0.2">
      <c r="A7714" s="17" t="str">
        <f>HYPERLINK("https://otsuka-europe-crm.veevavault.com/ui/#object/account__v/V4TZ04ASGB4EIT4", "SLIMAN HAMADI")</f>
        <v>SLIMAN HAMADI</v>
      </c>
      <c r="B7714" s="17" t="str">
        <f>HYPERLINK("https://otsuka-europe-crm.veevavault.com/ui/#object/vcountry__v/VENZ000004SONFA", "FR")</f>
        <v>FR</v>
      </c>
      <c r="C7714" s="20" t="s">
        <v>42</v>
      </c>
      <c r="D7714" s="21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714" s="22" t="str">
        <f>HYPERLINK("https://otsuka-europe-crm.veevavault.com/ui/#object/sent_email__v/VBL00000002R495", "SE-001435097")</f>
        <v>SE-001435097</v>
      </c>
      <c r="F7714" s="23">
        <v>46190.787442129629</v>
      </c>
      <c r="G7714" s="24">
        <v>1</v>
      </c>
      <c r="H7714" s="24">
        <v>1</v>
      </c>
      <c r="I7714" s="24">
        <v>0</v>
      </c>
      <c r="J7714" s="25"/>
      <c r="K7714" s="24">
        <v>0</v>
      </c>
      <c r="L7714" s="22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714" s="22" t="str">
        <f>HYPERLINK("mailto:ssaouab@crm.otsuka-europe.com", "ssaouab@crm.otsuka-europe.com")</f>
        <v>ssaouab@crm.otsuka-europe.com</v>
      </c>
      <c r="N7714" s="23">
        <v>46182.750196759262</v>
      </c>
      <c r="O7714" s="14" t="str">
        <f>HYPERLINK("https://otsuka-europe-crm.veevavault.com/ui/#object/email_activity__v/V8C00000003S264", "EN-002093405")</f>
        <v>EN-002093405</v>
      </c>
    </row>
    <row r="7715" spans="1:15" ht="16" x14ac:dyDescent="0.2">
      <c r="A7715" s="19"/>
      <c r="B7715" s="19"/>
      <c r="C7715" s="19"/>
      <c r="D7715" s="19"/>
      <c r="E7715" s="19"/>
      <c r="F7715" s="19"/>
      <c r="G7715" s="19"/>
      <c r="H7715" s="19"/>
      <c r="I7715" s="19"/>
      <c r="J7715" s="19"/>
      <c r="K7715" s="19"/>
      <c r="L7715" s="19"/>
      <c r="M7715" s="19"/>
      <c r="N7715" s="19"/>
      <c r="O7715" s="14" t="str">
        <f>HYPERLINK("https://otsuka-europe-crm.veevavault.com/ui/#object/email_activity__v/V8C00000003W743", "EN-002098479")</f>
        <v>EN-002098479</v>
      </c>
    </row>
    <row r="7716" spans="1:15" ht="32" x14ac:dyDescent="0.2">
      <c r="A7716" s="7" t="str">
        <f>HYPERLINK("https://otsuka-europe-crm.veevavault.com/ui/#object/account__v/V4TZ04ASGB4EIT4", "SLIMAN HAMADI")</f>
        <v>SLIMAN HAMADI</v>
      </c>
      <c r="B7716" s="7" t="str">
        <f>HYPERLINK("https://otsuka-europe-crm.veevavault.com/ui/#object/vcountry__v/VENZ000004SONFA", "FR")</f>
        <v>FR</v>
      </c>
      <c r="C7716" s="8" t="s">
        <v>42</v>
      </c>
      <c r="D7716" s="9" t="str">
        <f>HYPERLINK("https://otsuka-europe-crm.veevavault.com/ui/#object/approved_document__v/V5O00000000P003", "FR-AM2-2500027")</f>
        <v>FR-AM2-2500027</v>
      </c>
      <c r="E7716" s="10" t="str">
        <f>HYPERLINK("https://otsuka-europe-crm.veevavault.com/ui/#object/sent_email__v/VBL00000002S574", "SE-001435098")</f>
        <v>SE-001435098</v>
      </c>
      <c r="F7716" s="11"/>
      <c r="G7716" s="12">
        <v>0</v>
      </c>
      <c r="H7716" s="12">
        <v>0</v>
      </c>
      <c r="I7716" s="12">
        <v>0</v>
      </c>
      <c r="J7716" s="11"/>
      <c r="K7716" s="12">
        <v>0</v>
      </c>
      <c r="L7716" s="10" t="str">
        <f>HYPERLINK("https://otsuka-europe-crm.veevavault.com/ui/#object/approved_document__v/V5O00000000P003", "FR-AM2-2500027")</f>
        <v>FR-AM2-2500027</v>
      </c>
      <c r="M7716" s="10" t="str">
        <f>HYPERLINK("mailto:ssaouab@crm.otsuka-europe.com", "ssaouab@crm.otsuka-europe.com")</f>
        <v>ssaouab@crm.otsuka-europe.com</v>
      </c>
      <c r="N7716" s="13">
        <v>46182.750335648147</v>
      </c>
      <c r="O7716" s="14" t="str">
        <f>HYPERLINK("https://otsuka-europe-crm.veevavault.com/ui/#object/email_activity__v/V8C00000003S265", "EN-002093406")</f>
        <v>EN-002093406</v>
      </c>
    </row>
    <row r="7717" spans="1:15" ht="48" x14ac:dyDescent="0.2">
      <c r="A7717" s="7" t="str">
        <f>HYPERLINK("https://otsuka-europe-crm.veevavault.com/ui/#object/account__v/V4TZ00000633LXF", "NATHALIE HAMMOUM")</f>
        <v>NATHALIE HAMMOUM</v>
      </c>
      <c r="B7717" s="7" t="str">
        <f>HYPERLINK("https://otsuka-europe-crm.veevavault.com/ui/#object/vcountry__v/VENZ000004SONFA", "FR")</f>
        <v>FR</v>
      </c>
      <c r="C7717" s="8" t="s">
        <v>42</v>
      </c>
      <c r="D7717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717" s="10" t="str">
        <f>HYPERLINK("https://otsuka-europe-crm.veevavault.com/ui/#object/sent_email__v/VBL00000002S575", "SE-001435099")</f>
        <v>SE-001435099</v>
      </c>
      <c r="F7717" s="11"/>
      <c r="G7717" s="12">
        <v>0</v>
      </c>
      <c r="H7717" s="12">
        <v>0</v>
      </c>
      <c r="I7717" s="12">
        <v>0</v>
      </c>
      <c r="J7717" s="11"/>
      <c r="K7717" s="12">
        <v>0</v>
      </c>
      <c r="L7717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717" s="10" t="str">
        <f>HYPERLINK("mailto:ssaouab@crm.otsuka-europe.com", "ssaouab@crm.otsuka-europe.com")</f>
        <v>ssaouab@crm.otsuka-europe.com</v>
      </c>
      <c r="N7717" s="13">
        <v>46182.750659722224</v>
      </c>
      <c r="O7717" s="14" t="str">
        <f>HYPERLINK("https://otsuka-europe-crm.veevavault.com/ui/#object/email_activity__v/V8C00000003R906", "EN-002093407")</f>
        <v>EN-002093407</v>
      </c>
    </row>
    <row r="7718" spans="1:15" ht="32" x14ac:dyDescent="0.2">
      <c r="A7718" s="7" t="str">
        <f>HYPERLINK("https://otsuka-europe-crm.veevavault.com/ui/#object/account__v/V4TZ00000633LXF", "NATHALIE HAMMOUM")</f>
        <v>NATHALIE HAMMOUM</v>
      </c>
      <c r="B7718" s="7" t="str">
        <f>HYPERLINK("https://otsuka-europe-crm.veevavault.com/ui/#object/vcountry__v/VENZ000004SONFA", "FR")</f>
        <v>FR</v>
      </c>
      <c r="C7718" s="8" t="s">
        <v>42</v>
      </c>
      <c r="D7718" s="9" t="str">
        <f>HYPERLINK("https://otsuka-europe-crm.veevavault.com/ui/#object/approved_document__v/V5O00000000P003", "FR-AM2-2500027")</f>
        <v>FR-AM2-2500027</v>
      </c>
      <c r="E7718" s="10" t="str">
        <f>HYPERLINK("https://otsuka-europe-crm.veevavault.com/ui/#object/sent_email__v/VBL00000002R496", "SE-001435100")</f>
        <v>SE-001435100</v>
      </c>
      <c r="F7718" s="11"/>
      <c r="G7718" s="12">
        <v>0</v>
      </c>
      <c r="H7718" s="12">
        <v>0</v>
      </c>
      <c r="I7718" s="12">
        <v>0</v>
      </c>
      <c r="J7718" s="11"/>
      <c r="K7718" s="12">
        <v>0</v>
      </c>
      <c r="L7718" s="10" t="str">
        <f>HYPERLINK("https://otsuka-europe-crm.veevavault.com/ui/#object/approved_document__v/V5O00000000P003", "FR-AM2-2500027")</f>
        <v>FR-AM2-2500027</v>
      </c>
      <c r="M7718" s="10" t="str">
        <f>HYPERLINK("mailto:ssaouab@crm.otsuka-europe.com", "ssaouab@crm.otsuka-europe.com")</f>
        <v>ssaouab@crm.otsuka-europe.com</v>
      </c>
      <c r="N7718" s="13">
        <v>46182.750891203701</v>
      </c>
      <c r="O7718" s="14" t="str">
        <f>HYPERLINK("https://otsuka-europe-crm.veevavault.com/ui/#object/email_activity__v/V8C00000003S266", "EN-002093408")</f>
        <v>EN-002093408</v>
      </c>
    </row>
    <row r="7719" spans="1:15" ht="16" x14ac:dyDescent="0.2">
      <c r="A7719" s="17" t="str">
        <f>HYPERLINK("https://otsuka-europe-crm.veevavault.com/ui/#object/account__v/V4TZ00000633LX6", "SONIA HAMZAOUI")</f>
        <v>SONIA HAMZAOUI</v>
      </c>
      <c r="B7719" s="17" t="str">
        <f>HYPERLINK("https://otsuka-europe-crm.veevavault.com/ui/#object/vcountry__v/VENZ000004SONFA", "FR")</f>
        <v>FR</v>
      </c>
      <c r="C7719" s="20" t="s">
        <v>42</v>
      </c>
      <c r="D7719" s="21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719" s="22" t="str">
        <f>HYPERLINK("https://otsuka-europe-crm.veevavault.com/ui/#object/sent_email__v/VBL00000002S576", "SE-001435101")</f>
        <v>SE-001435101</v>
      </c>
      <c r="F7719" s="23">
        <v>46199.550219907411</v>
      </c>
      <c r="G7719" s="24">
        <v>1</v>
      </c>
      <c r="H7719" s="24">
        <v>6</v>
      </c>
      <c r="I7719" s="24">
        <v>0</v>
      </c>
      <c r="J7719" s="25"/>
      <c r="K7719" s="24">
        <v>0</v>
      </c>
      <c r="L7719" s="22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719" s="22" t="str">
        <f>HYPERLINK("mailto:ssaouab@crm.otsuka-europe.com", "ssaouab@crm.otsuka-europe.com")</f>
        <v>ssaouab@crm.otsuka-europe.com</v>
      </c>
      <c r="N7719" s="23">
        <v>46182.751250000001</v>
      </c>
      <c r="O7719" s="14" t="str">
        <f>HYPERLINK("https://otsuka-europe-crm.veevavault.com/ui/#object/email_activity__v/V8C00000003R907", "EN-002093409")</f>
        <v>EN-002093409</v>
      </c>
    </row>
    <row r="7720" spans="1:15" ht="16" x14ac:dyDescent="0.2">
      <c r="A7720" s="18"/>
      <c r="B7720" s="18"/>
      <c r="C7720" s="18"/>
      <c r="D7720" s="18"/>
      <c r="E7720" s="18"/>
      <c r="F7720" s="18"/>
      <c r="G7720" s="18"/>
      <c r="H7720" s="18"/>
      <c r="I7720" s="18"/>
      <c r="J7720" s="18"/>
      <c r="K7720" s="18"/>
      <c r="L7720" s="18"/>
      <c r="M7720" s="18"/>
      <c r="N7720" s="18"/>
      <c r="O7720" s="14" t="str">
        <f>HYPERLINK("https://otsuka-europe-crm.veevavault.com/ui/#object/email_activity__v/V8C00000003T439", "EN-002094494")</f>
        <v>EN-002094494</v>
      </c>
    </row>
    <row r="7721" spans="1:15" ht="16" x14ac:dyDescent="0.2">
      <c r="A7721" s="18"/>
      <c r="B7721" s="18"/>
      <c r="C7721" s="18"/>
      <c r="D7721" s="18"/>
      <c r="E7721" s="18"/>
      <c r="F7721" s="18"/>
      <c r="G7721" s="18"/>
      <c r="H7721" s="18"/>
      <c r="I7721" s="18"/>
      <c r="J7721" s="18"/>
      <c r="K7721" s="18"/>
      <c r="L7721" s="18"/>
      <c r="M7721" s="18"/>
      <c r="N7721" s="18"/>
      <c r="O7721" s="14" t="str">
        <f>HYPERLINK("https://otsuka-europe-crm.veevavault.com/ui/#object/email_activity__v/V8C00000003T440", "EN-002094495")</f>
        <v>EN-002094495</v>
      </c>
    </row>
    <row r="7722" spans="1:15" ht="16" x14ac:dyDescent="0.2">
      <c r="A7722" s="18"/>
      <c r="B7722" s="18"/>
      <c r="C7722" s="18"/>
      <c r="D7722" s="18"/>
      <c r="E7722" s="18"/>
      <c r="F7722" s="18"/>
      <c r="G7722" s="18"/>
      <c r="H7722" s="18"/>
      <c r="I7722" s="18"/>
      <c r="J7722" s="18"/>
      <c r="K7722" s="18"/>
      <c r="L7722" s="18"/>
      <c r="M7722" s="18"/>
      <c r="N7722" s="18"/>
      <c r="O7722" s="14" t="str">
        <f>HYPERLINK("https://otsuka-europe-crm.veevavault.com/ui/#object/email_activity__v/V8C000000042149", "EN-002100030")</f>
        <v>EN-002100030</v>
      </c>
    </row>
    <row r="7723" spans="1:15" ht="16" x14ac:dyDescent="0.2">
      <c r="A7723" s="18"/>
      <c r="B7723" s="18"/>
      <c r="C7723" s="18"/>
      <c r="D7723" s="18"/>
      <c r="E7723" s="18"/>
      <c r="F7723" s="18"/>
      <c r="G7723" s="18"/>
      <c r="H7723" s="18"/>
      <c r="I7723" s="18"/>
      <c r="J7723" s="18"/>
      <c r="K7723" s="18"/>
      <c r="L7723" s="18"/>
      <c r="M7723" s="18"/>
      <c r="N7723" s="18"/>
      <c r="O7723" s="14" t="str">
        <f>HYPERLINK("https://otsuka-europe-crm.veevavault.com/ui/#object/email_activity__v/V8C000000042150", "EN-002100031")</f>
        <v>EN-002100031</v>
      </c>
    </row>
    <row r="7724" spans="1:15" ht="16" x14ac:dyDescent="0.2">
      <c r="A7724" s="18"/>
      <c r="B7724" s="18"/>
      <c r="C7724" s="18"/>
      <c r="D7724" s="18"/>
      <c r="E7724" s="18"/>
      <c r="F7724" s="18"/>
      <c r="G7724" s="18"/>
      <c r="H7724" s="18"/>
      <c r="I7724" s="18"/>
      <c r="J7724" s="18"/>
      <c r="K7724" s="18"/>
      <c r="L7724" s="18"/>
      <c r="M7724" s="18"/>
      <c r="N7724" s="18"/>
      <c r="O7724" s="14" t="str">
        <f>HYPERLINK("https://otsuka-europe-crm.veevavault.com/ui/#object/email_activity__v/V8C000000042159", "EN-002100043")</f>
        <v>EN-002100043</v>
      </c>
    </row>
    <row r="7725" spans="1:15" ht="16" x14ac:dyDescent="0.2">
      <c r="A7725" s="19"/>
      <c r="B7725" s="19"/>
      <c r="C7725" s="19"/>
      <c r="D7725" s="19"/>
      <c r="E7725" s="19"/>
      <c r="F7725" s="19"/>
      <c r="G7725" s="19"/>
      <c r="H7725" s="19"/>
      <c r="I7725" s="19"/>
      <c r="J7725" s="19"/>
      <c r="K7725" s="19"/>
      <c r="L7725" s="19"/>
      <c r="M7725" s="19"/>
      <c r="N7725" s="19"/>
      <c r="O7725" s="14" t="str">
        <f>HYPERLINK("https://otsuka-europe-crm.veevavault.com/ui/#object/email_activity__v/V8C000000042161", "EN-002100045")</f>
        <v>EN-002100045</v>
      </c>
    </row>
    <row r="7726" spans="1:15" ht="32" x14ac:dyDescent="0.2">
      <c r="A7726" s="7" t="str">
        <f>HYPERLINK("https://otsuka-europe-crm.veevavault.com/ui/#object/account__v/V4TZ00000633LX6", "SONIA HAMZAOUI")</f>
        <v>SONIA HAMZAOUI</v>
      </c>
      <c r="B7726" s="7" t="str">
        <f>HYPERLINK("https://otsuka-europe-crm.veevavault.com/ui/#object/vcountry__v/VENZ000004SONFA", "FR")</f>
        <v>FR</v>
      </c>
      <c r="C7726" s="8" t="s">
        <v>42</v>
      </c>
      <c r="D7726" s="9" t="str">
        <f>HYPERLINK("https://otsuka-europe-crm.veevavault.com/ui/#object/approved_document__v/V5O00000000P003", "FR-AM2-2500027")</f>
        <v>FR-AM2-2500027</v>
      </c>
      <c r="E7726" s="10" t="str">
        <f>HYPERLINK("https://otsuka-europe-crm.veevavault.com/ui/#object/sent_email__v/VBL00000002R497", "SE-001435102")</f>
        <v>SE-001435102</v>
      </c>
      <c r="F7726" s="11"/>
      <c r="G7726" s="12">
        <v>0</v>
      </c>
      <c r="H7726" s="12">
        <v>0</v>
      </c>
      <c r="I7726" s="12">
        <v>0</v>
      </c>
      <c r="J7726" s="11"/>
      <c r="K7726" s="12">
        <v>0</v>
      </c>
      <c r="L7726" s="10" t="str">
        <f>HYPERLINK("https://otsuka-europe-crm.veevavault.com/ui/#object/approved_document__v/V5O00000000P003", "FR-AM2-2500027")</f>
        <v>FR-AM2-2500027</v>
      </c>
      <c r="M7726" s="10" t="str">
        <f>HYPERLINK("mailto:ssaouab@crm.otsuka-europe.com", "ssaouab@crm.otsuka-europe.com")</f>
        <v>ssaouab@crm.otsuka-europe.com</v>
      </c>
      <c r="N7726" s="13">
        <v>46182.751539351855</v>
      </c>
      <c r="O7726" s="14" t="str">
        <f>HYPERLINK("https://otsuka-europe-crm.veevavault.com/ui/#object/email_activity__v/V8C00000003R908", "EN-002093410")</f>
        <v>EN-002093410</v>
      </c>
    </row>
    <row r="7727" spans="1:15" ht="48" x14ac:dyDescent="0.2">
      <c r="A7727" s="7" t="str">
        <f>HYPERLINK("https://otsuka-europe-crm.veevavault.com/ui/#object/account__v/V4TZ025E845QK2M", "ASMA HASNAOUI")</f>
        <v>ASMA HASNAOUI</v>
      </c>
      <c r="B7727" s="7" t="str">
        <f>HYPERLINK("https://otsuka-europe-crm.veevavault.com/ui/#object/vcountry__v/VENZ000004SONFA", "FR")</f>
        <v>FR</v>
      </c>
      <c r="C7727" s="8" t="s">
        <v>42</v>
      </c>
      <c r="D7727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727" s="10" t="str">
        <f>HYPERLINK("https://otsuka-europe-crm.veevavault.com/ui/#object/sent_email__v/VBL00000002S577", "SE-001435103")</f>
        <v>SE-001435103</v>
      </c>
      <c r="F7727" s="11"/>
      <c r="G7727" s="12">
        <v>0</v>
      </c>
      <c r="H7727" s="12">
        <v>0</v>
      </c>
      <c r="I7727" s="12">
        <v>0</v>
      </c>
      <c r="J7727" s="11"/>
      <c r="K7727" s="12">
        <v>0</v>
      </c>
      <c r="L7727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727" s="10" t="str">
        <f>HYPERLINK("mailto:ssaouab@crm.otsuka-europe.com", "ssaouab@crm.otsuka-europe.com")</f>
        <v>ssaouab@crm.otsuka-europe.com</v>
      </c>
      <c r="N7727" s="13">
        <v>46182.751631944448</v>
      </c>
      <c r="O7727" s="14" t="str">
        <f>HYPERLINK("https://otsuka-europe-crm.veevavault.com/ui/#object/email_activity__v/V8C00000003R909", "EN-002093411")</f>
        <v>EN-002093411</v>
      </c>
    </row>
    <row r="7728" spans="1:15" ht="48" x14ac:dyDescent="0.2">
      <c r="A7728" s="7" t="str">
        <f>HYPERLINK("https://otsuka-europe-crm.veevavault.com/ui/#object/account__v/V4TZ025E845QK2M", "ASMA HASNAOUI")</f>
        <v>ASMA HASNAOUI</v>
      </c>
      <c r="B7728" s="7" t="str">
        <f>HYPERLINK("https://otsuka-europe-crm.veevavault.com/ui/#object/vcountry__v/VENZ000004SONFA", "FR")</f>
        <v>FR</v>
      </c>
      <c r="C7728" s="8" t="s">
        <v>42</v>
      </c>
      <c r="D7728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728" s="10" t="str">
        <f>HYPERLINK("https://otsuka-europe-crm.veevavault.com/ui/#object/sent_email__v/VBL00000002S578", "SE-001435104")</f>
        <v>SE-001435104</v>
      </c>
      <c r="F7728" s="11"/>
      <c r="G7728" s="12">
        <v>0</v>
      </c>
      <c r="H7728" s="12">
        <v>0</v>
      </c>
      <c r="I7728" s="12">
        <v>0</v>
      </c>
      <c r="J7728" s="11"/>
      <c r="K7728" s="12">
        <v>0</v>
      </c>
      <c r="L7728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728" s="10" t="str">
        <f>HYPERLINK("mailto:ssaouab@crm.otsuka-europe.com", "ssaouab@crm.otsuka-europe.com")</f>
        <v>ssaouab@crm.otsuka-europe.com</v>
      </c>
      <c r="N7728" s="13">
        <v>46182.751759259256</v>
      </c>
      <c r="O7728" s="14" t="str">
        <f>HYPERLINK("https://otsuka-europe-crm.veevavault.com/ui/#object/email_activity__v/V8C00000003R910", "EN-002093412")</f>
        <v>EN-002093412</v>
      </c>
    </row>
    <row r="7729" spans="1:15" ht="16" x14ac:dyDescent="0.2">
      <c r="A7729" s="17" t="str">
        <f>HYPERLINK("https://otsuka-europe-crm.veevavault.com/ui/#object/account__v/V4TZ000006DIDSI", "RYAD HENNI")</f>
        <v>RYAD HENNI</v>
      </c>
      <c r="B7729" s="17" t="str">
        <f>HYPERLINK("https://otsuka-europe-crm.veevavault.com/ui/#object/vcountry__v/VENZ000004SONFA", "FR")</f>
        <v>FR</v>
      </c>
      <c r="C7729" s="20" t="s">
        <v>42</v>
      </c>
      <c r="D7729" s="21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729" s="22" t="str">
        <f>HYPERLINK("https://otsuka-europe-crm.veevavault.com/ui/#object/sent_email__v/VBL00000002S579", "SE-001435105")</f>
        <v>SE-001435105</v>
      </c>
      <c r="F7729" s="23">
        <v>46182.967592592591</v>
      </c>
      <c r="G7729" s="24">
        <v>1</v>
      </c>
      <c r="H7729" s="24">
        <v>3</v>
      </c>
      <c r="I7729" s="24">
        <v>0</v>
      </c>
      <c r="J7729" s="25"/>
      <c r="K7729" s="24">
        <v>0</v>
      </c>
      <c r="L7729" s="22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729" s="22" t="str">
        <f>HYPERLINK("mailto:ssaouab@crm.otsuka-europe.com", "ssaouab@crm.otsuka-europe.com")</f>
        <v>ssaouab@crm.otsuka-europe.com</v>
      </c>
      <c r="N7729" s="23">
        <v>46182.752118055556</v>
      </c>
      <c r="O7729" s="14" t="str">
        <f>HYPERLINK("https://otsuka-europe-crm.veevavault.com/ui/#object/email_activity__v/V8C00000003R919", "EN-002093465")</f>
        <v>EN-002093465</v>
      </c>
    </row>
    <row r="7730" spans="1:15" ht="16" x14ac:dyDescent="0.2">
      <c r="A7730" s="18"/>
      <c r="B7730" s="18"/>
      <c r="C7730" s="18"/>
      <c r="D7730" s="18"/>
      <c r="E7730" s="18"/>
      <c r="F7730" s="18"/>
      <c r="G7730" s="18"/>
      <c r="H7730" s="18"/>
      <c r="I7730" s="18"/>
      <c r="J7730" s="18"/>
      <c r="K7730" s="18"/>
      <c r="L7730" s="18"/>
      <c r="M7730" s="18"/>
      <c r="N7730" s="18"/>
      <c r="O7730" s="14" t="str">
        <f>HYPERLINK("https://otsuka-europe-crm.veevavault.com/ui/#object/email_activity__v/V8C00000003S268", "EN-002093414")</f>
        <v>EN-002093414</v>
      </c>
    </row>
    <row r="7731" spans="1:15" ht="16" x14ac:dyDescent="0.2">
      <c r="A7731" s="18"/>
      <c r="B7731" s="18"/>
      <c r="C7731" s="18"/>
      <c r="D7731" s="18"/>
      <c r="E7731" s="18"/>
      <c r="F7731" s="18"/>
      <c r="G7731" s="18"/>
      <c r="H7731" s="18"/>
      <c r="I7731" s="18"/>
      <c r="J7731" s="18"/>
      <c r="K7731" s="18"/>
      <c r="L7731" s="18"/>
      <c r="M7731" s="18"/>
      <c r="N7731" s="18"/>
      <c r="O7731" s="14" t="str">
        <f>HYPERLINK("https://otsuka-europe-crm.veevavault.com/ui/#object/email_activity__v/V8C00000003S311", "EN-002093468")</f>
        <v>EN-002093468</v>
      </c>
    </row>
    <row r="7732" spans="1:15" ht="16" x14ac:dyDescent="0.2">
      <c r="A7732" s="19"/>
      <c r="B7732" s="19"/>
      <c r="C7732" s="19"/>
      <c r="D7732" s="19"/>
      <c r="E7732" s="19"/>
      <c r="F7732" s="19"/>
      <c r="G7732" s="19"/>
      <c r="H7732" s="19"/>
      <c r="I7732" s="19"/>
      <c r="J7732" s="19"/>
      <c r="K7732" s="19"/>
      <c r="L7732" s="19"/>
      <c r="M7732" s="19"/>
      <c r="N7732" s="19"/>
      <c r="O7732" s="14" t="str">
        <f>HYPERLINK("https://otsuka-europe-crm.veevavault.com/ui/#object/email_activity__v/V8C00000003S434", "EN-002093780")</f>
        <v>EN-002093780</v>
      </c>
    </row>
    <row r="7733" spans="1:15" ht="16" x14ac:dyDescent="0.2">
      <c r="A7733" s="17" t="str">
        <f>HYPERLINK("https://otsuka-europe-crm.veevavault.com/ui/#object/account__v/V4TZ000006DIDSI", "RYAD HENNI")</f>
        <v>RYAD HENNI</v>
      </c>
      <c r="B7733" s="17" t="str">
        <f>HYPERLINK("https://otsuka-europe-crm.veevavault.com/ui/#object/vcountry__v/VENZ000004SONFA", "FR")</f>
        <v>FR</v>
      </c>
      <c r="C7733" s="20" t="s">
        <v>42</v>
      </c>
      <c r="D7733" s="21" t="str">
        <f>HYPERLINK("https://otsuka-europe-crm.veevavault.com/ui/#object/approved_document__v/V5O00000000P003", "FR-AM2-2500027")</f>
        <v>FR-AM2-2500027</v>
      </c>
      <c r="E7733" s="22" t="str">
        <f>HYPERLINK("https://otsuka-europe-crm.veevavault.com/ui/#object/sent_email__v/VBL00000002R498", "SE-001435106")</f>
        <v>SE-001435106</v>
      </c>
      <c r="F7733" s="23">
        <v>46182.768969907411</v>
      </c>
      <c r="G7733" s="24">
        <v>1</v>
      </c>
      <c r="H7733" s="24">
        <v>3</v>
      </c>
      <c r="I7733" s="24">
        <v>1</v>
      </c>
      <c r="J7733" s="23">
        <v>46182.77002314815</v>
      </c>
      <c r="K7733" s="24">
        <v>2</v>
      </c>
      <c r="L7733" s="22" t="str">
        <f>HYPERLINK("https://otsuka-europe-crm.veevavault.com/ui/#object/approved_document__v/V5O00000000P003", "FR-AM2-2500027")</f>
        <v>FR-AM2-2500027</v>
      </c>
      <c r="M7733" s="22" t="str">
        <f>HYPERLINK("mailto:ssaouab@crm.otsuka-europe.com", "ssaouab@crm.otsuka-europe.com")</f>
        <v>ssaouab@crm.otsuka-europe.com</v>
      </c>
      <c r="N7733" s="23">
        <v>46182.752222222225</v>
      </c>
      <c r="O7733" s="14" t="str">
        <f>HYPERLINK("https://otsuka-europe-crm.veevavault.com/ui/#object/email_activity__v/V8C00000003R920", "EN-002093466")</f>
        <v>EN-002093466</v>
      </c>
    </row>
    <row r="7734" spans="1:15" ht="16" x14ac:dyDescent="0.2">
      <c r="A7734" s="18"/>
      <c r="B7734" s="18"/>
      <c r="C7734" s="18"/>
      <c r="D7734" s="18"/>
      <c r="E7734" s="18"/>
      <c r="F7734" s="18"/>
      <c r="G7734" s="18"/>
      <c r="H7734" s="18"/>
      <c r="I7734" s="18"/>
      <c r="J7734" s="18"/>
      <c r="K7734" s="18"/>
      <c r="L7734" s="18"/>
      <c r="M7734" s="18"/>
      <c r="N7734" s="18"/>
      <c r="O7734" s="14" t="str">
        <f>HYPERLINK("https://otsuka-europe-crm.veevavault.com/ui/#object/email_activity__v/V8C00000003R921", "EN-002093467")</f>
        <v>EN-002093467</v>
      </c>
    </row>
    <row r="7735" spans="1:15" ht="16" x14ac:dyDescent="0.2">
      <c r="A7735" s="18"/>
      <c r="B7735" s="18"/>
      <c r="C7735" s="18"/>
      <c r="D7735" s="18"/>
      <c r="E7735" s="18"/>
      <c r="F7735" s="18"/>
      <c r="G7735" s="18"/>
      <c r="H7735" s="18"/>
      <c r="I7735" s="18"/>
      <c r="J7735" s="18"/>
      <c r="K7735" s="18"/>
      <c r="L7735" s="18"/>
      <c r="M7735" s="18"/>
      <c r="N7735" s="18"/>
      <c r="O7735" s="14" t="str">
        <f>HYPERLINK("https://otsuka-europe-crm.veevavault.com/ui/#object/email_activity__v/V8C00000003R922", "EN-002093470")</f>
        <v>EN-002093470</v>
      </c>
    </row>
    <row r="7736" spans="1:15" ht="16" x14ac:dyDescent="0.2">
      <c r="A7736" s="18"/>
      <c r="B7736" s="18"/>
      <c r="C7736" s="18"/>
      <c r="D7736" s="18"/>
      <c r="E7736" s="18"/>
      <c r="F7736" s="18"/>
      <c r="G7736" s="18"/>
      <c r="H7736" s="18"/>
      <c r="I7736" s="18"/>
      <c r="J7736" s="18"/>
      <c r="K7736" s="18"/>
      <c r="L7736" s="18"/>
      <c r="M7736" s="18"/>
      <c r="N7736" s="18"/>
      <c r="O7736" s="14" t="str">
        <f>HYPERLINK("https://otsuka-europe-crm.veevavault.com/ui/#object/email_activity__v/V8C00000003R999", "EN-002093568")</f>
        <v>EN-002093568</v>
      </c>
    </row>
    <row r="7737" spans="1:15" ht="16" x14ac:dyDescent="0.2">
      <c r="A7737" s="18"/>
      <c r="B7737" s="18"/>
      <c r="C7737" s="18"/>
      <c r="D7737" s="18"/>
      <c r="E7737" s="18"/>
      <c r="F7737" s="18"/>
      <c r="G7737" s="18"/>
      <c r="H7737" s="18"/>
      <c r="I7737" s="18"/>
      <c r="J7737" s="18"/>
      <c r="K7737" s="18"/>
      <c r="L7737" s="18"/>
      <c r="M7737" s="18"/>
      <c r="N7737" s="18"/>
      <c r="O7737" s="14" t="str">
        <f>HYPERLINK("https://otsuka-europe-crm.veevavault.com/ui/#object/email_activity__v/V8C00000003S269", "EN-002093415")</f>
        <v>EN-002093415</v>
      </c>
    </row>
    <row r="7738" spans="1:15" ht="16" x14ac:dyDescent="0.2">
      <c r="A7738" s="18"/>
      <c r="B7738" s="18"/>
      <c r="C7738" s="18"/>
      <c r="D7738" s="18"/>
      <c r="E7738" s="18"/>
      <c r="F7738" s="18"/>
      <c r="G7738" s="18"/>
      <c r="H7738" s="18"/>
      <c r="I7738" s="18"/>
      <c r="J7738" s="18"/>
      <c r="K7738" s="18"/>
      <c r="L7738" s="18"/>
      <c r="M7738" s="18"/>
      <c r="N7738" s="18"/>
      <c r="O7738" s="14" t="str">
        <f>HYPERLINK("https://otsuka-europe-crm.veevavault.com/ui/#object/email_activity__v/V8C00000003S310", "EN-002093464")</f>
        <v>EN-002093464</v>
      </c>
    </row>
    <row r="7739" spans="1:15" ht="16" x14ac:dyDescent="0.2">
      <c r="A7739" s="18"/>
      <c r="B7739" s="18"/>
      <c r="C7739" s="18"/>
      <c r="D7739" s="18"/>
      <c r="E7739" s="18"/>
      <c r="F7739" s="18"/>
      <c r="G7739" s="18"/>
      <c r="H7739" s="18"/>
      <c r="I7739" s="18"/>
      <c r="J7739" s="18"/>
      <c r="K7739" s="18"/>
      <c r="L7739" s="18"/>
      <c r="M7739" s="18"/>
      <c r="N7739" s="18"/>
      <c r="O7739" s="14" t="str">
        <f>HYPERLINK("https://otsuka-europe-crm.veevavault.com/ui/#object/email_activity__v/V8C00000003S314", "EN-002093474")</f>
        <v>EN-002093474</v>
      </c>
    </row>
    <row r="7740" spans="1:15" ht="16" x14ac:dyDescent="0.2">
      <c r="A7740" s="19"/>
      <c r="B7740" s="19"/>
      <c r="C7740" s="19"/>
      <c r="D7740" s="19"/>
      <c r="E7740" s="19"/>
      <c r="F7740" s="19"/>
      <c r="G7740" s="19"/>
      <c r="H7740" s="19"/>
      <c r="I7740" s="19"/>
      <c r="J7740" s="19"/>
      <c r="K7740" s="19"/>
      <c r="L7740" s="19"/>
      <c r="M7740" s="19"/>
      <c r="N7740" s="19"/>
      <c r="O7740" s="14" t="str">
        <f>HYPERLINK("https://otsuka-europe-crm.veevavault.com/ui/#object/email_activity__v/V8C00000003T001", "EN-002093569")</f>
        <v>EN-002093569</v>
      </c>
    </row>
    <row r="7741" spans="1:15" ht="16" x14ac:dyDescent="0.2">
      <c r="A7741" s="17" t="str">
        <f>HYPERLINK("https://otsuka-europe-crm.veevavault.com/ui/#object/account__v/V4TZ025E83KZGE6", "EVRARD HOZAGARA")</f>
        <v>EVRARD HOZAGARA</v>
      </c>
      <c r="B7741" s="17" t="str">
        <f>HYPERLINK("https://otsuka-europe-crm.veevavault.com/ui/#object/vcountry__v/VENZ000004SONFA", "FR")</f>
        <v>FR</v>
      </c>
      <c r="C7741" s="20" t="s">
        <v>42</v>
      </c>
      <c r="D7741" s="21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741" s="22" t="str">
        <f>HYPERLINK("https://otsuka-europe-crm.veevavault.com/ui/#object/sent_email__v/VBL00000002S580", "SE-001435107")</f>
        <v>SE-001435107</v>
      </c>
      <c r="F7741" s="23">
        <v>46184.941678240742</v>
      </c>
      <c r="G7741" s="24">
        <v>1</v>
      </c>
      <c r="H7741" s="24">
        <v>1</v>
      </c>
      <c r="I7741" s="24">
        <v>0</v>
      </c>
      <c r="J7741" s="25"/>
      <c r="K7741" s="24">
        <v>0</v>
      </c>
      <c r="L7741" s="22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741" s="22" t="str">
        <f>HYPERLINK("mailto:ssaouab@crm.otsuka-europe.com", "ssaouab@crm.otsuka-europe.com")</f>
        <v>ssaouab@crm.otsuka-europe.com</v>
      </c>
      <c r="N7741" s="23">
        <v>46182.753310185188</v>
      </c>
      <c r="O7741" s="14" t="str">
        <f>HYPERLINK("https://otsuka-europe-crm.veevavault.com/ui/#object/email_activity__v/V8C00000003S270", "EN-002093416")</f>
        <v>EN-002093416</v>
      </c>
    </row>
    <row r="7742" spans="1:15" ht="16" x14ac:dyDescent="0.2">
      <c r="A7742" s="19"/>
      <c r="B7742" s="19"/>
      <c r="C7742" s="19"/>
      <c r="D7742" s="19"/>
      <c r="E7742" s="19"/>
      <c r="F7742" s="19"/>
      <c r="G7742" s="19"/>
      <c r="H7742" s="19"/>
      <c r="I7742" s="19"/>
      <c r="J7742" s="19"/>
      <c r="K7742" s="19"/>
      <c r="L7742" s="19"/>
      <c r="M7742" s="19"/>
      <c r="N7742" s="19"/>
      <c r="O7742" s="14" t="str">
        <f>HYPERLINK("https://otsuka-europe-crm.veevavault.com/ui/#object/email_activity__v/V8C00000003V025", "EN-002094866")</f>
        <v>EN-002094866</v>
      </c>
    </row>
    <row r="7743" spans="1:15" ht="32" x14ac:dyDescent="0.2">
      <c r="A7743" s="7" t="str">
        <f>HYPERLINK("https://otsuka-europe-crm.veevavault.com/ui/#object/account__v/V4TZ025E83KZGE6", "EVRARD HOZAGARA")</f>
        <v>EVRARD HOZAGARA</v>
      </c>
      <c r="B7743" s="7" t="str">
        <f>HYPERLINK("https://otsuka-europe-crm.veevavault.com/ui/#object/vcountry__v/VENZ000004SONFA", "FR")</f>
        <v>FR</v>
      </c>
      <c r="C7743" s="8" t="s">
        <v>42</v>
      </c>
      <c r="D7743" s="9" t="str">
        <f>HYPERLINK("https://otsuka-europe-crm.veevavault.com/ui/#object/approved_document__v/V5O00000000P003", "FR-AM2-2500027")</f>
        <v>FR-AM2-2500027</v>
      </c>
      <c r="E7743" s="10" t="str">
        <f>HYPERLINK("https://otsuka-europe-crm.veevavault.com/ui/#object/sent_email__v/VBL00000002S581", "SE-001435108")</f>
        <v>SE-001435108</v>
      </c>
      <c r="F7743" s="11"/>
      <c r="G7743" s="12">
        <v>0</v>
      </c>
      <c r="H7743" s="12">
        <v>0</v>
      </c>
      <c r="I7743" s="12">
        <v>0</v>
      </c>
      <c r="J7743" s="11"/>
      <c r="K7743" s="12">
        <v>0</v>
      </c>
      <c r="L7743" s="10" t="str">
        <f>HYPERLINK("https://otsuka-europe-crm.veevavault.com/ui/#object/approved_document__v/V5O00000000P003", "FR-AM2-2500027")</f>
        <v>FR-AM2-2500027</v>
      </c>
      <c r="M7743" s="10" t="str">
        <f>HYPERLINK("mailto:ssaouab@crm.otsuka-europe.com", "ssaouab@crm.otsuka-europe.com")</f>
        <v>ssaouab@crm.otsuka-europe.com</v>
      </c>
      <c r="N7743" s="13">
        <v>46182.753622685188</v>
      </c>
      <c r="O7743" s="14" t="str">
        <f>HYPERLINK("https://otsuka-europe-crm.veevavault.com/ui/#object/email_activity__v/V8C00000003S271", "EN-002093417")</f>
        <v>EN-002093417</v>
      </c>
    </row>
    <row r="7744" spans="1:15" ht="16" x14ac:dyDescent="0.2">
      <c r="A7744" s="17" t="str">
        <f>HYPERLINK("https://otsuka-europe-crm.veevavault.com/ui/#object/account__v/V4TZ00000633SL2", "AMIRA JAAFOURI WASSOUF")</f>
        <v>AMIRA JAAFOURI WASSOUF</v>
      </c>
      <c r="B7744" s="17" t="str">
        <f>HYPERLINK("https://otsuka-europe-crm.veevavault.com/ui/#object/vcountry__v/VENZ000004SONFA", "FR")</f>
        <v>FR</v>
      </c>
      <c r="C7744" s="20" t="s">
        <v>42</v>
      </c>
      <c r="D7744" s="21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744" s="22" t="str">
        <f>HYPERLINK("https://otsuka-europe-crm.veevavault.com/ui/#object/sent_email__v/VBL00000002S582", "SE-001435109")</f>
        <v>SE-001435109</v>
      </c>
      <c r="F7744" s="23">
        <v>46182.769849537035</v>
      </c>
      <c r="G7744" s="24">
        <v>1</v>
      </c>
      <c r="H7744" s="24">
        <v>1</v>
      </c>
      <c r="I7744" s="24">
        <v>0</v>
      </c>
      <c r="J7744" s="25"/>
      <c r="K7744" s="24">
        <v>0</v>
      </c>
      <c r="L7744" s="22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744" s="22" t="str">
        <f>HYPERLINK("mailto:ssaouab@crm.otsuka-europe.com", "ssaouab@crm.otsuka-europe.com")</f>
        <v>ssaouab@crm.otsuka-europe.com</v>
      </c>
      <c r="N7744" s="23">
        <v>46182.754317129627</v>
      </c>
      <c r="O7744" s="14" t="str">
        <f>HYPERLINK("https://otsuka-europe-crm.veevavault.com/ui/#object/email_activity__v/V8C00000003S273", "EN-002093419")</f>
        <v>EN-002093419</v>
      </c>
    </row>
    <row r="7745" spans="1:15" ht="16" x14ac:dyDescent="0.2">
      <c r="A7745" s="19"/>
      <c r="B7745" s="19"/>
      <c r="C7745" s="19"/>
      <c r="D7745" s="19"/>
      <c r="E7745" s="19"/>
      <c r="F7745" s="19"/>
      <c r="G7745" s="19"/>
      <c r="H7745" s="19"/>
      <c r="I7745" s="19"/>
      <c r="J7745" s="19"/>
      <c r="K7745" s="19"/>
      <c r="L7745" s="19"/>
      <c r="M7745" s="19"/>
      <c r="N7745" s="19"/>
      <c r="O7745" s="14" t="str">
        <f>HYPERLINK("https://otsuka-europe-crm.veevavault.com/ui/#object/email_activity__v/V8C00000003S313", "EN-002093473")</f>
        <v>EN-002093473</v>
      </c>
    </row>
    <row r="7746" spans="1:15" ht="32" x14ac:dyDescent="0.2">
      <c r="A7746" s="7" t="str">
        <f>HYPERLINK("https://otsuka-europe-crm.veevavault.com/ui/#object/account__v/V4TZ00000633SL2", "AMIRA JAAFOURI WASSOUF")</f>
        <v>AMIRA JAAFOURI WASSOUF</v>
      </c>
      <c r="B7746" s="7" t="str">
        <f>HYPERLINK("https://otsuka-europe-crm.veevavault.com/ui/#object/vcountry__v/VENZ000004SONFA", "FR")</f>
        <v>FR</v>
      </c>
      <c r="C7746" s="8" t="s">
        <v>42</v>
      </c>
      <c r="D7746" s="9" t="str">
        <f>HYPERLINK("https://otsuka-europe-crm.veevavault.com/ui/#object/approved_document__v/V5O00000000P003", "FR-AM2-2500027")</f>
        <v>FR-AM2-2500027</v>
      </c>
      <c r="E7746" s="10" t="str">
        <f>HYPERLINK("https://otsuka-europe-crm.veevavault.com/ui/#object/sent_email__v/VBL00000002S583", "SE-001435110")</f>
        <v>SE-001435110</v>
      </c>
      <c r="F7746" s="11"/>
      <c r="G7746" s="12">
        <v>0</v>
      </c>
      <c r="H7746" s="12">
        <v>0</v>
      </c>
      <c r="I7746" s="12">
        <v>0</v>
      </c>
      <c r="J7746" s="11"/>
      <c r="K7746" s="12">
        <v>0</v>
      </c>
      <c r="L7746" s="10" t="str">
        <f>HYPERLINK("https://otsuka-europe-crm.veevavault.com/ui/#object/approved_document__v/V5O00000000P003", "FR-AM2-2500027")</f>
        <v>FR-AM2-2500027</v>
      </c>
      <c r="M7746" s="10" t="str">
        <f>HYPERLINK("mailto:ssaouab@crm.otsuka-europe.com", "ssaouab@crm.otsuka-europe.com")</f>
        <v>ssaouab@crm.otsuka-europe.com</v>
      </c>
      <c r="N7746" s="13">
        <v>46182.754363425927</v>
      </c>
      <c r="O7746" s="14" t="str">
        <f>HYPERLINK("https://otsuka-europe-crm.veevavault.com/ui/#object/email_activity__v/V8C00000003S272", "EN-002093418")</f>
        <v>EN-002093418</v>
      </c>
    </row>
    <row r="7747" spans="1:15" ht="48" x14ac:dyDescent="0.2">
      <c r="A7747" s="7" t="str">
        <f>HYPERLINK("https://otsuka-europe-crm.veevavault.com/ui/#object/account__v/V4TZ00000633HRA", "XAVIER JEGOUZO")</f>
        <v>XAVIER JEGOUZO</v>
      </c>
      <c r="B7747" s="7" t="str">
        <f>HYPERLINK("https://otsuka-europe-crm.veevavault.com/ui/#object/vcountry__v/VENZ000004SONFA", "FR")</f>
        <v>FR</v>
      </c>
      <c r="C7747" s="8" t="s">
        <v>42</v>
      </c>
      <c r="D7747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747" s="10" t="str">
        <f>HYPERLINK("https://otsuka-europe-crm.veevavault.com/ui/#object/sent_email__v/VBL00000002S584", "SE-001435111")</f>
        <v>SE-001435111</v>
      </c>
      <c r="F7747" s="11"/>
      <c r="G7747" s="12">
        <v>0</v>
      </c>
      <c r="H7747" s="12">
        <v>0</v>
      </c>
      <c r="I7747" s="12">
        <v>0</v>
      </c>
      <c r="J7747" s="11"/>
      <c r="K7747" s="12">
        <v>0</v>
      </c>
      <c r="L7747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747" s="10" t="str">
        <f>HYPERLINK("mailto:ssaouab@crm.otsuka-europe.com", "ssaouab@crm.otsuka-europe.com")</f>
        <v>ssaouab@crm.otsuka-europe.com</v>
      </c>
      <c r="N7747" s="13">
        <v>46182.754849537036</v>
      </c>
      <c r="O7747" s="14" t="str">
        <f>HYPERLINK("https://otsuka-europe-crm.veevavault.com/ui/#object/email_activity__v/V8C00000003S274", "EN-002093420")</f>
        <v>EN-002093420</v>
      </c>
    </row>
    <row r="7748" spans="1:15" ht="16" x14ac:dyDescent="0.2">
      <c r="A7748" s="17" t="str">
        <f>HYPERLINK("https://otsuka-europe-crm.veevavault.com/ui/#object/account__v/V4TZ00000633HRA", "XAVIER JEGOUZO")</f>
        <v>XAVIER JEGOUZO</v>
      </c>
      <c r="B7748" s="17" t="str">
        <f>HYPERLINK("https://otsuka-europe-crm.veevavault.com/ui/#object/vcountry__v/VENZ000004SONFA", "FR")</f>
        <v>FR</v>
      </c>
      <c r="C7748" s="20" t="s">
        <v>42</v>
      </c>
      <c r="D7748" s="21" t="str">
        <f>HYPERLINK("https://otsuka-europe-crm.veevavault.com/ui/#object/approved_document__v/V5O00000000P003", "FR-AM2-2500027")</f>
        <v>FR-AM2-2500027</v>
      </c>
      <c r="E7748" s="22" t="str">
        <f>HYPERLINK("https://otsuka-europe-crm.veevavault.com/ui/#object/sent_email__v/VBL00000002S585", "SE-001435112")</f>
        <v>SE-001435112</v>
      </c>
      <c r="F7748" s="23">
        <v>46182.794050925928</v>
      </c>
      <c r="G7748" s="24">
        <v>1</v>
      </c>
      <c r="H7748" s="24">
        <v>1</v>
      </c>
      <c r="I7748" s="24">
        <v>0</v>
      </c>
      <c r="J7748" s="25"/>
      <c r="K7748" s="24">
        <v>0</v>
      </c>
      <c r="L7748" s="22" t="str">
        <f>HYPERLINK("https://otsuka-europe-crm.veevavault.com/ui/#object/approved_document__v/V5O00000000P003", "FR-AM2-2500027")</f>
        <v>FR-AM2-2500027</v>
      </c>
      <c r="M7748" s="22" t="str">
        <f>HYPERLINK("mailto:ssaouab@crm.otsuka-europe.com", "ssaouab@crm.otsuka-europe.com")</f>
        <v>ssaouab@crm.otsuka-europe.com</v>
      </c>
      <c r="N7748" s="23">
        <v>46182.754907407405</v>
      </c>
      <c r="O7748" s="14" t="str">
        <f>HYPERLINK("https://otsuka-europe-crm.veevavault.com/ui/#object/email_activity__v/V8C00000003R983", "EN-002093546")</f>
        <v>EN-002093546</v>
      </c>
    </row>
    <row r="7749" spans="1:15" ht="16" x14ac:dyDescent="0.2">
      <c r="A7749" s="19"/>
      <c r="B7749" s="19"/>
      <c r="C7749" s="19"/>
      <c r="D7749" s="19"/>
      <c r="E7749" s="19"/>
      <c r="F7749" s="19"/>
      <c r="G7749" s="19"/>
      <c r="H7749" s="19"/>
      <c r="I7749" s="19"/>
      <c r="J7749" s="19"/>
      <c r="K7749" s="19"/>
      <c r="L7749" s="19"/>
      <c r="M7749" s="19"/>
      <c r="N7749" s="19"/>
      <c r="O7749" s="14" t="str">
        <f>HYPERLINK("https://otsuka-europe-crm.veevavault.com/ui/#object/email_activity__v/V8C00000003S275", "EN-002093421")</f>
        <v>EN-002093421</v>
      </c>
    </row>
    <row r="7750" spans="1:15" ht="48" x14ac:dyDescent="0.2">
      <c r="A7750" s="7" t="str">
        <f>HYPERLINK("https://otsuka-europe-crm.veevavault.com/ui/#object/account__v/V4TZ00000633LX4", "NADIR KELLOU")</f>
        <v>NADIR KELLOU</v>
      </c>
      <c r="B7750" s="7" t="str">
        <f>HYPERLINK("https://otsuka-europe-crm.veevavault.com/ui/#object/vcountry__v/VENZ000004SONFA", "FR")</f>
        <v>FR</v>
      </c>
      <c r="C7750" s="8" t="s">
        <v>42</v>
      </c>
      <c r="D7750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750" s="10" t="str">
        <f>HYPERLINK("https://otsuka-europe-crm.veevavault.com/ui/#object/sent_email__v/VBL00000002S586", "SE-001435113")</f>
        <v>SE-001435113</v>
      </c>
      <c r="F7750" s="11"/>
      <c r="G7750" s="12">
        <v>0</v>
      </c>
      <c r="H7750" s="12">
        <v>0</v>
      </c>
      <c r="I7750" s="12">
        <v>0</v>
      </c>
      <c r="J7750" s="11"/>
      <c r="K7750" s="12">
        <v>0</v>
      </c>
      <c r="L7750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750" s="10" t="str">
        <f>HYPERLINK("mailto:ssaouab@crm.otsuka-europe.com", "ssaouab@crm.otsuka-europe.com")</f>
        <v>ssaouab@crm.otsuka-europe.com</v>
      </c>
      <c r="N7750" s="13">
        <v>46182.755937499998</v>
      </c>
      <c r="O7750" s="14" t="str">
        <f>HYPERLINK("https://otsuka-europe-crm.veevavault.com/ui/#object/email_activity__v/V8C00000003S276", "EN-002093422")</f>
        <v>EN-002093422</v>
      </c>
    </row>
    <row r="7751" spans="1:15" ht="32" x14ac:dyDescent="0.2">
      <c r="A7751" s="7" t="str">
        <f>HYPERLINK("https://otsuka-europe-crm.veevavault.com/ui/#object/account__v/V4TZ00000633LX4", "NADIR KELLOU")</f>
        <v>NADIR KELLOU</v>
      </c>
      <c r="B7751" s="7" t="str">
        <f>HYPERLINK("https://otsuka-europe-crm.veevavault.com/ui/#object/vcountry__v/VENZ000004SONFA", "FR")</f>
        <v>FR</v>
      </c>
      <c r="C7751" s="8" t="s">
        <v>42</v>
      </c>
      <c r="D7751" s="9" t="str">
        <f>HYPERLINK("https://otsuka-europe-crm.veevavault.com/ui/#object/approved_document__v/V5O00000000P003", "FR-AM2-2500027")</f>
        <v>FR-AM2-2500027</v>
      </c>
      <c r="E7751" s="10" t="str">
        <f>HYPERLINK("https://otsuka-europe-crm.veevavault.com/ui/#object/sent_email__v/VBL00000002S587", "SE-001435114")</f>
        <v>SE-001435114</v>
      </c>
      <c r="F7751" s="11"/>
      <c r="G7751" s="12">
        <v>0</v>
      </c>
      <c r="H7751" s="12">
        <v>0</v>
      </c>
      <c r="I7751" s="12">
        <v>0</v>
      </c>
      <c r="J7751" s="11"/>
      <c r="K7751" s="12">
        <v>0</v>
      </c>
      <c r="L7751" s="10" t="str">
        <f>HYPERLINK("https://otsuka-europe-crm.veevavault.com/ui/#object/approved_document__v/V5O00000000P003", "FR-AM2-2500027")</f>
        <v>FR-AM2-2500027</v>
      </c>
      <c r="M7751" s="10" t="str">
        <f>HYPERLINK("mailto:ssaouab@crm.otsuka-europe.com", "ssaouab@crm.otsuka-europe.com")</f>
        <v>ssaouab@crm.otsuka-europe.com</v>
      </c>
      <c r="N7751" s="13">
        <v>46182.756412037037</v>
      </c>
      <c r="O7751" s="14" t="str">
        <f>HYPERLINK("https://otsuka-europe-crm.veevavault.com/ui/#object/email_activity__v/V8C00000003S279", "EN-002093425")</f>
        <v>EN-002093425</v>
      </c>
    </row>
    <row r="7752" spans="1:15" ht="48" x14ac:dyDescent="0.2">
      <c r="A7752" s="7" t="str">
        <f>HYPERLINK("https://otsuka-europe-crm.veevavault.com/ui/#object/account__v/V4TZ00000634ESD", "FARID KHELOUFI")</f>
        <v>FARID KHELOUFI</v>
      </c>
      <c r="B7752" s="7" t="str">
        <f>HYPERLINK("https://otsuka-europe-crm.veevavault.com/ui/#object/vcountry__v/VENZ000004SONFA", "FR")</f>
        <v>FR</v>
      </c>
      <c r="C7752" s="8" t="s">
        <v>42</v>
      </c>
      <c r="D7752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752" s="10" t="str">
        <f>HYPERLINK("https://otsuka-europe-crm.veevavault.com/ui/#object/sent_email__v/VBL00000002S588", "SE-001435115")</f>
        <v>SE-001435115</v>
      </c>
      <c r="F7752" s="11"/>
      <c r="G7752" s="12">
        <v>0</v>
      </c>
      <c r="H7752" s="12">
        <v>0</v>
      </c>
      <c r="I7752" s="12">
        <v>0</v>
      </c>
      <c r="J7752" s="11"/>
      <c r="K7752" s="12">
        <v>0</v>
      </c>
      <c r="L7752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752" s="10" t="str">
        <f>HYPERLINK("mailto:ssaouab@crm.otsuka-europe.com", "ssaouab@crm.otsuka-europe.com")</f>
        <v>ssaouab@crm.otsuka-europe.com</v>
      </c>
      <c r="N7752" s="13">
        <v>46182.757453703707</v>
      </c>
      <c r="O7752" s="14" t="str">
        <f>HYPERLINK("https://otsuka-europe-crm.veevavault.com/ui/#object/email_activity__v/V8C00000003S280", "EN-002093426")</f>
        <v>EN-002093426</v>
      </c>
    </row>
    <row r="7753" spans="1:15" ht="16" x14ac:dyDescent="0.2">
      <c r="A7753" s="17" t="str">
        <f>HYPERLINK("https://otsuka-europe-crm.veevavault.com/ui/#object/account__v/V4TZ00000634ESD", "FARID KHELOUFI")</f>
        <v>FARID KHELOUFI</v>
      </c>
      <c r="B7753" s="17" t="str">
        <f>HYPERLINK("https://otsuka-europe-crm.veevavault.com/ui/#object/vcountry__v/VENZ000004SONFA", "FR")</f>
        <v>FR</v>
      </c>
      <c r="C7753" s="20" t="s">
        <v>42</v>
      </c>
      <c r="D7753" s="21" t="str">
        <f>HYPERLINK("https://otsuka-europe-crm.veevavault.com/ui/#object/approved_document__v/V5O00000000P003", "FR-AM2-2500027")</f>
        <v>FR-AM2-2500027</v>
      </c>
      <c r="E7753" s="22" t="str">
        <f>HYPERLINK("https://otsuka-europe-crm.veevavault.com/ui/#object/sent_email__v/VBL00000002R499", "SE-001435116")</f>
        <v>SE-001435116</v>
      </c>
      <c r="F7753" s="23">
        <v>46182.761435185188</v>
      </c>
      <c r="G7753" s="24">
        <v>1</v>
      </c>
      <c r="H7753" s="24">
        <v>1</v>
      </c>
      <c r="I7753" s="24">
        <v>0</v>
      </c>
      <c r="J7753" s="25"/>
      <c r="K7753" s="24">
        <v>0</v>
      </c>
      <c r="L7753" s="22" t="str">
        <f>HYPERLINK("https://otsuka-europe-crm.veevavault.com/ui/#object/approved_document__v/V5O00000000P003", "FR-AM2-2500027")</f>
        <v>FR-AM2-2500027</v>
      </c>
      <c r="M7753" s="22" t="str">
        <f>HYPERLINK("mailto:ssaouab@crm.otsuka-europe.com", "ssaouab@crm.otsuka-europe.com")</f>
        <v>ssaouab@crm.otsuka-europe.com</v>
      </c>
      <c r="N7753" s="23">
        <v>46182.757523148146</v>
      </c>
      <c r="O7753" s="14" t="str">
        <f>HYPERLINK("https://otsuka-europe-crm.veevavault.com/ui/#object/email_activity__v/V8C00000003R911", "EN-002093440")</f>
        <v>EN-002093440</v>
      </c>
    </row>
    <row r="7754" spans="1:15" ht="16" x14ac:dyDescent="0.2">
      <c r="A7754" s="19"/>
      <c r="B7754" s="19"/>
      <c r="C7754" s="19"/>
      <c r="D7754" s="19"/>
      <c r="E7754" s="19"/>
      <c r="F7754" s="19"/>
      <c r="G7754" s="19"/>
      <c r="H7754" s="19"/>
      <c r="I7754" s="19"/>
      <c r="J7754" s="19"/>
      <c r="K7754" s="19"/>
      <c r="L7754" s="19"/>
      <c r="M7754" s="19"/>
      <c r="N7754" s="19"/>
      <c r="O7754" s="14" t="str">
        <f>HYPERLINK("https://otsuka-europe-crm.veevavault.com/ui/#object/email_activity__v/V8C00000003S281", "EN-002093427")</f>
        <v>EN-002093427</v>
      </c>
    </row>
    <row r="7755" spans="1:15" ht="48" x14ac:dyDescent="0.2">
      <c r="A7755" s="7" t="str">
        <f>HYPERLINK("https://otsuka-europe-crm.veevavault.com/ui/#object/account__v/V4TZ00000633TBJ", "RADIA KHIROUANI LARBI")</f>
        <v>RADIA KHIROUANI LARBI</v>
      </c>
      <c r="B7755" s="7" t="str">
        <f>HYPERLINK("https://otsuka-europe-crm.veevavault.com/ui/#object/vcountry__v/VENZ000004SONFA", "FR")</f>
        <v>FR</v>
      </c>
      <c r="C7755" s="8" t="s">
        <v>42</v>
      </c>
      <c r="D7755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755" s="10" t="str">
        <f>HYPERLINK("https://otsuka-europe-crm.veevavault.com/ui/#object/sent_email__v/VBL00000002R500", "SE-001435117")</f>
        <v>SE-001435117</v>
      </c>
      <c r="F7755" s="11"/>
      <c r="G7755" s="12">
        <v>0</v>
      </c>
      <c r="H7755" s="12">
        <v>0</v>
      </c>
      <c r="I7755" s="12">
        <v>0</v>
      </c>
      <c r="J7755" s="11"/>
      <c r="K7755" s="12">
        <v>0</v>
      </c>
      <c r="L7755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755" s="10" t="str">
        <f>HYPERLINK("mailto:ssaouab@crm.otsuka-europe.com", "ssaouab@crm.otsuka-europe.com")</f>
        <v>ssaouab@crm.otsuka-europe.com</v>
      </c>
      <c r="N7755" s="13">
        <v>46182.757986111108</v>
      </c>
      <c r="O7755" s="14" t="str">
        <f>HYPERLINK("https://otsuka-europe-crm.veevavault.com/ui/#object/email_activity__v/V8C00000003S282", "EN-002093428")</f>
        <v>EN-002093428</v>
      </c>
    </row>
    <row r="7756" spans="1:15" ht="16" x14ac:dyDescent="0.2">
      <c r="A7756" s="17" t="str">
        <f>HYPERLINK("https://otsuka-europe-crm.veevavault.com/ui/#object/account__v/V4TZ00000633TBJ", "RADIA KHIROUANI LARBI")</f>
        <v>RADIA KHIROUANI LARBI</v>
      </c>
      <c r="B7756" s="17" t="str">
        <f>HYPERLINK("https://otsuka-europe-crm.veevavault.com/ui/#object/vcountry__v/VENZ000004SONFA", "FR")</f>
        <v>FR</v>
      </c>
      <c r="C7756" s="20" t="s">
        <v>42</v>
      </c>
      <c r="D7756" s="21" t="str">
        <f>HYPERLINK("https://otsuka-europe-crm.veevavault.com/ui/#object/approved_document__v/V5O00000000P003", "FR-AM2-2500027")</f>
        <v>FR-AM2-2500027</v>
      </c>
      <c r="E7756" s="22" t="str">
        <f>HYPERLINK("https://otsuka-europe-crm.veevavault.com/ui/#object/sent_email__v/VBL00000002R501", "SE-001435118")</f>
        <v>SE-001435118</v>
      </c>
      <c r="F7756" s="23">
        <v>46190.838217592594</v>
      </c>
      <c r="G7756" s="24">
        <v>1</v>
      </c>
      <c r="H7756" s="24">
        <v>5</v>
      </c>
      <c r="I7756" s="24">
        <v>0</v>
      </c>
      <c r="J7756" s="25"/>
      <c r="K7756" s="24">
        <v>0</v>
      </c>
      <c r="L7756" s="22" t="str">
        <f>HYPERLINK("https://otsuka-europe-crm.veevavault.com/ui/#object/approved_document__v/V5O00000000P003", "FR-AM2-2500027")</f>
        <v>FR-AM2-2500027</v>
      </c>
      <c r="M7756" s="22" t="str">
        <f>HYPERLINK("mailto:ssaouab@crm.otsuka-europe.com", "ssaouab@crm.otsuka-europe.com")</f>
        <v>ssaouab@crm.otsuka-europe.com</v>
      </c>
      <c r="N7756" s="23">
        <v>46182.758136574077</v>
      </c>
      <c r="O7756" s="14" t="str">
        <f>HYPERLINK("https://otsuka-europe-crm.veevavault.com/ui/#object/email_activity__v/V8C00000003S283", "EN-002093429")</f>
        <v>EN-002093429</v>
      </c>
    </row>
    <row r="7757" spans="1:15" ht="16" x14ac:dyDescent="0.2">
      <c r="A7757" s="18"/>
      <c r="B7757" s="18"/>
      <c r="C7757" s="18"/>
      <c r="D7757" s="18"/>
      <c r="E7757" s="18"/>
      <c r="F7757" s="18"/>
      <c r="G7757" s="18"/>
      <c r="H7757" s="18"/>
      <c r="I7757" s="18"/>
      <c r="J7757" s="18"/>
      <c r="K7757" s="18"/>
      <c r="L7757" s="18"/>
      <c r="M7757" s="18"/>
      <c r="N7757" s="18"/>
      <c r="O7757" s="14" t="str">
        <f>HYPERLINK("https://otsuka-europe-crm.veevavault.com/ui/#object/email_activity__v/V8C00000003S757", "EN-002094385")</f>
        <v>EN-002094385</v>
      </c>
    </row>
    <row r="7758" spans="1:15" ht="16" x14ac:dyDescent="0.2">
      <c r="A7758" s="18"/>
      <c r="B7758" s="18"/>
      <c r="C7758" s="18"/>
      <c r="D7758" s="18"/>
      <c r="E7758" s="18"/>
      <c r="F7758" s="18"/>
      <c r="G7758" s="18"/>
      <c r="H7758" s="18"/>
      <c r="I7758" s="18"/>
      <c r="J7758" s="18"/>
      <c r="K7758" s="18"/>
      <c r="L7758" s="18"/>
      <c r="M7758" s="18"/>
      <c r="N7758" s="18"/>
      <c r="O7758" s="14" t="str">
        <f>HYPERLINK("https://otsuka-europe-crm.veevavault.com/ui/#object/email_activity__v/V8C00000003U417", "EN-002095691")</f>
        <v>EN-002095691</v>
      </c>
    </row>
    <row r="7759" spans="1:15" ht="16" x14ac:dyDescent="0.2">
      <c r="A7759" s="18"/>
      <c r="B7759" s="18"/>
      <c r="C7759" s="18"/>
      <c r="D7759" s="18"/>
      <c r="E7759" s="18"/>
      <c r="F7759" s="18"/>
      <c r="G7759" s="18"/>
      <c r="H7759" s="18"/>
      <c r="I7759" s="18"/>
      <c r="J7759" s="18"/>
      <c r="K7759" s="18"/>
      <c r="L7759" s="18"/>
      <c r="M7759" s="18"/>
      <c r="N7759" s="18"/>
      <c r="O7759" s="14" t="str">
        <f>HYPERLINK("https://otsuka-europe-crm.veevavault.com/ui/#object/email_activity__v/V8C00000003U420", "EN-002095697")</f>
        <v>EN-002095697</v>
      </c>
    </row>
    <row r="7760" spans="1:15" ht="16" x14ac:dyDescent="0.2">
      <c r="A7760" s="18"/>
      <c r="B7760" s="18"/>
      <c r="C7760" s="18"/>
      <c r="D7760" s="18"/>
      <c r="E7760" s="18"/>
      <c r="F7760" s="18"/>
      <c r="G7760" s="18"/>
      <c r="H7760" s="18"/>
      <c r="I7760" s="18"/>
      <c r="J7760" s="18"/>
      <c r="K7760" s="18"/>
      <c r="L7760" s="18"/>
      <c r="M7760" s="18"/>
      <c r="N7760" s="18"/>
      <c r="O7760" s="14" t="str">
        <f>HYPERLINK("https://otsuka-europe-crm.veevavault.com/ui/#object/email_activity__v/V8C00000003V462", "EN-002095698")</f>
        <v>EN-002095698</v>
      </c>
    </row>
    <row r="7761" spans="1:15" ht="16" x14ac:dyDescent="0.2">
      <c r="A7761" s="19"/>
      <c r="B7761" s="19"/>
      <c r="C7761" s="19"/>
      <c r="D7761" s="19"/>
      <c r="E7761" s="19"/>
      <c r="F7761" s="19"/>
      <c r="G7761" s="19"/>
      <c r="H7761" s="19"/>
      <c r="I7761" s="19"/>
      <c r="J7761" s="19"/>
      <c r="K7761" s="19"/>
      <c r="L7761" s="19"/>
      <c r="M7761" s="19"/>
      <c r="N7761" s="19"/>
      <c r="O7761" s="14" t="str">
        <f>HYPERLINK("https://otsuka-europe-crm.veevavault.com/ui/#object/email_activity__v/V8C00000003X935", "EN-002098487")</f>
        <v>EN-002098487</v>
      </c>
    </row>
    <row r="7762" spans="1:15" ht="16" x14ac:dyDescent="0.2">
      <c r="A7762" s="17" t="str">
        <f>HYPERLINK("https://otsuka-europe-crm.veevavault.com/ui/#object/account__v/V4TZ06G6OBU5JY6", "DALIDA KIBOKELA")</f>
        <v>DALIDA KIBOKELA</v>
      </c>
      <c r="B7762" s="17" t="str">
        <f>HYPERLINK("https://otsuka-europe-crm.veevavault.com/ui/#object/vcountry__v/VENZ000004SONFA", "FR")</f>
        <v>FR</v>
      </c>
      <c r="C7762" s="20" t="s">
        <v>42</v>
      </c>
      <c r="D7762" s="21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762" s="22" t="str">
        <f>HYPERLINK("https://otsuka-europe-crm.veevavault.com/ui/#object/sent_email__v/VBL00000002R502", "SE-001435119")</f>
        <v>SE-001435119</v>
      </c>
      <c r="F7762" s="23">
        <v>46184.574317129627</v>
      </c>
      <c r="G7762" s="24">
        <v>1</v>
      </c>
      <c r="H7762" s="24">
        <v>11</v>
      </c>
      <c r="I7762" s="24">
        <v>1</v>
      </c>
      <c r="J7762" s="23">
        <v>46182.921875</v>
      </c>
      <c r="K7762" s="24">
        <v>2</v>
      </c>
      <c r="L7762" s="22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762" s="22" t="str">
        <f>HYPERLINK("mailto:ssaouab@crm.otsuka-europe.com", "ssaouab@crm.otsuka-europe.com")</f>
        <v>ssaouab@crm.otsuka-europe.com</v>
      </c>
      <c r="N7762" s="23">
        <v>46182.758506944447</v>
      </c>
      <c r="O7762" s="14" t="str">
        <f>HYPERLINK("https://otsuka-europe-crm.veevavault.com/ui/#object/email_activity__v/V8C00000003R986", "EN-002093549")</f>
        <v>EN-002093549</v>
      </c>
    </row>
    <row r="7763" spans="1:15" ht="16" x14ac:dyDescent="0.2">
      <c r="A7763" s="18"/>
      <c r="B7763" s="18"/>
      <c r="C7763" s="18"/>
      <c r="D7763" s="18"/>
      <c r="E7763" s="18"/>
      <c r="F7763" s="18"/>
      <c r="G7763" s="18"/>
      <c r="H7763" s="18"/>
      <c r="I7763" s="18"/>
      <c r="J7763" s="18"/>
      <c r="K7763" s="18"/>
      <c r="L7763" s="18"/>
      <c r="M7763" s="18"/>
      <c r="N7763" s="18"/>
      <c r="O7763" s="14" t="str">
        <f>HYPERLINK("https://otsuka-europe-crm.veevavault.com/ui/#object/email_activity__v/V8C00000003R988", "EN-002093551")</f>
        <v>EN-002093551</v>
      </c>
    </row>
    <row r="7764" spans="1:15" ht="16" x14ac:dyDescent="0.2">
      <c r="A7764" s="18"/>
      <c r="B7764" s="18"/>
      <c r="C7764" s="18"/>
      <c r="D7764" s="18"/>
      <c r="E7764" s="18"/>
      <c r="F7764" s="18"/>
      <c r="G7764" s="18"/>
      <c r="H7764" s="18"/>
      <c r="I7764" s="18"/>
      <c r="J7764" s="18"/>
      <c r="K7764" s="18"/>
      <c r="L7764" s="18"/>
      <c r="M7764" s="18"/>
      <c r="N7764" s="18"/>
      <c r="O7764" s="14" t="str">
        <f>HYPERLINK("https://otsuka-europe-crm.veevavault.com/ui/#object/email_activity__v/V8C00000003S285", "EN-002093431")</f>
        <v>EN-002093431</v>
      </c>
    </row>
    <row r="7765" spans="1:15" ht="16" x14ac:dyDescent="0.2">
      <c r="A7765" s="18"/>
      <c r="B7765" s="18"/>
      <c r="C7765" s="18"/>
      <c r="D7765" s="18"/>
      <c r="E7765" s="18"/>
      <c r="F7765" s="18"/>
      <c r="G7765" s="18"/>
      <c r="H7765" s="18"/>
      <c r="I7765" s="18"/>
      <c r="J7765" s="18"/>
      <c r="K7765" s="18"/>
      <c r="L7765" s="18"/>
      <c r="M7765" s="18"/>
      <c r="N7765" s="18"/>
      <c r="O7765" s="14" t="str">
        <f>HYPERLINK("https://otsuka-europe-crm.veevavault.com/ui/#object/email_activity__v/V8C00000003S400", "EN-002093711")</f>
        <v>EN-002093711</v>
      </c>
    </row>
    <row r="7766" spans="1:15" ht="16" x14ac:dyDescent="0.2">
      <c r="A7766" s="18"/>
      <c r="B7766" s="18"/>
      <c r="C7766" s="18"/>
      <c r="D7766" s="18"/>
      <c r="E7766" s="18"/>
      <c r="F7766" s="18"/>
      <c r="G7766" s="18"/>
      <c r="H7766" s="18"/>
      <c r="I7766" s="18"/>
      <c r="J7766" s="18"/>
      <c r="K7766" s="18"/>
      <c r="L7766" s="18"/>
      <c r="M7766" s="18"/>
      <c r="N7766" s="18"/>
      <c r="O7766" s="14" t="str">
        <f>HYPERLINK("https://otsuka-europe-crm.veevavault.com/ui/#object/email_activity__v/V8C00000003S401", "EN-002093712")</f>
        <v>EN-002093712</v>
      </c>
    </row>
    <row r="7767" spans="1:15" ht="16" x14ac:dyDescent="0.2">
      <c r="A7767" s="18"/>
      <c r="B7767" s="18"/>
      <c r="C7767" s="18"/>
      <c r="D7767" s="18"/>
      <c r="E7767" s="18"/>
      <c r="F7767" s="18"/>
      <c r="G7767" s="18"/>
      <c r="H7767" s="18"/>
      <c r="I7767" s="18"/>
      <c r="J7767" s="18"/>
      <c r="K7767" s="18"/>
      <c r="L7767" s="18"/>
      <c r="M7767" s="18"/>
      <c r="N7767" s="18"/>
      <c r="O7767" s="14" t="str">
        <f>HYPERLINK("https://otsuka-europe-crm.veevavault.com/ui/#object/email_activity__v/V8C00000003S402", "EN-002093714")</f>
        <v>EN-002093714</v>
      </c>
    </row>
    <row r="7768" spans="1:15" ht="16" x14ac:dyDescent="0.2">
      <c r="A7768" s="18"/>
      <c r="B7768" s="18"/>
      <c r="C7768" s="18"/>
      <c r="D7768" s="18"/>
      <c r="E7768" s="18"/>
      <c r="F7768" s="18"/>
      <c r="G7768" s="18"/>
      <c r="H7768" s="18"/>
      <c r="I7768" s="18"/>
      <c r="J7768" s="18"/>
      <c r="K7768" s="18"/>
      <c r="L7768" s="18"/>
      <c r="M7768" s="18"/>
      <c r="N7768" s="18"/>
      <c r="O7768" s="14" t="str">
        <f>HYPERLINK("https://otsuka-europe-crm.veevavault.com/ui/#object/email_activity__v/V8C00000003S403", "EN-002093715")</f>
        <v>EN-002093715</v>
      </c>
    </row>
    <row r="7769" spans="1:15" ht="16" x14ac:dyDescent="0.2">
      <c r="A7769" s="18"/>
      <c r="B7769" s="18"/>
      <c r="C7769" s="18"/>
      <c r="D7769" s="18"/>
      <c r="E7769" s="18"/>
      <c r="F7769" s="18"/>
      <c r="G7769" s="18"/>
      <c r="H7769" s="18"/>
      <c r="I7769" s="18"/>
      <c r="J7769" s="18"/>
      <c r="K7769" s="18"/>
      <c r="L7769" s="18"/>
      <c r="M7769" s="18"/>
      <c r="N7769" s="18"/>
      <c r="O7769" s="14" t="str">
        <f>HYPERLINK("https://otsuka-europe-crm.veevavault.com/ui/#object/email_activity__v/V8C00000003S404", "EN-002093716")</f>
        <v>EN-002093716</v>
      </c>
    </row>
    <row r="7770" spans="1:15" ht="16" x14ac:dyDescent="0.2">
      <c r="A7770" s="18"/>
      <c r="B7770" s="18"/>
      <c r="C7770" s="18"/>
      <c r="D7770" s="18"/>
      <c r="E7770" s="18"/>
      <c r="F7770" s="18"/>
      <c r="G7770" s="18"/>
      <c r="H7770" s="18"/>
      <c r="I7770" s="18"/>
      <c r="J7770" s="18"/>
      <c r="K7770" s="18"/>
      <c r="L7770" s="18"/>
      <c r="M7770" s="18"/>
      <c r="N7770" s="18"/>
      <c r="O7770" s="14" t="str">
        <f>HYPERLINK("https://otsuka-europe-crm.veevavault.com/ui/#object/email_activity__v/V8C00000003S424", "EN-002093757")</f>
        <v>EN-002093757</v>
      </c>
    </row>
    <row r="7771" spans="1:15" ht="16" x14ac:dyDescent="0.2">
      <c r="A7771" s="18"/>
      <c r="B7771" s="18"/>
      <c r="C7771" s="18"/>
      <c r="D7771" s="18"/>
      <c r="E7771" s="18"/>
      <c r="F7771" s="18"/>
      <c r="G7771" s="18"/>
      <c r="H7771" s="18"/>
      <c r="I7771" s="18"/>
      <c r="J7771" s="18"/>
      <c r="K7771" s="18"/>
      <c r="L7771" s="18"/>
      <c r="M7771" s="18"/>
      <c r="N7771" s="18"/>
      <c r="O7771" s="14" t="str">
        <f>HYPERLINK("https://otsuka-europe-crm.veevavault.com/ui/#object/email_activity__v/V8C00000003S931", "EN-002094705")</f>
        <v>EN-002094705</v>
      </c>
    </row>
    <row r="7772" spans="1:15" ht="16" x14ac:dyDescent="0.2">
      <c r="A7772" s="18"/>
      <c r="B7772" s="18"/>
      <c r="C7772" s="18"/>
      <c r="D7772" s="18"/>
      <c r="E7772" s="18"/>
      <c r="F7772" s="18"/>
      <c r="G7772" s="18"/>
      <c r="H7772" s="18"/>
      <c r="I7772" s="18"/>
      <c r="J7772" s="18"/>
      <c r="K7772" s="18"/>
      <c r="L7772" s="18"/>
      <c r="M7772" s="18"/>
      <c r="N7772" s="18"/>
      <c r="O7772" s="14" t="str">
        <f>HYPERLINK("https://otsuka-europe-crm.veevavault.com/ui/#object/email_activity__v/V8C00000003T043", "EN-002093661")</f>
        <v>EN-002093661</v>
      </c>
    </row>
    <row r="7773" spans="1:15" ht="16" x14ac:dyDescent="0.2">
      <c r="A7773" s="18"/>
      <c r="B7773" s="18"/>
      <c r="C7773" s="18"/>
      <c r="D7773" s="18"/>
      <c r="E7773" s="18"/>
      <c r="F7773" s="18"/>
      <c r="G7773" s="18"/>
      <c r="H7773" s="18"/>
      <c r="I7773" s="18"/>
      <c r="J7773" s="18"/>
      <c r="K7773" s="18"/>
      <c r="L7773" s="18"/>
      <c r="M7773" s="18"/>
      <c r="N7773" s="18"/>
      <c r="O7773" s="14" t="str">
        <f>HYPERLINK("https://otsuka-europe-crm.veevavault.com/ui/#object/email_activity__v/V8C00000003T077", "EN-002093713")</f>
        <v>EN-002093713</v>
      </c>
    </row>
    <row r="7774" spans="1:15" ht="16" x14ac:dyDescent="0.2">
      <c r="A7774" s="18"/>
      <c r="B7774" s="18"/>
      <c r="C7774" s="18"/>
      <c r="D7774" s="18"/>
      <c r="E7774" s="18"/>
      <c r="F7774" s="18"/>
      <c r="G7774" s="18"/>
      <c r="H7774" s="18"/>
      <c r="I7774" s="18"/>
      <c r="J7774" s="18"/>
      <c r="K7774" s="18"/>
      <c r="L7774" s="18"/>
      <c r="M7774" s="18"/>
      <c r="N7774" s="18"/>
      <c r="O7774" s="14" t="str">
        <f>HYPERLINK("https://otsuka-europe-crm.veevavault.com/ui/#object/email_activity__v/V8C00000003T091", "EN-002093747")</f>
        <v>EN-002093747</v>
      </c>
    </row>
    <row r="7775" spans="1:15" ht="16" x14ac:dyDescent="0.2">
      <c r="A7775" s="19"/>
      <c r="B7775" s="19"/>
      <c r="C7775" s="19"/>
      <c r="D7775" s="19"/>
      <c r="E7775" s="19"/>
      <c r="F7775" s="19"/>
      <c r="G7775" s="19"/>
      <c r="H7775" s="19"/>
      <c r="I7775" s="19"/>
      <c r="J7775" s="19"/>
      <c r="K7775" s="19"/>
      <c r="L7775" s="19"/>
      <c r="M7775" s="19"/>
      <c r="N7775" s="19"/>
      <c r="O7775" s="14" t="str">
        <f>HYPERLINK("https://otsuka-europe-crm.veevavault.com/ui/#object/email_activity__v/V8C00000003T540", "EN-002094706")</f>
        <v>EN-002094706</v>
      </c>
    </row>
    <row r="7776" spans="1:15" ht="16" x14ac:dyDescent="0.2">
      <c r="A7776" s="17" t="str">
        <f>HYPERLINK("https://otsuka-europe-crm.veevavault.com/ui/#object/account__v/V4TZ06G6OBU5JY6", "DALIDA KIBOKELA")</f>
        <v>DALIDA KIBOKELA</v>
      </c>
      <c r="B7776" s="17" t="str">
        <f>HYPERLINK("https://otsuka-europe-crm.veevavault.com/ui/#object/vcountry__v/VENZ000004SONFA", "FR")</f>
        <v>FR</v>
      </c>
      <c r="C7776" s="20" t="s">
        <v>42</v>
      </c>
      <c r="D7776" s="21" t="str">
        <f>HYPERLINK("https://otsuka-europe-crm.veevavault.com/ui/#object/approved_document__v/V5O00000000P003", "FR-AM2-2500027")</f>
        <v>FR-AM2-2500027</v>
      </c>
      <c r="E7776" s="22" t="str">
        <f>HYPERLINK("https://otsuka-europe-crm.veevavault.com/ui/#object/sent_email__v/VBL00000002R503", "SE-001435120")</f>
        <v>SE-001435120</v>
      </c>
      <c r="F7776" s="23">
        <v>46182.832291666666</v>
      </c>
      <c r="G7776" s="24">
        <v>1</v>
      </c>
      <c r="H7776" s="24">
        <v>2</v>
      </c>
      <c r="I7776" s="24">
        <v>0</v>
      </c>
      <c r="J7776" s="25"/>
      <c r="K7776" s="24">
        <v>0</v>
      </c>
      <c r="L7776" s="22" t="str">
        <f>HYPERLINK("https://otsuka-europe-crm.veevavault.com/ui/#object/approved_document__v/V5O00000000P003", "FR-AM2-2500027")</f>
        <v>FR-AM2-2500027</v>
      </c>
      <c r="M7776" s="22" t="str">
        <f>HYPERLINK("mailto:ssaouab@crm.otsuka-europe.com", "ssaouab@crm.otsuka-europe.com")</f>
        <v>ssaouab@crm.otsuka-europe.com</v>
      </c>
      <c r="N7776" s="23">
        <v>46182.758576388886</v>
      </c>
      <c r="O7776" s="14" t="str">
        <f>HYPERLINK("https://otsuka-europe-crm.veevavault.com/ui/#object/email_activity__v/V8C00000003R987", "EN-002093550")</f>
        <v>EN-002093550</v>
      </c>
    </row>
    <row r="7777" spans="1:15" ht="16" x14ac:dyDescent="0.2">
      <c r="A7777" s="18"/>
      <c r="B7777" s="18"/>
      <c r="C7777" s="18"/>
      <c r="D7777" s="18"/>
      <c r="E7777" s="18"/>
      <c r="F7777" s="18"/>
      <c r="G7777" s="18"/>
      <c r="H7777" s="18"/>
      <c r="I7777" s="18"/>
      <c r="J7777" s="18"/>
      <c r="K7777" s="18"/>
      <c r="L7777" s="18"/>
      <c r="M7777" s="18"/>
      <c r="N7777" s="18"/>
      <c r="O7777" s="14" t="str">
        <f>HYPERLINK("https://otsuka-europe-crm.veevavault.com/ui/#object/email_activity__v/V8C00000003S284", "EN-002093430")</f>
        <v>EN-002093430</v>
      </c>
    </row>
    <row r="7778" spans="1:15" ht="16" x14ac:dyDescent="0.2">
      <c r="A7778" s="19"/>
      <c r="B7778" s="19"/>
      <c r="C7778" s="19"/>
      <c r="D7778" s="19"/>
      <c r="E7778" s="19"/>
      <c r="F7778" s="19"/>
      <c r="G7778" s="19"/>
      <c r="H7778" s="19"/>
      <c r="I7778" s="19"/>
      <c r="J7778" s="19"/>
      <c r="K7778" s="19"/>
      <c r="L7778" s="19"/>
      <c r="M7778" s="19"/>
      <c r="N7778" s="19"/>
      <c r="O7778" s="14" t="str">
        <f>HYPERLINK("https://otsuka-europe-crm.veevavault.com/ui/#object/email_activity__v/V8C00000003T044", "EN-002093662")</f>
        <v>EN-002093662</v>
      </c>
    </row>
    <row r="7779" spans="1:15" ht="16" x14ac:dyDescent="0.2">
      <c r="A7779" s="17" t="str">
        <f>HYPERLINK("https://otsuka-europe-crm.veevavault.com/ui/#object/account__v/V4TZ025E82BP0K9", "MARIE KOEVOGUI")</f>
        <v>MARIE KOEVOGUI</v>
      </c>
      <c r="B7779" s="17" t="str">
        <f>HYPERLINK("https://otsuka-europe-crm.veevavault.com/ui/#object/vcountry__v/VENZ000004SONFA", "FR")</f>
        <v>FR</v>
      </c>
      <c r="C7779" s="20" t="s">
        <v>42</v>
      </c>
      <c r="D7779" s="21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779" s="22" t="str">
        <f>HYPERLINK("https://otsuka-europe-crm.veevavault.com/ui/#object/sent_email__v/VBL00000002R504", "SE-001435121")</f>
        <v>SE-001435121</v>
      </c>
      <c r="F7779" s="23">
        <v>46184.272858796299</v>
      </c>
      <c r="G7779" s="24">
        <v>1</v>
      </c>
      <c r="H7779" s="24">
        <v>1</v>
      </c>
      <c r="I7779" s="24">
        <v>0</v>
      </c>
      <c r="J7779" s="25"/>
      <c r="K7779" s="24">
        <v>0</v>
      </c>
      <c r="L7779" s="22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779" s="22" t="str">
        <f>HYPERLINK("mailto:ssaouab@crm.otsuka-europe.com", "ssaouab@crm.otsuka-europe.com")</f>
        <v>ssaouab@crm.otsuka-europe.com</v>
      </c>
      <c r="N7779" s="23">
        <v>46182.759027777778</v>
      </c>
      <c r="O7779" s="14" t="str">
        <f>HYPERLINK("https://otsuka-europe-crm.veevavault.com/ui/#object/email_activity__v/V8C00000003S286", "EN-002093432")</f>
        <v>EN-002093432</v>
      </c>
    </row>
    <row r="7780" spans="1:15" ht="16" x14ac:dyDescent="0.2">
      <c r="A7780" s="19"/>
      <c r="B7780" s="19"/>
      <c r="C7780" s="19"/>
      <c r="D7780" s="19"/>
      <c r="E7780" s="19"/>
      <c r="F7780" s="19"/>
      <c r="G7780" s="19"/>
      <c r="H7780" s="19"/>
      <c r="I7780" s="19"/>
      <c r="J7780" s="19"/>
      <c r="K7780" s="19"/>
      <c r="L7780" s="19"/>
      <c r="M7780" s="19"/>
      <c r="N7780" s="19"/>
      <c r="O7780" s="14" t="str">
        <f>HYPERLINK("https://otsuka-europe-crm.veevavault.com/ui/#object/email_activity__v/V8C00000003T432", "EN-002094480")</f>
        <v>EN-002094480</v>
      </c>
    </row>
    <row r="7781" spans="1:15" ht="16" x14ac:dyDescent="0.2">
      <c r="A7781" s="17" t="str">
        <f>HYPERLINK("https://otsuka-europe-crm.veevavault.com/ui/#object/account__v/V4TZ025E82BP0K9", "MARIE KOEVOGUI")</f>
        <v>MARIE KOEVOGUI</v>
      </c>
      <c r="B7781" s="17" t="str">
        <f>HYPERLINK("https://otsuka-europe-crm.veevavault.com/ui/#object/vcountry__v/VENZ000004SONFA", "FR")</f>
        <v>FR</v>
      </c>
      <c r="C7781" s="20" t="s">
        <v>42</v>
      </c>
      <c r="D7781" s="21" t="str">
        <f>HYPERLINK("https://otsuka-europe-crm.veevavault.com/ui/#object/approved_document__v/V5O00000000P003", "FR-AM2-2500027")</f>
        <v>FR-AM2-2500027</v>
      </c>
      <c r="E7781" s="22" t="str">
        <f>HYPERLINK("https://otsuka-europe-crm.veevavault.com/ui/#object/sent_email__v/VBL00000002R505", "SE-001435122")</f>
        <v>SE-001435122</v>
      </c>
      <c r="F7781" s="23">
        <v>46185.451932870368</v>
      </c>
      <c r="G7781" s="24">
        <v>1</v>
      </c>
      <c r="H7781" s="24">
        <v>1</v>
      </c>
      <c r="I7781" s="24">
        <v>0</v>
      </c>
      <c r="J7781" s="25"/>
      <c r="K7781" s="24">
        <v>0</v>
      </c>
      <c r="L7781" s="22" t="str">
        <f>HYPERLINK("https://otsuka-europe-crm.veevavault.com/ui/#object/approved_document__v/V5O00000000P003", "FR-AM2-2500027")</f>
        <v>FR-AM2-2500027</v>
      </c>
      <c r="M7781" s="22" t="str">
        <f>HYPERLINK("mailto:ssaouab@crm.otsuka-europe.com", "ssaouab@crm.otsuka-europe.com")</f>
        <v>ssaouab@crm.otsuka-europe.com</v>
      </c>
      <c r="N7781" s="23">
        <v>46182.759780092594</v>
      </c>
      <c r="O7781" s="14" t="str">
        <f>HYPERLINK("https://otsuka-europe-crm.veevavault.com/ui/#object/email_activity__v/V8C00000003S287", "EN-002093433")</f>
        <v>EN-002093433</v>
      </c>
    </row>
    <row r="7782" spans="1:15" ht="16" x14ac:dyDescent="0.2">
      <c r="A7782" s="19"/>
      <c r="B7782" s="19"/>
      <c r="C7782" s="19"/>
      <c r="D7782" s="19"/>
      <c r="E7782" s="19"/>
      <c r="F7782" s="19"/>
      <c r="G7782" s="19"/>
      <c r="H7782" s="19"/>
      <c r="I7782" s="19"/>
      <c r="J7782" s="19"/>
      <c r="K7782" s="19"/>
      <c r="L7782" s="19"/>
      <c r="M7782" s="19"/>
      <c r="N7782" s="19"/>
      <c r="O7782" s="14" t="str">
        <f>HYPERLINK("https://otsuka-europe-crm.veevavault.com/ui/#object/email_activity__v/V8C00000003V286", "EN-002095351")</f>
        <v>EN-002095351</v>
      </c>
    </row>
    <row r="7783" spans="1:15" ht="48" x14ac:dyDescent="0.2">
      <c r="A7783" s="7" t="str">
        <f>HYPERLINK("https://otsuka-europe-crm.veevavault.com/ui/#object/account__v/V4TZ00000633TQX", "RADWAN KOUBA")</f>
        <v>RADWAN KOUBA</v>
      </c>
      <c r="B7783" s="7" t="str">
        <f t="shared" ref="B7783:B7788" si="640">HYPERLINK("https://otsuka-europe-crm.veevavault.com/ui/#object/vcountry__v/VENZ000004SONFA", "FR")</f>
        <v>FR</v>
      </c>
      <c r="C7783" s="8" t="s">
        <v>42</v>
      </c>
      <c r="D7783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783" s="10" t="str">
        <f>HYPERLINK("https://otsuka-europe-crm.veevavault.com/ui/#object/sent_email__v/VBL00000002R506", "SE-001435123")</f>
        <v>SE-001435123</v>
      </c>
      <c r="F7783" s="11"/>
      <c r="G7783" s="12">
        <v>0</v>
      </c>
      <c r="H7783" s="12">
        <v>0</v>
      </c>
      <c r="I7783" s="12">
        <v>0</v>
      </c>
      <c r="J7783" s="11"/>
      <c r="K7783" s="12">
        <v>0</v>
      </c>
      <c r="L7783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783" s="10" t="str">
        <f t="shared" ref="M7783:M7788" si="641">HYPERLINK("mailto:ssaouab@crm.otsuka-europe.com", "ssaouab@crm.otsuka-europe.com")</f>
        <v>ssaouab@crm.otsuka-europe.com</v>
      </c>
      <c r="N7783" s="13">
        <v>46182.760069444441</v>
      </c>
      <c r="O7783" s="14" t="str">
        <f>HYPERLINK("https://otsuka-europe-crm.veevavault.com/ui/#object/email_activity__v/V8C00000003S288", "EN-002093434")</f>
        <v>EN-002093434</v>
      </c>
    </row>
    <row r="7784" spans="1:15" ht="32" x14ac:dyDescent="0.2">
      <c r="A7784" s="7" t="str">
        <f>HYPERLINK("https://otsuka-europe-crm.veevavault.com/ui/#object/account__v/V4TZ00000633TQX", "RADWAN KOUBA")</f>
        <v>RADWAN KOUBA</v>
      </c>
      <c r="B7784" s="7" t="str">
        <f t="shared" si="640"/>
        <v>FR</v>
      </c>
      <c r="C7784" s="8" t="s">
        <v>42</v>
      </c>
      <c r="D7784" s="9" t="str">
        <f>HYPERLINK("https://otsuka-europe-crm.veevavault.com/ui/#object/approved_document__v/V5O00000000P003", "FR-AM2-2500027")</f>
        <v>FR-AM2-2500027</v>
      </c>
      <c r="E7784" s="10" t="str">
        <f>HYPERLINK("https://otsuka-europe-crm.veevavault.com/ui/#object/sent_email__v/VBL00000002R507", "SE-001435124")</f>
        <v>SE-001435124</v>
      </c>
      <c r="F7784" s="11"/>
      <c r="G7784" s="12">
        <v>0</v>
      </c>
      <c r="H7784" s="12">
        <v>0</v>
      </c>
      <c r="I7784" s="12">
        <v>0</v>
      </c>
      <c r="J7784" s="11"/>
      <c r="K7784" s="12">
        <v>0</v>
      </c>
      <c r="L7784" s="10" t="str">
        <f>HYPERLINK("https://otsuka-europe-crm.veevavault.com/ui/#object/approved_document__v/V5O00000000P003", "FR-AM2-2500027")</f>
        <v>FR-AM2-2500027</v>
      </c>
      <c r="M7784" s="10" t="str">
        <f t="shared" si="641"/>
        <v>ssaouab@crm.otsuka-europe.com</v>
      </c>
      <c r="N7784" s="13">
        <v>46182.760312500002</v>
      </c>
      <c r="O7784" s="14" t="str">
        <f>HYPERLINK("https://otsuka-europe-crm.veevavault.com/ui/#object/email_activity__v/V8C00000003S290", "EN-002093436")</f>
        <v>EN-002093436</v>
      </c>
    </row>
    <row r="7785" spans="1:15" ht="48" x14ac:dyDescent="0.2">
      <c r="A7785" s="7" t="str">
        <f>HYPERLINK("https://otsuka-europe-crm.veevavault.com/ui/#object/account__v/V4TZ04ASG9MD95U", "IBTISSAM KOUBBA")</f>
        <v>IBTISSAM KOUBBA</v>
      </c>
      <c r="B7785" s="7" t="str">
        <f t="shared" si="640"/>
        <v>FR</v>
      </c>
      <c r="C7785" s="8" t="s">
        <v>42</v>
      </c>
      <c r="D7785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785" s="10" t="str">
        <f>HYPERLINK("https://otsuka-europe-crm.veevavault.com/ui/#object/sent_email__v/VBL00000002S589", "SE-001435125")</f>
        <v>SE-001435125</v>
      </c>
      <c r="F7785" s="11"/>
      <c r="G7785" s="12">
        <v>0</v>
      </c>
      <c r="H7785" s="12">
        <v>0</v>
      </c>
      <c r="I7785" s="12">
        <v>0</v>
      </c>
      <c r="J7785" s="11"/>
      <c r="K7785" s="12">
        <v>0</v>
      </c>
      <c r="L7785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785" s="10" t="str">
        <f t="shared" si="641"/>
        <v>ssaouab@crm.otsuka-europe.com</v>
      </c>
      <c r="N7785" s="13">
        <v>46182.76059027778</v>
      </c>
      <c r="O7785" s="14" t="str">
        <f>HYPERLINK("https://otsuka-europe-crm.veevavault.com/ui/#object/email_activity__v/V8C00000003S291", "EN-002093437")</f>
        <v>EN-002093437</v>
      </c>
    </row>
    <row r="7786" spans="1:15" ht="32" x14ac:dyDescent="0.2">
      <c r="A7786" s="7" t="str">
        <f>HYPERLINK("https://otsuka-europe-crm.veevavault.com/ui/#object/account__v/V4TZ04ASG9MD95U", "IBTISSAM KOUBBA")</f>
        <v>IBTISSAM KOUBBA</v>
      </c>
      <c r="B7786" s="7" t="str">
        <f t="shared" si="640"/>
        <v>FR</v>
      </c>
      <c r="C7786" s="8" t="s">
        <v>42</v>
      </c>
      <c r="D7786" s="9" t="str">
        <f>HYPERLINK("https://otsuka-europe-crm.veevavault.com/ui/#object/approved_document__v/V5O00000000P003", "FR-AM2-2500027")</f>
        <v>FR-AM2-2500027</v>
      </c>
      <c r="E7786" s="10" t="str">
        <f>HYPERLINK("https://otsuka-europe-crm.veevavault.com/ui/#object/sent_email__v/VBL00000002S590", "SE-001435126")</f>
        <v>SE-001435126</v>
      </c>
      <c r="F7786" s="11"/>
      <c r="G7786" s="12">
        <v>0</v>
      </c>
      <c r="H7786" s="12">
        <v>0</v>
      </c>
      <c r="I7786" s="12">
        <v>0</v>
      </c>
      <c r="J7786" s="11"/>
      <c r="K7786" s="12">
        <v>0</v>
      </c>
      <c r="L7786" s="10" t="str">
        <f>HYPERLINK("https://otsuka-europe-crm.veevavault.com/ui/#object/approved_document__v/V5O00000000P003", "FR-AM2-2500027")</f>
        <v>FR-AM2-2500027</v>
      </c>
      <c r="M7786" s="10" t="str">
        <f t="shared" si="641"/>
        <v>ssaouab@crm.otsuka-europe.com</v>
      </c>
      <c r="N7786" s="13">
        <v>46182.760798611111</v>
      </c>
      <c r="O7786" s="14" t="str">
        <f>HYPERLINK("https://otsuka-europe-crm.veevavault.com/ui/#object/email_activity__v/V8C00000003S292", "EN-002093438")</f>
        <v>EN-002093438</v>
      </c>
    </row>
    <row r="7787" spans="1:15" ht="48" x14ac:dyDescent="0.2">
      <c r="A7787" s="7" t="str">
        <f>HYPERLINK("https://otsuka-europe-crm.veevavault.com/ui/#object/account__v/V4TZ00000633UG9", "ABDELHAKIM LAMRI")</f>
        <v>ABDELHAKIM LAMRI</v>
      </c>
      <c r="B7787" s="7" t="str">
        <f t="shared" si="640"/>
        <v>FR</v>
      </c>
      <c r="C7787" s="8" t="s">
        <v>42</v>
      </c>
      <c r="D7787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787" s="10" t="str">
        <f>HYPERLINK("https://otsuka-europe-crm.veevavault.com/ui/#object/sent_email__v/VBL00000002S591", "SE-001435127")</f>
        <v>SE-001435127</v>
      </c>
      <c r="F7787" s="11"/>
      <c r="G7787" s="12">
        <v>0</v>
      </c>
      <c r="H7787" s="12">
        <v>0</v>
      </c>
      <c r="I7787" s="12">
        <v>0</v>
      </c>
      <c r="J7787" s="11"/>
      <c r="K7787" s="12">
        <v>0</v>
      </c>
      <c r="L7787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787" s="10" t="str">
        <f t="shared" si="641"/>
        <v>ssaouab@crm.otsuka-europe.com</v>
      </c>
      <c r="N7787" s="13">
        <v>46182.761469907404</v>
      </c>
      <c r="O7787" s="14" t="str">
        <f>HYPERLINK("https://otsuka-europe-crm.veevavault.com/ui/#object/email_activity__v/V8C00000003S293", "EN-002093439")</f>
        <v>EN-002093439</v>
      </c>
    </row>
    <row r="7788" spans="1:15" ht="16" x14ac:dyDescent="0.2">
      <c r="A7788" s="17" t="str">
        <f>HYPERLINK("https://otsuka-europe-crm.veevavault.com/ui/#object/account__v/V4TZ00000633UG9", "ABDELHAKIM LAMRI")</f>
        <v>ABDELHAKIM LAMRI</v>
      </c>
      <c r="B7788" s="17" t="str">
        <f t="shared" si="640"/>
        <v>FR</v>
      </c>
      <c r="C7788" s="20" t="s">
        <v>42</v>
      </c>
      <c r="D7788" s="21" t="str">
        <f>HYPERLINK("https://otsuka-europe-crm.veevavault.com/ui/#object/approved_document__v/V5O00000000P003", "FR-AM2-2500027")</f>
        <v>FR-AM2-2500027</v>
      </c>
      <c r="E7788" s="22" t="str">
        <f>HYPERLINK("https://otsuka-europe-crm.veevavault.com/ui/#object/sent_email__v/VBL00000002S592", "SE-001435128")</f>
        <v>SE-001435128</v>
      </c>
      <c r="F7788" s="23">
        <v>46182.905717592592</v>
      </c>
      <c r="G7788" s="24">
        <v>1</v>
      </c>
      <c r="H7788" s="24">
        <v>1</v>
      </c>
      <c r="I7788" s="24">
        <v>0</v>
      </c>
      <c r="J7788" s="25"/>
      <c r="K7788" s="24">
        <v>0</v>
      </c>
      <c r="L7788" s="22" t="str">
        <f>HYPERLINK("https://otsuka-europe-crm.veevavault.com/ui/#object/approved_document__v/V5O00000000P003", "FR-AM2-2500027")</f>
        <v>FR-AM2-2500027</v>
      </c>
      <c r="M7788" s="22" t="str">
        <f t="shared" si="641"/>
        <v>ssaouab@crm.otsuka-europe.com</v>
      </c>
      <c r="N7788" s="23">
        <v>46182.76158564815</v>
      </c>
      <c r="O7788" s="14" t="str">
        <f>HYPERLINK("https://otsuka-europe-crm.veevavault.com/ui/#object/email_activity__v/V8C00000003S294", "EN-002093441")</f>
        <v>EN-002093441</v>
      </c>
    </row>
    <row r="7789" spans="1:15" ht="16" x14ac:dyDescent="0.2">
      <c r="A7789" s="19"/>
      <c r="B7789" s="19"/>
      <c r="C7789" s="19"/>
      <c r="D7789" s="19"/>
      <c r="E7789" s="19"/>
      <c r="F7789" s="19"/>
      <c r="G7789" s="19"/>
      <c r="H7789" s="19"/>
      <c r="I7789" s="19"/>
      <c r="J7789" s="19"/>
      <c r="K7789" s="19"/>
      <c r="L7789" s="19"/>
      <c r="M7789" s="19"/>
      <c r="N7789" s="19"/>
      <c r="O7789" s="14" t="str">
        <f>HYPERLINK("https://otsuka-europe-crm.veevavault.com/ui/#object/email_activity__v/V8C00000003S421", "EN-002093745")</f>
        <v>EN-002093745</v>
      </c>
    </row>
    <row r="7790" spans="1:15" ht="48" x14ac:dyDescent="0.2">
      <c r="A7790" s="7" t="str">
        <f>HYPERLINK("https://otsuka-europe-crm.veevavault.com/ui/#object/account__v/V4TZ000006349L3", "MOURAD LAOUAMRI")</f>
        <v>MOURAD LAOUAMRI</v>
      </c>
      <c r="B7790" s="7" t="str">
        <f t="shared" ref="B7790:B7796" si="642">HYPERLINK("https://otsuka-europe-crm.veevavault.com/ui/#object/vcountry__v/VENZ000004SONFA", "FR")</f>
        <v>FR</v>
      </c>
      <c r="C7790" s="8" t="s">
        <v>42</v>
      </c>
      <c r="D7790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790" s="10" t="str">
        <f>HYPERLINK("https://otsuka-europe-crm.veevavault.com/ui/#object/sent_email__v/VBL00000002S593", "SE-001435129")</f>
        <v>SE-001435129</v>
      </c>
      <c r="F7790" s="11"/>
      <c r="G7790" s="12">
        <v>0</v>
      </c>
      <c r="H7790" s="12">
        <v>0</v>
      </c>
      <c r="I7790" s="12">
        <v>0</v>
      </c>
      <c r="J7790" s="11"/>
      <c r="K7790" s="12">
        <v>0</v>
      </c>
      <c r="L7790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790" s="10" t="str">
        <f t="shared" ref="M7790:M7796" si="643">HYPERLINK("mailto:ssaouab@crm.otsuka-europe.com", "ssaouab@crm.otsuka-europe.com")</f>
        <v>ssaouab@crm.otsuka-europe.com</v>
      </c>
      <c r="N7790" s="13">
        <v>46182.762152777781</v>
      </c>
      <c r="O7790" s="14" t="str">
        <f>HYPERLINK("https://otsuka-europe-crm.veevavault.com/ui/#object/email_activity__v/V8C00000003R912", "EN-002093442")</f>
        <v>EN-002093442</v>
      </c>
    </row>
    <row r="7791" spans="1:15" ht="32" x14ac:dyDescent="0.2">
      <c r="A7791" s="7" t="str">
        <f>HYPERLINK("https://otsuka-europe-crm.veevavault.com/ui/#object/account__v/V4TZ000006349L3", "MOURAD LAOUAMRI")</f>
        <v>MOURAD LAOUAMRI</v>
      </c>
      <c r="B7791" s="7" t="str">
        <f t="shared" si="642"/>
        <v>FR</v>
      </c>
      <c r="C7791" s="8" t="s">
        <v>42</v>
      </c>
      <c r="D7791" s="9" t="str">
        <f>HYPERLINK("https://otsuka-europe-crm.veevavault.com/ui/#object/approved_document__v/V5O00000000P003", "FR-AM2-2500027")</f>
        <v>FR-AM2-2500027</v>
      </c>
      <c r="E7791" s="10" t="str">
        <f>HYPERLINK("https://otsuka-europe-crm.veevavault.com/ui/#object/sent_email__v/VBL00000002S594", "SE-001435130")</f>
        <v>SE-001435130</v>
      </c>
      <c r="F7791" s="11"/>
      <c r="G7791" s="12">
        <v>0</v>
      </c>
      <c r="H7791" s="12">
        <v>0</v>
      </c>
      <c r="I7791" s="12">
        <v>0</v>
      </c>
      <c r="J7791" s="11"/>
      <c r="K7791" s="12">
        <v>0</v>
      </c>
      <c r="L7791" s="10" t="str">
        <f>HYPERLINK("https://otsuka-europe-crm.veevavault.com/ui/#object/approved_document__v/V5O00000000P003", "FR-AM2-2500027")</f>
        <v>FR-AM2-2500027</v>
      </c>
      <c r="M7791" s="10" t="str">
        <f t="shared" si="643"/>
        <v>ssaouab@crm.otsuka-europe.com</v>
      </c>
      <c r="N7791" s="13">
        <v>46182.762199074074</v>
      </c>
      <c r="O7791" s="14" t="str">
        <f>HYPERLINK("https://otsuka-europe-crm.veevavault.com/ui/#object/email_activity__v/V8C00000003R913", "EN-002093443")</f>
        <v>EN-002093443</v>
      </c>
    </row>
    <row r="7792" spans="1:15" ht="48" x14ac:dyDescent="0.2">
      <c r="A7792" s="7" t="str">
        <f>HYPERLINK("https://otsuka-europe-crm.veevavault.com/ui/#object/account__v/V4TZ00000633UKW", "FARIDA LAZERGUI")</f>
        <v>FARIDA LAZERGUI</v>
      </c>
      <c r="B7792" s="7" t="str">
        <f t="shared" si="642"/>
        <v>FR</v>
      </c>
      <c r="C7792" s="8" t="s">
        <v>42</v>
      </c>
      <c r="D7792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792" s="10" t="str">
        <f>HYPERLINK("https://otsuka-europe-crm.veevavault.com/ui/#object/sent_email__v/VBL00000002S595", "SE-001435131")</f>
        <v>SE-001435131</v>
      </c>
      <c r="F7792" s="11"/>
      <c r="G7792" s="12">
        <v>0</v>
      </c>
      <c r="H7792" s="12">
        <v>0</v>
      </c>
      <c r="I7792" s="12">
        <v>0</v>
      </c>
      <c r="J7792" s="11"/>
      <c r="K7792" s="12">
        <v>0</v>
      </c>
      <c r="L7792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792" s="10" t="str">
        <f t="shared" si="643"/>
        <v>ssaouab@crm.otsuka-europe.com</v>
      </c>
      <c r="N7792" s="13">
        <v>46182.762673611112</v>
      </c>
      <c r="O7792" s="14" t="str">
        <f>HYPERLINK("https://otsuka-europe-crm.veevavault.com/ui/#object/email_activity__v/V8C00000003R914", "EN-002093444")</f>
        <v>EN-002093444</v>
      </c>
    </row>
    <row r="7793" spans="1:15" ht="32" x14ac:dyDescent="0.2">
      <c r="A7793" s="7" t="str">
        <f>HYPERLINK("https://otsuka-europe-crm.veevavault.com/ui/#object/account__v/V4TZ00000633UKW", "FARIDA LAZERGUI")</f>
        <v>FARIDA LAZERGUI</v>
      </c>
      <c r="B7793" s="7" t="str">
        <f t="shared" si="642"/>
        <v>FR</v>
      </c>
      <c r="C7793" s="8" t="s">
        <v>42</v>
      </c>
      <c r="D7793" s="9" t="str">
        <f>HYPERLINK("https://otsuka-europe-crm.veevavault.com/ui/#object/approved_document__v/V5O00000000P003", "FR-AM2-2500027")</f>
        <v>FR-AM2-2500027</v>
      </c>
      <c r="E7793" s="10" t="str">
        <f>HYPERLINK("https://otsuka-europe-crm.veevavault.com/ui/#object/sent_email__v/VBL00000002S596", "SE-001435132")</f>
        <v>SE-001435132</v>
      </c>
      <c r="F7793" s="11"/>
      <c r="G7793" s="12">
        <v>0</v>
      </c>
      <c r="H7793" s="12">
        <v>0</v>
      </c>
      <c r="I7793" s="12">
        <v>0</v>
      </c>
      <c r="J7793" s="11"/>
      <c r="K7793" s="12">
        <v>0</v>
      </c>
      <c r="L7793" s="10" t="str">
        <f>HYPERLINK("https://otsuka-europe-crm.veevavault.com/ui/#object/approved_document__v/V5O00000000P003", "FR-AM2-2500027")</f>
        <v>FR-AM2-2500027</v>
      </c>
      <c r="M7793" s="10" t="str">
        <f t="shared" si="643"/>
        <v>ssaouab@crm.otsuka-europe.com</v>
      </c>
      <c r="N7793" s="13">
        <v>46182.762743055559</v>
      </c>
      <c r="O7793" s="14" t="str">
        <f>HYPERLINK("https://otsuka-europe-crm.veevavault.com/ui/#object/email_activity__v/V8C00000003R915", "EN-002093445")</f>
        <v>EN-002093445</v>
      </c>
    </row>
    <row r="7794" spans="1:15" ht="48" x14ac:dyDescent="0.2">
      <c r="A7794" s="7" t="str">
        <f>HYPERLINK("https://otsuka-europe-crm.veevavault.com/ui/#object/account__v/V4TZ00000633IS8", "AMEL MAACHE")</f>
        <v>AMEL MAACHE</v>
      </c>
      <c r="B7794" s="7" t="str">
        <f t="shared" si="642"/>
        <v>FR</v>
      </c>
      <c r="C7794" s="8" t="s">
        <v>42</v>
      </c>
      <c r="D7794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794" s="10" t="str">
        <f>HYPERLINK("https://otsuka-europe-crm.veevavault.com/ui/#object/sent_email__v/VBL00000002S597", "SE-001435133")</f>
        <v>SE-001435133</v>
      </c>
      <c r="F7794" s="11"/>
      <c r="G7794" s="12">
        <v>0</v>
      </c>
      <c r="H7794" s="12">
        <v>0</v>
      </c>
      <c r="I7794" s="12">
        <v>0</v>
      </c>
      <c r="J7794" s="11"/>
      <c r="K7794" s="12">
        <v>0</v>
      </c>
      <c r="L7794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794" s="10" t="str">
        <f t="shared" si="643"/>
        <v>ssaouab@crm.otsuka-europe.com</v>
      </c>
      <c r="N7794" s="13">
        <v>46182.763541666667</v>
      </c>
      <c r="O7794" s="14" t="str">
        <f>HYPERLINK("https://otsuka-europe-crm.veevavault.com/ui/#object/email_activity__v/V8C00000003S295", "EN-002093446")</f>
        <v>EN-002093446</v>
      </c>
    </row>
    <row r="7795" spans="1:15" ht="32" x14ac:dyDescent="0.2">
      <c r="A7795" s="7" t="str">
        <f>HYPERLINK("https://otsuka-europe-crm.veevavault.com/ui/#object/account__v/V4TZ00000633IS8", "AMEL MAACHE")</f>
        <v>AMEL MAACHE</v>
      </c>
      <c r="B7795" s="7" t="str">
        <f t="shared" si="642"/>
        <v>FR</v>
      </c>
      <c r="C7795" s="8" t="s">
        <v>42</v>
      </c>
      <c r="D7795" s="9" t="str">
        <f>HYPERLINK("https://otsuka-europe-crm.veevavault.com/ui/#object/approved_document__v/V5O00000000P003", "FR-AM2-2500027")</f>
        <v>FR-AM2-2500027</v>
      </c>
      <c r="E7795" s="10" t="str">
        <f>HYPERLINK("https://otsuka-europe-crm.veevavault.com/ui/#object/sent_email__v/VBL00000002S598", "SE-001435134")</f>
        <v>SE-001435134</v>
      </c>
      <c r="F7795" s="11"/>
      <c r="G7795" s="12">
        <v>0</v>
      </c>
      <c r="H7795" s="12">
        <v>0</v>
      </c>
      <c r="I7795" s="12">
        <v>0</v>
      </c>
      <c r="J7795" s="11"/>
      <c r="K7795" s="12">
        <v>0</v>
      </c>
      <c r="L7795" s="10" t="str">
        <f>HYPERLINK("https://otsuka-europe-crm.veevavault.com/ui/#object/approved_document__v/V5O00000000P003", "FR-AM2-2500027")</f>
        <v>FR-AM2-2500027</v>
      </c>
      <c r="M7795" s="10" t="str">
        <f t="shared" si="643"/>
        <v>ssaouab@crm.otsuka-europe.com</v>
      </c>
      <c r="N7795" s="13">
        <v>46182.763553240744</v>
      </c>
      <c r="O7795" s="14" t="str">
        <f>HYPERLINK("https://otsuka-europe-crm.veevavault.com/ui/#object/email_activity__v/V8C00000003R916", "EN-002093447")</f>
        <v>EN-002093447</v>
      </c>
    </row>
    <row r="7796" spans="1:15" ht="16" x14ac:dyDescent="0.2">
      <c r="A7796" s="17" t="str">
        <f>HYPERLINK("https://otsuka-europe-crm.veevavault.com/ui/#object/account__v/V4TZ06G6O9VJ93I", "RABAH MACHANE")</f>
        <v>RABAH MACHANE</v>
      </c>
      <c r="B7796" s="17" t="str">
        <f t="shared" si="642"/>
        <v>FR</v>
      </c>
      <c r="C7796" s="20" t="s">
        <v>42</v>
      </c>
      <c r="D7796" s="21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796" s="22" t="str">
        <f>HYPERLINK("https://otsuka-europe-crm.veevavault.com/ui/#object/sent_email__v/VBL00000002S599", "SE-001435135")</f>
        <v>SE-001435135</v>
      </c>
      <c r="F7796" s="23">
        <v>46182.807025462964</v>
      </c>
      <c r="G7796" s="24">
        <v>1</v>
      </c>
      <c r="H7796" s="24">
        <v>1</v>
      </c>
      <c r="I7796" s="24">
        <v>0</v>
      </c>
      <c r="J7796" s="25"/>
      <c r="K7796" s="24">
        <v>0</v>
      </c>
      <c r="L7796" s="22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796" s="22" t="str">
        <f t="shared" si="643"/>
        <v>ssaouab@crm.otsuka-europe.com</v>
      </c>
      <c r="N7796" s="23">
        <v>46182.76390046296</v>
      </c>
      <c r="O7796" s="14" t="str">
        <f>HYPERLINK("https://otsuka-europe-crm.veevavault.com/ui/#object/email_activity__v/V8C00000003S296", "EN-002093448")</f>
        <v>EN-002093448</v>
      </c>
    </row>
    <row r="7797" spans="1:15" ht="16" x14ac:dyDescent="0.2">
      <c r="A7797" s="19"/>
      <c r="B7797" s="19"/>
      <c r="C7797" s="19"/>
      <c r="D7797" s="19"/>
      <c r="E7797" s="19"/>
      <c r="F7797" s="19"/>
      <c r="G7797" s="19"/>
      <c r="H7797" s="19"/>
      <c r="I7797" s="19"/>
      <c r="J7797" s="19"/>
      <c r="K7797" s="19"/>
      <c r="L7797" s="19"/>
      <c r="M7797" s="19"/>
      <c r="N7797" s="19"/>
      <c r="O7797" s="14" t="str">
        <f>HYPERLINK("https://otsuka-europe-crm.veevavault.com/ui/#object/email_activity__v/V8C00000003S362", "EN-002093612")</f>
        <v>EN-002093612</v>
      </c>
    </row>
    <row r="7798" spans="1:15" ht="16" x14ac:dyDescent="0.2">
      <c r="A7798" s="17" t="str">
        <f>HYPERLINK("https://otsuka-europe-crm.veevavault.com/ui/#object/account__v/V4TZ06G6O9VJ93I", "RABAH MACHANE")</f>
        <v>RABAH MACHANE</v>
      </c>
      <c r="B7798" s="17" t="str">
        <f>HYPERLINK("https://otsuka-europe-crm.veevavault.com/ui/#object/vcountry__v/VENZ000004SONFA", "FR")</f>
        <v>FR</v>
      </c>
      <c r="C7798" s="20" t="s">
        <v>42</v>
      </c>
      <c r="D7798" s="21" t="str">
        <f>HYPERLINK("https://otsuka-europe-crm.veevavault.com/ui/#object/approved_document__v/V5O00000000P003", "FR-AM2-2500027")</f>
        <v>FR-AM2-2500027</v>
      </c>
      <c r="E7798" s="22" t="str">
        <f>HYPERLINK("https://otsuka-europe-crm.veevavault.com/ui/#object/sent_email__v/VBL00000002R508", "SE-001435136")</f>
        <v>SE-001435136</v>
      </c>
      <c r="F7798" s="25"/>
      <c r="G7798" s="24">
        <v>0</v>
      </c>
      <c r="H7798" s="24">
        <v>0</v>
      </c>
      <c r="I7798" s="24">
        <v>0</v>
      </c>
      <c r="J7798" s="25"/>
      <c r="K7798" s="24">
        <v>0</v>
      </c>
      <c r="L7798" s="22" t="str">
        <f>HYPERLINK("https://otsuka-europe-crm.veevavault.com/ui/#object/approved_document__v/V5O00000000P003", "FR-AM2-2500027")</f>
        <v>FR-AM2-2500027</v>
      </c>
      <c r="M7798" s="22" t="str">
        <f>HYPERLINK("mailto:ssaouab@crm.otsuka-europe.com", "ssaouab@crm.otsuka-europe.com")</f>
        <v>ssaouab@crm.otsuka-europe.com</v>
      </c>
      <c r="N7798" s="23">
        <v>46182.763969907406</v>
      </c>
      <c r="O7798" s="14" t="str">
        <f>HYPERLINK("https://otsuka-europe-crm.veevavault.com/ui/#object/email_activity__v/V8C00000003S297", "EN-002093449")</f>
        <v>EN-002093449</v>
      </c>
    </row>
    <row r="7799" spans="1:15" ht="16" x14ac:dyDescent="0.2">
      <c r="A7799" s="19"/>
      <c r="B7799" s="19"/>
      <c r="C7799" s="19"/>
      <c r="D7799" s="19"/>
      <c r="E7799" s="19"/>
      <c r="F7799" s="19"/>
      <c r="G7799" s="19"/>
      <c r="H7799" s="19"/>
      <c r="I7799" s="19"/>
      <c r="J7799" s="19"/>
      <c r="K7799" s="19"/>
      <c r="L7799" s="19"/>
      <c r="M7799" s="19"/>
      <c r="N7799" s="19"/>
      <c r="O7799" s="14" t="str">
        <f>HYPERLINK("https://otsuka-europe-crm.veevavault.com/ui/#object/email_activity__v/V8C00000003S364", "EN-002093614")</f>
        <v>EN-002093614</v>
      </c>
    </row>
    <row r="7800" spans="1:15" ht="48" x14ac:dyDescent="0.2">
      <c r="A7800" s="7" t="str">
        <f>HYPERLINK("https://otsuka-europe-crm.veevavault.com/ui/#object/account__v/V4TZ00000633UOE", "FADI MADANIA")</f>
        <v>FADI MADANIA</v>
      </c>
      <c r="B7800" s="7" t="str">
        <f>HYPERLINK("https://otsuka-europe-crm.veevavault.com/ui/#object/vcountry__v/VENZ000004SONFA", "FR")</f>
        <v>FR</v>
      </c>
      <c r="C7800" s="8" t="s">
        <v>42</v>
      </c>
      <c r="D7800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800" s="10" t="str">
        <f>HYPERLINK("https://otsuka-europe-crm.veevavault.com/ui/#object/sent_email__v/VBL00000002R509", "SE-001435137")</f>
        <v>SE-001435137</v>
      </c>
      <c r="F7800" s="11"/>
      <c r="G7800" s="12">
        <v>0</v>
      </c>
      <c r="H7800" s="12">
        <v>0</v>
      </c>
      <c r="I7800" s="12">
        <v>0</v>
      </c>
      <c r="J7800" s="11"/>
      <c r="K7800" s="12">
        <v>0</v>
      </c>
      <c r="L7800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800" s="10" t="str">
        <f>HYPERLINK("mailto:ssaouab@crm.otsuka-europe.com", "ssaouab@crm.otsuka-europe.com")</f>
        <v>ssaouab@crm.otsuka-europe.com</v>
      </c>
      <c r="N7800" s="13">
        <v>46182.764247685183</v>
      </c>
      <c r="O7800" s="14" t="str">
        <f>HYPERLINK("https://otsuka-europe-crm.veevavault.com/ui/#object/email_activity__v/V8C00000003S300", "EN-002093452")</f>
        <v>EN-002093452</v>
      </c>
    </row>
    <row r="7801" spans="1:15" ht="16" x14ac:dyDescent="0.2">
      <c r="A7801" s="17" t="str">
        <f>HYPERLINK("https://otsuka-europe-crm.veevavault.com/ui/#object/account__v/V4TZ025E82IZMVQ", "ANA LUISA MARTINS DA SILVA")</f>
        <v>ANA LUISA MARTINS DA SILVA</v>
      </c>
      <c r="B7801" s="17" t="str">
        <f>HYPERLINK("https://otsuka-europe-crm.veevavault.com/ui/#object/vcountry__v/VENZ000004SONF5", "ES")</f>
        <v>ES</v>
      </c>
      <c r="C7801" s="20" t="s">
        <v>41</v>
      </c>
      <c r="D7801" s="21" t="str">
        <f>HYPERLINK("https://otsuka-europe-crm.veevavault.com/ui/#object/approved_document__v/V5OZ04ASG4FWKA9", "Documento Autorizaciขn Centro Empleador")</f>
        <v>Documento Autorizaciขn Centro Empleador</v>
      </c>
      <c r="E7801" s="22" t="str">
        <f>HYPERLINK("https://otsuka-europe-crm.veevavault.com/ui/#object/sent_email__v/VBL00000002S600", "SE-001435138")</f>
        <v>SE-001435138</v>
      </c>
      <c r="F7801" s="23">
        <v>46182.774201388886</v>
      </c>
      <c r="G7801" s="24">
        <v>1</v>
      </c>
      <c r="H7801" s="24">
        <v>1</v>
      </c>
      <c r="I7801" s="24">
        <v>1</v>
      </c>
      <c r="J7801" s="23">
        <v>46182.774317129632</v>
      </c>
      <c r="K7801" s="24">
        <v>1</v>
      </c>
      <c r="L7801" s="22" t="str">
        <f>HYPERLINK("https://otsuka-europe-crm.veevavault.com/ui/#object/approved_document__v/V5OZ04ASG4FWKA9", "Documento Autorizaciขn Centro Empleador")</f>
        <v>Documento Autorizaciขn Centro Empleador</v>
      </c>
      <c r="M7801" s="22" t="str">
        <f>HYPERLINK("mailto:idiez@crm.otsuka-europe.com", "idiez@crm.otsuka-europe.com")</f>
        <v>idiez@crm.otsuka-europe.com</v>
      </c>
      <c r="N7801" s="23">
        <v>46182.764282407406</v>
      </c>
      <c r="O7801" s="14" t="str">
        <f>HYPERLINK("https://otsuka-europe-crm.veevavault.com/ui/#object/email_activity__v/V8C00000003S299", "EN-002093451")</f>
        <v>EN-002093451</v>
      </c>
    </row>
    <row r="7802" spans="1:15" ht="16" x14ac:dyDescent="0.2">
      <c r="A7802" s="18"/>
      <c r="B7802" s="18"/>
      <c r="C7802" s="18"/>
      <c r="D7802" s="18"/>
      <c r="E7802" s="18"/>
      <c r="F7802" s="18"/>
      <c r="G7802" s="18"/>
      <c r="H7802" s="18"/>
      <c r="I7802" s="18"/>
      <c r="J7802" s="18"/>
      <c r="K7802" s="18"/>
      <c r="L7802" s="18"/>
      <c r="M7802" s="18"/>
      <c r="N7802" s="18"/>
      <c r="O7802" s="14" t="str">
        <f>HYPERLINK("https://otsuka-europe-crm.veevavault.com/ui/#object/email_activity__v/V8C00000003S316", "EN-002093479")</f>
        <v>EN-002093479</v>
      </c>
    </row>
    <row r="7803" spans="1:15" ht="16" x14ac:dyDescent="0.2">
      <c r="A7803" s="19"/>
      <c r="B7803" s="19"/>
      <c r="C7803" s="19"/>
      <c r="D7803" s="19"/>
      <c r="E7803" s="19"/>
      <c r="F7803" s="19"/>
      <c r="G7803" s="19"/>
      <c r="H7803" s="19"/>
      <c r="I7803" s="19"/>
      <c r="J7803" s="19"/>
      <c r="K7803" s="19"/>
      <c r="L7803" s="19"/>
      <c r="M7803" s="19"/>
      <c r="N7803" s="19"/>
      <c r="O7803" s="14" t="str">
        <f>HYPERLINK("https://otsuka-europe-crm.veevavault.com/ui/#object/email_activity__v/V8C00000003S317", "EN-002093480")</f>
        <v>EN-002093480</v>
      </c>
    </row>
    <row r="7804" spans="1:15" ht="32" x14ac:dyDescent="0.2">
      <c r="A7804" s="7" t="str">
        <f>HYPERLINK("https://otsuka-europe-crm.veevavault.com/ui/#object/account__v/V4TZ00000633UOE", "FADI MADANIA")</f>
        <v>FADI MADANIA</v>
      </c>
      <c r="B7804" s="7" t="str">
        <f>HYPERLINK("https://otsuka-europe-crm.veevavault.com/ui/#object/vcountry__v/VENZ000004SONFA", "FR")</f>
        <v>FR</v>
      </c>
      <c r="C7804" s="8" t="s">
        <v>42</v>
      </c>
      <c r="D7804" s="9" t="str">
        <f>HYPERLINK("https://otsuka-europe-crm.veevavault.com/ui/#object/approved_document__v/V5O00000000P003", "FR-AM2-2500027")</f>
        <v>FR-AM2-2500027</v>
      </c>
      <c r="E7804" s="10" t="str">
        <f>HYPERLINK("https://otsuka-europe-crm.veevavault.com/ui/#object/sent_email__v/VBL00000002S601", "SE-001435139")</f>
        <v>SE-001435139</v>
      </c>
      <c r="F7804" s="11"/>
      <c r="G7804" s="12">
        <v>0</v>
      </c>
      <c r="H7804" s="12">
        <v>0</v>
      </c>
      <c r="I7804" s="12">
        <v>0</v>
      </c>
      <c r="J7804" s="11"/>
      <c r="K7804" s="12">
        <v>0</v>
      </c>
      <c r="L7804" s="10" t="str">
        <f>HYPERLINK("https://otsuka-europe-crm.veevavault.com/ui/#object/approved_document__v/V5O00000000P003", "FR-AM2-2500027")</f>
        <v>FR-AM2-2500027</v>
      </c>
      <c r="M7804" s="10" t="str">
        <f>HYPERLINK("mailto:ssaouab@crm.otsuka-europe.com", "ssaouab@crm.otsuka-europe.com")</f>
        <v>ssaouab@crm.otsuka-europe.com</v>
      </c>
      <c r="N7804" s="13">
        <v>46182.764374999999</v>
      </c>
      <c r="O7804" s="14" t="str">
        <f>HYPERLINK("https://otsuka-europe-crm.veevavault.com/ui/#object/email_activity__v/V8C00000003S298", "EN-002093450")</f>
        <v>EN-002093450</v>
      </c>
    </row>
    <row r="7805" spans="1:15" ht="16" x14ac:dyDescent="0.2">
      <c r="A7805" s="17" t="str">
        <f>HYPERLINK("https://otsuka-europe-crm.veevavault.com/ui/#object/account__v/V4TZ00000633V57", "IMANE MAHI")</f>
        <v>IMANE MAHI</v>
      </c>
      <c r="B7805" s="17" t="str">
        <f>HYPERLINK("https://otsuka-europe-crm.veevavault.com/ui/#object/vcountry__v/VENZ000004SONFA", "FR")</f>
        <v>FR</v>
      </c>
      <c r="C7805" s="20" t="s">
        <v>42</v>
      </c>
      <c r="D7805" s="21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805" s="22" t="str">
        <f>HYPERLINK("https://otsuka-europe-crm.veevavault.com/ui/#object/sent_email__v/VBL00000002S602", "SE-001435140")</f>
        <v>SE-001435140</v>
      </c>
      <c r="F7805" s="25"/>
      <c r="G7805" s="24">
        <v>0</v>
      </c>
      <c r="H7805" s="24">
        <v>0</v>
      </c>
      <c r="I7805" s="24">
        <v>0</v>
      </c>
      <c r="J7805" s="25"/>
      <c r="K7805" s="24">
        <v>0</v>
      </c>
      <c r="L7805" s="22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805" s="22" t="str">
        <f>HYPERLINK("mailto:ssaouab@crm.otsuka-europe.com", "ssaouab@crm.otsuka-europe.com")</f>
        <v>ssaouab@crm.otsuka-europe.com</v>
      </c>
      <c r="N7805" s="23">
        <v>46182.764768518522</v>
      </c>
      <c r="O7805" s="14" t="str">
        <f>HYPERLINK("https://otsuka-europe-crm.veevavault.com/ui/#object/email_activity__v/V8C00000003S301", "EN-002093453")</f>
        <v>EN-002093453</v>
      </c>
    </row>
    <row r="7806" spans="1:15" ht="16" x14ac:dyDescent="0.2">
      <c r="A7806" s="19"/>
      <c r="B7806" s="19"/>
      <c r="C7806" s="19"/>
      <c r="D7806" s="19"/>
      <c r="E7806" s="19"/>
      <c r="F7806" s="19"/>
      <c r="G7806" s="19"/>
      <c r="H7806" s="19"/>
      <c r="I7806" s="19"/>
      <c r="J7806" s="19"/>
      <c r="K7806" s="19"/>
      <c r="L7806" s="19"/>
      <c r="M7806" s="19"/>
      <c r="N7806" s="19"/>
      <c r="O7806" s="14" t="str">
        <f>HYPERLINK("https://otsuka-europe-crm.veevavault.com/ui/#object/email_activity__v/V8C00000003S803", "EN-002094452")</f>
        <v>EN-002094452</v>
      </c>
    </row>
    <row r="7807" spans="1:15" ht="16" x14ac:dyDescent="0.2">
      <c r="A7807" s="17" t="str">
        <f>HYPERLINK("https://otsuka-europe-crm.veevavault.com/ui/#object/account__v/V4TZ00000633V57", "IMANE MAHI")</f>
        <v>IMANE MAHI</v>
      </c>
      <c r="B7807" s="17" t="str">
        <f>HYPERLINK("https://otsuka-europe-crm.veevavault.com/ui/#object/vcountry__v/VENZ000004SONFA", "FR")</f>
        <v>FR</v>
      </c>
      <c r="C7807" s="20" t="s">
        <v>42</v>
      </c>
      <c r="D7807" s="21" t="str">
        <f>HYPERLINK("https://otsuka-europe-crm.veevavault.com/ui/#object/approved_document__v/V5O00000000P003", "FR-AM2-2500027")</f>
        <v>FR-AM2-2500027</v>
      </c>
      <c r="E7807" s="22" t="str">
        <f>HYPERLINK("https://otsuka-europe-crm.veevavault.com/ui/#object/sent_email__v/VBL00000002S603", "SE-001435141")</f>
        <v>SE-001435141</v>
      </c>
      <c r="F7807" s="25"/>
      <c r="G7807" s="24">
        <v>0</v>
      </c>
      <c r="H7807" s="24">
        <v>0</v>
      </c>
      <c r="I7807" s="24">
        <v>0</v>
      </c>
      <c r="J7807" s="25"/>
      <c r="K7807" s="24">
        <v>0</v>
      </c>
      <c r="L7807" s="22" t="str">
        <f>HYPERLINK("https://otsuka-europe-crm.veevavault.com/ui/#object/approved_document__v/V5O00000000P003", "FR-AM2-2500027")</f>
        <v>FR-AM2-2500027</v>
      </c>
      <c r="M7807" s="22" t="str">
        <f>HYPERLINK("mailto:ssaouab@crm.otsuka-europe.com", "ssaouab@crm.otsuka-europe.com")</f>
        <v>ssaouab@crm.otsuka-europe.com</v>
      </c>
      <c r="N7807" s="23">
        <v>46182.764976851853</v>
      </c>
      <c r="O7807" s="14" t="str">
        <f>HYPERLINK("https://otsuka-europe-crm.veevavault.com/ui/#object/email_activity__v/V8C00000003S302", "EN-002093454")</f>
        <v>EN-002093454</v>
      </c>
    </row>
    <row r="7808" spans="1:15" ht="16" x14ac:dyDescent="0.2">
      <c r="A7808" s="19"/>
      <c r="B7808" s="19"/>
      <c r="C7808" s="19"/>
      <c r="D7808" s="19"/>
      <c r="E7808" s="19"/>
      <c r="F7808" s="19"/>
      <c r="G7808" s="19"/>
      <c r="H7808" s="19"/>
      <c r="I7808" s="19"/>
      <c r="J7808" s="19"/>
      <c r="K7808" s="19"/>
      <c r="L7808" s="19"/>
      <c r="M7808" s="19"/>
      <c r="N7808" s="19"/>
      <c r="O7808" s="14" t="str">
        <f>HYPERLINK("https://otsuka-europe-crm.veevavault.com/ui/#object/email_activity__v/V8C00000003S804", "EN-002094453")</f>
        <v>EN-002094453</v>
      </c>
    </row>
    <row r="7809" spans="1:15" ht="48" x14ac:dyDescent="0.2">
      <c r="A7809" s="7" t="str">
        <f>HYPERLINK("https://otsuka-europe-crm.veevavault.com/ui/#object/account__v/V4TZ04ASGBNGJQ9", "WAHIBA MAHROUK")</f>
        <v>WAHIBA MAHROUK</v>
      </c>
      <c r="B7809" s="7" t="str">
        <f t="shared" ref="B7809:B7823" si="644">HYPERLINK("https://otsuka-europe-crm.veevavault.com/ui/#object/vcountry__v/VENZ000004SONFA", "FR")</f>
        <v>FR</v>
      </c>
      <c r="C7809" s="8" t="s">
        <v>42</v>
      </c>
      <c r="D7809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809" s="10" t="str">
        <f>HYPERLINK("https://otsuka-europe-crm.veevavault.com/ui/#object/sent_email__v/VBL00000002S604", "SE-001435142")</f>
        <v>SE-001435142</v>
      </c>
      <c r="F7809" s="11"/>
      <c r="G7809" s="12">
        <v>0</v>
      </c>
      <c r="H7809" s="12">
        <v>0</v>
      </c>
      <c r="I7809" s="12">
        <v>0</v>
      </c>
      <c r="J7809" s="11"/>
      <c r="K7809" s="12">
        <v>0</v>
      </c>
      <c r="L7809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809" s="10" t="str">
        <f t="shared" ref="M7809:M7823" si="645">HYPERLINK("mailto:ssaouab@crm.otsuka-europe.com", "ssaouab@crm.otsuka-europe.com")</f>
        <v>ssaouab@crm.otsuka-europe.com</v>
      </c>
      <c r="N7809" s="13">
        <v>46182.765289351853</v>
      </c>
      <c r="O7809" s="14" t="str">
        <f>HYPERLINK("https://otsuka-europe-crm.veevavault.com/ui/#object/email_activity__v/V8C00000003S303", "EN-002093455")</f>
        <v>EN-002093455</v>
      </c>
    </row>
    <row r="7810" spans="1:15" ht="32" x14ac:dyDescent="0.2">
      <c r="A7810" s="7" t="str">
        <f>HYPERLINK("https://otsuka-europe-crm.veevavault.com/ui/#object/account__v/V4TZ04ASGBNGJQ9", "WAHIBA MAHROUK")</f>
        <v>WAHIBA MAHROUK</v>
      </c>
      <c r="B7810" s="7" t="str">
        <f t="shared" si="644"/>
        <v>FR</v>
      </c>
      <c r="C7810" s="8" t="s">
        <v>42</v>
      </c>
      <c r="D7810" s="9" t="str">
        <f>HYPERLINK("https://otsuka-europe-crm.veevavault.com/ui/#object/approved_document__v/V5O00000000P003", "FR-AM2-2500027")</f>
        <v>FR-AM2-2500027</v>
      </c>
      <c r="E7810" s="10" t="str">
        <f>HYPERLINK("https://otsuka-europe-crm.veevavault.com/ui/#object/sent_email__v/VBL00000002S605", "SE-001435143")</f>
        <v>SE-001435143</v>
      </c>
      <c r="F7810" s="11"/>
      <c r="G7810" s="12">
        <v>0</v>
      </c>
      <c r="H7810" s="12">
        <v>0</v>
      </c>
      <c r="I7810" s="12">
        <v>0</v>
      </c>
      <c r="J7810" s="11"/>
      <c r="K7810" s="12">
        <v>0</v>
      </c>
      <c r="L7810" s="10" t="str">
        <f>HYPERLINK("https://otsuka-europe-crm.veevavault.com/ui/#object/approved_document__v/V5O00000000P003", "FR-AM2-2500027")</f>
        <v>FR-AM2-2500027</v>
      </c>
      <c r="M7810" s="10" t="str">
        <f t="shared" si="645"/>
        <v>ssaouab@crm.otsuka-europe.com</v>
      </c>
      <c r="N7810" s="13">
        <v>46182.765416666669</v>
      </c>
      <c r="O7810" s="14" t="str">
        <f>HYPERLINK("https://otsuka-europe-crm.veevavault.com/ui/#object/email_activity__v/V8C00000003S304", "EN-002093456")</f>
        <v>EN-002093456</v>
      </c>
    </row>
    <row r="7811" spans="1:15" ht="48" x14ac:dyDescent="0.2">
      <c r="A7811" s="7" t="str">
        <f>HYPERLINK("https://otsuka-europe-crm.veevavault.com/ui/#object/account__v/V4TZ00000633JTJ", "EMILIE MAILLET")</f>
        <v>EMILIE MAILLET</v>
      </c>
      <c r="B7811" s="7" t="str">
        <f t="shared" si="644"/>
        <v>FR</v>
      </c>
      <c r="C7811" s="8" t="s">
        <v>42</v>
      </c>
      <c r="D7811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811" s="10" t="str">
        <f>HYPERLINK("https://otsuka-europe-crm.veevavault.com/ui/#object/sent_email__v/VBL00000002R510", "SE-001435144")</f>
        <v>SE-001435144</v>
      </c>
      <c r="F7811" s="11"/>
      <c r="G7811" s="12">
        <v>0</v>
      </c>
      <c r="H7811" s="12">
        <v>0</v>
      </c>
      <c r="I7811" s="12">
        <v>0</v>
      </c>
      <c r="J7811" s="11"/>
      <c r="K7811" s="12">
        <v>0</v>
      </c>
      <c r="L7811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811" s="10" t="str">
        <f t="shared" si="645"/>
        <v>ssaouab@crm.otsuka-europe.com</v>
      </c>
      <c r="N7811" s="13">
        <v>46182.765636574077</v>
      </c>
      <c r="O7811" s="14" t="str">
        <f>HYPERLINK("https://otsuka-europe-crm.veevavault.com/ui/#object/email_activity__v/V8C00000003S305", "EN-002093457")</f>
        <v>EN-002093457</v>
      </c>
    </row>
    <row r="7812" spans="1:15" ht="32" x14ac:dyDescent="0.2">
      <c r="A7812" s="7" t="str">
        <f>HYPERLINK("https://otsuka-europe-crm.veevavault.com/ui/#object/account__v/V4TZ00000633JTJ", "EMILIE MAILLET")</f>
        <v>EMILIE MAILLET</v>
      </c>
      <c r="B7812" s="7" t="str">
        <f t="shared" si="644"/>
        <v>FR</v>
      </c>
      <c r="C7812" s="8" t="s">
        <v>42</v>
      </c>
      <c r="D7812" s="9" t="str">
        <f>HYPERLINK("https://otsuka-europe-crm.veevavault.com/ui/#object/approved_document__v/V5O00000000P003", "FR-AM2-2500027")</f>
        <v>FR-AM2-2500027</v>
      </c>
      <c r="E7812" s="10" t="str">
        <f>HYPERLINK("https://otsuka-europe-crm.veevavault.com/ui/#object/sent_email__v/VBL00000002R511", "SE-001435145")</f>
        <v>SE-001435145</v>
      </c>
      <c r="F7812" s="11"/>
      <c r="G7812" s="12">
        <v>0</v>
      </c>
      <c r="H7812" s="12">
        <v>0</v>
      </c>
      <c r="I7812" s="12">
        <v>0</v>
      </c>
      <c r="J7812" s="11"/>
      <c r="K7812" s="12">
        <v>0</v>
      </c>
      <c r="L7812" s="10" t="str">
        <f>HYPERLINK("https://otsuka-europe-crm.veevavault.com/ui/#object/approved_document__v/V5O00000000P003", "FR-AM2-2500027")</f>
        <v>FR-AM2-2500027</v>
      </c>
      <c r="M7812" s="10" t="str">
        <f t="shared" si="645"/>
        <v>ssaouab@crm.otsuka-europe.com</v>
      </c>
      <c r="N7812" s="13">
        <v>46182.765775462962</v>
      </c>
      <c r="O7812" s="14" t="str">
        <f>HYPERLINK("https://otsuka-europe-crm.veevavault.com/ui/#object/email_activity__v/V8C00000003R917", "EN-002093458")</f>
        <v>EN-002093458</v>
      </c>
    </row>
    <row r="7813" spans="1:15" ht="48" x14ac:dyDescent="0.2">
      <c r="A7813" s="7" t="str">
        <f>HYPERLINK("https://otsuka-europe-crm.veevavault.com/ui/#object/account__v/V4TZ00000633UQJ", "GEORGES MAKHOUL")</f>
        <v>GEORGES MAKHOUL</v>
      </c>
      <c r="B7813" s="7" t="str">
        <f t="shared" si="644"/>
        <v>FR</v>
      </c>
      <c r="C7813" s="8" t="s">
        <v>42</v>
      </c>
      <c r="D7813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813" s="10" t="str">
        <f>HYPERLINK("https://otsuka-europe-crm.veevavault.com/ui/#object/sent_email__v/VBL00000002S606", "SE-001435146")</f>
        <v>SE-001435146</v>
      </c>
      <c r="F7813" s="11"/>
      <c r="G7813" s="12">
        <v>0</v>
      </c>
      <c r="H7813" s="12">
        <v>0</v>
      </c>
      <c r="I7813" s="12">
        <v>0</v>
      </c>
      <c r="J7813" s="11"/>
      <c r="K7813" s="12">
        <v>0</v>
      </c>
      <c r="L7813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813" s="10" t="str">
        <f t="shared" si="645"/>
        <v>ssaouab@crm.otsuka-europe.com</v>
      </c>
      <c r="N7813" s="13">
        <v>46182.766157407408</v>
      </c>
      <c r="O7813" s="14" t="str">
        <f>HYPERLINK("https://otsuka-europe-crm.veevavault.com/ui/#object/email_activity__v/V8C00000003S306", "EN-002093459")</f>
        <v>EN-002093459</v>
      </c>
    </row>
    <row r="7814" spans="1:15" ht="32" x14ac:dyDescent="0.2">
      <c r="A7814" s="7" t="str">
        <f>HYPERLINK("https://otsuka-europe-crm.veevavault.com/ui/#object/account__v/V4TZ00000633UQJ", "GEORGES MAKHOUL")</f>
        <v>GEORGES MAKHOUL</v>
      </c>
      <c r="B7814" s="7" t="str">
        <f t="shared" si="644"/>
        <v>FR</v>
      </c>
      <c r="C7814" s="8" t="s">
        <v>42</v>
      </c>
      <c r="D7814" s="9" t="str">
        <f>HYPERLINK("https://otsuka-europe-crm.veevavault.com/ui/#object/approved_document__v/V5O00000000P003", "FR-AM2-2500027")</f>
        <v>FR-AM2-2500027</v>
      </c>
      <c r="E7814" s="10" t="str">
        <f>HYPERLINK("https://otsuka-europe-crm.veevavault.com/ui/#object/sent_email__v/VBL00000002S607", "SE-001435147")</f>
        <v>SE-001435147</v>
      </c>
      <c r="F7814" s="11"/>
      <c r="G7814" s="12">
        <v>0</v>
      </c>
      <c r="H7814" s="12">
        <v>0</v>
      </c>
      <c r="I7814" s="12">
        <v>0</v>
      </c>
      <c r="J7814" s="11"/>
      <c r="K7814" s="12">
        <v>0</v>
      </c>
      <c r="L7814" s="10" t="str">
        <f>HYPERLINK("https://otsuka-europe-crm.veevavault.com/ui/#object/approved_document__v/V5O00000000P003", "FR-AM2-2500027")</f>
        <v>FR-AM2-2500027</v>
      </c>
      <c r="M7814" s="10" t="str">
        <f t="shared" si="645"/>
        <v>ssaouab@crm.otsuka-europe.com</v>
      </c>
      <c r="N7814" s="13">
        <v>46182.766250000001</v>
      </c>
      <c r="O7814" s="14" t="str">
        <f>HYPERLINK("https://otsuka-europe-crm.veevavault.com/ui/#object/email_activity__v/V8C00000003S307", "EN-002093460")</f>
        <v>EN-002093460</v>
      </c>
    </row>
    <row r="7815" spans="1:15" ht="48" x14ac:dyDescent="0.2">
      <c r="A7815" s="7" t="str">
        <f>HYPERLINK("https://otsuka-europe-crm.veevavault.com/ui/#object/account__v/V4TZ04ASGBJRDE7", "ZAHIA MANSOUR")</f>
        <v>ZAHIA MANSOUR</v>
      </c>
      <c r="B7815" s="7" t="str">
        <f t="shared" si="644"/>
        <v>FR</v>
      </c>
      <c r="C7815" s="8" t="s">
        <v>42</v>
      </c>
      <c r="D7815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815" s="10" t="str">
        <f>HYPERLINK("https://otsuka-europe-crm.veevavault.com/ui/#object/sent_email__v/VBL00000002S608", "SE-001435148")</f>
        <v>SE-001435148</v>
      </c>
      <c r="F7815" s="11"/>
      <c r="G7815" s="12">
        <v>0</v>
      </c>
      <c r="H7815" s="12">
        <v>0</v>
      </c>
      <c r="I7815" s="12">
        <v>0</v>
      </c>
      <c r="J7815" s="11"/>
      <c r="K7815" s="12">
        <v>0</v>
      </c>
      <c r="L7815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815" s="10" t="str">
        <f t="shared" si="645"/>
        <v>ssaouab@crm.otsuka-europe.com</v>
      </c>
      <c r="N7815" s="13">
        <v>46182.766550925924</v>
      </c>
      <c r="O7815" s="14" t="str">
        <f>HYPERLINK("https://otsuka-europe-crm.veevavault.com/ui/#object/email_activity__v/V8C00000003S308", "EN-002093461")</f>
        <v>EN-002093461</v>
      </c>
    </row>
    <row r="7816" spans="1:15" ht="32" x14ac:dyDescent="0.2">
      <c r="A7816" s="7" t="str">
        <f>HYPERLINK("https://otsuka-europe-crm.veevavault.com/ui/#object/account__v/V4TZ04ASGBJRDE7", "ZAHIA MANSOUR")</f>
        <v>ZAHIA MANSOUR</v>
      </c>
      <c r="B7816" s="7" t="str">
        <f t="shared" si="644"/>
        <v>FR</v>
      </c>
      <c r="C7816" s="8" t="s">
        <v>42</v>
      </c>
      <c r="D7816" s="9" t="str">
        <f>HYPERLINK("https://otsuka-europe-crm.veevavault.com/ui/#object/approved_document__v/V5O00000000P003", "FR-AM2-2500027")</f>
        <v>FR-AM2-2500027</v>
      </c>
      <c r="E7816" s="10" t="str">
        <f>HYPERLINK("https://otsuka-europe-crm.veevavault.com/ui/#object/sent_email__v/VBL00000002R512", "SE-001435149")</f>
        <v>SE-001435149</v>
      </c>
      <c r="F7816" s="11"/>
      <c r="G7816" s="12">
        <v>0</v>
      </c>
      <c r="H7816" s="12">
        <v>0</v>
      </c>
      <c r="I7816" s="12">
        <v>0</v>
      </c>
      <c r="J7816" s="11"/>
      <c r="K7816" s="12">
        <v>0</v>
      </c>
      <c r="L7816" s="10" t="str">
        <f>HYPERLINK("https://otsuka-europe-crm.veevavault.com/ui/#object/approved_document__v/V5O00000000P003", "FR-AM2-2500027")</f>
        <v>FR-AM2-2500027</v>
      </c>
      <c r="M7816" s="10" t="str">
        <f t="shared" si="645"/>
        <v>ssaouab@crm.otsuka-europe.com</v>
      </c>
      <c r="N7816" s="13">
        <v>46182.766643518517</v>
      </c>
      <c r="O7816" s="14" t="str">
        <f>HYPERLINK("https://otsuka-europe-crm.veevavault.com/ui/#object/email_activity__v/V8C00000003S309", "EN-002093462")</f>
        <v>EN-002093462</v>
      </c>
    </row>
    <row r="7817" spans="1:15" ht="48" x14ac:dyDescent="0.2">
      <c r="A7817" s="7" t="str">
        <f>HYPERLINK("https://otsuka-europe-crm.veevavault.com/ui/#object/account__v/V4TZ00000634BG5", "MARIE CHRISTINE MARCHET")</f>
        <v>MARIE CHRISTINE MARCHET</v>
      </c>
      <c r="B7817" s="7" t="str">
        <f t="shared" si="644"/>
        <v>FR</v>
      </c>
      <c r="C7817" s="8" t="s">
        <v>42</v>
      </c>
      <c r="D7817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817" s="10" t="str">
        <f>HYPERLINK("https://otsuka-europe-crm.veevavault.com/ui/#object/sent_email__v/VBL00000002R513", "SE-001435150")</f>
        <v>SE-001435150</v>
      </c>
      <c r="F7817" s="11"/>
      <c r="G7817" s="12">
        <v>0</v>
      </c>
      <c r="H7817" s="12">
        <v>0</v>
      </c>
      <c r="I7817" s="12">
        <v>0</v>
      </c>
      <c r="J7817" s="11"/>
      <c r="K7817" s="12">
        <v>0</v>
      </c>
      <c r="L7817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817" s="10" t="str">
        <f t="shared" si="645"/>
        <v>ssaouab@crm.otsuka-europe.com</v>
      </c>
      <c r="N7817" s="13">
        <v>46182.768437500003</v>
      </c>
      <c r="O7817" s="14" t="str">
        <f>HYPERLINK("https://otsuka-europe-crm.veevavault.com/ui/#object/email_activity__v/V8C00000003R918", "EN-002093463")</f>
        <v>EN-002093463</v>
      </c>
    </row>
    <row r="7818" spans="1:15" ht="32" x14ac:dyDescent="0.2">
      <c r="A7818" s="7" t="str">
        <f>HYPERLINK("https://otsuka-europe-crm.veevavault.com/ui/#object/account__v/V4TZ00000634BG5", "MARIE CHRISTINE MARCHET")</f>
        <v>MARIE CHRISTINE MARCHET</v>
      </c>
      <c r="B7818" s="7" t="str">
        <f t="shared" si="644"/>
        <v>FR</v>
      </c>
      <c r="C7818" s="8" t="s">
        <v>42</v>
      </c>
      <c r="D7818" s="9" t="str">
        <f>HYPERLINK("https://otsuka-europe-crm.veevavault.com/ui/#object/approved_document__v/V5O00000000P003", "FR-AM2-2500027")</f>
        <v>FR-AM2-2500027</v>
      </c>
      <c r="E7818" s="10" t="str">
        <f>HYPERLINK("https://otsuka-europe-crm.veevavault.com/ui/#object/sent_email__v/VBL00000002R514", "SE-001435151")</f>
        <v>SE-001435151</v>
      </c>
      <c r="F7818" s="11"/>
      <c r="G7818" s="12">
        <v>0</v>
      </c>
      <c r="H7818" s="12">
        <v>0</v>
      </c>
      <c r="I7818" s="12">
        <v>0</v>
      </c>
      <c r="J7818" s="11"/>
      <c r="K7818" s="12">
        <v>0</v>
      </c>
      <c r="L7818" s="10" t="str">
        <f>HYPERLINK("https://otsuka-europe-crm.veevavault.com/ui/#object/approved_document__v/V5O00000000P003", "FR-AM2-2500027")</f>
        <v>FR-AM2-2500027</v>
      </c>
      <c r="M7818" s="10" t="str">
        <f t="shared" si="645"/>
        <v>ssaouab@crm.otsuka-europe.com</v>
      </c>
      <c r="N7818" s="13">
        <v>46182.768946759257</v>
      </c>
      <c r="O7818" s="14" t="str">
        <f>HYPERLINK("https://otsuka-europe-crm.veevavault.com/ui/#object/email_activity__v/V8C00000003S312", "EN-002093469")</f>
        <v>EN-002093469</v>
      </c>
    </row>
    <row r="7819" spans="1:15" ht="32" x14ac:dyDescent="0.2">
      <c r="A7819" s="7" t="str">
        <f>HYPERLINK("https://otsuka-europe-crm.veevavault.com/ui/#object/account__v/V4TZ00000634BG5", "MARIE CHRISTINE MARCHET")</f>
        <v>MARIE CHRISTINE MARCHET</v>
      </c>
      <c r="B7819" s="7" t="str">
        <f t="shared" si="644"/>
        <v>FR</v>
      </c>
      <c r="C7819" s="8" t="s">
        <v>42</v>
      </c>
      <c r="D7819" s="9" t="str">
        <f>HYPERLINK("https://otsuka-europe-crm.veevavault.com/ui/#object/approved_document__v/V5O00000000P003", "FR-AM2-2500027")</f>
        <v>FR-AM2-2500027</v>
      </c>
      <c r="E7819" s="10" t="str">
        <f>HYPERLINK("https://otsuka-europe-crm.veevavault.com/ui/#object/sent_email__v/VBL00000002R515", "SE-001435152")</f>
        <v>SE-001435152</v>
      </c>
      <c r="F7819" s="11"/>
      <c r="G7819" s="12">
        <v>0</v>
      </c>
      <c r="H7819" s="12">
        <v>0</v>
      </c>
      <c r="I7819" s="12">
        <v>0</v>
      </c>
      <c r="J7819" s="11"/>
      <c r="K7819" s="12">
        <v>0</v>
      </c>
      <c r="L7819" s="10" t="str">
        <f>HYPERLINK("https://otsuka-europe-crm.veevavault.com/ui/#object/approved_document__v/V5O00000000P003", "FR-AM2-2500027")</f>
        <v>FR-AM2-2500027</v>
      </c>
      <c r="M7819" s="10" t="str">
        <f t="shared" si="645"/>
        <v>ssaouab@crm.otsuka-europe.com</v>
      </c>
      <c r="N7819" s="13">
        <v>46182.769814814812</v>
      </c>
      <c r="O7819" s="14" t="str">
        <f>HYPERLINK("https://otsuka-europe-crm.veevavault.com/ui/#object/email_activity__v/V8C00000003R924", "EN-002093472")</f>
        <v>EN-002093472</v>
      </c>
    </row>
    <row r="7820" spans="1:15" ht="48" x14ac:dyDescent="0.2">
      <c r="A7820" s="7" t="str">
        <f>HYPERLINK("https://otsuka-europe-crm.veevavault.com/ui/#object/account__v/V4TZ00000633ITV", "ADEL MAZA")</f>
        <v>ADEL MAZA</v>
      </c>
      <c r="B7820" s="7" t="str">
        <f t="shared" si="644"/>
        <v>FR</v>
      </c>
      <c r="C7820" s="8" t="s">
        <v>42</v>
      </c>
      <c r="D7820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820" s="10" t="str">
        <f>HYPERLINK("https://otsuka-europe-crm.veevavault.com/ui/#object/sent_email__v/VBL00000002S609", "SE-001435153")</f>
        <v>SE-001435153</v>
      </c>
      <c r="F7820" s="11"/>
      <c r="G7820" s="12">
        <v>0</v>
      </c>
      <c r="H7820" s="12">
        <v>0</v>
      </c>
      <c r="I7820" s="12">
        <v>0</v>
      </c>
      <c r="J7820" s="11"/>
      <c r="K7820" s="12">
        <v>0</v>
      </c>
      <c r="L7820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820" s="10" t="str">
        <f t="shared" si="645"/>
        <v>ssaouab@crm.otsuka-europe.com</v>
      </c>
      <c r="N7820" s="13">
        <v>46182.771192129629</v>
      </c>
      <c r="O7820" s="14" t="str">
        <f>HYPERLINK("https://otsuka-europe-crm.veevavault.com/ui/#object/email_activity__v/V8C00000003R925", "EN-002093475")</f>
        <v>EN-002093475</v>
      </c>
    </row>
    <row r="7821" spans="1:15" ht="32" x14ac:dyDescent="0.2">
      <c r="A7821" s="7" t="str">
        <f>HYPERLINK("https://otsuka-europe-crm.veevavault.com/ui/#object/account__v/V4TZ00000633ITV", "ADEL MAZA")</f>
        <v>ADEL MAZA</v>
      </c>
      <c r="B7821" s="7" t="str">
        <f t="shared" si="644"/>
        <v>FR</v>
      </c>
      <c r="C7821" s="8" t="s">
        <v>42</v>
      </c>
      <c r="D7821" s="9" t="str">
        <f>HYPERLINK("https://otsuka-europe-crm.veevavault.com/ui/#object/approved_document__v/V5O00000000P003", "FR-AM2-2500027")</f>
        <v>FR-AM2-2500027</v>
      </c>
      <c r="E7821" s="10" t="str">
        <f>HYPERLINK("https://otsuka-europe-crm.veevavault.com/ui/#object/sent_email__v/VBL00000002S610", "SE-001435154")</f>
        <v>SE-001435154</v>
      </c>
      <c r="F7821" s="11"/>
      <c r="G7821" s="12">
        <v>0</v>
      </c>
      <c r="H7821" s="12">
        <v>0</v>
      </c>
      <c r="I7821" s="12">
        <v>0</v>
      </c>
      <c r="J7821" s="11"/>
      <c r="K7821" s="12">
        <v>0</v>
      </c>
      <c r="L7821" s="10" t="str">
        <f>HYPERLINK("https://otsuka-europe-crm.veevavault.com/ui/#object/approved_document__v/V5O00000000P003", "FR-AM2-2500027")</f>
        <v>FR-AM2-2500027</v>
      </c>
      <c r="M7821" s="10" t="str">
        <f t="shared" si="645"/>
        <v>ssaouab@crm.otsuka-europe.com</v>
      </c>
      <c r="N7821" s="13">
        <v>46182.771898148145</v>
      </c>
      <c r="O7821" s="14" t="str">
        <f>HYPERLINK("https://otsuka-europe-crm.veevavault.com/ui/#object/email_activity__v/V8C00000003R926", "EN-002093476")</f>
        <v>EN-002093476</v>
      </c>
    </row>
    <row r="7822" spans="1:15" ht="48" x14ac:dyDescent="0.2">
      <c r="A7822" s="7" t="str">
        <f>HYPERLINK("https://otsuka-europe-crm.veevavault.com/ui/#object/account__v/V4TZ00000634ABO", "ANICET MAZAYA")</f>
        <v>ANICET MAZAYA</v>
      </c>
      <c r="B7822" s="7" t="str">
        <f t="shared" si="644"/>
        <v>FR</v>
      </c>
      <c r="C7822" s="8" t="s">
        <v>42</v>
      </c>
      <c r="D7822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822" s="10" t="str">
        <f>HYPERLINK("https://otsuka-europe-crm.veevavault.com/ui/#object/sent_email__v/VBL00000002S611", "SE-001435155")</f>
        <v>SE-001435155</v>
      </c>
      <c r="F7822" s="11"/>
      <c r="G7822" s="12">
        <v>0</v>
      </c>
      <c r="H7822" s="12">
        <v>0</v>
      </c>
      <c r="I7822" s="12">
        <v>0</v>
      </c>
      <c r="J7822" s="11"/>
      <c r="K7822" s="12">
        <v>0</v>
      </c>
      <c r="L7822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822" s="10" t="str">
        <f t="shared" si="645"/>
        <v>ssaouab@crm.otsuka-europe.com</v>
      </c>
      <c r="N7822" s="13">
        <v>46182.772766203707</v>
      </c>
      <c r="O7822" s="14" t="str">
        <f>HYPERLINK("https://otsuka-europe-crm.veevavault.com/ui/#object/email_activity__v/V8C00000003S315", "EN-002093477")</f>
        <v>EN-002093477</v>
      </c>
    </row>
    <row r="7823" spans="1:15" ht="32" x14ac:dyDescent="0.2">
      <c r="A7823" s="7" t="str">
        <f>HYPERLINK("https://otsuka-europe-crm.veevavault.com/ui/#object/account__v/V4TZ00000634ABO", "ANICET MAZAYA")</f>
        <v>ANICET MAZAYA</v>
      </c>
      <c r="B7823" s="7" t="str">
        <f t="shared" si="644"/>
        <v>FR</v>
      </c>
      <c r="C7823" s="8" t="s">
        <v>42</v>
      </c>
      <c r="D7823" s="9" t="str">
        <f>HYPERLINK("https://otsuka-europe-crm.veevavault.com/ui/#object/approved_document__v/V5O00000000P003", "FR-AM2-2500027")</f>
        <v>FR-AM2-2500027</v>
      </c>
      <c r="E7823" s="10" t="str">
        <f>HYPERLINK("https://otsuka-europe-crm.veevavault.com/ui/#object/sent_email__v/VBL00000002S612", "SE-001435156")</f>
        <v>SE-001435156</v>
      </c>
      <c r="F7823" s="11"/>
      <c r="G7823" s="12">
        <v>0</v>
      </c>
      <c r="H7823" s="12">
        <v>0</v>
      </c>
      <c r="I7823" s="12">
        <v>0</v>
      </c>
      <c r="J7823" s="11"/>
      <c r="K7823" s="12">
        <v>0</v>
      </c>
      <c r="L7823" s="10" t="str">
        <f>HYPERLINK("https://otsuka-europe-crm.veevavault.com/ui/#object/approved_document__v/V5O00000000P003", "FR-AM2-2500027")</f>
        <v>FR-AM2-2500027</v>
      </c>
      <c r="M7823" s="10" t="str">
        <f t="shared" si="645"/>
        <v>ssaouab@crm.otsuka-europe.com</v>
      </c>
      <c r="N7823" s="13">
        <v>46182.773680555554</v>
      </c>
      <c r="O7823" s="14" t="str">
        <f>HYPERLINK("https://otsuka-europe-crm.veevavault.com/ui/#object/email_activity__v/V8C00000003R927", "EN-002093478")</f>
        <v>EN-002093478</v>
      </c>
    </row>
    <row r="7824" spans="1:15" ht="16" x14ac:dyDescent="0.2">
      <c r="A7824" s="17" t="str">
        <f>HYPERLINK("https://otsuka-europe-crm.veevavault.com/ui/#object/account__v/V4TZ04ASGAVE84N", "MARIA ANTONIETTA D'AGOSTINO")</f>
        <v>MARIA ANTONIETTA D'AGOSTINO</v>
      </c>
      <c r="B7824" s="17" t="str">
        <f>HYPERLINK("https://otsuka-europe-crm.veevavault.com/ui/#object/vcountry__v/VENZ000004SONFQ", "IT")</f>
        <v>IT</v>
      </c>
      <c r="C7824" s="20" t="s">
        <v>44</v>
      </c>
      <c r="D7824" s="21" t="str">
        <f>HYPERLINK("https://otsuka-europe-crm.veevavault.com/ui/#object/approved_document__v/V5OZ025E82J3IP1", "Disclosure-Consent__Veeva-CRM__IT_email2")</f>
        <v>Disclosure-Consent__Veeva-CRM__IT_email2</v>
      </c>
      <c r="E7824" s="22" t="str">
        <f>HYPERLINK("https://otsuka-europe-crm.veevavault.com/ui/#object/sent_email__v/VBL00000002R516", "SE-001435157")</f>
        <v>SE-001435157</v>
      </c>
      <c r="F7824" s="23">
        <v>46190.577986111108</v>
      </c>
      <c r="G7824" s="24">
        <v>1</v>
      </c>
      <c r="H7824" s="24">
        <v>75</v>
      </c>
      <c r="I7824" s="24">
        <v>1</v>
      </c>
      <c r="J7824" s="23">
        <v>46185.362025462964</v>
      </c>
      <c r="K7824" s="24">
        <v>3</v>
      </c>
      <c r="L7824" s="22" t="str">
        <f>HYPERLINK("https://otsuka-europe-crm.veevavault.com/ui/#object/approved_document__v/V5OZ025E82J3IP1", "Disclosure-Consent__Veeva-CRM__IT_email2")</f>
        <v>Disclosure-Consent__Veeva-CRM__IT_email2</v>
      </c>
      <c r="M7824" s="22" t="str">
        <f>HYPERLINK("mailto:ileana.bortolomai@crm.otsuka-europe.com", "ileana.bortolomai@crm.otsuka-europe.com")</f>
        <v>ileana.bortolomai@crm.otsuka-europe.com</v>
      </c>
      <c r="N7824" s="23">
        <v>46182.779270833336</v>
      </c>
      <c r="O7824" s="14" t="str">
        <f>HYPERLINK("https://otsuka-europe-crm.veevavault.com/ui/#object/email_activity__v/V8C00000003R944", "EN-002093500")</f>
        <v>EN-002093500</v>
      </c>
    </row>
    <row r="7825" spans="1:15" ht="16" x14ac:dyDescent="0.2">
      <c r="A7825" s="18"/>
      <c r="B7825" s="18"/>
      <c r="C7825" s="18"/>
      <c r="D7825" s="18"/>
      <c r="E7825" s="18"/>
      <c r="F7825" s="18"/>
      <c r="G7825" s="18"/>
      <c r="H7825" s="18"/>
      <c r="I7825" s="18"/>
      <c r="J7825" s="18"/>
      <c r="K7825" s="18"/>
      <c r="L7825" s="18"/>
      <c r="M7825" s="18"/>
      <c r="N7825" s="18"/>
      <c r="O7825" s="14" t="str">
        <f>HYPERLINK("https://otsuka-europe-crm.veevavault.com/ui/#object/email_activity__v/V8C00000003R945", "EN-002093501")</f>
        <v>EN-002093501</v>
      </c>
    </row>
    <row r="7826" spans="1:15" ht="16" x14ac:dyDescent="0.2">
      <c r="A7826" s="18"/>
      <c r="B7826" s="18"/>
      <c r="C7826" s="18"/>
      <c r="D7826" s="18"/>
      <c r="E7826" s="18"/>
      <c r="F7826" s="18"/>
      <c r="G7826" s="18"/>
      <c r="H7826" s="18"/>
      <c r="I7826" s="18"/>
      <c r="J7826" s="18"/>
      <c r="K7826" s="18"/>
      <c r="L7826" s="18"/>
      <c r="M7826" s="18"/>
      <c r="N7826" s="18"/>
      <c r="O7826" s="14" t="str">
        <f>HYPERLINK("https://otsuka-europe-crm.veevavault.com/ui/#object/email_activity__v/V8C00000003S320", "EN-002093484")</f>
        <v>EN-002093484</v>
      </c>
    </row>
    <row r="7827" spans="1:15" ht="16" x14ac:dyDescent="0.2">
      <c r="A7827" s="18"/>
      <c r="B7827" s="18"/>
      <c r="C7827" s="18"/>
      <c r="D7827" s="18"/>
      <c r="E7827" s="18"/>
      <c r="F7827" s="18"/>
      <c r="G7827" s="18"/>
      <c r="H7827" s="18"/>
      <c r="I7827" s="18"/>
      <c r="J7827" s="18"/>
      <c r="K7827" s="18"/>
      <c r="L7827" s="18"/>
      <c r="M7827" s="18"/>
      <c r="N7827" s="18"/>
      <c r="O7827" s="14" t="str">
        <f>HYPERLINK("https://otsuka-europe-crm.veevavault.com/ui/#object/email_activity__v/V8C00000003S497", "EN-002093894")</f>
        <v>EN-002093894</v>
      </c>
    </row>
    <row r="7828" spans="1:15" ht="16" x14ac:dyDescent="0.2">
      <c r="A7828" s="18"/>
      <c r="B7828" s="18"/>
      <c r="C7828" s="18"/>
      <c r="D7828" s="18"/>
      <c r="E7828" s="18"/>
      <c r="F7828" s="18"/>
      <c r="G7828" s="18"/>
      <c r="H7828" s="18"/>
      <c r="I7828" s="18"/>
      <c r="J7828" s="18"/>
      <c r="K7828" s="18"/>
      <c r="L7828" s="18"/>
      <c r="M7828" s="18"/>
      <c r="N7828" s="18"/>
      <c r="O7828" s="14" t="str">
        <f>HYPERLINK("https://otsuka-europe-crm.veevavault.com/ui/#object/email_activity__v/V8C00000003S874", "EN-002094601")</f>
        <v>EN-002094601</v>
      </c>
    </row>
    <row r="7829" spans="1:15" ht="16" x14ac:dyDescent="0.2">
      <c r="A7829" s="18"/>
      <c r="B7829" s="18"/>
      <c r="C7829" s="18"/>
      <c r="D7829" s="18"/>
      <c r="E7829" s="18"/>
      <c r="F7829" s="18"/>
      <c r="G7829" s="18"/>
      <c r="H7829" s="18"/>
      <c r="I7829" s="18"/>
      <c r="J7829" s="18"/>
      <c r="K7829" s="18"/>
      <c r="L7829" s="18"/>
      <c r="M7829" s="18"/>
      <c r="N7829" s="18"/>
      <c r="O7829" s="14" t="str">
        <f>HYPERLINK("https://otsuka-europe-crm.veevavault.com/ui/#object/email_activity__v/V8C00000003S875", "EN-002094602")</f>
        <v>EN-002094602</v>
      </c>
    </row>
    <row r="7830" spans="1:15" ht="16" x14ac:dyDescent="0.2">
      <c r="A7830" s="18"/>
      <c r="B7830" s="18"/>
      <c r="C7830" s="18"/>
      <c r="D7830" s="18"/>
      <c r="E7830" s="18"/>
      <c r="F7830" s="18"/>
      <c r="G7830" s="18"/>
      <c r="H7830" s="18"/>
      <c r="I7830" s="18"/>
      <c r="J7830" s="18"/>
      <c r="K7830" s="18"/>
      <c r="L7830" s="18"/>
      <c r="M7830" s="18"/>
      <c r="N7830" s="18"/>
      <c r="O7830" s="14" t="str">
        <f>HYPERLINK("https://otsuka-europe-crm.veevavault.com/ui/#object/email_activity__v/V8C00000003S879", "EN-002094617")</f>
        <v>EN-002094617</v>
      </c>
    </row>
    <row r="7831" spans="1:15" ht="16" x14ac:dyDescent="0.2">
      <c r="A7831" s="18"/>
      <c r="B7831" s="18"/>
      <c r="C7831" s="18"/>
      <c r="D7831" s="18"/>
      <c r="E7831" s="18"/>
      <c r="F7831" s="18"/>
      <c r="G7831" s="18"/>
      <c r="H7831" s="18"/>
      <c r="I7831" s="18"/>
      <c r="J7831" s="18"/>
      <c r="K7831" s="18"/>
      <c r="L7831" s="18"/>
      <c r="M7831" s="18"/>
      <c r="N7831" s="18"/>
      <c r="O7831" s="14" t="str">
        <f>HYPERLINK("https://otsuka-europe-crm.veevavault.com/ui/#object/email_activity__v/V8C00000003S887", "EN-002094636")</f>
        <v>EN-002094636</v>
      </c>
    </row>
    <row r="7832" spans="1:15" ht="16" x14ac:dyDescent="0.2">
      <c r="A7832" s="18"/>
      <c r="B7832" s="18"/>
      <c r="C7832" s="18"/>
      <c r="D7832" s="18"/>
      <c r="E7832" s="18"/>
      <c r="F7832" s="18"/>
      <c r="G7832" s="18"/>
      <c r="H7832" s="18"/>
      <c r="I7832" s="18"/>
      <c r="J7832" s="18"/>
      <c r="K7832" s="18"/>
      <c r="L7832" s="18"/>
      <c r="M7832" s="18"/>
      <c r="N7832" s="18"/>
      <c r="O7832" s="14" t="str">
        <f>HYPERLINK("https://otsuka-europe-crm.veevavault.com/ui/#object/email_activity__v/V8C00000003S888", "EN-002094637")</f>
        <v>EN-002094637</v>
      </c>
    </row>
    <row r="7833" spans="1:15" ht="16" x14ac:dyDescent="0.2">
      <c r="A7833" s="18"/>
      <c r="B7833" s="18"/>
      <c r="C7833" s="18"/>
      <c r="D7833" s="18"/>
      <c r="E7833" s="18"/>
      <c r="F7833" s="18"/>
      <c r="G7833" s="18"/>
      <c r="H7833" s="18"/>
      <c r="I7833" s="18"/>
      <c r="J7833" s="18"/>
      <c r="K7833" s="18"/>
      <c r="L7833" s="18"/>
      <c r="M7833" s="18"/>
      <c r="N7833" s="18"/>
      <c r="O7833" s="14" t="str">
        <f>HYPERLINK("https://otsuka-europe-crm.veevavault.com/ui/#object/email_activity__v/V8C00000003S899", "EN-002094664")</f>
        <v>EN-002094664</v>
      </c>
    </row>
    <row r="7834" spans="1:15" ht="16" x14ac:dyDescent="0.2">
      <c r="A7834" s="18"/>
      <c r="B7834" s="18"/>
      <c r="C7834" s="18"/>
      <c r="D7834" s="18"/>
      <c r="E7834" s="18"/>
      <c r="F7834" s="18"/>
      <c r="G7834" s="18"/>
      <c r="H7834" s="18"/>
      <c r="I7834" s="18"/>
      <c r="J7834" s="18"/>
      <c r="K7834" s="18"/>
      <c r="L7834" s="18"/>
      <c r="M7834" s="18"/>
      <c r="N7834" s="18"/>
      <c r="O7834" s="14" t="str">
        <f>HYPERLINK("https://otsuka-europe-crm.veevavault.com/ui/#object/email_activity__v/V8C00000003S907", "EN-002094673")</f>
        <v>EN-002094673</v>
      </c>
    </row>
    <row r="7835" spans="1:15" ht="16" x14ac:dyDescent="0.2">
      <c r="A7835" s="18"/>
      <c r="B7835" s="18"/>
      <c r="C7835" s="18"/>
      <c r="D7835" s="18"/>
      <c r="E7835" s="18"/>
      <c r="F7835" s="18"/>
      <c r="G7835" s="18"/>
      <c r="H7835" s="18"/>
      <c r="I7835" s="18"/>
      <c r="J7835" s="18"/>
      <c r="K7835" s="18"/>
      <c r="L7835" s="18"/>
      <c r="M7835" s="18"/>
      <c r="N7835" s="18"/>
      <c r="O7835" s="14" t="str">
        <f>HYPERLINK("https://otsuka-europe-crm.veevavault.com/ui/#object/email_activity__v/V8C00000003S908", "EN-002094674")</f>
        <v>EN-002094674</v>
      </c>
    </row>
    <row r="7836" spans="1:15" ht="16" x14ac:dyDescent="0.2">
      <c r="A7836" s="18"/>
      <c r="B7836" s="18"/>
      <c r="C7836" s="18"/>
      <c r="D7836" s="18"/>
      <c r="E7836" s="18"/>
      <c r="F7836" s="18"/>
      <c r="G7836" s="18"/>
      <c r="H7836" s="18"/>
      <c r="I7836" s="18"/>
      <c r="J7836" s="18"/>
      <c r="K7836" s="18"/>
      <c r="L7836" s="18"/>
      <c r="M7836" s="18"/>
      <c r="N7836" s="18"/>
      <c r="O7836" s="14" t="str">
        <f>HYPERLINK("https://otsuka-europe-crm.veevavault.com/ui/#object/email_activity__v/V8C00000003S909", "EN-002094675")</f>
        <v>EN-002094675</v>
      </c>
    </row>
    <row r="7837" spans="1:15" ht="16" x14ac:dyDescent="0.2">
      <c r="A7837" s="18"/>
      <c r="B7837" s="18"/>
      <c r="C7837" s="18"/>
      <c r="D7837" s="18"/>
      <c r="E7837" s="18"/>
      <c r="F7837" s="18"/>
      <c r="G7837" s="18"/>
      <c r="H7837" s="18"/>
      <c r="I7837" s="18"/>
      <c r="J7837" s="18"/>
      <c r="K7837" s="18"/>
      <c r="L7837" s="18"/>
      <c r="M7837" s="18"/>
      <c r="N7837" s="18"/>
      <c r="O7837" s="14" t="str">
        <f>HYPERLINK("https://otsuka-europe-crm.veevavault.com/ui/#object/email_activity__v/V8C00000003S910", "EN-002094676")</f>
        <v>EN-002094676</v>
      </c>
    </row>
    <row r="7838" spans="1:15" ht="16" x14ac:dyDescent="0.2">
      <c r="A7838" s="18"/>
      <c r="B7838" s="18"/>
      <c r="C7838" s="18"/>
      <c r="D7838" s="18"/>
      <c r="E7838" s="18"/>
      <c r="F7838" s="18"/>
      <c r="G7838" s="18"/>
      <c r="H7838" s="18"/>
      <c r="I7838" s="18"/>
      <c r="J7838" s="18"/>
      <c r="K7838" s="18"/>
      <c r="L7838" s="18"/>
      <c r="M7838" s="18"/>
      <c r="N7838" s="18"/>
      <c r="O7838" s="14" t="str">
        <f>HYPERLINK("https://otsuka-europe-crm.veevavault.com/ui/#object/email_activity__v/V8C00000003S912", "EN-002094681")</f>
        <v>EN-002094681</v>
      </c>
    </row>
    <row r="7839" spans="1:15" ht="16" x14ac:dyDescent="0.2">
      <c r="A7839" s="18"/>
      <c r="B7839" s="18"/>
      <c r="C7839" s="18"/>
      <c r="D7839" s="18"/>
      <c r="E7839" s="18"/>
      <c r="F7839" s="18"/>
      <c r="G7839" s="18"/>
      <c r="H7839" s="18"/>
      <c r="I7839" s="18"/>
      <c r="J7839" s="18"/>
      <c r="K7839" s="18"/>
      <c r="L7839" s="18"/>
      <c r="M7839" s="18"/>
      <c r="N7839" s="18"/>
      <c r="O7839" s="14" t="str">
        <f>HYPERLINK("https://otsuka-europe-crm.veevavault.com/ui/#object/email_activity__v/V8C00000003S913", "EN-002094684")</f>
        <v>EN-002094684</v>
      </c>
    </row>
    <row r="7840" spans="1:15" ht="16" x14ac:dyDescent="0.2">
      <c r="A7840" s="18"/>
      <c r="B7840" s="18"/>
      <c r="C7840" s="18"/>
      <c r="D7840" s="18"/>
      <c r="E7840" s="18"/>
      <c r="F7840" s="18"/>
      <c r="G7840" s="18"/>
      <c r="H7840" s="18"/>
      <c r="I7840" s="18"/>
      <c r="J7840" s="18"/>
      <c r="K7840" s="18"/>
      <c r="L7840" s="18"/>
      <c r="M7840" s="18"/>
      <c r="N7840" s="18"/>
      <c r="O7840" s="14" t="str">
        <f>HYPERLINK("https://otsuka-europe-crm.veevavault.com/ui/#object/email_activity__v/V8C00000003S914", "EN-002094685")</f>
        <v>EN-002094685</v>
      </c>
    </row>
    <row r="7841" spans="1:15" ht="16" x14ac:dyDescent="0.2">
      <c r="A7841" s="18"/>
      <c r="B7841" s="18"/>
      <c r="C7841" s="18"/>
      <c r="D7841" s="18"/>
      <c r="E7841" s="18"/>
      <c r="F7841" s="18"/>
      <c r="G7841" s="18"/>
      <c r="H7841" s="18"/>
      <c r="I7841" s="18"/>
      <c r="J7841" s="18"/>
      <c r="K7841" s="18"/>
      <c r="L7841" s="18"/>
      <c r="M7841" s="18"/>
      <c r="N7841" s="18"/>
      <c r="O7841" s="14" t="str">
        <f>HYPERLINK("https://otsuka-europe-crm.veevavault.com/ui/#object/email_activity__v/V8C00000003S916", "EN-002094687")</f>
        <v>EN-002094687</v>
      </c>
    </row>
    <row r="7842" spans="1:15" ht="16" x14ac:dyDescent="0.2">
      <c r="A7842" s="18"/>
      <c r="B7842" s="18"/>
      <c r="C7842" s="18"/>
      <c r="D7842" s="18"/>
      <c r="E7842" s="18"/>
      <c r="F7842" s="18"/>
      <c r="G7842" s="18"/>
      <c r="H7842" s="18"/>
      <c r="I7842" s="18"/>
      <c r="J7842" s="18"/>
      <c r="K7842" s="18"/>
      <c r="L7842" s="18"/>
      <c r="M7842" s="18"/>
      <c r="N7842" s="18"/>
      <c r="O7842" s="14" t="str">
        <f>HYPERLINK("https://otsuka-europe-crm.veevavault.com/ui/#object/email_activity__v/V8C00000003S917", "EN-002094688")</f>
        <v>EN-002094688</v>
      </c>
    </row>
    <row r="7843" spans="1:15" ht="16" x14ac:dyDescent="0.2">
      <c r="A7843" s="18"/>
      <c r="B7843" s="18"/>
      <c r="C7843" s="18"/>
      <c r="D7843" s="18"/>
      <c r="E7843" s="18"/>
      <c r="F7843" s="18"/>
      <c r="G7843" s="18"/>
      <c r="H7843" s="18"/>
      <c r="I7843" s="18"/>
      <c r="J7843" s="18"/>
      <c r="K7843" s="18"/>
      <c r="L7843" s="18"/>
      <c r="M7843" s="18"/>
      <c r="N7843" s="18"/>
      <c r="O7843" s="14" t="str">
        <f>HYPERLINK("https://otsuka-europe-crm.veevavault.com/ui/#object/email_activity__v/V8C00000003S918", "EN-002094689")</f>
        <v>EN-002094689</v>
      </c>
    </row>
    <row r="7844" spans="1:15" ht="16" x14ac:dyDescent="0.2">
      <c r="A7844" s="18"/>
      <c r="B7844" s="18"/>
      <c r="C7844" s="18"/>
      <c r="D7844" s="18"/>
      <c r="E7844" s="18"/>
      <c r="F7844" s="18"/>
      <c r="G7844" s="18"/>
      <c r="H7844" s="18"/>
      <c r="I7844" s="18"/>
      <c r="J7844" s="18"/>
      <c r="K7844" s="18"/>
      <c r="L7844" s="18"/>
      <c r="M7844" s="18"/>
      <c r="N7844" s="18"/>
      <c r="O7844" s="14" t="str">
        <f>HYPERLINK("https://otsuka-europe-crm.veevavault.com/ui/#object/email_activity__v/V8C00000003S919", "EN-002094690")</f>
        <v>EN-002094690</v>
      </c>
    </row>
    <row r="7845" spans="1:15" ht="16" x14ac:dyDescent="0.2">
      <c r="A7845" s="18"/>
      <c r="B7845" s="18"/>
      <c r="C7845" s="18"/>
      <c r="D7845" s="18"/>
      <c r="E7845" s="18"/>
      <c r="F7845" s="18"/>
      <c r="G7845" s="18"/>
      <c r="H7845" s="18"/>
      <c r="I7845" s="18"/>
      <c r="J7845" s="18"/>
      <c r="K7845" s="18"/>
      <c r="L7845" s="18"/>
      <c r="M7845" s="18"/>
      <c r="N7845" s="18"/>
      <c r="O7845" s="14" t="str">
        <f>HYPERLINK("https://otsuka-europe-crm.veevavault.com/ui/#object/email_activity__v/V8C00000003S920", "EN-002094691")</f>
        <v>EN-002094691</v>
      </c>
    </row>
    <row r="7846" spans="1:15" ht="16" x14ac:dyDescent="0.2">
      <c r="A7846" s="18"/>
      <c r="B7846" s="18"/>
      <c r="C7846" s="18"/>
      <c r="D7846" s="18"/>
      <c r="E7846" s="18"/>
      <c r="F7846" s="18"/>
      <c r="G7846" s="18"/>
      <c r="H7846" s="18"/>
      <c r="I7846" s="18"/>
      <c r="J7846" s="18"/>
      <c r="K7846" s="18"/>
      <c r="L7846" s="18"/>
      <c r="M7846" s="18"/>
      <c r="N7846" s="18"/>
      <c r="O7846" s="14" t="str">
        <f>HYPERLINK("https://otsuka-europe-crm.veevavault.com/ui/#object/email_activity__v/V8C00000003S921", "EN-002094692")</f>
        <v>EN-002094692</v>
      </c>
    </row>
    <row r="7847" spans="1:15" ht="16" x14ac:dyDescent="0.2">
      <c r="A7847" s="18"/>
      <c r="B7847" s="18"/>
      <c r="C7847" s="18"/>
      <c r="D7847" s="18"/>
      <c r="E7847" s="18"/>
      <c r="F7847" s="18"/>
      <c r="G7847" s="18"/>
      <c r="H7847" s="18"/>
      <c r="I7847" s="18"/>
      <c r="J7847" s="18"/>
      <c r="K7847" s="18"/>
      <c r="L7847" s="18"/>
      <c r="M7847" s="18"/>
      <c r="N7847" s="18"/>
      <c r="O7847" s="14" t="str">
        <f>HYPERLINK("https://otsuka-europe-crm.veevavault.com/ui/#object/email_activity__v/V8C00000003S922", "EN-002094693")</f>
        <v>EN-002094693</v>
      </c>
    </row>
    <row r="7848" spans="1:15" ht="16" x14ac:dyDescent="0.2">
      <c r="A7848" s="18"/>
      <c r="B7848" s="18"/>
      <c r="C7848" s="18"/>
      <c r="D7848" s="18"/>
      <c r="E7848" s="18"/>
      <c r="F7848" s="18"/>
      <c r="G7848" s="18"/>
      <c r="H7848" s="18"/>
      <c r="I7848" s="18"/>
      <c r="J7848" s="18"/>
      <c r="K7848" s="18"/>
      <c r="L7848" s="18"/>
      <c r="M7848" s="18"/>
      <c r="N7848" s="18"/>
      <c r="O7848" s="14" t="str">
        <f>HYPERLINK("https://otsuka-europe-crm.veevavault.com/ui/#object/email_activity__v/V8C00000003S923", "EN-002094694")</f>
        <v>EN-002094694</v>
      </c>
    </row>
    <row r="7849" spans="1:15" ht="16" x14ac:dyDescent="0.2">
      <c r="A7849" s="18"/>
      <c r="B7849" s="18"/>
      <c r="C7849" s="18"/>
      <c r="D7849" s="18"/>
      <c r="E7849" s="18"/>
      <c r="F7849" s="18"/>
      <c r="G7849" s="18"/>
      <c r="H7849" s="18"/>
      <c r="I7849" s="18"/>
      <c r="J7849" s="18"/>
      <c r="K7849" s="18"/>
      <c r="L7849" s="18"/>
      <c r="M7849" s="18"/>
      <c r="N7849" s="18"/>
      <c r="O7849" s="14" t="str">
        <f>HYPERLINK("https://otsuka-europe-crm.veevavault.com/ui/#object/email_activity__v/V8C00000003S925", "EN-002094698")</f>
        <v>EN-002094698</v>
      </c>
    </row>
    <row r="7850" spans="1:15" ht="16" x14ac:dyDescent="0.2">
      <c r="A7850" s="18"/>
      <c r="B7850" s="18"/>
      <c r="C7850" s="18"/>
      <c r="D7850" s="18"/>
      <c r="E7850" s="18"/>
      <c r="F7850" s="18"/>
      <c r="G7850" s="18"/>
      <c r="H7850" s="18"/>
      <c r="I7850" s="18"/>
      <c r="J7850" s="18"/>
      <c r="K7850" s="18"/>
      <c r="L7850" s="18"/>
      <c r="M7850" s="18"/>
      <c r="N7850" s="18"/>
      <c r="O7850" s="14" t="str">
        <f>HYPERLINK("https://otsuka-europe-crm.veevavault.com/ui/#object/email_activity__v/V8C00000003S926", "EN-002094699")</f>
        <v>EN-002094699</v>
      </c>
    </row>
    <row r="7851" spans="1:15" ht="16" x14ac:dyDescent="0.2">
      <c r="A7851" s="18"/>
      <c r="B7851" s="18"/>
      <c r="C7851" s="18"/>
      <c r="D7851" s="18"/>
      <c r="E7851" s="18"/>
      <c r="F7851" s="18"/>
      <c r="G7851" s="18"/>
      <c r="H7851" s="18"/>
      <c r="I7851" s="18"/>
      <c r="J7851" s="18"/>
      <c r="K7851" s="18"/>
      <c r="L7851" s="18"/>
      <c r="M7851" s="18"/>
      <c r="N7851" s="18"/>
      <c r="O7851" s="14" t="str">
        <f>HYPERLINK("https://otsuka-europe-crm.veevavault.com/ui/#object/email_activity__v/V8C00000003S927", "EN-002094700")</f>
        <v>EN-002094700</v>
      </c>
    </row>
    <row r="7852" spans="1:15" ht="16" x14ac:dyDescent="0.2">
      <c r="A7852" s="18"/>
      <c r="B7852" s="18"/>
      <c r="C7852" s="18"/>
      <c r="D7852" s="18"/>
      <c r="E7852" s="18"/>
      <c r="F7852" s="18"/>
      <c r="G7852" s="18"/>
      <c r="H7852" s="18"/>
      <c r="I7852" s="18"/>
      <c r="J7852" s="18"/>
      <c r="K7852" s="18"/>
      <c r="L7852" s="18"/>
      <c r="M7852" s="18"/>
      <c r="N7852" s="18"/>
      <c r="O7852" s="14" t="str">
        <f>HYPERLINK("https://otsuka-europe-crm.veevavault.com/ui/#object/email_activity__v/V8C00000003S928", "EN-002094702")</f>
        <v>EN-002094702</v>
      </c>
    </row>
    <row r="7853" spans="1:15" ht="16" x14ac:dyDescent="0.2">
      <c r="A7853" s="18"/>
      <c r="B7853" s="18"/>
      <c r="C7853" s="18"/>
      <c r="D7853" s="18"/>
      <c r="E7853" s="18"/>
      <c r="F7853" s="18"/>
      <c r="G7853" s="18"/>
      <c r="H7853" s="18"/>
      <c r="I7853" s="18"/>
      <c r="J7853" s="18"/>
      <c r="K7853" s="18"/>
      <c r="L7853" s="18"/>
      <c r="M7853" s="18"/>
      <c r="N7853" s="18"/>
      <c r="O7853" s="14" t="str">
        <f>HYPERLINK("https://otsuka-europe-crm.veevavault.com/ui/#object/email_activity__v/V8C00000003S932", "EN-002094709")</f>
        <v>EN-002094709</v>
      </c>
    </row>
    <row r="7854" spans="1:15" ht="16" x14ac:dyDescent="0.2">
      <c r="A7854" s="18"/>
      <c r="B7854" s="18"/>
      <c r="C7854" s="18"/>
      <c r="D7854" s="18"/>
      <c r="E7854" s="18"/>
      <c r="F7854" s="18"/>
      <c r="G7854" s="18"/>
      <c r="H7854" s="18"/>
      <c r="I7854" s="18"/>
      <c r="J7854" s="18"/>
      <c r="K7854" s="18"/>
      <c r="L7854" s="18"/>
      <c r="M7854" s="18"/>
      <c r="N7854" s="18"/>
      <c r="O7854" s="14" t="str">
        <f>HYPERLINK("https://otsuka-europe-crm.veevavault.com/ui/#object/email_activity__v/V8C00000003S933", "EN-002094712")</f>
        <v>EN-002094712</v>
      </c>
    </row>
    <row r="7855" spans="1:15" ht="16" x14ac:dyDescent="0.2">
      <c r="A7855" s="18"/>
      <c r="B7855" s="18"/>
      <c r="C7855" s="18"/>
      <c r="D7855" s="18"/>
      <c r="E7855" s="18"/>
      <c r="F7855" s="18"/>
      <c r="G7855" s="18"/>
      <c r="H7855" s="18"/>
      <c r="I7855" s="18"/>
      <c r="J7855" s="18"/>
      <c r="K7855" s="18"/>
      <c r="L7855" s="18"/>
      <c r="M7855" s="18"/>
      <c r="N7855" s="18"/>
      <c r="O7855" s="14" t="str">
        <f>HYPERLINK("https://otsuka-europe-crm.veevavault.com/ui/#object/email_activity__v/V8C00000003S946", "EN-002094744")</f>
        <v>EN-002094744</v>
      </c>
    </row>
    <row r="7856" spans="1:15" ht="16" x14ac:dyDescent="0.2">
      <c r="A7856" s="18"/>
      <c r="B7856" s="18"/>
      <c r="C7856" s="18"/>
      <c r="D7856" s="18"/>
      <c r="E7856" s="18"/>
      <c r="F7856" s="18"/>
      <c r="G7856" s="18"/>
      <c r="H7856" s="18"/>
      <c r="I7856" s="18"/>
      <c r="J7856" s="18"/>
      <c r="K7856" s="18"/>
      <c r="L7856" s="18"/>
      <c r="M7856" s="18"/>
      <c r="N7856" s="18"/>
      <c r="O7856" s="14" t="str">
        <f>HYPERLINK("https://otsuka-europe-crm.veevavault.com/ui/#object/email_activity__v/V8C00000003S947", "EN-002094745")</f>
        <v>EN-002094745</v>
      </c>
    </row>
    <row r="7857" spans="1:15" ht="16" x14ac:dyDescent="0.2">
      <c r="A7857" s="18"/>
      <c r="B7857" s="18"/>
      <c r="C7857" s="18"/>
      <c r="D7857" s="18"/>
      <c r="E7857" s="18"/>
      <c r="F7857" s="18"/>
      <c r="G7857" s="18"/>
      <c r="H7857" s="18"/>
      <c r="I7857" s="18"/>
      <c r="J7857" s="18"/>
      <c r="K7857" s="18"/>
      <c r="L7857" s="18"/>
      <c r="M7857" s="18"/>
      <c r="N7857" s="18"/>
      <c r="O7857" s="14" t="str">
        <f>HYPERLINK("https://otsuka-europe-crm.veevavault.com/ui/#object/email_activity__v/V8C00000003S956", "EN-002094758")</f>
        <v>EN-002094758</v>
      </c>
    </row>
    <row r="7858" spans="1:15" ht="16" x14ac:dyDescent="0.2">
      <c r="A7858" s="18"/>
      <c r="B7858" s="18"/>
      <c r="C7858" s="18"/>
      <c r="D7858" s="18"/>
      <c r="E7858" s="18"/>
      <c r="F7858" s="18"/>
      <c r="G7858" s="18"/>
      <c r="H7858" s="18"/>
      <c r="I7858" s="18"/>
      <c r="J7858" s="18"/>
      <c r="K7858" s="18"/>
      <c r="L7858" s="18"/>
      <c r="M7858" s="18"/>
      <c r="N7858" s="18"/>
      <c r="O7858" s="14" t="str">
        <f>HYPERLINK("https://otsuka-europe-crm.veevavault.com/ui/#object/email_activity__v/V8C00000003S963", "EN-002094772")</f>
        <v>EN-002094772</v>
      </c>
    </row>
    <row r="7859" spans="1:15" ht="16" x14ac:dyDescent="0.2">
      <c r="A7859" s="18"/>
      <c r="B7859" s="18"/>
      <c r="C7859" s="18"/>
      <c r="D7859" s="18"/>
      <c r="E7859" s="18"/>
      <c r="F7859" s="18"/>
      <c r="G7859" s="18"/>
      <c r="H7859" s="18"/>
      <c r="I7859" s="18"/>
      <c r="J7859" s="18"/>
      <c r="K7859" s="18"/>
      <c r="L7859" s="18"/>
      <c r="M7859" s="18"/>
      <c r="N7859" s="18"/>
      <c r="O7859" s="14" t="str">
        <f>HYPERLINK("https://otsuka-europe-crm.veevavault.com/ui/#object/email_activity__v/V8C00000003S965", "EN-002094777")</f>
        <v>EN-002094777</v>
      </c>
    </row>
    <row r="7860" spans="1:15" ht="16" x14ac:dyDescent="0.2">
      <c r="A7860" s="18"/>
      <c r="B7860" s="18"/>
      <c r="C7860" s="18"/>
      <c r="D7860" s="18"/>
      <c r="E7860" s="18"/>
      <c r="F7860" s="18"/>
      <c r="G7860" s="18"/>
      <c r="H7860" s="18"/>
      <c r="I7860" s="18"/>
      <c r="J7860" s="18"/>
      <c r="K7860" s="18"/>
      <c r="L7860" s="18"/>
      <c r="M7860" s="18"/>
      <c r="N7860" s="18"/>
      <c r="O7860" s="14" t="str">
        <f>HYPERLINK("https://otsuka-europe-crm.veevavault.com/ui/#object/email_activity__v/V8C00000003T163", "EN-002093895")</f>
        <v>EN-002093895</v>
      </c>
    </row>
    <row r="7861" spans="1:15" ht="16" x14ac:dyDescent="0.2">
      <c r="A7861" s="18"/>
      <c r="B7861" s="18"/>
      <c r="C7861" s="18"/>
      <c r="D7861" s="18"/>
      <c r="E7861" s="18"/>
      <c r="F7861" s="18"/>
      <c r="G7861" s="18"/>
      <c r="H7861" s="18"/>
      <c r="I7861" s="18"/>
      <c r="J7861" s="18"/>
      <c r="K7861" s="18"/>
      <c r="L7861" s="18"/>
      <c r="M7861" s="18"/>
      <c r="N7861" s="18"/>
      <c r="O7861" s="14" t="str">
        <f>HYPERLINK("https://otsuka-europe-crm.veevavault.com/ui/#object/email_activity__v/V8C00000003T478", "EN-002094574")</f>
        <v>EN-002094574</v>
      </c>
    </row>
    <row r="7862" spans="1:15" ht="16" x14ac:dyDescent="0.2">
      <c r="A7862" s="18"/>
      <c r="B7862" s="18"/>
      <c r="C7862" s="18"/>
      <c r="D7862" s="18"/>
      <c r="E7862" s="18"/>
      <c r="F7862" s="18"/>
      <c r="G7862" s="18"/>
      <c r="H7862" s="18"/>
      <c r="I7862" s="18"/>
      <c r="J7862" s="18"/>
      <c r="K7862" s="18"/>
      <c r="L7862" s="18"/>
      <c r="M7862" s="18"/>
      <c r="N7862" s="18"/>
      <c r="O7862" s="14" t="str">
        <f>HYPERLINK("https://otsuka-europe-crm.veevavault.com/ui/#object/email_activity__v/V8C00000003T490", "EN-002094598")</f>
        <v>EN-002094598</v>
      </c>
    </row>
    <row r="7863" spans="1:15" ht="16" x14ac:dyDescent="0.2">
      <c r="A7863" s="18"/>
      <c r="B7863" s="18"/>
      <c r="C7863" s="18"/>
      <c r="D7863" s="18"/>
      <c r="E7863" s="18"/>
      <c r="F7863" s="18"/>
      <c r="G7863" s="18"/>
      <c r="H7863" s="18"/>
      <c r="I7863" s="18"/>
      <c r="J7863" s="18"/>
      <c r="K7863" s="18"/>
      <c r="L7863" s="18"/>
      <c r="M7863" s="18"/>
      <c r="N7863" s="18"/>
      <c r="O7863" s="14" t="str">
        <f>HYPERLINK("https://otsuka-europe-crm.veevavault.com/ui/#object/email_activity__v/V8C00000003T491", "EN-002094599")</f>
        <v>EN-002094599</v>
      </c>
    </row>
    <row r="7864" spans="1:15" ht="16" x14ac:dyDescent="0.2">
      <c r="A7864" s="18"/>
      <c r="B7864" s="18"/>
      <c r="C7864" s="18"/>
      <c r="D7864" s="18"/>
      <c r="E7864" s="18"/>
      <c r="F7864" s="18"/>
      <c r="G7864" s="18"/>
      <c r="H7864" s="18"/>
      <c r="I7864" s="18"/>
      <c r="J7864" s="18"/>
      <c r="K7864" s="18"/>
      <c r="L7864" s="18"/>
      <c r="M7864" s="18"/>
      <c r="N7864" s="18"/>
      <c r="O7864" s="14" t="str">
        <f>HYPERLINK("https://otsuka-europe-crm.veevavault.com/ui/#object/email_activity__v/V8C00000003T498", "EN-002094609")</f>
        <v>EN-002094609</v>
      </c>
    </row>
    <row r="7865" spans="1:15" ht="16" x14ac:dyDescent="0.2">
      <c r="A7865" s="18"/>
      <c r="B7865" s="18"/>
      <c r="C7865" s="18"/>
      <c r="D7865" s="18"/>
      <c r="E7865" s="18"/>
      <c r="F7865" s="18"/>
      <c r="G7865" s="18"/>
      <c r="H7865" s="18"/>
      <c r="I7865" s="18"/>
      <c r="J7865" s="18"/>
      <c r="K7865" s="18"/>
      <c r="L7865" s="18"/>
      <c r="M7865" s="18"/>
      <c r="N7865" s="18"/>
      <c r="O7865" s="14" t="str">
        <f>HYPERLINK("https://otsuka-europe-crm.veevavault.com/ui/#object/email_activity__v/V8C00000003T501", "EN-002094612")</f>
        <v>EN-002094612</v>
      </c>
    </row>
    <row r="7866" spans="1:15" ht="16" x14ac:dyDescent="0.2">
      <c r="A7866" s="18"/>
      <c r="B7866" s="18"/>
      <c r="C7866" s="18"/>
      <c r="D7866" s="18"/>
      <c r="E7866" s="18"/>
      <c r="F7866" s="18"/>
      <c r="G7866" s="18"/>
      <c r="H7866" s="18"/>
      <c r="I7866" s="18"/>
      <c r="J7866" s="18"/>
      <c r="K7866" s="18"/>
      <c r="L7866" s="18"/>
      <c r="M7866" s="18"/>
      <c r="N7866" s="18"/>
      <c r="O7866" s="14" t="str">
        <f>HYPERLINK("https://otsuka-europe-crm.veevavault.com/ui/#object/email_activity__v/V8C00000003T510", "EN-002094630")</f>
        <v>EN-002094630</v>
      </c>
    </row>
    <row r="7867" spans="1:15" ht="16" x14ac:dyDescent="0.2">
      <c r="A7867" s="18"/>
      <c r="B7867" s="18"/>
      <c r="C7867" s="18"/>
      <c r="D7867" s="18"/>
      <c r="E7867" s="18"/>
      <c r="F7867" s="18"/>
      <c r="G7867" s="18"/>
      <c r="H7867" s="18"/>
      <c r="I7867" s="18"/>
      <c r="J7867" s="18"/>
      <c r="K7867" s="18"/>
      <c r="L7867" s="18"/>
      <c r="M7867" s="18"/>
      <c r="N7867" s="18"/>
      <c r="O7867" s="14" t="str">
        <f>HYPERLINK("https://otsuka-europe-crm.veevavault.com/ui/#object/email_activity__v/V8C00000003T515", "EN-002094638")</f>
        <v>EN-002094638</v>
      </c>
    </row>
    <row r="7868" spans="1:15" ht="16" x14ac:dyDescent="0.2">
      <c r="A7868" s="18"/>
      <c r="B7868" s="18"/>
      <c r="C7868" s="18"/>
      <c r="D7868" s="18"/>
      <c r="E7868" s="18"/>
      <c r="F7868" s="18"/>
      <c r="G7868" s="18"/>
      <c r="H7868" s="18"/>
      <c r="I7868" s="18"/>
      <c r="J7868" s="18"/>
      <c r="K7868" s="18"/>
      <c r="L7868" s="18"/>
      <c r="M7868" s="18"/>
      <c r="N7868" s="18"/>
      <c r="O7868" s="14" t="str">
        <f>HYPERLINK("https://otsuka-europe-crm.veevavault.com/ui/#object/email_activity__v/V8C00000003T516", "EN-002094640")</f>
        <v>EN-002094640</v>
      </c>
    </row>
    <row r="7869" spans="1:15" ht="16" x14ac:dyDescent="0.2">
      <c r="A7869" s="18"/>
      <c r="B7869" s="18"/>
      <c r="C7869" s="18"/>
      <c r="D7869" s="18"/>
      <c r="E7869" s="18"/>
      <c r="F7869" s="18"/>
      <c r="G7869" s="18"/>
      <c r="H7869" s="18"/>
      <c r="I7869" s="18"/>
      <c r="J7869" s="18"/>
      <c r="K7869" s="18"/>
      <c r="L7869" s="18"/>
      <c r="M7869" s="18"/>
      <c r="N7869" s="18"/>
      <c r="O7869" s="14" t="str">
        <f>HYPERLINK("https://otsuka-europe-crm.veevavault.com/ui/#object/email_activity__v/V8C00000003T517", "EN-002094639")</f>
        <v>EN-002094639</v>
      </c>
    </row>
    <row r="7870" spans="1:15" ht="16" x14ac:dyDescent="0.2">
      <c r="A7870" s="18"/>
      <c r="B7870" s="18"/>
      <c r="C7870" s="18"/>
      <c r="D7870" s="18"/>
      <c r="E7870" s="18"/>
      <c r="F7870" s="18"/>
      <c r="G7870" s="18"/>
      <c r="H7870" s="18"/>
      <c r="I7870" s="18"/>
      <c r="J7870" s="18"/>
      <c r="K7870" s="18"/>
      <c r="L7870" s="18"/>
      <c r="M7870" s="18"/>
      <c r="N7870" s="18"/>
      <c r="O7870" s="14" t="str">
        <f>HYPERLINK("https://otsuka-europe-crm.veevavault.com/ui/#object/email_activity__v/V8C00000003T520", "EN-002094644")</f>
        <v>EN-002094644</v>
      </c>
    </row>
    <row r="7871" spans="1:15" ht="16" x14ac:dyDescent="0.2">
      <c r="A7871" s="18"/>
      <c r="B7871" s="18"/>
      <c r="C7871" s="18"/>
      <c r="D7871" s="18"/>
      <c r="E7871" s="18"/>
      <c r="F7871" s="18"/>
      <c r="G7871" s="18"/>
      <c r="H7871" s="18"/>
      <c r="I7871" s="18"/>
      <c r="J7871" s="18"/>
      <c r="K7871" s="18"/>
      <c r="L7871" s="18"/>
      <c r="M7871" s="18"/>
      <c r="N7871" s="18"/>
      <c r="O7871" s="14" t="str">
        <f>HYPERLINK("https://otsuka-europe-crm.veevavault.com/ui/#object/email_activity__v/V8C00000003T523", "EN-002094650")</f>
        <v>EN-002094650</v>
      </c>
    </row>
    <row r="7872" spans="1:15" ht="16" x14ac:dyDescent="0.2">
      <c r="A7872" s="18"/>
      <c r="B7872" s="18"/>
      <c r="C7872" s="18"/>
      <c r="D7872" s="18"/>
      <c r="E7872" s="18"/>
      <c r="F7872" s="18"/>
      <c r="G7872" s="18"/>
      <c r="H7872" s="18"/>
      <c r="I7872" s="18"/>
      <c r="J7872" s="18"/>
      <c r="K7872" s="18"/>
      <c r="L7872" s="18"/>
      <c r="M7872" s="18"/>
      <c r="N7872" s="18"/>
      <c r="O7872" s="14" t="str">
        <f>HYPERLINK("https://otsuka-europe-crm.veevavault.com/ui/#object/email_activity__v/V8C00000003T530", "EN-002094663")</f>
        <v>EN-002094663</v>
      </c>
    </row>
    <row r="7873" spans="1:15" ht="16" x14ac:dyDescent="0.2">
      <c r="A7873" s="18"/>
      <c r="B7873" s="18"/>
      <c r="C7873" s="18"/>
      <c r="D7873" s="18"/>
      <c r="E7873" s="18"/>
      <c r="F7873" s="18"/>
      <c r="G7873" s="18"/>
      <c r="H7873" s="18"/>
      <c r="I7873" s="18"/>
      <c r="J7873" s="18"/>
      <c r="K7873" s="18"/>
      <c r="L7873" s="18"/>
      <c r="M7873" s="18"/>
      <c r="N7873" s="18"/>
      <c r="O7873" s="14" t="str">
        <f>HYPERLINK("https://otsuka-europe-crm.veevavault.com/ui/#object/email_activity__v/V8C00000003T532", "EN-002094678")</f>
        <v>EN-002094678</v>
      </c>
    </row>
    <row r="7874" spans="1:15" ht="16" x14ac:dyDescent="0.2">
      <c r="A7874" s="18"/>
      <c r="B7874" s="18"/>
      <c r="C7874" s="18"/>
      <c r="D7874" s="18"/>
      <c r="E7874" s="18"/>
      <c r="F7874" s="18"/>
      <c r="G7874" s="18"/>
      <c r="H7874" s="18"/>
      <c r="I7874" s="18"/>
      <c r="J7874" s="18"/>
      <c r="K7874" s="18"/>
      <c r="L7874" s="18"/>
      <c r="M7874" s="18"/>
      <c r="N7874" s="18"/>
      <c r="O7874" s="14" t="str">
        <f>HYPERLINK("https://otsuka-europe-crm.veevavault.com/ui/#object/email_activity__v/V8C00000003T533", "EN-002094679")</f>
        <v>EN-002094679</v>
      </c>
    </row>
    <row r="7875" spans="1:15" ht="16" x14ac:dyDescent="0.2">
      <c r="A7875" s="18"/>
      <c r="B7875" s="18"/>
      <c r="C7875" s="18"/>
      <c r="D7875" s="18"/>
      <c r="E7875" s="18"/>
      <c r="F7875" s="18"/>
      <c r="G7875" s="18"/>
      <c r="H7875" s="18"/>
      <c r="I7875" s="18"/>
      <c r="J7875" s="18"/>
      <c r="K7875" s="18"/>
      <c r="L7875" s="18"/>
      <c r="M7875" s="18"/>
      <c r="N7875" s="18"/>
      <c r="O7875" s="14" t="str">
        <f>HYPERLINK("https://otsuka-europe-crm.veevavault.com/ui/#object/email_activity__v/V8C00000003T535", "EN-002094682")</f>
        <v>EN-002094682</v>
      </c>
    </row>
    <row r="7876" spans="1:15" ht="16" x14ac:dyDescent="0.2">
      <c r="A7876" s="18"/>
      <c r="B7876" s="18"/>
      <c r="C7876" s="18"/>
      <c r="D7876" s="18"/>
      <c r="E7876" s="18"/>
      <c r="F7876" s="18"/>
      <c r="G7876" s="18"/>
      <c r="H7876" s="18"/>
      <c r="I7876" s="18"/>
      <c r="J7876" s="18"/>
      <c r="K7876" s="18"/>
      <c r="L7876" s="18"/>
      <c r="M7876" s="18"/>
      <c r="N7876" s="18"/>
      <c r="O7876" s="14" t="str">
        <f>HYPERLINK("https://otsuka-europe-crm.veevavault.com/ui/#object/email_activity__v/V8C00000003T536", "EN-002094683")</f>
        <v>EN-002094683</v>
      </c>
    </row>
    <row r="7877" spans="1:15" ht="16" x14ac:dyDescent="0.2">
      <c r="A7877" s="18"/>
      <c r="B7877" s="18"/>
      <c r="C7877" s="18"/>
      <c r="D7877" s="18"/>
      <c r="E7877" s="18"/>
      <c r="F7877" s="18"/>
      <c r="G7877" s="18"/>
      <c r="H7877" s="18"/>
      <c r="I7877" s="18"/>
      <c r="J7877" s="18"/>
      <c r="K7877" s="18"/>
      <c r="L7877" s="18"/>
      <c r="M7877" s="18"/>
      <c r="N7877" s="18"/>
      <c r="O7877" s="14" t="str">
        <f>HYPERLINK("https://otsuka-europe-crm.veevavault.com/ui/#object/email_activity__v/V8C00000003T539", "EN-002094701")</f>
        <v>EN-002094701</v>
      </c>
    </row>
    <row r="7878" spans="1:15" ht="16" x14ac:dyDescent="0.2">
      <c r="A7878" s="18"/>
      <c r="B7878" s="18"/>
      <c r="C7878" s="18"/>
      <c r="D7878" s="18"/>
      <c r="E7878" s="18"/>
      <c r="F7878" s="18"/>
      <c r="G7878" s="18"/>
      <c r="H7878" s="18"/>
      <c r="I7878" s="18"/>
      <c r="J7878" s="18"/>
      <c r="K7878" s="18"/>
      <c r="L7878" s="18"/>
      <c r="M7878" s="18"/>
      <c r="N7878" s="18"/>
      <c r="O7878" s="14" t="str">
        <f>HYPERLINK("https://otsuka-europe-crm.veevavault.com/ui/#object/email_activity__v/V8C00000003T542", "EN-002094708")</f>
        <v>EN-002094708</v>
      </c>
    </row>
    <row r="7879" spans="1:15" ht="16" x14ac:dyDescent="0.2">
      <c r="A7879" s="18"/>
      <c r="B7879" s="18"/>
      <c r="C7879" s="18"/>
      <c r="D7879" s="18"/>
      <c r="E7879" s="18"/>
      <c r="F7879" s="18"/>
      <c r="G7879" s="18"/>
      <c r="H7879" s="18"/>
      <c r="I7879" s="18"/>
      <c r="J7879" s="18"/>
      <c r="K7879" s="18"/>
      <c r="L7879" s="18"/>
      <c r="M7879" s="18"/>
      <c r="N7879" s="18"/>
      <c r="O7879" s="14" t="str">
        <f>HYPERLINK("https://otsuka-europe-crm.veevavault.com/ui/#object/email_activity__v/V8C00000003T543", "EN-002094710")</f>
        <v>EN-002094710</v>
      </c>
    </row>
    <row r="7880" spans="1:15" ht="16" x14ac:dyDescent="0.2">
      <c r="A7880" s="18"/>
      <c r="B7880" s="18"/>
      <c r="C7880" s="18"/>
      <c r="D7880" s="18"/>
      <c r="E7880" s="18"/>
      <c r="F7880" s="18"/>
      <c r="G7880" s="18"/>
      <c r="H7880" s="18"/>
      <c r="I7880" s="18"/>
      <c r="J7880" s="18"/>
      <c r="K7880" s="18"/>
      <c r="L7880" s="18"/>
      <c r="M7880" s="18"/>
      <c r="N7880" s="18"/>
      <c r="O7880" s="14" t="str">
        <f>HYPERLINK("https://otsuka-europe-crm.veevavault.com/ui/#object/email_activity__v/V8C00000003T544", "EN-002094711")</f>
        <v>EN-002094711</v>
      </c>
    </row>
    <row r="7881" spans="1:15" ht="16" x14ac:dyDescent="0.2">
      <c r="A7881" s="18"/>
      <c r="B7881" s="18"/>
      <c r="C7881" s="18"/>
      <c r="D7881" s="18"/>
      <c r="E7881" s="18"/>
      <c r="F7881" s="18"/>
      <c r="G7881" s="18"/>
      <c r="H7881" s="18"/>
      <c r="I7881" s="18"/>
      <c r="J7881" s="18"/>
      <c r="K7881" s="18"/>
      <c r="L7881" s="18"/>
      <c r="M7881" s="18"/>
      <c r="N7881" s="18"/>
      <c r="O7881" s="14" t="str">
        <f>HYPERLINK("https://otsuka-europe-crm.veevavault.com/ui/#object/email_activity__v/V8C00000003T545", "EN-002094713")</f>
        <v>EN-002094713</v>
      </c>
    </row>
    <row r="7882" spans="1:15" ht="16" x14ac:dyDescent="0.2">
      <c r="A7882" s="18"/>
      <c r="B7882" s="18"/>
      <c r="C7882" s="18"/>
      <c r="D7882" s="18"/>
      <c r="E7882" s="18"/>
      <c r="F7882" s="18"/>
      <c r="G7882" s="18"/>
      <c r="H7882" s="18"/>
      <c r="I7882" s="18"/>
      <c r="J7882" s="18"/>
      <c r="K7882" s="18"/>
      <c r="L7882" s="18"/>
      <c r="M7882" s="18"/>
      <c r="N7882" s="18"/>
      <c r="O7882" s="14" t="str">
        <f>HYPERLINK("https://otsuka-europe-crm.veevavault.com/ui/#object/email_activity__v/V8C00000003T546", "EN-002094714")</f>
        <v>EN-002094714</v>
      </c>
    </row>
    <row r="7883" spans="1:15" ht="16" x14ac:dyDescent="0.2">
      <c r="A7883" s="18"/>
      <c r="B7883" s="18"/>
      <c r="C7883" s="18"/>
      <c r="D7883" s="18"/>
      <c r="E7883" s="18"/>
      <c r="F7883" s="18"/>
      <c r="G7883" s="18"/>
      <c r="H7883" s="18"/>
      <c r="I7883" s="18"/>
      <c r="J7883" s="18"/>
      <c r="K7883" s="18"/>
      <c r="L7883" s="18"/>
      <c r="M7883" s="18"/>
      <c r="N7883" s="18"/>
      <c r="O7883" s="14" t="str">
        <f>HYPERLINK("https://otsuka-europe-crm.veevavault.com/ui/#object/email_activity__v/V8C00000003T547", "EN-002094715")</f>
        <v>EN-002094715</v>
      </c>
    </row>
    <row r="7884" spans="1:15" ht="16" x14ac:dyDescent="0.2">
      <c r="A7884" s="18"/>
      <c r="B7884" s="18"/>
      <c r="C7884" s="18"/>
      <c r="D7884" s="18"/>
      <c r="E7884" s="18"/>
      <c r="F7884" s="18"/>
      <c r="G7884" s="18"/>
      <c r="H7884" s="18"/>
      <c r="I7884" s="18"/>
      <c r="J7884" s="18"/>
      <c r="K7884" s="18"/>
      <c r="L7884" s="18"/>
      <c r="M7884" s="18"/>
      <c r="N7884" s="18"/>
      <c r="O7884" s="14" t="str">
        <f>HYPERLINK("https://otsuka-europe-crm.veevavault.com/ui/#object/email_activity__v/V8C00000003T548", "EN-002094716")</f>
        <v>EN-002094716</v>
      </c>
    </row>
    <row r="7885" spans="1:15" ht="16" x14ac:dyDescent="0.2">
      <c r="A7885" s="18"/>
      <c r="B7885" s="18"/>
      <c r="C7885" s="18"/>
      <c r="D7885" s="18"/>
      <c r="E7885" s="18"/>
      <c r="F7885" s="18"/>
      <c r="G7885" s="18"/>
      <c r="H7885" s="18"/>
      <c r="I7885" s="18"/>
      <c r="J7885" s="18"/>
      <c r="K7885" s="18"/>
      <c r="L7885" s="18"/>
      <c r="M7885" s="18"/>
      <c r="N7885" s="18"/>
      <c r="O7885" s="14" t="str">
        <f>HYPERLINK("https://otsuka-europe-crm.veevavault.com/ui/#object/email_activity__v/V8C00000003T562", "EN-002094742")</f>
        <v>EN-002094742</v>
      </c>
    </row>
    <row r="7886" spans="1:15" ht="16" x14ac:dyDescent="0.2">
      <c r="A7886" s="18"/>
      <c r="B7886" s="18"/>
      <c r="C7886" s="18"/>
      <c r="D7886" s="18"/>
      <c r="E7886" s="18"/>
      <c r="F7886" s="18"/>
      <c r="G7886" s="18"/>
      <c r="H7886" s="18"/>
      <c r="I7886" s="18"/>
      <c r="J7886" s="18"/>
      <c r="K7886" s="18"/>
      <c r="L7886" s="18"/>
      <c r="M7886" s="18"/>
      <c r="N7886" s="18"/>
      <c r="O7886" s="14" t="str">
        <f>HYPERLINK("https://otsuka-europe-crm.veevavault.com/ui/#object/email_activity__v/V8C00000003T563", "EN-002094743")</f>
        <v>EN-002094743</v>
      </c>
    </row>
    <row r="7887" spans="1:15" ht="16" x14ac:dyDescent="0.2">
      <c r="A7887" s="18"/>
      <c r="B7887" s="18"/>
      <c r="C7887" s="18"/>
      <c r="D7887" s="18"/>
      <c r="E7887" s="18"/>
      <c r="F7887" s="18"/>
      <c r="G7887" s="18"/>
      <c r="H7887" s="18"/>
      <c r="I7887" s="18"/>
      <c r="J7887" s="18"/>
      <c r="K7887" s="18"/>
      <c r="L7887" s="18"/>
      <c r="M7887" s="18"/>
      <c r="N7887" s="18"/>
      <c r="O7887" s="14" t="str">
        <f>HYPERLINK("https://otsuka-europe-crm.veevavault.com/ui/#object/email_activity__v/V8C00000003T564", "EN-002094746")</f>
        <v>EN-002094746</v>
      </c>
    </row>
    <row r="7888" spans="1:15" ht="16" x14ac:dyDescent="0.2">
      <c r="A7888" s="18"/>
      <c r="B7888" s="18"/>
      <c r="C7888" s="18"/>
      <c r="D7888" s="18"/>
      <c r="E7888" s="18"/>
      <c r="F7888" s="18"/>
      <c r="G7888" s="18"/>
      <c r="H7888" s="18"/>
      <c r="I7888" s="18"/>
      <c r="J7888" s="18"/>
      <c r="K7888" s="18"/>
      <c r="L7888" s="18"/>
      <c r="M7888" s="18"/>
      <c r="N7888" s="18"/>
      <c r="O7888" s="14" t="str">
        <f>HYPERLINK("https://otsuka-europe-crm.veevavault.com/ui/#object/email_activity__v/V8C00000003T575", "EN-002094773")</f>
        <v>EN-002094773</v>
      </c>
    </row>
    <row r="7889" spans="1:15" ht="16" x14ac:dyDescent="0.2">
      <c r="A7889" s="18"/>
      <c r="B7889" s="18"/>
      <c r="C7889" s="18"/>
      <c r="D7889" s="18"/>
      <c r="E7889" s="18"/>
      <c r="F7889" s="18"/>
      <c r="G7889" s="18"/>
      <c r="H7889" s="18"/>
      <c r="I7889" s="18"/>
      <c r="J7889" s="18"/>
      <c r="K7889" s="18"/>
      <c r="L7889" s="18"/>
      <c r="M7889" s="18"/>
      <c r="N7889" s="18"/>
      <c r="O7889" s="14" t="str">
        <f>HYPERLINK("https://otsuka-europe-crm.veevavault.com/ui/#object/email_activity__v/V8C00000003U015", "EN-002094849")</f>
        <v>EN-002094849</v>
      </c>
    </row>
    <row r="7890" spans="1:15" ht="16" x14ac:dyDescent="0.2">
      <c r="A7890" s="18"/>
      <c r="B7890" s="18"/>
      <c r="C7890" s="18"/>
      <c r="D7890" s="18"/>
      <c r="E7890" s="18"/>
      <c r="F7890" s="18"/>
      <c r="G7890" s="18"/>
      <c r="H7890" s="18"/>
      <c r="I7890" s="18"/>
      <c r="J7890" s="18"/>
      <c r="K7890" s="18"/>
      <c r="L7890" s="18"/>
      <c r="M7890" s="18"/>
      <c r="N7890" s="18"/>
      <c r="O7890" s="14" t="str">
        <f>HYPERLINK("https://otsuka-europe-crm.veevavault.com/ui/#object/email_activity__v/V8C00000003U024", "EN-002094867")</f>
        <v>EN-002094867</v>
      </c>
    </row>
    <row r="7891" spans="1:15" ht="16" x14ac:dyDescent="0.2">
      <c r="A7891" s="18"/>
      <c r="B7891" s="18"/>
      <c r="C7891" s="18"/>
      <c r="D7891" s="18"/>
      <c r="E7891" s="18"/>
      <c r="F7891" s="18"/>
      <c r="G7891" s="18"/>
      <c r="H7891" s="18"/>
      <c r="I7891" s="18"/>
      <c r="J7891" s="18"/>
      <c r="K7891" s="18"/>
      <c r="L7891" s="18"/>
      <c r="M7891" s="18"/>
      <c r="N7891" s="18"/>
      <c r="O7891" s="14" t="str">
        <f>HYPERLINK("https://otsuka-europe-crm.veevavault.com/ui/#object/email_activity__v/V8C00000003U025", "EN-002094868")</f>
        <v>EN-002094868</v>
      </c>
    </row>
    <row r="7892" spans="1:15" ht="16" x14ac:dyDescent="0.2">
      <c r="A7892" s="18"/>
      <c r="B7892" s="18"/>
      <c r="C7892" s="18"/>
      <c r="D7892" s="18"/>
      <c r="E7892" s="18"/>
      <c r="F7892" s="18"/>
      <c r="G7892" s="18"/>
      <c r="H7892" s="18"/>
      <c r="I7892" s="18"/>
      <c r="J7892" s="18"/>
      <c r="K7892" s="18"/>
      <c r="L7892" s="18"/>
      <c r="M7892" s="18"/>
      <c r="N7892" s="18"/>
      <c r="O7892" s="14" t="str">
        <f>HYPERLINK("https://otsuka-europe-crm.veevavault.com/ui/#object/email_activity__v/V8C00000003U145", "EN-002095141")</f>
        <v>EN-002095141</v>
      </c>
    </row>
    <row r="7893" spans="1:15" ht="16" x14ac:dyDescent="0.2">
      <c r="A7893" s="18"/>
      <c r="B7893" s="18"/>
      <c r="C7893" s="18"/>
      <c r="D7893" s="18"/>
      <c r="E7893" s="18"/>
      <c r="F7893" s="18"/>
      <c r="G7893" s="18"/>
      <c r="H7893" s="18"/>
      <c r="I7893" s="18"/>
      <c r="J7893" s="18"/>
      <c r="K7893" s="18"/>
      <c r="L7893" s="18"/>
      <c r="M7893" s="18"/>
      <c r="N7893" s="18"/>
      <c r="O7893" s="14" t="str">
        <f>HYPERLINK("https://otsuka-europe-crm.veevavault.com/ui/#object/email_activity__v/V8C00000003U147", "EN-002095145")</f>
        <v>EN-002095145</v>
      </c>
    </row>
    <row r="7894" spans="1:15" ht="16" x14ac:dyDescent="0.2">
      <c r="A7894" s="18"/>
      <c r="B7894" s="18"/>
      <c r="C7894" s="18"/>
      <c r="D7894" s="18"/>
      <c r="E7894" s="18"/>
      <c r="F7894" s="18"/>
      <c r="G7894" s="18"/>
      <c r="H7894" s="18"/>
      <c r="I7894" s="18"/>
      <c r="J7894" s="18"/>
      <c r="K7894" s="18"/>
      <c r="L7894" s="18"/>
      <c r="M7894" s="18"/>
      <c r="N7894" s="18"/>
      <c r="O7894" s="14" t="str">
        <f>HYPERLINK("https://otsuka-europe-crm.veevavault.com/ui/#object/email_activity__v/V8C00000003U150", "EN-002095148")</f>
        <v>EN-002095148</v>
      </c>
    </row>
    <row r="7895" spans="1:15" ht="16" x14ac:dyDescent="0.2">
      <c r="A7895" s="18"/>
      <c r="B7895" s="18"/>
      <c r="C7895" s="18"/>
      <c r="D7895" s="18"/>
      <c r="E7895" s="18"/>
      <c r="F7895" s="18"/>
      <c r="G7895" s="18"/>
      <c r="H7895" s="18"/>
      <c r="I7895" s="18"/>
      <c r="J7895" s="18"/>
      <c r="K7895" s="18"/>
      <c r="L7895" s="18"/>
      <c r="M7895" s="18"/>
      <c r="N7895" s="18"/>
      <c r="O7895" s="14" t="str">
        <f>HYPERLINK("https://otsuka-europe-crm.veevavault.com/ui/#object/email_activity__v/V8C00000003U377", "EN-002095621")</f>
        <v>EN-002095621</v>
      </c>
    </row>
    <row r="7896" spans="1:15" ht="16" x14ac:dyDescent="0.2">
      <c r="A7896" s="18"/>
      <c r="B7896" s="18"/>
      <c r="C7896" s="18"/>
      <c r="D7896" s="18"/>
      <c r="E7896" s="18"/>
      <c r="F7896" s="18"/>
      <c r="G7896" s="18"/>
      <c r="H7896" s="18"/>
      <c r="I7896" s="18"/>
      <c r="J7896" s="18"/>
      <c r="K7896" s="18"/>
      <c r="L7896" s="18"/>
      <c r="M7896" s="18"/>
      <c r="N7896" s="18"/>
      <c r="O7896" s="14" t="str">
        <f>HYPERLINK("https://otsuka-europe-crm.veevavault.com/ui/#object/email_activity__v/V8C00000003U378", "EN-002095622")</f>
        <v>EN-002095622</v>
      </c>
    </row>
    <row r="7897" spans="1:15" ht="16" x14ac:dyDescent="0.2">
      <c r="A7897" s="18"/>
      <c r="B7897" s="18"/>
      <c r="C7897" s="18"/>
      <c r="D7897" s="18"/>
      <c r="E7897" s="18"/>
      <c r="F7897" s="18"/>
      <c r="G7897" s="18"/>
      <c r="H7897" s="18"/>
      <c r="I7897" s="18"/>
      <c r="J7897" s="18"/>
      <c r="K7897" s="18"/>
      <c r="L7897" s="18"/>
      <c r="M7897" s="18"/>
      <c r="N7897" s="18"/>
      <c r="O7897" s="14" t="str">
        <f>HYPERLINK("https://otsuka-europe-crm.veevavault.com/ui/#object/email_activity__v/V8C00000003U379", "EN-002095623")</f>
        <v>EN-002095623</v>
      </c>
    </row>
    <row r="7898" spans="1:15" ht="16" x14ac:dyDescent="0.2">
      <c r="A7898" s="18"/>
      <c r="B7898" s="18"/>
      <c r="C7898" s="18"/>
      <c r="D7898" s="18"/>
      <c r="E7898" s="18"/>
      <c r="F7898" s="18"/>
      <c r="G7898" s="18"/>
      <c r="H7898" s="18"/>
      <c r="I7898" s="18"/>
      <c r="J7898" s="18"/>
      <c r="K7898" s="18"/>
      <c r="L7898" s="18"/>
      <c r="M7898" s="18"/>
      <c r="N7898" s="18"/>
      <c r="O7898" s="14" t="str">
        <f>HYPERLINK("https://otsuka-europe-crm.veevavault.com/ui/#object/email_activity__v/V8C00000003U380", "EN-002095624")</f>
        <v>EN-002095624</v>
      </c>
    </row>
    <row r="7899" spans="1:15" ht="16" x14ac:dyDescent="0.2">
      <c r="A7899" s="18"/>
      <c r="B7899" s="18"/>
      <c r="C7899" s="18"/>
      <c r="D7899" s="18"/>
      <c r="E7899" s="18"/>
      <c r="F7899" s="18"/>
      <c r="G7899" s="18"/>
      <c r="H7899" s="18"/>
      <c r="I7899" s="18"/>
      <c r="J7899" s="18"/>
      <c r="K7899" s="18"/>
      <c r="L7899" s="18"/>
      <c r="M7899" s="18"/>
      <c r="N7899" s="18"/>
      <c r="O7899" s="14" t="str">
        <f>HYPERLINK("https://otsuka-europe-crm.veevavault.com/ui/#object/email_activity__v/V8C00000003U381", "EN-002095625")</f>
        <v>EN-002095625</v>
      </c>
    </row>
    <row r="7900" spans="1:15" ht="16" x14ac:dyDescent="0.2">
      <c r="A7900" s="18"/>
      <c r="B7900" s="18"/>
      <c r="C7900" s="18"/>
      <c r="D7900" s="18"/>
      <c r="E7900" s="18"/>
      <c r="F7900" s="18"/>
      <c r="G7900" s="18"/>
      <c r="H7900" s="18"/>
      <c r="I7900" s="18"/>
      <c r="J7900" s="18"/>
      <c r="K7900" s="18"/>
      <c r="L7900" s="18"/>
      <c r="M7900" s="18"/>
      <c r="N7900" s="18"/>
      <c r="O7900" s="14" t="str">
        <f>HYPERLINK("https://otsuka-europe-crm.veevavault.com/ui/#object/email_activity__v/V8C00000003V178", "EN-002095139")</f>
        <v>EN-002095139</v>
      </c>
    </row>
    <row r="7901" spans="1:15" ht="16" x14ac:dyDescent="0.2">
      <c r="A7901" s="18"/>
      <c r="B7901" s="18"/>
      <c r="C7901" s="18"/>
      <c r="D7901" s="18"/>
      <c r="E7901" s="18"/>
      <c r="F7901" s="18"/>
      <c r="G7901" s="18"/>
      <c r="H7901" s="18"/>
      <c r="I7901" s="18"/>
      <c r="J7901" s="18"/>
      <c r="K7901" s="18"/>
      <c r="L7901" s="18"/>
      <c r="M7901" s="18"/>
      <c r="N7901" s="18"/>
      <c r="O7901" s="14" t="str">
        <f>HYPERLINK("https://otsuka-europe-crm.veevavault.com/ui/#object/email_activity__v/V8C00000003V182", "EN-002095150")</f>
        <v>EN-002095150</v>
      </c>
    </row>
    <row r="7902" spans="1:15" ht="16" x14ac:dyDescent="0.2">
      <c r="A7902" s="18"/>
      <c r="B7902" s="18"/>
      <c r="C7902" s="18"/>
      <c r="D7902" s="18"/>
      <c r="E7902" s="18"/>
      <c r="F7902" s="18"/>
      <c r="G7902" s="18"/>
      <c r="H7902" s="18"/>
      <c r="I7902" s="18"/>
      <c r="J7902" s="18"/>
      <c r="K7902" s="18"/>
      <c r="L7902" s="18"/>
      <c r="M7902" s="18"/>
      <c r="N7902" s="18"/>
      <c r="O7902" s="14" t="str">
        <f>HYPERLINK("https://otsuka-europe-crm.veevavault.com/ui/#object/email_activity__v/V8C00000003W680", "EN-002098330")</f>
        <v>EN-002098330</v>
      </c>
    </row>
    <row r="7903" spans="1:15" ht="16" x14ac:dyDescent="0.2">
      <c r="A7903" s="19"/>
      <c r="B7903" s="19"/>
      <c r="C7903" s="19"/>
      <c r="D7903" s="19"/>
      <c r="E7903" s="19"/>
      <c r="F7903" s="19"/>
      <c r="G7903" s="19"/>
      <c r="H7903" s="19"/>
      <c r="I7903" s="19"/>
      <c r="J7903" s="19"/>
      <c r="K7903" s="19"/>
      <c r="L7903" s="19"/>
      <c r="M7903" s="19"/>
      <c r="N7903" s="19"/>
      <c r="O7903" s="14" t="str">
        <f>HYPERLINK("https://otsuka-europe-crm.veevavault.com/ui/#object/email_activity__v/V8C00000003W714", "EN-002098410")</f>
        <v>EN-002098410</v>
      </c>
    </row>
    <row r="7904" spans="1:15" ht="32" x14ac:dyDescent="0.2">
      <c r="A7904" s="7" t="str">
        <f>HYPERLINK("https://otsuka-europe-crm.veevavault.com/ui/#object/account__v/V4TZ06G6OCEPIMK", "SAMIA MEREZAK LAJILI")</f>
        <v>SAMIA MEREZAK LAJILI</v>
      </c>
      <c r="B7904" s="7" t="str">
        <f>HYPERLINK("https://otsuka-europe-crm.veevavault.com/ui/#object/vcountry__v/VENZ000004SONFA", "FR")</f>
        <v>FR</v>
      </c>
      <c r="C7904" s="8" t="s">
        <v>42</v>
      </c>
      <c r="D7904" s="9" t="str">
        <f>HYPERLINK("https://otsuka-europe-crm.veevavault.com/ui/#object/approved_document__v/V5O00000000P003", "FR-AM2-2500027")</f>
        <v>FR-AM2-2500027</v>
      </c>
      <c r="E7904" s="10" t="str">
        <f>HYPERLINK("https://otsuka-europe-crm.veevavault.com/ui/#object/sent_email__v/VBL00000002R517", "SE-001435158")</f>
        <v>SE-001435158</v>
      </c>
      <c r="F7904" s="11"/>
      <c r="G7904" s="12">
        <v>0</v>
      </c>
      <c r="H7904" s="12">
        <v>0</v>
      </c>
      <c r="I7904" s="12">
        <v>0</v>
      </c>
      <c r="J7904" s="11"/>
      <c r="K7904" s="12">
        <v>0</v>
      </c>
      <c r="L7904" s="10" t="str">
        <f>HYPERLINK("https://otsuka-europe-crm.veevavault.com/ui/#object/approved_document__v/V5O00000000P003", "FR-AM2-2500027")</f>
        <v>FR-AM2-2500027</v>
      </c>
      <c r="M7904" s="10" t="str">
        <f>HYPERLINK("mailto:ssaouab@crm.otsuka-europe.com", "ssaouab@crm.otsuka-europe.com")</f>
        <v>ssaouab@crm.otsuka-europe.com</v>
      </c>
      <c r="N7904" s="13">
        <v>46182.780092592591</v>
      </c>
      <c r="O7904" s="14" t="str">
        <f>HYPERLINK("https://otsuka-europe-crm.veevavault.com/ui/#object/email_activity__v/V8C00000003R930", "EN-002093487")</f>
        <v>EN-002093487</v>
      </c>
    </row>
    <row r="7905" spans="1:15" ht="32" x14ac:dyDescent="0.2">
      <c r="A7905" s="7" t="str">
        <f>HYPERLINK("https://otsuka-europe-crm.veevavault.com/ui/#object/account__v/V4TZ04ASGAVE84N", "MARIA ANTONIETTA D'AGOSTINO")</f>
        <v>MARIA ANTONIETTA D'AGOSTINO</v>
      </c>
      <c r="B7905" s="7" t="str">
        <f>HYPERLINK("https://otsuka-europe-crm.veevavault.com/ui/#object/vcountry__v/VENZ000004SONFQ", "IT")</f>
        <v>IT</v>
      </c>
      <c r="C7905" s="8" t="s">
        <v>44</v>
      </c>
      <c r="D7905" s="9" t="str">
        <f>HYPERLINK("https://otsuka-europe-crm.veevavault.com/ui/#object/approved_document__v/V5OZ025E82LS9PY", "IT ToV Veeva Privacy Notice Email")</f>
        <v>IT ToV Veeva Privacy Notice Email</v>
      </c>
      <c r="E7905" s="10" t="str">
        <f>HYPERLINK("https://otsuka-europe-crm.veevavault.com/ui/#object/sent_email__v/VBL00000002S613", "SE-001435159")</f>
        <v>SE-001435159</v>
      </c>
      <c r="F7905" s="11"/>
      <c r="G7905" s="12">
        <v>0</v>
      </c>
      <c r="H7905" s="12">
        <v>0</v>
      </c>
      <c r="I7905" s="12">
        <v>0</v>
      </c>
      <c r="J7905" s="11"/>
      <c r="K7905" s="12">
        <v>0</v>
      </c>
      <c r="L7905" s="10" t="str">
        <f>HYPERLINK("https://otsuka-europe-crm.veevavault.com/ui/#object/approved_document__v/V5OZ025E82LS9PY", "IT ToV Veeva Privacy Notice Email")</f>
        <v>IT ToV Veeva Privacy Notice Email</v>
      </c>
      <c r="M7905" s="10" t="str">
        <f>HYPERLINK("mailto:ileana.bortolomai@crm.otsuka-europe.com", "ileana.bortolomai@crm.otsuka-europe.com")</f>
        <v>ileana.bortolomai@crm.otsuka-europe.com</v>
      </c>
      <c r="N7905" s="13">
        <v>46182.780092592591</v>
      </c>
      <c r="O7905" s="14" t="str">
        <f>HYPERLINK("https://otsuka-europe-crm.veevavault.com/ui/#object/email_activity__v/V8C00000003R929", "EN-002093485")</f>
        <v>EN-002093485</v>
      </c>
    </row>
    <row r="7906" spans="1:15" ht="16" x14ac:dyDescent="0.2">
      <c r="A7906" s="17" t="str">
        <f>HYPERLINK("https://otsuka-europe-crm.veevavault.com/ui/#object/account__v/V4TZ04ASGAVE84N", "MARIA ANTONIETTA D'AGOSTINO")</f>
        <v>MARIA ANTONIETTA D'AGOSTINO</v>
      </c>
      <c r="B7906" s="17" t="str">
        <f>HYPERLINK("https://otsuka-europe-crm.veevavault.com/ui/#object/vcountry__v/VENZ000004SONFQ", "IT")</f>
        <v>IT</v>
      </c>
      <c r="C7906" s="20" t="s">
        <v>44</v>
      </c>
      <c r="D7906" s="21" t="str">
        <f>HYPERLINK("https://otsuka-europe-crm.veevavault.com/ui/#object/approved_document__v/V5OZ06G6O6RG2EV", "IT Veeva Privacy Notice Email")</f>
        <v>IT Veeva Privacy Notice Email</v>
      </c>
      <c r="E7906" s="22" t="str">
        <f>HYPERLINK("https://otsuka-europe-crm.veevavault.com/ui/#object/sent_email__v/VBL00000002S614", "SE-001435160")</f>
        <v>SE-001435160</v>
      </c>
      <c r="F7906" s="23">
        <v>46182.784236111111</v>
      </c>
      <c r="G7906" s="24">
        <v>1</v>
      </c>
      <c r="H7906" s="24">
        <v>2</v>
      </c>
      <c r="I7906" s="24">
        <v>0</v>
      </c>
      <c r="J7906" s="25"/>
      <c r="K7906" s="24">
        <v>0</v>
      </c>
      <c r="L7906" s="22" t="str">
        <f>HYPERLINK("https://otsuka-europe-crm.veevavault.com/ui/#object/approved_document__v/V5OZ06G6O6RG2EV", "IT Veeva Privacy Notice Email")</f>
        <v>IT Veeva Privacy Notice Email</v>
      </c>
      <c r="M7906" s="22" t="str">
        <f>HYPERLINK("mailto:ileana.bortolomai@crm.otsuka-europe.com", "ileana.bortolomai@crm.otsuka-europe.com")</f>
        <v>ileana.bortolomai@crm.otsuka-europe.com</v>
      </c>
      <c r="N7906" s="23">
        <v>46182.780231481483</v>
      </c>
      <c r="O7906" s="14" t="str">
        <f>HYPERLINK("https://otsuka-europe-crm.veevavault.com/ui/#object/email_activity__v/V8C00000003R931", "EN-002093486")</f>
        <v>EN-002093486</v>
      </c>
    </row>
    <row r="7907" spans="1:15" ht="16" x14ac:dyDescent="0.2">
      <c r="A7907" s="18"/>
      <c r="B7907" s="18"/>
      <c r="C7907" s="18"/>
      <c r="D7907" s="18"/>
      <c r="E7907" s="18"/>
      <c r="F7907" s="18"/>
      <c r="G7907" s="18"/>
      <c r="H7907" s="18"/>
      <c r="I7907" s="18"/>
      <c r="J7907" s="18"/>
      <c r="K7907" s="18"/>
      <c r="L7907" s="18"/>
      <c r="M7907" s="18"/>
      <c r="N7907" s="18"/>
      <c r="O7907" s="14" t="str">
        <f>HYPERLINK("https://otsuka-europe-crm.veevavault.com/ui/#object/email_activity__v/V8C00000003R948", "EN-002093504")</f>
        <v>EN-002093504</v>
      </c>
    </row>
    <row r="7908" spans="1:15" ht="16" x14ac:dyDescent="0.2">
      <c r="A7908" s="19"/>
      <c r="B7908" s="19"/>
      <c r="C7908" s="19"/>
      <c r="D7908" s="19"/>
      <c r="E7908" s="19"/>
      <c r="F7908" s="19"/>
      <c r="G7908" s="19"/>
      <c r="H7908" s="19"/>
      <c r="I7908" s="19"/>
      <c r="J7908" s="19"/>
      <c r="K7908" s="19"/>
      <c r="L7908" s="19"/>
      <c r="M7908" s="19"/>
      <c r="N7908" s="19"/>
      <c r="O7908" s="14" t="str">
        <f>HYPERLINK("https://otsuka-europe-crm.veevavault.com/ui/#object/email_activity__v/V8C00000003R950", "EN-002093506")</f>
        <v>EN-002093506</v>
      </c>
    </row>
    <row r="7909" spans="1:15" ht="16" x14ac:dyDescent="0.2">
      <c r="A7909" s="17" t="str">
        <f>HYPERLINK("https://otsuka-europe-crm.veevavault.com/ui/#object/account__v/V4TZ04ASGAVE84N", "MARIA ANTONIETTA D'AGOSTINO")</f>
        <v>MARIA ANTONIETTA D'AGOSTINO</v>
      </c>
      <c r="B7909" s="17" t="str">
        <f>HYPERLINK("https://otsuka-europe-crm.veevavault.com/ui/#object/vcountry__v/VENZ000004SONFQ", "IT")</f>
        <v>IT</v>
      </c>
      <c r="C7909" s="20" t="s">
        <v>44</v>
      </c>
      <c r="D7909" s="21" t="str">
        <f>HYPERLINK("https://otsuka-europe-crm.veevavault.com/ui/#object/approved_document__v/V5OZ025E82J3IP1", "Disclosure-Consent__Veeva-CRM__IT_email2")</f>
        <v>Disclosure-Consent__Veeva-CRM__IT_email2</v>
      </c>
      <c r="E7909" s="22" t="str">
        <f>HYPERLINK("https://otsuka-europe-crm.veevavault.com/ui/#object/sent_email__v/VBL00000002S615", "SE-001435161")</f>
        <v>SE-001435161</v>
      </c>
      <c r="F7909" s="23">
        <v>46182.78429398148</v>
      </c>
      <c r="G7909" s="24">
        <v>1</v>
      </c>
      <c r="H7909" s="24">
        <v>3</v>
      </c>
      <c r="I7909" s="24">
        <v>0</v>
      </c>
      <c r="J7909" s="25"/>
      <c r="K7909" s="24">
        <v>0</v>
      </c>
      <c r="L7909" s="22" t="str">
        <f>HYPERLINK("https://otsuka-europe-crm.veevavault.com/ui/#object/approved_document__v/V5OZ025E82J3IP1", "Disclosure-Consent__Veeva-CRM__IT_email2")</f>
        <v>Disclosure-Consent__Veeva-CRM__IT_email2</v>
      </c>
      <c r="M7909" s="22" t="str">
        <f>HYPERLINK("mailto:ileana.bortolomai@crm.otsuka-europe.com", "ileana.bortolomai@crm.otsuka-europe.com")</f>
        <v>ileana.bortolomai@crm.otsuka-europe.com</v>
      </c>
      <c r="N7909" s="23">
        <v>46182.781145833331</v>
      </c>
      <c r="O7909" s="14" t="str">
        <f>HYPERLINK("https://otsuka-europe-crm.veevavault.com/ui/#object/email_activity__v/V8C00000003R932", "EN-002093488")</f>
        <v>EN-002093488</v>
      </c>
    </row>
    <row r="7910" spans="1:15" ht="16" x14ac:dyDescent="0.2">
      <c r="A7910" s="18"/>
      <c r="B7910" s="18"/>
      <c r="C7910" s="18"/>
      <c r="D7910" s="18"/>
      <c r="E7910" s="18"/>
      <c r="F7910" s="18"/>
      <c r="G7910" s="18"/>
      <c r="H7910" s="18"/>
      <c r="I7910" s="18"/>
      <c r="J7910" s="18"/>
      <c r="K7910" s="18"/>
      <c r="L7910" s="18"/>
      <c r="M7910" s="18"/>
      <c r="N7910" s="18"/>
      <c r="O7910" s="14" t="str">
        <f>HYPERLINK("https://otsuka-europe-crm.veevavault.com/ui/#object/email_activity__v/V8C00000003R946", "EN-002093502")</f>
        <v>EN-002093502</v>
      </c>
    </row>
    <row r="7911" spans="1:15" ht="16" x14ac:dyDescent="0.2">
      <c r="A7911" s="18"/>
      <c r="B7911" s="18"/>
      <c r="C7911" s="18"/>
      <c r="D7911" s="18"/>
      <c r="E7911" s="18"/>
      <c r="F7911" s="18"/>
      <c r="G7911" s="18"/>
      <c r="H7911" s="18"/>
      <c r="I7911" s="18"/>
      <c r="J7911" s="18"/>
      <c r="K7911" s="18"/>
      <c r="L7911" s="18"/>
      <c r="M7911" s="18"/>
      <c r="N7911" s="18"/>
      <c r="O7911" s="14" t="str">
        <f>HYPERLINK("https://otsuka-europe-crm.veevavault.com/ui/#object/email_activity__v/V8C00000003R947", "EN-002093503")</f>
        <v>EN-002093503</v>
      </c>
    </row>
    <row r="7912" spans="1:15" ht="16" x14ac:dyDescent="0.2">
      <c r="A7912" s="19"/>
      <c r="B7912" s="19"/>
      <c r="C7912" s="19"/>
      <c r="D7912" s="19"/>
      <c r="E7912" s="19"/>
      <c r="F7912" s="19"/>
      <c r="G7912" s="19"/>
      <c r="H7912" s="19"/>
      <c r="I7912" s="19"/>
      <c r="J7912" s="19"/>
      <c r="K7912" s="19"/>
      <c r="L7912" s="19"/>
      <c r="M7912" s="19"/>
      <c r="N7912" s="19"/>
      <c r="O7912" s="14" t="str">
        <f>HYPERLINK("https://otsuka-europe-crm.veevavault.com/ui/#object/email_activity__v/V8C00000003R949", "EN-002093505")</f>
        <v>EN-002093505</v>
      </c>
    </row>
    <row r="7913" spans="1:15" ht="16" x14ac:dyDescent="0.2">
      <c r="A7913" s="17" t="str">
        <f>HYPERLINK("https://otsuka-europe-crm.veevavault.com/ui/#object/account__v/V4TZ025E8479NHE", "FOUZIA MESSAOUDI")</f>
        <v>FOUZIA MESSAOUDI</v>
      </c>
      <c r="B7913" s="17" t="str">
        <f>HYPERLINK("https://otsuka-europe-crm.veevavault.com/ui/#object/vcountry__v/VENZ000004SONFA", "FR")</f>
        <v>FR</v>
      </c>
      <c r="C7913" s="20" t="s">
        <v>42</v>
      </c>
      <c r="D7913" s="21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913" s="22" t="str">
        <f>HYPERLINK("https://otsuka-europe-crm.veevavault.com/ui/#object/sent_email__v/VBL00000002R518", "SE-001435162")</f>
        <v>SE-001435162</v>
      </c>
      <c r="F7913" s="23">
        <v>46182.782407407409</v>
      </c>
      <c r="G7913" s="24">
        <v>1</v>
      </c>
      <c r="H7913" s="24">
        <v>3</v>
      </c>
      <c r="I7913" s="24">
        <v>0</v>
      </c>
      <c r="J7913" s="25"/>
      <c r="K7913" s="24">
        <v>0</v>
      </c>
      <c r="L7913" s="22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913" s="22" t="str">
        <f>HYPERLINK("mailto:ssaouab@crm.otsuka-europe.com", "ssaouab@crm.otsuka-europe.com")</f>
        <v>ssaouab@crm.otsuka-europe.com</v>
      </c>
      <c r="N7913" s="23">
        <v>46182.781689814816</v>
      </c>
      <c r="O7913" s="14" t="str">
        <f>HYPERLINK("https://otsuka-europe-crm.veevavault.com/ui/#object/email_activity__v/V8C00000003R933", "EN-002093489")</f>
        <v>EN-002093489</v>
      </c>
    </row>
    <row r="7914" spans="1:15" ht="16" x14ac:dyDescent="0.2">
      <c r="A7914" s="18"/>
      <c r="B7914" s="18"/>
      <c r="C7914" s="18"/>
      <c r="D7914" s="18"/>
      <c r="E7914" s="18"/>
      <c r="F7914" s="18"/>
      <c r="G7914" s="18"/>
      <c r="H7914" s="18"/>
      <c r="I7914" s="18"/>
      <c r="J7914" s="18"/>
      <c r="K7914" s="18"/>
      <c r="L7914" s="18"/>
      <c r="M7914" s="18"/>
      <c r="N7914" s="18"/>
      <c r="O7914" s="14" t="str">
        <f>HYPERLINK("https://otsuka-europe-crm.veevavault.com/ui/#object/email_activity__v/V8C00000003R934", "EN-002093490")</f>
        <v>EN-002093490</v>
      </c>
    </row>
    <row r="7915" spans="1:15" ht="16" x14ac:dyDescent="0.2">
      <c r="A7915" s="18"/>
      <c r="B7915" s="18"/>
      <c r="C7915" s="18"/>
      <c r="D7915" s="18"/>
      <c r="E7915" s="18"/>
      <c r="F7915" s="18"/>
      <c r="G7915" s="18"/>
      <c r="H7915" s="18"/>
      <c r="I7915" s="18"/>
      <c r="J7915" s="18"/>
      <c r="K7915" s="18"/>
      <c r="L7915" s="18"/>
      <c r="M7915" s="18"/>
      <c r="N7915" s="18"/>
      <c r="O7915" s="14" t="str">
        <f>HYPERLINK("https://otsuka-europe-crm.veevavault.com/ui/#object/email_activity__v/V8C00000003R935", "EN-002093491")</f>
        <v>EN-002093491</v>
      </c>
    </row>
    <row r="7916" spans="1:15" ht="16" x14ac:dyDescent="0.2">
      <c r="A7916" s="19"/>
      <c r="B7916" s="19"/>
      <c r="C7916" s="19"/>
      <c r="D7916" s="19"/>
      <c r="E7916" s="19"/>
      <c r="F7916" s="19"/>
      <c r="G7916" s="19"/>
      <c r="H7916" s="19"/>
      <c r="I7916" s="19"/>
      <c r="J7916" s="19"/>
      <c r="K7916" s="19"/>
      <c r="L7916" s="19"/>
      <c r="M7916" s="19"/>
      <c r="N7916" s="19"/>
      <c r="O7916" s="14" t="str">
        <f>HYPERLINK("https://otsuka-europe-crm.veevavault.com/ui/#object/email_activity__v/V8C00000003R938", "EN-002093494")</f>
        <v>EN-002093494</v>
      </c>
    </row>
    <row r="7917" spans="1:15" ht="16" x14ac:dyDescent="0.2">
      <c r="A7917" s="17" t="str">
        <f>HYPERLINK("https://otsuka-europe-crm.veevavault.com/ui/#object/account__v/V4TZ025E8479NHE", "FOUZIA MESSAOUDI")</f>
        <v>FOUZIA MESSAOUDI</v>
      </c>
      <c r="B7917" s="17" t="str">
        <f>HYPERLINK("https://otsuka-europe-crm.veevavault.com/ui/#object/vcountry__v/VENZ000004SONFA", "FR")</f>
        <v>FR</v>
      </c>
      <c r="C7917" s="20" t="s">
        <v>42</v>
      </c>
      <c r="D7917" s="21" t="str">
        <f>HYPERLINK("https://otsuka-europe-crm.veevavault.com/ui/#object/approved_document__v/V5O00000000P003", "FR-AM2-2500027")</f>
        <v>FR-AM2-2500027</v>
      </c>
      <c r="E7917" s="22" t="str">
        <f>HYPERLINK("https://otsuka-europe-crm.veevavault.com/ui/#object/sent_email__v/VBL00000002R519", "SE-001435163")</f>
        <v>SE-001435163</v>
      </c>
      <c r="F7917" s="23">
        <v>46186.708252314813</v>
      </c>
      <c r="G7917" s="24">
        <v>1</v>
      </c>
      <c r="H7917" s="24">
        <v>11</v>
      </c>
      <c r="I7917" s="24">
        <v>0</v>
      </c>
      <c r="J7917" s="25"/>
      <c r="K7917" s="24">
        <v>0</v>
      </c>
      <c r="L7917" s="22" t="str">
        <f>HYPERLINK("https://otsuka-europe-crm.veevavault.com/ui/#object/approved_document__v/V5O00000000P003", "FR-AM2-2500027")</f>
        <v>FR-AM2-2500027</v>
      </c>
      <c r="M7917" s="22" t="str">
        <f>HYPERLINK("mailto:ssaouab@crm.otsuka-europe.com", "ssaouab@crm.otsuka-europe.com")</f>
        <v>ssaouab@crm.otsuka-europe.com</v>
      </c>
      <c r="N7917" s="23">
        <v>46182.782164351855</v>
      </c>
      <c r="O7917" s="14" t="str">
        <f>HYPERLINK("https://otsuka-europe-crm.veevavault.com/ui/#object/email_activity__v/V8C00000003R936", "EN-002093492")</f>
        <v>EN-002093492</v>
      </c>
    </row>
    <row r="7918" spans="1:15" ht="16" x14ac:dyDescent="0.2">
      <c r="A7918" s="18"/>
      <c r="B7918" s="18"/>
      <c r="C7918" s="18"/>
      <c r="D7918" s="18"/>
      <c r="E7918" s="18"/>
      <c r="F7918" s="18"/>
      <c r="G7918" s="18"/>
      <c r="H7918" s="18"/>
      <c r="I7918" s="18"/>
      <c r="J7918" s="18"/>
      <c r="K7918" s="18"/>
      <c r="L7918" s="18"/>
      <c r="M7918" s="18"/>
      <c r="N7918" s="18"/>
      <c r="O7918" s="14" t="str">
        <f>HYPERLINK("https://otsuka-europe-crm.veevavault.com/ui/#object/email_activity__v/V8C00000003R937", "EN-002093493")</f>
        <v>EN-002093493</v>
      </c>
    </row>
    <row r="7919" spans="1:15" ht="16" x14ac:dyDescent="0.2">
      <c r="A7919" s="18"/>
      <c r="B7919" s="18"/>
      <c r="C7919" s="18"/>
      <c r="D7919" s="18"/>
      <c r="E7919" s="18"/>
      <c r="F7919" s="18"/>
      <c r="G7919" s="18"/>
      <c r="H7919" s="18"/>
      <c r="I7919" s="18"/>
      <c r="J7919" s="18"/>
      <c r="K7919" s="18"/>
      <c r="L7919" s="18"/>
      <c r="M7919" s="18"/>
      <c r="N7919" s="18"/>
      <c r="O7919" s="14" t="str">
        <f>HYPERLINK("https://otsuka-europe-crm.veevavault.com/ui/#object/email_activity__v/V8C00000003R939", "EN-002093495")</f>
        <v>EN-002093495</v>
      </c>
    </row>
    <row r="7920" spans="1:15" ht="16" x14ac:dyDescent="0.2">
      <c r="A7920" s="18"/>
      <c r="B7920" s="18"/>
      <c r="C7920" s="18"/>
      <c r="D7920" s="18"/>
      <c r="E7920" s="18"/>
      <c r="F7920" s="18"/>
      <c r="G7920" s="18"/>
      <c r="H7920" s="18"/>
      <c r="I7920" s="18"/>
      <c r="J7920" s="18"/>
      <c r="K7920" s="18"/>
      <c r="L7920" s="18"/>
      <c r="M7920" s="18"/>
      <c r="N7920" s="18"/>
      <c r="O7920" s="14" t="str">
        <f>HYPERLINK("https://otsuka-europe-crm.veevavault.com/ui/#object/email_activity__v/V8C00000003R975", "EN-002093536")</f>
        <v>EN-002093536</v>
      </c>
    </row>
    <row r="7921" spans="1:15" ht="16" x14ac:dyDescent="0.2">
      <c r="A7921" s="18"/>
      <c r="B7921" s="18"/>
      <c r="C7921" s="18"/>
      <c r="D7921" s="18"/>
      <c r="E7921" s="18"/>
      <c r="F7921" s="18"/>
      <c r="G7921" s="18"/>
      <c r="H7921" s="18"/>
      <c r="I7921" s="18"/>
      <c r="J7921" s="18"/>
      <c r="K7921" s="18"/>
      <c r="L7921" s="18"/>
      <c r="M7921" s="18"/>
      <c r="N7921" s="18"/>
      <c r="O7921" s="14" t="str">
        <f>HYPERLINK("https://otsuka-europe-crm.veevavault.com/ui/#object/email_activity__v/V8C00000003R976", "EN-002093537")</f>
        <v>EN-002093537</v>
      </c>
    </row>
    <row r="7922" spans="1:15" ht="16" x14ac:dyDescent="0.2">
      <c r="A7922" s="18"/>
      <c r="B7922" s="18"/>
      <c r="C7922" s="18"/>
      <c r="D7922" s="18"/>
      <c r="E7922" s="18"/>
      <c r="F7922" s="18"/>
      <c r="G7922" s="18"/>
      <c r="H7922" s="18"/>
      <c r="I7922" s="18"/>
      <c r="J7922" s="18"/>
      <c r="K7922" s="18"/>
      <c r="L7922" s="18"/>
      <c r="M7922" s="18"/>
      <c r="N7922" s="18"/>
      <c r="O7922" s="14" t="str">
        <f>HYPERLINK("https://otsuka-europe-crm.veevavault.com/ui/#object/email_activity__v/V8C00000003R977", "EN-002093538")</f>
        <v>EN-002093538</v>
      </c>
    </row>
    <row r="7923" spans="1:15" ht="16" x14ac:dyDescent="0.2">
      <c r="A7923" s="18"/>
      <c r="B7923" s="18"/>
      <c r="C7923" s="18"/>
      <c r="D7923" s="18"/>
      <c r="E7923" s="18"/>
      <c r="F7923" s="18"/>
      <c r="G7923" s="18"/>
      <c r="H7923" s="18"/>
      <c r="I7923" s="18"/>
      <c r="J7923" s="18"/>
      <c r="K7923" s="18"/>
      <c r="L7923" s="18"/>
      <c r="M7923" s="18"/>
      <c r="N7923" s="18"/>
      <c r="O7923" s="14" t="str">
        <f>HYPERLINK("https://otsuka-europe-crm.veevavault.com/ui/#object/email_activity__v/V8C00000003R979", "EN-002093542")</f>
        <v>EN-002093542</v>
      </c>
    </row>
    <row r="7924" spans="1:15" ht="16" x14ac:dyDescent="0.2">
      <c r="A7924" s="18"/>
      <c r="B7924" s="18"/>
      <c r="C7924" s="18"/>
      <c r="D7924" s="18"/>
      <c r="E7924" s="18"/>
      <c r="F7924" s="18"/>
      <c r="G7924" s="18"/>
      <c r="H7924" s="18"/>
      <c r="I7924" s="18"/>
      <c r="J7924" s="18"/>
      <c r="K7924" s="18"/>
      <c r="L7924" s="18"/>
      <c r="M7924" s="18"/>
      <c r="N7924" s="18"/>
      <c r="O7924" s="14" t="str">
        <f>HYPERLINK("https://otsuka-europe-crm.veevavault.com/ui/#object/email_activity__v/V8C00000003R981", "EN-002093544")</f>
        <v>EN-002093544</v>
      </c>
    </row>
    <row r="7925" spans="1:15" ht="16" x14ac:dyDescent="0.2">
      <c r="A7925" s="18"/>
      <c r="B7925" s="18"/>
      <c r="C7925" s="18"/>
      <c r="D7925" s="18"/>
      <c r="E7925" s="18"/>
      <c r="F7925" s="18"/>
      <c r="G7925" s="18"/>
      <c r="H7925" s="18"/>
      <c r="I7925" s="18"/>
      <c r="J7925" s="18"/>
      <c r="K7925" s="18"/>
      <c r="L7925" s="18"/>
      <c r="M7925" s="18"/>
      <c r="N7925" s="18"/>
      <c r="O7925" s="14" t="str">
        <f>HYPERLINK("https://otsuka-europe-crm.veevavault.com/ui/#object/email_activity__v/V8C00000003R985", "EN-002093548")</f>
        <v>EN-002093548</v>
      </c>
    </row>
    <row r="7926" spans="1:15" ht="16" x14ac:dyDescent="0.2">
      <c r="A7926" s="18"/>
      <c r="B7926" s="18"/>
      <c r="C7926" s="18"/>
      <c r="D7926" s="18"/>
      <c r="E7926" s="18"/>
      <c r="F7926" s="18"/>
      <c r="G7926" s="18"/>
      <c r="H7926" s="18"/>
      <c r="I7926" s="18"/>
      <c r="J7926" s="18"/>
      <c r="K7926" s="18"/>
      <c r="L7926" s="18"/>
      <c r="M7926" s="18"/>
      <c r="N7926" s="18"/>
      <c r="O7926" s="14" t="str">
        <f>HYPERLINK("https://otsuka-europe-crm.veevavault.com/ui/#object/email_activity__v/V8C00000003S399", "EN-002093709")</f>
        <v>EN-002093709</v>
      </c>
    </row>
    <row r="7927" spans="1:15" ht="16" x14ac:dyDescent="0.2">
      <c r="A7927" s="18"/>
      <c r="B7927" s="18"/>
      <c r="C7927" s="18"/>
      <c r="D7927" s="18"/>
      <c r="E7927" s="18"/>
      <c r="F7927" s="18"/>
      <c r="G7927" s="18"/>
      <c r="H7927" s="18"/>
      <c r="I7927" s="18"/>
      <c r="J7927" s="18"/>
      <c r="K7927" s="18"/>
      <c r="L7927" s="18"/>
      <c r="M7927" s="18"/>
      <c r="N7927" s="18"/>
      <c r="O7927" s="14" t="str">
        <f>HYPERLINK("https://otsuka-europe-crm.veevavault.com/ui/#object/email_activity__v/V8C00000003U395", "EN-002095651")</f>
        <v>EN-002095651</v>
      </c>
    </row>
    <row r="7928" spans="1:15" ht="16" x14ac:dyDescent="0.2">
      <c r="A7928" s="19"/>
      <c r="B7928" s="19"/>
      <c r="C7928" s="19"/>
      <c r="D7928" s="19"/>
      <c r="E7928" s="19"/>
      <c r="F7928" s="19"/>
      <c r="G7928" s="19"/>
      <c r="H7928" s="19"/>
      <c r="I7928" s="19"/>
      <c r="J7928" s="19"/>
      <c r="K7928" s="19"/>
      <c r="L7928" s="19"/>
      <c r="M7928" s="19"/>
      <c r="N7928" s="19"/>
      <c r="O7928" s="14" t="str">
        <f>HYPERLINK("https://otsuka-europe-crm.veevavault.com/ui/#object/email_activity__v/V8C00000003U396", "EN-002095652")</f>
        <v>EN-002095652</v>
      </c>
    </row>
    <row r="7929" spans="1:15" ht="16" x14ac:dyDescent="0.2">
      <c r="A7929" s="17" t="str">
        <f>HYPERLINK("https://otsuka-europe-crm.veevavault.com/ui/#object/account__v/V4TZ06G6O71S9CI", "CLAUDIA CICIARELLI")</f>
        <v>CLAUDIA CICIARELLI</v>
      </c>
      <c r="B7929" s="17" t="str">
        <f>HYPERLINK("https://otsuka-europe-crm.veevavault.com/ui/#object/vcountry__v/VENZ000004SONFQ", "IT")</f>
        <v>IT</v>
      </c>
      <c r="C7929" s="20" t="s">
        <v>44</v>
      </c>
      <c r="D7929" s="21" t="str">
        <f>HYPERLINK("https://otsuka-europe-crm.veevavault.com/ui/#object/approved_document__v/V5OZ025E82UFNWM", "ABILIFY 960720_Branded_AE Fagiolini_IT-AM2-2500131")</f>
        <v>ABILIFY 960720_Branded_AE Fagiolini_IT-AM2-2500131</v>
      </c>
      <c r="E7929" s="22" t="str">
        <f>HYPERLINK("https://otsuka-europe-crm.veevavault.com/ui/#object/sent_email__v/VBL00000002S616", "SE-001435164")</f>
        <v>SE-001435164</v>
      </c>
      <c r="F7929" s="23">
        <v>46182.840057870373</v>
      </c>
      <c r="G7929" s="24">
        <v>1</v>
      </c>
      <c r="H7929" s="24">
        <v>1</v>
      </c>
      <c r="I7929" s="24">
        <v>0</v>
      </c>
      <c r="J7929" s="25"/>
      <c r="K7929" s="24">
        <v>0</v>
      </c>
      <c r="L7929" s="22" t="str">
        <f>HYPERLINK("https://otsuka-europe-crm.veevavault.com/ui/#object/approved_document__v/V5OZ025E82UFNWM", "ABILIFY 960720_Branded_AE Fagiolini_IT-AM2-2500131")</f>
        <v>ABILIFY 960720_Branded_AE Fagiolini_IT-AM2-2500131</v>
      </c>
      <c r="M7929" s="22" t="str">
        <f>HYPERLINK("mailto:marina.maccaglia@crm.otsuka-europe.com", "marina.maccaglia@crm.otsuka-europe.com")</f>
        <v>marina.maccaglia@crm.otsuka-europe.com</v>
      </c>
      <c r="N7929" s="23">
        <v>46182.782523148147</v>
      </c>
      <c r="O7929" s="14" t="str">
        <f>HYPERLINK("https://otsuka-europe-crm.veevavault.com/ui/#object/email_activity__v/V8C00000003R940", "EN-002093496")</f>
        <v>EN-002093496</v>
      </c>
    </row>
    <row r="7930" spans="1:15" ht="16" x14ac:dyDescent="0.2">
      <c r="A7930" s="19"/>
      <c r="B7930" s="19"/>
      <c r="C7930" s="19"/>
      <c r="D7930" s="19"/>
      <c r="E7930" s="19"/>
      <c r="F7930" s="19"/>
      <c r="G7930" s="19"/>
      <c r="H7930" s="19"/>
      <c r="I7930" s="19"/>
      <c r="J7930" s="19"/>
      <c r="K7930" s="19"/>
      <c r="L7930" s="19"/>
      <c r="M7930" s="19"/>
      <c r="N7930" s="19"/>
      <c r="O7930" s="14" t="str">
        <f>HYPERLINK("https://otsuka-europe-crm.veevavault.com/ui/#object/email_activity__v/V8C00000003S384", "EN-002093666")</f>
        <v>EN-002093666</v>
      </c>
    </row>
    <row r="7931" spans="1:15" ht="16" x14ac:dyDescent="0.2">
      <c r="A7931" s="17" t="str">
        <f>HYPERLINK("https://otsuka-europe-crm.veevavault.com/ui/#object/account__v/V4TZ00000633MC2", "CYRINE MISSAOUI")</f>
        <v>CYRINE MISSAOUI</v>
      </c>
      <c r="B7931" s="17" t="str">
        <f>HYPERLINK("https://otsuka-europe-crm.veevavault.com/ui/#object/vcountry__v/VENZ000004SONFA", "FR")</f>
        <v>FR</v>
      </c>
      <c r="C7931" s="20" t="s">
        <v>42</v>
      </c>
      <c r="D7931" s="21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931" s="22" t="str">
        <f>HYPERLINK("https://otsuka-europe-crm.veevavault.com/ui/#object/sent_email__v/VBL00000002R520", "SE-001435165")</f>
        <v>SE-001435165</v>
      </c>
      <c r="F7931" s="23">
        <v>46182.816689814812</v>
      </c>
      <c r="G7931" s="24">
        <v>1</v>
      </c>
      <c r="H7931" s="24">
        <v>1</v>
      </c>
      <c r="I7931" s="24">
        <v>1</v>
      </c>
      <c r="J7931" s="23">
        <v>46182.817013888889</v>
      </c>
      <c r="K7931" s="24">
        <v>1</v>
      </c>
      <c r="L7931" s="22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931" s="22" t="str">
        <f>HYPERLINK("mailto:ssaouab@crm.otsuka-europe.com", "ssaouab@crm.otsuka-europe.com")</f>
        <v>ssaouab@crm.otsuka-europe.com</v>
      </c>
      <c r="N7931" s="23">
        <v>46182.783553240741</v>
      </c>
      <c r="O7931" s="14" t="str">
        <f>HYPERLINK("https://otsuka-europe-crm.veevavault.com/ui/#object/email_activity__v/V8C00000003R942", "EN-002093498")</f>
        <v>EN-002093498</v>
      </c>
    </row>
    <row r="7932" spans="1:15" ht="16" x14ac:dyDescent="0.2">
      <c r="A7932" s="18"/>
      <c r="B7932" s="18"/>
      <c r="C7932" s="18"/>
      <c r="D7932" s="18"/>
      <c r="E7932" s="18"/>
      <c r="F7932" s="18"/>
      <c r="G7932" s="18"/>
      <c r="H7932" s="18"/>
      <c r="I7932" s="18"/>
      <c r="J7932" s="18"/>
      <c r="K7932" s="18"/>
      <c r="L7932" s="18"/>
      <c r="M7932" s="18"/>
      <c r="N7932" s="18"/>
      <c r="O7932" s="14" t="str">
        <f>HYPERLINK("https://otsuka-europe-crm.veevavault.com/ui/#object/email_activity__v/V8C00000003S377", "EN-002093638")</f>
        <v>EN-002093638</v>
      </c>
    </row>
    <row r="7933" spans="1:15" ht="16" x14ac:dyDescent="0.2">
      <c r="A7933" s="18"/>
      <c r="B7933" s="18"/>
      <c r="C7933" s="18"/>
      <c r="D7933" s="18"/>
      <c r="E7933" s="18"/>
      <c r="F7933" s="18"/>
      <c r="G7933" s="18"/>
      <c r="H7933" s="18"/>
      <c r="I7933" s="18"/>
      <c r="J7933" s="18"/>
      <c r="K7933" s="18"/>
      <c r="L7933" s="18"/>
      <c r="M7933" s="18"/>
      <c r="N7933" s="18"/>
      <c r="O7933" s="14" t="str">
        <f>HYPERLINK("https://otsuka-europe-crm.veevavault.com/ui/#object/email_activity__v/V8C00000003T027", "EN-002093639")</f>
        <v>EN-002093639</v>
      </c>
    </row>
    <row r="7934" spans="1:15" ht="16" x14ac:dyDescent="0.2">
      <c r="A7934" s="19"/>
      <c r="B7934" s="19"/>
      <c r="C7934" s="19"/>
      <c r="D7934" s="19"/>
      <c r="E7934" s="19"/>
      <c r="F7934" s="19"/>
      <c r="G7934" s="19"/>
      <c r="H7934" s="19"/>
      <c r="I7934" s="19"/>
      <c r="J7934" s="19"/>
      <c r="K7934" s="19"/>
      <c r="L7934" s="19"/>
      <c r="M7934" s="19"/>
      <c r="N7934" s="19"/>
      <c r="O7934" s="14" t="str">
        <f>HYPERLINK("https://otsuka-europe-crm.veevavault.com/ui/#object/email_activity__v/V8C00000003T051", "EN-002093672")</f>
        <v>EN-002093672</v>
      </c>
    </row>
    <row r="7935" spans="1:15" ht="16" x14ac:dyDescent="0.2">
      <c r="A7935" s="17" t="str">
        <f>HYPERLINK("https://otsuka-europe-crm.veevavault.com/ui/#object/account__v/V4TZ00000633MC2", "CYRINE MISSAOUI")</f>
        <v>CYRINE MISSAOUI</v>
      </c>
      <c r="B7935" s="17" t="str">
        <f>HYPERLINK("https://otsuka-europe-crm.veevavault.com/ui/#object/vcountry__v/VENZ000004SONFA", "FR")</f>
        <v>FR</v>
      </c>
      <c r="C7935" s="20" t="s">
        <v>42</v>
      </c>
      <c r="D7935" s="21" t="str">
        <f>HYPERLINK("https://otsuka-europe-crm.veevavault.com/ui/#object/approved_document__v/V5O00000000P003", "FR-AM2-2500027")</f>
        <v>FR-AM2-2500027</v>
      </c>
      <c r="E7935" s="22" t="str">
        <f>HYPERLINK("https://otsuka-europe-crm.veevavault.com/ui/#object/sent_email__v/VBL00000002R521", "SE-001435166")</f>
        <v>SE-001435166</v>
      </c>
      <c r="F7935" s="23">
        <v>46182.81726851852</v>
      </c>
      <c r="G7935" s="24">
        <v>1</v>
      </c>
      <c r="H7935" s="24">
        <v>1</v>
      </c>
      <c r="I7935" s="24">
        <v>0</v>
      </c>
      <c r="J7935" s="25"/>
      <c r="K7935" s="24">
        <v>0</v>
      </c>
      <c r="L7935" s="22" t="str">
        <f>HYPERLINK("https://otsuka-europe-crm.veevavault.com/ui/#object/approved_document__v/V5O00000000P003", "FR-AM2-2500027")</f>
        <v>FR-AM2-2500027</v>
      </c>
      <c r="M7935" s="22" t="str">
        <f>HYPERLINK("mailto:ssaouab@crm.otsuka-europe.com", "ssaouab@crm.otsuka-europe.com")</f>
        <v>ssaouab@crm.otsuka-europe.com</v>
      </c>
      <c r="N7935" s="23">
        <v>46182.783692129633</v>
      </c>
      <c r="O7935" s="14" t="str">
        <f>HYPERLINK("https://otsuka-europe-crm.veevavault.com/ui/#object/email_activity__v/V8C00000003R943", "EN-002093499")</f>
        <v>EN-002093499</v>
      </c>
    </row>
    <row r="7936" spans="1:15" ht="16" x14ac:dyDescent="0.2">
      <c r="A7936" s="19"/>
      <c r="B7936" s="19"/>
      <c r="C7936" s="19"/>
      <c r="D7936" s="19"/>
      <c r="E7936" s="19"/>
      <c r="F7936" s="19"/>
      <c r="G7936" s="19"/>
      <c r="H7936" s="19"/>
      <c r="I7936" s="19"/>
      <c r="J7936" s="19"/>
      <c r="K7936" s="19"/>
      <c r="L7936" s="19"/>
      <c r="M7936" s="19"/>
      <c r="N7936" s="19"/>
      <c r="O7936" s="14" t="str">
        <f>HYPERLINK("https://otsuka-europe-crm.veevavault.com/ui/#object/email_activity__v/V8C00000003T028", "EN-002093641")</f>
        <v>EN-002093641</v>
      </c>
    </row>
    <row r="7937" spans="1:15" ht="48" x14ac:dyDescent="0.2">
      <c r="A7937" s="7" t="str">
        <f>HYPERLINK("https://otsuka-europe-crm.veevavault.com/ui/#object/account__v/V4TZ06G6OB452LN", "SARA MOHAMMEDI")</f>
        <v>SARA MOHAMMEDI</v>
      </c>
      <c r="B7937" s="7" t="str">
        <f t="shared" ref="B7937:B7943" si="646">HYPERLINK("https://otsuka-europe-crm.veevavault.com/ui/#object/vcountry__v/VENZ000004SONFA", "FR")</f>
        <v>FR</v>
      </c>
      <c r="C7937" s="8" t="s">
        <v>42</v>
      </c>
      <c r="D7937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937" s="10" t="str">
        <f>HYPERLINK("https://otsuka-europe-crm.veevavault.com/ui/#object/sent_email__v/VBL00000002R522", "SE-001435167")</f>
        <v>SE-001435167</v>
      </c>
      <c r="F7937" s="11"/>
      <c r="G7937" s="12">
        <v>0</v>
      </c>
      <c r="H7937" s="12">
        <v>0</v>
      </c>
      <c r="I7937" s="12">
        <v>0</v>
      </c>
      <c r="J7937" s="11"/>
      <c r="K7937" s="12">
        <v>0</v>
      </c>
      <c r="L7937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937" s="10" t="str">
        <f t="shared" ref="M7937:M7943" si="647">HYPERLINK("mailto:ssaouab@crm.otsuka-europe.com", "ssaouab@crm.otsuka-europe.com")</f>
        <v>ssaouab@crm.otsuka-europe.com</v>
      </c>
      <c r="N7937" s="13">
        <v>46182.784421296295</v>
      </c>
      <c r="O7937" s="14" t="str">
        <f>HYPERLINK("https://otsuka-europe-crm.veevavault.com/ui/#object/email_activity__v/V8C00000003R951", "EN-002093507")</f>
        <v>EN-002093507</v>
      </c>
    </row>
    <row r="7938" spans="1:15" ht="32" x14ac:dyDescent="0.2">
      <c r="A7938" s="7" t="str">
        <f>HYPERLINK("https://otsuka-europe-crm.veevavault.com/ui/#object/account__v/V4TZ06G6OB452LN", "SARA MOHAMMEDI")</f>
        <v>SARA MOHAMMEDI</v>
      </c>
      <c r="B7938" s="7" t="str">
        <f t="shared" si="646"/>
        <v>FR</v>
      </c>
      <c r="C7938" s="8" t="s">
        <v>42</v>
      </c>
      <c r="D7938" s="9" t="str">
        <f>HYPERLINK("https://otsuka-europe-crm.veevavault.com/ui/#object/approved_document__v/V5O00000000P003", "FR-AM2-2500027")</f>
        <v>FR-AM2-2500027</v>
      </c>
      <c r="E7938" s="10" t="str">
        <f>HYPERLINK("https://otsuka-europe-crm.veevavault.com/ui/#object/sent_email__v/VBL00000002R523", "SE-001435168")</f>
        <v>SE-001435168</v>
      </c>
      <c r="F7938" s="11"/>
      <c r="G7938" s="12">
        <v>0</v>
      </c>
      <c r="H7938" s="12">
        <v>0</v>
      </c>
      <c r="I7938" s="12">
        <v>0</v>
      </c>
      <c r="J7938" s="11"/>
      <c r="K7938" s="12">
        <v>0</v>
      </c>
      <c r="L7938" s="10" t="str">
        <f>HYPERLINK("https://otsuka-europe-crm.veevavault.com/ui/#object/approved_document__v/V5O00000000P003", "FR-AM2-2500027")</f>
        <v>FR-AM2-2500027</v>
      </c>
      <c r="M7938" s="10" t="str">
        <f t="shared" si="647"/>
        <v>ssaouab@crm.otsuka-europe.com</v>
      </c>
      <c r="N7938" s="13">
        <v>46182.784594907411</v>
      </c>
      <c r="O7938" s="14" t="str">
        <f>HYPERLINK("https://otsuka-europe-crm.veevavault.com/ui/#object/email_activity__v/V8C00000003R952", "EN-002093508")</f>
        <v>EN-002093508</v>
      </c>
    </row>
    <row r="7939" spans="1:15" ht="48" x14ac:dyDescent="0.2">
      <c r="A7939" s="7" t="str">
        <f>HYPERLINK("https://otsuka-europe-crm.veevavault.com/ui/#object/account__v/V4TZ00000633IOQ", "KAMEL MOKHTARI")</f>
        <v>KAMEL MOKHTARI</v>
      </c>
      <c r="B7939" s="7" t="str">
        <f t="shared" si="646"/>
        <v>FR</v>
      </c>
      <c r="C7939" s="8" t="s">
        <v>42</v>
      </c>
      <c r="D7939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939" s="10" t="str">
        <f>HYPERLINK("https://otsuka-europe-crm.veevavault.com/ui/#object/sent_email__v/VBL00000002S617", "SE-001435169")</f>
        <v>SE-001435169</v>
      </c>
      <c r="F7939" s="11"/>
      <c r="G7939" s="12">
        <v>0</v>
      </c>
      <c r="H7939" s="12">
        <v>0</v>
      </c>
      <c r="I7939" s="12">
        <v>0</v>
      </c>
      <c r="J7939" s="11"/>
      <c r="K7939" s="12">
        <v>0</v>
      </c>
      <c r="L7939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939" s="10" t="str">
        <f t="shared" si="647"/>
        <v>ssaouab@crm.otsuka-europe.com</v>
      </c>
      <c r="N7939" s="13">
        <v>46182.786886574075</v>
      </c>
      <c r="O7939" s="14" t="str">
        <f>HYPERLINK("https://otsuka-europe-crm.veevavault.com/ui/#object/email_activity__v/V8C00000003S321", "EN-002093509")</f>
        <v>EN-002093509</v>
      </c>
    </row>
    <row r="7940" spans="1:15" ht="32" x14ac:dyDescent="0.2">
      <c r="A7940" s="7" t="str">
        <f>HYPERLINK("https://otsuka-europe-crm.veevavault.com/ui/#object/account__v/V4TZ00000633IOQ", "KAMEL MOKHTARI")</f>
        <v>KAMEL MOKHTARI</v>
      </c>
      <c r="B7940" s="7" t="str">
        <f t="shared" si="646"/>
        <v>FR</v>
      </c>
      <c r="C7940" s="8" t="s">
        <v>42</v>
      </c>
      <c r="D7940" s="9" t="str">
        <f>HYPERLINK("https://otsuka-europe-crm.veevavault.com/ui/#object/approved_document__v/V5O00000000P003", "FR-AM2-2500027")</f>
        <v>FR-AM2-2500027</v>
      </c>
      <c r="E7940" s="10" t="str">
        <f>HYPERLINK("https://otsuka-europe-crm.veevavault.com/ui/#object/sent_email__v/VBL00000002R524", "SE-001435170")</f>
        <v>SE-001435170</v>
      </c>
      <c r="F7940" s="11"/>
      <c r="G7940" s="12">
        <v>0</v>
      </c>
      <c r="H7940" s="12">
        <v>0</v>
      </c>
      <c r="I7940" s="12">
        <v>0</v>
      </c>
      <c r="J7940" s="11"/>
      <c r="K7940" s="12">
        <v>0</v>
      </c>
      <c r="L7940" s="10" t="str">
        <f>HYPERLINK("https://otsuka-europe-crm.veevavault.com/ui/#object/approved_document__v/V5O00000000P003", "FR-AM2-2500027")</f>
        <v>FR-AM2-2500027</v>
      </c>
      <c r="M7940" s="10" t="str">
        <f t="shared" si="647"/>
        <v>ssaouab@crm.otsuka-europe.com</v>
      </c>
      <c r="N7940" s="13">
        <v>46182.786979166667</v>
      </c>
      <c r="O7940" s="14" t="str">
        <f>HYPERLINK("https://otsuka-europe-crm.veevavault.com/ui/#object/email_activity__v/V8C00000003R953", "EN-002093510")</f>
        <v>EN-002093510</v>
      </c>
    </row>
    <row r="7941" spans="1:15" ht="48" x14ac:dyDescent="0.2">
      <c r="A7941" s="7" t="str">
        <f>HYPERLINK("https://otsuka-europe-crm.veevavault.com/ui/#object/account__v/V4TZ00000633VUB", "FAYCAL MOUAFFAK")</f>
        <v>FAYCAL MOUAFFAK</v>
      </c>
      <c r="B7941" s="7" t="str">
        <f t="shared" si="646"/>
        <v>FR</v>
      </c>
      <c r="C7941" s="8" t="s">
        <v>42</v>
      </c>
      <c r="D7941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941" s="10" t="str">
        <f>HYPERLINK("https://otsuka-europe-crm.veevavault.com/ui/#object/sent_email__v/VBL00000002R525", "SE-001435171")</f>
        <v>SE-001435171</v>
      </c>
      <c r="F7941" s="11"/>
      <c r="G7941" s="12">
        <v>0</v>
      </c>
      <c r="H7941" s="12">
        <v>0</v>
      </c>
      <c r="I7941" s="12">
        <v>0</v>
      </c>
      <c r="J7941" s="11"/>
      <c r="K7941" s="12">
        <v>0</v>
      </c>
      <c r="L7941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941" s="10" t="str">
        <f t="shared" si="647"/>
        <v>ssaouab@crm.otsuka-europe.com</v>
      </c>
      <c r="N7941" s="13">
        <v>46182.787546296298</v>
      </c>
      <c r="O7941" s="14" t="str">
        <f>HYPERLINK("https://otsuka-europe-crm.veevavault.com/ui/#object/email_activity__v/V8C00000003R955", "EN-002093512")</f>
        <v>EN-002093512</v>
      </c>
    </row>
    <row r="7942" spans="1:15" ht="32" x14ac:dyDescent="0.2">
      <c r="A7942" s="7" t="str">
        <f>HYPERLINK("https://otsuka-europe-crm.veevavault.com/ui/#object/account__v/V4TZ00000633VUB", "FAYCAL MOUAFFAK")</f>
        <v>FAYCAL MOUAFFAK</v>
      </c>
      <c r="B7942" s="7" t="str">
        <f t="shared" si="646"/>
        <v>FR</v>
      </c>
      <c r="C7942" s="8" t="s">
        <v>42</v>
      </c>
      <c r="D7942" s="9" t="str">
        <f>HYPERLINK("https://otsuka-europe-crm.veevavault.com/ui/#object/approved_document__v/V5O00000000P003", "FR-AM2-2500027")</f>
        <v>FR-AM2-2500027</v>
      </c>
      <c r="E7942" s="10" t="str">
        <f>HYPERLINK("https://otsuka-europe-crm.veevavault.com/ui/#object/sent_email__v/VBL00000002S618", "SE-001435172")</f>
        <v>SE-001435172</v>
      </c>
      <c r="F7942" s="11"/>
      <c r="G7942" s="12">
        <v>0</v>
      </c>
      <c r="H7942" s="12">
        <v>0</v>
      </c>
      <c r="I7942" s="12">
        <v>0</v>
      </c>
      <c r="J7942" s="11"/>
      <c r="K7942" s="12">
        <v>0</v>
      </c>
      <c r="L7942" s="10" t="str">
        <f>HYPERLINK("https://otsuka-europe-crm.veevavault.com/ui/#object/approved_document__v/V5O00000000P003", "FR-AM2-2500027")</f>
        <v>FR-AM2-2500027</v>
      </c>
      <c r="M7942" s="10" t="str">
        <f t="shared" si="647"/>
        <v>ssaouab@crm.otsuka-europe.com</v>
      </c>
      <c r="N7942" s="13">
        <v>46182.787581018521</v>
      </c>
      <c r="O7942" s="14" t="str">
        <f>HYPERLINK("https://otsuka-europe-crm.veevavault.com/ui/#object/email_activity__v/V8C00000003R954", "EN-002093511")</f>
        <v>EN-002093511</v>
      </c>
    </row>
    <row r="7943" spans="1:15" ht="16" x14ac:dyDescent="0.2">
      <c r="A7943" s="17" t="str">
        <f>HYPERLINK("https://otsuka-europe-crm.veevavault.com/ui/#object/account__v/V4TZ00000633VWZ", "MOHAMMED MOUKLI")</f>
        <v>MOHAMMED MOUKLI</v>
      </c>
      <c r="B7943" s="17" t="str">
        <f t="shared" si="646"/>
        <v>FR</v>
      </c>
      <c r="C7943" s="20" t="s">
        <v>42</v>
      </c>
      <c r="D7943" s="21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943" s="22" t="str">
        <f>HYPERLINK("https://otsuka-europe-crm.veevavault.com/ui/#object/sent_email__v/VBL00000002S619", "SE-001435173")</f>
        <v>SE-001435173</v>
      </c>
      <c r="F7943" s="23">
        <v>46182.814398148148</v>
      </c>
      <c r="G7943" s="24">
        <v>1</v>
      </c>
      <c r="H7943" s="24">
        <v>1</v>
      </c>
      <c r="I7943" s="24">
        <v>0</v>
      </c>
      <c r="J7943" s="25"/>
      <c r="K7943" s="24">
        <v>0</v>
      </c>
      <c r="L7943" s="22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943" s="22" t="str">
        <f t="shared" si="647"/>
        <v>ssaouab@crm.otsuka-europe.com</v>
      </c>
      <c r="N7943" s="23">
        <v>46182.788252314815</v>
      </c>
      <c r="O7943" s="14" t="str">
        <f>HYPERLINK("https://otsuka-europe-crm.veevavault.com/ui/#object/email_activity__v/V8C00000003S322", "EN-002093513")</f>
        <v>EN-002093513</v>
      </c>
    </row>
    <row r="7944" spans="1:15" ht="16" x14ac:dyDescent="0.2">
      <c r="A7944" s="19"/>
      <c r="B7944" s="19"/>
      <c r="C7944" s="19"/>
      <c r="D7944" s="19"/>
      <c r="E7944" s="19"/>
      <c r="F7944" s="19"/>
      <c r="G7944" s="19"/>
      <c r="H7944" s="19"/>
      <c r="I7944" s="19"/>
      <c r="J7944" s="19"/>
      <c r="K7944" s="19"/>
      <c r="L7944" s="19"/>
      <c r="M7944" s="19"/>
      <c r="N7944" s="19"/>
      <c r="O7944" s="14" t="str">
        <f>HYPERLINK("https://otsuka-europe-crm.veevavault.com/ui/#object/email_activity__v/V8C00000003T023", "EN-002093634")</f>
        <v>EN-002093634</v>
      </c>
    </row>
    <row r="7945" spans="1:15" ht="16" x14ac:dyDescent="0.2">
      <c r="A7945" s="17" t="str">
        <f>HYPERLINK("https://otsuka-europe-crm.veevavault.com/ui/#object/account__v/V4TZ00000633VWZ", "MOHAMMED MOUKLI")</f>
        <v>MOHAMMED MOUKLI</v>
      </c>
      <c r="B7945" s="17" t="str">
        <f>HYPERLINK("https://otsuka-europe-crm.veevavault.com/ui/#object/vcountry__v/VENZ000004SONFA", "FR")</f>
        <v>FR</v>
      </c>
      <c r="C7945" s="20" t="s">
        <v>42</v>
      </c>
      <c r="D7945" s="21" t="str">
        <f>HYPERLINK("https://otsuka-europe-crm.veevavault.com/ui/#object/approved_document__v/V5O00000000P003", "FR-AM2-2500027")</f>
        <v>FR-AM2-2500027</v>
      </c>
      <c r="E7945" s="22" t="str">
        <f>HYPERLINK("https://otsuka-europe-crm.veevavault.com/ui/#object/sent_email__v/VBL00000002S620", "SE-001435174")</f>
        <v>SE-001435174</v>
      </c>
      <c r="F7945" s="23">
        <v>46191.414803240739</v>
      </c>
      <c r="G7945" s="24">
        <v>1</v>
      </c>
      <c r="H7945" s="24">
        <v>3</v>
      </c>
      <c r="I7945" s="24">
        <v>0</v>
      </c>
      <c r="J7945" s="25"/>
      <c r="K7945" s="24">
        <v>0</v>
      </c>
      <c r="L7945" s="22" t="str">
        <f>HYPERLINK("https://otsuka-europe-crm.veevavault.com/ui/#object/approved_document__v/V5O00000000P003", "FR-AM2-2500027")</f>
        <v>FR-AM2-2500027</v>
      </c>
      <c r="M7945" s="22" t="str">
        <f>HYPERLINK("mailto:ssaouab@crm.otsuka-europe.com", "ssaouab@crm.otsuka-europe.com")</f>
        <v>ssaouab@crm.otsuka-europe.com</v>
      </c>
      <c r="N7945" s="23">
        <v>46182.788321759261</v>
      </c>
      <c r="O7945" s="14" t="str">
        <f>HYPERLINK("https://otsuka-europe-crm.veevavault.com/ui/#object/email_activity__v/V8C00000003R956", "EN-002093514")</f>
        <v>EN-002093514</v>
      </c>
    </row>
    <row r="7946" spans="1:15" ht="16" x14ac:dyDescent="0.2">
      <c r="A7946" s="18"/>
      <c r="B7946" s="18"/>
      <c r="C7946" s="18"/>
      <c r="D7946" s="18"/>
      <c r="E7946" s="18"/>
      <c r="F7946" s="18"/>
      <c r="G7946" s="18"/>
      <c r="H7946" s="18"/>
      <c r="I7946" s="18"/>
      <c r="J7946" s="18"/>
      <c r="K7946" s="18"/>
      <c r="L7946" s="18"/>
      <c r="M7946" s="18"/>
      <c r="N7946" s="18"/>
      <c r="O7946" s="14" t="str">
        <f>HYPERLINK("https://otsuka-europe-crm.veevavault.com/ui/#object/email_activity__v/V8C00000003S755", "EN-002094381")</f>
        <v>EN-002094381</v>
      </c>
    </row>
    <row r="7947" spans="1:15" ht="16" x14ac:dyDescent="0.2">
      <c r="A7947" s="18"/>
      <c r="B7947" s="18"/>
      <c r="C7947" s="18"/>
      <c r="D7947" s="18"/>
      <c r="E7947" s="18"/>
      <c r="F7947" s="18"/>
      <c r="G7947" s="18"/>
      <c r="H7947" s="18"/>
      <c r="I7947" s="18"/>
      <c r="J7947" s="18"/>
      <c r="K7947" s="18"/>
      <c r="L7947" s="18"/>
      <c r="M7947" s="18"/>
      <c r="N7947" s="18"/>
      <c r="O7947" s="14" t="str">
        <f>HYPERLINK("https://otsuka-europe-crm.veevavault.com/ui/#object/email_activity__v/V8C00000003T022", "EN-002093633")</f>
        <v>EN-002093633</v>
      </c>
    </row>
    <row r="7948" spans="1:15" ht="16" x14ac:dyDescent="0.2">
      <c r="A7948" s="19"/>
      <c r="B7948" s="19"/>
      <c r="C7948" s="19"/>
      <c r="D7948" s="19"/>
      <c r="E7948" s="19"/>
      <c r="F7948" s="19"/>
      <c r="G7948" s="19"/>
      <c r="H7948" s="19"/>
      <c r="I7948" s="19"/>
      <c r="J7948" s="19"/>
      <c r="K7948" s="19"/>
      <c r="L7948" s="19"/>
      <c r="M7948" s="19"/>
      <c r="N7948" s="19"/>
      <c r="O7948" s="14" t="str">
        <f>HYPERLINK("https://otsuka-europe-crm.veevavault.com/ui/#object/email_activity__v/V8C00000003X973", "EN-002098544")</f>
        <v>EN-002098544</v>
      </c>
    </row>
    <row r="7949" spans="1:15" ht="16" x14ac:dyDescent="0.2">
      <c r="A7949" s="17" t="str">
        <f>HYPERLINK("https://otsuka-europe-crm.veevavault.com/ui/#object/account__v/V4TZ00000633HCI", "MOULOUD MOUSSOUNI")</f>
        <v>MOULOUD MOUSSOUNI</v>
      </c>
      <c r="B7949" s="17" t="str">
        <f>HYPERLINK("https://otsuka-europe-crm.veevavault.com/ui/#object/vcountry__v/VENZ000004SONFA", "FR")</f>
        <v>FR</v>
      </c>
      <c r="C7949" s="20" t="s">
        <v>42</v>
      </c>
      <c r="D7949" s="21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949" s="22" t="str">
        <f>HYPERLINK("https://otsuka-europe-crm.veevavault.com/ui/#object/sent_email__v/VBL00000002R526", "SE-001435175")</f>
        <v>SE-001435175</v>
      </c>
      <c r="F7949" s="23">
        <v>46183.598773148151</v>
      </c>
      <c r="G7949" s="24">
        <v>1</v>
      </c>
      <c r="H7949" s="24">
        <v>4</v>
      </c>
      <c r="I7949" s="24">
        <v>0</v>
      </c>
      <c r="J7949" s="25"/>
      <c r="K7949" s="24">
        <v>0</v>
      </c>
      <c r="L7949" s="22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949" s="22" t="str">
        <f>HYPERLINK("mailto:ssaouab@crm.otsuka-europe.com", "ssaouab@crm.otsuka-europe.com")</f>
        <v>ssaouab@crm.otsuka-europe.com</v>
      </c>
      <c r="N7949" s="23">
        <v>46182.788958333331</v>
      </c>
      <c r="O7949" s="14" t="str">
        <f>HYPERLINK("https://otsuka-europe-crm.veevavault.com/ui/#object/email_activity__v/V8C00000003R957", "EN-002093515")</f>
        <v>EN-002093515</v>
      </c>
    </row>
    <row r="7950" spans="1:15" ht="16" x14ac:dyDescent="0.2">
      <c r="A7950" s="18"/>
      <c r="B7950" s="18"/>
      <c r="C7950" s="18"/>
      <c r="D7950" s="18"/>
      <c r="E7950" s="18"/>
      <c r="F7950" s="18"/>
      <c r="G7950" s="18"/>
      <c r="H7950" s="18"/>
      <c r="I7950" s="18"/>
      <c r="J7950" s="18"/>
      <c r="K7950" s="18"/>
      <c r="L7950" s="18"/>
      <c r="M7950" s="18"/>
      <c r="N7950" s="18"/>
      <c r="O7950" s="14" t="str">
        <f>HYPERLINK("https://otsuka-europe-crm.veevavault.com/ui/#object/email_activity__v/V8C00000003S460", "EN-002093834")</f>
        <v>EN-002093834</v>
      </c>
    </row>
    <row r="7951" spans="1:15" ht="16" x14ac:dyDescent="0.2">
      <c r="A7951" s="18"/>
      <c r="B7951" s="18"/>
      <c r="C7951" s="18"/>
      <c r="D7951" s="18"/>
      <c r="E7951" s="18"/>
      <c r="F7951" s="18"/>
      <c r="G7951" s="18"/>
      <c r="H7951" s="18"/>
      <c r="I7951" s="18"/>
      <c r="J7951" s="18"/>
      <c r="K7951" s="18"/>
      <c r="L7951" s="18"/>
      <c r="M7951" s="18"/>
      <c r="N7951" s="18"/>
      <c r="O7951" s="14" t="str">
        <f>HYPERLINK("https://otsuka-europe-crm.veevavault.com/ui/#object/email_activity__v/V8C00000003S692", "EN-002094271")</f>
        <v>EN-002094271</v>
      </c>
    </row>
    <row r="7952" spans="1:15" ht="16" x14ac:dyDescent="0.2">
      <c r="A7952" s="18"/>
      <c r="B7952" s="18"/>
      <c r="C7952" s="18"/>
      <c r="D7952" s="18"/>
      <c r="E7952" s="18"/>
      <c r="F7952" s="18"/>
      <c r="G7952" s="18"/>
      <c r="H7952" s="18"/>
      <c r="I7952" s="18"/>
      <c r="J7952" s="18"/>
      <c r="K7952" s="18"/>
      <c r="L7952" s="18"/>
      <c r="M7952" s="18"/>
      <c r="N7952" s="18"/>
      <c r="O7952" s="14" t="str">
        <f>HYPERLINK("https://otsuka-europe-crm.veevavault.com/ui/#object/email_activity__v/V8C00000003T140", "EN-002093839")</f>
        <v>EN-002093839</v>
      </c>
    </row>
    <row r="7953" spans="1:15" ht="16" x14ac:dyDescent="0.2">
      <c r="A7953" s="19"/>
      <c r="B7953" s="19"/>
      <c r="C7953" s="19"/>
      <c r="D7953" s="19"/>
      <c r="E7953" s="19"/>
      <c r="F7953" s="19"/>
      <c r="G7953" s="19"/>
      <c r="H7953" s="19"/>
      <c r="I7953" s="19"/>
      <c r="J7953" s="19"/>
      <c r="K7953" s="19"/>
      <c r="L7953" s="19"/>
      <c r="M7953" s="19"/>
      <c r="N7953" s="19"/>
      <c r="O7953" s="14" t="str">
        <f>HYPERLINK("https://otsuka-europe-crm.veevavault.com/ui/#object/email_activity__v/V8C00000003T309", "EN-002094195")</f>
        <v>EN-002094195</v>
      </c>
    </row>
    <row r="7954" spans="1:15" ht="16" x14ac:dyDescent="0.2">
      <c r="A7954" s="17" t="str">
        <f>HYPERLINK("https://otsuka-europe-crm.veevavault.com/ui/#object/account__v/V4TZ00000633HCI", "MOULOUD MOUSSOUNI")</f>
        <v>MOULOUD MOUSSOUNI</v>
      </c>
      <c r="B7954" s="17" t="str">
        <f>HYPERLINK("https://otsuka-europe-crm.veevavault.com/ui/#object/vcountry__v/VENZ000004SONFA", "FR")</f>
        <v>FR</v>
      </c>
      <c r="C7954" s="20" t="s">
        <v>42</v>
      </c>
      <c r="D7954" s="21" t="str">
        <f>HYPERLINK("https://otsuka-europe-crm.veevavault.com/ui/#object/approved_document__v/V5O00000000P003", "FR-AM2-2500027")</f>
        <v>FR-AM2-2500027</v>
      </c>
      <c r="E7954" s="22" t="str">
        <f>HYPERLINK("https://otsuka-europe-crm.veevavault.com/ui/#object/sent_email__v/VBL00000002S621", "SE-001435176")</f>
        <v>SE-001435176</v>
      </c>
      <c r="F7954" s="23">
        <v>46186.945115740738</v>
      </c>
      <c r="G7954" s="24">
        <v>1</v>
      </c>
      <c r="H7954" s="24">
        <v>3</v>
      </c>
      <c r="I7954" s="24">
        <v>0</v>
      </c>
      <c r="J7954" s="25"/>
      <c r="K7954" s="24">
        <v>0</v>
      </c>
      <c r="L7954" s="22" t="str">
        <f>HYPERLINK("https://otsuka-europe-crm.veevavault.com/ui/#object/approved_document__v/V5O00000000P003", "FR-AM2-2500027")</f>
        <v>FR-AM2-2500027</v>
      </c>
      <c r="M7954" s="22" t="str">
        <f>HYPERLINK("mailto:ssaouab@crm.otsuka-europe.com", "ssaouab@crm.otsuka-europe.com")</f>
        <v>ssaouab@crm.otsuka-europe.com</v>
      </c>
      <c r="N7954" s="23">
        <v>46182.789074074077</v>
      </c>
      <c r="O7954" s="14" t="str">
        <f>HYPERLINK("https://otsuka-europe-crm.veevavault.com/ui/#object/email_activity__v/V8C00000003S323", "EN-002093516")</f>
        <v>EN-002093516</v>
      </c>
    </row>
    <row r="7955" spans="1:15" ht="16" x14ac:dyDescent="0.2">
      <c r="A7955" s="18"/>
      <c r="B7955" s="18"/>
      <c r="C7955" s="18"/>
      <c r="D7955" s="18"/>
      <c r="E7955" s="18"/>
      <c r="F7955" s="18"/>
      <c r="G7955" s="18"/>
      <c r="H7955" s="18"/>
      <c r="I7955" s="18"/>
      <c r="J7955" s="18"/>
      <c r="K7955" s="18"/>
      <c r="L7955" s="18"/>
      <c r="M7955" s="18"/>
      <c r="N7955" s="18"/>
      <c r="O7955" s="14" t="str">
        <f>HYPERLINK("https://otsuka-europe-crm.veevavault.com/ui/#object/email_activity__v/V8C00000003S459", "EN-002093833")</f>
        <v>EN-002093833</v>
      </c>
    </row>
    <row r="7956" spans="1:15" ht="16" x14ac:dyDescent="0.2">
      <c r="A7956" s="18"/>
      <c r="B7956" s="18"/>
      <c r="C7956" s="18"/>
      <c r="D7956" s="18"/>
      <c r="E7956" s="18"/>
      <c r="F7956" s="18"/>
      <c r="G7956" s="18"/>
      <c r="H7956" s="18"/>
      <c r="I7956" s="18"/>
      <c r="J7956" s="18"/>
      <c r="K7956" s="18"/>
      <c r="L7956" s="18"/>
      <c r="M7956" s="18"/>
      <c r="N7956" s="18"/>
      <c r="O7956" s="14" t="str">
        <f>HYPERLINK("https://otsuka-europe-crm.veevavault.com/ui/#object/email_activity__v/V8C00000003S463", "EN-002093837")</f>
        <v>EN-002093837</v>
      </c>
    </row>
    <row r="7957" spans="1:15" ht="16" x14ac:dyDescent="0.2">
      <c r="A7957" s="19"/>
      <c r="B7957" s="19"/>
      <c r="C7957" s="19"/>
      <c r="D7957" s="19"/>
      <c r="E7957" s="19"/>
      <c r="F7957" s="19"/>
      <c r="G7957" s="19"/>
      <c r="H7957" s="19"/>
      <c r="I7957" s="19"/>
      <c r="J7957" s="19"/>
      <c r="K7957" s="19"/>
      <c r="L7957" s="19"/>
      <c r="M7957" s="19"/>
      <c r="N7957" s="19"/>
      <c r="O7957" s="14" t="str">
        <f>HYPERLINK("https://otsuka-europe-crm.veevavault.com/ui/#object/email_activity__v/V8C00000003V449", "EN-002095671")</f>
        <v>EN-002095671</v>
      </c>
    </row>
    <row r="7958" spans="1:15" ht="48" x14ac:dyDescent="0.2">
      <c r="A7958" s="7" t="str">
        <f>HYPERLINK("https://otsuka-europe-crm.veevavault.com/ui/#object/account__v/V4TZ025E8464VFE", "CHRISTIAN MPUTU")</f>
        <v>CHRISTIAN MPUTU</v>
      </c>
      <c r="B7958" s="7" t="str">
        <f>HYPERLINK("https://otsuka-europe-crm.veevavault.com/ui/#object/vcountry__v/VENZ000004SONFA", "FR")</f>
        <v>FR</v>
      </c>
      <c r="C7958" s="8" t="s">
        <v>42</v>
      </c>
      <c r="D7958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958" s="10" t="str">
        <f>HYPERLINK("https://otsuka-europe-crm.veevavault.com/ui/#object/sent_email__v/VBL00000002R527", "SE-001435177")</f>
        <v>SE-001435177</v>
      </c>
      <c r="F7958" s="11"/>
      <c r="G7958" s="12">
        <v>0</v>
      </c>
      <c r="H7958" s="12">
        <v>0</v>
      </c>
      <c r="I7958" s="12">
        <v>0</v>
      </c>
      <c r="J7958" s="11"/>
      <c r="K7958" s="12">
        <v>0</v>
      </c>
      <c r="L7958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958" s="10" t="str">
        <f>HYPERLINK("mailto:ssaouab@crm.otsuka-europe.com", "ssaouab@crm.otsuka-europe.com")</f>
        <v>ssaouab@crm.otsuka-europe.com</v>
      </c>
      <c r="N7958" s="13">
        <v>46182.789340277777</v>
      </c>
      <c r="O7958" s="14" t="str">
        <f>HYPERLINK("https://otsuka-europe-crm.veevavault.com/ui/#object/email_activity__v/V8C00000003S324", "EN-002093517")</f>
        <v>EN-002093517</v>
      </c>
    </row>
    <row r="7959" spans="1:15" ht="32" x14ac:dyDescent="0.2">
      <c r="A7959" s="7" t="str">
        <f>HYPERLINK("https://otsuka-europe-crm.veevavault.com/ui/#object/account__v/V4TZ025E8464VFE", "CHRISTIAN MPUTU")</f>
        <v>CHRISTIAN MPUTU</v>
      </c>
      <c r="B7959" s="7" t="str">
        <f>HYPERLINK("https://otsuka-europe-crm.veevavault.com/ui/#object/vcountry__v/VENZ000004SONFA", "FR")</f>
        <v>FR</v>
      </c>
      <c r="C7959" s="8" t="s">
        <v>42</v>
      </c>
      <c r="D7959" s="9" t="str">
        <f>HYPERLINK("https://otsuka-europe-crm.veevavault.com/ui/#object/approved_document__v/V5O00000000P003", "FR-AM2-2500027")</f>
        <v>FR-AM2-2500027</v>
      </c>
      <c r="E7959" s="10" t="str">
        <f>HYPERLINK("https://otsuka-europe-crm.veevavault.com/ui/#object/sent_email__v/VBL00000002S622", "SE-001435178")</f>
        <v>SE-001435178</v>
      </c>
      <c r="F7959" s="11"/>
      <c r="G7959" s="12">
        <v>0</v>
      </c>
      <c r="H7959" s="12">
        <v>0</v>
      </c>
      <c r="I7959" s="12">
        <v>0</v>
      </c>
      <c r="J7959" s="11"/>
      <c r="K7959" s="12">
        <v>0</v>
      </c>
      <c r="L7959" s="10" t="str">
        <f>HYPERLINK("https://otsuka-europe-crm.veevavault.com/ui/#object/approved_document__v/V5O00000000P003", "FR-AM2-2500027")</f>
        <v>FR-AM2-2500027</v>
      </c>
      <c r="M7959" s="10" t="str">
        <f>HYPERLINK("mailto:ssaouab@crm.otsuka-europe.com", "ssaouab@crm.otsuka-europe.com")</f>
        <v>ssaouab@crm.otsuka-europe.com</v>
      </c>
      <c r="N7959" s="13">
        <v>46182.789444444446</v>
      </c>
      <c r="O7959" s="14" t="str">
        <f>HYPERLINK("https://otsuka-europe-crm.veevavault.com/ui/#object/email_activity__v/V8C00000003R958", "EN-002093518")</f>
        <v>EN-002093518</v>
      </c>
    </row>
    <row r="7960" spans="1:15" ht="48" x14ac:dyDescent="0.2">
      <c r="A7960" s="7" t="str">
        <f>HYPERLINK("https://otsuka-europe-crm.veevavault.com/ui/#object/account__v/V4TZ06G6OBUIJFJ", "VENANT N LANDU BIMBAKILA")</f>
        <v>VENANT N LANDU BIMBAKILA</v>
      </c>
      <c r="B7960" s="7" t="str">
        <f>HYPERLINK("https://otsuka-europe-crm.veevavault.com/ui/#object/vcountry__v/VENZ000004SONFA", "FR")</f>
        <v>FR</v>
      </c>
      <c r="C7960" s="8" t="s">
        <v>42</v>
      </c>
      <c r="D7960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960" s="10" t="str">
        <f>HYPERLINK("https://otsuka-europe-crm.veevavault.com/ui/#object/sent_email__v/VBL00000002S623", "SE-001435179")</f>
        <v>SE-001435179</v>
      </c>
      <c r="F7960" s="11"/>
      <c r="G7960" s="12">
        <v>0</v>
      </c>
      <c r="H7960" s="12">
        <v>0</v>
      </c>
      <c r="I7960" s="12">
        <v>0</v>
      </c>
      <c r="J7960" s="11"/>
      <c r="K7960" s="12">
        <v>0</v>
      </c>
      <c r="L7960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960" s="10" t="str">
        <f>HYPERLINK("mailto:ssaouab@crm.otsuka-europe.com", "ssaouab@crm.otsuka-europe.com")</f>
        <v>ssaouab@crm.otsuka-europe.com</v>
      </c>
      <c r="N7960" s="13">
        <v>46182.789814814816</v>
      </c>
      <c r="O7960" s="14" t="str">
        <f>HYPERLINK("https://otsuka-europe-crm.veevavault.com/ui/#object/email_activity__v/V8C00000003R959", "EN-002093519")</f>
        <v>EN-002093519</v>
      </c>
    </row>
    <row r="7961" spans="1:15" ht="16" x14ac:dyDescent="0.2">
      <c r="A7961" s="17" t="str">
        <f>HYPERLINK("https://otsuka-europe-crm.veevavault.com/ui/#object/account__v/V4TZ06G6OBUIJFJ", "VENANT N LANDU BIMBAKILA")</f>
        <v>VENANT N LANDU BIMBAKILA</v>
      </c>
      <c r="B7961" s="17" t="str">
        <f>HYPERLINK("https://otsuka-europe-crm.veevavault.com/ui/#object/vcountry__v/VENZ000004SONFA", "FR")</f>
        <v>FR</v>
      </c>
      <c r="C7961" s="20" t="s">
        <v>42</v>
      </c>
      <c r="D7961" s="21" t="str">
        <f>HYPERLINK("https://otsuka-europe-crm.veevavault.com/ui/#object/approved_document__v/V5O00000000P003", "FR-AM2-2500027")</f>
        <v>FR-AM2-2500027</v>
      </c>
      <c r="E7961" s="22" t="str">
        <f>HYPERLINK("https://otsuka-europe-crm.veevavault.com/ui/#object/sent_email__v/VBL00000002S624", "SE-001435180")</f>
        <v>SE-001435180</v>
      </c>
      <c r="F7961" s="23">
        <v>46183.559837962966</v>
      </c>
      <c r="G7961" s="24">
        <v>1</v>
      </c>
      <c r="H7961" s="24">
        <v>1</v>
      </c>
      <c r="I7961" s="24">
        <v>0</v>
      </c>
      <c r="J7961" s="25"/>
      <c r="K7961" s="24">
        <v>0</v>
      </c>
      <c r="L7961" s="22" t="str">
        <f>HYPERLINK("https://otsuka-europe-crm.veevavault.com/ui/#object/approved_document__v/V5O00000000P003", "FR-AM2-2500027")</f>
        <v>FR-AM2-2500027</v>
      </c>
      <c r="M7961" s="22" t="str">
        <f>HYPERLINK("mailto:ssaouab@crm.otsuka-europe.com", "ssaouab@crm.otsuka-europe.com")</f>
        <v>ssaouab@crm.otsuka-europe.com</v>
      </c>
      <c r="N7961" s="23">
        <v>46182.789826388886</v>
      </c>
      <c r="O7961" s="14" t="str">
        <f>HYPERLINK("https://otsuka-europe-crm.veevavault.com/ui/#object/email_activity__v/V8C00000003R960", "EN-002093520")</f>
        <v>EN-002093520</v>
      </c>
    </row>
    <row r="7962" spans="1:15" ht="16" x14ac:dyDescent="0.2">
      <c r="A7962" s="19"/>
      <c r="B7962" s="19"/>
      <c r="C7962" s="19"/>
      <c r="D7962" s="19"/>
      <c r="E7962" s="19"/>
      <c r="F7962" s="19"/>
      <c r="G7962" s="19"/>
      <c r="H7962" s="19"/>
      <c r="I7962" s="19"/>
      <c r="J7962" s="19"/>
      <c r="K7962" s="19"/>
      <c r="L7962" s="19"/>
      <c r="M7962" s="19"/>
      <c r="N7962" s="19"/>
      <c r="O7962" s="14" t="str">
        <f>HYPERLINK("https://otsuka-europe-crm.veevavault.com/ui/#object/email_activity__v/V8C00000003S679", "EN-002094251")</f>
        <v>EN-002094251</v>
      </c>
    </row>
    <row r="7963" spans="1:15" ht="16" x14ac:dyDescent="0.2">
      <c r="A7963" s="17" t="str">
        <f>HYPERLINK("https://otsuka-europe-crm.veevavault.com/ui/#object/account__v/V4TZ00000633W1M", "FARES NACER")</f>
        <v>FARES NACER</v>
      </c>
      <c r="B7963" s="17" t="str">
        <f>HYPERLINK("https://otsuka-europe-crm.veevavault.com/ui/#object/vcountry__v/VENZ000004SONFA", "FR")</f>
        <v>FR</v>
      </c>
      <c r="C7963" s="20" t="s">
        <v>42</v>
      </c>
      <c r="D7963" s="21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963" s="22" t="str">
        <f>HYPERLINK("https://otsuka-europe-crm.veevavault.com/ui/#object/sent_email__v/VBL00000002R528", "SE-001435181")</f>
        <v>SE-001435181</v>
      </c>
      <c r="F7963" s="23">
        <v>46184.43513888889</v>
      </c>
      <c r="G7963" s="24">
        <v>1</v>
      </c>
      <c r="H7963" s="24">
        <v>2</v>
      </c>
      <c r="I7963" s="24">
        <v>0</v>
      </c>
      <c r="J7963" s="25"/>
      <c r="K7963" s="24">
        <v>0</v>
      </c>
      <c r="L7963" s="22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963" s="22" t="str">
        <f>HYPERLINK("mailto:ssaouab@crm.otsuka-europe.com", "ssaouab@crm.otsuka-europe.com")</f>
        <v>ssaouab@crm.otsuka-europe.com</v>
      </c>
      <c r="N7963" s="23">
        <v>46182.790023148147</v>
      </c>
      <c r="O7963" s="14" t="str">
        <f>HYPERLINK("https://otsuka-europe-crm.veevavault.com/ui/#object/email_activity__v/V8C00000003R961", "EN-002093521")</f>
        <v>EN-002093521</v>
      </c>
    </row>
    <row r="7964" spans="1:15" ht="16" x14ac:dyDescent="0.2">
      <c r="A7964" s="18"/>
      <c r="B7964" s="18"/>
      <c r="C7964" s="18"/>
      <c r="D7964" s="18"/>
      <c r="E7964" s="18"/>
      <c r="F7964" s="18"/>
      <c r="G7964" s="18"/>
      <c r="H7964" s="18"/>
      <c r="I7964" s="18"/>
      <c r="J7964" s="18"/>
      <c r="K7964" s="18"/>
      <c r="L7964" s="18"/>
      <c r="M7964" s="18"/>
      <c r="N7964" s="18"/>
      <c r="O7964" s="14" t="str">
        <f>HYPERLINK("https://otsuka-europe-crm.veevavault.com/ui/#object/email_activity__v/V8C00000003S390", "EN-002093687")</f>
        <v>EN-002093687</v>
      </c>
    </row>
    <row r="7965" spans="1:15" ht="16" x14ac:dyDescent="0.2">
      <c r="A7965" s="19"/>
      <c r="B7965" s="19"/>
      <c r="C7965" s="19"/>
      <c r="D7965" s="19"/>
      <c r="E7965" s="19"/>
      <c r="F7965" s="19"/>
      <c r="G7965" s="19"/>
      <c r="H7965" s="19"/>
      <c r="I7965" s="19"/>
      <c r="J7965" s="19"/>
      <c r="K7965" s="19"/>
      <c r="L7965" s="19"/>
      <c r="M7965" s="19"/>
      <c r="N7965" s="19"/>
      <c r="O7965" s="14" t="str">
        <f>HYPERLINK("https://otsuka-europe-crm.veevavault.com/ui/#object/email_activity__v/V8C00000003S863", "EN-002094581")</f>
        <v>EN-002094581</v>
      </c>
    </row>
    <row r="7966" spans="1:15" ht="16" x14ac:dyDescent="0.2">
      <c r="A7966" s="17" t="str">
        <f>HYPERLINK("https://otsuka-europe-crm.veevavault.com/ui/#object/account__v/V4TZ00000633W1M", "FARES NACER")</f>
        <v>FARES NACER</v>
      </c>
      <c r="B7966" s="17" t="str">
        <f>HYPERLINK("https://otsuka-europe-crm.veevavault.com/ui/#object/vcountry__v/VENZ000004SONFA", "FR")</f>
        <v>FR</v>
      </c>
      <c r="C7966" s="20" t="s">
        <v>42</v>
      </c>
      <c r="D7966" s="21" t="str">
        <f>HYPERLINK("https://otsuka-europe-crm.veevavault.com/ui/#object/approved_document__v/V5O00000000P003", "FR-AM2-2500027")</f>
        <v>FR-AM2-2500027</v>
      </c>
      <c r="E7966" s="22" t="str">
        <f>HYPERLINK("https://otsuka-europe-crm.veevavault.com/ui/#object/sent_email__v/VBL00000002S625", "SE-001435182")</f>
        <v>SE-001435182</v>
      </c>
      <c r="F7966" s="23">
        <v>46184.435023148151</v>
      </c>
      <c r="G7966" s="24">
        <v>1</v>
      </c>
      <c r="H7966" s="24">
        <v>2</v>
      </c>
      <c r="I7966" s="24">
        <v>0</v>
      </c>
      <c r="J7966" s="25"/>
      <c r="K7966" s="24">
        <v>0</v>
      </c>
      <c r="L7966" s="22" t="str">
        <f>HYPERLINK("https://otsuka-europe-crm.veevavault.com/ui/#object/approved_document__v/V5O00000000P003", "FR-AM2-2500027")</f>
        <v>FR-AM2-2500027</v>
      </c>
      <c r="M7966" s="22" t="str">
        <f>HYPERLINK("mailto:ssaouab@crm.otsuka-europe.com", "ssaouab@crm.otsuka-europe.com")</f>
        <v>ssaouab@crm.otsuka-europe.com</v>
      </c>
      <c r="N7966" s="23">
        <v>46182.790150462963</v>
      </c>
      <c r="O7966" s="14" t="str">
        <f>HYPERLINK("https://otsuka-europe-crm.veevavault.com/ui/#object/email_activity__v/V8C00000003R962", "EN-002093522")</f>
        <v>EN-002093522</v>
      </c>
    </row>
    <row r="7967" spans="1:15" ht="16" x14ac:dyDescent="0.2">
      <c r="A7967" s="18"/>
      <c r="B7967" s="18"/>
      <c r="C7967" s="18"/>
      <c r="D7967" s="18"/>
      <c r="E7967" s="18"/>
      <c r="F7967" s="18"/>
      <c r="G7967" s="18"/>
      <c r="H7967" s="18"/>
      <c r="I7967" s="18"/>
      <c r="J7967" s="18"/>
      <c r="K7967" s="18"/>
      <c r="L7967" s="18"/>
      <c r="M7967" s="18"/>
      <c r="N7967" s="18"/>
      <c r="O7967" s="14" t="str">
        <f>HYPERLINK("https://otsuka-europe-crm.veevavault.com/ui/#object/email_activity__v/V8C00000003S862", "EN-002094580")</f>
        <v>EN-002094580</v>
      </c>
    </row>
    <row r="7968" spans="1:15" ht="16" x14ac:dyDescent="0.2">
      <c r="A7968" s="19"/>
      <c r="B7968" s="19"/>
      <c r="C7968" s="19"/>
      <c r="D7968" s="19"/>
      <c r="E7968" s="19"/>
      <c r="F7968" s="19"/>
      <c r="G7968" s="19"/>
      <c r="H7968" s="19"/>
      <c r="I7968" s="19"/>
      <c r="J7968" s="19"/>
      <c r="K7968" s="19"/>
      <c r="L7968" s="19"/>
      <c r="M7968" s="19"/>
      <c r="N7968" s="19"/>
      <c r="O7968" s="14" t="str">
        <f>HYPERLINK("https://otsuka-europe-crm.veevavault.com/ui/#object/email_activity__v/V8C00000003T063", "EN-002093688")</f>
        <v>EN-002093688</v>
      </c>
    </row>
    <row r="7969" spans="1:15" ht="48" x14ac:dyDescent="0.2">
      <c r="A7969" s="7" t="str">
        <f>HYPERLINK("https://otsuka-europe-crm.veevavault.com/ui/#object/account__v/V4TZ00000633IDX", "AUDREY NAHMANI")</f>
        <v>AUDREY NAHMANI</v>
      </c>
      <c r="B7969" s="7" t="str">
        <f t="shared" ref="B7969:B7978" si="648">HYPERLINK("https://otsuka-europe-crm.veevavault.com/ui/#object/vcountry__v/VENZ000004SONFA", "FR")</f>
        <v>FR</v>
      </c>
      <c r="C7969" s="8" t="s">
        <v>42</v>
      </c>
      <c r="D7969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969" s="10" t="str">
        <f>HYPERLINK("https://otsuka-europe-crm.veevavault.com/ui/#object/sent_email__v/VBL00000002S626", "SE-001435183")</f>
        <v>SE-001435183</v>
      </c>
      <c r="F7969" s="11"/>
      <c r="G7969" s="12">
        <v>0</v>
      </c>
      <c r="H7969" s="12">
        <v>0</v>
      </c>
      <c r="I7969" s="12">
        <v>0</v>
      </c>
      <c r="J7969" s="11"/>
      <c r="K7969" s="12">
        <v>0</v>
      </c>
      <c r="L7969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969" s="10" t="str">
        <f t="shared" ref="M7969:M7978" si="649">HYPERLINK("mailto:ssaouab@crm.otsuka-europe.com", "ssaouab@crm.otsuka-europe.com")</f>
        <v>ssaouab@crm.otsuka-europe.com</v>
      </c>
      <c r="N7969" s="13">
        <v>46182.790532407409</v>
      </c>
      <c r="O7969" s="14" t="str">
        <f>HYPERLINK("https://otsuka-europe-crm.veevavault.com/ui/#object/email_activity__v/V8C00000003R963", "EN-002093523")</f>
        <v>EN-002093523</v>
      </c>
    </row>
    <row r="7970" spans="1:15" ht="32" x14ac:dyDescent="0.2">
      <c r="A7970" s="7" t="str">
        <f>HYPERLINK("https://otsuka-europe-crm.veevavault.com/ui/#object/account__v/V4TZ00000633IDX", "AUDREY NAHMANI")</f>
        <v>AUDREY NAHMANI</v>
      </c>
      <c r="B7970" s="7" t="str">
        <f t="shared" si="648"/>
        <v>FR</v>
      </c>
      <c r="C7970" s="8" t="s">
        <v>42</v>
      </c>
      <c r="D7970" s="9" t="str">
        <f>HYPERLINK("https://otsuka-europe-crm.veevavault.com/ui/#object/approved_document__v/V5O00000000P003", "FR-AM2-2500027")</f>
        <v>FR-AM2-2500027</v>
      </c>
      <c r="E7970" s="10" t="str">
        <f>HYPERLINK("https://otsuka-europe-crm.veevavault.com/ui/#object/sent_email__v/VBL00000002S627", "SE-001435184")</f>
        <v>SE-001435184</v>
      </c>
      <c r="F7970" s="11"/>
      <c r="G7970" s="12">
        <v>0</v>
      </c>
      <c r="H7970" s="12">
        <v>0</v>
      </c>
      <c r="I7970" s="12">
        <v>0</v>
      </c>
      <c r="J7970" s="11"/>
      <c r="K7970" s="12">
        <v>0</v>
      </c>
      <c r="L7970" s="10" t="str">
        <f>HYPERLINK("https://otsuka-europe-crm.veevavault.com/ui/#object/approved_document__v/V5O00000000P003", "FR-AM2-2500027")</f>
        <v>FR-AM2-2500027</v>
      </c>
      <c r="M7970" s="10" t="str">
        <f t="shared" si="649"/>
        <v>ssaouab@crm.otsuka-europe.com</v>
      </c>
      <c r="N7970" s="13">
        <v>46182.790625000001</v>
      </c>
      <c r="O7970" s="14" t="str">
        <f>HYPERLINK("https://otsuka-europe-crm.veevavault.com/ui/#object/email_activity__v/V8C00000003R964", "EN-002093524")</f>
        <v>EN-002093524</v>
      </c>
    </row>
    <row r="7971" spans="1:15" ht="32" x14ac:dyDescent="0.2">
      <c r="A7971" s="7" t="str">
        <f>HYPERLINK("https://otsuka-europe-crm.veevavault.com/ui/#object/account__v/V4TZ00000633IDX", "AUDREY NAHMANI")</f>
        <v>AUDREY NAHMANI</v>
      </c>
      <c r="B7971" s="7" t="str">
        <f t="shared" si="648"/>
        <v>FR</v>
      </c>
      <c r="C7971" s="8" t="s">
        <v>42</v>
      </c>
      <c r="D7971" s="9" t="str">
        <f>HYPERLINK("https://otsuka-europe-crm.veevavault.com/ui/#object/approved_document__v/V5O00000000P003", "FR-AM2-2500027")</f>
        <v>FR-AM2-2500027</v>
      </c>
      <c r="E7971" s="10" t="str">
        <f>HYPERLINK("https://otsuka-europe-crm.veevavault.com/ui/#object/sent_email__v/VBL00000002S628", "SE-001435185")</f>
        <v>SE-001435185</v>
      </c>
      <c r="F7971" s="11"/>
      <c r="G7971" s="12">
        <v>0</v>
      </c>
      <c r="H7971" s="12">
        <v>0</v>
      </c>
      <c r="I7971" s="12">
        <v>0</v>
      </c>
      <c r="J7971" s="11"/>
      <c r="K7971" s="12">
        <v>0</v>
      </c>
      <c r="L7971" s="10" t="str">
        <f>HYPERLINK("https://otsuka-europe-crm.veevavault.com/ui/#object/approved_document__v/V5O00000000P003", "FR-AM2-2500027")</f>
        <v>FR-AM2-2500027</v>
      </c>
      <c r="M7971" s="10" t="str">
        <f t="shared" si="649"/>
        <v>ssaouab@crm.otsuka-europe.com</v>
      </c>
      <c r="N7971" s="13">
        <v>46182.791203703702</v>
      </c>
      <c r="O7971" s="14" t="str">
        <f>HYPERLINK("https://otsuka-europe-crm.veevavault.com/ui/#object/email_activity__v/V8C00000003R966", "EN-002093526")</f>
        <v>EN-002093526</v>
      </c>
    </row>
    <row r="7972" spans="1:15" ht="48" x14ac:dyDescent="0.2">
      <c r="A7972" s="7" t="str">
        <f>HYPERLINK("https://otsuka-europe-crm.veevavault.com/ui/#object/account__v/V4TZ000006348VM", "AHCENE NAIT SAID")</f>
        <v>AHCENE NAIT SAID</v>
      </c>
      <c r="B7972" s="7" t="str">
        <f t="shared" si="648"/>
        <v>FR</v>
      </c>
      <c r="C7972" s="8" t="s">
        <v>42</v>
      </c>
      <c r="D7972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972" s="10" t="str">
        <f>HYPERLINK("https://otsuka-europe-crm.veevavault.com/ui/#object/sent_email__v/VBL00000002R529", "SE-001435186")</f>
        <v>SE-001435186</v>
      </c>
      <c r="F7972" s="11"/>
      <c r="G7972" s="12">
        <v>0</v>
      </c>
      <c r="H7972" s="12">
        <v>0</v>
      </c>
      <c r="I7972" s="12">
        <v>0</v>
      </c>
      <c r="J7972" s="11"/>
      <c r="K7972" s="12">
        <v>0</v>
      </c>
      <c r="L7972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972" s="10" t="str">
        <f t="shared" si="649"/>
        <v>ssaouab@crm.otsuka-europe.com</v>
      </c>
      <c r="N7972" s="13">
        <v>46182.791273148148</v>
      </c>
      <c r="O7972" s="14" t="str">
        <f>HYPERLINK("https://otsuka-europe-crm.veevavault.com/ui/#object/email_activity__v/V8C00000003R965", "EN-002093525")</f>
        <v>EN-002093525</v>
      </c>
    </row>
    <row r="7973" spans="1:15" ht="32" x14ac:dyDescent="0.2">
      <c r="A7973" s="7" t="str">
        <f>HYPERLINK("https://otsuka-europe-crm.veevavault.com/ui/#object/account__v/V4TZ000006348VM", "AHCENE NAIT SAID")</f>
        <v>AHCENE NAIT SAID</v>
      </c>
      <c r="B7973" s="7" t="str">
        <f t="shared" si="648"/>
        <v>FR</v>
      </c>
      <c r="C7973" s="8" t="s">
        <v>42</v>
      </c>
      <c r="D7973" s="9" t="str">
        <f>HYPERLINK("https://otsuka-europe-crm.veevavault.com/ui/#object/approved_document__v/V5O00000000P003", "FR-AM2-2500027")</f>
        <v>FR-AM2-2500027</v>
      </c>
      <c r="E7973" s="10" t="str">
        <f>HYPERLINK("https://otsuka-europe-crm.veevavault.com/ui/#object/sent_email__v/VBL00000002S629", "SE-001435187")</f>
        <v>SE-001435187</v>
      </c>
      <c r="F7973" s="11"/>
      <c r="G7973" s="12">
        <v>0</v>
      </c>
      <c r="H7973" s="12">
        <v>0</v>
      </c>
      <c r="I7973" s="12">
        <v>0</v>
      </c>
      <c r="J7973" s="11"/>
      <c r="K7973" s="12">
        <v>0</v>
      </c>
      <c r="L7973" s="10" t="str">
        <f>HYPERLINK("https://otsuka-europe-crm.veevavault.com/ui/#object/approved_document__v/V5O00000000P003", "FR-AM2-2500027")</f>
        <v>FR-AM2-2500027</v>
      </c>
      <c r="M7973" s="10" t="str">
        <f t="shared" si="649"/>
        <v>ssaouab@crm.otsuka-europe.com</v>
      </c>
      <c r="N7973" s="13">
        <v>46182.791412037041</v>
      </c>
      <c r="O7973" s="14" t="str">
        <f>HYPERLINK("https://otsuka-europe-crm.veevavault.com/ui/#object/email_activity__v/V8C00000003R967", "EN-002093527")</f>
        <v>EN-002093527</v>
      </c>
    </row>
    <row r="7974" spans="1:15" ht="48" x14ac:dyDescent="0.2">
      <c r="A7974" s="7" t="str">
        <f>HYPERLINK("https://otsuka-europe-crm.veevavault.com/ui/#object/account__v/V4TZ00000633HZI", "RACHID NEHARI")</f>
        <v>RACHID NEHARI</v>
      </c>
      <c r="B7974" s="7" t="str">
        <f t="shared" si="648"/>
        <v>FR</v>
      </c>
      <c r="C7974" s="8" t="s">
        <v>42</v>
      </c>
      <c r="D7974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974" s="10" t="str">
        <f>HYPERLINK("https://otsuka-europe-crm.veevavault.com/ui/#object/sent_email__v/VBL00000002S630", "SE-001435188")</f>
        <v>SE-001435188</v>
      </c>
      <c r="F7974" s="11"/>
      <c r="G7974" s="12">
        <v>0</v>
      </c>
      <c r="H7974" s="12">
        <v>0</v>
      </c>
      <c r="I7974" s="12">
        <v>0</v>
      </c>
      <c r="J7974" s="11"/>
      <c r="K7974" s="12">
        <v>0</v>
      </c>
      <c r="L7974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974" s="10" t="str">
        <f t="shared" si="649"/>
        <v>ssaouab@crm.otsuka-europe.com</v>
      </c>
      <c r="N7974" s="13">
        <v>46182.791724537034</v>
      </c>
      <c r="O7974" s="14" t="str">
        <f>HYPERLINK("https://otsuka-europe-crm.veevavault.com/ui/#object/email_activity__v/V8C00000003R968", "EN-002093528")</f>
        <v>EN-002093528</v>
      </c>
    </row>
    <row r="7975" spans="1:15" ht="32" x14ac:dyDescent="0.2">
      <c r="A7975" s="7" t="str">
        <f>HYPERLINK("https://otsuka-europe-crm.veevavault.com/ui/#object/account__v/V4TZ00000633HZI", "RACHID NEHARI")</f>
        <v>RACHID NEHARI</v>
      </c>
      <c r="B7975" s="7" t="str">
        <f t="shared" si="648"/>
        <v>FR</v>
      </c>
      <c r="C7975" s="8" t="s">
        <v>42</v>
      </c>
      <c r="D7975" s="9" t="str">
        <f>HYPERLINK("https://otsuka-europe-crm.veevavault.com/ui/#object/approved_document__v/V5O00000000P003", "FR-AM2-2500027")</f>
        <v>FR-AM2-2500027</v>
      </c>
      <c r="E7975" s="10" t="str">
        <f>HYPERLINK("https://otsuka-europe-crm.veevavault.com/ui/#object/sent_email__v/VBL00000002R530", "SE-001435189")</f>
        <v>SE-001435189</v>
      </c>
      <c r="F7975" s="11"/>
      <c r="G7975" s="12">
        <v>0</v>
      </c>
      <c r="H7975" s="12">
        <v>0</v>
      </c>
      <c r="I7975" s="12">
        <v>0</v>
      </c>
      <c r="J7975" s="11"/>
      <c r="K7975" s="12">
        <v>0</v>
      </c>
      <c r="L7975" s="10" t="str">
        <f>HYPERLINK("https://otsuka-europe-crm.veevavault.com/ui/#object/approved_document__v/V5O00000000P003", "FR-AM2-2500027")</f>
        <v>FR-AM2-2500027</v>
      </c>
      <c r="M7975" s="10" t="str">
        <f t="shared" si="649"/>
        <v>ssaouab@crm.otsuka-europe.com</v>
      </c>
      <c r="N7975" s="13">
        <v>46182.791863425926</v>
      </c>
      <c r="O7975" s="14" t="str">
        <f>HYPERLINK("https://otsuka-europe-crm.veevavault.com/ui/#object/email_activity__v/V8C00000003R969", "EN-002093529")</f>
        <v>EN-002093529</v>
      </c>
    </row>
    <row r="7976" spans="1:15" ht="48" x14ac:dyDescent="0.2">
      <c r="A7976" s="7" t="str">
        <f>HYPERLINK("https://otsuka-europe-crm.veevavault.com/ui/#object/account__v/V4TZ00000633W2I", "STEPHANE NGAKOSSO")</f>
        <v>STEPHANE NGAKOSSO</v>
      </c>
      <c r="B7976" s="7" t="str">
        <f t="shared" si="648"/>
        <v>FR</v>
      </c>
      <c r="C7976" s="8" t="s">
        <v>42</v>
      </c>
      <c r="D7976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976" s="10" t="str">
        <f>HYPERLINK("https://otsuka-europe-crm.veevavault.com/ui/#object/sent_email__v/VBL00000002S631", "SE-001435190")</f>
        <v>SE-001435190</v>
      </c>
      <c r="F7976" s="11"/>
      <c r="G7976" s="12">
        <v>0</v>
      </c>
      <c r="H7976" s="12">
        <v>0</v>
      </c>
      <c r="I7976" s="12">
        <v>0</v>
      </c>
      <c r="J7976" s="11"/>
      <c r="K7976" s="12">
        <v>0</v>
      </c>
      <c r="L7976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976" s="10" t="str">
        <f t="shared" si="649"/>
        <v>ssaouab@crm.otsuka-europe.com</v>
      </c>
      <c r="N7976" s="13">
        <v>46182.792245370372</v>
      </c>
      <c r="O7976" s="14" t="str">
        <f>HYPERLINK("https://otsuka-europe-crm.veevavault.com/ui/#object/email_activity__v/V8C00000003R971", "EN-002093531")</f>
        <v>EN-002093531</v>
      </c>
    </row>
    <row r="7977" spans="1:15" ht="32" x14ac:dyDescent="0.2">
      <c r="A7977" s="7" t="str">
        <f>HYPERLINK("https://otsuka-europe-crm.veevavault.com/ui/#object/account__v/V4TZ00000633W2I", "STEPHANE NGAKOSSO")</f>
        <v>STEPHANE NGAKOSSO</v>
      </c>
      <c r="B7977" s="7" t="str">
        <f t="shared" si="648"/>
        <v>FR</v>
      </c>
      <c r="C7977" s="8" t="s">
        <v>42</v>
      </c>
      <c r="D7977" s="9" t="str">
        <f>HYPERLINK("https://otsuka-europe-crm.veevavault.com/ui/#object/approved_document__v/V5O00000000P003", "FR-AM2-2500027")</f>
        <v>FR-AM2-2500027</v>
      </c>
      <c r="E7977" s="10" t="str">
        <f>HYPERLINK("https://otsuka-europe-crm.veevavault.com/ui/#object/sent_email__v/VBL00000002S632", "SE-001435191")</f>
        <v>SE-001435191</v>
      </c>
      <c r="F7977" s="11"/>
      <c r="G7977" s="12">
        <v>0</v>
      </c>
      <c r="H7977" s="12">
        <v>0</v>
      </c>
      <c r="I7977" s="12">
        <v>0</v>
      </c>
      <c r="J7977" s="11"/>
      <c r="K7977" s="12">
        <v>0</v>
      </c>
      <c r="L7977" s="10" t="str">
        <f>HYPERLINK("https://otsuka-europe-crm.veevavault.com/ui/#object/approved_document__v/V5O00000000P003", "FR-AM2-2500027")</f>
        <v>FR-AM2-2500027</v>
      </c>
      <c r="M7977" s="10" t="str">
        <f t="shared" si="649"/>
        <v>ssaouab@crm.otsuka-europe.com</v>
      </c>
      <c r="N7977" s="13">
        <v>46182.792245370372</v>
      </c>
      <c r="O7977" s="14" t="str">
        <f>HYPERLINK("https://otsuka-europe-crm.veevavault.com/ui/#object/email_activity__v/V8C00000003R970", "EN-002093530")</f>
        <v>EN-002093530</v>
      </c>
    </row>
    <row r="7978" spans="1:15" ht="16" x14ac:dyDescent="0.2">
      <c r="A7978" s="17" t="str">
        <f>HYPERLINK("https://otsuka-europe-crm.veevavault.com/ui/#object/account__v/V4TZ00000633MG5", "DUC ANH NGO")</f>
        <v>DUC ANH NGO</v>
      </c>
      <c r="B7978" s="17" t="str">
        <f t="shared" si="648"/>
        <v>FR</v>
      </c>
      <c r="C7978" s="20" t="s">
        <v>42</v>
      </c>
      <c r="D7978" s="21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978" s="22" t="str">
        <f>HYPERLINK("https://otsuka-europe-crm.veevavault.com/ui/#object/sent_email__v/VBL00000002R531", "SE-001435192")</f>
        <v>SE-001435192</v>
      </c>
      <c r="F7978" s="25"/>
      <c r="G7978" s="24">
        <v>0</v>
      </c>
      <c r="H7978" s="24">
        <v>0</v>
      </c>
      <c r="I7978" s="24">
        <v>0</v>
      </c>
      <c r="J7978" s="25"/>
      <c r="K7978" s="24">
        <v>0</v>
      </c>
      <c r="L7978" s="22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978" s="22" t="str">
        <f t="shared" si="649"/>
        <v>ssaouab@crm.otsuka-europe.com</v>
      </c>
      <c r="N7978" s="23">
        <v>46182.792615740742</v>
      </c>
      <c r="O7978" s="14" t="str">
        <f>HYPERLINK("https://otsuka-europe-crm.veevavault.com/ui/#object/email_activity__v/V8C00000003S325", "EN-002093533")</f>
        <v>EN-002093533</v>
      </c>
    </row>
    <row r="7979" spans="1:15" ht="16" x14ac:dyDescent="0.2">
      <c r="A7979" s="19"/>
      <c r="B7979" s="19"/>
      <c r="C7979" s="19"/>
      <c r="D7979" s="19"/>
      <c r="E7979" s="19"/>
      <c r="F7979" s="19"/>
      <c r="G7979" s="19"/>
      <c r="H7979" s="19"/>
      <c r="I7979" s="19"/>
      <c r="J7979" s="19"/>
      <c r="K7979" s="19"/>
      <c r="L7979" s="19"/>
      <c r="M7979" s="19"/>
      <c r="N7979" s="19"/>
      <c r="O7979" s="14" t="str">
        <f>HYPERLINK("https://otsuka-europe-crm.veevavault.com/ui/#object/email_activity__v/V8C00000003T073", "EN-002093706")</f>
        <v>EN-002093706</v>
      </c>
    </row>
    <row r="7980" spans="1:15" ht="16" x14ac:dyDescent="0.2">
      <c r="A7980" s="17" t="str">
        <f>HYPERLINK("https://otsuka-europe-crm.veevavault.com/ui/#object/account__v/V4TZ00000633MG5", "DUC ANH NGO")</f>
        <v>DUC ANH NGO</v>
      </c>
      <c r="B7980" s="17" t="str">
        <f>HYPERLINK("https://otsuka-europe-crm.veevavault.com/ui/#object/vcountry__v/VENZ000004SONFA", "FR")</f>
        <v>FR</v>
      </c>
      <c r="C7980" s="20" t="s">
        <v>42</v>
      </c>
      <c r="D7980" s="21" t="str">
        <f>HYPERLINK("https://otsuka-europe-crm.veevavault.com/ui/#object/approved_document__v/V5O00000000P003", "FR-AM2-2500027")</f>
        <v>FR-AM2-2500027</v>
      </c>
      <c r="E7980" s="22" t="str">
        <f>HYPERLINK("https://otsuka-europe-crm.veevavault.com/ui/#object/sent_email__v/VBL00000002S633", "SE-001435193")</f>
        <v>SE-001435193</v>
      </c>
      <c r="F7980" s="25"/>
      <c r="G7980" s="24">
        <v>0</v>
      </c>
      <c r="H7980" s="24">
        <v>0</v>
      </c>
      <c r="I7980" s="24">
        <v>0</v>
      </c>
      <c r="J7980" s="25"/>
      <c r="K7980" s="24">
        <v>0</v>
      </c>
      <c r="L7980" s="22" t="str">
        <f>HYPERLINK("https://otsuka-europe-crm.veevavault.com/ui/#object/approved_document__v/V5O00000000P003", "FR-AM2-2500027")</f>
        <v>FR-AM2-2500027</v>
      </c>
      <c r="M7980" s="22" t="str">
        <f>HYPERLINK("mailto:ssaouab@crm.otsuka-europe.com", "ssaouab@crm.otsuka-europe.com")</f>
        <v>ssaouab@crm.otsuka-europe.com</v>
      </c>
      <c r="N7980" s="23">
        <v>46182.792604166665</v>
      </c>
      <c r="O7980" s="14" t="str">
        <f>HYPERLINK("https://otsuka-europe-crm.veevavault.com/ui/#object/email_activity__v/V8C00000003R972", "EN-002093532")</f>
        <v>EN-002093532</v>
      </c>
    </row>
    <row r="7981" spans="1:15" ht="16" x14ac:dyDescent="0.2">
      <c r="A7981" s="19"/>
      <c r="B7981" s="19"/>
      <c r="C7981" s="19"/>
      <c r="D7981" s="19"/>
      <c r="E7981" s="19"/>
      <c r="F7981" s="19"/>
      <c r="G7981" s="19"/>
      <c r="H7981" s="19"/>
      <c r="I7981" s="19"/>
      <c r="J7981" s="19"/>
      <c r="K7981" s="19"/>
      <c r="L7981" s="19"/>
      <c r="M7981" s="19"/>
      <c r="N7981" s="19"/>
      <c r="O7981" s="14" t="str">
        <f>HYPERLINK("https://otsuka-europe-crm.veevavault.com/ui/#object/email_activity__v/V8C00000003T074", "EN-002093707")</f>
        <v>EN-002093707</v>
      </c>
    </row>
    <row r="7982" spans="1:15" ht="16" x14ac:dyDescent="0.2">
      <c r="A7982" s="17" t="str">
        <f>HYPERLINK("https://otsuka-europe-crm.veevavault.com/ui/#object/account__v/V4TZ025E83KOKVP", "LIUBOVI OLARI")</f>
        <v>LIUBOVI OLARI</v>
      </c>
      <c r="B7982" s="17" t="str">
        <f>HYPERLINK("https://otsuka-europe-crm.veevavault.com/ui/#object/vcountry__v/VENZ000004SONFA", "FR")</f>
        <v>FR</v>
      </c>
      <c r="C7982" s="20" t="s">
        <v>42</v>
      </c>
      <c r="D7982" s="21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982" s="22" t="str">
        <f>HYPERLINK("https://otsuka-europe-crm.veevavault.com/ui/#object/sent_email__v/VBL00000002S634", "SE-001435194")</f>
        <v>SE-001435194</v>
      </c>
      <c r="F7982" s="23">
        <v>46184.386701388888</v>
      </c>
      <c r="G7982" s="24">
        <v>1</v>
      </c>
      <c r="H7982" s="24">
        <v>4</v>
      </c>
      <c r="I7982" s="24">
        <v>0</v>
      </c>
      <c r="J7982" s="25"/>
      <c r="K7982" s="24">
        <v>0</v>
      </c>
      <c r="L7982" s="22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982" s="22" t="str">
        <f>HYPERLINK("mailto:ssaouab@crm.otsuka-europe.com", "ssaouab@crm.otsuka-europe.com")</f>
        <v>ssaouab@crm.otsuka-europe.com</v>
      </c>
      <c r="N7982" s="23">
        <v>46182.793124999997</v>
      </c>
      <c r="O7982" s="14" t="str">
        <f>HYPERLINK("https://otsuka-europe-crm.veevavault.com/ui/#object/email_activity__v/V8C00000003R978", "EN-002093540")</f>
        <v>EN-002093540</v>
      </c>
    </row>
    <row r="7983" spans="1:15" ht="16" x14ac:dyDescent="0.2">
      <c r="A7983" s="18"/>
      <c r="B7983" s="18"/>
      <c r="C7983" s="18"/>
      <c r="D7983" s="18"/>
      <c r="E7983" s="18"/>
      <c r="F7983" s="18"/>
      <c r="G7983" s="18"/>
      <c r="H7983" s="18"/>
      <c r="I7983" s="18"/>
      <c r="J7983" s="18"/>
      <c r="K7983" s="18"/>
      <c r="L7983" s="18"/>
      <c r="M7983" s="18"/>
      <c r="N7983" s="18"/>
      <c r="O7983" s="14" t="str">
        <f>HYPERLINK("https://otsuka-europe-crm.veevavault.com/ui/#object/email_activity__v/V8C00000003S829", "EN-002094509")</f>
        <v>EN-002094509</v>
      </c>
    </row>
    <row r="7984" spans="1:15" ht="16" x14ac:dyDescent="0.2">
      <c r="A7984" s="18"/>
      <c r="B7984" s="18"/>
      <c r="C7984" s="18"/>
      <c r="D7984" s="18"/>
      <c r="E7984" s="18"/>
      <c r="F7984" s="18"/>
      <c r="G7984" s="18"/>
      <c r="H7984" s="18"/>
      <c r="I7984" s="18"/>
      <c r="J7984" s="18"/>
      <c r="K7984" s="18"/>
      <c r="L7984" s="18"/>
      <c r="M7984" s="18"/>
      <c r="N7984" s="18"/>
      <c r="O7984" s="14" t="str">
        <f>HYPERLINK("https://otsuka-europe-crm.veevavault.com/ui/#object/email_activity__v/V8C00000003S835", "EN-002094521")</f>
        <v>EN-002094521</v>
      </c>
    </row>
    <row r="7985" spans="1:15" ht="16" x14ac:dyDescent="0.2">
      <c r="A7985" s="18"/>
      <c r="B7985" s="18"/>
      <c r="C7985" s="18"/>
      <c r="D7985" s="18"/>
      <c r="E7985" s="18"/>
      <c r="F7985" s="18"/>
      <c r="G7985" s="18"/>
      <c r="H7985" s="18"/>
      <c r="I7985" s="18"/>
      <c r="J7985" s="18"/>
      <c r="K7985" s="18"/>
      <c r="L7985" s="18"/>
      <c r="M7985" s="18"/>
      <c r="N7985" s="18"/>
      <c r="O7985" s="14" t="str">
        <f>HYPERLINK("https://otsuka-europe-crm.veevavault.com/ui/#object/email_activity__v/V8C00000003T021", "EN-002093631")</f>
        <v>EN-002093631</v>
      </c>
    </row>
    <row r="7986" spans="1:15" ht="16" x14ac:dyDescent="0.2">
      <c r="A7986" s="19"/>
      <c r="B7986" s="19"/>
      <c r="C7986" s="19"/>
      <c r="D7986" s="19"/>
      <c r="E7986" s="19"/>
      <c r="F7986" s="19"/>
      <c r="G7986" s="19"/>
      <c r="H7986" s="19"/>
      <c r="I7986" s="19"/>
      <c r="J7986" s="19"/>
      <c r="K7986" s="19"/>
      <c r="L7986" s="19"/>
      <c r="M7986" s="19"/>
      <c r="N7986" s="19"/>
      <c r="O7986" s="14" t="str">
        <f>HYPERLINK("https://otsuka-europe-crm.veevavault.com/ui/#object/email_activity__v/V8C00000003T451", "EN-002094520")</f>
        <v>EN-002094520</v>
      </c>
    </row>
    <row r="7987" spans="1:15" ht="16" x14ac:dyDescent="0.2">
      <c r="A7987" s="17" t="str">
        <f>HYPERLINK("https://otsuka-europe-crm.veevavault.com/ui/#object/account__v/V4TZ025E83KOKVP", "LIUBOVI OLARI")</f>
        <v>LIUBOVI OLARI</v>
      </c>
      <c r="B7987" s="17" t="str">
        <f>HYPERLINK("https://otsuka-europe-crm.veevavault.com/ui/#object/vcountry__v/VENZ000004SONFA", "FR")</f>
        <v>FR</v>
      </c>
      <c r="C7987" s="20" t="s">
        <v>42</v>
      </c>
      <c r="D7987" s="21" t="str">
        <f>HYPERLINK("https://otsuka-europe-crm.veevavault.com/ui/#object/approved_document__v/V5O00000000P003", "FR-AM2-2500027")</f>
        <v>FR-AM2-2500027</v>
      </c>
      <c r="E7987" s="22" t="str">
        <f>HYPERLINK("https://otsuka-europe-crm.veevavault.com/ui/#object/sent_email__v/VBL00000002S635", "SE-001435195")</f>
        <v>SE-001435195</v>
      </c>
      <c r="F7987" s="23">
        <v>46182.811793981484</v>
      </c>
      <c r="G7987" s="24">
        <v>1</v>
      </c>
      <c r="H7987" s="24">
        <v>1</v>
      </c>
      <c r="I7987" s="24">
        <v>0</v>
      </c>
      <c r="J7987" s="25"/>
      <c r="K7987" s="24">
        <v>0</v>
      </c>
      <c r="L7987" s="22" t="str">
        <f>HYPERLINK("https://otsuka-europe-crm.veevavault.com/ui/#object/approved_document__v/V5O00000000P003", "FR-AM2-2500027")</f>
        <v>FR-AM2-2500027</v>
      </c>
      <c r="M7987" s="22" t="str">
        <f>HYPERLINK("mailto:ssaouab@crm.otsuka-europe.com", "ssaouab@crm.otsuka-europe.com")</f>
        <v>ssaouab@crm.otsuka-europe.com</v>
      </c>
      <c r="N7987" s="23">
        <v>46182.79314814815</v>
      </c>
      <c r="O7987" s="14" t="str">
        <f>HYPERLINK("https://otsuka-europe-crm.veevavault.com/ui/#object/email_activity__v/V8C00000003S326", "EN-002093539")</f>
        <v>EN-002093539</v>
      </c>
    </row>
    <row r="7988" spans="1:15" ht="16" x14ac:dyDescent="0.2">
      <c r="A7988" s="19"/>
      <c r="B7988" s="19"/>
      <c r="C7988" s="19"/>
      <c r="D7988" s="19"/>
      <c r="E7988" s="19"/>
      <c r="F7988" s="19"/>
      <c r="G7988" s="19"/>
      <c r="H7988" s="19"/>
      <c r="I7988" s="19"/>
      <c r="J7988" s="19"/>
      <c r="K7988" s="19"/>
      <c r="L7988" s="19"/>
      <c r="M7988" s="19"/>
      <c r="N7988" s="19"/>
      <c r="O7988" s="14" t="str">
        <f>HYPERLINK("https://otsuka-europe-crm.veevavault.com/ui/#object/email_activity__v/V8C00000003T020", "EN-002093630")</f>
        <v>EN-002093630</v>
      </c>
    </row>
    <row r="7989" spans="1:15" ht="48" x14ac:dyDescent="0.2">
      <c r="A7989" s="7" t="str">
        <f>HYPERLINK("https://otsuka-europe-crm.veevavault.com/ui/#object/account__v/V4TZ00000633IZZ", "SAMIR OUACENE")</f>
        <v>SAMIR OUACENE</v>
      </c>
      <c r="B7989" s="7" t="str">
        <f>HYPERLINK("https://otsuka-europe-crm.veevavault.com/ui/#object/vcountry__v/VENZ000004SONFA", "FR")</f>
        <v>FR</v>
      </c>
      <c r="C7989" s="8" t="s">
        <v>42</v>
      </c>
      <c r="D7989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989" s="10" t="str">
        <f>HYPERLINK("https://otsuka-europe-crm.veevavault.com/ui/#object/sent_email__v/VBL00000002R532", "SE-001435196")</f>
        <v>SE-001435196</v>
      </c>
      <c r="F7989" s="11"/>
      <c r="G7989" s="12">
        <v>0</v>
      </c>
      <c r="H7989" s="12">
        <v>0</v>
      </c>
      <c r="I7989" s="12">
        <v>0</v>
      </c>
      <c r="J7989" s="11"/>
      <c r="K7989" s="12">
        <v>0</v>
      </c>
      <c r="L7989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989" s="10" t="str">
        <f>HYPERLINK("mailto:ssaouab@crm.otsuka-europe.com", "ssaouab@crm.otsuka-europe.com")</f>
        <v>ssaouab@crm.otsuka-europe.com</v>
      </c>
      <c r="N7989" s="13">
        <v>46182.793483796297</v>
      </c>
      <c r="O7989" s="14" t="str">
        <f>HYPERLINK("https://otsuka-europe-crm.veevavault.com/ui/#object/email_activity__v/V8C00000003S327", "EN-002093541")</f>
        <v>EN-002093541</v>
      </c>
    </row>
    <row r="7990" spans="1:15" ht="16" x14ac:dyDescent="0.2">
      <c r="A7990" s="17" t="str">
        <f>HYPERLINK("https://otsuka-europe-crm.veevavault.com/ui/#object/account__v/V4TZ00000633IZZ", "SAMIR OUACENE")</f>
        <v>SAMIR OUACENE</v>
      </c>
      <c r="B7990" s="17" t="str">
        <f>HYPERLINK("https://otsuka-europe-crm.veevavault.com/ui/#object/vcountry__v/VENZ000004SONFA", "FR")</f>
        <v>FR</v>
      </c>
      <c r="C7990" s="20" t="s">
        <v>42</v>
      </c>
      <c r="D7990" s="21" t="str">
        <f>HYPERLINK("https://otsuka-europe-crm.veevavault.com/ui/#object/approved_document__v/V5O00000000P003", "FR-AM2-2500027")</f>
        <v>FR-AM2-2500027</v>
      </c>
      <c r="E7990" s="22" t="str">
        <f>HYPERLINK("https://otsuka-europe-crm.veevavault.com/ui/#object/sent_email__v/VBL00000002S636", "SE-001435197")</f>
        <v>SE-001435197</v>
      </c>
      <c r="F7990" s="23">
        <v>46182.815335648149</v>
      </c>
      <c r="G7990" s="24">
        <v>1</v>
      </c>
      <c r="H7990" s="24">
        <v>1</v>
      </c>
      <c r="I7990" s="24">
        <v>0</v>
      </c>
      <c r="J7990" s="25"/>
      <c r="K7990" s="24">
        <v>0</v>
      </c>
      <c r="L7990" s="22" t="str">
        <f>HYPERLINK("https://otsuka-europe-crm.veevavault.com/ui/#object/approved_document__v/V5O00000000P003", "FR-AM2-2500027")</f>
        <v>FR-AM2-2500027</v>
      </c>
      <c r="M7990" s="22" t="str">
        <f>HYPERLINK("mailto:ssaouab@crm.otsuka-europe.com", "ssaouab@crm.otsuka-europe.com")</f>
        <v>ssaouab@crm.otsuka-europe.com</v>
      </c>
      <c r="N7990" s="23">
        <v>46182.793530092589</v>
      </c>
      <c r="O7990" s="14" t="str">
        <f>HYPERLINK("https://otsuka-europe-crm.veevavault.com/ui/#object/email_activity__v/V8C00000003R980", "EN-002093543")</f>
        <v>EN-002093543</v>
      </c>
    </row>
    <row r="7991" spans="1:15" ht="16" x14ac:dyDescent="0.2">
      <c r="A7991" s="19"/>
      <c r="B7991" s="19"/>
      <c r="C7991" s="19"/>
      <c r="D7991" s="19"/>
      <c r="E7991" s="19"/>
      <c r="F7991" s="19"/>
      <c r="G7991" s="19"/>
      <c r="H7991" s="19"/>
      <c r="I7991" s="19"/>
      <c r="J7991" s="19"/>
      <c r="K7991" s="19"/>
      <c r="L7991" s="19"/>
      <c r="M7991" s="19"/>
      <c r="N7991" s="19"/>
      <c r="O7991" s="14" t="str">
        <f>HYPERLINK("https://otsuka-europe-crm.veevavault.com/ui/#object/email_activity__v/V8C00000003T025", "EN-002093636")</f>
        <v>EN-002093636</v>
      </c>
    </row>
    <row r="7992" spans="1:15" ht="16" x14ac:dyDescent="0.2">
      <c r="A7992" s="17" t="str">
        <f>HYPERLINK("https://otsuka-europe-crm.veevavault.com/ui/#object/account__v/V4TZ000006345K2", "KARIM OUAHES")</f>
        <v>KARIM OUAHES</v>
      </c>
      <c r="B7992" s="17" t="str">
        <f>HYPERLINK("https://otsuka-europe-crm.veevavault.com/ui/#object/vcountry__v/VENZ000004SONFA", "FR")</f>
        <v>FR</v>
      </c>
      <c r="C7992" s="20" t="s">
        <v>42</v>
      </c>
      <c r="D7992" s="21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992" s="22" t="str">
        <f>HYPERLINK("https://otsuka-europe-crm.veevavault.com/ui/#object/sent_email__v/VBL00000002R533", "SE-001435198")</f>
        <v>SE-001435198</v>
      </c>
      <c r="F7992" s="23">
        <v>46183.869409722225</v>
      </c>
      <c r="G7992" s="24">
        <v>1</v>
      </c>
      <c r="H7992" s="24">
        <v>1</v>
      </c>
      <c r="I7992" s="24">
        <v>0</v>
      </c>
      <c r="J7992" s="25"/>
      <c r="K7992" s="24">
        <v>0</v>
      </c>
      <c r="L7992" s="22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992" s="22" t="str">
        <f>HYPERLINK("mailto:ssaouab@crm.otsuka-europe.com", "ssaouab@crm.otsuka-europe.com")</f>
        <v>ssaouab@crm.otsuka-europe.com</v>
      </c>
      <c r="N7992" s="23">
        <v>46182.793842592589</v>
      </c>
      <c r="O7992" s="14" t="str">
        <f>HYPERLINK("https://otsuka-europe-crm.veevavault.com/ui/#object/email_activity__v/V8C00000003R984", "EN-002093547")</f>
        <v>EN-002093547</v>
      </c>
    </row>
    <row r="7993" spans="1:15" ht="16" x14ac:dyDescent="0.2">
      <c r="A7993" s="19"/>
      <c r="B7993" s="19"/>
      <c r="C7993" s="19"/>
      <c r="D7993" s="19"/>
      <c r="E7993" s="19"/>
      <c r="F7993" s="19"/>
      <c r="G7993" s="19"/>
      <c r="H7993" s="19"/>
      <c r="I7993" s="19"/>
      <c r="J7993" s="19"/>
      <c r="K7993" s="19"/>
      <c r="L7993" s="19"/>
      <c r="M7993" s="19"/>
      <c r="N7993" s="19"/>
      <c r="O7993" s="14" t="str">
        <f>HYPERLINK("https://otsuka-europe-crm.veevavault.com/ui/#object/email_activity__v/V8C00000003S786", "EN-002094423")</f>
        <v>EN-002094423</v>
      </c>
    </row>
    <row r="7994" spans="1:15" ht="16" x14ac:dyDescent="0.2">
      <c r="A7994" s="17" t="str">
        <f>HYPERLINK("https://otsuka-europe-crm.veevavault.com/ui/#object/account__v/V4TZ000006345K2", "KARIM OUAHES")</f>
        <v>KARIM OUAHES</v>
      </c>
      <c r="B7994" s="17" t="str">
        <f>HYPERLINK("https://otsuka-europe-crm.veevavault.com/ui/#object/vcountry__v/VENZ000004SONFA", "FR")</f>
        <v>FR</v>
      </c>
      <c r="C7994" s="20" t="s">
        <v>42</v>
      </c>
      <c r="D7994" s="21" t="str">
        <f>HYPERLINK("https://otsuka-europe-crm.veevavault.com/ui/#object/approved_document__v/V5O00000000P003", "FR-AM2-2500027")</f>
        <v>FR-AM2-2500027</v>
      </c>
      <c r="E7994" s="22" t="str">
        <f>HYPERLINK("https://otsuka-europe-crm.veevavault.com/ui/#object/sent_email__v/VBL00000002R534", "SE-001435199")</f>
        <v>SE-001435199</v>
      </c>
      <c r="F7994" s="23">
        <v>46182.942071759258</v>
      </c>
      <c r="G7994" s="24">
        <v>1</v>
      </c>
      <c r="H7994" s="24">
        <v>1</v>
      </c>
      <c r="I7994" s="24">
        <v>0</v>
      </c>
      <c r="J7994" s="25"/>
      <c r="K7994" s="24">
        <v>0</v>
      </c>
      <c r="L7994" s="22" t="str">
        <f>HYPERLINK("https://otsuka-europe-crm.veevavault.com/ui/#object/approved_document__v/V5O00000000P003", "FR-AM2-2500027")</f>
        <v>FR-AM2-2500027</v>
      </c>
      <c r="M7994" s="22" t="str">
        <f>HYPERLINK("mailto:ssaouab@crm.otsuka-europe.com", "ssaouab@crm.otsuka-europe.com")</f>
        <v>ssaouab@crm.otsuka-europe.com</v>
      </c>
      <c r="N7994" s="23">
        <v>46182.793854166666</v>
      </c>
      <c r="O7994" s="14" t="str">
        <f>HYPERLINK("https://otsuka-europe-crm.veevavault.com/ui/#object/email_activity__v/V8C00000003R982", "EN-002093545")</f>
        <v>EN-002093545</v>
      </c>
    </row>
    <row r="7995" spans="1:15" ht="16" x14ac:dyDescent="0.2">
      <c r="A7995" s="19"/>
      <c r="B7995" s="19"/>
      <c r="C7995" s="19"/>
      <c r="D7995" s="19"/>
      <c r="E7995" s="19"/>
      <c r="F7995" s="19"/>
      <c r="G7995" s="19"/>
      <c r="H7995" s="19"/>
      <c r="I7995" s="19"/>
      <c r="J7995" s="19"/>
      <c r="K7995" s="19"/>
      <c r="L7995" s="19"/>
      <c r="M7995" s="19"/>
      <c r="N7995" s="19"/>
      <c r="O7995" s="14" t="str">
        <f>HYPERLINK("https://otsuka-europe-crm.veevavault.com/ui/#object/email_activity__v/V8C00000003S428", "EN-002093763")</f>
        <v>EN-002093763</v>
      </c>
    </row>
    <row r="7996" spans="1:15" ht="16" x14ac:dyDescent="0.2">
      <c r="A7996" s="17" t="str">
        <f>HYPERLINK("https://otsuka-europe-crm.veevavault.com/ui/#object/account__v/V4TZ06G6OC6L41T", "IMANE OUARET")</f>
        <v>IMANE OUARET</v>
      </c>
      <c r="B7996" s="17" t="str">
        <f>HYPERLINK("https://otsuka-europe-crm.veevavault.com/ui/#object/vcountry__v/VENZ000004SONFA", "FR")</f>
        <v>FR</v>
      </c>
      <c r="C7996" s="20" t="s">
        <v>42</v>
      </c>
      <c r="D7996" s="21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996" s="22" t="str">
        <f>HYPERLINK("https://otsuka-europe-crm.veevavault.com/ui/#object/sent_email__v/VBL00000002R535", "SE-001435200")</f>
        <v>SE-001435200</v>
      </c>
      <c r="F7996" s="23">
        <v>46182.822881944441</v>
      </c>
      <c r="G7996" s="24">
        <v>1</v>
      </c>
      <c r="H7996" s="24">
        <v>1</v>
      </c>
      <c r="I7996" s="24">
        <v>0</v>
      </c>
      <c r="J7996" s="25"/>
      <c r="K7996" s="24">
        <v>0</v>
      </c>
      <c r="L7996" s="22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996" s="22" t="str">
        <f>HYPERLINK("mailto:ssaouab@crm.otsuka-europe.com", "ssaouab@crm.otsuka-europe.com")</f>
        <v>ssaouab@crm.otsuka-europe.com</v>
      </c>
      <c r="N7996" s="23">
        <v>46182.794502314813</v>
      </c>
      <c r="O7996" s="14" t="str">
        <f>HYPERLINK("https://otsuka-europe-crm.veevavault.com/ui/#object/email_activity__v/V8C00000003R989", "EN-002093552")</f>
        <v>EN-002093552</v>
      </c>
    </row>
    <row r="7997" spans="1:15" ht="16" x14ac:dyDescent="0.2">
      <c r="A7997" s="19"/>
      <c r="B7997" s="19"/>
      <c r="C7997" s="19"/>
      <c r="D7997" s="19"/>
      <c r="E7997" s="19"/>
      <c r="F7997" s="19"/>
      <c r="G7997" s="19"/>
      <c r="H7997" s="19"/>
      <c r="I7997" s="19"/>
      <c r="J7997" s="19"/>
      <c r="K7997" s="19"/>
      <c r="L7997" s="19"/>
      <c r="M7997" s="19"/>
      <c r="N7997" s="19"/>
      <c r="O7997" s="14" t="str">
        <f>HYPERLINK("https://otsuka-europe-crm.veevavault.com/ui/#object/email_activity__v/V8C00000003T035", "EN-002093651")</f>
        <v>EN-002093651</v>
      </c>
    </row>
    <row r="7998" spans="1:15" ht="16" x14ac:dyDescent="0.2">
      <c r="A7998" s="17" t="str">
        <f>HYPERLINK("https://otsuka-europe-crm.veevavault.com/ui/#object/account__v/V4TZ06G6OC6L41T", "IMANE OUARET")</f>
        <v>IMANE OUARET</v>
      </c>
      <c r="B7998" s="17" t="str">
        <f>HYPERLINK("https://otsuka-europe-crm.veevavault.com/ui/#object/vcountry__v/VENZ000004SONFA", "FR")</f>
        <v>FR</v>
      </c>
      <c r="C7998" s="20" t="s">
        <v>42</v>
      </c>
      <c r="D7998" s="21" t="str">
        <f>HYPERLINK("https://otsuka-europe-crm.veevavault.com/ui/#object/approved_document__v/V5O00000000P003", "FR-AM2-2500027")</f>
        <v>FR-AM2-2500027</v>
      </c>
      <c r="E7998" s="22" t="str">
        <f>HYPERLINK("https://otsuka-europe-crm.veevavault.com/ui/#object/sent_email__v/VBL00000002R536", "SE-001435201")</f>
        <v>SE-001435201</v>
      </c>
      <c r="F7998" s="23">
        <v>46182.823194444441</v>
      </c>
      <c r="G7998" s="24">
        <v>1</v>
      </c>
      <c r="H7998" s="24">
        <v>1</v>
      </c>
      <c r="I7998" s="24">
        <v>0</v>
      </c>
      <c r="J7998" s="25"/>
      <c r="K7998" s="24">
        <v>0</v>
      </c>
      <c r="L7998" s="22" t="str">
        <f>HYPERLINK("https://otsuka-europe-crm.veevavault.com/ui/#object/approved_document__v/V5O00000000P003", "FR-AM2-2500027")</f>
        <v>FR-AM2-2500027</v>
      </c>
      <c r="M7998" s="22" t="str">
        <f>HYPERLINK("mailto:ssaouab@crm.otsuka-europe.com", "ssaouab@crm.otsuka-europe.com")</f>
        <v>ssaouab@crm.otsuka-europe.com</v>
      </c>
      <c r="N7998" s="23">
        <v>46182.794537037036</v>
      </c>
      <c r="O7998" s="14" t="str">
        <f>HYPERLINK("https://otsuka-europe-crm.veevavault.com/ui/#object/email_activity__v/V8C00000003R990", "EN-002093553")</f>
        <v>EN-002093553</v>
      </c>
    </row>
    <row r="7999" spans="1:15" ht="16" x14ac:dyDescent="0.2">
      <c r="A7999" s="19"/>
      <c r="B7999" s="19"/>
      <c r="C7999" s="19"/>
      <c r="D7999" s="19"/>
      <c r="E7999" s="19"/>
      <c r="F7999" s="19"/>
      <c r="G7999" s="19"/>
      <c r="H7999" s="19"/>
      <c r="I7999" s="19"/>
      <c r="J7999" s="19"/>
      <c r="K7999" s="19"/>
      <c r="L7999" s="19"/>
      <c r="M7999" s="19"/>
      <c r="N7999" s="19"/>
      <c r="O7999" s="14" t="str">
        <f>HYPERLINK("https://otsuka-europe-crm.veevavault.com/ui/#object/email_activity__v/V8C00000003T040", "EN-002093656")</f>
        <v>EN-002093656</v>
      </c>
    </row>
    <row r="8000" spans="1:15" ht="48" x14ac:dyDescent="0.2">
      <c r="A8000" s="7" t="str">
        <f>HYPERLINK("https://otsuka-europe-crm.veevavault.com/ui/#object/account__v/V4TZ06G6OBU9SO5", "MONIA OUCHIA")</f>
        <v>MONIA OUCHIA</v>
      </c>
      <c r="B8000" s="7" t="str">
        <f t="shared" ref="B8000:B8006" si="650">HYPERLINK("https://otsuka-europe-crm.veevavault.com/ui/#object/vcountry__v/VENZ000004SONFA", "FR")</f>
        <v>FR</v>
      </c>
      <c r="C8000" s="8" t="s">
        <v>42</v>
      </c>
      <c r="D8000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8000" s="10" t="str">
        <f>HYPERLINK("https://otsuka-europe-crm.veevavault.com/ui/#object/sent_email__v/VBL00000002R537", "SE-001435202")</f>
        <v>SE-001435202</v>
      </c>
      <c r="F8000" s="11"/>
      <c r="G8000" s="12">
        <v>0</v>
      </c>
      <c r="H8000" s="12">
        <v>0</v>
      </c>
      <c r="I8000" s="12">
        <v>0</v>
      </c>
      <c r="J8000" s="11"/>
      <c r="K8000" s="12">
        <v>0</v>
      </c>
      <c r="L8000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8000" s="10" t="str">
        <f t="shared" ref="M8000:M8006" si="651">HYPERLINK("mailto:ssaouab@crm.otsuka-europe.com", "ssaouab@crm.otsuka-europe.com")</f>
        <v>ssaouab@crm.otsuka-europe.com</v>
      </c>
      <c r="N8000" s="13">
        <v>46182.794849537036</v>
      </c>
      <c r="O8000" s="14" t="str">
        <f>HYPERLINK("https://otsuka-europe-crm.veevavault.com/ui/#object/email_activity__v/V8C00000003S328", "EN-002093556")</f>
        <v>EN-002093556</v>
      </c>
    </row>
    <row r="8001" spans="1:15" ht="32" x14ac:dyDescent="0.2">
      <c r="A8001" s="7" t="str">
        <f>HYPERLINK("https://otsuka-europe-crm.veevavault.com/ui/#object/account__v/V4TZ06G6OBU9SO5", "MONIA OUCHIA")</f>
        <v>MONIA OUCHIA</v>
      </c>
      <c r="B8001" s="7" t="str">
        <f t="shared" si="650"/>
        <v>FR</v>
      </c>
      <c r="C8001" s="8" t="s">
        <v>42</v>
      </c>
      <c r="D8001" s="9" t="str">
        <f>HYPERLINK("https://otsuka-europe-crm.veevavault.com/ui/#object/approved_document__v/V5O00000000P003", "FR-AM2-2500027")</f>
        <v>FR-AM2-2500027</v>
      </c>
      <c r="E8001" s="10" t="str">
        <f>HYPERLINK("https://otsuka-europe-crm.veevavault.com/ui/#object/sent_email__v/VBL00000002R538", "SE-001435203")</f>
        <v>SE-001435203</v>
      </c>
      <c r="F8001" s="11"/>
      <c r="G8001" s="12">
        <v>0</v>
      </c>
      <c r="H8001" s="12">
        <v>0</v>
      </c>
      <c r="I8001" s="12">
        <v>0</v>
      </c>
      <c r="J8001" s="11"/>
      <c r="K8001" s="12">
        <v>0</v>
      </c>
      <c r="L8001" s="10" t="str">
        <f>HYPERLINK("https://otsuka-europe-crm.veevavault.com/ui/#object/approved_document__v/V5O00000000P003", "FR-AM2-2500027")</f>
        <v>FR-AM2-2500027</v>
      </c>
      <c r="M8001" s="10" t="str">
        <f t="shared" si="651"/>
        <v>ssaouab@crm.otsuka-europe.com</v>
      </c>
      <c r="N8001" s="13">
        <v>46182.795902777776</v>
      </c>
      <c r="O8001" s="14" t="str">
        <f>HYPERLINK("https://otsuka-europe-crm.veevavault.com/ui/#object/email_activity__v/V8C00000003R993", "EN-002093557")</f>
        <v>EN-002093557</v>
      </c>
    </row>
    <row r="8002" spans="1:15" ht="48" x14ac:dyDescent="0.2">
      <c r="A8002" s="7" t="str">
        <f>HYPERLINK("https://otsuka-europe-crm.veevavault.com/ui/#object/account__v/V4TZ04ASG9ZCROP", "FOUZIA OUNOUH")</f>
        <v>FOUZIA OUNOUH</v>
      </c>
      <c r="B8002" s="7" t="str">
        <f t="shared" si="650"/>
        <v>FR</v>
      </c>
      <c r="C8002" s="8" t="s">
        <v>42</v>
      </c>
      <c r="D8002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8002" s="10" t="str">
        <f>HYPERLINK("https://otsuka-europe-crm.veevavault.com/ui/#object/sent_email__v/VBL00000002S637", "SE-001435204")</f>
        <v>SE-001435204</v>
      </c>
      <c r="F8002" s="11"/>
      <c r="G8002" s="12">
        <v>0</v>
      </c>
      <c r="H8002" s="12">
        <v>0</v>
      </c>
      <c r="I8002" s="12">
        <v>0</v>
      </c>
      <c r="J8002" s="11"/>
      <c r="K8002" s="12">
        <v>0</v>
      </c>
      <c r="L8002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8002" s="10" t="str">
        <f t="shared" si="651"/>
        <v>ssaouab@crm.otsuka-europe.com</v>
      </c>
      <c r="N8002" s="13">
        <v>46182.796249999999</v>
      </c>
      <c r="O8002" s="14" t="str">
        <f>HYPERLINK("https://otsuka-europe-crm.veevavault.com/ui/#object/email_activity__v/V8C00000003S329", "EN-002093558")</f>
        <v>EN-002093558</v>
      </c>
    </row>
    <row r="8003" spans="1:15" ht="32" x14ac:dyDescent="0.2">
      <c r="A8003" s="7" t="str">
        <f>HYPERLINK("https://otsuka-europe-crm.veevavault.com/ui/#object/account__v/V4TZ04ASG9ZCROP", "FOUZIA OUNOUH")</f>
        <v>FOUZIA OUNOUH</v>
      </c>
      <c r="B8003" s="7" t="str">
        <f t="shared" si="650"/>
        <v>FR</v>
      </c>
      <c r="C8003" s="8" t="s">
        <v>42</v>
      </c>
      <c r="D8003" s="9" t="str">
        <f>HYPERLINK("https://otsuka-europe-crm.veevavault.com/ui/#object/approved_document__v/V5O00000000P003", "FR-AM2-2500027")</f>
        <v>FR-AM2-2500027</v>
      </c>
      <c r="E8003" s="10" t="str">
        <f>HYPERLINK("https://otsuka-europe-crm.veevavault.com/ui/#object/sent_email__v/VBL00000002R539", "SE-001435205")</f>
        <v>SE-001435205</v>
      </c>
      <c r="F8003" s="11"/>
      <c r="G8003" s="12">
        <v>0</v>
      </c>
      <c r="H8003" s="12">
        <v>0</v>
      </c>
      <c r="I8003" s="12">
        <v>0</v>
      </c>
      <c r="J8003" s="11"/>
      <c r="K8003" s="12">
        <v>0</v>
      </c>
      <c r="L8003" s="10" t="str">
        <f>HYPERLINK("https://otsuka-europe-crm.veevavault.com/ui/#object/approved_document__v/V5O00000000P003", "FR-AM2-2500027")</f>
        <v>FR-AM2-2500027</v>
      </c>
      <c r="M8003" s="10" t="str">
        <f t="shared" si="651"/>
        <v>ssaouab@crm.otsuka-europe.com</v>
      </c>
      <c r="N8003" s="13">
        <v>46182.796261574076</v>
      </c>
      <c r="O8003" s="14" t="str">
        <f>HYPERLINK("https://otsuka-europe-crm.veevavault.com/ui/#object/email_activity__v/V8C00000003S330", "EN-002093559")</f>
        <v>EN-002093559</v>
      </c>
    </row>
    <row r="8004" spans="1:15" ht="48" x14ac:dyDescent="0.2">
      <c r="A8004" s="7" t="str">
        <f>HYPERLINK("https://otsuka-europe-crm.veevavault.com/ui/#object/account__v/V4TZ00000633NBK", "CELINA PANANGA LAMBERT")</f>
        <v>CELINA PANANGA LAMBERT</v>
      </c>
      <c r="B8004" s="7" t="str">
        <f t="shared" si="650"/>
        <v>FR</v>
      </c>
      <c r="C8004" s="8" t="s">
        <v>42</v>
      </c>
      <c r="D8004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8004" s="10" t="str">
        <f>HYPERLINK("https://otsuka-europe-crm.veevavault.com/ui/#object/sent_email__v/VBL00000002R540", "SE-001435206")</f>
        <v>SE-001435206</v>
      </c>
      <c r="F8004" s="11"/>
      <c r="G8004" s="12">
        <v>0</v>
      </c>
      <c r="H8004" s="12">
        <v>0</v>
      </c>
      <c r="I8004" s="12">
        <v>0</v>
      </c>
      <c r="J8004" s="11"/>
      <c r="K8004" s="12">
        <v>0</v>
      </c>
      <c r="L8004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8004" s="10" t="str">
        <f t="shared" si="651"/>
        <v>ssaouab@crm.otsuka-europe.com</v>
      </c>
      <c r="N8004" s="13">
        <v>46182.796597222223</v>
      </c>
      <c r="O8004" s="14" t="str">
        <f>HYPERLINK("https://otsuka-europe-crm.veevavault.com/ui/#object/email_activity__v/V8C00000003R994", "EN-002093561")</f>
        <v>EN-002093561</v>
      </c>
    </row>
    <row r="8005" spans="1:15" ht="32" x14ac:dyDescent="0.2">
      <c r="A8005" s="7" t="str">
        <f>HYPERLINK("https://otsuka-europe-crm.veevavault.com/ui/#object/account__v/V4TZ00000633NBK", "CELINA PANANGA LAMBERT")</f>
        <v>CELINA PANANGA LAMBERT</v>
      </c>
      <c r="B8005" s="7" t="str">
        <f t="shared" si="650"/>
        <v>FR</v>
      </c>
      <c r="C8005" s="8" t="s">
        <v>42</v>
      </c>
      <c r="D8005" s="9" t="str">
        <f>HYPERLINK("https://otsuka-europe-crm.veevavault.com/ui/#object/approved_document__v/V5O00000000P003", "FR-AM2-2500027")</f>
        <v>FR-AM2-2500027</v>
      </c>
      <c r="E8005" s="10" t="str">
        <f>HYPERLINK("https://otsuka-europe-crm.veevavault.com/ui/#object/sent_email__v/VBL00000002S638", "SE-001435207")</f>
        <v>SE-001435207</v>
      </c>
      <c r="F8005" s="11"/>
      <c r="G8005" s="12">
        <v>0</v>
      </c>
      <c r="H8005" s="12">
        <v>0</v>
      </c>
      <c r="I8005" s="12">
        <v>0</v>
      </c>
      <c r="J8005" s="11"/>
      <c r="K8005" s="12">
        <v>0</v>
      </c>
      <c r="L8005" s="10" t="str">
        <f>HYPERLINK("https://otsuka-europe-crm.veevavault.com/ui/#object/approved_document__v/V5O00000000P003", "FR-AM2-2500027")</f>
        <v>FR-AM2-2500027</v>
      </c>
      <c r="M8005" s="10" t="str">
        <f t="shared" si="651"/>
        <v>ssaouab@crm.otsuka-europe.com</v>
      </c>
      <c r="N8005" s="13">
        <v>46182.796712962961</v>
      </c>
      <c r="O8005" s="14" t="str">
        <f>HYPERLINK("https://otsuka-europe-crm.veevavault.com/ui/#object/email_activity__v/V8C00000003R995", "EN-002093562")</f>
        <v>EN-002093562</v>
      </c>
    </row>
    <row r="8006" spans="1:15" ht="16" x14ac:dyDescent="0.2">
      <c r="A8006" s="17" t="str">
        <f>HYPERLINK("https://otsuka-europe-crm.veevavault.com/ui/#object/account__v/V4TZ00000633WPK", "NICOLAS PASTOUR")</f>
        <v>NICOLAS PASTOUR</v>
      </c>
      <c r="B8006" s="17" t="str">
        <f t="shared" si="650"/>
        <v>FR</v>
      </c>
      <c r="C8006" s="20" t="s">
        <v>42</v>
      </c>
      <c r="D8006" s="21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8006" s="22" t="str">
        <f>HYPERLINK("https://otsuka-europe-crm.veevavault.com/ui/#object/sent_email__v/VBL00000002S639", "SE-001435208")</f>
        <v>SE-001435208</v>
      </c>
      <c r="F8006" s="25"/>
      <c r="G8006" s="24">
        <v>0</v>
      </c>
      <c r="H8006" s="24">
        <v>0</v>
      </c>
      <c r="I8006" s="24">
        <v>0</v>
      </c>
      <c r="J8006" s="25"/>
      <c r="K8006" s="24">
        <v>0</v>
      </c>
      <c r="L8006" s="22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8006" s="22" t="str">
        <f t="shared" si="651"/>
        <v>ssaouab@crm.otsuka-europe.com</v>
      </c>
      <c r="N8006" s="23">
        <v>46182.797488425924</v>
      </c>
      <c r="O8006" s="14" t="str">
        <f>HYPERLINK("https://otsuka-europe-crm.veevavault.com/ui/#object/email_activity__v/V8C00000003S380", "EN-002093649")</f>
        <v>EN-002093649</v>
      </c>
    </row>
    <row r="8007" spans="1:15" ht="16" x14ac:dyDescent="0.2">
      <c r="A8007" s="19"/>
      <c r="B8007" s="19"/>
      <c r="C8007" s="19"/>
      <c r="D8007" s="19"/>
      <c r="E8007" s="19"/>
      <c r="F8007" s="19"/>
      <c r="G8007" s="19"/>
      <c r="H8007" s="19"/>
      <c r="I8007" s="19"/>
      <c r="J8007" s="19"/>
      <c r="K8007" s="19"/>
      <c r="L8007" s="19"/>
      <c r="M8007" s="19"/>
      <c r="N8007" s="19"/>
      <c r="O8007" s="14" t="str">
        <f>HYPERLINK("https://otsuka-europe-crm.veevavault.com/ui/#object/email_activity__v/V8C00000003S447", "EN-002093804")</f>
        <v>EN-002093804</v>
      </c>
    </row>
    <row r="8008" spans="1:15" ht="16" x14ac:dyDescent="0.2">
      <c r="A8008" s="17" t="str">
        <f>HYPERLINK("https://otsuka-europe-crm.veevavault.com/ui/#object/account__v/V4TZ00000633WAO", "FABRICE PECOT")</f>
        <v>FABRICE PECOT</v>
      </c>
      <c r="B8008" s="17" t="str">
        <f>HYPERLINK("https://otsuka-europe-crm.veevavault.com/ui/#object/vcountry__v/VENZ000004SONFA", "FR")</f>
        <v>FR</v>
      </c>
      <c r="C8008" s="20" t="s">
        <v>42</v>
      </c>
      <c r="D8008" s="21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8008" s="22" t="str">
        <f>HYPERLINK("https://otsuka-europe-crm.veevavault.com/ui/#object/sent_email__v/VBL00000002S640", "SE-001435209")</f>
        <v>SE-001435209</v>
      </c>
      <c r="F8008" s="23">
        <v>46184.498796296299</v>
      </c>
      <c r="G8008" s="24">
        <v>1</v>
      </c>
      <c r="H8008" s="24">
        <v>3</v>
      </c>
      <c r="I8008" s="24">
        <v>0</v>
      </c>
      <c r="J8008" s="25"/>
      <c r="K8008" s="24">
        <v>0</v>
      </c>
      <c r="L8008" s="22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8008" s="22" t="str">
        <f>HYPERLINK("mailto:ssaouab@crm.otsuka-europe.com", "ssaouab@crm.otsuka-europe.com")</f>
        <v>ssaouab@crm.otsuka-europe.com</v>
      </c>
      <c r="N8008" s="23">
        <v>46182.79760416667</v>
      </c>
      <c r="O8008" s="14" t="str">
        <f>HYPERLINK("https://otsuka-europe-crm.veevavault.com/ui/#object/email_activity__v/V8C00000003S332", "EN-002093563")</f>
        <v>EN-002093563</v>
      </c>
    </row>
    <row r="8009" spans="1:15" ht="16" x14ac:dyDescent="0.2">
      <c r="A8009" s="18"/>
      <c r="B8009" s="18"/>
      <c r="C8009" s="18"/>
      <c r="D8009" s="18"/>
      <c r="E8009" s="18"/>
      <c r="F8009" s="18"/>
      <c r="G8009" s="18"/>
      <c r="H8009" s="18"/>
      <c r="I8009" s="18"/>
      <c r="J8009" s="18"/>
      <c r="K8009" s="18"/>
      <c r="L8009" s="18"/>
      <c r="M8009" s="18"/>
      <c r="N8009" s="18"/>
      <c r="O8009" s="14" t="str">
        <f>HYPERLINK("https://otsuka-europe-crm.veevavault.com/ui/#object/email_activity__v/V8C00000003T015", "EN-002093597")</f>
        <v>EN-002093597</v>
      </c>
    </row>
    <row r="8010" spans="1:15" ht="16" x14ac:dyDescent="0.2">
      <c r="A8010" s="18"/>
      <c r="B8010" s="18"/>
      <c r="C8010" s="18"/>
      <c r="D8010" s="18"/>
      <c r="E8010" s="18"/>
      <c r="F8010" s="18"/>
      <c r="G8010" s="18"/>
      <c r="H8010" s="18"/>
      <c r="I8010" s="18"/>
      <c r="J8010" s="18"/>
      <c r="K8010" s="18"/>
      <c r="L8010" s="18"/>
      <c r="M8010" s="18"/>
      <c r="N8010" s="18"/>
      <c r="O8010" s="14" t="str">
        <f>HYPERLINK("https://otsuka-europe-crm.veevavault.com/ui/#object/email_activity__v/V8C00000003T321", "EN-002094215")</f>
        <v>EN-002094215</v>
      </c>
    </row>
    <row r="8011" spans="1:15" ht="16" x14ac:dyDescent="0.2">
      <c r="A8011" s="19"/>
      <c r="B8011" s="19"/>
      <c r="C8011" s="19"/>
      <c r="D8011" s="19"/>
      <c r="E8011" s="19"/>
      <c r="F8011" s="19"/>
      <c r="G8011" s="19"/>
      <c r="H8011" s="19"/>
      <c r="I8011" s="19"/>
      <c r="J8011" s="19"/>
      <c r="K8011" s="19"/>
      <c r="L8011" s="19"/>
      <c r="M8011" s="19"/>
      <c r="N8011" s="19"/>
      <c r="O8011" s="14" t="str">
        <f>HYPERLINK("https://otsuka-europe-crm.veevavault.com/ui/#object/email_activity__v/V8C00000003T518", "EN-002094641")</f>
        <v>EN-002094641</v>
      </c>
    </row>
    <row r="8012" spans="1:15" ht="16" x14ac:dyDescent="0.2">
      <c r="A8012" s="17" t="str">
        <f>HYPERLINK("https://otsuka-europe-crm.veevavault.com/ui/#object/account__v/V4TZ00000633WAO", "FABRICE PECOT")</f>
        <v>FABRICE PECOT</v>
      </c>
      <c r="B8012" s="17" t="str">
        <f>HYPERLINK("https://otsuka-europe-crm.veevavault.com/ui/#object/vcountry__v/VENZ000004SONFA", "FR")</f>
        <v>FR</v>
      </c>
      <c r="C8012" s="20" t="s">
        <v>42</v>
      </c>
      <c r="D8012" s="21" t="str">
        <f>HYPERLINK("https://otsuka-europe-crm.veevavault.com/ui/#object/approved_document__v/V5O00000000P003", "FR-AM2-2500027")</f>
        <v>FR-AM2-2500027</v>
      </c>
      <c r="E8012" s="22" t="str">
        <f>HYPERLINK("https://otsuka-europe-crm.veevavault.com/ui/#object/sent_email__v/VBL00000002R541", "SE-001435210")</f>
        <v>SE-001435210</v>
      </c>
      <c r="F8012" s="23">
        <v>46183.508912037039</v>
      </c>
      <c r="G8012" s="24">
        <v>1</v>
      </c>
      <c r="H8012" s="24">
        <v>2</v>
      </c>
      <c r="I8012" s="24">
        <v>0</v>
      </c>
      <c r="J8012" s="25"/>
      <c r="K8012" s="24">
        <v>0</v>
      </c>
      <c r="L8012" s="22" t="str">
        <f>HYPERLINK("https://otsuka-europe-crm.veevavault.com/ui/#object/approved_document__v/V5O00000000P003", "FR-AM2-2500027")</f>
        <v>FR-AM2-2500027</v>
      </c>
      <c r="M8012" s="22" t="str">
        <f>HYPERLINK("mailto:ssaouab@crm.otsuka-europe.com", "ssaouab@crm.otsuka-europe.com")</f>
        <v>ssaouab@crm.otsuka-europe.com</v>
      </c>
      <c r="N8012" s="23">
        <v>46182.797835648147</v>
      </c>
      <c r="O8012" s="14" t="str">
        <f>HYPERLINK("https://otsuka-europe-crm.veevavault.com/ui/#object/email_activity__v/V8C00000003S333", "EN-002093565")</f>
        <v>EN-002093565</v>
      </c>
    </row>
    <row r="8013" spans="1:15" ht="16" x14ac:dyDescent="0.2">
      <c r="A8013" s="18"/>
      <c r="B8013" s="18"/>
      <c r="C8013" s="18"/>
      <c r="D8013" s="18"/>
      <c r="E8013" s="18"/>
      <c r="F8013" s="18"/>
      <c r="G8013" s="18"/>
      <c r="H8013" s="18"/>
      <c r="I8013" s="18"/>
      <c r="J8013" s="18"/>
      <c r="K8013" s="18"/>
      <c r="L8013" s="18"/>
      <c r="M8013" s="18"/>
      <c r="N8013" s="18"/>
      <c r="O8013" s="14" t="str">
        <f>HYPERLINK("https://otsuka-europe-crm.veevavault.com/ui/#object/email_activity__v/V8C00000003S347", "EN-002093595")</f>
        <v>EN-002093595</v>
      </c>
    </row>
    <row r="8014" spans="1:15" ht="16" x14ac:dyDescent="0.2">
      <c r="A8014" s="19"/>
      <c r="B8014" s="19"/>
      <c r="C8014" s="19"/>
      <c r="D8014" s="19"/>
      <c r="E8014" s="19"/>
      <c r="F8014" s="19"/>
      <c r="G8014" s="19"/>
      <c r="H8014" s="19"/>
      <c r="I8014" s="19"/>
      <c r="J8014" s="19"/>
      <c r="K8014" s="19"/>
      <c r="L8014" s="19"/>
      <c r="M8014" s="19"/>
      <c r="N8014" s="19"/>
      <c r="O8014" s="14" t="str">
        <f>HYPERLINK("https://otsuka-europe-crm.veevavault.com/ui/#object/email_activity__v/V8C00000003T319", "EN-002094213")</f>
        <v>EN-002094213</v>
      </c>
    </row>
    <row r="8015" spans="1:15" ht="16" x14ac:dyDescent="0.2">
      <c r="A8015" s="17" t="str">
        <f>HYPERLINK("https://otsuka-europe-crm.veevavault.com/ui/#object/account__v/V4TZ00000633WK9", "EMMANUELLE PETIAU")</f>
        <v>EMMANUELLE PETIAU</v>
      </c>
      <c r="B8015" s="17" t="str">
        <f>HYPERLINK("https://otsuka-europe-crm.veevavault.com/ui/#object/vcountry__v/VENZ000004SONFA", "FR")</f>
        <v>FR</v>
      </c>
      <c r="C8015" s="20" t="s">
        <v>42</v>
      </c>
      <c r="D8015" s="21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8015" s="22" t="str">
        <f>HYPERLINK("https://otsuka-europe-crm.veevavault.com/ui/#object/sent_email__v/VBL00000002S641", "SE-001435211")</f>
        <v>SE-001435211</v>
      </c>
      <c r="F8015" s="23">
        <v>46188.718275462961</v>
      </c>
      <c r="G8015" s="24">
        <v>1</v>
      </c>
      <c r="H8015" s="24">
        <v>2</v>
      </c>
      <c r="I8015" s="24">
        <v>0</v>
      </c>
      <c r="J8015" s="25"/>
      <c r="K8015" s="24">
        <v>0</v>
      </c>
      <c r="L8015" s="22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8015" s="22" t="str">
        <f>HYPERLINK("mailto:ssaouab@crm.otsuka-europe.com", "ssaouab@crm.otsuka-europe.com")</f>
        <v>ssaouab@crm.otsuka-europe.com</v>
      </c>
      <c r="N8015" s="23">
        <v>46182.798032407409</v>
      </c>
      <c r="O8015" s="14" t="str">
        <f>HYPERLINK("https://otsuka-europe-crm.veevavault.com/ui/#object/email_activity__v/V8C00000003R997", "EN-002093566")</f>
        <v>EN-002093566</v>
      </c>
    </row>
    <row r="8016" spans="1:15" ht="16" x14ac:dyDescent="0.2">
      <c r="A8016" s="18"/>
      <c r="B8016" s="18"/>
      <c r="C8016" s="18"/>
      <c r="D8016" s="18"/>
      <c r="E8016" s="18"/>
      <c r="F8016" s="18"/>
      <c r="G8016" s="18"/>
      <c r="H8016" s="18"/>
      <c r="I8016" s="18"/>
      <c r="J8016" s="18"/>
      <c r="K8016" s="18"/>
      <c r="L8016" s="18"/>
      <c r="M8016" s="18"/>
      <c r="N8016" s="18"/>
      <c r="O8016" s="14" t="str">
        <f>HYPERLINK("https://otsuka-europe-crm.veevavault.com/ui/#object/email_activity__v/V8C00000003V891", "EN-002096491")</f>
        <v>EN-002096491</v>
      </c>
    </row>
    <row r="8017" spans="1:15" ht="16" x14ac:dyDescent="0.2">
      <c r="A8017" s="19"/>
      <c r="B8017" s="19"/>
      <c r="C8017" s="19"/>
      <c r="D8017" s="19"/>
      <c r="E8017" s="19"/>
      <c r="F8017" s="19"/>
      <c r="G8017" s="19"/>
      <c r="H8017" s="19"/>
      <c r="I8017" s="19"/>
      <c r="J8017" s="19"/>
      <c r="K8017" s="19"/>
      <c r="L8017" s="19"/>
      <c r="M8017" s="19"/>
      <c r="N8017" s="19"/>
      <c r="O8017" s="14" t="str">
        <f>HYPERLINK("https://otsuka-europe-crm.veevavault.com/ui/#object/email_activity__v/V8C00000003V897", "EN-002096498")</f>
        <v>EN-002096498</v>
      </c>
    </row>
    <row r="8018" spans="1:15" ht="16" x14ac:dyDescent="0.2">
      <c r="A8018" s="17" t="str">
        <f>HYPERLINK("https://otsuka-europe-crm.veevavault.com/ui/#object/account__v/V4TZ00000633WK9", "EMMANUELLE PETIAU")</f>
        <v>EMMANUELLE PETIAU</v>
      </c>
      <c r="B8018" s="17" t="str">
        <f>HYPERLINK("https://otsuka-europe-crm.veevavault.com/ui/#object/vcountry__v/VENZ000004SONFA", "FR")</f>
        <v>FR</v>
      </c>
      <c r="C8018" s="20" t="s">
        <v>42</v>
      </c>
      <c r="D8018" s="21" t="str">
        <f>HYPERLINK("https://otsuka-europe-crm.veevavault.com/ui/#object/approved_document__v/V5O00000000P003", "FR-AM2-2500027")</f>
        <v>FR-AM2-2500027</v>
      </c>
      <c r="E8018" s="22" t="str">
        <f>HYPERLINK("https://otsuka-europe-crm.veevavault.com/ui/#object/sent_email__v/VBL00000002S642", "SE-001435212")</f>
        <v>SE-001435212</v>
      </c>
      <c r="F8018" s="23">
        <v>46188.718229166669</v>
      </c>
      <c r="G8018" s="24">
        <v>1</v>
      </c>
      <c r="H8018" s="24">
        <v>2</v>
      </c>
      <c r="I8018" s="24">
        <v>0</v>
      </c>
      <c r="J8018" s="25"/>
      <c r="K8018" s="24">
        <v>0</v>
      </c>
      <c r="L8018" s="22" t="str">
        <f>HYPERLINK("https://otsuka-europe-crm.veevavault.com/ui/#object/approved_document__v/V5O00000000P003", "FR-AM2-2500027")</f>
        <v>FR-AM2-2500027</v>
      </c>
      <c r="M8018" s="22" t="str">
        <f>HYPERLINK("mailto:ssaouab@crm.otsuka-europe.com", "ssaouab@crm.otsuka-europe.com")</f>
        <v>ssaouab@crm.otsuka-europe.com</v>
      </c>
      <c r="N8018" s="23">
        <v>46182.798125000001</v>
      </c>
      <c r="O8018" s="14" t="str">
        <f>HYPERLINK("https://otsuka-europe-crm.veevavault.com/ui/#object/email_activity__v/V8C00000003R998", "EN-002093567")</f>
        <v>EN-002093567</v>
      </c>
    </row>
    <row r="8019" spans="1:15" ht="16" x14ac:dyDescent="0.2">
      <c r="A8019" s="18"/>
      <c r="B8019" s="18"/>
      <c r="C8019" s="18"/>
      <c r="D8019" s="18"/>
      <c r="E8019" s="18"/>
      <c r="F8019" s="18"/>
      <c r="G8019" s="18"/>
      <c r="H8019" s="18"/>
      <c r="I8019" s="18"/>
      <c r="J8019" s="18"/>
      <c r="K8019" s="18"/>
      <c r="L8019" s="18"/>
      <c r="M8019" s="18"/>
      <c r="N8019" s="18"/>
      <c r="O8019" s="14" t="str">
        <f>HYPERLINK("https://otsuka-europe-crm.veevavault.com/ui/#object/email_activity__v/V8C00000003U787", "EN-002096497")</f>
        <v>EN-002096497</v>
      </c>
    </row>
    <row r="8020" spans="1:15" ht="16" x14ac:dyDescent="0.2">
      <c r="A8020" s="19"/>
      <c r="B8020" s="19"/>
      <c r="C8020" s="19"/>
      <c r="D8020" s="19"/>
      <c r="E8020" s="19"/>
      <c r="F8020" s="19"/>
      <c r="G8020" s="19"/>
      <c r="H8020" s="19"/>
      <c r="I8020" s="19"/>
      <c r="J8020" s="19"/>
      <c r="K8020" s="19"/>
      <c r="L8020" s="19"/>
      <c r="M8020" s="19"/>
      <c r="N8020" s="19"/>
      <c r="O8020" s="14" t="str">
        <f>HYPERLINK("https://otsuka-europe-crm.veevavault.com/ui/#object/email_activity__v/V8C00000003V896", "EN-002096496")</f>
        <v>EN-002096496</v>
      </c>
    </row>
    <row r="8021" spans="1:15" ht="16" x14ac:dyDescent="0.2">
      <c r="A8021" s="17" t="str">
        <f>HYPERLINK("https://otsuka-europe-crm.veevavault.com/ui/#object/account__v/V4TZ025E845BK6I", "APOLLINE PHEMIUS")</f>
        <v>APOLLINE PHEMIUS</v>
      </c>
      <c r="B8021" s="17" t="str">
        <f>HYPERLINK("https://otsuka-europe-crm.veevavault.com/ui/#object/vcountry__v/VENZ000004SONFA", "FR")</f>
        <v>FR</v>
      </c>
      <c r="C8021" s="20" t="s">
        <v>42</v>
      </c>
      <c r="D8021" s="21" t="str">
        <f>HYPERLINK("https://otsuka-europe-crm.veevavault.com/ui/#object/approved_document__v/V5O00000000P003", "FR-AM2-2500027")</f>
        <v>FR-AM2-2500027</v>
      </c>
      <c r="E8021" s="22" t="str">
        <f>HYPERLINK("https://otsuka-europe-crm.veevavault.com/ui/#object/sent_email__v/VBL00000002R542", "SE-001435213")</f>
        <v>SE-001435213</v>
      </c>
      <c r="F8021" s="23">
        <v>46184.785034722219</v>
      </c>
      <c r="G8021" s="24">
        <v>1</v>
      </c>
      <c r="H8021" s="24">
        <v>8</v>
      </c>
      <c r="I8021" s="24">
        <v>0</v>
      </c>
      <c r="J8021" s="25"/>
      <c r="K8021" s="24">
        <v>0</v>
      </c>
      <c r="L8021" s="22" t="str">
        <f>HYPERLINK("https://otsuka-europe-crm.veevavault.com/ui/#object/approved_document__v/V5O00000000P003", "FR-AM2-2500027")</f>
        <v>FR-AM2-2500027</v>
      </c>
      <c r="M8021" s="22" t="str">
        <f>HYPERLINK("mailto:ssaouab@crm.otsuka-europe.com", "ssaouab@crm.otsuka-europe.com")</f>
        <v>ssaouab@crm.otsuka-europe.com</v>
      </c>
      <c r="N8021" s="23">
        <v>46182.798703703702</v>
      </c>
      <c r="O8021" s="14" t="str">
        <f>HYPERLINK("https://otsuka-europe-crm.veevavault.com/ui/#object/email_activity__v/V8C00000003S334", "EN-002093570")</f>
        <v>EN-002093570</v>
      </c>
    </row>
    <row r="8022" spans="1:15" ht="16" x14ac:dyDescent="0.2">
      <c r="A8022" s="18"/>
      <c r="B8022" s="18"/>
      <c r="C8022" s="18"/>
      <c r="D8022" s="18"/>
      <c r="E8022" s="18"/>
      <c r="F8022" s="18"/>
      <c r="G8022" s="18"/>
      <c r="H8022" s="18"/>
      <c r="I8022" s="18"/>
      <c r="J8022" s="18"/>
      <c r="K8022" s="18"/>
      <c r="L8022" s="18"/>
      <c r="M8022" s="18"/>
      <c r="N8022" s="18"/>
      <c r="O8022" s="14" t="str">
        <f>HYPERLINK("https://otsuka-europe-crm.veevavault.com/ui/#object/email_activity__v/V8C00000003S890", "EN-002094647")</f>
        <v>EN-002094647</v>
      </c>
    </row>
    <row r="8023" spans="1:15" ht="16" x14ac:dyDescent="0.2">
      <c r="A8023" s="18"/>
      <c r="B8023" s="18"/>
      <c r="C8023" s="18"/>
      <c r="D8023" s="18"/>
      <c r="E8023" s="18"/>
      <c r="F8023" s="18"/>
      <c r="G8023" s="18"/>
      <c r="H8023" s="18"/>
      <c r="I8023" s="18"/>
      <c r="J8023" s="18"/>
      <c r="K8023" s="18"/>
      <c r="L8023" s="18"/>
      <c r="M8023" s="18"/>
      <c r="N8023" s="18"/>
      <c r="O8023" s="14" t="str">
        <f>HYPERLINK("https://otsuka-europe-crm.veevavault.com/ui/#object/email_activity__v/V8C00000003S892", "EN-002094649")</f>
        <v>EN-002094649</v>
      </c>
    </row>
    <row r="8024" spans="1:15" ht="16" x14ac:dyDescent="0.2">
      <c r="A8024" s="18"/>
      <c r="B8024" s="18"/>
      <c r="C8024" s="18"/>
      <c r="D8024" s="18"/>
      <c r="E8024" s="18"/>
      <c r="F8024" s="18"/>
      <c r="G8024" s="18"/>
      <c r="H8024" s="18"/>
      <c r="I8024" s="18"/>
      <c r="J8024" s="18"/>
      <c r="K8024" s="18"/>
      <c r="L8024" s="18"/>
      <c r="M8024" s="18"/>
      <c r="N8024" s="18"/>
      <c r="O8024" s="14" t="str">
        <f>HYPERLINK("https://otsuka-europe-crm.veevavault.com/ui/#object/email_activity__v/V8C00000003S894", "EN-002094653")</f>
        <v>EN-002094653</v>
      </c>
    </row>
    <row r="8025" spans="1:15" ht="16" x14ac:dyDescent="0.2">
      <c r="A8025" s="18"/>
      <c r="B8025" s="18"/>
      <c r="C8025" s="18"/>
      <c r="D8025" s="18"/>
      <c r="E8025" s="18"/>
      <c r="F8025" s="18"/>
      <c r="G8025" s="18"/>
      <c r="H8025" s="18"/>
      <c r="I8025" s="18"/>
      <c r="J8025" s="18"/>
      <c r="K8025" s="18"/>
      <c r="L8025" s="18"/>
      <c r="M8025" s="18"/>
      <c r="N8025" s="18"/>
      <c r="O8025" s="14" t="str">
        <f>HYPERLINK("https://otsuka-europe-crm.veevavault.com/ui/#object/email_activity__v/V8C00000003S935", "EN-002094719")</f>
        <v>EN-002094719</v>
      </c>
    </row>
    <row r="8026" spans="1:15" ht="16" x14ac:dyDescent="0.2">
      <c r="A8026" s="18"/>
      <c r="B8026" s="18"/>
      <c r="C8026" s="18"/>
      <c r="D8026" s="18"/>
      <c r="E8026" s="18"/>
      <c r="F8026" s="18"/>
      <c r="G8026" s="18"/>
      <c r="H8026" s="18"/>
      <c r="I8026" s="18"/>
      <c r="J8026" s="18"/>
      <c r="K8026" s="18"/>
      <c r="L8026" s="18"/>
      <c r="M8026" s="18"/>
      <c r="N8026" s="18"/>
      <c r="O8026" s="14" t="str">
        <f>HYPERLINK("https://otsuka-europe-crm.veevavault.com/ui/#object/email_activity__v/V8C00000003S936", "EN-002094720")</f>
        <v>EN-002094720</v>
      </c>
    </row>
    <row r="8027" spans="1:15" ht="16" x14ac:dyDescent="0.2">
      <c r="A8027" s="18"/>
      <c r="B8027" s="18"/>
      <c r="C8027" s="18"/>
      <c r="D8027" s="18"/>
      <c r="E8027" s="18"/>
      <c r="F8027" s="18"/>
      <c r="G8027" s="18"/>
      <c r="H8027" s="18"/>
      <c r="I8027" s="18"/>
      <c r="J8027" s="18"/>
      <c r="K8027" s="18"/>
      <c r="L8027" s="18"/>
      <c r="M8027" s="18"/>
      <c r="N8027" s="18"/>
      <c r="O8027" s="14" t="str">
        <f>HYPERLINK("https://otsuka-europe-crm.veevavault.com/ui/#object/email_activity__v/V8C00000003S949", "EN-002094749")</f>
        <v>EN-002094749</v>
      </c>
    </row>
    <row r="8028" spans="1:15" ht="16" x14ac:dyDescent="0.2">
      <c r="A8028" s="18"/>
      <c r="B8028" s="18"/>
      <c r="C8028" s="18"/>
      <c r="D8028" s="18"/>
      <c r="E8028" s="18"/>
      <c r="F8028" s="18"/>
      <c r="G8028" s="18"/>
      <c r="H8028" s="18"/>
      <c r="I8028" s="18"/>
      <c r="J8028" s="18"/>
      <c r="K8028" s="18"/>
      <c r="L8028" s="18"/>
      <c r="M8028" s="18"/>
      <c r="N8028" s="18"/>
      <c r="O8028" s="14" t="str">
        <f>HYPERLINK("https://otsuka-europe-crm.veevavault.com/ui/#object/email_activity__v/V8C00000003T565", "EN-002094748")</f>
        <v>EN-002094748</v>
      </c>
    </row>
    <row r="8029" spans="1:15" ht="16" x14ac:dyDescent="0.2">
      <c r="A8029" s="19"/>
      <c r="B8029" s="19"/>
      <c r="C8029" s="19"/>
      <c r="D8029" s="19"/>
      <c r="E8029" s="19"/>
      <c r="F8029" s="19"/>
      <c r="G8029" s="19"/>
      <c r="H8029" s="19"/>
      <c r="I8029" s="19"/>
      <c r="J8029" s="19"/>
      <c r="K8029" s="19"/>
      <c r="L8029" s="19"/>
      <c r="M8029" s="19"/>
      <c r="N8029" s="19"/>
      <c r="O8029" s="14" t="str">
        <f>HYPERLINK("https://otsuka-europe-crm.veevavault.com/ui/#object/email_activity__v/V8C00000003U003", "EN-002094821")</f>
        <v>EN-002094821</v>
      </c>
    </row>
    <row r="8030" spans="1:15" ht="16" x14ac:dyDescent="0.2">
      <c r="A8030" s="17" t="str">
        <f>HYPERLINK("https://otsuka-europe-crm.veevavault.com/ui/#object/account__v/V4TZ025E845BK6I", "APOLLINE PHEMIUS")</f>
        <v>APOLLINE PHEMIUS</v>
      </c>
      <c r="B8030" s="17" t="str">
        <f>HYPERLINK("https://otsuka-europe-crm.veevavault.com/ui/#object/vcountry__v/VENZ000004SONFA", "FR")</f>
        <v>FR</v>
      </c>
      <c r="C8030" s="20" t="s">
        <v>42</v>
      </c>
      <c r="D8030" s="21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8030" s="22" t="str">
        <f>HYPERLINK("https://otsuka-europe-crm.veevavault.com/ui/#object/sent_email__v/VBL00000002R543", "SE-001435214")</f>
        <v>SE-001435214</v>
      </c>
      <c r="F8030" s="23">
        <v>46184.670497685183</v>
      </c>
      <c r="G8030" s="24">
        <v>1</v>
      </c>
      <c r="H8030" s="24">
        <v>4</v>
      </c>
      <c r="I8030" s="24">
        <v>0</v>
      </c>
      <c r="J8030" s="25"/>
      <c r="K8030" s="24">
        <v>0</v>
      </c>
      <c r="L8030" s="22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8030" s="22" t="str">
        <f>HYPERLINK("mailto:ssaouab@crm.otsuka-europe.com", "ssaouab@crm.otsuka-europe.com")</f>
        <v>ssaouab@crm.otsuka-europe.com</v>
      </c>
      <c r="N8030" s="23">
        <v>46182.798796296294</v>
      </c>
      <c r="O8030" s="14" t="str">
        <f>HYPERLINK("https://otsuka-europe-crm.veevavault.com/ui/#object/email_activity__v/V8C00000003S891", "EN-002094648")</f>
        <v>EN-002094648</v>
      </c>
    </row>
    <row r="8031" spans="1:15" ht="16" x14ac:dyDescent="0.2">
      <c r="A8031" s="18"/>
      <c r="B8031" s="18"/>
      <c r="C8031" s="18"/>
      <c r="D8031" s="18"/>
      <c r="E8031" s="18"/>
      <c r="F8031" s="18"/>
      <c r="G8031" s="18"/>
      <c r="H8031" s="18"/>
      <c r="I8031" s="18"/>
      <c r="J8031" s="18"/>
      <c r="K8031" s="18"/>
      <c r="L8031" s="18"/>
      <c r="M8031" s="18"/>
      <c r="N8031" s="18"/>
      <c r="O8031" s="14" t="str">
        <f>HYPERLINK("https://otsuka-europe-crm.veevavault.com/ui/#object/email_activity__v/V8C00000003S948", "EN-002094747")</f>
        <v>EN-002094747</v>
      </c>
    </row>
    <row r="8032" spans="1:15" ht="16" x14ac:dyDescent="0.2">
      <c r="A8032" s="18"/>
      <c r="B8032" s="18"/>
      <c r="C8032" s="18"/>
      <c r="D8032" s="18"/>
      <c r="E8032" s="18"/>
      <c r="F8032" s="18"/>
      <c r="G8032" s="18"/>
      <c r="H8032" s="18"/>
      <c r="I8032" s="18"/>
      <c r="J8032" s="18"/>
      <c r="K8032" s="18"/>
      <c r="L8032" s="18"/>
      <c r="M8032" s="18"/>
      <c r="N8032" s="18"/>
      <c r="O8032" s="14" t="str">
        <f>HYPERLINK("https://otsuka-europe-crm.veevavault.com/ui/#object/email_activity__v/V8C00000003S950", "EN-002094751")</f>
        <v>EN-002094751</v>
      </c>
    </row>
    <row r="8033" spans="1:15" ht="16" x14ac:dyDescent="0.2">
      <c r="A8033" s="18"/>
      <c r="B8033" s="18"/>
      <c r="C8033" s="18"/>
      <c r="D8033" s="18"/>
      <c r="E8033" s="18"/>
      <c r="F8033" s="18"/>
      <c r="G8033" s="18"/>
      <c r="H8033" s="18"/>
      <c r="I8033" s="18"/>
      <c r="J8033" s="18"/>
      <c r="K8033" s="18"/>
      <c r="L8033" s="18"/>
      <c r="M8033" s="18"/>
      <c r="N8033" s="18"/>
      <c r="O8033" s="14" t="str">
        <f>HYPERLINK("https://otsuka-europe-crm.veevavault.com/ui/#object/email_activity__v/V8C00000003T002", "EN-002093571")</f>
        <v>EN-002093571</v>
      </c>
    </row>
    <row r="8034" spans="1:15" ht="16" x14ac:dyDescent="0.2">
      <c r="A8034" s="19"/>
      <c r="B8034" s="19"/>
      <c r="C8034" s="19"/>
      <c r="D8034" s="19"/>
      <c r="E8034" s="19"/>
      <c r="F8034" s="19"/>
      <c r="G8034" s="19"/>
      <c r="H8034" s="19"/>
      <c r="I8034" s="19"/>
      <c r="J8034" s="19"/>
      <c r="K8034" s="19"/>
      <c r="L8034" s="19"/>
      <c r="M8034" s="19"/>
      <c r="N8034" s="19"/>
      <c r="O8034" s="14" t="str">
        <f>HYPERLINK("https://otsuka-europe-crm.veevavault.com/ui/#object/email_activity__v/V8C00000003T566", "EN-002094750")</f>
        <v>EN-002094750</v>
      </c>
    </row>
    <row r="8035" spans="1:15" ht="16" x14ac:dyDescent="0.2">
      <c r="A8035" s="17" t="str">
        <f>HYPERLINK("https://otsuka-europe-crm.veevavault.com/ui/#object/account__v/V4TZ00000633K3L", "IRINA POLANIA DUSSAN")</f>
        <v>IRINA POLANIA DUSSAN</v>
      </c>
      <c r="B8035" s="17" t="str">
        <f>HYPERLINK("https://otsuka-europe-crm.veevavault.com/ui/#object/vcountry__v/VENZ000004SONFA", "FR")</f>
        <v>FR</v>
      </c>
      <c r="C8035" s="20" t="s">
        <v>42</v>
      </c>
      <c r="D8035" s="21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8035" s="22" t="str">
        <f>HYPERLINK("https://otsuka-europe-crm.veevavault.com/ui/#object/sent_email__v/VBL00000002S643", "SE-001435215")</f>
        <v>SE-001435215</v>
      </c>
      <c r="F8035" s="25"/>
      <c r="G8035" s="24">
        <v>0</v>
      </c>
      <c r="H8035" s="24">
        <v>0</v>
      </c>
      <c r="I8035" s="24">
        <v>0</v>
      </c>
      <c r="J8035" s="25"/>
      <c r="K8035" s="24">
        <v>0</v>
      </c>
      <c r="L8035" s="22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8035" s="22" t="str">
        <f>HYPERLINK("mailto:ssaouab@crm.otsuka-europe.com", "ssaouab@crm.otsuka-europe.com")</f>
        <v>ssaouab@crm.otsuka-europe.com</v>
      </c>
      <c r="N8035" s="23">
        <v>46182.799224537041</v>
      </c>
      <c r="O8035" s="14" t="str">
        <f>HYPERLINK("https://otsuka-europe-crm.veevavault.com/ui/#object/email_activity__v/V8C00000003T004", "EN-002093573")</f>
        <v>EN-002093573</v>
      </c>
    </row>
    <row r="8036" spans="1:15" ht="16" x14ac:dyDescent="0.2">
      <c r="A8036" s="19"/>
      <c r="B8036" s="19"/>
      <c r="C8036" s="19"/>
      <c r="D8036" s="19"/>
      <c r="E8036" s="19"/>
      <c r="F8036" s="19"/>
      <c r="G8036" s="19"/>
      <c r="H8036" s="19"/>
      <c r="I8036" s="19"/>
      <c r="J8036" s="19"/>
      <c r="K8036" s="19"/>
      <c r="L8036" s="19"/>
      <c r="M8036" s="19"/>
      <c r="N8036" s="19"/>
      <c r="O8036" s="14" t="str">
        <f>HYPERLINK("https://otsuka-europe-crm.veevavault.com/ui/#object/email_activity__v/V8C00000003V412", "EN-002095595")</f>
        <v>EN-002095595</v>
      </c>
    </row>
    <row r="8037" spans="1:15" ht="16" x14ac:dyDescent="0.2">
      <c r="A8037" s="17" t="str">
        <f>HYPERLINK("https://otsuka-europe-crm.veevavault.com/ui/#object/account__v/V4TZ00000633K3L", "IRINA POLANIA DUSSAN")</f>
        <v>IRINA POLANIA DUSSAN</v>
      </c>
      <c r="B8037" s="17" t="str">
        <f>HYPERLINK("https://otsuka-europe-crm.veevavault.com/ui/#object/vcountry__v/VENZ000004SONFA", "FR")</f>
        <v>FR</v>
      </c>
      <c r="C8037" s="20" t="s">
        <v>42</v>
      </c>
      <c r="D8037" s="21" t="str">
        <f>HYPERLINK("https://otsuka-europe-crm.veevavault.com/ui/#object/approved_document__v/V5O00000000P003", "FR-AM2-2500027")</f>
        <v>FR-AM2-2500027</v>
      </c>
      <c r="E8037" s="22" t="str">
        <f>HYPERLINK("https://otsuka-europe-crm.veevavault.com/ui/#object/sent_email__v/VBL00000002R544", "SE-001435216")</f>
        <v>SE-001435216</v>
      </c>
      <c r="F8037" s="25"/>
      <c r="G8037" s="24">
        <v>0</v>
      </c>
      <c r="H8037" s="24">
        <v>0</v>
      </c>
      <c r="I8037" s="24">
        <v>0</v>
      </c>
      <c r="J8037" s="25"/>
      <c r="K8037" s="24">
        <v>0</v>
      </c>
      <c r="L8037" s="22" t="str">
        <f>HYPERLINK("https://otsuka-europe-crm.veevavault.com/ui/#object/approved_document__v/V5O00000000P003", "FR-AM2-2500027")</f>
        <v>FR-AM2-2500027</v>
      </c>
      <c r="M8037" s="22" t="str">
        <f>HYPERLINK("mailto:ssaouab@crm.otsuka-europe.com", "ssaouab@crm.otsuka-europe.com")</f>
        <v>ssaouab@crm.otsuka-europe.com</v>
      </c>
      <c r="N8037" s="23">
        <v>46182.79923611111</v>
      </c>
      <c r="O8037" s="14" t="str">
        <f>HYPERLINK("https://otsuka-europe-crm.veevavault.com/ui/#object/email_activity__v/V8C00000003T003", "EN-002093572")</f>
        <v>EN-002093572</v>
      </c>
    </row>
    <row r="8038" spans="1:15" ht="16" x14ac:dyDescent="0.2">
      <c r="A8038" s="18"/>
      <c r="B8038" s="18"/>
      <c r="C8038" s="18"/>
      <c r="D8038" s="18"/>
      <c r="E8038" s="18"/>
      <c r="F8038" s="18"/>
      <c r="G8038" s="18"/>
      <c r="H8038" s="18"/>
      <c r="I8038" s="18"/>
      <c r="J8038" s="18"/>
      <c r="K8038" s="18"/>
      <c r="L8038" s="18"/>
      <c r="M8038" s="18"/>
      <c r="N8038" s="18"/>
      <c r="O8038" s="14" t="str">
        <f>HYPERLINK("https://otsuka-europe-crm.veevavault.com/ui/#object/email_activity__v/V8C00000003T119", "EN-002093794")</f>
        <v>EN-002093794</v>
      </c>
    </row>
    <row r="8039" spans="1:15" ht="16" x14ac:dyDescent="0.2">
      <c r="A8039" s="19"/>
      <c r="B8039" s="19"/>
      <c r="C8039" s="19"/>
      <c r="D8039" s="19"/>
      <c r="E8039" s="19"/>
      <c r="F8039" s="19"/>
      <c r="G8039" s="19"/>
      <c r="H8039" s="19"/>
      <c r="I8039" s="19"/>
      <c r="J8039" s="19"/>
      <c r="K8039" s="19"/>
      <c r="L8039" s="19"/>
      <c r="M8039" s="19"/>
      <c r="N8039" s="19"/>
      <c r="O8039" s="14" t="str">
        <f>HYPERLINK("https://otsuka-europe-crm.veevavault.com/ui/#object/email_activity__v/V8C00000003V411", "EN-002095594")</f>
        <v>EN-002095594</v>
      </c>
    </row>
    <row r="8040" spans="1:15" ht="48" x14ac:dyDescent="0.2">
      <c r="A8040" s="7" t="str">
        <f>HYPERLINK("https://otsuka-europe-crm.veevavault.com/ui/#object/account__v/V4TZ00000633XFI", "ANA CAMELIA RADU")</f>
        <v>ANA CAMELIA RADU</v>
      </c>
      <c r="B8040" s="7" t="str">
        <f>HYPERLINK("https://otsuka-europe-crm.veevavault.com/ui/#object/vcountry__v/VENZ000004SONFA", "FR")</f>
        <v>FR</v>
      </c>
      <c r="C8040" s="8" t="s">
        <v>42</v>
      </c>
      <c r="D8040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8040" s="10" t="str">
        <f>HYPERLINK("https://otsuka-europe-crm.veevavault.com/ui/#object/sent_email__v/VBL00000002S644", "SE-001435217")</f>
        <v>SE-001435217</v>
      </c>
      <c r="F8040" s="11"/>
      <c r="G8040" s="12">
        <v>0</v>
      </c>
      <c r="H8040" s="12">
        <v>0</v>
      </c>
      <c r="I8040" s="12">
        <v>0</v>
      </c>
      <c r="J8040" s="11"/>
      <c r="K8040" s="12">
        <v>0</v>
      </c>
      <c r="L8040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8040" s="10" t="str">
        <f>HYPERLINK("mailto:ssaouab@crm.otsuka-europe.com", "ssaouab@crm.otsuka-europe.com")</f>
        <v>ssaouab@crm.otsuka-europe.com</v>
      </c>
      <c r="N8040" s="13">
        <v>46182.79954861111</v>
      </c>
      <c r="O8040" s="14" t="str">
        <f>HYPERLINK("https://otsuka-europe-crm.veevavault.com/ui/#object/email_activity__v/V8C00000003S335", "EN-002093574")</f>
        <v>EN-002093574</v>
      </c>
    </row>
    <row r="8041" spans="1:15" ht="32" x14ac:dyDescent="0.2">
      <c r="A8041" s="7" t="str">
        <f>HYPERLINK("https://otsuka-europe-crm.veevavault.com/ui/#object/account__v/V4TZ00000633XFI", "ANA CAMELIA RADU")</f>
        <v>ANA CAMELIA RADU</v>
      </c>
      <c r="B8041" s="7" t="str">
        <f>HYPERLINK("https://otsuka-europe-crm.veevavault.com/ui/#object/vcountry__v/VENZ000004SONFA", "FR")</f>
        <v>FR</v>
      </c>
      <c r="C8041" s="8" t="s">
        <v>42</v>
      </c>
      <c r="D8041" s="9" t="str">
        <f>HYPERLINK("https://otsuka-europe-crm.veevavault.com/ui/#object/approved_document__v/V5O00000000P003", "FR-AM2-2500027")</f>
        <v>FR-AM2-2500027</v>
      </c>
      <c r="E8041" s="10" t="str">
        <f>HYPERLINK("https://otsuka-europe-crm.veevavault.com/ui/#object/sent_email__v/VBL00000002S645", "SE-001435218")</f>
        <v>SE-001435218</v>
      </c>
      <c r="F8041" s="11"/>
      <c r="G8041" s="12">
        <v>0</v>
      </c>
      <c r="H8041" s="12">
        <v>0</v>
      </c>
      <c r="I8041" s="12">
        <v>0</v>
      </c>
      <c r="J8041" s="11"/>
      <c r="K8041" s="12">
        <v>0</v>
      </c>
      <c r="L8041" s="10" t="str">
        <f>HYPERLINK("https://otsuka-europe-crm.veevavault.com/ui/#object/approved_document__v/V5O00000000P003", "FR-AM2-2500027")</f>
        <v>FR-AM2-2500027</v>
      </c>
      <c r="M8041" s="10" t="str">
        <f>HYPERLINK("mailto:ssaouab@crm.otsuka-europe.com", "ssaouab@crm.otsuka-europe.com")</f>
        <v>ssaouab@crm.otsuka-europe.com</v>
      </c>
      <c r="N8041" s="13">
        <v>46182.79965277778</v>
      </c>
      <c r="O8041" s="14" t="str">
        <f>HYPERLINK("https://otsuka-europe-crm.veevavault.com/ui/#object/email_activity__v/V8C00000003S336", "EN-002093575")</f>
        <v>EN-002093575</v>
      </c>
    </row>
    <row r="8042" spans="1:15" ht="16" x14ac:dyDescent="0.2">
      <c r="A8042" s="17" t="str">
        <f>HYPERLINK("https://otsuka-europe-crm.veevavault.com/ui/#object/account__v/V4TZ00000633XDQ", "MOHAMED RAHAL")</f>
        <v>MOHAMED RAHAL</v>
      </c>
      <c r="B8042" s="17" t="str">
        <f>HYPERLINK("https://otsuka-europe-crm.veevavault.com/ui/#object/vcountry__v/VENZ000004SONFA", "FR")</f>
        <v>FR</v>
      </c>
      <c r="C8042" s="20" t="s">
        <v>42</v>
      </c>
      <c r="D8042" s="21" t="str">
        <f>HYPERLINK("https://otsuka-europe-crm.veevavault.com/ui/#object/approved_document__v/V5O00000000P003", "FR-AM2-2500027")</f>
        <v>FR-AM2-2500027</v>
      </c>
      <c r="E8042" s="22" t="str">
        <f>HYPERLINK("https://otsuka-europe-crm.veevavault.com/ui/#object/sent_email__v/VBL00000002S646", "SE-001435219")</f>
        <v>SE-001435219</v>
      </c>
      <c r="F8042" s="23">
        <v>46183.325092592589</v>
      </c>
      <c r="G8042" s="24">
        <v>1</v>
      </c>
      <c r="H8042" s="24">
        <v>2</v>
      </c>
      <c r="I8042" s="24">
        <v>0</v>
      </c>
      <c r="J8042" s="25"/>
      <c r="K8042" s="24">
        <v>0</v>
      </c>
      <c r="L8042" s="22" t="str">
        <f>HYPERLINK("https://otsuka-europe-crm.veevavault.com/ui/#object/approved_document__v/V5O00000000P003", "FR-AM2-2500027")</f>
        <v>FR-AM2-2500027</v>
      </c>
      <c r="M8042" s="22" t="str">
        <f>HYPERLINK("mailto:ssaouab@crm.otsuka-europe.com", "ssaouab@crm.otsuka-europe.com")</f>
        <v>ssaouab@crm.otsuka-europe.com</v>
      </c>
      <c r="N8042" s="23">
        <v>46182.800092592595</v>
      </c>
      <c r="O8042" s="14" t="str">
        <f>HYPERLINK("https://otsuka-europe-crm.veevavault.com/ui/#object/email_activity__v/V8C00000003S482", "EN-002093865")</f>
        <v>EN-002093865</v>
      </c>
    </row>
    <row r="8043" spans="1:15" ht="16" x14ac:dyDescent="0.2">
      <c r="A8043" s="18"/>
      <c r="B8043" s="18"/>
      <c r="C8043" s="18"/>
      <c r="D8043" s="18"/>
      <c r="E8043" s="18"/>
      <c r="F8043" s="18"/>
      <c r="G8043" s="18"/>
      <c r="H8043" s="18"/>
      <c r="I8043" s="18"/>
      <c r="J8043" s="18"/>
      <c r="K8043" s="18"/>
      <c r="L8043" s="18"/>
      <c r="M8043" s="18"/>
      <c r="N8043" s="18"/>
      <c r="O8043" s="14" t="str">
        <f>HYPERLINK("https://otsuka-europe-crm.veevavault.com/ui/#object/email_activity__v/V8C00000003S483", "EN-002093868")</f>
        <v>EN-002093868</v>
      </c>
    </row>
    <row r="8044" spans="1:15" ht="16" x14ac:dyDescent="0.2">
      <c r="A8044" s="19"/>
      <c r="B8044" s="19"/>
      <c r="C8044" s="19"/>
      <c r="D8044" s="19"/>
      <c r="E8044" s="19"/>
      <c r="F8044" s="19"/>
      <c r="G8044" s="19"/>
      <c r="H8044" s="19"/>
      <c r="I8044" s="19"/>
      <c r="J8044" s="19"/>
      <c r="K8044" s="19"/>
      <c r="L8044" s="19"/>
      <c r="M8044" s="19"/>
      <c r="N8044" s="19"/>
      <c r="O8044" s="14" t="str">
        <f>HYPERLINK("https://otsuka-europe-crm.veevavault.com/ui/#object/email_activity__v/V8C00000003T005", "EN-002093576")</f>
        <v>EN-002093576</v>
      </c>
    </row>
    <row r="8045" spans="1:15" ht="16" x14ac:dyDescent="0.2">
      <c r="A8045" s="17" t="str">
        <f>HYPERLINK("https://otsuka-europe-crm.veevavault.com/ui/#object/account__v/V4TZ00000633XDQ", "MOHAMED RAHAL")</f>
        <v>MOHAMED RAHAL</v>
      </c>
      <c r="B8045" s="17" t="str">
        <f>HYPERLINK("https://otsuka-europe-crm.veevavault.com/ui/#object/vcountry__v/VENZ000004SONFA", "FR")</f>
        <v>FR</v>
      </c>
      <c r="C8045" s="20" t="s">
        <v>42</v>
      </c>
      <c r="D8045" s="21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8045" s="22" t="str">
        <f>HYPERLINK("https://otsuka-europe-crm.veevavault.com/ui/#object/sent_email__v/VBL00000002S647", "SE-001435220")</f>
        <v>SE-001435220</v>
      </c>
      <c r="F8045" s="23">
        <v>46183.31355324074</v>
      </c>
      <c r="G8045" s="24">
        <v>1</v>
      </c>
      <c r="H8045" s="24">
        <v>1</v>
      </c>
      <c r="I8045" s="24">
        <v>0</v>
      </c>
      <c r="J8045" s="25"/>
      <c r="K8045" s="24">
        <v>0</v>
      </c>
      <c r="L8045" s="22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8045" s="22" t="str">
        <f>HYPERLINK("mailto:ssaouab@crm.otsuka-europe.com", "ssaouab@crm.otsuka-europe.com")</f>
        <v>ssaouab@crm.otsuka-europe.com</v>
      </c>
      <c r="N8045" s="23">
        <v>46182.800092592595</v>
      </c>
      <c r="O8045" s="14" t="str">
        <f>HYPERLINK("https://otsuka-europe-crm.veevavault.com/ui/#object/email_activity__v/V8C00000003T006", "EN-002093577")</f>
        <v>EN-002093577</v>
      </c>
    </row>
    <row r="8046" spans="1:15" ht="16" x14ac:dyDescent="0.2">
      <c r="A8046" s="19"/>
      <c r="B8046" s="19"/>
      <c r="C8046" s="19"/>
      <c r="D8046" s="19"/>
      <c r="E8046" s="19"/>
      <c r="F8046" s="19"/>
      <c r="G8046" s="19"/>
      <c r="H8046" s="19"/>
      <c r="I8046" s="19"/>
      <c r="J8046" s="19"/>
      <c r="K8046" s="19"/>
      <c r="L8046" s="19"/>
      <c r="M8046" s="19"/>
      <c r="N8046" s="19"/>
      <c r="O8046" s="14" t="str">
        <f>HYPERLINK("https://otsuka-europe-crm.veevavault.com/ui/#object/email_activity__v/V8C00000003T146", "EN-002093862")</f>
        <v>EN-002093862</v>
      </c>
    </row>
    <row r="8047" spans="1:15" ht="48" x14ac:dyDescent="0.2">
      <c r="A8047" s="7" t="str">
        <f>HYPERLINK("https://otsuka-europe-crm.veevavault.com/ui/#object/account__v/V4TZ00000633X9P", "WILLIAM REGINA")</f>
        <v>WILLIAM REGINA</v>
      </c>
      <c r="B8047" s="7" t="str">
        <f>HYPERLINK("https://otsuka-europe-crm.veevavault.com/ui/#object/vcountry__v/VENZ000004SONFA", "FR")</f>
        <v>FR</v>
      </c>
      <c r="C8047" s="8" t="s">
        <v>42</v>
      </c>
      <c r="D8047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8047" s="10" t="str">
        <f>HYPERLINK("https://otsuka-europe-crm.veevavault.com/ui/#object/sent_email__v/VBL00000002R545", "SE-001435221")</f>
        <v>SE-001435221</v>
      </c>
      <c r="F8047" s="11"/>
      <c r="G8047" s="12">
        <v>0</v>
      </c>
      <c r="H8047" s="12">
        <v>0</v>
      </c>
      <c r="I8047" s="12">
        <v>0</v>
      </c>
      <c r="J8047" s="11"/>
      <c r="K8047" s="12">
        <v>0</v>
      </c>
      <c r="L8047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8047" s="10" t="str">
        <f>HYPERLINK("mailto:ssaouab@crm.otsuka-europe.com", "ssaouab@crm.otsuka-europe.com")</f>
        <v>ssaouab@crm.otsuka-europe.com</v>
      </c>
      <c r="N8047" s="13">
        <v>46182.80060185185</v>
      </c>
      <c r="O8047" s="14" t="str">
        <f>HYPERLINK("https://otsuka-europe-crm.veevavault.com/ui/#object/email_activity__v/V8C00000003S338", "EN-002093579")</f>
        <v>EN-002093579</v>
      </c>
    </row>
    <row r="8048" spans="1:15" ht="32" x14ac:dyDescent="0.2">
      <c r="A8048" s="7" t="str">
        <f>HYPERLINK("https://otsuka-europe-crm.veevavault.com/ui/#object/account__v/V4TZ00000633X9P", "WILLIAM REGINA")</f>
        <v>WILLIAM REGINA</v>
      </c>
      <c r="B8048" s="7" t="str">
        <f>HYPERLINK("https://otsuka-europe-crm.veevavault.com/ui/#object/vcountry__v/VENZ000004SONFA", "FR")</f>
        <v>FR</v>
      </c>
      <c r="C8048" s="8" t="s">
        <v>42</v>
      </c>
      <c r="D8048" s="9" t="str">
        <f>HYPERLINK("https://otsuka-europe-crm.veevavault.com/ui/#object/approved_document__v/V5O00000000P003", "FR-AM2-2500027")</f>
        <v>FR-AM2-2500027</v>
      </c>
      <c r="E8048" s="10" t="str">
        <f>HYPERLINK("https://otsuka-europe-crm.veevavault.com/ui/#object/sent_email__v/VBL00000002R546", "SE-001435222")</f>
        <v>SE-001435222</v>
      </c>
      <c r="F8048" s="11"/>
      <c r="G8048" s="12">
        <v>0</v>
      </c>
      <c r="H8048" s="12">
        <v>0</v>
      </c>
      <c r="I8048" s="12">
        <v>0</v>
      </c>
      <c r="J8048" s="11"/>
      <c r="K8048" s="12">
        <v>0</v>
      </c>
      <c r="L8048" s="10" t="str">
        <f>HYPERLINK("https://otsuka-europe-crm.veevavault.com/ui/#object/approved_document__v/V5O00000000P003", "FR-AM2-2500027")</f>
        <v>FR-AM2-2500027</v>
      </c>
      <c r="M8048" s="10" t="str">
        <f>HYPERLINK("mailto:ssaouab@crm.otsuka-europe.com", "ssaouab@crm.otsuka-europe.com")</f>
        <v>ssaouab@crm.otsuka-europe.com</v>
      </c>
      <c r="N8048" s="13">
        <v>46182.800613425927</v>
      </c>
      <c r="O8048" s="14" t="str">
        <f>HYPERLINK("https://otsuka-europe-crm.veevavault.com/ui/#object/email_activity__v/V8C00000003S337", "EN-002093578")</f>
        <v>EN-002093578</v>
      </c>
    </row>
    <row r="8049" spans="1:15" ht="48" x14ac:dyDescent="0.2">
      <c r="A8049" s="7" t="str">
        <f>HYPERLINK("https://otsuka-europe-crm.veevavault.com/ui/#object/account__v/V4TZ04ASGC4IF7R", "ROBIN ROTH")</f>
        <v>ROBIN ROTH</v>
      </c>
      <c r="B8049" s="7" t="str">
        <f>HYPERLINK("https://otsuka-europe-crm.veevavault.com/ui/#object/vcountry__v/VENZ000004SONFA", "FR")</f>
        <v>FR</v>
      </c>
      <c r="C8049" s="8" t="s">
        <v>42</v>
      </c>
      <c r="D8049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8049" s="10" t="str">
        <f>HYPERLINK("https://otsuka-europe-crm.veevavault.com/ui/#object/sent_email__v/VBL00000002S648", "SE-001435223")</f>
        <v>SE-001435223</v>
      </c>
      <c r="F8049" s="11"/>
      <c r="G8049" s="12">
        <v>0</v>
      </c>
      <c r="H8049" s="12">
        <v>0</v>
      </c>
      <c r="I8049" s="12">
        <v>0</v>
      </c>
      <c r="J8049" s="11"/>
      <c r="K8049" s="12">
        <v>0</v>
      </c>
      <c r="L8049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8049" s="10" t="str">
        <f>HYPERLINK("mailto:ssaouab@crm.otsuka-europe.com", "ssaouab@crm.otsuka-europe.com")</f>
        <v>ssaouab@crm.otsuka-europe.com</v>
      </c>
      <c r="N8049" s="13">
        <v>46182.80133101852</v>
      </c>
      <c r="O8049" s="14" t="str">
        <f>HYPERLINK("https://otsuka-europe-crm.veevavault.com/ui/#object/email_activity__v/V8C00000003S339", "EN-002093580")</f>
        <v>EN-002093580</v>
      </c>
    </row>
    <row r="8050" spans="1:15" ht="32" x14ac:dyDescent="0.2">
      <c r="A8050" s="7" t="str">
        <f>HYPERLINK("https://otsuka-europe-crm.veevavault.com/ui/#object/account__v/V4TZ04ASGC4IF7R", "ROBIN ROTH")</f>
        <v>ROBIN ROTH</v>
      </c>
      <c r="B8050" s="7" t="str">
        <f>HYPERLINK("https://otsuka-europe-crm.veevavault.com/ui/#object/vcountry__v/VENZ000004SONFA", "FR")</f>
        <v>FR</v>
      </c>
      <c r="C8050" s="8" t="s">
        <v>42</v>
      </c>
      <c r="D8050" s="9" t="str">
        <f>HYPERLINK("https://otsuka-europe-crm.veevavault.com/ui/#object/approved_document__v/V5O00000000P003", "FR-AM2-2500027")</f>
        <v>FR-AM2-2500027</v>
      </c>
      <c r="E8050" s="10" t="str">
        <f>HYPERLINK("https://otsuka-europe-crm.veevavault.com/ui/#object/sent_email__v/VBL00000002R547", "SE-001435224")</f>
        <v>SE-001435224</v>
      </c>
      <c r="F8050" s="11"/>
      <c r="G8050" s="12">
        <v>0</v>
      </c>
      <c r="H8050" s="12">
        <v>0</v>
      </c>
      <c r="I8050" s="12">
        <v>0</v>
      </c>
      <c r="J8050" s="11"/>
      <c r="K8050" s="12">
        <v>0</v>
      </c>
      <c r="L8050" s="10" t="str">
        <f>HYPERLINK("https://otsuka-europe-crm.veevavault.com/ui/#object/approved_document__v/V5O00000000P003", "FR-AM2-2500027")</f>
        <v>FR-AM2-2500027</v>
      </c>
      <c r="M8050" s="10" t="str">
        <f>HYPERLINK("mailto:ssaouab@crm.otsuka-europe.com", "ssaouab@crm.otsuka-europe.com")</f>
        <v>ssaouab@crm.otsuka-europe.com</v>
      </c>
      <c r="N8050" s="13">
        <v>46182.801400462966</v>
      </c>
      <c r="O8050" s="14" t="str">
        <f>HYPERLINK("https://otsuka-europe-crm.veevavault.com/ui/#object/email_activity__v/V8C00000003T007", "EN-002093581")</f>
        <v>EN-002093581</v>
      </c>
    </row>
    <row r="8051" spans="1:15" ht="16" x14ac:dyDescent="0.2">
      <c r="A8051" s="17" t="str">
        <f>HYPERLINK("https://otsuka-europe-crm.veevavault.com/ui/#object/account__v/V4TZ00000633XSM", "MARIA RUIZ")</f>
        <v>MARIA RUIZ</v>
      </c>
      <c r="B8051" s="17" t="str">
        <f>HYPERLINK("https://otsuka-europe-crm.veevavault.com/ui/#object/vcountry__v/VENZ000004SONFA", "FR")</f>
        <v>FR</v>
      </c>
      <c r="C8051" s="20" t="s">
        <v>42</v>
      </c>
      <c r="D8051" s="21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8051" s="22" t="str">
        <f>HYPERLINK("https://otsuka-europe-crm.veevavault.com/ui/#object/sent_email__v/VBL00000002S649", "SE-001435225")</f>
        <v>SE-001435225</v>
      </c>
      <c r="F8051" s="25"/>
      <c r="G8051" s="24">
        <v>0</v>
      </c>
      <c r="H8051" s="24">
        <v>0</v>
      </c>
      <c r="I8051" s="24">
        <v>0</v>
      </c>
      <c r="J8051" s="25"/>
      <c r="K8051" s="24">
        <v>0</v>
      </c>
      <c r="L8051" s="22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8051" s="22" t="str">
        <f>HYPERLINK("mailto:ssaouab@crm.otsuka-europe.com", "ssaouab@crm.otsuka-europe.com")</f>
        <v>ssaouab@crm.otsuka-europe.com</v>
      </c>
      <c r="N8051" s="23">
        <v>46182.801666666666</v>
      </c>
      <c r="O8051" s="14" t="str">
        <f>HYPERLINK("https://otsuka-europe-crm.veevavault.com/ui/#object/email_activity__v/V8C00000003S340", "EN-002093582")</f>
        <v>EN-002093582</v>
      </c>
    </row>
    <row r="8052" spans="1:15" ht="16" x14ac:dyDescent="0.2">
      <c r="A8052" s="19"/>
      <c r="B8052" s="19"/>
      <c r="C8052" s="19"/>
      <c r="D8052" s="19"/>
      <c r="E8052" s="19"/>
      <c r="F8052" s="19"/>
      <c r="G8052" s="19"/>
      <c r="H8052" s="19"/>
      <c r="I8052" s="19"/>
      <c r="J8052" s="19"/>
      <c r="K8052" s="19"/>
      <c r="L8052" s="19"/>
      <c r="M8052" s="19"/>
      <c r="N8052" s="19"/>
      <c r="O8052" s="14" t="str">
        <f>HYPERLINK("https://otsuka-europe-crm.veevavault.com/ui/#object/email_activity__v/V8C000000040461", "EN-002099506")</f>
        <v>EN-002099506</v>
      </c>
    </row>
    <row r="8053" spans="1:15" ht="16" x14ac:dyDescent="0.2">
      <c r="A8053" s="17" t="str">
        <f>HYPERLINK("https://otsuka-europe-crm.veevavault.com/ui/#object/account__v/V4TZ00000633XSM", "MARIA RUIZ")</f>
        <v>MARIA RUIZ</v>
      </c>
      <c r="B8053" s="17" t="str">
        <f>HYPERLINK("https://otsuka-europe-crm.veevavault.com/ui/#object/vcountry__v/VENZ000004SONFA", "FR")</f>
        <v>FR</v>
      </c>
      <c r="C8053" s="20" t="s">
        <v>42</v>
      </c>
      <c r="D8053" s="21" t="str">
        <f>HYPERLINK("https://otsuka-europe-crm.veevavault.com/ui/#object/approved_document__v/V5O00000000P003", "FR-AM2-2500027")</f>
        <v>FR-AM2-2500027</v>
      </c>
      <c r="E8053" s="22" t="str">
        <f>HYPERLINK("https://otsuka-europe-crm.veevavault.com/ui/#object/sent_email__v/VBL00000002S650", "SE-001435226")</f>
        <v>SE-001435226</v>
      </c>
      <c r="F8053" s="23">
        <v>46183.715995370374</v>
      </c>
      <c r="G8053" s="24">
        <v>1</v>
      </c>
      <c r="H8053" s="24">
        <v>1</v>
      </c>
      <c r="I8053" s="24">
        <v>1</v>
      </c>
      <c r="J8053" s="23">
        <v>46183.716180555559</v>
      </c>
      <c r="K8053" s="24">
        <v>2</v>
      </c>
      <c r="L8053" s="22" t="str">
        <f>HYPERLINK("https://otsuka-europe-crm.veevavault.com/ui/#object/approved_document__v/V5O00000000P003", "FR-AM2-2500027")</f>
        <v>FR-AM2-2500027</v>
      </c>
      <c r="M8053" s="22" t="str">
        <f>HYPERLINK("mailto:ssaouab@crm.otsuka-europe.com", "ssaouab@crm.otsuka-europe.com")</f>
        <v>ssaouab@crm.otsuka-europe.com</v>
      </c>
      <c r="N8053" s="23">
        <v>46182.801863425928</v>
      </c>
      <c r="O8053" s="14" t="str">
        <f>HYPERLINK("https://otsuka-europe-crm.veevavault.com/ui/#object/email_activity__v/V8C00000003S341", "EN-002093583")</f>
        <v>EN-002093583</v>
      </c>
    </row>
    <row r="8054" spans="1:15" ht="16" x14ac:dyDescent="0.2">
      <c r="A8054" s="18"/>
      <c r="B8054" s="18"/>
      <c r="C8054" s="18"/>
      <c r="D8054" s="18"/>
      <c r="E8054" s="18"/>
      <c r="F8054" s="18"/>
      <c r="G8054" s="18"/>
      <c r="H8054" s="18"/>
      <c r="I8054" s="18"/>
      <c r="J8054" s="18"/>
      <c r="K8054" s="18"/>
      <c r="L8054" s="18"/>
      <c r="M8054" s="18"/>
      <c r="N8054" s="18"/>
      <c r="O8054" s="14" t="str">
        <f>HYPERLINK("https://otsuka-europe-crm.veevavault.com/ui/#object/email_activity__v/V8C00000003S738", "EN-002094349")</f>
        <v>EN-002094349</v>
      </c>
    </row>
    <row r="8055" spans="1:15" ht="16" x14ac:dyDescent="0.2">
      <c r="A8055" s="18"/>
      <c r="B8055" s="18"/>
      <c r="C8055" s="18"/>
      <c r="D8055" s="18"/>
      <c r="E8055" s="18"/>
      <c r="F8055" s="18"/>
      <c r="G8055" s="18"/>
      <c r="H8055" s="18"/>
      <c r="I8055" s="18"/>
      <c r="J8055" s="18"/>
      <c r="K8055" s="18"/>
      <c r="L8055" s="18"/>
      <c r="M8055" s="18"/>
      <c r="N8055" s="18"/>
      <c r="O8055" s="14" t="str">
        <f>HYPERLINK("https://otsuka-europe-crm.veevavault.com/ui/#object/email_activity__v/V8C00000003S739", "EN-002094348")</f>
        <v>EN-002094348</v>
      </c>
    </row>
    <row r="8056" spans="1:15" ht="16" x14ac:dyDescent="0.2">
      <c r="A8056" s="18"/>
      <c r="B8056" s="18"/>
      <c r="C8056" s="18"/>
      <c r="D8056" s="18"/>
      <c r="E8056" s="18"/>
      <c r="F8056" s="18"/>
      <c r="G8056" s="18"/>
      <c r="H8056" s="18"/>
      <c r="I8056" s="18"/>
      <c r="J8056" s="18"/>
      <c r="K8056" s="18"/>
      <c r="L8056" s="18"/>
      <c r="M8056" s="18"/>
      <c r="N8056" s="18"/>
      <c r="O8056" s="14" t="str">
        <f>HYPERLINK("https://otsuka-europe-crm.veevavault.com/ui/#object/email_activity__v/V8C00000003S740", "EN-002094350")</f>
        <v>EN-002094350</v>
      </c>
    </row>
    <row r="8057" spans="1:15" ht="16" x14ac:dyDescent="0.2">
      <c r="A8057" s="19"/>
      <c r="B8057" s="19"/>
      <c r="C8057" s="19"/>
      <c r="D8057" s="19"/>
      <c r="E8057" s="19"/>
      <c r="F8057" s="19"/>
      <c r="G8057" s="19"/>
      <c r="H8057" s="19"/>
      <c r="I8057" s="19"/>
      <c r="J8057" s="19"/>
      <c r="K8057" s="19"/>
      <c r="L8057" s="19"/>
      <c r="M8057" s="19"/>
      <c r="N8057" s="19"/>
      <c r="O8057" s="14" t="str">
        <f>HYPERLINK("https://otsuka-europe-crm.veevavault.com/ui/#object/email_activity__v/V8C000000040460", "EN-002099505")</f>
        <v>EN-002099505</v>
      </c>
    </row>
    <row r="8058" spans="1:15" ht="48" x14ac:dyDescent="0.2">
      <c r="A8058" s="7" t="str">
        <f>HYPERLINK("https://otsuka-europe-crm.veevavault.com/ui/#object/account__v/V4TZ00000633H9R", "SALIM SAADA")</f>
        <v>SALIM SAADA</v>
      </c>
      <c r="B8058" s="7" t="str">
        <f>HYPERLINK("https://otsuka-europe-crm.veevavault.com/ui/#object/vcountry__v/VENZ000004SONFA", "FR")</f>
        <v>FR</v>
      </c>
      <c r="C8058" s="8" t="s">
        <v>42</v>
      </c>
      <c r="D8058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8058" s="10" t="str">
        <f>HYPERLINK("https://otsuka-europe-crm.veevavault.com/ui/#object/sent_email__v/VBL00000002S651", "SE-001435227")</f>
        <v>SE-001435227</v>
      </c>
      <c r="F8058" s="11"/>
      <c r="G8058" s="12">
        <v>0</v>
      </c>
      <c r="H8058" s="12">
        <v>0</v>
      </c>
      <c r="I8058" s="12">
        <v>0</v>
      </c>
      <c r="J8058" s="11"/>
      <c r="K8058" s="12">
        <v>0</v>
      </c>
      <c r="L8058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8058" s="10" t="str">
        <f>HYPERLINK("mailto:ssaouab@crm.otsuka-europe.com", "ssaouab@crm.otsuka-europe.com")</f>
        <v>ssaouab@crm.otsuka-europe.com</v>
      </c>
      <c r="N8058" s="13">
        <v>46182.802175925928</v>
      </c>
      <c r="O8058" s="14" t="str">
        <f>HYPERLINK("https://otsuka-europe-crm.veevavault.com/ui/#object/email_activity__v/V8C00000003T009", "EN-002093586")</f>
        <v>EN-002093586</v>
      </c>
    </row>
    <row r="8059" spans="1:15" ht="32" x14ac:dyDescent="0.2">
      <c r="A8059" s="7" t="str">
        <f>HYPERLINK("https://otsuka-europe-crm.veevavault.com/ui/#object/account__v/V4TZ00000633H9R", "SALIM SAADA")</f>
        <v>SALIM SAADA</v>
      </c>
      <c r="B8059" s="7" t="str">
        <f>HYPERLINK("https://otsuka-europe-crm.veevavault.com/ui/#object/vcountry__v/VENZ000004SONFA", "FR")</f>
        <v>FR</v>
      </c>
      <c r="C8059" s="8" t="s">
        <v>42</v>
      </c>
      <c r="D8059" s="9" t="str">
        <f>HYPERLINK("https://otsuka-europe-crm.veevavault.com/ui/#object/approved_document__v/V5O00000000P003", "FR-AM2-2500027")</f>
        <v>FR-AM2-2500027</v>
      </c>
      <c r="E8059" s="10" t="str">
        <f>HYPERLINK("https://otsuka-europe-crm.veevavault.com/ui/#object/sent_email__v/VBL00000002R548", "SE-001435228")</f>
        <v>SE-001435228</v>
      </c>
      <c r="F8059" s="11"/>
      <c r="G8059" s="12">
        <v>0</v>
      </c>
      <c r="H8059" s="12">
        <v>0</v>
      </c>
      <c r="I8059" s="12">
        <v>0</v>
      </c>
      <c r="J8059" s="11"/>
      <c r="K8059" s="12">
        <v>0</v>
      </c>
      <c r="L8059" s="10" t="str">
        <f>HYPERLINK("https://otsuka-europe-crm.veevavault.com/ui/#object/approved_document__v/V5O00000000P003", "FR-AM2-2500027")</f>
        <v>FR-AM2-2500027</v>
      </c>
      <c r="M8059" s="10" t="str">
        <f>HYPERLINK("mailto:ssaouab@crm.otsuka-europe.com", "ssaouab@crm.otsuka-europe.com")</f>
        <v>ssaouab@crm.otsuka-europe.com</v>
      </c>
      <c r="N8059" s="13">
        <v>46182.802175925928</v>
      </c>
      <c r="O8059" s="14" t="str">
        <f>HYPERLINK("https://otsuka-europe-crm.veevavault.com/ui/#object/email_activity__v/V8C00000003T010", "EN-002093587")</f>
        <v>EN-002093587</v>
      </c>
    </row>
    <row r="8060" spans="1:15" ht="48" x14ac:dyDescent="0.2">
      <c r="A8060" s="7" t="str">
        <f>HYPERLINK("https://otsuka-europe-crm.veevavault.com/ui/#object/account__v/V4TZ025E83NB7Z9", "LINA SABRI")</f>
        <v>LINA SABRI</v>
      </c>
      <c r="B8060" s="7" t="str">
        <f>HYPERLINK("https://otsuka-europe-crm.veevavault.com/ui/#object/vcountry__v/VENZ000004SONFA", "FR")</f>
        <v>FR</v>
      </c>
      <c r="C8060" s="8" t="s">
        <v>42</v>
      </c>
      <c r="D8060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8060" s="10" t="str">
        <f>HYPERLINK("https://otsuka-europe-crm.veevavault.com/ui/#object/sent_email__v/VBL00000002S652", "SE-001435229")</f>
        <v>SE-001435229</v>
      </c>
      <c r="F8060" s="11"/>
      <c r="G8060" s="12">
        <v>0</v>
      </c>
      <c r="H8060" s="12">
        <v>0</v>
      </c>
      <c r="I8060" s="12">
        <v>0</v>
      </c>
      <c r="J8060" s="11"/>
      <c r="K8060" s="12">
        <v>0</v>
      </c>
      <c r="L8060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8060" s="10" t="str">
        <f>HYPERLINK("mailto:ssaouab@crm.otsuka-europe.com", "ssaouab@crm.otsuka-europe.com")</f>
        <v>ssaouab@crm.otsuka-europe.com</v>
      </c>
      <c r="N8060" s="13">
        <v>46182.802557870367</v>
      </c>
      <c r="O8060" s="14" t="str">
        <f>HYPERLINK("https://otsuka-europe-crm.veevavault.com/ui/#object/email_activity__v/V8C00000003T011", "EN-002093588")</f>
        <v>EN-002093588</v>
      </c>
    </row>
    <row r="8061" spans="1:15" ht="32" x14ac:dyDescent="0.2">
      <c r="A8061" s="7" t="str">
        <f>HYPERLINK("https://otsuka-europe-crm.veevavault.com/ui/#object/account__v/V4TZ025E83NB7Z9", "LINA SABRI")</f>
        <v>LINA SABRI</v>
      </c>
      <c r="B8061" s="7" t="str">
        <f>HYPERLINK("https://otsuka-europe-crm.veevavault.com/ui/#object/vcountry__v/VENZ000004SONFA", "FR")</f>
        <v>FR</v>
      </c>
      <c r="C8061" s="8" t="s">
        <v>42</v>
      </c>
      <c r="D8061" s="9" t="str">
        <f>HYPERLINK("https://otsuka-europe-crm.veevavault.com/ui/#object/approved_document__v/V5O00000000P003", "FR-AM2-2500027")</f>
        <v>FR-AM2-2500027</v>
      </c>
      <c r="E8061" s="10" t="str">
        <f>HYPERLINK("https://otsuka-europe-crm.veevavault.com/ui/#object/sent_email__v/VBL00000002R549", "SE-001435230")</f>
        <v>SE-001435230</v>
      </c>
      <c r="F8061" s="11"/>
      <c r="G8061" s="12">
        <v>0</v>
      </c>
      <c r="H8061" s="12">
        <v>0</v>
      </c>
      <c r="I8061" s="12">
        <v>0</v>
      </c>
      <c r="J8061" s="11"/>
      <c r="K8061" s="12">
        <v>0</v>
      </c>
      <c r="L8061" s="10" t="str">
        <f>HYPERLINK("https://otsuka-europe-crm.veevavault.com/ui/#object/approved_document__v/V5O00000000P003", "FR-AM2-2500027")</f>
        <v>FR-AM2-2500027</v>
      </c>
      <c r="M8061" s="10" t="str">
        <f>HYPERLINK("mailto:ssaouab@crm.otsuka-europe.com", "ssaouab@crm.otsuka-europe.com")</f>
        <v>ssaouab@crm.otsuka-europe.com</v>
      </c>
      <c r="N8061" s="13">
        <v>46182.802662037036</v>
      </c>
      <c r="O8061" s="14" t="str">
        <f>HYPERLINK("https://otsuka-europe-crm.veevavault.com/ui/#object/email_activity__v/V8C00000003T013", "EN-002093590")</f>
        <v>EN-002093590</v>
      </c>
    </row>
    <row r="8062" spans="1:15" ht="16" x14ac:dyDescent="0.2">
      <c r="A8062" s="17" t="str">
        <f>HYPERLINK("https://otsuka-europe-crm.veevavault.com/ui/#object/account__v/V4TZ00000633JYZ", "BAYA SACI LARFI")</f>
        <v>BAYA SACI LARFI</v>
      </c>
      <c r="B8062" s="17" t="str">
        <f>HYPERLINK("https://otsuka-europe-crm.veevavault.com/ui/#object/vcountry__v/VENZ000004SONFA", "FR")</f>
        <v>FR</v>
      </c>
      <c r="C8062" s="20" t="s">
        <v>42</v>
      </c>
      <c r="D8062" s="21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8062" s="22" t="str">
        <f>HYPERLINK("https://otsuka-europe-crm.veevavault.com/ui/#object/sent_email__v/VBL00000002S653", "SE-001435231")</f>
        <v>SE-001435231</v>
      </c>
      <c r="F8062" s="23">
        <v>46182.85869212963</v>
      </c>
      <c r="G8062" s="24">
        <v>1</v>
      </c>
      <c r="H8062" s="24">
        <v>1</v>
      </c>
      <c r="I8062" s="24">
        <v>0</v>
      </c>
      <c r="J8062" s="25"/>
      <c r="K8062" s="24">
        <v>0</v>
      </c>
      <c r="L8062" s="22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8062" s="22" t="str">
        <f>HYPERLINK("mailto:ssaouab@crm.otsuka-europe.com", "ssaouab@crm.otsuka-europe.com")</f>
        <v>ssaouab@crm.otsuka-europe.com</v>
      </c>
      <c r="N8062" s="23">
        <v>46182.802881944444</v>
      </c>
      <c r="O8062" s="14" t="str">
        <f>HYPERLINK("https://otsuka-europe-crm.veevavault.com/ui/#object/email_activity__v/V8C00000003S343", "EN-002093591")</f>
        <v>EN-002093591</v>
      </c>
    </row>
    <row r="8063" spans="1:15" ht="16" x14ac:dyDescent="0.2">
      <c r="A8063" s="19"/>
      <c r="B8063" s="19"/>
      <c r="C8063" s="19"/>
      <c r="D8063" s="19"/>
      <c r="E8063" s="19"/>
      <c r="F8063" s="19"/>
      <c r="G8063" s="19"/>
      <c r="H8063" s="19"/>
      <c r="I8063" s="19"/>
      <c r="J8063" s="19"/>
      <c r="K8063" s="19"/>
      <c r="L8063" s="19"/>
      <c r="M8063" s="19"/>
      <c r="N8063" s="19"/>
      <c r="O8063" s="14" t="str">
        <f>HYPERLINK("https://otsuka-europe-crm.veevavault.com/ui/#object/email_activity__v/V8C00000003T066", "EN-002093695")</f>
        <v>EN-002093695</v>
      </c>
    </row>
    <row r="8064" spans="1:15" ht="16" x14ac:dyDescent="0.2">
      <c r="A8064" s="17" t="str">
        <f>HYPERLINK("https://otsuka-europe-crm.veevavault.com/ui/#object/account__v/V4TZ00000633JYZ", "BAYA SACI LARFI")</f>
        <v>BAYA SACI LARFI</v>
      </c>
      <c r="B8064" s="17" t="str">
        <f>HYPERLINK("https://otsuka-europe-crm.veevavault.com/ui/#object/vcountry__v/VENZ000004SONFA", "FR")</f>
        <v>FR</v>
      </c>
      <c r="C8064" s="20" t="s">
        <v>42</v>
      </c>
      <c r="D8064" s="21" t="str">
        <f>HYPERLINK("https://otsuka-europe-crm.veevavault.com/ui/#object/approved_document__v/V5O00000000P003", "FR-AM2-2500027")</f>
        <v>FR-AM2-2500027</v>
      </c>
      <c r="E8064" s="22" t="str">
        <f>HYPERLINK("https://otsuka-europe-crm.veevavault.com/ui/#object/sent_email__v/VBL00000002R550", "SE-001435232")</f>
        <v>SE-001435232</v>
      </c>
      <c r="F8064" s="23">
        <v>46182.858622685184</v>
      </c>
      <c r="G8064" s="24">
        <v>1</v>
      </c>
      <c r="H8064" s="24">
        <v>1</v>
      </c>
      <c r="I8064" s="24">
        <v>0</v>
      </c>
      <c r="J8064" s="25"/>
      <c r="K8064" s="24">
        <v>0</v>
      </c>
      <c r="L8064" s="22" t="str">
        <f>HYPERLINK("https://otsuka-europe-crm.veevavault.com/ui/#object/approved_document__v/V5O00000000P003", "FR-AM2-2500027")</f>
        <v>FR-AM2-2500027</v>
      </c>
      <c r="M8064" s="22" t="str">
        <f>HYPERLINK("mailto:ssaouab@crm.otsuka-europe.com", "ssaouab@crm.otsuka-europe.com")</f>
        <v>ssaouab@crm.otsuka-europe.com</v>
      </c>
      <c r="N8064" s="23">
        <v>46182.802951388891</v>
      </c>
      <c r="O8064" s="14" t="str">
        <f>HYPERLINK("https://otsuka-europe-crm.veevavault.com/ui/#object/email_activity__v/V8C00000003S344", "EN-002093592")</f>
        <v>EN-002093592</v>
      </c>
    </row>
    <row r="8065" spans="1:15" ht="16" x14ac:dyDescent="0.2">
      <c r="A8065" s="19"/>
      <c r="B8065" s="19"/>
      <c r="C8065" s="19"/>
      <c r="D8065" s="19"/>
      <c r="E8065" s="19"/>
      <c r="F8065" s="19"/>
      <c r="G8065" s="19"/>
      <c r="H8065" s="19"/>
      <c r="I8065" s="19"/>
      <c r="J8065" s="19"/>
      <c r="K8065" s="19"/>
      <c r="L8065" s="19"/>
      <c r="M8065" s="19"/>
      <c r="N8065" s="19"/>
      <c r="O8065" s="14" t="str">
        <f>HYPERLINK("https://otsuka-europe-crm.veevavault.com/ui/#object/email_activity__v/V8C00000003S393", "EN-002093693")</f>
        <v>EN-002093693</v>
      </c>
    </row>
    <row r="8066" spans="1:15" ht="48" x14ac:dyDescent="0.2">
      <c r="A8066" s="7" t="str">
        <f>HYPERLINK("https://otsuka-europe-crm.veevavault.com/ui/#object/account__v/V4TZ00000633YBU", "TOUFIK SELMA")</f>
        <v>TOUFIK SELMA</v>
      </c>
      <c r="B8066" s="7" t="str">
        <f>HYPERLINK("https://otsuka-europe-crm.veevavault.com/ui/#object/vcountry__v/VENZ000004SONFA", "FR")</f>
        <v>FR</v>
      </c>
      <c r="C8066" s="8" t="s">
        <v>42</v>
      </c>
      <c r="D8066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8066" s="10" t="str">
        <f>HYPERLINK("https://otsuka-europe-crm.veevavault.com/ui/#object/sent_email__v/VBL00000002R551", "SE-001435233")</f>
        <v>SE-001435233</v>
      </c>
      <c r="F8066" s="11"/>
      <c r="G8066" s="12">
        <v>0</v>
      </c>
      <c r="H8066" s="12">
        <v>0</v>
      </c>
      <c r="I8066" s="12">
        <v>0</v>
      </c>
      <c r="J8066" s="11"/>
      <c r="K8066" s="12">
        <v>0</v>
      </c>
      <c r="L8066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8066" s="10" t="str">
        <f>HYPERLINK("mailto:ssaouab@crm.otsuka-europe.com", "ssaouab@crm.otsuka-europe.com")</f>
        <v>ssaouab@crm.otsuka-europe.com</v>
      </c>
      <c r="N8066" s="13">
        <v>46182.803726851853</v>
      </c>
      <c r="O8066" s="14" t="str">
        <f>HYPERLINK("https://otsuka-europe-crm.veevavault.com/ui/#object/email_activity__v/V8C00000003S346", "EN-002093594")</f>
        <v>EN-002093594</v>
      </c>
    </row>
    <row r="8067" spans="1:15" ht="32" x14ac:dyDescent="0.2">
      <c r="A8067" s="7" t="str">
        <f>HYPERLINK("https://otsuka-europe-crm.veevavault.com/ui/#object/account__v/V4TZ00000633YBU", "TOUFIK SELMA")</f>
        <v>TOUFIK SELMA</v>
      </c>
      <c r="B8067" s="7" t="str">
        <f>HYPERLINK("https://otsuka-europe-crm.veevavault.com/ui/#object/vcountry__v/VENZ000004SONFA", "FR")</f>
        <v>FR</v>
      </c>
      <c r="C8067" s="8" t="s">
        <v>42</v>
      </c>
      <c r="D8067" s="9" t="str">
        <f>HYPERLINK("https://otsuka-europe-crm.veevavault.com/ui/#object/approved_document__v/V5O00000000P003", "FR-AM2-2500027")</f>
        <v>FR-AM2-2500027</v>
      </c>
      <c r="E8067" s="10" t="str">
        <f>HYPERLINK("https://otsuka-europe-crm.veevavault.com/ui/#object/sent_email__v/VBL00000002R552", "SE-001435234")</f>
        <v>SE-001435234</v>
      </c>
      <c r="F8067" s="11"/>
      <c r="G8067" s="12">
        <v>0</v>
      </c>
      <c r="H8067" s="12">
        <v>0</v>
      </c>
      <c r="I8067" s="12">
        <v>0</v>
      </c>
      <c r="J8067" s="11"/>
      <c r="K8067" s="12">
        <v>0</v>
      </c>
      <c r="L8067" s="10" t="str">
        <f>HYPERLINK("https://otsuka-europe-crm.veevavault.com/ui/#object/approved_document__v/V5O00000000P003", "FR-AM2-2500027")</f>
        <v>FR-AM2-2500027</v>
      </c>
      <c r="M8067" s="10" t="str">
        <f>HYPERLINK("mailto:ssaouab@crm.otsuka-europe.com", "ssaouab@crm.otsuka-europe.com")</f>
        <v>ssaouab@crm.otsuka-europe.com</v>
      </c>
      <c r="N8067" s="13">
        <v>46182.803831018522</v>
      </c>
      <c r="O8067" s="14" t="str">
        <f>HYPERLINK("https://otsuka-europe-crm.veevavault.com/ui/#object/email_activity__v/V8C00000003T014", "EN-002093596")</f>
        <v>EN-002093596</v>
      </c>
    </row>
    <row r="8068" spans="1:15" ht="48" x14ac:dyDescent="0.2">
      <c r="A8068" s="7" t="str">
        <f>HYPERLINK("https://otsuka-europe-crm.veevavault.com/ui/#object/account__v/V4TZ00000633SCL", "SHADY SHRAIDY")</f>
        <v>SHADY SHRAIDY</v>
      </c>
      <c r="B8068" s="7" t="str">
        <f>HYPERLINK("https://otsuka-europe-crm.veevavault.com/ui/#object/vcountry__v/VENZ000004SONFA", "FR")</f>
        <v>FR</v>
      </c>
      <c r="C8068" s="8" t="s">
        <v>42</v>
      </c>
      <c r="D8068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8068" s="10" t="str">
        <f>HYPERLINK("https://otsuka-europe-crm.veevavault.com/ui/#object/sent_email__v/VBL00000002R553", "SE-001435235")</f>
        <v>SE-001435235</v>
      </c>
      <c r="F8068" s="11"/>
      <c r="G8068" s="12">
        <v>0</v>
      </c>
      <c r="H8068" s="12">
        <v>0</v>
      </c>
      <c r="I8068" s="12">
        <v>0</v>
      </c>
      <c r="J8068" s="11"/>
      <c r="K8068" s="12">
        <v>0</v>
      </c>
      <c r="L8068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8068" s="10" t="str">
        <f>HYPERLINK("mailto:ssaouab@crm.otsuka-europe.com", "ssaouab@crm.otsuka-europe.com")</f>
        <v>ssaouab@crm.otsuka-europe.com</v>
      </c>
      <c r="N8068" s="13">
        <v>46182.804120370369</v>
      </c>
      <c r="O8068" s="14" t="str">
        <f>HYPERLINK("https://otsuka-europe-crm.veevavault.com/ui/#object/email_activity__v/V8C00000003S348", "EN-002093598")</f>
        <v>EN-002093598</v>
      </c>
    </row>
    <row r="8069" spans="1:15" ht="16" x14ac:dyDescent="0.2">
      <c r="A8069" s="17" t="str">
        <f>HYPERLINK("https://otsuka-europe-crm.veevavault.com/ui/#object/account__v/V4TZ00000633SCL", "SHADY SHRAIDY")</f>
        <v>SHADY SHRAIDY</v>
      </c>
      <c r="B8069" s="17" t="str">
        <f>HYPERLINK("https://otsuka-europe-crm.veevavault.com/ui/#object/vcountry__v/VENZ000004SONFA", "FR")</f>
        <v>FR</v>
      </c>
      <c r="C8069" s="20" t="s">
        <v>42</v>
      </c>
      <c r="D8069" s="21" t="str">
        <f>HYPERLINK("https://otsuka-europe-crm.veevavault.com/ui/#object/approved_document__v/V5O00000000P003", "FR-AM2-2500027")</f>
        <v>FR-AM2-2500027</v>
      </c>
      <c r="E8069" s="22" t="str">
        <f>HYPERLINK("https://otsuka-europe-crm.veevavault.com/ui/#object/sent_email__v/VBL00000002S654", "SE-001435236")</f>
        <v>SE-001435236</v>
      </c>
      <c r="F8069" s="23">
        <v>46199.550208333334</v>
      </c>
      <c r="G8069" s="24">
        <v>1</v>
      </c>
      <c r="H8069" s="24">
        <v>3</v>
      </c>
      <c r="I8069" s="24">
        <v>0</v>
      </c>
      <c r="J8069" s="25"/>
      <c r="K8069" s="24">
        <v>0</v>
      </c>
      <c r="L8069" s="22" t="str">
        <f>HYPERLINK("https://otsuka-europe-crm.veevavault.com/ui/#object/approved_document__v/V5O00000000P003", "FR-AM2-2500027")</f>
        <v>FR-AM2-2500027</v>
      </c>
      <c r="M8069" s="22" t="str">
        <f>HYPERLINK("mailto:ssaouab@crm.otsuka-europe.com", "ssaouab@crm.otsuka-europe.com")</f>
        <v>ssaouab@crm.otsuka-europe.com</v>
      </c>
      <c r="N8069" s="23">
        <v>46182.804247685184</v>
      </c>
      <c r="O8069" s="14" t="str">
        <f>HYPERLINK("https://otsuka-europe-crm.veevavault.com/ui/#object/email_activity__v/V8C00000003S349", "EN-002093599")</f>
        <v>EN-002093599</v>
      </c>
    </row>
    <row r="8070" spans="1:15" ht="16" x14ac:dyDescent="0.2">
      <c r="A8070" s="18"/>
      <c r="B8070" s="18"/>
      <c r="C8070" s="18"/>
      <c r="D8070" s="18"/>
      <c r="E8070" s="18"/>
      <c r="F8070" s="18"/>
      <c r="G8070" s="18"/>
      <c r="H8070" s="18"/>
      <c r="I8070" s="18"/>
      <c r="J8070" s="18"/>
      <c r="K8070" s="18"/>
      <c r="L8070" s="18"/>
      <c r="M8070" s="18"/>
      <c r="N8070" s="18"/>
      <c r="O8070" s="14" t="str">
        <f>HYPERLINK("https://otsuka-europe-crm.veevavault.com/ui/#object/email_activity__v/V8C00000003T157", "EN-002093879")</f>
        <v>EN-002093879</v>
      </c>
    </row>
    <row r="8071" spans="1:15" ht="16" x14ac:dyDescent="0.2">
      <c r="A8071" s="18"/>
      <c r="B8071" s="18"/>
      <c r="C8071" s="18"/>
      <c r="D8071" s="18"/>
      <c r="E8071" s="18"/>
      <c r="F8071" s="18"/>
      <c r="G8071" s="18"/>
      <c r="H8071" s="18"/>
      <c r="I8071" s="18"/>
      <c r="J8071" s="18"/>
      <c r="K8071" s="18"/>
      <c r="L8071" s="18"/>
      <c r="M8071" s="18"/>
      <c r="N8071" s="18"/>
      <c r="O8071" s="14" t="str">
        <f>HYPERLINK("https://otsuka-europe-crm.veevavault.com/ui/#object/email_activity__v/V8C00000003Z496", "EN-002099680")</f>
        <v>EN-002099680</v>
      </c>
    </row>
    <row r="8072" spans="1:15" ht="16" x14ac:dyDescent="0.2">
      <c r="A8072" s="19"/>
      <c r="B8072" s="19"/>
      <c r="C8072" s="19"/>
      <c r="D8072" s="19"/>
      <c r="E8072" s="19"/>
      <c r="F8072" s="19"/>
      <c r="G8072" s="19"/>
      <c r="H8072" s="19"/>
      <c r="I8072" s="19"/>
      <c r="J8072" s="19"/>
      <c r="K8072" s="19"/>
      <c r="L8072" s="19"/>
      <c r="M8072" s="19"/>
      <c r="N8072" s="19"/>
      <c r="O8072" s="14" t="str">
        <f>HYPERLINK("https://otsuka-europe-crm.veevavault.com/ui/#object/email_activity__v/V8C000000042160", "EN-002100044")</f>
        <v>EN-002100044</v>
      </c>
    </row>
    <row r="8073" spans="1:15" ht="48" x14ac:dyDescent="0.2">
      <c r="A8073" s="7" t="str">
        <f>HYPERLINK("https://otsuka-europe-crm.veevavault.com/ui/#object/account__v/V4TZ00000633YR8", "HAMID SI CHAIB")</f>
        <v>HAMID SI CHAIB</v>
      </c>
      <c r="B8073" s="7" t="str">
        <f>HYPERLINK("https://otsuka-europe-crm.veevavault.com/ui/#object/vcountry__v/VENZ000004SONFA", "FR")</f>
        <v>FR</v>
      </c>
      <c r="C8073" s="8" t="s">
        <v>42</v>
      </c>
      <c r="D8073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8073" s="10" t="str">
        <f>HYPERLINK("https://otsuka-europe-crm.veevavault.com/ui/#object/sent_email__v/VBL00000002R554", "SE-001435237")</f>
        <v>SE-001435237</v>
      </c>
      <c r="F8073" s="11"/>
      <c r="G8073" s="12">
        <v>0</v>
      </c>
      <c r="H8073" s="12">
        <v>0</v>
      </c>
      <c r="I8073" s="12">
        <v>0</v>
      </c>
      <c r="J8073" s="11"/>
      <c r="K8073" s="12">
        <v>0</v>
      </c>
      <c r="L8073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8073" s="10" t="str">
        <f>HYPERLINK("mailto:ssaouab@crm.otsuka-europe.com", "ssaouab@crm.otsuka-europe.com")</f>
        <v>ssaouab@crm.otsuka-europe.com</v>
      </c>
      <c r="N8073" s="13">
        <v>46182.804467592592</v>
      </c>
      <c r="O8073" s="14" t="str">
        <f>HYPERLINK("https://otsuka-europe-crm.veevavault.com/ui/#object/email_activity__v/V8C00000003S353", "EN-002093603")</f>
        <v>EN-002093603</v>
      </c>
    </row>
    <row r="8074" spans="1:15" ht="32" x14ac:dyDescent="0.2">
      <c r="A8074" s="7" t="str">
        <f>HYPERLINK("https://otsuka-europe-crm.veevavault.com/ui/#object/account__v/V4TZ00000633YR8", "HAMID SI CHAIB")</f>
        <v>HAMID SI CHAIB</v>
      </c>
      <c r="B8074" s="7" t="str">
        <f>HYPERLINK("https://otsuka-europe-crm.veevavault.com/ui/#object/vcountry__v/VENZ000004SONFA", "FR")</f>
        <v>FR</v>
      </c>
      <c r="C8074" s="8" t="s">
        <v>42</v>
      </c>
      <c r="D8074" s="9" t="str">
        <f>HYPERLINK("https://otsuka-europe-crm.veevavault.com/ui/#object/approved_document__v/V5O00000000P003", "FR-AM2-2500027")</f>
        <v>FR-AM2-2500027</v>
      </c>
      <c r="E8074" s="10" t="str">
        <f>HYPERLINK("https://otsuka-europe-crm.veevavault.com/ui/#object/sent_email__v/VBL00000002R555", "SE-001435238")</f>
        <v>SE-001435238</v>
      </c>
      <c r="F8074" s="11"/>
      <c r="G8074" s="12">
        <v>0</v>
      </c>
      <c r="H8074" s="12">
        <v>0</v>
      </c>
      <c r="I8074" s="12">
        <v>0</v>
      </c>
      <c r="J8074" s="11"/>
      <c r="K8074" s="12">
        <v>0</v>
      </c>
      <c r="L8074" s="10" t="str">
        <f>HYPERLINK("https://otsuka-europe-crm.veevavault.com/ui/#object/approved_document__v/V5O00000000P003", "FR-AM2-2500027")</f>
        <v>FR-AM2-2500027</v>
      </c>
      <c r="M8074" s="10" t="str">
        <f>HYPERLINK("mailto:ssaouab@crm.otsuka-europe.com", "ssaouab@crm.otsuka-europe.com")</f>
        <v>ssaouab@crm.otsuka-europe.com</v>
      </c>
      <c r="N8074" s="13">
        <v>46182.804571759261</v>
      </c>
      <c r="O8074" s="14" t="str">
        <f>HYPERLINK("https://otsuka-europe-crm.veevavault.com/ui/#object/email_activity__v/V8C00000003S352", "EN-002093602")</f>
        <v>EN-002093602</v>
      </c>
    </row>
    <row r="8075" spans="1:15" ht="16" x14ac:dyDescent="0.2">
      <c r="A8075" s="17" t="str">
        <f>HYPERLINK("https://otsuka-europe-crm.veevavault.com/ui/#object/account__v/V4TZ00000633YVO", "FREDERIC SLAMA")</f>
        <v>FREDERIC SLAMA</v>
      </c>
      <c r="B8075" s="17" t="str">
        <f>HYPERLINK("https://otsuka-europe-crm.veevavault.com/ui/#object/vcountry__v/VENZ000004SONFA", "FR")</f>
        <v>FR</v>
      </c>
      <c r="C8075" s="20" t="s">
        <v>42</v>
      </c>
      <c r="D8075" s="21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8075" s="22" t="str">
        <f>HYPERLINK("https://otsuka-europe-crm.veevavault.com/ui/#object/sent_email__v/VBL00000002S655", "SE-001435239")</f>
        <v>SE-001435239</v>
      </c>
      <c r="F8075" s="23">
        <v>46182.832291666666</v>
      </c>
      <c r="G8075" s="24">
        <v>1</v>
      </c>
      <c r="H8075" s="24">
        <v>1</v>
      </c>
      <c r="I8075" s="24">
        <v>0</v>
      </c>
      <c r="J8075" s="25"/>
      <c r="K8075" s="24">
        <v>0</v>
      </c>
      <c r="L8075" s="22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8075" s="22" t="str">
        <f>HYPERLINK("mailto:ssaouab@crm.otsuka-europe.com", "ssaouab@crm.otsuka-europe.com")</f>
        <v>ssaouab@crm.otsuka-europe.com</v>
      </c>
      <c r="N8075" s="23">
        <v>46182.8049537037</v>
      </c>
      <c r="O8075" s="14" t="str">
        <f>HYPERLINK("https://otsuka-europe-crm.veevavault.com/ui/#object/email_activity__v/V8C00000003S354", "EN-002093604")</f>
        <v>EN-002093604</v>
      </c>
    </row>
    <row r="8076" spans="1:15" ht="16" x14ac:dyDescent="0.2">
      <c r="A8076" s="19"/>
      <c r="B8076" s="19"/>
      <c r="C8076" s="19"/>
      <c r="D8076" s="19"/>
      <c r="E8076" s="19"/>
      <c r="F8076" s="19"/>
      <c r="G8076" s="19"/>
      <c r="H8076" s="19"/>
      <c r="I8076" s="19"/>
      <c r="J8076" s="19"/>
      <c r="K8076" s="19"/>
      <c r="L8076" s="19"/>
      <c r="M8076" s="19"/>
      <c r="N8076" s="19"/>
      <c r="O8076" s="14" t="str">
        <f>HYPERLINK("https://otsuka-europe-crm.veevavault.com/ui/#object/email_activity__v/V8C00000003T045", "EN-002093663")</f>
        <v>EN-002093663</v>
      </c>
    </row>
    <row r="8077" spans="1:15" ht="16" x14ac:dyDescent="0.2">
      <c r="A8077" s="17" t="str">
        <f>HYPERLINK("https://otsuka-europe-crm.veevavault.com/ui/#object/account__v/V4TZ00000633YVO", "FREDERIC SLAMA")</f>
        <v>FREDERIC SLAMA</v>
      </c>
      <c r="B8077" s="17" t="str">
        <f>HYPERLINK("https://otsuka-europe-crm.veevavault.com/ui/#object/vcountry__v/VENZ000004SONFA", "FR")</f>
        <v>FR</v>
      </c>
      <c r="C8077" s="20" t="s">
        <v>42</v>
      </c>
      <c r="D8077" s="21" t="str">
        <f>HYPERLINK("https://otsuka-europe-crm.veevavault.com/ui/#object/approved_document__v/V5O00000000P003", "FR-AM2-2500027")</f>
        <v>FR-AM2-2500027</v>
      </c>
      <c r="E8077" s="22" t="str">
        <f>HYPERLINK("https://otsuka-europe-crm.veevavault.com/ui/#object/sent_email__v/VBL00000002S656", "SE-001435240")</f>
        <v>SE-001435240</v>
      </c>
      <c r="F8077" s="23">
        <v>46183.625347222223</v>
      </c>
      <c r="G8077" s="24">
        <v>1</v>
      </c>
      <c r="H8077" s="24">
        <v>3</v>
      </c>
      <c r="I8077" s="24">
        <v>0</v>
      </c>
      <c r="J8077" s="25"/>
      <c r="K8077" s="24">
        <v>0</v>
      </c>
      <c r="L8077" s="22" t="str">
        <f>HYPERLINK("https://otsuka-europe-crm.veevavault.com/ui/#object/approved_document__v/V5O00000000P003", "FR-AM2-2500027")</f>
        <v>FR-AM2-2500027</v>
      </c>
      <c r="M8077" s="22" t="str">
        <f>HYPERLINK("mailto:ssaouab@crm.otsuka-europe.com", "ssaouab@crm.otsuka-europe.com")</f>
        <v>ssaouab@crm.otsuka-europe.com</v>
      </c>
      <c r="N8077" s="23">
        <v>46182.805162037039</v>
      </c>
      <c r="O8077" s="14" t="str">
        <f>HYPERLINK("https://otsuka-europe-crm.veevavault.com/ui/#object/email_activity__v/V8C00000003S355", "EN-002093605")</f>
        <v>EN-002093605</v>
      </c>
    </row>
    <row r="8078" spans="1:15" ht="16" x14ac:dyDescent="0.2">
      <c r="A8078" s="18"/>
      <c r="B8078" s="18"/>
      <c r="C8078" s="18"/>
      <c r="D8078" s="18"/>
      <c r="E8078" s="18"/>
      <c r="F8078" s="18"/>
      <c r="G8078" s="18"/>
      <c r="H8078" s="18"/>
      <c r="I8078" s="18"/>
      <c r="J8078" s="18"/>
      <c r="K8078" s="18"/>
      <c r="L8078" s="18"/>
      <c r="M8078" s="18"/>
      <c r="N8078" s="18"/>
      <c r="O8078" s="14" t="str">
        <f>HYPERLINK("https://otsuka-europe-crm.veevavault.com/ui/#object/email_activity__v/V8C00000003S697", "EN-002094283")</f>
        <v>EN-002094283</v>
      </c>
    </row>
    <row r="8079" spans="1:15" ht="16" x14ac:dyDescent="0.2">
      <c r="A8079" s="18"/>
      <c r="B8079" s="18"/>
      <c r="C8079" s="18"/>
      <c r="D8079" s="18"/>
      <c r="E8079" s="18"/>
      <c r="F8079" s="18"/>
      <c r="G8079" s="18"/>
      <c r="H8079" s="18"/>
      <c r="I8079" s="18"/>
      <c r="J8079" s="18"/>
      <c r="K8079" s="18"/>
      <c r="L8079" s="18"/>
      <c r="M8079" s="18"/>
      <c r="N8079" s="18"/>
      <c r="O8079" s="14" t="str">
        <f>HYPERLINK("https://otsuka-europe-crm.veevavault.com/ui/#object/email_activity__v/V8C00000003T046", "EN-002093664")</f>
        <v>EN-002093664</v>
      </c>
    </row>
    <row r="8080" spans="1:15" ht="16" x14ac:dyDescent="0.2">
      <c r="A8080" s="19"/>
      <c r="B8080" s="19"/>
      <c r="C8080" s="19"/>
      <c r="D8080" s="19"/>
      <c r="E8080" s="19"/>
      <c r="F8080" s="19"/>
      <c r="G8080" s="19"/>
      <c r="H8080" s="19"/>
      <c r="I8080" s="19"/>
      <c r="J8080" s="19"/>
      <c r="K8080" s="19"/>
      <c r="L8080" s="19"/>
      <c r="M8080" s="19"/>
      <c r="N8080" s="19"/>
      <c r="O8080" s="14" t="str">
        <f>HYPERLINK("https://otsuka-europe-crm.veevavault.com/ui/#object/email_activity__v/V8C00000003T351", "EN-002094282")</f>
        <v>EN-002094282</v>
      </c>
    </row>
    <row r="8081" spans="1:15" ht="48" x14ac:dyDescent="0.2">
      <c r="A8081" s="7" t="str">
        <f>HYPERLINK("https://otsuka-europe-crm.veevavault.com/ui/#object/account__v/V4TZ00000633VS1", "LAURENCE STAMATIADIS MOURADIAN")</f>
        <v>LAURENCE STAMATIADIS MOURADIAN</v>
      </c>
      <c r="B8081" s="7" t="str">
        <f t="shared" ref="B8081:B8086" si="652">HYPERLINK("https://otsuka-europe-crm.veevavault.com/ui/#object/vcountry__v/VENZ000004SONFA", "FR")</f>
        <v>FR</v>
      </c>
      <c r="C8081" s="8" t="s">
        <v>42</v>
      </c>
      <c r="D8081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8081" s="10" t="str">
        <f>HYPERLINK("https://otsuka-europe-crm.veevavault.com/ui/#object/sent_email__v/VBL00000002R556", "SE-001435241")</f>
        <v>SE-001435241</v>
      </c>
      <c r="F8081" s="11"/>
      <c r="G8081" s="12">
        <v>0</v>
      </c>
      <c r="H8081" s="12">
        <v>0</v>
      </c>
      <c r="I8081" s="12">
        <v>0</v>
      </c>
      <c r="J8081" s="11"/>
      <c r="K8081" s="12">
        <v>0</v>
      </c>
      <c r="L8081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8081" s="10" t="str">
        <f t="shared" ref="M8081:M8086" si="653">HYPERLINK("mailto:ssaouab@crm.otsuka-europe.com", "ssaouab@crm.otsuka-europe.com")</f>
        <v>ssaouab@crm.otsuka-europe.com</v>
      </c>
      <c r="N8081" s="13">
        <v>46182.805659722224</v>
      </c>
      <c r="O8081" s="14" t="str">
        <f>HYPERLINK("https://otsuka-europe-crm.veevavault.com/ui/#object/email_activity__v/V8C00000003S382", "EN-002093659")</f>
        <v>EN-002093659</v>
      </c>
    </row>
    <row r="8082" spans="1:15" ht="32" x14ac:dyDescent="0.2">
      <c r="A8082" s="7" t="str">
        <f>HYPERLINK("https://otsuka-europe-crm.veevavault.com/ui/#object/account__v/V4TZ00000633VS1", "LAURENCE STAMATIADIS MOURADIAN")</f>
        <v>LAURENCE STAMATIADIS MOURADIAN</v>
      </c>
      <c r="B8082" s="7" t="str">
        <f t="shared" si="652"/>
        <v>FR</v>
      </c>
      <c r="C8082" s="8" t="s">
        <v>42</v>
      </c>
      <c r="D8082" s="9" t="str">
        <f>HYPERLINK("https://otsuka-europe-crm.veevavault.com/ui/#object/approved_document__v/V5O00000000P003", "FR-AM2-2500027")</f>
        <v>FR-AM2-2500027</v>
      </c>
      <c r="E8082" s="10" t="str">
        <f>HYPERLINK("https://otsuka-europe-crm.veevavault.com/ui/#object/sent_email__v/VBL00000002R557", "SE-001435242")</f>
        <v>SE-001435242</v>
      </c>
      <c r="F8082" s="11"/>
      <c r="G8082" s="12">
        <v>0</v>
      </c>
      <c r="H8082" s="12">
        <v>0</v>
      </c>
      <c r="I8082" s="12">
        <v>0</v>
      </c>
      <c r="J8082" s="11"/>
      <c r="K8082" s="12">
        <v>0</v>
      </c>
      <c r="L8082" s="10" t="str">
        <f>HYPERLINK("https://otsuka-europe-crm.veevavault.com/ui/#object/approved_document__v/V5O00000000P003", "FR-AM2-2500027")</f>
        <v>FR-AM2-2500027</v>
      </c>
      <c r="M8082" s="10" t="str">
        <f t="shared" si="653"/>
        <v>ssaouab@crm.otsuka-europe.com</v>
      </c>
      <c r="N8082" s="13">
        <v>46182.805752314816</v>
      </c>
      <c r="O8082" s="14" t="str">
        <f>HYPERLINK("https://otsuka-europe-crm.veevavault.com/ui/#object/email_activity__v/V8C00000003S376", "EN-002093632")</f>
        <v>EN-002093632</v>
      </c>
    </row>
    <row r="8083" spans="1:15" ht="48" x14ac:dyDescent="0.2">
      <c r="A8083" s="7" t="str">
        <f>HYPERLINK("https://otsuka-europe-crm.veevavault.com/ui/#object/account__v/V4TZ00000633YZT", "NOUR EDDINE TAIEB TAMACHA")</f>
        <v>NOUR EDDINE TAIEB TAMACHA</v>
      </c>
      <c r="B8083" s="7" t="str">
        <f t="shared" si="652"/>
        <v>FR</v>
      </c>
      <c r="C8083" s="8" t="s">
        <v>42</v>
      </c>
      <c r="D8083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8083" s="10" t="str">
        <f>HYPERLINK("https://otsuka-europe-crm.veevavault.com/ui/#object/sent_email__v/VBL00000002R558", "SE-001435243")</f>
        <v>SE-001435243</v>
      </c>
      <c r="F8083" s="11"/>
      <c r="G8083" s="12">
        <v>0</v>
      </c>
      <c r="H8083" s="12">
        <v>0</v>
      </c>
      <c r="I8083" s="12">
        <v>0</v>
      </c>
      <c r="J8083" s="11"/>
      <c r="K8083" s="12">
        <v>0</v>
      </c>
      <c r="L8083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8083" s="10" t="str">
        <f t="shared" si="653"/>
        <v>ssaouab@crm.otsuka-europe.com</v>
      </c>
      <c r="N8083" s="13">
        <v>46182.806006944447</v>
      </c>
      <c r="O8083" s="14" t="str">
        <f>HYPERLINK("https://otsuka-europe-crm.veevavault.com/ui/#object/email_activity__v/V8C00000003S357", "EN-002093607")</f>
        <v>EN-002093607</v>
      </c>
    </row>
    <row r="8084" spans="1:15" ht="48" x14ac:dyDescent="0.2">
      <c r="A8084" s="7" t="str">
        <f>HYPERLINK("https://otsuka-europe-crm.veevavault.com/ui/#object/account__v/V4TZ00000633YZT", "NOUR EDDINE TAIEB TAMACHA")</f>
        <v>NOUR EDDINE TAIEB TAMACHA</v>
      </c>
      <c r="B8084" s="7" t="str">
        <f t="shared" si="652"/>
        <v>FR</v>
      </c>
      <c r="C8084" s="8" t="s">
        <v>42</v>
      </c>
      <c r="D8084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8084" s="10" t="str">
        <f>HYPERLINK("https://otsuka-europe-crm.veevavault.com/ui/#object/sent_email__v/VBL00000002S657", "SE-001435244")</f>
        <v>SE-001435244</v>
      </c>
      <c r="F8084" s="11"/>
      <c r="G8084" s="12">
        <v>0</v>
      </c>
      <c r="H8084" s="12">
        <v>0</v>
      </c>
      <c r="I8084" s="12">
        <v>0</v>
      </c>
      <c r="J8084" s="11"/>
      <c r="K8084" s="12">
        <v>0</v>
      </c>
      <c r="L8084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8084" s="10" t="str">
        <f t="shared" si="653"/>
        <v>ssaouab@crm.otsuka-europe.com</v>
      </c>
      <c r="N8084" s="13">
        <v>46182.806076388886</v>
      </c>
      <c r="O8084" s="14" t="str">
        <f>HYPERLINK("https://otsuka-europe-crm.veevavault.com/ui/#object/email_activity__v/V8C00000003S358", "EN-002093608")</f>
        <v>EN-002093608</v>
      </c>
    </row>
    <row r="8085" spans="1:15" ht="32" x14ac:dyDescent="0.2">
      <c r="A8085" s="7" t="str">
        <f>HYPERLINK("https://otsuka-europe-crm.veevavault.com/ui/#object/account__v/V4TZ00000633YZT", "NOUR EDDINE TAIEB TAMACHA")</f>
        <v>NOUR EDDINE TAIEB TAMACHA</v>
      </c>
      <c r="B8085" s="7" t="str">
        <f t="shared" si="652"/>
        <v>FR</v>
      </c>
      <c r="C8085" s="8" t="s">
        <v>42</v>
      </c>
      <c r="D8085" s="9" t="str">
        <f>HYPERLINK("https://otsuka-europe-crm.veevavault.com/ui/#object/approved_document__v/V5O00000000P003", "FR-AM2-2500027")</f>
        <v>FR-AM2-2500027</v>
      </c>
      <c r="E8085" s="10" t="str">
        <f>HYPERLINK("https://otsuka-europe-crm.veevavault.com/ui/#object/sent_email__v/VBL00000002R559", "SE-001435245")</f>
        <v>SE-001435245</v>
      </c>
      <c r="F8085" s="11"/>
      <c r="G8085" s="12">
        <v>0</v>
      </c>
      <c r="H8085" s="12">
        <v>0</v>
      </c>
      <c r="I8085" s="12">
        <v>0</v>
      </c>
      <c r="J8085" s="11"/>
      <c r="K8085" s="12">
        <v>0</v>
      </c>
      <c r="L8085" s="10" t="str">
        <f>HYPERLINK("https://otsuka-europe-crm.veevavault.com/ui/#object/approved_document__v/V5O00000000P003", "FR-AM2-2500027")</f>
        <v>FR-AM2-2500027</v>
      </c>
      <c r="M8085" s="10" t="str">
        <f t="shared" si="653"/>
        <v>ssaouab@crm.otsuka-europe.com</v>
      </c>
      <c r="N8085" s="13">
        <v>46182.806342592594</v>
      </c>
      <c r="O8085" s="14" t="str">
        <f>HYPERLINK("https://otsuka-europe-crm.veevavault.com/ui/#object/email_activity__v/V8C00000003S359", "EN-002093609")</f>
        <v>EN-002093609</v>
      </c>
    </row>
    <row r="8086" spans="1:15" ht="16" x14ac:dyDescent="0.2">
      <c r="A8086" s="17" t="str">
        <f>HYPERLINK("https://otsuka-europe-crm.veevavault.com/ui/#object/account__v/V4TZ04ASGBNGJQ8", "GAOUSSOU TAMBOURA")</f>
        <v>GAOUSSOU TAMBOURA</v>
      </c>
      <c r="B8086" s="17" t="str">
        <f t="shared" si="652"/>
        <v>FR</v>
      </c>
      <c r="C8086" s="20" t="s">
        <v>42</v>
      </c>
      <c r="D8086" s="21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8086" s="22" t="str">
        <f>HYPERLINK("https://otsuka-europe-crm.veevavault.com/ui/#object/sent_email__v/VBL00000002R560", "SE-001435246")</f>
        <v>SE-001435246</v>
      </c>
      <c r="F8086" s="23">
        <v>46182.846319444441</v>
      </c>
      <c r="G8086" s="24">
        <v>1</v>
      </c>
      <c r="H8086" s="24">
        <v>2</v>
      </c>
      <c r="I8086" s="24">
        <v>1</v>
      </c>
      <c r="J8086" s="23">
        <v>46182.823298611111</v>
      </c>
      <c r="K8086" s="24">
        <v>2</v>
      </c>
      <c r="L8086" s="22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8086" s="22" t="str">
        <f t="shared" si="653"/>
        <v>ssaouab@crm.otsuka-europe.com</v>
      </c>
      <c r="N8086" s="23">
        <v>46182.806689814817</v>
      </c>
      <c r="O8086" s="14" t="str">
        <f>HYPERLINK("https://otsuka-europe-crm.veevavault.com/ui/#object/email_activity__v/V8C00000003S360", "EN-002093610")</f>
        <v>EN-002093610</v>
      </c>
    </row>
    <row r="8087" spans="1:15" ht="16" x14ac:dyDescent="0.2">
      <c r="A8087" s="18"/>
      <c r="B8087" s="18"/>
      <c r="C8087" s="18"/>
      <c r="D8087" s="18"/>
      <c r="E8087" s="18"/>
      <c r="F8087" s="18"/>
      <c r="G8087" s="18"/>
      <c r="H8087" s="18"/>
      <c r="I8087" s="18"/>
      <c r="J8087" s="18"/>
      <c r="K8087" s="18"/>
      <c r="L8087" s="18"/>
      <c r="M8087" s="18"/>
      <c r="N8087" s="18"/>
      <c r="O8087" s="14" t="str">
        <f>HYPERLINK("https://otsuka-europe-crm.veevavault.com/ui/#object/email_activity__v/V8C00000003S381", "EN-002093650")</f>
        <v>EN-002093650</v>
      </c>
    </row>
    <row r="8088" spans="1:15" ht="16" x14ac:dyDescent="0.2">
      <c r="A8088" s="18"/>
      <c r="B8088" s="18"/>
      <c r="C8088" s="18"/>
      <c r="D8088" s="18"/>
      <c r="E8088" s="18"/>
      <c r="F8088" s="18"/>
      <c r="G8088" s="18"/>
      <c r="H8088" s="18"/>
      <c r="I8088" s="18"/>
      <c r="J8088" s="18"/>
      <c r="K8088" s="18"/>
      <c r="L8088" s="18"/>
      <c r="M8088" s="18"/>
      <c r="N8088" s="18"/>
      <c r="O8088" s="14" t="str">
        <f>HYPERLINK("https://otsuka-europe-crm.veevavault.com/ui/#object/email_activity__v/V8C00000003S388", "EN-002093682")</f>
        <v>EN-002093682</v>
      </c>
    </row>
    <row r="8089" spans="1:15" ht="16" x14ac:dyDescent="0.2">
      <c r="A8089" s="18"/>
      <c r="B8089" s="18"/>
      <c r="C8089" s="18"/>
      <c r="D8089" s="18"/>
      <c r="E8089" s="18"/>
      <c r="F8089" s="18"/>
      <c r="G8089" s="18"/>
      <c r="H8089" s="18"/>
      <c r="I8089" s="18"/>
      <c r="J8089" s="18"/>
      <c r="K8089" s="18"/>
      <c r="L8089" s="18"/>
      <c r="M8089" s="18"/>
      <c r="N8089" s="18"/>
      <c r="O8089" s="14" t="str">
        <f>HYPERLINK("https://otsuka-europe-crm.veevavault.com/ui/#object/email_activity__v/V8C00000003T037", "EN-002093653")</f>
        <v>EN-002093653</v>
      </c>
    </row>
    <row r="8090" spans="1:15" ht="16" x14ac:dyDescent="0.2">
      <c r="A8090" s="18"/>
      <c r="B8090" s="18"/>
      <c r="C8090" s="18"/>
      <c r="D8090" s="18"/>
      <c r="E8090" s="18"/>
      <c r="F8090" s="18"/>
      <c r="G8090" s="18"/>
      <c r="H8090" s="18"/>
      <c r="I8090" s="18"/>
      <c r="J8090" s="18"/>
      <c r="K8090" s="18"/>
      <c r="L8090" s="18"/>
      <c r="M8090" s="18"/>
      <c r="N8090" s="18"/>
      <c r="O8090" s="14" t="str">
        <f>HYPERLINK("https://otsuka-europe-crm.veevavault.com/ui/#object/email_activity__v/V8C00000003T038", "EN-002093654")</f>
        <v>EN-002093654</v>
      </c>
    </row>
    <row r="8091" spans="1:15" ht="16" x14ac:dyDescent="0.2">
      <c r="A8091" s="18"/>
      <c r="B8091" s="18"/>
      <c r="C8091" s="18"/>
      <c r="D8091" s="18"/>
      <c r="E8091" s="18"/>
      <c r="F8091" s="18"/>
      <c r="G8091" s="18"/>
      <c r="H8091" s="18"/>
      <c r="I8091" s="18"/>
      <c r="J8091" s="18"/>
      <c r="K8091" s="18"/>
      <c r="L8091" s="18"/>
      <c r="M8091" s="18"/>
      <c r="N8091" s="18"/>
      <c r="O8091" s="14" t="str">
        <f>HYPERLINK("https://otsuka-europe-crm.veevavault.com/ui/#object/email_activity__v/V8C00000003T048", "EN-002093669")</f>
        <v>EN-002093669</v>
      </c>
    </row>
    <row r="8092" spans="1:15" ht="16" x14ac:dyDescent="0.2">
      <c r="A8092" s="19"/>
      <c r="B8092" s="19"/>
      <c r="C8092" s="19"/>
      <c r="D8092" s="19"/>
      <c r="E8092" s="19"/>
      <c r="F8092" s="19"/>
      <c r="G8092" s="19"/>
      <c r="H8092" s="19"/>
      <c r="I8092" s="19"/>
      <c r="J8092" s="19"/>
      <c r="K8092" s="19"/>
      <c r="L8092" s="19"/>
      <c r="M8092" s="19"/>
      <c r="N8092" s="19"/>
      <c r="O8092" s="14" t="str">
        <f>HYPERLINK("https://otsuka-europe-crm.veevavault.com/ui/#object/email_activity__v/V8C00000003T049", "EN-002093670")</f>
        <v>EN-002093670</v>
      </c>
    </row>
    <row r="8093" spans="1:15" ht="16" x14ac:dyDescent="0.2">
      <c r="A8093" s="17" t="str">
        <f>HYPERLINK("https://otsuka-europe-crm.veevavault.com/ui/#object/account__v/V4TZ04ASGBNGJQ8", "GAOUSSOU TAMBOURA")</f>
        <v>GAOUSSOU TAMBOURA</v>
      </c>
      <c r="B8093" s="17" t="str">
        <f>HYPERLINK("https://otsuka-europe-crm.veevavault.com/ui/#object/vcountry__v/VENZ000004SONFA", "FR")</f>
        <v>FR</v>
      </c>
      <c r="C8093" s="20" t="s">
        <v>42</v>
      </c>
      <c r="D8093" s="21" t="str">
        <f>HYPERLINK("https://otsuka-europe-crm.veevavault.com/ui/#object/approved_document__v/V5O00000000P003", "FR-AM2-2500027")</f>
        <v>FR-AM2-2500027</v>
      </c>
      <c r="E8093" s="22" t="str">
        <f>HYPERLINK("https://otsuka-europe-crm.veevavault.com/ui/#object/sent_email__v/VBL00000002R561", "SE-001435247")</f>
        <v>SE-001435247</v>
      </c>
      <c r="F8093" s="23">
        <v>46182.846250000002</v>
      </c>
      <c r="G8093" s="24">
        <v>1</v>
      </c>
      <c r="H8093" s="24">
        <v>2</v>
      </c>
      <c r="I8093" s="24">
        <v>0</v>
      </c>
      <c r="J8093" s="25"/>
      <c r="K8093" s="24">
        <v>0</v>
      </c>
      <c r="L8093" s="22" t="str">
        <f>HYPERLINK("https://otsuka-europe-crm.veevavault.com/ui/#object/approved_document__v/V5O00000000P003", "FR-AM2-2500027")</f>
        <v>FR-AM2-2500027</v>
      </c>
      <c r="M8093" s="22" t="str">
        <f>HYPERLINK("mailto:ssaouab@crm.otsuka-europe.com", "ssaouab@crm.otsuka-europe.com")</f>
        <v>ssaouab@crm.otsuka-europe.com</v>
      </c>
      <c r="N8093" s="23">
        <v>46182.806863425925</v>
      </c>
      <c r="O8093" s="14" t="str">
        <f>HYPERLINK("https://otsuka-europe-crm.veevavault.com/ui/#object/email_activity__v/V8C00000003S361", "EN-002093611")</f>
        <v>EN-002093611</v>
      </c>
    </row>
    <row r="8094" spans="1:15" ht="16" x14ac:dyDescent="0.2">
      <c r="A8094" s="18"/>
      <c r="B8094" s="18"/>
      <c r="C8094" s="18"/>
      <c r="D8094" s="18"/>
      <c r="E8094" s="18"/>
      <c r="F8094" s="18"/>
      <c r="G8094" s="18"/>
      <c r="H8094" s="18"/>
      <c r="I8094" s="18"/>
      <c r="J8094" s="18"/>
      <c r="K8094" s="18"/>
      <c r="L8094" s="18"/>
      <c r="M8094" s="18"/>
      <c r="N8094" s="18"/>
      <c r="O8094" s="14" t="str">
        <f>HYPERLINK("https://otsuka-europe-crm.veevavault.com/ui/#object/email_activity__v/V8C00000003T039", "EN-002093655")</f>
        <v>EN-002093655</v>
      </c>
    </row>
    <row r="8095" spans="1:15" ht="16" x14ac:dyDescent="0.2">
      <c r="A8095" s="19"/>
      <c r="B8095" s="19"/>
      <c r="C8095" s="19"/>
      <c r="D8095" s="19"/>
      <c r="E8095" s="19"/>
      <c r="F8095" s="19"/>
      <c r="G8095" s="19"/>
      <c r="H8095" s="19"/>
      <c r="I8095" s="19"/>
      <c r="J8095" s="19"/>
      <c r="K8095" s="19"/>
      <c r="L8095" s="19"/>
      <c r="M8095" s="19"/>
      <c r="N8095" s="19"/>
      <c r="O8095" s="14" t="str">
        <f>HYPERLINK("https://otsuka-europe-crm.veevavault.com/ui/#object/email_activity__v/V8C00000003T059", "EN-002093681")</f>
        <v>EN-002093681</v>
      </c>
    </row>
    <row r="8096" spans="1:15" ht="16" x14ac:dyDescent="0.2">
      <c r="A8096" s="17" t="str">
        <f>HYPERLINK("https://otsuka-europe-crm.veevavault.com/ui/#object/account__v/V4TZ00000633ZHX", "NOR EDDINE TEDJINI")</f>
        <v>NOR EDDINE TEDJINI</v>
      </c>
      <c r="B8096" s="17" t="str">
        <f>HYPERLINK("https://otsuka-europe-crm.veevavault.com/ui/#object/vcountry__v/VENZ000004SONFA", "FR")</f>
        <v>FR</v>
      </c>
      <c r="C8096" s="20" t="s">
        <v>42</v>
      </c>
      <c r="D8096" s="21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8096" s="22" t="str">
        <f>HYPERLINK("https://otsuka-europe-crm.veevavault.com/ui/#object/sent_email__v/VBL00000002R562", "SE-001435248")</f>
        <v>SE-001435248</v>
      </c>
      <c r="F8096" s="25"/>
      <c r="G8096" s="24">
        <v>0</v>
      </c>
      <c r="H8096" s="24">
        <v>0</v>
      </c>
      <c r="I8096" s="24">
        <v>0</v>
      </c>
      <c r="J8096" s="25"/>
      <c r="K8096" s="24">
        <v>0</v>
      </c>
      <c r="L8096" s="22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8096" s="22" t="str">
        <f>HYPERLINK("mailto:ssaouab@crm.otsuka-europe.com", "ssaouab@crm.otsuka-europe.com")</f>
        <v>ssaouab@crm.otsuka-europe.com</v>
      </c>
      <c r="N8096" s="23">
        <v>46182.807222222225</v>
      </c>
      <c r="O8096" s="14" t="str">
        <f>HYPERLINK("https://otsuka-europe-crm.veevavault.com/ui/#object/email_activity__v/V8C00000003S363", "EN-002093613")</f>
        <v>EN-002093613</v>
      </c>
    </row>
    <row r="8097" spans="1:15" ht="16" x14ac:dyDescent="0.2">
      <c r="A8097" s="19"/>
      <c r="B8097" s="19"/>
      <c r="C8097" s="19"/>
      <c r="D8097" s="19"/>
      <c r="E8097" s="19"/>
      <c r="F8097" s="19"/>
      <c r="G8097" s="19"/>
      <c r="H8097" s="19"/>
      <c r="I8097" s="19"/>
      <c r="J8097" s="19"/>
      <c r="K8097" s="19"/>
      <c r="L8097" s="19"/>
      <c r="M8097" s="19"/>
      <c r="N8097" s="19"/>
      <c r="O8097" s="14" t="str">
        <f>HYPERLINK("https://otsuka-europe-crm.veevavault.com/ui/#object/email_activity__v/V8C00000003S418", "EN-002093736")</f>
        <v>EN-002093736</v>
      </c>
    </row>
    <row r="8098" spans="1:15" ht="16" x14ac:dyDescent="0.2">
      <c r="A8098" s="17" t="str">
        <f>HYPERLINK("https://otsuka-europe-crm.veevavault.com/ui/#object/account__v/V4TZ00000633ZHX", "NOR EDDINE TEDJINI")</f>
        <v>NOR EDDINE TEDJINI</v>
      </c>
      <c r="B8098" s="17" t="str">
        <f>HYPERLINK("https://otsuka-europe-crm.veevavault.com/ui/#object/vcountry__v/VENZ000004SONFA", "FR")</f>
        <v>FR</v>
      </c>
      <c r="C8098" s="20" t="s">
        <v>42</v>
      </c>
      <c r="D8098" s="21" t="str">
        <f>HYPERLINK("https://otsuka-europe-crm.veevavault.com/ui/#object/approved_document__v/V5O00000000P003", "FR-AM2-2500027")</f>
        <v>FR-AM2-2500027</v>
      </c>
      <c r="E8098" s="22" t="str">
        <f>HYPERLINK("https://otsuka-europe-crm.veevavault.com/ui/#object/sent_email__v/VBL00000002R563", "SE-001435249")</f>
        <v>SE-001435249</v>
      </c>
      <c r="F8098" s="25"/>
      <c r="G8098" s="24">
        <v>0</v>
      </c>
      <c r="H8098" s="24">
        <v>0</v>
      </c>
      <c r="I8098" s="24">
        <v>0</v>
      </c>
      <c r="J8098" s="25"/>
      <c r="K8098" s="24">
        <v>0</v>
      </c>
      <c r="L8098" s="22" t="str">
        <f>HYPERLINK("https://otsuka-europe-crm.veevavault.com/ui/#object/approved_document__v/V5O00000000P003", "FR-AM2-2500027")</f>
        <v>FR-AM2-2500027</v>
      </c>
      <c r="M8098" s="22" t="str">
        <f>HYPERLINK("mailto:ssaouab@crm.otsuka-europe.com", "ssaouab@crm.otsuka-europe.com")</f>
        <v>ssaouab@crm.otsuka-europe.com</v>
      </c>
      <c r="N8098" s="23">
        <v>46182.807326388887</v>
      </c>
      <c r="O8098" s="14" t="str">
        <f>HYPERLINK("https://otsuka-europe-crm.veevavault.com/ui/#object/email_activity__v/V8C00000003S365", "EN-002093615")</f>
        <v>EN-002093615</v>
      </c>
    </row>
    <row r="8099" spans="1:15" ht="16" x14ac:dyDescent="0.2">
      <c r="A8099" s="19"/>
      <c r="B8099" s="19"/>
      <c r="C8099" s="19"/>
      <c r="D8099" s="19"/>
      <c r="E8099" s="19"/>
      <c r="F8099" s="19"/>
      <c r="G8099" s="19"/>
      <c r="H8099" s="19"/>
      <c r="I8099" s="19"/>
      <c r="J8099" s="19"/>
      <c r="K8099" s="19"/>
      <c r="L8099" s="19"/>
      <c r="M8099" s="19"/>
      <c r="N8099" s="19"/>
      <c r="O8099" s="14" t="str">
        <f>HYPERLINK("https://otsuka-europe-crm.veevavault.com/ui/#object/email_activity__v/V8C00000003S417", "EN-002093735")</f>
        <v>EN-002093735</v>
      </c>
    </row>
    <row r="8100" spans="1:15" ht="16" x14ac:dyDescent="0.2">
      <c r="A8100" s="17" t="str">
        <f>HYPERLINK("https://otsuka-europe-crm.veevavault.com/ui/#object/account__v/V4TZ0000063407H", "MOHAMED TOUALBI")</f>
        <v>MOHAMED TOUALBI</v>
      </c>
      <c r="B8100" s="17" t="str">
        <f>HYPERLINK("https://otsuka-europe-crm.veevavault.com/ui/#object/vcountry__v/VENZ000004SONFA", "FR")</f>
        <v>FR</v>
      </c>
      <c r="C8100" s="20" t="s">
        <v>42</v>
      </c>
      <c r="D8100" s="21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8100" s="22" t="str">
        <f>HYPERLINK("https://otsuka-europe-crm.veevavault.com/ui/#object/sent_email__v/VBL00000002S658", "SE-001435250")</f>
        <v>SE-001435250</v>
      </c>
      <c r="F8100" s="23">
        <v>46182.851180555554</v>
      </c>
      <c r="G8100" s="24">
        <v>1</v>
      </c>
      <c r="H8100" s="24">
        <v>1</v>
      </c>
      <c r="I8100" s="24">
        <v>0</v>
      </c>
      <c r="J8100" s="25"/>
      <c r="K8100" s="24">
        <v>0</v>
      </c>
      <c r="L8100" s="22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8100" s="22" t="str">
        <f>HYPERLINK("mailto:ssaouab@crm.otsuka-europe.com", "ssaouab@crm.otsuka-europe.com")</f>
        <v>ssaouab@crm.otsuka-europe.com</v>
      </c>
      <c r="N8100" s="23">
        <v>46182.807905092595</v>
      </c>
      <c r="O8100" s="14" t="str">
        <f>HYPERLINK("https://otsuka-europe-crm.veevavault.com/ui/#object/email_activity__v/V8C00000003S367", "EN-002093617")</f>
        <v>EN-002093617</v>
      </c>
    </row>
    <row r="8101" spans="1:15" ht="16" x14ac:dyDescent="0.2">
      <c r="A8101" s="19"/>
      <c r="B8101" s="19"/>
      <c r="C8101" s="19"/>
      <c r="D8101" s="19"/>
      <c r="E8101" s="19"/>
      <c r="F8101" s="19"/>
      <c r="G8101" s="19"/>
      <c r="H8101" s="19"/>
      <c r="I8101" s="19"/>
      <c r="J8101" s="19"/>
      <c r="K8101" s="19"/>
      <c r="L8101" s="19"/>
      <c r="M8101" s="19"/>
      <c r="N8101" s="19"/>
      <c r="O8101" s="14" t="str">
        <f>HYPERLINK("https://otsuka-europe-crm.veevavault.com/ui/#object/email_activity__v/V8C00000003T061", "EN-002093684")</f>
        <v>EN-002093684</v>
      </c>
    </row>
    <row r="8102" spans="1:15" ht="16" x14ac:dyDescent="0.2">
      <c r="A8102" s="17" t="str">
        <f>HYPERLINK("https://otsuka-europe-crm.veevavault.com/ui/#object/account__v/V4TZ0000063407H", "MOHAMED TOUALBI")</f>
        <v>MOHAMED TOUALBI</v>
      </c>
      <c r="B8102" s="17" t="str">
        <f>HYPERLINK("https://otsuka-europe-crm.veevavault.com/ui/#object/vcountry__v/VENZ000004SONFA", "FR")</f>
        <v>FR</v>
      </c>
      <c r="C8102" s="20" t="s">
        <v>42</v>
      </c>
      <c r="D8102" s="21" t="str">
        <f>HYPERLINK("https://otsuka-europe-crm.veevavault.com/ui/#object/approved_document__v/V5O00000000P003", "FR-AM2-2500027")</f>
        <v>FR-AM2-2500027</v>
      </c>
      <c r="E8102" s="22" t="str">
        <f>HYPERLINK("https://otsuka-europe-crm.veevavault.com/ui/#object/sent_email__v/VBL00000002R564", "SE-001435251")</f>
        <v>SE-001435251</v>
      </c>
      <c r="F8102" s="23">
        <v>46182.851273148146</v>
      </c>
      <c r="G8102" s="24">
        <v>1</v>
      </c>
      <c r="H8102" s="24">
        <v>1</v>
      </c>
      <c r="I8102" s="24">
        <v>0</v>
      </c>
      <c r="J8102" s="25"/>
      <c r="K8102" s="24">
        <v>0</v>
      </c>
      <c r="L8102" s="22" t="str">
        <f>HYPERLINK("https://otsuka-europe-crm.veevavault.com/ui/#object/approved_document__v/V5O00000000P003", "FR-AM2-2500027")</f>
        <v>FR-AM2-2500027</v>
      </c>
      <c r="M8102" s="22" t="str">
        <f>HYPERLINK("mailto:ssaouab@crm.otsuka-europe.com", "ssaouab@crm.otsuka-europe.com")</f>
        <v>ssaouab@crm.otsuka-europe.com</v>
      </c>
      <c r="N8102" s="23">
        <v>46182.808009259257</v>
      </c>
      <c r="O8102" s="14" t="str">
        <f>HYPERLINK("https://otsuka-europe-crm.veevavault.com/ui/#object/email_activity__v/V8C00000003S366", "EN-002093616")</f>
        <v>EN-002093616</v>
      </c>
    </row>
    <row r="8103" spans="1:15" ht="16" x14ac:dyDescent="0.2">
      <c r="A8103" s="19"/>
      <c r="B8103" s="19"/>
      <c r="C8103" s="19"/>
      <c r="D8103" s="19"/>
      <c r="E8103" s="19"/>
      <c r="F8103" s="19"/>
      <c r="G8103" s="19"/>
      <c r="H8103" s="19"/>
      <c r="I8103" s="19"/>
      <c r="J8103" s="19"/>
      <c r="K8103" s="19"/>
      <c r="L8103" s="19"/>
      <c r="M8103" s="19"/>
      <c r="N8103" s="19"/>
      <c r="O8103" s="14" t="str">
        <f>HYPERLINK("https://otsuka-europe-crm.veevavault.com/ui/#object/email_activity__v/V8C00000003S389", "EN-002093685")</f>
        <v>EN-002093685</v>
      </c>
    </row>
    <row r="8104" spans="1:15" ht="48" x14ac:dyDescent="0.2">
      <c r="A8104" s="7" t="str">
        <f>HYPERLINK("https://otsuka-europe-crm.veevavault.com/ui/#object/account__v/V4TZ04ASGFHVXZM", "OMOROU AMADOU TOURE")</f>
        <v>OMOROU AMADOU TOURE</v>
      </c>
      <c r="B8104" s="7" t="str">
        <f t="shared" ref="B8104:B8115" si="654">HYPERLINK("https://otsuka-europe-crm.veevavault.com/ui/#object/vcountry__v/VENZ000004SONFA", "FR")</f>
        <v>FR</v>
      </c>
      <c r="C8104" s="8" t="s">
        <v>42</v>
      </c>
      <c r="D8104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8104" s="10" t="str">
        <f>HYPERLINK("https://otsuka-europe-crm.veevavault.com/ui/#object/sent_email__v/VBL00000002S659", "SE-001435252")</f>
        <v>SE-001435252</v>
      </c>
      <c r="F8104" s="11"/>
      <c r="G8104" s="12">
        <v>0</v>
      </c>
      <c r="H8104" s="12">
        <v>0</v>
      </c>
      <c r="I8104" s="12">
        <v>0</v>
      </c>
      <c r="J8104" s="11"/>
      <c r="K8104" s="12">
        <v>0</v>
      </c>
      <c r="L8104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8104" s="10" t="str">
        <f t="shared" ref="M8104:M8115" si="655">HYPERLINK("mailto:ssaouab@crm.otsuka-europe.com", "ssaouab@crm.otsuka-europe.com")</f>
        <v>ssaouab@crm.otsuka-europe.com</v>
      </c>
      <c r="N8104" s="13">
        <v>46182.808287037034</v>
      </c>
      <c r="O8104" s="14" t="str">
        <f>HYPERLINK("https://otsuka-europe-crm.veevavault.com/ui/#object/email_activity__v/V8C00000003S368", "EN-002093618")</f>
        <v>EN-002093618</v>
      </c>
    </row>
    <row r="8105" spans="1:15" ht="32" x14ac:dyDescent="0.2">
      <c r="A8105" s="7" t="str">
        <f>HYPERLINK("https://otsuka-europe-crm.veevavault.com/ui/#object/account__v/V4TZ04ASGFHVXZM", "OMOROU AMADOU TOURE")</f>
        <v>OMOROU AMADOU TOURE</v>
      </c>
      <c r="B8105" s="7" t="str">
        <f t="shared" si="654"/>
        <v>FR</v>
      </c>
      <c r="C8105" s="8" t="s">
        <v>42</v>
      </c>
      <c r="D8105" s="9" t="str">
        <f>HYPERLINK("https://otsuka-europe-crm.veevavault.com/ui/#object/approved_document__v/V5O00000000P003", "FR-AM2-2500027")</f>
        <v>FR-AM2-2500027</v>
      </c>
      <c r="E8105" s="10" t="str">
        <f>HYPERLINK("https://otsuka-europe-crm.veevavault.com/ui/#object/sent_email__v/VBL00000002R565", "SE-001435253")</f>
        <v>SE-001435253</v>
      </c>
      <c r="F8105" s="11"/>
      <c r="G8105" s="12">
        <v>0</v>
      </c>
      <c r="H8105" s="12">
        <v>0</v>
      </c>
      <c r="I8105" s="12">
        <v>0</v>
      </c>
      <c r="J8105" s="11"/>
      <c r="K8105" s="12">
        <v>0</v>
      </c>
      <c r="L8105" s="10" t="str">
        <f>HYPERLINK("https://otsuka-europe-crm.veevavault.com/ui/#object/approved_document__v/V5O00000000P003", "FR-AM2-2500027")</f>
        <v>FR-AM2-2500027</v>
      </c>
      <c r="M8105" s="10" t="str">
        <f t="shared" si="655"/>
        <v>ssaouab@crm.otsuka-europe.com</v>
      </c>
      <c r="N8105" s="13">
        <v>46182.808333333334</v>
      </c>
      <c r="O8105" s="14" t="str">
        <f>HYPERLINK("https://otsuka-europe-crm.veevavault.com/ui/#object/email_activity__v/V8C00000003S369", "EN-002093619")</f>
        <v>EN-002093619</v>
      </c>
    </row>
    <row r="8106" spans="1:15" ht="48" x14ac:dyDescent="0.2">
      <c r="A8106" s="7" t="str">
        <f>HYPERLINK("https://otsuka-europe-crm.veevavault.com/ui/#object/account__v/V4TZ06G6OB47NV4", "IRINA VINNIKOVA")</f>
        <v>IRINA VINNIKOVA</v>
      </c>
      <c r="B8106" s="7" t="str">
        <f t="shared" si="654"/>
        <v>FR</v>
      </c>
      <c r="C8106" s="8" t="s">
        <v>42</v>
      </c>
      <c r="D8106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8106" s="10" t="str">
        <f>HYPERLINK("https://otsuka-europe-crm.veevavault.com/ui/#object/sent_email__v/VBL00000002S660", "SE-001435254")</f>
        <v>SE-001435254</v>
      </c>
      <c r="F8106" s="11"/>
      <c r="G8106" s="12">
        <v>0</v>
      </c>
      <c r="H8106" s="12">
        <v>0</v>
      </c>
      <c r="I8106" s="12">
        <v>0</v>
      </c>
      <c r="J8106" s="11"/>
      <c r="K8106" s="12">
        <v>0</v>
      </c>
      <c r="L8106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8106" s="10" t="str">
        <f t="shared" si="655"/>
        <v>ssaouab@crm.otsuka-europe.com</v>
      </c>
      <c r="N8106" s="13">
        <v>46182.808958333335</v>
      </c>
      <c r="O8106" s="14" t="str">
        <f>HYPERLINK("https://otsuka-europe-crm.veevavault.com/ui/#object/email_activity__v/V8C00000003S370", "EN-002093620")</f>
        <v>EN-002093620</v>
      </c>
    </row>
    <row r="8107" spans="1:15" ht="32" x14ac:dyDescent="0.2">
      <c r="A8107" s="7" t="str">
        <f>HYPERLINK("https://otsuka-europe-crm.veevavault.com/ui/#object/account__v/V4TZ06G6OB47NV4", "IRINA VINNIKOVA")</f>
        <v>IRINA VINNIKOVA</v>
      </c>
      <c r="B8107" s="7" t="str">
        <f t="shared" si="654"/>
        <v>FR</v>
      </c>
      <c r="C8107" s="8" t="s">
        <v>42</v>
      </c>
      <c r="D8107" s="9" t="str">
        <f>HYPERLINK("https://otsuka-europe-crm.veevavault.com/ui/#object/approved_document__v/V5O00000000P003", "FR-AM2-2500027")</f>
        <v>FR-AM2-2500027</v>
      </c>
      <c r="E8107" s="10" t="str">
        <f>HYPERLINK("https://otsuka-europe-crm.veevavault.com/ui/#object/sent_email__v/VBL00000002S661", "SE-001435255")</f>
        <v>SE-001435255</v>
      </c>
      <c r="F8107" s="11"/>
      <c r="G8107" s="12">
        <v>0</v>
      </c>
      <c r="H8107" s="12">
        <v>0</v>
      </c>
      <c r="I8107" s="12">
        <v>0</v>
      </c>
      <c r="J8107" s="11"/>
      <c r="K8107" s="12">
        <v>0</v>
      </c>
      <c r="L8107" s="10" t="str">
        <f>HYPERLINK("https://otsuka-europe-crm.veevavault.com/ui/#object/approved_document__v/V5O00000000P003", "FR-AM2-2500027")</f>
        <v>FR-AM2-2500027</v>
      </c>
      <c r="M8107" s="10" t="str">
        <f t="shared" si="655"/>
        <v>ssaouab@crm.otsuka-europe.com</v>
      </c>
      <c r="N8107" s="13">
        <v>46182.809027777781</v>
      </c>
      <c r="O8107" s="14" t="str">
        <f>HYPERLINK("https://otsuka-europe-crm.veevavault.com/ui/#object/email_activity__v/V8C00000003S371", "EN-002093621")</f>
        <v>EN-002093621</v>
      </c>
    </row>
    <row r="8108" spans="1:15" ht="48" x14ac:dyDescent="0.2">
      <c r="A8108" s="7" t="str">
        <f>HYPERLINK("https://otsuka-europe-crm.veevavault.com/ui/#object/account__v/V4TZ025E82BWUL4", "IALINIAINA LIZETTE VOLOLONJATOVO")</f>
        <v>IALINIAINA LIZETTE VOLOLONJATOVO</v>
      </c>
      <c r="B8108" s="7" t="str">
        <f t="shared" si="654"/>
        <v>FR</v>
      </c>
      <c r="C8108" s="8" t="s">
        <v>42</v>
      </c>
      <c r="D8108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8108" s="10" t="str">
        <f>HYPERLINK("https://otsuka-europe-crm.veevavault.com/ui/#object/sent_email__v/VBL00000002S662", "SE-001435256")</f>
        <v>SE-001435256</v>
      </c>
      <c r="F8108" s="11"/>
      <c r="G8108" s="12">
        <v>0</v>
      </c>
      <c r="H8108" s="12">
        <v>0</v>
      </c>
      <c r="I8108" s="12">
        <v>0</v>
      </c>
      <c r="J8108" s="11"/>
      <c r="K8108" s="12">
        <v>0</v>
      </c>
      <c r="L8108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8108" s="10" t="str">
        <f t="shared" si="655"/>
        <v>ssaouab@crm.otsuka-europe.com</v>
      </c>
      <c r="N8108" s="13">
        <v>46182.809317129628</v>
      </c>
      <c r="O8108" s="14" t="str">
        <f>HYPERLINK("https://otsuka-europe-crm.veevavault.com/ui/#object/email_activity__v/V8C00000003S373", "EN-002093623")</f>
        <v>EN-002093623</v>
      </c>
    </row>
    <row r="8109" spans="1:15" ht="32" x14ac:dyDescent="0.2">
      <c r="A8109" s="7" t="str">
        <f>HYPERLINK("https://otsuka-europe-crm.veevavault.com/ui/#object/account__v/V4TZ025E82BWUL4", "IALINIAINA LIZETTE VOLOLONJATOVO")</f>
        <v>IALINIAINA LIZETTE VOLOLONJATOVO</v>
      </c>
      <c r="B8109" s="7" t="str">
        <f t="shared" si="654"/>
        <v>FR</v>
      </c>
      <c r="C8109" s="8" t="s">
        <v>42</v>
      </c>
      <c r="D8109" s="9" t="str">
        <f>HYPERLINK("https://otsuka-europe-crm.veevavault.com/ui/#object/approved_document__v/V5O00000000P003", "FR-AM2-2500027")</f>
        <v>FR-AM2-2500027</v>
      </c>
      <c r="E8109" s="10" t="str">
        <f>HYPERLINK("https://otsuka-europe-crm.veevavault.com/ui/#object/sent_email__v/VBL00000002R566", "SE-001435257")</f>
        <v>SE-001435257</v>
      </c>
      <c r="F8109" s="11"/>
      <c r="G8109" s="12">
        <v>0</v>
      </c>
      <c r="H8109" s="12">
        <v>0</v>
      </c>
      <c r="I8109" s="12">
        <v>0</v>
      </c>
      <c r="J8109" s="11"/>
      <c r="K8109" s="12">
        <v>0</v>
      </c>
      <c r="L8109" s="10" t="str">
        <f>HYPERLINK("https://otsuka-europe-crm.veevavault.com/ui/#object/approved_document__v/V5O00000000P003", "FR-AM2-2500027")</f>
        <v>FR-AM2-2500027</v>
      </c>
      <c r="M8109" s="10" t="str">
        <f t="shared" si="655"/>
        <v>ssaouab@crm.otsuka-europe.com</v>
      </c>
      <c r="N8109" s="13">
        <v>46182.809340277781</v>
      </c>
      <c r="O8109" s="14" t="str">
        <f>HYPERLINK("https://otsuka-europe-crm.veevavault.com/ui/#object/email_activity__v/V8C00000003S372", "EN-002093622")</f>
        <v>EN-002093622</v>
      </c>
    </row>
    <row r="8110" spans="1:15" ht="48" x14ac:dyDescent="0.2">
      <c r="A8110" s="7" t="str">
        <f>HYPERLINK("https://otsuka-europe-crm.veevavault.com/ui/#object/account__v/V4TZ000006344Z3", "PATRICK WEISS")</f>
        <v>PATRICK WEISS</v>
      </c>
      <c r="B8110" s="7" t="str">
        <f t="shared" si="654"/>
        <v>FR</v>
      </c>
      <c r="C8110" s="8" t="s">
        <v>42</v>
      </c>
      <c r="D8110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8110" s="10" t="str">
        <f>HYPERLINK("https://otsuka-europe-crm.veevavault.com/ui/#object/sent_email__v/VBL00000002R567", "SE-001435258")</f>
        <v>SE-001435258</v>
      </c>
      <c r="F8110" s="11"/>
      <c r="G8110" s="12">
        <v>0</v>
      </c>
      <c r="H8110" s="12">
        <v>0</v>
      </c>
      <c r="I8110" s="12">
        <v>0</v>
      </c>
      <c r="J8110" s="11"/>
      <c r="K8110" s="12">
        <v>0</v>
      </c>
      <c r="L8110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8110" s="10" t="str">
        <f t="shared" si="655"/>
        <v>ssaouab@crm.otsuka-europe.com</v>
      </c>
      <c r="N8110" s="13">
        <v>46182.809664351851</v>
      </c>
      <c r="O8110" s="14" t="str">
        <f>HYPERLINK("https://otsuka-europe-crm.veevavault.com/ui/#object/email_activity__v/V8C00000003S375", "EN-002093625")</f>
        <v>EN-002093625</v>
      </c>
    </row>
    <row r="8111" spans="1:15" ht="32" x14ac:dyDescent="0.2">
      <c r="A8111" s="7" t="str">
        <f>HYPERLINK("https://otsuka-europe-crm.veevavault.com/ui/#object/account__v/V4TZ000006344Z3", "PATRICK WEISS")</f>
        <v>PATRICK WEISS</v>
      </c>
      <c r="B8111" s="7" t="str">
        <f t="shared" si="654"/>
        <v>FR</v>
      </c>
      <c r="C8111" s="8" t="s">
        <v>42</v>
      </c>
      <c r="D8111" s="9" t="str">
        <f>HYPERLINK("https://otsuka-europe-crm.veevavault.com/ui/#object/approved_document__v/V5O00000000P003", "FR-AM2-2500027")</f>
        <v>FR-AM2-2500027</v>
      </c>
      <c r="E8111" s="10" t="str">
        <f>HYPERLINK("https://otsuka-europe-crm.veevavault.com/ui/#object/sent_email__v/VBL00000002S663", "SE-001435259")</f>
        <v>SE-001435259</v>
      </c>
      <c r="F8111" s="11"/>
      <c r="G8111" s="12">
        <v>0</v>
      </c>
      <c r="H8111" s="12">
        <v>0</v>
      </c>
      <c r="I8111" s="12">
        <v>0</v>
      </c>
      <c r="J8111" s="11"/>
      <c r="K8111" s="12">
        <v>0</v>
      </c>
      <c r="L8111" s="10" t="str">
        <f>HYPERLINK("https://otsuka-europe-crm.veevavault.com/ui/#object/approved_document__v/V5O00000000P003", "FR-AM2-2500027")</f>
        <v>FR-AM2-2500027</v>
      </c>
      <c r="M8111" s="10" t="str">
        <f t="shared" si="655"/>
        <v>ssaouab@crm.otsuka-europe.com</v>
      </c>
      <c r="N8111" s="13">
        <v>46182.809687499997</v>
      </c>
      <c r="O8111" s="14" t="str">
        <f>HYPERLINK("https://otsuka-europe-crm.veevavault.com/ui/#object/email_activity__v/V8C00000003S374", "EN-002093624")</f>
        <v>EN-002093624</v>
      </c>
    </row>
    <row r="8112" spans="1:15" ht="48" x14ac:dyDescent="0.2">
      <c r="A8112" s="7" t="str">
        <f>HYPERLINK("https://otsuka-europe-crm.veevavault.com/ui/#object/account__v/V4TZ000006346WB", "DJENINA YOUNSI")</f>
        <v>DJENINA YOUNSI</v>
      </c>
      <c r="B8112" s="7" t="str">
        <f t="shared" si="654"/>
        <v>FR</v>
      </c>
      <c r="C8112" s="8" t="s">
        <v>42</v>
      </c>
      <c r="D8112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8112" s="10" t="str">
        <f>HYPERLINK("https://otsuka-europe-crm.veevavault.com/ui/#object/sent_email__v/VBL00000002R568", "SE-001435260")</f>
        <v>SE-001435260</v>
      </c>
      <c r="F8112" s="11"/>
      <c r="G8112" s="12">
        <v>0</v>
      </c>
      <c r="H8112" s="12">
        <v>0</v>
      </c>
      <c r="I8112" s="12">
        <v>0</v>
      </c>
      <c r="J8112" s="11"/>
      <c r="K8112" s="12">
        <v>0</v>
      </c>
      <c r="L8112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8112" s="10" t="str">
        <f t="shared" si="655"/>
        <v>ssaouab@crm.otsuka-europe.com</v>
      </c>
      <c r="N8112" s="13">
        <v>46182.810520833336</v>
      </c>
      <c r="O8112" s="14" t="str">
        <f>HYPERLINK("https://otsuka-europe-crm.veevavault.com/ui/#object/email_activity__v/V8C00000003T016", "EN-002093626")</f>
        <v>EN-002093626</v>
      </c>
    </row>
    <row r="8113" spans="1:15" ht="32" x14ac:dyDescent="0.2">
      <c r="A8113" s="7" t="str">
        <f>HYPERLINK("https://otsuka-europe-crm.veevavault.com/ui/#object/account__v/V4TZ000006346WB", "DJENINA YOUNSI")</f>
        <v>DJENINA YOUNSI</v>
      </c>
      <c r="B8113" s="7" t="str">
        <f t="shared" si="654"/>
        <v>FR</v>
      </c>
      <c r="C8113" s="8" t="s">
        <v>42</v>
      </c>
      <c r="D8113" s="9" t="str">
        <f>HYPERLINK("https://otsuka-europe-crm.veevavault.com/ui/#object/approved_document__v/V5O00000000P003", "FR-AM2-2500027")</f>
        <v>FR-AM2-2500027</v>
      </c>
      <c r="E8113" s="10" t="str">
        <f>HYPERLINK("https://otsuka-europe-crm.veevavault.com/ui/#object/sent_email__v/VBL00000002R569", "SE-001435261")</f>
        <v>SE-001435261</v>
      </c>
      <c r="F8113" s="11"/>
      <c r="G8113" s="12">
        <v>0</v>
      </c>
      <c r="H8113" s="12">
        <v>0</v>
      </c>
      <c r="I8113" s="12">
        <v>0</v>
      </c>
      <c r="J8113" s="11"/>
      <c r="K8113" s="12">
        <v>0</v>
      </c>
      <c r="L8113" s="10" t="str">
        <f>HYPERLINK("https://otsuka-europe-crm.veevavault.com/ui/#object/approved_document__v/V5O00000000P003", "FR-AM2-2500027")</f>
        <v>FR-AM2-2500027</v>
      </c>
      <c r="M8113" s="10" t="str">
        <f t="shared" si="655"/>
        <v>ssaouab@crm.otsuka-europe.com</v>
      </c>
      <c r="N8113" s="13">
        <v>46182.810532407406</v>
      </c>
      <c r="O8113" s="14" t="str">
        <f>HYPERLINK("https://otsuka-europe-crm.veevavault.com/ui/#object/email_activity__v/V8C00000003T017", "EN-002093627")</f>
        <v>EN-002093627</v>
      </c>
    </row>
    <row r="8114" spans="1:15" ht="32" x14ac:dyDescent="0.2">
      <c r="A8114" s="7" t="str">
        <f>HYPERLINK("https://otsuka-europe-crm.veevavault.com/ui/#object/account__v/V4TZ06G6O8ITF6Q", "YAHIA ZEGGAI")</f>
        <v>YAHIA ZEGGAI</v>
      </c>
      <c r="B8114" s="7" t="str">
        <f t="shared" si="654"/>
        <v>FR</v>
      </c>
      <c r="C8114" s="8" t="s">
        <v>42</v>
      </c>
      <c r="D8114" s="9" t="str">
        <f>HYPERLINK("https://otsuka-europe-crm.veevavault.com/ui/#object/approved_document__v/V5O00000000P003", "FR-AM2-2500027")</f>
        <v>FR-AM2-2500027</v>
      </c>
      <c r="E8114" s="10" t="str">
        <f>HYPERLINK("https://otsuka-europe-crm.veevavault.com/ui/#object/sent_email__v/VBL00000002S664", "SE-001435262")</f>
        <v>SE-001435262</v>
      </c>
      <c r="F8114" s="11"/>
      <c r="G8114" s="12">
        <v>0</v>
      </c>
      <c r="H8114" s="12">
        <v>0</v>
      </c>
      <c r="I8114" s="12">
        <v>0</v>
      </c>
      <c r="J8114" s="11"/>
      <c r="K8114" s="12">
        <v>0</v>
      </c>
      <c r="L8114" s="10" t="str">
        <f>HYPERLINK("https://otsuka-europe-crm.veevavault.com/ui/#object/approved_document__v/V5O00000000P003", "FR-AM2-2500027")</f>
        <v>FR-AM2-2500027</v>
      </c>
      <c r="M8114" s="10" t="str">
        <f t="shared" si="655"/>
        <v>ssaouab@crm.otsuka-europe.com</v>
      </c>
      <c r="N8114" s="13">
        <v>46182.811053240737</v>
      </c>
      <c r="O8114" s="14" t="str">
        <f>HYPERLINK("https://otsuka-europe-crm.veevavault.com/ui/#object/email_activity__v/V8C00000003T019", "EN-002093629")</f>
        <v>EN-002093629</v>
      </c>
    </row>
    <row r="8115" spans="1:15" ht="48" x14ac:dyDescent="0.2">
      <c r="A8115" s="7" t="str">
        <f>HYPERLINK("https://otsuka-europe-crm.veevavault.com/ui/#object/account__v/V4TZ06G6O8ITF6Q", "YAHIA ZEGGAI")</f>
        <v>YAHIA ZEGGAI</v>
      </c>
      <c r="B8115" s="7" t="str">
        <f t="shared" si="654"/>
        <v>FR</v>
      </c>
      <c r="C8115" s="8" t="s">
        <v>42</v>
      </c>
      <c r="D8115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8115" s="10" t="str">
        <f>HYPERLINK("https://otsuka-europe-crm.veevavault.com/ui/#object/sent_email__v/VBL00000002R570", "SE-001435263")</f>
        <v>SE-001435263</v>
      </c>
      <c r="F8115" s="11"/>
      <c r="G8115" s="12">
        <v>0</v>
      </c>
      <c r="H8115" s="12">
        <v>0</v>
      </c>
      <c r="I8115" s="12">
        <v>0</v>
      </c>
      <c r="J8115" s="11"/>
      <c r="K8115" s="12">
        <v>0</v>
      </c>
      <c r="L8115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8115" s="10" t="str">
        <f t="shared" si="655"/>
        <v>ssaouab@crm.otsuka-europe.com</v>
      </c>
      <c r="N8115" s="13">
        <v>46182.811053240737</v>
      </c>
      <c r="O8115" s="14" t="str">
        <f>HYPERLINK("https://otsuka-europe-crm.veevavault.com/ui/#object/email_activity__v/V8C00000003T018", "EN-002093628")</f>
        <v>EN-002093628</v>
      </c>
    </row>
    <row r="8116" spans="1:15" ht="16" x14ac:dyDescent="0.2">
      <c r="A8116" s="17" t="str">
        <f>HYPERLINK("https://otsuka-europe-crm.veevavault.com/ui/#object/account__v/V4TZ06G6O71UQWT", "MARIA CARMEN RAMOS-GARCIA NETO")</f>
        <v>MARIA CARMEN RAMOS-GARCIA NETO</v>
      </c>
      <c r="B8116" s="17" t="str">
        <f>HYPERLINK("https://otsuka-europe-crm.veevavault.com/ui/#object/vcountry__v/VENZ000004SONF5", "ES")</f>
        <v>ES</v>
      </c>
      <c r="C8116" s="20" t="s">
        <v>41</v>
      </c>
      <c r="D8116" s="21" t="str">
        <f>HYPERLINK("https://otsuka-europe-crm.veevavault.com/ui/#object/approved_document__v/V5OZ025E82HVP5D", "AM2M - PSIQUIATRÍA - Cómo iniciar el tratamiento")</f>
        <v>AM2M - PSIQUIATRÍA - Cómo iniciar el tratamiento</v>
      </c>
      <c r="E8116" s="22" t="str">
        <f>HYPERLINK("https://otsuka-europe-crm.veevavault.com/ui/#object/sent_email__v/VBL00000002S665", "SE-001435264")</f>
        <v>SE-001435264</v>
      </c>
      <c r="F8116" s="25"/>
      <c r="G8116" s="24">
        <v>0</v>
      </c>
      <c r="H8116" s="24">
        <v>0</v>
      </c>
      <c r="I8116" s="24">
        <v>0</v>
      </c>
      <c r="J8116" s="25"/>
      <c r="K8116" s="24">
        <v>0</v>
      </c>
      <c r="L8116" s="22" t="str">
        <f>HYPERLINK("https://otsuka-europe-crm.veevavault.com/ui/#object/approved_document__v/V5OZ025E82HVP5D", "AM2M - PSIQUIATRÍA - Cómo iniciar el tratamiento")</f>
        <v>AM2M - PSIQUIATRÍA - Cómo iniciar el tratamiento</v>
      </c>
      <c r="M8116" s="22" t="str">
        <f>HYPERLINK("mailto:mgravan@crm.otsuka-europe.com", "mgravan@crm.otsuka-europe.com")</f>
        <v>mgravan@crm.otsuka-europe.com</v>
      </c>
      <c r="N8116" s="23">
        <v>46182.825335648151</v>
      </c>
      <c r="O8116" s="14" t="str">
        <f>HYPERLINK("https://otsuka-europe-crm.veevavault.com/ui/#object/email_activity__v/V8C00000003T042", "EN-002093658")</f>
        <v>EN-002093658</v>
      </c>
    </row>
    <row r="8117" spans="1:15" ht="16" x14ac:dyDescent="0.2">
      <c r="A8117" s="18"/>
      <c r="B8117" s="18"/>
      <c r="C8117" s="18"/>
      <c r="D8117" s="18"/>
      <c r="E8117" s="18"/>
      <c r="F8117" s="18"/>
      <c r="G8117" s="18"/>
      <c r="H8117" s="18"/>
      <c r="I8117" s="18"/>
      <c r="J8117" s="18"/>
      <c r="K8117" s="18"/>
      <c r="L8117" s="18"/>
      <c r="M8117" s="18"/>
      <c r="N8117" s="18"/>
      <c r="O8117" s="14" t="str">
        <f>HYPERLINK("https://otsuka-europe-crm.veevavault.com/ui/#object/email_activity__v/V8C00000003T088", "EN-002093743")</f>
        <v>EN-002093743</v>
      </c>
    </row>
    <row r="8118" spans="1:15" ht="16" x14ac:dyDescent="0.2">
      <c r="A8118" s="19"/>
      <c r="B8118" s="19"/>
      <c r="C8118" s="19"/>
      <c r="D8118" s="19"/>
      <c r="E8118" s="19"/>
      <c r="F8118" s="19"/>
      <c r="G8118" s="19"/>
      <c r="H8118" s="19"/>
      <c r="I8118" s="19"/>
      <c r="J8118" s="19"/>
      <c r="K8118" s="19"/>
      <c r="L8118" s="19"/>
      <c r="M8118" s="19"/>
      <c r="N8118" s="19"/>
      <c r="O8118" s="14" t="str">
        <f>HYPERLINK("https://otsuka-europe-crm.veevavault.com/ui/#object/email_activity__v/V8C00000003V471", "EN-002095716")</f>
        <v>EN-002095716</v>
      </c>
    </row>
    <row r="8119" spans="1:15" ht="16" x14ac:dyDescent="0.2">
      <c r="A8119" s="17" t="str">
        <f>HYPERLINK("https://otsuka-europe-crm.veevavault.com/ui/#object/account__v/V4TZ06G6O71UQWT", "MARIA CARMEN RAMOS-GARCIA NETO")</f>
        <v>MARIA CARMEN RAMOS-GARCIA NETO</v>
      </c>
      <c r="B8119" s="17" t="str">
        <f>HYPERLINK("https://otsuka-europe-crm.veevavault.com/ui/#object/vcountry__v/VENZ000004SONF5", "ES")</f>
        <v>ES</v>
      </c>
      <c r="C8119" s="20" t="s">
        <v>41</v>
      </c>
      <c r="D8119" s="21" t="str">
        <f>HYPERLINK("https://otsuka-europe-crm.veevavault.com/ui/#object/approved_document__v/V5O00000001H027", "RXULTI - Monografía de producto")</f>
        <v>RXULTI - Monografía de producto</v>
      </c>
      <c r="E8119" s="22" t="str">
        <f>HYPERLINK("https://otsuka-europe-crm.veevavault.com/ui/#object/sent_email__v/VBL00000002S666", "SE-001435265")</f>
        <v>SE-001435265</v>
      </c>
      <c r="F8119" s="25"/>
      <c r="G8119" s="24">
        <v>0</v>
      </c>
      <c r="H8119" s="24">
        <v>0</v>
      </c>
      <c r="I8119" s="24">
        <v>0</v>
      </c>
      <c r="J8119" s="25"/>
      <c r="K8119" s="24">
        <v>0</v>
      </c>
      <c r="L8119" s="22" t="str">
        <f>HYPERLINK("https://otsuka-europe-crm.veevavault.com/ui/#object/approved_document__v/V5O00000001H027", "RXULTI - Monografía de producto")</f>
        <v>RXULTI - Monografía de producto</v>
      </c>
      <c r="M8119" s="22" t="str">
        <f>HYPERLINK("mailto:mgravan@crm.otsuka-europe.com", "mgravan@crm.otsuka-europe.com")</f>
        <v>mgravan@crm.otsuka-europe.com</v>
      </c>
      <c r="N8119" s="23">
        <v>46182.825335648151</v>
      </c>
      <c r="O8119" s="14" t="str">
        <f>HYPERLINK("https://otsuka-europe-crm.veevavault.com/ui/#object/email_activity__v/V8C00000003T041", "EN-002093657")</f>
        <v>EN-002093657</v>
      </c>
    </row>
    <row r="8120" spans="1:15" ht="16" x14ac:dyDescent="0.2">
      <c r="A8120" s="18"/>
      <c r="B8120" s="18"/>
      <c r="C8120" s="18"/>
      <c r="D8120" s="18"/>
      <c r="E8120" s="18"/>
      <c r="F8120" s="18"/>
      <c r="G8120" s="18"/>
      <c r="H8120" s="18"/>
      <c r="I8120" s="18"/>
      <c r="J8120" s="18"/>
      <c r="K8120" s="18"/>
      <c r="L8120" s="18"/>
      <c r="M8120" s="18"/>
      <c r="N8120" s="18"/>
      <c r="O8120" s="14" t="str">
        <f>HYPERLINK("https://otsuka-europe-crm.veevavault.com/ui/#object/email_activity__v/V8C00000003T089", "EN-002093744")</f>
        <v>EN-002093744</v>
      </c>
    </row>
    <row r="8121" spans="1:15" ht="16" x14ac:dyDescent="0.2">
      <c r="A8121" s="19"/>
      <c r="B8121" s="19"/>
      <c r="C8121" s="19"/>
      <c r="D8121" s="19"/>
      <c r="E8121" s="19"/>
      <c r="F8121" s="19"/>
      <c r="G8121" s="19"/>
      <c r="H8121" s="19"/>
      <c r="I8121" s="19"/>
      <c r="J8121" s="19"/>
      <c r="K8121" s="19"/>
      <c r="L8121" s="19"/>
      <c r="M8121" s="19"/>
      <c r="N8121" s="19"/>
      <c r="O8121" s="14" t="str">
        <f>HYPERLINK("https://otsuka-europe-crm.veevavault.com/ui/#object/email_activity__v/V8C00000003V470", "EN-002095715")</f>
        <v>EN-002095715</v>
      </c>
    </row>
    <row r="8122" spans="1:15" ht="16" x14ac:dyDescent="0.2">
      <c r="A8122" s="17" t="str">
        <f>HYPERLINK("https://otsuka-europe-crm.veevavault.com/ui/#object/account__v/V4TZ04ASG79ZVZJ", "IRENE LLANGOSTERA MARTINEZ")</f>
        <v>IRENE LLANGOSTERA MARTINEZ</v>
      </c>
      <c r="B8122" s="17" t="str">
        <f>HYPERLINK("https://otsuka-europe-crm.veevavault.com/ui/#object/vcountry__v/VENZ000004SONF5", "ES")</f>
        <v>ES</v>
      </c>
      <c r="C8122" s="20" t="s">
        <v>41</v>
      </c>
      <c r="D8122" s="21" t="str">
        <f>HYPERLINK("https://otsuka-europe-crm.veevavault.com/ui/#object/approved_document__v/V5O00000001K002", "Programa 4º edición Curso Simulación clínica en psiquiatría Hospital 12-Octubre")</f>
        <v>Programa 4º edición Curso Simulación clínica en psiquiatría Hospital 12-Octubre</v>
      </c>
      <c r="E8122" s="22" t="str">
        <f>HYPERLINK("https://otsuka-europe-crm.veevavault.com/ui/#object/sent_email__v/VBL00000002R571", "SE-001435266")</f>
        <v>SE-001435266</v>
      </c>
      <c r="F8122" s="23">
        <v>46183.338472222225</v>
      </c>
      <c r="G8122" s="24">
        <v>1</v>
      </c>
      <c r="H8122" s="24">
        <v>1</v>
      </c>
      <c r="I8122" s="24">
        <v>0</v>
      </c>
      <c r="J8122" s="25"/>
      <c r="K8122" s="24">
        <v>0</v>
      </c>
      <c r="L8122" s="22" t="str">
        <f>HYPERLINK("https://otsuka-europe-crm.veevavault.com/ui/#object/approved_document__v/V5O00000001K002", "Programa 4º edición Curso Simulación clínica en psiquiatría Hospital 12-Octubre")</f>
        <v>Programa 4º edición Curso Simulación clínica en psiquiatría Hospital 12-Octubre</v>
      </c>
      <c r="M8122" s="22" t="str">
        <f>HYPERLINK("mailto:mgravan@crm.otsuka-europe.com", "mgravan@crm.otsuka-europe.com")</f>
        <v>mgravan@crm.otsuka-europe.com</v>
      </c>
      <c r="N8122" s="23">
        <v>46183.324965277781</v>
      </c>
      <c r="O8122" s="14" t="str">
        <f>HYPERLINK("https://otsuka-europe-crm.veevavault.com/ui/#object/email_activity__v/V8C00000003S485", "EN-002093873")</f>
        <v>EN-002093873</v>
      </c>
    </row>
    <row r="8123" spans="1:15" ht="16" x14ac:dyDescent="0.2">
      <c r="A8123" s="19"/>
      <c r="B8123" s="19"/>
      <c r="C8123" s="19"/>
      <c r="D8123" s="19"/>
      <c r="E8123" s="19"/>
      <c r="F8123" s="19"/>
      <c r="G8123" s="19"/>
      <c r="H8123" s="19"/>
      <c r="I8123" s="19"/>
      <c r="J8123" s="19"/>
      <c r="K8123" s="19"/>
      <c r="L8123" s="19"/>
      <c r="M8123" s="19"/>
      <c r="N8123" s="19"/>
      <c r="O8123" s="14" t="str">
        <f>HYPERLINK("https://otsuka-europe-crm.veevavault.com/ui/#object/email_activity__v/V8C00000003T149", "EN-002093866")</f>
        <v>EN-002093866</v>
      </c>
    </row>
    <row r="8124" spans="1:15" ht="16" x14ac:dyDescent="0.2">
      <c r="A8124" s="17" t="str">
        <f>HYPERLINK("https://otsuka-europe-crm.veevavault.com/ui/#object/account__v/V4TZ04ASG79ZVZI", "LUNA PALMA MALDONADO")</f>
        <v>LUNA PALMA MALDONADO</v>
      </c>
      <c r="B8124" s="17" t="str">
        <f>HYPERLINK("https://otsuka-europe-crm.veevavault.com/ui/#object/vcountry__v/VENZ000004SONF5", "ES")</f>
        <v>ES</v>
      </c>
      <c r="C8124" s="20" t="s">
        <v>41</v>
      </c>
      <c r="D8124" s="21" t="str">
        <f>HYPERLINK("https://otsuka-europe-crm.veevavault.com/ui/#object/approved_document__v/V5O00000001K002", "Programa 4º edición Curso Simulación clínica en psiquiatría Hospital 12-Octubre")</f>
        <v>Programa 4º edición Curso Simulación clínica en psiquiatría Hospital 12-Octubre</v>
      </c>
      <c r="E8124" s="22" t="str">
        <f>HYPERLINK("https://otsuka-europe-crm.veevavault.com/ui/#object/sent_email__v/VBL00000002R572", "SE-001435267")</f>
        <v>SE-001435267</v>
      </c>
      <c r="F8124" s="23">
        <v>46184.468414351853</v>
      </c>
      <c r="G8124" s="24">
        <v>1</v>
      </c>
      <c r="H8124" s="24">
        <v>2</v>
      </c>
      <c r="I8124" s="24">
        <v>1</v>
      </c>
      <c r="J8124" s="23">
        <v>46184.467604166668</v>
      </c>
      <c r="K8124" s="24">
        <v>1</v>
      </c>
      <c r="L8124" s="22" t="str">
        <f>HYPERLINK("https://otsuka-europe-crm.veevavault.com/ui/#object/approved_document__v/V5O00000001K002", "Programa 4º edición Curso Simulación clínica en psiquiatría Hospital 12-Octubre")</f>
        <v>Programa 4º edición Curso Simulación clínica en psiquiatría Hospital 12-Octubre</v>
      </c>
      <c r="M8124" s="22" t="str">
        <f>HYPERLINK("mailto:mgravan@crm.otsuka-europe.com", "mgravan@crm.otsuka-europe.com")</f>
        <v>mgravan@crm.otsuka-europe.com</v>
      </c>
      <c r="N8124" s="23">
        <v>46183.324965277781</v>
      </c>
      <c r="O8124" s="14" t="str">
        <f>HYPERLINK("https://otsuka-europe-crm.veevavault.com/ui/#object/email_activity__v/V8C00000003S889", "EN-002094642")</f>
        <v>EN-002094642</v>
      </c>
    </row>
    <row r="8125" spans="1:15" ht="16" x14ac:dyDescent="0.2">
      <c r="A8125" s="18"/>
      <c r="B8125" s="18"/>
      <c r="C8125" s="18"/>
      <c r="D8125" s="18"/>
      <c r="E8125" s="18"/>
      <c r="F8125" s="18"/>
      <c r="G8125" s="18"/>
      <c r="H8125" s="18"/>
      <c r="I8125" s="18"/>
      <c r="J8125" s="18"/>
      <c r="K8125" s="18"/>
      <c r="L8125" s="18"/>
      <c r="M8125" s="18"/>
      <c r="N8125" s="18"/>
      <c r="O8125" s="14" t="str">
        <f>HYPERLINK("https://otsuka-europe-crm.veevavault.com/ui/#object/email_activity__v/V8C00000003T150", "EN-002093867")</f>
        <v>EN-002093867</v>
      </c>
    </row>
    <row r="8126" spans="1:15" ht="16" x14ac:dyDescent="0.2">
      <c r="A8126" s="18"/>
      <c r="B8126" s="18"/>
      <c r="C8126" s="18"/>
      <c r="D8126" s="18"/>
      <c r="E8126" s="18"/>
      <c r="F8126" s="18"/>
      <c r="G8126" s="18"/>
      <c r="H8126" s="18"/>
      <c r="I8126" s="18"/>
      <c r="J8126" s="18"/>
      <c r="K8126" s="18"/>
      <c r="L8126" s="18"/>
      <c r="M8126" s="18"/>
      <c r="N8126" s="18"/>
      <c r="O8126" s="14" t="str">
        <f>HYPERLINK("https://otsuka-europe-crm.veevavault.com/ui/#object/email_activity__v/V8C00000003T496", "EN-002094608")</f>
        <v>EN-002094608</v>
      </c>
    </row>
    <row r="8127" spans="1:15" ht="16" x14ac:dyDescent="0.2">
      <c r="A8127" s="18"/>
      <c r="B8127" s="18"/>
      <c r="C8127" s="18"/>
      <c r="D8127" s="18"/>
      <c r="E8127" s="18"/>
      <c r="F8127" s="18"/>
      <c r="G8127" s="18"/>
      <c r="H8127" s="18"/>
      <c r="I8127" s="18"/>
      <c r="J8127" s="18"/>
      <c r="K8127" s="18"/>
      <c r="L8127" s="18"/>
      <c r="M8127" s="18"/>
      <c r="N8127" s="18"/>
      <c r="O8127" s="14" t="str">
        <f>HYPERLINK("https://otsuka-europe-crm.veevavault.com/ui/#object/email_activity__v/V8C00000003T497", "EN-002094607")</f>
        <v>EN-002094607</v>
      </c>
    </row>
    <row r="8128" spans="1:15" ht="16" x14ac:dyDescent="0.2">
      <c r="A8128" s="19"/>
      <c r="B8128" s="19"/>
      <c r="C8128" s="19"/>
      <c r="D8128" s="19"/>
      <c r="E8128" s="19"/>
      <c r="F8128" s="19"/>
      <c r="G8128" s="19"/>
      <c r="H8128" s="19"/>
      <c r="I8128" s="19"/>
      <c r="J8128" s="19"/>
      <c r="K8128" s="19"/>
      <c r="L8128" s="19"/>
      <c r="M8128" s="19"/>
      <c r="N8128" s="19"/>
      <c r="O8128" s="14" t="str">
        <f>HYPERLINK("https://otsuka-europe-crm.veevavault.com/ui/#object/email_activity__v/V8C00000003T499", "EN-002094610")</f>
        <v>EN-002094610</v>
      </c>
    </row>
    <row r="8129" spans="1:15" ht="16" x14ac:dyDescent="0.2">
      <c r="A8129" s="17" t="str">
        <f>HYPERLINK("https://otsuka-europe-crm.veevavault.com/ui/#object/account__v/V4TZ06G6O71TBVI", "IRENE RAMIREZ GUTIERREZ")</f>
        <v>IRENE RAMIREZ GUTIERREZ</v>
      </c>
      <c r="B8129" s="17" t="str">
        <f>HYPERLINK("https://otsuka-europe-crm.veevavault.com/ui/#object/vcountry__v/VENZ000004SONF5", "ES")</f>
        <v>ES</v>
      </c>
      <c r="C8129" s="20" t="s">
        <v>41</v>
      </c>
      <c r="D8129" s="21" t="str">
        <f>HYPERLINK("https://otsuka-europe-crm.veevavault.com/ui/#object/approved_document__v/V5OZ04ASG4FWKA9", "Documento Autorizaciขn Centro Empleador")</f>
        <v>Documento Autorizaciขn Centro Empleador</v>
      </c>
      <c r="E8129" s="22" t="str">
        <f>HYPERLINK("https://otsuka-europe-crm.veevavault.com/ui/#object/sent_email__v/VBL00000002R573", "SE-001435268")</f>
        <v>SE-001435268</v>
      </c>
      <c r="F8129" s="23">
        <v>46183.550520833334</v>
      </c>
      <c r="G8129" s="24">
        <v>1</v>
      </c>
      <c r="H8129" s="24">
        <v>1</v>
      </c>
      <c r="I8129" s="24">
        <v>0</v>
      </c>
      <c r="J8129" s="25"/>
      <c r="K8129" s="24">
        <v>0</v>
      </c>
      <c r="L8129" s="22" t="str">
        <f>HYPERLINK("https://otsuka-europe-crm.veevavault.com/ui/#object/approved_document__v/V5OZ04ASG4FWKA9", "Documento Autorizaciขn Centro Empleador")</f>
        <v>Documento Autorizaciขn Centro Empleador</v>
      </c>
      <c r="M8129" s="22" t="str">
        <f>HYPERLINK("mailto:mgravan@crm.otsuka-europe.com", "mgravan@crm.otsuka-europe.com")</f>
        <v>mgravan@crm.otsuka-europe.com</v>
      </c>
      <c r="N8129" s="23">
        <v>46183.334016203706</v>
      </c>
      <c r="O8129" s="14" t="str">
        <f>HYPERLINK("https://otsuka-europe-crm.veevavault.com/ui/#object/email_activity__v/V8C00000003S484", "EN-002093872")</f>
        <v>EN-002093872</v>
      </c>
    </row>
    <row r="8130" spans="1:15" ht="16" x14ac:dyDescent="0.2">
      <c r="A8130" s="19"/>
      <c r="B8130" s="19"/>
      <c r="C8130" s="19"/>
      <c r="D8130" s="19"/>
      <c r="E8130" s="19"/>
      <c r="F8130" s="19"/>
      <c r="G8130" s="19"/>
      <c r="H8130" s="19"/>
      <c r="I8130" s="19"/>
      <c r="J8130" s="19"/>
      <c r="K8130" s="19"/>
      <c r="L8130" s="19"/>
      <c r="M8130" s="19"/>
      <c r="N8130" s="19"/>
      <c r="O8130" s="14" t="str">
        <f>HYPERLINK("https://otsuka-europe-crm.veevavault.com/ui/#object/email_activity__v/V8C00000003S672", "EN-002094238")</f>
        <v>EN-002094238</v>
      </c>
    </row>
    <row r="8131" spans="1:15" ht="16" x14ac:dyDescent="0.2">
      <c r="A8131" s="17" t="str">
        <f>HYPERLINK("https://otsuka-europe-crm.veevavault.com/ui/#object/account__v/V4TZ06G6O71TFY8", "DANIELA RADIGHIERI")</f>
        <v>DANIELA RADIGHIERI</v>
      </c>
      <c r="B8131" s="17" t="str">
        <f>HYPERLINK("https://otsuka-europe-crm.veevavault.com/ui/#object/vcountry__v/VENZ000004SONFQ", "IT")</f>
        <v>IT</v>
      </c>
      <c r="C8131" s="20" t="s">
        <v>44</v>
      </c>
      <c r="D8131" s="21" t="str">
        <f>HYPERLINK("https://otsuka-europe-crm.veevavault.com/ui/#object/approved_document__v/V5O00000001H009", "RXULTI_Branded_ DE FILIPPIS aggiornamento_ IT-RXU-2600020")</f>
        <v>RXULTI_Branded_ DE FILIPPIS aggiornamento_ IT-RXU-2600020</v>
      </c>
      <c r="E8131" s="22" t="str">
        <f>HYPERLINK("https://otsuka-europe-crm.veevavault.com/ui/#object/sent_email__v/VBL00000002S667", "SE-001435269")</f>
        <v>SE-001435269</v>
      </c>
      <c r="F8131" s="23">
        <v>46183.835474537038</v>
      </c>
      <c r="G8131" s="24">
        <v>1</v>
      </c>
      <c r="H8131" s="24">
        <v>7</v>
      </c>
      <c r="I8131" s="24">
        <v>0</v>
      </c>
      <c r="J8131" s="25"/>
      <c r="K8131" s="24">
        <v>0</v>
      </c>
      <c r="L8131" s="22" t="str">
        <f>HYPERLINK("https://otsuka-europe-crm.veevavault.com/ui/#object/approved_document__v/V5O00000001H009", "RXULTI_Branded_ DE FILIPPIS aggiornamento_ IT-RXU-2600020")</f>
        <v>RXULTI_Branded_ DE FILIPPIS aggiornamento_ IT-RXU-2600020</v>
      </c>
      <c r="M8131" s="22" t="str">
        <f>HYPERLINK("mailto:annalisa.barozzini@crm.otsuka-europe.com", "annalisa.barozzini@crm.otsuka-europe.com")</f>
        <v>annalisa.barozzini@crm.otsuka-europe.com</v>
      </c>
      <c r="N8131" s="23">
        <v>46183.361516203702</v>
      </c>
      <c r="O8131" s="14" t="str">
        <f>HYPERLINK("https://otsuka-europe-crm.veevavault.com/ui/#object/email_activity__v/V8C00000003S496", "EN-002093892")</f>
        <v>EN-002093892</v>
      </c>
    </row>
    <row r="8132" spans="1:15" ht="16" x14ac:dyDescent="0.2">
      <c r="A8132" s="18"/>
      <c r="B8132" s="18"/>
      <c r="C8132" s="18"/>
      <c r="D8132" s="18"/>
      <c r="E8132" s="18"/>
      <c r="F8132" s="18"/>
      <c r="G8132" s="18"/>
      <c r="H8132" s="18"/>
      <c r="I8132" s="18"/>
      <c r="J8132" s="18"/>
      <c r="K8132" s="18"/>
      <c r="L8132" s="18"/>
      <c r="M8132" s="18"/>
      <c r="N8132" s="18"/>
      <c r="O8132" s="14" t="str">
        <f>HYPERLINK("https://otsuka-europe-crm.veevavault.com/ui/#object/email_activity__v/V8C00000003S776", "EN-002094408")</f>
        <v>EN-002094408</v>
      </c>
    </row>
    <row r="8133" spans="1:15" ht="16" x14ac:dyDescent="0.2">
      <c r="A8133" s="18"/>
      <c r="B8133" s="18"/>
      <c r="C8133" s="18"/>
      <c r="D8133" s="18"/>
      <c r="E8133" s="18"/>
      <c r="F8133" s="18"/>
      <c r="G8133" s="18"/>
      <c r="H8133" s="18"/>
      <c r="I8133" s="18"/>
      <c r="J8133" s="18"/>
      <c r="K8133" s="18"/>
      <c r="L8133" s="18"/>
      <c r="M8133" s="18"/>
      <c r="N8133" s="18"/>
      <c r="O8133" s="14" t="str">
        <f>HYPERLINK("https://otsuka-europe-crm.veevavault.com/ui/#object/email_activity__v/V8C00000003S777", "EN-002094409")</f>
        <v>EN-002094409</v>
      </c>
    </row>
    <row r="8134" spans="1:15" ht="16" x14ac:dyDescent="0.2">
      <c r="A8134" s="18"/>
      <c r="B8134" s="18"/>
      <c r="C8134" s="18"/>
      <c r="D8134" s="18"/>
      <c r="E8134" s="18"/>
      <c r="F8134" s="18"/>
      <c r="G8134" s="18"/>
      <c r="H8134" s="18"/>
      <c r="I8134" s="18"/>
      <c r="J8134" s="18"/>
      <c r="K8134" s="18"/>
      <c r="L8134" s="18"/>
      <c r="M8134" s="18"/>
      <c r="N8134" s="18"/>
      <c r="O8134" s="14" t="str">
        <f>HYPERLINK("https://otsuka-europe-crm.veevavault.com/ui/#object/email_activity__v/V8C00000003S778", "EN-002094411")</f>
        <v>EN-002094411</v>
      </c>
    </row>
    <row r="8135" spans="1:15" ht="16" x14ac:dyDescent="0.2">
      <c r="A8135" s="18"/>
      <c r="B8135" s="18"/>
      <c r="C8135" s="18"/>
      <c r="D8135" s="18"/>
      <c r="E8135" s="18"/>
      <c r="F8135" s="18"/>
      <c r="G8135" s="18"/>
      <c r="H8135" s="18"/>
      <c r="I8135" s="18"/>
      <c r="J8135" s="18"/>
      <c r="K8135" s="18"/>
      <c r="L8135" s="18"/>
      <c r="M8135" s="18"/>
      <c r="N8135" s="18"/>
      <c r="O8135" s="14" t="str">
        <f>HYPERLINK("https://otsuka-europe-crm.veevavault.com/ui/#object/email_activity__v/V8C00000003S779", "EN-002094412")</f>
        <v>EN-002094412</v>
      </c>
    </row>
    <row r="8136" spans="1:15" ht="16" x14ac:dyDescent="0.2">
      <c r="A8136" s="18"/>
      <c r="B8136" s="18"/>
      <c r="C8136" s="18"/>
      <c r="D8136" s="18"/>
      <c r="E8136" s="18"/>
      <c r="F8136" s="18"/>
      <c r="G8136" s="18"/>
      <c r="H8136" s="18"/>
      <c r="I8136" s="18"/>
      <c r="J8136" s="18"/>
      <c r="K8136" s="18"/>
      <c r="L8136" s="18"/>
      <c r="M8136" s="18"/>
      <c r="N8136" s="18"/>
      <c r="O8136" s="14" t="str">
        <f>HYPERLINK("https://otsuka-europe-crm.veevavault.com/ui/#object/email_activity__v/V8C00000003S781", "EN-002094415")</f>
        <v>EN-002094415</v>
      </c>
    </row>
    <row r="8137" spans="1:15" ht="16" x14ac:dyDescent="0.2">
      <c r="A8137" s="18"/>
      <c r="B8137" s="18"/>
      <c r="C8137" s="18"/>
      <c r="D8137" s="18"/>
      <c r="E8137" s="18"/>
      <c r="F8137" s="18"/>
      <c r="G8137" s="18"/>
      <c r="H8137" s="18"/>
      <c r="I8137" s="18"/>
      <c r="J8137" s="18"/>
      <c r="K8137" s="18"/>
      <c r="L8137" s="18"/>
      <c r="M8137" s="18"/>
      <c r="N8137" s="18"/>
      <c r="O8137" s="14" t="str">
        <f>HYPERLINK("https://otsuka-europe-crm.veevavault.com/ui/#object/email_activity__v/V8C00000003T399", "EN-002094413")</f>
        <v>EN-002094413</v>
      </c>
    </row>
    <row r="8138" spans="1:15" ht="16" x14ac:dyDescent="0.2">
      <c r="A8138" s="18"/>
      <c r="B8138" s="18"/>
      <c r="C8138" s="18"/>
      <c r="D8138" s="18"/>
      <c r="E8138" s="18"/>
      <c r="F8138" s="18"/>
      <c r="G8138" s="18"/>
      <c r="H8138" s="18"/>
      <c r="I8138" s="18"/>
      <c r="J8138" s="18"/>
      <c r="K8138" s="18"/>
      <c r="L8138" s="18"/>
      <c r="M8138" s="18"/>
      <c r="N8138" s="18"/>
      <c r="O8138" s="14" t="str">
        <f>HYPERLINK("https://otsuka-europe-crm.veevavault.com/ui/#object/email_activity__v/V8C00000003T400", "EN-002094416")</f>
        <v>EN-002094416</v>
      </c>
    </row>
    <row r="8139" spans="1:15" ht="16" x14ac:dyDescent="0.2">
      <c r="A8139" s="19"/>
      <c r="B8139" s="19"/>
      <c r="C8139" s="19"/>
      <c r="D8139" s="19"/>
      <c r="E8139" s="19"/>
      <c r="F8139" s="19"/>
      <c r="G8139" s="19"/>
      <c r="H8139" s="19"/>
      <c r="I8139" s="19"/>
      <c r="J8139" s="19"/>
      <c r="K8139" s="19"/>
      <c r="L8139" s="19"/>
      <c r="M8139" s="19"/>
      <c r="N8139" s="19"/>
      <c r="O8139" s="14" t="str">
        <f>HYPERLINK("https://otsuka-europe-crm.veevavault.com/ui/#object/email_activity__v/V8C00000003V836", "EN-002096406")</f>
        <v>EN-002096406</v>
      </c>
    </row>
    <row r="8140" spans="1:15" ht="16" x14ac:dyDescent="0.2">
      <c r="A8140" s="17" t="str">
        <f>HYPERLINK("https://otsuka-europe-crm.veevavault.com/ui/#object/account__v/V4TZ06G6O71TFY8", "DANIELA RADIGHIERI")</f>
        <v>DANIELA RADIGHIERI</v>
      </c>
      <c r="B8140" s="17" t="str">
        <f>HYPERLINK("https://otsuka-europe-crm.veevavault.com/ui/#object/vcountry__v/VENZ000004SONFQ", "IT")</f>
        <v>IT</v>
      </c>
      <c r="C8140" s="20" t="s">
        <v>44</v>
      </c>
      <c r="D8140" s="21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E8140" s="22" t="str">
        <f>HYPERLINK("https://otsuka-europe-crm.veevavault.com/ui/#object/sent_email__v/VBL00000002R574", "SE-001435270")</f>
        <v>SE-001435270</v>
      </c>
      <c r="F8140" s="23">
        <v>46183.835509259261</v>
      </c>
      <c r="G8140" s="24">
        <v>1</v>
      </c>
      <c r="H8140" s="24">
        <v>1</v>
      </c>
      <c r="I8140" s="24">
        <v>0</v>
      </c>
      <c r="J8140" s="25"/>
      <c r="K8140" s="24">
        <v>0</v>
      </c>
      <c r="L8140" s="22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M8140" s="22" t="str">
        <f>HYPERLINK("mailto:annalisa.barozzini@crm.otsuka-europe.com", "annalisa.barozzini@crm.otsuka-europe.com")</f>
        <v>annalisa.barozzini@crm.otsuka-europe.com</v>
      </c>
      <c r="N8140" s="23">
        <v>46183.361631944441</v>
      </c>
      <c r="O8140" s="14" t="str">
        <f>HYPERLINK("https://otsuka-europe-crm.veevavault.com/ui/#object/email_activity__v/V8C00000003S495", "EN-002093891")</f>
        <v>EN-002093891</v>
      </c>
    </row>
    <row r="8141" spans="1:15" ht="16" x14ac:dyDescent="0.2">
      <c r="A8141" s="18"/>
      <c r="B8141" s="18"/>
      <c r="C8141" s="18"/>
      <c r="D8141" s="18"/>
      <c r="E8141" s="18"/>
      <c r="F8141" s="18"/>
      <c r="G8141" s="18"/>
      <c r="H8141" s="18"/>
      <c r="I8141" s="18"/>
      <c r="J8141" s="18"/>
      <c r="K8141" s="18"/>
      <c r="L8141" s="18"/>
      <c r="M8141" s="18"/>
      <c r="N8141" s="18"/>
      <c r="O8141" s="14" t="str">
        <f>HYPERLINK("https://otsuka-europe-crm.veevavault.com/ui/#object/email_activity__v/V8C00000003S782", "EN-002094417")</f>
        <v>EN-002094417</v>
      </c>
    </row>
    <row r="8142" spans="1:15" ht="16" x14ac:dyDescent="0.2">
      <c r="A8142" s="19"/>
      <c r="B8142" s="19"/>
      <c r="C8142" s="19"/>
      <c r="D8142" s="19"/>
      <c r="E8142" s="19"/>
      <c r="F8142" s="19"/>
      <c r="G8142" s="19"/>
      <c r="H8142" s="19"/>
      <c r="I8142" s="19"/>
      <c r="J8142" s="19"/>
      <c r="K8142" s="19"/>
      <c r="L8142" s="19"/>
      <c r="M8142" s="19"/>
      <c r="N8142" s="19"/>
      <c r="O8142" s="14" t="str">
        <f>HYPERLINK("https://otsuka-europe-crm.veevavault.com/ui/#object/email_activity__v/V8C00000003V835", "EN-002096405")</f>
        <v>EN-002096405</v>
      </c>
    </row>
    <row r="8143" spans="1:15" ht="16" x14ac:dyDescent="0.2">
      <c r="A8143" s="17" t="str">
        <f>HYPERLINK("https://otsuka-europe-crm.veevavault.com/ui/#object/account__v/V4TZ06G6O71TFY8", "DANIELA RADIGHIERI")</f>
        <v>DANIELA RADIGHIERI</v>
      </c>
      <c r="B8143" s="17" t="str">
        <f>HYPERLINK("https://otsuka-europe-crm.veevavault.com/ui/#object/vcountry__v/VENZ000004SONFQ", "IT")</f>
        <v>IT</v>
      </c>
      <c r="C8143" s="20" t="s">
        <v>44</v>
      </c>
      <c r="D8143" s="21" t="str">
        <f>HYPERLINK("https://otsuka-europe-crm.veevavault.com/ui/#object/approved_document__v/V5O00000001G004", "Branded_RXULTI_AE Ansia_IT-RXU-2500035")</f>
        <v>Branded_RXULTI_AE Ansia_IT-RXU-2500035</v>
      </c>
      <c r="E8143" s="22" t="str">
        <f>HYPERLINK("https://otsuka-europe-crm.veevavault.com/ui/#object/sent_email__v/VBL00000002R575", "SE-001435271")</f>
        <v>SE-001435271</v>
      </c>
      <c r="F8143" s="23">
        <v>46183.83525462963</v>
      </c>
      <c r="G8143" s="24">
        <v>1</v>
      </c>
      <c r="H8143" s="24">
        <v>2</v>
      </c>
      <c r="I8143" s="24">
        <v>0</v>
      </c>
      <c r="J8143" s="25"/>
      <c r="K8143" s="24">
        <v>0</v>
      </c>
      <c r="L8143" s="22" t="str">
        <f>HYPERLINK("https://otsuka-europe-crm.veevavault.com/ui/#object/approved_document__v/V5O00000001G004", "Branded_RXULTI_AE Ansia_IT-RXU-2500035")</f>
        <v>Branded_RXULTI_AE Ansia_IT-RXU-2500035</v>
      </c>
      <c r="M8143" s="22" t="str">
        <f>HYPERLINK("mailto:annalisa.barozzini@crm.otsuka-europe.com", "annalisa.barozzini@crm.otsuka-europe.com")</f>
        <v>annalisa.barozzini@crm.otsuka-europe.com</v>
      </c>
      <c r="N8143" s="23">
        <v>46183.361817129633</v>
      </c>
      <c r="O8143" s="14" t="str">
        <f>HYPERLINK("https://otsuka-europe-crm.veevavault.com/ui/#object/email_activity__v/V8C00000003S775", "EN-002094407")</f>
        <v>EN-002094407</v>
      </c>
    </row>
    <row r="8144" spans="1:15" ht="16" x14ac:dyDescent="0.2">
      <c r="A8144" s="18"/>
      <c r="B8144" s="18"/>
      <c r="C8144" s="18"/>
      <c r="D8144" s="18"/>
      <c r="E8144" s="18"/>
      <c r="F8144" s="18"/>
      <c r="G8144" s="18"/>
      <c r="H8144" s="18"/>
      <c r="I8144" s="18"/>
      <c r="J8144" s="18"/>
      <c r="K8144" s="18"/>
      <c r="L8144" s="18"/>
      <c r="M8144" s="18"/>
      <c r="N8144" s="18"/>
      <c r="O8144" s="14" t="str">
        <f>HYPERLINK("https://otsuka-europe-crm.veevavault.com/ui/#object/email_activity__v/V8C00000003S780", "EN-002094414")</f>
        <v>EN-002094414</v>
      </c>
    </row>
    <row r="8145" spans="1:15" ht="16" x14ac:dyDescent="0.2">
      <c r="A8145" s="18"/>
      <c r="B8145" s="18"/>
      <c r="C8145" s="18"/>
      <c r="D8145" s="18"/>
      <c r="E8145" s="18"/>
      <c r="F8145" s="18"/>
      <c r="G8145" s="18"/>
      <c r="H8145" s="18"/>
      <c r="I8145" s="18"/>
      <c r="J8145" s="18"/>
      <c r="K8145" s="18"/>
      <c r="L8145" s="18"/>
      <c r="M8145" s="18"/>
      <c r="N8145" s="18"/>
      <c r="O8145" s="14" t="str">
        <f>HYPERLINK("https://otsuka-europe-crm.veevavault.com/ui/#object/email_activity__v/V8C00000003T162", "EN-002093893")</f>
        <v>EN-002093893</v>
      </c>
    </row>
    <row r="8146" spans="1:15" ht="16" x14ac:dyDescent="0.2">
      <c r="A8146" s="19"/>
      <c r="B8146" s="19"/>
      <c r="C8146" s="19"/>
      <c r="D8146" s="19"/>
      <c r="E8146" s="19"/>
      <c r="F8146" s="19"/>
      <c r="G8146" s="19"/>
      <c r="H8146" s="19"/>
      <c r="I8146" s="19"/>
      <c r="J8146" s="19"/>
      <c r="K8146" s="19"/>
      <c r="L8146" s="19"/>
      <c r="M8146" s="19"/>
      <c r="N8146" s="19"/>
      <c r="O8146" s="14" t="str">
        <f>HYPERLINK("https://otsuka-europe-crm.veevavault.com/ui/#object/email_activity__v/V8C00000003V834", "EN-002096404")</f>
        <v>EN-002096404</v>
      </c>
    </row>
    <row r="8147" spans="1:15" ht="32" x14ac:dyDescent="0.2">
      <c r="A8147" s="7" t="str">
        <f>HYPERLINK("https://otsuka-europe-crm.veevavault.com/ui/#object/account__v/V4TZ00000633UK5", "VERONIQUE LAVISSE")</f>
        <v>VERONIQUE LAVISSE</v>
      </c>
      <c r="B8147" s="7" t="str">
        <f>HYPERLINK("https://otsuka-europe-crm.veevavault.com/ui/#object/vcountry__v/VENZ000004SONFA", "FR")</f>
        <v>FR</v>
      </c>
      <c r="C8147" s="8" t="s">
        <v>42</v>
      </c>
      <c r="D8147" s="9" t="str">
        <f>HYPERLINK("https://otsuka-europe-crm.veevavault.com/ui/#object/approved_document__v/V5OZ04ASG4G02Y6", "INVITATION_VAD_2023")</f>
        <v>INVITATION_VAD_2023</v>
      </c>
      <c r="E8147" s="10" t="str">
        <f>HYPERLINK("https://otsuka-europe-crm.veevavault.com/ui/#object/sent_email__v/VBL00000002R576", "SE-001435272")</f>
        <v>SE-001435272</v>
      </c>
      <c r="F8147" s="11"/>
      <c r="G8147" s="12">
        <v>0</v>
      </c>
      <c r="H8147" s="12">
        <v>0</v>
      </c>
      <c r="I8147" s="12">
        <v>0</v>
      </c>
      <c r="J8147" s="11"/>
      <c r="K8147" s="12">
        <v>0</v>
      </c>
      <c r="L8147" s="10" t="str">
        <f>HYPERLINK("https://otsuka-europe-crm.veevavault.com/ui/#object/approved_document__v/V5OZ04ASG4G02Y6", "INVITATION_VAD_2023")</f>
        <v>INVITATION_VAD_2023</v>
      </c>
      <c r="M8147" s="10" t="str">
        <f>HYPERLINK("mailto:cchevalliermiserole@crm.otsuka-europe.com", "cchevalliermiserole@crm.otsuka-europe.com")</f>
        <v>cchevalliermiserole@crm.otsuka-europe.com</v>
      </c>
      <c r="N8147" s="13">
        <v>46183.365995370368</v>
      </c>
      <c r="O8147" s="14" t="str">
        <f>HYPERLINK("https://otsuka-europe-crm.veevavault.com/ui/#object/email_activity__v/V8C00000003S500", "EN-002093903")</f>
        <v>EN-002093903</v>
      </c>
    </row>
    <row r="8148" spans="1:15" ht="32" x14ac:dyDescent="0.2">
      <c r="A8148" s="7" t="str">
        <f>HYPERLINK("https://otsuka-europe-crm.veevavault.com/ui/#object/account__v/V4T000000023081", "ALMUDENA JUEZ DEL POZO")</f>
        <v>ALMUDENA JUEZ DEL POZO</v>
      </c>
      <c r="B8148" s="7" t="str">
        <f>HYPERLINK("https://otsuka-europe-crm.veevavault.com/ui/#object/vcountry__v/VENZ000004SONF5", "ES")</f>
        <v>ES</v>
      </c>
      <c r="C8148" s="8" t="s">
        <v>41</v>
      </c>
      <c r="D8148" s="9" t="str">
        <f>HYPERLINK("https://otsuka-europe-crm.veevavault.com/ui/#object/approved_document__v/V5OZ06G6O6RFL1P", "ES Veeva Privacy Notice Email")</f>
        <v>ES Veeva Privacy Notice Email</v>
      </c>
      <c r="E8148" s="10" t="str">
        <f>HYPERLINK("https://otsuka-europe-crm.veevavault.com/ui/#object/sent_email__v/VBL00000002S668", "SE-001435273")</f>
        <v>SE-001435273</v>
      </c>
      <c r="F8148" s="11"/>
      <c r="G8148" s="12">
        <v>0</v>
      </c>
      <c r="H8148" s="12">
        <v>0</v>
      </c>
      <c r="I8148" s="12">
        <v>0</v>
      </c>
      <c r="J8148" s="11"/>
      <c r="K8148" s="12">
        <v>0</v>
      </c>
      <c r="L8148" s="10" t="str">
        <f>HYPERLINK("https://otsuka-europe-crm.veevavault.com/ui/#object/approved_document__v/V5OZ06G6O6RFL1P", "ES Veeva Privacy Notice Email")</f>
        <v>ES Veeva Privacy Notice Email</v>
      </c>
      <c r="M8148" s="10" t="str">
        <f>HYPERLINK("mailto:sruizlemos@crm.otsuka-europe.com", "sruizlemos@crm.otsuka-europe.com")</f>
        <v>sruizlemos@crm.otsuka-europe.com</v>
      </c>
      <c r="N8148" s="13">
        <v>46183.366863425923</v>
      </c>
      <c r="O8148" s="14" t="str">
        <f>HYPERLINK("https://otsuka-europe-crm.veevavault.com/ui/#object/email_activity__v/V8C00000003T169", "EN-002093904")</f>
        <v>EN-002093904</v>
      </c>
    </row>
    <row r="8149" spans="1:15" ht="32" x14ac:dyDescent="0.2">
      <c r="A8149" s="7" t="str">
        <f>HYPERLINK("https://otsuka-europe-crm.veevavault.com/ui/#object/account__v/V4TZ00000633YX6", "ALEKSANDRA MADEJSKA SOLTANI")</f>
        <v>ALEKSANDRA MADEJSKA SOLTANI</v>
      </c>
      <c r="B8149" s="7" t="str">
        <f>HYPERLINK("https://otsuka-europe-crm.veevavault.com/ui/#object/vcountry__v/VENZ000004SONFA", "FR")</f>
        <v>FR</v>
      </c>
      <c r="C8149" s="8" t="s">
        <v>42</v>
      </c>
      <c r="D8149" s="9" t="str">
        <f>HYPERLINK("https://otsuka-europe-crm.veevavault.com/ui/#object/approved_document__v/V5OZ04ASG4G02Y6", "INVITATION_VAD_2023")</f>
        <v>INVITATION_VAD_2023</v>
      </c>
      <c r="E8149" s="10" t="str">
        <f>HYPERLINK("https://otsuka-europe-crm.veevavault.com/ui/#object/sent_email__v/VBL00000002R577", "SE-001435274")</f>
        <v>SE-001435274</v>
      </c>
      <c r="F8149" s="11"/>
      <c r="G8149" s="12">
        <v>0</v>
      </c>
      <c r="H8149" s="12">
        <v>0</v>
      </c>
      <c r="I8149" s="12">
        <v>0</v>
      </c>
      <c r="J8149" s="11"/>
      <c r="K8149" s="12">
        <v>0</v>
      </c>
      <c r="L8149" s="10" t="str">
        <f>HYPERLINK("https://otsuka-europe-crm.veevavault.com/ui/#object/approved_document__v/V5OZ04ASG4G02Y6", "INVITATION_VAD_2023")</f>
        <v>INVITATION_VAD_2023</v>
      </c>
      <c r="M8149" s="10" t="str">
        <f>HYPERLINK("mailto:cchevalliermiserole@crm.otsuka-europe.com", "cchevalliermiserole@crm.otsuka-europe.com")</f>
        <v>cchevalliermiserole@crm.otsuka-europe.com</v>
      </c>
      <c r="N8149" s="13">
        <v>46183.367025462961</v>
      </c>
      <c r="O8149" s="14" t="str">
        <f>HYPERLINK("https://otsuka-europe-crm.veevavault.com/ui/#object/email_activity__v/V8C00000003T170", "EN-002093905")</f>
        <v>EN-002093905</v>
      </c>
    </row>
    <row r="8150" spans="1:15" ht="16" x14ac:dyDescent="0.2">
      <c r="A8150" s="17" t="str">
        <f>HYPERLINK("https://otsuka-europe-crm.veevavault.com/ui/#object/account__v/V4TZ00000633MLJ", "VALERIE BELVA")</f>
        <v>VALERIE BELVA</v>
      </c>
      <c r="B8150" s="17" t="str">
        <f>HYPERLINK("https://otsuka-europe-crm.veevavault.com/ui/#object/vcountry__v/VENZ000004SONFA", "FR")</f>
        <v>FR</v>
      </c>
      <c r="C8150" s="20" t="s">
        <v>42</v>
      </c>
      <c r="D8150" s="21" t="str">
        <f>HYPERLINK("https://otsuka-europe-crm.veevavault.com/ui/#object/approved_document__v/V5OZ04ASG4G02Y6", "INVITATION_VAD_2023")</f>
        <v>INVITATION_VAD_2023</v>
      </c>
      <c r="E8150" s="22" t="str">
        <f>HYPERLINK("https://otsuka-europe-crm.veevavault.com/ui/#object/sent_email__v/VBL00000002S669", "SE-001435275")</f>
        <v>SE-001435275</v>
      </c>
      <c r="F8150" s="25"/>
      <c r="G8150" s="24">
        <v>0</v>
      </c>
      <c r="H8150" s="24">
        <v>0</v>
      </c>
      <c r="I8150" s="24">
        <v>0</v>
      </c>
      <c r="J8150" s="25"/>
      <c r="K8150" s="24">
        <v>0</v>
      </c>
      <c r="L8150" s="22" t="str">
        <f>HYPERLINK("https://otsuka-europe-crm.veevavault.com/ui/#object/approved_document__v/V5OZ04ASG4G02Y6", "INVITATION_VAD_2023")</f>
        <v>INVITATION_VAD_2023</v>
      </c>
      <c r="M8150" s="22" t="str">
        <f>HYPERLINK("mailto:cchevalliermiserole@crm.otsuka-europe.com", "cchevalliermiserole@crm.otsuka-europe.com")</f>
        <v>cchevalliermiserole@crm.otsuka-europe.com</v>
      </c>
      <c r="N8150" s="23">
        <v>46183.367384259262</v>
      </c>
      <c r="O8150" s="14" t="str">
        <f>HYPERLINK("https://otsuka-europe-crm.veevavault.com/ui/#object/email_activity__v/V8C00000003S502", "EN-002093908")</f>
        <v>EN-002093908</v>
      </c>
    </row>
    <row r="8151" spans="1:15" ht="16" x14ac:dyDescent="0.2">
      <c r="A8151" s="19"/>
      <c r="B8151" s="19"/>
      <c r="C8151" s="19"/>
      <c r="D8151" s="19"/>
      <c r="E8151" s="19"/>
      <c r="F8151" s="19"/>
      <c r="G8151" s="19"/>
      <c r="H8151" s="19"/>
      <c r="I8151" s="19"/>
      <c r="J8151" s="19"/>
      <c r="K8151" s="19"/>
      <c r="L8151" s="19"/>
      <c r="M8151" s="19"/>
      <c r="N8151" s="19"/>
      <c r="O8151" s="14" t="str">
        <f>HYPERLINK("https://otsuka-europe-crm.veevavault.com/ui/#object/email_activity__v/V8C00000003T171", "EN-002093907")</f>
        <v>EN-002093907</v>
      </c>
    </row>
    <row r="8152" spans="1:15" ht="32" x14ac:dyDescent="0.2">
      <c r="A8152" s="7" t="str">
        <f>HYPERLINK("https://otsuka-europe-crm.veevavault.com/ui/#object/account__v/V4TZ000006345EP", "GENEVIEVE WOLFCARIUS")</f>
        <v>GENEVIEVE WOLFCARIUS</v>
      </c>
      <c r="B8152" s="7" t="str">
        <f>HYPERLINK("https://otsuka-europe-crm.veevavault.com/ui/#object/vcountry__v/VENZ000004SONFA", "FR")</f>
        <v>FR</v>
      </c>
      <c r="C8152" s="8" t="s">
        <v>42</v>
      </c>
      <c r="D8152" s="9" t="str">
        <f>HYPERLINK("https://otsuka-europe-crm.veevavault.com/ui/#object/approved_document__v/V5OZ04ASG4G02Y6", "INVITATION_VAD_2023")</f>
        <v>INVITATION_VAD_2023</v>
      </c>
      <c r="E8152" s="10" t="str">
        <f>HYPERLINK("https://otsuka-europe-crm.veevavault.com/ui/#object/sent_email__v/VBL00000002R578", "SE-001435276")</f>
        <v>SE-001435276</v>
      </c>
      <c r="F8152" s="11"/>
      <c r="G8152" s="12">
        <v>0</v>
      </c>
      <c r="H8152" s="12">
        <v>0</v>
      </c>
      <c r="I8152" s="12">
        <v>0</v>
      </c>
      <c r="J8152" s="11"/>
      <c r="K8152" s="12">
        <v>0</v>
      </c>
      <c r="L8152" s="10" t="str">
        <f>HYPERLINK("https://otsuka-europe-crm.veevavault.com/ui/#object/approved_document__v/V5OZ04ASG4G02Y6", "INVITATION_VAD_2023")</f>
        <v>INVITATION_VAD_2023</v>
      </c>
      <c r="M8152" s="10" t="str">
        <f>HYPERLINK("mailto:cchevalliermiserole@crm.otsuka-europe.com", "cchevalliermiserole@crm.otsuka-europe.com")</f>
        <v>cchevalliermiserole@crm.otsuka-europe.com</v>
      </c>
      <c r="N8152" s="13">
        <v>46183.367523148147</v>
      </c>
      <c r="O8152" s="14" t="str">
        <f>HYPERLINK("https://otsuka-europe-crm.veevavault.com/ui/#object/email_activity__v/V8C00000003S501", "EN-002093906")</f>
        <v>EN-002093906</v>
      </c>
    </row>
    <row r="8153" spans="1:15" ht="32" x14ac:dyDescent="0.2">
      <c r="A8153" s="7" t="str">
        <f>HYPERLINK("https://otsuka-europe-crm.veevavault.com/ui/#object/account__v/V4TZ00000633IIE", "CATHERINE ADINS AVINEE")</f>
        <v>CATHERINE ADINS AVINEE</v>
      </c>
      <c r="B8153" s="7" t="str">
        <f>HYPERLINK("https://otsuka-europe-crm.veevavault.com/ui/#object/vcountry__v/VENZ000004SONFA", "FR")</f>
        <v>FR</v>
      </c>
      <c r="C8153" s="8" t="s">
        <v>42</v>
      </c>
      <c r="D8153" s="9" t="str">
        <f>HYPERLINK("https://otsuka-europe-crm.veevavault.com/ui/#object/approved_document__v/V5OZ04ASG4G02Y6", "INVITATION_VAD_2023")</f>
        <v>INVITATION_VAD_2023</v>
      </c>
      <c r="E8153" s="10" t="str">
        <f>HYPERLINK("https://otsuka-europe-crm.veevavault.com/ui/#object/sent_email__v/VBL00000002S670", "SE-001435277")</f>
        <v>SE-001435277</v>
      </c>
      <c r="F8153" s="11"/>
      <c r="G8153" s="12">
        <v>0</v>
      </c>
      <c r="H8153" s="12">
        <v>0</v>
      </c>
      <c r="I8153" s="12">
        <v>0</v>
      </c>
      <c r="J8153" s="11"/>
      <c r="K8153" s="12">
        <v>0</v>
      </c>
      <c r="L8153" s="10" t="str">
        <f>HYPERLINK("https://otsuka-europe-crm.veevavault.com/ui/#object/approved_document__v/V5OZ04ASG4G02Y6", "INVITATION_VAD_2023")</f>
        <v>INVITATION_VAD_2023</v>
      </c>
      <c r="M8153" s="10" t="str">
        <f>HYPERLINK("mailto:cchevalliermiserole@crm.otsuka-europe.com", "cchevalliermiserole@crm.otsuka-europe.com")</f>
        <v>cchevalliermiserole@crm.otsuka-europe.com</v>
      </c>
      <c r="N8153" s="13">
        <v>46183.367905092593</v>
      </c>
      <c r="O8153" s="14" t="str">
        <f>HYPERLINK("https://otsuka-europe-crm.veevavault.com/ui/#object/email_activity__v/V8C00000003S503", "EN-002093910")</f>
        <v>EN-002093910</v>
      </c>
    </row>
    <row r="8154" spans="1:15" ht="32" x14ac:dyDescent="0.2">
      <c r="A8154" s="7" t="str">
        <f>HYPERLINK("https://otsuka-europe-crm.veevavault.com/ui/#object/account__v/V4TZ00000633QUQ", "MONIQUE DELVINCOURT BARTHES")</f>
        <v>MONIQUE DELVINCOURT BARTHES</v>
      </c>
      <c r="B8154" s="7" t="str">
        <f>HYPERLINK("https://otsuka-europe-crm.veevavault.com/ui/#object/vcountry__v/VENZ000004SONFA", "FR")</f>
        <v>FR</v>
      </c>
      <c r="C8154" s="8" t="s">
        <v>42</v>
      </c>
      <c r="D8154" s="9" t="str">
        <f>HYPERLINK("https://otsuka-europe-crm.veevavault.com/ui/#object/approved_document__v/V5OZ04ASG4G02Y6", "INVITATION_VAD_2023")</f>
        <v>INVITATION_VAD_2023</v>
      </c>
      <c r="E8154" s="10" t="str">
        <f>HYPERLINK("https://otsuka-europe-crm.veevavault.com/ui/#object/sent_email__v/VBL00000002S671", "SE-001435278")</f>
        <v>SE-001435278</v>
      </c>
      <c r="F8154" s="11"/>
      <c r="G8154" s="12">
        <v>0</v>
      </c>
      <c r="H8154" s="12">
        <v>0</v>
      </c>
      <c r="I8154" s="12">
        <v>0</v>
      </c>
      <c r="J8154" s="11"/>
      <c r="K8154" s="12">
        <v>0</v>
      </c>
      <c r="L8154" s="10" t="str">
        <f>HYPERLINK("https://otsuka-europe-crm.veevavault.com/ui/#object/approved_document__v/V5OZ04ASG4G02Y6", "INVITATION_VAD_2023")</f>
        <v>INVITATION_VAD_2023</v>
      </c>
      <c r="M8154" s="10" t="str">
        <f>HYPERLINK("mailto:cchevalliermiserole@crm.otsuka-europe.com", "cchevalliermiserole@crm.otsuka-europe.com")</f>
        <v>cchevalliermiserole@crm.otsuka-europe.com</v>
      </c>
      <c r="N8154" s="13">
        <v>46183.368634259263</v>
      </c>
      <c r="O8154" s="14" t="str">
        <f>HYPERLINK("https://otsuka-europe-crm.veevavault.com/ui/#object/email_activity__v/V8C00000003S504", "EN-002093911")</f>
        <v>EN-002093911</v>
      </c>
    </row>
    <row r="8155" spans="1:15" ht="32" x14ac:dyDescent="0.2">
      <c r="A8155" s="7" t="str">
        <f>HYPERLINK("https://otsuka-europe-crm.veevavault.com/ui/#object/account__v/V4TZ00000633V1P", "SOPHIE MAYEUR")</f>
        <v>SOPHIE MAYEUR</v>
      </c>
      <c r="B8155" s="7" t="str">
        <f>HYPERLINK("https://otsuka-europe-crm.veevavault.com/ui/#object/vcountry__v/VENZ000004SONFA", "FR")</f>
        <v>FR</v>
      </c>
      <c r="C8155" s="8" t="s">
        <v>42</v>
      </c>
      <c r="D8155" s="9" t="str">
        <f>HYPERLINK("https://otsuka-europe-crm.veevavault.com/ui/#object/approved_document__v/V5OZ04ASG4G02Y6", "INVITATION_VAD_2023")</f>
        <v>INVITATION_VAD_2023</v>
      </c>
      <c r="E8155" s="10" t="str">
        <f>HYPERLINK("https://otsuka-europe-crm.veevavault.com/ui/#object/sent_email__v/VBL00000002S672", "SE-001435279")</f>
        <v>SE-001435279</v>
      </c>
      <c r="F8155" s="11"/>
      <c r="G8155" s="12">
        <v>0</v>
      </c>
      <c r="H8155" s="12">
        <v>0</v>
      </c>
      <c r="I8155" s="12">
        <v>0</v>
      </c>
      <c r="J8155" s="11"/>
      <c r="K8155" s="12">
        <v>0</v>
      </c>
      <c r="L8155" s="10" t="str">
        <f>HYPERLINK("https://otsuka-europe-crm.veevavault.com/ui/#object/approved_document__v/V5OZ04ASG4G02Y6", "INVITATION_VAD_2023")</f>
        <v>INVITATION_VAD_2023</v>
      </c>
      <c r="M8155" s="10" t="str">
        <f>HYPERLINK("mailto:cchevalliermiserole@crm.otsuka-europe.com", "cchevalliermiserole@crm.otsuka-europe.com")</f>
        <v>cchevalliermiserole@crm.otsuka-europe.com</v>
      </c>
      <c r="N8155" s="13">
        <v>46183.368958333333</v>
      </c>
      <c r="O8155" s="14" t="str">
        <f>HYPERLINK("https://otsuka-europe-crm.veevavault.com/ui/#object/email_activity__v/V8C00000003S507", "EN-002093914")</f>
        <v>EN-002093914</v>
      </c>
    </row>
    <row r="8156" spans="1:15" ht="16" x14ac:dyDescent="0.2">
      <c r="A8156" s="17" t="str">
        <f>HYPERLINK("https://otsuka-europe-crm.veevavault.com/ui/#object/account__v/V4TZ00000633RFH", "FLORENCE DUVIVIER")</f>
        <v>FLORENCE DUVIVIER</v>
      </c>
      <c r="B8156" s="17" t="str">
        <f>HYPERLINK("https://otsuka-europe-crm.veevavault.com/ui/#object/vcountry__v/VENZ000004SONFA", "FR")</f>
        <v>FR</v>
      </c>
      <c r="C8156" s="20" t="s">
        <v>42</v>
      </c>
      <c r="D8156" s="21" t="str">
        <f>HYPERLINK("https://otsuka-europe-crm.veevavault.com/ui/#object/approved_document__v/V5OZ04ASG4G02Y6", "INVITATION_VAD_2023")</f>
        <v>INVITATION_VAD_2023</v>
      </c>
      <c r="E8156" s="22" t="str">
        <f>HYPERLINK("https://otsuka-europe-crm.veevavault.com/ui/#object/sent_email__v/VBL00000002R579", "SE-001435280")</f>
        <v>SE-001435280</v>
      </c>
      <c r="F8156" s="25"/>
      <c r="G8156" s="24">
        <v>0</v>
      </c>
      <c r="H8156" s="24">
        <v>0</v>
      </c>
      <c r="I8156" s="24">
        <v>0</v>
      </c>
      <c r="J8156" s="25"/>
      <c r="K8156" s="24">
        <v>0</v>
      </c>
      <c r="L8156" s="22" t="str">
        <f>HYPERLINK("https://otsuka-europe-crm.veevavault.com/ui/#object/approved_document__v/V5OZ04ASG4G02Y6", "INVITATION_VAD_2023")</f>
        <v>INVITATION_VAD_2023</v>
      </c>
      <c r="M8156" s="22" t="str">
        <f>HYPERLINK("mailto:cchevalliermiserole@crm.otsuka-europe.com", "cchevalliermiserole@crm.otsuka-europe.com")</f>
        <v>cchevalliermiserole@crm.otsuka-europe.com</v>
      </c>
      <c r="N8156" s="23">
        <v>46183.369305555556</v>
      </c>
      <c r="O8156" s="14" t="str">
        <f>HYPERLINK("https://otsuka-europe-crm.veevavault.com/ui/#object/email_activity__v/V8C00000003S509", "EN-002093916")</f>
        <v>EN-002093916</v>
      </c>
    </row>
    <row r="8157" spans="1:15" ht="16" x14ac:dyDescent="0.2">
      <c r="A8157" s="18"/>
      <c r="B8157" s="18"/>
      <c r="C8157" s="18"/>
      <c r="D8157" s="18"/>
      <c r="E8157" s="18"/>
      <c r="F8157" s="18"/>
      <c r="G8157" s="18"/>
      <c r="H8157" s="18"/>
      <c r="I8157" s="18"/>
      <c r="J8157" s="18"/>
      <c r="K8157" s="18"/>
      <c r="L8157" s="18"/>
      <c r="M8157" s="18"/>
      <c r="N8157" s="18"/>
      <c r="O8157" s="14" t="str">
        <f>HYPERLINK("https://otsuka-europe-crm.veevavault.com/ui/#object/email_activity__v/V8C00000003T423", "EN-002094465")</f>
        <v>EN-002094465</v>
      </c>
    </row>
    <row r="8158" spans="1:15" ht="16" x14ac:dyDescent="0.2">
      <c r="A8158" s="19"/>
      <c r="B8158" s="19"/>
      <c r="C8158" s="19"/>
      <c r="D8158" s="19"/>
      <c r="E8158" s="19"/>
      <c r="F8158" s="19"/>
      <c r="G8158" s="19"/>
      <c r="H8158" s="19"/>
      <c r="I8158" s="19"/>
      <c r="J8158" s="19"/>
      <c r="K8158" s="19"/>
      <c r="L8158" s="19"/>
      <c r="M8158" s="19"/>
      <c r="N8158" s="19"/>
      <c r="O8158" s="14" t="str">
        <f>HYPERLINK("https://otsuka-europe-crm.veevavault.com/ui/#object/email_activity__v/V8C000000040017", "EN-002098731")</f>
        <v>EN-002098731</v>
      </c>
    </row>
    <row r="8159" spans="1:15" ht="32" x14ac:dyDescent="0.2">
      <c r="A8159" s="7" t="str">
        <f>HYPERLINK("https://otsuka-europe-crm.veevavault.com/ui/#object/account__v/V4TZ025E86LENR1", "Camilla Afren")</f>
        <v>Camilla Afren</v>
      </c>
      <c r="B8159" s="7" t="str">
        <f>HYPERLINK("https://otsuka-europe-crm.veevavault.com/ui/#object/vcountry__v/VENZ000004SONFK", "GB")</f>
        <v>GB</v>
      </c>
      <c r="C8159" s="8" t="s">
        <v>39</v>
      </c>
      <c r="D8159" s="9" t="str">
        <f>HYPERLINK("https://otsuka-europe-crm.veevavault.com/ui/#object/approved_document__v/V5O00000001H005", "LDM DR P2P Invite 23-Jun-26 [digital]")</f>
        <v>LDM DR P2P Invite 23-Jun-26 [digital]</v>
      </c>
      <c r="E8159" s="10" t="str">
        <f>HYPERLINK("https://otsuka-europe-crm.veevavault.com/ui/#object/sent_email__v/VBL00000002R580", "SE-001435281")</f>
        <v>SE-001435281</v>
      </c>
      <c r="F8159" s="11"/>
      <c r="G8159" s="12">
        <v>0</v>
      </c>
      <c r="H8159" s="12">
        <v>0</v>
      </c>
      <c r="I8159" s="12">
        <v>0</v>
      </c>
      <c r="J8159" s="11"/>
      <c r="K8159" s="12">
        <v>0</v>
      </c>
      <c r="L8159" s="10" t="str">
        <f>HYPERLINK("https://otsuka-europe-crm.veevavault.com/ui/#object/approved_document__v/V5O00000001H005", "LDM DR P2P Invite 23-Jun-26 [digital]")</f>
        <v>LDM DR P2P Invite 23-Jun-26 [digital]</v>
      </c>
      <c r="M8159" s="10" t="str">
        <f>HYPERLINK("mailto:draval@crm.otsuka-europe.com", "draval@crm.otsuka-europe.com")</f>
        <v>draval@crm.otsuka-europe.com</v>
      </c>
      <c r="N8159" s="13">
        <v>46183.370694444442</v>
      </c>
      <c r="O8159" s="14" t="str">
        <f>HYPERLINK("https://otsuka-europe-crm.veevavault.com/ui/#object/email_activity__v/V8C00000003T173", "EN-002093917")</f>
        <v>EN-002093917</v>
      </c>
    </row>
    <row r="8160" spans="1:15" ht="16" x14ac:dyDescent="0.2">
      <c r="A8160" s="17" t="str">
        <f>HYPERLINK("https://otsuka-europe-crm.veevavault.com/ui/#object/account__v/V4TZ025E82D8D5K", "Beedianand Ajay")</f>
        <v>Beedianand Ajay</v>
      </c>
      <c r="B8160" s="17" t="str">
        <f>HYPERLINK("https://otsuka-europe-crm.veevavault.com/ui/#object/vcountry__v/VENZ000004SONFK", "GB")</f>
        <v>GB</v>
      </c>
      <c r="C8160" s="20" t="s">
        <v>39</v>
      </c>
      <c r="D8160" s="21" t="str">
        <f>HYPERLINK("https://otsuka-europe-crm.veevavault.com/ui/#object/approved_document__v/V5O00000001H005", "LDM DR P2P Invite 23-Jun-26 [digital]")</f>
        <v>LDM DR P2P Invite 23-Jun-26 [digital]</v>
      </c>
      <c r="E8160" s="22" t="str">
        <f>HYPERLINK("https://otsuka-europe-crm.veevavault.com/ui/#object/sent_email__v/VBL00000002R581", "SE-001435282")</f>
        <v>SE-001435282</v>
      </c>
      <c r="F8160" s="23">
        <v>46183.400983796295</v>
      </c>
      <c r="G8160" s="24">
        <v>1</v>
      </c>
      <c r="H8160" s="24">
        <v>2</v>
      </c>
      <c r="I8160" s="24">
        <v>0</v>
      </c>
      <c r="J8160" s="25"/>
      <c r="K8160" s="24">
        <v>0</v>
      </c>
      <c r="L8160" s="22" t="str">
        <f>HYPERLINK("https://otsuka-europe-crm.veevavault.com/ui/#object/approved_document__v/V5O00000001H005", "LDM DR P2P Invite 23-Jun-26 [digital]")</f>
        <v>LDM DR P2P Invite 23-Jun-26 [digital]</v>
      </c>
      <c r="M8160" s="22" t="str">
        <f>HYPERLINK("mailto:draval@crm.otsuka-europe.com", "draval@crm.otsuka-europe.com")</f>
        <v>draval@crm.otsuka-europe.com</v>
      </c>
      <c r="N8160" s="23">
        <v>46183.371377314812</v>
      </c>
      <c r="O8160" s="14" t="str">
        <f>HYPERLINK("https://otsuka-europe-crm.veevavault.com/ui/#object/email_activity__v/V8C00000003S554", "EN-002093991")</f>
        <v>EN-002093991</v>
      </c>
    </row>
    <row r="8161" spans="1:15" ht="16" x14ac:dyDescent="0.2">
      <c r="A8161" s="18"/>
      <c r="B8161" s="18"/>
      <c r="C8161" s="18"/>
      <c r="D8161" s="18"/>
      <c r="E8161" s="18"/>
      <c r="F8161" s="18"/>
      <c r="G8161" s="18"/>
      <c r="H8161" s="18"/>
      <c r="I8161" s="18"/>
      <c r="J8161" s="18"/>
      <c r="K8161" s="18"/>
      <c r="L8161" s="18"/>
      <c r="M8161" s="18"/>
      <c r="N8161" s="18"/>
      <c r="O8161" s="14" t="str">
        <f>HYPERLINK("https://otsuka-europe-crm.veevavault.com/ui/#object/email_activity__v/V8C00000003S555", "EN-002093992")</f>
        <v>EN-002093992</v>
      </c>
    </row>
    <row r="8162" spans="1:15" ht="16" x14ac:dyDescent="0.2">
      <c r="A8162" s="19"/>
      <c r="B8162" s="19"/>
      <c r="C8162" s="19"/>
      <c r="D8162" s="19"/>
      <c r="E8162" s="19"/>
      <c r="F8162" s="19"/>
      <c r="G8162" s="19"/>
      <c r="H8162" s="19"/>
      <c r="I8162" s="19"/>
      <c r="J8162" s="19"/>
      <c r="K8162" s="19"/>
      <c r="L8162" s="19"/>
      <c r="M8162" s="19"/>
      <c r="N8162" s="19"/>
      <c r="O8162" s="14" t="str">
        <f>HYPERLINK("https://otsuka-europe-crm.veevavault.com/ui/#object/email_activity__v/V8C00000003T174", "EN-002093918")</f>
        <v>EN-002093918</v>
      </c>
    </row>
    <row r="8163" spans="1:15" ht="16" x14ac:dyDescent="0.2">
      <c r="A8163" s="17" t="str">
        <f>HYPERLINK("https://otsuka-europe-crm.veevavault.com/ui/#object/account__v/V4TZ025E84K1HHV", "Mohammad Bakhtiar")</f>
        <v>Mohammad Bakhtiar</v>
      </c>
      <c r="B8163" s="17" t="str">
        <f>HYPERLINK("https://otsuka-europe-crm.veevavault.com/ui/#object/vcountry__v/VENZ000004SONFK", "GB")</f>
        <v>GB</v>
      </c>
      <c r="C8163" s="20" t="s">
        <v>39</v>
      </c>
      <c r="D8163" s="21" t="str">
        <f>HYPERLINK("https://otsuka-europe-crm.veevavault.com/ui/#object/approved_document__v/V5O00000001H005", "LDM DR P2P Invite 23-Jun-26 [digital]")</f>
        <v>LDM DR P2P Invite 23-Jun-26 [digital]</v>
      </c>
      <c r="E8163" s="22" t="str">
        <f>HYPERLINK("https://otsuka-europe-crm.veevavault.com/ui/#object/sent_email__v/VBL00000002R582", "SE-001435283")</f>
        <v>SE-001435283</v>
      </c>
      <c r="F8163" s="23">
        <v>46183.372303240743</v>
      </c>
      <c r="G8163" s="24">
        <v>1</v>
      </c>
      <c r="H8163" s="24">
        <v>1</v>
      </c>
      <c r="I8163" s="24">
        <v>1</v>
      </c>
      <c r="J8163" s="23">
        <v>46183.372303240743</v>
      </c>
      <c r="K8163" s="24">
        <v>1</v>
      </c>
      <c r="L8163" s="22" t="str">
        <f>HYPERLINK("https://otsuka-europe-crm.veevavault.com/ui/#object/approved_document__v/V5O00000001H005", "LDM DR P2P Invite 23-Jun-26 [digital]")</f>
        <v>LDM DR P2P Invite 23-Jun-26 [digital]</v>
      </c>
      <c r="M8163" s="22" t="str">
        <f>HYPERLINK("mailto:draval@crm.otsuka-europe.com", "draval@crm.otsuka-europe.com")</f>
        <v>draval@crm.otsuka-europe.com</v>
      </c>
      <c r="N8163" s="23">
        <v>46183.372256944444</v>
      </c>
      <c r="O8163" s="14" t="str">
        <f>HYPERLINK("https://otsuka-europe-crm.veevavault.com/ui/#object/email_activity__v/V8C00000003S510", "EN-002093920")</f>
        <v>EN-002093920</v>
      </c>
    </row>
    <row r="8164" spans="1:15" ht="16" x14ac:dyDescent="0.2">
      <c r="A8164" s="18"/>
      <c r="B8164" s="18"/>
      <c r="C8164" s="18"/>
      <c r="D8164" s="18"/>
      <c r="E8164" s="18"/>
      <c r="F8164" s="18"/>
      <c r="G8164" s="18"/>
      <c r="H8164" s="18"/>
      <c r="I8164" s="18"/>
      <c r="J8164" s="18"/>
      <c r="K8164" s="18"/>
      <c r="L8164" s="18"/>
      <c r="M8164" s="18"/>
      <c r="N8164" s="18"/>
      <c r="O8164" s="14" t="str">
        <f>HYPERLINK("https://otsuka-europe-crm.veevavault.com/ui/#object/email_activity__v/V8C00000003S511", "EN-002093919")</f>
        <v>EN-002093919</v>
      </c>
    </row>
    <row r="8165" spans="1:15" ht="16" x14ac:dyDescent="0.2">
      <c r="A8165" s="19"/>
      <c r="B8165" s="19"/>
      <c r="C8165" s="19"/>
      <c r="D8165" s="19"/>
      <c r="E8165" s="19"/>
      <c r="F8165" s="19"/>
      <c r="G8165" s="19"/>
      <c r="H8165" s="19"/>
      <c r="I8165" s="19"/>
      <c r="J8165" s="19"/>
      <c r="K8165" s="19"/>
      <c r="L8165" s="19"/>
      <c r="M8165" s="19"/>
      <c r="N8165" s="19"/>
      <c r="O8165" s="14" t="str">
        <f>HYPERLINK("https://otsuka-europe-crm.veevavault.com/ui/#object/email_activity__v/V8C00000003S512", "EN-002093921")</f>
        <v>EN-002093921</v>
      </c>
    </row>
    <row r="8166" spans="1:15" ht="16" x14ac:dyDescent="0.2">
      <c r="A8166" s="17" t="str">
        <f>HYPERLINK("https://otsuka-europe-crm.veevavault.com/ui/#object/account__v/V4TZ06G6O8A3YNZ", "Jasminka Cindori")</f>
        <v>Jasminka Cindori</v>
      </c>
      <c r="B8166" s="17" t="str">
        <f>HYPERLINK("https://otsuka-europe-crm.veevavault.com/ui/#object/vcountry__v/VENZ000004SONFK", "GB")</f>
        <v>GB</v>
      </c>
      <c r="C8166" s="20" t="s">
        <v>39</v>
      </c>
      <c r="D8166" s="21" t="str">
        <f>HYPERLINK("https://otsuka-europe-crm.veevavault.com/ui/#object/approved_document__v/V5O00000001H005", "LDM DR P2P Invite 23-Jun-26 [digital]")</f>
        <v>LDM DR P2P Invite 23-Jun-26 [digital]</v>
      </c>
      <c r="E8166" s="22" t="str">
        <f>HYPERLINK("https://otsuka-europe-crm.veevavault.com/ui/#object/sent_email__v/VBL00000002R583", "SE-001435284")</f>
        <v>SE-001435284</v>
      </c>
      <c r="F8166" s="23">
        <v>46183.564837962964</v>
      </c>
      <c r="G8166" s="24">
        <v>1</v>
      </c>
      <c r="H8166" s="24">
        <v>3</v>
      </c>
      <c r="I8166" s="24">
        <v>0</v>
      </c>
      <c r="J8166" s="25"/>
      <c r="K8166" s="24">
        <v>0</v>
      </c>
      <c r="L8166" s="22" t="str">
        <f>HYPERLINK("https://otsuka-europe-crm.veevavault.com/ui/#object/approved_document__v/V5O00000001H005", "LDM DR P2P Invite 23-Jun-26 [digital]")</f>
        <v>LDM DR P2P Invite 23-Jun-26 [digital]</v>
      </c>
      <c r="M8166" s="22" t="str">
        <f>HYPERLINK("mailto:draval@crm.otsuka-europe.com", "draval@crm.otsuka-europe.com")</f>
        <v>draval@crm.otsuka-europe.com</v>
      </c>
      <c r="N8166" s="23">
        <v>46183.37295138889</v>
      </c>
      <c r="O8166" s="14" t="str">
        <f>HYPERLINK("https://otsuka-europe-crm.veevavault.com/ui/#object/email_activity__v/V8C00000003S513", "EN-002093924")</f>
        <v>EN-002093924</v>
      </c>
    </row>
    <row r="8167" spans="1:15" ht="16" x14ac:dyDescent="0.2">
      <c r="A8167" s="18"/>
      <c r="B8167" s="18"/>
      <c r="C8167" s="18"/>
      <c r="D8167" s="18"/>
      <c r="E8167" s="18"/>
      <c r="F8167" s="18"/>
      <c r="G8167" s="18"/>
      <c r="H8167" s="18"/>
      <c r="I8167" s="18"/>
      <c r="J8167" s="18"/>
      <c r="K8167" s="18"/>
      <c r="L8167" s="18"/>
      <c r="M8167" s="18"/>
      <c r="N8167" s="18"/>
      <c r="O8167" s="14" t="str">
        <f>HYPERLINK("https://otsuka-europe-crm.veevavault.com/ui/#object/email_activity__v/V8C00000003S562", "EN-002094001")</f>
        <v>EN-002094001</v>
      </c>
    </row>
    <row r="8168" spans="1:15" ht="16" x14ac:dyDescent="0.2">
      <c r="A8168" s="18"/>
      <c r="B8168" s="18"/>
      <c r="C8168" s="18"/>
      <c r="D8168" s="18"/>
      <c r="E8168" s="18"/>
      <c r="F8168" s="18"/>
      <c r="G8168" s="18"/>
      <c r="H8168" s="18"/>
      <c r="I8168" s="18"/>
      <c r="J8168" s="18"/>
      <c r="K8168" s="18"/>
      <c r="L8168" s="18"/>
      <c r="M8168" s="18"/>
      <c r="N8168" s="18"/>
      <c r="O8168" s="14" t="str">
        <f>HYPERLINK("https://otsuka-europe-crm.veevavault.com/ui/#object/email_activity__v/V8C00000003S680", "EN-002094255")</f>
        <v>EN-002094255</v>
      </c>
    </row>
    <row r="8169" spans="1:15" ht="16" x14ac:dyDescent="0.2">
      <c r="A8169" s="18"/>
      <c r="B8169" s="18"/>
      <c r="C8169" s="18"/>
      <c r="D8169" s="18"/>
      <c r="E8169" s="18"/>
      <c r="F8169" s="18"/>
      <c r="G8169" s="18"/>
      <c r="H8169" s="18"/>
      <c r="I8169" s="18"/>
      <c r="J8169" s="18"/>
      <c r="K8169" s="18"/>
      <c r="L8169" s="18"/>
      <c r="M8169" s="18"/>
      <c r="N8169" s="18"/>
      <c r="O8169" s="14" t="str">
        <f>HYPERLINK("https://otsuka-europe-crm.veevavault.com/ui/#object/email_activity__v/V8C00000003S681", "EN-002094256")</f>
        <v>EN-002094256</v>
      </c>
    </row>
    <row r="8170" spans="1:15" ht="16" x14ac:dyDescent="0.2">
      <c r="A8170" s="18"/>
      <c r="B8170" s="18"/>
      <c r="C8170" s="18"/>
      <c r="D8170" s="18"/>
      <c r="E8170" s="18"/>
      <c r="F8170" s="18"/>
      <c r="G8170" s="18"/>
      <c r="H8170" s="18"/>
      <c r="I8170" s="18"/>
      <c r="J8170" s="18"/>
      <c r="K8170" s="18"/>
      <c r="L8170" s="18"/>
      <c r="M8170" s="18"/>
      <c r="N8170" s="18"/>
      <c r="O8170" s="14" t="str">
        <f>HYPERLINK("https://otsuka-europe-crm.veevavault.com/ui/#object/email_activity__v/V8C00000003T175", "EN-002093922")</f>
        <v>EN-002093922</v>
      </c>
    </row>
    <row r="8171" spans="1:15" ht="16" x14ac:dyDescent="0.2">
      <c r="A8171" s="19"/>
      <c r="B8171" s="19"/>
      <c r="C8171" s="19"/>
      <c r="D8171" s="19"/>
      <c r="E8171" s="19"/>
      <c r="F8171" s="19"/>
      <c r="G8171" s="19"/>
      <c r="H8171" s="19"/>
      <c r="I8171" s="19"/>
      <c r="J8171" s="19"/>
      <c r="K8171" s="19"/>
      <c r="L8171" s="19"/>
      <c r="M8171" s="19"/>
      <c r="N8171" s="19"/>
      <c r="O8171" s="14" t="str">
        <f>HYPERLINK("https://otsuka-europe-crm.veevavault.com/ui/#object/email_activity__v/V8C00000003T342", "EN-002094258")</f>
        <v>EN-002094258</v>
      </c>
    </row>
    <row r="8172" spans="1:15" ht="16" x14ac:dyDescent="0.2">
      <c r="A8172" s="17" t="str">
        <f>HYPERLINK("https://otsuka-europe-crm.veevavault.com/ui/#object/account__v/V4TZ06G6OBI9YDE", "Preeti Gour")</f>
        <v>Preeti Gour</v>
      </c>
      <c r="B8172" s="17" t="str">
        <f>HYPERLINK("https://otsuka-europe-crm.veevavault.com/ui/#object/vcountry__v/VENZ000004SONFK", "GB")</f>
        <v>GB</v>
      </c>
      <c r="C8172" s="20" t="s">
        <v>39</v>
      </c>
      <c r="D8172" s="21" t="str">
        <f>HYPERLINK("https://otsuka-europe-crm.veevavault.com/ui/#object/approved_document__v/V5O00000001H005", "LDM DR P2P Invite 23-Jun-26 [digital]")</f>
        <v>LDM DR P2P Invite 23-Jun-26 [digital]</v>
      </c>
      <c r="E8172" s="22" t="str">
        <f>HYPERLINK("https://otsuka-europe-crm.veevavault.com/ui/#object/sent_email__v/VBL00000002R584", "SE-001435285")</f>
        <v>SE-001435285</v>
      </c>
      <c r="F8172" s="25"/>
      <c r="G8172" s="24">
        <v>0</v>
      </c>
      <c r="H8172" s="24">
        <v>0</v>
      </c>
      <c r="I8172" s="24">
        <v>0</v>
      </c>
      <c r="J8172" s="25"/>
      <c r="K8172" s="24">
        <v>0</v>
      </c>
      <c r="L8172" s="22" t="str">
        <f>HYPERLINK("https://otsuka-europe-crm.veevavault.com/ui/#object/approved_document__v/V5O00000001H005", "LDM DR P2P Invite 23-Jun-26 [digital]")</f>
        <v>LDM DR P2P Invite 23-Jun-26 [digital]</v>
      </c>
      <c r="M8172" s="22" t="str">
        <f>HYPERLINK("mailto:draval@crm.otsuka-europe.com", "draval@crm.otsuka-europe.com")</f>
        <v>draval@crm.otsuka-europe.com</v>
      </c>
      <c r="N8172" s="23">
        <v>46183.374166666668</v>
      </c>
      <c r="O8172" s="14" t="str">
        <f>HYPERLINK("https://otsuka-europe-crm.veevavault.com/ui/#object/email_activity__v/V8C00000003T176", "EN-002093923")</f>
        <v>EN-002093923</v>
      </c>
    </row>
    <row r="8173" spans="1:15" ht="16" x14ac:dyDescent="0.2">
      <c r="A8173" s="19"/>
      <c r="B8173" s="19"/>
      <c r="C8173" s="19"/>
      <c r="D8173" s="19"/>
      <c r="E8173" s="19"/>
      <c r="F8173" s="19"/>
      <c r="G8173" s="19"/>
      <c r="H8173" s="19"/>
      <c r="I8173" s="19"/>
      <c r="J8173" s="19"/>
      <c r="K8173" s="19"/>
      <c r="L8173" s="19"/>
      <c r="M8173" s="19"/>
      <c r="N8173" s="19"/>
      <c r="O8173" s="14" t="str">
        <f>HYPERLINK("https://otsuka-europe-crm.veevavault.com/ui/#object/email_activity__v/V8C00000003T304", "EN-002094174")</f>
        <v>EN-002094174</v>
      </c>
    </row>
    <row r="8174" spans="1:15" ht="16" x14ac:dyDescent="0.2">
      <c r="A8174" s="17" t="str">
        <f>HYPERLINK("https://otsuka-europe-crm.veevavault.com/ui/#object/account__v/V4TZ0000062PGYC", "Jasna Munjiza")</f>
        <v>Jasna Munjiza</v>
      </c>
      <c r="B8174" s="17" t="str">
        <f>HYPERLINK("https://otsuka-europe-crm.veevavault.com/ui/#object/vcountry__v/VENZ000004SONFK", "GB")</f>
        <v>GB</v>
      </c>
      <c r="C8174" s="20" t="s">
        <v>39</v>
      </c>
      <c r="D8174" s="21" t="str">
        <f>HYPERLINK("https://otsuka-europe-crm.veevavault.com/ui/#object/approved_document__v/V5O00000001H005", "LDM DR P2P Invite 23-Jun-26 [digital]")</f>
        <v>LDM DR P2P Invite 23-Jun-26 [digital]</v>
      </c>
      <c r="E8174" s="22" t="str">
        <f>HYPERLINK("https://otsuka-europe-crm.veevavault.com/ui/#object/sent_email__v/VBL00000002R585", "SE-001435286")</f>
        <v>SE-001435286</v>
      </c>
      <c r="F8174" s="25"/>
      <c r="G8174" s="24">
        <v>0</v>
      </c>
      <c r="H8174" s="24">
        <v>0</v>
      </c>
      <c r="I8174" s="24">
        <v>0</v>
      </c>
      <c r="J8174" s="25"/>
      <c r="K8174" s="24">
        <v>0</v>
      </c>
      <c r="L8174" s="22" t="str">
        <f>HYPERLINK("https://otsuka-europe-crm.veevavault.com/ui/#object/approved_document__v/V5O00000001H005", "LDM DR P2P Invite 23-Jun-26 [digital]")</f>
        <v>LDM DR P2P Invite 23-Jun-26 [digital]</v>
      </c>
      <c r="M8174" s="22" t="str">
        <f>HYPERLINK("mailto:draval@crm.otsuka-europe.com", "draval@crm.otsuka-europe.com")</f>
        <v>draval@crm.otsuka-europe.com</v>
      </c>
      <c r="N8174" s="23">
        <v>46183.375787037039</v>
      </c>
      <c r="O8174" s="14" t="str">
        <f>HYPERLINK("https://otsuka-europe-crm.veevavault.com/ui/#object/email_activity__v/V8C00000003S514", "EN-002093928")</f>
        <v>EN-002093928</v>
      </c>
    </row>
    <row r="8175" spans="1:15" ht="16" x14ac:dyDescent="0.2">
      <c r="A8175" s="19"/>
      <c r="B8175" s="19"/>
      <c r="C8175" s="19"/>
      <c r="D8175" s="19"/>
      <c r="E8175" s="19"/>
      <c r="F8175" s="19"/>
      <c r="G8175" s="19"/>
      <c r="H8175" s="19"/>
      <c r="I8175" s="19"/>
      <c r="J8175" s="19"/>
      <c r="K8175" s="19"/>
      <c r="L8175" s="19"/>
      <c r="M8175" s="19"/>
      <c r="N8175" s="19"/>
      <c r="O8175" s="14" t="str">
        <f>HYPERLINK("https://otsuka-europe-crm.veevavault.com/ui/#object/email_activity__v/V8C00000003T369", "EN-002094327")</f>
        <v>EN-002094327</v>
      </c>
    </row>
    <row r="8176" spans="1:15" ht="16" x14ac:dyDescent="0.2">
      <c r="A8176" s="17" t="str">
        <f>HYPERLINK("https://otsuka-europe-crm.veevavault.com/ui/#object/account__v/V4TZ04ASGETGE26", "Sadik Orhan")</f>
        <v>Sadik Orhan</v>
      </c>
      <c r="B8176" s="17" t="str">
        <f>HYPERLINK("https://otsuka-europe-crm.veevavault.com/ui/#object/vcountry__v/VENZ000004SONFK", "GB")</f>
        <v>GB</v>
      </c>
      <c r="C8176" s="20" t="s">
        <v>39</v>
      </c>
      <c r="D8176" s="21" t="str">
        <f>HYPERLINK("https://otsuka-europe-crm.veevavault.com/ui/#object/approved_document__v/V5O00000001H005", "LDM DR P2P Invite 23-Jun-26 [digital]")</f>
        <v>LDM DR P2P Invite 23-Jun-26 [digital]</v>
      </c>
      <c r="E8176" s="22" t="str">
        <f>HYPERLINK("https://otsuka-europe-crm.veevavault.com/ui/#object/sent_email__v/VBL00000002R586", "SE-001435287")</f>
        <v>SE-001435287</v>
      </c>
      <c r="F8176" s="23">
        <v>46183.379780092589</v>
      </c>
      <c r="G8176" s="24">
        <v>1</v>
      </c>
      <c r="H8176" s="24">
        <v>1</v>
      </c>
      <c r="I8176" s="24">
        <v>0</v>
      </c>
      <c r="J8176" s="25"/>
      <c r="K8176" s="24">
        <v>0</v>
      </c>
      <c r="L8176" s="22" t="str">
        <f>HYPERLINK("https://otsuka-europe-crm.veevavault.com/ui/#object/approved_document__v/V5O00000001H005", "LDM DR P2P Invite 23-Jun-26 [digital]")</f>
        <v>LDM DR P2P Invite 23-Jun-26 [digital]</v>
      </c>
      <c r="M8176" s="22" t="str">
        <f>HYPERLINK("mailto:draval@crm.otsuka-europe.com", "draval@crm.otsuka-europe.com")</f>
        <v>draval@crm.otsuka-europe.com</v>
      </c>
      <c r="N8176" s="23">
        <v>46183.376967592594</v>
      </c>
      <c r="O8176" s="14" t="str">
        <f>HYPERLINK("https://otsuka-europe-crm.veevavault.com/ui/#object/email_activity__v/V8C00000003S516", "EN-002093931")</f>
        <v>EN-002093931</v>
      </c>
    </row>
    <row r="8177" spans="1:15" ht="16" x14ac:dyDescent="0.2">
      <c r="A8177" s="19"/>
      <c r="B8177" s="19"/>
      <c r="C8177" s="19"/>
      <c r="D8177" s="19"/>
      <c r="E8177" s="19"/>
      <c r="F8177" s="19"/>
      <c r="G8177" s="19"/>
      <c r="H8177" s="19"/>
      <c r="I8177" s="19"/>
      <c r="J8177" s="19"/>
      <c r="K8177" s="19"/>
      <c r="L8177" s="19"/>
      <c r="M8177" s="19"/>
      <c r="N8177" s="19"/>
      <c r="O8177" s="14" t="str">
        <f>HYPERLINK("https://otsuka-europe-crm.veevavault.com/ui/#object/email_activity__v/V8C00000003S520", "EN-002093935")</f>
        <v>EN-002093935</v>
      </c>
    </row>
    <row r="8178" spans="1:15" ht="16" x14ac:dyDescent="0.2">
      <c r="A8178" s="17" t="str">
        <f>HYPERLINK("https://otsuka-europe-crm.veevavault.com/ui/#object/account__v/V4TZ06G6O71T7UV", "GERMAN STRADA HERRERA")</f>
        <v>GERMAN STRADA HERRERA</v>
      </c>
      <c r="B8178" s="17" t="str">
        <f>HYPERLINK("https://otsuka-europe-crm.veevavault.com/ui/#object/vcountry__v/VENZ000004SONF5", "ES")</f>
        <v>ES</v>
      </c>
      <c r="C8178" s="20" t="s">
        <v>41</v>
      </c>
      <c r="D8178" s="21" t="str">
        <f>HYPERLINK("https://otsuka-europe-crm.veevavault.com/ui/#object/approved_document__v/V5OZ04ASG4FWKA9", "Documento Autorizaciขn Centro Empleador")</f>
        <v>Documento Autorizaciขn Centro Empleador</v>
      </c>
      <c r="E8178" s="22" t="str">
        <f>HYPERLINK("https://otsuka-europe-crm.veevavault.com/ui/#object/sent_email__v/VBL00000002R587", "SE-001435288")</f>
        <v>SE-001435288</v>
      </c>
      <c r="F8178" s="23">
        <v>46184.335972222223</v>
      </c>
      <c r="G8178" s="24">
        <v>1</v>
      </c>
      <c r="H8178" s="24">
        <v>1</v>
      </c>
      <c r="I8178" s="24">
        <v>1</v>
      </c>
      <c r="J8178" s="23">
        <v>46184.335972222223</v>
      </c>
      <c r="K8178" s="24">
        <v>1</v>
      </c>
      <c r="L8178" s="22" t="str">
        <f>HYPERLINK("https://otsuka-europe-crm.veevavault.com/ui/#object/approved_document__v/V5OZ04ASG4FWKA9", "Documento Autorizaciขn Centro Empleador")</f>
        <v>Documento Autorizaciขn Centro Empleador</v>
      </c>
      <c r="M8178" s="22" t="str">
        <f>HYPERLINK("mailto:oestevez@crm.otsuka-europe.com", "oestevez@crm.otsuka-europe.com")</f>
        <v>oestevez@crm.otsuka-europe.com</v>
      </c>
      <c r="N8178" s="23">
        <v>46183.379930555559</v>
      </c>
      <c r="O8178" s="14" t="str">
        <f>HYPERLINK("https://otsuka-europe-crm.veevavault.com/ui/#object/email_activity__v/V8C00000003S521", "EN-002093940")</f>
        <v>EN-002093940</v>
      </c>
    </row>
    <row r="8179" spans="1:15" ht="16" x14ac:dyDescent="0.2">
      <c r="A8179" s="18"/>
      <c r="B8179" s="18"/>
      <c r="C8179" s="18"/>
      <c r="D8179" s="18"/>
      <c r="E8179" s="18"/>
      <c r="F8179" s="18"/>
      <c r="G8179" s="18"/>
      <c r="H8179" s="18"/>
      <c r="I8179" s="18"/>
      <c r="J8179" s="18"/>
      <c r="K8179" s="18"/>
      <c r="L8179" s="18"/>
      <c r="M8179" s="18"/>
      <c r="N8179" s="18"/>
      <c r="O8179" s="14" t="str">
        <f>HYPERLINK("https://otsuka-europe-crm.veevavault.com/ui/#object/email_activity__v/V8C00000003S819", "EN-002094493")</f>
        <v>EN-002094493</v>
      </c>
    </row>
    <row r="8180" spans="1:15" ht="16" x14ac:dyDescent="0.2">
      <c r="A8180" s="19"/>
      <c r="B8180" s="19"/>
      <c r="C8180" s="19"/>
      <c r="D8180" s="19"/>
      <c r="E8180" s="19"/>
      <c r="F8180" s="19"/>
      <c r="G8180" s="19"/>
      <c r="H8180" s="19"/>
      <c r="I8180" s="19"/>
      <c r="J8180" s="19"/>
      <c r="K8180" s="19"/>
      <c r="L8180" s="19"/>
      <c r="M8180" s="19"/>
      <c r="N8180" s="19"/>
      <c r="O8180" s="14" t="str">
        <f>HYPERLINK("https://otsuka-europe-crm.veevavault.com/ui/#object/email_activity__v/V8C00000003S820", "EN-002094492")</f>
        <v>EN-002094492</v>
      </c>
    </row>
    <row r="8181" spans="1:15" ht="16" x14ac:dyDescent="0.2">
      <c r="A8181" s="17" t="str">
        <f>HYPERLINK("https://otsuka-europe-crm.veevavault.com/ui/#object/account__v/V4TZ025E833FL8X", "Muhammed Shafi")</f>
        <v>Muhammed Shafi</v>
      </c>
      <c r="B8181" s="17" t="str">
        <f>HYPERLINK("https://otsuka-europe-crm.veevavault.com/ui/#object/vcountry__v/VENZ000004SONFK", "GB")</f>
        <v>GB</v>
      </c>
      <c r="C8181" s="20" t="s">
        <v>39</v>
      </c>
      <c r="D8181" s="21" t="str">
        <f>HYPERLINK("https://otsuka-europe-crm.veevavault.com/ui/#object/approved_document__v/V5O00000001H005", "LDM DR P2P Invite 23-Jun-26 [digital]")</f>
        <v>LDM DR P2P Invite 23-Jun-26 [digital]</v>
      </c>
      <c r="E8181" s="22" t="str">
        <f>HYPERLINK("https://otsuka-europe-crm.veevavault.com/ui/#object/sent_email__v/VBL00000002R588", "SE-001435289")</f>
        <v>SE-001435289</v>
      </c>
      <c r="F8181" s="23">
        <v>46183.400659722225</v>
      </c>
      <c r="G8181" s="24">
        <v>1</v>
      </c>
      <c r="H8181" s="24">
        <v>2</v>
      </c>
      <c r="I8181" s="24">
        <v>0</v>
      </c>
      <c r="J8181" s="25"/>
      <c r="K8181" s="24">
        <v>0</v>
      </c>
      <c r="L8181" s="22" t="str">
        <f>HYPERLINK("https://otsuka-europe-crm.veevavault.com/ui/#object/approved_document__v/V5O00000001H005", "LDM DR P2P Invite 23-Jun-26 [digital]")</f>
        <v>LDM DR P2P Invite 23-Jun-26 [digital]</v>
      </c>
      <c r="M8181" s="22" t="str">
        <f>HYPERLINK("mailto:draval@crm.otsuka-europe.com", "draval@crm.otsuka-europe.com")</f>
        <v>draval@crm.otsuka-europe.com</v>
      </c>
      <c r="N8181" s="23">
        <v>46183.382175925923</v>
      </c>
      <c r="O8181" s="14" t="str">
        <f>HYPERLINK("https://otsuka-europe-crm.veevavault.com/ui/#object/email_activity__v/V8C00000003S523", "EN-002093942")</f>
        <v>EN-002093942</v>
      </c>
    </row>
    <row r="8182" spans="1:15" ht="16" x14ac:dyDescent="0.2">
      <c r="A8182" s="18"/>
      <c r="B8182" s="18"/>
      <c r="C8182" s="18"/>
      <c r="D8182" s="18"/>
      <c r="E8182" s="18"/>
      <c r="F8182" s="18"/>
      <c r="G8182" s="18"/>
      <c r="H8182" s="18"/>
      <c r="I8182" s="18"/>
      <c r="J8182" s="18"/>
      <c r="K8182" s="18"/>
      <c r="L8182" s="18"/>
      <c r="M8182" s="18"/>
      <c r="N8182" s="18"/>
      <c r="O8182" s="14" t="str">
        <f>HYPERLINK("https://otsuka-europe-crm.veevavault.com/ui/#object/email_activity__v/V8C00000003T194", "EN-002093954")</f>
        <v>EN-002093954</v>
      </c>
    </row>
    <row r="8183" spans="1:15" ht="16" x14ac:dyDescent="0.2">
      <c r="A8183" s="19"/>
      <c r="B8183" s="19"/>
      <c r="C8183" s="19"/>
      <c r="D8183" s="19"/>
      <c r="E8183" s="19"/>
      <c r="F8183" s="19"/>
      <c r="G8183" s="19"/>
      <c r="H8183" s="19"/>
      <c r="I8183" s="19"/>
      <c r="J8183" s="19"/>
      <c r="K8183" s="19"/>
      <c r="L8183" s="19"/>
      <c r="M8183" s="19"/>
      <c r="N8183" s="19"/>
      <c r="O8183" s="14" t="str">
        <f>HYPERLINK("https://otsuka-europe-crm.veevavault.com/ui/#object/email_activity__v/V8C00000003T202", "EN-002093989")</f>
        <v>EN-002093989</v>
      </c>
    </row>
    <row r="8184" spans="1:15" ht="16" x14ac:dyDescent="0.2">
      <c r="A8184" s="17" t="str">
        <f>HYPERLINK("https://otsuka-europe-crm.veevavault.com/ui/#object/account__v/V4T00000000R009", "Tsz Law")</f>
        <v>Tsz Law</v>
      </c>
      <c r="B8184" s="17" t="str">
        <f>HYPERLINK("https://otsuka-europe-crm.veevavault.com/ui/#object/vcountry__v/VENZ000004SONFK", "GB")</f>
        <v>GB</v>
      </c>
      <c r="C8184" s="20" t="s">
        <v>39</v>
      </c>
      <c r="D8184" s="21" t="str">
        <f>HYPERLINK("https://otsuka-europe-crm.veevavault.com/ui/#object/approved_document__v/V5O00000001H005", "LDM DR P2P Invite 23-Jun-26 [digital]")</f>
        <v>LDM DR P2P Invite 23-Jun-26 [digital]</v>
      </c>
      <c r="E8184" s="22" t="str">
        <f>HYPERLINK("https://otsuka-europe-crm.veevavault.com/ui/#object/sent_email__v/VBL00000002R589", "SE-001435290")</f>
        <v>SE-001435290</v>
      </c>
      <c r="F8184" s="25"/>
      <c r="G8184" s="24">
        <v>0</v>
      </c>
      <c r="H8184" s="24">
        <v>0</v>
      </c>
      <c r="I8184" s="24">
        <v>0</v>
      </c>
      <c r="J8184" s="25"/>
      <c r="K8184" s="24">
        <v>0</v>
      </c>
      <c r="L8184" s="22" t="str">
        <f>HYPERLINK("https://otsuka-europe-crm.veevavault.com/ui/#object/approved_document__v/V5O00000001H005", "LDM DR P2P Invite 23-Jun-26 [digital]")</f>
        <v>LDM DR P2P Invite 23-Jun-26 [digital]</v>
      </c>
      <c r="M8184" s="22" t="str">
        <f>HYPERLINK("mailto:draval@crm.otsuka-europe.com", "draval@crm.otsuka-europe.com")</f>
        <v>draval@crm.otsuka-europe.com</v>
      </c>
      <c r="N8184" s="23">
        <v>46183.383587962962</v>
      </c>
      <c r="O8184" s="14" t="str">
        <f>HYPERLINK("https://otsuka-europe-crm.veevavault.com/ui/#object/email_activity__v/V8C00000003T186", "EN-002093944")</f>
        <v>EN-002093944</v>
      </c>
    </row>
    <row r="8185" spans="1:15" ht="16" x14ac:dyDescent="0.2">
      <c r="A8185" s="19"/>
      <c r="B8185" s="19"/>
      <c r="C8185" s="19"/>
      <c r="D8185" s="19"/>
      <c r="E8185" s="19"/>
      <c r="F8185" s="19"/>
      <c r="G8185" s="19"/>
      <c r="H8185" s="19"/>
      <c r="I8185" s="19"/>
      <c r="J8185" s="19"/>
      <c r="K8185" s="19"/>
      <c r="L8185" s="19"/>
      <c r="M8185" s="19"/>
      <c r="N8185" s="19"/>
      <c r="O8185" s="14" t="str">
        <f>HYPERLINK("https://otsuka-europe-crm.veevavault.com/ui/#object/email_activity__v/V8C00000003T404", "EN-002094425")</f>
        <v>EN-002094425</v>
      </c>
    </row>
    <row r="8186" spans="1:15" ht="16" x14ac:dyDescent="0.2">
      <c r="A8186" s="17" t="str">
        <f>HYPERLINK("https://otsuka-europe-crm.veevavault.com/ui/#object/account__v/V4T00000000R009", "Tsz Law")</f>
        <v>Tsz Law</v>
      </c>
      <c r="B8186" s="17" t="str">
        <f>HYPERLINK("https://otsuka-europe-crm.veevavault.com/ui/#object/vcountry__v/VENZ000004SONFK", "GB")</f>
        <v>GB</v>
      </c>
      <c r="C8186" s="20" t="s">
        <v>39</v>
      </c>
      <c r="D8186" s="21" t="str">
        <f>HYPERLINK("https://otsuka-europe-crm.veevavault.com/ui/#object/approved_document__v/V5O00000001H007", "DR P2P Invite 18-Jun-26 [digital]")</f>
        <v>DR P2P Invite 18-Jun-26 [digital]</v>
      </c>
      <c r="E8186" s="22" t="str">
        <f>HYPERLINK("https://otsuka-europe-crm.veevavault.com/ui/#object/sent_email__v/VBL00000002R590", "SE-001435291")</f>
        <v>SE-001435291</v>
      </c>
      <c r="F8186" s="25"/>
      <c r="G8186" s="24">
        <v>0</v>
      </c>
      <c r="H8186" s="24">
        <v>0</v>
      </c>
      <c r="I8186" s="24">
        <v>0</v>
      </c>
      <c r="J8186" s="25"/>
      <c r="K8186" s="24">
        <v>0</v>
      </c>
      <c r="L8186" s="22" t="str">
        <f>HYPERLINK("https://otsuka-europe-crm.veevavault.com/ui/#object/approved_document__v/V5O00000001H007", "DR P2P Invite 18-Jun-26 [digital]")</f>
        <v>DR P2P Invite 18-Jun-26 [digital]</v>
      </c>
      <c r="M8186" s="22" t="str">
        <f>HYPERLINK("mailto:draval@crm.otsuka-europe.com", "draval@crm.otsuka-europe.com")</f>
        <v>draval@crm.otsuka-europe.com</v>
      </c>
      <c r="N8186" s="23">
        <v>46183.383587962962</v>
      </c>
      <c r="O8186" s="14" t="str">
        <f>HYPERLINK("https://otsuka-europe-crm.veevavault.com/ui/#object/email_activity__v/V8C00000003T185", "EN-002093943")</f>
        <v>EN-002093943</v>
      </c>
    </row>
    <row r="8187" spans="1:15" ht="16" x14ac:dyDescent="0.2">
      <c r="A8187" s="19"/>
      <c r="B8187" s="19"/>
      <c r="C8187" s="19"/>
      <c r="D8187" s="19"/>
      <c r="E8187" s="19"/>
      <c r="F8187" s="19"/>
      <c r="G8187" s="19"/>
      <c r="H8187" s="19"/>
      <c r="I8187" s="19"/>
      <c r="J8187" s="19"/>
      <c r="K8187" s="19"/>
      <c r="L8187" s="19"/>
      <c r="M8187" s="19"/>
      <c r="N8187" s="19"/>
      <c r="O8187" s="14" t="str">
        <f>HYPERLINK("https://otsuka-europe-crm.veevavault.com/ui/#object/email_activity__v/V8C00000003T403", "EN-002094424")</f>
        <v>EN-002094424</v>
      </c>
    </row>
    <row r="8188" spans="1:15" ht="32" x14ac:dyDescent="0.2">
      <c r="A8188" s="7" t="str">
        <f>HYPERLINK("https://otsuka-europe-crm.veevavault.com/ui/#object/account__v/V4TZ025E881E57Q", "Ijeoma Onwere")</f>
        <v>Ijeoma Onwere</v>
      </c>
      <c r="B8188" s="7" t="str">
        <f>HYPERLINK("https://otsuka-europe-crm.veevavault.com/ui/#object/vcountry__v/VENZ000004SONFK", "GB")</f>
        <v>GB</v>
      </c>
      <c r="C8188" s="8" t="s">
        <v>39</v>
      </c>
      <c r="D8188" s="9" t="str">
        <f>HYPERLINK("https://otsuka-europe-crm.veevavault.com/ui/#object/approved_document__v/V5O00000001H007", "DR P2P Invite 18-Jun-26 [digital]")</f>
        <v>DR P2P Invite 18-Jun-26 [digital]</v>
      </c>
      <c r="E8188" s="10" t="str">
        <f>HYPERLINK("https://otsuka-europe-crm.veevavault.com/ui/#object/sent_email__v/VBL00000002R591", "SE-001435292")</f>
        <v>SE-001435292</v>
      </c>
      <c r="F8188" s="11"/>
      <c r="G8188" s="12">
        <v>0</v>
      </c>
      <c r="H8188" s="12">
        <v>0</v>
      </c>
      <c r="I8188" s="12">
        <v>0</v>
      </c>
      <c r="J8188" s="11"/>
      <c r="K8188" s="12">
        <v>0</v>
      </c>
      <c r="L8188" s="10" t="str">
        <f>HYPERLINK("https://otsuka-europe-crm.veevavault.com/ui/#object/approved_document__v/V5O00000001H007", "DR P2P Invite 18-Jun-26 [digital]")</f>
        <v>DR P2P Invite 18-Jun-26 [digital]</v>
      </c>
      <c r="M8188" s="10" t="str">
        <f>HYPERLINK("mailto:draval@crm.otsuka-europe.com", "draval@crm.otsuka-europe.com")</f>
        <v>draval@crm.otsuka-europe.com</v>
      </c>
      <c r="N8188" s="13">
        <v>46183.383912037039</v>
      </c>
      <c r="O8188" s="14" t="str">
        <f>HYPERLINK("https://otsuka-europe-crm.veevavault.com/ui/#object/email_activity__v/V8C00000003T187", "EN-002093945")</f>
        <v>EN-002093945</v>
      </c>
    </row>
    <row r="8189" spans="1:15" ht="32" x14ac:dyDescent="0.2">
      <c r="A8189" s="7" t="str">
        <f>HYPERLINK("https://otsuka-europe-crm.veevavault.com/ui/#object/account__v/V4TZ025E881E57Q", "Ijeoma Onwere")</f>
        <v>Ijeoma Onwere</v>
      </c>
      <c r="B8189" s="7" t="str">
        <f>HYPERLINK("https://otsuka-europe-crm.veevavault.com/ui/#object/vcountry__v/VENZ000004SONFK", "GB")</f>
        <v>GB</v>
      </c>
      <c r="C8189" s="8" t="s">
        <v>39</v>
      </c>
      <c r="D8189" s="9" t="str">
        <f>HYPERLINK("https://otsuka-europe-crm.veevavault.com/ui/#object/approved_document__v/V5O00000001H005", "LDM DR P2P Invite 23-Jun-26 [digital]")</f>
        <v>LDM DR P2P Invite 23-Jun-26 [digital]</v>
      </c>
      <c r="E8189" s="10" t="str">
        <f>HYPERLINK("https://otsuka-europe-crm.veevavault.com/ui/#object/sent_email__v/VBL00000002S673", "SE-001435293")</f>
        <v>SE-001435293</v>
      </c>
      <c r="F8189" s="11"/>
      <c r="G8189" s="12">
        <v>0</v>
      </c>
      <c r="H8189" s="12">
        <v>0</v>
      </c>
      <c r="I8189" s="12">
        <v>0</v>
      </c>
      <c r="J8189" s="11"/>
      <c r="K8189" s="12">
        <v>0</v>
      </c>
      <c r="L8189" s="10" t="str">
        <f>HYPERLINK("https://otsuka-europe-crm.veevavault.com/ui/#object/approved_document__v/V5O00000001H005", "LDM DR P2P Invite 23-Jun-26 [digital]")</f>
        <v>LDM DR P2P Invite 23-Jun-26 [digital]</v>
      </c>
      <c r="M8189" s="10" t="str">
        <f>HYPERLINK("mailto:draval@crm.otsuka-europe.com", "draval@crm.otsuka-europe.com")</f>
        <v>draval@crm.otsuka-europe.com</v>
      </c>
      <c r="N8189" s="13">
        <v>46183.384016203701</v>
      </c>
      <c r="O8189" s="14" t="str">
        <f>HYPERLINK("https://otsuka-europe-crm.veevavault.com/ui/#object/email_activity__v/V8C00000003T188", "EN-002093946")</f>
        <v>EN-002093946</v>
      </c>
    </row>
    <row r="8190" spans="1:15" ht="16" x14ac:dyDescent="0.2">
      <c r="A8190" s="17" t="str">
        <f>HYPERLINK("https://otsuka-europe-crm.veevavault.com/ui/#object/account__v/V4TZ0000062PB4M", "Talha Ahmed")</f>
        <v>Talha Ahmed</v>
      </c>
      <c r="B8190" s="17" t="str">
        <f>HYPERLINK("https://otsuka-europe-crm.veevavault.com/ui/#object/vcountry__v/VENZ000004SONFK", "GB")</f>
        <v>GB</v>
      </c>
      <c r="C8190" s="20" t="s">
        <v>39</v>
      </c>
      <c r="D8190" s="21" t="str">
        <f>HYPERLINK("https://otsuka-europe-crm.veevavault.com/ui/#object/approved_document__v/V5O00000001H005", "LDM DR P2P Invite 23-Jun-26 [digital]")</f>
        <v>LDM DR P2P Invite 23-Jun-26 [digital]</v>
      </c>
      <c r="E8190" s="22" t="str">
        <f>HYPERLINK("https://otsuka-europe-crm.veevavault.com/ui/#object/sent_email__v/VBL00000002S674", "SE-001435294")</f>
        <v>SE-001435294</v>
      </c>
      <c r="F8190" s="23">
        <v>46183.467604166668</v>
      </c>
      <c r="G8190" s="24">
        <v>1</v>
      </c>
      <c r="H8190" s="24">
        <v>1</v>
      </c>
      <c r="I8190" s="24">
        <v>0</v>
      </c>
      <c r="J8190" s="25"/>
      <c r="K8190" s="24">
        <v>0</v>
      </c>
      <c r="L8190" s="22" t="str">
        <f>HYPERLINK("https://otsuka-europe-crm.veevavault.com/ui/#object/approved_document__v/V5O00000001H005", "LDM DR P2P Invite 23-Jun-26 [digital]")</f>
        <v>LDM DR P2P Invite 23-Jun-26 [digital]</v>
      </c>
      <c r="M8190" s="22" t="str">
        <f>HYPERLINK("mailto:draval@crm.otsuka-europe.com", "draval@crm.otsuka-europe.com")</f>
        <v>draval@crm.otsuka-europe.com</v>
      </c>
      <c r="N8190" s="23">
        <v>46183.38548611111</v>
      </c>
      <c r="O8190" s="14" t="str">
        <f>HYPERLINK("https://otsuka-europe-crm.veevavault.com/ui/#object/email_activity__v/V8C00000003S524", "EN-002093949")</f>
        <v>EN-002093949</v>
      </c>
    </row>
    <row r="8191" spans="1:15" ht="16" x14ac:dyDescent="0.2">
      <c r="A8191" s="19"/>
      <c r="B8191" s="19"/>
      <c r="C8191" s="19"/>
      <c r="D8191" s="19"/>
      <c r="E8191" s="19"/>
      <c r="F8191" s="19"/>
      <c r="G8191" s="19"/>
      <c r="H8191" s="19"/>
      <c r="I8191" s="19"/>
      <c r="J8191" s="19"/>
      <c r="K8191" s="19"/>
      <c r="L8191" s="19"/>
      <c r="M8191" s="19"/>
      <c r="N8191" s="19"/>
      <c r="O8191" s="14" t="str">
        <f>HYPERLINK("https://otsuka-europe-crm.veevavault.com/ui/#object/email_activity__v/V8C00000003S637", "EN-002094176")</f>
        <v>EN-002094176</v>
      </c>
    </row>
    <row r="8192" spans="1:15" ht="32" x14ac:dyDescent="0.2">
      <c r="A8192" s="7" t="str">
        <f>HYPERLINK("https://otsuka-europe-crm.veevavault.com/ui/#object/account__v/V4TZ025E85S5E01", "Ifeoluwa Akintayo")</f>
        <v>Ifeoluwa Akintayo</v>
      </c>
      <c r="B8192" s="7" t="str">
        <f>HYPERLINK("https://otsuka-europe-crm.veevavault.com/ui/#object/vcountry__v/VENZ000004SONFK", "GB")</f>
        <v>GB</v>
      </c>
      <c r="C8192" s="8" t="s">
        <v>39</v>
      </c>
      <c r="D8192" s="9" t="str">
        <f>HYPERLINK("https://otsuka-europe-crm.veevavault.com/ui/#object/approved_document__v/V5O00000001H005", "LDM DR P2P Invite 23-Jun-26 [digital]")</f>
        <v>LDM DR P2P Invite 23-Jun-26 [digital]</v>
      </c>
      <c r="E8192" s="10" t="str">
        <f>HYPERLINK("https://otsuka-europe-crm.veevavault.com/ui/#object/sent_email__v/VBL00000002S675", "SE-001435295")</f>
        <v>SE-001435295</v>
      </c>
      <c r="F8192" s="11"/>
      <c r="G8192" s="12">
        <v>0</v>
      </c>
      <c r="H8192" s="12">
        <v>0</v>
      </c>
      <c r="I8192" s="12">
        <v>0</v>
      </c>
      <c r="J8192" s="11"/>
      <c r="K8192" s="12">
        <v>0</v>
      </c>
      <c r="L8192" s="10" t="str">
        <f>HYPERLINK("https://otsuka-europe-crm.veevavault.com/ui/#object/approved_document__v/V5O00000001H005", "LDM DR P2P Invite 23-Jun-26 [digital]")</f>
        <v>LDM DR P2P Invite 23-Jun-26 [digital]</v>
      </c>
      <c r="M8192" s="10" t="str">
        <f>HYPERLINK("mailto:draval@crm.otsuka-europe.com", "draval@crm.otsuka-europe.com")</f>
        <v>draval@crm.otsuka-europe.com</v>
      </c>
      <c r="N8192" s="13">
        <v>46183.385821759257</v>
      </c>
      <c r="O8192" s="14" t="str">
        <f>HYPERLINK("https://otsuka-europe-crm.veevavault.com/ui/#object/email_activity__v/V8C00000003S525", "EN-002093950")</f>
        <v>EN-002093950</v>
      </c>
    </row>
    <row r="8193" spans="1:15" ht="16" x14ac:dyDescent="0.2">
      <c r="A8193" s="17" t="str">
        <f>HYPERLINK("https://otsuka-europe-crm.veevavault.com/ui/#object/account__v/V4TZ0000062PBEZ", "Vikramjeet Chawla")</f>
        <v>Vikramjeet Chawla</v>
      </c>
      <c r="B8193" s="17" t="str">
        <f>HYPERLINK("https://otsuka-europe-crm.veevavault.com/ui/#object/vcountry__v/VENZ000004SONFK", "GB")</f>
        <v>GB</v>
      </c>
      <c r="C8193" s="20" t="s">
        <v>39</v>
      </c>
      <c r="D8193" s="21" t="str">
        <f>HYPERLINK("https://otsuka-europe-crm.veevavault.com/ui/#object/approved_document__v/V5O00000001H005", "LDM DR P2P Invite 23-Jun-26 [digital]")</f>
        <v>LDM DR P2P Invite 23-Jun-26 [digital]</v>
      </c>
      <c r="E8193" s="22" t="str">
        <f>HYPERLINK("https://otsuka-europe-crm.veevavault.com/ui/#object/sent_email__v/VBL00000002R592", "SE-001435296")</f>
        <v>SE-001435296</v>
      </c>
      <c r="F8193" s="23">
        <v>46202.338564814818</v>
      </c>
      <c r="G8193" s="24">
        <v>1</v>
      </c>
      <c r="H8193" s="24">
        <v>2</v>
      </c>
      <c r="I8193" s="24">
        <v>0</v>
      </c>
      <c r="J8193" s="25"/>
      <c r="K8193" s="24">
        <v>0</v>
      </c>
      <c r="L8193" s="22" t="str">
        <f>HYPERLINK("https://otsuka-europe-crm.veevavault.com/ui/#object/approved_document__v/V5O00000001H005", "LDM DR P2P Invite 23-Jun-26 [digital]")</f>
        <v>LDM DR P2P Invite 23-Jun-26 [digital]</v>
      </c>
      <c r="M8193" s="22" t="str">
        <f>HYPERLINK("mailto:draval@crm.otsuka-europe.com", "draval@crm.otsuka-europe.com")</f>
        <v>draval@crm.otsuka-europe.com</v>
      </c>
      <c r="N8193" s="23">
        <v>46183.393680555557</v>
      </c>
      <c r="O8193" s="14" t="str">
        <f>HYPERLINK("https://otsuka-europe-crm.veevavault.com/ui/#object/email_activity__v/V8C00000003S528", "EN-002093960")</f>
        <v>EN-002093960</v>
      </c>
    </row>
    <row r="8194" spans="1:15" ht="16" x14ac:dyDescent="0.2">
      <c r="A8194" s="18"/>
      <c r="B8194" s="18"/>
      <c r="C8194" s="18"/>
      <c r="D8194" s="18"/>
      <c r="E8194" s="18"/>
      <c r="F8194" s="18"/>
      <c r="G8194" s="18"/>
      <c r="H8194" s="18"/>
      <c r="I8194" s="18"/>
      <c r="J8194" s="18"/>
      <c r="K8194" s="18"/>
      <c r="L8194" s="18"/>
      <c r="M8194" s="18"/>
      <c r="N8194" s="18"/>
      <c r="O8194" s="14" t="str">
        <f>HYPERLINK("https://otsuka-europe-crm.veevavault.com/ui/#object/email_activity__v/V8C00000003T213", "EN-002094028")</f>
        <v>EN-002094028</v>
      </c>
    </row>
    <row r="8195" spans="1:15" ht="16" x14ac:dyDescent="0.2">
      <c r="A8195" s="18"/>
      <c r="B8195" s="18"/>
      <c r="C8195" s="18"/>
      <c r="D8195" s="18"/>
      <c r="E8195" s="18"/>
      <c r="F8195" s="18"/>
      <c r="G8195" s="18"/>
      <c r="H8195" s="18"/>
      <c r="I8195" s="18"/>
      <c r="J8195" s="18"/>
      <c r="K8195" s="18"/>
      <c r="L8195" s="18"/>
      <c r="M8195" s="18"/>
      <c r="N8195" s="18"/>
      <c r="O8195" s="14" t="str">
        <f>HYPERLINK("https://otsuka-europe-crm.veevavault.com/ui/#object/email_activity__v/V8C00000003T298", "EN-002094147")</f>
        <v>EN-002094147</v>
      </c>
    </row>
    <row r="8196" spans="1:15" ht="16" x14ac:dyDescent="0.2">
      <c r="A8196" s="18"/>
      <c r="B8196" s="18"/>
      <c r="C8196" s="18"/>
      <c r="D8196" s="18"/>
      <c r="E8196" s="18"/>
      <c r="F8196" s="18"/>
      <c r="G8196" s="18"/>
      <c r="H8196" s="18"/>
      <c r="I8196" s="18"/>
      <c r="J8196" s="18"/>
      <c r="K8196" s="18"/>
      <c r="L8196" s="18"/>
      <c r="M8196" s="18"/>
      <c r="N8196" s="18"/>
      <c r="O8196" s="14" t="str">
        <f>HYPERLINK("https://otsuka-europe-crm.veevavault.com/ui/#object/email_activity__v/V8C000000040519", "EN-002099606")</f>
        <v>EN-002099606</v>
      </c>
    </row>
    <row r="8197" spans="1:15" ht="16" x14ac:dyDescent="0.2">
      <c r="A8197" s="19"/>
      <c r="B8197" s="19"/>
      <c r="C8197" s="19"/>
      <c r="D8197" s="19"/>
      <c r="E8197" s="19"/>
      <c r="F8197" s="19"/>
      <c r="G8197" s="19"/>
      <c r="H8197" s="19"/>
      <c r="I8197" s="19"/>
      <c r="J8197" s="19"/>
      <c r="K8197" s="19"/>
      <c r="L8197" s="19"/>
      <c r="M8197" s="19"/>
      <c r="N8197" s="19"/>
      <c r="O8197" s="14" t="str">
        <f>HYPERLINK("https://otsuka-europe-crm.veevavault.com/ui/#object/email_activity__v/V8C000000041310", "EN-002100290")</f>
        <v>EN-002100290</v>
      </c>
    </row>
    <row r="8198" spans="1:15" ht="16" x14ac:dyDescent="0.2">
      <c r="A8198" s="17" t="str">
        <f>HYPERLINK("https://otsuka-europe-crm.veevavault.com/ui/#object/account__v/V4TZ000006DGGW5", "Wasse Efimba")</f>
        <v>Wasse Efimba</v>
      </c>
      <c r="B8198" s="17" t="str">
        <f>HYPERLINK("https://otsuka-europe-crm.veevavault.com/ui/#object/vcountry__v/VENZ000004SONFK", "GB")</f>
        <v>GB</v>
      </c>
      <c r="C8198" s="20" t="s">
        <v>39</v>
      </c>
      <c r="D8198" s="21" t="str">
        <f>HYPERLINK("https://otsuka-europe-crm.veevavault.com/ui/#object/approved_document__v/V5O00000001H005", "LDM DR P2P Invite 23-Jun-26 [digital]")</f>
        <v>LDM DR P2P Invite 23-Jun-26 [digital]</v>
      </c>
      <c r="E8198" s="22" t="str">
        <f>HYPERLINK("https://otsuka-europe-crm.veevavault.com/ui/#object/sent_email__v/VBL00000002R593", "SE-001435297")</f>
        <v>SE-001435297</v>
      </c>
      <c r="F8198" s="23">
        <v>46183.444479166668</v>
      </c>
      <c r="G8198" s="24">
        <v>1</v>
      </c>
      <c r="H8198" s="24">
        <v>2</v>
      </c>
      <c r="I8198" s="24">
        <v>0</v>
      </c>
      <c r="J8198" s="25"/>
      <c r="K8198" s="24">
        <v>0</v>
      </c>
      <c r="L8198" s="22" t="str">
        <f>HYPERLINK("https://otsuka-europe-crm.veevavault.com/ui/#object/approved_document__v/V5O00000001H005", "LDM DR P2P Invite 23-Jun-26 [digital]")</f>
        <v>LDM DR P2P Invite 23-Jun-26 [digital]</v>
      </c>
      <c r="M8198" s="22" t="str">
        <f>HYPERLINK("mailto:draval@crm.otsuka-europe.com", "draval@crm.otsuka-europe.com")</f>
        <v>draval@crm.otsuka-europe.com</v>
      </c>
      <c r="N8198" s="23">
        <v>46183.394004629627</v>
      </c>
      <c r="O8198" s="14" t="str">
        <f>HYPERLINK("https://otsuka-europe-crm.veevavault.com/ui/#object/email_activity__v/V8C00000003S529", "EN-002093961")</f>
        <v>EN-002093961</v>
      </c>
    </row>
    <row r="8199" spans="1:15" ht="16" x14ac:dyDescent="0.2">
      <c r="A8199" s="18"/>
      <c r="B8199" s="18"/>
      <c r="C8199" s="18"/>
      <c r="D8199" s="18"/>
      <c r="E8199" s="18"/>
      <c r="F8199" s="18"/>
      <c r="G8199" s="18"/>
      <c r="H8199" s="18"/>
      <c r="I8199" s="18"/>
      <c r="J8199" s="18"/>
      <c r="K8199" s="18"/>
      <c r="L8199" s="18"/>
      <c r="M8199" s="18"/>
      <c r="N8199" s="18"/>
      <c r="O8199" s="14" t="str">
        <f>HYPERLINK("https://otsuka-europe-crm.veevavault.com/ui/#object/email_activity__v/V8C00000003S616", "EN-002094149")</f>
        <v>EN-002094149</v>
      </c>
    </row>
    <row r="8200" spans="1:15" ht="16" x14ac:dyDescent="0.2">
      <c r="A8200" s="19"/>
      <c r="B8200" s="19"/>
      <c r="C8200" s="19"/>
      <c r="D8200" s="19"/>
      <c r="E8200" s="19"/>
      <c r="F8200" s="19"/>
      <c r="G8200" s="19"/>
      <c r="H8200" s="19"/>
      <c r="I8200" s="19"/>
      <c r="J8200" s="19"/>
      <c r="K8200" s="19"/>
      <c r="L8200" s="19"/>
      <c r="M8200" s="19"/>
      <c r="N8200" s="19"/>
      <c r="O8200" s="14" t="str">
        <f>HYPERLINK("https://otsuka-europe-crm.veevavault.com/ui/#object/email_activity__v/V8C00000003S617", "EN-002094150")</f>
        <v>EN-002094150</v>
      </c>
    </row>
    <row r="8201" spans="1:15" ht="16" x14ac:dyDescent="0.2">
      <c r="A8201" s="17" t="str">
        <f>HYPERLINK("https://otsuka-europe-crm.veevavault.com/ui/#object/account__v/V4TZ04ASGGHZJ53", "Maja Elia")</f>
        <v>Maja Elia</v>
      </c>
      <c r="B8201" s="17" t="str">
        <f>HYPERLINK("https://otsuka-europe-crm.veevavault.com/ui/#object/vcountry__v/VENZ000004SONFK", "GB")</f>
        <v>GB</v>
      </c>
      <c r="C8201" s="20" t="s">
        <v>39</v>
      </c>
      <c r="D8201" s="21" t="str">
        <f>HYPERLINK("https://otsuka-europe-crm.veevavault.com/ui/#object/approved_document__v/V5O00000001H005", "LDM DR P2P Invite 23-Jun-26 [digital]")</f>
        <v>LDM DR P2P Invite 23-Jun-26 [digital]</v>
      </c>
      <c r="E8201" s="22" t="str">
        <f>HYPERLINK("https://otsuka-europe-crm.veevavault.com/ui/#object/sent_email__v/VBL00000002R594", "SE-001435298")</f>
        <v>SE-001435298</v>
      </c>
      <c r="F8201" s="23">
        <v>46183.574062500003</v>
      </c>
      <c r="G8201" s="24">
        <v>1</v>
      </c>
      <c r="H8201" s="24">
        <v>1</v>
      </c>
      <c r="I8201" s="24">
        <v>0</v>
      </c>
      <c r="J8201" s="25"/>
      <c r="K8201" s="24">
        <v>0</v>
      </c>
      <c r="L8201" s="22" t="str">
        <f>HYPERLINK("https://otsuka-europe-crm.veevavault.com/ui/#object/approved_document__v/V5O00000001H005", "LDM DR P2P Invite 23-Jun-26 [digital]")</f>
        <v>LDM DR P2P Invite 23-Jun-26 [digital]</v>
      </c>
      <c r="M8201" s="22" t="str">
        <f>HYPERLINK("mailto:draval@crm.otsuka-europe.com", "draval@crm.otsuka-europe.com")</f>
        <v>draval@crm.otsuka-europe.com</v>
      </c>
      <c r="N8201" s="23">
        <v>46183.394363425927</v>
      </c>
      <c r="O8201" s="14" t="str">
        <f>HYPERLINK("https://otsuka-europe-crm.veevavault.com/ui/#object/email_activity__v/V8C00000003S530", "EN-002093962")</f>
        <v>EN-002093962</v>
      </c>
    </row>
    <row r="8202" spans="1:15" ht="16" x14ac:dyDescent="0.2">
      <c r="A8202" s="19"/>
      <c r="B8202" s="19"/>
      <c r="C8202" s="19"/>
      <c r="D8202" s="19"/>
      <c r="E8202" s="19"/>
      <c r="F8202" s="19"/>
      <c r="G8202" s="19"/>
      <c r="H8202" s="19"/>
      <c r="I8202" s="19"/>
      <c r="J8202" s="19"/>
      <c r="K8202" s="19"/>
      <c r="L8202" s="19"/>
      <c r="M8202" s="19"/>
      <c r="N8202" s="19"/>
      <c r="O8202" s="14" t="str">
        <f>HYPERLINK("https://otsuka-europe-crm.veevavault.com/ui/#object/email_activity__v/V8C00000003S686", "EN-002094263")</f>
        <v>EN-002094263</v>
      </c>
    </row>
    <row r="8203" spans="1:15" ht="32" x14ac:dyDescent="0.2">
      <c r="A8203" s="7" t="str">
        <f>HYPERLINK("https://otsuka-europe-crm.veevavault.com/ui/#object/account__v/V4TZ04ASG8UU77V", "Jay Faulkner")</f>
        <v>Jay Faulkner</v>
      </c>
      <c r="B8203" s="7" t="str">
        <f>HYPERLINK("https://otsuka-europe-crm.veevavault.com/ui/#object/vcountry__v/VENZ000004SONFK", "GB")</f>
        <v>GB</v>
      </c>
      <c r="C8203" s="8" t="s">
        <v>39</v>
      </c>
      <c r="D8203" s="9" t="str">
        <f>HYPERLINK("https://otsuka-europe-crm.veevavault.com/ui/#object/approved_document__v/V5O00000001H005", "LDM DR P2P Invite 23-Jun-26 [digital]")</f>
        <v>LDM DR P2P Invite 23-Jun-26 [digital]</v>
      </c>
      <c r="E8203" s="10" t="str">
        <f>HYPERLINK("https://otsuka-europe-crm.veevavault.com/ui/#object/sent_email__v/VBL00000002R595", "SE-001435299")</f>
        <v>SE-001435299</v>
      </c>
      <c r="F8203" s="11"/>
      <c r="G8203" s="12">
        <v>0</v>
      </c>
      <c r="H8203" s="12">
        <v>0</v>
      </c>
      <c r="I8203" s="12">
        <v>0</v>
      </c>
      <c r="J8203" s="11"/>
      <c r="K8203" s="12">
        <v>0</v>
      </c>
      <c r="L8203" s="10" t="str">
        <f>HYPERLINK("https://otsuka-europe-crm.veevavault.com/ui/#object/approved_document__v/V5O00000001H005", "LDM DR P2P Invite 23-Jun-26 [digital]")</f>
        <v>LDM DR P2P Invite 23-Jun-26 [digital]</v>
      </c>
      <c r="M8203" s="10" t="str">
        <f>HYPERLINK("mailto:draval@crm.otsuka-europe.com", "draval@crm.otsuka-europe.com")</f>
        <v>draval@crm.otsuka-europe.com</v>
      </c>
      <c r="N8203" s="13">
        <v>46183.394699074073</v>
      </c>
      <c r="O8203" s="14" t="str">
        <f>HYPERLINK("https://otsuka-europe-crm.veevavault.com/ui/#object/email_activity__v/V8C00000003S531", "EN-002093963")</f>
        <v>EN-002093963</v>
      </c>
    </row>
    <row r="8204" spans="1:15" ht="32" x14ac:dyDescent="0.2">
      <c r="A8204" s="7" t="str">
        <f>HYPERLINK("https://otsuka-europe-crm.veevavault.com/ui/#object/account__v/V4TZ0000062PE8V", "Poonam Gupta")</f>
        <v>Poonam Gupta</v>
      </c>
      <c r="B8204" s="7" t="str">
        <f>HYPERLINK("https://otsuka-europe-crm.veevavault.com/ui/#object/vcountry__v/VENZ000004SONFK", "GB")</f>
        <v>GB</v>
      </c>
      <c r="C8204" s="8" t="s">
        <v>39</v>
      </c>
      <c r="D8204" s="9" t="str">
        <f>HYPERLINK("https://otsuka-europe-crm.veevavault.com/ui/#object/approved_document__v/V5O00000001H005", "LDM DR P2P Invite 23-Jun-26 [digital]")</f>
        <v>LDM DR P2P Invite 23-Jun-26 [digital]</v>
      </c>
      <c r="E8204" s="10" t="str">
        <f>HYPERLINK("https://otsuka-europe-crm.veevavault.com/ui/#object/sent_email__v/VBL00000002R596", "SE-001435300")</f>
        <v>SE-001435300</v>
      </c>
      <c r="F8204" s="11"/>
      <c r="G8204" s="12">
        <v>0</v>
      </c>
      <c r="H8204" s="12">
        <v>0</v>
      </c>
      <c r="I8204" s="12">
        <v>0</v>
      </c>
      <c r="J8204" s="11"/>
      <c r="K8204" s="12">
        <v>0</v>
      </c>
      <c r="L8204" s="10" t="str">
        <f>HYPERLINK("https://otsuka-europe-crm.veevavault.com/ui/#object/approved_document__v/V5O00000001H005", "LDM DR P2P Invite 23-Jun-26 [digital]")</f>
        <v>LDM DR P2P Invite 23-Jun-26 [digital]</v>
      </c>
      <c r="M8204" s="10" t="str">
        <f>HYPERLINK("mailto:draval@crm.otsuka-europe.com", "draval@crm.otsuka-europe.com")</f>
        <v>draval@crm.otsuka-europe.com</v>
      </c>
      <c r="N8204" s="13">
        <v>46183.395046296297</v>
      </c>
      <c r="O8204" s="14" t="str">
        <f>HYPERLINK("https://otsuka-europe-crm.veevavault.com/ui/#object/email_activity__v/V8C00000003S532", "EN-002093964")</f>
        <v>EN-002093964</v>
      </c>
    </row>
    <row r="8205" spans="1:15" ht="16" x14ac:dyDescent="0.2">
      <c r="A8205" s="17" t="str">
        <f>HYPERLINK("https://otsuka-europe-crm.veevavault.com/ui/#object/account__v/V4TZ025E82C72VG", "Thamara Jayasinghe")</f>
        <v>Thamara Jayasinghe</v>
      </c>
      <c r="B8205" s="17" t="str">
        <f>HYPERLINK("https://otsuka-europe-crm.veevavault.com/ui/#object/vcountry__v/VENZ000004SONFK", "GB")</f>
        <v>GB</v>
      </c>
      <c r="C8205" s="20" t="s">
        <v>39</v>
      </c>
      <c r="D8205" s="21" t="str">
        <f>HYPERLINK("https://otsuka-europe-crm.veevavault.com/ui/#object/approved_document__v/V5O00000001H005", "LDM DR P2P Invite 23-Jun-26 [digital]")</f>
        <v>LDM DR P2P Invite 23-Jun-26 [digital]</v>
      </c>
      <c r="E8205" s="22" t="str">
        <f>HYPERLINK("https://otsuka-europe-crm.veevavault.com/ui/#object/sent_email__v/VBL00000002R597", "SE-001435301")</f>
        <v>SE-001435301</v>
      </c>
      <c r="F8205" s="23">
        <v>46183.430347222224</v>
      </c>
      <c r="G8205" s="24">
        <v>1</v>
      </c>
      <c r="H8205" s="24">
        <v>1</v>
      </c>
      <c r="I8205" s="24">
        <v>0</v>
      </c>
      <c r="J8205" s="25"/>
      <c r="K8205" s="24">
        <v>0</v>
      </c>
      <c r="L8205" s="22" t="str">
        <f>HYPERLINK("https://otsuka-europe-crm.veevavault.com/ui/#object/approved_document__v/V5O00000001H005", "LDM DR P2P Invite 23-Jun-26 [digital]")</f>
        <v>LDM DR P2P Invite 23-Jun-26 [digital]</v>
      </c>
      <c r="M8205" s="22" t="str">
        <f>HYPERLINK("mailto:draval@crm.otsuka-europe.com", "draval@crm.otsuka-europe.com")</f>
        <v>draval@crm.otsuka-europe.com</v>
      </c>
      <c r="N8205" s="23">
        <v>46183.39539351852</v>
      </c>
      <c r="O8205" s="14" t="str">
        <f>HYPERLINK("https://otsuka-europe-crm.veevavault.com/ui/#object/email_activity__v/V8C00000003S533", "EN-002093965")</f>
        <v>EN-002093965</v>
      </c>
    </row>
    <row r="8206" spans="1:15" ht="16" x14ac:dyDescent="0.2">
      <c r="A8206" s="19"/>
      <c r="B8206" s="19"/>
      <c r="C8206" s="19"/>
      <c r="D8206" s="19"/>
      <c r="E8206" s="19"/>
      <c r="F8206" s="19"/>
      <c r="G8206" s="19"/>
      <c r="H8206" s="19"/>
      <c r="I8206" s="19"/>
      <c r="J8206" s="19"/>
      <c r="K8206" s="19"/>
      <c r="L8206" s="19"/>
      <c r="M8206" s="19"/>
      <c r="N8206" s="19"/>
      <c r="O8206" s="14" t="str">
        <f>HYPERLINK("https://otsuka-europe-crm.veevavault.com/ui/#object/email_activity__v/V8C00000003S611", "EN-002094136")</f>
        <v>EN-002094136</v>
      </c>
    </row>
    <row r="8207" spans="1:15" ht="32" x14ac:dyDescent="0.2">
      <c r="A8207" s="7" t="str">
        <f>HYPERLINK("https://otsuka-europe-crm.veevavault.com/ui/#object/account__v/V4TZ06G6OB43VYQ", "Alicia Jones")</f>
        <v>Alicia Jones</v>
      </c>
      <c r="B8207" s="7" t="str">
        <f t="shared" ref="B8207:B8212" si="656">HYPERLINK("https://otsuka-europe-crm.veevavault.com/ui/#object/vcountry__v/VENZ000004SONFK", "GB")</f>
        <v>GB</v>
      </c>
      <c r="C8207" s="8" t="s">
        <v>39</v>
      </c>
      <c r="D8207" s="9" t="str">
        <f>HYPERLINK("https://otsuka-europe-crm.veevavault.com/ui/#object/approved_document__v/V5O00000001H005", "LDM DR P2P Invite 23-Jun-26 [digital]")</f>
        <v>LDM DR P2P Invite 23-Jun-26 [digital]</v>
      </c>
      <c r="E8207" s="10" t="str">
        <f>HYPERLINK("https://otsuka-europe-crm.veevavault.com/ui/#object/sent_email__v/VBL00000002R598", "SE-001435302")</f>
        <v>SE-001435302</v>
      </c>
      <c r="F8207" s="11"/>
      <c r="G8207" s="12">
        <v>0</v>
      </c>
      <c r="H8207" s="12">
        <v>0</v>
      </c>
      <c r="I8207" s="12">
        <v>0</v>
      </c>
      <c r="J8207" s="11"/>
      <c r="K8207" s="12">
        <v>0</v>
      </c>
      <c r="L8207" s="10" t="str">
        <f>HYPERLINK("https://otsuka-europe-crm.veevavault.com/ui/#object/approved_document__v/V5O00000001H005", "LDM DR P2P Invite 23-Jun-26 [digital]")</f>
        <v>LDM DR P2P Invite 23-Jun-26 [digital]</v>
      </c>
      <c r="M8207" s="10" t="str">
        <f t="shared" ref="M8207:M8212" si="657">HYPERLINK("mailto:draval@crm.otsuka-europe.com", "draval@crm.otsuka-europe.com")</f>
        <v>draval@crm.otsuka-europe.com</v>
      </c>
      <c r="N8207" s="13">
        <v>46183.395740740743</v>
      </c>
      <c r="O8207" s="14" t="str">
        <f>HYPERLINK("https://otsuka-europe-crm.veevavault.com/ui/#object/email_activity__v/V8C00000003S534", "EN-002093966")</f>
        <v>EN-002093966</v>
      </c>
    </row>
    <row r="8208" spans="1:15" ht="32" x14ac:dyDescent="0.2">
      <c r="A8208" s="7" t="str">
        <f>HYPERLINK("https://otsuka-europe-crm.veevavault.com/ui/#object/account__v/V4TZ06G6OBU7F67", "Carmen Madicu Verdugo")</f>
        <v>Carmen Madicu Verdugo</v>
      </c>
      <c r="B8208" s="7" t="str">
        <f t="shared" si="656"/>
        <v>GB</v>
      </c>
      <c r="C8208" s="8" t="s">
        <v>39</v>
      </c>
      <c r="D8208" s="9" t="str">
        <f>HYPERLINK("https://otsuka-europe-crm.veevavault.com/ui/#object/approved_document__v/V5O00000001H005", "LDM DR P2P Invite 23-Jun-26 [digital]")</f>
        <v>LDM DR P2P Invite 23-Jun-26 [digital]</v>
      </c>
      <c r="E8208" s="10" t="str">
        <f>HYPERLINK("https://otsuka-europe-crm.veevavault.com/ui/#object/sent_email__v/VBL00000002R599", "SE-001435303")</f>
        <v>SE-001435303</v>
      </c>
      <c r="F8208" s="11"/>
      <c r="G8208" s="12">
        <v>0</v>
      </c>
      <c r="H8208" s="12">
        <v>0</v>
      </c>
      <c r="I8208" s="12">
        <v>0</v>
      </c>
      <c r="J8208" s="11"/>
      <c r="K8208" s="12">
        <v>0</v>
      </c>
      <c r="L8208" s="10" t="str">
        <f>HYPERLINK("https://otsuka-europe-crm.veevavault.com/ui/#object/approved_document__v/V5O00000001H005", "LDM DR P2P Invite 23-Jun-26 [digital]")</f>
        <v>LDM DR P2P Invite 23-Jun-26 [digital]</v>
      </c>
      <c r="M8208" s="10" t="str">
        <f t="shared" si="657"/>
        <v>draval@crm.otsuka-europe.com</v>
      </c>
      <c r="N8208" s="13">
        <v>46183.396087962959</v>
      </c>
      <c r="O8208" s="14" t="str">
        <f>HYPERLINK("https://otsuka-europe-crm.veevavault.com/ui/#object/email_activity__v/V8C00000003S535", "EN-002093967")</f>
        <v>EN-002093967</v>
      </c>
    </row>
    <row r="8209" spans="1:15" ht="32" x14ac:dyDescent="0.2">
      <c r="A8209" s="7" t="str">
        <f>HYPERLINK("https://otsuka-europe-crm.veevavault.com/ui/#object/account__v/V4TZ06G6OCEULY6", "Adi Murthy")</f>
        <v>Adi Murthy</v>
      </c>
      <c r="B8209" s="7" t="str">
        <f t="shared" si="656"/>
        <v>GB</v>
      </c>
      <c r="C8209" s="8" t="s">
        <v>39</v>
      </c>
      <c r="D8209" s="9" t="str">
        <f>HYPERLINK("https://otsuka-europe-crm.veevavault.com/ui/#object/approved_document__v/V5O00000001H005", "LDM DR P2P Invite 23-Jun-26 [digital]")</f>
        <v>LDM DR P2P Invite 23-Jun-26 [digital]</v>
      </c>
      <c r="E8209" s="10" t="str">
        <f>HYPERLINK("https://otsuka-europe-crm.veevavault.com/ui/#object/sent_email__v/VBL00000002R600", "SE-001435304")</f>
        <v>SE-001435304</v>
      </c>
      <c r="F8209" s="11"/>
      <c r="G8209" s="12">
        <v>0</v>
      </c>
      <c r="H8209" s="12">
        <v>0</v>
      </c>
      <c r="I8209" s="12">
        <v>0</v>
      </c>
      <c r="J8209" s="11"/>
      <c r="K8209" s="12">
        <v>0</v>
      </c>
      <c r="L8209" s="10" t="str">
        <f>HYPERLINK("https://otsuka-europe-crm.veevavault.com/ui/#object/approved_document__v/V5O00000001H005", "LDM DR P2P Invite 23-Jun-26 [digital]")</f>
        <v>LDM DR P2P Invite 23-Jun-26 [digital]</v>
      </c>
      <c r="M8209" s="10" t="str">
        <f t="shared" si="657"/>
        <v>draval@crm.otsuka-europe.com</v>
      </c>
      <c r="N8209" s="13">
        <v>46183.39644675926</v>
      </c>
      <c r="O8209" s="14" t="str">
        <f>HYPERLINK("https://otsuka-europe-crm.veevavault.com/ui/#object/email_activity__v/V8C00000003S536", "EN-002093968")</f>
        <v>EN-002093968</v>
      </c>
    </row>
    <row r="8210" spans="1:15" ht="32" x14ac:dyDescent="0.2">
      <c r="A8210" s="7" t="str">
        <f>HYPERLINK("https://otsuka-europe-crm.veevavault.com/ui/#object/account__v/V4TZ04ASGGKMOAZ", "Muhammad Othman")</f>
        <v>Muhammad Othman</v>
      </c>
      <c r="B8210" s="7" t="str">
        <f t="shared" si="656"/>
        <v>GB</v>
      </c>
      <c r="C8210" s="8" t="s">
        <v>39</v>
      </c>
      <c r="D8210" s="9" t="str">
        <f>HYPERLINK("https://otsuka-europe-crm.veevavault.com/ui/#object/approved_document__v/V5O00000001H005", "LDM DR P2P Invite 23-Jun-26 [digital]")</f>
        <v>LDM DR P2P Invite 23-Jun-26 [digital]</v>
      </c>
      <c r="E8210" s="10" t="str">
        <f>HYPERLINK("https://otsuka-europe-crm.veevavault.com/ui/#object/sent_email__v/VBL00000002R601", "SE-001435305")</f>
        <v>SE-001435305</v>
      </c>
      <c r="F8210" s="11"/>
      <c r="G8210" s="12">
        <v>0</v>
      </c>
      <c r="H8210" s="12">
        <v>0</v>
      </c>
      <c r="I8210" s="12">
        <v>0</v>
      </c>
      <c r="J8210" s="11"/>
      <c r="K8210" s="12">
        <v>0</v>
      </c>
      <c r="L8210" s="10" t="str">
        <f>HYPERLINK("https://otsuka-europe-crm.veevavault.com/ui/#object/approved_document__v/V5O00000001H005", "LDM DR P2P Invite 23-Jun-26 [digital]")</f>
        <v>LDM DR P2P Invite 23-Jun-26 [digital]</v>
      </c>
      <c r="M8210" s="10" t="str">
        <f t="shared" si="657"/>
        <v>draval@crm.otsuka-europe.com</v>
      </c>
      <c r="N8210" s="13">
        <v>46183.396782407406</v>
      </c>
      <c r="O8210" s="14" t="str">
        <f>HYPERLINK("https://otsuka-europe-crm.veevavault.com/ui/#object/email_activity__v/V8C00000003T198", "EN-002093969")</f>
        <v>EN-002093969</v>
      </c>
    </row>
    <row r="8211" spans="1:15" ht="32" x14ac:dyDescent="0.2">
      <c r="A8211" s="7" t="str">
        <f>HYPERLINK("https://otsuka-europe-crm.veevavault.com/ui/#object/account__v/V4TZ025E870Y1HF", "Petronella Savanhu")</f>
        <v>Petronella Savanhu</v>
      </c>
      <c r="B8211" s="7" t="str">
        <f t="shared" si="656"/>
        <v>GB</v>
      </c>
      <c r="C8211" s="8" t="s">
        <v>39</v>
      </c>
      <c r="D8211" s="9" t="str">
        <f>HYPERLINK("https://otsuka-europe-crm.veevavault.com/ui/#object/approved_document__v/V5O00000001H007", "DR P2P Invite 18-Jun-26 [digital]")</f>
        <v>DR P2P Invite 18-Jun-26 [digital]</v>
      </c>
      <c r="E8211" s="10" t="str">
        <f>HYPERLINK("https://otsuka-europe-crm.veevavault.com/ui/#object/sent_email__v/VBL00000002R602", "SE-001435306")</f>
        <v>SE-001435306</v>
      </c>
      <c r="F8211" s="11"/>
      <c r="G8211" s="12">
        <v>0</v>
      </c>
      <c r="H8211" s="12">
        <v>0</v>
      </c>
      <c r="I8211" s="12">
        <v>0</v>
      </c>
      <c r="J8211" s="11"/>
      <c r="K8211" s="12">
        <v>0</v>
      </c>
      <c r="L8211" s="10" t="str">
        <f>HYPERLINK("https://otsuka-europe-crm.veevavault.com/ui/#object/approved_document__v/V5O00000001H007", "DR P2P Invite 18-Jun-26 [digital]")</f>
        <v>DR P2P Invite 18-Jun-26 [digital]</v>
      </c>
      <c r="M8211" s="10" t="str">
        <f t="shared" si="657"/>
        <v>draval@crm.otsuka-europe.com</v>
      </c>
      <c r="N8211" s="13">
        <v>46183.397824074076</v>
      </c>
      <c r="O8211" s="14" t="str">
        <f>HYPERLINK("https://otsuka-europe-crm.veevavault.com/ui/#object/email_activity__v/V8C00000003S537", "EN-002093970")</f>
        <v>EN-002093970</v>
      </c>
    </row>
    <row r="8212" spans="1:15" ht="16" x14ac:dyDescent="0.2">
      <c r="A8212" s="17" t="str">
        <f>HYPERLINK("https://otsuka-europe-crm.veevavault.com/ui/#object/account__v/V4TZ06G6OBI5WC2", "Felcy Silveira")</f>
        <v>Felcy Silveira</v>
      </c>
      <c r="B8212" s="17" t="str">
        <f t="shared" si="656"/>
        <v>GB</v>
      </c>
      <c r="C8212" s="20" t="s">
        <v>39</v>
      </c>
      <c r="D8212" s="21" t="str">
        <f>HYPERLINK("https://otsuka-europe-crm.veevavault.com/ui/#object/approved_document__v/V5O00000001H007", "DR P2P Invite 18-Jun-26 [digital]")</f>
        <v>DR P2P Invite 18-Jun-26 [digital]</v>
      </c>
      <c r="E8212" s="22" t="str">
        <f>HYPERLINK("https://otsuka-europe-crm.veevavault.com/ui/#object/sent_email__v/VBL00000002S676", "SE-001435307")</f>
        <v>SE-001435307</v>
      </c>
      <c r="F8212" s="23">
        <v>46183.40315972222</v>
      </c>
      <c r="G8212" s="24">
        <v>1</v>
      </c>
      <c r="H8212" s="24">
        <v>2</v>
      </c>
      <c r="I8212" s="24">
        <v>0</v>
      </c>
      <c r="J8212" s="25"/>
      <c r="K8212" s="24">
        <v>0</v>
      </c>
      <c r="L8212" s="22" t="str">
        <f>HYPERLINK("https://otsuka-europe-crm.veevavault.com/ui/#object/approved_document__v/V5O00000001H007", "DR P2P Invite 18-Jun-26 [digital]")</f>
        <v>DR P2P Invite 18-Jun-26 [digital]</v>
      </c>
      <c r="M8212" s="22" t="str">
        <f t="shared" si="657"/>
        <v>draval@crm.otsuka-europe.com</v>
      </c>
      <c r="N8212" s="23">
        <v>46183.398356481484</v>
      </c>
      <c r="O8212" s="14" t="str">
        <f>HYPERLINK("https://otsuka-europe-crm.veevavault.com/ui/#object/email_activity__v/V8C00000003S538", "EN-002093971")</f>
        <v>EN-002093971</v>
      </c>
    </row>
    <row r="8213" spans="1:15" ht="16" x14ac:dyDescent="0.2">
      <c r="A8213" s="18"/>
      <c r="B8213" s="18"/>
      <c r="C8213" s="18"/>
      <c r="D8213" s="18"/>
      <c r="E8213" s="18"/>
      <c r="F8213" s="18"/>
      <c r="G8213" s="18"/>
      <c r="H8213" s="18"/>
      <c r="I8213" s="18"/>
      <c r="J8213" s="18"/>
      <c r="K8213" s="18"/>
      <c r="L8213" s="18"/>
      <c r="M8213" s="18"/>
      <c r="N8213" s="18"/>
      <c r="O8213" s="14" t="str">
        <f>HYPERLINK("https://otsuka-europe-crm.veevavault.com/ui/#object/email_activity__v/V8C00000003S546", "EN-002093979")</f>
        <v>EN-002093979</v>
      </c>
    </row>
    <row r="8214" spans="1:15" ht="16" x14ac:dyDescent="0.2">
      <c r="A8214" s="19"/>
      <c r="B8214" s="19"/>
      <c r="C8214" s="19"/>
      <c r="D8214" s="19"/>
      <c r="E8214" s="19"/>
      <c r="F8214" s="19"/>
      <c r="G8214" s="19"/>
      <c r="H8214" s="19"/>
      <c r="I8214" s="19"/>
      <c r="J8214" s="19"/>
      <c r="K8214" s="19"/>
      <c r="L8214" s="19"/>
      <c r="M8214" s="19"/>
      <c r="N8214" s="19"/>
      <c r="O8214" s="14" t="str">
        <f>HYPERLINK("https://otsuka-europe-crm.veevavault.com/ui/#object/email_activity__v/V8C00000003S567", "EN-002094006")</f>
        <v>EN-002094006</v>
      </c>
    </row>
    <row r="8215" spans="1:15" ht="64" x14ac:dyDescent="0.2">
      <c r="A8215" s="7" t="str">
        <f>HYPERLINK("https://otsuka-europe-crm.veevavault.com/ui/#object/account__v/V4TZ04ASGFQA9B5", "PASQUALINA ACCONCIA")</f>
        <v>PASQUALINA ACCONCIA</v>
      </c>
      <c r="B8215" s="7" t="str">
        <f>HYPERLINK("https://otsuka-europe-crm.veevavault.com/ui/#object/vcountry__v/VENZ000004SONFQ", "IT")</f>
        <v>IT</v>
      </c>
      <c r="C8215" s="8" t="s">
        <v>44</v>
      </c>
      <c r="D8215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8215" s="10" t="str">
        <f>HYPERLINK("https://otsuka-europe-crm.veevavault.com/ui/#object/sent_email__v/VBL00000002S677", "SE-001435308")</f>
        <v>SE-001435308</v>
      </c>
      <c r="F8215" s="11"/>
      <c r="G8215" s="12">
        <v>0</v>
      </c>
      <c r="H8215" s="12">
        <v>0</v>
      </c>
      <c r="I8215" s="12">
        <v>0</v>
      </c>
      <c r="J8215" s="11"/>
      <c r="K8215" s="12">
        <v>0</v>
      </c>
      <c r="L8215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8215" s="10" t="str">
        <f>HYPERLINK("mailto:giada.camassa@outsuka.it", "giada.camassa@outsuka.it")</f>
        <v>giada.camassa@outsuka.it</v>
      </c>
      <c r="N8215" s="13">
        <v>46183.3983912037</v>
      </c>
      <c r="O8215" s="14" t="str">
        <f>HYPERLINK("https://otsuka-europe-crm.veevavault.com/ui/#object/email_activity__v/V8C00000003S539", "EN-002093972")</f>
        <v>EN-002093972</v>
      </c>
    </row>
    <row r="8216" spans="1:15" ht="32" x14ac:dyDescent="0.2">
      <c r="A8216" s="7" t="str">
        <f>HYPERLINK("https://otsuka-europe-crm.veevavault.com/ui/#object/account__v/V4TZ0000062PQ8G", "Samad Sohomow")</f>
        <v>Samad Sohomow</v>
      </c>
      <c r="B8216" s="7" t="str">
        <f>HYPERLINK("https://otsuka-europe-crm.veevavault.com/ui/#object/vcountry__v/VENZ000004SONFK", "GB")</f>
        <v>GB</v>
      </c>
      <c r="C8216" s="8" t="s">
        <v>39</v>
      </c>
      <c r="D8216" s="9" t="str">
        <f>HYPERLINK("https://otsuka-europe-crm.veevavault.com/ui/#object/approved_document__v/V5O00000001H007", "DR P2P Invite 18-Jun-26 [digital]")</f>
        <v>DR P2P Invite 18-Jun-26 [digital]</v>
      </c>
      <c r="E8216" s="10" t="str">
        <f>HYPERLINK("https://otsuka-europe-crm.veevavault.com/ui/#object/sent_email__v/VBL00000002R603", "SE-001435309")</f>
        <v>SE-001435309</v>
      </c>
      <c r="F8216" s="11"/>
      <c r="G8216" s="12">
        <v>0</v>
      </c>
      <c r="H8216" s="12">
        <v>0</v>
      </c>
      <c r="I8216" s="12">
        <v>0</v>
      </c>
      <c r="J8216" s="11"/>
      <c r="K8216" s="12">
        <v>0</v>
      </c>
      <c r="L8216" s="10" t="str">
        <f>HYPERLINK("https://otsuka-europe-crm.veevavault.com/ui/#object/approved_document__v/V5O00000001H007", "DR P2P Invite 18-Jun-26 [digital]")</f>
        <v>DR P2P Invite 18-Jun-26 [digital]</v>
      </c>
      <c r="M8216" s="10" t="str">
        <f>HYPERLINK("mailto:draval@crm.otsuka-europe.com", "draval@crm.otsuka-europe.com")</f>
        <v>draval@crm.otsuka-europe.com</v>
      </c>
      <c r="N8216" s="13">
        <v>46183.3984837963</v>
      </c>
      <c r="O8216" s="14" t="str">
        <f>HYPERLINK("https://otsuka-europe-crm.veevavault.com/ui/#object/email_activity__v/V8C00000003S540", "EN-002093973")</f>
        <v>EN-002093973</v>
      </c>
    </row>
    <row r="8217" spans="1:15" ht="32" x14ac:dyDescent="0.2">
      <c r="A8217" s="7" t="str">
        <f>HYPERLINK("https://otsuka-europe-crm.veevavault.com/ui/#object/account__v/V4TZ0000062PB2J", "Sucharita Sriranjan")</f>
        <v>Sucharita Sriranjan</v>
      </c>
      <c r="B8217" s="7" t="str">
        <f>HYPERLINK("https://otsuka-europe-crm.veevavault.com/ui/#object/vcountry__v/VENZ000004SONFK", "GB")</f>
        <v>GB</v>
      </c>
      <c r="C8217" s="8" t="s">
        <v>39</v>
      </c>
      <c r="D8217" s="9" t="str">
        <f>HYPERLINK("https://otsuka-europe-crm.veevavault.com/ui/#object/approved_document__v/V5O00000001H007", "DR P2P Invite 18-Jun-26 [digital]")</f>
        <v>DR P2P Invite 18-Jun-26 [digital]</v>
      </c>
      <c r="E8217" s="10" t="str">
        <f>HYPERLINK("https://otsuka-europe-crm.veevavault.com/ui/#object/sent_email__v/VBL00000002S678", "SE-001435310")</f>
        <v>SE-001435310</v>
      </c>
      <c r="F8217" s="11"/>
      <c r="G8217" s="12">
        <v>0</v>
      </c>
      <c r="H8217" s="12">
        <v>0</v>
      </c>
      <c r="I8217" s="12">
        <v>0</v>
      </c>
      <c r="J8217" s="11"/>
      <c r="K8217" s="12">
        <v>0</v>
      </c>
      <c r="L8217" s="10" t="str">
        <f>HYPERLINK("https://otsuka-europe-crm.veevavault.com/ui/#object/approved_document__v/V5O00000001H007", "DR P2P Invite 18-Jun-26 [digital]")</f>
        <v>DR P2P Invite 18-Jun-26 [digital]</v>
      </c>
      <c r="M8217" s="10" t="str">
        <f>HYPERLINK("mailto:draval@crm.otsuka-europe.com", "draval@crm.otsuka-europe.com")</f>
        <v>draval@crm.otsuka-europe.com</v>
      </c>
      <c r="N8217" s="13">
        <v>46183.3987037037</v>
      </c>
      <c r="O8217" s="14" t="str">
        <f>HYPERLINK("https://otsuka-europe-crm.veevavault.com/ui/#object/email_activity__v/V8C00000003S541", "EN-002093974")</f>
        <v>EN-002093974</v>
      </c>
    </row>
    <row r="8218" spans="1:15" ht="32" x14ac:dyDescent="0.2">
      <c r="A8218" s="7" t="str">
        <f>HYPERLINK("https://otsuka-europe-crm.veevavault.com/ui/#object/account__v/V4TZ0000062PB2J", "Sucharita Sriranjan")</f>
        <v>Sucharita Sriranjan</v>
      </c>
      <c r="B8218" s="7" t="str">
        <f>HYPERLINK("https://otsuka-europe-crm.veevavault.com/ui/#object/vcountry__v/VENZ000004SONFK", "GB")</f>
        <v>GB</v>
      </c>
      <c r="C8218" s="8" t="s">
        <v>39</v>
      </c>
      <c r="D8218" s="9" t="str">
        <f>HYPERLINK("https://otsuka-europe-crm.veevavault.com/ui/#object/approved_document__v/V5O00000001H005", "LDM DR P2P Invite 23-Jun-26 [digital]")</f>
        <v>LDM DR P2P Invite 23-Jun-26 [digital]</v>
      </c>
      <c r="E8218" s="10" t="str">
        <f>HYPERLINK("https://otsuka-europe-crm.veevavault.com/ui/#object/sent_email__v/VBL00000002S679", "SE-001435311")</f>
        <v>SE-001435311</v>
      </c>
      <c r="F8218" s="11"/>
      <c r="G8218" s="12">
        <v>0</v>
      </c>
      <c r="H8218" s="12">
        <v>0</v>
      </c>
      <c r="I8218" s="12">
        <v>0</v>
      </c>
      <c r="J8218" s="11"/>
      <c r="K8218" s="12">
        <v>0</v>
      </c>
      <c r="L8218" s="10" t="str">
        <f>HYPERLINK("https://otsuka-europe-crm.veevavault.com/ui/#object/approved_document__v/V5O00000001H005", "LDM DR P2P Invite 23-Jun-26 [digital]")</f>
        <v>LDM DR P2P Invite 23-Jun-26 [digital]</v>
      </c>
      <c r="M8218" s="10" t="str">
        <f>HYPERLINK("mailto:draval@crm.otsuka-europe.com", "draval@crm.otsuka-europe.com")</f>
        <v>draval@crm.otsuka-europe.com</v>
      </c>
      <c r="N8218" s="13">
        <v>46183.398773148147</v>
      </c>
      <c r="O8218" s="14" t="str">
        <f>HYPERLINK("https://otsuka-europe-crm.veevavault.com/ui/#object/email_activity__v/V8C00000003S542", "EN-002093975")</f>
        <v>EN-002093975</v>
      </c>
    </row>
    <row r="8219" spans="1:15" ht="32" x14ac:dyDescent="0.2">
      <c r="A8219" s="7" t="str">
        <f>HYPERLINK("https://otsuka-europe-crm.veevavault.com/ui/#object/account__v/V4TZ025E876H154", "Zurima Toloza Diaz")</f>
        <v>Zurima Toloza Diaz</v>
      </c>
      <c r="B8219" s="7" t="str">
        <f>HYPERLINK("https://otsuka-europe-crm.veevavault.com/ui/#object/vcountry__v/VENZ000004SONFK", "GB")</f>
        <v>GB</v>
      </c>
      <c r="C8219" s="8" t="s">
        <v>39</v>
      </c>
      <c r="D8219" s="9" t="str">
        <f>HYPERLINK("https://otsuka-europe-crm.veevavault.com/ui/#object/approved_document__v/V5O00000001H005", "LDM DR P2P Invite 23-Jun-26 [digital]")</f>
        <v>LDM DR P2P Invite 23-Jun-26 [digital]</v>
      </c>
      <c r="E8219" s="10" t="str">
        <f>HYPERLINK("https://otsuka-europe-crm.veevavault.com/ui/#object/sent_email__v/VBL00000002S680", "SE-001435312")</f>
        <v>SE-001435312</v>
      </c>
      <c r="F8219" s="11"/>
      <c r="G8219" s="12">
        <v>0</v>
      </c>
      <c r="H8219" s="12">
        <v>0</v>
      </c>
      <c r="I8219" s="12">
        <v>0</v>
      </c>
      <c r="J8219" s="11"/>
      <c r="K8219" s="12">
        <v>0</v>
      </c>
      <c r="L8219" s="10" t="str">
        <f>HYPERLINK("https://otsuka-europe-crm.veevavault.com/ui/#object/approved_document__v/V5O00000001H005", "LDM DR P2P Invite 23-Jun-26 [digital]")</f>
        <v>LDM DR P2P Invite 23-Jun-26 [digital]</v>
      </c>
      <c r="M8219" s="10" t="str">
        <f>HYPERLINK("mailto:draval@crm.otsuka-europe.com", "draval@crm.otsuka-europe.com")</f>
        <v>draval@crm.otsuka-europe.com</v>
      </c>
      <c r="N8219" s="13">
        <v>46183.399039351854</v>
      </c>
      <c r="O8219" s="14" t="str">
        <f>HYPERLINK("https://otsuka-europe-crm.veevavault.com/ui/#object/email_activity__v/V8C00000003S543", "EN-002093976")</f>
        <v>EN-002093976</v>
      </c>
    </row>
    <row r="8220" spans="1:15" ht="16" x14ac:dyDescent="0.2">
      <c r="A8220" s="17" t="str">
        <f>HYPERLINK("https://otsuka-europe-crm.veevavault.com/ui/#object/account__v/V4TZ025E86KXVTC", "MARTINA AMBROGIO")</f>
        <v>MARTINA AMBROGIO</v>
      </c>
      <c r="B8220" s="17" t="str">
        <f>HYPERLINK("https://otsuka-europe-crm.veevavault.com/ui/#object/vcountry__v/VENZ000004SONFQ", "IT")</f>
        <v>IT</v>
      </c>
      <c r="C8220" s="20" t="s">
        <v>44</v>
      </c>
      <c r="D8220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8220" s="22" t="str">
        <f>HYPERLINK("https://otsuka-europe-crm.veevavault.com/ui/#object/sent_email__v/VBL00000002S681", "SE-001435313")</f>
        <v>SE-001435313</v>
      </c>
      <c r="F8220" s="23">
        <v>46183.399247685185</v>
      </c>
      <c r="G8220" s="24">
        <v>1</v>
      </c>
      <c r="H8220" s="24">
        <v>1</v>
      </c>
      <c r="I8220" s="24">
        <v>0</v>
      </c>
      <c r="J8220" s="25"/>
      <c r="K8220" s="24">
        <v>0</v>
      </c>
      <c r="L8220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8220" s="22" t="str">
        <f>HYPERLINK("mailto:giada.camassa@outsuka.it", "giada.camassa@outsuka.it")</f>
        <v>giada.camassa@outsuka.it</v>
      </c>
      <c r="N8220" s="23">
        <v>46183.399074074077</v>
      </c>
      <c r="O8220" s="14" t="str">
        <f>HYPERLINK("https://otsuka-europe-crm.veevavault.com/ui/#object/email_activity__v/V8C00000003S544", "EN-002093977")</f>
        <v>EN-002093977</v>
      </c>
    </row>
    <row r="8221" spans="1:15" ht="16" x14ac:dyDescent="0.2">
      <c r="A8221" s="19"/>
      <c r="B8221" s="19"/>
      <c r="C8221" s="19"/>
      <c r="D8221" s="19"/>
      <c r="E8221" s="19"/>
      <c r="F8221" s="19"/>
      <c r="G8221" s="19"/>
      <c r="H8221" s="19"/>
      <c r="I8221" s="19"/>
      <c r="J8221" s="19"/>
      <c r="K8221" s="19"/>
      <c r="L8221" s="19"/>
      <c r="M8221" s="19"/>
      <c r="N8221" s="19"/>
      <c r="O8221" s="14" t="str">
        <f>HYPERLINK("https://otsuka-europe-crm.veevavault.com/ui/#object/email_activity__v/V8C00000003S545", "EN-002093978")</f>
        <v>EN-002093978</v>
      </c>
    </row>
    <row r="8222" spans="1:15" ht="48" x14ac:dyDescent="0.2">
      <c r="A8222" s="7" t="str">
        <f>HYPERLINK("https://otsuka-europe-crm.veevavault.com/ui/#object/account__v/V4TZ025E86WQFOS", "MARIA AMICONE")</f>
        <v>MARIA AMICONE</v>
      </c>
      <c r="B8222" s="7" t="str">
        <f>HYPERLINK("https://otsuka-europe-crm.veevavault.com/ui/#object/vcountry__v/VENZ000004SONFQ", "IT")</f>
        <v>IT</v>
      </c>
      <c r="C8222" s="8" t="s">
        <v>44</v>
      </c>
      <c r="D8222" s="9" t="str">
        <f>HYPERLINK("https://otsuka-europe-crm.veevavault.com/ui/#object/approved_document__v/V5O00000001B008", "Lupkynis_Multitarget_IT-LUP-2600003 V1.0 - NEPHRO")</f>
        <v>Lupkynis_Multitarget_IT-LUP-2600003 V1.0 - NEPHRO</v>
      </c>
      <c r="E8222" s="10" t="str">
        <f>HYPERLINK("https://otsuka-europe-crm.veevavault.com/ui/#object/sent_email__v/VBL00000002S682", "SE-001435314")</f>
        <v>SE-001435314</v>
      </c>
      <c r="F8222" s="11"/>
      <c r="G8222" s="12">
        <v>0</v>
      </c>
      <c r="H8222" s="12">
        <v>0</v>
      </c>
      <c r="I8222" s="12">
        <v>0</v>
      </c>
      <c r="J8222" s="11"/>
      <c r="K8222" s="12">
        <v>0</v>
      </c>
      <c r="L8222" s="10" t="str">
        <f>HYPERLINK("https://otsuka-europe-crm.veevavault.com/ui/#object/approved_document__v/V5O00000001B008", "Lupkynis_Multitarget_IT-LUP-2600003 V1.0 - NEPHRO")</f>
        <v>Lupkynis_Multitarget_IT-LUP-2600003 V1.0 - NEPHRO</v>
      </c>
      <c r="M8222" s="10" t="str">
        <f>HYPERLINK("mailto:linda.ottavo@crm.otsuka-europe.com", "linda.ottavo@crm.otsuka-europe.com")</f>
        <v>linda.ottavo@crm.otsuka-europe.com</v>
      </c>
      <c r="N8222" s="13">
        <v>46183.399583333332</v>
      </c>
      <c r="O8222" s="14" t="str">
        <f>HYPERLINK("https://otsuka-europe-crm.veevavault.com/ui/#object/email_activity__v/V8C00000003T199", "EN-002093981")</f>
        <v>EN-002093981</v>
      </c>
    </row>
    <row r="8223" spans="1:15" ht="32" x14ac:dyDescent="0.2">
      <c r="A8223" s="7" t="str">
        <f>HYPERLINK("https://otsuka-europe-crm.veevavault.com/ui/#object/account__v/V4TZ0000062PB0I", "Katarzyna Wroblewska")</f>
        <v>Katarzyna Wroblewska</v>
      </c>
      <c r="B8223" s="7" t="str">
        <f>HYPERLINK("https://otsuka-europe-crm.veevavault.com/ui/#object/vcountry__v/VENZ000004SONFK", "GB")</f>
        <v>GB</v>
      </c>
      <c r="C8223" s="8" t="s">
        <v>39</v>
      </c>
      <c r="D8223" s="9" t="str">
        <f>HYPERLINK("https://otsuka-europe-crm.veevavault.com/ui/#object/approved_document__v/V5O00000001H005", "LDM DR P2P Invite 23-Jun-26 [digital]")</f>
        <v>LDM DR P2P Invite 23-Jun-26 [digital]</v>
      </c>
      <c r="E8223" s="10" t="str">
        <f>HYPERLINK("https://otsuka-europe-crm.veevavault.com/ui/#object/sent_email__v/VBL00000002S683", "SE-001435315")</f>
        <v>SE-001435315</v>
      </c>
      <c r="F8223" s="11"/>
      <c r="G8223" s="12">
        <v>0</v>
      </c>
      <c r="H8223" s="12">
        <v>0</v>
      </c>
      <c r="I8223" s="12">
        <v>0</v>
      </c>
      <c r="J8223" s="11"/>
      <c r="K8223" s="12">
        <v>0</v>
      </c>
      <c r="L8223" s="10" t="str">
        <f>HYPERLINK("https://otsuka-europe-crm.veevavault.com/ui/#object/approved_document__v/V5O00000001H005", "LDM DR P2P Invite 23-Jun-26 [digital]")</f>
        <v>LDM DR P2P Invite 23-Jun-26 [digital]</v>
      </c>
      <c r="M8223" s="10" t="str">
        <f>HYPERLINK("mailto:draval@crm.otsuka-europe.com", "draval@crm.otsuka-europe.com")</f>
        <v>draval@crm.otsuka-europe.com</v>
      </c>
      <c r="N8223" s="13">
        <v>46183.399583333332</v>
      </c>
      <c r="O8223" s="14" t="str">
        <f>HYPERLINK("https://otsuka-europe-crm.veevavault.com/ui/#object/email_activity__v/V8C00000003S549", "EN-002093983")</f>
        <v>EN-002093983</v>
      </c>
    </row>
    <row r="8224" spans="1:15" ht="48" x14ac:dyDescent="0.2">
      <c r="A8224" s="7" t="str">
        <f>HYPERLINK("https://otsuka-europe-crm.veevavault.com/ui/#object/account__v/V4TZ04ASGGDP1N5", "LUISA ARCARESE")</f>
        <v>LUISA ARCARESE</v>
      </c>
      <c r="B8224" s="7" t="str">
        <f t="shared" ref="B8224:B8231" si="658">HYPERLINK("https://otsuka-europe-crm.veevavault.com/ui/#object/vcountry__v/VENZ000004SONFQ", "IT")</f>
        <v>IT</v>
      </c>
      <c r="C8224" s="8" t="s">
        <v>44</v>
      </c>
      <c r="D8224" s="9" t="str">
        <f>HYPERLINK("https://otsuka-europe-crm.veevavault.com/ui/#object/approved_document__v/V5O00000001B005", "Lupkynis_Multitarget_IT-LUP-2600003 V1.0 - RHEUMA")</f>
        <v>Lupkynis_Multitarget_IT-LUP-2600003 V1.0 - RHEUMA</v>
      </c>
      <c r="E8224" s="10" t="str">
        <f>HYPERLINK("https://otsuka-europe-crm.veevavault.com/ui/#object/sent_email__v/VBL00000002S684", "SE-001435316")</f>
        <v>SE-001435316</v>
      </c>
      <c r="F8224" s="11"/>
      <c r="G8224" s="12">
        <v>0</v>
      </c>
      <c r="H8224" s="12">
        <v>0</v>
      </c>
      <c r="I8224" s="12">
        <v>0</v>
      </c>
      <c r="J8224" s="11"/>
      <c r="K8224" s="12">
        <v>0</v>
      </c>
      <c r="L8224" s="10" t="str">
        <f>HYPERLINK("https://otsuka-europe-crm.veevavault.com/ui/#object/approved_document__v/V5O00000001B005", "Lupkynis_Multitarget_IT-LUP-2600003 V1.0 - RHEUMA")</f>
        <v>Lupkynis_Multitarget_IT-LUP-2600003 V1.0 - RHEUMA</v>
      </c>
      <c r="M8224" s="10" t="str">
        <f t="shared" ref="M8224:M8231" si="659">HYPERLINK("mailto:linda.ottavo@crm.otsuka-europe.com", "linda.ottavo@crm.otsuka-europe.com")</f>
        <v>linda.ottavo@crm.otsuka-europe.com</v>
      </c>
      <c r="N8224" s="13">
        <v>46183.399652777778</v>
      </c>
      <c r="O8224" s="14" t="str">
        <f>HYPERLINK("https://otsuka-europe-crm.veevavault.com/ui/#object/email_activity__v/V8C00000003S548", "EN-002093982")</f>
        <v>EN-002093982</v>
      </c>
    </row>
    <row r="8225" spans="1:15" ht="48" x14ac:dyDescent="0.2">
      <c r="A8225" s="7" t="str">
        <f>HYPERLINK("https://otsuka-europe-crm.veevavault.com/ui/#object/account__v/V4TZ025E83OV63L", "MARIANGELA ATTENO")</f>
        <v>MARIANGELA ATTENO</v>
      </c>
      <c r="B8225" s="7" t="str">
        <f t="shared" si="658"/>
        <v>IT</v>
      </c>
      <c r="C8225" s="8" t="s">
        <v>44</v>
      </c>
      <c r="D8225" s="9" t="str">
        <f>HYPERLINK("https://otsuka-europe-crm.veevavault.com/ui/#object/approved_document__v/V5O00000001B005", "Lupkynis_Multitarget_IT-LUP-2600003 V1.0 - RHEUMA")</f>
        <v>Lupkynis_Multitarget_IT-LUP-2600003 V1.0 - RHEUMA</v>
      </c>
      <c r="E8225" s="10" t="str">
        <f>HYPERLINK("https://otsuka-europe-crm.veevavault.com/ui/#object/sent_email__v/VBL00000002R604", "SE-001435317")</f>
        <v>SE-001435317</v>
      </c>
      <c r="F8225" s="11"/>
      <c r="G8225" s="12">
        <v>0</v>
      </c>
      <c r="H8225" s="12">
        <v>0</v>
      </c>
      <c r="I8225" s="12">
        <v>0</v>
      </c>
      <c r="J8225" s="11"/>
      <c r="K8225" s="12">
        <v>0</v>
      </c>
      <c r="L8225" s="10" t="str">
        <f>HYPERLINK("https://otsuka-europe-crm.veevavault.com/ui/#object/approved_document__v/V5O00000001B005", "Lupkynis_Multitarget_IT-LUP-2600003 V1.0 - RHEUMA")</f>
        <v>Lupkynis_Multitarget_IT-LUP-2600003 V1.0 - RHEUMA</v>
      </c>
      <c r="M8225" s="10" t="str">
        <f t="shared" si="659"/>
        <v>linda.ottavo@crm.otsuka-europe.com</v>
      </c>
      <c r="N8225" s="13">
        <v>46183.399918981479</v>
      </c>
      <c r="O8225" s="14" t="str">
        <f>HYPERLINK("https://otsuka-europe-crm.veevavault.com/ui/#object/email_activity__v/V8C00000003T200", "EN-002093984")</f>
        <v>EN-002093984</v>
      </c>
    </row>
    <row r="8226" spans="1:15" ht="48" x14ac:dyDescent="0.2">
      <c r="A8226" s="7" t="str">
        <f>HYPERLINK("https://otsuka-europe-crm.veevavault.com/ui/#object/account__v/V4TZ025E87XNNJH", "ROCCO BACCARO")</f>
        <v>ROCCO BACCARO</v>
      </c>
      <c r="B8226" s="7" t="str">
        <f t="shared" si="658"/>
        <v>IT</v>
      </c>
      <c r="C8226" s="8" t="s">
        <v>44</v>
      </c>
      <c r="D8226" s="9" t="str">
        <f>HYPERLINK("https://otsuka-europe-crm.veevavault.com/ui/#object/approved_document__v/V5O00000001B008", "Lupkynis_Multitarget_IT-LUP-2600003 V1.0 - NEPHRO")</f>
        <v>Lupkynis_Multitarget_IT-LUP-2600003 V1.0 - NEPHRO</v>
      </c>
      <c r="E8226" s="10" t="str">
        <f>HYPERLINK("https://otsuka-europe-crm.veevavault.com/ui/#object/sent_email__v/VBL00000002S685", "SE-001435318")</f>
        <v>SE-001435318</v>
      </c>
      <c r="F8226" s="11"/>
      <c r="G8226" s="12">
        <v>0</v>
      </c>
      <c r="H8226" s="12">
        <v>0</v>
      </c>
      <c r="I8226" s="12">
        <v>0</v>
      </c>
      <c r="J8226" s="11"/>
      <c r="K8226" s="12">
        <v>0</v>
      </c>
      <c r="L8226" s="10" t="str">
        <f>HYPERLINK("https://otsuka-europe-crm.veevavault.com/ui/#object/approved_document__v/V5O00000001B008", "Lupkynis_Multitarget_IT-LUP-2600003 V1.0 - NEPHRO")</f>
        <v>Lupkynis_Multitarget_IT-LUP-2600003 V1.0 - NEPHRO</v>
      </c>
      <c r="M8226" s="10" t="str">
        <f t="shared" si="659"/>
        <v>linda.ottavo@crm.otsuka-europe.com</v>
      </c>
      <c r="N8226" s="13">
        <v>46183.400127314817</v>
      </c>
      <c r="O8226" s="14" t="str">
        <f>HYPERLINK("https://otsuka-europe-crm.veevavault.com/ui/#object/email_activity__v/V8C00000003S550", "EN-002093985")</f>
        <v>EN-002093985</v>
      </c>
    </row>
    <row r="8227" spans="1:15" ht="48" x14ac:dyDescent="0.2">
      <c r="A8227" s="7" t="str">
        <f>HYPERLINK("https://otsuka-europe-crm.veevavault.com/ui/#object/account__v/V4TZ04ASGBJTUG7", "BENEDETTA BARTOLI")</f>
        <v>BENEDETTA BARTOLI</v>
      </c>
      <c r="B8227" s="7" t="str">
        <f t="shared" si="658"/>
        <v>IT</v>
      </c>
      <c r="C8227" s="8" t="s">
        <v>44</v>
      </c>
      <c r="D8227" s="9" t="str">
        <f>HYPERLINK("https://otsuka-europe-crm.veevavault.com/ui/#object/approved_document__v/V5O00000001B008", "Lupkynis_Multitarget_IT-LUP-2600003 V1.0 - NEPHRO")</f>
        <v>Lupkynis_Multitarget_IT-LUP-2600003 V1.0 - NEPHRO</v>
      </c>
      <c r="E8227" s="10" t="str">
        <f>HYPERLINK("https://otsuka-europe-crm.veevavault.com/ui/#object/sent_email__v/VBL00000002S686", "SE-001435319")</f>
        <v>SE-001435319</v>
      </c>
      <c r="F8227" s="11"/>
      <c r="G8227" s="12">
        <v>0</v>
      </c>
      <c r="H8227" s="12">
        <v>0</v>
      </c>
      <c r="I8227" s="12">
        <v>0</v>
      </c>
      <c r="J8227" s="11"/>
      <c r="K8227" s="12">
        <v>0</v>
      </c>
      <c r="L8227" s="10" t="str">
        <f>HYPERLINK("https://otsuka-europe-crm.veevavault.com/ui/#object/approved_document__v/V5O00000001B008", "Lupkynis_Multitarget_IT-LUP-2600003 V1.0 - NEPHRO")</f>
        <v>Lupkynis_Multitarget_IT-LUP-2600003 V1.0 - NEPHRO</v>
      </c>
      <c r="M8227" s="10" t="str">
        <f t="shared" si="659"/>
        <v>linda.ottavo@crm.otsuka-europe.com</v>
      </c>
      <c r="N8227" s="13">
        <v>46183.400277777779</v>
      </c>
      <c r="O8227" s="14" t="str">
        <f>HYPERLINK("https://otsuka-europe-crm.veevavault.com/ui/#object/email_activity__v/V8C00000003T201", "EN-002093986")</f>
        <v>EN-002093986</v>
      </c>
    </row>
    <row r="8228" spans="1:15" ht="48" x14ac:dyDescent="0.2">
      <c r="A8228" s="7" t="str">
        <f>HYPERLINK("https://otsuka-europe-crm.veevavault.com/ui/#object/account__v/V4TZ06G6O71S9ZQ", "VINCENZO BELLIZZI")</f>
        <v>VINCENZO BELLIZZI</v>
      </c>
      <c r="B8228" s="7" t="str">
        <f t="shared" si="658"/>
        <v>IT</v>
      </c>
      <c r="C8228" s="8" t="s">
        <v>44</v>
      </c>
      <c r="D8228" s="9" t="str">
        <f>HYPERLINK("https://otsuka-europe-crm.veevavault.com/ui/#object/approved_document__v/V5O00000001B008", "Lupkynis_Multitarget_IT-LUP-2600003 V1.0 - NEPHRO")</f>
        <v>Lupkynis_Multitarget_IT-LUP-2600003 V1.0 - NEPHRO</v>
      </c>
      <c r="E8228" s="10" t="str">
        <f>HYPERLINK("https://otsuka-europe-crm.veevavault.com/ui/#object/sent_email__v/VBL00000002R605", "SE-001435320")</f>
        <v>SE-001435320</v>
      </c>
      <c r="F8228" s="11"/>
      <c r="G8228" s="12">
        <v>0</v>
      </c>
      <c r="H8228" s="12">
        <v>0</v>
      </c>
      <c r="I8228" s="12">
        <v>0</v>
      </c>
      <c r="J8228" s="11"/>
      <c r="K8228" s="12">
        <v>0</v>
      </c>
      <c r="L8228" s="10" t="str">
        <f>HYPERLINK("https://otsuka-europe-crm.veevavault.com/ui/#object/approved_document__v/V5O00000001B008", "Lupkynis_Multitarget_IT-LUP-2600003 V1.0 - NEPHRO")</f>
        <v>Lupkynis_Multitarget_IT-LUP-2600003 V1.0 - NEPHRO</v>
      </c>
      <c r="M8228" s="10" t="str">
        <f t="shared" si="659"/>
        <v>linda.ottavo@crm.otsuka-europe.com</v>
      </c>
      <c r="N8228" s="13">
        <v>46183.400439814817</v>
      </c>
      <c r="O8228" s="14" t="str">
        <f>HYPERLINK("https://otsuka-europe-crm.veevavault.com/ui/#object/email_activity__v/V8C00000003S552", "EN-002093988")</f>
        <v>EN-002093988</v>
      </c>
    </row>
    <row r="8229" spans="1:15" ht="48" x14ac:dyDescent="0.2">
      <c r="A8229" s="7" t="str">
        <f>HYPERLINK("https://otsuka-europe-crm.veevavault.com/ui/#object/account__v/V4TZ04ASGGCGNCI", "MARIANNA BENCIVENGA")</f>
        <v>MARIANNA BENCIVENGA</v>
      </c>
      <c r="B8229" s="7" t="str">
        <f t="shared" si="658"/>
        <v>IT</v>
      </c>
      <c r="C8229" s="8" t="s">
        <v>44</v>
      </c>
      <c r="D8229" s="9" t="str">
        <f>HYPERLINK("https://otsuka-europe-crm.veevavault.com/ui/#object/approved_document__v/V5O00000001B008", "Lupkynis_Multitarget_IT-LUP-2600003 V1.0 - NEPHRO")</f>
        <v>Lupkynis_Multitarget_IT-LUP-2600003 V1.0 - NEPHRO</v>
      </c>
      <c r="E8229" s="10" t="str">
        <f>HYPERLINK("https://otsuka-europe-crm.veevavault.com/ui/#object/sent_email__v/VBL00000002R606", "SE-001435321")</f>
        <v>SE-001435321</v>
      </c>
      <c r="F8229" s="11"/>
      <c r="G8229" s="12">
        <v>0</v>
      </c>
      <c r="H8229" s="12">
        <v>0</v>
      </c>
      <c r="I8229" s="12">
        <v>0</v>
      </c>
      <c r="J8229" s="11"/>
      <c r="K8229" s="12">
        <v>0</v>
      </c>
      <c r="L8229" s="10" t="str">
        <f>HYPERLINK("https://otsuka-europe-crm.veevavault.com/ui/#object/approved_document__v/V5O00000001B008", "Lupkynis_Multitarget_IT-LUP-2600003 V1.0 - NEPHRO")</f>
        <v>Lupkynis_Multitarget_IT-LUP-2600003 V1.0 - NEPHRO</v>
      </c>
      <c r="M8229" s="10" t="str">
        <f t="shared" si="659"/>
        <v>linda.ottavo@crm.otsuka-europe.com</v>
      </c>
      <c r="N8229" s="13">
        <v>46183.400590277779</v>
      </c>
      <c r="O8229" s="14" t="str">
        <f>HYPERLINK("https://otsuka-europe-crm.veevavault.com/ui/#object/email_activity__v/V8C00000003S551", "EN-002093987")</f>
        <v>EN-002093987</v>
      </c>
    </row>
    <row r="8230" spans="1:15" ht="48" x14ac:dyDescent="0.2">
      <c r="A8230" s="7" t="str">
        <f>HYPERLINK("https://otsuka-europe-crm.veevavault.com/ui/#object/account__v/V4TZ04ASGEI28PP", "SILVIA LAURA BOSELLO")</f>
        <v>SILVIA LAURA BOSELLO</v>
      </c>
      <c r="B8230" s="7" t="str">
        <f t="shared" si="658"/>
        <v>IT</v>
      </c>
      <c r="C8230" s="8" t="s">
        <v>44</v>
      </c>
      <c r="D8230" s="9" t="str">
        <f>HYPERLINK("https://otsuka-europe-crm.veevavault.com/ui/#object/approved_document__v/V5O00000001B005", "Lupkynis_Multitarget_IT-LUP-2600003 V1.0 - RHEUMA")</f>
        <v>Lupkynis_Multitarget_IT-LUP-2600003 V1.0 - RHEUMA</v>
      </c>
      <c r="E8230" s="10" t="str">
        <f>HYPERLINK("https://otsuka-europe-crm.veevavault.com/ui/#object/sent_email__v/VBL00000002R607", "SE-001435322")</f>
        <v>SE-001435322</v>
      </c>
      <c r="F8230" s="11"/>
      <c r="G8230" s="12">
        <v>0</v>
      </c>
      <c r="H8230" s="12">
        <v>0</v>
      </c>
      <c r="I8230" s="12">
        <v>0</v>
      </c>
      <c r="J8230" s="11"/>
      <c r="K8230" s="12">
        <v>0</v>
      </c>
      <c r="L8230" s="10" t="str">
        <f>HYPERLINK("https://otsuka-europe-crm.veevavault.com/ui/#object/approved_document__v/V5O00000001B005", "Lupkynis_Multitarget_IT-LUP-2600003 V1.0 - RHEUMA")</f>
        <v>Lupkynis_Multitarget_IT-LUP-2600003 V1.0 - RHEUMA</v>
      </c>
      <c r="M8230" s="10" t="str">
        <f t="shared" si="659"/>
        <v>linda.ottavo@crm.otsuka-europe.com</v>
      </c>
      <c r="N8230" s="13">
        <v>46183.400810185187</v>
      </c>
      <c r="O8230" s="14" t="str">
        <f>HYPERLINK("https://otsuka-europe-crm.veevavault.com/ui/#object/email_activity__v/V8C00000003S553", "EN-002093990")</f>
        <v>EN-002093990</v>
      </c>
    </row>
    <row r="8231" spans="1:15" ht="16" x14ac:dyDescent="0.2">
      <c r="A8231" s="17" t="str">
        <f>HYPERLINK("https://otsuka-europe-crm.veevavault.com/ui/#object/account__v/V4TZ04ASGB4UR8K", "ROSARIO BUONO")</f>
        <v>ROSARIO BUONO</v>
      </c>
      <c r="B8231" s="17" t="str">
        <f t="shared" si="658"/>
        <v>IT</v>
      </c>
      <c r="C8231" s="20" t="s">
        <v>44</v>
      </c>
      <c r="D8231" s="21" t="str">
        <f>HYPERLINK("https://otsuka-europe-crm.veevavault.com/ui/#object/approved_document__v/V5O00000001B005", "Lupkynis_Multitarget_IT-LUP-2600003 V1.0 - RHEUMA")</f>
        <v>Lupkynis_Multitarget_IT-LUP-2600003 V1.0 - RHEUMA</v>
      </c>
      <c r="E8231" s="22" t="str">
        <f>HYPERLINK("https://otsuka-europe-crm.veevavault.com/ui/#object/sent_email__v/VBL00000002R608", "SE-001435323")</f>
        <v>SE-001435323</v>
      </c>
      <c r="F8231" s="25"/>
      <c r="G8231" s="24">
        <v>0</v>
      </c>
      <c r="H8231" s="24">
        <v>0</v>
      </c>
      <c r="I8231" s="24">
        <v>0</v>
      </c>
      <c r="J8231" s="25"/>
      <c r="K8231" s="24">
        <v>0</v>
      </c>
      <c r="L8231" s="22" t="str">
        <f>HYPERLINK("https://otsuka-europe-crm.veevavault.com/ui/#object/approved_document__v/V5O00000001B005", "Lupkynis_Multitarget_IT-LUP-2600003 V1.0 - RHEUMA")</f>
        <v>Lupkynis_Multitarget_IT-LUP-2600003 V1.0 - RHEUMA</v>
      </c>
      <c r="M8231" s="22" t="str">
        <f t="shared" si="659"/>
        <v>linda.ottavo@crm.otsuka-europe.com</v>
      </c>
      <c r="N8231" s="23">
        <v>46183.401134259257</v>
      </c>
      <c r="O8231" s="14" t="str">
        <f>HYPERLINK("https://otsuka-europe-crm.veevavault.com/ui/#object/email_activity__v/V8C00000003S718", "EN-002094319")</f>
        <v>EN-002094319</v>
      </c>
    </row>
    <row r="8232" spans="1:15" ht="16" x14ac:dyDescent="0.2">
      <c r="A8232" s="19"/>
      <c r="B8232" s="19"/>
      <c r="C8232" s="19"/>
      <c r="D8232" s="19"/>
      <c r="E8232" s="19"/>
      <c r="F8232" s="19"/>
      <c r="G8232" s="19"/>
      <c r="H8232" s="19"/>
      <c r="I8232" s="19"/>
      <c r="J8232" s="19"/>
      <c r="K8232" s="19"/>
      <c r="L8232" s="19"/>
      <c r="M8232" s="19"/>
      <c r="N8232" s="19"/>
      <c r="O8232" s="14" t="str">
        <f>HYPERLINK("https://otsuka-europe-crm.veevavault.com/ui/#object/email_activity__v/V8C00000003T203", "EN-002093993")</f>
        <v>EN-002093993</v>
      </c>
    </row>
    <row r="8233" spans="1:15" ht="48" x14ac:dyDescent="0.2">
      <c r="A8233" s="7" t="str">
        <f>HYPERLINK("https://otsuka-europe-crm.veevavault.com/ui/#object/account__v/V4TZ025E82G6L2L", "DOMENICO CAPOCOTTA")</f>
        <v>DOMENICO CAPOCOTTA</v>
      </c>
      <c r="B8233" s="7" t="str">
        <f>HYPERLINK("https://otsuka-europe-crm.veevavault.com/ui/#object/vcountry__v/VENZ000004SONFQ", "IT")</f>
        <v>IT</v>
      </c>
      <c r="C8233" s="8" t="s">
        <v>44</v>
      </c>
      <c r="D8233" s="9" t="str">
        <f>HYPERLINK("https://otsuka-europe-crm.veevavault.com/ui/#object/approved_document__v/V5O00000001B005", "Lupkynis_Multitarget_IT-LUP-2600003 V1.0 - RHEUMA")</f>
        <v>Lupkynis_Multitarget_IT-LUP-2600003 V1.0 - RHEUMA</v>
      </c>
      <c r="E8233" s="10" t="str">
        <f>HYPERLINK("https://otsuka-europe-crm.veevavault.com/ui/#object/sent_email__v/VBL00000002R609", "SE-001435324")</f>
        <v>SE-001435324</v>
      </c>
      <c r="F8233" s="11"/>
      <c r="G8233" s="12">
        <v>0</v>
      </c>
      <c r="H8233" s="12">
        <v>0</v>
      </c>
      <c r="I8233" s="12">
        <v>0</v>
      </c>
      <c r="J8233" s="11"/>
      <c r="K8233" s="12">
        <v>0</v>
      </c>
      <c r="L8233" s="10" t="str">
        <f>HYPERLINK("https://otsuka-europe-crm.veevavault.com/ui/#object/approved_document__v/V5O00000001B005", "Lupkynis_Multitarget_IT-LUP-2600003 V1.0 - RHEUMA")</f>
        <v>Lupkynis_Multitarget_IT-LUP-2600003 V1.0 - RHEUMA</v>
      </c>
      <c r="M8233" s="10" t="str">
        <f>HYPERLINK("mailto:linda.ottavo@crm.otsuka-europe.com", "linda.ottavo@crm.otsuka-europe.com")</f>
        <v>linda.ottavo@crm.otsuka-europe.com</v>
      </c>
      <c r="N8233" s="13">
        <v>46183.401273148149</v>
      </c>
      <c r="O8233" s="14" t="str">
        <f>HYPERLINK("https://otsuka-europe-crm.veevavault.com/ui/#object/email_activity__v/V8C00000003T204", "EN-002093994")</f>
        <v>EN-002093994</v>
      </c>
    </row>
    <row r="8234" spans="1:15" ht="48" x14ac:dyDescent="0.2">
      <c r="A8234" s="7" t="str">
        <f>HYPERLINK("https://otsuka-europe-crm.veevavault.com/ui/#object/account__v/V4TZ06G6O71S9EX", "GIOVANNA CAPOLONGO")</f>
        <v>GIOVANNA CAPOLONGO</v>
      </c>
      <c r="B8234" s="7" t="str">
        <f>HYPERLINK("https://otsuka-europe-crm.veevavault.com/ui/#object/vcountry__v/VENZ000004SONFQ", "IT")</f>
        <v>IT</v>
      </c>
      <c r="C8234" s="8" t="s">
        <v>44</v>
      </c>
      <c r="D8234" s="9" t="str">
        <f>HYPERLINK("https://otsuka-europe-crm.veevavault.com/ui/#object/approved_document__v/V5O00000001B008", "Lupkynis_Multitarget_IT-LUP-2600003 V1.0 - NEPHRO")</f>
        <v>Lupkynis_Multitarget_IT-LUP-2600003 V1.0 - NEPHRO</v>
      </c>
      <c r="E8234" s="10" t="str">
        <f>HYPERLINK("https://otsuka-europe-crm.veevavault.com/ui/#object/sent_email__v/VBL00000002S687", "SE-001435325")</f>
        <v>SE-001435325</v>
      </c>
      <c r="F8234" s="11"/>
      <c r="G8234" s="12">
        <v>0</v>
      </c>
      <c r="H8234" s="12">
        <v>0</v>
      </c>
      <c r="I8234" s="12">
        <v>0</v>
      </c>
      <c r="J8234" s="11"/>
      <c r="K8234" s="12">
        <v>0</v>
      </c>
      <c r="L8234" s="10" t="str">
        <f>HYPERLINK("https://otsuka-europe-crm.veevavault.com/ui/#object/approved_document__v/V5O00000001B008", "Lupkynis_Multitarget_IT-LUP-2600003 V1.0 - NEPHRO")</f>
        <v>Lupkynis_Multitarget_IT-LUP-2600003 V1.0 - NEPHRO</v>
      </c>
      <c r="M8234" s="10" t="str">
        <f>HYPERLINK("mailto:linda.ottavo@crm.otsuka-europe.com", "linda.ottavo@crm.otsuka-europe.com")</f>
        <v>linda.ottavo@crm.otsuka-europe.com</v>
      </c>
      <c r="N8234" s="13">
        <v>46183.40148148148</v>
      </c>
      <c r="O8234" s="14" t="str">
        <f>HYPERLINK("https://otsuka-europe-crm.veevavault.com/ui/#object/email_activity__v/V8C00000003S557", "EN-002093996")</f>
        <v>EN-002093996</v>
      </c>
    </row>
    <row r="8235" spans="1:15" ht="48" x14ac:dyDescent="0.2">
      <c r="A8235" s="7" t="str">
        <f>HYPERLINK("https://otsuka-europe-crm.veevavault.com/ui/#object/account__v/V4TZ025E83BAPZW", "IVANA CAPUANO")</f>
        <v>IVANA CAPUANO</v>
      </c>
      <c r="B8235" s="7" t="str">
        <f>HYPERLINK("https://otsuka-europe-crm.veevavault.com/ui/#object/vcountry__v/VENZ000004SONFQ", "IT")</f>
        <v>IT</v>
      </c>
      <c r="C8235" s="8" t="s">
        <v>44</v>
      </c>
      <c r="D8235" s="9" t="str">
        <f>HYPERLINK("https://otsuka-europe-crm.veevavault.com/ui/#object/approved_document__v/V5O00000001B008", "Lupkynis_Multitarget_IT-LUP-2600003 V1.0 - NEPHRO")</f>
        <v>Lupkynis_Multitarget_IT-LUP-2600003 V1.0 - NEPHRO</v>
      </c>
      <c r="E8235" s="10" t="str">
        <f>HYPERLINK("https://otsuka-europe-crm.veevavault.com/ui/#object/sent_email__v/VBL00000002R610", "SE-001435326")</f>
        <v>SE-001435326</v>
      </c>
      <c r="F8235" s="11"/>
      <c r="G8235" s="12">
        <v>0</v>
      </c>
      <c r="H8235" s="12">
        <v>0</v>
      </c>
      <c r="I8235" s="12">
        <v>0</v>
      </c>
      <c r="J8235" s="11"/>
      <c r="K8235" s="12">
        <v>0</v>
      </c>
      <c r="L8235" s="10" t="str">
        <f>HYPERLINK("https://otsuka-europe-crm.veevavault.com/ui/#object/approved_document__v/V5O00000001B008", "Lupkynis_Multitarget_IT-LUP-2600003 V1.0 - NEPHRO")</f>
        <v>Lupkynis_Multitarget_IT-LUP-2600003 V1.0 - NEPHRO</v>
      </c>
      <c r="M8235" s="10" t="str">
        <f>HYPERLINK("mailto:linda.ottavo@crm.otsuka-europe.com", "linda.ottavo@crm.otsuka-europe.com")</f>
        <v>linda.ottavo@crm.otsuka-europe.com</v>
      </c>
      <c r="N8235" s="13">
        <v>46183.401562500003</v>
      </c>
      <c r="O8235" s="14" t="str">
        <f>HYPERLINK("https://otsuka-europe-crm.veevavault.com/ui/#object/email_activity__v/V8C00000003S556", "EN-002093995")</f>
        <v>EN-002093995</v>
      </c>
    </row>
    <row r="8236" spans="1:15" ht="16" x14ac:dyDescent="0.2">
      <c r="A8236" s="17" t="str">
        <f>HYPERLINK("https://otsuka-europe-crm.veevavault.com/ui/#object/account__v/V4TZ06G6OBI5WC2", "Felcy Silveira")</f>
        <v>Felcy Silveira</v>
      </c>
      <c r="B8236" s="17" t="str">
        <f>HYPERLINK("https://otsuka-europe-crm.veevavault.com/ui/#object/vcountry__v/VENZ000004SONFK", "GB")</f>
        <v>GB</v>
      </c>
      <c r="C8236" s="20" t="s">
        <v>39</v>
      </c>
      <c r="D8236" s="21" t="str">
        <f>HYPERLINK("https://otsuka-europe-crm.veevavault.com/ui/#object/approved_document__v/V5O00000001H005", "LDM DR P2P Invite 23-Jun-26 [digital]")</f>
        <v>LDM DR P2P Invite 23-Jun-26 [digital]</v>
      </c>
      <c r="E8236" s="22" t="str">
        <f>HYPERLINK("https://otsuka-europe-crm.veevavault.com/ui/#object/sent_email__v/VBL00000002R611", "SE-001435327")</f>
        <v>SE-001435327</v>
      </c>
      <c r="F8236" s="23">
        <v>46183.403020833335</v>
      </c>
      <c r="G8236" s="24">
        <v>1</v>
      </c>
      <c r="H8236" s="24">
        <v>1</v>
      </c>
      <c r="I8236" s="24">
        <v>0</v>
      </c>
      <c r="J8236" s="25"/>
      <c r="K8236" s="24">
        <v>0</v>
      </c>
      <c r="L8236" s="22" t="str">
        <f>HYPERLINK("https://otsuka-europe-crm.veevavault.com/ui/#object/approved_document__v/V5O00000001H005", "LDM DR P2P Invite 23-Jun-26 [digital]")</f>
        <v>LDM DR P2P Invite 23-Jun-26 [digital]</v>
      </c>
      <c r="M8236" s="22" t="str">
        <f>HYPERLINK("mailto:draval@crm.otsuka-europe.com", "draval@crm.otsuka-europe.com")</f>
        <v>draval@crm.otsuka-europe.com</v>
      </c>
      <c r="N8236" s="23">
        <v>46183.40184027778</v>
      </c>
      <c r="O8236" s="14" t="str">
        <f>HYPERLINK("https://otsuka-europe-crm.veevavault.com/ui/#object/email_activity__v/V8C00000003S559", "EN-002093998")</f>
        <v>EN-002093998</v>
      </c>
    </row>
    <row r="8237" spans="1:15" ht="16" x14ac:dyDescent="0.2">
      <c r="A8237" s="19"/>
      <c r="B8237" s="19"/>
      <c r="C8237" s="19"/>
      <c r="D8237" s="19"/>
      <c r="E8237" s="19"/>
      <c r="F8237" s="19"/>
      <c r="G8237" s="19"/>
      <c r="H8237" s="19"/>
      <c r="I8237" s="19"/>
      <c r="J8237" s="19"/>
      <c r="K8237" s="19"/>
      <c r="L8237" s="19"/>
      <c r="M8237" s="19"/>
      <c r="N8237" s="19"/>
      <c r="O8237" s="14" t="str">
        <f>HYPERLINK("https://otsuka-europe-crm.veevavault.com/ui/#object/email_activity__v/V8C00000003S566", "EN-002094005")</f>
        <v>EN-002094005</v>
      </c>
    </row>
    <row r="8238" spans="1:15" ht="48" x14ac:dyDescent="0.2">
      <c r="A8238" s="7" t="str">
        <f>HYPERLINK("https://otsuka-europe-crm.veevavault.com/ui/#object/account__v/V4TZ025E85JSDNW", "CHIARA CARDAMONE")</f>
        <v>CHIARA CARDAMONE</v>
      </c>
      <c r="B8238" s="7" t="str">
        <f>HYPERLINK("https://otsuka-europe-crm.veevavault.com/ui/#object/vcountry__v/VENZ000004SONFQ", "IT")</f>
        <v>IT</v>
      </c>
      <c r="C8238" s="8" t="s">
        <v>44</v>
      </c>
      <c r="D8238" s="9" t="str">
        <f>HYPERLINK("https://otsuka-europe-crm.veevavault.com/ui/#object/approved_document__v/V5O00000001B006", "Lupkynis_Multitarget_IT-LUP-2600003 V1.0 -  IMMUNO")</f>
        <v>Lupkynis_Multitarget_IT-LUP-2600003 V1.0 -  IMMUNO</v>
      </c>
      <c r="E8238" s="10" t="str">
        <f>HYPERLINK("https://otsuka-europe-crm.veevavault.com/ui/#object/sent_email__v/VBL00000002R612", "SE-001435328")</f>
        <v>SE-001435328</v>
      </c>
      <c r="F8238" s="11"/>
      <c r="G8238" s="12">
        <v>0</v>
      </c>
      <c r="H8238" s="12">
        <v>0</v>
      </c>
      <c r="I8238" s="12">
        <v>0</v>
      </c>
      <c r="J8238" s="11"/>
      <c r="K8238" s="12">
        <v>0</v>
      </c>
      <c r="L8238" s="10" t="str">
        <f>HYPERLINK("https://otsuka-europe-crm.veevavault.com/ui/#object/approved_document__v/V5O00000001B006", "Lupkynis_Multitarget_IT-LUP-2600003 V1.0 -  IMMUNO")</f>
        <v>Lupkynis_Multitarget_IT-LUP-2600003 V1.0 -  IMMUNO</v>
      </c>
      <c r="M8238" s="10" t="str">
        <f>HYPERLINK("mailto:linda.ottavo@crm.otsuka-europe.com", "linda.ottavo@crm.otsuka-europe.com")</f>
        <v>linda.ottavo@crm.otsuka-europe.com</v>
      </c>
      <c r="N8238" s="13">
        <v>46183.40185185185</v>
      </c>
      <c r="O8238" s="14" t="str">
        <f>HYPERLINK("https://otsuka-europe-crm.veevavault.com/ui/#object/email_activity__v/V8C00000003S558", "EN-002093997")</f>
        <v>EN-002093997</v>
      </c>
    </row>
    <row r="8239" spans="1:15" ht="16" x14ac:dyDescent="0.2">
      <c r="A8239" s="17" t="str">
        <f>HYPERLINK("https://otsuka-europe-crm.veevavault.com/ui/#object/account__v/V4TZ04ASGBC5YZY", "FULVIA CECCARELLI")</f>
        <v>FULVIA CECCARELLI</v>
      </c>
      <c r="B8239" s="17" t="str">
        <f>HYPERLINK("https://otsuka-europe-crm.veevavault.com/ui/#object/vcountry__v/VENZ000004SONFQ", "IT")</f>
        <v>IT</v>
      </c>
      <c r="C8239" s="20" t="s">
        <v>44</v>
      </c>
      <c r="D8239" s="21" t="str">
        <f>HYPERLINK("https://otsuka-europe-crm.veevavault.com/ui/#object/approved_document__v/V5O00000001B005", "Lupkynis_Multitarget_IT-LUP-2600003 V1.0 - RHEUMA")</f>
        <v>Lupkynis_Multitarget_IT-LUP-2600003 V1.0 - RHEUMA</v>
      </c>
      <c r="E8239" s="22" t="str">
        <f>HYPERLINK("https://otsuka-europe-crm.veevavault.com/ui/#object/sent_email__v/VBL00000002R613", "SE-001435329")</f>
        <v>SE-001435329</v>
      </c>
      <c r="F8239" s="23">
        <v>46183.426122685189</v>
      </c>
      <c r="G8239" s="24">
        <v>1</v>
      </c>
      <c r="H8239" s="24">
        <v>2</v>
      </c>
      <c r="I8239" s="24">
        <v>0</v>
      </c>
      <c r="J8239" s="25"/>
      <c r="K8239" s="24">
        <v>0</v>
      </c>
      <c r="L8239" s="22" t="str">
        <f>HYPERLINK("https://otsuka-europe-crm.veevavault.com/ui/#object/approved_document__v/V5O00000001B005", "Lupkynis_Multitarget_IT-LUP-2600003 V1.0 - RHEUMA")</f>
        <v>Lupkynis_Multitarget_IT-LUP-2600003 V1.0 - RHEUMA</v>
      </c>
      <c r="M8239" s="22" t="str">
        <f>HYPERLINK("mailto:linda.ottavo@crm.otsuka-europe.com", "linda.ottavo@crm.otsuka-europe.com")</f>
        <v>linda.ottavo@crm.otsuka-europe.com</v>
      </c>
      <c r="N8239" s="23">
        <v>46183.402013888888</v>
      </c>
      <c r="O8239" s="14" t="str">
        <f>HYPERLINK("https://otsuka-europe-crm.veevavault.com/ui/#object/email_activity__v/V8C00000003S560", "EN-002093999")</f>
        <v>EN-002093999</v>
      </c>
    </row>
    <row r="8240" spans="1:15" ht="16" x14ac:dyDescent="0.2">
      <c r="A8240" s="18"/>
      <c r="B8240" s="18"/>
      <c r="C8240" s="18"/>
      <c r="D8240" s="18"/>
      <c r="E8240" s="18"/>
      <c r="F8240" s="18"/>
      <c r="G8240" s="18"/>
      <c r="H8240" s="18"/>
      <c r="I8240" s="18"/>
      <c r="J8240" s="18"/>
      <c r="K8240" s="18"/>
      <c r="L8240" s="18"/>
      <c r="M8240" s="18"/>
      <c r="N8240" s="18"/>
      <c r="O8240" s="14" t="str">
        <f>HYPERLINK("https://otsuka-europe-crm.veevavault.com/ui/#object/email_activity__v/V8C00000003S590", "EN-002094063")</f>
        <v>EN-002094063</v>
      </c>
    </row>
    <row r="8241" spans="1:15" ht="16" x14ac:dyDescent="0.2">
      <c r="A8241" s="19"/>
      <c r="B8241" s="19"/>
      <c r="C8241" s="19"/>
      <c r="D8241" s="19"/>
      <c r="E8241" s="19"/>
      <c r="F8241" s="19"/>
      <c r="G8241" s="19"/>
      <c r="H8241" s="19"/>
      <c r="I8241" s="19"/>
      <c r="J8241" s="19"/>
      <c r="K8241" s="19"/>
      <c r="L8241" s="19"/>
      <c r="M8241" s="19"/>
      <c r="N8241" s="19"/>
      <c r="O8241" s="14" t="str">
        <f>HYPERLINK("https://otsuka-europe-crm.veevavault.com/ui/#object/email_activity__v/V8C00000003T288", "EN-002094131")</f>
        <v>EN-002094131</v>
      </c>
    </row>
    <row r="8242" spans="1:15" ht="48" x14ac:dyDescent="0.2">
      <c r="A8242" s="7" t="str">
        <f>HYPERLINK("https://otsuka-europe-crm.veevavault.com/ui/#object/account__v/V4TZ025E8339TX1", "ALESSANDRA IDA CELIA")</f>
        <v>ALESSANDRA IDA CELIA</v>
      </c>
      <c r="B8242" s="7" t="str">
        <f>HYPERLINK("https://otsuka-europe-crm.veevavault.com/ui/#object/vcountry__v/VENZ000004SONFQ", "IT")</f>
        <v>IT</v>
      </c>
      <c r="C8242" s="8" t="s">
        <v>44</v>
      </c>
      <c r="D8242" s="9" t="str">
        <f>HYPERLINK("https://otsuka-europe-crm.veevavault.com/ui/#object/approved_document__v/V5O00000001B005", "Lupkynis_Multitarget_IT-LUP-2600003 V1.0 - RHEUMA")</f>
        <v>Lupkynis_Multitarget_IT-LUP-2600003 V1.0 - RHEUMA</v>
      </c>
      <c r="E8242" s="10" t="str">
        <f>HYPERLINK("https://otsuka-europe-crm.veevavault.com/ui/#object/sent_email__v/VBL00000002S688", "SE-001435330")</f>
        <v>SE-001435330</v>
      </c>
      <c r="F8242" s="11"/>
      <c r="G8242" s="12">
        <v>0</v>
      </c>
      <c r="H8242" s="12">
        <v>0</v>
      </c>
      <c r="I8242" s="12">
        <v>0</v>
      </c>
      <c r="J8242" s="11"/>
      <c r="K8242" s="12">
        <v>0</v>
      </c>
      <c r="L8242" s="10" t="str">
        <f>HYPERLINK("https://otsuka-europe-crm.veevavault.com/ui/#object/approved_document__v/V5O00000001B005", "Lupkynis_Multitarget_IT-LUP-2600003 V1.0 - RHEUMA")</f>
        <v>Lupkynis_Multitarget_IT-LUP-2600003 V1.0 - RHEUMA</v>
      </c>
      <c r="M8242" s="10" t="str">
        <f>HYPERLINK("mailto:linda.ottavo@crm.otsuka-europe.com", "linda.ottavo@crm.otsuka-europe.com")</f>
        <v>linda.ottavo@crm.otsuka-europe.com</v>
      </c>
      <c r="N8242" s="13">
        <v>46183.402083333334</v>
      </c>
      <c r="O8242" s="14" t="str">
        <f>HYPERLINK("https://otsuka-europe-crm.veevavault.com/ui/#object/email_activity__v/V8C00000003S561", "EN-002094000")</f>
        <v>EN-002094000</v>
      </c>
    </row>
    <row r="8243" spans="1:15" ht="48" x14ac:dyDescent="0.2">
      <c r="A8243" s="7" t="str">
        <f>HYPERLINK("https://otsuka-europe-crm.veevavault.com/ui/#object/account__v/V4TZ04ASGBCHC80", "MARIA SOLE CHIMENTI")</f>
        <v>MARIA SOLE CHIMENTI</v>
      </c>
      <c r="B8243" s="7" t="str">
        <f>HYPERLINK("https://otsuka-europe-crm.veevavault.com/ui/#object/vcountry__v/VENZ000004SONFQ", "IT")</f>
        <v>IT</v>
      </c>
      <c r="C8243" s="8" t="s">
        <v>44</v>
      </c>
      <c r="D8243" s="9" t="str">
        <f>HYPERLINK("https://otsuka-europe-crm.veevavault.com/ui/#object/approved_document__v/V5O00000001B005", "Lupkynis_Multitarget_IT-LUP-2600003 V1.0 - RHEUMA")</f>
        <v>Lupkynis_Multitarget_IT-LUP-2600003 V1.0 - RHEUMA</v>
      </c>
      <c r="E8243" s="10" t="str">
        <f>HYPERLINK("https://otsuka-europe-crm.veevavault.com/ui/#object/sent_email__v/VBL00000002R614", "SE-001435331")</f>
        <v>SE-001435331</v>
      </c>
      <c r="F8243" s="11"/>
      <c r="G8243" s="12">
        <v>0</v>
      </c>
      <c r="H8243" s="12">
        <v>0</v>
      </c>
      <c r="I8243" s="12">
        <v>0</v>
      </c>
      <c r="J8243" s="11"/>
      <c r="K8243" s="12">
        <v>0</v>
      </c>
      <c r="L8243" s="10" t="str">
        <f>HYPERLINK("https://otsuka-europe-crm.veevavault.com/ui/#object/approved_document__v/V5O00000001B005", "Lupkynis_Multitarget_IT-LUP-2600003 V1.0 - RHEUMA")</f>
        <v>Lupkynis_Multitarget_IT-LUP-2600003 V1.0 - RHEUMA</v>
      </c>
      <c r="M8243" s="10" t="str">
        <f>HYPERLINK("mailto:linda.ottavo@crm.otsuka-europe.com", "linda.ottavo@crm.otsuka-europe.com")</f>
        <v>linda.ottavo@crm.otsuka-europe.com</v>
      </c>
      <c r="N8243" s="13">
        <v>46183.402557870373</v>
      </c>
      <c r="O8243" s="14" t="str">
        <f>HYPERLINK("https://otsuka-europe-crm.veevavault.com/ui/#object/email_activity__v/V8C00000003S564", "EN-002094003")</f>
        <v>EN-002094003</v>
      </c>
    </row>
    <row r="8244" spans="1:15" ht="16" x14ac:dyDescent="0.2">
      <c r="A8244" s="17" t="str">
        <f>HYPERLINK("https://otsuka-europe-crm.veevavault.com/ui/#object/account__v/V4TZ04ASGB4UR16", "FRANCESCO CICCIA")</f>
        <v>FRANCESCO CICCIA</v>
      </c>
      <c r="B8244" s="17" t="str">
        <f>HYPERLINK("https://otsuka-europe-crm.veevavault.com/ui/#object/vcountry__v/VENZ000004SONFQ", "IT")</f>
        <v>IT</v>
      </c>
      <c r="C8244" s="20" t="s">
        <v>44</v>
      </c>
      <c r="D8244" s="21" t="str">
        <f>HYPERLINK("https://otsuka-europe-crm.veevavault.com/ui/#object/approved_document__v/V5O00000001B005", "Lupkynis_Multitarget_IT-LUP-2600003 V1.0 - RHEUMA")</f>
        <v>Lupkynis_Multitarget_IT-LUP-2600003 V1.0 - RHEUMA</v>
      </c>
      <c r="E8244" s="22" t="str">
        <f>HYPERLINK("https://otsuka-europe-crm.veevavault.com/ui/#object/sent_email__v/VBL00000002S689", "SE-001435332")</f>
        <v>SE-001435332</v>
      </c>
      <c r="F8244" s="23">
        <v>46183.439918981479</v>
      </c>
      <c r="G8244" s="24">
        <v>1</v>
      </c>
      <c r="H8244" s="24">
        <v>2</v>
      </c>
      <c r="I8244" s="24">
        <v>0</v>
      </c>
      <c r="J8244" s="25"/>
      <c r="K8244" s="24">
        <v>0</v>
      </c>
      <c r="L8244" s="22" t="str">
        <f>HYPERLINK("https://otsuka-europe-crm.veevavault.com/ui/#object/approved_document__v/V5O00000001B005", "Lupkynis_Multitarget_IT-LUP-2600003 V1.0 - RHEUMA")</f>
        <v>Lupkynis_Multitarget_IT-LUP-2600003 V1.0 - RHEUMA</v>
      </c>
      <c r="M8244" s="22" t="str">
        <f>HYPERLINK("mailto:linda.ottavo@crm.otsuka-europe.com", "linda.ottavo@crm.otsuka-europe.com")</f>
        <v>linda.ottavo@crm.otsuka-europe.com</v>
      </c>
      <c r="N8244" s="23">
        <v>46183.402696759258</v>
      </c>
      <c r="O8244" s="14" t="str">
        <f>HYPERLINK("https://otsuka-europe-crm.veevavault.com/ui/#object/email_activity__v/V8C00000003S563", "EN-002094002")</f>
        <v>EN-002094002</v>
      </c>
    </row>
    <row r="8245" spans="1:15" ht="16" x14ac:dyDescent="0.2">
      <c r="A8245" s="18"/>
      <c r="B8245" s="18"/>
      <c r="C8245" s="18"/>
      <c r="D8245" s="18"/>
      <c r="E8245" s="18"/>
      <c r="F8245" s="18"/>
      <c r="G8245" s="18"/>
      <c r="H8245" s="18"/>
      <c r="I8245" s="18"/>
      <c r="J8245" s="18"/>
      <c r="K8245" s="18"/>
      <c r="L8245" s="18"/>
      <c r="M8245" s="18"/>
      <c r="N8245" s="18"/>
      <c r="O8245" s="14" t="str">
        <f>HYPERLINK("https://otsuka-europe-crm.veevavault.com/ui/#object/email_activity__v/V8C00000003T296", "EN-002094145")</f>
        <v>EN-002094145</v>
      </c>
    </row>
    <row r="8246" spans="1:15" ht="16" x14ac:dyDescent="0.2">
      <c r="A8246" s="19"/>
      <c r="B8246" s="19"/>
      <c r="C8246" s="19"/>
      <c r="D8246" s="19"/>
      <c r="E8246" s="19"/>
      <c r="F8246" s="19"/>
      <c r="G8246" s="19"/>
      <c r="H8246" s="19"/>
      <c r="I8246" s="19"/>
      <c r="J8246" s="19"/>
      <c r="K8246" s="19"/>
      <c r="L8246" s="19"/>
      <c r="M8246" s="19"/>
      <c r="N8246" s="19"/>
      <c r="O8246" s="14" t="str">
        <f>HYPERLINK("https://otsuka-europe-crm.veevavault.com/ui/#object/email_activity__v/V8C00000003T297", "EN-002094146")</f>
        <v>EN-002094146</v>
      </c>
    </row>
    <row r="8247" spans="1:15" ht="48" x14ac:dyDescent="0.2">
      <c r="A8247" s="7" t="str">
        <f>HYPERLINK("https://otsuka-europe-crm.veevavault.com/ui/#object/account__v/V4TZ025E82RDH8O", "MICHELE CIMMINO")</f>
        <v>MICHELE CIMMINO</v>
      </c>
      <c r="B8247" s="7" t="str">
        <f>HYPERLINK("https://otsuka-europe-crm.veevavault.com/ui/#object/vcountry__v/VENZ000004SONFQ", "IT")</f>
        <v>IT</v>
      </c>
      <c r="C8247" s="8" t="s">
        <v>44</v>
      </c>
      <c r="D8247" s="9" t="str">
        <f>HYPERLINK("https://otsuka-europe-crm.veevavault.com/ui/#object/approved_document__v/V5O00000001B005", "Lupkynis_Multitarget_IT-LUP-2600003 V1.0 - RHEUMA")</f>
        <v>Lupkynis_Multitarget_IT-LUP-2600003 V1.0 - RHEUMA</v>
      </c>
      <c r="E8247" s="10" t="str">
        <f>HYPERLINK("https://otsuka-europe-crm.veevavault.com/ui/#object/sent_email__v/VBL00000002S690", "SE-001435333")</f>
        <v>SE-001435333</v>
      </c>
      <c r="F8247" s="11"/>
      <c r="G8247" s="12">
        <v>0</v>
      </c>
      <c r="H8247" s="12">
        <v>0</v>
      </c>
      <c r="I8247" s="12">
        <v>0</v>
      </c>
      <c r="J8247" s="11"/>
      <c r="K8247" s="12">
        <v>0</v>
      </c>
      <c r="L8247" s="10" t="str">
        <f>HYPERLINK("https://otsuka-europe-crm.veevavault.com/ui/#object/approved_document__v/V5O00000001B005", "Lupkynis_Multitarget_IT-LUP-2600003 V1.0 - RHEUMA")</f>
        <v>Lupkynis_Multitarget_IT-LUP-2600003 V1.0 - RHEUMA</v>
      </c>
      <c r="M8247" s="10" t="str">
        <f>HYPERLINK("mailto:linda.ottavo@crm.otsuka-europe.com", "linda.ottavo@crm.otsuka-europe.com")</f>
        <v>linda.ottavo@crm.otsuka-europe.com</v>
      </c>
      <c r="N8247" s="13">
        <v>46183.402881944443</v>
      </c>
      <c r="O8247" s="14" t="str">
        <f>HYPERLINK("https://otsuka-europe-crm.veevavault.com/ui/#object/email_activity__v/V8C00000003S565", "EN-002094004")</f>
        <v>EN-002094004</v>
      </c>
    </row>
    <row r="8248" spans="1:15" ht="48" x14ac:dyDescent="0.2">
      <c r="A8248" s="7" t="str">
        <f>HYPERLINK("https://otsuka-europe-crm.veevavault.com/ui/#object/account__v/V4TZ025E83VZ1ZD", "PAOLA CONIGLIARO")</f>
        <v>PAOLA CONIGLIARO</v>
      </c>
      <c r="B8248" s="7" t="str">
        <f>HYPERLINK("https://otsuka-europe-crm.veevavault.com/ui/#object/vcountry__v/VENZ000004SONFQ", "IT")</f>
        <v>IT</v>
      </c>
      <c r="C8248" s="8" t="s">
        <v>44</v>
      </c>
      <c r="D8248" s="9" t="str">
        <f>HYPERLINK("https://otsuka-europe-crm.veevavault.com/ui/#object/approved_document__v/V5O00000001B005", "Lupkynis_Multitarget_IT-LUP-2600003 V1.0 - RHEUMA")</f>
        <v>Lupkynis_Multitarget_IT-LUP-2600003 V1.0 - RHEUMA</v>
      </c>
      <c r="E8248" s="10" t="str">
        <f>HYPERLINK("https://otsuka-europe-crm.veevavault.com/ui/#object/sent_email__v/VBL00000002S691", "SE-001435334")</f>
        <v>SE-001435334</v>
      </c>
      <c r="F8248" s="11"/>
      <c r="G8248" s="12">
        <v>0</v>
      </c>
      <c r="H8248" s="12">
        <v>0</v>
      </c>
      <c r="I8248" s="12">
        <v>0</v>
      </c>
      <c r="J8248" s="11"/>
      <c r="K8248" s="12">
        <v>0</v>
      </c>
      <c r="L8248" s="10" t="str">
        <f>HYPERLINK("https://otsuka-europe-crm.veevavault.com/ui/#object/approved_document__v/V5O00000001B005", "Lupkynis_Multitarget_IT-LUP-2600003 V1.0 - RHEUMA")</f>
        <v>Lupkynis_Multitarget_IT-LUP-2600003 V1.0 - RHEUMA</v>
      </c>
      <c r="M8248" s="10" t="str">
        <f>HYPERLINK("mailto:linda.ottavo@crm.otsuka-europe.com", "linda.ottavo@crm.otsuka-europe.com")</f>
        <v>linda.ottavo@crm.otsuka-europe.com</v>
      </c>
      <c r="N8248" s="13">
        <v>46183.403101851851</v>
      </c>
      <c r="O8248" s="14" t="str">
        <f>HYPERLINK("https://otsuka-europe-crm.veevavault.com/ui/#object/email_activity__v/V8C00000003S568", "EN-002094007")</f>
        <v>EN-002094007</v>
      </c>
    </row>
    <row r="8249" spans="1:15" ht="16" x14ac:dyDescent="0.2">
      <c r="A8249" s="17" t="str">
        <f>HYPERLINK("https://otsuka-europe-crm.veevavault.com/ui/#object/account__v/V4TZ04ASG7A4WW3", "FABRIZIO CONTI")</f>
        <v>FABRIZIO CONTI</v>
      </c>
      <c r="B8249" s="17" t="str">
        <f>HYPERLINK("https://otsuka-europe-crm.veevavault.com/ui/#object/vcountry__v/VENZ000004SONFQ", "IT")</f>
        <v>IT</v>
      </c>
      <c r="C8249" s="20" t="s">
        <v>44</v>
      </c>
      <c r="D8249" s="21" t="str">
        <f>HYPERLINK("https://otsuka-europe-crm.veevavault.com/ui/#object/approved_document__v/V5O00000001B005", "Lupkynis_Multitarget_IT-LUP-2600003 V1.0 - RHEUMA")</f>
        <v>Lupkynis_Multitarget_IT-LUP-2600003 V1.0 - RHEUMA</v>
      </c>
      <c r="E8249" s="22" t="str">
        <f>HYPERLINK("https://otsuka-europe-crm.veevavault.com/ui/#object/sent_email__v/VBL00000002S692", "SE-001435335")</f>
        <v>SE-001435335</v>
      </c>
      <c r="F8249" s="23">
        <v>46183.454027777778</v>
      </c>
      <c r="G8249" s="24">
        <v>1</v>
      </c>
      <c r="H8249" s="24">
        <v>1</v>
      </c>
      <c r="I8249" s="24">
        <v>0</v>
      </c>
      <c r="J8249" s="25"/>
      <c r="K8249" s="24">
        <v>0</v>
      </c>
      <c r="L8249" s="22" t="str">
        <f>HYPERLINK("https://otsuka-europe-crm.veevavault.com/ui/#object/approved_document__v/V5O00000001B005", "Lupkynis_Multitarget_IT-LUP-2600003 V1.0 - RHEUMA")</f>
        <v>Lupkynis_Multitarget_IT-LUP-2600003 V1.0 - RHEUMA</v>
      </c>
      <c r="M8249" s="22" t="str">
        <f>HYPERLINK("mailto:linda.ottavo@crm.otsuka-europe.com", "linda.ottavo@crm.otsuka-europe.com")</f>
        <v>linda.ottavo@crm.otsuka-europe.com</v>
      </c>
      <c r="N8249" s="23">
        <v>46183.40320601852</v>
      </c>
      <c r="O8249" s="14" t="str">
        <f>HYPERLINK("https://otsuka-europe-crm.veevavault.com/ui/#object/email_activity__v/V8C00000003S569", "EN-002094008")</f>
        <v>EN-002094008</v>
      </c>
    </row>
    <row r="8250" spans="1:15" ht="16" x14ac:dyDescent="0.2">
      <c r="A8250" s="19"/>
      <c r="B8250" s="19"/>
      <c r="C8250" s="19"/>
      <c r="D8250" s="19"/>
      <c r="E8250" s="19"/>
      <c r="F8250" s="19"/>
      <c r="G8250" s="19"/>
      <c r="H8250" s="19"/>
      <c r="I8250" s="19"/>
      <c r="J8250" s="19"/>
      <c r="K8250" s="19"/>
      <c r="L8250" s="19"/>
      <c r="M8250" s="19"/>
      <c r="N8250" s="19"/>
      <c r="O8250" s="14" t="str">
        <f>HYPERLINK("https://otsuka-europe-crm.veevavault.com/ui/#object/email_activity__v/V8C00000003S627", "EN-002094163")</f>
        <v>EN-002094163</v>
      </c>
    </row>
    <row r="8251" spans="1:15" ht="48" x14ac:dyDescent="0.2">
      <c r="A8251" s="7" t="str">
        <f>HYPERLINK("https://otsuka-europe-crm.veevavault.com/ui/#object/account__v/V4TZ025E82TRHMC", "CLAUDIA COPPOLA")</f>
        <v>CLAUDIA COPPOLA</v>
      </c>
      <c r="B8251" s="7" t="str">
        <f>HYPERLINK("https://otsuka-europe-crm.veevavault.com/ui/#object/vcountry__v/VENZ000004SONFQ", "IT")</f>
        <v>IT</v>
      </c>
      <c r="C8251" s="8" t="s">
        <v>44</v>
      </c>
      <c r="D8251" s="9" t="str">
        <f>HYPERLINK("https://otsuka-europe-crm.veevavault.com/ui/#object/approved_document__v/V5O00000001B008", "Lupkynis_Multitarget_IT-LUP-2600003 V1.0 - NEPHRO")</f>
        <v>Lupkynis_Multitarget_IT-LUP-2600003 V1.0 - NEPHRO</v>
      </c>
      <c r="E8251" s="10" t="str">
        <f>HYPERLINK("https://otsuka-europe-crm.veevavault.com/ui/#object/sent_email__v/VBL00000002S693", "SE-001435336")</f>
        <v>SE-001435336</v>
      </c>
      <c r="F8251" s="11"/>
      <c r="G8251" s="12">
        <v>0</v>
      </c>
      <c r="H8251" s="12">
        <v>0</v>
      </c>
      <c r="I8251" s="12">
        <v>0</v>
      </c>
      <c r="J8251" s="11"/>
      <c r="K8251" s="12">
        <v>0</v>
      </c>
      <c r="L8251" s="10" t="str">
        <f>HYPERLINK("https://otsuka-europe-crm.veevavault.com/ui/#object/approved_document__v/V5O00000001B008", "Lupkynis_Multitarget_IT-LUP-2600003 V1.0 - NEPHRO")</f>
        <v>Lupkynis_Multitarget_IT-LUP-2600003 V1.0 - NEPHRO</v>
      </c>
      <c r="M8251" s="10" t="str">
        <f>HYPERLINK("mailto:linda.ottavo@crm.otsuka-europe.com", "linda.ottavo@crm.otsuka-europe.com")</f>
        <v>linda.ottavo@crm.otsuka-europe.com</v>
      </c>
      <c r="N8251" s="13">
        <v>46183.403483796297</v>
      </c>
      <c r="O8251" s="14" t="str">
        <f>HYPERLINK("https://otsuka-europe-crm.veevavault.com/ui/#object/email_activity__v/V8C00000003S570", "EN-002094009")</f>
        <v>EN-002094009</v>
      </c>
    </row>
    <row r="8252" spans="1:15" ht="32" x14ac:dyDescent="0.2">
      <c r="A8252" s="7" t="str">
        <f>HYPERLINK("https://otsuka-europe-crm.veevavault.com/ui/#object/account__v/V4TZ0000062PL07", "Olugbenga Adewumi")</f>
        <v>Olugbenga Adewumi</v>
      </c>
      <c r="B8252" s="7" t="str">
        <f>HYPERLINK("https://otsuka-europe-crm.veevavault.com/ui/#object/vcountry__v/VENZ000004SONFK", "GB")</f>
        <v>GB</v>
      </c>
      <c r="C8252" s="8" t="s">
        <v>39</v>
      </c>
      <c r="D8252" s="9" t="str">
        <f>HYPERLINK("https://otsuka-europe-crm.veevavault.com/ui/#object/approved_document__v/V5O00000001H005", "LDM DR P2P Invite 23-Jun-26 [digital]")</f>
        <v>LDM DR P2P Invite 23-Jun-26 [digital]</v>
      </c>
      <c r="E8252" s="10" t="str">
        <f>HYPERLINK("https://otsuka-europe-crm.veevavault.com/ui/#object/sent_email__v/VBL00000002S694", "SE-001435337")</f>
        <v>SE-001435337</v>
      </c>
      <c r="F8252" s="11"/>
      <c r="G8252" s="12">
        <v>0</v>
      </c>
      <c r="H8252" s="12">
        <v>0</v>
      </c>
      <c r="I8252" s="12">
        <v>0</v>
      </c>
      <c r="J8252" s="11"/>
      <c r="K8252" s="12">
        <v>0</v>
      </c>
      <c r="L8252" s="10" t="str">
        <f>HYPERLINK("https://otsuka-europe-crm.veevavault.com/ui/#object/approved_document__v/V5O00000001H005", "LDM DR P2P Invite 23-Jun-26 [digital]")</f>
        <v>LDM DR P2P Invite 23-Jun-26 [digital]</v>
      </c>
      <c r="M8252" s="10" t="str">
        <f>HYPERLINK("mailto:draval@crm.otsuka-europe.com", "draval@crm.otsuka-europe.com")</f>
        <v>draval@crm.otsuka-europe.com</v>
      </c>
      <c r="N8252" s="13">
        <v>46183.403506944444</v>
      </c>
      <c r="O8252" s="14" t="str">
        <f>HYPERLINK("https://otsuka-europe-crm.veevavault.com/ui/#object/email_activity__v/V8C00000003S571", "EN-002094010")</f>
        <v>EN-002094010</v>
      </c>
    </row>
    <row r="8253" spans="1:15" ht="48" x14ac:dyDescent="0.2">
      <c r="A8253" s="7" t="str">
        <f>HYPERLINK("https://otsuka-europe-crm.veevavault.com/ui/#object/account__v/V4TZ04ASGBJU6PN", "MELANIA ALESSIA COSCIA")</f>
        <v>MELANIA ALESSIA COSCIA</v>
      </c>
      <c r="B8253" s="7" t="str">
        <f t="shared" ref="B8253:B8258" si="660">HYPERLINK("https://otsuka-europe-crm.veevavault.com/ui/#object/vcountry__v/VENZ000004SONFQ", "IT")</f>
        <v>IT</v>
      </c>
      <c r="C8253" s="8" t="s">
        <v>44</v>
      </c>
      <c r="D8253" s="9" t="str">
        <f>HYPERLINK("https://otsuka-europe-crm.veevavault.com/ui/#object/approved_document__v/V5O00000001B005", "Lupkynis_Multitarget_IT-LUP-2600003 V1.0 - RHEUMA")</f>
        <v>Lupkynis_Multitarget_IT-LUP-2600003 V1.0 - RHEUMA</v>
      </c>
      <c r="E8253" s="10" t="str">
        <f>HYPERLINK("https://otsuka-europe-crm.veevavault.com/ui/#object/sent_email__v/VBL00000002R615", "SE-001435338")</f>
        <v>SE-001435338</v>
      </c>
      <c r="F8253" s="11"/>
      <c r="G8253" s="12">
        <v>0</v>
      </c>
      <c r="H8253" s="12">
        <v>0</v>
      </c>
      <c r="I8253" s="12">
        <v>0</v>
      </c>
      <c r="J8253" s="11"/>
      <c r="K8253" s="12">
        <v>0</v>
      </c>
      <c r="L8253" s="10" t="str">
        <f>HYPERLINK("https://otsuka-europe-crm.veevavault.com/ui/#object/approved_document__v/V5O00000001B005", "Lupkynis_Multitarget_IT-LUP-2600003 V1.0 - RHEUMA")</f>
        <v>Lupkynis_Multitarget_IT-LUP-2600003 V1.0 - RHEUMA</v>
      </c>
      <c r="M8253" s="10" t="str">
        <f t="shared" ref="M8253:M8258" si="661">HYPERLINK("mailto:linda.ottavo@crm.otsuka-europe.com", "linda.ottavo@crm.otsuka-europe.com")</f>
        <v>linda.ottavo@crm.otsuka-europe.com</v>
      </c>
      <c r="N8253" s="13">
        <v>46183.405856481484</v>
      </c>
      <c r="O8253" s="14" t="str">
        <f>HYPERLINK("https://otsuka-europe-crm.veevavault.com/ui/#object/email_activity__v/V8C00000003S573", "EN-002094013")</f>
        <v>EN-002094013</v>
      </c>
    </row>
    <row r="8254" spans="1:15" ht="48" x14ac:dyDescent="0.2">
      <c r="A8254" s="7" t="str">
        <f>HYPERLINK("https://otsuka-europe-crm.veevavault.com/ui/#object/account__v/V4TZ04ASGB4OGK1", "GIOVANNA CUOMO")</f>
        <v>GIOVANNA CUOMO</v>
      </c>
      <c r="B8254" s="7" t="str">
        <f t="shared" si="660"/>
        <v>IT</v>
      </c>
      <c r="C8254" s="8" t="s">
        <v>44</v>
      </c>
      <c r="D8254" s="9" t="str">
        <f>HYPERLINK("https://otsuka-europe-crm.veevavault.com/ui/#object/approved_document__v/V5O00000001B005", "Lupkynis_Multitarget_IT-LUP-2600003 V1.0 - RHEUMA")</f>
        <v>Lupkynis_Multitarget_IT-LUP-2600003 V1.0 - RHEUMA</v>
      </c>
      <c r="E8254" s="10" t="str">
        <f>HYPERLINK("https://otsuka-europe-crm.veevavault.com/ui/#object/sent_email__v/VBL00000002R616", "SE-001435339")</f>
        <v>SE-001435339</v>
      </c>
      <c r="F8254" s="11"/>
      <c r="G8254" s="12">
        <v>0</v>
      </c>
      <c r="H8254" s="12">
        <v>0</v>
      </c>
      <c r="I8254" s="12">
        <v>0</v>
      </c>
      <c r="J8254" s="11"/>
      <c r="K8254" s="12">
        <v>0</v>
      </c>
      <c r="L8254" s="10" t="str">
        <f>HYPERLINK("https://otsuka-europe-crm.veevavault.com/ui/#object/approved_document__v/V5O00000001B005", "Lupkynis_Multitarget_IT-LUP-2600003 V1.0 - RHEUMA")</f>
        <v>Lupkynis_Multitarget_IT-LUP-2600003 V1.0 - RHEUMA</v>
      </c>
      <c r="M8254" s="10" t="str">
        <f t="shared" si="661"/>
        <v>linda.ottavo@crm.otsuka-europe.com</v>
      </c>
      <c r="N8254" s="13">
        <v>46183.405856481484</v>
      </c>
      <c r="O8254" s="14" t="str">
        <f>HYPERLINK("https://otsuka-europe-crm.veevavault.com/ui/#object/email_activity__v/V8C00000003S574", "EN-002094014")</f>
        <v>EN-002094014</v>
      </c>
    </row>
    <row r="8255" spans="1:15" ht="48" x14ac:dyDescent="0.2">
      <c r="A8255" s="7" t="str">
        <f>HYPERLINK("https://otsuka-europe-crm.veevavault.com/ui/#object/account__v/V4TZ04ASGAVE84N", "MARIA ANTONIETTA D'AGOSTINO")</f>
        <v>MARIA ANTONIETTA D'AGOSTINO</v>
      </c>
      <c r="B8255" s="7" t="str">
        <f t="shared" si="660"/>
        <v>IT</v>
      </c>
      <c r="C8255" s="8" t="s">
        <v>44</v>
      </c>
      <c r="D8255" s="9" t="str">
        <f>HYPERLINK("https://otsuka-europe-crm.veevavault.com/ui/#object/approved_document__v/V5O00000001B005", "Lupkynis_Multitarget_IT-LUP-2600003 V1.0 - RHEUMA")</f>
        <v>Lupkynis_Multitarget_IT-LUP-2600003 V1.0 - RHEUMA</v>
      </c>
      <c r="E8255" s="10" t="str">
        <f>HYPERLINK("https://otsuka-europe-crm.veevavault.com/ui/#object/sent_email__v/VBL00000002R617", "SE-001435340")</f>
        <v>SE-001435340</v>
      </c>
      <c r="F8255" s="11"/>
      <c r="G8255" s="12">
        <v>0</v>
      </c>
      <c r="H8255" s="12">
        <v>0</v>
      </c>
      <c r="I8255" s="12">
        <v>0</v>
      </c>
      <c r="J8255" s="11"/>
      <c r="K8255" s="12">
        <v>0</v>
      </c>
      <c r="L8255" s="10" t="str">
        <f>HYPERLINK("https://otsuka-europe-crm.veevavault.com/ui/#object/approved_document__v/V5O00000001B005", "Lupkynis_Multitarget_IT-LUP-2600003 V1.0 - RHEUMA")</f>
        <v>Lupkynis_Multitarget_IT-LUP-2600003 V1.0 - RHEUMA</v>
      </c>
      <c r="M8255" s="10" t="str">
        <f t="shared" si="661"/>
        <v>linda.ottavo@crm.otsuka-europe.com</v>
      </c>
      <c r="N8255" s="13">
        <v>46183.4059375</v>
      </c>
      <c r="O8255" s="14" t="str">
        <f>HYPERLINK("https://otsuka-europe-crm.veevavault.com/ui/#object/email_activity__v/V8C00000003S575", "EN-002094015")</f>
        <v>EN-002094015</v>
      </c>
    </row>
    <row r="8256" spans="1:15" ht="48" x14ac:dyDescent="0.2">
      <c r="A8256" s="7" t="str">
        <f>HYPERLINK("https://otsuka-europe-crm.veevavault.com/ui/#object/account__v/V4TZ06G6O71S9H5", "PIERLUIGI D'ANGIO'")</f>
        <v>PIERLUIGI D'ANGIO'</v>
      </c>
      <c r="B8256" s="7" t="str">
        <f t="shared" si="660"/>
        <v>IT</v>
      </c>
      <c r="C8256" s="8" t="s">
        <v>44</v>
      </c>
      <c r="D8256" s="9" t="str">
        <f>HYPERLINK("https://otsuka-europe-crm.veevavault.com/ui/#object/approved_document__v/V5O00000001B008", "Lupkynis_Multitarget_IT-LUP-2600003 V1.0 - NEPHRO")</f>
        <v>Lupkynis_Multitarget_IT-LUP-2600003 V1.0 - NEPHRO</v>
      </c>
      <c r="E8256" s="10" t="str">
        <f>HYPERLINK("https://otsuka-europe-crm.veevavault.com/ui/#object/sent_email__v/VBL00000002S695", "SE-001435341")</f>
        <v>SE-001435341</v>
      </c>
      <c r="F8256" s="11"/>
      <c r="G8256" s="12">
        <v>0</v>
      </c>
      <c r="H8256" s="12">
        <v>0</v>
      </c>
      <c r="I8256" s="12">
        <v>0</v>
      </c>
      <c r="J8256" s="11"/>
      <c r="K8256" s="12">
        <v>0</v>
      </c>
      <c r="L8256" s="10" t="str">
        <f>HYPERLINK("https://otsuka-europe-crm.veevavault.com/ui/#object/approved_document__v/V5O00000001B008", "Lupkynis_Multitarget_IT-LUP-2600003 V1.0 - NEPHRO")</f>
        <v>Lupkynis_Multitarget_IT-LUP-2600003 V1.0 - NEPHRO</v>
      </c>
      <c r="M8256" s="10" t="str">
        <f t="shared" si="661"/>
        <v>linda.ottavo@crm.otsuka-europe.com</v>
      </c>
      <c r="N8256" s="13">
        <v>46183.406030092592</v>
      </c>
      <c r="O8256" s="14" t="str">
        <f>HYPERLINK("https://otsuka-europe-crm.veevavault.com/ui/#object/email_activity__v/V8C00000003S576", "EN-002094016")</f>
        <v>EN-002094016</v>
      </c>
    </row>
    <row r="8257" spans="1:15" ht="48" x14ac:dyDescent="0.2">
      <c r="A8257" s="7" t="str">
        <f>HYPERLINK("https://otsuka-europe-crm.veevavault.com/ui/#object/account__v/V4TZ04ASGB4UYHC", "GABRIELE D'URSO")</f>
        <v>GABRIELE D'URSO</v>
      </c>
      <c r="B8257" s="7" t="str">
        <f t="shared" si="660"/>
        <v>IT</v>
      </c>
      <c r="C8257" s="8" t="s">
        <v>44</v>
      </c>
      <c r="D8257" s="9" t="str">
        <f>HYPERLINK("https://otsuka-europe-crm.veevavault.com/ui/#object/approved_document__v/V5O00000001B008", "Lupkynis_Multitarget_IT-LUP-2600003 V1.0 - NEPHRO")</f>
        <v>Lupkynis_Multitarget_IT-LUP-2600003 V1.0 - NEPHRO</v>
      </c>
      <c r="E8257" s="10" t="str">
        <f>HYPERLINK("https://otsuka-europe-crm.veevavault.com/ui/#object/sent_email__v/VBL00000002R618", "SE-001435342")</f>
        <v>SE-001435342</v>
      </c>
      <c r="F8257" s="11"/>
      <c r="G8257" s="12">
        <v>0</v>
      </c>
      <c r="H8257" s="12">
        <v>0</v>
      </c>
      <c r="I8257" s="12">
        <v>0</v>
      </c>
      <c r="J8257" s="11"/>
      <c r="K8257" s="12">
        <v>0</v>
      </c>
      <c r="L8257" s="10" t="str">
        <f>HYPERLINK("https://otsuka-europe-crm.veevavault.com/ui/#object/approved_document__v/V5O00000001B008", "Lupkynis_Multitarget_IT-LUP-2600003 V1.0 - NEPHRO")</f>
        <v>Lupkynis_Multitarget_IT-LUP-2600003 V1.0 - NEPHRO</v>
      </c>
      <c r="M8257" s="10" t="str">
        <f t="shared" si="661"/>
        <v>linda.ottavo@crm.otsuka-europe.com</v>
      </c>
      <c r="N8257" s="13">
        <v>46183.406354166669</v>
      </c>
      <c r="O8257" s="14" t="str">
        <f>HYPERLINK("https://otsuka-europe-crm.veevavault.com/ui/#object/email_activity__v/V8C00000003T206", "EN-002094017")</f>
        <v>EN-002094017</v>
      </c>
    </row>
    <row r="8258" spans="1:15" ht="16" x14ac:dyDescent="0.2">
      <c r="A8258" s="17" t="str">
        <f>HYPERLINK("https://otsuka-europe-crm.veevavault.com/ui/#object/account__v/V4TZ04ASGBCHCBW", "LUIGI DE MARCO")</f>
        <v>LUIGI DE MARCO</v>
      </c>
      <c r="B8258" s="17" t="str">
        <f t="shared" si="660"/>
        <v>IT</v>
      </c>
      <c r="C8258" s="20" t="s">
        <v>44</v>
      </c>
      <c r="D8258" s="21" t="str">
        <f>HYPERLINK("https://otsuka-europe-crm.veevavault.com/ui/#object/approved_document__v/V5O00000001B005", "Lupkynis_Multitarget_IT-LUP-2600003 V1.0 - RHEUMA")</f>
        <v>Lupkynis_Multitarget_IT-LUP-2600003 V1.0 - RHEUMA</v>
      </c>
      <c r="E8258" s="22" t="str">
        <f>HYPERLINK("https://otsuka-europe-crm.veevavault.com/ui/#object/sent_email__v/VBL00000002R619", "SE-001435343")</f>
        <v>SE-001435343</v>
      </c>
      <c r="F8258" s="23">
        <v>46183.414270833331</v>
      </c>
      <c r="G8258" s="24">
        <v>1</v>
      </c>
      <c r="H8258" s="24">
        <v>1</v>
      </c>
      <c r="I8258" s="24">
        <v>0</v>
      </c>
      <c r="J8258" s="25"/>
      <c r="K8258" s="24">
        <v>0</v>
      </c>
      <c r="L8258" s="22" t="str">
        <f>HYPERLINK("https://otsuka-europe-crm.veevavault.com/ui/#object/approved_document__v/V5O00000001B005", "Lupkynis_Multitarget_IT-LUP-2600003 V1.0 - RHEUMA")</f>
        <v>Lupkynis_Multitarget_IT-LUP-2600003 V1.0 - RHEUMA</v>
      </c>
      <c r="M8258" s="22" t="str">
        <f t="shared" si="661"/>
        <v>linda.ottavo@crm.otsuka-europe.com</v>
      </c>
      <c r="N8258" s="23">
        <v>46183.406701388885</v>
      </c>
      <c r="O8258" s="14" t="str">
        <f>HYPERLINK("https://otsuka-europe-crm.veevavault.com/ui/#object/email_activity__v/V8C00000003S591", "EN-002094064")</f>
        <v>EN-002094064</v>
      </c>
    </row>
    <row r="8259" spans="1:15" ht="16" x14ac:dyDescent="0.2">
      <c r="A8259" s="19"/>
      <c r="B8259" s="19"/>
      <c r="C8259" s="19"/>
      <c r="D8259" s="19"/>
      <c r="E8259" s="19"/>
      <c r="F8259" s="19"/>
      <c r="G8259" s="19"/>
      <c r="H8259" s="19"/>
      <c r="I8259" s="19"/>
      <c r="J8259" s="19"/>
      <c r="K8259" s="19"/>
      <c r="L8259" s="19"/>
      <c r="M8259" s="19"/>
      <c r="N8259" s="19"/>
      <c r="O8259" s="14" t="str">
        <f>HYPERLINK("https://otsuka-europe-crm.veevavault.com/ui/#object/email_activity__v/V8C00000003T208", "EN-002094019")</f>
        <v>EN-002094019</v>
      </c>
    </row>
    <row r="8260" spans="1:15" ht="48" x14ac:dyDescent="0.2">
      <c r="A8260" s="7" t="str">
        <f>HYPERLINK("https://otsuka-europe-crm.veevavault.com/ui/#object/account__v/V4TZ06G6O71SABQ", "LUCA DE NICOLA")</f>
        <v>LUCA DE NICOLA</v>
      </c>
      <c r="B8260" s="7" t="str">
        <f>HYPERLINK("https://otsuka-europe-crm.veevavault.com/ui/#object/vcountry__v/VENZ000004SONFQ", "IT")</f>
        <v>IT</v>
      </c>
      <c r="C8260" s="8" t="s">
        <v>44</v>
      </c>
      <c r="D8260" s="9" t="str">
        <f>HYPERLINK("https://otsuka-europe-crm.veevavault.com/ui/#object/approved_document__v/V5O00000001B008", "Lupkynis_Multitarget_IT-LUP-2600003 V1.0 - NEPHRO")</f>
        <v>Lupkynis_Multitarget_IT-LUP-2600003 V1.0 - NEPHRO</v>
      </c>
      <c r="E8260" s="10" t="str">
        <f>HYPERLINK("https://otsuka-europe-crm.veevavault.com/ui/#object/sent_email__v/VBL00000002R620", "SE-001435344")</f>
        <v>SE-001435344</v>
      </c>
      <c r="F8260" s="11"/>
      <c r="G8260" s="12">
        <v>0</v>
      </c>
      <c r="H8260" s="12">
        <v>0</v>
      </c>
      <c r="I8260" s="12">
        <v>0</v>
      </c>
      <c r="J8260" s="11"/>
      <c r="K8260" s="12">
        <v>0</v>
      </c>
      <c r="L8260" s="10" t="str">
        <f>HYPERLINK("https://otsuka-europe-crm.veevavault.com/ui/#object/approved_document__v/V5O00000001B008", "Lupkynis_Multitarget_IT-LUP-2600003 V1.0 - NEPHRO")</f>
        <v>Lupkynis_Multitarget_IT-LUP-2600003 V1.0 - NEPHRO</v>
      </c>
      <c r="M8260" s="10" t="str">
        <f>HYPERLINK("mailto:linda.ottavo@crm.otsuka-europe.com", "linda.ottavo@crm.otsuka-europe.com")</f>
        <v>linda.ottavo@crm.otsuka-europe.com</v>
      </c>
      <c r="N8260" s="13">
        <v>46183.406793981485</v>
      </c>
      <c r="O8260" s="14" t="str">
        <f>HYPERLINK("https://otsuka-europe-crm.veevavault.com/ui/#object/email_activity__v/V8C00000003T207", "EN-002094018")</f>
        <v>EN-002094018</v>
      </c>
    </row>
    <row r="8261" spans="1:15" ht="16" x14ac:dyDescent="0.2">
      <c r="A8261" s="17" t="str">
        <f>HYPERLINK("https://otsuka-europe-crm.veevavault.com/ui/#object/account__v/V4TZ06G6O71SABU", "PAOLO DE PAOLIS")</f>
        <v>PAOLO DE PAOLIS</v>
      </c>
      <c r="B8261" s="17" t="str">
        <f>HYPERLINK("https://otsuka-europe-crm.veevavault.com/ui/#object/vcountry__v/VENZ000004SONFQ", "IT")</f>
        <v>IT</v>
      </c>
      <c r="C8261" s="20" t="s">
        <v>44</v>
      </c>
      <c r="D8261" s="21" t="str">
        <f>HYPERLINK("https://otsuka-europe-crm.veevavault.com/ui/#object/approved_document__v/V5O00000001B008", "Lupkynis_Multitarget_IT-LUP-2600003 V1.0 - NEPHRO")</f>
        <v>Lupkynis_Multitarget_IT-LUP-2600003 V1.0 - NEPHRO</v>
      </c>
      <c r="E8261" s="22" t="str">
        <f>HYPERLINK("https://otsuka-europe-crm.veevavault.com/ui/#object/sent_email__v/VBL00000002R621", "SE-001435345")</f>
        <v>SE-001435345</v>
      </c>
      <c r="F8261" s="25"/>
      <c r="G8261" s="24">
        <v>0</v>
      </c>
      <c r="H8261" s="24">
        <v>0</v>
      </c>
      <c r="I8261" s="24">
        <v>0</v>
      </c>
      <c r="J8261" s="25"/>
      <c r="K8261" s="24">
        <v>0</v>
      </c>
      <c r="L8261" s="22" t="str">
        <f>HYPERLINK("https://otsuka-europe-crm.veevavault.com/ui/#object/approved_document__v/V5O00000001B008", "Lupkynis_Multitarget_IT-LUP-2600003 V1.0 - NEPHRO")</f>
        <v>Lupkynis_Multitarget_IT-LUP-2600003 V1.0 - NEPHRO</v>
      </c>
      <c r="M8261" s="22" t="str">
        <f>HYPERLINK("mailto:linda.ottavo@crm.otsuka-europe.com", "linda.ottavo@crm.otsuka-europe.com")</f>
        <v>linda.ottavo@crm.otsuka-europe.com</v>
      </c>
      <c r="N8261" s="23">
        <v>46183.406909722224</v>
      </c>
      <c r="O8261" s="14" t="str">
        <f>HYPERLINK("https://otsuka-europe-crm.veevavault.com/ui/#object/email_activity__v/V8C00000003T209", "EN-002094020")</f>
        <v>EN-002094020</v>
      </c>
    </row>
    <row r="8262" spans="1:15" ht="16" x14ac:dyDescent="0.2">
      <c r="A8262" s="19"/>
      <c r="B8262" s="19"/>
      <c r="C8262" s="19"/>
      <c r="D8262" s="19"/>
      <c r="E8262" s="19"/>
      <c r="F8262" s="19"/>
      <c r="G8262" s="19"/>
      <c r="H8262" s="19"/>
      <c r="I8262" s="19"/>
      <c r="J8262" s="19"/>
      <c r="K8262" s="19"/>
      <c r="L8262" s="19"/>
      <c r="M8262" s="19"/>
      <c r="N8262" s="19"/>
      <c r="O8262" s="14" t="str">
        <f>HYPERLINK("https://otsuka-europe-crm.veevavault.com/ui/#object/email_activity__v/V8C00000003T334", "EN-002094242")</f>
        <v>EN-002094242</v>
      </c>
    </row>
    <row r="8263" spans="1:15" ht="48" x14ac:dyDescent="0.2">
      <c r="A8263" s="7" t="str">
        <f>HYPERLINK("https://otsuka-europe-crm.veevavault.com/ui/#object/account__v/V4TZ04ASGB4URAS", "ANTONIO DEL PUENTE")</f>
        <v>ANTONIO DEL PUENTE</v>
      </c>
      <c r="B8263" s="7" t="str">
        <f>HYPERLINK("https://otsuka-europe-crm.veevavault.com/ui/#object/vcountry__v/VENZ000004SONFQ", "IT")</f>
        <v>IT</v>
      </c>
      <c r="C8263" s="8" t="s">
        <v>44</v>
      </c>
      <c r="D8263" s="9" t="str">
        <f>HYPERLINK("https://otsuka-europe-crm.veevavault.com/ui/#object/approved_document__v/V5O00000001B005", "Lupkynis_Multitarget_IT-LUP-2600003 V1.0 - RHEUMA")</f>
        <v>Lupkynis_Multitarget_IT-LUP-2600003 V1.0 - RHEUMA</v>
      </c>
      <c r="E8263" s="10" t="str">
        <f>HYPERLINK("https://otsuka-europe-crm.veevavault.com/ui/#object/sent_email__v/VBL00000002S696", "SE-001435346")</f>
        <v>SE-001435346</v>
      </c>
      <c r="F8263" s="11"/>
      <c r="G8263" s="12">
        <v>0</v>
      </c>
      <c r="H8263" s="12">
        <v>0</v>
      </c>
      <c r="I8263" s="12">
        <v>0</v>
      </c>
      <c r="J8263" s="11"/>
      <c r="K8263" s="12">
        <v>0</v>
      </c>
      <c r="L8263" s="10" t="str">
        <f>HYPERLINK("https://otsuka-europe-crm.veevavault.com/ui/#object/approved_document__v/V5O00000001B005", "Lupkynis_Multitarget_IT-LUP-2600003 V1.0 - RHEUMA")</f>
        <v>Lupkynis_Multitarget_IT-LUP-2600003 V1.0 - RHEUMA</v>
      </c>
      <c r="M8263" s="10" t="str">
        <f>HYPERLINK("mailto:linda.ottavo@crm.otsuka-europe.com", "linda.ottavo@crm.otsuka-europe.com")</f>
        <v>linda.ottavo@crm.otsuka-europe.com</v>
      </c>
      <c r="N8263" s="13">
        <v>46183.407060185185</v>
      </c>
      <c r="O8263" s="14" t="str">
        <f>HYPERLINK("https://otsuka-europe-crm.veevavault.com/ui/#object/email_activity__v/V8C00000003S577", "EN-002094021")</f>
        <v>EN-002094021</v>
      </c>
    </row>
    <row r="8264" spans="1:15" ht="16" x14ac:dyDescent="0.2">
      <c r="A8264" s="17" t="str">
        <f>HYPERLINK("https://otsuka-europe-crm.veevavault.com/ui/#object/account__v/V4TZ025E867FBUA", "FRANCESCA DELLA CASA")</f>
        <v>FRANCESCA DELLA CASA</v>
      </c>
      <c r="B8264" s="17" t="str">
        <f>HYPERLINK("https://otsuka-europe-crm.veevavault.com/ui/#object/vcountry__v/VENZ000004SONFQ", "IT")</f>
        <v>IT</v>
      </c>
      <c r="C8264" s="20" t="s">
        <v>44</v>
      </c>
      <c r="D8264" s="21" t="str">
        <f>HYPERLINK("https://otsuka-europe-crm.veevavault.com/ui/#object/approved_document__v/V5O00000001B006", "Lupkynis_Multitarget_IT-LUP-2600003 V1.0 -  IMMUNO")</f>
        <v>Lupkynis_Multitarget_IT-LUP-2600003 V1.0 -  IMMUNO</v>
      </c>
      <c r="E8264" s="22" t="str">
        <f>HYPERLINK("https://otsuka-europe-crm.veevavault.com/ui/#object/sent_email__v/VBL00000002S697", "SE-001435347")</f>
        <v>SE-001435347</v>
      </c>
      <c r="F8264" s="23">
        <v>46186.725185185183</v>
      </c>
      <c r="G8264" s="24">
        <v>1</v>
      </c>
      <c r="H8264" s="24">
        <v>2</v>
      </c>
      <c r="I8264" s="24">
        <v>0</v>
      </c>
      <c r="J8264" s="25"/>
      <c r="K8264" s="24">
        <v>0</v>
      </c>
      <c r="L8264" s="22" t="str">
        <f>HYPERLINK("https://otsuka-europe-crm.veevavault.com/ui/#object/approved_document__v/V5O00000001B006", "Lupkynis_Multitarget_IT-LUP-2600003 V1.0 -  IMMUNO")</f>
        <v>Lupkynis_Multitarget_IT-LUP-2600003 V1.0 -  IMMUNO</v>
      </c>
      <c r="M8264" s="22" t="str">
        <f>HYPERLINK("mailto:linda.ottavo@crm.otsuka-europe.com", "linda.ottavo@crm.otsuka-europe.com")</f>
        <v>linda.ottavo@crm.otsuka-europe.com</v>
      </c>
      <c r="N8264" s="23">
        <v>46183.407164351855</v>
      </c>
      <c r="O8264" s="14" t="str">
        <f>HYPERLINK("https://otsuka-europe-crm.veevavault.com/ui/#object/email_activity__v/V8C00000003T210", "EN-002094022")</f>
        <v>EN-002094022</v>
      </c>
    </row>
    <row r="8265" spans="1:15" ht="16" x14ac:dyDescent="0.2">
      <c r="A8265" s="18"/>
      <c r="B8265" s="18"/>
      <c r="C8265" s="18"/>
      <c r="D8265" s="18"/>
      <c r="E8265" s="18"/>
      <c r="F8265" s="18"/>
      <c r="G8265" s="18"/>
      <c r="H8265" s="18"/>
      <c r="I8265" s="18"/>
      <c r="J8265" s="18"/>
      <c r="K8265" s="18"/>
      <c r="L8265" s="18"/>
      <c r="M8265" s="18"/>
      <c r="N8265" s="18"/>
      <c r="O8265" s="14" t="str">
        <f>HYPERLINK("https://otsuka-europe-crm.veevavault.com/ui/#object/email_activity__v/V8C00000003T303", "EN-002094171")</f>
        <v>EN-002094171</v>
      </c>
    </row>
    <row r="8266" spans="1:15" ht="16" x14ac:dyDescent="0.2">
      <c r="A8266" s="19"/>
      <c r="B8266" s="19"/>
      <c r="C8266" s="19"/>
      <c r="D8266" s="19"/>
      <c r="E8266" s="19"/>
      <c r="F8266" s="19"/>
      <c r="G8266" s="19"/>
      <c r="H8266" s="19"/>
      <c r="I8266" s="19"/>
      <c r="J8266" s="19"/>
      <c r="K8266" s="19"/>
      <c r="L8266" s="19"/>
      <c r="M8266" s="19"/>
      <c r="N8266" s="19"/>
      <c r="O8266" s="14" t="str">
        <f>HYPERLINK("https://otsuka-europe-crm.veevavault.com/ui/#object/email_activity__v/V8C00000003V442", "EN-002095655")</f>
        <v>EN-002095655</v>
      </c>
    </row>
    <row r="8267" spans="1:15" ht="16" x14ac:dyDescent="0.2">
      <c r="A8267" s="17" t="str">
        <f>HYPERLINK("https://otsuka-europe-crm.veevavault.com/ui/#object/account__v/V4TZ06G6O7W7MIT", "LUCIA DI MICCO")</f>
        <v>LUCIA DI MICCO</v>
      </c>
      <c r="B8267" s="17" t="str">
        <f>HYPERLINK("https://otsuka-europe-crm.veevavault.com/ui/#object/vcountry__v/VENZ000004SONFQ", "IT")</f>
        <v>IT</v>
      </c>
      <c r="C8267" s="20" t="s">
        <v>44</v>
      </c>
      <c r="D8267" s="21" t="str">
        <f>HYPERLINK("https://otsuka-europe-crm.veevavault.com/ui/#object/approved_document__v/V5O00000001B008", "Lupkynis_Multitarget_IT-LUP-2600003 V1.0 - NEPHRO")</f>
        <v>Lupkynis_Multitarget_IT-LUP-2600003 V1.0 - NEPHRO</v>
      </c>
      <c r="E8267" s="22" t="str">
        <f>HYPERLINK("https://otsuka-europe-crm.veevavault.com/ui/#object/sent_email__v/VBL00000002R622", "SE-001435348")</f>
        <v>SE-001435348</v>
      </c>
      <c r="F8267" s="23">
        <v>46184.72314814815</v>
      </c>
      <c r="G8267" s="24">
        <v>1</v>
      </c>
      <c r="H8267" s="24">
        <v>2</v>
      </c>
      <c r="I8267" s="24">
        <v>0</v>
      </c>
      <c r="J8267" s="25"/>
      <c r="K8267" s="24">
        <v>0</v>
      </c>
      <c r="L8267" s="22" t="str">
        <f>HYPERLINK("https://otsuka-europe-crm.veevavault.com/ui/#object/approved_document__v/V5O00000001B008", "Lupkynis_Multitarget_IT-LUP-2600003 V1.0 - NEPHRO")</f>
        <v>Lupkynis_Multitarget_IT-LUP-2600003 V1.0 - NEPHRO</v>
      </c>
      <c r="M8267" s="22" t="str">
        <f>HYPERLINK("mailto:linda.ottavo@crm.otsuka-europe.com", "linda.ottavo@crm.otsuka-europe.com")</f>
        <v>linda.ottavo@crm.otsuka-europe.com</v>
      </c>
      <c r="N8267" s="23">
        <v>46183.407604166663</v>
      </c>
      <c r="O8267" s="14" t="str">
        <f>HYPERLINK("https://otsuka-europe-crm.veevavault.com/ui/#object/email_activity__v/V8C00000003S578", "EN-002094024")</f>
        <v>EN-002094024</v>
      </c>
    </row>
    <row r="8268" spans="1:15" ht="16" x14ac:dyDescent="0.2">
      <c r="A8268" s="18"/>
      <c r="B8268" s="18"/>
      <c r="C8268" s="18"/>
      <c r="D8268" s="18"/>
      <c r="E8268" s="18"/>
      <c r="F8268" s="18"/>
      <c r="G8268" s="18"/>
      <c r="H8268" s="18"/>
      <c r="I8268" s="18"/>
      <c r="J8268" s="18"/>
      <c r="K8268" s="18"/>
      <c r="L8268" s="18"/>
      <c r="M8268" s="18"/>
      <c r="N8268" s="18"/>
      <c r="O8268" s="14" t="str">
        <f>HYPERLINK("https://otsuka-europe-crm.veevavault.com/ui/#object/email_activity__v/V8C00000003T576", "EN-002094774")</f>
        <v>EN-002094774</v>
      </c>
    </row>
    <row r="8269" spans="1:15" ht="16" x14ac:dyDescent="0.2">
      <c r="A8269" s="19"/>
      <c r="B8269" s="19"/>
      <c r="C8269" s="19"/>
      <c r="D8269" s="19"/>
      <c r="E8269" s="19"/>
      <c r="F8269" s="19"/>
      <c r="G8269" s="19"/>
      <c r="H8269" s="19"/>
      <c r="I8269" s="19"/>
      <c r="J8269" s="19"/>
      <c r="K8269" s="19"/>
      <c r="L8269" s="19"/>
      <c r="M8269" s="19"/>
      <c r="N8269" s="19"/>
      <c r="O8269" s="14" t="str">
        <f>HYPERLINK("https://otsuka-europe-crm.veevavault.com/ui/#object/email_activity__v/V8C00000003T577", "EN-002094776")</f>
        <v>EN-002094776</v>
      </c>
    </row>
    <row r="8270" spans="1:15" ht="48" x14ac:dyDescent="0.2">
      <c r="A8270" s="7" t="str">
        <f>HYPERLINK("https://otsuka-europe-crm.veevavault.com/ui/#object/account__v/V4TZ04ASGB4KE60", "SERENA FASANO")</f>
        <v>SERENA FASANO</v>
      </c>
      <c r="B8270" s="7" t="str">
        <f>HYPERLINK("https://otsuka-europe-crm.veevavault.com/ui/#object/vcountry__v/VENZ000004SONFQ", "IT")</f>
        <v>IT</v>
      </c>
      <c r="C8270" s="8" t="s">
        <v>44</v>
      </c>
      <c r="D8270" s="9" t="str">
        <f>HYPERLINK("https://otsuka-europe-crm.veevavault.com/ui/#object/approved_document__v/V5O00000001B005", "Lupkynis_Multitarget_IT-LUP-2600003 V1.0 - RHEUMA")</f>
        <v>Lupkynis_Multitarget_IT-LUP-2600003 V1.0 - RHEUMA</v>
      </c>
      <c r="E8270" s="10" t="str">
        <f>HYPERLINK("https://otsuka-europe-crm.veevavault.com/ui/#object/sent_email__v/VBL00000002R623", "SE-001435349")</f>
        <v>SE-001435349</v>
      </c>
      <c r="F8270" s="11"/>
      <c r="G8270" s="12">
        <v>0</v>
      </c>
      <c r="H8270" s="12">
        <v>0</v>
      </c>
      <c r="I8270" s="12">
        <v>0</v>
      </c>
      <c r="J8270" s="11"/>
      <c r="K8270" s="12">
        <v>0</v>
      </c>
      <c r="L8270" s="10" t="str">
        <f>HYPERLINK("https://otsuka-europe-crm.veevavault.com/ui/#object/approved_document__v/V5O00000001B005", "Lupkynis_Multitarget_IT-LUP-2600003 V1.0 - RHEUMA")</f>
        <v>Lupkynis_Multitarget_IT-LUP-2600003 V1.0 - RHEUMA</v>
      </c>
      <c r="M8270" s="10" t="str">
        <f>HYPERLINK("mailto:linda.ottavo@crm.otsuka-europe.com", "linda.ottavo@crm.otsuka-europe.com")</f>
        <v>linda.ottavo@crm.otsuka-europe.com</v>
      </c>
      <c r="N8270" s="13">
        <v>46183.40761574074</v>
      </c>
      <c r="O8270" s="14" t="str">
        <f>HYPERLINK("https://otsuka-europe-crm.veevavault.com/ui/#object/email_activity__v/V8C00000003S579", "EN-002094025")</f>
        <v>EN-002094025</v>
      </c>
    </row>
    <row r="8271" spans="1:15" ht="16" x14ac:dyDescent="0.2">
      <c r="A8271" s="17" t="str">
        <f>HYPERLINK("https://otsuka-europe-crm.veevavault.com/ui/#object/account__v/V4TZ04ASGBCHCA3", "SARA FERRIGNO")</f>
        <v>SARA FERRIGNO</v>
      </c>
      <c r="B8271" s="17" t="str">
        <f>HYPERLINK("https://otsuka-europe-crm.veevavault.com/ui/#object/vcountry__v/VENZ000004SONFQ", "IT")</f>
        <v>IT</v>
      </c>
      <c r="C8271" s="20" t="s">
        <v>44</v>
      </c>
      <c r="D8271" s="21" t="str">
        <f>HYPERLINK("https://otsuka-europe-crm.veevavault.com/ui/#object/approved_document__v/V5O00000001B005", "Lupkynis_Multitarget_IT-LUP-2600003 V1.0 - RHEUMA")</f>
        <v>Lupkynis_Multitarget_IT-LUP-2600003 V1.0 - RHEUMA</v>
      </c>
      <c r="E8271" s="22" t="str">
        <f>HYPERLINK("https://otsuka-europe-crm.veevavault.com/ui/#object/sent_email__v/VBL00000002R624", "SE-001435350")</f>
        <v>SE-001435350</v>
      </c>
      <c r="F8271" s="23">
        <v>46183.407881944448</v>
      </c>
      <c r="G8271" s="24">
        <v>1</v>
      </c>
      <c r="H8271" s="24">
        <v>1</v>
      </c>
      <c r="I8271" s="24">
        <v>0</v>
      </c>
      <c r="J8271" s="25"/>
      <c r="K8271" s="24">
        <v>0</v>
      </c>
      <c r="L8271" s="22" t="str">
        <f>HYPERLINK("https://otsuka-europe-crm.veevavault.com/ui/#object/approved_document__v/V5O00000001B005", "Lupkynis_Multitarget_IT-LUP-2600003 V1.0 - RHEUMA")</f>
        <v>Lupkynis_Multitarget_IT-LUP-2600003 V1.0 - RHEUMA</v>
      </c>
      <c r="M8271" s="22" t="str">
        <f>HYPERLINK("mailto:linda.ottavo@crm.otsuka-europe.com", "linda.ottavo@crm.otsuka-europe.com")</f>
        <v>linda.ottavo@crm.otsuka-europe.com</v>
      </c>
      <c r="N8271" s="23">
        <v>46183.407789351855</v>
      </c>
      <c r="O8271" s="14" t="str">
        <f>HYPERLINK("https://otsuka-europe-crm.veevavault.com/ui/#object/email_activity__v/V8C00000003S580", "EN-002094027")</f>
        <v>EN-002094027</v>
      </c>
    </row>
    <row r="8272" spans="1:15" ht="16" x14ac:dyDescent="0.2">
      <c r="A8272" s="19"/>
      <c r="B8272" s="19"/>
      <c r="C8272" s="19"/>
      <c r="D8272" s="19"/>
      <c r="E8272" s="19"/>
      <c r="F8272" s="19"/>
      <c r="G8272" s="19"/>
      <c r="H8272" s="19"/>
      <c r="I8272" s="19"/>
      <c r="J8272" s="19"/>
      <c r="K8272" s="19"/>
      <c r="L8272" s="19"/>
      <c r="M8272" s="19"/>
      <c r="N8272" s="19"/>
      <c r="O8272" s="14" t="str">
        <f>HYPERLINK("https://otsuka-europe-crm.veevavault.com/ui/#object/email_activity__v/V8C00000003T212", "EN-002094026")</f>
        <v>EN-002094026</v>
      </c>
    </row>
    <row r="8273" spans="1:15" ht="48" x14ac:dyDescent="0.2">
      <c r="A8273" s="7" t="str">
        <f>HYPERLINK("https://otsuka-europe-crm.veevavault.com/ui/#object/account__v/V4TZ04ASGB4UR3E", "SAVIANA GANDOLFO")</f>
        <v>SAVIANA GANDOLFO</v>
      </c>
      <c r="B8273" s="7" t="str">
        <f>HYPERLINK("https://otsuka-europe-crm.veevavault.com/ui/#object/vcountry__v/VENZ000004SONFQ", "IT")</f>
        <v>IT</v>
      </c>
      <c r="C8273" s="8" t="s">
        <v>44</v>
      </c>
      <c r="D8273" s="9" t="str">
        <f>HYPERLINK("https://otsuka-europe-crm.veevavault.com/ui/#object/approved_document__v/V5O00000001B005", "Lupkynis_Multitarget_IT-LUP-2600003 V1.0 - RHEUMA")</f>
        <v>Lupkynis_Multitarget_IT-LUP-2600003 V1.0 - RHEUMA</v>
      </c>
      <c r="E8273" s="10" t="str">
        <f>HYPERLINK("https://otsuka-europe-crm.veevavault.com/ui/#object/sent_email__v/VBL00000002S698", "SE-001435351")</f>
        <v>SE-001435351</v>
      </c>
      <c r="F8273" s="11"/>
      <c r="G8273" s="12">
        <v>0</v>
      </c>
      <c r="H8273" s="12">
        <v>0</v>
      </c>
      <c r="I8273" s="12">
        <v>0</v>
      </c>
      <c r="J8273" s="11"/>
      <c r="K8273" s="12">
        <v>0</v>
      </c>
      <c r="L8273" s="10" t="str">
        <f>HYPERLINK("https://otsuka-europe-crm.veevavault.com/ui/#object/approved_document__v/V5O00000001B005", "Lupkynis_Multitarget_IT-LUP-2600003 V1.0 - RHEUMA")</f>
        <v>Lupkynis_Multitarget_IT-LUP-2600003 V1.0 - RHEUMA</v>
      </c>
      <c r="M8273" s="10" t="str">
        <f>HYPERLINK("mailto:linda.ottavo@crm.otsuka-europe.com", "linda.ottavo@crm.otsuka-europe.com")</f>
        <v>linda.ottavo@crm.otsuka-europe.com</v>
      </c>
      <c r="N8273" s="13">
        <v>46183.408275462964</v>
      </c>
      <c r="O8273" s="14" t="str">
        <f>HYPERLINK("https://otsuka-europe-crm.veevavault.com/ui/#object/email_activity__v/V8C00000003S581", "EN-002094029")</f>
        <v>EN-002094029</v>
      </c>
    </row>
    <row r="8274" spans="1:15" ht="48" x14ac:dyDescent="0.2">
      <c r="A8274" s="7" t="str">
        <f>HYPERLINK("https://otsuka-europe-crm.veevavault.com/ui/#object/account__v/V4TZ04ASGBC5XMK", "ROBERTO GIACOMELLI")</f>
        <v>ROBERTO GIACOMELLI</v>
      </c>
      <c r="B8274" s="7" t="str">
        <f>HYPERLINK("https://otsuka-europe-crm.veevavault.com/ui/#object/vcountry__v/VENZ000004SONFQ", "IT")</f>
        <v>IT</v>
      </c>
      <c r="C8274" s="8" t="s">
        <v>44</v>
      </c>
      <c r="D8274" s="9" t="str">
        <f>HYPERLINK("https://otsuka-europe-crm.veevavault.com/ui/#object/approved_document__v/V5O00000001B005", "Lupkynis_Multitarget_IT-LUP-2600003 V1.0 - RHEUMA")</f>
        <v>Lupkynis_Multitarget_IT-LUP-2600003 V1.0 - RHEUMA</v>
      </c>
      <c r="E8274" s="10" t="str">
        <f>HYPERLINK("https://otsuka-europe-crm.veevavault.com/ui/#object/sent_email__v/VBL00000002R625", "SE-001435352")</f>
        <v>SE-001435352</v>
      </c>
      <c r="F8274" s="11"/>
      <c r="G8274" s="12">
        <v>0</v>
      </c>
      <c r="H8274" s="12">
        <v>0</v>
      </c>
      <c r="I8274" s="12">
        <v>0</v>
      </c>
      <c r="J8274" s="11"/>
      <c r="K8274" s="12">
        <v>0</v>
      </c>
      <c r="L8274" s="10" t="str">
        <f>HYPERLINK("https://otsuka-europe-crm.veevavault.com/ui/#object/approved_document__v/V5O00000001B005", "Lupkynis_Multitarget_IT-LUP-2600003 V1.0 - RHEUMA")</f>
        <v>Lupkynis_Multitarget_IT-LUP-2600003 V1.0 - RHEUMA</v>
      </c>
      <c r="M8274" s="10" t="str">
        <f>HYPERLINK("mailto:linda.ottavo@crm.otsuka-europe.com", "linda.ottavo@crm.otsuka-europe.com")</f>
        <v>linda.ottavo@crm.otsuka-europe.com</v>
      </c>
      <c r="N8274" s="13">
        <v>46183.40861111111</v>
      </c>
      <c r="O8274" s="14" t="str">
        <f>HYPERLINK("https://otsuka-europe-crm.veevavault.com/ui/#object/email_activity__v/V8C00000003T214", "EN-002094030")</f>
        <v>EN-002094030</v>
      </c>
    </row>
    <row r="8275" spans="1:15" ht="16" x14ac:dyDescent="0.2">
      <c r="A8275" s="17" t="str">
        <f>HYPERLINK("https://otsuka-europe-crm.veevavault.com/ui/#object/account__v/V4TZ04ASGC7D29P", "MARIA RITA GIGANTE")</f>
        <v>MARIA RITA GIGANTE</v>
      </c>
      <c r="B8275" s="17" t="str">
        <f>HYPERLINK("https://otsuka-europe-crm.veevavault.com/ui/#object/vcountry__v/VENZ000004SONFQ", "IT")</f>
        <v>IT</v>
      </c>
      <c r="C8275" s="20" t="s">
        <v>44</v>
      </c>
      <c r="D8275" s="21" t="str">
        <f>HYPERLINK("https://otsuka-europe-crm.veevavault.com/ui/#object/approved_document__v/V5O00000001B005", "Lupkynis_Multitarget_IT-LUP-2600003 V1.0 - RHEUMA")</f>
        <v>Lupkynis_Multitarget_IT-LUP-2600003 V1.0 - RHEUMA</v>
      </c>
      <c r="E8275" s="22" t="str">
        <f>HYPERLINK("https://otsuka-europe-crm.veevavault.com/ui/#object/sent_email__v/VBL00000002R626", "SE-001435353")</f>
        <v>SE-001435353</v>
      </c>
      <c r="F8275" s="25"/>
      <c r="G8275" s="24">
        <v>0</v>
      </c>
      <c r="H8275" s="24">
        <v>0</v>
      </c>
      <c r="I8275" s="24">
        <v>0</v>
      </c>
      <c r="J8275" s="25"/>
      <c r="K8275" s="24">
        <v>0</v>
      </c>
      <c r="L8275" s="22" t="str">
        <f>HYPERLINK("https://otsuka-europe-crm.veevavault.com/ui/#object/approved_document__v/V5O00000001B005", "Lupkynis_Multitarget_IT-LUP-2600003 V1.0 - RHEUMA")</f>
        <v>Lupkynis_Multitarget_IT-LUP-2600003 V1.0 - RHEUMA</v>
      </c>
      <c r="M8275" s="22" t="str">
        <f>HYPERLINK("mailto:linda.ottavo@crm.otsuka-europe.com", "linda.ottavo@crm.otsuka-europe.com")</f>
        <v>linda.ottavo@crm.otsuka-europe.com</v>
      </c>
      <c r="N8275" s="23">
        <v>46183.408634259256</v>
      </c>
      <c r="O8275" s="14" t="str">
        <f>HYPERLINK("https://otsuka-europe-crm.veevavault.com/ui/#object/email_activity__v/V8C00000003S715", "EN-002094313")</f>
        <v>EN-002094313</v>
      </c>
    </row>
    <row r="8276" spans="1:15" ht="16" x14ac:dyDescent="0.2">
      <c r="A8276" s="19"/>
      <c r="B8276" s="19"/>
      <c r="C8276" s="19"/>
      <c r="D8276" s="19"/>
      <c r="E8276" s="19"/>
      <c r="F8276" s="19"/>
      <c r="G8276" s="19"/>
      <c r="H8276" s="19"/>
      <c r="I8276" s="19"/>
      <c r="J8276" s="19"/>
      <c r="K8276" s="19"/>
      <c r="L8276" s="19"/>
      <c r="M8276" s="19"/>
      <c r="N8276" s="19"/>
      <c r="O8276" s="14" t="str">
        <f>HYPERLINK("https://otsuka-europe-crm.veevavault.com/ui/#object/email_activity__v/V8C00000003T215", "EN-002094031")</f>
        <v>EN-002094031</v>
      </c>
    </row>
    <row r="8277" spans="1:15" ht="16" x14ac:dyDescent="0.2">
      <c r="A8277" s="17" t="str">
        <f>HYPERLINK("https://otsuka-europe-crm.veevavault.com/ui/#object/account__v/V4TZ06G6O71SAU3", "GIUSEPPE GIGLIOTTI")</f>
        <v>GIUSEPPE GIGLIOTTI</v>
      </c>
      <c r="B8277" s="17" t="str">
        <f>HYPERLINK("https://otsuka-europe-crm.veevavault.com/ui/#object/vcountry__v/VENZ000004SONFQ", "IT")</f>
        <v>IT</v>
      </c>
      <c r="C8277" s="20" t="s">
        <v>44</v>
      </c>
      <c r="D8277" s="21" t="str">
        <f>HYPERLINK("https://otsuka-europe-crm.veevavault.com/ui/#object/approved_document__v/V5O00000001B008", "Lupkynis_Multitarget_IT-LUP-2600003 V1.0 - NEPHRO")</f>
        <v>Lupkynis_Multitarget_IT-LUP-2600003 V1.0 - NEPHRO</v>
      </c>
      <c r="E8277" s="22" t="str">
        <f>HYPERLINK("https://otsuka-europe-crm.veevavault.com/ui/#object/sent_email__v/VBL00000002R627", "SE-001435354")</f>
        <v>SE-001435354</v>
      </c>
      <c r="F8277" s="25"/>
      <c r="G8277" s="24">
        <v>0</v>
      </c>
      <c r="H8277" s="24">
        <v>0</v>
      </c>
      <c r="I8277" s="24">
        <v>0</v>
      </c>
      <c r="J8277" s="25"/>
      <c r="K8277" s="24">
        <v>0</v>
      </c>
      <c r="L8277" s="22" t="str">
        <f>HYPERLINK("https://otsuka-europe-crm.veevavault.com/ui/#object/approved_document__v/V5O00000001B008", "Lupkynis_Multitarget_IT-LUP-2600003 V1.0 - NEPHRO")</f>
        <v>Lupkynis_Multitarget_IT-LUP-2600003 V1.0 - NEPHRO</v>
      </c>
      <c r="M8277" s="22" t="str">
        <f>HYPERLINK("mailto:linda.ottavo@crm.otsuka-europe.com", "linda.ottavo@crm.otsuka-europe.com")</f>
        <v>linda.ottavo@crm.otsuka-europe.com</v>
      </c>
      <c r="N8277" s="23">
        <v>46183.408773148149</v>
      </c>
      <c r="O8277" s="14" t="str">
        <f>HYPERLINK("https://otsuka-europe-crm.veevavault.com/ui/#object/email_activity__v/V8C00000003S582", "EN-002094032")</f>
        <v>EN-002094032</v>
      </c>
    </row>
    <row r="8278" spans="1:15" ht="16" x14ac:dyDescent="0.2">
      <c r="A8278" s="18"/>
      <c r="B8278" s="18"/>
      <c r="C8278" s="18"/>
      <c r="D8278" s="18"/>
      <c r="E8278" s="18"/>
      <c r="F8278" s="18"/>
      <c r="G8278" s="18"/>
      <c r="H8278" s="18"/>
      <c r="I8278" s="18"/>
      <c r="J8278" s="18"/>
      <c r="K8278" s="18"/>
      <c r="L8278" s="18"/>
      <c r="M8278" s="18"/>
      <c r="N8278" s="18"/>
      <c r="O8278" s="14" t="str">
        <f>HYPERLINK("https://otsuka-europe-crm.veevavault.com/ui/#object/email_activity__v/V8C00000003T340", "EN-002094254")</f>
        <v>EN-002094254</v>
      </c>
    </row>
    <row r="8279" spans="1:15" ht="16" x14ac:dyDescent="0.2">
      <c r="A8279" s="19"/>
      <c r="B8279" s="19"/>
      <c r="C8279" s="19"/>
      <c r="D8279" s="19"/>
      <c r="E8279" s="19"/>
      <c r="F8279" s="19"/>
      <c r="G8279" s="19"/>
      <c r="H8279" s="19"/>
      <c r="I8279" s="19"/>
      <c r="J8279" s="19"/>
      <c r="K8279" s="19"/>
      <c r="L8279" s="19"/>
      <c r="M8279" s="19"/>
      <c r="N8279" s="19"/>
      <c r="O8279" s="14" t="str">
        <f>HYPERLINK("https://otsuka-europe-crm.veevavault.com/ui/#object/email_activity__v/V8C000000041218", "EN-002100102")</f>
        <v>EN-002100102</v>
      </c>
    </row>
    <row r="8280" spans="1:15" ht="48" x14ac:dyDescent="0.2">
      <c r="A8280" s="7" t="str">
        <f>HYPERLINK("https://otsuka-europe-crm.veevavault.com/ui/#object/account__v/V4TZ06G6O71SAQU", "GIUSEPPE GRANDALIANO")</f>
        <v>GIUSEPPE GRANDALIANO</v>
      </c>
      <c r="B8280" s="7" t="str">
        <f t="shared" ref="B8280:B8286" si="662">HYPERLINK("https://otsuka-europe-crm.veevavault.com/ui/#object/vcountry__v/VENZ000004SONFQ", "IT")</f>
        <v>IT</v>
      </c>
      <c r="C8280" s="8" t="s">
        <v>44</v>
      </c>
      <c r="D8280" s="9" t="str">
        <f>HYPERLINK("https://otsuka-europe-crm.veevavault.com/ui/#object/approved_document__v/V5O00000001B008", "Lupkynis_Multitarget_IT-LUP-2600003 V1.0 - NEPHRO")</f>
        <v>Lupkynis_Multitarget_IT-LUP-2600003 V1.0 - NEPHRO</v>
      </c>
      <c r="E8280" s="10" t="str">
        <f>HYPERLINK("https://otsuka-europe-crm.veevavault.com/ui/#object/sent_email__v/VBL00000002R628", "SE-001435355")</f>
        <v>SE-001435355</v>
      </c>
      <c r="F8280" s="11"/>
      <c r="G8280" s="12">
        <v>0</v>
      </c>
      <c r="H8280" s="12">
        <v>0</v>
      </c>
      <c r="I8280" s="12">
        <v>0</v>
      </c>
      <c r="J8280" s="11"/>
      <c r="K8280" s="12">
        <v>0</v>
      </c>
      <c r="L8280" s="10" t="str">
        <f>HYPERLINK("https://otsuka-europe-crm.veevavault.com/ui/#object/approved_document__v/V5O00000001B008", "Lupkynis_Multitarget_IT-LUP-2600003 V1.0 - NEPHRO")</f>
        <v>Lupkynis_Multitarget_IT-LUP-2600003 V1.0 - NEPHRO</v>
      </c>
      <c r="M8280" s="10" t="str">
        <f t="shared" ref="M8280:M8286" si="663">HYPERLINK("mailto:linda.ottavo@crm.otsuka-europe.com", "linda.ottavo@crm.otsuka-europe.com")</f>
        <v>linda.ottavo@crm.otsuka-europe.com</v>
      </c>
      <c r="N8280" s="13">
        <v>46183.409131944441</v>
      </c>
      <c r="O8280" s="14" t="str">
        <f>HYPERLINK("https://otsuka-europe-crm.veevavault.com/ui/#object/email_activity__v/V8C00000003S583", "EN-002094033")</f>
        <v>EN-002094033</v>
      </c>
    </row>
    <row r="8281" spans="1:15" ht="48" x14ac:dyDescent="0.2">
      <c r="A8281" s="7" t="str">
        <f>HYPERLINK("https://otsuka-europe-crm.veevavault.com/ui/#object/account__v/V4TZ04ASGBCHC6I", "ELISABETTA GRECO")</f>
        <v>ELISABETTA GRECO</v>
      </c>
      <c r="B8281" s="7" t="str">
        <f t="shared" si="662"/>
        <v>IT</v>
      </c>
      <c r="C8281" s="8" t="s">
        <v>44</v>
      </c>
      <c r="D8281" s="9" t="str">
        <f>HYPERLINK("https://otsuka-europe-crm.veevavault.com/ui/#object/approved_document__v/V5O00000001B005", "Lupkynis_Multitarget_IT-LUP-2600003 V1.0 - RHEUMA")</f>
        <v>Lupkynis_Multitarget_IT-LUP-2600003 V1.0 - RHEUMA</v>
      </c>
      <c r="E8281" s="10" t="str">
        <f>HYPERLINK("https://otsuka-europe-crm.veevavault.com/ui/#object/sent_email__v/VBL00000002R629", "SE-001435356")</f>
        <v>SE-001435356</v>
      </c>
      <c r="F8281" s="11"/>
      <c r="G8281" s="12">
        <v>0</v>
      </c>
      <c r="H8281" s="12">
        <v>0</v>
      </c>
      <c r="I8281" s="12">
        <v>0</v>
      </c>
      <c r="J8281" s="11"/>
      <c r="K8281" s="12">
        <v>0</v>
      </c>
      <c r="L8281" s="10" t="str">
        <f>HYPERLINK("https://otsuka-europe-crm.veevavault.com/ui/#object/approved_document__v/V5O00000001B005", "Lupkynis_Multitarget_IT-LUP-2600003 V1.0 - RHEUMA")</f>
        <v>Lupkynis_Multitarget_IT-LUP-2600003 V1.0 - RHEUMA</v>
      </c>
      <c r="M8281" s="10" t="str">
        <f t="shared" si="663"/>
        <v>linda.ottavo@crm.otsuka-europe.com</v>
      </c>
      <c r="N8281" s="13">
        <v>46183.409270833334</v>
      </c>
      <c r="O8281" s="14" t="str">
        <f>HYPERLINK("https://otsuka-europe-crm.veevavault.com/ui/#object/email_activity__v/V8C00000003S584", "EN-002094034")</f>
        <v>EN-002094034</v>
      </c>
    </row>
    <row r="8282" spans="1:15" ht="48" x14ac:dyDescent="0.2">
      <c r="A8282" s="7" t="str">
        <f>HYPERLINK("https://otsuka-europe-crm.veevavault.com/ui/#object/account__v/V4TZ06G6O9VL04V", "ROBERTA GUASTINI")</f>
        <v>ROBERTA GUASTINI</v>
      </c>
      <c r="B8282" s="7" t="str">
        <f t="shared" si="662"/>
        <v>IT</v>
      </c>
      <c r="C8282" s="8" t="s">
        <v>44</v>
      </c>
      <c r="D8282" s="9" t="str">
        <f>HYPERLINK("https://otsuka-europe-crm.veevavault.com/ui/#object/approved_document__v/V5O00000001B008", "Lupkynis_Multitarget_IT-LUP-2600003 V1.0 - NEPHRO")</f>
        <v>Lupkynis_Multitarget_IT-LUP-2600003 V1.0 - NEPHRO</v>
      </c>
      <c r="E8282" s="10" t="str">
        <f>HYPERLINK("https://otsuka-europe-crm.veevavault.com/ui/#object/sent_email__v/VBL00000002S699", "SE-001435357")</f>
        <v>SE-001435357</v>
      </c>
      <c r="F8282" s="11"/>
      <c r="G8282" s="12">
        <v>0</v>
      </c>
      <c r="H8282" s="12">
        <v>0</v>
      </c>
      <c r="I8282" s="12">
        <v>0</v>
      </c>
      <c r="J8282" s="11"/>
      <c r="K8282" s="12">
        <v>0</v>
      </c>
      <c r="L8282" s="10" t="str">
        <f>HYPERLINK("https://otsuka-europe-crm.veevavault.com/ui/#object/approved_document__v/V5O00000001B008", "Lupkynis_Multitarget_IT-LUP-2600003 V1.0 - NEPHRO")</f>
        <v>Lupkynis_Multitarget_IT-LUP-2600003 V1.0 - NEPHRO</v>
      </c>
      <c r="M8282" s="10" t="str">
        <f t="shared" si="663"/>
        <v>linda.ottavo@crm.otsuka-europe.com</v>
      </c>
      <c r="N8282" s="13">
        <v>46183.409479166665</v>
      </c>
      <c r="O8282" s="14" t="str">
        <f>HYPERLINK("https://otsuka-europe-crm.veevavault.com/ui/#object/email_activity__v/V8C00000003S585", "EN-002094035")</f>
        <v>EN-002094035</v>
      </c>
    </row>
    <row r="8283" spans="1:15" ht="48" x14ac:dyDescent="0.2">
      <c r="A8283" s="7" t="str">
        <f>HYPERLINK("https://otsuka-europe-crm.veevavault.com/ui/#object/account__v/V4TZ04ASGE0FU3U", "MARIAROSARIA IANNUZZI")</f>
        <v>MARIAROSARIA IANNUZZI</v>
      </c>
      <c r="B8283" s="7" t="str">
        <f t="shared" si="662"/>
        <v>IT</v>
      </c>
      <c r="C8283" s="8" t="s">
        <v>44</v>
      </c>
      <c r="D8283" s="9" t="str">
        <f>HYPERLINK("https://otsuka-europe-crm.veevavault.com/ui/#object/approved_document__v/V5O00000001B008", "Lupkynis_Multitarget_IT-LUP-2600003 V1.0 - NEPHRO")</f>
        <v>Lupkynis_Multitarget_IT-LUP-2600003 V1.0 - NEPHRO</v>
      </c>
      <c r="E8283" s="10" t="str">
        <f>HYPERLINK("https://otsuka-europe-crm.veevavault.com/ui/#object/sent_email__v/VBL00000002R630", "SE-001435358")</f>
        <v>SE-001435358</v>
      </c>
      <c r="F8283" s="11"/>
      <c r="G8283" s="12">
        <v>0</v>
      </c>
      <c r="H8283" s="12">
        <v>0</v>
      </c>
      <c r="I8283" s="12">
        <v>0</v>
      </c>
      <c r="J8283" s="11"/>
      <c r="K8283" s="12">
        <v>0</v>
      </c>
      <c r="L8283" s="10" t="str">
        <f>HYPERLINK("https://otsuka-europe-crm.veevavault.com/ui/#object/approved_document__v/V5O00000001B008", "Lupkynis_Multitarget_IT-LUP-2600003 V1.0 - NEPHRO")</f>
        <v>Lupkynis_Multitarget_IT-LUP-2600003 V1.0 - NEPHRO</v>
      </c>
      <c r="M8283" s="10" t="str">
        <f t="shared" si="663"/>
        <v>linda.ottavo@crm.otsuka-europe.com</v>
      </c>
      <c r="N8283" s="13">
        <v>46183.409687500003</v>
      </c>
      <c r="O8283" s="14" t="str">
        <f>HYPERLINK("https://otsuka-europe-crm.veevavault.com/ui/#object/email_activity__v/V8C00000003T216", "EN-002094036")</f>
        <v>EN-002094036</v>
      </c>
    </row>
    <row r="8284" spans="1:15" ht="48" x14ac:dyDescent="0.2">
      <c r="A8284" s="7" t="str">
        <f>HYPERLINK("https://otsuka-europe-crm.veevavault.com/ui/#object/account__v/V4TZ04ASGBNHMNT", "LJILJANA JANKOVIC")</f>
        <v>LJILJANA JANKOVIC</v>
      </c>
      <c r="B8284" s="7" t="str">
        <f t="shared" si="662"/>
        <v>IT</v>
      </c>
      <c r="C8284" s="8" t="s">
        <v>44</v>
      </c>
      <c r="D8284" s="9" t="str">
        <f>HYPERLINK("https://otsuka-europe-crm.veevavault.com/ui/#object/approved_document__v/V5O00000001B008", "Lupkynis_Multitarget_IT-LUP-2600003 V1.0 - NEPHRO")</f>
        <v>Lupkynis_Multitarget_IT-LUP-2600003 V1.0 - NEPHRO</v>
      </c>
      <c r="E8284" s="10" t="str">
        <f>HYPERLINK("https://otsuka-europe-crm.veevavault.com/ui/#object/sent_email__v/VBL00000002S700", "SE-001435359")</f>
        <v>SE-001435359</v>
      </c>
      <c r="F8284" s="11"/>
      <c r="G8284" s="12">
        <v>0</v>
      </c>
      <c r="H8284" s="12">
        <v>0</v>
      </c>
      <c r="I8284" s="12">
        <v>0</v>
      </c>
      <c r="J8284" s="11"/>
      <c r="K8284" s="12">
        <v>0</v>
      </c>
      <c r="L8284" s="10" t="str">
        <f>HYPERLINK("https://otsuka-europe-crm.veevavault.com/ui/#object/approved_document__v/V5O00000001B008", "Lupkynis_Multitarget_IT-LUP-2600003 V1.0 - NEPHRO")</f>
        <v>Lupkynis_Multitarget_IT-LUP-2600003 V1.0 - NEPHRO</v>
      </c>
      <c r="M8284" s="10" t="str">
        <f t="shared" si="663"/>
        <v>linda.ottavo@crm.otsuka-europe.com</v>
      </c>
      <c r="N8284" s="13">
        <v>46183.410358796296</v>
      </c>
      <c r="O8284" s="14" t="str">
        <f>HYPERLINK("https://otsuka-europe-crm.veevavault.com/ui/#object/email_activity__v/V8C00000003T217", "EN-002094037")</f>
        <v>EN-002094037</v>
      </c>
    </row>
    <row r="8285" spans="1:15" ht="48" x14ac:dyDescent="0.2">
      <c r="A8285" s="7" t="str">
        <f>HYPERLINK("https://otsuka-europe-crm.veevavault.com/ui/#object/account__v/V4TZ04ASGBNHMNT", "LJILJANA JANKOVIC")</f>
        <v>LJILJANA JANKOVIC</v>
      </c>
      <c r="B8285" s="7" t="str">
        <f t="shared" si="662"/>
        <v>IT</v>
      </c>
      <c r="C8285" s="8" t="s">
        <v>44</v>
      </c>
      <c r="D8285" s="9" t="str">
        <f>HYPERLINK("https://otsuka-europe-crm.veevavault.com/ui/#object/approved_document__v/V5O00000001B008", "Lupkynis_Multitarget_IT-LUP-2600003 V1.0 - NEPHRO")</f>
        <v>Lupkynis_Multitarget_IT-LUP-2600003 V1.0 - NEPHRO</v>
      </c>
      <c r="E8285" s="10" t="str">
        <f>HYPERLINK("https://otsuka-europe-crm.veevavault.com/ui/#object/sent_email__v/VBL00000002R631", "SE-001435360")</f>
        <v>SE-001435360</v>
      </c>
      <c r="F8285" s="11"/>
      <c r="G8285" s="12">
        <v>0</v>
      </c>
      <c r="H8285" s="12">
        <v>0</v>
      </c>
      <c r="I8285" s="12">
        <v>0</v>
      </c>
      <c r="J8285" s="11"/>
      <c r="K8285" s="12">
        <v>0</v>
      </c>
      <c r="L8285" s="10" t="str">
        <f>HYPERLINK("https://otsuka-europe-crm.veevavault.com/ui/#object/approved_document__v/V5O00000001B008", "Lupkynis_Multitarget_IT-LUP-2600003 V1.0 - NEPHRO")</f>
        <v>Lupkynis_Multitarget_IT-LUP-2600003 V1.0 - NEPHRO</v>
      </c>
      <c r="M8285" s="10" t="str">
        <f t="shared" si="663"/>
        <v>linda.ottavo@crm.otsuka-europe.com</v>
      </c>
      <c r="N8285" s="13">
        <v>46183.410486111112</v>
      </c>
      <c r="O8285" s="14" t="str">
        <f>HYPERLINK("https://otsuka-europe-crm.veevavault.com/ui/#object/email_activity__v/V8C00000003T218", "EN-002094038")</f>
        <v>EN-002094038</v>
      </c>
    </row>
    <row r="8286" spans="1:15" ht="16" x14ac:dyDescent="0.2">
      <c r="A8286" s="17" t="str">
        <f>HYPERLINK("https://otsuka-europe-crm.veevavault.com/ui/#object/account__v/V4TZ04ASGBCHC4Z", "BARBARA KROEGLER")</f>
        <v>BARBARA KROEGLER</v>
      </c>
      <c r="B8286" s="17" t="str">
        <f t="shared" si="662"/>
        <v>IT</v>
      </c>
      <c r="C8286" s="20" t="s">
        <v>44</v>
      </c>
      <c r="D8286" s="21" t="str">
        <f>HYPERLINK("https://otsuka-europe-crm.veevavault.com/ui/#object/approved_document__v/V5O00000001B005", "Lupkynis_Multitarget_IT-LUP-2600003 V1.0 - RHEUMA")</f>
        <v>Lupkynis_Multitarget_IT-LUP-2600003 V1.0 - RHEUMA</v>
      </c>
      <c r="E8286" s="22" t="str">
        <f>HYPERLINK("https://otsuka-europe-crm.veevavault.com/ui/#object/sent_email__v/VBL00000002R632", "SE-001435361")</f>
        <v>SE-001435361</v>
      </c>
      <c r="F8286" s="25"/>
      <c r="G8286" s="24">
        <v>0</v>
      </c>
      <c r="H8286" s="24">
        <v>0</v>
      </c>
      <c r="I8286" s="24">
        <v>0</v>
      </c>
      <c r="J8286" s="25"/>
      <c r="K8286" s="24">
        <v>0</v>
      </c>
      <c r="L8286" s="22" t="str">
        <f>HYPERLINK("https://otsuka-europe-crm.veevavault.com/ui/#object/approved_document__v/V5O00000001B005", "Lupkynis_Multitarget_IT-LUP-2600003 V1.0 - RHEUMA")</f>
        <v>Lupkynis_Multitarget_IT-LUP-2600003 V1.0 - RHEUMA</v>
      </c>
      <c r="M8286" s="22" t="str">
        <f t="shared" si="663"/>
        <v>linda.ottavo@crm.otsuka-europe.com</v>
      </c>
      <c r="N8286" s="23">
        <v>46183.410694444443</v>
      </c>
      <c r="O8286" s="14" t="str">
        <f>HYPERLINK("https://otsuka-europe-crm.veevavault.com/ui/#object/email_activity__v/V8C00000003S731", "EN-002094336")</f>
        <v>EN-002094336</v>
      </c>
    </row>
    <row r="8287" spans="1:15" ht="16" x14ac:dyDescent="0.2">
      <c r="A8287" s="18"/>
      <c r="B8287" s="18"/>
      <c r="C8287" s="18"/>
      <c r="D8287" s="18"/>
      <c r="E8287" s="18"/>
      <c r="F8287" s="18"/>
      <c r="G8287" s="18"/>
      <c r="H8287" s="18"/>
      <c r="I8287" s="18"/>
      <c r="J8287" s="18"/>
      <c r="K8287" s="18"/>
      <c r="L8287" s="18"/>
      <c r="M8287" s="18"/>
      <c r="N8287" s="18"/>
      <c r="O8287" s="14" t="str">
        <f>HYPERLINK("https://otsuka-europe-crm.veevavault.com/ui/#object/email_activity__v/V8C00000003T219", "EN-002094039")</f>
        <v>EN-002094039</v>
      </c>
    </row>
    <row r="8288" spans="1:15" ht="16" x14ac:dyDescent="0.2">
      <c r="A8288" s="18"/>
      <c r="B8288" s="18"/>
      <c r="C8288" s="18"/>
      <c r="D8288" s="18"/>
      <c r="E8288" s="18"/>
      <c r="F8288" s="18"/>
      <c r="G8288" s="18"/>
      <c r="H8288" s="18"/>
      <c r="I8288" s="18"/>
      <c r="J8288" s="18"/>
      <c r="K8288" s="18"/>
      <c r="L8288" s="18"/>
      <c r="M8288" s="18"/>
      <c r="N8288" s="18"/>
      <c r="O8288" s="14" t="str">
        <f>HYPERLINK("https://otsuka-europe-crm.veevavault.com/ui/#object/email_activity__v/V8C00000003U799", "EN-002096522")</f>
        <v>EN-002096522</v>
      </c>
    </row>
    <row r="8289" spans="1:15" ht="16" x14ac:dyDescent="0.2">
      <c r="A8289" s="19"/>
      <c r="B8289" s="19"/>
      <c r="C8289" s="19"/>
      <c r="D8289" s="19"/>
      <c r="E8289" s="19"/>
      <c r="F8289" s="19"/>
      <c r="G8289" s="19"/>
      <c r="H8289" s="19"/>
      <c r="I8289" s="19"/>
      <c r="J8289" s="19"/>
      <c r="K8289" s="19"/>
      <c r="L8289" s="19"/>
      <c r="M8289" s="19"/>
      <c r="N8289" s="19"/>
      <c r="O8289" s="14" t="str">
        <f>HYPERLINK("https://otsuka-europe-crm.veevavault.com/ui/#object/email_activity__v/V8C00000003V387", "EN-002095556")</f>
        <v>EN-002095556</v>
      </c>
    </row>
    <row r="8290" spans="1:15" ht="48" x14ac:dyDescent="0.2">
      <c r="A8290" s="7" t="str">
        <f>HYPERLINK("https://otsuka-europe-crm.veevavault.com/ui/#object/account__v/V4TZ06G6O71SB7D", "ANTONIETTA LA VERDE")</f>
        <v>ANTONIETTA LA VERDE</v>
      </c>
      <c r="B8290" s="7" t="str">
        <f>HYPERLINK("https://otsuka-europe-crm.veevavault.com/ui/#object/vcountry__v/VENZ000004SONFQ", "IT")</f>
        <v>IT</v>
      </c>
      <c r="C8290" s="8" t="s">
        <v>44</v>
      </c>
      <c r="D8290" s="9" t="str">
        <f>HYPERLINK("https://otsuka-europe-crm.veevavault.com/ui/#object/approved_document__v/V5O00000001B008", "Lupkynis_Multitarget_IT-LUP-2600003 V1.0 - NEPHRO")</f>
        <v>Lupkynis_Multitarget_IT-LUP-2600003 V1.0 - NEPHRO</v>
      </c>
      <c r="E8290" s="10" t="str">
        <f>HYPERLINK("https://otsuka-europe-crm.veevavault.com/ui/#object/sent_email__v/VBL00000002R633", "SE-001435362")</f>
        <v>SE-001435362</v>
      </c>
      <c r="F8290" s="11"/>
      <c r="G8290" s="12">
        <v>0</v>
      </c>
      <c r="H8290" s="12">
        <v>0</v>
      </c>
      <c r="I8290" s="12">
        <v>0</v>
      </c>
      <c r="J8290" s="11"/>
      <c r="K8290" s="12">
        <v>0</v>
      </c>
      <c r="L8290" s="10" t="str">
        <f>HYPERLINK("https://otsuka-europe-crm.veevavault.com/ui/#object/approved_document__v/V5O00000001B008", "Lupkynis_Multitarget_IT-LUP-2600003 V1.0 - NEPHRO")</f>
        <v>Lupkynis_Multitarget_IT-LUP-2600003 V1.0 - NEPHRO</v>
      </c>
      <c r="M8290" s="10" t="str">
        <f>HYPERLINK("mailto:linda.ottavo@crm.otsuka-europe.com", "linda.ottavo@crm.otsuka-europe.com")</f>
        <v>linda.ottavo@crm.otsuka-europe.com</v>
      </c>
      <c r="N8290" s="13">
        <v>46183.410740740743</v>
      </c>
      <c r="O8290" s="14" t="str">
        <f>HYPERLINK("https://otsuka-europe-crm.veevavault.com/ui/#object/email_activity__v/V8C00000003T220", "EN-002094040")</f>
        <v>EN-002094040</v>
      </c>
    </row>
    <row r="8291" spans="1:15" ht="48" x14ac:dyDescent="0.2">
      <c r="A8291" s="7" t="str">
        <f>HYPERLINK("https://otsuka-europe-crm.veevavault.com/ui/#object/account__v/V4TZ025E87CNPCA", "LUDOVICA LAMBERTI")</f>
        <v>LUDOVICA LAMBERTI</v>
      </c>
      <c r="B8291" s="7" t="str">
        <f>HYPERLINK("https://otsuka-europe-crm.veevavault.com/ui/#object/vcountry__v/VENZ000004SONFQ", "IT")</f>
        <v>IT</v>
      </c>
      <c r="C8291" s="8" t="s">
        <v>44</v>
      </c>
      <c r="D8291" s="9" t="str">
        <f>HYPERLINK("https://otsuka-europe-crm.veevavault.com/ui/#object/approved_document__v/V5O00000001B005", "Lupkynis_Multitarget_IT-LUP-2600003 V1.0 - RHEUMA")</f>
        <v>Lupkynis_Multitarget_IT-LUP-2600003 V1.0 - RHEUMA</v>
      </c>
      <c r="E8291" s="10" t="str">
        <f>HYPERLINK("https://otsuka-europe-crm.veevavault.com/ui/#object/sent_email__v/VBL00000002R634", "SE-001435363")</f>
        <v>SE-001435363</v>
      </c>
      <c r="F8291" s="11"/>
      <c r="G8291" s="12">
        <v>0</v>
      </c>
      <c r="H8291" s="12">
        <v>0</v>
      </c>
      <c r="I8291" s="12">
        <v>0</v>
      </c>
      <c r="J8291" s="11"/>
      <c r="K8291" s="12">
        <v>0</v>
      </c>
      <c r="L8291" s="10" t="str">
        <f>HYPERLINK("https://otsuka-europe-crm.veevavault.com/ui/#object/approved_document__v/V5O00000001B005", "Lupkynis_Multitarget_IT-LUP-2600003 V1.0 - RHEUMA")</f>
        <v>Lupkynis_Multitarget_IT-LUP-2600003 V1.0 - RHEUMA</v>
      </c>
      <c r="M8291" s="10" t="str">
        <f>HYPERLINK("mailto:linda.ottavo@crm.otsuka-europe.com", "linda.ottavo@crm.otsuka-europe.com")</f>
        <v>linda.ottavo@crm.otsuka-europe.com</v>
      </c>
      <c r="N8291" s="13">
        <v>46183.411053240743</v>
      </c>
      <c r="O8291" s="14" t="str">
        <f>HYPERLINK("https://otsuka-europe-crm.veevavault.com/ui/#object/email_activity__v/V8C00000003T221", "EN-002094041")</f>
        <v>EN-002094041</v>
      </c>
    </row>
    <row r="8292" spans="1:15" ht="48" x14ac:dyDescent="0.2">
      <c r="A8292" s="7" t="str">
        <f>HYPERLINK("https://otsuka-europe-crm.veevavault.com/ui/#object/account__v/V4TZ06G6O94QVG5", "SIMONA LAURINO")</f>
        <v>SIMONA LAURINO</v>
      </c>
      <c r="B8292" s="7" t="str">
        <f>HYPERLINK("https://otsuka-europe-crm.veevavault.com/ui/#object/vcountry__v/VENZ000004SONFQ", "IT")</f>
        <v>IT</v>
      </c>
      <c r="C8292" s="8" t="s">
        <v>44</v>
      </c>
      <c r="D8292" s="9" t="str">
        <f>HYPERLINK("https://otsuka-europe-crm.veevavault.com/ui/#object/approved_document__v/V5O00000001B008", "Lupkynis_Multitarget_IT-LUP-2600003 V1.0 - NEPHRO")</f>
        <v>Lupkynis_Multitarget_IT-LUP-2600003 V1.0 - NEPHRO</v>
      </c>
      <c r="E8292" s="10" t="str">
        <f>HYPERLINK("https://otsuka-europe-crm.veevavault.com/ui/#object/sent_email__v/VBL00000002R635", "SE-001435364")</f>
        <v>SE-001435364</v>
      </c>
      <c r="F8292" s="11"/>
      <c r="G8292" s="12">
        <v>0</v>
      </c>
      <c r="H8292" s="12">
        <v>0</v>
      </c>
      <c r="I8292" s="12">
        <v>0</v>
      </c>
      <c r="J8292" s="11"/>
      <c r="K8292" s="12">
        <v>0</v>
      </c>
      <c r="L8292" s="10" t="str">
        <f>HYPERLINK("https://otsuka-europe-crm.veevavault.com/ui/#object/approved_document__v/V5O00000001B008", "Lupkynis_Multitarget_IT-LUP-2600003 V1.0 - NEPHRO")</f>
        <v>Lupkynis_Multitarget_IT-LUP-2600003 V1.0 - NEPHRO</v>
      </c>
      <c r="M8292" s="10" t="str">
        <f>HYPERLINK("mailto:linda.ottavo@crm.otsuka-europe.com", "linda.ottavo@crm.otsuka-europe.com")</f>
        <v>linda.ottavo@crm.otsuka-europe.com</v>
      </c>
      <c r="N8292" s="13">
        <v>46183.411249999997</v>
      </c>
      <c r="O8292" s="14" t="str">
        <f>HYPERLINK("https://otsuka-europe-crm.veevavault.com/ui/#object/email_activity__v/V8C00000003T222", "EN-002094042")</f>
        <v>EN-002094042</v>
      </c>
    </row>
    <row r="8293" spans="1:15" ht="16" x14ac:dyDescent="0.2">
      <c r="A8293" s="17" t="str">
        <f>HYPERLINK("https://otsuka-europe-crm.veevavault.com/ui/#object/account__v/V4TZ04ASGBNLBEH", "ILARIA LECCESE")</f>
        <v>ILARIA LECCESE</v>
      </c>
      <c r="B8293" s="17" t="str">
        <f>HYPERLINK("https://otsuka-europe-crm.veevavault.com/ui/#object/vcountry__v/VENZ000004SONFQ", "IT")</f>
        <v>IT</v>
      </c>
      <c r="C8293" s="20" t="s">
        <v>44</v>
      </c>
      <c r="D8293" s="21" t="str">
        <f>HYPERLINK("https://otsuka-europe-crm.veevavault.com/ui/#object/approved_document__v/V5O00000001B005", "Lupkynis_Multitarget_IT-LUP-2600003 V1.0 - RHEUMA")</f>
        <v>Lupkynis_Multitarget_IT-LUP-2600003 V1.0 - RHEUMA</v>
      </c>
      <c r="E8293" s="22" t="str">
        <f>HYPERLINK("https://otsuka-europe-crm.veevavault.com/ui/#object/sent_email__v/VBL00000002S701", "SE-001435365")</f>
        <v>SE-001435365</v>
      </c>
      <c r="F8293" s="23">
        <v>46183.411921296298</v>
      </c>
      <c r="G8293" s="24">
        <v>1</v>
      </c>
      <c r="H8293" s="24">
        <v>1</v>
      </c>
      <c r="I8293" s="24">
        <v>1</v>
      </c>
      <c r="J8293" s="23">
        <v>46183.411921296298</v>
      </c>
      <c r="K8293" s="24">
        <v>3</v>
      </c>
      <c r="L8293" s="22" t="str">
        <f>HYPERLINK("https://otsuka-europe-crm.veevavault.com/ui/#object/approved_document__v/V5O00000001B005", "Lupkynis_Multitarget_IT-LUP-2600003 V1.0 - RHEUMA")</f>
        <v>Lupkynis_Multitarget_IT-LUP-2600003 V1.0 - RHEUMA</v>
      </c>
      <c r="M8293" s="22" t="str">
        <f>HYPERLINK("mailto:linda.ottavo@crm.otsuka-europe.com", "linda.ottavo@crm.otsuka-europe.com")</f>
        <v>linda.ottavo@crm.otsuka-europe.com</v>
      </c>
      <c r="N8293" s="23">
        <v>46183.411747685182</v>
      </c>
      <c r="O8293" s="14" t="str">
        <f>HYPERLINK("https://otsuka-europe-crm.veevavault.com/ui/#object/email_activity__v/V8C00000003T224", "EN-002094044")</f>
        <v>EN-002094044</v>
      </c>
    </row>
    <row r="8294" spans="1:15" ht="16" x14ac:dyDescent="0.2">
      <c r="A8294" s="18"/>
      <c r="B8294" s="18"/>
      <c r="C8294" s="18"/>
      <c r="D8294" s="18"/>
      <c r="E8294" s="18"/>
      <c r="F8294" s="18"/>
      <c r="G8294" s="18"/>
      <c r="H8294" s="18"/>
      <c r="I8294" s="18"/>
      <c r="J8294" s="18"/>
      <c r="K8294" s="18"/>
      <c r="L8294" s="18"/>
      <c r="M8294" s="18"/>
      <c r="N8294" s="18"/>
      <c r="O8294" s="14" t="str">
        <f>HYPERLINK("https://otsuka-europe-crm.veevavault.com/ui/#object/email_activity__v/V8C00000003T225", "EN-002094047")</f>
        <v>EN-002094047</v>
      </c>
    </row>
    <row r="8295" spans="1:15" ht="16" x14ac:dyDescent="0.2">
      <c r="A8295" s="18"/>
      <c r="B8295" s="18"/>
      <c r="C8295" s="18"/>
      <c r="D8295" s="18"/>
      <c r="E8295" s="18"/>
      <c r="F8295" s="18"/>
      <c r="G8295" s="18"/>
      <c r="H8295" s="18"/>
      <c r="I8295" s="18"/>
      <c r="J8295" s="18"/>
      <c r="K8295" s="18"/>
      <c r="L8295" s="18"/>
      <c r="M8295" s="18"/>
      <c r="N8295" s="18"/>
      <c r="O8295" s="14" t="str">
        <f>HYPERLINK("https://otsuka-europe-crm.veevavault.com/ui/#object/email_activity__v/V8C00000003T226", "EN-002094045")</f>
        <v>EN-002094045</v>
      </c>
    </row>
    <row r="8296" spans="1:15" ht="16" x14ac:dyDescent="0.2">
      <c r="A8296" s="18"/>
      <c r="B8296" s="18"/>
      <c r="C8296" s="18"/>
      <c r="D8296" s="18"/>
      <c r="E8296" s="18"/>
      <c r="F8296" s="18"/>
      <c r="G8296" s="18"/>
      <c r="H8296" s="18"/>
      <c r="I8296" s="18"/>
      <c r="J8296" s="18"/>
      <c r="K8296" s="18"/>
      <c r="L8296" s="18"/>
      <c r="M8296" s="18"/>
      <c r="N8296" s="18"/>
      <c r="O8296" s="14" t="str">
        <f>HYPERLINK("https://otsuka-europe-crm.veevavault.com/ui/#object/email_activity__v/V8C00000003T228", "EN-002094048")</f>
        <v>EN-002094048</v>
      </c>
    </row>
    <row r="8297" spans="1:15" ht="16" x14ac:dyDescent="0.2">
      <c r="A8297" s="18"/>
      <c r="B8297" s="18"/>
      <c r="C8297" s="18"/>
      <c r="D8297" s="18"/>
      <c r="E8297" s="18"/>
      <c r="F8297" s="18"/>
      <c r="G8297" s="18"/>
      <c r="H8297" s="18"/>
      <c r="I8297" s="18"/>
      <c r="J8297" s="18"/>
      <c r="K8297" s="18"/>
      <c r="L8297" s="18"/>
      <c r="M8297" s="18"/>
      <c r="N8297" s="18"/>
      <c r="O8297" s="14" t="str">
        <f>HYPERLINK("https://otsuka-europe-crm.veevavault.com/ui/#object/email_activity__v/V8C00000003T229", "EN-002094049")</f>
        <v>EN-002094049</v>
      </c>
    </row>
    <row r="8298" spans="1:15" ht="16" x14ac:dyDescent="0.2">
      <c r="A8298" s="19"/>
      <c r="B8298" s="19"/>
      <c r="C8298" s="19"/>
      <c r="D8298" s="19"/>
      <c r="E8298" s="19"/>
      <c r="F8298" s="19"/>
      <c r="G8298" s="19"/>
      <c r="H8298" s="19"/>
      <c r="I8298" s="19"/>
      <c r="J8298" s="19"/>
      <c r="K8298" s="19"/>
      <c r="L8298" s="19"/>
      <c r="M8298" s="19"/>
      <c r="N8298" s="19"/>
      <c r="O8298" s="14" t="str">
        <f>HYPERLINK("https://otsuka-europe-crm.veevavault.com/ui/#object/email_activity__v/V8C00000003T284", "EN-002094125")</f>
        <v>EN-002094125</v>
      </c>
    </row>
    <row r="8299" spans="1:15" ht="48" x14ac:dyDescent="0.2">
      <c r="A8299" s="7" t="str">
        <f>HYPERLINK("https://otsuka-europe-crm.veevavault.com/ui/#object/account__v/V4TZ04ASGBCFYVY", "GABRIELLA LOI")</f>
        <v>GABRIELLA LOI</v>
      </c>
      <c r="B8299" s="7" t="str">
        <f>HYPERLINK("https://otsuka-europe-crm.veevavault.com/ui/#object/vcountry__v/VENZ000004SONFQ", "IT")</f>
        <v>IT</v>
      </c>
      <c r="C8299" s="8" t="s">
        <v>44</v>
      </c>
      <c r="D8299" s="9" t="str">
        <f>HYPERLINK("https://otsuka-europe-crm.veevavault.com/ui/#object/approved_document__v/V5O00000001B005", "Lupkynis_Multitarget_IT-LUP-2600003 V1.0 - RHEUMA")</f>
        <v>Lupkynis_Multitarget_IT-LUP-2600003 V1.0 - RHEUMA</v>
      </c>
      <c r="E8299" s="10" t="str">
        <f>HYPERLINK("https://otsuka-europe-crm.veevavault.com/ui/#object/sent_email__v/VBL00000002R636", "SE-001435366")</f>
        <v>SE-001435366</v>
      </c>
      <c r="F8299" s="11"/>
      <c r="G8299" s="12">
        <v>0</v>
      </c>
      <c r="H8299" s="12">
        <v>0</v>
      </c>
      <c r="I8299" s="12">
        <v>0</v>
      </c>
      <c r="J8299" s="11"/>
      <c r="K8299" s="12">
        <v>0</v>
      </c>
      <c r="L8299" s="10" t="str">
        <f>HYPERLINK("https://otsuka-europe-crm.veevavault.com/ui/#object/approved_document__v/V5O00000001B005", "Lupkynis_Multitarget_IT-LUP-2600003 V1.0 - RHEUMA")</f>
        <v>Lupkynis_Multitarget_IT-LUP-2600003 V1.0 - RHEUMA</v>
      </c>
      <c r="M8299" s="10" t="str">
        <f>HYPERLINK("mailto:linda.ottavo@crm.otsuka-europe.com", "linda.ottavo@crm.otsuka-europe.com")</f>
        <v>linda.ottavo@crm.otsuka-europe.com</v>
      </c>
      <c r="N8299" s="13">
        <v>46183.411759259259</v>
      </c>
      <c r="O8299" s="14" t="str">
        <f>HYPERLINK("https://otsuka-europe-crm.veevavault.com/ui/#object/email_activity__v/V8C00000003T223", "EN-002094043")</f>
        <v>EN-002094043</v>
      </c>
    </row>
    <row r="8300" spans="1:15" ht="16" x14ac:dyDescent="0.2">
      <c r="A8300" s="17" t="str">
        <f>HYPERLINK("https://otsuka-europe-crm.veevavault.com/ui/#object/account__v/V4TZ04ASGC2KJWQ", "FRANCESCO LONDRINO")</f>
        <v>FRANCESCO LONDRINO</v>
      </c>
      <c r="B8300" s="17" t="str">
        <f>HYPERLINK("https://otsuka-europe-crm.veevavault.com/ui/#object/vcountry__v/VENZ000004SONFQ", "IT")</f>
        <v>IT</v>
      </c>
      <c r="C8300" s="20" t="s">
        <v>44</v>
      </c>
      <c r="D8300" s="21" t="str">
        <f>HYPERLINK("https://otsuka-europe-crm.veevavault.com/ui/#object/approved_document__v/V5O00000001B008", "Lupkynis_Multitarget_IT-LUP-2600003 V1.0 - NEPHRO")</f>
        <v>Lupkynis_Multitarget_IT-LUP-2600003 V1.0 - NEPHRO</v>
      </c>
      <c r="E8300" s="22" t="str">
        <f>HYPERLINK("https://otsuka-europe-crm.veevavault.com/ui/#object/sent_email__v/VBL00000002S702", "SE-001435367")</f>
        <v>SE-001435367</v>
      </c>
      <c r="F8300" s="23">
        <v>46183.891898148147</v>
      </c>
      <c r="G8300" s="24">
        <v>1</v>
      </c>
      <c r="H8300" s="24">
        <v>2</v>
      </c>
      <c r="I8300" s="24">
        <v>0</v>
      </c>
      <c r="J8300" s="25"/>
      <c r="K8300" s="24">
        <v>0</v>
      </c>
      <c r="L8300" s="22" t="str">
        <f>HYPERLINK("https://otsuka-europe-crm.veevavault.com/ui/#object/approved_document__v/V5O00000001B008", "Lupkynis_Multitarget_IT-LUP-2600003 V1.0 - NEPHRO")</f>
        <v>Lupkynis_Multitarget_IT-LUP-2600003 V1.0 - NEPHRO</v>
      </c>
      <c r="M8300" s="22" t="str">
        <f>HYPERLINK("mailto:linda.ottavo@crm.otsuka-europe.com", "linda.ottavo@crm.otsuka-europe.com")</f>
        <v>linda.ottavo@crm.otsuka-europe.com</v>
      </c>
      <c r="N8300" s="23">
        <v>46183.411851851852</v>
      </c>
      <c r="O8300" s="14" t="str">
        <f>HYPERLINK("https://otsuka-europe-crm.veevavault.com/ui/#object/email_activity__v/V8C00000003T227", "EN-002094046")</f>
        <v>EN-002094046</v>
      </c>
    </row>
    <row r="8301" spans="1:15" ht="16" x14ac:dyDescent="0.2">
      <c r="A8301" s="18"/>
      <c r="B8301" s="18"/>
      <c r="C8301" s="18"/>
      <c r="D8301" s="18"/>
      <c r="E8301" s="18"/>
      <c r="F8301" s="18"/>
      <c r="G8301" s="18"/>
      <c r="H8301" s="18"/>
      <c r="I8301" s="18"/>
      <c r="J8301" s="18"/>
      <c r="K8301" s="18"/>
      <c r="L8301" s="18"/>
      <c r="M8301" s="18"/>
      <c r="N8301" s="18"/>
      <c r="O8301" s="14" t="str">
        <f>HYPERLINK("https://otsuka-europe-crm.veevavault.com/ui/#object/email_activity__v/V8C00000003T407", "EN-002094432")</f>
        <v>EN-002094432</v>
      </c>
    </row>
    <row r="8302" spans="1:15" ht="16" x14ac:dyDescent="0.2">
      <c r="A8302" s="19"/>
      <c r="B8302" s="19"/>
      <c r="C8302" s="19"/>
      <c r="D8302" s="19"/>
      <c r="E8302" s="19"/>
      <c r="F8302" s="19"/>
      <c r="G8302" s="19"/>
      <c r="H8302" s="19"/>
      <c r="I8302" s="19"/>
      <c r="J8302" s="19"/>
      <c r="K8302" s="19"/>
      <c r="L8302" s="19"/>
      <c r="M8302" s="19"/>
      <c r="N8302" s="19"/>
      <c r="O8302" s="14" t="str">
        <f>HYPERLINK("https://otsuka-europe-crm.veevavault.com/ui/#object/email_activity__v/V8C00000003T408", "EN-002094433")</f>
        <v>EN-002094433</v>
      </c>
    </row>
    <row r="8303" spans="1:15" ht="48" x14ac:dyDescent="0.2">
      <c r="A8303" s="7" t="str">
        <f>HYPERLINK("https://otsuka-europe-crm.veevavault.com/ui/#object/account__v/V4TZ04ASGBC5XG5", "SEBASTIANO LORUSSO")</f>
        <v>SEBASTIANO LORUSSO</v>
      </c>
      <c r="B8303" s="7" t="str">
        <f>HYPERLINK("https://otsuka-europe-crm.veevavault.com/ui/#object/vcountry__v/VENZ000004SONFQ", "IT")</f>
        <v>IT</v>
      </c>
      <c r="C8303" s="8" t="s">
        <v>44</v>
      </c>
      <c r="D8303" s="9" t="str">
        <f>HYPERLINK("https://otsuka-europe-crm.veevavault.com/ui/#object/approved_document__v/V5O00000001B005", "Lupkynis_Multitarget_IT-LUP-2600003 V1.0 - RHEUMA")</f>
        <v>Lupkynis_Multitarget_IT-LUP-2600003 V1.0 - RHEUMA</v>
      </c>
      <c r="E8303" s="10" t="str">
        <f>HYPERLINK("https://otsuka-europe-crm.veevavault.com/ui/#object/sent_email__v/VBL00000002R637", "SE-001435368")</f>
        <v>SE-001435368</v>
      </c>
      <c r="F8303" s="11"/>
      <c r="G8303" s="12">
        <v>0</v>
      </c>
      <c r="H8303" s="12">
        <v>0</v>
      </c>
      <c r="I8303" s="12">
        <v>0</v>
      </c>
      <c r="J8303" s="11"/>
      <c r="K8303" s="12">
        <v>0</v>
      </c>
      <c r="L8303" s="10" t="str">
        <f>HYPERLINK("https://otsuka-europe-crm.veevavault.com/ui/#object/approved_document__v/V5O00000001B005", "Lupkynis_Multitarget_IT-LUP-2600003 V1.0 - RHEUMA")</f>
        <v>Lupkynis_Multitarget_IT-LUP-2600003 V1.0 - RHEUMA</v>
      </c>
      <c r="M8303" s="10" t="str">
        <f>HYPERLINK("mailto:linda.ottavo@crm.otsuka-europe.com", "linda.ottavo@crm.otsuka-europe.com")</f>
        <v>linda.ottavo@crm.otsuka-europe.com</v>
      </c>
      <c r="N8303" s="13">
        <v>46183.412118055552</v>
      </c>
      <c r="O8303" s="14" t="str">
        <f>HYPERLINK("https://otsuka-europe-crm.veevavault.com/ui/#object/email_activity__v/V8C00000003T230", "EN-002094051")</f>
        <v>EN-002094051</v>
      </c>
    </row>
    <row r="8304" spans="1:15" ht="16" x14ac:dyDescent="0.2">
      <c r="A8304" s="17" t="str">
        <f>HYPERLINK("https://otsuka-europe-crm.veevavault.com/ui/#object/account__v/V4TZ04ASGAZZGKV", "MARIA CIANCIULLI")</f>
        <v>MARIA CIANCIULLI</v>
      </c>
      <c r="B8304" s="17" t="str">
        <f>HYPERLINK("https://otsuka-europe-crm.veevavault.com/ui/#object/vcountry__v/VENZ000004SONFQ", "IT")</f>
        <v>IT</v>
      </c>
      <c r="C8304" s="20" t="s">
        <v>44</v>
      </c>
      <c r="D8304" s="21" t="str">
        <f>HYPERLINK("https://otsuka-europe-crm.veevavault.com/ui/#object/approved_document__v/V5O00000001G004", "Branded_RXULTI_AE Ansia_IT-RXU-2500035")</f>
        <v>Branded_RXULTI_AE Ansia_IT-RXU-2500035</v>
      </c>
      <c r="E8304" s="22" t="str">
        <f>HYPERLINK("https://otsuka-europe-crm.veevavault.com/ui/#object/sent_email__v/VBL00000002S703", "SE-001435369")</f>
        <v>SE-001435369</v>
      </c>
      <c r="F8304" s="23">
        <v>46184.41207175926</v>
      </c>
      <c r="G8304" s="24">
        <v>1</v>
      </c>
      <c r="H8304" s="24">
        <v>4</v>
      </c>
      <c r="I8304" s="24">
        <v>1</v>
      </c>
      <c r="J8304" s="23">
        <v>46183.691655092596</v>
      </c>
      <c r="K8304" s="24">
        <v>1</v>
      </c>
      <c r="L8304" s="22" t="str">
        <f>HYPERLINK("https://otsuka-europe-crm.veevavault.com/ui/#object/approved_document__v/V5O00000001G004", "Branded_RXULTI_AE Ansia_IT-RXU-2500035")</f>
        <v>Branded_RXULTI_AE Ansia_IT-RXU-2500035</v>
      </c>
      <c r="M8304" s="22" t="str">
        <f>HYPERLINK("mailto:maria.gargiulo@crm.otsuka-europe.com", "maria.gargiulo@crm.otsuka-europe.com")</f>
        <v>maria.gargiulo@crm.otsuka-europe.com</v>
      </c>
      <c r="N8304" s="23">
        <v>46183.412106481483</v>
      </c>
      <c r="O8304" s="14" t="str">
        <f>HYPERLINK("https://otsuka-europe-crm.veevavault.com/ui/#object/email_activity__v/V8C00000003S586", "EN-002094050")</f>
        <v>EN-002094050</v>
      </c>
    </row>
    <row r="8305" spans="1:15" ht="16" x14ac:dyDescent="0.2">
      <c r="A8305" s="18"/>
      <c r="B8305" s="18"/>
      <c r="C8305" s="18"/>
      <c r="D8305" s="18"/>
      <c r="E8305" s="18"/>
      <c r="F8305" s="18"/>
      <c r="G8305" s="18"/>
      <c r="H8305" s="18"/>
      <c r="I8305" s="18"/>
      <c r="J8305" s="18"/>
      <c r="K8305" s="18"/>
      <c r="L8305" s="18"/>
      <c r="M8305" s="18"/>
      <c r="N8305" s="18"/>
      <c r="O8305" s="14" t="str">
        <f>HYPERLINK("https://otsuka-europe-crm.veevavault.com/ui/#object/email_activity__v/V8C00000003S724", "EN-002094329")</f>
        <v>EN-002094329</v>
      </c>
    </row>
    <row r="8306" spans="1:15" ht="16" x14ac:dyDescent="0.2">
      <c r="A8306" s="18"/>
      <c r="B8306" s="18"/>
      <c r="C8306" s="18"/>
      <c r="D8306" s="18"/>
      <c r="E8306" s="18"/>
      <c r="F8306" s="18"/>
      <c r="G8306" s="18"/>
      <c r="H8306" s="18"/>
      <c r="I8306" s="18"/>
      <c r="J8306" s="18"/>
      <c r="K8306" s="18"/>
      <c r="L8306" s="18"/>
      <c r="M8306" s="18"/>
      <c r="N8306" s="18"/>
      <c r="O8306" s="14" t="str">
        <f>HYPERLINK("https://otsuka-europe-crm.veevavault.com/ui/#object/email_activity__v/V8C00000003S725", "EN-002094330")</f>
        <v>EN-002094330</v>
      </c>
    </row>
    <row r="8307" spans="1:15" ht="16" x14ac:dyDescent="0.2">
      <c r="A8307" s="18"/>
      <c r="B8307" s="18"/>
      <c r="C8307" s="18"/>
      <c r="D8307" s="18"/>
      <c r="E8307" s="18"/>
      <c r="F8307" s="18"/>
      <c r="G8307" s="18"/>
      <c r="H8307" s="18"/>
      <c r="I8307" s="18"/>
      <c r="J8307" s="18"/>
      <c r="K8307" s="18"/>
      <c r="L8307" s="18"/>
      <c r="M8307" s="18"/>
      <c r="N8307" s="18"/>
      <c r="O8307" s="14" t="str">
        <f>HYPERLINK("https://otsuka-europe-crm.veevavault.com/ui/#object/email_activity__v/V8C00000003S726", "EN-002094331")</f>
        <v>EN-002094331</v>
      </c>
    </row>
    <row r="8308" spans="1:15" ht="16" x14ac:dyDescent="0.2">
      <c r="A8308" s="18"/>
      <c r="B8308" s="18"/>
      <c r="C8308" s="18"/>
      <c r="D8308" s="18"/>
      <c r="E8308" s="18"/>
      <c r="F8308" s="18"/>
      <c r="G8308" s="18"/>
      <c r="H8308" s="18"/>
      <c r="I8308" s="18"/>
      <c r="J8308" s="18"/>
      <c r="K8308" s="18"/>
      <c r="L8308" s="18"/>
      <c r="M8308" s="18"/>
      <c r="N8308" s="18"/>
      <c r="O8308" s="14" t="str">
        <f>HYPERLINK("https://otsuka-europe-crm.veevavault.com/ui/#object/email_activity__v/V8C00000003S727", "EN-002094332")</f>
        <v>EN-002094332</v>
      </c>
    </row>
    <row r="8309" spans="1:15" ht="16" x14ac:dyDescent="0.2">
      <c r="A8309" s="19"/>
      <c r="B8309" s="19"/>
      <c r="C8309" s="19"/>
      <c r="D8309" s="19"/>
      <c r="E8309" s="19"/>
      <c r="F8309" s="19"/>
      <c r="G8309" s="19"/>
      <c r="H8309" s="19"/>
      <c r="I8309" s="19"/>
      <c r="J8309" s="19"/>
      <c r="K8309" s="19"/>
      <c r="L8309" s="19"/>
      <c r="M8309" s="19"/>
      <c r="N8309" s="19"/>
      <c r="O8309" s="14" t="str">
        <f>HYPERLINK("https://otsuka-europe-crm.veevavault.com/ui/#object/email_activity__v/V8C00000003T471", "EN-002094562")</f>
        <v>EN-002094562</v>
      </c>
    </row>
    <row r="8310" spans="1:15" ht="16" x14ac:dyDescent="0.2">
      <c r="A8310" s="17" t="str">
        <f>HYPERLINK("https://otsuka-europe-crm.veevavault.com/ui/#object/account__v/V4TZ025E86FK8AA", "SILVIA MANCUSO")</f>
        <v>SILVIA MANCUSO</v>
      </c>
      <c r="B8310" s="17" t="str">
        <f>HYPERLINK("https://otsuka-europe-crm.veevavault.com/ui/#object/vcountry__v/VENZ000004SONFQ", "IT")</f>
        <v>IT</v>
      </c>
      <c r="C8310" s="20" t="s">
        <v>44</v>
      </c>
      <c r="D8310" s="21" t="str">
        <f>HYPERLINK("https://otsuka-europe-crm.veevavault.com/ui/#object/approved_document__v/V5O00000001B005", "Lupkynis_Multitarget_IT-LUP-2600003 V1.0 - RHEUMA")</f>
        <v>Lupkynis_Multitarget_IT-LUP-2600003 V1.0 - RHEUMA</v>
      </c>
      <c r="E8310" s="22" t="str">
        <f>HYPERLINK("https://otsuka-europe-crm.veevavault.com/ui/#object/sent_email__v/VBL00000002R638", "SE-001435370")</f>
        <v>SE-001435370</v>
      </c>
      <c r="F8310" s="23">
        <v>46183.434930555559</v>
      </c>
      <c r="G8310" s="24">
        <v>1</v>
      </c>
      <c r="H8310" s="24">
        <v>2</v>
      </c>
      <c r="I8310" s="24">
        <v>0</v>
      </c>
      <c r="J8310" s="25"/>
      <c r="K8310" s="24">
        <v>0</v>
      </c>
      <c r="L8310" s="22" t="str">
        <f>HYPERLINK("https://otsuka-europe-crm.veevavault.com/ui/#object/approved_document__v/V5O00000001B005", "Lupkynis_Multitarget_IT-LUP-2600003 V1.0 - RHEUMA")</f>
        <v>Lupkynis_Multitarget_IT-LUP-2600003 V1.0 - RHEUMA</v>
      </c>
      <c r="M8310" s="22" t="str">
        <f>HYPERLINK("mailto:linda.ottavo@crm.otsuka-europe.com", "linda.ottavo@crm.otsuka-europe.com")</f>
        <v>linda.ottavo@crm.otsuka-europe.com</v>
      </c>
      <c r="N8310" s="23">
        <v>46183.412442129629</v>
      </c>
      <c r="O8310" s="14" t="str">
        <f>HYPERLINK("https://otsuka-europe-crm.veevavault.com/ui/#object/email_activity__v/V8C00000003S587", "EN-002094052")</f>
        <v>EN-002094052</v>
      </c>
    </row>
    <row r="8311" spans="1:15" ht="16" x14ac:dyDescent="0.2">
      <c r="A8311" s="18"/>
      <c r="B8311" s="18"/>
      <c r="C8311" s="18"/>
      <c r="D8311" s="18"/>
      <c r="E8311" s="18"/>
      <c r="F8311" s="18"/>
      <c r="G8311" s="18"/>
      <c r="H8311" s="18"/>
      <c r="I8311" s="18"/>
      <c r="J8311" s="18"/>
      <c r="K8311" s="18"/>
      <c r="L8311" s="18"/>
      <c r="M8311" s="18"/>
      <c r="N8311" s="18"/>
      <c r="O8311" s="14" t="str">
        <f>HYPERLINK("https://otsuka-europe-crm.veevavault.com/ui/#object/email_activity__v/V8C00000003S598", "EN-002094092")</f>
        <v>EN-002094092</v>
      </c>
    </row>
    <row r="8312" spans="1:15" ht="16" x14ac:dyDescent="0.2">
      <c r="A8312" s="19"/>
      <c r="B8312" s="19"/>
      <c r="C8312" s="19"/>
      <c r="D8312" s="19"/>
      <c r="E8312" s="19"/>
      <c r="F8312" s="19"/>
      <c r="G8312" s="19"/>
      <c r="H8312" s="19"/>
      <c r="I8312" s="19"/>
      <c r="J8312" s="19"/>
      <c r="K8312" s="19"/>
      <c r="L8312" s="19"/>
      <c r="M8312" s="19"/>
      <c r="N8312" s="19"/>
      <c r="O8312" s="14" t="str">
        <f>HYPERLINK("https://otsuka-europe-crm.veevavault.com/ui/#object/email_activity__v/V8C00000003S613", "EN-002094140")</f>
        <v>EN-002094140</v>
      </c>
    </row>
    <row r="8313" spans="1:15" ht="32" x14ac:dyDescent="0.2">
      <c r="A8313" s="7" t="str">
        <f>HYPERLINK("https://otsuka-europe-crm.veevavault.com/ui/#object/account__v/V4TZ06G6O71SBA0", "AMBRA LONGOBARDI")</f>
        <v>AMBRA LONGOBARDI</v>
      </c>
      <c r="B8313" s="7" t="str">
        <f>HYPERLINK("https://otsuka-europe-crm.veevavault.com/ui/#object/vcountry__v/VENZ000004SONFQ", "IT")</f>
        <v>IT</v>
      </c>
      <c r="C8313" s="8" t="s">
        <v>44</v>
      </c>
      <c r="D8313" s="9" t="str">
        <f>HYPERLINK("https://otsuka-europe-crm.veevavault.com/ui/#object/approved_document__v/V5O00000001G004", "Branded_RXULTI_AE Ansia_IT-RXU-2500035")</f>
        <v>Branded_RXULTI_AE Ansia_IT-RXU-2500035</v>
      </c>
      <c r="E8313" s="10" t="str">
        <f>HYPERLINK("https://otsuka-europe-crm.veevavault.com/ui/#object/sent_email__v/VBL00000002S704", "SE-001435371")</f>
        <v>SE-001435371</v>
      </c>
      <c r="F8313" s="11"/>
      <c r="G8313" s="12">
        <v>0</v>
      </c>
      <c r="H8313" s="12">
        <v>0</v>
      </c>
      <c r="I8313" s="12">
        <v>0</v>
      </c>
      <c r="J8313" s="11"/>
      <c r="K8313" s="12">
        <v>0</v>
      </c>
      <c r="L8313" s="10" t="str">
        <f>HYPERLINK("https://otsuka-europe-crm.veevavault.com/ui/#object/approved_document__v/V5O00000001G004", "Branded_RXULTI_AE Ansia_IT-RXU-2500035")</f>
        <v>Branded_RXULTI_AE Ansia_IT-RXU-2500035</v>
      </c>
      <c r="M8313" s="10" t="str">
        <f>HYPERLINK("mailto:maria.gargiulo@crm.otsuka-europe.com", "maria.gargiulo@crm.otsuka-europe.com")</f>
        <v>maria.gargiulo@crm.otsuka-europe.com</v>
      </c>
      <c r="N8313" s="13">
        <v>46183.412442129629</v>
      </c>
      <c r="O8313" s="14" t="str">
        <f>HYPERLINK("https://otsuka-europe-crm.veevavault.com/ui/#object/email_activity__v/V8C00000003T232", "EN-002094054")</f>
        <v>EN-002094054</v>
      </c>
    </row>
    <row r="8314" spans="1:15" ht="16" x14ac:dyDescent="0.2">
      <c r="A8314" s="17" t="str">
        <f>HYPERLINK("https://otsuka-europe-crm.veevavault.com/ui/#object/account__v/V4TZ025E83K1VAF", "ANNALISA MARINO")</f>
        <v>ANNALISA MARINO</v>
      </c>
      <c r="B8314" s="17" t="str">
        <f>HYPERLINK("https://otsuka-europe-crm.veevavault.com/ui/#object/vcountry__v/VENZ000004SONFQ", "IT")</f>
        <v>IT</v>
      </c>
      <c r="C8314" s="20" t="s">
        <v>44</v>
      </c>
      <c r="D8314" s="21" t="str">
        <f>HYPERLINK("https://otsuka-europe-crm.veevavault.com/ui/#object/approved_document__v/V5O00000001B005", "Lupkynis_Multitarget_IT-LUP-2600003 V1.0 - RHEUMA")</f>
        <v>Lupkynis_Multitarget_IT-LUP-2600003 V1.0 - RHEUMA</v>
      </c>
      <c r="E8314" s="22" t="str">
        <f>HYPERLINK("https://otsuka-europe-crm.veevavault.com/ui/#object/sent_email__v/VBL00000002R639", "SE-001435372")</f>
        <v>SE-001435372</v>
      </c>
      <c r="F8314" s="23">
        <v>46183.622060185182</v>
      </c>
      <c r="G8314" s="24">
        <v>1</v>
      </c>
      <c r="H8314" s="24">
        <v>4</v>
      </c>
      <c r="I8314" s="24">
        <v>0</v>
      </c>
      <c r="J8314" s="25"/>
      <c r="K8314" s="24">
        <v>0</v>
      </c>
      <c r="L8314" s="22" t="str">
        <f>HYPERLINK("https://otsuka-europe-crm.veevavault.com/ui/#object/approved_document__v/V5O00000001B005", "Lupkynis_Multitarget_IT-LUP-2600003 V1.0 - RHEUMA")</f>
        <v>Lupkynis_Multitarget_IT-LUP-2600003 V1.0 - RHEUMA</v>
      </c>
      <c r="M8314" s="22" t="str">
        <f>HYPERLINK("mailto:linda.ottavo@crm.otsuka-europe.com", "linda.ottavo@crm.otsuka-europe.com")</f>
        <v>linda.ottavo@crm.otsuka-europe.com</v>
      </c>
      <c r="N8314" s="23">
        <v>46183.412465277775</v>
      </c>
      <c r="O8314" s="14" t="str">
        <f>HYPERLINK("https://otsuka-europe-crm.veevavault.com/ui/#object/email_activity__v/V8C00000003S600", "EN-002094095")</f>
        <v>EN-002094095</v>
      </c>
    </row>
    <row r="8315" spans="1:15" ht="16" x14ac:dyDescent="0.2">
      <c r="A8315" s="18"/>
      <c r="B8315" s="18"/>
      <c r="C8315" s="18"/>
      <c r="D8315" s="18"/>
      <c r="E8315" s="18"/>
      <c r="F8315" s="18"/>
      <c r="G8315" s="18"/>
      <c r="H8315" s="18"/>
      <c r="I8315" s="18"/>
      <c r="J8315" s="18"/>
      <c r="K8315" s="18"/>
      <c r="L8315" s="18"/>
      <c r="M8315" s="18"/>
      <c r="N8315" s="18"/>
      <c r="O8315" s="14" t="str">
        <f>HYPERLINK("https://otsuka-europe-crm.veevavault.com/ui/#object/email_activity__v/V8C00000003S695", "EN-002094278")</f>
        <v>EN-002094278</v>
      </c>
    </row>
    <row r="8316" spans="1:15" ht="16" x14ac:dyDescent="0.2">
      <c r="A8316" s="18"/>
      <c r="B8316" s="18"/>
      <c r="C8316" s="18"/>
      <c r="D8316" s="18"/>
      <c r="E8316" s="18"/>
      <c r="F8316" s="18"/>
      <c r="G8316" s="18"/>
      <c r="H8316" s="18"/>
      <c r="I8316" s="18"/>
      <c r="J8316" s="18"/>
      <c r="K8316" s="18"/>
      <c r="L8316" s="18"/>
      <c r="M8316" s="18"/>
      <c r="N8316" s="18"/>
      <c r="O8316" s="14" t="str">
        <f>HYPERLINK("https://otsuka-europe-crm.veevavault.com/ui/#object/email_activity__v/V8C00000003T231", "EN-002094053")</f>
        <v>EN-002094053</v>
      </c>
    </row>
    <row r="8317" spans="1:15" ht="16" x14ac:dyDescent="0.2">
      <c r="A8317" s="18"/>
      <c r="B8317" s="18"/>
      <c r="C8317" s="18"/>
      <c r="D8317" s="18"/>
      <c r="E8317" s="18"/>
      <c r="F8317" s="18"/>
      <c r="G8317" s="18"/>
      <c r="H8317" s="18"/>
      <c r="I8317" s="18"/>
      <c r="J8317" s="18"/>
      <c r="K8317" s="18"/>
      <c r="L8317" s="18"/>
      <c r="M8317" s="18"/>
      <c r="N8317" s="18"/>
      <c r="O8317" s="14" t="str">
        <f>HYPERLINK("https://otsuka-europe-crm.veevavault.com/ui/#object/email_activity__v/V8C00000003T260", "EN-002094094")</f>
        <v>EN-002094094</v>
      </c>
    </row>
    <row r="8318" spans="1:15" ht="16" x14ac:dyDescent="0.2">
      <c r="A8318" s="19"/>
      <c r="B8318" s="19"/>
      <c r="C8318" s="19"/>
      <c r="D8318" s="19"/>
      <c r="E8318" s="19"/>
      <c r="F8318" s="19"/>
      <c r="G8318" s="19"/>
      <c r="H8318" s="19"/>
      <c r="I8318" s="19"/>
      <c r="J8318" s="19"/>
      <c r="K8318" s="19"/>
      <c r="L8318" s="19"/>
      <c r="M8318" s="19"/>
      <c r="N8318" s="19"/>
      <c r="O8318" s="14" t="str">
        <f>HYPERLINK("https://otsuka-europe-crm.veevavault.com/ui/#object/email_activity__v/V8C00000003T289", "EN-002094134")</f>
        <v>EN-002094134</v>
      </c>
    </row>
    <row r="8319" spans="1:15" ht="48" x14ac:dyDescent="0.2">
      <c r="A8319" s="7" t="str">
        <f>HYPERLINK("https://otsuka-europe-crm.veevavault.com/ui/#object/account__v/V4TZ04ASGBNYFQ7", "DANIELE MAURO")</f>
        <v>DANIELE MAURO</v>
      </c>
      <c r="B8319" s="7" t="str">
        <f>HYPERLINK("https://otsuka-europe-crm.veevavault.com/ui/#object/vcountry__v/VENZ000004SONFQ", "IT")</f>
        <v>IT</v>
      </c>
      <c r="C8319" s="8" t="s">
        <v>44</v>
      </c>
      <c r="D8319" s="9" t="str">
        <f>HYPERLINK("https://otsuka-europe-crm.veevavault.com/ui/#object/approved_document__v/V5O00000001B005", "Lupkynis_Multitarget_IT-LUP-2600003 V1.0 - RHEUMA")</f>
        <v>Lupkynis_Multitarget_IT-LUP-2600003 V1.0 - RHEUMA</v>
      </c>
      <c r="E8319" s="10" t="str">
        <f>HYPERLINK("https://otsuka-europe-crm.veevavault.com/ui/#object/sent_email__v/VBL00000002S705", "SE-001435373")</f>
        <v>SE-001435373</v>
      </c>
      <c r="F8319" s="11"/>
      <c r="G8319" s="12">
        <v>0</v>
      </c>
      <c r="H8319" s="12">
        <v>0</v>
      </c>
      <c r="I8319" s="12">
        <v>0</v>
      </c>
      <c r="J8319" s="11"/>
      <c r="K8319" s="12">
        <v>0</v>
      </c>
      <c r="L8319" s="10" t="str">
        <f>HYPERLINK("https://otsuka-europe-crm.veevavault.com/ui/#object/approved_document__v/V5O00000001B005", "Lupkynis_Multitarget_IT-LUP-2600003 V1.0 - RHEUMA")</f>
        <v>Lupkynis_Multitarget_IT-LUP-2600003 V1.0 - RHEUMA</v>
      </c>
      <c r="M8319" s="10" t="str">
        <f>HYPERLINK("mailto:linda.ottavo@crm.otsuka-europe.com", "linda.ottavo@crm.otsuka-europe.com")</f>
        <v>linda.ottavo@crm.otsuka-europe.com</v>
      </c>
      <c r="N8319" s="13">
        <v>46183.412604166668</v>
      </c>
      <c r="O8319" s="14" t="str">
        <f>HYPERLINK("https://otsuka-europe-crm.veevavault.com/ui/#object/email_activity__v/V8C00000003S588", "EN-002094055")</f>
        <v>EN-002094055</v>
      </c>
    </row>
    <row r="8320" spans="1:15" ht="32" x14ac:dyDescent="0.2">
      <c r="A8320" s="7" t="str">
        <f>HYPERLINK("https://otsuka-europe-crm.veevavault.com/ui/#object/account__v/V4TZ04ASGCYXOBN", "SAVINO GORGOGLIONE")</f>
        <v>SAVINO GORGOGLIONE</v>
      </c>
      <c r="B8320" s="7" t="str">
        <f>HYPERLINK("https://otsuka-europe-crm.veevavault.com/ui/#object/vcountry__v/VENZ000004SONFQ", "IT")</f>
        <v>IT</v>
      </c>
      <c r="C8320" s="8" t="s">
        <v>44</v>
      </c>
      <c r="D8320" s="9" t="str">
        <f>HYPERLINK("https://otsuka-europe-crm.veevavault.com/ui/#object/approved_document__v/V5O00000001G004", "Branded_RXULTI_AE Ansia_IT-RXU-2500035")</f>
        <v>Branded_RXULTI_AE Ansia_IT-RXU-2500035</v>
      </c>
      <c r="E8320" s="10" t="str">
        <f>HYPERLINK("https://otsuka-europe-crm.veevavault.com/ui/#object/sent_email__v/VBL00000002S706", "SE-001435374")</f>
        <v>SE-001435374</v>
      </c>
      <c r="F8320" s="11"/>
      <c r="G8320" s="12">
        <v>0</v>
      </c>
      <c r="H8320" s="12">
        <v>0</v>
      </c>
      <c r="I8320" s="12">
        <v>0</v>
      </c>
      <c r="J8320" s="11"/>
      <c r="K8320" s="12">
        <v>0</v>
      </c>
      <c r="L8320" s="10" t="str">
        <f>HYPERLINK("https://otsuka-europe-crm.veevavault.com/ui/#object/approved_document__v/V5O00000001G004", "Branded_RXULTI_AE Ansia_IT-RXU-2500035")</f>
        <v>Branded_RXULTI_AE Ansia_IT-RXU-2500035</v>
      </c>
      <c r="M8320" s="10" t="str">
        <f>HYPERLINK("mailto:maria.gargiulo@crm.otsuka-europe.com", "maria.gargiulo@crm.otsuka-europe.com")</f>
        <v>maria.gargiulo@crm.otsuka-europe.com</v>
      </c>
      <c r="N8320" s="13">
        <v>46183.412789351853</v>
      </c>
      <c r="O8320" s="14" t="str">
        <f>HYPERLINK("https://otsuka-europe-crm.veevavault.com/ui/#object/email_activity__v/V8C00000003T233", "EN-002094056")</f>
        <v>EN-002094056</v>
      </c>
    </row>
    <row r="8321" spans="1:15" ht="48" x14ac:dyDescent="0.2">
      <c r="A8321" s="7" t="str">
        <f>HYPERLINK("https://otsuka-europe-crm.veevavault.com/ui/#object/account__v/V4TZ04ASGBCE9K6", "ANNA MERCHIONDA")</f>
        <v>ANNA MERCHIONDA</v>
      </c>
      <c r="B8321" s="7" t="str">
        <f>HYPERLINK("https://otsuka-europe-crm.veevavault.com/ui/#object/vcountry__v/VENZ000004SONFQ", "IT")</f>
        <v>IT</v>
      </c>
      <c r="C8321" s="8" t="s">
        <v>44</v>
      </c>
      <c r="D8321" s="9" t="str">
        <f>HYPERLINK("https://otsuka-europe-crm.veevavault.com/ui/#object/approved_document__v/V5O00000001B005", "Lupkynis_Multitarget_IT-LUP-2600003 V1.0 - RHEUMA")</f>
        <v>Lupkynis_Multitarget_IT-LUP-2600003 V1.0 - RHEUMA</v>
      </c>
      <c r="E8321" s="10" t="str">
        <f>HYPERLINK("https://otsuka-europe-crm.veevavault.com/ui/#object/sent_email__v/VBL00000002R640", "SE-001435375")</f>
        <v>SE-001435375</v>
      </c>
      <c r="F8321" s="11"/>
      <c r="G8321" s="12">
        <v>0</v>
      </c>
      <c r="H8321" s="12">
        <v>0</v>
      </c>
      <c r="I8321" s="12">
        <v>0</v>
      </c>
      <c r="J8321" s="11"/>
      <c r="K8321" s="12">
        <v>0</v>
      </c>
      <c r="L8321" s="10" t="str">
        <f>HYPERLINK("https://otsuka-europe-crm.veevavault.com/ui/#object/approved_document__v/V5O00000001B005", "Lupkynis_Multitarget_IT-LUP-2600003 V1.0 - RHEUMA")</f>
        <v>Lupkynis_Multitarget_IT-LUP-2600003 V1.0 - RHEUMA</v>
      </c>
      <c r="M8321" s="10" t="str">
        <f>HYPERLINK("mailto:linda.ottavo@crm.otsuka-europe.com", "linda.ottavo@crm.otsuka-europe.com")</f>
        <v>linda.ottavo@crm.otsuka-europe.com</v>
      </c>
      <c r="N8321" s="13">
        <v>46183.412962962961</v>
      </c>
      <c r="O8321" s="14" t="str">
        <f>HYPERLINK("https://otsuka-europe-crm.veevavault.com/ui/#object/email_activity__v/V8C00000003T234", "EN-002094058")</f>
        <v>EN-002094058</v>
      </c>
    </row>
    <row r="8322" spans="1:15" ht="32" x14ac:dyDescent="0.2">
      <c r="A8322" s="7" t="str">
        <f>HYPERLINK("https://otsuka-europe-crm.veevavault.com/ui/#object/account__v/V4TZ06G6O71SAAM", "GENNARO DE LUCA")</f>
        <v>GENNARO DE LUCA</v>
      </c>
      <c r="B8322" s="7" t="str">
        <f>HYPERLINK("https://otsuka-europe-crm.veevavault.com/ui/#object/vcountry__v/VENZ000004SONFQ", "IT")</f>
        <v>IT</v>
      </c>
      <c r="C8322" s="8" t="s">
        <v>44</v>
      </c>
      <c r="D8322" s="9" t="str">
        <f>HYPERLINK("https://otsuka-europe-crm.veevavault.com/ui/#object/approved_document__v/V5O00000001G004", "Branded_RXULTI_AE Ansia_IT-RXU-2500035")</f>
        <v>Branded_RXULTI_AE Ansia_IT-RXU-2500035</v>
      </c>
      <c r="E8322" s="10" t="str">
        <f>HYPERLINK("https://otsuka-europe-crm.veevavault.com/ui/#object/sent_email__v/VBL00000002R641", "SE-001435376")</f>
        <v>SE-001435376</v>
      </c>
      <c r="F8322" s="11"/>
      <c r="G8322" s="12">
        <v>0</v>
      </c>
      <c r="H8322" s="12">
        <v>0</v>
      </c>
      <c r="I8322" s="12">
        <v>0</v>
      </c>
      <c r="J8322" s="11"/>
      <c r="K8322" s="12">
        <v>0</v>
      </c>
      <c r="L8322" s="10" t="str">
        <f>HYPERLINK("https://otsuka-europe-crm.veevavault.com/ui/#object/approved_document__v/V5O00000001G004", "Branded_RXULTI_AE Ansia_IT-RXU-2500035")</f>
        <v>Branded_RXULTI_AE Ansia_IT-RXU-2500035</v>
      </c>
      <c r="M8322" s="10" t="str">
        <f>HYPERLINK("mailto:maria.gargiulo@crm.otsuka-europe.com", "maria.gargiulo@crm.otsuka-europe.com")</f>
        <v>maria.gargiulo@crm.otsuka-europe.com</v>
      </c>
      <c r="N8322" s="13">
        <v>46183.412986111114</v>
      </c>
      <c r="O8322" s="14" t="str">
        <f>HYPERLINK("https://otsuka-europe-crm.veevavault.com/ui/#object/email_activity__v/V8C00000003S589", "EN-002094057")</f>
        <v>EN-002094057</v>
      </c>
    </row>
    <row r="8323" spans="1:15" ht="16" x14ac:dyDescent="0.2">
      <c r="A8323" s="17" t="str">
        <f>HYPERLINK("https://otsuka-europe-crm.veevavault.com/ui/#object/account__v/V4TZ06G6O71S9ZV", "RENATO BELLINELLO")</f>
        <v>RENATO BELLINELLO</v>
      </c>
      <c r="B8323" s="17" t="str">
        <f>HYPERLINK("https://otsuka-europe-crm.veevavault.com/ui/#object/vcountry__v/VENZ000004SONFQ", "IT")</f>
        <v>IT</v>
      </c>
      <c r="C8323" s="20" t="s">
        <v>44</v>
      </c>
      <c r="D8323" s="21" t="str">
        <f>HYPERLINK("https://otsuka-europe-crm.veevavault.com/ui/#object/approved_document__v/V5O00000001G004", "Branded_RXULTI_AE Ansia_IT-RXU-2500035")</f>
        <v>Branded_RXULTI_AE Ansia_IT-RXU-2500035</v>
      </c>
      <c r="E8323" s="22" t="str">
        <f>HYPERLINK("https://otsuka-europe-crm.veevavault.com/ui/#object/sent_email__v/VBL00000002R642", "SE-001435377")</f>
        <v>SE-001435377</v>
      </c>
      <c r="F8323" s="25"/>
      <c r="G8323" s="24">
        <v>0</v>
      </c>
      <c r="H8323" s="24">
        <v>0</v>
      </c>
      <c r="I8323" s="24">
        <v>0</v>
      </c>
      <c r="J8323" s="25"/>
      <c r="K8323" s="24">
        <v>0</v>
      </c>
      <c r="L8323" s="22" t="str">
        <f>HYPERLINK("https://otsuka-europe-crm.veevavault.com/ui/#object/approved_document__v/V5O00000001G004", "Branded_RXULTI_AE Ansia_IT-RXU-2500035")</f>
        <v>Branded_RXULTI_AE Ansia_IT-RXU-2500035</v>
      </c>
      <c r="M8323" s="22" t="str">
        <f>HYPERLINK("mailto:maria.gargiulo@crm.otsuka-europe.com", "maria.gargiulo@crm.otsuka-europe.com")</f>
        <v>maria.gargiulo@crm.otsuka-europe.com</v>
      </c>
      <c r="N8323" s="23">
        <v>46183.413310185184</v>
      </c>
      <c r="O8323" s="14" t="str">
        <f>HYPERLINK("https://otsuka-europe-crm.veevavault.com/ui/#object/email_activity__v/V8C00000003T236", "EN-002094060")</f>
        <v>EN-002094060</v>
      </c>
    </row>
    <row r="8324" spans="1:15" ht="16" x14ac:dyDescent="0.2">
      <c r="A8324" s="18"/>
      <c r="B8324" s="18"/>
      <c r="C8324" s="18"/>
      <c r="D8324" s="18"/>
      <c r="E8324" s="18"/>
      <c r="F8324" s="18"/>
      <c r="G8324" s="18"/>
      <c r="H8324" s="18"/>
      <c r="I8324" s="18"/>
      <c r="J8324" s="18"/>
      <c r="K8324" s="18"/>
      <c r="L8324" s="18"/>
      <c r="M8324" s="18"/>
      <c r="N8324" s="18"/>
      <c r="O8324" s="14" t="str">
        <f>HYPERLINK("https://otsuka-europe-crm.veevavault.com/ui/#object/email_activity__v/V8C00000003T295", "EN-002094144")</f>
        <v>EN-002094144</v>
      </c>
    </row>
    <row r="8325" spans="1:15" ht="16" x14ac:dyDescent="0.2">
      <c r="A8325" s="18"/>
      <c r="B8325" s="18"/>
      <c r="C8325" s="18"/>
      <c r="D8325" s="18"/>
      <c r="E8325" s="18"/>
      <c r="F8325" s="18"/>
      <c r="G8325" s="18"/>
      <c r="H8325" s="18"/>
      <c r="I8325" s="18"/>
      <c r="J8325" s="18"/>
      <c r="K8325" s="18"/>
      <c r="L8325" s="18"/>
      <c r="M8325" s="18"/>
      <c r="N8325" s="18"/>
      <c r="O8325" s="14" t="str">
        <f>HYPERLINK("https://otsuka-europe-crm.veevavault.com/ui/#object/email_activity__v/V8C00000003U051", "EN-002094911")</f>
        <v>EN-002094911</v>
      </c>
    </row>
    <row r="8326" spans="1:15" ht="16" x14ac:dyDescent="0.2">
      <c r="A8326" s="19"/>
      <c r="B8326" s="19"/>
      <c r="C8326" s="19"/>
      <c r="D8326" s="19"/>
      <c r="E8326" s="19"/>
      <c r="F8326" s="19"/>
      <c r="G8326" s="19"/>
      <c r="H8326" s="19"/>
      <c r="I8326" s="19"/>
      <c r="J8326" s="19"/>
      <c r="K8326" s="19"/>
      <c r="L8326" s="19"/>
      <c r="M8326" s="19"/>
      <c r="N8326" s="19"/>
      <c r="O8326" s="14" t="str">
        <f>HYPERLINK("https://otsuka-europe-crm.veevavault.com/ui/#object/email_activity__v/V8C000000042280", "EN-002100268")</f>
        <v>EN-002100268</v>
      </c>
    </row>
    <row r="8327" spans="1:15" ht="48" x14ac:dyDescent="0.2">
      <c r="A8327" s="7" t="str">
        <f>HYPERLINK("https://otsuka-europe-crm.veevavault.com/ui/#object/account__v/V4TZ04ASGBCHC67", "STELLA MODICA")</f>
        <v>STELLA MODICA</v>
      </c>
      <c r="B8327" s="7" t="str">
        <f t="shared" ref="B8327:B8333" si="664">HYPERLINK("https://otsuka-europe-crm.veevavault.com/ui/#object/vcountry__v/VENZ000004SONFQ", "IT")</f>
        <v>IT</v>
      </c>
      <c r="C8327" s="8" t="s">
        <v>44</v>
      </c>
      <c r="D8327" s="9" t="str">
        <f>HYPERLINK("https://otsuka-europe-crm.veevavault.com/ui/#object/approved_document__v/V5O00000001B005", "Lupkynis_Multitarget_IT-LUP-2600003 V1.0 - RHEUMA")</f>
        <v>Lupkynis_Multitarget_IT-LUP-2600003 V1.0 - RHEUMA</v>
      </c>
      <c r="E8327" s="10" t="str">
        <f>HYPERLINK("https://otsuka-europe-crm.veevavault.com/ui/#object/sent_email__v/VBL00000002R643", "SE-001435378")</f>
        <v>SE-001435378</v>
      </c>
      <c r="F8327" s="11"/>
      <c r="G8327" s="12">
        <v>0</v>
      </c>
      <c r="H8327" s="12">
        <v>0</v>
      </c>
      <c r="I8327" s="12">
        <v>0</v>
      </c>
      <c r="J8327" s="11"/>
      <c r="K8327" s="12">
        <v>0</v>
      </c>
      <c r="L8327" s="10" t="str">
        <f>HYPERLINK("https://otsuka-europe-crm.veevavault.com/ui/#object/approved_document__v/V5O00000001B005", "Lupkynis_Multitarget_IT-LUP-2600003 V1.0 - RHEUMA")</f>
        <v>Lupkynis_Multitarget_IT-LUP-2600003 V1.0 - RHEUMA</v>
      </c>
      <c r="M8327" s="10" t="str">
        <f t="shared" ref="M8327:M8333" si="665">HYPERLINK("mailto:linda.ottavo@crm.otsuka-europe.com", "linda.ottavo@crm.otsuka-europe.com")</f>
        <v>linda.ottavo@crm.otsuka-europe.com</v>
      </c>
      <c r="N8327" s="13">
        <v>46183.413321759261</v>
      </c>
      <c r="O8327" s="14" t="str">
        <f>HYPERLINK("https://otsuka-europe-crm.veevavault.com/ui/#object/email_activity__v/V8C00000003T235", "EN-002094059")</f>
        <v>EN-002094059</v>
      </c>
    </row>
    <row r="8328" spans="1:15" ht="48" x14ac:dyDescent="0.2">
      <c r="A8328" s="7" t="str">
        <f>HYPERLINK("https://otsuka-europe-crm.veevavault.com/ui/#object/account__v/V4TZ06G6O71SBKR", "MASSIMO MOROSETTI")</f>
        <v>MASSIMO MOROSETTI</v>
      </c>
      <c r="B8328" s="7" t="str">
        <f t="shared" si="664"/>
        <v>IT</v>
      </c>
      <c r="C8328" s="8" t="s">
        <v>44</v>
      </c>
      <c r="D8328" s="9" t="str">
        <f>HYPERLINK("https://otsuka-europe-crm.veevavault.com/ui/#object/approved_document__v/V5O00000001B008", "Lupkynis_Multitarget_IT-LUP-2600003 V1.0 - NEPHRO")</f>
        <v>Lupkynis_Multitarget_IT-LUP-2600003 V1.0 - NEPHRO</v>
      </c>
      <c r="E8328" s="10" t="str">
        <f>HYPERLINK("https://otsuka-europe-crm.veevavault.com/ui/#object/sent_email__v/VBL00000002S707", "SE-001435379")</f>
        <v>SE-001435379</v>
      </c>
      <c r="F8328" s="11"/>
      <c r="G8328" s="12">
        <v>0</v>
      </c>
      <c r="H8328" s="12">
        <v>0</v>
      </c>
      <c r="I8328" s="12">
        <v>0</v>
      </c>
      <c r="J8328" s="11"/>
      <c r="K8328" s="12">
        <v>0</v>
      </c>
      <c r="L8328" s="10" t="str">
        <f>HYPERLINK("https://otsuka-europe-crm.veevavault.com/ui/#object/approved_document__v/V5O00000001B008", "Lupkynis_Multitarget_IT-LUP-2600003 V1.0 - NEPHRO")</f>
        <v>Lupkynis_Multitarget_IT-LUP-2600003 V1.0 - NEPHRO</v>
      </c>
      <c r="M8328" s="10" t="str">
        <f t="shared" si="665"/>
        <v>linda.ottavo@crm.otsuka-europe.com</v>
      </c>
      <c r="N8328" s="13">
        <v>46183.413877314815</v>
      </c>
      <c r="O8328" s="14" t="str">
        <f>HYPERLINK("https://otsuka-europe-crm.veevavault.com/ui/#object/email_activity__v/V8C00000003T237", "EN-002094061")</f>
        <v>EN-002094061</v>
      </c>
    </row>
    <row r="8329" spans="1:15" ht="48" x14ac:dyDescent="0.2">
      <c r="A8329" s="7" t="str">
        <f>HYPERLINK("https://otsuka-europe-crm.veevavault.com/ui/#object/account__v/V4TZ04ASGBCE9KP", "PAOLO MOSCATO")</f>
        <v>PAOLO MOSCATO</v>
      </c>
      <c r="B8329" s="7" t="str">
        <f t="shared" si="664"/>
        <v>IT</v>
      </c>
      <c r="C8329" s="8" t="s">
        <v>44</v>
      </c>
      <c r="D8329" s="9" t="str">
        <f>HYPERLINK("https://otsuka-europe-crm.veevavault.com/ui/#object/approved_document__v/V5O00000001B005", "Lupkynis_Multitarget_IT-LUP-2600003 V1.0 - RHEUMA")</f>
        <v>Lupkynis_Multitarget_IT-LUP-2600003 V1.0 - RHEUMA</v>
      </c>
      <c r="E8329" s="10" t="str">
        <f>HYPERLINK("https://otsuka-europe-crm.veevavault.com/ui/#object/sent_email__v/VBL00000002S708", "SE-001435380")</f>
        <v>SE-001435380</v>
      </c>
      <c r="F8329" s="11"/>
      <c r="G8329" s="12">
        <v>0</v>
      </c>
      <c r="H8329" s="12">
        <v>0</v>
      </c>
      <c r="I8329" s="12">
        <v>0</v>
      </c>
      <c r="J8329" s="11"/>
      <c r="K8329" s="12">
        <v>0</v>
      </c>
      <c r="L8329" s="10" t="str">
        <f>HYPERLINK("https://otsuka-europe-crm.veevavault.com/ui/#object/approved_document__v/V5O00000001B005", "Lupkynis_Multitarget_IT-LUP-2600003 V1.0 - RHEUMA")</f>
        <v>Lupkynis_Multitarget_IT-LUP-2600003 V1.0 - RHEUMA</v>
      </c>
      <c r="M8329" s="10" t="str">
        <f t="shared" si="665"/>
        <v>linda.ottavo@crm.otsuka-europe.com</v>
      </c>
      <c r="N8329" s="13">
        <v>46183.413923611108</v>
      </c>
      <c r="O8329" s="14" t="str">
        <f>HYPERLINK("https://otsuka-europe-crm.veevavault.com/ui/#object/email_activity__v/V8C00000003T238", "EN-002094062")</f>
        <v>EN-002094062</v>
      </c>
    </row>
    <row r="8330" spans="1:15" ht="48" x14ac:dyDescent="0.2">
      <c r="A8330" s="7" t="str">
        <f>HYPERLINK("https://otsuka-europe-crm.veevavault.com/ui/#object/account__v/V4TZ04ASG9AWFNR", "CORRADO MURTAS")</f>
        <v>CORRADO MURTAS</v>
      </c>
      <c r="B8330" s="7" t="str">
        <f t="shared" si="664"/>
        <v>IT</v>
      </c>
      <c r="C8330" s="8" t="s">
        <v>44</v>
      </c>
      <c r="D8330" s="9" t="str">
        <f>HYPERLINK("https://otsuka-europe-crm.veevavault.com/ui/#object/approved_document__v/V5O00000001B008", "Lupkynis_Multitarget_IT-LUP-2600003 V1.0 - NEPHRO")</f>
        <v>Lupkynis_Multitarget_IT-LUP-2600003 V1.0 - NEPHRO</v>
      </c>
      <c r="E8330" s="10" t="str">
        <f>HYPERLINK("https://otsuka-europe-crm.veevavault.com/ui/#object/sent_email__v/VBL00000002R644", "SE-001435381")</f>
        <v>SE-001435381</v>
      </c>
      <c r="F8330" s="11"/>
      <c r="G8330" s="12">
        <v>0</v>
      </c>
      <c r="H8330" s="12">
        <v>0</v>
      </c>
      <c r="I8330" s="12">
        <v>0</v>
      </c>
      <c r="J8330" s="11"/>
      <c r="K8330" s="12">
        <v>0</v>
      </c>
      <c r="L8330" s="10" t="str">
        <f>HYPERLINK("https://otsuka-europe-crm.veevavault.com/ui/#object/approved_document__v/V5O00000001B008", "Lupkynis_Multitarget_IT-LUP-2600003 V1.0 - NEPHRO")</f>
        <v>Lupkynis_Multitarget_IT-LUP-2600003 V1.0 - NEPHRO</v>
      </c>
      <c r="M8330" s="10" t="str">
        <f t="shared" si="665"/>
        <v>linda.ottavo@crm.otsuka-europe.com</v>
      </c>
      <c r="N8330" s="13">
        <v>46183.414212962962</v>
      </c>
      <c r="O8330" s="14" t="str">
        <f>HYPERLINK("https://otsuka-europe-crm.veevavault.com/ui/#object/email_activity__v/V8C00000003T239", "EN-002094066")</f>
        <v>EN-002094066</v>
      </c>
    </row>
    <row r="8331" spans="1:15" ht="48" x14ac:dyDescent="0.2">
      <c r="A8331" s="7" t="str">
        <f>HYPERLINK("https://otsuka-europe-crm.veevavault.com/ui/#object/account__v/V4TZ04ASGC0197N", "CATERINA NACLERIO")</f>
        <v>CATERINA NACLERIO</v>
      </c>
      <c r="B8331" s="7" t="str">
        <f t="shared" si="664"/>
        <v>IT</v>
      </c>
      <c r="C8331" s="8" t="s">
        <v>44</v>
      </c>
      <c r="D8331" s="9" t="str">
        <f>HYPERLINK("https://otsuka-europe-crm.veevavault.com/ui/#object/approved_document__v/V5O00000001B005", "Lupkynis_Multitarget_IT-LUP-2600003 V1.0 - RHEUMA")</f>
        <v>Lupkynis_Multitarget_IT-LUP-2600003 V1.0 - RHEUMA</v>
      </c>
      <c r="E8331" s="10" t="str">
        <f>HYPERLINK("https://otsuka-europe-crm.veevavault.com/ui/#object/sent_email__v/VBL00000002S709", "SE-001435382")</f>
        <v>SE-001435382</v>
      </c>
      <c r="F8331" s="11"/>
      <c r="G8331" s="12">
        <v>0</v>
      </c>
      <c r="H8331" s="12">
        <v>0</v>
      </c>
      <c r="I8331" s="12">
        <v>0</v>
      </c>
      <c r="J8331" s="11"/>
      <c r="K8331" s="12">
        <v>0</v>
      </c>
      <c r="L8331" s="10" t="str">
        <f>HYPERLINK("https://otsuka-europe-crm.veevavault.com/ui/#object/approved_document__v/V5O00000001B005", "Lupkynis_Multitarget_IT-LUP-2600003 V1.0 - RHEUMA")</f>
        <v>Lupkynis_Multitarget_IT-LUP-2600003 V1.0 - RHEUMA</v>
      </c>
      <c r="M8331" s="10" t="str">
        <f t="shared" si="665"/>
        <v>linda.ottavo@crm.otsuka-europe.com</v>
      </c>
      <c r="N8331" s="13">
        <v>46183.414201388892</v>
      </c>
      <c r="O8331" s="14" t="str">
        <f>HYPERLINK("https://otsuka-europe-crm.veevavault.com/ui/#object/email_activity__v/V8C00000003T240", "EN-002094067")</f>
        <v>EN-002094067</v>
      </c>
    </row>
    <row r="8332" spans="1:15" ht="48" x14ac:dyDescent="0.2">
      <c r="A8332" s="7" t="str">
        <f>HYPERLINK("https://otsuka-europe-crm.veevavault.com/ui/#object/account__v/V4TZ06G6O71SBO3", "FELICE NAPPI")</f>
        <v>FELICE NAPPI</v>
      </c>
      <c r="B8332" s="7" t="str">
        <f t="shared" si="664"/>
        <v>IT</v>
      </c>
      <c r="C8332" s="8" t="s">
        <v>44</v>
      </c>
      <c r="D8332" s="9" t="str">
        <f>HYPERLINK("https://otsuka-europe-crm.veevavault.com/ui/#object/approved_document__v/V5O00000001B008", "Lupkynis_Multitarget_IT-LUP-2600003 V1.0 - NEPHRO")</f>
        <v>Lupkynis_Multitarget_IT-LUP-2600003 V1.0 - NEPHRO</v>
      </c>
      <c r="E8332" s="10" t="str">
        <f>HYPERLINK("https://otsuka-europe-crm.veevavault.com/ui/#object/sent_email__v/VBL00000002R645", "SE-001435383")</f>
        <v>SE-001435383</v>
      </c>
      <c r="F8332" s="11"/>
      <c r="G8332" s="12">
        <v>0</v>
      </c>
      <c r="H8332" s="12">
        <v>0</v>
      </c>
      <c r="I8332" s="12">
        <v>0</v>
      </c>
      <c r="J8332" s="11"/>
      <c r="K8332" s="12">
        <v>0</v>
      </c>
      <c r="L8332" s="10" t="str">
        <f>HYPERLINK("https://otsuka-europe-crm.veevavault.com/ui/#object/approved_document__v/V5O00000001B008", "Lupkynis_Multitarget_IT-LUP-2600003 V1.0 - NEPHRO")</f>
        <v>Lupkynis_Multitarget_IT-LUP-2600003 V1.0 - NEPHRO</v>
      </c>
      <c r="M8332" s="10" t="str">
        <f t="shared" si="665"/>
        <v>linda.ottavo@crm.otsuka-europe.com</v>
      </c>
      <c r="N8332" s="13">
        <v>46183.414305555554</v>
      </c>
      <c r="O8332" s="14" t="str">
        <f>HYPERLINK("https://otsuka-europe-crm.veevavault.com/ui/#object/email_activity__v/V8C00000003S592", "EN-002094065")</f>
        <v>EN-002094065</v>
      </c>
    </row>
    <row r="8333" spans="1:15" ht="16" x14ac:dyDescent="0.2">
      <c r="A8333" s="17" t="str">
        <f>HYPERLINK("https://otsuka-europe-crm.veevavault.com/ui/#object/account__v/V4TZ04ASGBJPYDW", "LUCA NAVARINI")</f>
        <v>LUCA NAVARINI</v>
      </c>
      <c r="B8333" s="17" t="str">
        <f t="shared" si="664"/>
        <v>IT</v>
      </c>
      <c r="C8333" s="20" t="s">
        <v>44</v>
      </c>
      <c r="D8333" s="21" t="str">
        <f>HYPERLINK("https://otsuka-europe-crm.veevavault.com/ui/#object/approved_document__v/V5O00000001B005", "Lupkynis_Multitarget_IT-LUP-2600003 V1.0 - RHEUMA")</f>
        <v>Lupkynis_Multitarget_IT-LUP-2600003 V1.0 - RHEUMA</v>
      </c>
      <c r="E8333" s="22" t="str">
        <f>HYPERLINK("https://otsuka-europe-crm.veevavault.com/ui/#object/sent_email__v/VBL00000002R646", "SE-001435384")</f>
        <v>SE-001435384</v>
      </c>
      <c r="F8333" s="23">
        <v>46183.421053240738</v>
      </c>
      <c r="G8333" s="24">
        <v>1</v>
      </c>
      <c r="H8333" s="24">
        <v>2</v>
      </c>
      <c r="I8333" s="24">
        <v>0</v>
      </c>
      <c r="J8333" s="25"/>
      <c r="K8333" s="24">
        <v>0</v>
      </c>
      <c r="L8333" s="22" t="str">
        <f>HYPERLINK("https://otsuka-europe-crm.veevavault.com/ui/#object/approved_document__v/V5O00000001B005", "Lupkynis_Multitarget_IT-LUP-2600003 V1.0 - RHEUMA")</f>
        <v>Lupkynis_Multitarget_IT-LUP-2600003 V1.0 - RHEUMA</v>
      </c>
      <c r="M8333" s="22" t="str">
        <f t="shared" si="665"/>
        <v>linda.ottavo@crm.otsuka-europe.com</v>
      </c>
      <c r="N8333" s="23">
        <v>46183.414733796293</v>
      </c>
      <c r="O8333" s="14" t="str">
        <f>HYPERLINK("https://otsuka-europe-crm.veevavault.com/ui/#object/email_activity__v/V8C00000003T241", "EN-002094068")</f>
        <v>EN-002094068</v>
      </c>
    </row>
    <row r="8334" spans="1:15" ht="16" x14ac:dyDescent="0.2">
      <c r="A8334" s="18"/>
      <c r="B8334" s="18"/>
      <c r="C8334" s="18"/>
      <c r="D8334" s="18"/>
      <c r="E8334" s="18"/>
      <c r="F8334" s="18"/>
      <c r="G8334" s="18"/>
      <c r="H8334" s="18"/>
      <c r="I8334" s="18"/>
      <c r="J8334" s="18"/>
      <c r="K8334" s="18"/>
      <c r="L8334" s="18"/>
      <c r="M8334" s="18"/>
      <c r="N8334" s="18"/>
      <c r="O8334" s="14" t="str">
        <f>HYPERLINK("https://otsuka-europe-crm.veevavault.com/ui/#object/email_activity__v/V8C00000003T277", "EN-002094118")</f>
        <v>EN-002094118</v>
      </c>
    </row>
    <row r="8335" spans="1:15" ht="16" x14ac:dyDescent="0.2">
      <c r="A8335" s="19"/>
      <c r="B8335" s="19"/>
      <c r="C8335" s="19"/>
      <c r="D8335" s="19"/>
      <c r="E8335" s="19"/>
      <c r="F8335" s="19"/>
      <c r="G8335" s="19"/>
      <c r="H8335" s="19"/>
      <c r="I8335" s="19"/>
      <c r="J8335" s="19"/>
      <c r="K8335" s="19"/>
      <c r="L8335" s="19"/>
      <c r="M8335" s="19"/>
      <c r="N8335" s="19"/>
      <c r="O8335" s="14" t="str">
        <f>HYPERLINK("https://otsuka-europe-crm.veevavault.com/ui/#object/email_activity__v/V8C00000003T278", "EN-002094119")</f>
        <v>EN-002094119</v>
      </c>
    </row>
    <row r="8336" spans="1:15" ht="16" x14ac:dyDescent="0.2">
      <c r="A8336" s="17" t="str">
        <f>HYPERLINK("https://otsuka-europe-crm.veevavault.com/ui/#object/account__v/V4TZ025E83QZZAU", "VALERIA OREFICE")</f>
        <v>VALERIA OREFICE</v>
      </c>
      <c r="B8336" s="17" t="str">
        <f>HYPERLINK("https://otsuka-europe-crm.veevavault.com/ui/#object/vcountry__v/VENZ000004SONFQ", "IT")</f>
        <v>IT</v>
      </c>
      <c r="C8336" s="20" t="s">
        <v>44</v>
      </c>
      <c r="D8336" s="21" t="str">
        <f>HYPERLINK("https://otsuka-europe-crm.veevavault.com/ui/#object/approved_document__v/V5O00000001B005", "Lupkynis_Multitarget_IT-LUP-2600003 V1.0 - RHEUMA")</f>
        <v>Lupkynis_Multitarget_IT-LUP-2600003 V1.0 - RHEUMA</v>
      </c>
      <c r="E8336" s="22" t="str">
        <f>HYPERLINK("https://otsuka-europe-crm.veevavault.com/ui/#object/sent_email__v/VBL00000002R647", "SE-001435385")</f>
        <v>SE-001435385</v>
      </c>
      <c r="F8336" s="23">
        <v>46183.420671296299</v>
      </c>
      <c r="G8336" s="24">
        <v>1</v>
      </c>
      <c r="H8336" s="24">
        <v>1</v>
      </c>
      <c r="I8336" s="24">
        <v>0</v>
      </c>
      <c r="J8336" s="25"/>
      <c r="K8336" s="24">
        <v>0</v>
      </c>
      <c r="L8336" s="22" t="str">
        <f>HYPERLINK("https://otsuka-europe-crm.veevavault.com/ui/#object/approved_document__v/V5O00000001B005", "Lupkynis_Multitarget_IT-LUP-2600003 V1.0 - RHEUMA")</f>
        <v>Lupkynis_Multitarget_IT-LUP-2600003 V1.0 - RHEUMA</v>
      </c>
      <c r="M8336" s="22" t="str">
        <f>HYPERLINK("mailto:linda.ottavo@crm.otsuka-europe.com", "linda.ottavo@crm.otsuka-europe.com")</f>
        <v>linda.ottavo@crm.otsuka-europe.com</v>
      </c>
      <c r="N8336" s="23">
        <v>46183.41474537037</v>
      </c>
      <c r="O8336" s="14" t="str">
        <f>HYPERLINK("https://otsuka-europe-crm.veevavault.com/ui/#object/email_activity__v/V8C00000003S593", "EN-002094069")</f>
        <v>EN-002094069</v>
      </c>
    </row>
    <row r="8337" spans="1:15" ht="16" x14ac:dyDescent="0.2">
      <c r="A8337" s="18"/>
      <c r="B8337" s="18"/>
      <c r="C8337" s="18"/>
      <c r="D8337" s="18"/>
      <c r="E8337" s="18"/>
      <c r="F8337" s="18"/>
      <c r="G8337" s="18"/>
      <c r="H8337" s="18"/>
      <c r="I8337" s="18"/>
      <c r="J8337" s="18"/>
      <c r="K8337" s="18"/>
      <c r="L8337" s="18"/>
      <c r="M8337" s="18"/>
      <c r="N8337" s="18"/>
      <c r="O8337" s="14" t="str">
        <f>HYPERLINK("https://otsuka-europe-crm.veevavault.com/ui/#object/email_activity__v/V8C00000003T274", "EN-002094115")</f>
        <v>EN-002094115</v>
      </c>
    </row>
    <row r="8338" spans="1:15" ht="16" x14ac:dyDescent="0.2">
      <c r="A8338" s="19"/>
      <c r="B8338" s="19"/>
      <c r="C8338" s="19"/>
      <c r="D8338" s="19"/>
      <c r="E8338" s="19"/>
      <c r="F8338" s="19"/>
      <c r="G8338" s="19"/>
      <c r="H8338" s="19"/>
      <c r="I8338" s="19"/>
      <c r="J8338" s="19"/>
      <c r="K8338" s="19"/>
      <c r="L8338" s="19"/>
      <c r="M8338" s="19"/>
      <c r="N8338" s="19"/>
      <c r="O8338" s="14" t="str">
        <f>HYPERLINK("https://otsuka-europe-crm.veevavault.com/ui/#object/email_activity__v/V8C00000003T406", "EN-002094429")</f>
        <v>EN-002094429</v>
      </c>
    </row>
    <row r="8339" spans="1:15" ht="48" x14ac:dyDescent="0.2">
      <c r="A8339" s="7" t="str">
        <f>HYPERLINK("https://otsuka-europe-crm.veevavault.com/ui/#object/account__v/V4TZ04ASGBJAKFI", "ALFONSO ORIENTE")</f>
        <v>ALFONSO ORIENTE</v>
      </c>
      <c r="B8339" s="7" t="str">
        <f>HYPERLINK("https://otsuka-europe-crm.veevavault.com/ui/#object/vcountry__v/VENZ000004SONFQ", "IT")</f>
        <v>IT</v>
      </c>
      <c r="C8339" s="8" t="s">
        <v>44</v>
      </c>
      <c r="D8339" s="9" t="str">
        <f>HYPERLINK("https://otsuka-europe-crm.veevavault.com/ui/#object/approved_document__v/V5O00000001B005", "Lupkynis_Multitarget_IT-LUP-2600003 V1.0 - RHEUMA")</f>
        <v>Lupkynis_Multitarget_IT-LUP-2600003 V1.0 - RHEUMA</v>
      </c>
      <c r="E8339" s="10" t="str">
        <f>HYPERLINK("https://otsuka-europe-crm.veevavault.com/ui/#object/sent_email__v/VBL00000002R648", "SE-001435386")</f>
        <v>SE-001435386</v>
      </c>
      <c r="F8339" s="11"/>
      <c r="G8339" s="12">
        <v>0</v>
      </c>
      <c r="H8339" s="12">
        <v>0</v>
      </c>
      <c r="I8339" s="12">
        <v>0</v>
      </c>
      <c r="J8339" s="11"/>
      <c r="K8339" s="12">
        <v>0</v>
      </c>
      <c r="L8339" s="10" t="str">
        <f>HYPERLINK("https://otsuka-europe-crm.veevavault.com/ui/#object/approved_document__v/V5O00000001B005", "Lupkynis_Multitarget_IT-LUP-2600003 V1.0 - RHEUMA")</f>
        <v>Lupkynis_Multitarget_IT-LUP-2600003 V1.0 - RHEUMA</v>
      </c>
      <c r="M8339" s="10" t="str">
        <f>HYPERLINK("mailto:linda.ottavo@crm.otsuka-europe.com", "linda.ottavo@crm.otsuka-europe.com")</f>
        <v>linda.ottavo@crm.otsuka-europe.com</v>
      </c>
      <c r="N8339" s="13">
        <v>46183.414861111109</v>
      </c>
      <c r="O8339" s="14" t="str">
        <f>HYPERLINK("https://otsuka-europe-crm.veevavault.com/ui/#object/email_activity__v/V8C00000003T242", "EN-002094070")</f>
        <v>EN-002094070</v>
      </c>
    </row>
    <row r="8340" spans="1:15" ht="48" x14ac:dyDescent="0.2">
      <c r="A8340" s="7" t="str">
        <f>HYPERLINK("https://otsuka-europe-crm.veevavault.com/ui/#object/account__v/V4TZ04ASGC7DXDO", "AUGUSTA ORTOLAN")</f>
        <v>AUGUSTA ORTOLAN</v>
      </c>
      <c r="B8340" s="7" t="str">
        <f>HYPERLINK("https://otsuka-europe-crm.veevavault.com/ui/#object/vcountry__v/VENZ000004SONFQ", "IT")</f>
        <v>IT</v>
      </c>
      <c r="C8340" s="8" t="s">
        <v>44</v>
      </c>
      <c r="D8340" s="9" t="str">
        <f>HYPERLINK("https://otsuka-europe-crm.veevavault.com/ui/#object/approved_document__v/V5O00000001B005", "Lupkynis_Multitarget_IT-LUP-2600003 V1.0 - RHEUMA")</f>
        <v>Lupkynis_Multitarget_IT-LUP-2600003 V1.0 - RHEUMA</v>
      </c>
      <c r="E8340" s="10" t="str">
        <f>HYPERLINK("https://otsuka-europe-crm.veevavault.com/ui/#object/sent_email__v/VBL00000002S710", "SE-001435387")</f>
        <v>SE-001435387</v>
      </c>
      <c r="F8340" s="11"/>
      <c r="G8340" s="12">
        <v>0</v>
      </c>
      <c r="H8340" s="12">
        <v>0</v>
      </c>
      <c r="I8340" s="12">
        <v>0</v>
      </c>
      <c r="J8340" s="11"/>
      <c r="K8340" s="12">
        <v>0</v>
      </c>
      <c r="L8340" s="10" t="str">
        <f>HYPERLINK("https://otsuka-europe-crm.veevavault.com/ui/#object/approved_document__v/V5O00000001B005", "Lupkynis_Multitarget_IT-LUP-2600003 V1.0 - RHEUMA")</f>
        <v>Lupkynis_Multitarget_IT-LUP-2600003 V1.0 - RHEUMA</v>
      </c>
      <c r="M8340" s="10" t="str">
        <f>HYPERLINK("mailto:linda.ottavo@crm.otsuka-europe.com", "linda.ottavo@crm.otsuka-europe.com")</f>
        <v>linda.ottavo@crm.otsuka-europe.com</v>
      </c>
      <c r="N8340" s="13">
        <v>46183.415231481478</v>
      </c>
      <c r="O8340" s="14" t="str">
        <f>HYPERLINK("https://otsuka-europe-crm.veevavault.com/ui/#object/email_activity__v/V8C00000003S594", "EN-002094071")</f>
        <v>EN-002094071</v>
      </c>
    </row>
    <row r="8341" spans="1:15" ht="48" x14ac:dyDescent="0.2">
      <c r="A8341" s="7" t="str">
        <f>HYPERLINK("https://otsuka-europe-crm.veevavault.com/ui/#object/account__v/V4TZ025E83CKFD5", "VIVIANA ANTONELLA PACUCCI")</f>
        <v>VIVIANA ANTONELLA PACUCCI</v>
      </c>
      <c r="B8341" s="7" t="str">
        <f>HYPERLINK("https://otsuka-europe-crm.veevavault.com/ui/#object/vcountry__v/VENZ000004SONFQ", "IT")</f>
        <v>IT</v>
      </c>
      <c r="C8341" s="8" t="s">
        <v>44</v>
      </c>
      <c r="D8341" s="9" t="str">
        <f>HYPERLINK("https://otsuka-europe-crm.veevavault.com/ui/#object/approved_document__v/V5O00000001B005", "Lupkynis_Multitarget_IT-LUP-2600003 V1.0 - RHEUMA")</f>
        <v>Lupkynis_Multitarget_IT-LUP-2600003 V1.0 - RHEUMA</v>
      </c>
      <c r="E8341" s="10" t="str">
        <f>HYPERLINK("https://otsuka-europe-crm.veevavault.com/ui/#object/sent_email__v/VBL00000002R649", "SE-001435388")</f>
        <v>SE-001435388</v>
      </c>
      <c r="F8341" s="11"/>
      <c r="G8341" s="12">
        <v>0</v>
      </c>
      <c r="H8341" s="12">
        <v>0</v>
      </c>
      <c r="I8341" s="12">
        <v>0</v>
      </c>
      <c r="J8341" s="11"/>
      <c r="K8341" s="12">
        <v>0</v>
      </c>
      <c r="L8341" s="10" t="str">
        <f>HYPERLINK("https://otsuka-europe-crm.veevavault.com/ui/#object/approved_document__v/V5O00000001B005", "Lupkynis_Multitarget_IT-LUP-2600003 V1.0 - RHEUMA")</f>
        <v>Lupkynis_Multitarget_IT-LUP-2600003 V1.0 - RHEUMA</v>
      </c>
      <c r="M8341" s="10" t="str">
        <f>HYPERLINK("mailto:linda.ottavo@crm.otsuka-europe.com", "linda.ottavo@crm.otsuka-europe.com")</f>
        <v>linda.ottavo@crm.otsuka-europe.com</v>
      </c>
      <c r="N8341" s="13">
        <v>46183.415358796294</v>
      </c>
      <c r="O8341" s="14" t="str">
        <f>HYPERLINK("https://otsuka-europe-crm.veevavault.com/ui/#object/email_activity__v/V8C00000003S595", "EN-002094072")</f>
        <v>EN-002094072</v>
      </c>
    </row>
    <row r="8342" spans="1:15" ht="16" x14ac:dyDescent="0.2">
      <c r="A8342" s="17" t="str">
        <f>HYPERLINK("https://otsuka-europe-crm.veevavault.com/ui/#object/account__v/V4TZ04ASGDP37C0", "ANNAMARIA PAGLIONICO")</f>
        <v>ANNAMARIA PAGLIONICO</v>
      </c>
      <c r="B8342" s="17" t="str">
        <f>HYPERLINK("https://otsuka-europe-crm.veevavault.com/ui/#object/vcountry__v/VENZ000004SONFQ", "IT")</f>
        <v>IT</v>
      </c>
      <c r="C8342" s="20" t="s">
        <v>44</v>
      </c>
      <c r="D8342" s="21" t="str">
        <f>HYPERLINK("https://otsuka-europe-crm.veevavault.com/ui/#object/approved_document__v/V5O00000001B005", "Lupkynis_Multitarget_IT-LUP-2600003 V1.0 - RHEUMA")</f>
        <v>Lupkynis_Multitarget_IT-LUP-2600003 V1.0 - RHEUMA</v>
      </c>
      <c r="E8342" s="22" t="str">
        <f>HYPERLINK("https://otsuka-europe-crm.veevavault.com/ui/#object/sent_email__v/VBL00000002S711", "SE-001435389")</f>
        <v>SE-001435389</v>
      </c>
      <c r="F8342" s="23">
        <v>46183.618449074071</v>
      </c>
      <c r="G8342" s="24">
        <v>1</v>
      </c>
      <c r="H8342" s="24">
        <v>2</v>
      </c>
      <c r="I8342" s="24">
        <v>0</v>
      </c>
      <c r="J8342" s="25"/>
      <c r="K8342" s="24">
        <v>0</v>
      </c>
      <c r="L8342" s="22" t="str">
        <f>HYPERLINK("https://otsuka-europe-crm.veevavault.com/ui/#object/approved_document__v/V5O00000001B005", "Lupkynis_Multitarget_IT-LUP-2600003 V1.0 - RHEUMA")</f>
        <v>Lupkynis_Multitarget_IT-LUP-2600003 V1.0 - RHEUMA</v>
      </c>
      <c r="M8342" s="22" t="str">
        <f>HYPERLINK("mailto:linda.ottavo@crm.otsuka-europe.com", "linda.ottavo@crm.otsuka-europe.com")</f>
        <v>linda.ottavo@crm.otsuka-europe.com</v>
      </c>
      <c r="N8342" s="23">
        <v>46183.415578703702</v>
      </c>
      <c r="O8342" s="14" t="str">
        <f>HYPERLINK("https://otsuka-europe-crm.veevavault.com/ui/#object/email_activity__v/V8C00000003T243", "EN-002094073")</f>
        <v>EN-002094073</v>
      </c>
    </row>
    <row r="8343" spans="1:15" ht="16" x14ac:dyDescent="0.2">
      <c r="A8343" s="18"/>
      <c r="B8343" s="18"/>
      <c r="C8343" s="18"/>
      <c r="D8343" s="18"/>
      <c r="E8343" s="18"/>
      <c r="F8343" s="18"/>
      <c r="G8343" s="18"/>
      <c r="H8343" s="18"/>
      <c r="I8343" s="18"/>
      <c r="J8343" s="18"/>
      <c r="K8343" s="18"/>
      <c r="L8343" s="18"/>
      <c r="M8343" s="18"/>
      <c r="N8343" s="18"/>
      <c r="O8343" s="14" t="str">
        <f>HYPERLINK("https://otsuka-europe-crm.veevavault.com/ui/#object/email_activity__v/V8C00000003T312", "EN-002094199")</f>
        <v>EN-002094199</v>
      </c>
    </row>
    <row r="8344" spans="1:15" ht="16" x14ac:dyDescent="0.2">
      <c r="A8344" s="19"/>
      <c r="B8344" s="19"/>
      <c r="C8344" s="19"/>
      <c r="D8344" s="19"/>
      <c r="E8344" s="19"/>
      <c r="F8344" s="19"/>
      <c r="G8344" s="19"/>
      <c r="H8344" s="19"/>
      <c r="I8344" s="19"/>
      <c r="J8344" s="19"/>
      <c r="K8344" s="19"/>
      <c r="L8344" s="19"/>
      <c r="M8344" s="19"/>
      <c r="N8344" s="19"/>
      <c r="O8344" s="14" t="str">
        <f>HYPERLINK("https://otsuka-europe-crm.veevavault.com/ui/#object/email_activity__v/V8C00000003T348", "EN-002094277")</f>
        <v>EN-002094277</v>
      </c>
    </row>
    <row r="8345" spans="1:15" ht="16" x14ac:dyDescent="0.2">
      <c r="A8345" s="17" t="str">
        <f>HYPERLINK("https://otsuka-europe-crm.veevavault.com/ui/#object/account__v/V4TZ04ASGB95YHW", "ANNA PARISI")</f>
        <v>ANNA PARISI</v>
      </c>
      <c r="B8345" s="17" t="str">
        <f>HYPERLINK("https://otsuka-europe-crm.veevavault.com/ui/#object/vcountry__v/VENZ000004SONFQ", "IT")</f>
        <v>IT</v>
      </c>
      <c r="C8345" s="20" t="s">
        <v>44</v>
      </c>
      <c r="D8345" s="21" t="str">
        <f>HYPERLINK("https://otsuka-europe-crm.veevavault.com/ui/#object/approved_document__v/V5O00000001B005", "Lupkynis_Multitarget_IT-LUP-2600003 V1.0 - RHEUMA")</f>
        <v>Lupkynis_Multitarget_IT-LUP-2600003 V1.0 - RHEUMA</v>
      </c>
      <c r="E8345" s="22" t="str">
        <f>HYPERLINK("https://otsuka-europe-crm.veevavault.com/ui/#object/sent_email__v/VBL00000002R650", "SE-001435390")</f>
        <v>SE-001435390</v>
      </c>
      <c r="F8345" s="25"/>
      <c r="G8345" s="24">
        <v>0</v>
      </c>
      <c r="H8345" s="24">
        <v>0</v>
      </c>
      <c r="I8345" s="24">
        <v>0</v>
      </c>
      <c r="J8345" s="25"/>
      <c r="K8345" s="24">
        <v>0</v>
      </c>
      <c r="L8345" s="22" t="str">
        <f>HYPERLINK("https://otsuka-europe-crm.veevavault.com/ui/#object/approved_document__v/V5O00000001B005", "Lupkynis_Multitarget_IT-LUP-2600003 V1.0 - RHEUMA")</f>
        <v>Lupkynis_Multitarget_IT-LUP-2600003 V1.0 - RHEUMA</v>
      </c>
      <c r="M8345" s="22" t="str">
        <f>HYPERLINK("mailto:linda.ottavo@crm.otsuka-europe.com", "linda.ottavo@crm.otsuka-europe.com")</f>
        <v>linda.ottavo@crm.otsuka-europe.com</v>
      </c>
      <c r="N8345" s="23">
        <v>46183.415590277778</v>
      </c>
      <c r="O8345" s="14" t="str">
        <f>HYPERLINK("https://otsuka-europe-crm.veevavault.com/ui/#object/email_activity__v/V8C00000003T244", "EN-002094074")</f>
        <v>EN-002094074</v>
      </c>
    </row>
    <row r="8346" spans="1:15" ht="16" x14ac:dyDescent="0.2">
      <c r="A8346" s="19"/>
      <c r="B8346" s="19"/>
      <c r="C8346" s="19"/>
      <c r="D8346" s="19"/>
      <c r="E8346" s="19"/>
      <c r="F8346" s="19"/>
      <c r="G8346" s="19"/>
      <c r="H8346" s="19"/>
      <c r="I8346" s="19"/>
      <c r="J8346" s="19"/>
      <c r="K8346" s="19"/>
      <c r="L8346" s="19"/>
      <c r="M8346" s="19"/>
      <c r="N8346" s="19"/>
      <c r="O8346" s="14" t="str">
        <f>HYPERLINK("https://otsuka-europe-crm.veevavault.com/ui/#object/email_activity__v/V8C00000003T415", "EN-002094456")</f>
        <v>EN-002094456</v>
      </c>
    </row>
    <row r="8347" spans="1:15" ht="16" x14ac:dyDescent="0.2">
      <c r="A8347" s="17" t="str">
        <f>HYPERLINK("https://otsuka-europe-crm.veevavault.com/ui/#object/account__v/V4TZ06G6O71SBRH", "ALESSANDRA PERNA")</f>
        <v>ALESSANDRA PERNA</v>
      </c>
      <c r="B8347" s="17" t="str">
        <f>HYPERLINK("https://otsuka-europe-crm.veevavault.com/ui/#object/vcountry__v/VENZ000004SONFQ", "IT")</f>
        <v>IT</v>
      </c>
      <c r="C8347" s="20" t="s">
        <v>44</v>
      </c>
      <c r="D8347" s="21" t="str">
        <f>HYPERLINK("https://otsuka-europe-crm.veevavault.com/ui/#object/approved_document__v/V5O00000001B008", "Lupkynis_Multitarget_IT-LUP-2600003 V1.0 - NEPHRO")</f>
        <v>Lupkynis_Multitarget_IT-LUP-2600003 V1.0 - NEPHRO</v>
      </c>
      <c r="E8347" s="22" t="str">
        <f>HYPERLINK("https://otsuka-europe-crm.veevavault.com/ui/#object/sent_email__v/VBL00000002S712", "SE-001435391")</f>
        <v>SE-001435391</v>
      </c>
      <c r="F8347" s="23">
        <v>46183.475902777776</v>
      </c>
      <c r="G8347" s="24">
        <v>1</v>
      </c>
      <c r="H8347" s="24">
        <v>1</v>
      </c>
      <c r="I8347" s="24">
        <v>0</v>
      </c>
      <c r="J8347" s="25"/>
      <c r="K8347" s="24">
        <v>0</v>
      </c>
      <c r="L8347" s="22" t="str">
        <f>HYPERLINK("https://otsuka-europe-crm.veevavault.com/ui/#object/approved_document__v/V5O00000001B008", "Lupkynis_Multitarget_IT-LUP-2600003 V1.0 - NEPHRO")</f>
        <v>Lupkynis_Multitarget_IT-LUP-2600003 V1.0 - NEPHRO</v>
      </c>
      <c r="M8347" s="22" t="str">
        <f>HYPERLINK("mailto:linda.ottavo@crm.otsuka-europe.com", "linda.ottavo@crm.otsuka-europe.com")</f>
        <v>linda.ottavo@crm.otsuka-europe.com</v>
      </c>
      <c r="N8347" s="23">
        <v>46183.41578703704</v>
      </c>
      <c r="O8347" s="14" t="str">
        <f>HYPERLINK("https://otsuka-europe-crm.veevavault.com/ui/#object/email_activity__v/V8C00000003S643", "EN-002094184")</f>
        <v>EN-002094184</v>
      </c>
    </row>
    <row r="8348" spans="1:15" ht="16" x14ac:dyDescent="0.2">
      <c r="A8348" s="19"/>
      <c r="B8348" s="19"/>
      <c r="C8348" s="19"/>
      <c r="D8348" s="19"/>
      <c r="E8348" s="19"/>
      <c r="F8348" s="19"/>
      <c r="G8348" s="19"/>
      <c r="H8348" s="19"/>
      <c r="I8348" s="19"/>
      <c r="J8348" s="19"/>
      <c r="K8348" s="19"/>
      <c r="L8348" s="19"/>
      <c r="M8348" s="19"/>
      <c r="N8348" s="19"/>
      <c r="O8348" s="14" t="str">
        <f>HYPERLINK("https://otsuka-europe-crm.veevavault.com/ui/#object/email_activity__v/V8C00000003T245", "EN-002094075")</f>
        <v>EN-002094075</v>
      </c>
    </row>
    <row r="8349" spans="1:15" ht="16" x14ac:dyDescent="0.2">
      <c r="A8349" s="17" t="str">
        <f>HYPERLINK("https://otsuka-europe-crm.veevavault.com/ui/#object/account__v/V4TZ06G6O71SBRZ", "FRANCESCO PESCE")</f>
        <v>FRANCESCO PESCE</v>
      </c>
      <c r="B8349" s="17" t="str">
        <f>HYPERLINK("https://otsuka-europe-crm.veevavault.com/ui/#object/vcountry__v/VENZ000004SONFQ", "IT")</f>
        <v>IT</v>
      </c>
      <c r="C8349" s="20" t="s">
        <v>44</v>
      </c>
      <c r="D8349" s="21" t="str">
        <f>HYPERLINK("https://otsuka-europe-crm.veevavault.com/ui/#object/approved_document__v/V5O00000001B008", "Lupkynis_Multitarget_IT-LUP-2600003 V1.0 - NEPHRO")</f>
        <v>Lupkynis_Multitarget_IT-LUP-2600003 V1.0 - NEPHRO</v>
      </c>
      <c r="E8349" s="22" t="str">
        <f>HYPERLINK("https://otsuka-europe-crm.veevavault.com/ui/#object/sent_email__v/VBL00000002S713", "SE-001435392")</f>
        <v>SE-001435392</v>
      </c>
      <c r="F8349" s="25"/>
      <c r="G8349" s="24">
        <v>0</v>
      </c>
      <c r="H8349" s="24">
        <v>0</v>
      </c>
      <c r="I8349" s="24">
        <v>0</v>
      </c>
      <c r="J8349" s="25"/>
      <c r="K8349" s="24">
        <v>0</v>
      </c>
      <c r="L8349" s="22" t="str">
        <f>HYPERLINK("https://otsuka-europe-crm.veevavault.com/ui/#object/approved_document__v/V5O00000001B008", "Lupkynis_Multitarget_IT-LUP-2600003 V1.0 - NEPHRO")</f>
        <v>Lupkynis_Multitarget_IT-LUP-2600003 V1.0 - NEPHRO</v>
      </c>
      <c r="M8349" s="22" t="str">
        <f>HYPERLINK("mailto:linda.ottavo@crm.otsuka-europe.com", "linda.ottavo@crm.otsuka-europe.com")</f>
        <v>linda.ottavo@crm.otsuka-europe.com</v>
      </c>
      <c r="N8349" s="23">
        <v>46183.415856481479</v>
      </c>
      <c r="O8349" s="14" t="str">
        <f>HYPERLINK("https://otsuka-europe-crm.veevavault.com/ui/#object/email_activity__v/V8C00000003S596", "EN-002094076")</f>
        <v>EN-002094076</v>
      </c>
    </row>
    <row r="8350" spans="1:15" ht="16" x14ac:dyDescent="0.2">
      <c r="A8350" s="19"/>
      <c r="B8350" s="19"/>
      <c r="C8350" s="19"/>
      <c r="D8350" s="19"/>
      <c r="E8350" s="19"/>
      <c r="F8350" s="19"/>
      <c r="G8350" s="19"/>
      <c r="H8350" s="19"/>
      <c r="I8350" s="19"/>
      <c r="J8350" s="19"/>
      <c r="K8350" s="19"/>
      <c r="L8350" s="19"/>
      <c r="M8350" s="19"/>
      <c r="N8350" s="19"/>
      <c r="O8350" s="14" t="str">
        <f>HYPERLINK("https://otsuka-europe-crm.veevavault.com/ui/#object/email_activity__v/V8C00000003S719", "EN-002094320")</f>
        <v>EN-002094320</v>
      </c>
    </row>
    <row r="8351" spans="1:15" ht="48" x14ac:dyDescent="0.2">
      <c r="A8351" s="7" t="str">
        <f>HYPERLINK("https://otsuka-europe-crm.veevavault.com/ui/#object/account__v/V4TZ04ASGC7D26L", "LUCA PETRICCA")</f>
        <v>LUCA PETRICCA</v>
      </c>
      <c r="B8351" s="7" t="str">
        <f>HYPERLINK("https://otsuka-europe-crm.veevavault.com/ui/#object/vcountry__v/VENZ000004SONFQ", "IT")</f>
        <v>IT</v>
      </c>
      <c r="C8351" s="8" t="s">
        <v>44</v>
      </c>
      <c r="D8351" s="9" t="str">
        <f>HYPERLINK("https://otsuka-europe-crm.veevavault.com/ui/#object/approved_document__v/V5O00000001B005", "Lupkynis_Multitarget_IT-LUP-2600003 V1.0 - RHEUMA")</f>
        <v>Lupkynis_Multitarget_IT-LUP-2600003 V1.0 - RHEUMA</v>
      </c>
      <c r="E8351" s="10" t="str">
        <f>HYPERLINK("https://otsuka-europe-crm.veevavault.com/ui/#object/sent_email__v/VBL00000002R651", "SE-001435393")</f>
        <v>SE-001435393</v>
      </c>
      <c r="F8351" s="11"/>
      <c r="G8351" s="12">
        <v>0</v>
      </c>
      <c r="H8351" s="12">
        <v>0</v>
      </c>
      <c r="I8351" s="12">
        <v>0</v>
      </c>
      <c r="J8351" s="11"/>
      <c r="K8351" s="12">
        <v>0</v>
      </c>
      <c r="L8351" s="10" t="str">
        <f>HYPERLINK("https://otsuka-europe-crm.veevavault.com/ui/#object/approved_document__v/V5O00000001B005", "Lupkynis_Multitarget_IT-LUP-2600003 V1.0 - RHEUMA")</f>
        <v>Lupkynis_Multitarget_IT-LUP-2600003 V1.0 - RHEUMA</v>
      </c>
      <c r="M8351" s="10" t="str">
        <f>HYPERLINK("mailto:linda.ottavo@crm.otsuka-europe.com", "linda.ottavo@crm.otsuka-europe.com")</f>
        <v>linda.ottavo@crm.otsuka-europe.com</v>
      </c>
      <c r="N8351" s="13">
        <v>46183.41611111111</v>
      </c>
      <c r="O8351" s="14" t="str">
        <f>HYPERLINK("https://otsuka-europe-crm.veevavault.com/ui/#object/email_activity__v/V8C00000003T246", "EN-002094077")</f>
        <v>EN-002094077</v>
      </c>
    </row>
    <row r="8352" spans="1:15" ht="48" x14ac:dyDescent="0.2">
      <c r="A8352" s="7" t="str">
        <f>HYPERLINK("https://otsuka-europe-crm.veevavault.com/ui/#object/account__v/V4TZ04ASGBUJPKN", "ANDREA PICCHIANTI DIAMANTI")</f>
        <v>ANDREA PICCHIANTI DIAMANTI</v>
      </c>
      <c r="B8352" s="7" t="str">
        <f>HYPERLINK("https://otsuka-europe-crm.veevavault.com/ui/#object/vcountry__v/VENZ000004SONFQ", "IT")</f>
        <v>IT</v>
      </c>
      <c r="C8352" s="8" t="s">
        <v>44</v>
      </c>
      <c r="D8352" s="9" t="str">
        <f>HYPERLINK("https://otsuka-europe-crm.veevavault.com/ui/#object/approved_document__v/V5O00000001B005", "Lupkynis_Multitarget_IT-LUP-2600003 V1.0 - RHEUMA")</f>
        <v>Lupkynis_Multitarget_IT-LUP-2600003 V1.0 - RHEUMA</v>
      </c>
      <c r="E8352" s="10" t="str">
        <f>HYPERLINK("https://otsuka-europe-crm.veevavault.com/ui/#object/sent_email__v/VBL00000002S714", "SE-001435394")</f>
        <v>SE-001435394</v>
      </c>
      <c r="F8352" s="11"/>
      <c r="G8352" s="12">
        <v>0</v>
      </c>
      <c r="H8352" s="12">
        <v>0</v>
      </c>
      <c r="I8352" s="12">
        <v>0</v>
      </c>
      <c r="J8352" s="11"/>
      <c r="K8352" s="12">
        <v>0</v>
      </c>
      <c r="L8352" s="10" t="str">
        <f>HYPERLINK("https://otsuka-europe-crm.veevavault.com/ui/#object/approved_document__v/V5O00000001B005", "Lupkynis_Multitarget_IT-LUP-2600003 V1.0 - RHEUMA")</f>
        <v>Lupkynis_Multitarget_IT-LUP-2600003 V1.0 - RHEUMA</v>
      </c>
      <c r="M8352" s="10" t="str">
        <f>HYPERLINK("mailto:linda.ottavo@crm.otsuka-europe.com", "linda.ottavo@crm.otsuka-europe.com")</f>
        <v>linda.ottavo@crm.otsuka-europe.com</v>
      </c>
      <c r="N8352" s="13">
        <v>46183.416134259256</v>
      </c>
      <c r="O8352" s="14" t="str">
        <f>HYPERLINK("https://otsuka-europe-crm.veevavault.com/ui/#object/email_activity__v/V8C00000003T247", "EN-002094078")</f>
        <v>EN-002094078</v>
      </c>
    </row>
    <row r="8353" spans="1:15" ht="16" x14ac:dyDescent="0.2">
      <c r="A8353" s="17" t="str">
        <f>HYPERLINK("https://otsuka-europe-crm.veevavault.com/ui/#object/account__v/V4TZ06G6O71SBXW", "ANTONIO PISANI")</f>
        <v>ANTONIO PISANI</v>
      </c>
      <c r="B8353" s="17" t="str">
        <f>HYPERLINK("https://otsuka-europe-crm.veevavault.com/ui/#object/vcountry__v/VENZ000004SONFQ", "IT")</f>
        <v>IT</v>
      </c>
      <c r="C8353" s="20" t="s">
        <v>44</v>
      </c>
      <c r="D8353" s="21" t="str">
        <f>HYPERLINK("https://otsuka-europe-crm.veevavault.com/ui/#object/approved_document__v/V5O00000001B008", "Lupkynis_Multitarget_IT-LUP-2600003 V1.0 - NEPHRO")</f>
        <v>Lupkynis_Multitarget_IT-LUP-2600003 V1.0 - NEPHRO</v>
      </c>
      <c r="E8353" s="22" t="str">
        <f>HYPERLINK("https://otsuka-europe-crm.veevavault.com/ui/#object/sent_email__v/VBL00000002R652", "SE-001435395")</f>
        <v>SE-001435395</v>
      </c>
      <c r="F8353" s="23">
        <v>46183.431284722225</v>
      </c>
      <c r="G8353" s="24">
        <v>1</v>
      </c>
      <c r="H8353" s="24">
        <v>1</v>
      </c>
      <c r="I8353" s="24">
        <v>0</v>
      </c>
      <c r="J8353" s="25"/>
      <c r="K8353" s="24">
        <v>0</v>
      </c>
      <c r="L8353" s="22" t="str">
        <f>HYPERLINK("https://otsuka-europe-crm.veevavault.com/ui/#object/approved_document__v/V5O00000001B008", "Lupkynis_Multitarget_IT-LUP-2600003 V1.0 - NEPHRO")</f>
        <v>Lupkynis_Multitarget_IT-LUP-2600003 V1.0 - NEPHRO</v>
      </c>
      <c r="M8353" s="22" t="str">
        <f>HYPERLINK("mailto:linda.ottavo@crm.otsuka-europe.com", "linda.ottavo@crm.otsuka-europe.com")</f>
        <v>linda.ottavo@crm.otsuka-europe.com</v>
      </c>
      <c r="N8353" s="23">
        <v>46183.416226851848</v>
      </c>
      <c r="O8353" s="14" t="str">
        <f>HYPERLINK("https://otsuka-europe-crm.veevavault.com/ui/#object/email_activity__v/V8C00000003S612", "EN-002094137")</f>
        <v>EN-002094137</v>
      </c>
    </row>
    <row r="8354" spans="1:15" ht="16" x14ac:dyDescent="0.2">
      <c r="A8354" s="19"/>
      <c r="B8354" s="19"/>
      <c r="C8354" s="19"/>
      <c r="D8354" s="19"/>
      <c r="E8354" s="19"/>
      <c r="F8354" s="19"/>
      <c r="G8354" s="19"/>
      <c r="H8354" s="19"/>
      <c r="I8354" s="19"/>
      <c r="J8354" s="19"/>
      <c r="K8354" s="19"/>
      <c r="L8354" s="19"/>
      <c r="M8354" s="19"/>
      <c r="N8354" s="19"/>
      <c r="O8354" s="14" t="str">
        <f>HYPERLINK("https://otsuka-europe-crm.veevavault.com/ui/#object/email_activity__v/V8C00000003T248", "EN-002094079")</f>
        <v>EN-002094079</v>
      </c>
    </row>
    <row r="8355" spans="1:15" ht="16" x14ac:dyDescent="0.2">
      <c r="A8355" s="17" t="str">
        <f>HYPERLINK("https://otsuka-europe-crm.veevavault.com/ui/#object/account__v/V4TZ025E830CPW1", "MICHELE PITTIGLIO")</f>
        <v>MICHELE PITTIGLIO</v>
      </c>
      <c r="B8355" s="17" t="str">
        <f>HYPERLINK("https://otsuka-europe-crm.veevavault.com/ui/#object/vcountry__v/VENZ000004SONFQ", "IT")</f>
        <v>IT</v>
      </c>
      <c r="C8355" s="20" t="s">
        <v>44</v>
      </c>
      <c r="D8355" s="21" t="str">
        <f>HYPERLINK("https://otsuka-europe-crm.veevavault.com/ui/#object/approved_document__v/V5O00000001B008", "Lupkynis_Multitarget_IT-LUP-2600003 V1.0 - NEPHRO")</f>
        <v>Lupkynis_Multitarget_IT-LUP-2600003 V1.0 - NEPHRO</v>
      </c>
      <c r="E8355" s="22" t="str">
        <f>HYPERLINK("https://otsuka-europe-crm.veevavault.com/ui/#object/sent_email__v/VBL00000002S715", "SE-001435396")</f>
        <v>SE-001435396</v>
      </c>
      <c r="F8355" s="23">
        <v>46183.997870370367</v>
      </c>
      <c r="G8355" s="24">
        <v>1</v>
      </c>
      <c r="H8355" s="24">
        <v>1</v>
      </c>
      <c r="I8355" s="24">
        <v>0</v>
      </c>
      <c r="J8355" s="25"/>
      <c r="K8355" s="24">
        <v>0</v>
      </c>
      <c r="L8355" s="22" t="str">
        <f>HYPERLINK("https://otsuka-europe-crm.veevavault.com/ui/#object/approved_document__v/V5O00000001B008", "Lupkynis_Multitarget_IT-LUP-2600003 V1.0 - NEPHRO")</f>
        <v>Lupkynis_Multitarget_IT-LUP-2600003 V1.0 - NEPHRO</v>
      </c>
      <c r="M8355" s="22" t="str">
        <f>HYPERLINK("mailto:linda.ottavo@crm.otsuka-europe.com", "linda.ottavo@crm.otsuka-europe.com")</f>
        <v>linda.ottavo@crm.otsuka-europe.com</v>
      </c>
      <c r="N8355" s="23">
        <v>46183.416446759256</v>
      </c>
      <c r="O8355" s="14" t="str">
        <f>HYPERLINK("https://otsuka-europe-crm.veevavault.com/ui/#object/email_activity__v/V8C00000003T249", "EN-002094080")</f>
        <v>EN-002094080</v>
      </c>
    </row>
    <row r="8356" spans="1:15" ht="16" x14ac:dyDescent="0.2">
      <c r="A8356" s="19"/>
      <c r="B8356" s="19"/>
      <c r="C8356" s="19"/>
      <c r="D8356" s="19"/>
      <c r="E8356" s="19"/>
      <c r="F8356" s="19"/>
      <c r="G8356" s="19"/>
      <c r="H8356" s="19"/>
      <c r="I8356" s="19"/>
      <c r="J8356" s="19"/>
      <c r="K8356" s="19"/>
      <c r="L8356" s="19"/>
      <c r="M8356" s="19"/>
      <c r="N8356" s="19"/>
      <c r="O8356" s="14" t="str">
        <f>HYPERLINK("https://otsuka-europe-crm.veevavault.com/ui/#object/email_activity__v/V8C00000003T420", "EN-002094462")</f>
        <v>EN-002094462</v>
      </c>
    </row>
    <row r="8357" spans="1:15" ht="16" x14ac:dyDescent="0.2">
      <c r="A8357" s="17" t="str">
        <f>HYPERLINK("https://otsuka-europe-crm.veevavault.com/ui/#object/account__v/V4TZ04ASGBNL7LI", "ALESSANDRA POMPA")</f>
        <v>ALESSANDRA POMPA</v>
      </c>
      <c r="B8357" s="17" t="str">
        <f>HYPERLINK("https://otsuka-europe-crm.veevavault.com/ui/#object/vcountry__v/VENZ000004SONFQ", "IT")</f>
        <v>IT</v>
      </c>
      <c r="C8357" s="20" t="s">
        <v>44</v>
      </c>
      <c r="D8357" s="21" t="str">
        <f>HYPERLINK("https://otsuka-europe-crm.veevavault.com/ui/#object/approved_document__v/V5O00000001B005", "Lupkynis_Multitarget_IT-LUP-2600003 V1.0 - RHEUMA")</f>
        <v>Lupkynis_Multitarget_IT-LUP-2600003 V1.0 - RHEUMA</v>
      </c>
      <c r="E8357" s="22" t="str">
        <f>HYPERLINK("https://otsuka-europe-crm.veevavault.com/ui/#object/sent_email__v/VBL00000002R653", "SE-001435397")</f>
        <v>SE-001435397</v>
      </c>
      <c r="F8357" s="23">
        <v>46183.41710648148</v>
      </c>
      <c r="G8357" s="24">
        <v>1</v>
      </c>
      <c r="H8357" s="24">
        <v>1</v>
      </c>
      <c r="I8357" s="24">
        <v>1</v>
      </c>
      <c r="J8357" s="23">
        <v>46183.417118055557</v>
      </c>
      <c r="K8357" s="24">
        <v>4</v>
      </c>
      <c r="L8357" s="22" t="str">
        <f>HYPERLINK("https://otsuka-europe-crm.veevavault.com/ui/#object/approved_document__v/V5O00000001B005", "Lupkynis_Multitarget_IT-LUP-2600003 V1.0 - RHEUMA")</f>
        <v>Lupkynis_Multitarget_IT-LUP-2600003 V1.0 - RHEUMA</v>
      </c>
      <c r="M8357" s="22" t="str">
        <f>HYPERLINK("mailto:linda.ottavo@crm.otsuka-europe.com", "linda.ottavo@crm.otsuka-europe.com")</f>
        <v>linda.ottavo@crm.otsuka-europe.com</v>
      </c>
      <c r="N8357" s="23">
        <v>46183.417048611111</v>
      </c>
      <c r="O8357" s="14" t="str">
        <f>HYPERLINK("https://otsuka-europe-crm.veevavault.com/ui/#object/email_activity__v/V8C00000003S597", "EN-002094081")</f>
        <v>EN-002094081</v>
      </c>
    </row>
    <row r="8358" spans="1:15" ht="16" x14ac:dyDescent="0.2">
      <c r="A8358" s="18"/>
      <c r="B8358" s="18"/>
      <c r="C8358" s="18"/>
      <c r="D8358" s="18"/>
      <c r="E8358" s="18"/>
      <c r="F8358" s="18"/>
      <c r="G8358" s="18"/>
      <c r="H8358" s="18"/>
      <c r="I8358" s="18"/>
      <c r="J8358" s="18"/>
      <c r="K8358" s="18"/>
      <c r="L8358" s="18"/>
      <c r="M8358" s="18"/>
      <c r="N8358" s="18"/>
      <c r="O8358" s="14" t="str">
        <f>HYPERLINK("https://otsuka-europe-crm.veevavault.com/ui/#object/email_activity__v/V8C00000003T251", "EN-002094084")</f>
        <v>EN-002094084</v>
      </c>
    </row>
    <row r="8359" spans="1:15" ht="16" x14ac:dyDescent="0.2">
      <c r="A8359" s="18"/>
      <c r="B8359" s="18"/>
      <c r="C8359" s="18"/>
      <c r="D8359" s="18"/>
      <c r="E8359" s="18"/>
      <c r="F8359" s="18"/>
      <c r="G8359" s="18"/>
      <c r="H8359" s="18"/>
      <c r="I8359" s="18"/>
      <c r="J8359" s="18"/>
      <c r="K8359" s="18"/>
      <c r="L8359" s="18"/>
      <c r="M8359" s="18"/>
      <c r="N8359" s="18"/>
      <c r="O8359" s="14" t="str">
        <f>HYPERLINK("https://otsuka-europe-crm.veevavault.com/ui/#object/email_activity__v/V8C00000003T252", "EN-002094083")</f>
        <v>EN-002094083</v>
      </c>
    </row>
    <row r="8360" spans="1:15" ht="16" x14ac:dyDescent="0.2">
      <c r="A8360" s="18"/>
      <c r="B8360" s="18"/>
      <c r="C8360" s="18"/>
      <c r="D8360" s="18"/>
      <c r="E8360" s="18"/>
      <c r="F8360" s="18"/>
      <c r="G8360" s="18"/>
      <c r="H8360" s="18"/>
      <c r="I8360" s="18"/>
      <c r="J8360" s="18"/>
      <c r="K8360" s="18"/>
      <c r="L8360" s="18"/>
      <c r="M8360" s="18"/>
      <c r="N8360" s="18"/>
      <c r="O8360" s="14" t="str">
        <f>HYPERLINK("https://otsuka-europe-crm.veevavault.com/ui/#object/email_activity__v/V8C00000003T253", "EN-002094085")</f>
        <v>EN-002094085</v>
      </c>
    </row>
    <row r="8361" spans="1:15" ht="16" x14ac:dyDescent="0.2">
      <c r="A8361" s="18"/>
      <c r="B8361" s="18"/>
      <c r="C8361" s="18"/>
      <c r="D8361" s="18"/>
      <c r="E8361" s="18"/>
      <c r="F8361" s="18"/>
      <c r="G8361" s="18"/>
      <c r="H8361" s="18"/>
      <c r="I8361" s="18"/>
      <c r="J8361" s="18"/>
      <c r="K8361" s="18"/>
      <c r="L8361" s="18"/>
      <c r="M8361" s="18"/>
      <c r="N8361" s="18"/>
      <c r="O8361" s="14" t="str">
        <f>HYPERLINK("https://otsuka-europe-crm.veevavault.com/ui/#object/email_activity__v/V8C00000003T254", "EN-002094086")</f>
        <v>EN-002094086</v>
      </c>
    </row>
    <row r="8362" spans="1:15" ht="16" x14ac:dyDescent="0.2">
      <c r="A8362" s="18"/>
      <c r="B8362" s="18"/>
      <c r="C8362" s="18"/>
      <c r="D8362" s="18"/>
      <c r="E8362" s="18"/>
      <c r="F8362" s="18"/>
      <c r="G8362" s="18"/>
      <c r="H8362" s="18"/>
      <c r="I8362" s="18"/>
      <c r="J8362" s="18"/>
      <c r="K8362" s="18"/>
      <c r="L8362" s="18"/>
      <c r="M8362" s="18"/>
      <c r="N8362" s="18"/>
      <c r="O8362" s="14" t="str">
        <f>HYPERLINK("https://otsuka-europe-crm.veevavault.com/ui/#object/email_activity__v/V8C00000003T255", "EN-002094087")</f>
        <v>EN-002094087</v>
      </c>
    </row>
    <row r="8363" spans="1:15" ht="16" x14ac:dyDescent="0.2">
      <c r="A8363" s="18"/>
      <c r="B8363" s="18"/>
      <c r="C8363" s="18"/>
      <c r="D8363" s="18"/>
      <c r="E8363" s="18"/>
      <c r="F8363" s="18"/>
      <c r="G8363" s="18"/>
      <c r="H8363" s="18"/>
      <c r="I8363" s="18"/>
      <c r="J8363" s="18"/>
      <c r="K8363" s="18"/>
      <c r="L8363" s="18"/>
      <c r="M8363" s="18"/>
      <c r="N8363" s="18"/>
      <c r="O8363" s="14" t="str">
        <f>HYPERLINK("https://otsuka-europe-crm.veevavault.com/ui/#object/email_activity__v/V8C00000003T285", "EN-002094126")</f>
        <v>EN-002094126</v>
      </c>
    </row>
    <row r="8364" spans="1:15" ht="16" x14ac:dyDescent="0.2">
      <c r="A8364" s="19"/>
      <c r="B8364" s="19"/>
      <c r="C8364" s="19"/>
      <c r="D8364" s="19"/>
      <c r="E8364" s="19"/>
      <c r="F8364" s="19"/>
      <c r="G8364" s="19"/>
      <c r="H8364" s="19"/>
      <c r="I8364" s="19"/>
      <c r="J8364" s="19"/>
      <c r="K8364" s="19"/>
      <c r="L8364" s="19"/>
      <c r="M8364" s="19"/>
      <c r="N8364" s="19"/>
      <c r="O8364" s="14" t="str">
        <f>HYPERLINK("https://otsuka-europe-crm.veevavault.com/ui/#object/email_activity__v/V8C00000003T286", "EN-002094127")</f>
        <v>EN-002094127</v>
      </c>
    </row>
    <row r="8365" spans="1:15" ht="48" x14ac:dyDescent="0.2">
      <c r="A8365" s="7" t="str">
        <f>HYPERLINK("https://otsuka-europe-crm.veevavault.com/ui/#object/account__v/V4TZ04ASGBCJYE1", "IMMACOLATA PREVETE")</f>
        <v>IMMACOLATA PREVETE</v>
      </c>
      <c r="B8365" s="7" t="str">
        <f>HYPERLINK("https://otsuka-europe-crm.veevavault.com/ui/#object/vcountry__v/VENZ000004SONFQ", "IT")</f>
        <v>IT</v>
      </c>
      <c r="C8365" s="8" t="s">
        <v>44</v>
      </c>
      <c r="D8365" s="9" t="str">
        <f>HYPERLINK("https://otsuka-europe-crm.veevavault.com/ui/#object/approved_document__v/V5O00000001B005", "Lupkynis_Multitarget_IT-LUP-2600003 V1.0 - RHEUMA")</f>
        <v>Lupkynis_Multitarget_IT-LUP-2600003 V1.0 - RHEUMA</v>
      </c>
      <c r="E8365" s="10" t="str">
        <f>HYPERLINK("https://otsuka-europe-crm.veevavault.com/ui/#object/sent_email__v/VBL00000002S716", "SE-001435398")</f>
        <v>SE-001435398</v>
      </c>
      <c r="F8365" s="11"/>
      <c r="G8365" s="12">
        <v>0</v>
      </c>
      <c r="H8365" s="12">
        <v>0</v>
      </c>
      <c r="I8365" s="12">
        <v>0</v>
      </c>
      <c r="J8365" s="11"/>
      <c r="K8365" s="12">
        <v>0</v>
      </c>
      <c r="L8365" s="10" t="str">
        <f>HYPERLINK("https://otsuka-europe-crm.veevavault.com/ui/#object/approved_document__v/V5O00000001B005", "Lupkynis_Multitarget_IT-LUP-2600003 V1.0 - RHEUMA")</f>
        <v>Lupkynis_Multitarget_IT-LUP-2600003 V1.0 - RHEUMA</v>
      </c>
      <c r="M8365" s="10" t="str">
        <f>HYPERLINK("mailto:linda.ottavo@crm.otsuka-europe.com", "linda.ottavo@crm.otsuka-europe.com")</f>
        <v>linda.ottavo@crm.otsuka-europe.com</v>
      </c>
      <c r="N8365" s="13">
        <v>46183.417013888888</v>
      </c>
      <c r="O8365" s="14" t="str">
        <f>HYPERLINK("https://otsuka-europe-crm.veevavault.com/ui/#object/email_activity__v/V8C00000003T250", "EN-002094082")</f>
        <v>EN-002094082</v>
      </c>
    </row>
    <row r="8366" spans="1:15" ht="48" x14ac:dyDescent="0.2">
      <c r="A8366" s="7" t="str">
        <f>HYPERLINK("https://otsuka-europe-crm.veevavault.com/ui/#object/account__v/V4TZ025E833A1BQ", "ILARIA PUCA")</f>
        <v>ILARIA PUCA</v>
      </c>
      <c r="B8366" s="7" t="str">
        <f>HYPERLINK("https://otsuka-europe-crm.veevavault.com/ui/#object/vcountry__v/VENZ000004SONFQ", "IT")</f>
        <v>IT</v>
      </c>
      <c r="C8366" s="8" t="s">
        <v>44</v>
      </c>
      <c r="D8366" s="9" t="str">
        <f>HYPERLINK("https://otsuka-europe-crm.veevavault.com/ui/#object/approved_document__v/V5O00000001B005", "Lupkynis_Multitarget_IT-LUP-2600003 V1.0 - RHEUMA")</f>
        <v>Lupkynis_Multitarget_IT-LUP-2600003 V1.0 - RHEUMA</v>
      </c>
      <c r="E8366" s="10" t="str">
        <f>HYPERLINK("https://otsuka-europe-crm.veevavault.com/ui/#object/sent_email__v/VBL00000002R654", "SE-001435399")</f>
        <v>SE-001435399</v>
      </c>
      <c r="F8366" s="11"/>
      <c r="G8366" s="12">
        <v>0</v>
      </c>
      <c r="H8366" s="12">
        <v>0</v>
      </c>
      <c r="I8366" s="12">
        <v>0</v>
      </c>
      <c r="J8366" s="11"/>
      <c r="K8366" s="12">
        <v>0</v>
      </c>
      <c r="L8366" s="10" t="str">
        <f>HYPERLINK("https://otsuka-europe-crm.veevavault.com/ui/#object/approved_document__v/V5O00000001B005", "Lupkynis_Multitarget_IT-LUP-2600003 V1.0 - RHEUMA")</f>
        <v>Lupkynis_Multitarget_IT-LUP-2600003 V1.0 - RHEUMA</v>
      </c>
      <c r="M8366" s="10" t="str">
        <f>HYPERLINK("mailto:linda.ottavo@crm.otsuka-europe.com", "linda.ottavo@crm.otsuka-europe.com")</f>
        <v>linda.ottavo@crm.otsuka-europe.com</v>
      </c>
      <c r="N8366" s="13">
        <v>46183.417094907411</v>
      </c>
      <c r="O8366" s="14" t="str">
        <f>HYPERLINK("https://otsuka-europe-crm.veevavault.com/ui/#object/email_activity__v/V8C00000003S607", "EN-002094129")</f>
        <v>EN-002094129</v>
      </c>
    </row>
    <row r="8367" spans="1:15" ht="48" x14ac:dyDescent="0.2">
      <c r="A8367" s="7" t="str">
        <f>HYPERLINK("https://otsuka-europe-crm.veevavault.com/ui/#object/account__v/V4TZ025E85J4375", "ELEONORA RICCIO")</f>
        <v>ELEONORA RICCIO</v>
      </c>
      <c r="B8367" s="7" t="str">
        <f>HYPERLINK("https://otsuka-europe-crm.veevavault.com/ui/#object/vcountry__v/VENZ000004SONFQ", "IT")</f>
        <v>IT</v>
      </c>
      <c r="C8367" s="8" t="s">
        <v>44</v>
      </c>
      <c r="D8367" s="9" t="str">
        <f>HYPERLINK("https://otsuka-europe-crm.veevavault.com/ui/#object/approved_document__v/V5O00000001B008", "Lupkynis_Multitarget_IT-LUP-2600003 V1.0 - NEPHRO")</f>
        <v>Lupkynis_Multitarget_IT-LUP-2600003 V1.0 - NEPHRO</v>
      </c>
      <c r="E8367" s="10" t="str">
        <f>HYPERLINK("https://otsuka-europe-crm.veevavault.com/ui/#object/sent_email__v/VBL00000002R655", "SE-001435400")</f>
        <v>SE-001435400</v>
      </c>
      <c r="F8367" s="11"/>
      <c r="G8367" s="12">
        <v>0</v>
      </c>
      <c r="H8367" s="12">
        <v>0</v>
      </c>
      <c r="I8367" s="12">
        <v>0</v>
      </c>
      <c r="J8367" s="11"/>
      <c r="K8367" s="12">
        <v>0</v>
      </c>
      <c r="L8367" s="10" t="str">
        <f>HYPERLINK("https://otsuka-europe-crm.veevavault.com/ui/#object/approved_document__v/V5O00000001B008", "Lupkynis_Multitarget_IT-LUP-2600003 V1.0 - NEPHRO")</f>
        <v>Lupkynis_Multitarget_IT-LUP-2600003 V1.0 - NEPHRO</v>
      </c>
      <c r="M8367" s="10" t="str">
        <f>HYPERLINK("mailto:linda.ottavo@crm.otsuka-europe.com", "linda.ottavo@crm.otsuka-europe.com")</f>
        <v>linda.ottavo@crm.otsuka-europe.com</v>
      </c>
      <c r="N8367" s="13">
        <v>46183.417326388888</v>
      </c>
      <c r="O8367" s="14" t="str">
        <f>HYPERLINK("https://otsuka-europe-crm.veevavault.com/ui/#object/email_activity__v/V8C00000003T258", "EN-002094090")</f>
        <v>EN-002094090</v>
      </c>
    </row>
    <row r="8368" spans="1:15" ht="48" x14ac:dyDescent="0.2">
      <c r="A8368" s="7" t="str">
        <f>HYPERLINK("https://otsuka-europe-crm.veevavault.com/ui/#object/account__v/V4TZ06G6O71SC5H", "MARGHERITA ROSA")</f>
        <v>MARGHERITA ROSA</v>
      </c>
      <c r="B8368" s="7" t="str">
        <f>HYPERLINK("https://otsuka-europe-crm.veevavault.com/ui/#object/vcountry__v/VENZ000004SONFQ", "IT")</f>
        <v>IT</v>
      </c>
      <c r="C8368" s="8" t="s">
        <v>44</v>
      </c>
      <c r="D8368" s="9" t="str">
        <f>HYPERLINK("https://otsuka-europe-crm.veevavault.com/ui/#object/approved_document__v/V5O00000001B008", "Lupkynis_Multitarget_IT-LUP-2600003 V1.0 - NEPHRO")</f>
        <v>Lupkynis_Multitarget_IT-LUP-2600003 V1.0 - NEPHRO</v>
      </c>
      <c r="E8368" s="10" t="str">
        <f>HYPERLINK("https://otsuka-europe-crm.veevavault.com/ui/#object/sent_email__v/VBL00000002R656", "SE-001435401")</f>
        <v>SE-001435401</v>
      </c>
      <c r="F8368" s="11"/>
      <c r="G8368" s="12">
        <v>0</v>
      </c>
      <c r="H8368" s="12">
        <v>0</v>
      </c>
      <c r="I8368" s="12">
        <v>0</v>
      </c>
      <c r="J8368" s="11"/>
      <c r="K8368" s="12">
        <v>0</v>
      </c>
      <c r="L8368" s="10" t="str">
        <f>HYPERLINK("https://otsuka-europe-crm.veevavault.com/ui/#object/approved_document__v/V5O00000001B008", "Lupkynis_Multitarget_IT-LUP-2600003 V1.0 - NEPHRO")</f>
        <v>Lupkynis_Multitarget_IT-LUP-2600003 V1.0 - NEPHRO</v>
      </c>
      <c r="M8368" s="10" t="str">
        <f>HYPERLINK("mailto:linda.ottavo@crm.otsuka-europe.com", "linda.ottavo@crm.otsuka-europe.com")</f>
        <v>linda.ottavo@crm.otsuka-europe.com</v>
      </c>
      <c r="N8368" s="13">
        <v>46183.417673611111</v>
      </c>
      <c r="O8368" s="14" t="str">
        <f>HYPERLINK("https://otsuka-europe-crm.veevavault.com/ui/#object/email_activity__v/V8C00000003T259", "EN-002094091")</f>
        <v>EN-002094091</v>
      </c>
    </row>
    <row r="8369" spans="1:15" ht="16" x14ac:dyDescent="0.2">
      <c r="A8369" s="17" t="str">
        <f>HYPERLINK("https://otsuka-europe-crm.veevavault.com/ui/#object/account__v/V4TZ04ASGBNVSQK", "FRANCESCA WANDA ROSSI")</f>
        <v>FRANCESCA WANDA ROSSI</v>
      </c>
      <c r="B8369" s="17" t="str">
        <f>HYPERLINK("https://otsuka-europe-crm.veevavault.com/ui/#object/vcountry__v/VENZ000004SONFQ", "IT")</f>
        <v>IT</v>
      </c>
      <c r="C8369" s="20" t="s">
        <v>44</v>
      </c>
      <c r="D8369" s="21" t="str">
        <f>HYPERLINK("https://otsuka-europe-crm.veevavault.com/ui/#object/approved_document__v/V5O00000001B006", "Lupkynis_Multitarget_IT-LUP-2600003 V1.0 -  IMMUNO")</f>
        <v>Lupkynis_Multitarget_IT-LUP-2600003 V1.0 -  IMMUNO</v>
      </c>
      <c r="E8369" s="22" t="str">
        <f>HYPERLINK("https://otsuka-europe-crm.veevavault.com/ui/#object/sent_email__v/VBL00000002R657", "SE-001435402")</f>
        <v>SE-001435402</v>
      </c>
      <c r="F8369" s="23">
        <v>46183.452465277776</v>
      </c>
      <c r="G8369" s="24">
        <v>1</v>
      </c>
      <c r="H8369" s="24">
        <v>1</v>
      </c>
      <c r="I8369" s="24">
        <v>0</v>
      </c>
      <c r="J8369" s="25"/>
      <c r="K8369" s="24">
        <v>0</v>
      </c>
      <c r="L8369" s="22" t="str">
        <f>HYPERLINK("https://otsuka-europe-crm.veevavault.com/ui/#object/approved_document__v/V5O00000001B006", "Lupkynis_Multitarget_IT-LUP-2600003 V1.0 -  IMMUNO")</f>
        <v>Lupkynis_Multitarget_IT-LUP-2600003 V1.0 -  IMMUNO</v>
      </c>
      <c r="M8369" s="22" t="str">
        <f>HYPERLINK("mailto:linda.ottavo@crm.otsuka-europe.com", "linda.ottavo@crm.otsuka-europe.com")</f>
        <v>linda.ottavo@crm.otsuka-europe.com</v>
      </c>
      <c r="N8369" s="23">
        <v>46183.417893518519</v>
      </c>
      <c r="O8369" s="14" t="str">
        <f>HYPERLINK("https://otsuka-europe-crm.veevavault.com/ui/#object/email_activity__v/V8C00000003S599", "EN-002094093")</f>
        <v>EN-002094093</v>
      </c>
    </row>
    <row r="8370" spans="1:15" ht="16" x14ac:dyDescent="0.2">
      <c r="A8370" s="19"/>
      <c r="B8370" s="19"/>
      <c r="C8370" s="19"/>
      <c r="D8370" s="19"/>
      <c r="E8370" s="19"/>
      <c r="F8370" s="19"/>
      <c r="G8370" s="19"/>
      <c r="H8370" s="19"/>
      <c r="I8370" s="19"/>
      <c r="J8370" s="19"/>
      <c r="K8370" s="19"/>
      <c r="L8370" s="19"/>
      <c r="M8370" s="19"/>
      <c r="N8370" s="19"/>
      <c r="O8370" s="14" t="str">
        <f>HYPERLINK("https://otsuka-europe-crm.veevavault.com/ui/#object/email_activity__v/V8C00000003T301", "EN-002094158")</f>
        <v>EN-002094158</v>
      </c>
    </row>
    <row r="8371" spans="1:15" ht="16" x14ac:dyDescent="0.2">
      <c r="A8371" s="17" t="str">
        <f>HYPERLINK("https://otsuka-europe-crm.veevavault.com/ui/#object/account__v/V4TZ04ASGDUDWJR", "GIANLUCA SANTOBONI")</f>
        <v>GIANLUCA SANTOBONI</v>
      </c>
      <c r="B8371" s="17" t="str">
        <f>HYPERLINK("https://otsuka-europe-crm.veevavault.com/ui/#object/vcountry__v/VENZ000004SONFQ", "IT")</f>
        <v>IT</v>
      </c>
      <c r="C8371" s="20" t="s">
        <v>44</v>
      </c>
      <c r="D8371" s="21" t="str">
        <f>HYPERLINK("https://otsuka-europe-crm.veevavault.com/ui/#object/approved_document__v/V5O00000001B005", "Lupkynis_Multitarget_IT-LUP-2600003 V1.0 - RHEUMA")</f>
        <v>Lupkynis_Multitarget_IT-LUP-2600003 V1.0 - RHEUMA</v>
      </c>
      <c r="E8371" s="22" t="str">
        <f>HYPERLINK("https://otsuka-europe-crm.veevavault.com/ui/#object/sent_email__v/VBL00000002R658", "SE-001435403")</f>
        <v>SE-001435403</v>
      </c>
      <c r="F8371" s="23">
        <v>46183.920185185183</v>
      </c>
      <c r="G8371" s="24">
        <v>1</v>
      </c>
      <c r="H8371" s="24">
        <v>1</v>
      </c>
      <c r="I8371" s="24">
        <v>0</v>
      </c>
      <c r="J8371" s="25"/>
      <c r="K8371" s="24">
        <v>0</v>
      </c>
      <c r="L8371" s="22" t="str">
        <f>HYPERLINK("https://otsuka-europe-crm.veevavault.com/ui/#object/approved_document__v/V5O00000001B005", "Lupkynis_Multitarget_IT-LUP-2600003 V1.0 - RHEUMA")</f>
        <v>Lupkynis_Multitarget_IT-LUP-2600003 V1.0 - RHEUMA</v>
      </c>
      <c r="M8371" s="22" t="str">
        <f>HYPERLINK("mailto:linda.ottavo@crm.otsuka-europe.com", "linda.ottavo@crm.otsuka-europe.com")</f>
        <v>linda.ottavo@crm.otsuka-europe.com</v>
      </c>
      <c r="N8371" s="23">
        <v>46183.418182870373</v>
      </c>
      <c r="O8371" s="14" t="str">
        <f>HYPERLINK("https://otsuka-europe-crm.veevavault.com/ui/#object/email_activity__v/V8C00000003S797", "EN-002094445")</f>
        <v>EN-002094445</v>
      </c>
    </row>
    <row r="8372" spans="1:15" ht="16" x14ac:dyDescent="0.2">
      <c r="A8372" s="18"/>
      <c r="B8372" s="18"/>
      <c r="C8372" s="18"/>
      <c r="D8372" s="18"/>
      <c r="E8372" s="18"/>
      <c r="F8372" s="18"/>
      <c r="G8372" s="18"/>
      <c r="H8372" s="18"/>
      <c r="I8372" s="18"/>
      <c r="J8372" s="18"/>
      <c r="K8372" s="18"/>
      <c r="L8372" s="18"/>
      <c r="M8372" s="18"/>
      <c r="N8372" s="18"/>
      <c r="O8372" s="14" t="str">
        <f>HYPERLINK("https://otsuka-europe-crm.veevavault.com/ui/#object/email_activity__v/V8C00000003T261", "EN-002094096")</f>
        <v>EN-002094096</v>
      </c>
    </row>
    <row r="8373" spans="1:15" ht="16" x14ac:dyDescent="0.2">
      <c r="A8373" s="19"/>
      <c r="B8373" s="19"/>
      <c r="C8373" s="19"/>
      <c r="D8373" s="19"/>
      <c r="E8373" s="19"/>
      <c r="F8373" s="19"/>
      <c r="G8373" s="19"/>
      <c r="H8373" s="19"/>
      <c r="I8373" s="19"/>
      <c r="J8373" s="19"/>
      <c r="K8373" s="19"/>
      <c r="L8373" s="19"/>
      <c r="M8373" s="19"/>
      <c r="N8373" s="19"/>
      <c r="O8373" s="14" t="str">
        <f>HYPERLINK("https://otsuka-europe-crm.veevavault.com/ui/#object/email_activity__v/V8C00000003U023", "EN-002094865")</f>
        <v>EN-002094865</v>
      </c>
    </row>
    <row r="8374" spans="1:15" ht="48" x14ac:dyDescent="0.2">
      <c r="A8374" s="7" t="str">
        <f>HYPERLINK("https://otsuka-europe-crm.veevavault.com/ui/#object/account__v/V4TZ025E88BZDCT", "FRANCESCA SARACINO")</f>
        <v>FRANCESCA SARACINO</v>
      </c>
      <c r="B8374" s="7" t="str">
        <f>HYPERLINK("https://otsuka-europe-crm.veevavault.com/ui/#object/vcountry__v/VENZ000004SONFQ", "IT")</f>
        <v>IT</v>
      </c>
      <c r="C8374" s="8" t="s">
        <v>44</v>
      </c>
      <c r="D8374" s="9" t="str">
        <f>HYPERLINK("https://otsuka-europe-crm.veevavault.com/ui/#object/approved_document__v/V5O00000001B005", "Lupkynis_Multitarget_IT-LUP-2600003 V1.0 - RHEUMA")</f>
        <v>Lupkynis_Multitarget_IT-LUP-2600003 V1.0 - RHEUMA</v>
      </c>
      <c r="E8374" s="10" t="str">
        <f>HYPERLINK("https://otsuka-europe-crm.veevavault.com/ui/#object/sent_email__v/VBL00000002S717", "SE-001435404")</f>
        <v>SE-001435404</v>
      </c>
      <c r="F8374" s="11"/>
      <c r="G8374" s="12">
        <v>0</v>
      </c>
      <c r="H8374" s="12">
        <v>0</v>
      </c>
      <c r="I8374" s="12">
        <v>0</v>
      </c>
      <c r="J8374" s="11"/>
      <c r="K8374" s="12">
        <v>0</v>
      </c>
      <c r="L8374" s="10" t="str">
        <f>HYPERLINK("https://otsuka-europe-crm.veevavault.com/ui/#object/approved_document__v/V5O00000001B005", "Lupkynis_Multitarget_IT-LUP-2600003 V1.0 - RHEUMA")</f>
        <v>Lupkynis_Multitarget_IT-LUP-2600003 V1.0 - RHEUMA</v>
      </c>
      <c r="M8374" s="10" t="str">
        <f>HYPERLINK("mailto:linda.ottavo@crm.otsuka-europe.com", "linda.ottavo@crm.otsuka-europe.com")</f>
        <v>linda.ottavo@crm.otsuka-europe.com</v>
      </c>
      <c r="N8374" s="13">
        <v>46183.418344907404</v>
      </c>
      <c r="O8374" s="14" t="str">
        <f>HYPERLINK("https://otsuka-europe-crm.veevavault.com/ui/#object/email_activity__v/V8C00000003S601", "EN-002094097")</f>
        <v>EN-002094097</v>
      </c>
    </row>
    <row r="8375" spans="1:15" ht="48" x14ac:dyDescent="0.2">
      <c r="A8375" s="7" t="str">
        <f>HYPERLINK("https://otsuka-europe-crm.veevavault.com/ui/#object/account__v/V4TZ04ASGC0194L", "SALVATORE SCARPATO")</f>
        <v>SALVATORE SCARPATO</v>
      </c>
      <c r="B8375" s="7" t="str">
        <f>HYPERLINK("https://otsuka-europe-crm.veevavault.com/ui/#object/vcountry__v/VENZ000004SONFQ", "IT")</f>
        <v>IT</v>
      </c>
      <c r="C8375" s="8" t="s">
        <v>44</v>
      </c>
      <c r="D8375" s="9" t="str">
        <f>HYPERLINK("https://otsuka-europe-crm.veevavault.com/ui/#object/approved_document__v/V5O00000001B005", "Lupkynis_Multitarget_IT-LUP-2600003 V1.0 - RHEUMA")</f>
        <v>Lupkynis_Multitarget_IT-LUP-2600003 V1.0 - RHEUMA</v>
      </c>
      <c r="E8375" s="10" t="str">
        <f>HYPERLINK("https://otsuka-europe-crm.veevavault.com/ui/#object/sent_email__v/VBL00000002R659", "SE-001435405")</f>
        <v>SE-001435405</v>
      </c>
      <c r="F8375" s="11"/>
      <c r="G8375" s="12">
        <v>0</v>
      </c>
      <c r="H8375" s="12">
        <v>0</v>
      </c>
      <c r="I8375" s="12">
        <v>0</v>
      </c>
      <c r="J8375" s="11"/>
      <c r="K8375" s="12">
        <v>0</v>
      </c>
      <c r="L8375" s="10" t="str">
        <f>HYPERLINK("https://otsuka-europe-crm.veevavault.com/ui/#object/approved_document__v/V5O00000001B005", "Lupkynis_Multitarget_IT-LUP-2600003 V1.0 - RHEUMA")</f>
        <v>Lupkynis_Multitarget_IT-LUP-2600003 V1.0 - RHEUMA</v>
      </c>
      <c r="M8375" s="10" t="str">
        <f>HYPERLINK("mailto:linda.ottavo@crm.otsuka-europe.com", "linda.ottavo@crm.otsuka-europe.com")</f>
        <v>linda.ottavo@crm.otsuka-europe.com</v>
      </c>
      <c r="N8375" s="13">
        <v>46183.418530092589</v>
      </c>
      <c r="O8375" s="14" t="str">
        <f>HYPERLINK("https://otsuka-europe-crm.veevavault.com/ui/#object/email_activity__v/V8C00000003T262", "EN-002094098")</f>
        <v>EN-002094098</v>
      </c>
    </row>
    <row r="8376" spans="1:15" ht="48" x14ac:dyDescent="0.2">
      <c r="A8376" s="7" t="str">
        <f>HYPERLINK("https://otsuka-europe-crm.veevavault.com/ui/#object/account__v/V4TZ04ASGBJUHK4", "CHIARA SCIROCCO")</f>
        <v>CHIARA SCIROCCO</v>
      </c>
      <c r="B8376" s="7" t="str">
        <f>HYPERLINK("https://otsuka-europe-crm.veevavault.com/ui/#object/vcountry__v/VENZ000004SONFQ", "IT")</f>
        <v>IT</v>
      </c>
      <c r="C8376" s="8" t="s">
        <v>44</v>
      </c>
      <c r="D8376" s="9" t="str">
        <f>HYPERLINK("https://otsuka-europe-crm.veevavault.com/ui/#object/approved_document__v/V5O00000001B005", "Lupkynis_Multitarget_IT-LUP-2600003 V1.0 - RHEUMA")</f>
        <v>Lupkynis_Multitarget_IT-LUP-2600003 V1.0 - RHEUMA</v>
      </c>
      <c r="E8376" s="10" t="str">
        <f>HYPERLINK("https://otsuka-europe-crm.veevavault.com/ui/#object/sent_email__v/VBL00000002R660", "SE-001435406")</f>
        <v>SE-001435406</v>
      </c>
      <c r="F8376" s="11"/>
      <c r="G8376" s="12">
        <v>0</v>
      </c>
      <c r="H8376" s="12">
        <v>0</v>
      </c>
      <c r="I8376" s="12">
        <v>0</v>
      </c>
      <c r="J8376" s="11"/>
      <c r="K8376" s="12">
        <v>0</v>
      </c>
      <c r="L8376" s="10" t="str">
        <f>HYPERLINK("https://otsuka-europe-crm.veevavault.com/ui/#object/approved_document__v/V5O00000001B005", "Lupkynis_Multitarget_IT-LUP-2600003 V1.0 - RHEUMA")</f>
        <v>Lupkynis_Multitarget_IT-LUP-2600003 V1.0 - RHEUMA</v>
      </c>
      <c r="M8376" s="10" t="str">
        <f>HYPERLINK("mailto:linda.ottavo@crm.otsuka-europe.com", "linda.ottavo@crm.otsuka-europe.com")</f>
        <v>linda.ottavo@crm.otsuka-europe.com</v>
      </c>
      <c r="N8376" s="13">
        <v>46183.418611111112</v>
      </c>
      <c r="O8376" s="14" t="str">
        <f>HYPERLINK("https://otsuka-europe-crm.veevavault.com/ui/#object/email_activity__v/V8C00000003T263", "EN-002094099")</f>
        <v>EN-002094099</v>
      </c>
    </row>
    <row r="8377" spans="1:15" ht="48" x14ac:dyDescent="0.2">
      <c r="A8377" s="7" t="str">
        <f>HYPERLINK("https://otsuka-europe-crm.veevavault.com/ui/#object/account__v/V4TZ04ASGB4WCMC", "GIAN DOMENICO SEBASTIANI")</f>
        <v>GIAN DOMENICO SEBASTIANI</v>
      </c>
      <c r="B8377" s="7" t="str">
        <f>HYPERLINK("https://otsuka-europe-crm.veevavault.com/ui/#object/vcountry__v/VENZ000004SONFQ", "IT")</f>
        <v>IT</v>
      </c>
      <c r="C8377" s="8" t="s">
        <v>44</v>
      </c>
      <c r="D8377" s="9" t="str">
        <f>HYPERLINK("https://otsuka-europe-crm.veevavault.com/ui/#object/approved_document__v/V5O00000001B005", "Lupkynis_Multitarget_IT-LUP-2600003 V1.0 - RHEUMA")</f>
        <v>Lupkynis_Multitarget_IT-LUP-2600003 V1.0 - RHEUMA</v>
      </c>
      <c r="E8377" s="10" t="str">
        <f>HYPERLINK("https://otsuka-europe-crm.veevavault.com/ui/#object/sent_email__v/VBL00000002R661", "SE-001435407")</f>
        <v>SE-001435407</v>
      </c>
      <c r="F8377" s="11"/>
      <c r="G8377" s="12">
        <v>0</v>
      </c>
      <c r="H8377" s="12">
        <v>0</v>
      </c>
      <c r="I8377" s="12">
        <v>0</v>
      </c>
      <c r="J8377" s="11"/>
      <c r="K8377" s="12">
        <v>0</v>
      </c>
      <c r="L8377" s="10" t="str">
        <f>HYPERLINK("https://otsuka-europe-crm.veevavault.com/ui/#object/approved_document__v/V5O00000001B005", "Lupkynis_Multitarget_IT-LUP-2600003 V1.0 - RHEUMA")</f>
        <v>Lupkynis_Multitarget_IT-LUP-2600003 V1.0 - RHEUMA</v>
      </c>
      <c r="M8377" s="10" t="str">
        <f>HYPERLINK("mailto:linda.ottavo@crm.otsuka-europe.com", "linda.ottavo@crm.otsuka-europe.com")</f>
        <v>linda.ottavo@crm.otsuka-europe.com</v>
      </c>
      <c r="N8377" s="13">
        <v>46183.418877314813</v>
      </c>
      <c r="O8377" s="14" t="str">
        <f>HYPERLINK("https://otsuka-europe-crm.veevavault.com/ui/#object/email_activity__v/V8C00000003T265", "EN-002094101")</f>
        <v>EN-002094101</v>
      </c>
    </row>
    <row r="8378" spans="1:15" ht="16" x14ac:dyDescent="0.2">
      <c r="A8378" s="17" t="str">
        <f>HYPERLINK("https://otsuka-europe-crm.veevavault.com/ui/#object/account__v/V4TZ025E87NMJRP", "FELICE SENSI")</f>
        <v>FELICE SENSI</v>
      </c>
      <c r="B8378" s="17" t="str">
        <f>HYPERLINK("https://otsuka-europe-crm.veevavault.com/ui/#object/vcountry__v/VENZ000004SONFQ", "IT")</f>
        <v>IT</v>
      </c>
      <c r="C8378" s="20" t="s">
        <v>44</v>
      </c>
      <c r="D8378" s="21" t="str">
        <f>HYPERLINK("https://otsuka-europe-crm.veevavault.com/ui/#object/approved_document__v/V5O00000001B005", "Lupkynis_Multitarget_IT-LUP-2600003 V1.0 - RHEUMA")</f>
        <v>Lupkynis_Multitarget_IT-LUP-2600003 V1.0 - RHEUMA</v>
      </c>
      <c r="E8378" s="22" t="str">
        <f>HYPERLINK("https://otsuka-europe-crm.veevavault.com/ui/#object/sent_email__v/VBL00000002R662", "SE-001435408")</f>
        <v>SE-001435408</v>
      </c>
      <c r="F8378" s="23">
        <v>46185.547638888886</v>
      </c>
      <c r="G8378" s="24">
        <v>1</v>
      </c>
      <c r="H8378" s="24">
        <v>3</v>
      </c>
      <c r="I8378" s="24">
        <v>0</v>
      </c>
      <c r="J8378" s="25"/>
      <c r="K8378" s="24">
        <v>0</v>
      </c>
      <c r="L8378" s="22" t="str">
        <f>HYPERLINK("https://otsuka-europe-crm.veevavault.com/ui/#object/approved_document__v/V5O00000001B005", "Lupkynis_Multitarget_IT-LUP-2600003 V1.0 - RHEUMA")</f>
        <v>Lupkynis_Multitarget_IT-LUP-2600003 V1.0 - RHEUMA</v>
      </c>
      <c r="M8378" s="22" t="str">
        <f>HYPERLINK("mailto:linda.ottavo@crm.otsuka-europe.com", "linda.ottavo@crm.otsuka-europe.com")</f>
        <v>linda.ottavo@crm.otsuka-europe.com</v>
      </c>
      <c r="N8378" s="23">
        <v>46183.419039351851</v>
      </c>
      <c r="O8378" s="14" t="str">
        <f>HYPERLINK("https://otsuka-europe-crm.veevavault.com/ui/#object/email_activity__v/V8C00000003S602", "EN-002094102")</f>
        <v>EN-002094102</v>
      </c>
    </row>
    <row r="8379" spans="1:15" ht="16" x14ac:dyDescent="0.2">
      <c r="A8379" s="18"/>
      <c r="B8379" s="18"/>
      <c r="C8379" s="18"/>
      <c r="D8379" s="18"/>
      <c r="E8379" s="18"/>
      <c r="F8379" s="18"/>
      <c r="G8379" s="18"/>
      <c r="H8379" s="18"/>
      <c r="I8379" s="18"/>
      <c r="J8379" s="18"/>
      <c r="K8379" s="18"/>
      <c r="L8379" s="18"/>
      <c r="M8379" s="18"/>
      <c r="N8379" s="18"/>
      <c r="O8379" s="14" t="str">
        <f>HYPERLINK("https://otsuka-europe-crm.veevavault.com/ui/#object/email_activity__v/V8C00000003T264", "EN-002094100")</f>
        <v>EN-002094100</v>
      </c>
    </row>
    <row r="8380" spans="1:15" ht="16" x14ac:dyDescent="0.2">
      <c r="A8380" s="18"/>
      <c r="B8380" s="18"/>
      <c r="C8380" s="18"/>
      <c r="D8380" s="18"/>
      <c r="E8380" s="18"/>
      <c r="F8380" s="18"/>
      <c r="G8380" s="18"/>
      <c r="H8380" s="18"/>
      <c r="I8380" s="18"/>
      <c r="J8380" s="18"/>
      <c r="K8380" s="18"/>
      <c r="L8380" s="18"/>
      <c r="M8380" s="18"/>
      <c r="N8380" s="18"/>
      <c r="O8380" s="14" t="str">
        <f>HYPERLINK("https://otsuka-europe-crm.veevavault.com/ui/#object/email_activity__v/V8C00000003T272", "EN-002094113")</f>
        <v>EN-002094113</v>
      </c>
    </row>
    <row r="8381" spans="1:15" ht="16" x14ac:dyDescent="0.2">
      <c r="A8381" s="19"/>
      <c r="B8381" s="19"/>
      <c r="C8381" s="19"/>
      <c r="D8381" s="19"/>
      <c r="E8381" s="19"/>
      <c r="F8381" s="19"/>
      <c r="G8381" s="19"/>
      <c r="H8381" s="19"/>
      <c r="I8381" s="19"/>
      <c r="J8381" s="19"/>
      <c r="K8381" s="19"/>
      <c r="L8381" s="19"/>
      <c r="M8381" s="19"/>
      <c r="N8381" s="19"/>
      <c r="O8381" s="14" t="str">
        <f>HYPERLINK("https://otsuka-europe-crm.veevavault.com/ui/#object/email_activity__v/V8C00000003V331", "EN-002095449")</f>
        <v>EN-002095449</v>
      </c>
    </row>
    <row r="8382" spans="1:15" ht="16" x14ac:dyDescent="0.2">
      <c r="A8382" s="17" t="str">
        <f>HYPERLINK("https://otsuka-europe-crm.veevavault.com/ui/#object/account__v/V4TZ025E84GCU9J", "LIVIA MARIA SORRENTINO")</f>
        <v>LIVIA MARIA SORRENTINO</v>
      </c>
      <c r="B8382" s="17" t="str">
        <f>HYPERLINK("https://otsuka-europe-crm.veevavault.com/ui/#object/vcountry__v/VENZ000004SONFQ", "IT")</f>
        <v>IT</v>
      </c>
      <c r="C8382" s="20" t="s">
        <v>44</v>
      </c>
      <c r="D8382" s="21" t="str">
        <f>HYPERLINK("https://otsuka-europe-crm.veevavault.com/ui/#object/approved_document__v/V5O00000001B008", "Lupkynis_Multitarget_IT-LUP-2600003 V1.0 - NEPHRO")</f>
        <v>Lupkynis_Multitarget_IT-LUP-2600003 V1.0 - NEPHRO</v>
      </c>
      <c r="E8382" s="22" t="str">
        <f>HYPERLINK("https://otsuka-europe-crm.veevavault.com/ui/#object/sent_email__v/VBL00000002R663", "SE-001435409")</f>
        <v>SE-001435409</v>
      </c>
      <c r="F8382" s="23">
        <v>46188.456053240741</v>
      </c>
      <c r="G8382" s="24">
        <v>1</v>
      </c>
      <c r="H8382" s="24">
        <v>1</v>
      </c>
      <c r="I8382" s="24">
        <v>0</v>
      </c>
      <c r="J8382" s="25"/>
      <c r="K8382" s="24">
        <v>0</v>
      </c>
      <c r="L8382" s="22" t="str">
        <f>HYPERLINK("https://otsuka-europe-crm.veevavault.com/ui/#object/approved_document__v/V5O00000001B008", "Lupkynis_Multitarget_IT-LUP-2600003 V1.0 - NEPHRO")</f>
        <v>Lupkynis_Multitarget_IT-LUP-2600003 V1.0 - NEPHRO</v>
      </c>
      <c r="M8382" s="22" t="str">
        <f>HYPERLINK("mailto:linda.ottavo@crm.otsuka-europe.com", "linda.ottavo@crm.otsuka-europe.com")</f>
        <v>linda.ottavo@crm.otsuka-europe.com</v>
      </c>
      <c r="N8382" s="23">
        <v>46183.419421296298</v>
      </c>
      <c r="O8382" s="14" t="str">
        <f>HYPERLINK("https://otsuka-europe-crm.veevavault.com/ui/#object/email_activity__v/V8C00000003T266", "EN-002094103")</f>
        <v>EN-002094103</v>
      </c>
    </row>
    <row r="8383" spans="1:15" ht="16" x14ac:dyDescent="0.2">
      <c r="A8383" s="19"/>
      <c r="B8383" s="19"/>
      <c r="C8383" s="19"/>
      <c r="D8383" s="19"/>
      <c r="E8383" s="19"/>
      <c r="F8383" s="19"/>
      <c r="G8383" s="19"/>
      <c r="H8383" s="19"/>
      <c r="I8383" s="19"/>
      <c r="J8383" s="19"/>
      <c r="K8383" s="19"/>
      <c r="L8383" s="19"/>
      <c r="M8383" s="19"/>
      <c r="N8383" s="19"/>
      <c r="O8383" s="14" t="str">
        <f>HYPERLINK("https://otsuka-europe-crm.veevavault.com/ui/#object/email_activity__v/V8C00000003U557", "EN-002095917")</f>
        <v>EN-002095917</v>
      </c>
    </row>
    <row r="8384" spans="1:15" ht="16" x14ac:dyDescent="0.2">
      <c r="A8384" s="17" t="str">
        <f>HYPERLINK("https://otsuka-europe-crm.veevavault.com/ui/#object/account__v/V4TZ04ASGB9OKAO", "FRANCESCA ROMANA SPINELLI")</f>
        <v>FRANCESCA ROMANA SPINELLI</v>
      </c>
      <c r="B8384" s="17" t="str">
        <f>HYPERLINK("https://otsuka-europe-crm.veevavault.com/ui/#object/vcountry__v/VENZ000004SONFQ", "IT")</f>
        <v>IT</v>
      </c>
      <c r="C8384" s="20" t="s">
        <v>44</v>
      </c>
      <c r="D8384" s="21" t="str">
        <f>HYPERLINK("https://otsuka-europe-crm.veevavault.com/ui/#object/approved_document__v/V5O00000001B005", "Lupkynis_Multitarget_IT-LUP-2600003 V1.0 - RHEUMA")</f>
        <v>Lupkynis_Multitarget_IT-LUP-2600003 V1.0 - RHEUMA</v>
      </c>
      <c r="E8384" s="22" t="str">
        <f>HYPERLINK("https://otsuka-europe-crm.veevavault.com/ui/#object/sent_email__v/VBL00000002R664", "SE-001435410")</f>
        <v>SE-001435410</v>
      </c>
      <c r="F8384" s="23">
        <v>46188.778645833336</v>
      </c>
      <c r="G8384" s="24">
        <v>1</v>
      </c>
      <c r="H8384" s="24">
        <v>2</v>
      </c>
      <c r="I8384" s="24">
        <v>0</v>
      </c>
      <c r="J8384" s="25"/>
      <c r="K8384" s="24">
        <v>0</v>
      </c>
      <c r="L8384" s="22" t="str">
        <f>HYPERLINK("https://otsuka-europe-crm.veevavault.com/ui/#object/approved_document__v/V5O00000001B005", "Lupkynis_Multitarget_IT-LUP-2600003 V1.0 - RHEUMA")</f>
        <v>Lupkynis_Multitarget_IT-LUP-2600003 V1.0 - RHEUMA</v>
      </c>
      <c r="M8384" s="22" t="str">
        <f>HYPERLINK("mailto:linda.ottavo@crm.otsuka-europe.com", "linda.ottavo@crm.otsuka-europe.com")</f>
        <v>linda.ottavo@crm.otsuka-europe.com</v>
      </c>
      <c r="N8384" s="23">
        <v>46183.419537037036</v>
      </c>
      <c r="O8384" s="14" t="str">
        <f>HYPERLINK("https://otsuka-europe-crm.veevavault.com/ui/#object/email_activity__v/V8C00000003S604", "EN-002094106")</f>
        <v>EN-002094106</v>
      </c>
    </row>
    <row r="8385" spans="1:15" ht="16" x14ac:dyDescent="0.2">
      <c r="A8385" s="18"/>
      <c r="B8385" s="18"/>
      <c r="C8385" s="18"/>
      <c r="D8385" s="18"/>
      <c r="E8385" s="18"/>
      <c r="F8385" s="18"/>
      <c r="G8385" s="18"/>
      <c r="H8385" s="18"/>
      <c r="I8385" s="18"/>
      <c r="J8385" s="18"/>
      <c r="K8385" s="18"/>
      <c r="L8385" s="18"/>
      <c r="M8385" s="18"/>
      <c r="N8385" s="18"/>
      <c r="O8385" s="14" t="str">
        <f>HYPERLINK("https://otsuka-europe-crm.veevavault.com/ui/#object/email_activity__v/V8C00000003T267", "EN-002094105")</f>
        <v>EN-002094105</v>
      </c>
    </row>
    <row r="8386" spans="1:15" ht="16" x14ac:dyDescent="0.2">
      <c r="A8386" s="19"/>
      <c r="B8386" s="19"/>
      <c r="C8386" s="19"/>
      <c r="D8386" s="19"/>
      <c r="E8386" s="19"/>
      <c r="F8386" s="19"/>
      <c r="G8386" s="19"/>
      <c r="H8386" s="19"/>
      <c r="I8386" s="19"/>
      <c r="J8386" s="19"/>
      <c r="K8386" s="19"/>
      <c r="L8386" s="19"/>
      <c r="M8386" s="19"/>
      <c r="N8386" s="19"/>
      <c r="O8386" s="14" t="str">
        <f>HYPERLINK("https://otsuka-europe-crm.veevavault.com/ui/#object/email_activity__v/V8C00000003U818", "EN-002096548")</f>
        <v>EN-002096548</v>
      </c>
    </row>
    <row r="8387" spans="1:15" ht="16" x14ac:dyDescent="0.2">
      <c r="A8387" s="17" t="str">
        <f>HYPERLINK("https://otsuka-europe-crm.veevavault.com/ui/#object/account__v/V4TZ06G6O71SCJN", "PAOLA TATANGELO")</f>
        <v>PAOLA TATANGELO</v>
      </c>
      <c r="B8387" s="17" t="str">
        <f>HYPERLINK("https://otsuka-europe-crm.veevavault.com/ui/#object/vcountry__v/VENZ000004SONFQ", "IT")</f>
        <v>IT</v>
      </c>
      <c r="C8387" s="20" t="s">
        <v>44</v>
      </c>
      <c r="D8387" s="21" t="str">
        <f>HYPERLINK("https://otsuka-europe-crm.veevavault.com/ui/#object/approved_document__v/V5O00000001B008", "Lupkynis_Multitarget_IT-LUP-2600003 V1.0 - NEPHRO")</f>
        <v>Lupkynis_Multitarget_IT-LUP-2600003 V1.0 - NEPHRO</v>
      </c>
      <c r="E8387" s="22" t="str">
        <f>HYPERLINK("https://otsuka-europe-crm.veevavault.com/ui/#object/sent_email__v/VBL00000002R665", "SE-001435411")</f>
        <v>SE-001435411</v>
      </c>
      <c r="F8387" s="25"/>
      <c r="G8387" s="24">
        <v>0</v>
      </c>
      <c r="H8387" s="24">
        <v>0</v>
      </c>
      <c r="I8387" s="24">
        <v>0</v>
      </c>
      <c r="J8387" s="25"/>
      <c r="K8387" s="24">
        <v>0</v>
      </c>
      <c r="L8387" s="22" t="str">
        <f>HYPERLINK("https://otsuka-europe-crm.veevavault.com/ui/#object/approved_document__v/V5O00000001B008", "Lupkynis_Multitarget_IT-LUP-2600003 V1.0 - NEPHRO")</f>
        <v>Lupkynis_Multitarget_IT-LUP-2600003 V1.0 - NEPHRO</v>
      </c>
      <c r="M8387" s="22" t="str">
        <f>HYPERLINK("mailto:linda.ottavo@crm.otsuka-europe.com", "linda.ottavo@crm.otsuka-europe.com")</f>
        <v>linda.ottavo@crm.otsuka-europe.com</v>
      </c>
      <c r="N8387" s="23">
        <v>46183.419745370367</v>
      </c>
      <c r="O8387" s="14" t="str">
        <f>HYPERLINK("https://otsuka-europe-crm.veevavault.com/ui/#object/email_activity__v/V8C00000003S605", "EN-002094107")</f>
        <v>EN-002094107</v>
      </c>
    </row>
    <row r="8388" spans="1:15" ht="16" x14ac:dyDescent="0.2">
      <c r="A8388" s="18"/>
      <c r="B8388" s="18"/>
      <c r="C8388" s="18"/>
      <c r="D8388" s="18"/>
      <c r="E8388" s="18"/>
      <c r="F8388" s="18"/>
      <c r="G8388" s="18"/>
      <c r="H8388" s="18"/>
      <c r="I8388" s="18"/>
      <c r="J8388" s="18"/>
      <c r="K8388" s="18"/>
      <c r="L8388" s="18"/>
      <c r="M8388" s="18"/>
      <c r="N8388" s="18"/>
      <c r="O8388" s="14" t="str">
        <f>HYPERLINK("https://otsuka-europe-crm.veevavault.com/ui/#object/email_activity__v/V8C00000003S608", "EN-002094130")</f>
        <v>EN-002094130</v>
      </c>
    </row>
    <row r="8389" spans="1:15" ht="16" x14ac:dyDescent="0.2">
      <c r="A8389" s="18"/>
      <c r="B8389" s="18"/>
      <c r="C8389" s="18"/>
      <c r="D8389" s="18"/>
      <c r="E8389" s="18"/>
      <c r="F8389" s="18"/>
      <c r="G8389" s="18"/>
      <c r="H8389" s="18"/>
      <c r="I8389" s="18"/>
      <c r="J8389" s="18"/>
      <c r="K8389" s="18"/>
      <c r="L8389" s="18"/>
      <c r="M8389" s="18"/>
      <c r="N8389" s="18"/>
      <c r="O8389" s="14" t="str">
        <f>HYPERLINK("https://otsuka-europe-crm.veevavault.com/ui/#object/email_activity__v/V8C00000003S796", "EN-002094443")</f>
        <v>EN-002094443</v>
      </c>
    </row>
    <row r="8390" spans="1:15" ht="16" x14ac:dyDescent="0.2">
      <c r="A8390" s="18"/>
      <c r="B8390" s="18"/>
      <c r="C8390" s="18"/>
      <c r="D8390" s="18"/>
      <c r="E8390" s="18"/>
      <c r="F8390" s="18"/>
      <c r="G8390" s="18"/>
      <c r="H8390" s="18"/>
      <c r="I8390" s="18"/>
      <c r="J8390" s="18"/>
      <c r="K8390" s="18"/>
      <c r="L8390" s="18"/>
      <c r="M8390" s="18"/>
      <c r="N8390" s="18"/>
      <c r="O8390" s="14" t="str">
        <f>HYPERLINK("https://otsuka-europe-crm.veevavault.com/ui/#object/email_activity__v/V8C00000003T412", "EN-002094440")</f>
        <v>EN-002094440</v>
      </c>
    </row>
    <row r="8391" spans="1:15" ht="16" x14ac:dyDescent="0.2">
      <c r="A8391" s="19"/>
      <c r="B8391" s="19"/>
      <c r="C8391" s="19"/>
      <c r="D8391" s="19"/>
      <c r="E8391" s="19"/>
      <c r="F8391" s="19"/>
      <c r="G8391" s="19"/>
      <c r="H8391" s="19"/>
      <c r="I8391" s="19"/>
      <c r="J8391" s="19"/>
      <c r="K8391" s="19"/>
      <c r="L8391" s="19"/>
      <c r="M8391" s="19"/>
      <c r="N8391" s="19"/>
      <c r="O8391" s="14" t="str">
        <f>HYPERLINK("https://otsuka-europe-crm.veevavault.com/ui/#object/email_activity__v/V8C00000003U444", "EN-002095739")</f>
        <v>EN-002095739</v>
      </c>
    </row>
    <row r="8392" spans="1:15" ht="48" x14ac:dyDescent="0.2">
      <c r="A8392" s="7" t="str">
        <f>HYPERLINK("https://otsuka-europe-crm.veevavault.com/ui/#object/account__v/V4TZ04ASGB4OGIS", "ENRICO TIRRI")</f>
        <v>ENRICO TIRRI</v>
      </c>
      <c r="B8392" s="7" t="str">
        <f>HYPERLINK("https://otsuka-europe-crm.veevavault.com/ui/#object/vcountry__v/VENZ000004SONFQ", "IT")</f>
        <v>IT</v>
      </c>
      <c r="C8392" s="8" t="s">
        <v>44</v>
      </c>
      <c r="D8392" s="9" t="str">
        <f>HYPERLINK("https://otsuka-europe-crm.veevavault.com/ui/#object/approved_document__v/V5O00000001B005", "Lupkynis_Multitarget_IT-LUP-2600003 V1.0 - RHEUMA")</f>
        <v>Lupkynis_Multitarget_IT-LUP-2600003 V1.0 - RHEUMA</v>
      </c>
      <c r="E8392" s="10" t="str">
        <f>HYPERLINK("https://otsuka-europe-crm.veevavault.com/ui/#object/sent_email__v/VBL00000002R666", "SE-001435412")</f>
        <v>SE-001435412</v>
      </c>
      <c r="F8392" s="11"/>
      <c r="G8392" s="12">
        <v>0</v>
      </c>
      <c r="H8392" s="12">
        <v>0</v>
      </c>
      <c r="I8392" s="12">
        <v>0</v>
      </c>
      <c r="J8392" s="11"/>
      <c r="K8392" s="12">
        <v>0</v>
      </c>
      <c r="L8392" s="10" t="str">
        <f>HYPERLINK("https://otsuka-europe-crm.veevavault.com/ui/#object/approved_document__v/V5O00000001B005", "Lupkynis_Multitarget_IT-LUP-2600003 V1.0 - RHEUMA")</f>
        <v>Lupkynis_Multitarget_IT-LUP-2600003 V1.0 - RHEUMA</v>
      </c>
      <c r="M8392" s="10" t="str">
        <f>HYPERLINK("mailto:linda.ottavo@crm.otsuka-europe.com", "linda.ottavo@crm.otsuka-europe.com")</f>
        <v>linda.ottavo@crm.otsuka-europe.com</v>
      </c>
      <c r="N8392" s="13">
        <v>46183.41982638889</v>
      </c>
      <c r="O8392" s="14" t="str">
        <f>HYPERLINK("https://otsuka-europe-crm.veevavault.com/ui/#object/email_activity__v/V8C00000003S606", "EN-002094108")</f>
        <v>EN-002094108</v>
      </c>
    </row>
    <row r="8393" spans="1:15" ht="16" x14ac:dyDescent="0.2">
      <c r="A8393" s="17" t="str">
        <f>HYPERLINK("https://otsuka-europe-crm.veevavault.com/ui/#object/account__v/V4TZ06G6O71S9E9", "FRANCESCO TREPICCIONE")</f>
        <v>FRANCESCO TREPICCIONE</v>
      </c>
      <c r="B8393" s="17" t="str">
        <f>HYPERLINK("https://otsuka-europe-crm.veevavault.com/ui/#object/vcountry__v/VENZ000004SONFQ", "IT")</f>
        <v>IT</v>
      </c>
      <c r="C8393" s="20" t="s">
        <v>44</v>
      </c>
      <c r="D8393" s="21" t="str">
        <f>HYPERLINK("https://otsuka-europe-crm.veevavault.com/ui/#object/approved_document__v/V5O00000001B008", "Lupkynis_Multitarget_IT-LUP-2600003 V1.0 - NEPHRO")</f>
        <v>Lupkynis_Multitarget_IT-LUP-2600003 V1.0 - NEPHRO</v>
      </c>
      <c r="E8393" s="22" t="str">
        <f>HYPERLINK("https://otsuka-europe-crm.veevavault.com/ui/#object/sent_email__v/VBL00000002S718", "SE-001435413")</f>
        <v>SE-001435413</v>
      </c>
      <c r="F8393" s="25"/>
      <c r="G8393" s="24">
        <v>0</v>
      </c>
      <c r="H8393" s="24">
        <v>0</v>
      </c>
      <c r="I8393" s="24">
        <v>0</v>
      </c>
      <c r="J8393" s="25"/>
      <c r="K8393" s="24">
        <v>0</v>
      </c>
      <c r="L8393" s="22" t="str">
        <f>HYPERLINK("https://otsuka-europe-crm.veevavault.com/ui/#object/approved_document__v/V5O00000001B008", "Lupkynis_Multitarget_IT-LUP-2600003 V1.0 - NEPHRO")</f>
        <v>Lupkynis_Multitarget_IT-LUP-2600003 V1.0 - NEPHRO</v>
      </c>
      <c r="M8393" s="22" t="str">
        <f>HYPERLINK("mailto:linda.ottavo@crm.otsuka-europe.com", "linda.ottavo@crm.otsuka-europe.com")</f>
        <v>linda.ottavo@crm.otsuka-europe.com</v>
      </c>
      <c r="N8393" s="23">
        <v>46183.419953703706</v>
      </c>
      <c r="O8393" s="14" t="str">
        <f>HYPERLINK("https://otsuka-europe-crm.veevavault.com/ui/#object/email_activity__v/V8C00000003T268", "EN-002094109")</f>
        <v>EN-002094109</v>
      </c>
    </row>
    <row r="8394" spans="1:15" ht="16" x14ac:dyDescent="0.2">
      <c r="A8394" s="19"/>
      <c r="B8394" s="19"/>
      <c r="C8394" s="19"/>
      <c r="D8394" s="19"/>
      <c r="E8394" s="19"/>
      <c r="F8394" s="19"/>
      <c r="G8394" s="19"/>
      <c r="H8394" s="19"/>
      <c r="I8394" s="19"/>
      <c r="J8394" s="19"/>
      <c r="K8394" s="19"/>
      <c r="L8394" s="19"/>
      <c r="M8394" s="19"/>
      <c r="N8394" s="19"/>
      <c r="O8394" s="14" t="str">
        <f>HYPERLINK("https://otsuka-europe-crm.veevavault.com/ui/#object/email_activity__v/V8C000000042255", "EN-002100217")</f>
        <v>EN-002100217</v>
      </c>
    </row>
    <row r="8395" spans="1:15" ht="48" x14ac:dyDescent="0.2">
      <c r="A8395" s="7" t="str">
        <f>HYPERLINK("https://otsuka-europe-crm.veevavault.com/ui/#object/account__v/V4TZ04ASGETFFW9", "PAOLA TRIGGIANESE")</f>
        <v>PAOLA TRIGGIANESE</v>
      </c>
      <c r="B8395" s="7" t="str">
        <f>HYPERLINK("https://otsuka-europe-crm.veevavault.com/ui/#object/vcountry__v/VENZ000004SONFQ", "IT")</f>
        <v>IT</v>
      </c>
      <c r="C8395" s="8" t="s">
        <v>44</v>
      </c>
      <c r="D8395" s="9" t="str">
        <f>HYPERLINK("https://otsuka-europe-crm.veevavault.com/ui/#object/approved_document__v/V5O00000001B005", "Lupkynis_Multitarget_IT-LUP-2600003 V1.0 - RHEUMA")</f>
        <v>Lupkynis_Multitarget_IT-LUP-2600003 V1.0 - RHEUMA</v>
      </c>
      <c r="E8395" s="10" t="str">
        <f>HYPERLINK("https://otsuka-europe-crm.veevavault.com/ui/#object/sent_email__v/VBL00000002R667", "SE-001435414")</f>
        <v>SE-001435414</v>
      </c>
      <c r="F8395" s="11"/>
      <c r="G8395" s="12">
        <v>0</v>
      </c>
      <c r="H8395" s="12">
        <v>0</v>
      </c>
      <c r="I8395" s="12">
        <v>0</v>
      </c>
      <c r="J8395" s="11"/>
      <c r="K8395" s="12">
        <v>0</v>
      </c>
      <c r="L8395" s="10" t="str">
        <f>HYPERLINK("https://otsuka-europe-crm.veevavault.com/ui/#object/approved_document__v/V5O00000001B005", "Lupkynis_Multitarget_IT-LUP-2600003 V1.0 - RHEUMA")</f>
        <v>Lupkynis_Multitarget_IT-LUP-2600003 V1.0 - RHEUMA</v>
      </c>
      <c r="M8395" s="10" t="str">
        <f>HYPERLINK("mailto:linda.ottavo@crm.otsuka-europe.com", "linda.ottavo@crm.otsuka-europe.com")</f>
        <v>linda.ottavo@crm.otsuka-europe.com</v>
      </c>
      <c r="N8395" s="13">
        <v>46183.420081018521</v>
      </c>
      <c r="O8395" s="14" t="str">
        <f>HYPERLINK("https://otsuka-europe-crm.veevavault.com/ui/#object/email_activity__v/V8C00000003T269", "EN-002094110")</f>
        <v>EN-002094110</v>
      </c>
    </row>
    <row r="8396" spans="1:15" ht="16" x14ac:dyDescent="0.2">
      <c r="A8396" s="17" t="str">
        <f>HYPERLINK("https://otsuka-europe-crm.veevavault.com/ui/#object/account__v/V4TZ025E86G9ZR5", "MASSIMO TRIGGIANI")</f>
        <v>MASSIMO TRIGGIANI</v>
      </c>
      <c r="B8396" s="17" t="str">
        <f>HYPERLINK("https://otsuka-europe-crm.veevavault.com/ui/#object/vcountry__v/VENZ000004SONFQ", "IT")</f>
        <v>IT</v>
      </c>
      <c r="C8396" s="20" t="s">
        <v>44</v>
      </c>
      <c r="D8396" s="21" t="str">
        <f>HYPERLINK("https://otsuka-europe-crm.veevavault.com/ui/#object/approved_document__v/V5O00000001B006", "Lupkynis_Multitarget_IT-LUP-2600003 V1.0 -  IMMUNO")</f>
        <v>Lupkynis_Multitarget_IT-LUP-2600003 V1.0 -  IMMUNO</v>
      </c>
      <c r="E8396" s="22" t="str">
        <f>HYPERLINK("https://otsuka-europe-crm.veevavault.com/ui/#object/sent_email__v/VBL00000002R668", "SE-001435415")</f>
        <v>SE-001435415</v>
      </c>
      <c r="F8396" s="23">
        <v>46183.494733796295</v>
      </c>
      <c r="G8396" s="24">
        <v>1</v>
      </c>
      <c r="H8396" s="24">
        <v>3</v>
      </c>
      <c r="I8396" s="24">
        <v>0</v>
      </c>
      <c r="J8396" s="25"/>
      <c r="K8396" s="24">
        <v>0</v>
      </c>
      <c r="L8396" s="22" t="str">
        <f>HYPERLINK("https://otsuka-europe-crm.veevavault.com/ui/#object/approved_document__v/V5O00000001B006", "Lupkynis_Multitarget_IT-LUP-2600003 V1.0 -  IMMUNO")</f>
        <v>Lupkynis_Multitarget_IT-LUP-2600003 V1.0 -  IMMUNO</v>
      </c>
      <c r="M8396" s="22" t="str">
        <f>HYPERLINK("mailto:linda.ottavo@crm.otsuka-europe.com", "linda.ottavo@crm.otsuka-europe.com")</f>
        <v>linda.ottavo@crm.otsuka-europe.com</v>
      </c>
      <c r="N8396" s="23">
        <v>46183.420289351852</v>
      </c>
      <c r="O8396" s="14" t="str">
        <f>HYPERLINK("https://otsuka-europe-crm.veevavault.com/ui/#object/email_activity__v/V8C00000003T270", "EN-002094111")</f>
        <v>EN-002094111</v>
      </c>
    </row>
    <row r="8397" spans="1:15" ht="16" x14ac:dyDescent="0.2">
      <c r="A8397" s="18"/>
      <c r="B8397" s="18"/>
      <c r="C8397" s="18"/>
      <c r="D8397" s="18"/>
      <c r="E8397" s="18"/>
      <c r="F8397" s="18"/>
      <c r="G8397" s="18"/>
      <c r="H8397" s="18"/>
      <c r="I8397" s="18"/>
      <c r="J8397" s="18"/>
      <c r="K8397" s="18"/>
      <c r="L8397" s="18"/>
      <c r="M8397" s="18"/>
      <c r="N8397" s="18"/>
      <c r="O8397" s="14" t="str">
        <f>HYPERLINK("https://otsuka-europe-crm.veevavault.com/ui/#object/email_activity__v/V8C00000003T282", "EN-002094123")</f>
        <v>EN-002094123</v>
      </c>
    </row>
    <row r="8398" spans="1:15" ht="16" x14ac:dyDescent="0.2">
      <c r="A8398" s="18"/>
      <c r="B8398" s="18"/>
      <c r="C8398" s="18"/>
      <c r="D8398" s="18"/>
      <c r="E8398" s="18"/>
      <c r="F8398" s="18"/>
      <c r="G8398" s="18"/>
      <c r="H8398" s="18"/>
      <c r="I8398" s="18"/>
      <c r="J8398" s="18"/>
      <c r="K8398" s="18"/>
      <c r="L8398" s="18"/>
      <c r="M8398" s="18"/>
      <c r="N8398" s="18"/>
      <c r="O8398" s="14" t="str">
        <f>HYPERLINK("https://otsuka-europe-crm.veevavault.com/ui/#object/email_activity__v/V8C00000003T287", "EN-002094128")</f>
        <v>EN-002094128</v>
      </c>
    </row>
    <row r="8399" spans="1:15" ht="16" x14ac:dyDescent="0.2">
      <c r="A8399" s="19"/>
      <c r="B8399" s="19"/>
      <c r="C8399" s="19"/>
      <c r="D8399" s="19"/>
      <c r="E8399" s="19"/>
      <c r="F8399" s="19"/>
      <c r="G8399" s="19"/>
      <c r="H8399" s="19"/>
      <c r="I8399" s="19"/>
      <c r="J8399" s="19"/>
      <c r="K8399" s="19"/>
      <c r="L8399" s="19"/>
      <c r="M8399" s="19"/>
      <c r="N8399" s="19"/>
      <c r="O8399" s="14" t="str">
        <f>HYPERLINK("https://otsuka-europe-crm.veevavault.com/ui/#object/email_activity__v/V8C00000003T310", "EN-002094197")</f>
        <v>EN-002094197</v>
      </c>
    </row>
    <row r="8400" spans="1:15" ht="16" x14ac:dyDescent="0.2">
      <c r="A8400" s="17" t="str">
        <f>HYPERLINK("https://otsuka-europe-crm.veevavault.com/ui/#object/account__v/V4TZ025E85APNME", "LUIGI TROTTA")</f>
        <v>LUIGI TROTTA</v>
      </c>
      <c r="B8400" s="17" t="str">
        <f>HYPERLINK("https://otsuka-europe-crm.veevavault.com/ui/#object/vcountry__v/VENZ000004SONFQ", "IT")</f>
        <v>IT</v>
      </c>
      <c r="C8400" s="20" t="s">
        <v>44</v>
      </c>
      <c r="D8400" s="21" t="str">
        <f>HYPERLINK("https://otsuka-europe-crm.veevavault.com/ui/#object/approved_document__v/V5O00000001B006", "Lupkynis_Multitarget_IT-LUP-2600003 V1.0 -  IMMUNO")</f>
        <v>Lupkynis_Multitarget_IT-LUP-2600003 V1.0 -  IMMUNO</v>
      </c>
      <c r="E8400" s="22" t="str">
        <f>HYPERLINK("https://otsuka-europe-crm.veevavault.com/ui/#object/sent_email__v/VBL00000002R669", "SE-001435416")</f>
        <v>SE-001435416</v>
      </c>
      <c r="F8400" s="23">
        <v>46183.584027777775</v>
      </c>
      <c r="G8400" s="24">
        <v>1</v>
      </c>
      <c r="H8400" s="24">
        <v>1</v>
      </c>
      <c r="I8400" s="24">
        <v>0</v>
      </c>
      <c r="J8400" s="25"/>
      <c r="K8400" s="24">
        <v>0</v>
      </c>
      <c r="L8400" s="22" t="str">
        <f>HYPERLINK("https://otsuka-europe-crm.veevavault.com/ui/#object/approved_document__v/V5O00000001B006", "Lupkynis_Multitarget_IT-LUP-2600003 V1.0 -  IMMUNO")</f>
        <v>Lupkynis_Multitarget_IT-LUP-2600003 V1.0 -  IMMUNO</v>
      </c>
      <c r="M8400" s="22" t="str">
        <f>HYPERLINK("mailto:linda.ottavo@crm.otsuka-europe.com", "linda.ottavo@crm.otsuka-europe.com")</f>
        <v>linda.ottavo@crm.otsuka-europe.com</v>
      </c>
      <c r="N8400" s="23">
        <v>46183.420613425929</v>
      </c>
      <c r="O8400" s="14" t="str">
        <f>HYPERLINK("https://otsuka-europe-crm.veevavault.com/ui/#object/email_activity__v/V8C00000003S688", "EN-002094267")</f>
        <v>EN-002094267</v>
      </c>
    </row>
    <row r="8401" spans="1:15" ht="16" x14ac:dyDescent="0.2">
      <c r="A8401" s="19"/>
      <c r="B8401" s="19"/>
      <c r="C8401" s="19"/>
      <c r="D8401" s="19"/>
      <c r="E8401" s="19"/>
      <c r="F8401" s="19"/>
      <c r="G8401" s="19"/>
      <c r="H8401" s="19"/>
      <c r="I8401" s="19"/>
      <c r="J8401" s="19"/>
      <c r="K8401" s="19"/>
      <c r="L8401" s="19"/>
      <c r="M8401" s="19"/>
      <c r="N8401" s="19"/>
      <c r="O8401" s="14" t="str">
        <f>HYPERLINK("https://otsuka-europe-crm.veevavault.com/ui/#object/email_activity__v/V8C00000003T271", "EN-002094112")</f>
        <v>EN-002094112</v>
      </c>
    </row>
    <row r="8402" spans="1:15" ht="48" x14ac:dyDescent="0.2">
      <c r="A8402" s="7" t="str">
        <f>HYPERLINK("https://otsuka-europe-crm.veevavault.com/ui/#object/account__v/V4TZ04ASGBC5Z54", "SIMONA TRUGLIA")</f>
        <v>SIMONA TRUGLIA</v>
      </c>
      <c r="B8402" s="7" t="str">
        <f>HYPERLINK("https://otsuka-europe-crm.veevavault.com/ui/#object/vcountry__v/VENZ000004SONFQ", "IT")</f>
        <v>IT</v>
      </c>
      <c r="C8402" s="8" t="s">
        <v>44</v>
      </c>
      <c r="D8402" s="9" t="str">
        <f>HYPERLINK("https://otsuka-europe-crm.veevavault.com/ui/#object/approved_document__v/V5O00000001B005", "Lupkynis_Multitarget_IT-LUP-2600003 V1.0 - RHEUMA")</f>
        <v>Lupkynis_Multitarget_IT-LUP-2600003 V1.0 - RHEUMA</v>
      </c>
      <c r="E8402" s="10" t="str">
        <f>HYPERLINK("https://otsuka-europe-crm.veevavault.com/ui/#object/sent_email__v/VBL00000002R670", "SE-001435417")</f>
        <v>SE-001435417</v>
      </c>
      <c r="F8402" s="11"/>
      <c r="G8402" s="12">
        <v>0</v>
      </c>
      <c r="H8402" s="12">
        <v>0</v>
      </c>
      <c r="I8402" s="12">
        <v>0</v>
      </c>
      <c r="J8402" s="11"/>
      <c r="K8402" s="12">
        <v>0</v>
      </c>
      <c r="L8402" s="10" t="str">
        <f>HYPERLINK("https://otsuka-europe-crm.veevavault.com/ui/#object/approved_document__v/V5O00000001B005", "Lupkynis_Multitarget_IT-LUP-2600003 V1.0 - RHEUMA")</f>
        <v>Lupkynis_Multitarget_IT-LUP-2600003 V1.0 - RHEUMA</v>
      </c>
      <c r="M8402" s="10" t="str">
        <f>HYPERLINK("mailto:linda.ottavo@crm.otsuka-europe.com", "linda.ottavo@crm.otsuka-europe.com")</f>
        <v>linda.ottavo@crm.otsuka-europe.com</v>
      </c>
      <c r="N8402" s="13">
        <v>46183.420682870368</v>
      </c>
      <c r="O8402" s="14" t="str">
        <f>HYPERLINK("https://otsuka-europe-crm.veevavault.com/ui/#object/email_activity__v/V8C00000003T273", "EN-002094114")</f>
        <v>EN-002094114</v>
      </c>
    </row>
    <row r="8403" spans="1:15" ht="16" x14ac:dyDescent="0.2">
      <c r="A8403" s="17" t="str">
        <f>HYPERLINK("https://otsuka-europe-crm.veevavault.com/ui/#object/account__v/V4TZ04ASGBC5XTF", "MARTA VADACCA")</f>
        <v>MARTA VADACCA</v>
      </c>
      <c r="B8403" s="17" t="str">
        <f>HYPERLINK("https://otsuka-europe-crm.veevavault.com/ui/#object/vcountry__v/VENZ000004SONFQ", "IT")</f>
        <v>IT</v>
      </c>
      <c r="C8403" s="20" t="s">
        <v>44</v>
      </c>
      <c r="D8403" s="21" t="str">
        <f>HYPERLINK("https://otsuka-europe-crm.veevavault.com/ui/#object/approved_document__v/V5O00000001B005", "Lupkynis_Multitarget_IT-LUP-2600003 V1.0 - RHEUMA")</f>
        <v>Lupkynis_Multitarget_IT-LUP-2600003 V1.0 - RHEUMA</v>
      </c>
      <c r="E8403" s="22" t="str">
        <f>HYPERLINK("https://otsuka-europe-crm.veevavault.com/ui/#object/sent_email__v/VBL00000002R671", "SE-001435418")</f>
        <v>SE-001435418</v>
      </c>
      <c r="F8403" s="23">
        <v>46185.669421296298</v>
      </c>
      <c r="G8403" s="24">
        <v>1</v>
      </c>
      <c r="H8403" s="24">
        <v>2</v>
      </c>
      <c r="I8403" s="24">
        <v>0</v>
      </c>
      <c r="J8403" s="25"/>
      <c r="K8403" s="24">
        <v>0</v>
      </c>
      <c r="L8403" s="22" t="str">
        <f>HYPERLINK("https://otsuka-europe-crm.veevavault.com/ui/#object/approved_document__v/V5O00000001B005", "Lupkynis_Multitarget_IT-LUP-2600003 V1.0 - RHEUMA")</f>
        <v>Lupkynis_Multitarget_IT-LUP-2600003 V1.0 - RHEUMA</v>
      </c>
      <c r="M8403" s="22" t="str">
        <f>HYPERLINK("mailto:linda.ottavo@crm.otsuka-europe.com", "linda.ottavo@crm.otsuka-europe.com")</f>
        <v>linda.ottavo@crm.otsuka-europe.com</v>
      </c>
      <c r="N8403" s="23">
        <v>46183.420960648145</v>
      </c>
      <c r="O8403" s="14" t="str">
        <f>HYPERLINK("https://otsuka-europe-crm.veevavault.com/ui/#object/email_activity__v/V8C00000003T275", "EN-002094116")</f>
        <v>EN-002094116</v>
      </c>
    </row>
    <row r="8404" spans="1:15" ht="16" x14ac:dyDescent="0.2">
      <c r="A8404" s="18"/>
      <c r="B8404" s="18"/>
      <c r="C8404" s="18"/>
      <c r="D8404" s="18"/>
      <c r="E8404" s="18"/>
      <c r="F8404" s="18"/>
      <c r="G8404" s="18"/>
      <c r="H8404" s="18"/>
      <c r="I8404" s="18"/>
      <c r="J8404" s="18"/>
      <c r="K8404" s="18"/>
      <c r="L8404" s="18"/>
      <c r="M8404" s="18"/>
      <c r="N8404" s="18"/>
      <c r="O8404" s="14" t="str">
        <f>HYPERLINK("https://otsuka-europe-crm.veevavault.com/ui/#object/email_activity__v/V8C00000003T436", "EN-002094488")</f>
        <v>EN-002094488</v>
      </c>
    </row>
    <row r="8405" spans="1:15" ht="16" x14ac:dyDescent="0.2">
      <c r="A8405" s="19"/>
      <c r="B8405" s="19"/>
      <c r="C8405" s="19"/>
      <c r="D8405" s="19"/>
      <c r="E8405" s="19"/>
      <c r="F8405" s="19"/>
      <c r="G8405" s="19"/>
      <c r="H8405" s="19"/>
      <c r="I8405" s="19"/>
      <c r="J8405" s="19"/>
      <c r="K8405" s="19"/>
      <c r="L8405" s="19"/>
      <c r="M8405" s="19"/>
      <c r="N8405" s="19"/>
      <c r="O8405" s="14" t="str">
        <f>HYPERLINK("https://otsuka-europe-crm.veevavault.com/ui/#object/email_activity__v/V8C00000003V367", "EN-002095527")</f>
        <v>EN-002095527</v>
      </c>
    </row>
    <row r="8406" spans="1:15" ht="48" x14ac:dyDescent="0.2">
      <c r="A8406" s="7" t="str">
        <f>HYPERLINK("https://otsuka-europe-crm.veevavault.com/ui/#object/account__v/V4TZ025E85T5EAQ", "VALENTINA VAIARELLO")</f>
        <v>VALENTINA VAIARELLO</v>
      </c>
      <c r="B8406" s="7" t="str">
        <f>HYPERLINK("https://otsuka-europe-crm.veevavault.com/ui/#object/vcountry__v/VENZ000004SONFQ", "IT")</f>
        <v>IT</v>
      </c>
      <c r="C8406" s="8" t="s">
        <v>44</v>
      </c>
      <c r="D8406" s="9" t="str">
        <f>HYPERLINK("https://otsuka-europe-crm.veevavault.com/ui/#object/approved_document__v/V5O00000001B008", "Lupkynis_Multitarget_IT-LUP-2600003 V1.0 - NEPHRO")</f>
        <v>Lupkynis_Multitarget_IT-LUP-2600003 V1.0 - NEPHRO</v>
      </c>
      <c r="E8406" s="10" t="str">
        <f>HYPERLINK("https://otsuka-europe-crm.veevavault.com/ui/#object/sent_email__v/VBL00000002R672", "SE-001435419")</f>
        <v>SE-001435419</v>
      </c>
      <c r="F8406" s="11"/>
      <c r="G8406" s="12">
        <v>0</v>
      </c>
      <c r="H8406" s="12">
        <v>0</v>
      </c>
      <c r="I8406" s="12">
        <v>0</v>
      </c>
      <c r="J8406" s="11"/>
      <c r="K8406" s="12">
        <v>0</v>
      </c>
      <c r="L8406" s="10" t="str">
        <f>HYPERLINK("https://otsuka-europe-crm.veevavault.com/ui/#object/approved_document__v/V5O00000001B008", "Lupkynis_Multitarget_IT-LUP-2600003 V1.0 - NEPHRO")</f>
        <v>Lupkynis_Multitarget_IT-LUP-2600003 V1.0 - NEPHRO</v>
      </c>
      <c r="M8406" s="10" t="str">
        <f>HYPERLINK("mailto:linda.ottavo@crm.otsuka-europe.com", "linda.ottavo@crm.otsuka-europe.com")</f>
        <v>linda.ottavo@crm.otsuka-europe.com</v>
      </c>
      <c r="N8406" s="13">
        <v>46183.421018518522</v>
      </c>
      <c r="O8406" s="14" t="str">
        <f>HYPERLINK("https://otsuka-europe-crm.veevavault.com/ui/#object/email_activity__v/V8C00000003T276", "EN-002094117")</f>
        <v>EN-002094117</v>
      </c>
    </row>
    <row r="8407" spans="1:15" ht="48" x14ac:dyDescent="0.2">
      <c r="A8407" s="7" t="str">
        <f>HYPERLINK("https://otsuka-europe-crm.veevavault.com/ui/#object/account__v/V4TZ04ASGDP37EF", "VALENTINA VARRIANO")</f>
        <v>VALENTINA VARRIANO</v>
      </c>
      <c r="B8407" s="7" t="str">
        <f>HYPERLINK("https://otsuka-europe-crm.veevavault.com/ui/#object/vcountry__v/VENZ000004SONFQ", "IT")</f>
        <v>IT</v>
      </c>
      <c r="C8407" s="8" t="s">
        <v>44</v>
      </c>
      <c r="D8407" s="9" t="str">
        <f>HYPERLINK("https://otsuka-europe-crm.veevavault.com/ui/#object/approved_document__v/V5O00000001B005", "Lupkynis_Multitarget_IT-LUP-2600003 V1.0 - RHEUMA")</f>
        <v>Lupkynis_Multitarget_IT-LUP-2600003 V1.0 - RHEUMA</v>
      </c>
      <c r="E8407" s="10" t="str">
        <f>HYPERLINK("https://otsuka-europe-crm.veevavault.com/ui/#object/sent_email__v/VBL00000002S719", "SE-001435420")</f>
        <v>SE-001435420</v>
      </c>
      <c r="F8407" s="11"/>
      <c r="G8407" s="12">
        <v>0</v>
      </c>
      <c r="H8407" s="12">
        <v>0</v>
      </c>
      <c r="I8407" s="12">
        <v>0</v>
      </c>
      <c r="J8407" s="11"/>
      <c r="K8407" s="12">
        <v>0</v>
      </c>
      <c r="L8407" s="10" t="str">
        <f>HYPERLINK("https://otsuka-europe-crm.veevavault.com/ui/#object/approved_document__v/V5O00000001B005", "Lupkynis_Multitarget_IT-LUP-2600003 V1.0 - RHEUMA")</f>
        <v>Lupkynis_Multitarget_IT-LUP-2600003 V1.0 - RHEUMA</v>
      </c>
      <c r="M8407" s="10" t="str">
        <f>HYPERLINK("mailto:linda.ottavo@crm.otsuka-europe.com", "linda.ottavo@crm.otsuka-europe.com")</f>
        <v>linda.ottavo@crm.otsuka-europe.com</v>
      </c>
      <c r="N8407" s="13">
        <v>46183.421134259261</v>
      </c>
      <c r="O8407" s="14" t="str">
        <f>HYPERLINK("https://otsuka-europe-crm.veevavault.com/ui/#object/email_activity__v/V8C00000003T279", "EN-002094120")</f>
        <v>EN-002094120</v>
      </c>
    </row>
    <row r="8408" spans="1:15" ht="48" x14ac:dyDescent="0.2">
      <c r="A8408" s="7" t="str">
        <f>HYPERLINK("https://otsuka-europe-crm.veevavault.com/ui/#object/account__v/V4TZ04ASGC2KJUQ", "CINZIA ZACCHEO")</f>
        <v>CINZIA ZACCHEO</v>
      </c>
      <c r="B8408" s="7" t="str">
        <f>HYPERLINK("https://otsuka-europe-crm.veevavault.com/ui/#object/vcountry__v/VENZ000004SONFQ", "IT")</f>
        <v>IT</v>
      </c>
      <c r="C8408" s="8" t="s">
        <v>44</v>
      </c>
      <c r="D8408" s="9" t="str">
        <f>HYPERLINK("https://otsuka-europe-crm.veevavault.com/ui/#object/approved_document__v/V5O00000001B008", "Lupkynis_Multitarget_IT-LUP-2600003 V1.0 - NEPHRO")</f>
        <v>Lupkynis_Multitarget_IT-LUP-2600003 V1.0 - NEPHRO</v>
      </c>
      <c r="E8408" s="10" t="str">
        <f>HYPERLINK("https://otsuka-europe-crm.veevavault.com/ui/#object/sent_email__v/VBL00000002S720", "SE-001435421")</f>
        <v>SE-001435421</v>
      </c>
      <c r="F8408" s="11"/>
      <c r="G8408" s="12">
        <v>0</v>
      </c>
      <c r="H8408" s="12">
        <v>0</v>
      </c>
      <c r="I8408" s="12">
        <v>0</v>
      </c>
      <c r="J8408" s="11"/>
      <c r="K8408" s="12">
        <v>0</v>
      </c>
      <c r="L8408" s="10" t="str">
        <f>HYPERLINK("https://otsuka-europe-crm.veevavault.com/ui/#object/approved_document__v/V5O00000001B008", "Lupkynis_Multitarget_IT-LUP-2600003 V1.0 - NEPHRO")</f>
        <v>Lupkynis_Multitarget_IT-LUP-2600003 V1.0 - NEPHRO</v>
      </c>
      <c r="M8408" s="10" t="str">
        <f>HYPERLINK("mailto:linda.ottavo@crm.otsuka-europe.com", "linda.ottavo@crm.otsuka-europe.com")</f>
        <v>linda.ottavo@crm.otsuka-europe.com</v>
      </c>
      <c r="N8408" s="13">
        <v>46183.421319444446</v>
      </c>
      <c r="O8408" s="14" t="str">
        <f>HYPERLINK("https://otsuka-europe-crm.veevavault.com/ui/#object/email_activity__v/V8C00000003T280", "EN-002094121")</f>
        <v>EN-002094121</v>
      </c>
    </row>
    <row r="8409" spans="1:15" ht="48" x14ac:dyDescent="0.2">
      <c r="A8409" s="7" t="str">
        <f>HYPERLINK("https://otsuka-europe-crm.veevavault.com/ui/#object/account__v/V4TZ06G6O71SCRY", "GIANLUIGI ZAZA")</f>
        <v>GIANLUIGI ZAZA</v>
      </c>
      <c r="B8409" s="7" t="str">
        <f>HYPERLINK("https://otsuka-europe-crm.veevavault.com/ui/#object/vcountry__v/VENZ000004SONFQ", "IT")</f>
        <v>IT</v>
      </c>
      <c r="C8409" s="8" t="s">
        <v>44</v>
      </c>
      <c r="D8409" s="9" t="str">
        <f>HYPERLINK("https://otsuka-europe-crm.veevavault.com/ui/#object/approved_document__v/V5O00000001B008", "Lupkynis_Multitarget_IT-LUP-2600003 V1.0 - NEPHRO")</f>
        <v>Lupkynis_Multitarget_IT-LUP-2600003 V1.0 - NEPHRO</v>
      </c>
      <c r="E8409" s="10" t="str">
        <f>HYPERLINK("https://otsuka-europe-crm.veevavault.com/ui/#object/sent_email__v/VBL00000002R673", "SE-001435422")</f>
        <v>SE-001435422</v>
      </c>
      <c r="F8409" s="11"/>
      <c r="G8409" s="12">
        <v>0</v>
      </c>
      <c r="H8409" s="12">
        <v>0</v>
      </c>
      <c r="I8409" s="12">
        <v>0</v>
      </c>
      <c r="J8409" s="11"/>
      <c r="K8409" s="12">
        <v>0</v>
      </c>
      <c r="L8409" s="10" t="str">
        <f>HYPERLINK("https://otsuka-europe-crm.veevavault.com/ui/#object/approved_document__v/V5O00000001B008", "Lupkynis_Multitarget_IT-LUP-2600003 V1.0 - NEPHRO")</f>
        <v>Lupkynis_Multitarget_IT-LUP-2600003 V1.0 - NEPHRO</v>
      </c>
      <c r="M8409" s="10" t="str">
        <f>HYPERLINK("mailto:linda.ottavo@crm.otsuka-europe.com", "linda.ottavo@crm.otsuka-europe.com")</f>
        <v>linda.ottavo@crm.otsuka-europe.com</v>
      </c>
      <c r="N8409" s="13">
        <v>46183.421446759261</v>
      </c>
      <c r="O8409" s="14" t="str">
        <f>HYPERLINK("https://otsuka-europe-crm.veevavault.com/ui/#object/email_activity__v/V8C00000003T281", "EN-002094122")</f>
        <v>EN-002094122</v>
      </c>
    </row>
    <row r="8410" spans="1:15" ht="32" x14ac:dyDescent="0.2">
      <c r="A8410" s="7" t="str">
        <f>HYPERLINK("https://otsuka-europe-crm.veevavault.com/ui/#object/account__v/V4T000000022075", "GRACIELA MARTIN GOMEZ")</f>
        <v>GRACIELA MARTIN GOMEZ</v>
      </c>
      <c r="B8410" s="7" t="str">
        <f>HYPERLINK("https://otsuka-europe-crm.veevavault.com/ui/#object/vcountry__v/VENZ000004SONF5", "ES")</f>
        <v>ES</v>
      </c>
      <c r="C8410" s="8" t="s">
        <v>41</v>
      </c>
      <c r="D8410" s="9" t="str">
        <f>HYPERLINK("https://otsuka-europe-crm.veevavault.com/ui/#object/approved_document__v/V5OZ06G6O6RFL1P", "ES Veeva Privacy Notice Email")</f>
        <v>ES Veeva Privacy Notice Email</v>
      </c>
      <c r="E8410" s="10" t="str">
        <f>HYPERLINK("https://otsuka-europe-crm.veevavault.com/ui/#object/sent_email__v/VBL00000002R674", "SE-001435423")</f>
        <v>SE-001435423</v>
      </c>
      <c r="F8410" s="11"/>
      <c r="G8410" s="12">
        <v>0</v>
      </c>
      <c r="H8410" s="12">
        <v>0</v>
      </c>
      <c r="I8410" s="12">
        <v>0</v>
      </c>
      <c r="J8410" s="11"/>
      <c r="K8410" s="12">
        <v>0</v>
      </c>
      <c r="L8410" s="10" t="str">
        <f>HYPERLINK("https://otsuka-europe-crm.veevavault.com/ui/#object/approved_document__v/V5OZ06G6O6RFL1P", "ES Veeva Privacy Notice Email")</f>
        <v>ES Veeva Privacy Notice Email</v>
      </c>
      <c r="M8410" s="10" t="str">
        <f>HYPERLINK("mailto:cmaroto@crm.otsuka-europe.com", "cmaroto@crm.otsuka-europe.com")</f>
        <v>cmaroto@crm.otsuka-europe.com</v>
      </c>
      <c r="N8410" s="13">
        <v>46183.433692129627</v>
      </c>
      <c r="O8410" s="14" t="str">
        <f>HYPERLINK("https://otsuka-europe-crm.veevavault.com/ui/#object/email_activity__v/V8C00000003T291", "EN-002094138")</f>
        <v>EN-002094138</v>
      </c>
    </row>
    <row r="8411" spans="1:15" ht="16" x14ac:dyDescent="0.2">
      <c r="A8411" s="17" t="str">
        <f>HYPERLINK("https://otsuka-europe-crm.veevavault.com/ui/#object/account__v/V4TZ06G6OA5WQFG", "TEST OPSA HCP TEST OPSA HCP")</f>
        <v>TEST OPSA HCP TEST OPSA HCP</v>
      </c>
      <c r="B8411" s="17" t="str">
        <f>HYPERLINK("https://otsuka-europe-crm.veevavault.com/ui/#object/vcountry__v/VENZ000004SONF5", "ES")</f>
        <v>ES</v>
      </c>
      <c r="C8411" s="20" t="s">
        <v>41</v>
      </c>
      <c r="D8411" s="21" t="str">
        <f>HYPERLINK("https://otsuka-europe-crm.veevavault.com/ui/#object/approved_document__v/V5O00000000D100", "Spain - Consent Email 1 Aug 25")</f>
        <v>Spain - Consent Email 1 Aug 25</v>
      </c>
      <c r="E8411" s="22" t="str">
        <f>HYPERLINK("https://otsuka-europe-crm.veevavault.com/ui/#object/sent_email__v/VBL00000002S721", "SE-001435424")</f>
        <v>SE-001435424</v>
      </c>
      <c r="F8411" s="23">
        <v>46183.497627314813</v>
      </c>
      <c r="G8411" s="24">
        <v>1</v>
      </c>
      <c r="H8411" s="24">
        <v>2</v>
      </c>
      <c r="I8411" s="24">
        <v>1</v>
      </c>
      <c r="J8411" s="23">
        <v>46183.497627314813</v>
      </c>
      <c r="K8411" s="24">
        <v>1</v>
      </c>
      <c r="L8411" s="22" t="str">
        <f>HYPERLINK("https://otsuka-europe-crm.veevavault.com/ui/#object/approved_document__v/V5O00000000D100", "Spain - Consent Email 1 Aug 25")</f>
        <v>Spain - Consent Email 1 Aug 25</v>
      </c>
      <c r="M8411" s="22" t="str">
        <f>HYPERLINK("mailto:jmlopez@crm.otsuka-europe.com", "jmlopez@crm.otsuka-europe.com")</f>
        <v>jmlopez@crm.otsuka-europe.com</v>
      </c>
      <c r="N8411" s="23">
        <v>46183.454050925924</v>
      </c>
      <c r="O8411" s="14" t="str">
        <f>HYPERLINK("https://otsuka-europe-crm.veevavault.com/ui/#object/email_activity__v/V8C00000003S629", "EN-002094165")</f>
        <v>EN-002094165</v>
      </c>
    </row>
    <row r="8412" spans="1:15" ht="16" x14ac:dyDescent="0.2">
      <c r="A8412" s="18"/>
      <c r="B8412" s="18"/>
      <c r="C8412" s="18"/>
      <c r="D8412" s="18"/>
      <c r="E8412" s="18"/>
      <c r="F8412" s="18"/>
      <c r="G8412" s="18"/>
      <c r="H8412" s="18"/>
      <c r="I8412" s="18"/>
      <c r="J8412" s="18"/>
      <c r="K8412" s="18"/>
      <c r="L8412" s="18"/>
      <c r="M8412" s="18"/>
      <c r="N8412" s="18"/>
      <c r="O8412" s="14" t="str">
        <f>HYPERLINK("https://otsuka-europe-crm.veevavault.com/ui/#object/email_activity__v/V8C00000003S653", "EN-002094200")</f>
        <v>EN-002094200</v>
      </c>
    </row>
    <row r="8413" spans="1:15" ht="16" x14ac:dyDescent="0.2">
      <c r="A8413" s="18"/>
      <c r="B8413" s="18"/>
      <c r="C8413" s="18"/>
      <c r="D8413" s="18"/>
      <c r="E8413" s="18"/>
      <c r="F8413" s="18"/>
      <c r="G8413" s="18"/>
      <c r="H8413" s="18"/>
      <c r="I8413" s="18"/>
      <c r="J8413" s="18"/>
      <c r="K8413" s="18"/>
      <c r="L8413" s="18"/>
      <c r="M8413" s="18"/>
      <c r="N8413" s="18"/>
      <c r="O8413" s="14" t="str">
        <f>HYPERLINK("https://otsuka-europe-crm.veevavault.com/ui/#object/email_activity__v/V8C00000003T313", "EN-002094202")</f>
        <v>EN-002094202</v>
      </c>
    </row>
    <row r="8414" spans="1:15" ht="16" x14ac:dyDescent="0.2">
      <c r="A8414" s="19"/>
      <c r="B8414" s="19"/>
      <c r="C8414" s="19"/>
      <c r="D8414" s="19"/>
      <c r="E8414" s="19"/>
      <c r="F8414" s="19"/>
      <c r="G8414" s="19"/>
      <c r="H8414" s="19"/>
      <c r="I8414" s="19"/>
      <c r="J8414" s="19"/>
      <c r="K8414" s="19"/>
      <c r="L8414" s="19"/>
      <c r="M8414" s="19"/>
      <c r="N8414" s="19"/>
      <c r="O8414" s="14" t="str">
        <f>HYPERLINK("https://otsuka-europe-crm.veevavault.com/ui/#object/email_activity__v/V8C00000003T314", "EN-002094201")</f>
        <v>EN-002094201</v>
      </c>
    </row>
    <row r="8415" spans="1:15" ht="32" x14ac:dyDescent="0.2">
      <c r="A8415" s="7" t="str">
        <f>HYPERLINK("https://otsuka-europe-crm.veevavault.com/ui/#object/account__v/V4T000000023083", "ANA CRISTINA MURCIA LOPEZ")</f>
        <v>ANA CRISTINA MURCIA LOPEZ</v>
      </c>
      <c r="B8415" s="7" t="str">
        <f>HYPERLINK("https://otsuka-europe-crm.veevavault.com/ui/#object/vcountry__v/VENZ000004SONF5", "ES")</f>
        <v>ES</v>
      </c>
      <c r="C8415" s="8" t="s">
        <v>41</v>
      </c>
      <c r="D8415" s="9" t="str">
        <f>HYPERLINK("https://otsuka-europe-crm.veevavault.com/ui/#object/approved_document__v/V5O00000000D100", "Spain - Consent Email 1 Aug 25")</f>
        <v>Spain - Consent Email 1 Aug 25</v>
      </c>
      <c r="E8415" s="10" t="str">
        <f>HYPERLINK("https://otsuka-europe-crm.veevavault.com/ui/#object/sent_email__v/VBL00000002R675", "SE-001435425")</f>
        <v>SE-001435425</v>
      </c>
      <c r="F8415" s="11"/>
      <c r="G8415" s="12">
        <v>0</v>
      </c>
      <c r="H8415" s="12">
        <v>0</v>
      </c>
      <c r="I8415" s="12">
        <v>0</v>
      </c>
      <c r="J8415" s="11"/>
      <c r="K8415" s="12">
        <v>0</v>
      </c>
      <c r="L8415" s="10" t="str">
        <f>HYPERLINK("https://otsuka-europe-crm.veevavault.com/ui/#object/approved_document__v/V5O00000000D100", "Spain - Consent Email 1 Aug 25")</f>
        <v>Spain - Consent Email 1 Aug 25</v>
      </c>
      <c r="M8415" s="10" t="str">
        <f>HYPERLINK("mailto:ccalero@crm.otsuka-europe.com", "ccalero@crm.otsuka-europe.com")</f>
        <v>ccalero@crm.otsuka-europe.com</v>
      </c>
      <c r="N8415" s="13">
        <v>46183.455590277779</v>
      </c>
      <c r="O8415" s="14" t="str">
        <f>HYPERLINK("https://otsuka-europe-crm.veevavault.com/ui/#object/email_activity__v/V8C00000003T302", "EN-002094169")</f>
        <v>EN-002094169</v>
      </c>
    </row>
    <row r="8416" spans="1:15" ht="16" x14ac:dyDescent="0.2">
      <c r="A8416" s="17" t="str">
        <f>HYPERLINK("https://otsuka-europe-crm.veevavault.com/ui/#object/account__v/V4TZ06G6O71T8JI", "MARTA HERRERA DURAN")</f>
        <v>MARTA HERRERA DURAN</v>
      </c>
      <c r="B8416" s="17" t="str">
        <f>HYPERLINK("https://otsuka-europe-crm.veevavault.com/ui/#object/vcountry__v/VENZ000004SONF5", "ES")</f>
        <v>ES</v>
      </c>
      <c r="C8416" s="20" t="s">
        <v>41</v>
      </c>
      <c r="D8416" s="21" t="str">
        <f>HYPERLINK("https://otsuka-europe-crm.veevavault.com/ui/#object/approved_document__v/V5OZ04ASG4FWKA9", "Documento Autorizaciขn Centro Empleador")</f>
        <v>Documento Autorizaciขn Centro Empleador</v>
      </c>
      <c r="E8416" s="22" t="str">
        <f>HYPERLINK("https://otsuka-europe-crm.veevavault.com/ui/#object/sent_email__v/VBL00000002R676", "SE-001435426")</f>
        <v>SE-001435426</v>
      </c>
      <c r="F8416" s="23">
        <v>46183.476990740739</v>
      </c>
      <c r="G8416" s="24">
        <v>1</v>
      </c>
      <c r="H8416" s="24">
        <v>1</v>
      </c>
      <c r="I8416" s="24">
        <v>1</v>
      </c>
      <c r="J8416" s="23">
        <v>46183.477060185185</v>
      </c>
      <c r="K8416" s="24">
        <v>1</v>
      </c>
      <c r="L8416" s="22" t="str">
        <f>HYPERLINK("https://otsuka-europe-crm.veevavault.com/ui/#object/approved_document__v/V5OZ04ASG4FWKA9", "Documento Autorizaciขn Centro Empleador")</f>
        <v>Documento Autorizaciขn Centro Empleador</v>
      </c>
      <c r="M8416" s="22" t="str">
        <f>HYPERLINK("mailto:sruiz@crm.otsuka-europe.com", "sruiz@crm.otsuka-europe.com")</f>
        <v>sruiz@crm.otsuka-europe.com</v>
      </c>
      <c r="N8416" s="23">
        <v>46183.471782407411</v>
      </c>
      <c r="O8416" s="14" t="str">
        <f>HYPERLINK("https://otsuka-europe-crm.veevavault.com/ui/#object/email_activity__v/V8C00000003S641", "EN-002094180")</f>
        <v>EN-002094180</v>
      </c>
    </row>
    <row r="8417" spans="1:15" ht="16" x14ac:dyDescent="0.2">
      <c r="A8417" s="18"/>
      <c r="B8417" s="18"/>
      <c r="C8417" s="18"/>
      <c r="D8417" s="18"/>
      <c r="E8417" s="18"/>
      <c r="F8417" s="18"/>
      <c r="G8417" s="18"/>
      <c r="H8417" s="18"/>
      <c r="I8417" s="18"/>
      <c r="J8417" s="18"/>
      <c r="K8417" s="18"/>
      <c r="L8417" s="18"/>
      <c r="M8417" s="18"/>
      <c r="N8417" s="18"/>
      <c r="O8417" s="14" t="str">
        <f>HYPERLINK("https://otsuka-europe-crm.veevavault.com/ui/#object/email_activity__v/V8C00000003S649", "EN-002094190")</f>
        <v>EN-002094190</v>
      </c>
    </row>
    <row r="8418" spans="1:15" ht="16" x14ac:dyDescent="0.2">
      <c r="A8418" s="19"/>
      <c r="B8418" s="19"/>
      <c r="C8418" s="19"/>
      <c r="D8418" s="19"/>
      <c r="E8418" s="19"/>
      <c r="F8418" s="19"/>
      <c r="G8418" s="19"/>
      <c r="H8418" s="19"/>
      <c r="I8418" s="19"/>
      <c r="J8418" s="19"/>
      <c r="K8418" s="19"/>
      <c r="L8418" s="19"/>
      <c r="M8418" s="19"/>
      <c r="N8418" s="19"/>
      <c r="O8418" s="14" t="str">
        <f>HYPERLINK("https://otsuka-europe-crm.veevavault.com/ui/#object/email_activity__v/V8C00000003S650", "EN-002094191")</f>
        <v>EN-002094191</v>
      </c>
    </row>
    <row r="8419" spans="1:15" ht="16" x14ac:dyDescent="0.2">
      <c r="A8419" s="17" t="str">
        <f>HYPERLINK("https://otsuka-europe-crm.veevavault.com/ui/#object/account__v/V4TZ025E86VYZVP", "AMALIA ABBISOGNO")</f>
        <v>AMALIA ABBISOGNO</v>
      </c>
      <c r="B8419" s="17" t="str">
        <f>HYPERLINK("https://otsuka-europe-crm.veevavault.com/ui/#object/vcountry__v/VENZ000004SONFQ", "IT")</f>
        <v>IT</v>
      </c>
      <c r="C8419" s="20" t="s">
        <v>44</v>
      </c>
      <c r="D8419" s="21" t="str">
        <f>HYPERLINK("https://otsuka-europe-crm.veevavault.com/ui/#object/approved_document__v/V5O00000001G004", "Branded_RXULTI_AE Ansia_IT-RXU-2500035")</f>
        <v>Branded_RXULTI_AE Ansia_IT-RXU-2500035</v>
      </c>
      <c r="E8419" s="22" t="str">
        <f>HYPERLINK("https://otsuka-europe-crm.veevavault.com/ui/#object/sent_email__v/VBL00000002R677", "SE-001435427")</f>
        <v>SE-001435427</v>
      </c>
      <c r="F8419" s="23">
        <v>46184.159525462965</v>
      </c>
      <c r="G8419" s="24">
        <v>1</v>
      </c>
      <c r="H8419" s="24">
        <v>2</v>
      </c>
      <c r="I8419" s="24">
        <v>0</v>
      </c>
      <c r="J8419" s="25"/>
      <c r="K8419" s="24">
        <v>0</v>
      </c>
      <c r="L8419" s="22" t="str">
        <f>HYPERLINK("https://otsuka-europe-crm.veevavault.com/ui/#object/approved_document__v/V5O00000001G004", "Branded_RXULTI_AE Ansia_IT-RXU-2500035")</f>
        <v>Branded_RXULTI_AE Ansia_IT-RXU-2500035</v>
      </c>
      <c r="M8419" s="22" t="str">
        <f>HYPERLINK("mailto:maria.gargiulo@crm.otsuka-europe.com", "maria.gargiulo@crm.otsuka-europe.com")</f>
        <v>maria.gargiulo@crm.otsuka-europe.com</v>
      </c>
      <c r="N8419" s="23">
        <v>46183.475983796299</v>
      </c>
      <c r="O8419" s="14" t="str">
        <f>HYPERLINK("https://otsuka-europe-crm.veevavault.com/ui/#object/email_activity__v/V8C00000003S644", "EN-002094185")</f>
        <v>EN-002094185</v>
      </c>
    </row>
    <row r="8420" spans="1:15" ht="16" x14ac:dyDescent="0.2">
      <c r="A8420" s="18"/>
      <c r="B8420" s="18"/>
      <c r="C8420" s="18"/>
      <c r="D8420" s="18"/>
      <c r="E8420" s="18"/>
      <c r="F8420" s="18"/>
      <c r="G8420" s="18"/>
      <c r="H8420" s="18"/>
      <c r="I8420" s="18"/>
      <c r="J8420" s="18"/>
      <c r="K8420" s="18"/>
      <c r="L8420" s="18"/>
      <c r="M8420" s="18"/>
      <c r="N8420" s="18"/>
      <c r="O8420" s="14" t="str">
        <f>HYPERLINK("https://otsuka-europe-crm.veevavault.com/ui/#object/email_activity__v/V8C00000003T323", "EN-002094217")</f>
        <v>EN-002094217</v>
      </c>
    </row>
    <row r="8421" spans="1:15" ht="16" x14ac:dyDescent="0.2">
      <c r="A8421" s="19"/>
      <c r="B8421" s="19"/>
      <c r="C8421" s="19"/>
      <c r="D8421" s="19"/>
      <c r="E8421" s="19"/>
      <c r="F8421" s="19"/>
      <c r="G8421" s="19"/>
      <c r="H8421" s="19"/>
      <c r="I8421" s="19"/>
      <c r="J8421" s="19"/>
      <c r="K8421" s="19"/>
      <c r="L8421" s="19"/>
      <c r="M8421" s="19"/>
      <c r="N8421" s="19"/>
      <c r="O8421" s="14" t="str">
        <f>HYPERLINK("https://otsuka-europe-crm.veevavault.com/ui/#object/email_activity__v/V8C00000003T425", "EN-002094467")</f>
        <v>EN-002094467</v>
      </c>
    </row>
    <row r="8422" spans="1:15" ht="16" x14ac:dyDescent="0.2">
      <c r="A8422" s="17" t="str">
        <f>HYPERLINK("https://otsuka-europe-crm.veevavault.com/ui/#object/account__v/V4TZ06G6OBU9Y0G", "IVO ABBONDANDOLO")</f>
        <v>IVO ABBONDANDOLO</v>
      </c>
      <c r="B8422" s="17" t="str">
        <f>HYPERLINK("https://otsuka-europe-crm.veevavault.com/ui/#object/vcountry__v/VENZ000004SONFQ", "IT")</f>
        <v>IT</v>
      </c>
      <c r="C8422" s="20" t="s">
        <v>44</v>
      </c>
      <c r="D8422" s="21" t="str">
        <f>HYPERLINK("https://otsuka-europe-crm.veevavault.com/ui/#object/approved_document__v/V5O00000001G004", "Branded_RXULTI_AE Ansia_IT-RXU-2500035")</f>
        <v>Branded_RXULTI_AE Ansia_IT-RXU-2500035</v>
      </c>
      <c r="E8422" s="22" t="str">
        <f>HYPERLINK("https://otsuka-europe-crm.veevavault.com/ui/#object/sent_email__v/VBL00000002R678", "SE-001435428")</f>
        <v>SE-001435428</v>
      </c>
      <c r="F8422" s="25"/>
      <c r="G8422" s="24">
        <v>0</v>
      </c>
      <c r="H8422" s="24">
        <v>0</v>
      </c>
      <c r="I8422" s="24">
        <v>0</v>
      </c>
      <c r="J8422" s="25"/>
      <c r="K8422" s="24">
        <v>0</v>
      </c>
      <c r="L8422" s="22" t="str">
        <f>HYPERLINK("https://otsuka-europe-crm.veevavault.com/ui/#object/approved_document__v/V5O00000001G004", "Branded_RXULTI_AE Ansia_IT-RXU-2500035")</f>
        <v>Branded_RXULTI_AE Ansia_IT-RXU-2500035</v>
      </c>
      <c r="M8422" s="22" t="str">
        <f>HYPERLINK("mailto:maria.gargiulo@crm.otsuka-europe.com", "maria.gargiulo@crm.otsuka-europe.com")</f>
        <v>maria.gargiulo@crm.otsuka-europe.com</v>
      </c>
      <c r="N8422" s="23">
        <v>46183.476122685184</v>
      </c>
      <c r="O8422" s="14" t="str">
        <f>HYPERLINK("https://otsuka-europe-crm.veevavault.com/ui/#object/email_activity__v/V8C00000003S646", "EN-002094187")</f>
        <v>EN-002094187</v>
      </c>
    </row>
    <row r="8423" spans="1:15" ht="16" x14ac:dyDescent="0.2">
      <c r="A8423" s="18"/>
      <c r="B8423" s="18"/>
      <c r="C8423" s="18"/>
      <c r="D8423" s="18"/>
      <c r="E8423" s="18"/>
      <c r="F8423" s="18"/>
      <c r="G8423" s="18"/>
      <c r="H8423" s="18"/>
      <c r="I8423" s="18"/>
      <c r="J8423" s="18"/>
      <c r="K8423" s="18"/>
      <c r="L8423" s="18"/>
      <c r="M8423" s="18"/>
      <c r="N8423" s="18"/>
      <c r="O8423" s="14" t="str">
        <f>HYPERLINK("https://otsuka-europe-crm.veevavault.com/ui/#object/email_activity__v/V8C00000003T337", "EN-002094246")</f>
        <v>EN-002094246</v>
      </c>
    </row>
    <row r="8424" spans="1:15" ht="16" x14ac:dyDescent="0.2">
      <c r="A8424" s="18"/>
      <c r="B8424" s="18"/>
      <c r="C8424" s="18"/>
      <c r="D8424" s="18"/>
      <c r="E8424" s="18"/>
      <c r="F8424" s="18"/>
      <c r="G8424" s="18"/>
      <c r="H8424" s="18"/>
      <c r="I8424" s="18"/>
      <c r="J8424" s="18"/>
      <c r="K8424" s="18"/>
      <c r="L8424" s="18"/>
      <c r="M8424" s="18"/>
      <c r="N8424" s="18"/>
      <c r="O8424" s="14" t="str">
        <f>HYPERLINK("https://otsuka-europe-crm.veevavault.com/ui/#object/email_activity__v/V8C00000003T511", "EN-002094631")</f>
        <v>EN-002094631</v>
      </c>
    </row>
    <row r="8425" spans="1:15" ht="16" x14ac:dyDescent="0.2">
      <c r="A8425" s="19"/>
      <c r="B8425" s="19"/>
      <c r="C8425" s="19"/>
      <c r="D8425" s="19"/>
      <c r="E8425" s="19"/>
      <c r="F8425" s="19"/>
      <c r="G8425" s="19"/>
      <c r="H8425" s="19"/>
      <c r="I8425" s="19"/>
      <c r="J8425" s="19"/>
      <c r="K8425" s="19"/>
      <c r="L8425" s="19"/>
      <c r="M8425" s="19"/>
      <c r="N8425" s="19"/>
      <c r="O8425" s="14" t="str">
        <f>HYPERLINK("https://otsuka-europe-crm.veevavault.com/ui/#object/email_activity__v/V8C00000003Z155", "EN-002098925")</f>
        <v>EN-002098925</v>
      </c>
    </row>
    <row r="8426" spans="1:15" ht="16" x14ac:dyDescent="0.2">
      <c r="A8426" s="17" t="str">
        <f>HYPERLINK("https://otsuka-europe-crm.veevavault.com/ui/#object/account__v/V4TZ06G6OBUDCMC", "CARMEN AIELLO")</f>
        <v>CARMEN AIELLO</v>
      </c>
      <c r="B8426" s="17" t="str">
        <f>HYPERLINK("https://otsuka-europe-crm.veevavault.com/ui/#object/vcountry__v/VENZ000004SONFQ", "IT")</f>
        <v>IT</v>
      </c>
      <c r="C8426" s="20" t="s">
        <v>44</v>
      </c>
      <c r="D8426" s="21" t="str">
        <f>HYPERLINK("https://otsuka-europe-crm.veevavault.com/ui/#object/approved_document__v/V5O00000001G004", "Branded_RXULTI_AE Ansia_IT-RXU-2500035")</f>
        <v>Branded_RXULTI_AE Ansia_IT-RXU-2500035</v>
      </c>
      <c r="E8426" s="22" t="str">
        <f>HYPERLINK("https://otsuka-europe-crm.veevavault.com/ui/#object/sent_email__v/VBL00000002S722", "SE-001435429")</f>
        <v>SE-001435429</v>
      </c>
      <c r="F8426" s="23">
        <v>46190.411481481482</v>
      </c>
      <c r="G8426" s="24">
        <v>1</v>
      </c>
      <c r="H8426" s="24">
        <v>4</v>
      </c>
      <c r="I8426" s="24">
        <v>0</v>
      </c>
      <c r="J8426" s="25"/>
      <c r="K8426" s="24">
        <v>0</v>
      </c>
      <c r="L8426" s="22" t="str">
        <f>HYPERLINK("https://otsuka-europe-crm.veevavault.com/ui/#object/approved_document__v/V5O00000001G004", "Branded_RXULTI_AE Ansia_IT-RXU-2500035")</f>
        <v>Branded_RXULTI_AE Ansia_IT-RXU-2500035</v>
      </c>
      <c r="M8426" s="22" t="str">
        <f>HYPERLINK("mailto:maria.gargiulo@crm.otsuka-europe.com", "maria.gargiulo@crm.otsuka-europe.com")</f>
        <v>maria.gargiulo@crm.otsuka-europe.com</v>
      </c>
      <c r="N8426" s="23">
        <v>46183.476493055554</v>
      </c>
      <c r="O8426" s="14" t="str">
        <f>HYPERLINK("https://otsuka-europe-crm.veevavault.com/ui/#object/email_activity__v/V8C00000003S647", "EN-002094188")</f>
        <v>EN-002094188</v>
      </c>
    </row>
    <row r="8427" spans="1:15" ht="16" x14ac:dyDescent="0.2">
      <c r="A8427" s="18"/>
      <c r="B8427" s="18"/>
      <c r="C8427" s="18"/>
      <c r="D8427" s="18"/>
      <c r="E8427" s="18"/>
      <c r="F8427" s="18"/>
      <c r="G8427" s="18"/>
      <c r="H8427" s="18"/>
      <c r="I8427" s="18"/>
      <c r="J8427" s="18"/>
      <c r="K8427" s="18"/>
      <c r="L8427" s="18"/>
      <c r="M8427" s="18"/>
      <c r="N8427" s="18"/>
      <c r="O8427" s="14" t="str">
        <f>HYPERLINK("https://otsuka-europe-crm.veevavault.com/ui/#object/email_activity__v/V8C00000003S698", "EN-002094285")</f>
        <v>EN-002094285</v>
      </c>
    </row>
    <row r="8428" spans="1:15" ht="16" x14ac:dyDescent="0.2">
      <c r="A8428" s="18"/>
      <c r="B8428" s="18"/>
      <c r="C8428" s="18"/>
      <c r="D8428" s="18"/>
      <c r="E8428" s="18"/>
      <c r="F8428" s="18"/>
      <c r="G8428" s="18"/>
      <c r="H8428" s="18"/>
      <c r="I8428" s="18"/>
      <c r="J8428" s="18"/>
      <c r="K8428" s="18"/>
      <c r="L8428" s="18"/>
      <c r="M8428" s="18"/>
      <c r="N8428" s="18"/>
      <c r="O8428" s="14" t="str">
        <f>HYPERLINK("https://otsuka-europe-crm.veevavault.com/ui/#object/email_activity__v/V8C00000003V403", "EN-002095582")</f>
        <v>EN-002095582</v>
      </c>
    </row>
    <row r="8429" spans="1:15" ht="16" x14ac:dyDescent="0.2">
      <c r="A8429" s="18"/>
      <c r="B8429" s="18"/>
      <c r="C8429" s="18"/>
      <c r="D8429" s="18"/>
      <c r="E8429" s="18"/>
      <c r="F8429" s="18"/>
      <c r="G8429" s="18"/>
      <c r="H8429" s="18"/>
      <c r="I8429" s="18"/>
      <c r="J8429" s="18"/>
      <c r="K8429" s="18"/>
      <c r="L8429" s="18"/>
      <c r="M8429" s="18"/>
      <c r="N8429" s="18"/>
      <c r="O8429" s="14" t="str">
        <f>HYPERLINK("https://otsuka-europe-crm.veevavault.com/ui/#object/email_activity__v/V8C00000003W663", "EN-002098306")</f>
        <v>EN-002098306</v>
      </c>
    </row>
    <row r="8430" spans="1:15" ht="16" x14ac:dyDescent="0.2">
      <c r="A8430" s="19"/>
      <c r="B8430" s="19"/>
      <c r="C8430" s="19"/>
      <c r="D8430" s="19"/>
      <c r="E8430" s="19"/>
      <c r="F8430" s="19"/>
      <c r="G8430" s="19"/>
      <c r="H8430" s="19"/>
      <c r="I8430" s="19"/>
      <c r="J8430" s="19"/>
      <c r="K8430" s="19"/>
      <c r="L8430" s="19"/>
      <c r="M8430" s="19"/>
      <c r="N8430" s="19"/>
      <c r="O8430" s="14" t="str">
        <f>HYPERLINK("https://otsuka-europe-crm.veevavault.com/ui/#object/email_activity__v/V8C00000003X065", "EN-002097029")</f>
        <v>EN-002097029</v>
      </c>
    </row>
    <row r="8431" spans="1:15" ht="32" x14ac:dyDescent="0.2">
      <c r="A8431" s="7" t="str">
        <f>HYPERLINK("https://otsuka-europe-crm.veevavault.com/ui/#object/account__v/V4TZ025E86HJQZB", "MADDALENA ALLEGRETTA")</f>
        <v>MADDALENA ALLEGRETTA</v>
      </c>
      <c r="B8431" s="7" t="str">
        <f>HYPERLINK("https://otsuka-europe-crm.veevavault.com/ui/#object/vcountry__v/VENZ000004SONFQ", "IT")</f>
        <v>IT</v>
      </c>
      <c r="C8431" s="8" t="s">
        <v>44</v>
      </c>
      <c r="D8431" s="9" t="str">
        <f>HYPERLINK("https://otsuka-europe-crm.veevavault.com/ui/#object/approved_document__v/V5O00000001G004", "Branded_RXULTI_AE Ansia_IT-RXU-2500035")</f>
        <v>Branded_RXULTI_AE Ansia_IT-RXU-2500035</v>
      </c>
      <c r="E8431" s="10" t="str">
        <f>HYPERLINK("https://otsuka-europe-crm.veevavault.com/ui/#object/sent_email__v/VBL00000002R679", "SE-001435430")</f>
        <v>SE-001435430</v>
      </c>
      <c r="F8431" s="11"/>
      <c r="G8431" s="12">
        <v>0</v>
      </c>
      <c r="H8431" s="12">
        <v>0</v>
      </c>
      <c r="I8431" s="12">
        <v>0</v>
      </c>
      <c r="J8431" s="11"/>
      <c r="K8431" s="12">
        <v>0</v>
      </c>
      <c r="L8431" s="10" t="str">
        <f>HYPERLINK("https://otsuka-europe-crm.veevavault.com/ui/#object/approved_document__v/V5O00000001G004", "Branded_RXULTI_AE Ansia_IT-RXU-2500035")</f>
        <v>Branded_RXULTI_AE Ansia_IT-RXU-2500035</v>
      </c>
      <c r="M8431" s="10" t="str">
        <f>HYPERLINK("mailto:maria.gargiulo@crm.otsuka-europe.com", "maria.gargiulo@crm.otsuka-europe.com")</f>
        <v>maria.gargiulo@crm.otsuka-europe.com</v>
      </c>
      <c r="N8431" s="13">
        <v>46183.476840277777</v>
      </c>
      <c r="O8431" s="14" t="str">
        <f>HYPERLINK("https://otsuka-europe-crm.veevavault.com/ui/#object/email_activity__v/V8C00000003S648", "EN-002094189")</f>
        <v>EN-002094189</v>
      </c>
    </row>
    <row r="8432" spans="1:15" ht="32" x14ac:dyDescent="0.2">
      <c r="A8432" s="7" t="str">
        <f>HYPERLINK("https://otsuka-europe-crm.veevavault.com/ui/#object/account__v/V4TZ06G6O71S9XE", "ANTONELLA AMATO DE SERPIS")</f>
        <v>ANTONELLA AMATO DE SERPIS</v>
      </c>
      <c r="B8432" s="7" t="str">
        <f>HYPERLINK("https://otsuka-europe-crm.veevavault.com/ui/#object/vcountry__v/VENZ000004SONFQ", "IT")</f>
        <v>IT</v>
      </c>
      <c r="C8432" s="8" t="s">
        <v>44</v>
      </c>
      <c r="D8432" s="9" t="str">
        <f>HYPERLINK("https://otsuka-europe-crm.veevavault.com/ui/#object/approved_document__v/V5O00000001G004", "Branded_RXULTI_AE Ansia_IT-RXU-2500035")</f>
        <v>Branded_RXULTI_AE Ansia_IT-RXU-2500035</v>
      </c>
      <c r="E8432" s="10" t="str">
        <f>HYPERLINK("https://otsuka-europe-crm.veevavault.com/ui/#object/sent_email__v/VBL00000002R680", "SE-001435431")</f>
        <v>SE-001435431</v>
      </c>
      <c r="F8432" s="11"/>
      <c r="G8432" s="12">
        <v>0</v>
      </c>
      <c r="H8432" s="12">
        <v>0</v>
      </c>
      <c r="I8432" s="12">
        <v>0</v>
      </c>
      <c r="J8432" s="11"/>
      <c r="K8432" s="12">
        <v>0</v>
      </c>
      <c r="L8432" s="10" t="str">
        <f>HYPERLINK("https://otsuka-europe-crm.veevavault.com/ui/#object/approved_document__v/V5O00000001G004", "Branded_RXULTI_AE Ansia_IT-RXU-2500035")</f>
        <v>Branded_RXULTI_AE Ansia_IT-RXU-2500035</v>
      </c>
      <c r="M8432" s="10" t="str">
        <f>HYPERLINK("mailto:maria.gargiulo@crm.otsuka-europe.com", "maria.gargiulo@crm.otsuka-europe.com")</f>
        <v>maria.gargiulo@crm.otsuka-europe.com</v>
      </c>
      <c r="N8432" s="13">
        <v>46183.477164351854</v>
      </c>
      <c r="O8432" s="14" t="str">
        <f>HYPERLINK("https://otsuka-europe-crm.veevavault.com/ui/#object/email_activity__v/V8C00000003S651", "EN-002094192")</f>
        <v>EN-002094192</v>
      </c>
    </row>
    <row r="8433" spans="1:15" ht="32" x14ac:dyDescent="0.2">
      <c r="A8433" s="7" t="str">
        <f>HYPERLINK("https://otsuka-europe-crm.veevavault.com/ui/#object/account__v/V4TZ06G6OBU9XSO", "ROBERTA AMODIO")</f>
        <v>ROBERTA AMODIO</v>
      </c>
      <c r="B8433" s="7" t="str">
        <f>HYPERLINK("https://otsuka-europe-crm.veevavault.com/ui/#object/vcountry__v/VENZ000004SONFQ", "IT")</f>
        <v>IT</v>
      </c>
      <c r="C8433" s="8" t="s">
        <v>44</v>
      </c>
      <c r="D8433" s="9" t="str">
        <f>HYPERLINK("https://otsuka-europe-crm.veevavault.com/ui/#object/approved_document__v/V5O00000001G004", "Branded_RXULTI_AE Ansia_IT-RXU-2500035")</f>
        <v>Branded_RXULTI_AE Ansia_IT-RXU-2500035</v>
      </c>
      <c r="E8433" s="10" t="str">
        <f>HYPERLINK("https://otsuka-europe-crm.veevavault.com/ui/#object/sent_email__v/VBL00000002R681", "SE-001435432")</f>
        <v>SE-001435432</v>
      </c>
      <c r="F8433" s="11"/>
      <c r="G8433" s="12">
        <v>0</v>
      </c>
      <c r="H8433" s="12">
        <v>0</v>
      </c>
      <c r="I8433" s="12">
        <v>0</v>
      </c>
      <c r="J8433" s="11"/>
      <c r="K8433" s="12">
        <v>0</v>
      </c>
      <c r="L8433" s="10" t="str">
        <f>HYPERLINK("https://otsuka-europe-crm.veevavault.com/ui/#object/approved_document__v/V5O00000001G004", "Branded_RXULTI_AE Ansia_IT-RXU-2500035")</f>
        <v>Branded_RXULTI_AE Ansia_IT-RXU-2500035</v>
      </c>
      <c r="M8433" s="10" t="str">
        <f>HYPERLINK("mailto:maria.gargiulo@crm.otsuka-europe.com", "maria.gargiulo@crm.otsuka-europe.com")</f>
        <v>maria.gargiulo@crm.otsuka-europe.com</v>
      </c>
      <c r="N8433" s="13">
        <v>46183.477268518516</v>
      </c>
      <c r="O8433" s="14" t="str">
        <f>HYPERLINK("https://otsuka-europe-crm.veevavault.com/ui/#object/email_activity__v/V8C00000003T307", "EN-002094193")</f>
        <v>EN-002094193</v>
      </c>
    </row>
    <row r="8434" spans="1:15" ht="32" x14ac:dyDescent="0.2">
      <c r="A8434" s="7" t="str">
        <f>HYPERLINK("https://otsuka-europe-crm.veevavault.com/ui/#object/account__v/V4TZ06G6O71S9S1", "FEDERICO ANGELUCCI")</f>
        <v>FEDERICO ANGELUCCI</v>
      </c>
      <c r="B8434" s="7" t="str">
        <f>HYPERLINK("https://otsuka-europe-crm.veevavault.com/ui/#object/vcountry__v/VENZ000004SONFQ", "IT")</f>
        <v>IT</v>
      </c>
      <c r="C8434" s="8" t="s">
        <v>44</v>
      </c>
      <c r="D8434" s="9" t="str">
        <f>HYPERLINK("https://otsuka-europe-crm.veevavault.com/ui/#object/approved_document__v/V5O00000001G004", "Branded_RXULTI_AE Ansia_IT-RXU-2500035")</f>
        <v>Branded_RXULTI_AE Ansia_IT-RXU-2500035</v>
      </c>
      <c r="E8434" s="10" t="str">
        <f>HYPERLINK("https://otsuka-europe-crm.veevavault.com/ui/#object/sent_email__v/VBL00000002S723", "SE-001435433")</f>
        <v>SE-001435433</v>
      </c>
      <c r="F8434" s="11"/>
      <c r="G8434" s="12">
        <v>0</v>
      </c>
      <c r="H8434" s="12">
        <v>0</v>
      </c>
      <c r="I8434" s="12">
        <v>0</v>
      </c>
      <c r="J8434" s="11"/>
      <c r="K8434" s="12">
        <v>0</v>
      </c>
      <c r="L8434" s="10" t="str">
        <f>HYPERLINK("https://otsuka-europe-crm.veevavault.com/ui/#object/approved_document__v/V5O00000001G004", "Branded_RXULTI_AE Ansia_IT-RXU-2500035")</f>
        <v>Branded_RXULTI_AE Ansia_IT-RXU-2500035</v>
      </c>
      <c r="M8434" s="10" t="str">
        <f>HYPERLINK("mailto:maria.gargiulo@crm.otsuka-europe.com", "maria.gargiulo@crm.otsuka-europe.com")</f>
        <v>maria.gargiulo@crm.otsuka-europe.com</v>
      </c>
      <c r="N8434" s="13">
        <v>46183.477546296293</v>
      </c>
      <c r="O8434" s="14" t="str">
        <f>HYPERLINK("https://otsuka-europe-crm.veevavault.com/ui/#object/email_activity__v/V8C00000003T308", "EN-002094194")</f>
        <v>EN-002094194</v>
      </c>
    </row>
    <row r="8435" spans="1:15" ht="16" x14ac:dyDescent="0.2">
      <c r="A8435" s="17" t="str">
        <f>HYPERLINK("https://otsuka-europe-crm.veevavault.com/ui/#object/account__v/V4TZ06G6OA5WQFG", "TEST OPSA HCP TEST OPSA HCP")</f>
        <v>TEST OPSA HCP TEST OPSA HCP</v>
      </c>
      <c r="B8435" s="17" t="str">
        <f>HYPERLINK("https://otsuka-europe-crm.veevavault.com/ui/#object/vcountry__v/VENZ000004SONF5", "ES")</f>
        <v>ES</v>
      </c>
      <c r="C8435" s="20" t="s">
        <v>41</v>
      </c>
      <c r="D8435" s="21" t="str">
        <f>HYPERLINK("https://otsuka-europe-crm.veevavault.com/ui/#object/approved_document__v/V5O00000001L014", "EAACI 2026: Programas simposios Otsuka")</f>
        <v>EAACI 2026: Programas simposios Otsuka</v>
      </c>
      <c r="E8435" s="22" t="str">
        <f>HYPERLINK("https://otsuka-europe-crm.veevavault.com/ui/#object/sent_email__v/VBL00000002S724", "SE-001435434")</f>
        <v>SE-001435434</v>
      </c>
      <c r="F8435" s="23">
        <v>46183.68340277778</v>
      </c>
      <c r="G8435" s="24">
        <v>1</v>
      </c>
      <c r="H8435" s="24">
        <v>2</v>
      </c>
      <c r="I8435" s="24">
        <v>1</v>
      </c>
      <c r="J8435" s="23">
        <v>46183.531759259262</v>
      </c>
      <c r="K8435" s="24">
        <v>3</v>
      </c>
      <c r="L8435" s="22" t="str">
        <f>HYPERLINK("https://otsuka-europe-crm.veevavault.com/ui/#object/approved_document__v/V5O00000001L014", "EAACI 2026: Programas simposios Otsuka")</f>
        <v>EAACI 2026: Programas simposios Otsuka</v>
      </c>
      <c r="M8435" s="22" t="str">
        <f>HYPERLINK("mailto:msala@crm.otsuka-europe.com", "msala@crm.otsuka-europe.com")</f>
        <v>msala@crm.otsuka-europe.com</v>
      </c>
      <c r="N8435" s="23">
        <v>46183.499803240738</v>
      </c>
      <c r="O8435" s="14" t="str">
        <f>HYPERLINK("https://otsuka-europe-crm.veevavault.com/ui/#object/email_activity__v/V8C00000003S655", "EN-002094205")</f>
        <v>EN-002094205</v>
      </c>
    </row>
    <row r="8436" spans="1:15" ht="16" x14ac:dyDescent="0.2">
      <c r="A8436" s="18"/>
      <c r="B8436" s="18"/>
      <c r="C8436" s="18"/>
      <c r="D8436" s="18"/>
      <c r="E8436" s="18"/>
      <c r="F8436" s="18"/>
      <c r="G8436" s="18"/>
      <c r="H8436" s="18"/>
      <c r="I8436" s="18"/>
      <c r="J8436" s="18"/>
      <c r="K8436" s="18"/>
      <c r="L8436" s="18"/>
      <c r="M8436" s="18"/>
      <c r="N8436" s="18"/>
      <c r="O8436" s="14" t="str">
        <f>HYPERLINK("https://otsuka-europe-crm.veevavault.com/ui/#object/email_activity__v/V8C00000003S663", "EN-002094222")</f>
        <v>EN-002094222</v>
      </c>
    </row>
    <row r="8437" spans="1:15" ht="16" x14ac:dyDescent="0.2">
      <c r="A8437" s="18"/>
      <c r="B8437" s="18"/>
      <c r="C8437" s="18"/>
      <c r="D8437" s="18"/>
      <c r="E8437" s="18"/>
      <c r="F8437" s="18"/>
      <c r="G8437" s="18"/>
      <c r="H8437" s="18"/>
      <c r="I8437" s="18"/>
      <c r="J8437" s="18"/>
      <c r="K8437" s="18"/>
      <c r="L8437" s="18"/>
      <c r="M8437" s="18"/>
      <c r="N8437" s="18"/>
      <c r="O8437" s="14" t="str">
        <f>HYPERLINK("https://otsuka-europe-crm.veevavault.com/ui/#object/email_activity__v/V8C00000003S720", "EN-002094321")</f>
        <v>EN-002094321</v>
      </c>
    </row>
    <row r="8438" spans="1:15" ht="16" x14ac:dyDescent="0.2">
      <c r="A8438" s="18"/>
      <c r="B8438" s="18"/>
      <c r="C8438" s="18"/>
      <c r="D8438" s="18"/>
      <c r="E8438" s="18"/>
      <c r="F8438" s="18"/>
      <c r="G8438" s="18"/>
      <c r="H8438" s="18"/>
      <c r="I8438" s="18"/>
      <c r="J8438" s="18"/>
      <c r="K8438" s="18"/>
      <c r="L8438" s="18"/>
      <c r="M8438" s="18"/>
      <c r="N8438" s="18"/>
      <c r="O8438" s="14" t="str">
        <f>HYPERLINK("https://otsuka-europe-crm.veevavault.com/ui/#object/email_activity__v/V8C00000003T315", "EN-002094204")</f>
        <v>EN-002094204</v>
      </c>
    </row>
    <row r="8439" spans="1:15" ht="16" x14ac:dyDescent="0.2">
      <c r="A8439" s="18"/>
      <c r="B8439" s="18"/>
      <c r="C8439" s="18"/>
      <c r="D8439" s="18"/>
      <c r="E8439" s="18"/>
      <c r="F8439" s="18"/>
      <c r="G8439" s="18"/>
      <c r="H8439" s="18"/>
      <c r="I8439" s="18"/>
      <c r="J8439" s="18"/>
      <c r="K8439" s="18"/>
      <c r="L8439" s="18"/>
      <c r="M8439" s="18"/>
      <c r="N8439" s="18"/>
      <c r="O8439" s="14" t="str">
        <f>HYPERLINK("https://otsuka-europe-crm.veevavault.com/ui/#object/email_activity__v/V8C00000003T324", "EN-002094221")</f>
        <v>EN-002094221</v>
      </c>
    </row>
    <row r="8440" spans="1:15" ht="16" x14ac:dyDescent="0.2">
      <c r="A8440" s="19"/>
      <c r="B8440" s="19"/>
      <c r="C8440" s="19"/>
      <c r="D8440" s="19"/>
      <c r="E8440" s="19"/>
      <c r="F8440" s="19"/>
      <c r="G8440" s="19"/>
      <c r="H8440" s="19"/>
      <c r="I8440" s="19"/>
      <c r="J8440" s="19"/>
      <c r="K8440" s="19"/>
      <c r="L8440" s="19"/>
      <c r="M8440" s="19"/>
      <c r="N8440" s="19"/>
      <c r="O8440" s="14" t="str">
        <f>HYPERLINK("https://otsuka-europe-crm.veevavault.com/ui/#object/email_activity__v/V8C00000003T325", "EN-002094223")</f>
        <v>EN-002094223</v>
      </c>
    </row>
    <row r="8441" spans="1:15" ht="48" x14ac:dyDescent="0.2">
      <c r="A8441" s="7" t="str">
        <f>HYPERLINK("https://otsuka-europe-crm.veevavault.com/ui/#object/account__v/V4TZ06G6O71S9P3", "MATTEO CEDRARO")</f>
        <v>MATTEO CEDRARO</v>
      </c>
      <c r="B8441" s="7" t="str">
        <f>HYPERLINK("https://otsuka-europe-crm.veevavault.com/ui/#object/vcountry__v/VENZ000004SONFQ", "IT")</f>
        <v>IT</v>
      </c>
      <c r="C8441" s="8" t="s">
        <v>44</v>
      </c>
      <c r="D8441" s="9" t="str">
        <f>HYPERLINK("https://otsuka-europe-crm.veevavault.com/ui/#object/approved_document__v/V5OZ025E82MQEQD", "ABILIFY MAINTENA 960_Unbranded_AE GU_ IT-NPR-2500045")</f>
        <v>ABILIFY MAINTENA 960_Unbranded_AE GU_ IT-NPR-2500045</v>
      </c>
      <c r="E8441" s="10" t="str">
        <f>HYPERLINK("https://otsuka-europe-crm.veevavault.com/ui/#object/sent_email__v/VBL00000002R689", "SE-001435435")</f>
        <v>SE-001435435</v>
      </c>
      <c r="F8441" s="11"/>
      <c r="G8441" s="12">
        <v>0</v>
      </c>
      <c r="H8441" s="12">
        <v>0</v>
      </c>
      <c r="I8441" s="12">
        <v>0</v>
      </c>
      <c r="J8441" s="11"/>
      <c r="K8441" s="12">
        <v>0</v>
      </c>
      <c r="L8441" s="10" t="str">
        <f>HYPERLINK("https://otsuka-europe-crm.veevavault.com/ui/#object/approved_document__v/V5OZ025E82MQEQD", "ABILIFY MAINTENA 960_Unbranded_AE GU_ IT-NPR-2500045")</f>
        <v>ABILIFY MAINTENA 960_Unbranded_AE GU_ IT-NPR-2500045</v>
      </c>
      <c r="M8441" s="10" t="str">
        <f>HYPERLINK("mailto:tiziana.faini@crm.otsuka-europe.com", "tiziana.faini@crm.otsuka-europe.com")</f>
        <v>tiziana.faini@crm.otsuka-europe.com</v>
      </c>
      <c r="N8441" s="13">
        <v>46183.542442129627</v>
      </c>
      <c r="O8441" s="14" t="str">
        <f>HYPERLINK("https://otsuka-europe-crm.veevavault.com/ui/#object/email_activity__v/V8C00000003S666", "EN-002094228")</f>
        <v>EN-002094228</v>
      </c>
    </row>
    <row r="8442" spans="1:15" ht="64" x14ac:dyDescent="0.2">
      <c r="A8442" s="7" t="str">
        <f>HYPERLINK("https://otsuka-europe-crm.veevavault.com/ui/#object/account__v/V4TZ06G6O71S9P3", "MATTEO CEDRARO")</f>
        <v>MATTEO CEDRARO</v>
      </c>
      <c r="B8442" s="7" t="str">
        <f>HYPERLINK("https://otsuka-europe-crm.veevavault.com/ui/#object/vcountry__v/VENZ000004SONFQ", "IT")</f>
        <v>IT</v>
      </c>
      <c r="C8442" s="8" t="s">
        <v>44</v>
      </c>
      <c r="D8442" s="9" t="str">
        <f>HYPERLINK("https://otsuka-europe-crm.veevavault.com/ui/#object/approved_document__v/V5OZ025E82T9SYL", "OTSUKA_ABILIFY 960/720_Branded_AE lancio 960/720_IT-AM2-2500122")</f>
        <v>OTSUKA_ABILIFY 960/720_Branded_AE lancio 960/720_IT-AM2-2500122</v>
      </c>
      <c r="E8442" s="10" t="str">
        <f>HYPERLINK("https://otsuka-europe-crm.veevavault.com/ui/#object/sent_email__v/VBL00000002R690", "SE-001435436")</f>
        <v>SE-001435436</v>
      </c>
      <c r="F8442" s="11"/>
      <c r="G8442" s="12">
        <v>0</v>
      </c>
      <c r="H8442" s="12">
        <v>0</v>
      </c>
      <c r="I8442" s="12">
        <v>0</v>
      </c>
      <c r="J8442" s="11"/>
      <c r="K8442" s="12">
        <v>0</v>
      </c>
      <c r="L8442" s="10" t="str">
        <f>HYPERLINK("https://otsuka-europe-crm.veevavault.com/ui/#object/approved_document__v/V5OZ025E82T9SYL", "OTSUKA_ABILIFY 960/720_Branded_AE lancio 960/720_IT-AM2-2500122")</f>
        <v>OTSUKA_ABILIFY 960/720_Branded_AE lancio 960/720_IT-AM2-2500122</v>
      </c>
      <c r="M8442" s="10" t="str">
        <f>HYPERLINK("mailto:tiziana.faini@crm.otsuka-europe.com", "tiziana.faini@crm.otsuka-europe.com")</f>
        <v>tiziana.faini@crm.otsuka-europe.com</v>
      </c>
      <c r="N8442" s="13">
        <v>46183.542534722219</v>
      </c>
      <c r="O8442" s="14" t="str">
        <f>HYPERLINK("https://otsuka-europe-crm.veevavault.com/ui/#object/email_activity__v/V8C00000003T328", "EN-002094229")</f>
        <v>EN-002094229</v>
      </c>
    </row>
    <row r="8443" spans="1:15" ht="16" x14ac:dyDescent="0.2">
      <c r="A8443" s="17" t="str">
        <f>HYPERLINK("https://otsuka-europe-crm.veevavault.com/ui/#object/account__v/V4TZ06G6O71S9P3", "MATTEO CEDRARO")</f>
        <v>MATTEO CEDRARO</v>
      </c>
      <c r="B8443" s="17" t="str">
        <f>HYPERLINK("https://otsuka-europe-crm.veevavault.com/ui/#object/vcountry__v/VENZ000004SONFQ", "IT")</f>
        <v>IT</v>
      </c>
      <c r="C8443" s="20" t="s">
        <v>44</v>
      </c>
      <c r="D8443" s="21" t="str">
        <f>HYPERLINK("https://otsuka-europe-crm.veevavault.com/ui/#object/approved_document__v/V5OZ025E82JJ7FL", "NL AE HCP Portal")</f>
        <v>NL AE HCP Portal</v>
      </c>
      <c r="E8443" s="22" t="str">
        <f>HYPERLINK("https://otsuka-europe-crm.veevavault.com/ui/#object/sent_email__v/VBL00000002R691", "SE-001435437")</f>
        <v>SE-001435437</v>
      </c>
      <c r="F8443" s="23">
        <v>46183.542754629627</v>
      </c>
      <c r="G8443" s="24">
        <v>1</v>
      </c>
      <c r="H8443" s="24">
        <v>1</v>
      </c>
      <c r="I8443" s="24">
        <v>1</v>
      </c>
      <c r="J8443" s="23">
        <v>46185.627627314818</v>
      </c>
      <c r="K8443" s="24">
        <v>2</v>
      </c>
      <c r="L8443" s="22" t="str">
        <f>HYPERLINK("https://otsuka-europe-crm.veevavault.com/ui/#object/approved_document__v/V5OZ025E82JJ7FL", "NL AE HCP Portal")</f>
        <v>NL AE HCP Portal</v>
      </c>
      <c r="M8443" s="22" t="str">
        <f>HYPERLINK("mailto:tiziana.faini@crm.otsuka-europe.com", "tiziana.faini@crm.otsuka-europe.com")</f>
        <v>tiziana.faini@crm.otsuka-europe.com</v>
      </c>
      <c r="N8443" s="23">
        <v>46183.542557870373</v>
      </c>
      <c r="O8443" s="14" t="str">
        <f>HYPERLINK("https://otsuka-europe-crm.veevavault.com/ui/#object/email_activity__v/V8C00000003S667", "EN-002094230")</f>
        <v>EN-002094230</v>
      </c>
    </row>
    <row r="8444" spans="1:15" ht="16" x14ac:dyDescent="0.2">
      <c r="A8444" s="18"/>
      <c r="B8444" s="18"/>
      <c r="C8444" s="18"/>
      <c r="D8444" s="18"/>
      <c r="E8444" s="18"/>
      <c r="F8444" s="18"/>
      <c r="G8444" s="18"/>
      <c r="H8444" s="18"/>
      <c r="I8444" s="18"/>
      <c r="J8444" s="18"/>
      <c r="K8444" s="18"/>
      <c r="L8444" s="18"/>
      <c r="M8444" s="18"/>
      <c r="N8444" s="18"/>
      <c r="O8444" s="14" t="str">
        <f>HYPERLINK("https://otsuka-europe-crm.veevavault.com/ui/#object/email_activity__v/V8C00000003S668", "EN-002094232")</f>
        <v>EN-002094232</v>
      </c>
    </row>
    <row r="8445" spans="1:15" ht="16" x14ac:dyDescent="0.2">
      <c r="A8445" s="18"/>
      <c r="B8445" s="18"/>
      <c r="C8445" s="18"/>
      <c r="D8445" s="18"/>
      <c r="E8445" s="18"/>
      <c r="F8445" s="18"/>
      <c r="G8445" s="18"/>
      <c r="H8445" s="18"/>
      <c r="I8445" s="18"/>
      <c r="J8445" s="18"/>
      <c r="K8445" s="18"/>
      <c r="L8445" s="18"/>
      <c r="M8445" s="18"/>
      <c r="N8445" s="18"/>
      <c r="O8445" s="14" t="str">
        <f>HYPERLINK("https://otsuka-europe-crm.veevavault.com/ui/#object/email_activity__v/V8C00000003S669", "EN-002094231")</f>
        <v>EN-002094231</v>
      </c>
    </row>
    <row r="8446" spans="1:15" ht="16" x14ac:dyDescent="0.2">
      <c r="A8446" s="19"/>
      <c r="B8446" s="19"/>
      <c r="C8446" s="19"/>
      <c r="D8446" s="19"/>
      <c r="E8446" s="19"/>
      <c r="F8446" s="19"/>
      <c r="G8446" s="19"/>
      <c r="H8446" s="19"/>
      <c r="I8446" s="19"/>
      <c r="J8446" s="19"/>
      <c r="K8446" s="19"/>
      <c r="L8446" s="19"/>
      <c r="M8446" s="19"/>
      <c r="N8446" s="19"/>
      <c r="O8446" s="14" t="str">
        <f>HYPERLINK("https://otsuka-europe-crm.veevavault.com/ui/#object/email_activity__v/V8C00000003U332", "EN-002095499")</f>
        <v>EN-002095499</v>
      </c>
    </row>
    <row r="8447" spans="1:15" ht="32" x14ac:dyDescent="0.2">
      <c r="A8447" s="7" t="str">
        <f>HYPERLINK("https://otsuka-europe-crm.veevavault.com/ui/#object/account__v/V4TZ06G6O71S9KJ", "CHIARA LUCARELLI")</f>
        <v>CHIARA LUCARELLI</v>
      </c>
      <c r="B8447" s="7" t="str">
        <f>HYPERLINK("https://otsuka-europe-crm.veevavault.com/ui/#object/vcountry__v/VENZ000004SONFQ", "IT")</f>
        <v>IT</v>
      </c>
      <c r="C8447" s="8" t="s">
        <v>44</v>
      </c>
      <c r="D8447" s="9" t="str">
        <f>HYPERLINK("https://otsuka-europe-crm.veevavault.com/ui/#object/approved_document__v/V5OZ025E82JJ7FL", "NL AE HCP Portal")</f>
        <v>NL AE HCP Portal</v>
      </c>
      <c r="E8447" s="10" t="str">
        <f>HYPERLINK("https://otsuka-europe-crm.veevavault.com/ui/#object/sent_email__v/VBL00000002R692", "SE-001435438")</f>
        <v>SE-001435438</v>
      </c>
      <c r="F8447" s="11"/>
      <c r="G8447" s="12">
        <v>0</v>
      </c>
      <c r="H8447" s="12">
        <v>0</v>
      </c>
      <c r="I8447" s="12">
        <v>0</v>
      </c>
      <c r="J8447" s="11"/>
      <c r="K8447" s="12">
        <v>0</v>
      </c>
      <c r="L8447" s="10" t="str">
        <f>HYPERLINK("https://otsuka-europe-crm.veevavault.com/ui/#object/approved_document__v/V5OZ025E82JJ7FL", "NL AE HCP Portal")</f>
        <v>NL AE HCP Portal</v>
      </c>
      <c r="M8447" s="10" t="str">
        <f>HYPERLINK("mailto:tiziana.faini@crm.otsuka-europe.com", "tiziana.faini@crm.otsuka-europe.com")</f>
        <v>tiziana.faini@crm.otsuka-europe.com</v>
      </c>
      <c r="N8447" s="13">
        <v>46183.543263888889</v>
      </c>
      <c r="O8447" s="14" t="str">
        <f>HYPERLINK("https://otsuka-europe-crm.veevavault.com/ui/#object/email_activity__v/V8C00000003S670", "EN-002094233")</f>
        <v>EN-002094233</v>
      </c>
    </row>
    <row r="8448" spans="1:15" ht="48" x14ac:dyDescent="0.2">
      <c r="A8448" s="7" t="str">
        <f>HYPERLINK("https://otsuka-europe-crm.veevavault.com/ui/#object/account__v/V4TZ06G6O71S9KJ", "CHIARA LUCARELLI")</f>
        <v>CHIARA LUCARELLI</v>
      </c>
      <c r="B8448" s="7" t="str">
        <f>HYPERLINK("https://otsuka-europe-crm.veevavault.com/ui/#object/vcountry__v/VENZ000004SONFQ", "IT")</f>
        <v>IT</v>
      </c>
      <c r="C8448" s="8" t="s">
        <v>44</v>
      </c>
      <c r="D8448" s="9" t="str">
        <f>HYPERLINK("https://otsuka-europe-crm.veevavault.com/ui/#object/approved_document__v/V5OZ025E82UFNWM", "ABILIFY 960720_Branded_AE Fagiolini_IT-AM2-2500131")</f>
        <v>ABILIFY 960720_Branded_AE Fagiolini_IT-AM2-2500131</v>
      </c>
      <c r="E8448" s="10" t="str">
        <f>HYPERLINK("https://otsuka-europe-crm.veevavault.com/ui/#object/sent_email__v/VBL00000002R693", "SE-001435439")</f>
        <v>SE-001435439</v>
      </c>
      <c r="F8448" s="11"/>
      <c r="G8448" s="12">
        <v>0</v>
      </c>
      <c r="H8448" s="12">
        <v>0</v>
      </c>
      <c r="I8448" s="12">
        <v>0</v>
      </c>
      <c r="J8448" s="11"/>
      <c r="K8448" s="12">
        <v>0</v>
      </c>
      <c r="L8448" s="10" t="str">
        <f>HYPERLINK("https://otsuka-europe-crm.veevavault.com/ui/#object/approved_document__v/V5OZ025E82UFNWM", "ABILIFY 960720_Branded_AE Fagiolini_IT-AM2-2500131")</f>
        <v>ABILIFY 960720_Branded_AE Fagiolini_IT-AM2-2500131</v>
      </c>
      <c r="M8448" s="10" t="str">
        <f>HYPERLINK("mailto:tiziana.faini@crm.otsuka-europe.com", "tiziana.faini@crm.otsuka-europe.com")</f>
        <v>tiziana.faini@crm.otsuka-europe.com</v>
      </c>
      <c r="N8448" s="13">
        <v>46183.543287037035</v>
      </c>
      <c r="O8448" s="14" t="str">
        <f>HYPERLINK("https://otsuka-europe-crm.veevavault.com/ui/#object/email_activity__v/V8C00000003T329", "EN-002094234")</f>
        <v>EN-002094234</v>
      </c>
    </row>
    <row r="8449" spans="1:15" ht="48" x14ac:dyDescent="0.2">
      <c r="A8449" s="7" t="str">
        <f>HYPERLINK("https://otsuka-europe-crm.veevavault.com/ui/#object/account__v/V4TZ06G6O71S9KJ", "CHIARA LUCARELLI")</f>
        <v>CHIARA LUCARELLI</v>
      </c>
      <c r="B8449" s="7" t="str">
        <f>HYPERLINK("https://otsuka-europe-crm.veevavault.com/ui/#object/vcountry__v/VENZ000004SONFQ", "IT")</f>
        <v>IT</v>
      </c>
      <c r="C8449" s="8" t="s">
        <v>44</v>
      </c>
      <c r="D8449" s="9" t="str">
        <f>HYPERLINK("https://otsuka-europe-crm.veevavault.com/ui/#object/approved_document__v/V5O00000001H009", "RXULTI_Branded_ DE FILIPPIS aggiornamento_ IT-RXU-2600020")</f>
        <v>RXULTI_Branded_ DE FILIPPIS aggiornamento_ IT-RXU-2600020</v>
      </c>
      <c r="E8449" s="10" t="str">
        <f>HYPERLINK("https://otsuka-europe-crm.veevavault.com/ui/#object/sent_email__v/VBL00000002R694", "SE-001435440")</f>
        <v>SE-001435440</v>
      </c>
      <c r="F8449" s="11"/>
      <c r="G8449" s="12">
        <v>0</v>
      </c>
      <c r="H8449" s="12">
        <v>0</v>
      </c>
      <c r="I8449" s="12">
        <v>0</v>
      </c>
      <c r="J8449" s="11"/>
      <c r="K8449" s="12">
        <v>0</v>
      </c>
      <c r="L8449" s="10" t="str">
        <f>HYPERLINK("https://otsuka-europe-crm.veevavault.com/ui/#object/approved_document__v/V5O00000001H009", "RXULTI_Branded_ DE FILIPPIS aggiornamento_ IT-RXU-2600020")</f>
        <v>RXULTI_Branded_ DE FILIPPIS aggiornamento_ IT-RXU-2600020</v>
      </c>
      <c r="M8449" s="10" t="str">
        <f>HYPERLINK("mailto:tiziana.faini@crm.otsuka-europe.com", "tiziana.faini@crm.otsuka-europe.com")</f>
        <v>tiziana.faini@crm.otsuka-europe.com</v>
      </c>
      <c r="N8449" s="13">
        <v>46183.543344907404</v>
      </c>
      <c r="O8449" s="14" t="str">
        <f>HYPERLINK("https://otsuka-europe-crm.veevavault.com/ui/#object/email_activity__v/V8C00000003T330", "EN-002094235")</f>
        <v>EN-002094235</v>
      </c>
    </row>
    <row r="8450" spans="1:15" ht="16" x14ac:dyDescent="0.2">
      <c r="A8450" s="17" t="str">
        <f>HYPERLINK("https://otsuka-europe-crm.veevavault.com/ui/#object/account__v/V4TZ0000062R1IZ", "Stefan Pittl")</f>
        <v>Stefan Pittl</v>
      </c>
      <c r="B8450" s="17" t="str">
        <f>HYPERLINK("https://otsuka-europe-crm.veevavault.com/ui/#object/vcountry__v/VENZ000004SONFD", "AT")</f>
        <v>AT</v>
      </c>
      <c r="C8450" s="20" t="s">
        <v>40</v>
      </c>
      <c r="D8450" s="21" t="str">
        <f>HYPERLINK("https://otsuka-europe-crm.veevavault.com/ui/#object/approved_document__v/V5O00000000K004", "Austria - Consent Email - Aug25 v2")</f>
        <v>Austria - Consent Email - Aug25 v2</v>
      </c>
      <c r="E8450" s="22" t="str">
        <f>HYPERLINK("https://otsuka-europe-crm.veevavault.com/ui/#object/sent_email__v/VBL00000002S728", "SE-001435441")</f>
        <v>SE-001435441</v>
      </c>
      <c r="F8450" s="23">
        <v>46185.746944444443</v>
      </c>
      <c r="G8450" s="24">
        <v>1</v>
      </c>
      <c r="H8450" s="24">
        <v>1</v>
      </c>
      <c r="I8450" s="24">
        <v>1</v>
      </c>
      <c r="J8450" s="23">
        <v>46185.746944444443</v>
      </c>
      <c r="K8450" s="24">
        <v>1</v>
      </c>
      <c r="L8450" s="22" t="str">
        <f>HYPERLINK("https://otsuka-europe-crm.veevavault.com/ui/#object/approved_document__v/V5O00000000K004", "Austria - Consent Email - Aug25 v2")</f>
        <v>Austria - Consent Email - Aug25 v2</v>
      </c>
      <c r="M8450" s="22" t="str">
        <f>HYPERLINK("mailto:nlerchner@crm.otsuka-europe.com", "nlerchner@crm.otsuka-europe.com")</f>
        <v>nlerchner@crm.otsuka-europe.com</v>
      </c>
      <c r="N8450" s="23">
        <v>46183.557766203703</v>
      </c>
      <c r="O8450" s="14" t="str">
        <f>HYPERLINK("https://otsuka-europe-crm.veevavault.com/ui/#object/email_activity__v/V8C00000003S677", "EN-002094249")</f>
        <v>EN-002094249</v>
      </c>
    </row>
    <row r="8451" spans="1:15" ht="16" x14ac:dyDescent="0.2">
      <c r="A8451" s="18"/>
      <c r="B8451" s="18"/>
      <c r="C8451" s="18"/>
      <c r="D8451" s="18"/>
      <c r="E8451" s="18"/>
      <c r="F8451" s="18"/>
      <c r="G8451" s="18"/>
      <c r="H8451" s="18"/>
      <c r="I8451" s="18"/>
      <c r="J8451" s="18"/>
      <c r="K8451" s="18"/>
      <c r="L8451" s="18"/>
      <c r="M8451" s="18"/>
      <c r="N8451" s="18"/>
      <c r="O8451" s="14" t="str">
        <f>HYPERLINK("https://otsuka-europe-crm.veevavault.com/ui/#object/email_activity__v/V8C00000003V383", "EN-002095553")</f>
        <v>EN-002095553</v>
      </c>
    </row>
    <row r="8452" spans="1:15" ht="16" x14ac:dyDescent="0.2">
      <c r="A8452" s="19"/>
      <c r="B8452" s="19"/>
      <c r="C8452" s="19"/>
      <c r="D8452" s="19"/>
      <c r="E8452" s="19"/>
      <c r="F8452" s="19"/>
      <c r="G8452" s="19"/>
      <c r="H8452" s="19"/>
      <c r="I8452" s="19"/>
      <c r="J8452" s="19"/>
      <c r="K8452" s="19"/>
      <c r="L8452" s="19"/>
      <c r="M8452" s="19"/>
      <c r="N8452" s="19"/>
      <c r="O8452" s="14" t="str">
        <f>HYPERLINK("https://otsuka-europe-crm.veevavault.com/ui/#object/email_activity__v/V8C00000003V384", "EN-002095552")</f>
        <v>EN-002095552</v>
      </c>
    </row>
    <row r="8453" spans="1:15" ht="16" x14ac:dyDescent="0.2">
      <c r="A8453" s="17" t="str">
        <f>HYPERLINK("https://otsuka-europe-crm.veevavault.com/ui/#object/account__v/V4TZ0000062R1IZ", "Stefan Pittl")</f>
        <v>Stefan Pittl</v>
      </c>
      <c r="B8453" s="17" t="str">
        <f>HYPERLINK("https://otsuka-europe-crm.veevavault.com/ui/#object/vcountry__v/VENZ000004SONFD", "AT")</f>
        <v>AT</v>
      </c>
      <c r="C8453" s="20" t="s">
        <v>40</v>
      </c>
      <c r="D8453" s="21" t="str">
        <f>HYPERLINK("https://otsuka-europe-crm.veevavault.com/ui/#object/approved_document__v/V5OZ04ASG4FXQX9", "AT - HCP Einwilligung für Remote Calls Österreich")</f>
        <v>AT - HCP Einwilligung für Remote Calls Österreich</v>
      </c>
      <c r="E8453" s="22" t="str">
        <f>HYPERLINK("https://otsuka-europe-crm.veevavault.com/ui/#object/sent_email__v/VBL00000002S729", "SE-001435442")</f>
        <v>SE-001435442</v>
      </c>
      <c r="F8453" s="23">
        <v>46185.747233796297</v>
      </c>
      <c r="G8453" s="24">
        <v>1</v>
      </c>
      <c r="H8453" s="24">
        <v>1</v>
      </c>
      <c r="I8453" s="24">
        <v>1</v>
      </c>
      <c r="J8453" s="23">
        <v>46185.747233796297</v>
      </c>
      <c r="K8453" s="24">
        <v>1</v>
      </c>
      <c r="L8453" s="22" t="str">
        <f>HYPERLINK("https://otsuka-europe-crm.veevavault.com/ui/#object/approved_document__v/V5OZ04ASG4FXQX9", "AT - HCP Einwilligung für Remote Calls Österreich")</f>
        <v>AT - HCP Einwilligung für Remote Calls Österreich</v>
      </c>
      <c r="M8453" s="22" t="str">
        <f>HYPERLINK("mailto:nlerchner@crm.otsuka-europe.com", "nlerchner@crm.otsuka-europe.com")</f>
        <v>nlerchner@crm.otsuka-europe.com</v>
      </c>
      <c r="N8453" s="23">
        <v>46183.55777777778</v>
      </c>
      <c r="O8453" s="14" t="str">
        <f>HYPERLINK("https://otsuka-europe-crm.veevavault.com/ui/#object/email_activity__v/V8C00000003S678", "EN-002094250")</f>
        <v>EN-002094250</v>
      </c>
    </row>
    <row r="8454" spans="1:15" ht="16" x14ac:dyDescent="0.2">
      <c r="A8454" s="18"/>
      <c r="B8454" s="18"/>
      <c r="C8454" s="18"/>
      <c r="D8454" s="18"/>
      <c r="E8454" s="18"/>
      <c r="F8454" s="18"/>
      <c r="G8454" s="18"/>
      <c r="H8454" s="18"/>
      <c r="I8454" s="18"/>
      <c r="J8454" s="18"/>
      <c r="K8454" s="18"/>
      <c r="L8454" s="18"/>
      <c r="M8454" s="18"/>
      <c r="N8454" s="18"/>
      <c r="O8454" s="14" t="str">
        <f>HYPERLINK("https://otsuka-europe-crm.veevavault.com/ui/#object/email_activity__v/V8C00000003V385", "EN-002095555")</f>
        <v>EN-002095555</v>
      </c>
    </row>
    <row r="8455" spans="1:15" ht="16" x14ac:dyDescent="0.2">
      <c r="A8455" s="19"/>
      <c r="B8455" s="19"/>
      <c r="C8455" s="19"/>
      <c r="D8455" s="19"/>
      <c r="E8455" s="19"/>
      <c r="F8455" s="19"/>
      <c r="G8455" s="19"/>
      <c r="H8455" s="19"/>
      <c r="I8455" s="19"/>
      <c r="J8455" s="19"/>
      <c r="K8455" s="19"/>
      <c r="L8455" s="19"/>
      <c r="M8455" s="19"/>
      <c r="N8455" s="19"/>
      <c r="O8455" s="14" t="str">
        <f>HYPERLINK("https://otsuka-europe-crm.veevavault.com/ui/#object/email_activity__v/V8C00000003V386", "EN-002095554")</f>
        <v>EN-002095554</v>
      </c>
    </row>
    <row r="8456" spans="1:15" ht="32" x14ac:dyDescent="0.2">
      <c r="A8456" s="7" t="str">
        <f>HYPERLINK("https://otsuka-europe-crm.veevavault.com/ui/#object/account__v/V4TZ06G6O9VG5MA", "ESPERANZA CORBACHO NAVARRO")</f>
        <v>ESPERANZA CORBACHO NAVARRO</v>
      </c>
      <c r="B8456" s="7" t="str">
        <f>HYPERLINK("https://otsuka-europe-crm.veevavault.com/ui/#object/vcountry__v/VENZ000004SONF5", "ES")</f>
        <v>ES</v>
      </c>
      <c r="C8456" s="8" t="s">
        <v>41</v>
      </c>
      <c r="D8456" s="9" t="str">
        <f>HYPERLINK("https://otsuka-europe-crm.veevavault.com/ui/#object/approved_document__v/V5O00000000L011", "Libro IA en psiquiatría")</f>
        <v>Libro IA en psiquiatría</v>
      </c>
      <c r="E8456" s="10" t="str">
        <f>HYPERLINK("https://otsuka-europe-crm.veevavault.com/ui/#object/sent_email__v/VBL00000002S730", "SE-001435443")</f>
        <v>SE-001435443</v>
      </c>
      <c r="F8456" s="11"/>
      <c r="G8456" s="12">
        <v>0</v>
      </c>
      <c r="H8456" s="12">
        <v>0</v>
      </c>
      <c r="I8456" s="12">
        <v>0</v>
      </c>
      <c r="J8456" s="11"/>
      <c r="K8456" s="12">
        <v>0</v>
      </c>
      <c r="L8456" s="10" t="str">
        <f>HYPERLINK("https://otsuka-europe-crm.veevavault.com/ui/#object/approved_document__v/V5O00000000L011", "Libro IA en psiquiatría")</f>
        <v>Libro IA en psiquiatría</v>
      </c>
      <c r="M8456" s="10" t="str">
        <f>HYPERLINK("mailto:mgravan@crm.otsuka-europe.com", "mgravan@crm.otsuka-europe.com")</f>
        <v>mgravan@crm.otsuka-europe.com</v>
      </c>
      <c r="N8456" s="13">
        <v>46183.611319444448</v>
      </c>
      <c r="O8456" s="14" t="str">
        <f>HYPERLINK("https://otsuka-europe-crm.veevavault.com/ui/#object/email_activity__v/V8C00000003S694", "EN-002094273")</f>
        <v>EN-002094273</v>
      </c>
    </row>
    <row r="8457" spans="1:15" ht="16" x14ac:dyDescent="0.2">
      <c r="A8457" s="17" t="str">
        <f>HYPERLINK("https://otsuka-europe-crm.veevavault.com/ui/#object/account__v/V4TZ025E871DKTD", "KRASIMIRA ZHELEVA BAYNOVA")</f>
        <v>KRASIMIRA ZHELEVA BAYNOVA</v>
      </c>
      <c r="B8457" s="17" t="str">
        <f>HYPERLINK("https://otsuka-europe-crm.veevavault.com/ui/#object/vcountry__v/VENZ000004SONF5", "ES")</f>
        <v>ES</v>
      </c>
      <c r="C8457" s="20" t="s">
        <v>41</v>
      </c>
      <c r="D8457" s="21" t="str">
        <f>HYPERLINK("https://otsuka-europe-crm.veevavault.com/ui/#object/approved_document__v/V5O00000001L014", "EAACI 2026: Programas simposios Otsuka")</f>
        <v>EAACI 2026: Programas simposios Otsuka</v>
      </c>
      <c r="E8457" s="22" t="str">
        <f>HYPERLINK("https://otsuka-europe-crm.veevavault.com/ui/#object/sent_email__v/VBL00000002R695", "SE-001435444")</f>
        <v>SE-001435444</v>
      </c>
      <c r="F8457" s="23">
        <v>46188.699166666665</v>
      </c>
      <c r="G8457" s="24">
        <v>1</v>
      </c>
      <c r="H8457" s="24">
        <v>1</v>
      </c>
      <c r="I8457" s="24">
        <v>0</v>
      </c>
      <c r="J8457" s="25"/>
      <c r="K8457" s="24">
        <v>0</v>
      </c>
      <c r="L8457" s="22" t="str">
        <f>HYPERLINK("https://otsuka-europe-crm.veevavault.com/ui/#object/approved_document__v/V5O00000001L014", "EAACI 2026: Programas simposios Otsuka")</f>
        <v>EAACI 2026: Programas simposios Otsuka</v>
      </c>
      <c r="M8457" s="22" t="str">
        <f>HYPERLINK("mailto:amartinez@crm.otsuka-europe.com", "amartinez@crm.otsuka-europe.com")</f>
        <v>amartinez@crm.otsuka-europe.com</v>
      </c>
      <c r="N8457" s="23">
        <v>46183.646134259259</v>
      </c>
      <c r="O8457" s="14" t="str">
        <f>HYPERLINK("https://otsuka-europe-crm.veevavault.com/ui/#object/email_activity__v/V8C00000003T354", "EN-002094297")</f>
        <v>EN-002094297</v>
      </c>
    </row>
    <row r="8458" spans="1:15" ht="16" x14ac:dyDescent="0.2">
      <c r="A8458" s="19"/>
      <c r="B8458" s="19"/>
      <c r="C8458" s="19"/>
      <c r="D8458" s="19"/>
      <c r="E8458" s="19"/>
      <c r="F8458" s="19"/>
      <c r="G8458" s="19"/>
      <c r="H8458" s="19"/>
      <c r="I8458" s="19"/>
      <c r="J8458" s="19"/>
      <c r="K8458" s="19"/>
      <c r="L8458" s="19"/>
      <c r="M8458" s="19"/>
      <c r="N8458" s="19"/>
      <c r="O8458" s="14" t="str">
        <f>HYPERLINK("https://otsuka-europe-crm.veevavault.com/ui/#object/email_activity__v/V8C00000003V885", "EN-002096480")</f>
        <v>EN-002096480</v>
      </c>
    </row>
    <row r="8459" spans="1:15" ht="16" x14ac:dyDescent="0.2">
      <c r="A8459" s="17" t="str">
        <f>HYPERLINK("https://otsuka-europe-crm.veevavault.com/ui/#object/account__v/V4TZ025E8780JG0", "STEFAN HENNING CIMBOLLEK")</f>
        <v>STEFAN HENNING CIMBOLLEK</v>
      </c>
      <c r="B8459" s="17" t="str">
        <f>HYPERLINK("https://otsuka-europe-crm.veevavault.com/ui/#object/vcountry__v/VENZ000004SONF5", "ES")</f>
        <v>ES</v>
      </c>
      <c r="C8459" s="20" t="s">
        <v>41</v>
      </c>
      <c r="D8459" s="21" t="str">
        <f>HYPERLINK("https://otsuka-europe-crm.veevavault.com/ui/#object/approved_document__v/V5O00000000D100", "Spain - Consent Email 1 Aug 25")</f>
        <v>Spain - Consent Email 1 Aug 25</v>
      </c>
      <c r="E8459" s="22" t="str">
        <f>HYPERLINK("https://otsuka-europe-crm.veevavault.com/ui/#object/sent_email__v/VBL00000002R696", "SE-001435445")</f>
        <v>SE-001435445</v>
      </c>
      <c r="F8459" s="23">
        <v>46183.689930555556</v>
      </c>
      <c r="G8459" s="24">
        <v>1</v>
      </c>
      <c r="H8459" s="24">
        <v>1</v>
      </c>
      <c r="I8459" s="24">
        <v>0</v>
      </c>
      <c r="J8459" s="25"/>
      <c r="K8459" s="24">
        <v>0</v>
      </c>
      <c r="L8459" s="22" t="str">
        <f>HYPERLINK("https://otsuka-europe-crm.veevavault.com/ui/#object/approved_document__v/V5O00000000D100", "Spain - Consent Email 1 Aug 25")</f>
        <v>Spain - Consent Email 1 Aug 25</v>
      </c>
      <c r="M8459" s="22" t="str">
        <f>HYPERLINK("mailto:amartinez@crm.otsuka-europe.com", "amartinez@crm.otsuka-europe.com")</f>
        <v>amartinez@crm.otsuka-europe.com</v>
      </c>
      <c r="N8459" s="23">
        <v>46183.649062500001</v>
      </c>
      <c r="O8459" s="14" t="str">
        <f>HYPERLINK("https://otsuka-europe-crm.veevavault.com/ui/#object/email_activity__v/V8C00000003S712", "EN-002094301")</f>
        <v>EN-002094301</v>
      </c>
    </row>
    <row r="8460" spans="1:15" ht="16" x14ac:dyDescent="0.2">
      <c r="A8460" s="19"/>
      <c r="B8460" s="19"/>
      <c r="C8460" s="19"/>
      <c r="D8460" s="19"/>
      <c r="E8460" s="19"/>
      <c r="F8460" s="19"/>
      <c r="G8460" s="19"/>
      <c r="H8460" s="19"/>
      <c r="I8460" s="19"/>
      <c r="J8460" s="19"/>
      <c r="K8460" s="19"/>
      <c r="L8460" s="19"/>
      <c r="M8460" s="19"/>
      <c r="N8460" s="19"/>
      <c r="O8460" s="14" t="str">
        <f>HYPERLINK("https://otsuka-europe-crm.veevavault.com/ui/#object/email_activity__v/V8C00000003T370", "EN-002094328")</f>
        <v>EN-002094328</v>
      </c>
    </row>
    <row r="8461" spans="1:15" ht="32" x14ac:dyDescent="0.2">
      <c r="A8461" s="7" t="str">
        <f>HYPERLINK("https://otsuka-europe-crm.veevavault.com/ui/#object/account__v/V4T00000001W052", "ELENA MARTIN FERNANDEZ")</f>
        <v>ELENA MARTIN FERNANDEZ</v>
      </c>
      <c r="B8461" s="7" t="str">
        <f>HYPERLINK("https://otsuka-europe-crm.veevavault.com/ui/#object/vcountry__v/VENZ000004SONF5", "ES")</f>
        <v>ES</v>
      </c>
      <c r="C8461" s="8" t="s">
        <v>41</v>
      </c>
      <c r="D8461" s="9" t="str">
        <f>HYPERLINK("https://otsuka-europe-crm.veevavault.com/ui/#object/approved_document__v/V5OZ06G6O6RFL1P", "ES Veeva Privacy Notice Email")</f>
        <v>ES Veeva Privacy Notice Email</v>
      </c>
      <c r="E8461" s="10" t="str">
        <f>HYPERLINK("https://otsuka-europe-crm.veevavault.com/ui/#object/sent_email__v/VBL00000002S731", "SE-001435446")</f>
        <v>SE-001435446</v>
      </c>
      <c r="F8461" s="11"/>
      <c r="G8461" s="12">
        <v>0</v>
      </c>
      <c r="H8461" s="12">
        <v>0</v>
      </c>
      <c r="I8461" s="12">
        <v>0</v>
      </c>
      <c r="J8461" s="11"/>
      <c r="K8461" s="12">
        <v>0</v>
      </c>
      <c r="L8461" s="10" t="str">
        <f>HYPERLINK("https://otsuka-europe-crm.veevavault.com/ui/#object/approved_document__v/V5OZ06G6O6RFL1P", "ES Veeva Privacy Notice Email")</f>
        <v>ES Veeva Privacy Notice Email</v>
      </c>
      <c r="M8461" s="10" t="str">
        <f>HYPERLINK("mailto:amartinez@crm.otsuka-europe.com", "amartinez@crm.otsuka-europe.com")</f>
        <v>amartinez@crm.otsuka-europe.com</v>
      </c>
      <c r="N8461" s="13">
        <v>46183.676053240742</v>
      </c>
      <c r="O8461" s="14" t="str">
        <f>HYPERLINK("https://otsuka-europe-crm.veevavault.com/ui/#object/email_activity__v/V8C00000003T366", "EN-002094316")</f>
        <v>EN-002094316</v>
      </c>
    </row>
    <row r="8462" spans="1:15" ht="32" x14ac:dyDescent="0.2">
      <c r="A8462" s="7" t="str">
        <f>HYPERLINK("https://otsuka-europe-crm.veevavault.com/ui/#object/account__v/V4TZ0000062PDQN", "Prosper Doe")</f>
        <v>Prosper Doe</v>
      </c>
      <c r="B8462" s="7" t="str">
        <f>HYPERLINK("https://otsuka-europe-crm.veevavault.com/ui/#object/vcountry__v/VENZ000004SONFK", "GB")</f>
        <v>GB</v>
      </c>
      <c r="C8462" s="8" t="s">
        <v>39</v>
      </c>
      <c r="D8462" s="9" t="str">
        <f>HYPERLINK("https://otsuka-europe-crm.veevavault.com/ui/#object/approved_document__v/V5O00000001H005", "LDM DR P2P Invite 23-Jun-26 [digital]")</f>
        <v>LDM DR P2P Invite 23-Jun-26 [digital]</v>
      </c>
      <c r="E8462" s="10" t="str">
        <f>HYPERLINK("https://otsuka-europe-crm.veevavault.com/ui/#object/sent_email__v/VBL00000002R697", "SE-001435447")</f>
        <v>SE-001435447</v>
      </c>
      <c r="F8462" s="11"/>
      <c r="G8462" s="12">
        <v>0</v>
      </c>
      <c r="H8462" s="12">
        <v>0</v>
      </c>
      <c r="I8462" s="12">
        <v>0</v>
      </c>
      <c r="J8462" s="11"/>
      <c r="K8462" s="12">
        <v>0</v>
      </c>
      <c r="L8462" s="10" t="str">
        <f>HYPERLINK("https://otsuka-europe-crm.veevavault.com/ui/#object/approved_document__v/V5O00000001H005", "LDM DR P2P Invite 23-Jun-26 [digital]")</f>
        <v>LDM DR P2P Invite 23-Jun-26 [digital]</v>
      </c>
      <c r="M8462" s="10" t="str">
        <f>HYPERLINK("mailto:draval@crm.otsuka-europe.com", "draval@crm.otsuka-europe.com")</f>
        <v>draval@crm.otsuka-europe.com</v>
      </c>
      <c r="N8462" s="13">
        <v>46183.695219907408</v>
      </c>
      <c r="O8462" s="14" t="str">
        <f>HYPERLINK("https://otsuka-europe-crm.veevavault.com/ui/#object/email_activity__v/V8C00000003S728", "EN-002094333")</f>
        <v>EN-002094333</v>
      </c>
    </row>
    <row r="8463" spans="1:15" ht="32" x14ac:dyDescent="0.2">
      <c r="A8463" s="7" t="str">
        <f>HYPERLINK("https://otsuka-europe-crm.veevavault.com/ui/#object/account__v/V4TZ0000062PHL3", "Kiran Purandare")</f>
        <v>Kiran Purandare</v>
      </c>
      <c r="B8463" s="7" t="str">
        <f>HYPERLINK("https://otsuka-europe-crm.veevavault.com/ui/#object/vcountry__v/VENZ000004SONFK", "GB")</f>
        <v>GB</v>
      </c>
      <c r="C8463" s="8" t="s">
        <v>39</v>
      </c>
      <c r="D8463" s="9" t="str">
        <f>HYPERLINK("https://otsuka-europe-crm.veevavault.com/ui/#object/approved_document__v/V5O00000001H007", "DR P2P Invite 18-Jun-26 [digital]")</f>
        <v>DR P2P Invite 18-Jun-26 [digital]</v>
      </c>
      <c r="E8463" s="10" t="str">
        <f>HYPERLINK("https://otsuka-europe-crm.veevavault.com/ui/#object/sent_email__v/VBL00000002S732", "SE-001435448")</f>
        <v>SE-001435448</v>
      </c>
      <c r="F8463" s="11"/>
      <c r="G8463" s="12">
        <v>0</v>
      </c>
      <c r="H8463" s="12">
        <v>0</v>
      </c>
      <c r="I8463" s="12">
        <v>0</v>
      </c>
      <c r="J8463" s="11"/>
      <c r="K8463" s="12">
        <v>0</v>
      </c>
      <c r="L8463" s="10" t="str">
        <f>HYPERLINK("https://otsuka-europe-crm.veevavault.com/ui/#object/approved_document__v/V5O00000001H007", "DR P2P Invite 18-Jun-26 [digital]")</f>
        <v>DR P2P Invite 18-Jun-26 [digital]</v>
      </c>
      <c r="M8463" s="10" t="str">
        <f>HYPERLINK("mailto:draval@crm.otsuka-europe.com", "draval@crm.otsuka-europe.com")</f>
        <v>draval@crm.otsuka-europe.com</v>
      </c>
      <c r="N8463" s="13">
        <v>46183.696562500001</v>
      </c>
      <c r="O8463" s="14" t="str">
        <f>HYPERLINK("https://otsuka-europe-crm.veevavault.com/ui/#object/email_activity__v/V8C00000003S729", "EN-002094334")</f>
        <v>EN-002094334</v>
      </c>
    </row>
    <row r="8464" spans="1:15" ht="32" x14ac:dyDescent="0.2">
      <c r="A8464" s="7" t="str">
        <f>HYPERLINK("https://otsuka-europe-crm.veevavault.com/ui/#object/account__v/V4TZ04ASGBX0EWI", "Sangeetha Kalimuthu")</f>
        <v>Sangeetha Kalimuthu</v>
      </c>
      <c r="B8464" s="7" t="str">
        <f>HYPERLINK("https://otsuka-europe-crm.veevavault.com/ui/#object/vcountry__v/VENZ000004SONFK", "GB")</f>
        <v>GB</v>
      </c>
      <c r="C8464" s="8" t="s">
        <v>39</v>
      </c>
      <c r="D8464" s="9" t="str">
        <f>HYPERLINK("https://otsuka-europe-crm.veevavault.com/ui/#object/approved_document__v/V5O00000001H005", "LDM DR P2P Invite 23-Jun-26 [digital]")</f>
        <v>LDM DR P2P Invite 23-Jun-26 [digital]</v>
      </c>
      <c r="E8464" s="10" t="str">
        <f>HYPERLINK("https://otsuka-europe-crm.veevavault.com/ui/#object/sent_email__v/VBL00000002R698", "SE-001435449")</f>
        <v>SE-001435449</v>
      </c>
      <c r="F8464" s="11"/>
      <c r="G8464" s="12">
        <v>0</v>
      </c>
      <c r="H8464" s="12">
        <v>0</v>
      </c>
      <c r="I8464" s="12">
        <v>0</v>
      </c>
      <c r="J8464" s="11"/>
      <c r="K8464" s="12">
        <v>0</v>
      </c>
      <c r="L8464" s="10" t="str">
        <f>HYPERLINK("https://otsuka-europe-crm.veevavault.com/ui/#object/approved_document__v/V5O00000001H005", "LDM DR P2P Invite 23-Jun-26 [digital]")</f>
        <v>LDM DR P2P Invite 23-Jun-26 [digital]</v>
      </c>
      <c r="M8464" s="10" t="str">
        <f>HYPERLINK("mailto:draval@crm.otsuka-europe.com", "draval@crm.otsuka-europe.com")</f>
        <v>draval@crm.otsuka-europe.com</v>
      </c>
      <c r="N8464" s="13">
        <v>46183.697256944448</v>
      </c>
      <c r="O8464" s="14" t="str">
        <f>HYPERLINK("https://otsuka-europe-crm.veevavault.com/ui/#object/email_activity__v/V8C00000003S730", "EN-002094335")</f>
        <v>EN-002094335</v>
      </c>
    </row>
    <row r="8465" spans="1:15" ht="32" x14ac:dyDescent="0.2">
      <c r="A8465" s="7" t="str">
        <f>HYPERLINK("https://otsuka-europe-crm.veevavault.com/ui/#object/account__v/V4TZ025E83AS8BX", "Emmanuel Sodipo")</f>
        <v>Emmanuel Sodipo</v>
      </c>
      <c r="B8465" s="7" t="str">
        <f>HYPERLINK("https://otsuka-europe-crm.veevavault.com/ui/#object/vcountry__v/VENZ000004SONFK", "GB")</f>
        <v>GB</v>
      </c>
      <c r="C8465" s="8" t="s">
        <v>39</v>
      </c>
      <c r="D8465" s="9" t="str">
        <f>HYPERLINK("https://otsuka-europe-crm.veevavault.com/ui/#object/approved_document__v/V5O00000001H005", "LDM DR P2P Invite 23-Jun-26 [digital]")</f>
        <v>LDM DR P2P Invite 23-Jun-26 [digital]</v>
      </c>
      <c r="E8465" s="10" t="str">
        <f>HYPERLINK("https://otsuka-europe-crm.veevavault.com/ui/#object/sent_email__v/VBL00000002S733", "SE-001435450")</f>
        <v>SE-001435450</v>
      </c>
      <c r="F8465" s="11"/>
      <c r="G8465" s="12">
        <v>0</v>
      </c>
      <c r="H8465" s="12">
        <v>0</v>
      </c>
      <c r="I8465" s="12">
        <v>0</v>
      </c>
      <c r="J8465" s="11"/>
      <c r="K8465" s="12">
        <v>0</v>
      </c>
      <c r="L8465" s="10" t="str">
        <f>HYPERLINK("https://otsuka-europe-crm.veevavault.com/ui/#object/approved_document__v/V5O00000001H005", "LDM DR P2P Invite 23-Jun-26 [digital]")</f>
        <v>LDM DR P2P Invite 23-Jun-26 [digital]</v>
      </c>
      <c r="M8465" s="10" t="str">
        <f>HYPERLINK("mailto:draval@crm.otsuka-europe.com", "draval@crm.otsuka-europe.com")</f>
        <v>draval@crm.otsuka-europe.com</v>
      </c>
      <c r="N8465" s="13">
        <v>46183.698125000003</v>
      </c>
      <c r="O8465" s="14" t="str">
        <f>HYPERLINK("https://otsuka-europe-crm.veevavault.com/ui/#object/email_activity__v/V8C00000003S732", "EN-002094337")</f>
        <v>EN-002094337</v>
      </c>
    </row>
    <row r="8466" spans="1:15" ht="32" x14ac:dyDescent="0.2">
      <c r="A8466" s="7" t="str">
        <f>HYPERLINK("https://otsuka-europe-crm.veevavault.com/ui/#object/account__v/V4TZ00000633RA5", "ODILE DUFRESNE")</f>
        <v>ODILE DUFRESNE</v>
      </c>
      <c r="B8466" s="7" t="str">
        <f>HYPERLINK("https://otsuka-europe-crm.veevavault.com/ui/#object/vcountry__v/VENZ000004SONFA", "FR")</f>
        <v>FR</v>
      </c>
      <c r="C8466" s="8" t="s">
        <v>42</v>
      </c>
      <c r="D8466" s="9" t="str">
        <f>HYPERLINK("https://otsuka-europe-crm.veevavault.com/ui/#object/approved_document__v/V5O00000000K003", "France - Opt In Email Aug 25 v2")</f>
        <v>France - Opt In Email Aug 25 v2</v>
      </c>
      <c r="E8466" s="10" t="str">
        <f>HYPERLINK("https://otsuka-europe-crm.veevavault.com/ui/#object/sent_email__v/VBL00000002R700", "SE-001435451")</f>
        <v>SE-001435451</v>
      </c>
      <c r="F8466" s="11"/>
      <c r="G8466" s="12">
        <v>0</v>
      </c>
      <c r="H8466" s="12">
        <v>0</v>
      </c>
      <c r="I8466" s="12">
        <v>0</v>
      </c>
      <c r="J8466" s="11"/>
      <c r="K8466" s="12">
        <v>0</v>
      </c>
      <c r="L8466" s="10" t="str">
        <f>HYPERLINK("https://otsuka-europe-crm.veevavault.com/ui/#object/approved_document__v/V5O00000000K003", "France - Opt In Email Aug 25 v2")</f>
        <v>France - Opt In Email Aug 25 v2</v>
      </c>
      <c r="M8466" s="10" t="str">
        <f>HYPERLINK("mailto:mperrin@crm.otsuka-europe.com", "mperrin@crm.otsuka-europe.com")</f>
        <v>mperrin@crm.otsuka-europe.com</v>
      </c>
      <c r="N8466" s="13">
        <v>46183.704768518517</v>
      </c>
      <c r="O8466" s="14" t="str">
        <f>HYPERLINK("https://otsuka-europe-crm.veevavault.com/ui/#object/email_activity__v/V8C00000003S733", "EN-002094338")</f>
        <v>EN-002094338</v>
      </c>
    </row>
    <row r="8467" spans="1:15" ht="16" x14ac:dyDescent="0.2">
      <c r="A8467" s="17" t="str">
        <f>HYPERLINK("https://otsuka-europe-crm.veevavault.com/ui/#object/account__v/V4TZ00000633HW6", "BERTRAND DETAINT")</f>
        <v>BERTRAND DETAINT</v>
      </c>
      <c r="B8467" s="17" t="str">
        <f>HYPERLINK("https://otsuka-europe-crm.veevavault.com/ui/#object/vcountry__v/VENZ000004SONFA", "FR")</f>
        <v>FR</v>
      </c>
      <c r="C8467" s="20" t="s">
        <v>42</v>
      </c>
      <c r="D8467" s="21" t="str">
        <f>HYPERLINK("https://otsuka-europe-crm.veevavault.com/ui/#object/approved_document__v/V5O00000000K003", "France - Opt In Email Aug 25 v2")</f>
        <v>France - Opt In Email Aug 25 v2</v>
      </c>
      <c r="E8467" s="22" t="str">
        <f>HYPERLINK("https://otsuka-europe-crm.veevavault.com/ui/#object/sent_email__v/VBL00000002S734", "SE-001435452")</f>
        <v>SE-001435452</v>
      </c>
      <c r="F8467" s="23">
        <v>46183.726643518516</v>
      </c>
      <c r="G8467" s="24">
        <v>1</v>
      </c>
      <c r="H8467" s="24">
        <v>2</v>
      </c>
      <c r="I8467" s="24">
        <v>0</v>
      </c>
      <c r="J8467" s="25"/>
      <c r="K8467" s="24">
        <v>0</v>
      </c>
      <c r="L8467" s="22" t="str">
        <f>HYPERLINK("https://otsuka-europe-crm.veevavault.com/ui/#object/approved_document__v/V5O00000000K003", "France - Opt In Email Aug 25 v2")</f>
        <v>France - Opt In Email Aug 25 v2</v>
      </c>
      <c r="M8467" s="22" t="str">
        <f>HYPERLINK("mailto:mperrin@crm.otsuka-europe.com", "mperrin@crm.otsuka-europe.com")</f>
        <v>mperrin@crm.otsuka-europe.com</v>
      </c>
      <c r="N8467" s="23">
        <v>46183.708055555559</v>
      </c>
      <c r="O8467" s="14" t="str">
        <f>HYPERLINK("https://otsuka-europe-crm.veevavault.com/ui/#object/email_activity__v/V8C00000003S734", "EN-002094339")</f>
        <v>EN-002094339</v>
      </c>
    </row>
    <row r="8468" spans="1:15" ht="16" x14ac:dyDescent="0.2">
      <c r="A8468" s="18"/>
      <c r="B8468" s="18"/>
      <c r="C8468" s="18"/>
      <c r="D8468" s="18"/>
      <c r="E8468" s="18"/>
      <c r="F8468" s="18"/>
      <c r="G8468" s="18"/>
      <c r="H8468" s="18"/>
      <c r="I8468" s="18"/>
      <c r="J8468" s="18"/>
      <c r="K8468" s="18"/>
      <c r="L8468" s="18"/>
      <c r="M8468" s="18"/>
      <c r="N8468" s="18"/>
      <c r="O8468" s="14" t="str">
        <f>HYPERLINK("https://otsuka-europe-crm.veevavault.com/ui/#object/email_activity__v/V8C00000003S741", "EN-002094355")</f>
        <v>EN-002094355</v>
      </c>
    </row>
    <row r="8469" spans="1:15" ht="16" x14ac:dyDescent="0.2">
      <c r="A8469" s="19"/>
      <c r="B8469" s="19"/>
      <c r="C8469" s="19"/>
      <c r="D8469" s="19"/>
      <c r="E8469" s="19"/>
      <c r="F8469" s="19"/>
      <c r="G8469" s="19"/>
      <c r="H8469" s="19"/>
      <c r="I8469" s="19"/>
      <c r="J8469" s="19"/>
      <c r="K8469" s="19"/>
      <c r="L8469" s="19"/>
      <c r="M8469" s="19"/>
      <c r="N8469" s="19"/>
      <c r="O8469" s="14" t="str">
        <f>HYPERLINK("https://otsuka-europe-crm.veevavault.com/ui/#object/email_activity__v/V8C00000003S742", "EN-002094356")</f>
        <v>EN-002094356</v>
      </c>
    </row>
    <row r="8470" spans="1:15" ht="16" x14ac:dyDescent="0.2">
      <c r="A8470" s="17" t="str">
        <f>HYPERLINK("https://otsuka-europe-crm.veevavault.com/ui/#object/account__v/V4TZ025E89AT7PD", "INGRID JOHANA GIL SERRANO")</f>
        <v>INGRID JOHANA GIL SERRANO</v>
      </c>
      <c r="B8470" s="17" t="str">
        <f>HYPERLINK("https://otsuka-europe-crm.veevavault.com/ui/#object/vcountry__v/VENZ000004SONF5", "ES")</f>
        <v>ES</v>
      </c>
      <c r="C8470" s="20" t="s">
        <v>41</v>
      </c>
      <c r="D8470" s="21" t="str">
        <f>HYPERLINK("https://otsuka-europe-crm.veevavault.com/ui/#object/approved_document__v/V5O00000000D100", "Spain - Consent Email 1 Aug 25")</f>
        <v>Spain - Consent Email 1 Aug 25</v>
      </c>
      <c r="E8470" s="22" t="str">
        <f>HYPERLINK("https://otsuka-europe-crm.veevavault.com/ui/#object/sent_email__v/VBL00000002S735", "SE-001435453")</f>
        <v>SE-001435453</v>
      </c>
      <c r="F8470" s="23">
        <v>46183.796423611115</v>
      </c>
      <c r="G8470" s="24">
        <v>1</v>
      </c>
      <c r="H8470" s="24">
        <v>2</v>
      </c>
      <c r="I8470" s="24">
        <v>1</v>
      </c>
      <c r="J8470" s="23">
        <v>46183.769247685188</v>
      </c>
      <c r="K8470" s="24">
        <v>2</v>
      </c>
      <c r="L8470" s="22" t="str">
        <f>HYPERLINK("https://otsuka-europe-crm.veevavault.com/ui/#object/approved_document__v/V5O00000000D100", "Spain - Consent Email 1 Aug 25")</f>
        <v>Spain - Consent Email 1 Aug 25</v>
      </c>
      <c r="M8470" s="22" t="str">
        <f>HYPERLINK("mailto:barroyo@crm.otsuka-europe.com", "barroyo@crm.otsuka-europe.com")</f>
        <v>barroyo@crm.otsuka-europe.com</v>
      </c>
      <c r="N8470" s="23">
        <v>46183.728946759256</v>
      </c>
      <c r="O8470" s="14" t="str">
        <f>HYPERLINK("https://otsuka-europe-crm.veevavault.com/ui/#object/email_activity__v/V8C00000003S743", "EN-002094357")</f>
        <v>EN-002094357</v>
      </c>
    </row>
    <row r="8471" spans="1:15" ht="16" x14ac:dyDescent="0.2">
      <c r="A8471" s="18"/>
      <c r="B8471" s="18"/>
      <c r="C8471" s="18"/>
      <c r="D8471" s="18"/>
      <c r="E8471" s="18"/>
      <c r="F8471" s="18"/>
      <c r="G8471" s="18"/>
      <c r="H8471" s="18"/>
      <c r="I8471" s="18"/>
      <c r="J8471" s="18"/>
      <c r="K8471" s="18"/>
      <c r="L8471" s="18"/>
      <c r="M8471" s="18"/>
      <c r="N8471" s="18"/>
      <c r="O8471" s="14" t="str">
        <f>HYPERLINK("https://otsuka-europe-crm.veevavault.com/ui/#object/email_activity__v/V8C00000003S752", "EN-002094372")</f>
        <v>EN-002094372</v>
      </c>
    </row>
    <row r="8472" spans="1:15" ht="16" x14ac:dyDescent="0.2">
      <c r="A8472" s="18"/>
      <c r="B8472" s="18"/>
      <c r="C8472" s="18"/>
      <c r="D8472" s="18"/>
      <c r="E8472" s="18"/>
      <c r="F8472" s="18"/>
      <c r="G8472" s="18"/>
      <c r="H8472" s="18"/>
      <c r="I8472" s="18"/>
      <c r="J8472" s="18"/>
      <c r="K8472" s="18"/>
      <c r="L8472" s="18"/>
      <c r="M8472" s="18"/>
      <c r="N8472" s="18"/>
      <c r="O8472" s="14" t="str">
        <f>HYPERLINK("https://otsuka-europe-crm.veevavault.com/ui/#object/email_activity__v/V8C00000003S754", "EN-002094374")</f>
        <v>EN-002094374</v>
      </c>
    </row>
    <row r="8473" spans="1:15" ht="16" x14ac:dyDescent="0.2">
      <c r="A8473" s="18"/>
      <c r="B8473" s="18"/>
      <c r="C8473" s="18"/>
      <c r="D8473" s="18"/>
      <c r="E8473" s="18"/>
      <c r="F8473" s="18"/>
      <c r="G8473" s="18"/>
      <c r="H8473" s="18"/>
      <c r="I8473" s="18"/>
      <c r="J8473" s="18"/>
      <c r="K8473" s="18"/>
      <c r="L8473" s="18"/>
      <c r="M8473" s="18"/>
      <c r="N8473" s="18"/>
      <c r="O8473" s="14" t="str">
        <f>HYPERLINK("https://otsuka-europe-crm.veevavault.com/ui/#object/email_activity__v/V8C00000003T385", "EN-002094371")</f>
        <v>EN-002094371</v>
      </c>
    </row>
    <row r="8474" spans="1:15" ht="16" x14ac:dyDescent="0.2">
      <c r="A8474" s="18"/>
      <c r="B8474" s="18"/>
      <c r="C8474" s="18"/>
      <c r="D8474" s="18"/>
      <c r="E8474" s="18"/>
      <c r="F8474" s="18"/>
      <c r="G8474" s="18"/>
      <c r="H8474" s="18"/>
      <c r="I8474" s="18"/>
      <c r="J8474" s="18"/>
      <c r="K8474" s="18"/>
      <c r="L8474" s="18"/>
      <c r="M8474" s="18"/>
      <c r="N8474" s="18"/>
      <c r="O8474" s="14" t="str">
        <f>HYPERLINK("https://otsuka-europe-crm.veevavault.com/ui/#object/email_activity__v/V8C00000003T391", "EN-002094380")</f>
        <v>EN-002094380</v>
      </c>
    </row>
    <row r="8475" spans="1:15" ht="16" x14ac:dyDescent="0.2">
      <c r="A8475" s="19"/>
      <c r="B8475" s="19"/>
      <c r="C8475" s="19"/>
      <c r="D8475" s="19"/>
      <c r="E8475" s="19"/>
      <c r="F8475" s="19"/>
      <c r="G8475" s="19"/>
      <c r="H8475" s="19"/>
      <c r="I8475" s="19"/>
      <c r="J8475" s="19"/>
      <c r="K8475" s="19"/>
      <c r="L8475" s="19"/>
      <c r="M8475" s="19"/>
      <c r="N8475" s="19"/>
      <c r="O8475" s="14" t="str">
        <f>HYPERLINK("https://otsuka-europe-crm.veevavault.com/ui/#object/email_activity__v/V8C00000003T395", "EN-002094390")</f>
        <v>EN-002094390</v>
      </c>
    </row>
    <row r="8476" spans="1:15" ht="16" x14ac:dyDescent="0.2">
      <c r="A8476" s="17" t="str">
        <f>HYPERLINK("https://otsuka-europe-crm.veevavault.com/ui/#object/account__v/V4TZ025E86J3OBU", "RAMON LLEONART BELLFILL")</f>
        <v>RAMON LLEONART BELLFILL</v>
      </c>
      <c r="B8476" s="17" t="str">
        <f>HYPERLINK("https://otsuka-europe-crm.veevavault.com/ui/#object/vcountry__v/VENZ000004SONF5", "ES")</f>
        <v>ES</v>
      </c>
      <c r="C8476" s="20" t="s">
        <v>41</v>
      </c>
      <c r="D8476" s="21" t="str">
        <f>HYPERLINK("https://otsuka-europe-crm.veevavault.com/ui/#object/approved_document__v/V5O00000000D100", "Spain - Consent Email 1 Aug 25")</f>
        <v>Spain - Consent Email 1 Aug 25</v>
      </c>
      <c r="E8476" s="22" t="str">
        <f>HYPERLINK("https://otsuka-europe-crm.veevavault.com/ui/#object/sent_email__v/VBL00000002R701", "SE-001435454")</f>
        <v>SE-001435454</v>
      </c>
      <c r="F8476" s="23">
        <v>46183.78707175926</v>
      </c>
      <c r="G8476" s="24">
        <v>1</v>
      </c>
      <c r="H8476" s="24">
        <v>3</v>
      </c>
      <c r="I8476" s="24">
        <v>1</v>
      </c>
      <c r="J8476" s="23">
        <v>46183.740925925929</v>
      </c>
      <c r="K8476" s="24">
        <v>1</v>
      </c>
      <c r="L8476" s="22" t="str">
        <f>HYPERLINK("https://otsuka-europe-crm.veevavault.com/ui/#object/approved_document__v/V5O00000000D100", "Spain - Consent Email 1 Aug 25")</f>
        <v>Spain - Consent Email 1 Aug 25</v>
      </c>
      <c r="M8476" s="22" t="str">
        <f>HYPERLINK("mailto:barroyo@crm.otsuka-europe.com", "barroyo@crm.otsuka-europe.com")</f>
        <v>barroyo@crm.otsuka-europe.com</v>
      </c>
      <c r="N8476" s="23">
        <v>46183.734490740739</v>
      </c>
      <c r="O8476" s="14" t="str">
        <f>HYPERLINK("https://otsuka-europe-crm.veevavault.com/ui/#object/email_activity__v/V8C00000003S744", "EN-002094358")</f>
        <v>EN-002094358</v>
      </c>
    </row>
    <row r="8477" spans="1:15" ht="16" x14ac:dyDescent="0.2">
      <c r="A8477" s="18"/>
      <c r="B8477" s="18"/>
      <c r="C8477" s="18"/>
      <c r="D8477" s="18"/>
      <c r="E8477" s="18"/>
      <c r="F8477" s="18"/>
      <c r="G8477" s="18"/>
      <c r="H8477" s="18"/>
      <c r="I8477" s="18"/>
      <c r="J8477" s="18"/>
      <c r="K8477" s="18"/>
      <c r="L8477" s="18"/>
      <c r="M8477" s="18"/>
      <c r="N8477" s="18"/>
      <c r="O8477" s="14" t="str">
        <f>HYPERLINK("https://otsuka-europe-crm.veevavault.com/ui/#object/email_activity__v/V8C00000003S745", "EN-002094359")</f>
        <v>EN-002094359</v>
      </c>
    </row>
    <row r="8478" spans="1:15" ht="16" x14ac:dyDescent="0.2">
      <c r="A8478" s="18"/>
      <c r="B8478" s="18"/>
      <c r="C8478" s="18"/>
      <c r="D8478" s="18"/>
      <c r="E8478" s="18"/>
      <c r="F8478" s="18"/>
      <c r="G8478" s="18"/>
      <c r="H8478" s="18"/>
      <c r="I8478" s="18"/>
      <c r="J8478" s="18"/>
      <c r="K8478" s="18"/>
      <c r="L8478" s="18"/>
      <c r="M8478" s="18"/>
      <c r="N8478" s="18"/>
      <c r="O8478" s="14" t="str">
        <f>HYPERLINK("https://otsuka-europe-crm.veevavault.com/ui/#object/email_activity__v/V8C00000003S747", "EN-002094365")</f>
        <v>EN-002094365</v>
      </c>
    </row>
    <row r="8479" spans="1:15" ht="16" x14ac:dyDescent="0.2">
      <c r="A8479" s="18"/>
      <c r="B8479" s="18"/>
      <c r="C8479" s="18"/>
      <c r="D8479" s="18"/>
      <c r="E8479" s="18"/>
      <c r="F8479" s="18"/>
      <c r="G8479" s="18"/>
      <c r="H8479" s="18"/>
      <c r="I8479" s="18"/>
      <c r="J8479" s="18"/>
      <c r="K8479" s="18"/>
      <c r="L8479" s="18"/>
      <c r="M8479" s="18"/>
      <c r="N8479" s="18"/>
      <c r="O8479" s="14" t="str">
        <f>HYPERLINK("https://otsuka-europe-crm.veevavault.com/ui/#object/email_activity__v/V8C00000003T392", "EN-002094383")</f>
        <v>EN-002094383</v>
      </c>
    </row>
    <row r="8480" spans="1:15" ht="16" x14ac:dyDescent="0.2">
      <c r="A8480" s="19"/>
      <c r="B8480" s="19"/>
      <c r="C8480" s="19"/>
      <c r="D8480" s="19"/>
      <c r="E8480" s="19"/>
      <c r="F8480" s="19"/>
      <c r="G8480" s="19"/>
      <c r="H8480" s="19"/>
      <c r="I8480" s="19"/>
      <c r="J8480" s="19"/>
      <c r="K8480" s="19"/>
      <c r="L8480" s="19"/>
      <c r="M8480" s="19"/>
      <c r="N8480" s="19"/>
      <c r="O8480" s="14" t="str">
        <f>HYPERLINK("https://otsuka-europe-crm.veevavault.com/ui/#object/email_activity__v/V8C00000003T393", "EN-002094384")</f>
        <v>EN-002094384</v>
      </c>
    </row>
    <row r="8481" spans="1:15" ht="32" x14ac:dyDescent="0.2">
      <c r="A8481" s="7" t="str">
        <f>HYPERLINK("https://otsuka-europe-crm.veevavault.com/ui/#object/account__v/V4T000000012064", "ALEXANDRE RUIZ CARRASCO")</f>
        <v>ALEXANDRE RUIZ CARRASCO</v>
      </c>
      <c r="B8481" s="7" t="str">
        <f>HYPERLINK("https://otsuka-europe-crm.veevavault.com/ui/#object/vcountry__v/VENZ000004SONF5", "ES")</f>
        <v>ES</v>
      </c>
      <c r="C8481" s="8" t="s">
        <v>41</v>
      </c>
      <c r="D8481" s="9" t="str">
        <f>HYPERLINK("https://otsuka-europe-crm.veevavault.com/ui/#object/approved_document__v/V5O00000000D100", "Spain - Consent Email 1 Aug 25")</f>
        <v>Spain - Consent Email 1 Aug 25</v>
      </c>
      <c r="E8481" s="10" t="str">
        <f>HYPERLINK("https://otsuka-europe-crm.veevavault.com/ui/#object/sent_email__v/VBL00000002S736", "SE-001435455")</f>
        <v>SE-001435455</v>
      </c>
      <c r="F8481" s="11"/>
      <c r="G8481" s="12">
        <v>0</v>
      </c>
      <c r="H8481" s="12">
        <v>0</v>
      </c>
      <c r="I8481" s="12">
        <v>0</v>
      </c>
      <c r="J8481" s="11"/>
      <c r="K8481" s="12">
        <v>0</v>
      </c>
      <c r="L8481" s="10" t="str">
        <f>HYPERLINK("https://otsuka-europe-crm.veevavault.com/ui/#object/approved_document__v/V5O00000000D100", "Spain - Consent Email 1 Aug 25")</f>
        <v>Spain - Consent Email 1 Aug 25</v>
      </c>
      <c r="M8481" s="10" t="str">
        <f>HYPERLINK("mailto:barroyo@crm.otsuka-europe.com", "barroyo@crm.otsuka-europe.com")</f>
        <v>barroyo@crm.otsuka-europe.com</v>
      </c>
      <c r="N8481" s="13">
        <v>46183.736250000002</v>
      </c>
      <c r="O8481" s="14" t="str">
        <f>HYPERLINK("https://otsuka-europe-crm.veevavault.com/ui/#object/email_activity__v/V8C00000003T380", "EN-002094361")</f>
        <v>EN-002094361</v>
      </c>
    </row>
    <row r="8482" spans="1:15" ht="32" x14ac:dyDescent="0.2">
      <c r="A8482" s="7" t="str">
        <f>HYPERLINK("https://otsuka-europe-crm.veevavault.com/ui/#object/account__v/V4T000000012064", "ALEXANDRE RUIZ CARRASCO")</f>
        <v>ALEXANDRE RUIZ CARRASCO</v>
      </c>
      <c r="B8482" s="7" t="str">
        <f>HYPERLINK("https://otsuka-europe-crm.veevavault.com/ui/#object/vcountry__v/VENZ000004SONF5", "ES")</f>
        <v>ES</v>
      </c>
      <c r="C8482" s="8" t="s">
        <v>41</v>
      </c>
      <c r="D8482" s="9" t="str">
        <f>HYPERLINK("https://otsuka-europe-crm.veevavault.com/ui/#object/approved_document__v/V5OZ04ASG4FWKA7", "Reuniones Online Consent - 2")</f>
        <v>Reuniones Online Consent - 2</v>
      </c>
      <c r="E8482" s="10" t="str">
        <f>HYPERLINK("https://otsuka-europe-crm.veevavault.com/ui/#object/sent_email__v/VBL00000002S737", "SE-001435456")</f>
        <v>SE-001435456</v>
      </c>
      <c r="F8482" s="11"/>
      <c r="G8482" s="12">
        <v>0</v>
      </c>
      <c r="H8482" s="12">
        <v>0</v>
      </c>
      <c r="I8482" s="12">
        <v>0</v>
      </c>
      <c r="J8482" s="11"/>
      <c r="K8482" s="12">
        <v>0</v>
      </c>
      <c r="L8482" s="10" t="str">
        <f>HYPERLINK("https://otsuka-europe-crm.veevavault.com/ui/#object/approved_document__v/V5OZ04ASG4FWKA7", "Reuniones Online Consent - 2")</f>
        <v>Reuniones Online Consent - 2</v>
      </c>
      <c r="M8482" s="10" t="str">
        <f>HYPERLINK("mailto:barroyo@crm.otsuka-europe.com", "barroyo@crm.otsuka-europe.com")</f>
        <v>barroyo@crm.otsuka-europe.com</v>
      </c>
      <c r="N8482" s="13">
        <v>46183.736932870372</v>
      </c>
      <c r="O8482" s="14" t="str">
        <f>HYPERLINK("https://otsuka-europe-crm.veevavault.com/ui/#object/email_activity__v/V8C00000003T381", "EN-002094362")</f>
        <v>EN-002094362</v>
      </c>
    </row>
    <row r="8483" spans="1:15" ht="32" x14ac:dyDescent="0.2">
      <c r="A8483" s="7" t="str">
        <f>HYPERLINK("https://otsuka-europe-crm.veevavault.com/ui/#object/account__v/V4T000000012064", "ALEXANDRE RUIZ CARRASCO")</f>
        <v>ALEXANDRE RUIZ CARRASCO</v>
      </c>
      <c r="B8483" s="7" t="str">
        <f>HYPERLINK("https://otsuka-europe-crm.veevavault.com/ui/#object/vcountry__v/VENZ000004SONF5", "ES")</f>
        <v>ES</v>
      </c>
      <c r="C8483" s="8" t="s">
        <v>41</v>
      </c>
      <c r="D8483" s="9" t="str">
        <f>HYPERLINK("https://otsuka-europe-crm.veevavault.com/ui/#object/approved_document__v/V5OZ04ASG4FWKA9", "Documento Autorizaciขn Centro Empleador")</f>
        <v>Documento Autorizaciขn Centro Empleador</v>
      </c>
      <c r="E8483" s="10" t="str">
        <f>HYPERLINK("https://otsuka-europe-crm.veevavault.com/ui/#object/sent_email__v/VBL00000002S738", "SE-001435457")</f>
        <v>SE-001435457</v>
      </c>
      <c r="F8483" s="11"/>
      <c r="G8483" s="12">
        <v>0</v>
      </c>
      <c r="H8483" s="12">
        <v>0</v>
      </c>
      <c r="I8483" s="12">
        <v>0</v>
      </c>
      <c r="J8483" s="11"/>
      <c r="K8483" s="12">
        <v>0</v>
      </c>
      <c r="L8483" s="10" t="str">
        <f>HYPERLINK("https://otsuka-europe-crm.veevavault.com/ui/#object/approved_document__v/V5OZ04ASG4FWKA9", "Documento Autorizaciขn Centro Empleador")</f>
        <v>Documento Autorizaciขn Centro Empleador</v>
      </c>
      <c r="M8483" s="10" t="str">
        <f>HYPERLINK("mailto:barroyo@crm.otsuka-europe.com", "barroyo@crm.otsuka-europe.com")</f>
        <v>barroyo@crm.otsuka-europe.com</v>
      </c>
      <c r="N8483" s="13">
        <v>46183.736956018518</v>
      </c>
      <c r="O8483" s="14" t="str">
        <f>HYPERLINK("https://otsuka-europe-crm.veevavault.com/ui/#object/email_activity__v/V8C00000003T382", "EN-002094363")</f>
        <v>EN-002094363</v>
      </c>
    </row>
    <row r="8484" spans="1:15" ht="16" x14ac:dyDescent="0.2">
      <c r="A8484" s="17" t="str">
        <f>HYPERLINK("https://otsuka-europe-crm.veevavault.com/ui/#object/account__v/V4TZ025E83G8T9H", "FLORIAN MARTIN")</f>
        <v>FLORIAN MARTIN</v>
      </c>
      <c r="B8484" s="17" t="str">
        <f>HYPERLINK("https://otsuka-europe-crm.veevavault.com/ui/#object/vcountry__v/VENZ000004SONFA", "FR")</f>
        <v>FR</v>
      </c>
      <c r="C8484" s="20" t="s">
        <v>42</v>
      </c>
      <c r="D8484" s="21" t="str">
        <f>HYPERLINK("https://otsuka-europe-crm.veevavault.com/ui/#object/approved_document__v/V5OZ04ASG4G02Y6", "INVITATION_VAD_2023")</f>
        <v>INVITATION_VAD_2023</v>
      </c>
      <c r="E8484" s="22" t="str">
        <f>HYPERLINK("https://otsuka-europe-crm.veevavault.com/ui/#object/sent_email__v/VBL00000002R702", "SE-001435458")</f>
        <v>SE-001435458</v>
      </c>
      <c r="F8484" s="23">
        <v>46184.329618055555</v>
      </c>
      <c r="G8484" s="24">
        <v>1</v>
      </c>
      <c r="H8484" s="24">
        <v>1</v>
      </c>
      <c r="I8484" s="24">
        <v>0</v>
      </c>
      <c r="J8484" s="25"/>
      <c r="K8484" s="24">
        <v>0</v>
      </c>
      <c r="L8484" s="22" t="str">
        <f>HYPERLINK("https://otsuka-europe-crm.veevavault.com/ui/#object/approved_document__v/V5OZ04ASG4G02Y6", "INVITATION_VAD_2023")</f>
        <v>INVITATION_VAD_2023</v>
      </c>
      <c r="M8484" s="22" t="str">
        <f>HYPERLINK("mailto:cmaillegarnier@crm.otsuka-europe.com", "cmaillegarnier@crm.otsuka-europe.com")</f>
        <v>cmaillegarnier@crm.otsuka-europe.com</v>
      </c>
      <c r="N8484" s="23">
        <v>46184.32949074074</v>
      </c>
      <c r="O8484" s="14" t="str">
        <f>HYPERLINK("https://otsuka-europe-crm.veevavault.com/ui/#object/email_activity__v/V8C00000003T437", "EN-002094490")</f>
        <v>EN-002094490</v>
      </c>
    </row>
    <row r="8485" spans="1:15" ht="16" x14ac:dyDescent="0.2">
      <c r="A8485" s="19"/>
      <c r="B8485" s="19"/>
      <c r="C8485" s="19"/>
      <c r="D8485" s="19"/>
      <c r="E8485" s="19"/>
      <c r="F8485" s="19"/>
      <c r="G8485" s="19"/>
      <c r="H8485" s="19"/>
      <c r="I8485" s="19"/>
      <c r="J8485" s="19"/>
      <c r="K8485" s="19"/>
      <c r="L8485" s="19"/>
      <c r="M8485" s="19"/>
      <c r="N8485" s="19"/>
      <c r="O8485" s="14" t="str">
        <f>HYPERLINK("https://otsuka-europe-crm.veevavault.com/ui/#object/email_activity__v/V8C00000003T438", "EN-002094491")</f>
        <v>EN-002094491</v>
      </c>
    </row>
    <row r="8486" spans="1:15" ht="32" x14ac:dyDescent="0.2">
      <c r="A8486" s="7" t="str">
        <f>HYPERLINK("https://otsuka-europe-crm.veevavault.com/ui/#object/account__v/V4TZ025E86J3OBU", "RAMON LLEONART BELLFILL")</f>
        <v>RAMON LLEONART BELLFILL</v>
      </c>
      <c r="B8486" s="7" t="str">
        <f>HYPERLINK("https://otsuka-europe-crm.veevavault.com/ui/#object/vcountry__v/VENZ000004SONF5", "ES")</f>
        <v>ES</v>
      </c>
      <c r="C8486" s="8" t="s">
        <v>41</v>
      </c>
      <c r="D8486" s="9" t="str">
        <f>HYPERLINK("https://otsuka-europe-crm.veevavault.com/ui/#object/approved_document__v/V5O00000001L014", "EAACI 2026: Programas simposios Otsuka")</f>
        <v>EAACI 2026: Programas simposios Otsuka</v>
      </c>
      <c r="E8486" s="10" t="str">
        <f>HYPERLINK("https://otsuka-europe-crm.veevavault.com/ui/#object/sent_email__v/VBL00000002R703", "SE-001435459")</f>
        <v>SE-001435459</v>
      </c>
      <c r="F8486" s="11"/>
      <c r="G8486" s="12">
        <v>0</v>
      </c>
      <c r="H8486" s="12">
        <v>0</v>
      </c>
      <c r="I8486" s="12">
        <v>0</v>
      </c>
      <c r="J8486" s="11"/>
      <c r="K8486" s="12">
        <v>0</v>
      </c>
      <c r="L8486" s="10" t="str">
        <f>HYPERLINK("https://otsuka-europe-crm.veevavault.com/ui/#object/approved_document__v/V5O00000001L014", "EAACI 2026: Programas simposios Otsuka")</f>
        <v>EAACI 2026: Programas simposios Otsuka</v>
      </c>
      <c r="M8486" s="10" t="str">
        <f>HYPERLINK("mailto:barroyo@crm.otsuka-europe.com", "barroyo@crm.otsuka-europe.com")</f>
        <v>barroyo@crm.otsuka-europe.com</v>
      </c>
      <c r="N8486" s="13">
        <v>46184.337673611109</v>
      </c>
      <c r="O8486" s="14" t="str">
        <f>HYPERLINK("https://otsuka-europe-crm.veevavault.com/ui/#object/email_activity__v/V8C00000003T441", "EN-002094496")</f>
        <v>EN-002094496</v>
      </c>
    </row>
    <row r="8487" spans="1:15" ht="16" x14ac:dyDescent="0.2">
      <c r="A8487" s="17" t="str">
        <f>HYPERLINK("https://otsuka-europe-crm.veevavault.com/ui/#object/account__v/V4TZ06G6O71TAZC", "MARIA MERCEDES MADRE RULL")</f>
        <v>MARIA MERCEDES MADRE RULL</v>
      </c>
      <c r="B8487" s="17" t="str">
        <f>HYPERLINK("https://otsuka-europe-crm.veevavault.com/ui/#object/vcountry__v/VENZ000004SONF5", "ES")</f>
        <v>ES</v>
      </c>
      <c r="C8487" s="20" t="s">
        <v>41</v>
      </c>
      <c r="D8487" s="21" t="str">
        <f>HYPERLINK("https://otsuka-europe-crm.veevavault.com/ui/#object/approved_document__v/V5O00000001I001", "RXULTI - Programa webinar RXPERTS 11 junio")</f>
        <v>RXULTI - Programa webinar RXPERTS 11 junio</v>
      </c>
      <c r="E8487" s="22" t="str">
        <f>HYPERLINK("https://otsuka-europe-crm.veevavault.com/ui/#object/sent_email__v/VBL00000002S739", "SE-001435460")</f>
        <v>SE-001435460</v>
      </c>
      <c r="F8487" s="23">
        <v>46184.400613425925</v>
      </c>
      <c r="G8487" s="24">
        <v>1</v>
      </c>
      <c r="H8487" s="24">
        <v>1</v>
      </c>
      <c r="I8487" s="24">
        <v>1</v>
      </c>
      <c r="J8487" s="23">
        <v>46184.747106481482</v>
      </c>
      <c r="K8487" s="24">
        <v>6</v>
      </c>
      <c r="L8487" s="22" t="str">
        <f>HYPERLINK("https://otsuka-europe-crm.veevavault.com/ui/#object/approved_document__v/V5O00000001I001", "RXULTI - Programa webinar RXPERTS 11 junio")</f>
        <v>RXULTI - Programa webinar RXPERTS 11 junio</v>
      </c>
      <c r="M8487" s="22" t="str">
        <f>HYPERLINK("mailto:iortega@crm.otsuka-europe.com", "iortega@crm.otsuka-europe.com")</f>
        <v>iortega@crm.otsuka-europe.com</v>
      </c>
      <c r="N8487" s="23">
        <v>46184.341828703706</v>
      </c>
      <c r="O8487" s="14" t="str">
        <f>HYPERLINK("https://otsuka-europe-crm.veevavault.com/ui/#object/email_activity__v/V8C00000003S823", "EN-002094499")</f>
        <v>EN-002094499</v>
      </c>
    </row>
    <row r="8488" spans="1:15" ht="16" x14ac:dyDescent="0.2">
      <c r="A8488" s="18"/>
      <c r="B8488" s="18"/>
      <c r="C8488" s="18"/>
      <c r="D8488" s="18"/>
      <c r="E8488" s="18"/>
      <c r="F8488" s="18"/>
      <c r="G8488" s="18"/>
      <c r="H8488" s="18"/>
      <c r="I8488" s="18"/>
      <c r="J8488" s="18"/>
      <c r="K8488" s="18"/>
      <c r="L8488" s="18"/>
      <c r="M8488" s="18"/>
      <c r="N8488" s="18"/>
      <c r="O8488" s="14" t="str">
        <f>HYPERLINK("https://otsuka-europe-crm.veevavault.com/ui/#object/email_activity__v/V8C00000003S839", "EN-002094528")</f>
        <v>EN-002094528</v>
      </c>
    </row>
    <row r="8489" spans="1:15" ht="16" x14ac:dyDescent="0.2">
      <c r="A8489" s="18"/>
      <c r="B8489" s="18"/>
      <c r="C8489" s="18"/>
      <c r="D8489" s="18"/>
      <c r="E8489" s="18"/>
      <c r="F8489" s="18"/>
      <c r="G8489" s="18"/>
      <c r="H8489" s="18"/>
      <c r="I8489" s="18"/>
      <c r="J8489" s="18"/>
      <c r="K8489" s="18"/>
      <c r="L8489" s="18"/>
      <c r="M8489" s="18"/>
      <c r="N8489" s="18"/>
      <c r="O8489" s="14" t="str">
        <f>HYPERLINK("https://otsuka-europe-crm.veevavault.com/ui/#object/email_activity__v/V8C00000003S840", "EN-002094527")</f>
        <v>EN-002094527</v>
      </c>
    </row>
    <row r="8490" spans="1:15" ht="16" x14ac:dyDescent="0.2">
      <c r="A8490" s="18"/>
      <c r="B8490" s="18"/>
      <c r="C8490" s="18"/>
      <c r="D8490" s="18"/>
      <c r="E8490" s="18"/>
      <c r="F8490" s="18"/>
      <c r="G8490" s="18"/>
      <c r="H8490" s="18"/>
      <c r="I8490" s="18"/>
      <c r="J8490" s="18"/>
      <c r="K8490" s="18"/>
      <c r="L8490" s="18"/>
      <c r="M8490" s="18"/>
      <c r="N8490" s="18"/>
      <c r="O8490" s="14" t="str">
        <f>HYPERLINK("https://otsuka-europe-crm.veevavault.com/ui/#object/email_activity__v/V8C00000003S841", "EN-002094529")</f>
        <v>EN-002094529</v>
      </c>
    </row>
    <row r="8491" spans="1:15" ht="16" x14ac:dyDescent="0.2">
      <c r="A8491" s="18"/>
      <c r="B8491" s="18"/>
      <c r="C8491" s="18"/>
      <c r="D8491" s="18"/>
      <c r="E8491" s="18"/>
      <c r="F8491" s="18"/>
      <c r="G8491" s="18"/>
      <c r="H8491" s="18"/>
      <c r="I8491" s="18"/>
      <c r="J8491" s="18"/>
      <c r="K8491" s="18"/>
      <c r="L8491" s="18"/>
      <c r="M8491" s="18"/>
      <c r="N8491" s="18"/>
      <c r="O8491" s="14" t="str">
        <f>HYPERLINK("https://otsuka-europe-crm.veevavault.com/ui/#object/email_activity__v/V8C00000003S842", "EN-002094530")</f>
        <v>EN-002094530</v>
      </c>
    </row>
    <row r="8492" spans="1:15" ht="16" x14ac:dyDescent="0.2">
      <c r="A8492" s="18"/>
      <c r="B8492" s="18"/>
      <c r="C8492" s="18"/>
      <c r="D8492" s="18"/>
      <c r="E8492" s="18"/>
      <c r="F8492" s="18"/>
      <c r="G8492" s="18"/>
      <c r="H8492" s="18"/>
      <c r="I8492" s="18"/>
      <c r="J8492" s="18"/>
      <c r="K8492" s="18"/>
      <c r="L8492" s="18"/>
      <c r="M8492" s="18"/>
      <c r="N8492" s="18"/>
      <c r="O8492" s="14" t="str">
        <f>HYPERLINK("https://otsuka-europe-crm.veevavault.com/ui/#object/email_activity__v/V8C00000003S845", "EN-002094533")</f>
        <v>EN-002094533</v>
      </c>
    </row>
    <row r="8493" spans="1:15" ht="16" x14ac:dyDescent="0.2">
      <c r="A8493" s="18"/>
      <c r="B8493" s="18"/>
      <c r="C8493" s="18"/>
      <c r="D8493" s="18"/>
      <c r="E8493" s="18"/>
      <c r="F8493" s="18"/>
      <c r="G8493" s="18"/>
      <c r="H8493" s="18"/>
      <c r="I8493" s="18"/>
      <c r="J8493" s="18"/>
      <c r="K8493" s="18"/>
      <c r="L8493" s="18"/>
      <c r="M8493" s="18"/>
      <c r="N8493" s="18"/>
      <c r="O8493" s="14" t="str">
        <f>HYPERLINK("https://otsuka-europe-crm.veevavault.com/ui/#object/email_activity__v/V8C00000003S971", "EN-002094789")</f>
        <v>EN-002094789</v>
      </c>
    </row>
    <row r="8494" spans="1:15" ht="16" x14ac:dyDescent="0.2">
      <c r="A8494" s="19"/>
      <c r="B8494" s="19"/>
      <c r="C8494" s="19"/>
      <c r="D8494" s="19"/>
      <c r="E8494" s="19"/>
      <c r="F8494" s="19"/>
      <c r="G8494" s="19"/>
      <c r="H8494" s="19"/>
      <c r="I8494" s="19"/>
      <c r="J8494" s="19"/>
      <c r="K8494" s="19"/>
      <c r="L8494" s="19"/>
      <c r="M8494" s="19"/>
      <c r="N8494" s="19"/>
      <c r="O8494" s="14" t="str">
        <f>HYPERLINK("https://otsuka-europe-crm.veevavault.com/ui/#object/email_activity__v/V8C00000003S973", "EN-002094791")</f>
        <v>EN-002094791</v>
      </c>
    </row>
    <row r="8495" spans="1:15" ht="16" x14ac:dyDescent="0.2">
      <c r="A8495" s="17" t="str">
        <f>HYPERLINK("https://otsuka-europe-crm.veevavault.com/ui/#object/account__v/V4TZ06G6O71TAP3", "JORGE MIGUEL CUEVAS ESTEBAN")</f>
        <v>JORGE MIGUEL CUEVAS ESTEBAN</v>
      </c>
      <c r="B8495" s="17" t="str">
        <f>HYPERLINK("https://otsuka-europe-crm.veevavault.com/ui/#object/vcountry__v/VENZ000004SONF5", "ES")</f>
        <v>ES</v>
      </c>
      <c r="C8495" s="20" t="s">
        <v>41</v>
      </c>
      <c r="D8495" s="21" t="str">
        <f>HYPERLINK("https://otsuka-europe-crm.veevavault.com/ui/#object/approved_document__v/V5O00000001I001", "RXULTI - Programa webinar RXPERTS 11 junio")</f>
        <v>RXULTI - Programa webinar RXPERTS 11 junio</v>
      </c>
      <c r="E8495" s="22" t="str">
        <f>HYPERLINK("https://otsuka-europe-crm.veevavault.com/ui/#object/sent_email__v/VBL00000002S740", "SE-001435461")</f>
        <v>SE-001435461</v>
      </c>
      <c r="F8495" s="23">
        <v>46188.754733796297</v>
      </c>
      <c r="G8495" s="24">
        <v>1</v>
      </c>
      <c r="H8495" s="24">
        <v>1</v>
      </c>
      <c r="I8495" s="24">
        <v>0</v>
      </c>
      <c r="J8495" s="25"/>
      <c r="K8495" s="24">
        <v>0</v>
      </c>
      <c r="L8495" s="22" t="str">
        <f>HYPERLINK("https://otsuka-europe-crm.veevavault.com/ui/#object/approved_document__v/V5O00000001I001", "RXULTI - Programa webinar RXPERTS 11 junio")</f>
        <v>RXULTI - Programa webinar RXPERTS 11 junio</v>
      </c>
      <c r="M8495" s="22" t="str">
        <f>HYPERLINK("mailto:iortega@crm.otsuka-europe.com", "iortega@crm.otsuka-europe.com")</f>
        <v>iortega@crm.otsuka-europe.com</v>
      </c>
      <c r="N8495" s="23">
        <v>46184.341828703706</v>
      </c>
      <c r="O8495" s="14" t="str">
        <f>HYPERLINK("https://otsuka-europe-crm.veevavault.com/ui/#object/email_activity__v/V8C00000003S821", "EN-002094497")</f>
        <v>EN-002094497</v>
      </c>
    </row>
    <row r="8496" spans="1:15" ht="16" x14ac:dyDescent="0.2">
      <c r="A8496" s="19"/>
      <c r="B8496" s="19"/>
      <c r="C8496" s="19"/>
      <c r="D8496" s="19"/>
      <c r="E8496" s="19"/>
      <c r="F8496" s="19"/>
      <c r="G8496" s="19"/>
      <c r="H8496" s="19"/>
      <c r="I8496" s="19"/>
      <c r="J8496" s="19"/>
      <c r="K8496" s="19"/>
      <c r="L8496" s="19"/>
      <c r="M8496" s="19"/>
      <c r="N8496" s="19"/>
      <c r="O8496" s="14" t="str">
        <f>HYPERLINK("https://otsuka-europe-crm.veevavault.com/ui/#object/email_activity__v/V8C00000003U807", "EN-002096532")</f>
        <v>EN-002096532</v>
      </c>
    </row>
    <row r="8497" spans="1:15" ht="32" x14ac:dyDescent="0.2">
      <c r="A8497" s="7" t="str">
        <f>HYPERLINK("https://otsuka-europe-crm.veevavault.com/ui/#object/account__v/V4TZ06G6O71UQRG", "ANA PEREZ OMS")</f>
        <v>ANA PEREZ OMS</v>
      </c>
      <c r="B8497" s="7" t="str">
        <f>HYPERLINK("https://otsuka-europe-crm.veevavault.com/ui/#object/vcountry__v/VENZ000004SONF5", "ES")</f>
        <v>ES</v>
      </c>
      <c r="C8497" s="8" t="s">
        <v>41</v>
      </c>
      <c r="D8497" s="9" t="str">
        <f>HYPERLINK("https://otsuka-europe-crm.veevavault.com/ui/#object/approved_document__v/V5O00000001I001", "RXULTI - Programa webinar RXPERTS 11 junio")</f>
        <v>RXULTI - Programa webinar RXPERTS 11 junio</v>
      </c>
      <c r="E8497" s="10" t="str">
        <f>HYPERLINK("https://otsuka-europe-crm.veevavault.com/ui/#object/sent_email__v/VBL00000002S741", "SE-001435462")</f>
        <v>SE-001435462</v>
      </c>
      <c r="F8497" s="11"/>
      <c r="G8497" s="12">
        <v>0</v>
      </c>
      <c r="H8497" s="12">
        <v>0</v>
      </c>
      <c r="I8497" s="12">
        <v>0</v>
      </c>
      <c r="J8497" s="11"/>
      <c r="K8497" s="12">
        <v>0</v>
      </c>
      <c r="L8497" s="10" t="str">
        <f>HYPERLINK("https://otsuka-europe-crm.veevavault.com/ui/#object/approved_document__v/V5O00000001I001", "RXULTI - Programa webinar RXPERTS 11 junio")</f>
        <v>RXULTI - Programa webinar RXPERTS 11 junio</v>
      </c>
      <c r="M8497" s="10" t="str">
        <f>HYPERLINK("mailto:iortega@crm.otsuka-europe.com", "iortega@crm.otsuka-europe.com")</f>
        <v>iortega@crm.otsuka-europe.com</v>
      </c>
      <c r="N8497" s="13">
        <v>46184.341828703706</v>
      </c>
      <c r="O8497" s="14" t="str">
        <f>HYPERLINK("https://otsuka-europe-crm.veevavault.com/ui/#object/email_activity__v/V8C00000003S822", "EN-002094498")</f>
        <v>EN-002094498</v>
      </c>
    </row>
    <row r="8498" spans="1:15" ht="16" x14ac:dyDescent="0.2">
      <c r="A8498" s="17" t="str">
        <f>HYPERLINK("https://otsuka-europe-crm.veevavault.com/ui/#object/account__v/V4TZ06G6OA5WQFG", "TEST OPSA HCP TEST OPSA HCP")</f>
        <v>TEST OPSA HCP TEST OPSA HCP</v>
      </c>
      <c r="B8498" s="17" t="str">
        <f>HYPERLINK("https://otsuka-europe-crm.veevavault.com/ui/#object/vcountry__v/VENZ000004SONF5", "ES")</f>
        <v>ES</v>
      </c>
      <c r="C8498" s="20" t="s">
        <v>41</v>
      </c>
      <c r="D8498" s="21" t="str">
        <f>HYPERLINK("https://otsuka-europe-crm.veevavault.com/ui/#object/approved_document__v/V5O00000001I001", "RXULTI - Programa webinar RXPERTS 11 junio")</f>
        <v>RXULTI - Programa webinar RXPERTS 11 junio</v>
      </c>
      <c r="E8498" s="22" t="str">
        <f>HYPERLINK("https://otsuka-europe-crm.veevavault.com/ui/#object/sent_email__v/VBL00000002S742", "SE-001435463")</f>
        <v>SE-001435463</v>
      </c>
      <c r="F8498" s="23">
        <v>46188.853344907409</v>
      </c>
      <c r="G8498" s="24">
        <v>1</v>
      </c>
      <c r="H8498" s="24">
        <v>2</v>
      </c>
      <c r="I8498" s="24">
        <v>1</v>
      </c>
      <c r="J8498" s="23">
        <v>46184.354560185187</v>
      </c>
      <c r="K8498" s="24">
        <v>1</v>
      </c>
      <c r="L8498" s="22" t="str">
        <f>HYPERLINK("https://otsuka-europe-crm.veevavault.com/ui/#object/approved_document__v/V5O00000001I001", "RXULTI - Programa webinar RXPERTS 11 junio")</f>
        <v>RXULTI - Programa webinar RXPERTS 11 junio</v>
      </c>
      <c r="M8498" s="22" t="str">
        <f>HYPERLINK("mailto:msala@crm.otsuka-europe.com", "msala@crm.otsuka-europe.com")</f>
        <v>msala@crm.otsuka-europe.com</v>
      </c>
      <c r="N8498" s="23">
        <v>46184.354375000003</v>
      </c>
      <c r="O8498" s="14" t="str">
        <f>HYPERLINK("https://otsuka-europe-crm.veevavault.com/ui/#object/email_activity__v/V8C00000003S826", "EN-002094504")</f>
        <v>EN-002094504</v>
      </c>
    </row>
    <row r="8499" spans="1:15" ht="16" x14ac:dyDescent="0.2">
      <c r="A8499" s="18"/>
      <c r="B8499" s="18"/>
      <c r="C8499" s="18"/>
      <c r="D8499" s="18"/>
      <c r="E8499" s="18"/>
      <c r="F8499" s="18"/>
      <c r="G8499" s="18"/>
      <c r="H8499" s="18"/>
      <c r="I8499" s="18"/>
      <c r="J8499" s="18"/>
      <c r="K8499" s="18"/>
      <c r="L8499" s="18"/>
      <c r="M8499" s="18"/>
      <c r="N8499" s="18"/>
      <c r="O8499" s="14" t="str">
        <f>HYPERLINK("https://otsuka-europe-crm.veevavault.com/ui/#object/email_activity__v/V8C00000003T444", "EN-002094505")</f>
        <v>EN-002094505</v>
      </c>
    </row>
    <row r="8500" spans="1:15" ht="16" x14ac:dyDescent="0.2">
      <c r="A8500" s="18"/>
      <c r="B8500" s="18"/>
      <c r="C8500" s="18"/>
      <c r="D8500" s="18"/>
      <c r="E8500" s="18"/>
      <c r="F8500" s="18"/>
      <c r="G8500" s="18"/>
      <c r="H8500" s="18"/>
      <c r="I8500" s="18"/>
      <c r="J8500" s="18"/>
      <c r="K8500" s="18"/>
      <c r="L8500" s="18"/>
      <c r="M8500" s="18"/>
      <c r="N8500" s="18"/>
      <c r="O8500" s="14" t="str">
        <f>HYPERLINK("https://otsuka-europe-crm.veevavault.com/ui/#object/email_activity__v/V8C00000003T445", "EN-002094506")</f>
        <v>EN-002094506</v>
      </c>
    </row>
    <row r="8501" spans="1:15" ht="16" x14ac:dyDescent="0.2">
      <c r="A8501" s="19"/>
      <c r="B8501" s="19"/>
      <c r="C8501" s="19"/>
      <c r="D8501" s="19"/>
      <c r="E8501" s="19"/>
      <c r="F8501" s="19"/>
      <c r="G8501" s="19"/>
      <c r="H8501" s="19"/>
      <c r="I8501" s="19"/>
      <c r="J8501" s="19"/>
      <c r="K8501" s="19"/>
      <c r="L8501" s="19"/>
      <c r="M8501" s="19"/>
      <c r="N8501" s="19"/>
      <c r="O8501" s="14" t="str">
        <f>HYPERLINK("https://otsuka-europe-crm.veevavault.com/ui/#object/email_activity__v/V8C00000003U908", "EN-002096796")</f>
        <v>EN-002096796</v>
      </c>
    </row>
    <row r="8502" spans="1:15" ht="16" x14ac:dyDescent="0.2">
      <c r="A8502" s="17" t="str">
        <f>HYPERLINK("https://otsuka-europe-crm.veevavault.com/ui/#object/account__v/V4T00000001P153", "ISRAEL ANTONIO BOBADILLA GONZALEZ")</f>
        <v>ISRAEL ANTONIO BOBADILLA GONZALEZ</v>
      </c>
      <c r="B8502" s="17" t="str">
        <f>HYPERLINK("https://otsuka-europe-crm.veevavault.com/ui/#object/vcountry__v/VENZ000004SONF5", "ES")</f>
        <v>ES</v>
      </c>
      <c r="C8502" s="20" t="s">
        <v>41</v>
      </c>
      <c r="D8502" s="21" t="str">
        <f>HYPERLINK("https://otsuka-europe-crm.veevavault.com/ui/#object/approved_document__v/V5O00000001I001", "RXULTI - Programa webinar RXPERTS 11 junio")</f>
        <v>RXULTI - Programa webinar RXPERTS 11 junio</v>
      </c>
      <c r="E8502" s="22" t="str">
        <f>HYPERLINK("https://otsuka-europe-crm.veevavault.com/ui/#object/sent_email__v/VBL00000002R704", "SE-001435464")</f>
        <v>SE-001435464</v>
      </c>
      <c r="F8502" s="23">
        <v>46184.769178240742</v>
      </c>
      <c r="G8502" s="24">
        <v>1</v>
      </c>
      <c r="H8502" s="24">
        <v>1</v>
      </c>
      <c r="I8502" s="24">
        <v>1</v>
      </c>
      <c r="J8502" s="23">
        <v>46184.769432870373</v>
      </c>
      <c r="K8502" s="24">
        <v>1</v>
      </c>
      <c r="L8502" s="22" t="str">
        <f>HYPERLINK("https://otsuka-europe-crm.veevavault.com/ui/#object/approved_document__v/V5O00000001I001", "RXULTI - Programa webinar RXPERTS 11 junio")</f>
        <v>RXULTI - Programa webinar RXPERTS 11 junio</v>
      </c>
      <c r="M8502" s="22" t="str">
        <f>HYPERLINK("mailto:aqueralt@crm.otsuka-europe.com", "aqueralt@crm.otsuka-europe.com")</f>
        <v>aqueralt@crm.otsuka-europe.com</v>
      </c>
      <c r="N8502" s="23">
        <v>46184.371423611112</v>
      </c>
      <c r="O8502" s="14" t="str">
        <f>HYPERLINK("https://otsuka-europe-crm.veevavault.com/ui/#object/email_activity__v/V8C00000003S830", "EN-002094510")</f>
        <v>EN-002094510</v>
      </c>
    </row>
    <row r="8503" spans="1:15" ht="16" x14ac:dyDescent="0.2">
      <c r="A8503" s="18"/>
      <c r="B8503" s="18"/>
      <c r="C8503" s="18"/>
      <c r="D8503" s="18"/>
      <c r="E8503" s="18"/>
      <c r="F8503" s="18"/>
      <c r="G8503" s="18"/>
      <c r="H8503" s="18"/>
      <c r="I8503" s="18"/>
      <c r="J8503" s="18"/>
      <c r="K8503" s="18"/>
      <c r="L8503" s="18"/>
      <c r="M8503" s="18"/>
      <c r="N8503" s="18"/>
      <c r="O8503" s="14" t="str">
        <f>HYPERLINK("https://otsuka-europe-crm.veevavault.com/ui/#object/email_activity__v/V8C00000003T600", "EN-002094813")</f>
        <v>EN-002094813</v>
      </c>
    </row>
    <row r="8504" spans="1:15" ht="16" x14ac:dyDescent="0.2">
      <c r="A8504" s="18"/>
      <c r="B8504" s="18"/>
      <c r="C8504" s="18"/>
      <c r="D8504" s="18"/>
      <c r="E8504" s="18"/>
      <c r="F8504" s="18"/>
      <c r="G8504" s="18"/>
      <c r="H8504" s="18"/>
      <c r="I8504" s="18"/>
      <c r="J8504" s="18"/>
      <c r="K8504" s="18"/>
      <c r="L8504" s="18"/>
      <c r="M8504" s="18"/>
      <c r="N8504" s="18"/>
      <c r="O8504" s="14" t="str">
        <f>HYPERLINK("https://otsuka-europe-crm.veevavault.com/ui/#object/email_activity__v/V8C00000003T601", "EN-002094815")</f>
        <v>EN-002094815</v>
      </c>
    </row>
    <row r="8505" spans="1:15" ht="16" x14ac:dyDescent="0.2">
      <c r="A8505" s="19"/>
      <c r="B8505" s="19"/>
      <c r="C8505" s="19"/>
      <c r="D8505" s="19"/>
      <c r="E8505" s="19"/>
      <c r="F8505" s="19"/>
      <c r="G8505" s="19"/>
      <c r="H8505" s="19"/>
      <c r="I8505" s="19"/>
      <c r="J8505" s="19"/>
      <c r="K8505" s="19"/>
      <c r="L8505" s="19"/>
      <c r="M8505" s="19"/>
      <c r="N8505" s="19"/>
      <c r="O8505" s="14" t="str">
        <f>HYPERLINK("https://otsuka-europe-crm.veevavault.com/ui/#object/email_activity__v/V8C00000003U041", "EN-002094895")</f>
        <v>EN-002094895</v>
      </c>
    </row>
    <row r="8506" spans="1:15" ht="16" x14ac:dyDescent="0.2">
      <c r="A8506" s="17" t="str">
        <f>HYPERLINK("https://otsuka-europe-crm.veevavault.com/ui/#object/account__v/V4TZ06G6OA5WQFG", "TEST OPSA HCP TEST OPSA HCP")</f>
        <v>TEST OPSA HCP TEST OPSA HCP</v>
      </c>
      <c r="B8506" s="17" t="str">
        <f>HYPERLINK("https://otsuka-europe-crm.veevavault.com/ui/#object/vcountry__v/VENZ000004SONF5", "ES")</f>
        <v>ES</v>
      </c>
      <c r="C8506" s="20" t="s">
        <v>41</v>
      </c>
      <c r="D8506" s="21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8506" s="22" t="str">
        <f>HYPERLINK("https://otsuka-europe-crm.veevavault.com/ui/#object/sent_email__v/VBL00000002S743", "SE-001435465")</f>
        <v>SE-001435465</v>
      </c>
      <c r="F8506" s="23">
        <v>46184.379004629627</v>
      </c>
      <c r="G8506" s="24">
        <v>1</v>
      </c>
      <c r="H8506" s="24">
        <v>2</v>
      </c>
      <c r="I8506" s="24">
        <v>1</v>
      </c>
      <c r="J8506" s="23">
        <v>46184.379004629627</v>
      </c>
      <c r="K8506" s="24">
        <v>1</v>
      </c>
      <c r="L8506" s="22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8506" s="22" t="str">
        <f>HYPERLINK("mailto:jguri@crm.otsuka-europe.com", "jguri@crm.otsuka-europe.com")</f>
        <v>jguri@crm.otsuka-europe.com</v>
      </c>
      <c r="N8506" s="23">
        <v>46184.37872685185</v>
      </c>
      <c r="O8506" s="14" t="str">
        <f>HYPERLINK("https://otsuka-europe-crm.veevavault.com/ui/#object/email_activity__v/V8C00000003T446", "EN-002094512")</f>
        <v>EN-002094512</v>
      </c>
    </row>
    <row r="8507" spans="1:15" ht="16" x14ac:dyDescent="0.2">
      <c r="A8507" s="18"/>
      <c r="B8507" s="18"/>
      <c r="C8507" s="18"/>
      <c r="D8507" s="18"/>
      <c r="E8507" s="18"/>
      <c r="F8507" s="18"/>
      <c r="G8507" s="18"/>
      <c r="H8507" s="18"/>
      <c r="I8507" s="18"/>
      <c r="J8507" s="18"/>
      <c r="K8507" s="18"/>
      <c r="L8507" s="18"/>
      <c r="M8507" s="18"/>
      <c r="N8507" s="18"/>
      <c r="O8507" s="14" t="str">
        <f>HYPERLINK("https://otsuka-europe-crm.veevavault.com/ui/#object/email_activity__v/V8C00000003T447", "EN-002094514")</f>
        <v>EN-002094514</v>
      </c>
    </row>
    <row r="8508" spans="1:15" ht="16" x14ac:dyDescent="0.2">
      <c r="A8508" s="18"/>
      <c r="B8508" s="18"/>
      <c r="C8508" s="18"/>
      <c r="D8508" s="18"/>
      <c r="E8508" s="18"/>
      <c r="F8508" s="18"/>
      <c r="G8508" s="18"/>
      <c r="H8508" s="18"/>
      <c r="I8508" s="18"/>
      <c r="J8508" s="18"/>
      <c r="K8508" s="18"/>
      <c r="L8508" s="18"/>
      <c r="M8508" s="18"/>
      <c r="N8508" s="18"/>
      <c r="O8508" s="14" t="str">
        <f>HYPERLINK("https://otsuka-europe-crm.veevavault.com/ui/#object/email_activity__v/V8C00000003T448", "EN-002094513")</f>
        <v>EN-002094513</v>
      </c>
    </row>
    <row r="8509" spans="1:15" ht="16" x14ac:dyDescent="0.2">
      <c r="A8509" s="18"/>
      <c r="B8509" s="18"/>
      <c r="C8509" s="18"/>
      <c r="D8509" s="18"/>
      <c r="E8509" s="18"/>
      <c r="F8509" s="18"/>
      <c r="G8509" s="18"/>
      <c r="H8509" s="18"/>
      <c r="I8509" s="18"/>
      <c r="J8509" s="18"/>
      <c r="K8509" s="18"/>
      <c r="L8509" s="18"/>
      <c r="M8509" s="18"/>
      <c r="N8509" s="18"/>
      <c r="O8509" s="14" t="str">
        <f>HYPERLINK("https://otsuka-europe-crm.veevavault.com/ui/#object/email_activity__v/V8C00000003T449", "EN-002094515")</f>
        <v>EN-002094515</v>
      </c>
    </row>
    <row r="8510" spans="1:15" ht="16" x14ac:dyDescent="0.2">
      <c r="A8510" s="19"/>
      <c r="B8510" s="19"/>
      <c r="C8510" s="19"/>
      <c r="D8510" s="19"/>
      <c r="E8510" s="19"/>
      <c r="F8510" s="19"/>
      <c r="G8510" s="19"/>
      <c r="H8510" s="19"/>
      <c r="I8510" s="19"/>
      <c r="J8510" s="19"/>
      <c r="K8510" s="19"/>
      <c r="L8510" s="19"/>
      <c r="M8510" s="19"/>
      <c r="N8510" s="19"/>
      <c r="O8510" s="14" t="str">
        <f>HYPERLINK("https://otsuka-europe-crm.veevavault.com/ui/#object/email_activity__v/V8C00000003V480", "EN-002095740")</f>
        <v>EN-002095740</v>
      </c>
    </row>
    <row r="8511" spans="1:15" ht="32" x14ac:dyDescent="0.2">
      <c r="A8511" s="7" t="str">
        <f>HYPERLINK("https://otsuka-europe-crm.veevavault.com/ui/#object/account__v/V4TZ06G6O71T7IU", "MIRELLA MARTINEZ CORTES")</f>
        <v>MIRELLA MARTINEZ CORTES</v>
      </c>
      <c r="B8511" s="7" t="str">
        <f>HYPERLINK("https://otsuka-europe-crm.veevavault.com/ui/#object/vcountry__v/VENZ000004SONF5", "ES")</f>
        <v>ES</v>
      </c>
      <c r="C8511" s="8" t="s">
        <v>41</v>
      </c>
      <c r="D8511" s="9" t="str">
        <f>HYPERLINK("https://otsuka-europe-crm.veevavault.com/ui/#object/approved_document__v/V5O00000001I001", "RXULTI - Programa webinar RXPERTS 11 junio")</f>
        <v>RXULTI - Programa webinar RXPERTS 11 junio</v>
      </c>
      <c r="E8511" s="10" t="str">
        <f>HYPERLINK("https://otsuka-europe-crm.veevavault.com/ui/#object/sent_email__v/VBL00000002R705", "SE-001435466")</f>
        <v>SE-001435466</v>
      </c>
      <c r="F8511" s="11"/>
      <c r="G8511" s="12">
        <v>0</v>
      </c>
      <c r="H8511" s="12">
        <v>0</v>
      </c>
      <c r="I8511" s="12">
        <v>0</v>
      </c>
      <c r="J8511" s="11"/>
      <c r="K8511" s="12">
        <v>0</v>
      </c>
      <c r="L8511" s="10" t="str">
        <f>HYPERLINK("https://otsuka-europe-crm.veevavault.com/ui/#object/approved_document__v/V5O00000001I001", "RXULTI - Programa webinar RXPERTS 11 junio")</f>
        <v>RXULTI - Programa webinar RXPERTS 11 junio</v>
      </c>
      <c r="M8511" s="10" t="str">
        <f>HYPERLINK("mailto:jjimenez@crm.otsuka-europe.com", "jjimenez@crm.otsuka-europe.com")</f>
        <v>jjimenez@crm.otsuka-europe.com</v>
      </c>
      <c r="N8511" s="13">
        <v>46184.385682870372</v>
      </c>
      <c r="O8511" s="14" t="str">
        <f>HYPERLINK("https://otsuka-europe-crm.veevavault.com/ui/#object/email_activity__v/V8C00000003T450", "EN-002094519")</f>
        <v>EN-002094519</v>
      </c>
    </row>
    <row r="8512" spans="1:15" ht="16" x14ac:dyDescent="0.2">
      <c r="A8512" s="17" t="str">
        <f>HYPERLINK("https://otsuka-europe-crm.veevavault.com/ui/#object/account__v/V4TZ025E85BQSFE", "CARLA PARDO GONZALEZ")</f>
        <v>CARLA PARDO GONZALEZ</v>
      </c>
      <c r="B8512" s="17" t="str">
        <f>HYPERLINK("https://otsuka-europe-crm.veevavault.com/ui/#object/vcountry__v/VENZ000004SONF5", "ES")</f>
        <v>ES</v>
      </c>
      <c r="C8512" s="20" t="s">
        <v>41</v>
      </c>
      <c r="D8512" s="21" t="str">
        <f>HYPERLINK("https://otsuka-europe-crm.veevavault.com/ui/#object/approved_document__v/V5O00000001I001", "RXULTI - Programa webinar RXPERTS 11 junio")</f>
        <v>RXULTI - Programa webinar RXPERTS 11 junio</v>
      </c>
      <c r="E8512" s="22" t="str">
        <f>HYPERLINK("https://otsuka-europe-crm.veevavault.com/ui/#object/sent_email__v/VBL00000002R706", "SE-001435467")</f>
        <v>SE-001435467</v>
      </c>
      <c r="F8512" s="25"/>
      <c r="G8512" s="24">
        <v>0</v>
      </c>
      <c r="H8512" s="24">
        <v>0</v>
      </c>
      <c r="I8512" s="24">
        <v>0</v>
      </c>
      <c r="J8512" s="25"/>
      <c r="K8512" s="24">
        <v>0</v>
      </c>
      <c r="L8512" s="22" t="str">
        <f>HYPERLINK("https://otsuka-europe-crm.veevavault.com/ui/#object/approved_document__v/V5O00000001I001", "RXULTI - Programa webinar RXPERTS 11 junio")</f>
        <v>RXULTI - Programa webinar RXPERTS 11 junio</v>
      </c>
      <c r="M8512" s="22" t="str">
        <f>HYPERLINK("mailto:jjimenez@crm.otsuka-europe.com", "jjimenez@crm.otsuka-europe.com")</f>
        <v>jjimenez@crm.otsuka-europe.com</v>
      </c>
      <c r="N8512" s="23">
        <v>46184.385682870372</v>
      </c>
      <c r="O8512" s="14" t="str">
        <f>HYPERLINK("https://otsuka-europe-crm.veevavault.com/ui/#object/email_activity__v/V8C00000003S834", "EN-002094518")</f>
        <v>EN-002094518</v>
      </c>
    </row>
    <row r="8513" spans="1:15" ht="16" x14ac:dyDescent="0.2">
      <c r="A8513" s="18"/>
      <c r="B8513" s="18"/>
      <c r="C8513" s="18"/>
      <c r="D8513" s="18"/>
      <c r="E8513" s="18"/>
      <c r="F8513" s="18"/>
      <c r="G8513" s="18"/>
      <c r="H8513" s="18"/>
      <c r="I8513" s="18"/>
      <c r="J8513" s="18"/>
      <c r="K8513" s="18"/>
      <c r="L8513" s="18"/>
      <c r="M8513" s="18"/>
      <c r="N8513" s="18"/>
      <c r="O8513" s="14" t="str">
        <f>HYPERLINK("https://otsuka-europe-crm.veevavault.com/ui/#object/email_activity__v/V8C00000003V008", "EN-002094835")</f>
        <v>EN-002094835</v>
      </c>
    </row>
    <row r="8514" spans="1:15" ht="16" x14ac:dyDescent="0.2">
      <c r="A8514" s="19"/>
      <c r="B8514" s="19"/>
      <c r="C8514" s="19"/>
      <c r="D8514" s="19"/>
      <c r="E8514" s="19"/>
      <c r="F8514" s="19"/>
      <c r="G8514" s="19"/>
      <c r="H8514" s="19"/>
      <c r="I8514" s="19"/>
      <c r="J8514" s="19"/>
      <c r="K8514" s="19"/>
      <c r="L8514" s="19"/>
      <c r="M8514" s="19"/>
      <c r="N8514" s="19"/>
      <c r="O8514" s="14" t="str">
        <f>HYPERLINK("https://otsuka-europe-crm.veevavault.com/ui/#object/email_activity__v/V8C000000041263", "EN-002100193")</f>
        <v>EN-002100193</v>
      </c>
    </row>
    <row r="8515" spans="1:15" ht="16" x14ac:dyDescent="0.2">
      <c r="A8515" s="17" t="str">
        <f>HYPERLINK("https://otsuka-europe-crm.veevavault.com/ui/#object/account__v/V4T00000001P153", "ISRAEL ANTONIO BOBADILLA GONZALEZ")</f>
        <v>ISRAEL ANTONIO BOBADILLA GONZALEZ</v>
      </c>
      <c r="B8515" s="17" t="str">
        <f>HYPERLINK("https://otsuka-europe-crm.veevavault.com/ui/#object/vcountry__v/VENZ000004SONF5", "ES")</f>
        <v>ES</v>
      </c>
      <c r="C8515" s="20" t="s">
        <v>41</v>
      </c>
      <c r="D8515" s="21" t="str">
        <f>HYPERLINK("https://otsuka-europe-crm.veevavault.com/ui/#object/approved_document__v/V5O00000001I001", "RXULTI - Programa webinar RXPERTS 11 junio")</f>
        <v>RXULTI - Programa webinar RXPERTS 11 junio</v>
      </c>
      <c r="E8515" s="22" t="str">
        <f>HYPERLINK("https://otsuka-europe-crm.veevavault.com/ui/#object/sent_email__v/VBL00000002S744", "SE-001435468")</f>
        <v>SE-001435468</v>
      </c>
      <c r="F8515" s="23">
        <v>46184.769930555558</v>
      </c>
      <c r="G8515" s="24">
        <v>1</v>
      </c>
      <c r="H8515" s="24">
        <v>2</v>
      </c>
      <c r="I8515" s="24">
        <v>1</v>
      </c>
      <c r="J8515" s="23">
        <v>46184.769988425927</v>
      </c>
      <c r="K8515" s="24">
        <v>2</v>
      </c>
      <c r="L8515" s="22" t="str">
        <f>HYPERLINK("https://otsuka-europe-crm.veevavault.com/ui/#object/approved_document__v/V5O00000001I001", "RXULTI - Programa webinar RXPERTS 11 junio")</f>
        <v>RXULTI - Programa webinar RXPERTS 11 junio</v>
      </c>
      <c r="M8515" s="22" t="str">
        <f>HYPERLINK("mailto:aqueralt@crm.otsuka-europe.com", "aqueralt@crm.otsuka-europe.com")</f>
        <v>aqueralt@crm.otsuka-europe.com</v>
      </c>
      <c r="N8515" s="23">
        <v>46184.389317129629</v>
      </c>
      <c r="O8515" s="14" t="str">
        <f>HYPERLINK("https://otsuka-europe-crm.veevavault.com/ui/#object/email_activity__v/V8C00000003S836", "EN-002094522")</f>
        <v>EN-002094522</v>
      </c>
    </row>
    <row r="8516" spans="1:15" ht="16" x14ac:dyDescent="0.2">
      <c r="A8516" s="18"/>
      <c r="B8516" s="18"/>
      <c r="C8516" s="18"/>
      <c r="D8516" s="18"/>
      <c r="E8516" s="18"/>
      <c r="F8516" s="18"/>
      <c r="G8516" s="18"/>
      <c r="H8516" s="18"/>
      <c r="I8516" s="18"/>
      <c r="J8516" s="18"/>
      <c r="K8516" s="18"/>
      <c r="L8516" s="18"/>
      <c r="M8516" s="18"/>
      <c r="N8516" s="18"/>
      <c r="O8516" s="14" t="str">
        <f>HYPERLINK("https://otsuka-europe-crm.veevavault.com/ui/#object/email_activity__v/V8C00000003S873", "EN-002094596")</f>
        <v>EN-002094596</v>
      </c>
    </row>
    <row r="8517" spans="1:15" ht="16" x14ac:dyDescent="0.2">
      <c r="A8517" s="18"/>
      <c r="B8517" s="18"/>
      <c r="C8517" s="18"/>
      <c r="D8517" s="18"/>
      <c r="E8517" s="18"/>
      <c r="F8517" s="18"/>
      <c r="G8517" s="18"/>
      <c r="H8517" s="18"/>
      <c r="I8517" s="18"/>
      <c r="J8517" s="18"/>
      <c r="K8517" s="18"/>
      <c r="L8517" s="18"/>
      <c r="M8517" s="18"/>
      <c r="N8517" s="18"/>
      <c r="O8517" s="14" t="str">
        <f>HYPERLINK("https://otsuka-europe-crm.veevavault.com/ui/#object/email_activity__v/V8C00000003T488", "EN-002094595")</f>
        <v>EN-002094595</v>
      </c>
    </row>
    <row r="8518" spans="1:15" ht="16" x14ac:dyDescent="0.2">
      <c r="A8518" s="18"/>
      <c r="B8518" s="18"/>
      <c r="C8518" s="18"/>
      <c r="D8518" s="18"/>
      <c r="E8518" s="18"/>
      <c r="F8518" s="18"/>
      <c r="G8518" s="18"/>
      <c r="H8518" s="18"/>
      <c r="I8518" s="18"/>
      <c r="J8518" s="18"/>
      <c r="K8518" s="18"/>
      <c r="L8518" s="18"/>
      <c r="M8518" s="18"/>
      <c r="N8518" s="18"/>
      <c r="O8518" s="14" t="str">
        <f>HYPERLINK("https://otsuka-europe-crm.veevavault.com/ui/#object/email_activity__v/V8C00000003T599", "EN-002094814")</f>
        <v>EN-002094814</v>
      </c>
    </row>
    <row r="8519" spans="1:15" ht="16" x14ac:dyDescent="0.2">
      <c r="A8519" s="18"/>
      <c r="B8519" s="18"/>
      <c r="C8519" s="18"/>
      <c r="D8519" s="18"/>
      <c r="E8519" s="18"/>
      <c r="F8519" s="18"/>
      <c r="G8519" s="18"/>
      <c r="H8519" s="18"/>
      <c r="I8519" s="18"/>
      <c r="J8519" s="18"/>
      <c r="K8519" s="18"/>
      <c r="L8519" s="18"/>
      <c r="M8519" s="18"/>
      <c r="N8519" s="18"/>
      <c r="O8519" s="14" t="str">
        <f>HYPERLINK("https://otsuka-europe-crm.veevavault.com/ui/#object/email_activity__v/V8C00000003T602", "EN-002094816")</f>
        <v>EN-002094816</v>
      </c>
    </row>
    <row r="8520" spans="1:15" ht="16" x14ac:dyDescent="0.2">
      <c r="A8520" s="19"/>
      <c r="B8520" s="19"/>
      <c r="C8520" s="19"/>
      <c r="D8520" s="19"/>
      <c r="E8520" s="19"/>
      <c r="F8520" s="19"/>
      <c r="G8520" s="19"/>
      <c r="H8520" s="19"/>
      <c r="I8520" s="19"/>
      <c r="J8520" s="19"/>
      <c r="K8520" s="19"/>
      <c r="L8520" s="19"/>
      <c r="M8520" s="19"/>
      <c r="N8520" s="19"/>
      <c r="O8520" s="14" t="str">
        <f>HYPERLINK("https://otsuka-europe-crm.veevavault.com/ui/#object/email_activity__v/V8C00000003T603", "EN-002094817")</f>
        <v>EN-002094817</v>
      </c>
    </row>
    <row r="8521" spans="1:15" ht="32" x14ac:dyDescent="0.2">
      <c r="A8521" s="7" t="str">
        <f>HYPERLINK("https://otsuka-europe-crm.veevavault.com/ui/#object/account__v/V4T000000022096", "Channel Edwards")</f>
        <v>Channel Edwards</v>
      </c>
      <c r="B8521" s="7" t="str">
        <f>HYPERLINK("https://otsuka-europe-crm.veevavault.com/ui/#object/vcountry__v/VENZ000004SONFK", "GB")</f>
        <v>GB</v>
      </c>
      <c r="C8521" s="8" t="s">
        <v>39</v>
      </c>
      <c r="D8521" s="9" t="str">
        <f>HYPERLINK("https://otsuka-europe-crm.veevavault.com/ui/#object/approved_document__v/V5OZ025E82PXJSL", "Otsuka Privacy Notice - UK (v2)")</f>
        <v>Otsuka Privacy Notice - UK (v2)</v>
      </c>
      <c r="E8521" s="10" t="str">
        <f>HYPERLINK("https://otsuka-europe-crm.veevavault.com/ui/#object/sent_email__v/VBL00000002R714", "SE-001435469")</f>
        <v>SE-001435469</v>
      </c>
      <c r="F8521" s="11"/>
      <c r="G8521" s="12">
        <v>0</v>
      </c>
      <c r="H8521" s="12">
        <v>0</v>
      </c>
      <c r="I8521" s="12">
        <v>0</v>
      </c>
      <c r="J8521" s="11"/>
      <c r="K8521" s="12">
        <v>0</v>
      </c>
      <c r="L8521" s="10" t="str">
        <f>HYPERLINK("https://otsuka-europe-crm.veevavault.com/ui/#object/approved_document__v/V5OZ025E82PXJSL", "Otsuka Privacy Notice - UK (v2)")</f>
        <v>Otsuka Privacy Notice - UK (v2)</v>
      </c>
      <c r="M8521" s="10" t="str">
        <f>HYPERLINK("mailto:ldimambro@crm.otsuka-europe.com", "ldimambro@crm.otsuka-europe.com")</f>
        <v>ldimambro@crm.otsuka-europe.com</v>
      </c>
      <c r="N8521" s="13">
        <v>46184.399108796293</v>
      </c>
      <c r="O8521" s="14" t="str">
        <f>HYPERLINK("https://otsuka-europe-crm.veevavault.com/ui/#object/email_activity__v/V8C00000003T452", "EN-002094524")</f>
        <v>EN-002094524</v>
      </c>
    </row>
    <row r="8522" spans="1:15" ht="16" x14ac:dyDescent="0.2">
      <c r="A8522" s="17" t="str">
        <f>HYPERLINK("https://otsuka-europe-crm.veevavault.com/ui/#object/account__v/V4T000000022096", "Channel Edwards")</f>
        <v>Channel Edwards</v>
      </c>
      <c r="B8522" s="17" t="str">
        <f>HYPERLINK("https://otsuka-europe-crm.veevavault.com/ui/#object/vcountry__v/VENZ000004SONFK", "GB")</f>
        <v>GB</v>
      </c>
      <c r="C8522" s="20" t="s">
        <v>39</v>
      </c>
      <c r="D8522" s="21" t="str">
        <f>HYPERLINK("https://otsuka-europe-crm.veevavault.com/ui/#object/approved_document__v/V5O00000000D081", "UK - Consent Email 1 Aug 25")</f>
        <v>UK - Consent Email 1 Aug 25</v>
      </c>
      <c r="E8522" s="22" t="str">
        <f>HYPERLINK("https://otsuka-europe-crm.veevavault.com/ui/#object/sent_email__v/VBL00000002R715", "SE-001435470")</f>
        <v>SE-001435470</v>
      </c>
      <c r="F8522" s="23">
        <v>46184.40315972222</v>
      </c>
      <c r="G8522" s="24">
        <v>1</v>
      </c>
      <c r="H8522" s="24">
        <v>1</v>
      </c>
      <c r="I8522" s="24">
        <v>1</v>
      </c>
      <c r="J8522" s="23">
        <v>46184.40315972222</v>
      </c>
      <c r="K8522" s="24">
        <v>1</v>
      </c>
      <c r="L8522" s="22" t="str">
        <f>HYPERLINK("https://otsuka-europe-crm.veevavault.com/ui/#object/approved_document__v/V5O00000000D081", "UK - Consent Email 1 Aug 25")</f>
        <v>UK - Consent Email 1 Aug 25</v>
      </c>
      <c r="M8522" s="22" t="str">
        <f>HYPERLINK("mailto:ldimambro@crm.otsuka-europe.com", "ldimambro@crm.otsuka-europe.com")</f>
        <v>ldimambro@crm.otsuka-europe.com</v>
      </c>
      <c r="N8522" s="23">
        <v>46184.399780092594</v>
      </c>
      <c r="O8522" s="14" t="str">
        <f>HYPERLINK("https://otsuka-europe-crm.veevavault.com/ui/#object/email_activity__v/V8C00000003S838", "EN-002094526")</f>
        <v>EN-002094526</v>
      </c>
    </row>
    <row r="8523" spans="1:15" ht="16" x14ac:dyDescent="0.2">
      <c r="A8523" s="18"/>
      <c r="B8523" s="18"/>
      <c r="C8523" s="18"/>
      <c r="D8523" s="18"/>
      <c r="E8523" s="18"/>
      <c r="F8523" s="18"/>
      <c r="G8523" s="18"/>
      <c r="H8523" s="18"/>
      <c r="I8523" s="18"/>
      <c r="J8523" s="18"/>
      <c r="K8523" s="18"/>
      <c r="L8523" s="18"/>
      <c r="M8523" s="18"/>
      <c r="N8523" s="18"/>
      <c r="O8523" s="14" t="str">
        <f>HYPERLINK("https://otsuka-europe-crm.veevavault.com/ui/#object/email_activity__v/V8C00000003S847", "EN-002094537")</f>
        <v>EN-002094537</v>
      </c>
    </row>
    <row r="8524" spans="1:15" ht="16" x14ac:dyDescent="0.2">
      <c r="A8524" s="19"/>
      <c r="B8524" s="19"/>
      <c r="C8524" s="19"/>
      <c r="D8524" s="19"/>
      <c r="E8524" s="19"/>
      <c r="F8524" s="19"/>
      <c r="G8524" s="19"/>
      <c r="H8524" s="19"/>
      <c r="I8524" s="19"/>
      <c r="J8524" s="19"/>
      <c r="K8524" s="19"/>
      <c r="L8524" s="19"/>
      <c r="M8524" s="19"/>
      <c r="N8524" s="19"/>
      <c r="O8524" s="14" t="str">
        <f>HYPERLINK("https://otsuka-europe-crm.veevavault.com/ui/#object/email_activity__v/V8C00000003S848", "EN-002094536")</f>
        <v>EN-002094536</v>
      </c>
    </row>
    <row r="8525" spans="1:15" ht="16" x14ac:dyDescent="0.2">
      <c r="A8525" s="17" t="str">
        <f>HYPERLINK("https://otsuka-europe-crm.veevavault.com/ui/#object/account__v/V4T000000023056", "Adrian Thomas")</f>
        <v>Adrian Thomas</v>
      </c>
      <c r="B8525" s="17" t="str">
        <f>HYPERLINK("https://otsuka-europe-crm.veevavault.com/ui/#object/vcountry__v/VENZ000004SONFK", "GB")</f>
        <v>GB</v>
      </c>
      <c r="C8525" s="20" t="s">
        <v>39</v>
      </c>
      <c r="D8525" s="21" t="str">
        <f>HYPERLINK("https://otsuka-europe-crm.veevavault.com/ui/#object/approved_document__v/V5OZ025E82UYOBH", "Aripiprazole 300mg PFS Available VAE")</f>
        <v>Aripiprazole 300mg PFS Available VAE</v>
      </c>
      <c r="E8525" s="22" t="str">
        <f>HYPERLINK("https://otsuka-europe-crm.veevavault.com/ui/#object/sent_email__v/VBL00000002S749", "SE-001435471")</f>
        <v>SE-001435471</v>
      </c>
      <c r="F8525" s="23">
        <v>46184.704756944448</v>
      </c>
      <c r="G8525" s="24">
        <v>1</v>
      </c>
      <c r="H8525" s="24">
        <v>1</v>
      </c>
      <c r="I8525" s="24">
        <v>0</v>
      </c>
      <c r="J8525" s="25"/>
      <c r="K8525" s="24">
        <v>0</v>
      </c>
      <c r="L8525" s="22" t="str">
        <f>HYPERLINK("https://otsuka-europe-crm.veevavault.com/ui/#object/approved_document__v/V5OZ025E82UYOBH", "Aripiprazole 300mg PFS Available VAE")</f>
        <v>Aripiprazole 300mg PFS Available VAE</v>
      </c>
      <c r="M8525" s="22" t="str">
        <f>HYPERLINK("mailto:ldimambro@crm.otsuka-europe.com", "ldimambro@crm.otsuka-europe.com")</f>
        <v>ldimambro@crm.otsuka-europe.com</v>
      </c>
      <c r="N8525" s="23">
        <v>46184.40185185185</v>
      </c>
      <c r="O8525" s="14" t="str">
        <f>HYPERLINK("https://otsuka-europe-crm.veevavault.com/ui/#object/email_activity__v/V8C00000003T454", "EN-002094534")</f>
        <v>EN-002094534</v>
      </c>
    </row>
    <row r="8526" spans="1:15" ht="16" x14ac:dyDescent="0.2">
      <c r="A8526" s="19"/>
      <c r="B8526" s="19"/>
      <c r="C8526" s="19"/>
      <c r="D8526" s="19"/>
      <c r="E8526" s="19"/>
      <c r="F8526" s="19"/>
      <c r="G8526" s="19"/>
      <c r="H8526" s="19"/>
      <c r="I8526" s="19"/>
      <c r="J8526" s="19"/>
      <c r="K8526" s="19"/>
      <c r="L8526" s="19"/>
      <c r="M8526" s="19"/>
      <c r="N8526" s="19"/>
      <c r="O8526" s="14" t="str">
        <f>HYPERLINK("https://otsuka-europe-crm.veevavault.com/ui/#object/email_activity__v/V8C00000003T571", "EN-002094765")</f>
        <v>EN-002094765</v>
      </c>
    </row>
    <row r="8527" spans="1:15" ht="16" x14ac:dyDescent="0.2">
      <c r="A8527" s="17" t="str">
        <f>HYPERLINK("https://otsuka-europe-crm.veevavault.com/ui/#object/account__v/V4T000000023056", "Adrian Thomas")</f>
        <v>Adrian Thomas</v>
      </c>
      <c r="B8527" s="17" t="str">
        <f>HYPERLINK("https://otsuka-europe-crm.veevavault.com/ui/#object/vcountry__v/VENZ000004SONFK", "GB")</f>
        <v>GB</v>
      </c>
      <c r="C8527" s="20" t="s">
        <v>39</v>
      </c>
      <c r="D8527" s="21" t="str">
        <f>HYPERLINK("https://otsuka-europe-crm.veevavault.com/ui/#object/approved_document__v/V5OZ025E82TSZBI", "Aripiprazole 960mg Fragment VAE")</f>
        <v>Aripiprazole 960mg Fragment VAE</v>
      </c>
      <c r="E8527" s="22" t="str">
        <f>HYPERLINK("https://otsuka-europe-crm.veevavault.com/ui/#object/sent_email__v/VBL00000002S750", "SE-001435472")</f>
        <v>SE-001435472</v>
      </c>
      <c r="F8527" s="23">
        <v>46184.705787037034</v>
      </c>
      <c r="G8527" s="24">
        <v>1</v>
      </c>
      <c r="H8527" s="24">
        <v>2</v>
      </c>
      <c r="I8527" s="24">
        <v>1</v>
      </c>
      <c r="J8527" s="23">
        <v>46184.705983796295</v>
      </c>
      <c r="K8527" s="24">
        <v>1</v>
      </c>
      <c r="L8527" s="22" t="str">
        <f>HYPERLINK("https://otsuka-europe-crm.veevavault.com/ui/#object/approved_document__v/V5OZ025E82TSZBI", "Aripiprazole 960mg Fragment VAE")</f>
        <v>Aripiprazole 960mg Fragment VAE</v>
      </c>
      <c r="M8527" s="22" t="str">
        <f>HYPERLINK("mailto:ldimambro@crm.otsuka-europe.com", "ldimambro@crm.otsuka-europe.com")</f>
        <v>ldimambro@crm.otsuka-europe.com</v>
      </c>
      <c r="N8527" s="23">
        <v>46184.402199074073</v>
      </c>
      <c r="O8527" s="14" t="str">
        <f>HYPERLINK("https://otsuka-europe-crm.veevavault.com/ui/#object/email_activity__v/V8C00000003S846", "EN-002094535")</f>
        <v>EN-002094535</v>
      </c>
    </row>
    <row r="8528" spans="1:15" ht="16" x14ac:dyDescent="0.2">
      <c r="A8528" s="18"/>
      <c r="B8528" s="18"/>
      <c r="C8528" s="18"/>
      <c r="D8528" s="18"/>
      <c r="E8528" s="18"/>
      <c r="F8528" s="18"/>
      <c r="G8528" s="18"/>
      <c r="H8528" s="18"/>
      <c r="I8528" s="18"/>
      <c r="J8528" s="18"/>
      <c r="K8528" s="18"/>
      <c r="L8528" s="18"/>
      <c r="M8528" s="18"/>
      <c r="N8528" s="18"/>
      <c r="O8528" s="14" t="str">
        <f>HYPERLINK("https://otsuka-europe-crm.veevavault.com/ui/#object/email_activity__v/V8C00000003S961", "EN-002094770")</f>
        <v>EN-002094770</v>
      </c>
    </row>
    <row r="8529" spans="1:15" ht="16" x14ac:dyDescent="0.2">
      <c r="A8529" s="18"/>
      <c r="B8529" s="18"/>
      <c r="C8529" s="18"/>
      <c r="D8529" s="18"/>
      <c r="E8529" s="18"/>
      <c r="F8529" s="18"/>
      <c r="G8529" s="18"/>
      <c r="H8529" s="18"/>
      <c r="I8529" s="18"/>
      <c r="J8529" s="18"/>
      <c r="K8529" s="18"/>
      <c r="L8529" s="18"/>
      <c r="M8529" s="18"/>
      <c r="N8529" s="18"/>
      <c r="O8529" s="14" t="str">
        <f>HYPERLINK("https://otsuka-europe-crm.veevavault.com/ui/#object/email_activity__v/V8C00000003T572", "EN-002094766")</f>
        <v>EN-002094766</v>
      </c>
    </row>
    <row r="8530" spans="1:15" ht="16" x14ac:dyDescent="0.2">
      <c r="A8530" s="18"/>
      <c r="B8530" s="18"/>
      <c r="C8530" s="18"/>
      <c r="D8530" s="18"/>
      <c r="E8530" s="18"/>
      <c r="F8530" s="18"/>
      <c r="G8530" s="18"/>
      <c r="H8530" s="18"/>
      <c r="I8530" s="18"/>
      <c r="J8530" s="18"/>
      <c r="K8530" s="18"/>
      <c r="L8530" s="18"/>
      <c r="M8530" s="18"/>
      <c r="N8530" s="18"/>
      <c r="O8530" s="14" t="str">
        <f>HYPERLINK("https://otsuka-europe-crm.veevavault.com/ui/#object/email_activity__v/V8C00000003T573", "EN-002094767")</f>
        <v>EN-002094767</v>
      </c>
    </row>
    <row r="8531" spans="1:15" ht="16" x14ac:dyDescent="0.2">
      <c r="A8531" s="19"/>
      <c r="B8531" s="19"/>
      <c r="C8531" s="19"/>
      <c r="D8531" s="19"/>
      <c r="E8531" s="19"/>
      <c r="F8531" s="19"/>
      <c r="G8531" s="19"/>
      <c r="H8531" s="19"/>
      <c r="I8531" s="19"/>
      <c r="J8531" s="19"/>
      <c r="K8531" s="19"/>
      <c r="L8531" s="19"/>
      <c r="M8531" s="19"/>
      <c r="N8531" s="19"/>
      <c r="O8531" s="14" t="str">
        <f>HYPERLINK("https://otsuka-europe-crm.veevavault.com/ui/#object/email_activity__v/V8C00000003T574", "EN-002094768")</f>
        <v>EN-002094768</v>
      </c>
    </row>
    <row r="8532" spans="1:15" ht="16" x14ac:dyDescent="0.2">
      <c r="A8532" s="17" t="str">
        <f>HYPERLINK("https://otsuka-europe-crm.veevavault.com/ui/#object/account__v/V4T000000023087", "Joanne Rogers")</f>
        <v>Joanne Rogers</v>
      </c>
      <c r="B8532" s="17" t="str">
        <f>HYPERLINK("https://otsuka-europe-crm.veevavault.com/ui/#object/vcountry__v/VENZ000004SONFK", "GB")</f>
        <v>GB</v>
      </c>
      <c r="C8532" s="20" t="s">
        <v>39</v>
      </c>
      <c r="D8532" s="21" t="str">
        <f>HYPERLINK("https://otsuka-europe-crm.veevavault.com/ui/#object/approved_document__v/V5OZ025E82PXJSL", "Otsuka Privacy Notice - UK (v2)")</f>
        <v>Otsuka Privacy Notice - UK (v2)</v>
      </c>
      <c r="E8532" s="22" t="str">
        <f>HYPERLINK("https://otsuka-europe-crm.veevavault.com/ui/#object/sent_email__v/VBL00000002R716", "SE-001435473")</f>
        <v>SE-001435473</v>
      </c>
      <c r="F8532" s="23">
        <v>46184.404490740744</v>
      </c>
      <c r="G8532" s="24">
        <v>1</v>
      </c>
      <c r="H8532" s="24">
        <v>1</v>
      </c>
      <c r="I8532" s="24">
        <v>1</v>
      </c>
      <c r="J8532" s="23">
        <v>46184.404629629629</v>
      </c>
      <c r="K8532" s="24">
        <v>6</v>
      </c>
      <c r="L8532" s="22" t="str">
        <f>HYPERLINK("https://otsuka-europe-crm.veevavault.com/ui/#object/approved_document__v/V5OZ025E82PXJSL", "Otsuka Privacy Notice - UK (v2)")</f>
        <v>Otsuka Privacy Notice - UK (v2)</v>
      </c>
      <c r="M8532" s="22" t="str">
        <f>HYPERLINK("mailto:ldimambro@crm.otsuka-europe.com", "ldimambro@crm.otsuka-europe.com")</f>
        <v>ldimambro@crm.otsuka-europe.com</v>
      </c>
      <c r="N8532" s="23">
        <v>46184.404456018521</v>
      </c>
      <c r="O8532" s="14" t="str">
        <f>HYPERLINK("https://otsuka-europe-crm.veevavault.com/ui/#object/email_activity__v/V8C00000003S849", "EN-002094539")</f>
        <v>EN-002094539</v>
      </c>
    </row>
    <row r="8533" spans="1:15" ht="16" x14ac:dyDescent="0.2">
      <c r="A8533" s="18"/>
      <c r="B8533" s="18"/>
      <c r="C8533" s="18"/>
      <c r="D8533" s="18"/>
      <c r="E8533" s="18"/>
      <c r="F8533" s="18"/>
      <c r="G8533" s="18"/>
      <c r="H8533" s="18"/>
      <c r="I8533" s="18"/>
      <c r="J8533" s="18"/>
      <c r="K8533" s="18"/>
      <c r="L8533" s="18"/>
      <c r="M8533" s="18"/>
      <c r="N8533" s="18"/>
      <c r="O8533" s="14" t="str">
        <f>HYPERLINK("https://otsuka-europe-crm.veevavault.com/ui/#object/email_activity__v/V8C00000003S850", "EN-002094538")</f>
        <v>EN-002094538</v>
      </c>
    </row>
    <row r="8534" spans="1:15" ht="16" x14ac:dyDescent="0.2">
      <c r="A8534" s="18"/>
      <c r="B8534" s="18"/>
      <c r="C8534" s="18"/>
      <c r="D8534" s="18"/>
      <c r="E8534" s="18"/>
      <c r="F8534" s="18"/>
      <c r="G8534" s="18"/>
      <c r="H8534" s="18"/>
      <c r="I8534" s="18"/>
      <c r="J8534" s="18"/>
      <c r="K8534" s="18"/>
      <c r="L8534" s="18"/>
      <c r="M8534" s="18"/>
      <c r="N8534" s="18"/>
      <c r="O8534" s="14" t="str">
        <f>HYPERLINK("https://otsuka-europe-crm.veevavault.com/ui/#object/email_activity__v/V8C00000003S851", "EN-002094540")</f>
        <v>EN-002094540</v>
      </c>
    </row>
    <row r="8535" spans="1:15" ht="16" x14ac:dyDescent="0.2">
      <c r="A8535" s="18"/>
      <c r="B8535" s="18"/>
      <c r="C8535" s="18"/>
      <c r="D8535" s="18"/>
      <c r="E8535" s="18"/>
      <c r="F8535" s="18"/>
      <c r="G8535" s="18"/>
      <c r="H8535" s="18"/>
      <c r="I8535" s="18"/>
      <c r="J8535" s="18"/>
      <c r="K8535" s="18"/>
      <c r="L8535" s="18"/>
      <c r="M8535" s="18"/>
      <c r="N8535" s="18"/>
      <c r="O8535" s="14" t="str">
        <f>HYPERLINK("https://otsuka-europe-crm.veevavault.com/ui/#object/email_activity__v/V8C00000003S852", "EN-002094545")</f>
        <v>EN-002094545</v>
      </c>
    </row>
    <row r="8536" spans="1:15" ht="16" x14ac:dyDescent="0.2">
      <c r="A8536" s="18"/>
      <c r="B8536" s="18"/>
      <c r="C8536" s="18"/>
      <c r="D8536" s="18"/>
      <c r="E8536" s="18"/>
      <c r="F8536" s="18"/>
      <c r="G8536" s="18"/>
      <c r="H8536" s="18"/>
      <c r="I8536" s="18"/>
      <c r="J8536" s="18"/>
      <c r="K8536" s="18"/>
      <c r="L8536" s="18"/>
      <c r="M8536" s="18"/>
      <c r="N8536" s="18"/>
      <c r="O8536" s="14" t="str">
        <f>HYPERLINK("https://otsuka-europe-crm.veevavault.com/ui/#object/email_activity__v/V8C00000003T455", "EN-002094541")</f>
        <v>EN-002094541</v>
      </c>
    </row>
    <row r="8537" spans="1:15" ht="16" x14ac:dyDescent="0.2">
      <c r="A8537" s="18"/>
      <c r="B8537" s="18"/>
      <c r="C8537" s="18"/>
      <c r="D8537" s="18"/>
      <c r="E8537" s="18"/>
      <c r="F8537" s="18"/>
      <c r="G8537" s="18"/>
      <c r="H8537" s="18"/>
      <c r="I8537" s="18"/>
      <c r="J8537" s="18"/>
      <c r="K8537" s="18"/>
      <c r="L8537" s="18"/>
      <c r="M8537" s="18"/>
      <c r="N8537" s="18"/>
      <c r="O8537" s="14" t="str">
        <f>HYPERLINK("https://otsuka-europe-crm.veevavault.com/ui/#object/email_activity__v/V8C00000003T456", "EN-002094542")</f>
        <v>EN-002094542</v>
      </c>
    </row>
    <row r="8538" spans="1:15" ht="16" x14ac:dyDescent="0.2">
      <c r="A8538" s="18"/>
      <c r="B8538" s="18"/>
      <c r="C8538" s="18"/>
      <c r="D8538" s="18"/>
      <c r="E8538" s="18"/>
      <c r="F8538" s="18"/>
      <c r="G8538" s="18"/>
      <c r="H8538" s="18"/>
      <c r="I8538" s="18"/>
      <c r="J8538" s="18"/>
      <c r="K8538" s="18"/>
      <c r="L8538" s="18"/>
      <c r="M8538" s="18"/>
      <c r="N8538" s="18"/>
      <c r="O8538" s="14" t="str">
        <f>HYPERLINK("https://otsuka-europe-crm.veevavault.com/ui/#object/email_activity__v/V8C00000003T457", "EN-002094543")</f>
        <v>EN-002094543</v>
      </c>
    </row>
    <row r="8539" spans="1:15" ht="16" x14ac:dyDescent="0.2">
      <c r="A8539" s="18"/>
      <c r="B8539" s="18"/>
      <c r="C8539" s="18"/>
      <c r="D8539" s="18"/>
      <c r="E8539" s="18"/>
      <c r="F8539" s="18"/>
      <c r="G8539" s="18"/>
      <c r="H8539" s="18"/>
      <c r="I8539" s="18"/>
      <c r="J8539" s="18"/>
      <c r="K8539" s="18"/>
      <c r="L8539" s="18"/>
      <c r="M8539" s="18"/>
      <c r="N8539" s="18"/>
      <c r="O8539" s="14" t="str">
        <f>HYPERLINK("https://otsuka-europe-crm.veevavault.com/ui/#object/email_activity__v/V8C00000003T458", "EN-002094544")</f>
        <v>EN-002094544</v>
      </c>
    </row>
    <row r="8540" spans="1:15" ht="16" x14ac:dyDescent="0.2">
      <c r="A8540" s="19"/>
      <c r="B8540" s="19"/>
      <c r="C8540" s="19"/>
      <c r="D8540" s="19"/>
      <c r="E8540" s="19"/>
      <c r="F8540" s="19"/>
      <c r="G8540" s="19"/>
      <c r="H8540" s="19"/>
      <c r="I8540" s="19"/>
      <c r="J8540" s="19"/>
      <c r="K8540" s="19"/>
      <c r="L8540" s="19"/>
      <c r="M8540" s="19"/>
      <c r="N8540" s="19"/>
      <c r="O8540" s="14" t="str">
        <f>HYPERLINK("https://otsuka-europe-crm.veevavault.com/ui/#object/email_activity__v/V8C00000003T459", "EN-002094546")</f>
        <v>EN-002094546</v>
      </c>
    </row>
    <row r="8541" spans="1:15" ht="16" x14ac:dyDescent="0.2">
      <c r="A8541" s="17" t="str">
        <f>HYPERLINK("https://otsuka-europe-crm.veevavault.com/ui/#object/account__v/V4T000000023087", "Joanne Rogers")</f>
        <v>Joanne Rogers</v>
      </c>
      <c r="B8541" s="17" t="str">
        <f>HYPERLINK("https://otsuka-europe-crm.veevavault.com/ui/#object/vcountry__v/VENZ000004SONFK", "GB")</f>
        <v>GB</v>
      </c>
      <c r="C8541" s="20" t="s">
        <v>39</v>
      </c>
      <c r="D8541" s="21" t="str">
        <f>HYPERLINK("https://otsuka-europe-crm.veevavault.com/ui/#object/approved_document__v/V5O00000000D081", "UK - Consent Email 1 Aug 25")</f>
        <v>UK - Consent Email 1 Aug 25</v>
      </c>
      <c r="E8541" s="22" t="str">
        <f>HYPERLINK("https://otsuka-europe-crm.veevavault.com/ui/#object/sent_email__v/VBL00000002R717", "SE-001435474")</f>
        <v>SE-001435474</v>
      </c>
      <c r="F8541" s="23">
        <v>46184.405439814815</v>
      </c>
      <c r="G8541" s="24">
        <v>1</v>
      </c>
      <c r="H8541" s="24">
        <v>1</v>
      </c>
      <c r="I8541" s="24">
        <v>1</v>
      </c>
      <c r="J8541" s="23">
        <v>46184.408668981479</v>
      </c>
      <c r="K8541" s="24">
        <v>7</v>
      </c>
      <c r="L8541" s="22" t="str">
        <f>HYPERLINK("https://otsuka-europe-crm.veevavault.com/ui/#object/approved_document__v/V5O00000000D081", "UK - Consent Email 1 Aug 25")</f>
        <v>UK - Consent Email 1 Aug 25</v>
      </c>
      <c r="M8541" s="22" t="str">
        <f>HYPERLINK("mailto:ldimambro@crm.otsuka-europe.com", "ldimambro@crm.otsuka-europe.com")</f>
        <v>ldimambro@crm.otsuka-europe.com</v>
      </c>
      <c r="N8541" s="23">
        <v>46184.405335648145</v>
      </c>
      <c r="O8541" s="14" t="str">
        <f>HYPERLINK("https://otsuka-europe-crm.veevavault.com/ui/#object/email_activity__v/V8C00000003S853", "EN-002094548")</f>
        <v>EN-002094548</v>
      </c>
    </row>
    <row r="8542" spans="1:15" ht="16" x14ac:dyDescent="0.2">
      <c r="A8542" s="18"/>
      <c r="B8542" s="18"/>
      <c r="C8542" s="18"/>
      <c r="D8542" s="18"/>
      <c r="E8542" s="18"/>
      <c r="F8542" s="18"/>
      <c r="G8542" s="18"/>
      <c r="H8542" s="18"/>
      <c r="I8542" s="18"/>
      <c r="J8542" s="18"/>
      <c r="K8542" s="18"/>
      <c r="L8542" s="18"/>
      <c r="M8542" s="18"/>
      <c r="N8542" s="18"/>
      <c r="O8542" s="14" t="str">
        <f>HYPERLINK("https://otsuka-europe-crm.veevavault.com/ui/#object/email_activity__v/V8C00000003S854", "EN-002094547")</f>
        <v>EN-002094547</v>
      </c>
    </row>
    <row r="8543" spans="1:15" ht="16" x14ac:dyDescent="0.2">
      <c r="A8543" s="18"/>
      <c r="B8543" s="18"/>
      <c r="C8543" s="18"/>
      <c r="D8543" s="18"/>
      <c r="E8543" s="18"/>
      <c r="F8543" s="18"/>
      <c r="G8543" s="18"/>
      <c r="H8543" s="18"/>
      <c r="I8543" s="18"/>
      <c r="J8543" s="18"/>
      <c r="K8543" s="18"/>
      <c r="L8543" s="18"/>
      <c r="M8543" s="18"/>
      <c r="N8543" s="18"/>
      <c r="O8543" s="14" t="str">
        <f>HYPERLINK("https://otsuka-europe-crm.veevavault.com/ui/#object/email_activity__v/V8C00000003S855", "EN-002094552")</f>
        <v>EN-002094552</v>
      </c>
    </row>
    <row r="8544" spans="1:15" ht="16" x14ac:dyDescent="0.2">
      <c r="A8544" s="18"/>
      <c r="B8544" s="18"/>
      <c r="C8544" s="18"/>
      <c r="D8544" s="18"/>
      <c r="E8544" s="18"/>
      <c r="F8544" s="18"/>
      <c r="G8544" s="18"/>
      <c r="H8544" s="18"/>
      <c r="I8544" s="18"/>
      <c r="J8544" s="18"/>
      <c r="K8544" s="18"/>
      <c r="L8544" s="18"/>
      <c r="M8544" s="18"/>
      <c r="N8544" s="18"/>
      <c r="O8544" s="14" t="str">
        <f>HYPERLINK("https://otsuka-europe-crm.veevavault.com/ui/#object/email_activity__v/V8C00000003T460", "EN-002094549")</f>
        <v>EN-002094549</v>
      </c>
    </row>
    <row r="8545" spans="1:15" ht="16" x14ac:dyDescent="0.2">
      <c r="A8545" s="18"/>
      <c r="B8545" s="18"/>
      <c r="C8545" s="18"/>
      <c r="D8545" s="18"/>
      <c r="E8545" s="18"/>
      <c r="F8545" s="18"/>
      <c r="G8545" s="18"/>
      <c r="H8545" s="18"/>
      <c r="I8545" s="18"/>
      <c r="J8545" s="18"/>
      <c r="K8545" s="18"/>
      <c r="L8545" s="18"/>
      <c r="M8545" s="18"/>
      <c r="N8545" s="18"/>
      <c r="O8545" s="14" t="str">
        <f>HYPERLINK("https://otsuka-europe-crm.veevavault.com/ui/#object/email_activity__v/V8C00000003T461", "EN-002094550")</f>
        <v>EN-002094550</v>
      </c>
    </row>
    <row r="8546" spans="1:15" ht="16" x14ac:dyDescent="0.2">
      <c r="A8546" s="18"/>
      <c r="B8546" s="18"/>
      <c r="C8546" s="18"/>
      <c r="D8546" s="18"/>
      <c r="E8546" s="18"/>
      <c r="F8546" s="18"/>
      <c r="G8546" s="18"/>
      <c r="H8546" s="18"/>
      <c r="I8546" s="18"/>
      <c r="J8546" s="18"/>
      <c r="K8546" s="18"/>
      <c r="L8546" s="18"/>
      <c r="M8546" s="18"/>
      <c r="N8546" s="18"/>
      <c r="O8546" s="14" t="str">
        <f>HYPERLINK("https://otsuka-europe-crm.veevavault.com/ui/#object/email_activity__v/V8C00000003T462", "EN-002094551")</f>
        <v>EN-002094551</v>
      </c>
    </row>
    <row r="8547" spans="1:15" ht="16" x14ac:dyDescent="0.2">
      <c r="A8547" s="18"/>
      <c r="B8547" s="18"/>
      <c r="C8547" s="18"/>
      <c r="D8547" s="18"/>
      <c r="E8547" s="18"/>
      <c r="F8547" s="18"/>
      <c r="G8547" s="18"/>
      <c r="H8547" s="18"/>
      <c r="I8547" s="18"/>
      <c r="J8547" s="18"/>
      <c r="K8547" s="18"/>
      <c r="L8547" s="18"/>
      <c r="M8547" s="18"/>
      <c r="N8547" s="18"/>
      <c r="O8547" s="14" t="str">
        <f>HYPERLINK("https://otsuka-europe-crm.veevavault.com/ui/#object/email_activity__v/V8C00000003T463", "EN-002094553")</f>
        <v>EN-002094553</v>
      </c>
    </row>
    <row r="8548" spans="1:15" ht="16" x14ac:dyDescent="0.2">
      <c r="A8548" s="18"/>
      <c r="B8548" s="18"/>
      <c r="C8548" s="18"/>
      <c r="D8548" s="18"/>
      <c r="E8548" s="18"/>
      <c r="F8548" s="18"/>
      <c r="G8548" s="18"/>
      <c r="H8548" s="18"/>
      <c r="I8548" s="18"/>
      <c r="J8548" s="18"/>
      <c r="K8548" s="18"/>
      <c r="L8548" s="18"/>
      <c r="M8548" s="18"/>
      <c r="N8548" s="18"/>
      <c r="O8548" s="14" t="str">
        <f>HYPERLINK("https://otsuka-europe-crm.veevavault.com/ui/#object/email_activity__v/V8C00000003T468", "EN-002094559")</f>
        <v>EN-002094559</v>
      </c>
    </row>
    <row r="8549" spans="1:15" ht="16" x14ac:dyDescent="0.2">
      <c r="A8549" s="19"/>
      <c r="B8549" s="19"/>
      <c r="C8549" s="19"/>
      <c r="D8549" s="19"/>
      <c r="E8549" s="19"/>
      <c r="F8549" s="19"/>
      <c r="G8549" s="19"/>
      <c r="H8549" s="19"/>
      <c r="I8549" s="19"/>
      <c r="J8549" s="19"/>
      <c r="K8549" s="19"/>
      <c r="L8549" s="19"/>
      <c r="M8549" s="19"/>
      <c r="N8549" s="19"/>
      <c r="O8549" s="14" t="str">
        <f>HYPERLINK("https://otsuka-europe-crm.veevavault.com/ui/#object/email_activity__v/V8C00000003T469", "EN-002094560")</f>
        <v>EN-002094560</v>
      </c>
    </row>
    <row r="8550" spans="1:15" ht="32" x14ac:dyDescent="0.2">
      <c r="A8550" s="7" t="str">
        <f>HYPERLINK("https://otsuka-europe-crm.veevavault.com/ui/#object/account__v/V4TZ06G6O71T8UL", "NATALIA MOSTEIRO GRELA")</f>
        <v>NATALIA MOSTEIRO GRELA</v>
      </c>
      <c r="B8550" s="7" t="str">
        <f>HYPERLINK("https://otsuka-europe-crm.veevavault.com/ui/#object/vcountry__v/VENZ000004SONF5", "ES")</f>
        <v>ES</v>
      </c>
      <c r="C8550" s="8" t="s">
        <v>41</v>
      </c>
      <c r="D8550" s="9" t="str">
        <f>HYPERLINK("https://otsuka-europe-crm.veevavault.com/ui/#object/approved_document__v/V5O00000001I001", "RXULTI - Programa webinar RXPERTS 11 junio")</f>
        <v>RXULTI - Programa webinar RXPERTS 11 junio</v>
      </c>
      <c r="E8550" s="10" t="str">
        <f>HYPERLINK("https://otsuka-europe-crm.veevavault.com/ui/#object/sent_email__v/VBL00000002R718", "SE-001435475")</f>
        <v>SE-001435475</v>
      </c>
      <c r="F8550" s="11"/>
      <c r="G8550" s="12">
        <v>0</v>
      </c>
      <c r="H8550" s="12">
        <v>0</v>
      </c>
      <c r="I8550" s="12">
        <v>0</v>
      </c>
      <c r="J8550" s="11"/>
      <c r="K8550" s="12">
        <v>0</v>
      </c>
      <c r="L8550" s="10" t="str">
        <f>HYPERLINK("https://otsuka-europe-crm.veevavault.com/ui/#object/approved_document__v/V5O00000001I001", "RXULTI - Programa webinar RXPERTS 11 junio")</f>
        <v>RXULTI - Programa webinar RXPERTS 11 junio</v>
      </c>
      <c r="M8550" s="10" t="str">
        <f>HYPERLINK("mailto:sruiz@crm.otsuka-europe.com", "sruiz@crm.otsuka-europe.com")</f>
        <v>sruiz@crm.otsuka-europe.com</v>
      </c>
      <c r="N8550" s="13">
        <v>46184.4065625</v>
      </c>
      <c r="O8550" s="14" t="str">
        <f>HYPERLINK("https://otsuka-europe-crm.veevavault.com/ui/#object/email_activity__v/V8C00000003T464", "EN-002094554")</f>
        <v>EN-002094554</v>
      </c>
    </row>
    <row r="8551" spans="1:15" ht="32" x14ac:dyDescent="0.2">
      <c r="A8551" s="7" t="str">
        <f>HYPERLINK("https://otsuka-europe-crm.veevavault.com/ui/#object/account__v/V4TZ06G6O7VT7V8", "JUAN DANIEL RESTREPO AGUILAR")</f>
        <v>JUAN DANIEL RESTREPO AGUILAR</v>
      </c>
      <c r="B8551" s="7" t="str">
        <f>HYPERLINK("https://otsuka-europe-crm.veevavault.com/ui/#object/vcountry__v/VENZ000004SONF5", "ES")</f>
        <v>ES</v>
      </c>
      <c r="C8551" s="8" t="s">
        <v>41</v>
      </c>
      <c r="D8551" s="9" t="str">
        <f>HYPERLINK("https://otsuka-europe-crm.veevavault.com/ui/#object/approved_document__v/V5O00000001I001", "RXULTI - Programa webinar RXPERTS 11 junio")</f>
        <v>RXULTI - Programa webinar RXPERTS 11 junio</v>
      </c>
      <c r="E8551" s="10" t="str">
        <f>HYPERLINK("https://otsuka-europe-crm.veevavault.com/ui/#object/sent_email__v/VBL00000002R719", "SE-001435476")</f>
        <v>SE-001435476</v>
      </c>
      <c r="F8551" s="11"/>
      <c r="G8551" s="12">
        <v>0</v>
      </c>
      <c r="H8551" s="12">
        <v>0</v>
      </c>
      <c r="I8551" s="12">
        <v>0</v>
      </c>
      <c r="J8551" s="11"/>
      <c r="K8551" s="12">
        <v>0</v>
      </c>
      <c r="L8551" s="10" t="str">
        <f>HYPERLINK("https://otsuka-europe-crm.veevavault.com/ui/#object/approved_document__v/V5O00000001I001", "RXULTI - Programa webinar RXPERTS 11 junio")</f>
        <v>RXULTI - Programa webinar RXPERTS 11 junio</v>
      </c>
      <c r="M8551" s="10" t="str">
        <f>HYPERLINK("mailto:sruiz@crm.otsuka-europe.com", "sruiz@crm.otsuka-europe.com")</f>
        <v>sruiz@crm.otsuka-europe.com</v>
      </c>
      <c r="N8551" s="13">
        <v>46184.4065625</v>
      </c>
      <c r="O8551" s="14" t="str">
        <f>HYPERLINK("https://otsuka-europe-crm.veevavault.com/ui/#object/email_activity__v/V8C00000003T465", "EN-002094555")</f>
        <v>EN-002094555</v>
      </c>
    </row>
    <row r="8552" spans="1:15" ht="32" x14ac:dyDescent="0.2">
      <c r="A8552" s="7" t="str">
        <f>HYPERLINK("https://otsuka-europe-crm.veevavault.com/ui/#object/account__v/V4TZ025E83G8T9H", "FLORIAN MARTIN")</f>
        <v>FLORIAN MARTIN</v>
      </c>
      <c r="B8552" s="7" t="str">
        <f>HYPERLINK("https://otsuka-europe-crm.veevavault.com/ui/#object/vcountry__v/VENZ000004SONFA", "FR")</f>
        <v>FR</v>
      </c>
      <c r="C8552" s="8" t="s">
        <v>42</v>
      </c>
      <c r="D8552" s="9" t="str">
        <f>HYPERLINK("https://otsuka-europe-crm.veevavault.com/ui/#object/approved_document__v/V5OZ04ASG4G02Y7", "REMERCIEMENTS_VAD_2023")</f>
        <v>REMERCIEMENTS_VAD_2023</v>
      </c>
      <c r="E8552" s="10" t="str">
        <f>HYPERLINK("https://otsuka-europe-crm.veevavault.com/ui/#object/sent_email__v/VBL00000002R720", "SE-001435477")</f>
        <v>SE-001435477</v>
      </c>
      <c r="F8552" s="11"/>
      <c r="G8552" s="12">
        <v>0</v>
      </c>
      <c r="H8552" s="12">
        <v>0</v>
      </c>
      <c r="I8552" s="12">
        <v>0</v>
      </c>
      <c r="J8552" s="11"/>
      <c r="K8552" s="12">
        <v>0</v>
      </c>
      <c r="L8552" s="10" t="str">
        <f>HYPERLINK("https://otsuka-europe-crm.veevavault.com/ui/#object/approved_document__v/V5OZ04ASG4G02Y7", "REMERCIEMENTS_VAD_2023")</f>
        <v>REMERCIEMENTS_VAD_2023</v>
      </c>
      <c r="M8552" s="10" t="str">
        <f>HYPERLINK("mailto:cmaillegarnier@crm.otsuka-europe.com", "cmaillegarnier@crm.otsuka-europe.com")</f>
        <v>cmaillegarnier@crm.otsuka-europe.com</v>
      </c>
      <c r="N8552" s="13">
        <v>46184.408125000002</v>
      </c>
      <c r="O8552" s="14" t="str">
        <f>HYPERLINK("https://otsuka-europe-crm.veevavault.com/ui/#object/email_activity__v/V8C00000003T466", "EN-002094556")</f>
        <v>EN-002094556</v>
      </c>
    </row>
    <row r="8553" spans="1:15" ht="48" x14ac:dyDescent="0.2">
      <c r="A8553" s="7" t="str">
        <f>HYPERLINK("https://otsuka-europe-crm.veevavault.com/ui/#object/account__v/V4TZ025E83G8T9H", "FLORIAN MARTIN")</f>
        <v>FLORIAN MARTIN</v>
      </c>
      <c r="B8553" s="7" t="str">
        <f>HYPERLINK("https://otsuka-europe-crm.veevavault.com/ui/#object/vcountry__v/VENZ000004SONFA", "FR")</f>
        <v>FR</v>
      </c>
      <c r="C8553" s="8" t="s">
        <v>42</v>
      </c>
      <c r="D8553" s="9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E8553" s="10" t="str">
        <f>HYPERLINK("https://otsuka-europe-crm.veevavault.com/ui/#object/sent_email__v/VBL00000002R721", "SE-001435478")</f>
        <v>SE-001435478</v>
      </c>
      <c r="F8553" s="11"/>
      <c r="G8553" s="12">
        <v>0</v>
      </c>
      <c r="H8553" s="12">
        <v>0</v>
      </c>
      <c r="I8553" s="12">
        <v>0</v>
      </c>
      <c r="J8553" s="11"/>
      <c r="K8553" s="12">
        <v>0</v>
      </c>
      <c r="L8553" s="10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M8553" s="10" t="str">
        <f>HYPERLINK("mailto:cmaillegarnier@crm.otsuka-europe.com", "cmaillegarnier@crm.otsuka-europe.com")</f>
        <v>cmaillegarnier@crm.otsuka-europe.com</v>
      </c>
      <c r="N8553" s="13">
        <v>46185.717175925929</v>
      </c>
      <c r="O8553" s="14" t="str">
        <f>HYPERLINK("https://otsuka-europe-crm.veevavault.com/ui/#object/email_activity__v/V8C00000003V378", "EN-002095547")</f>
        <v>EN-002095547</v>
      </c>
    </row>
    <row r="8554" spans="1:15" ht="16" x14ac:dyDescent="0.2">
      <c r="A8554" s="17" t="str">
        <f>HYPERLINK("https://otsuka-europe-crm.veevavault.com/ui/#object/account__v/V4TZ06G6O71TCCH", "GEMMA ISABEL SAN NARCISO IZQUIERDO")</f>
        <v>GEMMA ISABEL SAN NARCISO IZQUIERDO</v>
      </c>
      <c r="B8554" s="17" t="str">
        <f>HYPERLINK("https://otsuka-europe-crm.veevavault.com/ui/#object/vcountry__v/VENZ000004SONF5", "ES")</f>
        <v>ES</v>
      </c>
      <c r="C8554" s="20" t="s">
        <v>41</v>
      </c>
      <c r="D8554" s="21" t="str">
        <f>HYPERLINK("https://otsuka-europe-crm.veevavault.com/ui/#object/approved_document__v/V5O00000001I001", "RXULTI - Programa webinar RXPERTS 11 junio")</f>
        <v>RXULTI - Programa webinar RXPERTS 11 junio</v>
      </c>
      <c r="E8554" s="22" t="str">
        <f>HYPERLINK("https://otsuka-europe-crm.veevavault.com/ui/#object/sent_email__v/VBL00000002S751", "SE-001435479")</f>
        <v>SE-001435479</v>
      </c>
      <c r="F8554" s="23">
        <v>46184.792164351849</v>
      </c>
      <c r="G8554" s="24">
        <v>1</v>
      </c>
      <c r="H8554" s="24">
        <v>5</v>
      </c>
      <c r="I8554" s="24">
        <v>1</v>
      </c>
      <c r="J8554" s="23">
        <v>46184.791990740741</v>
      </c>
      <c r="K8554" s="24">
        <v>5</v>
      </c>
      <c r="L8554" s="22" t="str">
        <f>HYPERLINK("https://otsuka-europe-crm.veevavault.com/ui/#object/approved_document__v/V5O00000001I001", "RXULTI - Programa webinar RXPERTS 11 junio")</f>
        <v>RXULTI - Programa webinar RXPERTS 11 junio</v>
      </c>
      <c r="M8554" s="22" t="str">
        <f>HYPERLINK("mailto:sdiez@crm.otsuka-europe.com", "sdiez@crm.otsuka-europe.com")</f>
        <v>sdiez@crm.otsuka-europe.com</v>
      </c>
      <c r="N8554" s="23">
        <v>46184.412106481483</v>
      </c>
      <c r="O8554" s="14" t="str">
        <f>HYPERLINK("https://otsuka-europe-crm.veevavault.com/ui/#object/email_activity__v/V8C00000003S857", "EN-002094563")</f>
        <v>EN-002094563</v>
      </c>
    </row>
    <row r="8555" spans="1:15" ht="16" x14ac:dyDescent="0.2">
      <c r="A8555" s="18"/>
      <c r="B8555" s="18"/>
      <c r="C8555" s="18"/>
      <c r="D8555" s="18"/>
      <c r="E8555" s="18"/>
      <c r="F8555" s="18"/>
      <c r="G8555" s="18"/>
      <c r="H8555" s="18"/>
      <c r="I8555" s="18"/>
      <c r="J8555" s="18"/>
      <c r="K8555" s="18"/>
      <c r="L8555" s="18"/>
      <c r="M8555" s="18"/>
      <c r="N8555" s="18"/>
      <c r="O8555" s="14" t="str">
        <f>HYPERLINK("https://otsuka-europe-crm.veevavault.com/ui/#object/email_activity__v/V8C00000003S972", "EN-002094790")</f>
        <v>EN-002094790</v>
      </c>
    </row>
    <row r="8556" spans="1:15" ht="16" x14ac:dyDescent="0.2">
      <c r="A8556" s="18"/>
      <c r="B8556" s="18"/>
      <c r="C8556" s="18"/>
      <c r="D8556" s="18"/>
      <c r="E8556" s="18"/>
      <c r="F8556" s="18"/>
      <c r="G8556" s="18"/>
      <c r="H8556" s="18"/>
      <c r="I8556" s="18"/>
      <c r="J8556" s="18"/>
      <c r="K8556" s="18"/>
      <c r="L8556" s="18"/>
      <c r="M8556" s="18"/>
      <c r="N8556" s="18"/>
      <c r="O8556" s="14" t="str">
        <f>HYPERLINK("https://otsuka-europe-crm.veevavault.com/ui/#object/email_activity__v/V8C00000003S974", "EN-002094792")</f>
        <v>EN-002094792</v>
      </c>
    </row>
    <row r="8557" spans="1:15" ht="16" x14ac:dyDescent="0.2">
      <c r="A8557" s="18"/>
      <c r="B8557" s="18"/>
      <c r="C8557" s="18"/>
      <c r="D8557" s="18"/>
      <c r="E8557" s="18"/>
      <c r="F8557" s="18"/>
      <c r="G8557" s="18"/>
      <c r="H8557" s="18"/>
      <c r="I8557" s="18"/>
      <c r="J8557" s="18"/>
      <c r="K8557" s="18"/>
      <c r="L8557" s="18"/>
      <c r="M8557" s="18"/>
      <c r="N8557" s="18"/>
      <c r="O8557" s="14" t="str">
        <f>HYPERLINK("https://otsuka-europe-crm.veevavault.com/ui/#object/email_activity__v/V8C00000003S975", "EN-002094793")</f>
        <v>EN-002094793</v>
      </c>
    </row>
    <row r="8558" spans="1:15" ht="16" x14ac:dyDescent="0.2">
      <c r="A8558" s="18"/>
      <c r="B8558" s="18"/>
      <c r="C8558" s="18"/>
      <c r="D8558" s="18"/>
      <c r="E8558" s="18"/>
      <c r="F8558" s="18"/>
      <c r="G8558" s="18"/>
      <c r="H8558" s="18"/>
      <c r="I8558" s="18"/>
      <c r="J8558" s="18"/>
      <c r="K8558" s="18"/>
      <c r="L8558" s="18"/>
      <c r="M8558" s="18"/>
      <c r="N8558" s="18"/>
      <c r="O8558" s="14" t="str">
        <f>HYPERLINK("https://otsuka-europe-crm.veevavault.com/ui/#object/email_activity__v/V8C00000003S976", "EN-002094794")</f>
        <v>EN-002094794</v>
      </c>
    </row>
    <row r="8559" spans="1:15" ht="16" x14ac:dyDescent="0.2">
      <c r="A8559" s="18"/>
      <c r="B8559" s="18"/>
      <c r="C8559" s="18"/>
      <c r="D8559" s="18"/>
      <c r="E8559" s="18"/>
      <c r="F8559" s="18"/>
      <c r="G8559" s="18"/>
      <c r="H8559" s="18"/>
      <c r="I8559" s="18"/>
      <c r="J8559" s="18"/>
      <c r="K8559" s="18"/>
      <c r="L8559" s="18"/>
      <c r="M8559" s="18"/>
      <c r="N8559" s="18"/>
      <c r="O8559" s="14" t="str">
        <f>HYPERLINK("https://otsuka-europe-crm.veevavault.com/ui/#object/email_activity__v/V8C00000003T479", "EN-002094575")</f>
        <v>EN-002094575</v>
      </c>
    </row>
    <row r="8560" spans="1:15" ht="16" x14ac:dyDescent="0.2">
      <c r="A8560" s="18"/>
      <c r="B8560" s="18"/>
      <c r="C8560" s="18"/>
      <c r="D8560" s="18"/>
      <c r="E8560" s="18"/>
      <c r="F8560" s="18"/>
      <c r="G8560" s="18"/>
      <c r="H8560" s="18"/>
      <c r="I8560" s="18"/>
      <c r="J8560" s="18"/>
      <c r="K8560" s="18"/>
      <c r="L8560" s="18"/>
      <c r="M8560" s="18"/>
      <c r="N8560" s="18"/>
      <c r="O8560" s="14" t="str">
        <f>HYPERLINK("https://otsuka-europe-crm.veevavault.com/ui/#object/email_activity__v/V8C00000003U001", "EN-002094819")</f>
        <v>EN-002094819</v>
      </c>
    </row>
    <row r="8561" spans="1:15" ht="16" x14ac:dyDescent="0.2">
      <c r="A8561" s="18"/>
      <c r="B8561" s="18"/>
      <c r="C8561" s="18"/>
      <c r="D8561" s="18"/>
      <c r="E8561" s="18"/>
      <c r="F8561" s="18"/>
      <c r="G8561" s="18"/>
      <c r="H8561" s="18"/>
      <c r="I8561" s="18"/>
      <c r="J8561" s="18"/>
      <c r="K8561" s="18"/>
      <c r="L8561" s="18"/>
      <c r="M8561" s="18"/>
      <c r="N8561" s="18"/>
      <c r="O8561" s="14" t="str">
        <f>HYPERLINK("https://otsuka-europe-crm.veevavault.com/ui/#object/email_activity__v/V8C00000003U002", "EN-002094820")</f>
        <v>EN-002094820</v>
      </c>
    </row>
    <row r="8562" spans="1:15" ht="16" x14ac:dyDescent="0.2">
      <c r="A8562" s="18"/>
      <c r="B8562" s="18"/>
      <c r="C8562" s="18"/>
      <c r="D8562" s="18"/>
      <c r="E8562" s="18"/>
      <c r="F8562" s="18"/>
      <c r="G8562" s="18"/>
      <c r="H8562" s="18"/>
      <c r="I8562" s="18"/>
      <c r="J8562" s="18"/>
      <c r="K8562" s="18"/>
      <c r="L8562" s="18"/>
      <c r="M8562" s="18"/>
      <c r="N8562" s="18"/>
      <c r="O8562" s="14" t="str">
        <f>HYPERLINK("https://otsuka-europe-crm.veevavault.com/ui/#object/email_activity__v/V8C00000003U006", "EN-002094825")</f>
        <v>EN-002094825</v>
      </c>
    </row>
    <row r="8563" spans="1:15" ht="16" x14ac:dyDescent="0.2">
      <c r="A8563" s="18"/>
      <c r="B8563" s="18"/>
      <c r="C8563" s="18"/>
      <c r="D8563" s="18"/>
      <c r="E8563" s="18"/>
      <c r="F8563" s="18"/>
      <c r="G8563" s="18"/>
      <c r="H8563" s="18"/>
      <c r="I8563" s="18"/>
      <c r="J8563" s="18"/>
      <c r="K8563" s="18"/>
      <c r="L8563" s="18"/>
      <c r="M8563" s="18"/>
      <c r="N8563" s="18"/>
      <c r="O8563" s="14" t="str">
        <f>HYPERLINK("https://otsuka-europe-crm.veevavault.com/ui/#object/email_activity__v/V8C00000003U007", "EN-002094826")</f>
        <v>EN-002094826</v>
      </c>
    </row>
    <row r="8564" spans="1:15" ht="16" x14ac:dyDescent="0.2">
      <c r="A8564" s="19"/>
      <c r="B8564" s="19"/>
      <c r="C8564" s="19"/>
      <c r="D8564" s="19"/>
      <c r="E8564" s="19"/>
      <c r="F8564" s="19"/>
      <c r="G8564" s="19"/>
      <c r="H8564" s="19"/>
      <c r="I8564" s="19"/>
      <c r="J8564" s="19"/>
      <c r="K8564" s="19"/>
      <c r="L8564" s="19"/>
      <c r="M8564" s="19"/>
      <c r="N8564" s="19"/>
      <c r="O8564" s="14" t="str">
        <f>HYPERLINK("https://otsuka-europe-crm.veevavault.com/ui/#object/email_activity__v/V8C00000003V001", "EN-002094824")</f>
        <v>EN-002094824</v>
      </c>
    </row>
    <row r="8565" spans="1:15" ht="16" x14ac:dyDescent="0.2">
      <c r="A8565" s="17" t="str">
        <f>HYPERLINK("https://otsuka-europe-crm.veevavault.com/ui/#object/account__v/V4TZ06G6O71TBT0", "JOSE DOROTEO RIVAS PEREZ")</f>
        <v>JOSE DOROTEO RIVAS PEREZ</v>
      </c>
      <c r="B8565" s="17" t="str">
        <f>HYPERLINK("https://otsuka-europe-crm.veevavault.com/ui/#object/vcountry__v/VENZ000004SONF5", "ES")</f>
        <v>ES</v>
      </c>
      <c r="C8565" s="20" t="s">
        <v>41</v>
      </c>
      <c r="D8565" s="21" t="str">
        <f>HYPERLINK("https://otsuka-europe-crm.veevavault.com/ui/#object/approved_document__v/V5O00000001I001", "RXULTI - Programa webinar RXPERTS 11 junio")</f>
        <v>RXULTI - Programa webinar RXPERTS 11 junio</v>
      </c>
      <c r="E8565" s="22" t="str">
        <f>HYPERLINK("https://otsuka-europe-crm.veevavault.com/ui/#object/sent_email__v/VBL00000002R722", "SE-001435480")</f>
        <v>SE-001435480</v>
      </c>
      <c r="F8565" s="23">
        <v>46188.552974537037</v>
      </c>
      <c r="G8565" s="24">
        <v>1</v>
      </c>
      <c r="H8565" s="24">
        <v>12</v>
      </c>
      <c r="I8565" s="24">
        <v>1</v>
      </c>
      <c r="J8565" s="23">
        <v>46184.756412037037</v>
      </c>
      <c r="K8565" s="24">
        <v>3</v>
      </c>
      <c r="L8565" s="22" t="str">
        <f>HYPERLINK("https://otsuka-europe-crm.veevavault.com/ui/#object/approved_document__v/V5O00000001I001", "RXULTI - Programa webinar RXPERTS 11 junio")</f>
        <v>RXULTI - Programa webinar RXPERTS 11 junio</v>
      </c>
      <c r="M8565" s="22" t="str">
        <f>HYPERLINK("mailto:sdiez@crm.otsuka-europe.com", "sdiez@crm.otsuka-europe.com")</f>
        <v>sdiez@crm.otsuka-europe.com</v>
      </c>
      <c r="N8565" s="23">
        <v>46184.412106481483</v>
      </c>
      <c r="O8565" s="14" t="str">
        <f>HYPERLINK("https://otsuka-europe-crm.veevavault.com/ui/#object/email_activity__v/V8C00000003S860", "EN-002094569")</f>
        <v>EN-002094569</v>
      </c>
    </row>
    <row r="8566" spans="1:15" ht="16" x14ac:dyDescent="0.2">
      <c r="A8566" s="18"/>
      <c r="B8566" s="18"/>
      <c r="C8566" s="18"/>
      <c r="D8566" s="18"/>
      <c r="E8566" s="18"/>
      <c r="F8566" s="18"/>
      <c r="G8566" s="18"/>
      <c r="H8566" s="18"/>
      <c r="I8566" s="18"/>
      <c r="J8566" s="18"/>
      <c r="K8566" s="18"/>
      <c r="L8566" s="18"/>
      <c r="M8566" s="18"/>
      <c r="N8566" s="18"/>
      <c r="O8566" s="14" t="str">
        <f>HYPERLINK("https://otsuka-europe-crm.veevavault.com/ui/#object/email_activity__v/V8C00000003S979", "EN-002094797")</f>
        <v>EN-002094797</v>
      </c>
    </row>
    <row r="8567" spans="1:15" ht="16" x14ac:dyDescent="0.2">
      <c r="A8567" s="18"/>
      <c r="B8567" s="18"/>
      <c r="C8567" s="18"/>
      <c r="D8567" s="18"/>
      <c r="E8567" s="18"/>
      <c r="F8567" s="18"/>
      <c r="G8567" s="18"/>
      <c r="H8567" s="18"/>
      <c r="I8567" s="18"/>
      <c r="J8567" s="18"/>
      <c r="K8567" s="18"/>
      <c r="L8567" s="18"/>
      <c r="M8567" s="18"/>
      <c r="N8567" s="18"/>
      <c r="O8567" s="14" t="str">
        <f>HYPERLINK("https://otsuka-europe-crm.veevavault.com/ui/#object/email_activity__v/V8C00000003T470", "EN-002094561")</f>
        <v>EN-002094561</v>
      </c>
    </row>
    <row r="8568" spans="1:15" ht="16" x14ac:dyDescent="0.2">
      <c r="A8568" s="18"/>
      <c r="B8568" s="18"/>
      <c r="C8568" s="18"/>
      <c r="D8568" s="18"/>
      <c r="E8568" s="18"/>
      <c r="F8568" s="18"/>
      <c r="G8568" s="18"/>
      <c r="H8568" s="18"/>
      <c r="I8568" s="18"/>
      <c r="J8568" s="18"/>
      <c r="K8568" s="18"/>
      <c r="L8568" s="18"/>
      <c r="M8568" s="18"/>
      <c r="N8568" s="18"/>
      <c r="O8568" s="14" t="str">
        <f>HYPERLINK("https://otsuka-europe-crm.veevavault.com/ui/#object/email_activity__v/V8C00000003T474", "EN-002094568")</f>
        <v>EN-002094568</v>
      </c>
    </row>
    <row r="8569" spans="1:15" ht="16" x14ac:dyDescent="0.2">
      <c r="A8569" s="18"/>
      <c r="B8569" s="18"/>
      <c r="C8569" s="18"/>
      <c r="D8569" s="18"/>
      <c r="E8569" s="18"/>
      <c r="F8569" s="18"/>
      <c r="G8569" s="18"/>
      <c r="H8569" s="18"/>
      <c r="I8569" s="18"/>
      <c r="J8569" s="18"/>
      <c r="K8569" s="18"/>
      <c r="L8569" s="18"/>
      <c r="M8569" s="18"/>
      <c r="N8569" s="18"/>
      <c r="O8569" s="14" t="str">
        <f>HYPERLINK("https://otsuka-europe-crm.veevavault.com/ui/#object/email_activity__v/V8C00000003T475", "EN-002094570")</f>
        <v>EN-002094570</v>
      </c>
    </row>
    <row r="8570" spans="1:15" ht="16" x14ac:dyDescent="0.2">
      <c r="A8570" s="18"/>
      <c r="B8570" s="18"/>
      <c r="C8570" s="18"/>
      <c r="D8570" s="18"/>
      <c r="E8570" s="18"/>
      <c r="F8570" s="18"/>
      <c r="G8570" s="18"/>
      <c r="H8570" s="18"/>
      <c r="I8570" s="18"/>
      <c r="J8570" s="18"/>
      <c r="K8570" s="18"/>
      <c r="L8570" s="18"/>
      <c r="M8570" s="18"/>
      <c r="N8570" s="18"/>
      <c r="O8570" s="14" t="str">
        <f>HYPERLINK("https://otsuka-europe-crm.veevavault.com/ui/#object/email_activity__v/V8C00000003T585", "EN-002094799")</f>
        <v>EN-002094799</v>
      </c>
    </row>
    <row r="8571" spans="1:15" ht="16" x14ac:dyDescent="0.2">
      <c r="A8571" s="18"/>
      <c r="B8571" s="18"/>
      <c r="C8571" s="18"/>
      <c r="D8571" s="18"/>
      <c r="E8571" s="18"/>
      <c r="F8571" s="18"/>
      <c r="G8571" s="18"/>
      <c r="H8571" s="18"/>
      <c r="I8571" s="18"/>
      <c r="J8571" s="18"/>
      <c r="K8571" s="18"/>
      <c r="L8571" s="18"/>
      <c r="M8571" s="18"/>
      <c r="N8571" s="18"/>
      <c r="O8571" s="14" t="str">
        <f>HYPERLINK("https://otsuka-europe-crm.veevavault.com/ui/#object/email_activity__v/V8C00000003T590", "EN-002094804")</f>
        <v>EN-002094804</v>
      </c>
    </row>
    <row r="8572" spans="1:15" ht="16" x14ac:dyDescent="0.2">
      <c r="A8572" s="18"/>
      <c r="B8572" s="18"/>
      <c r="C8572" s="18"/>
      <c r="D8572" s="18"/>
      <c r="E8572" s="18"/>
      <c r="F8572" s="18"/>
      <c r="G8572" s="18"/>
      <c r="H8572" s="18"/>
      <c r="I8572" s="18"/>
      <c r="J8572" s="18"/>
      <c r="K8572" s="18"/>
      <c r="L8572" s="18"/>
      <c r="M8572" s="18"/>
      <c r="N8572" s="18"/>
      <c r="O8572" s="14" t="str">
        <f>HYPERLINK("https://otsuka-europe-crm.veevavault.com/ui/#object/email_activity__v/V8C00000003T591", "EN-002094805")</f>
        <v>EN-002094805</v>
      </c>
    </row>
    <row r="8573" spans="1:15" ht="16" x14ac:dyDescent="0.2">
      <c r="A8573" s="18"/>
      <c r="B8573" s="18"/>
      <c r="C8573" s="18"/>
      <c r="D8573" s="18"/>
      <c r="E8573" s="18"/>
      <c r="F8573" s="18"/>
      <c r="G8573" s="18"/>
      <c r="H8573" s="18"/>
      <c r="I8573" s="18"/>
      <c r="J8573" s="18"/>
      <c r="K8573" s="18"/>
      <c r="L8573" s="18"/>
      <c r="M8573" s="18"/>
      <c r="N8573" s="18"/>
      <c r="O8573" s="14" t="str">
        <f>HYPERLINK("https://otsuka-europe-crm.veevavault.com/ui/#object/email_activity__v/V8C00000003V290", "EN-002095361")</f>
        <v>EN-002095361</v>
      </c>
    </row>
    <row r="8574" spans="1:15" ht="16" x14ac:dyDescent="0.2">
      <c r="A8574" s="18"/>
      <c r="B8574" s="18"/>
      <c r="C8574" s="18"/>
      <c r="D8574" s="18"/>
      <c r="E8574" s="18"/>
      <c r="F8574" s="18"/>
      <c r="G8574" s="18"/>
      <c r="H8574" s="18"/>
      <c r="I8574" s="18"/>
      <c r="J8574" s="18"/>
      <c r="K8574" s="18"/>
      <c r="L8574" s="18"/>
      <c r="M8574" s="18"/>
      <c r="N8574" s="18"/>
      <c r="O8574" s="14" t="str">
        <f>HYPERLINK("https://otsuka-europe-crm.veevavault.com/ui/#object/email_activity__v/V8C00000003V291", "EN-002095362")</f>
        <v>EN-002095362</v>
      </c>
    </row>
    <row r="8575" spans="1:15" ht="16" x14ac:dyDescent="0.2">
      <c r="A8575" s="18"/>
      <c r="B8575" s="18"/>
      <c r="C8575" s="18"/>
      <c r="D8575" s="18"/>
      <c r="E8575" s="18"/>
      <c r="F8575" s="18"/>
      <c r="G8575" s="18"/>
      <c r="H8575" s="18"/>
      <c r="I8575" s="18"/>
      <c r="J8575" s="18"/>
      <c r="K8575" s="18"/>
      <c r="L8575" s="18"/>
      <c r="M8575" s="18"/>
      <c r="N8575" s="18"/>
      <c r="O8575" s="14" t="str">
        <f>HYPERLINK("https://otsuka-europe-crm.veevavault.com/ui/#object/email_activity__v/V8C00000003V307", "EN-002095406")</f>
        <v>EN-002095406</v>
      </c>
    </row>
    <row r="8576" spans="1:15" ht="16" x14ac:dyDescent="0.2">
      <c r="A8576" s="18"/>
      <c r="B8576" s="18"/>
      <c r="C8576" s="18"/>
      <c r="D8576" s="18"/>
      <c r="E8576" s="18"/>
      <c r="F8576" s="18"/>
      <c r="G8576" s="18"/>
      <c r="H8576" s="18"/>
      <c r="I8576" s="18"/>
      <c r="J8576" s="18"/>
      <c r="K8576" s="18"/>
      <c r="L8576" s="18"/>
      <c r="M8576" s="18"/>
      <c r="N8576" s="18"/>
      <c r="O8576" s="14" t="str">
        <f>HYPERLINK("https://otsuka-europe-crm.veevavault.com/ui/#object/email_activity__v/V8C00000003V308", "EN-002095407")</f>
        <v>EN-002095407</v>
      </c>
    </row>
    <row r="8577" spans="1:15" ht="16" x14ac:dyDescent="0.2">
      <c r="A8577" s="18"/>
      <c r="B8577" s="18"/>
      <c r="C8577" s="18"/>
      <c r="D8577" s="18"/>
      <c r="E8577" s="18"/>
      <c r="F8577" s="18"/>
      <c r="G8577" s="18"/>
      <c r="H8577" s="18"/>
      <c r="I8577" s="18"/>
      <c r="J8577" s="18"/>
      <c r="K8577" s="18"/>
      <c r="L8577" s="18"/>
      <c r="M8577" s="18"/>
      <c r="N8577" s="18"/>
      <c r="O8577" s="14" t="str">
        <f>HYPERLINK("https://otsuka-europe-crm.veevavault.com/ui/#object/email_activity__v/V8C00000003V309", "EN-002095408")</f>
        <v>EN-002095408</v>
      </c>
    </row>
    <row r="8578" spans="1:15" ht="16" x14ac:dyDescent="0.2">
      <c r="A8578" s="18"/>
      <c r="B8578" s="18"/>
      <c r="C8578" s="18"/>
      <c r="D8578" s="18"/>
      <c r="E8578" s="18"/>
      <c r="F8578" s="18"/>
      <c r="G8578" s="18"/>
      <c r="H8578" s="18"/>
      <c r="I8578" s="18"/>
      <c r="J8578" s="18"/>
      <c r="K8578" s="18"/>
      <c r="L8578" s="18"/>
      <c r="M8578" s="18"/>
      <c r="N8578" s="18"/>
      <c r="O8578" s="14" t="str">
        <f>HYPERLINK("https://otsuka-europe-crm.veevavault.com/ui/#object/email_activity__v/V8C00000003V310", "EN-002095409")</f>
        <v>EN-002095409</v>
      </c>
    </row>
    <row r="8579" spans="1:15" ht="16" x14ac:dyDescent="0.2">
      <c r="A8579" s="18"/>
      <c r="B8579" s="18"/>
      <c r="C8579" s="18"/>
      <c r="D8579" s="18"/>
      <c r="E8579" s="18"/>
      <c r="F8579" s="18"/>
      <c r="G8579" s="18"/>
      <c r="H8579" s="18"/>
      <c r="I8579" s="18"/>
      <c r="J8579" s="18"/>
      <c r="K8579" s="18"/>
      <c r="L8579" s="18"/>
      <c r="M8579" s="18"/>
      <c r="N8579" s="18"/>
      <c r="O8579" s="14" t="str">
        <f>HYPERLINK("https://otsuka-europe-crm.veevavault.com/ui/#object/email_activity__v/V8C00000003V703", "EN-002096207")</f>
        <v>EN-002096207</v>
      </c>
    </row>
    <row r="8580" spans="1:15" ht="16" x14ac:dyDescent="0.2">
      <c r="A8580" s="19"/>
      <c r="B8580" s="19"/>
      <c r="C8580" s="19"/>
      <c r="D8580" s="19"/>
      <c r="E8580" s="19"/>
      <c r="F8580" s="19"/>
      <c r="G8580" s="19"/>
      <c r="H8580" s="19"/>
      <c r="I8580" s="19"/>
      <c r="J8580" s="19"/>
      <c r="K8580" s="19"/>
      <c r="L8580" s="19"/>
      <c r="M8580" s="19"/>
      <c r="N8580" s="19"/>
      <c r="O8580" s="14" t="str">
        <f>HYPERLINK("https://otsuka-europe-crm.veevavault.com/ui/#object/email_activity__v/V8C00000003V704", "EN-002096208")</f>
        <v>EN-002096208</v>
      </c>
    </row>
    <row r="8581" spans="1:15" ht="32" x14ac:dyDescent="0.2">
      <c r="A8581" s="7" t="str">
        <f>HYPERLINK("https://otsuka-europe-crm.veevavault.com/ui/#object/account__v/V4T000000023088", "Suzanne Burke")</f>
        <v>Suzanne Burke</v>
      </c>
      <c r="B8581" s="7" t="str">
        <f>HYPERLINK("https://otsuka-europe-crm.veevavault.com/ui/#object/vcountry__v/VENZ000004SONFK", "GB")</f>
        <v>GB</v>
      </c>
      <c r="C8581" s="8" t="s">
        <v>39</v>
      </c>
      <c r="D8581" s="9" t="str">
        <f>HYPERLINK("https://otsuka-europe-crm.veevavault.com/ui/#object/approved_document__v/V5OZ025E82PXJSL", "Otsuka Privacy Notice - UK (v2)")</f>
        <v>Otsuka Privacy Notice - UK (v2)</v>
      </c>
      <c r="E8581" s="10" t="str">
        <f>HYPERLINK("https://otsuka-europe-crm.veevavault.com/ui/#object/sent_email__v/VBL00000002R723", "SE-001435481")</f>
        <v>SE-001435481</v>
      </c>
      <c r="F8581" s="11"/>
      <c r="G8581" s="12">
        <v>0</v>
      </c>
      <c r="H8581" s="12">
        <v>0</v>
      </c>
      <c r="I8581" s="12">
        <v>0</v>
      </c>
      <c r="J8581" s="11"/>
      <c r="K8581" s="12">
        <v>0</v>
      </c>
      <c r="L8581" s="10" t="str">
        <f>HYPERLINK("https://otsuka-europe-crm.veevavault.com/ui/#object/approved_document__v/V5OZ025E82PXJSL", "Otsuka Privacy Notice - UK (v2)")</f>
        <v>Otsuka Privacy Notice - UK (v2)</v>
      </c>
      <c r="M8581" s="10" t="str">
        <f>HYPERLINK("mailto:ldimambro@crm.otsuka-europe.com", "ldimambro@crm.otsuka-europe.com")</f>
        <v>ldimambro@crm.otsuka-europe.com</v>
      </c>
      <c r="N8581" s="13">
        <v>46184.413344907407</v>
      </c>
      <c r="O8581" s="14" t="str">
        <f>HYPERLINK("https://otsuka-europe-crm.veevavault.com/ui/#object/email_activity__v/V8C00000003T472", "EN-002094564")</f>
        <v>EN-002094564</v>
      </c>
    </row>
    <row r="8582" spans="1:15" ht="16" x14ac:dyDescent="0.2">
      <c r="A8582" s="17" t="str">
        <f>HYPERLINK("https://otsuka-europe-crm.veevavault.com/ui/#object/account__v/V4TZ06G6O71T7VU", "JESUS GOMEZ-TRIGO BALDOMINOS")</f>
        <v>JESUS GOMEZ-TRIGO BALDOMINOS</v>
      </c>
      <c r="B8582" s="17" t="str">
        <f>HYPERLINK("https://otsuka-europe-crm.veevavault.com/ui/#object/vcountry__v/VENZ000004SONF5", "ES")</f>
        <v>ES</v>
      </c>
      <c r="C8582" s="20" t="s">
        <v>41</v>
      </c>
      <c r="D8582" s="21" t="str">
        <f>HYPERLINK("https://otsuka-europe-crm.veevavault.com/ui/#object/approved_document__v/V5O00000001I001", "RXULTI - Programa webinar RXPERTS 11 junio")</f>
        <v>RXULTI - Programa webinar RXPERTS 11 junio</v>
      </c>
      <c r="E8582" s="22" t="str">
        <f>HYPERLINK("https://otsuka-europe-crm.veevavault.com/ui/#object/sent_email__v/VBL00000002R724", "SE-001435482")</f>
        <v>SE-001435482</v>
      </c>
      <c r="F8582" s="23">
        <v>46184.673020833332</v>
      </c>
      <c r="G8582" s="24">
        <v>1</v>
      </c>
      <c r="H8582" s="24">
        <v>2</v>
      </c>
      <c r="I8582" s="24">
        <v>1</v>
      </c>
      <c r="J8582" s="23">
        <v>46184.74858796296</v>
      </c>
      <c r="K8582" s="24">
        <v>2</v>
      </c>
      <c r="L8582" s="22" t="str">
        <f>HYPERLINK("https://otsuka-europe-crm.veevavault.com/ui/#object/approved_document__v/V5O00000001I001", "RXULTI - Programa webinar RXPERTS 11 junio")</f>
        <v>RXULTI - Programa webinar RXPERTS 11 junio</v>
      </c>
      <c r="M8582" s="22" t="str">
        <f>HYPERLINK("mailto:malonso@crm.otsuka-europe.com", "malonso@crm.otsuka-europe.com")</f>
        <v>malonso@crm.otsuka-europe.com</v>
      </c>
      <c r="N8582" s="23">
        <v>46184.413437499999</v>
      </c>
      <c r="O8582" s="14" t="str">
        <f>HYPERLINK("https://otsuka-europe-crm.veevavault.com/ui/#object/email_activity__v/V8C00000003S858", "EN-002094565")</f>
        <v>EN-002094565</v>
      </c>
    </row>
    <row r="8583" spans="1:15" ht="16" x14ac:dyDescent="0.2">
      <c r="A8583" s="18"/>
      <c r="B8583" s="18"/>
      <c r="C8583" s="18"/>
      <c r="D8583" s="18"/>
      <c r="E8583" s="18"/>
      <c r="F8583" s="18"/>
      <c r="G8583" s="18"/>
      <c r="H8583" s="18"/>
      <c r="I8583" s="18"/>
      <c r="J8583" s="18"/>
      <c r="K8583" s="18"/>
      <c r="L8583" s="18"/>
      <c r="M8583" s="18"/>
      <c r="N8583" s="18"/>
      <c r="O8583" s="14" t="str">
        <f>HYPERLINK("https://otsuka-europe-crm.veevavault.com/ui/#object/email_activity__v/V8C00000003S951", "EN-002094752")</f>
        <v>EN-002094752</v>
      </c>
    </row>
    <row r="8584" spans="1:15" ht="16" x14ac:dyDescent="0.2">
      <c r="A8584" s="18"/>
      <c r="B8584" s="18"/>
      <c r="C8584" s="18"/>
      <c r="D8584" s="18"/>
      <c r="E8584" s="18"/>
      <c r="F8584" s="18"/>
      <c r="G8584" s="18"/>
      <c r="H8584" s="18"/>
      <c r="I8584" s="18"/>
      <c r="J8584" s="18"/>
      <c r="K8584" s="18"/>
      <c r="L8584" s="18"/>
      <c r="M8584" s="18"/>
      <c r="N8584" s="18"/>
      <c r="O8584" s="14" t="str">
        <f>HYPERLINK("https://otsuka-europe-crm.veevavault.com/ui/#object/email_activity__v/V8C00000003S952", "EN-002094753")</f>
        <v>EN-002094753</v>
      </c>
    </row>
    <row r="8585" spans="1:15" ht="16" x14ac:dyDescent="0.2">
      <c r="A8585" s="18"/>
      <c r="B8585" s="18"/>
      <c r="C8585" s="18"/>
      <c r="D8585" s="18"/>
      <c r="E8585" s="18"/>
      <c r="F8585" s="18"/>
      <c r="G8585" s="18"/>
      <c r="H8585" s="18"/>
      <c r="I8585" s="18"/>
      <c r="J8585" s="18"/>
      <c r="K8585" s="18"/>
      <c r="L8585" s="18"/>
      <c r="M8585" s="18"/>
      <c r="N8585" s="18"/>
      <c r="O8585" s="14" t="str">
        <f>HYPERLINK("https://otsuka-europe-crm.veevavault.com/ui/#object/email_activity__v/V8C00000003S970", "EN-002094786")</f>
        <v>EN-002094786</v>
      </c>
    </row>
    <row r="8586" spans="1:15" ht="16" x14ac:dyDescent="0.2">
      <c r="A8586" s="19"/>
      <c r="B8586" s="19"/>
      <c r="C8586" s="19"/>
      <c r="D8586" s="19"/>
      <c r="E8586" s="19"/>
      <c r="F8586" s="19"/>
      <c r="G8586" s="19"/>
      <c r="H8586" s="19"/>
      <c r="I8586" s="19"/>
      <c r="J8586" s="19"/>
      <c r="K8586" s="19"/>
      <c r="L8586" s="19"/>
      <c r="M8586" s="19"/>
      <c r="N8586" s="19"/>
      <c r="O8586" s="14" t="str">
        <f>HYPERLINK("https://otsuka-europe-crm.veevavault.com/ui/#object/email_activity__v/V8C00000003S977", "EN-002094795")</f>
        <v>EN-002094795</v>
      </c>
    </row>
    <row r="8587" spans="1:15" ht="16" x14ac:dyDescent="0.2">
      <c r="A8587" s="17" t="str">
        <f>HYPERLINK("https://otsuka-europe-crm.veevavault.com/ui/#object/account__v/V4T000000023088", "Suzanne Burke")</f>
        <v>Suzanne Burke</v>
      </c>
      <c r="B8587" s="17" t="str">
        <f>HYPERLINK("https://otsuka-europe-crm.veevavault.com/ui/#object/vcountry__v/VENZ000004SONFK", "GB")</f>
        <v>GB</v>
      </c>
      <c r="C8587" s="20" t="s">
        <v>39</v>
      </c>
      <c r="D8587" s="21" t="str">
        <f>HYPERLINK("https://otsuka-europe-crm.veevavault.com/ui/#object/approved_document__v/V5O00000000D081", "UK - Consent Email 1 Aug 25")</f>
        <v>UK - Consent Email 1 Aug 25</v>
      </c>
      <c r="E8587" s="22" t="str">
        <f>HYPERLINK("https://otsuka-europe-crm.veevavault.com/ui/#object/sent_email__v/VBL00000002R725", "SE-001435483")</f>
        <v>SE-001435483</v>
      </c>
      <c r="F8587" s="23">
        <v>46184.683969907404</v>
      </c>
      <c r="G8587" s="24">
        <v>1</v>
      </c>
      <c r="H8587" s="24">
        <v>1</v>
      </c>
      <c r="I8587" s="24">
        <v>1</v>
      </c>
      <c r="J8587" s="23">
        <v>46184.68408564815</v>
      </c>
      <c r="K8587" s="24">
        <v>1</v>
      </c>
      <c r="L8587" s="22" t="str">
        <f>HYPERLINK("https://otsuka-europe-crm.veevavault.com/ui/#object/approved_document__v/V5O00000000D081", "UK - Consent Email 1 Aug 25")</f>
        <v>UK - Consent Email 1 Aug 25</v>
      </c>
      <c r="M8587" s="22" t="str">
        <f>HYPERLINK("mailto:ldimambro@crm.otsuka-europe.com", "ldimambro@crm.otsuka-europe.com")</f>
        <v>ldimambro@crm.otsuka-europe.com</v>
      </c>
      <c r="N8587" s="23">
        <v>46184.414212962962</v>
      </c>
      <c r="O8587" s="14" t="str">
        <f>HYPERLINK("https://otsuka-europe-crm.veevavault.com/ui/#object/email_activity__v/V8C00000003S859", "EN-002094567")</f>
        <v>EN-002094567</v>
      </c>
    </row>
    <row r="8588" spans="1:15" ht="16" x14ac:dyDescent="0.2">
      <c r="A8588" s="18"/>
      <c r="B8588" s="18"/>
      <c r="C8588" s="18"/>
      <c r="D8588" s="18"/>
      <c r="E8588" s="18"/>
      <c r="F8588" s="18"/>
      <c r="G8588" s="18"/>
      <c r="H8588" s="18"/>
      <c r="I8588" s="18"/>
      <c r="J8588" s="18"/>
      <c r="K8588" s="18"/>
      <c r="L8588" s="18"/>
      <c r="M8588" s="18"/>
      <c r="N8588" s="18"/>
      <c r="O8588" s="14" t="str">
        <f>HYPERLINK("https://otsuka-europe-crm.veevavault.com/ui/#object/email_activity__v/V8C00000003S954", "EN-002094756")</f>
        <v>EN-002094756</v>
      </c>
    </row>
    <row r="8589" spans="1:15" ht="16" x14ac:dyDescent="0.2">
      <c r="A8589" s="19"/>
      <c r="B8589" s="19"/>
      <c r="C8589" s="19"/>
      <c r="D8589" s="19"/>
      <c r="E8589" s="19"/>
      <c r="F8589" s="19"/>
      <c r="G8589" s="19"/>
      <c r="H8589" s="19"/>
      <c r="I8589" s="19"/>
      <c r="J8589" s="19"/>
      <c r="K8589" s="19"/>
      <c r="L8589" s="19"/>
      <c r="M8589" s="19"/>
      <c r="N8589" s="19"/>
      <c r="O8589" s="14" t="str">
        <f>HYPERLINK("https://otsuka-europe-crm.veevavault.com/ui/#object/email_activity__v/V8C00000003S955", "EN-002094757")</f>
        <v>EN-002094757</v>
      </c>
    </row>
    <row r="8590" spans="1:15" ht="16" x14ac:dyDescent="0.2">
      <c r="A8590" s="17" t="str">
        <f>HYPERLINK("https://otsuka-europe-crm.veevavault.com/ui/#object/account__v/V4TZ06G6O71TB71", "LAURA MATA ITURRALDE")</f>
        <v>LAURA MATA ITURRALDE</v>
      </c>
      <c r="B8590" s="17" t="str">
        <f>HYPERLINK("https://otsuka-europe-crm.veevavault.com/ui/#object/vcountry__v/VENZ000004SONF5", "ES")</f>
        <v>ES</v>
      </c>
      <c r="C8590" s="20" t="s">
        <v>41</v>
      </c>
      <c r="D8590" s="21" t="str">
        <f>HYPERLINK("https://otsuka-europe-crm.veevavault.com/ui/#object/approved_document__v/V5O00000001I001", "RXULTI - Programa webinar RXPERTS 11 junio")</f>
        <v>RXULTI - Programa webinar RXPERTS 11 junio</v>
      </c>
      <c r="E8590" s="22" t="str">
        <f>HYPERLINK("https://otsuka-europe-crm.veevavault.com/ui/#object/sent_email__v/VBL00000002S752", "SE-001435484")</f>
        <v>SE-001435484</v>
      </c>
      <c r="F8590" s="23">
        <v>46185.510115740741</v>
      </c>
      <c r="G8590" s="24">
        <v>1</v>
      </c>
      <c r="H8590" s="24">
        <v>2</v>
      </c>
      <c r="I8590" s="24">
        <v>1</v>
      </c>
      <c r="J8590" s="23">
        <v>46184.770810185182</v>
      </c>
      <c r="K8590" s="24">
        <v>3</v>
      </c>
      <c r="L8590" s="22" t="str">
        <f>HYPERLINK("https://otsuka-europe-crm.veevavault.com/ui/#object/approved_document__v/V5O00000001I001", "RXULTI - Programa webinar RXPERTS 11 junio")</f>
        <v>RXULTI - Programa webinar RXPERTS 11 junio</v>
      </c>
      <c r="M8590" s="22" t="str">
        <f>HYPERLINK("mailto:oestevez@crm.otsuka-europe.com", "oestevez@crm.otsuka-europe.com")</f>
        <v>oestevez@crm.otsuka-europe.com</v>
      </c>
      <c r="N8590" s="23">
        <v>46184.430231481485</v>
      </c>
      <c r="O8590" s="14" t="str">
        <f>HYPERLINK("https://otsuka-europe-crm.veevavault.com/ui/#object/email_activity__v/V8C00000003T480", "EN-002094576")</f>
        <v>EN-002094576</v>
      </c>
    </row>
    <row r="8591" spans="1:15" ht="16" x14ac:dyDescent="0.2">
      <c r="A8591" s="18"/>
      <c r="B8591" s="18"/>
      <c r="C8591" s="18"/>
      <c r="D8591" s="18"/>
      <c r="E8591" s="18"/>
      <c r="F8591" s="18"/>
      <c r="G8591" s="18"/>
      <c r="H8591" s="18"/>
      <c r="I8591" s="18"/>
      <c r="J8591" s="18"/>
      <c r="K8591" s="18"/>
      <c r="L8591" s="18"/>
      <c r="M8591" s="18"/>
      <c r="N8591" s="18"/>
      <c r="O8591" s="14" t="str">
        <f>HYPERLINK("https://otsuka-europe-crm.veevavault.com/ui/#object/email_activity__v/V8C00000003T494", "EN-002094605")</f>
        <v>EN-002094605</v>
      </c>
    </row>
    <row r="8592" spans="1:15" ht="16" x14ac:dyDescent="0.2">
      <c r="A8592" s="18"/>
      <c r="B8592" s="18"/>
      <c r="C8592" s="18"/>
      <c r="D8592" s="18"/>
      <c r="E8592" s="18"/>
      <c r="F8592" s="18"/>
      <c r="G8592" s="18"/>
      <c r="H8592" s="18"/>
      <c r="I8592" s="18"/>
      <c r="J8592" s="18"/>
      <c r="K8592" s="18"/>
      <c r="L8592" s="18"/>
      <c r="M8592" s="18"/>
      <c r="N8592" s="18"/>
      <c r="O8592" s="14" t="str">
        <f>HYPERLINK("https://otsuka-europe-crm.veevavault.com/ui/#object/email_activity__v/V8C00000003T595", "EN-002094809")</f>
        <v>EN-002094809</v>
      </c>
    </row>
    <row r="8593" spans="1:15" ht="16" x14ac:dyDescent="0.2">
      <c r="A8593" s="18"/>
      <c r="B8593" s="18"/>
      <c r="C8593" s="18"/>
      <c r="D8593" s="18"/>
      <c r="E8593" s="18"/>
      <c r="F8593" s="18"/>
      <c r="G8593" s="18"/>
      <c r="H8593" s="18"/>
      <c r="I8593" s="18"/>
      <c r="J8593" s="18"/>
      <c r="K8593" s="18"/>
      <c r="L8593" s="18"/>
      <c r="M8593" s="18"/>
      <c r="N8593" s="18"/>
      <c r="O8593" s="14" t="str">
        <f>HYPERLINK("https://otsuka-europe-crm.veevavault.com/ui/#object/email_activity__v/V8C00000003T596", "EN-002094810")</f>
        <v>EN-002094810</v>
      </c>
    </row>
    <row r="8594" spans="1:15" ht="16" x14ac:dyDescent="0.2">
      <c r="A8594" s="18"/>
      <c r="B8594" s="18"/>
      <c r="C8594" s="18"/>
      <c r="D8594" s="18"/>
      <c r="E8594" s="18"/>
      <c r="F8594" s="18"/>
      <c r="G8594" s="18"/>
      <c r="H8594" s="18"/>
      <c r="I8594" s="18"/>
      <c r="J8594" s="18"/>
      <c r="K8594" s="18"/>
      <c r="L8594" s="18"/>
      <c r="M8594" s="18"/>
      <c r="N8594" s="18"/>
      <c r="O8594" s="14" t="str">
        <f>HYPERLINK("https://otsuka-europe-crm.veevavault.com/ui/#object/email_activity__v/V8C00000003T597", "EN-002094811")</f>
        <v>EN-002094811</v>
      </c>
    </row>
    <row r="8595" spans="1:15" ht="16" x14ac:dyDescent="0.2">
      <c r="A8595" s="18"/>
      <c r="B8595" s="18"/>
      <c r="C8595" s="18"/>
      <c r="D8595" s="18"/>
      <c r="E8595" s="18"/>
      <c r="F8595" s="18"/>
      <c r="G8595" s="18"/>
      <c r="H8595" s="18"/>
      <c r="I8595" s="18"/>
      <c r="J8595" s="18"/>
      <c r="K8595" s="18"/>
      <c r="L8595" s="18"/>
      <c r="M8595" s="18"/>
      <c r="N8595" s="18"/>
      <c r="O8595" s="14" t="str">
        <f>HYPERLINK("https://otsuka-europe-crm.veevavault.com/ui/#object/email_activity__v/V8C00000003T604", "EN-002094818")</f>
        <v>EN-002094818</v>
      </c>
    </row>
    <row r="8596" spans="1:15" ht="16" x14ac:dyDescent="0.2">
      <c r="A8596" s="19"/>
      <c r="B8596" s="19"/>
      <c r="C8596" s="19"/>
      <c r="D8596" s="19"/>
      <c r="E8596" s="19"/>
      <c r="F8596" s="19"/>
      <c r="G8596" s="19"/>
      <c r="H8596" s="19"/>
      <c r="I8596" s="19"/>
      <c r="J8596" s="19"/>
      <c r="K8596" s="19"/>
      <c r="L8596" s="19"/>
      <c r="M8596" s="19"/>
      <c r="N8596" s="19"/>
      <c r="O8596" s="14" t="str">
        <f>HYPERLINK("https://otsuka-europe-crm.veevavault.com/ui/#object/email_activity__v/V8C00000003V294", "EN-002095377")</f>
        <v>EN-002095377</v>
      </c>
    </row>
    <row r="8597" spans="1:15" ht="16" x14ac:dyDescent="0.2">
      <c r="A8597" s="17" t="str">
        <f>HYPERLINK("https://otsuka-europe-crm.veevavault.com/ui/#object/account__v/V4TZ06G6O71T8VU", "MIGUEL ANGEL LOPEZ-NEVOT GARCIA")</f>
        <v>MIGUEL ANGEL LOPEZ-NEVOT GARCIA</v>
      </c>
      <c r="B8597" s="17" t="str">
        <f>HYPERLINK("https://otsuka-europe-crm.veevavault.com/ui/#object/vcountry__v/VENZ000004SONF5", "ES")</f>
        <v>ES</v>
      </c>
      <c r="C8597" s="20" t="s">
        <v>41</v>
      </c>
      <c r="D8597" s="21" t="str">
        <f>HYPERLINK("https://otsuka-europe-crm.veevavault.com/ui/#object/approved_document__v/V5O00000001I001", "RXULTI - Programa webinar RXPERTS 11 junio")</f>
        <v>RXULTI - Programa webinar RXPERTS 11 junio</v>
      </c>
      <c r="E8597" s="22" t="str">
        <f>HYPERLINK("https://otsuka-europe-crm.veevavault.com/ui/#object/sent_email__v/VBL00000002S753", "SE-001435485")</f>
        <v>SE-001435485</v>
      </c>
      <c r="F8597" s="23">
        <v>46184.759791666664</v>
      </c>
      <c r="G8597" s="24">
        <v>1</v>
      </c>
      <c r="H8597" s="24">
        <v>1</v>
      </c>
      <c r="I8597" s="24">
        <v>1</v>
      </c>
      <c r="J8597" s="23">
        <v>46184.759837962964</v>
      </c>
      <c r="K8597" s="24">
        <v>1</v>
      </c>
      <c r="L8597" s="22" t="str">
        <f>HYPERLINK("https://otsuka-europe-crm.veevavault.com/ui/#object/approved_document__v/V5O00000001I001", "RXULTI - Programa webinar RXPERTS 11 junio")</f>
        <v>RXULTI - Programa webinar RXPERTS 11 junio</v>
      </c>
      <c r="M8597" s="22" t="str">
        <f>HYPERLINK("mailto:oestevez@crm.otsuka-europe.com", "oestevez@crm.otsuka-europe.com")</f>
        <v>oestevez@crm.otsuka-europe.com</v>
      </c>
      <c r="N8597" s="23">
        <v>46184.431064814817</v>
      </c>
      <c r="O8597" s="14" t="str">
        <f>HYPERLINK("https://otsuka-europe-crm.veevavault.com/ui/#object/email_activity__v/V8C00000003T481", "EN-002094577")</f>
        <v>EN-002094577</v>
      </c>
    </row>
    <row r="8598" spans="1:15" ht="16" x14ac:dyDescent="0.2">
      <c r="A8598" s="18"/>
      <c r="B8598" s="18"/>
      <c r="C8598" s="18"/>
      <c r="D8598" s="18"/>
      <c r="E8598" s="18"/>
      <c r="F8598" s="18"/>
      <c r="G8598" s="18"/>
      <c r="H8598" s="18"/>
      <c r="I8598" s="18"/>
      <c r="J8598" s="18"/>
      <c r="K8598" s="18"/>
      <c r="L8598" s="18"/>
      <c r="M8598" s="18"/>
      <c r="N8598" s="18"/>
      <c r="O8598" s="14" t="str">
        <f>HYPERLINK("https://otsuka-europe-crm.veevavault.com/ui/#object/email_activity__v/V8C00000003T482", "EN-002094578")</f>
        <v>EN-002094578</v>
      </c>
    </row>
    <row r="8599" spans="1:15" ht="16" x14ac:dyDescent="0.2">
      <c r="A8599" s="18"/>
      <c r="B8599" s="18"/>
      <c r="C8599" s="18"/>
      <c r="D8599" s="18"/>
      <c r="E8599" s="18"/>
      <c r="F8599" s="18"/>
      <c r="G8599" s="18"/>
      <c r="H8599" s="18"/>
      <c r="I8599" s="18"/>
      <c r="J8599" s="18"/>
      <c r="K8599" s="18"/>
      <c r="L8599" s="18"/>
      <c r="M8599" s="18"/>
      <c r="N8599" s="18"/>
      <c r="O8599" s="14" t="str">
        <f>HYPERLINK("https://otsuka-europe-crm.veevavault.com/ui/#object/email_activity__v/V8C00000003T593", "EN-002094807")</f>
        <v>EN-002094807</v>
      </c>
    </row>
    <row r="8600" spans="1:15" ht="16" x14ac:dyDescent="0.2">
      <c r="A8600" s="19"/>
      <c r="B8600" s="19"/>
      <c r="C8600" s="19"/>
      <c r="D8600" s="19"/>
      <c r="E8600" s="19"/>
      <c r="F8600" s="19"/>
      <c r="G8600" s="19"/>
      <c r="H8600" s="19"/>
      <c r="I8600" s="19"/>
      <c r="J8600" s="19"/>
      <c r="K8600" s="19"/>
      <c r="L8600" s="19"/>
      <c r="M8600" s="19"/>
      <c r="N8600" s="19"/>
      <c r="O8600" s="14" t="str">
        <f>HYPERLINK("https://otsuka-europe-crm.veevavault.com/ui/#object/email_activity__v/V8C00000003T594", "EN-002094808")</f>
        <v>EN-002094808</v>
      </c>
    </row>
    <row r="8601" spans="1:15" ht="16" x14ac:dyDescent="0.2">
      <c r="A8601" s="17" t="str">
        <f>HYPERLINK("https://otsuka-europe-crm.veevavault.com/ui/#object/account__v/V4TZ06G6O71SAQE", "LICIA GAUDINO")</f>
        <v>LICIA GAUDINO</v>
      </c>
      <c r="B8601" s="17" t="str">
        <f>HYPERLINK("https://otsuka-europe-crm.veevavault.com/ui/#object/vcountry__v/VENZ000004SONFQ", "IT")</f>
        <v>IT</v>
      </c>
      <c r="C8601" s="20" t="s">
        <v>44</v>
      </c>
      <c r="D8601" s="21" t="str">
        <f>HYPERLINK("https://otsuka-europe-crm.veevavault.com/ui/#object/approved_document__v/V5OZ025E82UFNWM", "ABILIFY 960720_Branded_AE Fagiolini_IT-AM2-2500131")</f>
        <v>ABILIFY 960720_Branded_AE Fagiolini_IT-AM2-2500131</v>
      </c>
      <c r="E8601" s="22" t="str">
        <f>HYPERLINK("https://otsuka-europe-crm.veevavault.com/ui/#object/sent_email__v/VBL00000002S754", "SE-001435486")</f>
        <v>SE-001435486</v>
      </c>
      <c r="F8601" s="23">
        <v>46184.647581018522</v>
      </c>
      <c r="G8601" s="24">
        <v>1</v>
      </c>
      <c r="H8601" s="24">
        <v>3</v>
      </c>
      <c r="I8601" s="24">
        <v>0</v>
      </c>
      <c r="J8601" s="25"/>
      <c r="K8601" s="24">
        <v>0</v>
      </c>
      <c r="L8601" s="22" t="str">
        <f>HYPERLINK("https://otsuka-europe-crm.veevavault.com/ui/#object/approved_document__v/V5OZ025E82UFNWM", "ABILIFY 960720_Branded_AE Fagiolini_IT-AM2-2500131")</f>
        <v>ABILIFY 960720_Branded_AE Fagiolini_IT-AM2-2500131</v>
      </c>
      <c r="M8601" s="22" t="str">
        <f>HYPERLINK("mailto:marina.maccaglia@crm.otsuka-europe.com", "marina.maccaglia@crm.otsuka-europe.com")</f>
        <v>marina.maccaglia@crm.otsuka-europe.com</v>
      </c>
      <c r="N8601" s="23">
        <v>46184.433333333334</v>
      </c>
      <c r="O8601" s="14" t="str">
        <f>HYPERLINK("https://otsuka-europe-crm.veevavault.com/ui/#object/email_activity__v/V8C00000003S883", "EN-002094626")</f>
        <v>EN-002094626</v>
      </c>
    </row>
    <row r="8602" spans="1:15" ht="16" x14ac:dyDescent="0.2">
      <c r="A8602" s="18"/>
      <c r="B8602" s="18"/>
      <c r="C8602" s="18"/>
      <c r="D8602" s="18"/>
      <c r="E8602" s="18"/>
      <c r="F8602" s="18"/>
      <c r="G8602" s="18"/>
      <c r="H8602" s="18"/>
      <c r="I8602" s="18"/>
      <c r="J8602" s="18"/>
      <c r="K8602" s="18"/>
      <c r="L8602" s="18"/>
      <c r="M8602" s="18"/>
      <c r="N8602" s="18"/>
      <c r="O8602" s="14" t="str">
        <f>HYPERLINK("https://otsuka-europe-crm.veevavault.com/ui/#object/email_activity__v/V8C00000003S940", "EN-002094729")</f>
        <v>EN-002094729</v>
      </c>
    </row>
    <row r="8603" spans="1:15" ht="16" x14ac:dyDescent="0.2">
      <c r="A8603" s="18"/>
      <c r="B8603" s="18"/>
      <c r="C8603" s="18"/>
      <c r="D8603" s="18"/>
      <c r="E8603" s="18"/>
      <c r="F8603" s="18"/>
      <c r="G8603" s="18"/>
      <c r="H8603" s="18"/>
      <c r="I8603" s="18"/>
      <c r="J8603" s="18"/>
      <c r="K8603" s="18"/>
      <c r="L8603" s="18"/>
      <c r="M8603" s="18"/>
      <c r="N8603" s="18"/>
      <c r="O8603" s="14" t="str">
        <f>HYPERLINK("https://otsuka-europe-crm.veevavault.com/ui/#object/email_activity__v/V8C00000003T483", "EN-002094579")</f>
        <v>EN-002094579</v>
      </c>
    </row>
    <row r="8604" spans="1:15" ht="16" x14ac:dyDescent="0.2">
      <c r="A8604" s="19"/>
      <c r="B8604" s="19"/>
      <c r="C8604" s="19"/>
      <c r="D8604" s="19"/>
      <c r="E8604" s="19"/>
      <c r="F8604" s="19"/>
      <c r="G8604" s="19"/>
      <c r="H8604" s="19"/>
      <c r="I8604" s="19"/>
      <c r="J8604" s="19"/>
      <c r="K8604" s="19"/>
      <c r="L8604" s="19"/>
      <c r="M8604" s="19"/>
      <c r="N8604" s="19"/>
      <c r="O8604" s="14" t="str">
        <f>HYPERLINK("https://otsuka-europe-crm.veevavault.com/ui/#object/email_activity__v/V8C00000003T504", "EN-002094618")</f>
        <v>EN-002094618</v>
      </c>
    </row>
    <row r="8605" spans="1:15" ht="32" x14ac:dyDescent="0.2">
      <c r="A8605" s="7" t="str">
        <f>HYPERLINK("https://otsuka-europe-crm.veevavault.com/ui/#object/account__v/V4T000000023007", "Max Antoniak")</f>
        <v>Max Antoniak</v>
      </c>
      <c r="B8605" s="7" t="str">
        <f>HYPERLINK("https://otsuka-europe-crm.veevavault.com/ui/#object/vcountry__v/VENZ000004SONFK", "GB")</f>
        <v>GB</v>
      </c>
      <c r="C8605" s="8" t="s">
        <v>39</v>
      </c>
      <c r="D8605" s="9" t="str">
        <f>HYPERLINK("https://otsuka-europe-crm.veevavault.com/ui/#object/approved_document__v/V5OZ025E82UYOBH", "Aripiprazole 300mg PFS Available VAE")</f>
        <v>Aripiprazole 300mg PFS Available VAE</v>
      </c>
      <c r="E8605" s="10" t="str">
        <f>HYPERLINK("https://otsuka-europe-crm.veevavault.com/ui/#object/sent_email__v/VBL00000002R728", "SE-001435487")</f>
        <v>SE-001435487</v>
      </c>
      <c r="F8605" s="11"/>
      <c r="G8605" s="12">
        <v>0</v>
      </c>
      <c r="H8605" s="12">
        <v>0</v>
      </c>
      <c r="I8605" s="12">
        <v>0</v>
      </c>
      <c r="J8605" s="11"/>
      <c r="K8605" s="12">
        <v>0</v>
      </c>
      <c r="L8605" s="10" t="str">
        <f>HYPERLINK("https://otsuka-europe-crm.veevavault.com/ui/#object/approved_document__v/V5OZ025E82UYOBH", "Aripiprazole 300mg PFS Available VAE")</f>
        <v>Aripiprazole 300mg PFS Available VAE</v>
      </c>
      <c r="M8605" s="10" t="str">
        <f>HYPERLINK("mailto:ldimambro@crm.otsuka-europe.com", "ldimambro@crm.otsuka-europe.com")</f>
        <v>ldimambro@crm.otsuka-europe.com</v>
      </c>
      <c r="N8605" s="13">
        <v>46184.441365740742</v>
      </c>
      <c r="O8605" s="14" t="str">
        <f>HYPERLINK("https://otsuka-europe-crm.veevavault.com/ui/#object/email_activity__v/V8C00000003T484", "EN-002094583")</f>
        <v>EN-002094583</v>
      </c>
    </row>
    <row r="8606" spans="1:15" ht="16" x14ac:dyDescent="0.2">
      <c r="A8606" s="17" t="str">
        <f>HYPERLINK("https://otsuka-europe-crm.veevavault.com/ui/#object/account__v/V4T000000023007", "Max Antoniak")</f>
        <v>Max Antoniak</v>
      </c>
      <c r="B8606" s="17" t="str">
        <f>HYPERLINK("https://otsuka-europe-crm.veevavault.com/ui/#object/vcountry__v/VENZ000004SONFK", "GB")</f>
        <v>GB</v>
      </c>
      <c r="C8606" s="20" t="s">
        <v>39</v>
      </c>
      <c r="D8606" s="21" t="str">
        <f>HYPERLINK("https://otsuka-europe-crm.veevavault.com/ui/#object/approved_document__v/V5OZ025E82TSZBI", "Aripiprazole 960mg Fragment VAE")</f>
        <v>Aripiprazole 960mg Fragment VAE</v>
      </c>
      <c r="E8606" s="22" t="str">
        <f>HYPERLINK("https://otsuka-europe-crm.veevavault.com/ui/#object/sent_email__v/VBL00000002R729", "SE-001435488")</f>
        <v>SE-001435488</v>
      </c>
      <c r="F8606" s="23">
        <v>46188.360254629632</v>
      </c>
      <c r="G8606" s="24">
        <v>1</v>
      </c>
      <c r="H8606" s="24">
        <v>1</v>
      </c>
      <c r="I8606" s="24">
        <v>1</v>
      </c>
      <c r="J8606" s="23">
        <v>46188.360254629632</v>
      </c>
      <c r="K8606" s="24">
        <v>1</v>
      </c>
      <c r="L8606" s="22" t="str">
        <f>HYPERLINK("https://otsuka-europe-crm.veevavault.com/ui/#object/approved_document__v/V5OZ025E82TSZBI", "Aripiprazole 960mg Fragment VAE")</f>
        <v>Aripiprazole 960mg Fragment VAE</v>
      </c>
      <c r="M8606" s="22" t="str">
        <f>HYPERLINK("mailto:ldimambro@crm.otsuka-europe.com", "ldimambro@crm.otsuka-europe.com")</f>
        <v>ldimambro@crm.otsuka-europe.com</v>
      </c>
      <c r="N8606" s="23">
        <v>46184.441689814812</v>
      </c>
      <c r="O8606" s="14" t="str">
        <f>HYPERLINK("https://otsuka-europe-crm.veevavault.com/ui/#object/email_activity__v/V8C00000003T485", "EN-002094584")</f>
        <v>EN-002094584</v>
      </c>
    </row>
    <row r="8607" spans="1:15" ht="16" x14ac:dyDescent="0.2">
      <c r="A8607" s="18"/>
      <c r="B8607" s="18"/>
      <c r="C8607" s="18"/>
      <c r="D8607" s="18"/>
      <c r="E8607" s="18"/>
      <c r="F8607" s="18"/>
      <c r="G8607" s="18"/>
      <c r="H8607" s="18"/>
      <c r="I8607" s="18"/>
      <c r="J8607" s="18"/>
      <c r="K8607" s="18"/>
      <c r="L8607" s="18"/>
      <c r="M8607" s="18"/>
      <c r="N8607" s="18"/>
      <c r="O8607" s="14" t="str">
        <f>HYPERLINK("https://otsuka-europe-crm.veevavault.com/ui/#object/email_activity__v/V8C00000003U459", "EN-002095761")</f>
        <v>EN-002095761</v>
      </c>
    </row>
    <row r="8608" spans="1:15" ht="16" x14ac:dyDescent="0.2">
      <c r="A8608" s="18"/>
      <c r="B8608" s="18"/>
      <c r="C8608" s="18"/>
      <c r="D8608" s="18"/>
      <c r="E8608" s="18"/>
      <c r="F8608" s="18"/>
      <c r="G8608" s="18"/>
      <c r="H8608" s="18"/>
      <c r="I8608" s="18"/>
      <c r="J8608" s="18"/>
      <c r="K8608" s="18"/>
      <c r="L8608" s="18"/>
      <c r="M8608" s="18"/>
      <c r="N8608" s="18"/>
      <c r="O8608" s="14" t="str">
        <f>HYPERLINK("https://otsuka-europe-crm.veevavault.com/ui/#object/email_activity__v/V8C00000003U460", "EN-002095760")</f>
        <v>EN-002095760</v>
      </c>
    </row>
    <row r="8609" spans="1:15" ht="16" x14ac:dyDescent="0.2">
      <c r="A8609" s="19"/>
      <c r="B8609" s="19"/>
      <c r="C8609" s="19"/>
      <c r="D8609" s="19"/>
      <c r="E8609" s="19"/>
      <c r="F8609" s="19"/>
      <c r="G8609" s="19"/>
      <c r="H8609" s="19"/>
      <c r="I8609" s="19"/>
      <c r="J8609" s="19"/>
      <c r="K8609" s="19"/>
      <c r="L8609" s="19"/>
      <c r="M8609" s="19"/>
      <c r="N8609" s="19"/>
      <c r="O8609" s="14" t="str">
        <f>HYPERLINK("https://otsuka-europe-crm.veevavault.com/ui/#object/email_activity__v/V8C00000003U465", "EN-002095770")</f>
        <v>EN-002095770</v>
      </c>
    </row>
    <row r="8610" spans="1:15" ht="16" x14ac:dyDescent="0.2">
      <c r="A8610" s="17" t="str">
        <f>HYPERLINK("https://otsuka-europe-crm.veevavault.com/ui/#object/account__v/V4T000000022096", "Channel Edwards")</f>
        <v>Channel Edwards</v>
      </c>
      <c r="B8610" s="17" t="str">
        <f>HYPERLINK("https://otsuka-europe-crm.veevavault.com/ui/#object/vcountry__v/VENZ000004SONFK", "GB")</f>
        <v>GB</v>
      </c>
      <c r="C8610" s="20" t="s">
        <v>39</v>
      </c>
      <c r="D8610" s="21" t="str">
        <f>HYPERLINK("https://otsuka-europe-crm.veevavault.com/ui/#object/approved_document__v/V5OZ025E82UYOBH", "Aripiprazole 300mg PFS Available VAE")</f>
        <v>Aripiprazole 300mg PFS Available VAE</v>
      </c>
      <c r="E8610" s="22" t="str">
        <f>HYPERLINK("https://otsuka-europe-crm.veevavault.com/ui/#object/sent_email__v/VBL00000002S755", "SE-001435489")</f>
        <v>SE-001435489</v>
      </c>
      <c r="F8610" s="23">
        <v>46184.481886574074</v>
      </c>
      <c r="G8610" s="24">
        <v>1</v>
      </c>
      <c r="H8610" s="24">
        <v>2</v>
      </c>
      <c r="I8610" s="24">
        <v>0</v>
      </c>
      <c r="J8610" s="25"/>
      <c r="K8610" s="24">
        <v>0</v>
      </c>
      <c r="L8610" s="22" t="str">
        <f>HYPERLINK("https://otsuka-europe-crm.veevavault.com/ui/#object/approved_document__v/V5OZ025E82UYOBH", "Aripiprazole 300mg PFS Available VAE")</f>
        <v>Aripiprazole 300mg PFS Available VAE</v>
      </c>
      <c r="M8610" s="22" t="str">
        <f>HYPERLINK("mailto:ldimambro@crm.otsuka-europe.com", "ldimambro@crm.otsuka-europe.com")</f>
        <v>ldimambro@crm.otsuka-europe.com</v>
      </c>
      <c r="N8610" s="23">
        <v>46184.443078703705</v>
      </c>
      <c r="O8610" s="14" t="str">
        <f>HYPERLINK("https://otsuka-europe-crm.veevavault.com/ui/#object/email_activity__v/V8C00000003S865", "EN-002094585")</f>
        <v>EN-002094585</v>
      </c>
    </row>
    <row r="8611" spans="1:15" ht="16" x14ac:dyDescent="0.2">
      <c r="A8611" s="18"/>
      <c r="B8611" s="18"/>
      <c r="C8611" s="18"/>
      <c r="D8611" s="18"/>
      <c r="E8611" s="18"/>
      <c r="F8611" s="18"/>
      <c r="G8611" s="18"/>
      <c r="H8611" s="18"/>
      <c r="I8611" s="18"/>
      <c r="J8611" s="18"/>
      <c r="K8611" s="18"/>
      <c r="L8611" s="18"/>
      <c r="M8611" s="18"/>
      <c r="N8611" s="18"/>
      <c r="O8611" s="14" t="str">
        <f>HYPERLINK("https://otsuka-europe-crm.veevavault.com/ui/#object/email_activity__v/V8C00000003S882", "EN-002094623")</f>
        <v>EN-002094623</v>
      </c>
    </row>
    <row r="8612" spans="1:15" ht="16" x14ac:dyDescent="0.2">
      <c r="A8612" s="19"/>
      <c r="B8612" s="19"/>
      <c r="C8612" s="19"/>
      <c r="D8612" s="19"/>
      <c r="E8612" s="19"/>
      <c r="F8612" s="19"/>
      <c r="G8612" s="19"/>
      <c r="H8612" s="19"/>
      <c r="I8612" s="19"/>
      <c r="J8612" s="19"/>
      <c r="K8612" s="19"/>
      <c r="L8612" s="19"/>
      <c r="M8612" s="19"/>
      <c r="N8612" s="19"/>
      <c r="O8612" s="14" t="str">
        <f>HYPERLINK("https://otsuka-europe-crm.veevavault.com/ui/#object/email_activity__v/V8C00000003T495", "EN-002094606")</f>
        <v>EN-002094606</v>
      </c>
    </row>
    <row r="8613" spans="1:15" ht="16" x14ac:dyDescent="0.2">
      <c r="A8613" s="17" t="str">
        <f>HYPERLINK("https://otsuka-europe-crm.veevavault.com/ui/#object/account__v/V4T000000022096", "Channel Edwards")</f>
        <v>Channel Edwards</v>
      </c>
      <c r="B8613" s="17" t="str">
        <f>HYPERLINK("https://otsuka-europe-crm.veevavault.com/ui/#object/vcountry__v/VENZ000004SONFK", "GB")</f>
        <v>GB</v>
      </c>
      <c r="C8613" s="20" t="s">
        <v>39</v>
      </c>
      <c r="D8613" s="21" t="str">
        <f>HYPERLINK("https://otsuka-europe-crm.veevavault.com/ui/#object/approved_document__v/V5OZ025E82TSZBI", "Aripiprazole 960mg Fragment VAE")</f>
        <v>Aripiprazole 960mg Fragment VAE</v>
      </c>
      <c r="E8613" s="22" t="str">
        <f>HYPERLINK("https://otsuka-europe-crm.veevavault.com/ui/#object/sent_email__v/VBL00000002S756", "SE-001435490")</f>
        <v>SE-001435490</v>
      </c>
      <c r="F8613" s="23">
        <v>46184.518414351849</v>
      </c>
      <c r="G8613" s="24">
        <v>1</v>
      </c>
      <c r="H8613" s="24">
        <v>1</v>
      </c>
      <c r="I8613" s="24">
        <v>0</v>
      </c>
      <c r="J8613" s="25"/>
      <c r="K8613" s="24">
        <v>0</v>
      </c>
      <c r="L8613" s="22" t="str">
        <f>HYPERLINK("https://otsuka-europe-crm.veevavault.com/ui/#object/approved_document__v/V5OZ025E82TSZBI", "Aripiprazole 960mg Fragment VAE")</f>
        <v>Aripiprazole 960mg Fragment VAE</v>
      </c>
      <c r="M8613" s="22" t="str">
        <f>HYPERLINK("mailto:ldimambro@crm.otsuka-europe.com", "ldimambro@crm.otsuka-europe.com")</f>
        <v>ldimambro@crm.otsuka-europe.com</v>
      </c>
      <c r="N8613" s="23">
        <v>46184.443194444444</v>
      </c>
      <c r="O8613" s="14" t="str">
        <f>HYPERLINK("https://otsuka-europe-crm.veevavault.com/ui/#object/email_activity__v/V8C00000003T486", "EN-002094586")</f>
        <v>EN-002094586</v>
      </c>
    </row>
    <row r="8614" spans="1:15" ht="16" x14ac:dyDescent="0.2">
      <c r="A8614" s="19"/>
      <c r="B8614" s="19"/>
      <c r="C8614" s="19"/>
      <c r="D8614" s="19"/>
      <c r="E8614" s="19"/>
      <c r="F8614" s="19"/>
      <c r="G8614" s="19"/>
      <c r="H8614" s="19"/>
      <c r="I8614" s="19"/>
      <c r="J8614" s="19"/>
      <c r="K8614" s="19"/>
      <c r="L8614" s="19"/>
      <c r="M8614" s="19"/>
      <c r="N8614" s="19"/>
      <c r="O8614" s="14" t="str">
        <f>HYPERLINK("https://otsuka-europe-crm.veevavault.com/ui/#object/email_activity__v/V8C00000003T522", "EN-002094646")</f>
        <v>EN-002094646</v>
      </c>
    </row>
    <row r="8615" spans="1:15" ht="16" x14ac:dyDescent="0.2">
      <c r="A8615" s="17" t="str">
        <f>HYPERLINK("https://otsuka-europe-crm.veevavault.com/ui/#object/account__v/V4T000000023087", "Joanne Rogers")</f>
        <v>Joanne Rogers</v>
      </c>
      <c r="B8615" s="17" t="str">
        <f>HYPERLINK("https://otsuka-europe-crm.veevavault.com/ui/#object/vcountry__v/VENZ000004SONFK", "GB")</f>
        <v>GB</v>
      </c>
      <c r="C8615" s="20" t="s">
        <v>39</v>
      </c>
      <c r="D8615" s="21" t="str">
        <f>HYPERLINK("https://otsuka-europe-crm.veevavault.com/ui/#object/approved_document__v/V5OZ025E82UYOBH", "Aripiprazole 300mg PFS Available VAE")</f>
        <v>Aripiprazole 300mg PFS Available VAE</v>
      </c>
      <c r="E8615" s="22" t="str">
        <f>HYPERLINK("https://otsuka-europe-crm.veevavault.com/ui/#object/sent_email__v/VBL00000002S757", "SE-001435491")</f>
        <v>SE-001435491</v>
      </c>
      <c r="F8615" s="23">
        <v>46184.444525462961</v>
      </c>
      <c r="G8615" s="24">
        <v>1</v>
      </c>
      <c r="H8615" s="24">
        <v>1</v>
      </c>
      <c r="I8615" s="24">
        <v>1</v>
      </c>
      <c r="J8615" s="23">
        <v>46184.444525462961</v>
      </c>
      <c r="K8615" s="24">
        <v>1</v>
      </c>
      <c r="L8615" s="22" t="str">
        <f>HYPERLINK("https://otsuka-europe-crm.veevavault.com/ui/#object/approved_document__v/V5OZ025E82UYOBH", "Aripiprazole 300mg PFS Available VAE")</f>
        <v>Aripiprazole 300mg PFS Available VAE</v>
      </c>
      <c r="M8615" s="22" t="str">
        <f>HYPERLINK("mailto:ldimambro@crm.otsuka-europe.com", "ldimambro@crm.otsuka-europe.com")</f>
        <v>ldimambro@crm.otsuka-europe.com</v>
      </c>
      <c r="N8615" s="23">
        <v>46184.444490740738</v>
      </c>
      <c r="O8615" s="14" t="str">
        <f>HYPERLINK("https://otsuka-europe-crm.veevavault.com/ui/#object/email_activity__v/V8C00000003S866", "EN-002094588")</f>
        <v>EN-002094588</v>
      </c>
    </row>
    <row r="8616" spans="1:15" ht="16" x14ac:dyDescent="0.2">
      <c r="A8616" s="18"/>
      <c r="B8616" s="18"/>
      <c r="C8616" s="18"/>
      <c r="D8616" s="18"/>
      <c r="E8616" s="18"/>
      <c r="F8616" s="18"/>
      <c r="G8616" s="18"/>
      <c r="H8616" s="18"/>
      <c r="I8616" s="18"/>
      <c r="J8616" s="18"/>
      <c r="K8616" s="18"/>
      <c r="L8616" s="18"/>
      <c r="M8616" s="18"/>
      <c r="N8616" s="18"/>
      <c r="O8616" s="14" t="str">
        <f>HYPERLINK("https://otsuka-europe-crm.veevavault.com/ui/#object/email_activity__v/V8C00000003S867", "EN-002094587")</f>
        <v>EN-002094587</v>
      </c>
    </row>
    <row r="8617" spans="1:15" ht="16" x14ac:dyDescent="0.2">
      <c r="A8617" s="19"/>
      <c r="B8617" s="19"/>
      <c r="C8617" s="19"/>
      <c r="D8617" s="19"/>
      <c r="E8617" s="19"/>
      <c r="F8617" s="19"/>
      <c r="G8617" s="19"/>
      <c r="H8617" s="19"/>
      <c r="I8617" s="19"/>
      <c r="J8617" s="19"/>
      <c r="K8617" s="19"/>
      <c r="L8617" s="19"/>
      <c r="M8617" s="19"/>
      <c r="N8617" s="19"/>
      <c r="O8617" s="14" t="str">
        <f>HYPERLINK("https://otsuka-europe-crm.veevavault.com/ui/#object/email_activity__v/V8C00000003S868", "EN-002094589")</f>
        <v>EN-002094589</v>
      </c>
    </row>
    <row r="8618" spans="1:15" ht="16" x14ac:dyDescent="0.2">
      <c r="A8618" s="17" t="str">
        <f>HYPERLINK("https://otsuka-europe-crm.veevavault.com/ui/#object/account__v/V4T000000023087", "Joanne Rogers")</f>
        <v>Joanne Rogers</v>
      </c>
      <c r="B8618" s="17" t="str">
        <f>HYPERLINK("https://otsuka-europe-crm.veevavault.com/ui/#object/vcountry__v/VENZ000004SONFK", "GB")</f>
        <v>GB</v>
      </c>
      <c r="C8618" s="20" t="s">
        <v>39</v>
      </c>
      <c r="D8618" s="21" t="str">
        <f>HYPERLINK("https://otsuka-europe-crm.veevavault.com/ui/#object/approved_document__v/V5OZ025E82TSZBI", "Aripiprazole 960mg Fragment VAE")</f>
        <v>Aripiprazole 960mg Fragment VAE</v>
      </c>
      <c r="E8618" s="22" t="str">
        <f>HYPERLINK("https://otsuka-europe-crm.veevavault.com/ui/#object/sent_email__v/VBL00000002S758", "SE-001435492")</f>
        <v>SE-001435492</v>
      </c>
      <c r="F8618" s="23">
        <v>46184.444872685184</v>
      </c>
      <c r="G8618" s="24">
        <v>1</v>
      </c>
      <c r="H8618" s="24">
        <v>1</v>
      </c>
      <c r="I8618" s="24">
        <v>1</v>
      </c>
      <c r="J8618" s="23">
        <v>46184.444872685184</v>
      </c>
      <c r="K8618" s="24">
        <v>1</v>
      </c>
      <c r="L8618" s="22" t="str">
        <f>HYPERLINK("https://otsuka-europe-crm.veevavault.com/ui/#object/approved_document__v/V5OZ025E82TSZBI", "Aripiprazole 960mg Fragment VAE")</f>
        <v>Aripiprazole 960mg Fragment VAE</v>
      </c>
      <c r="M8618" s="22" t="str">
        <f>HYPERLINK("mailto:ldimambro@crm.otsuka-europe.com", "ldimambro@crm.otsuka-europe.com")</f>
        <v>ldimambro@crm.otsuka-europe.com</v>
      </c>
      <c r="N8618" s="23">
        <v>46184.444826388892</v>
      </c>
      <c r="O8618" s="14" t="str">
        <f>HYPERLINK("https://otsuka-europe-crm.veevavault.com/ui/#object/email_activity__v/V8C00000003S869", "EN-002094591")</f>
        <v>EN-002094591</v>
      </c>
    </row>
    <row r="8619" spans="1:15" ht="16" x14ac:dyDescent="0.2">
      <c r="A8619" s="18"/>
      <c r="B8619" s="18"/>
      <c r="C8619" s="18"/>
      <c r="D8619" s="18"/>
      <c r="E8619" s="18"/>
      <c r="F8619" s="18"/>
      <c r="G8619" s="18"/>
      <c r="H8619" s="18"/>
      <c r="I8619" s="18"/>
      <c r="J8619" s="18"/>
      <c r="K8619" s="18"/>
      <c r="L8619" s="18"/>
      <c r="M8619" s="18"/>
      <c r="N8619" s="18"/>
      <c r="O8619" s="14" t="str">
        <f>HYPERLINK("https://otsuka-europe-crm.veevavault.com/ui/#object/email_activity__v/V8C00000003S870", "EN-002094590")</f>
        <v>EN-002094590</v>
      </c>
    </row>
    <row r="8620" spans="1:15" ht="16" x14ac:dyDescent="0.2">
      <c r="A8620" s="19"/>
      <c r="B8620" s="19"/>
      <c r="C8620" s="19"/>
      <c r="D8620" s="19"/>
      <c r="E8620" s="19"/>
      <c r="F8620" s="19"/>
      <c r="G8620" s="19"/>
      <c r="H8620" s="19"/>
      <c r="I8620" s="19"/>
      <c r="J8620" s="19"/>
      <c r="K8620" s="19"/>
      <c r="L8620" s="19"/>
      <c r="M8620" s="19"/>
      <c r="N8620" s="19"/>
      <c r="O8620" s="14" t="str">
        <f>HYPERLINK("https://otsuka-europe-crm.veevavault.com/ui/#object/email_activity__v/V8C00000003S871", "EN-002094592")</f>
        <v>EN-002094592</v>
      </c>
    </row>
    <row r="8621" spans="1:15" ht="32" x14ac:dyDescent="0.2">
      <c r="A8621" s="7" t="str">
        <f>HYPERLINK("https://otsuka-europe-crm.veevavault.com/ui/#object/account__v/V4T000000023060", "Antonio Licata")</f>
        <v>Antonio Licata</v>
      </c>
      <c r="B8621" s="7" t="str">
        <f>HYPERLINK("https://otsuka-europe-crm.veevavault.com/ui/#object/vcountry__v/VENZ000004SONFK", "GB")</f>
        <v>GB</v>
      </c>
      <c r="C8621" s="8" t="s">
        <v>39</v>
      </c>
      <c r="D8621" s="9" t="str">
        <f>HYPERLINK("https://otsuka-europe-crm.veevavault.com/ui/#object/approved_document__v/V5O00000000D081", "UK - Consent Email 1 Aug 25")</f>
        <v>UK - Consent Email 1 Aug 25</v>
      </c>
      <c r="E8621" s="10" t="str">
        <f>HYPERLINK("https://otsuka-europe-crm.veevavault.com/ui/#object/sent_email__v/VBL00000002S759", "SE-001435493")</f>
        <v>SE-001435493</v>
      </c>
      <c r="F8621" s="11"/>
      <c r="G8621" s="12">
        <v>0</v>
      </c>
      <c r="H8621" s="12">
        <v>0</v>
      </c>
      <c r="I8621" s="12">
        <v>0</v>
      </c>
      <c r="J8621" s="11"/>
      <c r="K8621" s="12">
        <v>0</v>
      </c>
      <c r="L8621" s="10" t="str">
        <f>HYPERLINK("https://otsuka-europe-crm.veevavault.com/ui/#object/approved_document__v/V5O00000000D081", "UK - Consent Email 1 Aug 25")</f>
        <v>UK - Consent Email 1 Aug 25</v>
      </c>
      <c r="M8621" s="10" t="str">
        <f>HYPERLINK("mailto:ldimambro@crm.otsuka-europe.com", "ldimambro@crm.otsuka-europe.com")</f>
        <v>ldimambro@crm.otsuka-europe.com</v>
      </c>
      <c r="N8621" s="13">
        <v>46184.454074074078</v>
      </c>
      <c r="O8621" s="14" t="str">
        <f>HYPERLINK("https://otsuka-europe-crm.veevavault.com/ui/#object/email_activity__v/V8C00000003T487", "EN-002094594")</f>
        <v>EN-002094594</v>
      </c>
    </row>
    <row r="8622" spans="1:15" ht="32" x14ac:dyDescent="0.2">
      <c r="A8622" s="7" t="str">
        <f>HYPERLINK("https://otsuka-europe-crm.veevavault.com/ui/#object/account__v/V4T000000023060", "Antonio Licata")</f>
        <v>Antonio Licata</v>
      </c>
      <c r="B8622" s="7" t="str">
        <f>HYPERLINK("https://otsuka-europe-crm.veevavault.com/ui/#object/vcountry__v/VENZ000004SONFK", "GB")</f>
        <v>GB</v>
      </c>
      <c r="C8622" s="8" t="s">
        <v>39</v>
      </c>
      <c r="D8622" s="9" t="str">
        <f>HYPERLINK("https://otsuka-europe-crm.veevavault.com/ui/#object/approved_document__v/V5OZ025E82PXJSL", "Otsuka Privacy Notice - UK (v2)")</f>
        <v>Otsuka Privacy Notice - UK (v2)</v>
      </c>
      <c r="E8622" s="10" t="str">
        <f>HYPERLINK("https://otsuka-europe-crm.veevavault.com/ui/#object/sent_email__v/VBL00000002R730", "SE-001435495")</f>
        <v>SE-001435495</v>
      </c>
      <c r="F8622" s="11"/>
      <c r="G8622" s="12">
        <v>0</v>
      </c>
      <c r="H8622" s="12">
        <v>0</v>
      </c>
      <c r="I8622" s="12">
        <v>0</v>
      </c>
      <c r="J8622" s="11"/>
      <c r="K8622" s="12">
        <v>0</v>
      </c>
      <c r="L8622" s="10" t="str">
        <f>HYPERLINK("https://otsuka-europe-crm.veevavault.com/ui/#object/approved_document__v/V5OZ025E82PXJSL", "Otsuka Privacy Notice - UK (v2)")</f>
        <v>Otsuka Privacy Notice - UK (v2)</v>
      </c>
      <c r="M8622" s="10" t="str">
        <f>HYPERLINK("mailto:ldimambro@crm.otsuka-europe.com", "ldimambro@crm.otsuka-europe.com")</f>
        <v>ldimambro@crm.otsuka-europe.com</v>
      </c>
      <c r="N8622" s="13">
        <v>46184.458564814813</v>
      </c>
      <c r="O8622" s="14" t="str">
        <f>HYPERLINK("https://otsuka-europe-crm.veevavault.com/ui/#object/email_activity__v/V8C00000003T489", "EN-002094597")</f>
        <v>EN-002094597</v>
      </c>
    </row>
    <row r="8623" spans="1:15" ht="32" x14ac:dyDescent="0.2">
      <c r="A8623" s="7" t="str">
        <f>HYPERLINK("https://otsuka-europe-crm.veevavault.com/ui/#object/account__v/V4T000000023060", "Antonio Licata")</f>
        <v>Antonio Licata</v>
      </c>
      <c r="B8623" s="7" t="str">
        <f>HYPERLINK("https://otsuka-europe-crm.veevavault.com/ui/#object/vcountry__v/VENZ000004SONFK", "GB")</f>
        <v>GB</v>
      </c>
      <c r="C8623" s="8" t="s">
        <v>39</v>
      </c>
      <c r="D8623" s="9" t="str">
        <f>HYPERLINK("https://otsuka-europe-crm.veevavault.com/ui/#object/approved_document__v/V5O00000000D081", "UK - Consent Email 1 Aug 25")</f>
        <v>UK - Consent Email 1 Aug 25</v>
      </c>
      <c r="E8623" s="10" t="str">
        <f>HYPERLINK("https://otsuka-europe-crm.veevavault.com/ui/#object/sent_email__v/VBL00000002R731", "SE-001435496")</f>
        <v>SE-001435496</v>
      </c>
      <c r="F8623" s="11"/>
      <c r="G8623" s="12">
        <v>0</v>
      </c>
      <c r="H8623" s="12">
        <v>0</v>
      </c>
      <c r="I8623" s="12">
        <v>0</v>
      </c>
      <c r="J8623" s="11"/>
      <c r="K8623" s="12">
        <v>0</v>
      </c>
      <c r="L8623" s="10" t="str">
        <f>HYPERLINK("https://otsuka-europe-crm.veevavault.com/ui/#object/approved_document__v/V5O00000000D081", "UK - Consent Email 1 Aug 25")</f>
        <v>UK - Consent Email 1 Aug 25</v>
      </c>
      <c r="M8623" s="10" t="str">
        <f>HYPERLINK("mailto:ldimambro@crm.otsuka-europe.com", "ldimambro@crm.otsuka-europe.com")</f>
        <v>ldimambro@crm.otsuka-europe.com</v>
      </c>
      <c r="N8623" s="13">
        <v>46184.459444444445</v>
      </c>
      <c r="O8623" s="14" t="str">
        <f>HYPERLINK("https://otsuka-europe-crm.veevavault.com/ui/#object/email_activity__v/V8C00000003T492", "EN-002094600")</f>
        <v>EN-002094600</v>
      </c>
    </row>
    <row r="8624" spans="1:15" ht="16" x14ac:dyDescent="0.2">
      <c r="A8624" s="17" t="str">
        <f>HYPERLINK("https://otsuka-europe-crm.veevavault.com/ui/#object/account__v/V4T000000022006", "Jennifer Newport")</f>
        <v>Jennifer Newport</v>
      </c>
      <c r="B8624" s="17" t="str">
        <f>HYPERLINK("https://otsuka-europe-crm.veevavault.com/ui/#object/vcountry__v/VENZ000004SONFK", "GB")</f>
        <v>GB</v>
      </c>
      <c r="C8624" s="20" t="s">
        <v>39</v>
      </c>
      <c r="D8624" s="21" t="str">
        <f>HYPERLINK("https://otsuka-europe-crm.veevavault.com/ui/#object/approved_document__v/V5OZ025E82UYOBH", "Aripiprazole 300mg PFS Available VAE")</f>
        <v>Aripiprazole 300mg PFS Available VAE</v>
      </c>
      <c r="E8624" s="22" t="str">
        <f>HYPERLINK("https://otsuka-europe-crm.veevavault.com/ui/#object/sent_email__v/VBL00000002S761", "SE-001435497")</f>
        <v>SE-001435497</v>
      </c>
      <c r="F8624" s="23">
        <v>46184.482175925928</v>
      </c>
      <c r="G8624" s="24">
        <v>1</v>
      </c>
      <c r="H8624" s="24">
        <v>2</v>
      </c>
      <c r="I8624" s="24">
        <v>0</v>
      </c>
      <c r="J8624" s="25"/>
      <c r="K8624" s="24">
        <v>0</v>
      </c>
      <c r="L8624" s="22" t="str">
        <f>HYPERLINK("https://otsuka-europe-crm.veevavault.com/ui/#object/approved_document__v/V5OZ025E82UYOBH", "Aripiprazole 300mg PFS Available VAE")</f>
        <v>Aripiprazole 300mg PFS Available VAE</v>
      </c>
      <c r="M8624" s="22" t="str">
        <f>HYPERLINK("mailto:ldimambro@crm.otsuka-europe.com", "ldimambro@crm.otsuka-europe.com")</f>
        <v>ldimambro@crm.otsuka-europe.com</v>
      </c>
      <c r="N8624" s="23">
        <v>46184.469699074078</v>
      </c>
      <c r="O8624" s="14" t="str">
        <f>HYPERLINK("https://otsuka-europe-crm.veevavault.com/ui/#object/email_activity__v/V8C00000003T503", "EN-002094614")</f>
        <v>EN-002094614</v>
      </c>
    </row>
    <row r="8625" spans="1:15" ht="16" x14ac:dyDescent="0.2">
      <c r="A8625" s="18"/>
      <c r="B8625" s="18"/>
      <c r="C8625" s="18"/>
      <c r="D8625" s="18"/>
      <c r="E8625" s="18"/>
      <c r="F8625" s="18"/>
      <c r="G8625" s="18"/>
      <c r="H8625" s="18"/>
      <c r="I8625" s="18"/>
      <c r="J8625" s="18"/>
      <c r="K8625" s="18"/>
      <c r="L8625" s="18"/>
      <c r="M8625" s="18"/>
      <c r="N8625" s="18"/>
      <c r="O8625" s="14" t="str">
        <f>HYPERLINK("https://otsuka-europe-crm.veevavault.com/ui/#object/email_activity__v/V8C00000003T507", "EN-002094624")</f>
        <v>EN-002094624</v>
      </c>
    </row>
    <row r="8626" spans="1:15" ht="16" x14ac:dyDescent="0.2">
      <c r="A8626" s="19"/>
      <c r="B8626" s="19"/>
      <c r="C8626" s="19"/>
      <c r="D8626" s="19"/>
      <c r="E8626" s="19"/>
      <c r="F8626" s="19"/>
      <c r="G8626" s="19"/>
      <c r="H8626" s="19"/>
      <c r="I8626" s="19"/>
      <c r="J8626" s="19"/>
      <c r="K8626" s="19"/>
      <c r="L8626" s="19"/>
      <c r="M8626" s="19"/>
      <c r="N8626" s="19"/>
      <c r="O8626" s="14" t="str">
        <f>HYPERLINK("https://otsuka-europe-crm.veevavault.com/ui/#object/email_activity__v/V8C00000003T508", "EN-002094625")</f>
        <v>EN-002094625</v>
      </c>
    </row>
    <row r="8627" spans="1:15" ht="32" x14ac:dyDescent="0.2">
      <c r="A8627" s="7" t="str">
        <f>HYPERLINK("https://otsuka-europe-crm.veevavault.com/ui/#object/account__v/V4T000000022006", "Jennifer Newport")</f>
        <v>Jennifer Newport</v>
      </c>
      <c r="B8627" s="7" t="str">
        <f>HYPERLINK("https://otsuka-europe-crm.veevavault.com/ui/#object/vcountry__v/VENZ000004SONFK", "GB")</f>
        <v>GB</v>
      </c>
      <c r="C8627" s="8" t="s">
        <v>39</v>
      </c>
      <c r="D8627" s="9" t="str">
        <f>HYPERLINK("https://otsuka-europe-crm.veevavault.com/ui/#object/approved_document__v/V5OZ025E82TSZBI", "Aripiprazole 960mg Fragment VAE")</f>
        <v>Aripiprazole 960mg Fragment VAE</v>
      </c>
      <c r="E8627" s="10" t="str">
        <f>HYPERLINK("https://otsuka-europe-crm.veevavault.com/ui/#object/sent_email__v/VBL00000002S762", "SE-001435498")</f>
        <v>SE-001435498</v>
      </c>
      <c r="F8627" s="11"/>
      <c r="G8627" s="12">
        <v>0</v>
      </c>
      <c r="H8627" s="12">
        <v>0</v>
      </c>
      <c r="I8627" s="12">
        <v>0</v>
      </c>
      <c r="J8627" s="11"/>
      <c r="K8627" s="12">
        <v>0</v>
      </c>
      <c r="L8627" s="10" t="str">
        <f>HYPERLINK("https://otsuka-europe-crm.veevavault.com/ui/#object/approved_document__v/V5OZ025E82TSZBI", "Aripiprazole 960mg Fragment VAE")</f>
        <v>Aripiprazole 960mg Fragment VAE</v>
      </c>
      <c r="M8627" s="10" t="str">
        <f>HYPERLINK("mailto:ldimambro@crm.otsuka-europe.com", "ldimambro@crm.otsuka-europe.com")</f>
        <v>ldimambro@crm.otsuka-europe.com</v>
      </c>
      <c r="N8627" s="13">
        <v>46184.469826388886</v>
      </c>
      <c r="O8627" s="14" t="str">
        <f>HYPERLINK("https://otsuka-europe-crm.veevavault.com/ui/#object/email_activity__v/V8C00000003S877", "EN-002094615")</f>
        <v>EN-002094615</v>
      </c>
    </row>
    <row r="8628" spans="1:15" ht="16" x14ac:dyDescent="0.2">
      <c r="A8628" s="17" t="str">
        <f>HYPERLINK("https://otsuka-europe-crm.veevavault.com/ui/#object/account__v/V4TZ06G6O71T89B", "SANTIAGO ANDRES PINA FRANCO")</f>
        <v>SANTIAGO ANDRES PINA FRANCO</v>
      </c>
      <c r="B8628" s="17" t="str">
        <f>HYPERLINK("https://otsuka-europe-crm.veevavault.com/ui/#object/vcountry__v/VENZ000004SONF5", "ES")</f>
        <v>ES</v>
      </c>
      <c r="C8628" s="20" t="s">
        <v>41</v>
      </c>
      <c r="D8628" s="21" t="str">
        <f>HYPERLINK("https://otsuka-europe-crm.veevavault.com/ui/#object/approved_document__v/V5O00000001I001", "RXULTI - Programa webinar RXPERTS 11 junio")</f>
        <v>RXULTI - Programa webinar RXPERTS 11 junio</v>
      </c>
      <c r="E8628" s="22" t="str">
        <f>HYPERLINK("https://otsuka-europe-crm.veevavault.com/ui/#object/sent_email__v/VBL00000002R732", "SE-001435499")</f>
        <v>SE-001435499</v>
      </c>
      <c r="F8628" s="25"/>
      <c r="G8628" s="24">
        <v>0</v>
      </c>
      <c r="H8628" s="24">
        <v>0</v>
      </c>
      <c r="I8628" s="24">
        <v>0</v>
      </c>
      <c r="J8628" s="25"/>
      <c r="K8628" s="24">
        <v>0</v>
      </c>
      <c r="L8628" s="22" t="str">
        <f>HYPERLINK("https://otsuka-europe-crm.veevavault.com/ui/#object/approved_document__v/V5O00000001I001", "RXULTI - Programa webinar RXPERTS 11 junio")</f>
        <v>RXULTI - Programa webinar RXPERTS 11 junio</v>
      </c>
      <c r="M8628" s="22" t="str">
        <f>HYPERLINK("mailto:rmartinez@crm.otsuka-europe.com", "rmartinez@crm.otsuka-europe.com")</f>
        <v>rmartinez@crm.otsuka-europe.com</v>
      </c>
      <c r="N8628" s="23">
        <v>46184.470219907409</v>
      </c>
      <c r="O8628" s="14" t="str">
        <f>HYPERLINK("https://otsuka-europe-crm.veevavault.com/ui/#object/email_activity__v/V8C00000003T502", "EN-002094613")</f>
        <v>EN-002094613</v>
      </c>
    </row>
    <row r="8629" spans="1:15" ht="16" x14ac:dyDescent="0.2">
      <c r="A8629" s="19"/>
      <c r="B8629" s="19"/>
      <c r="C8629" s="19"/>
      <c r="D8629" s="19"/>
      <c r="E8629" s="19"/>
      <c r="F8629" s="19"/>
      <c r="G8629" s="19"/>
      <c r="H8629" s="19"/>
      <c r="I8629" s="19"/>
      <c r="J8629" s="19"/>
      <c r="K8629" s="19"/>
      <c r="L8629" s="19"/>
      <c r="M8629" s="19"/>
      <c r="N8629" s="19"/>
      <c r="O8629" s="14" t="str">
        <f>HYPERLINK("https://otsuka-europe-crm.veevavault.com/ui/#object/email_activity__v/V8C00000003T509", "EN-002094629")</f>
        <v>EN-002094629</v>
      </c>
    </row>
    <row r="8630" spans="1:15" ht="16" x14ac:dyDescent="0.2">
      <c r="A8630" s="17" t="str">
        <f>HYPERLINK("https://otsuka-europe-crm.veevavault.com/ui/#object/account__v/V4TZ06G6O71SAQE", "LICIA GAUDINO")</f>
        <v>LICIA GAUDINO</v>
      </c>
      <c r="B8630" s="17" t="str">
        <f>HYPERLINK("https://otsuka-europe-crm.veevavault.com/ui/#object/vcountry__v/VENZ000004SONFQ", "IT")</f>
        <v>IT</v>
      </c>
      <c r="C8630" s="20" t="s">
        <v>44</v>
      </c>
      <c r="D8630" s="21" t="str">
        <f>HYPERLINK("https://otsuka-europe-crm.veevavault.com/ui/#object/approved_document__v/V5OZ025E82UFNWM", "ABILIFY 960720_Branded_AE Fagiolini_IT-AM2-2500131")</f>
        <v>ABILIFY 960720_Branded_AE Fagiolini_IT-AM2-2500131</v>
      </c>
      <c r="E8630" s="22" t="str">
        <f>HYPERLINK("https://otsuka-europe-crm.veevavault.com/ui/#object/sent_email__v/VBL00000002S763", "SE-001435500")</f>
        <v>SE-001435500</v>
      </c>
      <c r="F8630" s="23">
        <v>46184.647569444445</v>
      </c>
      <c r="G8630" s="24">
        <v>1</v>
      </c>
      <c r="H8630" s="24">
        <v>1</v>
      </c>
      <c r="I8630" s="24">
        <v>0</v>
      </c>
      <c r="J8630" s="25"/>
      <c r="K8630" s="24">
        <v>0</v>
      </c>
      <c r="L8630" s="22" t="str">
        <f>HYPERLINK("https://otsuka-europe-crm.veevavault.com/ui/#object/approved_document__v/V5OZ025E82UFNWM", "ABILIFY 960720_Branded_AE Fagiolini_IT-AM2-2500131")</f>
        <v>ABILIFY 960720_Branded_AE Fagiolini_IT-AM2-2500131</v>
      </c>
      <c r="M8630" s="22" t="str">
        <f>HYPERLINK("mailto:marina.maccaglia@crm.otsuka-europe.com", "marina.maccaglia@crm.otsuka-europe.com")</f>
        <v>marina.maccaglia@crm.otsuka-europe.com</v>
      </c>
      <c r="N8630" s="23">
        <v>46184.475659722222</v>
      </c>
      <c r="O8630" s="14" t="str">
        <f>HYPERLINK("https://otsuka-europe-crm.veevavault.com/ui/#object/email_activity__v/V8C00000003S939", "EN-002094728")</f>
        <v>EN-002094728</v>
      </c>
    </row>
    <row r="8631" spans="1:15" ht="16" x14ac:dyDescent="0.2">
      <c r="A8631" s="19"/>
      <c r="B8631" s="19"/>
      <c r="C8631" s="19"/>
      <c r="D8631" s="19"/>
      <c r="E8631" s="19"/>
      <c r="F8631" s="19"/>
      <c r="G8631" s="19"/>
      <c r="H8631" s="19"/>
      <c r="I8631" s="19"/>
      <c r="J8631" s="19"/>
      <c r="K8631" s="19"/>
      <c r="L8631" s="19"/>
      <c r="M8631" s="19"/>
      <c r="N8631" s="19"/>
      <c r="O8631" s="14" t="str">
        <f>HYPERLINK("https://otsuka-europe-crm.veevavault.com/ui/#object/email_activity__v/V8C00000003T505", "EN-002094619")</f>
        <v>EN-002094619</v>
      </c>
    </row>
    <row r="8632" spans="1:15" ht="32" x14ac:dyDescent="0.2">
      <c r="A8632" s="7" t="str">
        <f>HYPERLINK("https://otsuka-europe-crm.veevavault.com/ui/#object/account__v/V4TZ00000633UD6", "STEVE LAFAURIE")</f>
        <v>STEVE LAFAURIE</v>
      </c>
      <c r="B8632" s="7" t="str">
        <f>HYPERLINK("https://otsuka-europe-crm.veevavault.com/ui/#object/vcountry__v/VENZ000004SONFA", "FR")</f>
        <v>FR</v>
      </c>
      <c r="C8632" s="8" t="s">
        <v>42</v>
      </c>
      <c r="D8632" s="9" t="str">
        <f>HYPERLINK("https://otsuka-europe-crm.veevavault.com/ui/#object/approved_document__v/V5O00000000P003", "FR-AM2-2500027")</f>
        <v>FR-AM2-2500027</v>
      </c>
      <c r="E8632" s="10" t="str">
        <f>HYPERLINK("https://otsuka-europe-crm.veevavault.com/ui/#object/sent_email__v/VBL00000002S764", "SE-001435501")</f>
        <v>SE-001435501</v>
      </c>
      <c r="F8632" s="11"/>
      <c r="G8632" s="12">
        <v>0</v>
      </c>
      <c r="H8632" s="12">
        <v>0</v>
      </c>
      <c r="I8632" s="12">
        <v>0</v>
      </c>
      <c r="J8632" s="11"/>
      <c r="K8632" s="12">
        <v>0</v>
      </c>
      <c r="L8632" s="10" t="str">
        <f>HYPERLINK("https://otsuka-europe-crm.veevavault.com/ui/#object/approved_document__v/V5O00000000P003", "FR-AM2-2500027")</f>
        <v>FR-AM2-2500027</v>
      </c>
      <c r="M8632" s="10" t="str">
        <f>HYPERLINK("mailto:mvernoux@crm.otsuka-europe.com", "mvernoux@crm.otsuka-europe.com")</f>
        <v>mvernoux@crm.otsuka-europe.com</v>
      </c>
      <c r="N8632" s="13">
        <v>46184.477349537039</v>
      </c>
      <c r="O8632" s="14" t="str">
        <f>HYPERLINK("https://otsuka-europe-crm.veevavault.com/ui/#object/email_activity__v/V8C00000003T506", "EN-002094622")</f>
        <v>EN-002094622</v>
      </c>
    </row>
    <row r="8633" spans="1:15" ht="32" x14ac:dyDescent="0.2">
      <c r="A8633" s="7" t="str">
        <f>HYPERLINK("https://otsuka-europe-crm.veevavault.com/ui/#object/account__v/V4T000000022107", "SARA HUERTAS SALAZAR")</f>
        <v>SARA HUERTAS SALAZAR</v>
      </c>
      <c r="B8633" s="7" t="str">
        <f>HYPERLINK("https://otsuka-europe-crm.veevavault.com/ui/#object/vcountry__v/VENZ000004SONF5", "ES")</f>
        <v>ES</v>
      </c>
      <c r="C8633" s="8" t="s">
        <v>41</v>
      </c>
      <c r="D8633" s="9" t="str">
        <f>HYPERLINK("https://otsuka-europe-crm.veevavault.com/ui/#object/approved_document__v/V5O00000000D100", "Spain - Consent Email 1 Aug 25")</f>
        <v>Spain - Consent Email 1 Aug 25</v>
      </c>
      <c r="E8633" s="10" t="str">
        <f>HYPERLINK("https://otsuka-europe-crm.veevavault.com/ui/#object/sent_email__v/VBL00000002R733", "SE-001435502")</f>
        <v>SE-001435502</v>
      </c>
      <c r="F8633" s="11"/>
      <c r="G8633" s="12">
        <v>0</v>
      </c>
      <c r="H8633" s="12">
        <v>0</v>
      </c>
      <c r="I8633" s="12">
        <v>0</v>
      </c>
      <c r="J8633" s="11"/>
      <c r="K8633" s="12">
        <v>0</v>
      </c>
      <c r="L8633" s="10" t="str">
        <f>HYPERLINK("https://otsuka-europe-crm.veevavault.com/ui/#object/approved_document__v/V5O00000000D100", "Spain - Consent Email 1 Aug 25")</f>
        <v>Spain - Consent Email 1 Aug 25</v>
      </c>
      <c r="M8633" s="10" t="str">
        <f>HYPERLINK("mailto:jguri@crm.otsuka-europe.com", "jguri@crm.otsuka-europe.com")</f>
        <v>jguri@crm.otsuka-europe.com</v>
      </c>
      <c r="N8633" s="13">
        <v>46184.478067129632</v>
      </c>
      <c r="O8633" s="14" t="str">
        <f>HYPERLINK("https://otsuka-europe-crm.veevavault.com/ui/#object/email_activity__v/V8C00000003S881", "EN-002094621")</f>
        <v>EN-002094621</v>
      </c>
    </row>
    <row r="8634" spans="1:15" ht="16" x14ac:dyDescent="0.2">
      <c r="A8634" s="17" t="str">
        <f>HYPERLINK("https://otsuka-europe-crm.veevavault.com/ui/#object/account__v/V4TZ06G6O71T9C9", "ADOLFO JOSE BENITO RUIZ")</f>
        <v>ADOLFO JOSE BENITO RUIZ</v>
      </c>
      <c r="B8634" s="17" t="str">
        <f>HYPERLINK("https://otsuka-europe-crm.veevavault.com/ui/#object/vcountry__v/VENZ000004SONF5", "ES")</f>
        <v>ES</v>
      </c>
      <c r="C8634" s="20" t="s">
        <v>41</v>
      </c>
      <c r="D8634" s="21" t="str">
        <f>HYPERLINK("https://otsuka-europe-crm.veevavault.com/ui/#object/approved_document__v/V5O00000001I001", "RXULTI - Programa webinar RXPERTS 11 junio")</f>
        <v>RXULTI - Programa webinar RXPERTS 11 junio</v>
      </c>
      <c r="E8634" s="22" t="str">
        <f>HYPERLINK("https://otsuka-europe-crm.veevavault.com/ui/#object/sent_email__v/VBL00000002R734", "SE-001435503")</f>
        <v>SE-001435503</v>
      </c>
      <c r="F8634" s="23">
        <v>46184.865289351852</v>
      </c>
      <c r="G8634" s="24">
        <v>1</v>
      </c>
      <c r="H8634" s="24">
        <v>3</v>
      </c>
      <c r="I8634" s="24">
        <v>1</v>
      </c>
      <c r="J8634" s="23">
        <v>46184.786898148152</v>
      </c>
      <c r="K8634" s="24">
        <v>3</v>
      </c>
      <c r="L8634" s="22" t="str">
        <f>HYPERLINK("https://otsuka-europe-crm.veevavault.com/ui/#object/approved_document__v/V5O00000001I001", "RXULTI - Programa webinar RXPERTS 11 junio")</f>
        <v>RXULTI - Programa webinar RXPERTS 11 junio</v>
      </c>
      <c r="M8634" s="22" t="str">
        <f>HYPERLINK("mailto:cvila@crm.otsuka-europe.com", "cvila@crm.otsuka-europe.com")</f>
        <v>cvila@crm.otsuka-europe.com</v>
      </c>
      <c r="N8634" s="23">
        <v>46184.513541666667</v>
      </c>
      <c r="O8634" s="14" t="str">
        <f>HYPERLINK("https://otsuka-europe-crm.veevavault.com/ui/#object/email_activity__v/V8C00000003T521", "EN-002094645")</f>
        <v>EN-002094645</v>
      </c>
    </row>
    <row r="8635" spans="1:15" ht="16" x14ac:dyDescent="0.2">
      <c r="A8635" s="18"/>
      <c r="B8635" s="18"/>
      <c r="C8635" s="18"/>
      <c r="D8635" s="18"/>
      <c r="E8635" s="18"/>
      <c r="F8635" s="18"/>
      <c r="G8635" s="18"/>
      <c r="H8635" s="18"/>
      <c r="I8635" s="18"/>
      <c r="J8635" s="18"/>
      <c r="K8635" s="18"/>
      <c r="L8635" s="18"/>
      <c r="M8635" s="18"/>
      <c r="N8635" s="18"/>
      <c r="O8635" s="14" t="str">
        <f>HYPERLINK("https://otsuka-europe-crm.veevavault.com/ui/#object/email_activity__v/V8C00000003T527", "EN-002094660")</f>
        <v>EN-002094660</v>
      </c>
    </row>
    <row r="8636" spans="1:15" ht="16" x14ac:dyDescent="0.2">
      <c r="A8636" s="18"/>
      <c r="B8636" s="18"/>
      <c r="C8636" s="18"/>
      <c r="D8636" s="18"/>
      <c r="E8636" s="18"/>
      <c r="F8636" s="18"/>
      <c r="G8636" s="18"/>
      <c r="H8636" s="18"/>
      <c r="I8636" s="18"/>
      <c r="J8636" s="18"/>
      <c r="K8636" s="18"/>
      <c r="L8636" s="18"/>
      <c r="M8636" s="18"/>
      <c r="N8636" s="18"/>
      <c r="O8636" s="14" t="str">
        <f>HYPERLINK("https://otsuka-europe-crm.veevavault.com/ui/#object/email_activity__v/V8C00000003T528", "EN-002094661")</f>
        <v>EN-002094661</v>
      </c>
    </row>
    <row r="8637" spans="1:15" ht="16" x14ac:dyDescent="0.2">
      <c r="A8637" s="18"/>
      <c r="B8637" s="18"/>
      <c r="C8637" s="18"/>
      <c r="D8637" s="18"/>
      <c r="E8637" s="18"/>
      <c r="F8637" s="18"/>
      <c r="G8637" s="18"/>
      <c r="H8637" s="18"/>
      <c r="I8637" s="18"/>
      <c r="J8637" s="18"/>
      <c r="K8637" s="18"/>
      <c r="L8637" s="18"/>
      <c r="M8637" s="18"/>
      <c r="N8637" s="18"/>
      <c r="O8637" s="14" t="str">
        <f>HYPERLINK("https://otsuka-europe-crm.veevavault.com/ui/#object/email_activity__v/V8C00000003T529", "EN-002094662")</f>
        <v>EN-002094662</v>
      </c>
    </row>
    <row r="8638" spans="1:15" ht="16" x14ac:dyDescent="0.2">
      <c r="A8638" s="18"/>
      <c r="B8638" s="18"/>
      <c r="C8638" s="18"/>
      <c r="D8638" s="18"/>
      <c r="E8638" s="18"/>
      <c r="F8638" s="18"/>
      <c r="G8638" s="18"/>
      <c r="H8638" s="18"/>
      <c r="I8638" s="18"/>
      <c r="J8638" s="18"/>
      <c r="K8638" s="18"/>
      <c r="L8638" s="18"/>
      <c r="M8638" s="18"/>
      <c r="N8638" s="18"/>
      <c r="O8638" s="14" t="str">
        <f>HYPERLINK("https://otsuka-europe-crm.veevavault.com/ui/#object/email_activity__v/V8C00000003T561", "EN-002094740")</f>
        <v>EN-002094740</v>
      </c>
    </row>
    <row r="8639" spans="1:15" ht="16" x14ac:dyDescent="0.2">
      <c r="A8639" s="18"/>
      <c r="B8639" s="18"/>
      <c r="C8639" s="18"/>
      <c r="D8639" s="18"/>
      <c r="E8639" s="18"/>
      <c r="F8639" s="18"/>
      <c r="G8639" s="18"/>
      <c r="H8639" s="18"/>
      <c r="I8639" s="18"/>
      <c r="J8639" s="18"/>
      <c r="K8639" s="18"/>
      <c r="L8639" s="18"/>
      <c r="M8639" s="18"/>
      <c r="N8639" s="18"/>
      <c r="O8639" s="14" t="str">
        <f>HYPERLINK("https://otsuka-europe-crm.veevavault.com/ui/#object/email_activity__v/V8C00000003U004", "EN-002094822")</f>
        <v>EN-002094822</v>
      </c>
    </row>
    <row r="8640" spans="1:15" ht="16" x14ac:dyDescent="0.2">
      <c r="A8640" s="19"/>
      <c r="B8640" s="19"/>
      <c r="C8640" s="19"/>
      <c r="D8640" s="19"/>
      <c r="E8640" s="19"/>
      <c r="F8640" s="19"/>
      <c r="G8640" s="19"/>
      <c r="H8640" s="19"/>
      <c r="I8640" s="19"/>
      <c r="J8640" s="19"/>
      <c r="K8640" s="19"/>
      <c r="L8640" s="19"/>
      <c r="M8640" s="19"/>
      <c r="N8640" s="19"/>
      <c r="O8640" s="14" t="str">
        <f>HYPERLINK("https://otsuka-europe-crm.veevavault.com/ui/#object/email_activity__v/V8C00000003U011", "EN-002094837")</f>
        <v>EN-002094837</v>
      </c>
    </row>
    <row r="8641" spans="1:15" ht="48" x14ac:dyDescent="0.2">
      <c r="A8641" s="7" t="str">
        <f>HYPERLINK("https://otsuka-europe-crm.veevavault.com/ui/#object/account__v/V4TZ00000633KQO", "AMBRE DUFEUTRELLE")</f>
        <v>AMBRE DUFEUTRELLE</v>
      </c>
      <c r="B8641" s="7" t="str">
        <f>HYPERLINK("https://otsuka-europe-crm.veevavault.com/ui/#object/vcountry__v/VENZ000004SONFA", "FR")</f>
        <v>FR</v>
      </c>
      <c r="C8641" s="8" t="s">
        <v>42</v>
      </c>
      <c r="D8641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8641" s="10" t="str">
        <f>HYPERLINK("https://otsuka-europe-crm.veevavault.com/ui/#object/sent_email__v/VBL00000002R735", "SE-001435504")</f>
        <v>SE-001435504</v>
      </c>
      <c r="F8641" s="11"/>
      <c r="G8641" s="12">
        <v>0</v>
      </c>
      <c r="H8641" s="12">
        <v>0</v>
      </c>
      <c r="I8641" s="12">
        <v>0</v>
      </c>
      <c r="J8641" s="11"/>
      <c r="K8641" s="12">
        <v>0</v>
      </c>
      <c r="L8641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8641" s="10" t="str">
        <f>HYPERLINK("mailto:mperrin@crm.otsuka-europe.com", "mperrin@crm.otsuka-europe.com")</f>
        <v>mperrin@crm.otsuka-europe.com</v>
      </c>
      <c r="N8641" s="13">
        <v>46184.522615740738</v>
      </c>
      <c r="O8641" s="14" t="str">
        <f>HYPERLINK("https://otsuka-europe-crm.veevavault.com/ui/#object/email_activity__v/V8C00000003T524", "EN-002094651")</f>
        <v>EN-002094651</v>
      </c>
    </row>
    <row r="8642" spans="1:15" ht="48" x14ac:dyDescent="0.2">
      <c r="A8642" s="7" t="str">
        <f>HYPERLINK("https://otsuka-europe-crm.veevavault.com/ui/#object/account__v/V4TZ00000633U0L", "MARIE LECACHEUX")</f>
        <v>MARIE LECACHEUX</v>
      </c>
      <c r="B8642" s="7" t="str">
        <f>HYPERLINK("https://otsuka-europe-crm.veevavault.com/ui/#object/vcountry__v/VENZ000004SONFA", "FR")</f>
        <v>FR</v>
      </c>
      <c r="C8642" s="8" t="s">
        <v>42</v>
      </c>
      <c r="D8642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8642" s="10" t="str">
        <f>HYPERLINK("https://otsuka-europe-crm.veevavault.com/ui/#object/sent_email__v/VBL00000002S765", "SE-001435505")</f>
        <v>SE-001435505</v>
      </c>
      <c r="F8642" s="11"/>
      <c r="G8642" s="12">
        <v>0</v>
      </c>
      <c r="H8642" s="12">
        <v>0</v>
      </c>
      <c r="I8642" s="12">
        <v>0</v>
      </c>
      <c r="J8642" s="11"/>
      <c r="K8642" s="12">
        <v>0</v>
      </c>
      <c r="L8642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8642" s="10" t="str">
        <f>HYPERLINK("mailto:mperrin@crm.otsuka-europe.com", "mperrin@crm.otsuka-europe.com")</f>
        <v>mperrin@crm.otsuka-europe.com</v>
      </c>
      <c r="N8642" s="13">
        <v>46184.522939814815</v>
      </c>
      <c r="O8642" s="14" t="str">
        <f>HYPERLINK("https://otsuka-europe-crm.veevavault.com/ui/#object/email_activity__v/V8C00000003S893", "EN-002094652")</f>
        <v>EN-002094652</v>
      </c>
    </row>
    <row r="8643" spans="1:15" ht="16" x14ac:dyDescent="0.2">
      <c r="A8643" s="17" t="str">
        <f>HYPERLINK("https://otsuka-europe-crm.veevavault.com/ui/#object/account__v/V4TZ06G6O9VMNLZ", "JOAO MARCO RODRIGUES SANTANA")</f>
        <v>JOAO MARCO RODRIGUES SANTANA</v>
      </c>
      <c r="B8643" s="17" t="str">
        <f>HYPERLINK("https://otsuka-europe-crm.veevavault.com/ui/#object/vcountry__v/VENZ000004SONF5", "ES")</f>
        <v>ES</v>
      </c>
      <c r="C8643" s="20" t="s">
        <v>41</v>
      </c>
      <c r="D8643" s="21" t="str">
        <f>HYPERLINK("https://otsuka-europe-crm.veevavault.com/ui/#object/approved_document__v/V5O00000001I001", "RXULTI - Programa webinar RXPERTS 11 junio")</f>
        <v>RXULTI - Programa webinar RXPERTS 11 junio</v>
      </c>
      <c r="E8643" s="22" t="str">
        <f>HYPERLINK("https://otsuka-europe-crm.veevavault.com/ui/#object/sent_email__v/VBL00000002S766", "SE-001435506")</f>
        <v>SE-001435506</v>
      </c>
      <c r="F8643" s="23">
        <v>46184.661435185182</v>
      </c>
      <c r="G8643" s="24">
        <v>1</v>
      </c>
      <c r="H8643" s="24">
        <v>2</v>
      </c>
      <c r="I8643" s="24">
        <v>0</v>
      </c>
      <c r="J8643" s="25"/>
      <c r="K8643" s="24">
        <v>0</v>
      </c>
      <c r="L8643" s="22" t="str">
        <f>HYPERLINK("https://otsuka-europe-crm.veevavault.com/ui/#object/approved_document__v/V5O00000001I001", "RXULTI - Programa webinar RXPERTS 11 junio")</f>
        <v>RXULTI - Programa webinar RXPERTS 11 junio</v>
      </c>
      <c r="M8643" s="22" t="str">
        <f>HYPERLINK("mailto:sseco@crm.otsuka-europe.com", "sseco@crm.otsuka-europe.com")</f>
        <v>sseco@crm.otsuka-europe.com</v>
      </c>
      <c r="N8643" s="23">
        <v>46184.526597222219</v>
      </c>
      <c r="O8643" s="14" t="str">
        <f>HYPERLINK("https://otsuka-europe-crm.veevavault.com/ui/#object/email_activity__v/V8C00000003S895", "EN-002094656")</f>
        <v>EN-002094656</v>
      </c>
    </row>
    <row r="8644" spans="1:15" ht="16" x14ac:dyDescent="0.2">
      <c r="A8644" s="18"/>
      <c r="B8644" s="18"/>
      <c r="C8644" s="18"/>
      <c r="D8644" s="18"/>
      <c r="E8644" s="18"/>
      <c r="F8644" s="18"/>
      <c r="G8644" s="18"/>
      <c r="H8644" s="18"/>
      <c r="I8644" s="18"/>
      <c r="J8644" s="18"/>
      <c r="K8644" s="18"/>
      <c r="L8644" s="18"/>
      <c r="M8644" s="18"/>
      <c r="N8644" s="18"/>
      <c r="O8644" s="14" t="str">
        <f>HYPERLINK("https://otsuka-europe-crm.veevavault.com/ui/#object/email_activity__v/V8C00000003S945", "EN-002094741")</f>
        <v>EN-002094741</v>
      </c>
    </row>
    <row r="8645" spans="1:15" ht="16" x14ac:dyDescent="0.2">
      <c r="A8645" s="19"/>
      <c r="B8645" s="19"/>
      <c r="C8645" s="19"/>
      <c r="D8645" s="19"/>
      <c r="E8645" s="19"/>
      <c r="F8645" s="19"/>
      <c r="G8645" s="19"/>
      <c r="H8645" s="19"/>
      <c r="I8645" s="19"/>
      <c r="J8645" s="19"/>
      <c r="K8645" s="19"/>
      <c r="L8645" s="19"/>
      <c r="M8645" s="19"/>
      <c r="N8645" s="19"/>
      <c r="O8645" s="14" t="str">
        <f>HYPERLINK("https://otsuka-europe-crm.veevavault.com/ui/#object/email_activity__v/V8C00000003T526", "EN-002094654")</f>
        <v>EN-002094654</v>
      </c>
    </row>
    <row r="8646" spans="1:15" ht="16" x14ac:dyDescent="0.2">
      <c r="A8646" s="17" t="str">
        <f>HYPERLINK("https://otsuka-europe-crm.veevavault.com/ui/#object/account__v/V4TZ06G6O71T8VO", "LUZ MARIA GONZALEZ GUALDA")</f>
        <v>LUZ MARIA GONZALEZ GUALDA</v>
      </c>
      <c r="B8646" s="17" t="str">
        <f>HYPERLINK("https://otsuka-europe-crm.veevavault.com/ui/#object/vcountry__v/VENZ000004SONF5", "ES")</f>
        <v>ES</v>
      </c>
      <c r="C8646" s="20" t="s">
        <v>41</v>
      </c>
      <c r="D8646" s="21" t="str">
        <f>HYPERLINK("https://otsuka-europe-crm.veevavault.com/ui/#object/approved_document__v/V5O00000001I001", "RXULTI - Programa webinar RXPERTS 11 junio")</f>
        <v>RXULTI - Programa webinar RXPERTS 11 junio</v>
      </c>
      <c r="E8646" s="22" t="str">
        <f>HYPERLINK("https://otsuka-europe-crm.veevavault.com/ui/#object/sent_email__v/VBL00000002S767", "SE-001435507")</f>
        <v>SE-001435507</v>
      </c>
      <c r="F8646" s="23">
        <v>46184.573171296295</v>
      </c>
      <c r="G8646" s="24">
        <v>1</v>
      </c>
      <c r="H8646" s="24">
        <v>1</v>
      </c>
      <c r="I8646" s="24">
        <v>1</v>
      </c>
      <c r="J8646" s="23">
        <v>46184.576319444444</v>
      </c>
      <c r="K8646" s="24">
        <v>2</v>
      </c>
      <c r="L8646" s="22" t="str">
        <f>HYPERLINK("https://otsuka-europe-crm.veevavault.com/ui/#object/approved_document__v/V5O00000001I001", "RXULTI - Programa webinar RXPERTS 11 junio")</f>
        <v>RXULTI - Programa webinar RXPERTS 11 junio</v>
      </c>
      <c r="M8646" s="22" t="str">
        <f>HYPERLINK("mailto:sseco@crm.otsuka-europe.com", "sseco@crm.otsuka-europe.com")</f>
        <v>sseco@crm.otsuka-europe.com</v>
      </c>
      <c r="N8646" s="23">
        <v>46184.526597222219</v>
      </c>
      <c r="O8646" s="14" t="str">
        <f>HYPERLINK("https://otsuka-europe-crm.veevavault.com/ui/#object/email_activity__v/V8C00000003S929", "EN-002094703")</f>
        <v>EN-002094703</v>
      </c>
    </row>
    <row r="8647" spans="1:15" ht="16" x14ac:dyDescent="0.2">
      <c r="A8647" s="18"/>
      <c r="B8647" s="18"/>
      <c r="C8647" s="18"/>
      <c r="D8647" s="18"/>
      <c r="E8647" s="18"/>
      <c r="F8647" s="18"/>
      <c r="G8647" s="18"/>
      <c r="H8647" s="18"/>
      <c r="I8647" s="18"/>
      <c r="J8647" s="18"/>
      <c r="K8647" s="18"/>
      <c r="L8647" s="18"/>
      <c r="M8647" s="18"/>
      <c r="N8647" s="18"/>
      <c r="O8647" s="14" t="str">
        <f>HYPERLINK("https://otsuka-europe-crm.veevavault.com/ui/#object/email_activity__v/V8C00000003S930", "EN-002094704")</f>
        <v>EN-002094704</v>
      </c>
    </row>
    <row r="8648" spans="1:15" ht="16" x14ac:dyDescent="0.2">
      <c r="A8648" s="18"/>
      <c r="B8648" s="18"/>
      <c r="C8648" s="18"/>
      <c r="D8648" s="18"/>
      <c r="E8648" s="18"/>
      <c r="F8648" s="18"/>
      <c r="G8648" s="18"/>
      <c r="H8648" s="18"/>
      <c r="I8648" s="18"/>
      <c r="J8648" s="18"/>
      <c r="K8648" s="18"/>
      <c r="L8648" s="18"/>
      <c r="M8648" s="18"/>
      <c r="N8648" s="18"/>
      <c r="O8648" s="14" t="str">
        <f>HYPERLINK("https://otsuka-europe-crm.veevavault.com/ui/#object/email_activity__v/V8C00000003T525", "EN-002094655")</f>
        <v>EN-002094655</v>
      </c>
    </row>
    <row r="8649" spans="1:15" ht="16" x14ac:dyDescent="0.2">
      <c r="A8649" s="19"/>
      <c r="B8649" s="19"/>
      <c r="C8649" s="19"/>
      <c r="D8649" s="19"/>
      <c r="E8649" s="19"/>
      <c r="F8649" s="19"/>
      <c r="G8649" s="19"/>
      <c r="H8649" s="19"/>
      <c r="I8649" s="19"/>
      <c r="J8649" s="19"/>
      <c r="K8649" s="19"/>
      <c r="L8649" s="19"/>
      <c r="M8649" s="19"/>
      <c r="N8649" s="19"/>
      <c r="O8649" s="14" t="str">
        <f>HYPERLINK("https://otsuka-europe-crm.veevavault.com/ui/#object/email_activity__v/V8C00000003T541", "EN-002094707")</f>
        <v>EN-002094707</v>
      </c>
    </row>
    <row r="8650" spans="1:15" ht="64" x14ac:dyDescent="0.2">
      <c r="A8650" s="7" t="str">
        <f>HYPERLINK("https://otsuka-europe-crm.veevavault.com/ui/#object/account__v/V4TZ025E829M7KX", "ALEJANDRO GRANADOS PUERTO")</f>
        <v>ALEJANDRO GRANADOS PUERTO</v>
      </c>
      <c r="B8650" s="7" t="str">
        <f>HYPERLINK("https://otsuka-europe-crm.veevavault.com/ui/#object/vcountry__v/VENZ000004SONF5", "ES")</f>
        <v>ES</v>
      </c>
      <c r="C8650" s="8" t="s">
        <v>41</v>
      </c>
      <c r="D8650" s="9" t="str">
        <f>HYPERLINK("https://otsuka-europe-crm.veevavault.com/ui/#object/approved_document__v/V5O00000001K002", "Programa 4º edición Curso Simulación clínica en psiquiatría Hospital 12-Octubre")</f>
        <v>Programa 4º edición Curso Simulación clínica en psiquiatría Hospital 12-Octubre</v>
      </c>
      <c r="E8650" s="10" t="str">
        <f>HYPERLINK("https://otsuka-europe-crm.veevavault.com/ui/#object/sent_email__v/VBL00000002S768", "SE-001435508")</f>
        <v>SE-001435508</v>
      </c>
      <c r="F8650" s="11"/>
      <c r="G8650" s="12">
        <v>0</v>
      </c>
      <c r="H8650" s="12">
        <v>0</v>
      </c>
      <c r="I8650" s="12">
        <v>0</v>
      </c>
      <c r="J8650" s="11"/>
      <c r="K8650" s="12">
        <v>0</v>
      </c>
      <c r="L8650" s="10" t="str">
        <f>HYPERLINK("https://otsuka-europe-crm.veevavault.com/ui/#object/approved_document__v/V5O00000001K002", "Programa 4º edición Curso Simulación clínica en psiquiatría Hospital 12-Octubre")</f>
        <v>Programa 4º edición Curso Simulación clínica en psiquiatría Hospital 12-Octubre</v>
      </c>
      <c r="M8650" s="10" t="str">
        <f>HYPERLINK("mailto:sseco@crm.otsuka-europe.com", "sseco@crm.otsuka-europe.com")</f>
        <v>sseco@crm.otsuka-europe.com</v>
      </c>
      <c r="N8650" s="13">
        <v>46184.527650462966</v>
      </c>
      <c r="O8650" s="14" t="str">
        <f>HYPERLINK("https://otsuka-europe-crm.veevavault.com/ui/#object/email_activity__v/V8C00000003S896", "EN-002094657")</f>
        <v>EN-002094657</v>
      </c>
    </row>
    <row r="8651" spans="1:15" ht="64" x14ac:dyDescent="0.2">
      <c r="A8651" s="7" t="str">
        <f>HYPERLINK("https://otsuka-europe-crm.veevavault.com/ui/#object/account__v/V4TZ04ASGEC2O6J", "SERGIO ABEL ROJAS HERRERA")</f>
        <v>SERGIO ABEL ROJAS HERRERA</v>
      </c>
      <c r="B8651" s="7" t="str">
        <f>HYPERLINK("https://otsuka-europe-crm.veevavault.com/ui/#object/vcountry__v/VENZ000004SONF5", "ES")</f>
        <v>ES</v>
      </c>
      <c r="C8651" s="8" t="s">
        <v>41</v>
      </c>
      <c r="D8651" s="9" t="str">
        <f>HYPERLINK("https://otsuka-europe-crm.veevavault.com/ui/#object/approved_document__v/V5O00000001K002", "Programa 4º edición Curso Simulación clínica en psiquiatría Hospital 12-Octubre")</f>
        <v>Programa 4º edición Curso Simulación clínica en psiquiatría Hospital 12-Octubre</v>
      </c>
      <c r="E8651" s="10" t="str">
        <f>HYPERLINK("https://otsuka-europe-crm.veevavault.com/ui/#object/sent_email__v/VBL00000002S769", "SE-001435509")</f>
        <v>SE-001435509</v>
      </c>
      <c r="F8651" s="11"/>
      <c r="G8651" s="12">
        <v>0</v>
      </c>
      <c r="H8651" s="12">
        <v>0</v>
      </c>
      <c r="I8651" s="12">
        <v>0</v>
      </c>
      <c r="J8651" s="11"/>
      <c r="K8651" s="12">
        <v>0</v>
      </c>
      <c r="L8651" s="10" t="str">
        <f>HYPERLINK("https://otsuka-europe-crm.veevavault.com/ui/#object/approved_document__v/V5O00000001K002", "Programa 4º edición Curso Simulación clínica en psiquiatría Hospital 12-Octubre")</f>
        <v>Programa 4º edición Curso Simulación clínica en psiquiatría Hospital 12-Octubre</v>
      </c>
      <c r="M8651" s="10" t="str">
        <f>HYPERLINK("mailto:sseco@crm.otsuka-europe.com", "sseco@crm.otsuka-europe.com")</f>
        <v>sseco@crm.otsuka-europe.com</v>
      </c>
      <c r="N8651" s="13">
        <v>46184.527638888889</v>
      </c>
      <c r="O8651" s="14" t="str">
        <f>HYPERLINK("https://otsuka-europe-crm.veevavault.com/ui/#object/email_activity__v/V8C00000003S898", "EN-002094659")</f>
        <v>EN-002094659</v>
      </c>
    </row>
    <row r="8652" spans="1:15" ht="64" x14ac:dyDescent="0.2">
      <c r="A8652" s="7" t="str">
        <f>HYPERLINK("https://otsuka-europe-crm.veevavault.com/ui/#object/account__v/V4TZ025E83PNSCM", "IULIA MARIA STAN")</f>
        <v>IULIA MARIA STAN</v>
      </c>
      <c r="B8652" s="7" t="str">
        <f>HYPERLINK("https://otsuka-europe-crm.veevavault.com/ui/#object/vcountry__v/VENZ000004SONF5", "ES")</f>
        <v>ES</v>
      </c>
      <c r="C8652" s="8" t="s">
        <v>41</v>
      </c>
      <c r="D8652" s="9" t="str">
        <f>HYPERLINK("https://otsuka-europe-crm.veevavault.com/ui/#object/approved_document__v/V5O00000001K002", "Programa 4º edición Curso Simulación clínica en psiquiatría Hospital 12-Octubre")</f>
        <v>Programa 4º edición Curso Simulación clínica en psiquiatría Hospital 12-Octubre</v>
      </c>
      <c r="E8652" s="10" t="str">
        <f>HYPERLINK("https://otsuka-europe-crm.veevavault.com/ui/#object/sent_email__v/VBL00000002S770", "SE-001435510")</f>
        <v>SE-001435510</v>
      </c>
      <c r="F8652" s="11"/>
      <c r="G8652" s="12">
        <v>0</v>
      </c>
      <c r="H8652" s="12">
        <v>0</v>
      </c>
      <c r="I8652" s="12">
        <v>0</v>
      </c>
      <c r="J8652" s="11"/>
      <c r="K8652" s="12">
        <v>0</v>
      </c>
      <c r="L8652" s="10" t="str">
        <f>HYPERLINK("https://otsuka-europe-crm.veevavault.com/ui/#object/approved_document__v/V5O00000001K002", "Programa 4º edición Curso Simulación clínica en psiquiatría Hospital 12-Octubre")</f>
        <v>Programa 4º edición Curso Simulación clínica en psiquiatría Hospital 12-Octubre</v>
      </c>
      <c r="M8652" s="10" t="str">
        <f>HYPERLINK("mailto:sseco@crm.otsuka-europe.com", "sseco@crm.otsuka-europe.com")</f>
        <v>sseco@crm.otsuka-europe.com</v>
      </c>
      <c r="N8652" s="13">
        <v>46184.527638888889</v>
      </c>
      <c r="O8652" s="14" t="str">
        <f>HYPERLINK("https://otsuka-europe-crm.veevavault.com/ui/#object/email_activity__v/V8C00000003S897", "EN-002094658")</f>
        <v>EN-002094658</v>
      </c>
    </row>
    <row r="8653" spans="1:15" ht="32" x14ac:dyDescent="0.2">
      <c r="A8653" s="7" t="str">
        <f>HYPERLINK("https://otsuka-europe-crm.veevavault.com/ui/#object/account__v/V4TZ04ASGFQEBQ6", "Euan Kennedy")</f>
        <v>Euan Kennedy</v>
      </c>
      <c r="B8653" s="7" t="str">
        <f>HYPERLINK("https://otsuka-europe-crm.veevavault.com/ui/#object/vcountry__v/VENZ000004SONFK", "GB")</f>
        <v>GB</v>
      </c>
      <c r="C8653" s="8" t="s">
        <v>39</v>
      </c>
      <c r="D8653" s="9" t="str">
        <f>HYPERLINK("https://otsuka-europe-crm.veevavault.com/ui/#object/approved_document__v/V5O00000000D081", "UK - Consent Email 1 Aug 25")</f>
        <v>UK - Consent Email 1 Aug 25</v>
      </c>
      <c r="E8653" s="10" t="str">
        <f>HYPERLINK("https://otsuka-europe-crm.veevavault.com/ui/#object/sent_email__v/VBL00000002S771", "SE-001435511")</f>
        <v>SE-001435511</v>
      </c>
      <c r="F8653" s="11"/>
      <c r="G8653" s="12">
        <v>0</v>
      </c>
      <c r="H8653" s="12">
        <v>0</v>
      </c>
      <c r="I8653" s="12">
        <v>0</v>
      </c>
      <c r="J8653" s="11"/>
      <c r="K8653" s="12">
        <v>0</v>
      </c>
      <c r="L8653" s="10" t="str">
        <f>HYPERLINK("https://otsuka-europe-crm.veevavault.com/ui/#object/approved_document__v/V5O00000000D081", "UK - Consent Email 1 Aug 25")</f>
        <v>UK - Consent Email 1 Aug 25</v>
      </c>
      <c r="M8653" s="10" t="str">
        <f>HYPERLINK("mailto:ldimambro@crm.otsuka-europe.com", "ldimambro@crm.otsuka-europe.com")</f>
        <v>ldimambro@crm.otsuka-europe.com</v>
      </c>
      <c r="N8653" s="13">
        <v>46184.557592592595</v>
      </c>
      <c r="O8653" s="14" t="str">
        <f>HYPERLINK("https://otsuka-europe-crm.veevavault.com/ui/#object/email_activity__v/V8C00000003T534", "EN-002094680")</f>
        <v>EN-002094680</v>
      </c>
    </row>
    <row r="8654" spans="1:15" ht="48" x14ac:dyDescent="0.2">
      <c r="A8654" s="7" t="str">
        <f>HYPERLINK("https://otsuka-europe-crm.veevavault.com/ui/#object/account__v/V4TZ00000633VZJ", "CRISTINA NEREUTA PONS")</f>
        <v>CRISTINA NEREUTA PONS</v>
      </c>
      <c r="B8654" s="7" t="str">
        <f>HYPERLINK("https://otsuka-europe-crm.veevavault.com/ui/#object/vcountry__v/VENZ000004SONFA", "FR")</f>
        <v>FR</v>
      </c>
      <c r="C8654" s="8" t="s">
        <v>42</v>
      </c>
      <c r="D8654" s="9" t="str">
        <f>HYPERLINK("https://otsuka-europe-crm.veevavault.com/ui/#object/approved_document__v/V5OZ025E82HK86R", "Email à fragment trajectoires schizophrénies - FR-CNS-2400018")</f>
        <v>Email à fragment trajectoires schizophrénies - FR-CNS-2400018</v>
      </c>
      <c r="E8654" s="10" t="str">
        <f>HYPERLINK("https://otsuka-europe-crm.veevavault.com/ui/#object/sent_email__v/VBL00000002R737", "SE-001435513")</f>
        <v>SE-001435513</v>
      </c>
      <c r="F8654" s="11"/>
      <c r="G8654" s="12">
        <v>0</v>
      </c>
      <c r="H8654" s="12">
        <v>0</v>
      </c>
      <c r="I8654" s="12">
        <v>0</v>
      </c>
      <c r="J8654" s="11"/>
      <c r="K8654" s="12">
        <v>0</v>
      </c>
      <c r="L8654" s="10" t="str">
        <f>HYPERLINK("https://otsuka-europe-crm.veevavault.com/ui/#object/approved_document__v/V5OZ025E82HK86R", "Email à fragment trajectoires schizophrénies - FR-CNS-2400018")</f>
        <v>Email à fragment trajectoires schizophrénies - FR-CNS-2400018</v>
      </c>
      <c r="M8654" s="10" t="str">
        <f>HYPERLINK("mailto:mperrin@crm.otsuka-europe.com", "mperrin@crm.otsuka-europe.com")</f>
        <v>mperrin@crm.otsuka-europe.com</v>
      </c>
      <c r="N8654" s="13">
        <v>46184.650150462963</v>
      </c>
      <c r="O8654" s="14" t="str">
        <f>HYPERLINK("https://otsuka-europe-crm.veevavault.com/ui/#object/email_activity__v/V8C00000003T557", "EN-002094732")</f>
        <v>EN-002094732</v>
      </c>
    </row>
    <row r="8655" spans="1:15" ht="48" x14ac:dyDescent="0.2">
      <c r="A8655" s="7" t="str">
        <f>HYPERLINK("https://otsuka-europe-crm.veevavault.com/ui/#object/account__v/V4TZ00000633UXI", "NATHALIE MERCIER")</f>
        <v>NATHALIE MERCIER</v>
      </c>
      <c r="B8655" s="7" t="str">
        <f>HYPERLINK("https://otsuka-europe-crm.veevavault.com/ui/#object/vcountry__v/VENZ000004SONFA", "FR")</f>
        <v>FR</v>
      </c>
      <c r="C8655" s="8" t="s">
        <v>42</v>
      </c>
      <c r="D8655" s="9" t="str">
        <f>HYPERLINK("https://otsuka-europe-crm.veevavault.com/ui/#object/approved_document__v/V5OZ025E82HK86R", "Email à fragment trajectoires schizophrénies - FR-CNS-2400018")</f>
        <v>Email à fragment trajectoires schizophrénies - FR-CNS-2400018</v>
      </c>
      <c r="E8655" s="10" t="str">
        <f>HYPERLINK("https://otsuka-europe-crm.veevavault.com/ui/#object/sent_email__v/VBL00000002S772", "SE-001435514")</f>
        <v>SE-001435514</v>
      </c>
      <c r="F8655" s="11"/>
      <c r="G8655" s="12">
        <v>0</v>
      </c>
      <c r="H8655" s="12">
        <v>0</v>
      </c>
      <c r="I8655" s="12">
        <v>0</v>
      </c>
      <c r="J8655" s="11"/>
      <c r="K8655" s="12">
        <v>0</v>
      </c>
      <c r="L8655" s="10" t="str">
        <f>HYPERLINK("https://otsuka-europe-crm.veevavault.com/ui/#object/approved_document__v/V5OZ025E82HK86R", "Email à fragment trajectoires schizophrénies - FR-CNS-2400018")</f>
        <v>Email à fragment trajectoires schizophrénies - FR-CNS-2400018</v>
      </c>
      <c r="M8655" s="10" t="str">
        <f>HYPERLINK("mailto:mperrin@crm.otsuka-europe.com", "mperrin@crm.otsuka-europe.com")</f>
        <v>mperrin@crm.otsuka-europe.com</v>
      </c>
      <c r="N8655" s="13">
        <v>46184.650625000002</v>
      </c>
      <c r="O8655" s="14" t="str">
        <f>HYPERLINK("https://otsuka-europe-crm.veevavault.com/ui/#object/email_activity__v/V8C00000003T559", "EN-002094734")</f>
        <v>EN-002094734</v>
      </c>
    </row>
    <row r="8656" spans="1:15" ht="16" x14ac:dyDescent="0.2">
      <c r="A8656" s="17" t="str">
        <f>HYPERLINK("https://otsuka-europe-crm.veevavault.com/ui/#object/account__v/V4TZ06G6O71T7Z9", "BEATRIZ HERREJON TEODORO")</f>
        <v>BEATRIZ HERREJON TEODORO</v>
      </c>
      <c r="B8656" s="17" t="str">
        <f>HYPERLINK("https://otsuka-europe-crm.veevavault.com/ui/#object/vcountry__v/VENZ000004SONF5", "ES")</f>
        <v>ES</v>
      </c>
      <c r="C8656" s="20" t="s">
        <v>41</v>
      </c>
      <c r="D8656" s="21" t="str">
        <f>HYPERLINK("https://otsuka-europe-crm.veevavault.com/ui/#object/approved_document__v/V5O00000001I001", "RXULTI - Programa webinar RXPERTS 11 junio")</f>
        <v>RXULTI - Programa webinar RXPERTS 11 junio</v>
      </c>
      <c r="E8656" s="22" t="str">
        <f>HYPERLINK("https://otsuka-europe-crm.veevavault.com/ui/#object/sent_email__v/VBL00000002R738", "SE-001435515")</f>
        <v>SE-001435515</v>
      </c>
      <c r="F8656" s="23">
        <v>46192.753379629627</v>
      </c>
      <c r="G8656" s="24">
        <v>1</v>
      </c>
      <c r="H8656" s="24">
        <v>2</v>
      </c>
      <c r="I8656" s="24">
        <v>0</v>
      </c>
      <c r="J8656" s="25"/>
      <c r="K8656" s="24">
        <v>0</v>
      </c>
      <c r="L8656" s="22" t="str">
        <f>HYPERLINK("https://otsuka-europe-crm.veevavault.com/ui/#object/approved_document__v/V5O00000001I001", "RXULTI - Programa webinar RXPERTS 11 junio")</f>
        <v>RXULTI - Programa webinar RXPERTS 11 junio</v>
      </c>
      <c r="M8656" s="22" t="str">
        <f>HYPERLINK("mailto:jcastro@crm.otsuka-europe.com", "jcastro@crm.otsuka-europe.com")</f>
        <v>jcastro@crm.otsuka-europe.com</v>
      </c>
      <c r="N8656" s="23">
        <v>46184.743796296294</v>
      </c>
      <c r="O8656" s="14" t="str">
        <f>HYPERLINK("https://otsuka-europe-crm.veevavault.com/ui/#object/email_activity__v/V8C00000003S967", "EN-002094783")</f>
        <v>EN-002094783</v>
      </c>
    </row>
    <row r="8657" spans="1:15" ht="16" x14ac:dyDescent="0.2">
      <c r="A8657" s="18"/>
      <c r="B8657" s="18"/>
      <c r="C8657" s="18"/>
      <c r="D8657" s="18"/>
      <c r="E8657" s="18"/>
      <c r="F8657" s="18"/>
      <c r="G8657" s="18"/>
      <c r="H8657" s="18"/>
      <c r="I8657" s="18"/>
      <c r="J8657" s="18"/>
      <c r="K8657" s="18"/>
      <c r="L8657" s="18"/>
      <c r="M8657" s="18"/>
      <c r="N8657" s="18"/>
      <c r="O8657" s="14" t="str">
        <f>HYPERLINK("https://otsuka-europe-crm.veevavault.com/ui/#object/email_activity__v/V8C00000003V487", "EN-002095758")</f>
        <v>EN-002095758</v>
      </c>
    </row>
    <row r="8658" spans="1:15" ht="16" x14ac:dyDescent="0.2">
      <c r="A8658" s="19"/>
      <c r="B8658" s="19"/>
      <c r="C8658" s="19"/>
      <c r="D8658" s="19"/>
      <c r="E8658" s="19"/>
      <c r="F8658" s="19"/>
      <c r="G8658" s="19"/>
      <c r="H8658" s="19"/>
      <c r="I8658" s="19"/>
      <c r="J8658" s="19"/>
      <c r="K8658" s="19"/>
      <c r="L8658" s="19"/>
      <c r="M8658" s="19"/>
      <c r="N8658" s="19"/>
      <c r="O8658" s="14" t="str">
        <f>HYPERLINK("https://otsuka-europe-crm.veevavault.com/ui/#object/email_activity__v/V8C000000040087", "EN-002098855")</f>
        <v>EN-002098855</v>
      </c>
    </row>
    <row r="8659" spans="1:15" ht="32" x14ac:dyDescent="0.2">
      <c r="A8659" s="7" t="str">
        <f>HYPERLINK("https://otsuka-europe-crm.veevavault.com/ui/#object/account__v/V4TZ06G6O9BZB9T", "JAVIER VELASCO ESCORIZA")</f>
        <v>JAVIER VELASCO ESCORIZA</v>
      </c>
      <c r="B8659" s="7" t="str">
        <f>HYPERLINK("https://otsuka-europe-crm.veevavault.com/ui/#object/vcountry__v/VENZ000004SONF5", "ES")</f>
        <v>ES</v>
      </c>
      <c r="C8659" s="8" t="s">
        <v>41</v>
      </c>
      <c r="D8659" s="9" t="str">
        <f>HYPERLINK("https://otsuka-europe-crm.veevavault.com/ui/#object/approved_document__v/V5O00000001I001", "RXULTI - Programa webinar RXPERTS 11 junio")</f>
        <v>RXULTI - Programa webinar RXPERTS 11 junio</v>
      </c>
      <c r="E8659" s="10" t="str">
        <f>HYPERLINK("https://otsuka-europe-crm.veevavault.com/ui/#object/sent_email__v/VBL00000002R739", "SE-001435516")</f>
        <v>SE-001435516</v>
      </c>
      <c r="F8659" s="11"/>
      <c r="G8659" s="12">
        <v>0</v>
      </c>
      <c r="H8659" s="12">
        <v>0</v>
      </c>
      <c r="I8659" s="12">
        <v>0</v>
      </c>
      <c r="J8659" s="11"/>
      <c r="K8659" s="12">
        <v>0</v>
      </c>
      <c r="L8659" s="10" t="str">
        <f>HYPERLINK("https://otsuka-europe-crm.veevavault.com/ui/#object/approved_document__v/V5O00000001I001", "RXULTI - Programa webinar RXPERTS 11 junio")</f>
        <v>RXULTI - Programa webinar RXPERTS 11 junio</v>
      </c>
      <c r="M8659" s="10" t="str">
        <f>HYPERLINK("mailto:jcastro@crm.otsuka-europe.com", "jcastro@crm.otsuka-europe.com")</f>
        <v>jcastro@crm.otsuka-europe.com</v>
      </c>
      <c r="N8659" s="13">
        <v>46184.743773148148</v>
      </c>
      <c r="O8659" s="14" t="str">
        <f>HYPERLINK("https://otsuka-europe-crm.veevavault.com/ui/#object/email_activity__v/V8C00000003S966", "EN-002094782")</f>
        <v>EN-002094782</v>
      </c>
    </row>
    <row r="8660" spans="1:15" ht="32" x14ac:dyDescent="0.2">
      <c r="A8660" s="7" t="str">
        <f>HYPERLINK("https://otsuka-europe-crm.veevavault.com/ui/#object/account__v/V4TZ06G6O71UQRG", "ANA PEREZ OMS")</f>
        <v>ANA PEREZ OMS</v>
      </c>
      <c r="B8660" s="7" t="str">
        <f>HYPERLINK("https://otsuka-europe-crm.veevavault.com/ui/#object/vcountry__v/VENZ000004SONF5", "ES")</f>
        <v>ES</v>
      </c>
      <c r="C8660" s="8" t="s">
        <v>41</v>
      </c>
      <c r="D8660" s="9" t="str">
        <f>HYPERLINK("https://otsuka-europe-crm.veevavault.com/ui/#object/approved_document__v/V5O00000001I001", "RXULTI - Programa webinar RXPERTS 11 junio")</f>
        <v>RXULTI - Programa webinar RXPERTS 11 junio</v>
      </c>
      <c r="E8660" s="10" t="str">
        <f>HYPERLINK("https://otsuka-europe-crm.veevavault.com/ui/#object/sent_email__v/VBL00000002R740", "SE-001435517")</f>
        <v>SE-001435517</v>
      </c>
      <c r="F8660" s="11"/>
      <c r="G8660" s="12">
        <v>0</v>
      </c>
      <c r="H8660" s="12">
        <v>0</v>
      </c>
      <c r="I8660" s="12">
        <v>0</v>
      </c>
      <c r="J8660" s="11"/>
      <c r="K8660" s="12">
        <v>0</v>
      </c>
      <c r="L8660" s="10" t="str">
        <f>HYPERLINK("https://otsuka-europe-crm.veevavault.com/ui/#object/approved_document__v/V5O00000001I001", "RXULTI - Programa webinar RXPERTS 11 junio")</f>
        <v>RXULTI - Programa webinar RXPERTS 11 junio</v>
      </c>
      <c r="M8660" s="10" t="str">
        <f>HYPERLINK("mailto:iortega@crm.otsuka-europe.com", "iortega@crm.otsuka-europe.com")</f>
        <v>iortega@crm.otsuka-europe.com</v>
      </c>
      <c r="N8660" s="13">
        <v>46184.749108796299</v>
      </c>
      <c r="O8660" s="14" t="str">
        <f>HYPERLINK("https://otsuka-europe-crm.veevavault.com/ui/#object/email_activity__v/V8C00000003S978", "EN-002094796")</f>
        <v>EN-002094796</v>
      </c>
    </row>
    <row r="8661" spans="1:15" ht="16" x14ac:dyDescent="0.2">
      <c r="A8661" s="17" t="str">
        <f>HYPERLINK("https://otsuka-europe-crm.veevavault.com/ui/#object/account__v/V4TZ06G6OBUL1EU", "LAURETTE DONA KUZITUKA")</f>
        <v>LAURETTE DONA KUZITUKA</v>
      </c>
      <c r="B8661" s="17" t="str">
        <f>HYPERLINK("https://otsuka-europe-crm.veevavault.com/ui/#object/vcountry__v/VENZ000004SONFA", "FR")</f>
        <v>FR</v>
      </c>
      <c r="C8661" s="20" t="s">
        <v>42</v>
      </c>
      <c r="D8661" s="21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E8661" s="22" t="str">
        <f>HYPERLINK("https://otsuka-europe-crm.veevavault.com/ui/#object/sent_email__v/VBL00000002T001", "SE-001435518")</f>
        <v>SE-001435518</v>
      </c>
      <c r="F8661" s="23">
        <v>46185.675787037035</v>
      </c>
      <c r="G8661" s="24">
        <v>1</v>
      </c>
      <c r="H8661" s="24">
        <v>1</v>
      </c>
      <c r="I8661" s="24">
        <v>0</v>
      </c>
      <c r="J8661" s="25"/>
      <c r="K8661" s="24">
        <v>0</v>
      </c>
      <c r="L8661" s="22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M8661" s="22" t="str">
        <f>HYPERLINK("mailto:ijardy@crm.otsuka-europe.com", "ijardy@crm.otsuka-europe.com")</f>
        <v>ijardy@crm.otsuka-europe.com</v>
      </c>
      <c r="N8661" s="23">
        <v>46185.675543981481</v>
      </c>
      <c r="O8661" s="14" t="str">
        <f>HYPERLINK("https://otsuka-europe-crm.veevavault.com/ui/#object/email_activity__v/V8C00000003U345", "EN-002095530")</f>
        <v>EN-002095530</v>
      </c>
    </row>
    <row r="8662" spans="1:15" ht="16" x14ac:dyDescent="0.2">
      <c r="A8662" s="19"/>
      <c r="B8662" s="19"/>
      <c r="C8662" s="19"/>
      <c r="D8662" s="19"/>
      <c r="E8662" s="19"/>
      <c r="F8662" s="19"/>
      <c r="G8662" s="19"/>
      <c r="H8662" s="19"/>
      <c r="I8662" s="19"/>
      <c r="J8662" s="19"/>
      <c r="K8662" s="19"/>
      <c r="L8662" s="19"/>
      <c r="M8662" s="19"/>
      <c r="N8662" s="19"/>
      <c r="O8662" s="14" t="str">
        <f>HYPERLINK("https://otsuka-europe-crm.veevavault.com/ui/#object/email_activity__v/V8C00000003U346", "EN-002095531")</f>
        <v>EN-002095531</v>
      </c>
    </row>
    <row r="8663" spans="1:15" ht="48" x14ac:dyDescent="0.2">
      <c r="A8663" s="7" t="str">
        <f>HYPERLINK("https://otsuka-europe-crm.veevavault.com/ui/#object/account__v/V4TZ00000633L1S", "THOMAS BONNET")</f>
        <v>THOMAS BONNET</v>
      </c>
      <c r="B8663" s="7" t="str">
        <f>HYPERLINK("https://otsuka-europe-crm.veevavault.com/ui/#object/vcountry__v/VENZ000004SONFA", "FR")</f>
        <v>FR</v>
      </c>
      <c r="C8663" s="8" t="s">
        <v>42</v>
      </c>
      <c r="D8663" s="9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E8663" s="10" t="str">
        <f>HYPERLINK("https://otsuka-europe-crm.veevavault.com/ui/#object/sent_email__v/VBL00000002T002", "SE-001435519")</f>
        <v>SE-001435519</v>
      </c>
      <c r="F8663" s="11"/>
      <c r="G8663" s="12">
        <v>0</v>
      </c>
      <c r="H8663" s="12">
        <v>0</v>
      </c>
      <c r="I8663" s="12">
        <v>0</v>
      </c>
      <c r="J8663" s="11"/>
      <c r="K8663" s="12">
        <v>0</v>
      </c>
      <c r="L8663" s="10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M8663" s="10" t="str">
        <f>HYPERLINK("mailto:ijardy@crm.otsuka-europe.com", "ijardy@crm.otsuka-europe.com")</f>
        <v>ijardy@crm.otsuka-europe.com</v>
      </c>
      <c r="N8663" s="13">
        <v>46188.550613425927</v>
      </c>
      <c r="O8663" s="14" t="str">
        <f>HYPERLINK("https://otsuka-europe-crm.veevavault.com/ui/#object/email_activity__v/V8C00000003V702", "EN-002096206")</f>
        <v>EN-002096206</v>
      </c>
    </row>
    <row r="8664" spans="1:15" ht="16" x14ac:dyDescent="0.2">
      <c r="A8664" s="17" t="str">
        <f>HYPERLINK("https://otsuka-europe-crm.veevavault.com/ui/#object/account__v/V4TZ06G6O71WGLH", "MORGANE MUSARD")</f>
        <v>MORGANE MUSARD</v>
      </c>
      <c r="B8664" s="17" t="str">
        <f>HYPERLINK("https://otsuka-europe-crm.veevavault.com/ui/#object/vcountry__v/VENZ000004SONFA", "FR")</f>
        <v>FR</v>
      </c>
      <c r="C8664" s="20" t="s">
        <v>42</v>
      </c>
      <c r="D8664" s="21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E8664" s="22" t="str">
        <f>HYPERLINK("https://otsuka-europe-crm.veevavault.com/ui/#object/sent_email__v/VBL00000002U001", "SE-001435520")</f>
        <v>SE-001435520</v>
      </c>
      <c r="F8664" s="23">
        <v>46185.284953703704</v>
      </c>
      <c r="G8664" s="24">
        <v>1</v>
      </c>
      <c r="H8664" s="24">
        <v>2</v>
      </c>
      <c r="I8664" s="24">
        <v>0</v>
      </c>
      <c r="J8664" s="25"/>
      <c r="K8664" s="24">
        <v>0</v>
      </c>
      <c r="L8664" s="22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M8664" s="22" t="str">
        <f>HYPERLINK("mailto:ijardy@crm.otsuka-europe.com", "ijardy@crm.otsuka-europe.com")</f>
        <v>ijardy@crm.otsuka-europe.com</v>
      </c>
      <c r="N8664" s="23">
        <v>46184.967268518521</v>
      </c>
      <c r="O8664" s="14" t="str">
        <f>HYPERLINK("https://otsuka-europe-crm.veevavault.com/ui/#object/email_activity__v/V8C00000003U049", "EN-002094908")</f>
        <v>EN-002094908</v>
      </c>
    </row>
    <row r="8665" spans="1:15" ht="16" x14ac:dyDescent="0.2">
      <c r="A8665" s="18"/>
      <c r="B8665" s="18"/>
      <c r="C8665" s="18"/>
      <c r="D8665" s="18"/>
      <c r="E8665" s="18"/>
      <c r="F8665" s="18"/>
      <c r="G8665" s="18"/>
      <c r="H8665" s="18"/>
      <c r="I8665" s="18"/>
      <c r="J8665" s="18"/>
      <c r="K8665" s="18"/>
      <c r="L8665" s="18"/>
      <c r="M8665" s="18"/>
      <c r="N8665" s="18"/>
      <c r="O8665" s="14" t="str">
        <f>HYPERLINK("https://otsuka-europe-crm.veevavault.com/ui/#object/email_activity__v/V8C00000003V029", "EN-002094873")</f>
        <v>EN-002094873</v>
      </c>
    </row>
    <row r="8666" spans="1:15" ht="16" x14ac:dyDescent="0.2">
      <c r="A8666" s="19"/>
      <c r="B8666" s="19"/>
      <c r="C8666" s="19"/>
      <c r="D8666" s="19"/>
      <c r="E8666" s="19"/>
      <c r="F8666" s="19"/>
      <c r="G8666" s="19"/>
      <c r="H8666" s="19"/>
      <c r="I8666" s="19"/>
      <c r="J8666" s="19"/>
      <c r="K8666" s="19"/>
      <c r="L8666" s="19"/>
      <c r="M8666" s="19"/>
      <c r="N8666" s="19"/>
      <c r="O8666" s="14" t="str">
        <f>HYPERLINK("https://otsuka-europe-crm.veevavault.com/ui/#object/email_activity__v/V8C00000003V041", "EN-002094907")</f>
        <v>EN-002094907</v>
      </c>
    </row>
    <row r="8667" spans="1:15" ht="48" x14ac:dyDescent="0.2">
      <c r="A8667" s="7" t="str">
        <f>HYPERLINK("https://otsuka-europe-crm.veevavault.com/ui/#object/account__v/V4TZ00000633K0I", "SEBASTIEN ALMON")</f>
        <v>SEBASTIEN ALMON</v>
      </c>
      <c r="B8667" s="7" t="str">
        <f>HYPERLINK("https://otsuka-europe-crm.veevavault.com/ui/#object/vcountry__v/VENZ000004SONFA", "FR")</f>
        <v>FR</v>
      </c>
      <c r="C8667" s="8" t="s">
        <v>42</v>
      </c>
      <c r="D8667" s="9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E8667" s="10" t="str">
        <f>HYPERLINK("https://otsuka-europe-crm.veevavault.com/ui/#object/sent_email__v/VBL00000002U002", "SE-001435521")</f>
        <v>SE-001435521</v>
      </c>
      <c r="F8667" s="11"/>
      <c r="G8667" s="12">
        <v>0</v>
      </c>
      <c r="H8667" s="12">
        <v>0</v>
      </c>
      <c r="I8667" s="12">
        <v>0</v>
      </c>
      <c r="J8667" s="11"/>
      <c r="K8667" s="12">
        <v>0</v>
      </c>
      <c r="L8667" s="10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M8667" s="10" t="str">
        <f>HYPERLINK("mailto:ijardy@crm.otsuka-europe.com", "ijardy@crm.otsuka-europe.com")</f>
        <v>ijardy@crm.otsuka-europe.com</v>
      </c>
      <c r="N8667" s="13">
        <v>46185.008900462963</v>
      </c>
      <c r="O8667" s="14" t="str">
        <f>HYPERLINK("https://otsuka-europe-crm.veevavault.com/ui/#object/email_activity__v/V8C00000003V035", "EN-002094880")</f>
        <v>EN-002094880</v>
      </c>
    </row>
    <row r="8668" spans="1:15" ht="32" x14ac:dyDescent="0.2">
      <c r="A8668" s="7" t="str">
        <f>HYPERLINK("https://otsuka-europe-crm.veevavault.com/ui/#object/account__v/V4TZ06G6O71TBHI", "BEATRIZ MARIA PAZOS ARIAS")</f>
        <v>BEATRIZ MARIA PAZOS ARIAS</v>
      </c>
      <c r="B8668" s="7" t="str">
        <f>HYPERLINK("https://otsuka-europe-crm.veevavault.com/ui/#object/vcountry__v/VENZ000004SONF5", "ES")</f>
        <v>ES</v>
      </c>
      <c r="C8668" s="8" t="s">
        <v>41</v>
      </c>
      <c r="D8668" s="9" t="str">
        <f>HYPERLINK("https://otsuka-europe-crm.veevavault.com/ui/#object/approved_document__v/V5O00000001H022", "LUP - VAE invitación simposio SEN-SER - Nefro")</f>
        <v>LUP - VAE invitación simposio SEN-SER - Nefro</v>
      </c>
      <c r="E8668" s="10" t="str">
        <f>HYPERLINK("https://otsuka-europe-crm.veevavault.com/ui/#object/sent_email__v/VBL00000002T003", "SE-001435522")</f>
        <v>SE-001435522</v>
      </c>
      <c r="F8668" s="11"/>
      <c r="G8668" s="12">
        <v>0</v>
      </c>
      <c r="H8668" s="12">
        <v>0</v>
      </c>
      <c r="I8668" s="12">
        <v>0</v>
      </c>
      <c r="J8668" s="11"/>
      <c r="K8668" s="12">
        <v>0</v>
      </c>
      <c r="L8668" s="10" t="str">
        <f>HYPERLINK("https://otsuka-europe-crm.veevavault.com/ui/#object/approved_document__v/V5O00000001H022", "LUP - VAE invitación simposio SEN-SER - Nefro")</f>
        <v>LUP - VAE invitación simposio SEN-SER - Nefro</v>
      </c>
      <c r="M8668" s="10" t="str">
        <f>HYPERLINK("mailto:sruizlemos@crm.otsuka-europe.com", "sruizlemos@crm.otsuka-europe.com")</f>
        <v>sruizlemos@crm.otsuka-europe.com</v>
      </c>
      <c r="N8668" s="13">
        <v>46185.313738425924</v>
      </c>
      <c r="O8668" s="14" t="str">
        <f>HYPERLINK("https://otsuka-europe-crm.veevavault.com/ui/#object/email_activity__v/V8C00000003V126", "EN-002095038")</f>
        <v>EN-002095038</v>
      </c>
    </row>
    <row r="8669" spans="1:15" ht="32" x14ac:dyDescent="0.2">
      <c r="A8669" s="7" t="str">
        <f>HYPERLINK("https://otsuka-europe-crm.veevavault.com/ui/#object/account__v/V4TZ06G6O71T9AS", "LUIS BOLAÑOS CEA")</f>
        <v>LUIS BOLAÑOS CEA</v>
      </c>
      <c r="B8669" s="7" t="str">
        <f>HYPERLINK("https://otsuka-europe-crm.veevavault.com/ui/#object/vcountry__v/VENZ000004SONF5", "ES")</f>
        <v>ES</v>
      </c>
      <c r="C8669" s="8" t="s">
        <v>41</v>
      </c>
      <c r="D8669" s="9" t="str">
        <f>HYPERLINK("https://otsuka-europe-crm.veevavault.com/ui/#object/approved_document__v/V5O00000001H022", "LUP - VAE invitación simposio SEN-SER - Nefro")</f>
        <v>LUP - VAE invitación simposio SEN-SER - Nefro</v>
      </c>
      <c r="E8669" s="10" t="str">
        <f>HYPERLINK("https://otsuka-europe-crm.veevavault.com/ui/#object/sent_email__v/VBL00000002T004", "SE-001435523")</f>
        <v>SE-001435523</v>
      </c>
      <c r="F8669" s="11"/>
      <c r="G8669" s="12">
        <v>0</v>
      </c>
      <c r="H8669" s="12">
        <v>0</v>
      </c>
      <c r="I8669" s="12">
        <v>0</v>
      </c>
      <c r="J8669" s="11"/>
      <c r="K8669" s="12">
        <v>0</v>
      </c>
      <c r="L8669" s="10" t="str">
        <f>HYPERLINK("https://otsuka-europe-crm.veevavault.com/ui/#object/approved_document__v/V5O00000001H022", "LUP - VAE invitación simposio SEN-SER - Nefro")</f>
        <v>LUP - VAE invitación simposio SEN-SER - Nefro</v>
      </c>
      <c r="M8669" s="10" t="str">
        <f>HYPERLINK("mailto:sruizlemos@crm.otsuka-europe.com", "sruizlemos@crm.otsuka-europe.com")</f>
        <v>sruizlemos@crm.otsuka-europe.com</v>
      </c>
      <c r="N8669" s="13">
        <v>46185.313738425924</v>
      </c>
      <c r="O8669" s="14" t="str">
        <f>HYPERLINK("https://otsuka-europe-crm.veevavault.com/ui/#object/email_activity__v/V8C00000003V124", "EN-002095036")</f>
        <v>EN-002095036</v>
      </c>
    </row>
    <row r="8670" spans="1:15" ht="16" x14ac:dyDescent="0.2">
      <c r="A8670" s="17" t="str">
        <f>HYPERLINK("https://otsuka-europe-crm.veevavault.com/ui/#object/account__v/V4TZ06G6OB40N0X", "OSCAR ROLANDO DURON VARGAS")</f>
        <v>OSCAR ROLANDO DURON VARGAS</v>
      </c>
      <c r="B8670" s="17" t="str">
        <f>HYPERLINK("https://otsuka-europe-crm.veevavault.com/ui/#object/vcountry__v/VENZ000004SONF5", "ES")</f>
        <v>ES</v>
      </c>
      <c r="C8670" s="20" t="s">
        <v>41</v>
      </c>
      <c r="D8670" s="21" t="str">
        <f>HYPERLINK("https://otsuka-europe-crm.veevavault.com/ui/#object/approved_document__v/V5O00000001H022", "LUP - VAE invitación simposio SEN-SER - Nefro")</f>
        <v>LUP - VAE invitación simposio SEN-SER - Nefro</v>
      </c>
      <c r="E8670" s="22" t="str">
        <f>HYPERLINK("https://otsuka-europe-crm.veevavault.com/ui/#object/sent_email__v/VBL00000002T005", "SE-001435524")</f>
        <v>SE-001435524</v>
      </c>
      <c r="F8670" s="25"/>
      <c r="G8670" s="24">
        <v>0</v>
      </c>
      <c r="H8670" s="24">
        <v>0</v>
      </c>
      <c r="I8670" s="24">
        <v>0</v>
      </c>
      <c r="J8670" s="25"/>
      <c r="K8670" s="24">
        <v>0</v>
      </c>
      <c r="L8670" s="22" t="str">
        <f>HYPERLINK("https://otsuka-europe-crm.veevavault.com/ui/#object/approved_document__v/V5O00000001H022", "LUP - VAE invitación simposio SEN-SER - Nefro")</f>
        <v>LUP - VAE invitación simposio SEN-SER - Nefro</v>
      </c>
      <c r="M8670" s="22" t="str">
        <f>HYPERLINK("mailto:sruizlemos@crm.otsuka-europe.com", "sruizlemos@crm.otsuka-europe.com")</f>
        <v>sruizlemos@crm.otsuka-europe.com</v>
      </c>
      <c r="N8670" s="23">
        <v>46185.313761574071</v>
      </c>
      <c r="O8670" s="14" t="str">
        <f>HYPERLINK("https://otsuka-europe-crm.veevavault.com/ui/#object/email_activity__v/V8C00000003U447", "EN-002095743")</f>
        <v>EN-002095743</v>
      </c>
    </row>
    <row r="8671" spans="1:15" ht="16" x14ac:dyDescent="0.2">
      <c r="A8671" s="18"/>
      <c r="B8671" s="18"/>
      <c r="C8671" s="18"/>
      <c r="D8671" s="18"/>
      <c r="E8671" s="18"/>
      <c r="F8671" s="18"/>
      <c r="G8671" s="18"/>
      <c r="H8671" s="18"/>
      <c r="I8671" s="18"/>
      <c r="J8671" s="18"/>
      <c r="K8671" s="18"/>
      <c r="L8671" s="18"/>
      <c r="M8671" s="18"/>
      <c r="N8671" s="18"/>
      <c r="O8671" s="14" t="str">
        <f>HYPERLINK("https://otsuka-europe-crm.veevavault.com/ui/#object/email_activity__v/V8C00000003V070", "EN-002094966")</f>
        <v>EN-002094966</v>
      </c>
    </row>
    <row r="8672" spans="1:15" ht="16" x14ac:dyDescent="0.2">
      <c r="A8672" s="19"/>
      <c r="B8672" s="19"/>
      <c r="C8672" s="19"/>
      <c r="D8672" s="19"/>
      <c r="E8672" s="19"/>
      <c r="F8672" s="19"/>
      <c r="G8672" s="19"/>
      <c r="H8672" s="19"/>
      <c r="I8672" s="19"/>
      <c r="J8672" s="19"/>
      <c r="K8672" s="19"/>
      <c r="L8672" s="19"/>
      <c r="M8672" s="19"/>
      <c r="N8672" s="19"/>
      <c r="O8672" s="14" t="str">
        <f>HYPERLINK("https://otsuka-europe-crm.veevavault.com/ui/#object/email_activity__v/V8C00000003V395", "EN-002095568")</f>
        <v>EN-002095568</v>
      </c>
    </row>
    <row r="8673" spans="1:15" ht="16" x14ac:dyDescent="0.2">
      <c r="A8673" s="17" t="str">
        <f>HYPERLINK("https://otsuka-europe-crm.veevavault.com/ui/#object/account__v/V4TZ06G6O71T9W9", "MARIA INOCENCIA GAGO FRAILE")</f>
        <v>MARIA INOCENCIA GAGO FRAILE</v>
      </c>
      <c r="B8673" s="17" t="str">
        <f>HYPERLINK("https://otsuka-europe-crm.veevavault.com/ui/#object/vcountry__v/VENZ000004SONF5", "ES")</f>
        <v>ES</v>
      </c>
      <c r="C8673" s="20" t="s">
        <v>41</v>
      </c>
      <c r="D8673" s="21" t="str">
        <f>HYPERLINK("https://otsuka-europe-crm.veevavault.com/ui/#object/approved_document__v/V5O00000001H022", "LUP - VAE invitación simposio SEN-SER - Nefro")</f>
        <v>LUP - VAE invitación simposio SEN-SER - Nefro</v>
      </c>
      <c r="E8673" s="22" t="str">
        <f>HYPERLINK("https://otsuka-europe-crm.veevavault.com/ui/#object/sent_email__v/VBL00000002T006", "SE-001435525")</f>
        <v>SE-001435525</v>
      </c>
      <c r="F8673" s="25"/>
      <c r="G8673" s="24">
        <v>0</v>
      </c>
      <c r="H8673" s="24">
        <v>0</v>
      </c>
      <c r="I8673" s="24">
        <v>1</v>
      </c>
      <c r="J8673" s="23">
        <v>46185.317858796298</v>
      </c>
      <c r="K8673" s="24">
        <v>1</v>
      </c>
      <c r="L8673" s="22" t="str">
        <f>HYPERLINK("https://otsuka-europe-crm.veevavault.com/ui/#object/approved_document__v/V5O00000001H022", "LUP - VAE invitación simposio SEN-SER - Nefro")</f>
        <v>LUP - VAE invitación simposio SEN-SER - Nefro</v>
      </c>
      <c r="M8673" s="22" t="str">
        <f>HYPERLINK("mailto:sruizlemos@crm.otsuka-europe.com", "sruizlemos@crm.otsuka-europe.com")</f>
        <v>sruizlemos@crm.otsuka-europe.com</v>
      </c>
      <c r="N8673" s="23">
        <v>46185.313738425924</v>
      </c>
      <c r="O8673" s="14" t="str">
        <f>HYPERLINK("https://otsuka-europe-crm.veevavault.com/ui/#object/email_activity__v/V8C00000003U066", "EN-002094936")</f>
        <v>EN-002094936</v>
      </c>
    </row>
    <row r="8674" spans="1:15" ht="16" x14ac:dyDescent="0.2">
      <c r="A8674" s="18"/>
      <c r="B8674" s="18"/>
      <c r="C8674" s="18"/>
      <c r="D8674" s="18"/>
      <c r="E8674" s="18"/>
      <c r="F8674" s="18"/>
      <c r="G8674" s="18"/>
      <c r="H8674" s="18"/>
      <c r="I8674" s="18"/>
      <c r="J8674" s="18"/>
      <c r="K8674" s="18"/>
      <c r="L8674" s="18"/>
      <c r="M8674" s="18"/>
      <c r="N8674" s="18"/>
      <c r="O8674" s="14" t="str">
        <f>HYPERLINK("https://otsuka-europe-crm.veevavault.com/ui/#object/email_activity__v/V8C00000003U121", "EN-002095095")</f>
        <v>EN-002095095</v>
      </c>
    </row>
    <row r="8675" spans="1:15" ht="16" x14ac:dyDescent="0.2">
      <c r="A8675" s="18"/>
      <c r="B8675" s="18"/>
      <c r="C8675" s="18"/>
      <c r="D8675" s="18"/>
      <c r="E8675" s="18"/>
      <c r="F8675" s="18"/>
      <c r="G8675" s="18"/>
      <c r="H8675" s="18"/>
      <c r="I8675" s="18"/>
      <c r="J8675" s="18"/>
      <c r="K8675" s="18"/>
      <c r="L8675" s="18"/>
      <c r="M8675" s="18"/>
      <c r="N8675" s="18"/>
      <c r="O8675" s="14" t="str">
        <f>HYPERLINK("https://otsuka-europe-crm.veevavault.com/ui/#object/email_activity__v/V8C00000003U138", "EN-002095123")</f>
        <v>EN-002095123</v>
      </c>
    </row>
    <row r="8676" spans="1:15" ht="16" x14ac:dyDescent="0.2">
      <c r="A8676" s="19"/>
      <c r="B8676" s="19"/>
      <c r="C8676" s="19"/>
      <c r="D8676" s="19"/>
      <c r="E8676" s="19"/>
      <c r="F8676" s="19"/>
      <c r="G8676" s="19"/>
      <c r="H8676" s="19"/>
      <c r="I8676" s="19"/>
      <c r="J8676" s="19"/>
      <c r="K8676" s="19"/>
      <c r="L8676" s="19"/>
      <c r="M8676" s="19"/>
      <c r="N8676" s="19"/>
      <c r="O8676" s="14" t="str">
        <f>HYPERLINK("https://otsuka-europe-crm.veevavault.com/ui/#object/email_activity__v/V8C00000003V156", "EN-002095094")</f>
        <v>EN-002095094</v>
      </c>
    </row>
    <row r="8677" spans="1:15" ht="16" x14ac:dyDescent="0.2">
      <c r="A8677" s="17" t="str">
        <f>HYPERLINK("https://otsuka-europe-crm.veevavault.com/ui/#object/account__v/V4TZ06G6O71T8CJ", "ANNA GALLARDO PEREZ")</f>
        <v>ANNA GALLARDO PEREZ</v>
      </c>
      <c r="B8677" s="17" t="str">
        <f>HYPERLINK("https://otsuka-europe-crm.veevavault.com/ui/#object/vcountry__v/VENZ000004SONF5", "ES")</f>
        <v>ES</v>
      </c>
      <c r="C8677" s="20" t="s">
        <v>41</v>
      </c>
      <c r="D8677" s="21" t="str">
        <f>HYPERLINK("https://otsuka-europe-crm.veevavault.com/ui/#object/approved_document__v/V5O00000001H022", "LUP - VAE invitación simposio SEN-SER - Nefro")</f>
        <v>LUP - VAE invitación simposio SEN-SER - Nefro</v>
      </c>
      <c r="E8677" s="22" t="str">
        <f>HYPERLINK("https://otsuka-europe-crm.veevavault.com/ui/#object/sent_email__v/VBL00000002T007", "SE-001435526")</f>
        <v>SE-001435526</v>
      </c>
      <c r="F8677" s="25"/>
      <c r="G8677" s="24">
        <v>0</v>
      </c>
      <c r="H8677" s="24">
        <v>0</v>
      </c>
      <c r="I8677" s="24">
        <v>0</v>
      </c>
      <c r="J8677" s="25"/>
      <c r="K8677" s="24">
        <v>0</v>
      </c>
      <c r="L8677" s="22" t="str">
        <f>HYPERLINK("https://otsuka-europe-crm.veevavault.com/ui/#object/approved_document__v/V5O00000001H022", "LUP - VAE invitación simposio SEN-SER - Nefro")</f>
        <v>LUP - VAE invitación simposio SEN-SER - Nefro</v>
      </c>
      <c r="M8677" s="22" t="str">
        <f>HYPERLINK("mailto:sruizlemos@crm.otsuka-europe.com", "sruizlemos@crm.otsuka-europe.com")</f>
        <v>sruizlemos@crm.otsuka-europe.com</v>
      </c>
      <c r="N8677" s="23">
        <v>46185.313750000001</v>
      </c>
      <c r="O8677" s="14" t="str">
        <f>HYPERLINK("https://otsuka-europe-crm.veevavault.com/ui/#object/email_activity__v/V8C00000003U084", "EN-002094977")</f>
        <v>EN-002094977</v>
      </c>
    </row>
    <row r="8678" spans="1:15" ht="16" x14ac:dyDescent="0.2">
      <c r="A8678" s="19"/>
      <c r="B8678" s="19"/>
      <c r="C8678" s="19"/>
      <c r="D8678" s="19"/>
      <c r="E8678" s="19"/>
      <c r="F8678" s="19"/>
      <c r="G8678" s="19"/>
      <c r="H8678" s="19"/>
      <c r="I8678" s="19"/>
      <c r="J8678" s="19"/>
      <c r="K8678" s="19"/>
      <c r="L8678" s="19"/>
      <c r="M8678" s="19"/>
      <c r="N8678" s="19"/>
      <c r="O8678" s="14" t="str">
        <f>HYPERLINK("https://otsuka-europe-crm.veevavault.com/ui/#object/email_activity__v/V8C00000003U405", "EN-002095666")</f>
        <v>EN-002095666</v>
      </c>
    </row>
    <row r="8679" spans="1:15" ht="16" x14ac:dyDescent="0.2">
      <c r="A8679" s="17" t="str">
        <f>HYPERLINK("https://otsuka-europe-crm.veevavault.com/ui/#object/account__v/V4TZ06G6O71T8V2", "JOSE MARIA LAMAS BARREIRO")</f>
        <v>JOSE MARIA LAMAS BARREIRO</v>
      </c>
      <c r="B8679" s="17" t="str">
        <f>HYPERLINK("https://otsuka-europe-crm.veevavault.com/ui/#object/vcountry__v/VENZ000004SONF5", "ES")</f>
        <v>ES</v>
      </c>
      <c r="C8679" s="20" t="s">
        <v>41</v>
      </c>
      <c r="D8679" s="21" t="str">
        <f>HYPERLINK("https://otsuka-europe-crm.veevavault.com/ui/#object/approved_document__v/V5O00000001H022", "LUP - VAE invitación simposio SEN-SER - Nefro")</f>
        <v>LUP - VAE invitación simposio SEN-SER - Nefro</v>
      </c>
      <c r="E8679" s="22" t="str">
        <f>HYPERLINK("https://otsuka-europe-crm.veevavault.com/ui/#object/sent_email__v/VBL00000002T008", "SE-001435527")</f>
        <v>SE-001435527</v>
      </c>
      <c r="F8679" s="23">
        <v>46188.822905092595</v>
      </c>
      <c r="G8679" s="24">
        <v>1</v>
      </c>
      <c r="H8679" s="24">
        <v>8</v>
      </c>
      <c r="I8679" s="24">
        <v>1</v>
      </c>
      <c r="J8679" s="23">
        <v>46189.8671412037</v>
      </c>
      <c r="K8679" s="24">
        <v>1</v>
      </c>
      <c r="L8679" s="22" t="str">
        <f>HYPERLINK("https://otsuka-europe-crm.veevavault.com/ui/#object/approved_document__v/V5O00000001H022", "LUP - VAE invitación simposio SEN-SER - Nefro")</f>
        <v>LUP - VAE invitación simposio SEN-SER - Nefro</v>
      </c>
      <c r="M8679" s="22" t="str">
        <f>HYPERLINK("mailto:sruizlemos@crm.otsuka-europe.com", "sruizlemos@crm.otsuka-europe.com")</f>
        <v>sruizlemos@crm.otsuka-europe.com</v>
      </c>
      <c r="N8679" s="23">
        <v>46185.313738425924</v>
      </c>
      <c r="O8679" s="14" t="str">
        <f>HYPERLINK("https://otsuka-europe-crm.veevavault.com/ui/#object/email_activity__v/V8C00000003U091", "EN-002095015")</f>
        <v>EN-002095015</v>
      </c>
    </row>
    <row r="8680" spans="1:15" ht="16" x14ac:dyDescent="0.2">
      <c r="A8680" s="18"/>
      <c r="B8680" s="18"/>
      <c r="C8680" s="18"/>
      <c r="D8680" s="18"/>
      <c r="E8680" s="18"/>
      <c r="F8680" s="18"/>
      <c r="G8680" s="18"/>
      <c r="H8680" s="18"/>
      <c r="I8680" s="18"/>
      <c r="J8680" s="18"/>
      <c r="K8680" s="18"/>
      <c r="L8680" s="18"/>
      <c r="M8680" s="18"/>
      <c r="N8680" s="18"/>
      <c r="O8680" s="14" t="str">
        <f>HYPERLINK("https://otsuka-europe-crm.veevavault.com/ui/#object/email_activity__v/V8C00000003U253", "EN-002095358")</f>
        <v>EN-002095358</v>
      </c>
    </row>
    <row r="8681" spans="1:15" ht="16" x14ac:dyDescent="0.2">
      <c r="A8681" s="18"/>
      <c r="B8681" s="18"/>
      <c r="C8681" s="18"/>
      <c r="D8681" s="18"/>
      <c r="E8681" s="18"/>
      <c r="F8681" s="18"/>
      <c r="G8681" s="18"/>
      <c r="H8681" s="18"/>
      <c r="I8681" s="18"/>
      <c r="J8681" s="18"/>
      <c r="K8681" s="18"/>
      <c r="L8681" s="18"/>
      <c r="M8681" s="18"/>
      <c r="N8681" s="18"/>
      <c r="O8681" s="14" t="str">
        <f>HYPERLINK("https://otsuka-europe-crm.veevavault.com/ui/#object/email_activity__v/V8C00000003U256", "EN-002095363")</f>
        <v>EN-002095363</v>
      </c>
    </row>
    <row r="8682" spans="1:15" ht="16" x14ac:dyDescent="0.2">
      <c r="A8682" s="18"/>
      <c r="B8682" s="18"/>
      <c r="C8682" s="18"/>
      <c r="D8682" s="18"/>
      <c r="E8682" s="18"/>
      <c r="F8682" s="18"/>
      <c r="G8682" s="18"/>
      <c r="H8682" s="18"/>
      <c r="I8682" s="18"/>
      <c r="J8682" s="18"/>
      <c r="K8682" s="18"/>
      <c r="L8682" s="18"/>
      <c r="M8682" s="18"/>
      <c r="N8682" s="18"/>
      <c r="O8682" s="14" t="str">
        <f>HYPERLINK("https://otsuka-europe-crm.veevavault.com/ui/#object/email_activity__v/V8C00000003U257", "EN-002095364")</f>
        <v>EN-002095364</v>
      </c>
    </row>
    <row r="8683" spans="1:15" ht="16" x14ac:dyDescent="0.2">
      <c r="A8683" s="18"/>
      <c r="B8683" s="18"/>
      <c r="C8683" s="18"/>
      <c r="D8683" s="18"/>
      <c r="E8683" s="18"/>
      <c r="F8683" s="18"/>
      <c r="G8683" s="18"/>
      <c r="H8683" s="18"/>
      <c r="I8683" s="18"/>
      <c r="J8683" s="18"/>
      <c r="K8683" s="18"/>
      <c r="L8683" s="18"/>
      <c r="M8683" s="18"/>
      <c r="N8683" s="18"/>
      <c r="O8683" s="14" t="str">
        <f>HYPERLINK("https://otsuka-europe-crm.veevavault.com/ui/#object/email_activity__v/V8C00000003U258", "EN-002095365")</f>
        <v>EN-002095365</v>
      </c>
    </row>
    <row r="8684" spans="1:15" ht="16" x14ac:dyDescent="0.2">
      <c r="A8684" s="18"/>
      <c r="B8684" s="18"/>
      <c r="C8684" s="18"/>
      <c r="D8684" s="18"/>
      <c r="E8684" s="18"/>
      <c r="F8684" s="18"/>
      <c r="G8684" s="18"/>
      <c r="H8684" s="18"/>
      <c r="I8684" s="18"/>
      <c r="J8684" s="18"/>
      <c r="K8684" s="18"/>
      <c r="L8684" s="18"/>
      <c r="M8684" s="18"/>
      <c r="N8684" s="18"/>
      <c r="O8684" s="14" t="str">
        <f>HYPERLINK("https://otsuka-europe-crm.veevavault.com/ui/#object/email_activity__v/V8C00000003U259", "EN-002095366")</f>
        <v>EN-002095366</v>
      </c>
    </row>
    <row r="8685" spans="1:15" ht="16" x14ac:dyDescent="0.2">
      <c r="A8685" s="18"/>
      <c r="B8685" s="18"/>
      <c r="C8685" s="18"/>
      <c r="D8685" s="18"/>
      <c r="E8685" s="18"/>
      <c r="F8685" s="18"/>
      <c r="G8685" s="18"/>
      <c r="H8685" s="18"/>
      <c r="I8685" s="18"/>
      <c r="J8685" s="18"/>
      <c r="K8685" s="18"/>
      <c r="L8685" s="18"/>
      <c r="M8685" s="18"/>
      <c r="N8685" s="18"/>
      <c r="O8685" s="14" t="str">
        <f>HYPERLINK("https://otsuka-europe-crm.veevavault.com/ui/#object/email_activity__v/V8C00000003U464", "EN-002095769")</f>
        <v>EN-002095769</v>
      </c>
    </row>
    <row r="8686" spans="1:15" ht="16" x14ac:dyDescent="0.2">
      <c r="A8686" s="18"/>
      <c r="B8686" s="18"/>
      <c r="C8686" s="18"/>
      <c r="D8686" s="18"/>
      <c r="E8686" s="18"/>
      <c r="F8686" s="18"/>
      <c r="G8686" s="18"/>
      <c r="H8686" s="18"/>
      <c r="I8686" s="18"/>
      <c r="J8686" s="18"/>
      <c r="K8686" s="18"/>
      <c r="L8686" s="18"/>
      <c r="M8686" s="18"/>
      <c r="N8686" s="18"/>
      <c r="O8686" s="14" t="str">
        <f>HYPERLINK("https://otsuka-europe-crm.veevavault.com/ui/#object/email_activity__v/V8C00000003U889", "EN-002096762")</f>
        <v>EN-002096762</v>
      </c>
    </row>
    <row r="8687" spans="1:15" ht="16" x14ac:dyDescent="0.2">
      <c r="A8687" s="18"/>
      <c r="B8687" s="18"/>
      <c r="C8687" s="18"/>
      <c r="D8687" s="18"/>
      <c r="E8687" s="18"/>
      <c r="F8687" s="18"/>
      <c r="G8687" s="18"/>
      <c r="H8687" s="18"/>
      <c r="I8687" s="18"/>
      <c r="J8687" s="18"/>
      <c r="K8687" s="18"/>
      <c r="L8687" s="18"/>
      <c r="M8687" s="18"/>
      <c r="N8687" s="18"/>
      <c r="O8687" s="14" t="str">
        <f>HYPERLINK("https://otsuka-europe-crm.veevavault.com/ui/#object/email_activity__v/V8C00000003V391", "EN-002095563")</f>
        <v>EN-002095563</v>
      </c>
    </row>
    <row r="8688" spans="1:15" ht="16" x14ac:dyDescent="0.2">
      <c r="A8688" s="18"/>
      <c r="B8688" s="18"/>
      <c r="C8688" s="18"/>
      <c r="D8688" s="18"/>
      <c r="E8688" s="18"/>
      <c r="F8688" s="18"/>
      <c r="G8688" s="18"/>
      <c r="H8688" s="18"/>
      <c r="I8688" s="18"/>
      <c r="J8688" s="18"/>
      <c r="K8688" s="18"/>
      <c r="L8688" s="18"/>
      <c r="M8688" s="18"/>
      <c r="N8688" s="18"/>
      <c r="O8688" s="14" t="str">
        <f>HYPERLINK("https://otsuka-europe-crm.veevavault.com/ui/#object/email_activity__v/V8C00000003W302", "EN-002097328")</f>
        <v>EN-002097328</v>
      </c>
    </row>
    <row r="8689" spans="1:15" ht="16" x14ac:dyDescent="0.2">
      <c r="A8689" s="19"/>
      <c r="B8689" s="19"/>
      <c r="C8689" s="19"/>
      <c r="D8689" s="19"/>
      <c r="E8689" s="19"/>
      <c r="F8689" s="19"/>
      <c r="G8689" s="19"/>
      <c r="H8689" s="19"/>
      <c r="I8689" s="19"/>
      <c r="J8689" s="19"/>
      <c r="K8689" s="19"/>
      <c r="L8689" s="19"/>
      <c r="M8689" s="19"/>
      <c r="N8689" s="19"/>
      <c r="O8689" s="14" t="str">
        <f>HYPERLINK("https://otsuka-europe-crm.veevavault.com/ui/#object/email_activity__v/V8C00000003X216", "EN-002097326")</f>
        <v>EN-002097326</v>
      </c>
    </row>
    <row r="8690" spans="1:15" ht="32" x14ac:dyDescent="0.2">
      <c r="A8690" s="7" t="str">
        <f>HYPERLINK("https://otsuka-europe-crm.veevavault.com/ui/#object/account__v/V4TZ06G6O71T76C", "LOURDES GONZALEZ TABARES")</f>
        <v>LOURDES GONZALEZ TABARES</v>
      </c>
      <c r="B8690" s="7" t="str">
        <f>HYPERLINK("https://otsuka-europe-crm.veevavault.com/ui/#object/vcountry__v/VENZ000004SONF5", "ES")</f>
        <v>ES</v>
      </c>
      <c r="C8690" s="8" t="s">
        <v>41</v>
      </c>
      <c r="D8690" s="9" t="str">
        <f>HYPERLINK("https://otsuka-europe-crm.veevavault.com/ui/#object/approved_document__v/V5O00000001H022", "LUP - VAE invitación simposio SEN-SER - Nefro")</f>
        <v>LUP - VAE invitación simposio SEN-SER - Nefro</v>
      </c>
      <c r="E8690" s="10" t="str">
        <f>HYPERLINK("https://otsuka-europe-crm.veevavault.com/ui/#object/sent_email__v/VBL00000002T009", "SE-001435528")</f>
        <v>SE-001435528</v>
      </c>
      <c r="F8690" s="11"/>
      <c r="G8690" s="12">
        <v>0</v>
      </c>
      <c r="H8690" s="12">
        <v>0</v>
      </c>
      <c r="I8690" s="12">
        <v>0</v>
      </c>
      <c r="J8690" s="11"/>
      <c r="K8690" s="12">
        <v>0</v>
      </c>
      <c r="L8690" s="10" t="str">
        <f>HYPERLINK("https://otsuka-europe-crm.veevavault.com/ui/#object/approved_document__v/V5O00000001H022", "LUP - VAE invitación simposio SEN-SER - Nefro")</f>
        <v>LUP - VAE invitación simposio SEN-SER - Nefro</v>
      </c>
      <c r="M8690" s="10" t="str">
        <f>HYPERLINK("mailto:sruizlemos@crm.otsuka-europe.com", "sruizlemos@crm.otsuka-europe.com")</f>
        <v>sruizlemos@crm.otsuka-europe.com</v>
      </c>
      <c r="N8690" s="13">
        <v>46185.313773148147</v>
      </c>
      <c r="O8690" s="14" t="str">
        <f>HYPERLINK("https://otsuka-europe-crm.veevavault.com/ui/#object/email_activity__v/V8C00000003V083", "EN-002094985")</f>
        <v>EN-002094985</v>
      </c>
    </row>
    <row r="8691" spans="1:15" ht="32" x14ac:dyDescent="0.2">
      <c r="A8691" s="7" t="str">
        <f>HYPERLINK("https://otsuka-europe-crm.veevavault.com/ui/#object/account__v/V4TZ06G6O71TCF9", "MARIA CARMEN VAZQUEZ GOMEZ")</f>
        <v>MARIA CARMEN VAZQUEZ GOMEZ</v>
      </c>
      <c r="B8691" s="7" t="str">
        <f>HYPERLINK("https://otsuka-europe-crm.veevavault.com/ui/#object/vcountry__v/VENZ000004SONF5", "ES")</f>
        <v>ES</v>
      </c>
      <c r="C8691" s="8" t="s">
        <v>41</v>
      </c>
      <c r="D8691" s="9" t="str">
        <f>HYPERLINK("https://otsuka-europe-crm.veevavault.com/ui/#object/approved_document__v/V5O00000001H022", "LUP - VAE invitación simposio SEN-SER - Nefro")</f>
        <v>LUP - VAE invitación simposio SEN-SER - Nefro</v>
      </c>
      <c r="E8691" s="10" t="str">
        <f>HYPERLINK("https://otsuka-europe-crm.veevavault.com/ui/#object/sent_email__v/VBL00000002T010", "SE-001435529")</f>
        <v>SE-001435529</v>
      </c>
      <c r="F8691" s="11"/>
      <c r="G8691" s="12">
        <v>0</v>
      </c>
      <c r="H8691" s="12">
        <v>0</v>
      </c>
      <c r="I8691" s="12">
        <v>0</v>
      </c>
      <c r="J8691" s="11"/>
      <c r="K8691" s="12">
        <v>0</v>
      </c>
      <c r="L8691" s="10" t="str">
        <f>HYPERLINK("https://otsuka-europe-crm.veevavault.com/ui/#object/approved_document__v/V5O00000001H022", "LUP - VAE invitación simposio SEN-SER - Nefro")</f>
        <v>LUP - VAE invitación simposio SEN-SER - Nefro</v>
      </c>
      <c r="M8691" s="10" t="str">
        <f>HYPERLINK("mailto:sruizlemos@crm.otsuka-europe.com", "sruizlemos@crm.otsuka-europe.com")</f>
        <v>sruizlemos@crm.otsuka-europe.com</v>
      </c>
      <c r="N8691" s="13">
        <v>46185.313738425924</v>
      </c>
      <c r="O8691" s="14" t="str">
        <f>HYPERLINK("https://otsuka-europe-crm.veevavault.com/ui/#object/email_activity__v/V8C00000003V045", "EN-002094925")</f>
        <v>EN-002094925</v>
      </c>
    </row>
    <row r="8692" spans="1:15" ht="16" x14ac:dyDescent="0.2">
      <c r="A8692" s="17" t="str">
        <f>HYPERLINK("https://otsuka-europe-crm.veevavault.com/ui/#object/account__v/V4TZ06G6O71T82A", "MARIA CARMEN MERINO BUENO")</f>
        <v>MARIA CARMEN MERINO BUENO</v>
      </c>
      <c r="B8692" s="17" t="str">
        <f>HYPERLINK("https://otsuka-europe-crm.veevavault.com/ui/#object/vcountry__v/VENZ000004SONF5", "ES")</f>
        <v>ES</v>
      </c>
      <c r="C8692" s="20" t="s">
        <v>41</v>
      </c>
      <c r="D8692" s="21" t="str">
        <f>HYPERLINK("https://otsuka-europe-crm.veevavault.com/ui/#object/approved_document__v/V5O00000001H022", "LUP - VAE invitación simposio SEN-SER - Nefro")</f>
        <v>LUP - VAE invitación simposio SEN-SER - Nefro</v>
      </c>
      <c r="E8692" s="22" t="str">
        <f>HYPERLINK("https://otsuka-europe-crm.veevavault.com/ui/#object/sent_email__v/VBL00000002T011", "SE-001435530")</f>
        <v>SE-001435530</v>
      </c>
      <c r="F8692" s="25"/>
      <c r="G8692" s="24">
        <v>0</v>
      </c>
      <c r="H8692" s="24">
        <v>0</v>
      </c>
      <c r="I8692" s="24">
        <v>0</v>
      </c>
      <c r="J8692" s="25"/>
      <c r="K8692" s="24">
        <v>0</v>
      </c>
      <c r="L8692" s="22" t="str">
        <f>HYPERLINK("https://otsuka-europe-crm.veevavault.com/ui/#object/approved_document__v/V5O00000001H022", "LUP - VAE invitación simposio SEN-SER - Nefro")</f>
        <v>LUP - VAE invitación simposio SEN-SER - Nefro</v>
      </c>
      <c r="M8692" s="22" t="str">
        <f>HYPERLINK("mailto:sruizlemos@crm.otsuka-europe.com", "sruizlemos@crm.otsuka-europe.com")</f>
        <v>sruizlemos@crm.otsuka-europe.com</v>
      </c>
      <c r="N8692" s="23">
        <v>46185.313750000001</v>
      </c>
      <c r="O8692" s="14" t="str">
        <f>HYPERLINK("https://otsuka-europe-crm.veevavault.com/ui/#object/email_activity__v/V8C00000003U367", "EN-002095592")</f>
        <v>EN-002095592</v>
      </c>
    </row>
    <row r="8693" spans="1:15" ht="16" x14ac:dyDescent="0.2">
      <c r="A8693" s="18"/>
      <c r="B8693" s="18"/>
      <c r="C8693" s="18"/>
      <c r="D8693" s="18"/>
      <c r="E8693" s="18"/>
      <c r="F8693" s="18"/>
      <c r="G8693" s="18"/>
      <c r="H8693" s="18"/>
      <c r="I8693" s="18"/>
      <c r="J8693" s="18"/>
      <c r="K8693" s="18"/>
      <c r="L8693" s="18"/>
      <c r="M8693" s="18"/>
      <c r="N8693" s="18"/>
      <c r="O8693" s="14" t="str">
        <f>HYPERLINK("https://otsuka-europe-crm.veevavault.com/ui/#object/email_activity__v/V8C00000003V061", "EN-002094947")</f>
        <v>EN-002094947</v>
      </c>
    </row>
    <row r="8694" spans="1:15" ht="16" x14ac:dyDescent="0.2">
      <c r="A8694" s="19"/>
      <c r="B8694" s="19"/>
      <c r="C8694" s="19"/>
      <c r="D8694" s="19"/>
      <c r="E8694" s="19"/>
      <c r="F8694" s="19"/>
      <c r="G8694" s="19"/>
      <c r="H8694" s="19"/>
      <c r="I8694" s="19"/>
      <c r="J8694" s="19"/>
      <c r="K8694" s="19"/>
      <c r="L8694" s="19"/>
      <c r="M8694" s="19"/>
      <c r="N8694" s="19"/>
      <c r="O8694" s="14" t="str">
        <f>HYPERLINK("https://otsuka-europe-crm.veevavault.com/ui/#object/email_activity__v/V8C00000003W814", "EN-002098637")</f>
        <v>EN-002098637</v>
      </c>
    </row>
    <row r="8695" spans="1:15" ht="32" x14ac:dyDescent="0.2">
      <c r="A8695" s="7" t="str">
        <f>HYPERLINK("https://otsuka-europe-crm.veevavault.com/ui/#object/account__v/V4TZ06G6O71TBJP", "MIGUEL PEREZ FONTAN")</f>
        <v>MIGUEL PEREZ FONTAN</v>
      </c>
      <c r="B8695" s="7" t="str">
        <f>HYPERLINK("https://otsuka-europe-crm.veevavault.com/ui/#object/vcountry__v/VENZ000004SONF5", "ES")</f>
        <v>ES</v>
      </c>
      <c r="C8695" s="8" t="s">
        <v>41</v>
      </c>
      <c r="D8695" s="9" t="str">
        <f>HYPERLINK("https://otsuka-europe-crm.veevavault.com/ui/#object/approved_document__v/V5O00000001H022", "LUP - VAE invitación simposio SEN-SER - Nefro")</f>
        <v>LUP - VAE invitación simposio SEN-SER - Nefro</v>
      </c>
      <c r="E8695" s="10" t="str">
        <f>HYPERLINK("https://otsuka-europe-crm.veevavault.com/ui/#object/sent_email__v/VBL00000002T012", "SE-001435531")</f>
        <v>SE-001435531</v>
      </c>
      <c r="F8695" s="11"/>
      <c r="G8695" s="12">
        <v>0</v>
      </c>
      <c r="H8695" s="12">
        <v>0</v>
      </c>
      <c r="I8695" s="12">
        <v>0</v>
      </c>
      <c r="J8695" s="11"/>
      <c r="K8695" s="12">
        <v>0</v>
      </c>
      <c r="L8695" s="10" t="str">
        <f>HYPERLINK("https://otsuka-europe-crm.veevavault.com/ui/#object/approved_document__v/V5O00000001H022", "LUP - VAE invitación simposio SEN-SER - Nefro")</f>
        <v>LUP - VAE invitación simposio SEN-SER - Nefro</v>
      </c>
      <c r="M8695" s="10" t="str">
        <f>HYPERLINK("mailto:sruizlemos@crm.otsuka-europe.com", "sruizlemos@crm.otsuka-europe.com")</f>
        <v>sruizlemos@crm.otsuka-europe.com</v>
      </c>
      <c r="N8695" s="13">
        <v>46185.313738425924</v>
      </c>
      <c r="O8695" s="14" t="str">
        <f>HYPERLINK("https://otsuka-europe-crm.veevavault.com/ui/#object/email_activity__v/V8C00000003U061", "EN-002094923")</f>
        <v>EN-002094923</v>
      </c>
    </row>
    <row r="8696" spans="1:15" ht="32" x14ac:dyDescent="0.2">
      <c r="A8696" s="7" t="str">
        <f>HYPERLINK("https://otsuka-europe-crm.veevavault.com/ui/#object/account__v/V4TZ06G6O71T9QC", "LUZ MARIA CUIÑA BARJA")</f>
        <v>LUZ MARIA CUIÑA BARJA</v>
      </c>
      <c r="B8696" s="7" t="str">
        <f>HYPERLINK("https://otsuka-europe-crm.veevavault.com/ui/#object/vcountry__v/VENZ000004SONF5", "ES")</f>
        <v>ES</v>
      </c>
      <c r="C8696" s="8" t="s">
        <v>41</v>
      </c>
      <c r="D8696" s="9" t="str">
        <f>HYPERLINK("https://otsuka-europe-crm.veevavault.com/ui/#object/approved_document__v/V5O00000001H022", "LUP - VAE invitación simposio SEN-SER - Nefro")</f>
        <v>LUP - VAE invitación simposio SEN-SER - Nefro</v>
      </c>
      <c r="E8696" s="10" t="str">
        <f>HYPERLINK("https://otsuka-europe-crm.veevavault.com/ui/#object/sent_email__v/VBL00000002T013", "SE-001435532")</f>
        <v>SE-001435532</v>
      </c>
      <c r="F8696" s="11"/>
      <c r="G8696" s="12">
        <v>0</v>
      </c>
      <c r="H8696" s="12">
        <v>0</v>
      </c>
      <c r="I8696" s="12">
        <v>0</v>
      </c>
      <c r="J8696" s="11"/>
      <c r="K8696" s="12">
        <v>0</v>
      </c>
      <c r="L8696" s="10" t="str">
        <f>HYPERLINK("https://otsuka-europe-crm.veevavault.com/ui/#object/approved_document__v/V5O00000001H022", "LUP - VAE invitación simposio SEN-SER - Nefro")</f>
        <v>LUP - VAE invitación simposio SEN-SER - Nefro</v>
      </c>
      <c r="M8696" s="10" t="str">
        <f>HYPERLINK("mailto:sruizlemos@crm.otsuka-europe.com", "sruizlemos@crm.otsuka-europe.com")</f>
        <v>sruizlemos@crm.otsuka-europe.com</v>
      </c>
      <c r="N8696" s="13">
        <v>46185.313738425924</v>
      </c>
      <c r="O8696" s="14" t="str">
        <f>HYPERLINK("https://otsuka-europe-crm.veevavault.com/ui/#object/email_activity__v/V8C00000003V119", "EN-002095031")</f>
        <v>EN-002095031</v>
      </c>
    </row>
    <row r="8697" spans="1:15" ht="16" x14ac:dyDescent="0.2">
      <c r="A8697" s="17" t="str">
        <f>HYPERLINK("https://otsuka-europe-crm.veevavault.com/ui/#object/account__v/V4TZ06G6O71T7M6", "GIANNINA ELENA GARCIA RODRIGUEZ")</f>
        <v>GIANNINA ELENA GARCIA RODRIGUEZ</v>
      </c>
      <c r="B8697" s="17" t="str">
        <f>HYPERLINK("https://otsuka-europe-crm.veevavault.com/ui/#object/vcountry__v/VENZ000004SONF5", "ES")</f>
        <v>ES</v>
      </c>
      <c r="C8697" s="20" t="s">
        <v>41</v>
      </c>
      <c r="D8697" s="21" t="str">
        <f>HYPERLINK("https://otsuka-europe-crm.veevavault.com/ui/#object/approved_document__v/V5O00000001H022", "LUP - VAE invitación simposio SEN-SER - Nefro")</f>
        <v>LUP - VAE invitación simposio SEN-SER - Nefro</v>
      </c>
      <c r="E8697" s="22" t="str">
        <f>HYPERLINK("https://otsuka-europe-crm.veevavault.com/ui/#object/sent_email__v/VBL00000002T014", "SE-001435533")</f>
        <v>SE-001435533</v>
      </c>
      <c r="F8697" s="23">
        <v>46185.485752314817</v>
      </c>
      <c r="G8697" s="24">
        <v>1</v>
      </c>
      <c r="H8697" s="24">
        <v>2</v>
      </c>
      <c r="I8697" s="24">
        <v>1</v>
      </c>
      <c r="J8697" s="23">
        <v>46185.487245370372</v>
      </c>
      <c r="K8697" s="24">
        <v>1</v>
      </c>
      <c r="L8697" s="22" t="str">
        <f>HYPERLINK("https://otsuka-europe-crm.veevavault.com/ui/#object/approved_document__v/V5O00000001H022", "LUP - VAE invitación simposio SEN-SER - Nefro")</f>
        <v>LUP - VAE invitación simposio SEN-SER - Nefro</v>
      </c>
      <c r="M8697" s="22" t="str">
        <f>HYPERLINK("mailto:sruizlemos@crm.otsuka-europe.com", "sruizlemos@crm.otsuka-europe.com")</f>
        <v>sruizlemos@crm.otsuka-europe.com</v>
      </c>
      <c r="N8697" s="23">
        <v>46185.313750000001</v>
      </c>
      <c r="O8697" s="14" t="str">
        <f>HYPERLINK("https://otsuka-europe-crm.veevavault.com/ui/#object/email_activity__v/V8C00000003U262", "EN-002095369")</f>
        <v>EN-002095369</v>
      </c>
    </row>
    <row r="8698" spans="1:15" ht="16" x14ac:dyDescent="0.2">
      <c r="A8698" s="18"/>
      <c r="B8698" s="18"/>
      <c r="C8698" s="18"/>
      <c r="D8698" s="18"/>
      <c r="E8698" s="18"/>
      <c r="F8698" s="18"/>
      <c r="G8698" s="18"/>
      <c r="H8698" s="18"/>
      <c r="I8698" s="18"/>
      <c r="J8698" s="18"/>
      <c r="K8698" s="18"/>
      <c r="L8698" s="18"/>
      <c r="M8698" s="18"/>
      <c r="N8698" s="18"/>
      <c r="O8698" s="14" t="str">
        <f>HYPERLINK("https://otsuka-europe-crm.veevavault.com/ui/#object/email_activity__v/V8C00000003U263", "EN-002095370")</f>
        <v>EN-002095370</v>
      </c>
    </row>
    <row r="8699" spans="1:15" ht="16" x14ac:dyDescent="0.2">
      <c r="A8699" s="18"/>
      <c r="B8699" s="18"/>
      <c r="C8699" s="18"/>
      <c r="D8699" s="18"/>
      <c r="E8699" s="18"/>
      <c r="F8699" s="18"/>
      <c r="G8699" s="18"/>
      <c r="H8699" s="18"/>
      <c r="I8699" s="18"/>
      <c r="J8699" s="18"/>
      <c r="K8699" s="18"/>
      <c r="L8699" s="18"/>
      <c r="M8699" s="18"/>
      <c r="N8699" s="18"/>
      <c r="O8699" s="14" t="str">
        <f>HYPERLINK("https://otsuka-europe-crm.veevavault.com/ui/#object/email_activity__v/V8C00000003U264", "EN-002095371")</f>
        <v>EN-002095371</v>
      </c>
    </row>
    <row r="8700" spans="1:15" ht="16" x14ac:dyDescent="0.2">
      <c r="A8700" s="18"/>
      <c r="B8700" s="18"/>
      <c r="C8700" s="18"/>
      <c r="D8700" s="18"/>
      <c r="E8700" s="18"/>
      <c r="F8700" s="18"/>
      <c r="G8700" s="18"/>
      <c r="H8700" s="18"/>
      <c r="I8700" s="18"/>
      <c r="J8700" s="18"/>
      <c r="K8700" s="18"/>
      <c r="L8700" s="18"/>
      <c r="M8700" s="18"/>
      <c r="N8700" s="18"/>
      <c r="O8700" s="14" t="str">
        <f>HYPERLINK("https://otsuka-europe-crm.veevavault.com/ui/#object/email_activity__v/V8C00000003U265", "EN-002095374")</f>
        <v>EN-002095374</v>
      </c>
    </row>
    <row r="8701" spans="1:15" ht="16" x14ac:dyDescent="0.2">
      <c r="A8701" s="18"/>
      <c r="B8701" s="18"/>
      <c r="C8701" s="18"/>
      <c r="D8701" s="18"/>
      <c r="E8701" s="18"/>
      <c r="F8701" s="18"/>
      <c r="G8701" s="18"/>
      <c r="H8701" s="18"/>
      <c r="I8701" s="18"/>
      <c r="J8701" s="18"/>
      <c r="K8701" s="18"/>
      <c r="L8701" s="18"/>
      <c r="M8701" s="18"/>
      <c r="N8701" s="18"/>
      <c r="O8701" s="14" t="str">
        <f>HYPERLINK("https://otsuka-europe-crm.veevavault.com/ui/#object/email_activity__v/V8C00000003U266", "EN-002095375")</f>
        <v>EN-002095375</v>
      </c>
    </row>
    <row r="8702" spans="1:15" ht="16" x14ac:dyDescent="0.2">
      <c r="A8702" s="19"/>
      <c r="B8702" s="19"/>
      <c r="C8702" s="19"/>
      <c r="D8702" s="19"/>
      <c r="E8702" s="19"/>
      <c r="F8702" s="19"/>
      <c r="G8702" s="19"/>
      <c r="H8702" s="19"/>
      <c r="I8702" s="19"/>
      <c r="J8702" s="19"/>
      <c r="K8702" s="19"/>
      <c r="L8702" s="19"/>
      <c r="M8702" s="19"/>
      <c r="N8702" s="19"/>
      <c r="O8702" s="14" t="str">
        <f>HYPERLINK("https://otsuka-europe-crm.veevavault.com/ui/#object/email_activity__v/V8C00000003V096", "EN-002094998")</f>
        <v>EN-002094998</v>
      </c>
    </row>
    <row r="8703" spans="1:15" ht="16" x14ac:dyDescent="0.2">
      <c r="A8703" s="17" t="str">
        <f>HYPERLINK("https://otsuka-europe-crm.veevavault.com/ui/#object/account__v/V4TZ025E83E2NWU", "BELEN SANTACLARA POUSADA")</f>
        <v>BELEN SANTACLARA POUSADA</v>
      </c>
      <c r="B8703" s="17" t="str">
        <f>HYPERLINK("https://otsuka-europe-crm.veevavault.com/ui/#object/vcountry__v/VENZ000004SONF5", "ES")</f>
        <v>ES</v>
      </c>
      <c r="C8703" s="20" t="s">
        <v>41</v>
      </c>
      <c r="D8703" s="21" t="str">
        <f>HYPERLINK("https://otsuka-europe-crm.veevavault.com/ui/#object/approved_document__v/V5O00000001H022", "LUP - VAE invitación simposio SEN-SER - Nefro")</f>
        <v>LUP - VAE invitación simposio SEN-SER - Nefro</v>
      </c>
      <c r="E8703" s="22" t="str">
        <f>HYPERLINK("https://otsuka-europe-crm.veevavault.com/ui/#object/sent_email__v/VBL00000002T015", "SE-001435534")</f>
        <v>SE-001435534</v>
      </c>
      <c r="F8703" s="25"/>
      <c r="G8703" s="24">
        <v>0</v>
      </c>
      <c r="H8703" s="24">
        <v>0</v>
      </c>
      <c r="I8703" s="24">
        <v>0</v>
      </c>
      <c r="J8703" s="25"/>
      <c r="K8703" s="24">
        <v>0</v>
      </c>
      <c r="L8703" s="22" t="str">
        <f>HYPERLINK("https://otsuka-europe-crm.veevavault.com/ui/#object/approved_document__v/V5O00000001H022", "LUP - VAE invitación simposio SEN-SER - Nefro")</f>
        <v>LUP - VAE invitación simposio SEN-SER - Nefro</v>
      </c>
      <c r="M8703" s="22" t="str">
        <f>HYPERLINK("mailto:sruizlemos@crm.otsuka-europe.com", "sruizlemos@crm.otsuka-europe.com")</f>
        <v>sruizlemos@crm.otsuka-europe.com</v>
      </c>
      <c r="N8703" s="23">
        <v>46185.313738425924</v>
      </c>
      <c r="O8703" s="14" t="str">
        <f>HYPERLINK("https://otsuka-europe-crm.veevavault.com/ui/#object/email_activity__v/V8C00000003U059", "EN-002094921")</f>
        <v>EN-002094921</v>
      </c>
    </row>
    <row r="8704" spans="1:15" ht="16" x14ac:dyDescent="0.2">
      <c r="A8704" s="19"/>
      <c r="B8704" s="19"/>
      <c r="C8704" s="19"/>
      <c r="D8704" s="19"/>
      <c r="E8704" s="19"/>
      <c r="F8704" s="19"/>
      <c r="G8704" s="19"/>
      <c r="H8704" s="19"/>
      <c r="I8704" s="19"/>
      <c r="J8704" s="19"/>
      <c r="K8704" s="19"/>
      <c r="L8704" s="19"/>
      <c r="M8704" s="19"/>
      <c r="N8704" s="19"/>
      <c r="O8704" s="14" t="str">
        <f>HYPERLINK("https://otsuka-europe-crm.veevavault.com/ui/#object/email_activity__v/V8C00000003V393", "EN-002095565")</f>
        <v>EN-002095565</v>
      </c>
    </row>
    <row r="8705" spans="1:15" ht="32" x14ac:dyDescent="0.2">
      <c r="A8705" s="7" t="str">
        <f>HYPERLINK("https://otsuka-europe-crm.veevavault.com/ui/#object/account__v/V4T00000001X197", "ALBA CRISTINA HERRERA BELLO")</f>
        <v>ALBA CRISTINA HERRERA BELLO</v>
      </c>
      <c r="B8705" s="7" t="str">
        <f>HYPERLINK("https://otsuka-europe-crm.veevavault.com/ui/#object/vcountry__v/VENZ000004SONF5", "ES")</f>
        <v>ES</v>
      </c>
      <c r="C8705" s="8" t="s">
        <v>41</v>
      </c>
      <c r="D8705" s="9" t="str">
        <f>HYPERLINK("https://otsuka-europe-crm.veevavault.com/ui/#object/approved_document__v/V5O00000001H022", "LUP - VAE invitación simposio SEN-SER - Nefro")</f>
        <v>LUP - VAE invitación simposio SEN-SER - Nefro</v>
      </c>
      <c r="E8705" s="10" t="str">
        <f>HYPERLINK("https://otsuka-europe-crm.veevavault.com/ui/#object/sent_email__v/VBL00000002T016", "SE-001435535")</f>
        <v>SE-001435535</v>
      </c>
      <c r="F8705" s="11"/>
      <c r="G8705" s="12">
        <v>0</v>
      </c>
      <c r="H8705" s="12">
        <v>0</v>
      </c>
      <c r="I8705" s="12">
        <v>0</v>
      </c>
      <c r="J8705" s="11"/>
      <c r="K8705" s="12">
        <v>0</v>
      </c>
      <c r="L8705" s="10" t="str">
        <f>HYPERLINK("https://otsuka-europe-crm.veevavault.com/ui/#object/approved_document__v/V5O00000001H022", "LUP - VAE invitación simposio SEN-SER - Nefro")</f>
        <v>LUP - VAE invitación simposio SEN-SER - Nefro</v>
      </c>
      <c r="M8705" s="10" t="str">
        <f>HYPERLINK("mailto:sruizlemos@crm.otsuka-europe.com", "sruizlemos@crm.otsuka-europe.com")</f>
        <v>sruizlemos@crm.otsuka-europe.com</v>
      </c>
      <c r="N8705" s="13">
        <v>46185.313738425924</v>
      </c>
      <c r="O8705" s="14" t="str">
        <f>HYPERLINK("https://otsuka-europe-crm.veevavault.com/ui/#object/email_activity__v/V8C00000003V123", "EN-002095035")</f>
        <v>EN-002095035</v>
      </c>
    </row>
    <row r="8706" spans="1:15" ht="16" x14ac:dyDescent="0.2">
      <c r="A8706" s="17" t="str">
        <f>HYPERLINK("https://otsuka-europe-crm.veevavault.com/ui/#object/account__v/V4TZ06G6O71TA33", "ANA GUITIAN PENA")</f>
        <v>ANA GUITIAN PENA</v>
      </c>
      <c r="B8706" s="17" t="str">
        <f>HYPERLINK("https://otsuka-europe-crm.veevavault.com/ui/#object/vcountry__v/VENZ000004SONF5", "ES")</f>
        <v>ES</v>
      </c>
      <c r="C8706" s="20" t="s">
        <v>41</v>
      </c>
      <c r="D8706" s="21" t="str">
        <f>HYPERLINK("https://otsuka-europe-crm.veevavault.com/ui/#object/approved_document__v/V5O00000001H022", "LUP - VAE invitación simposio SEN-SER - Nefro")</f>
        <v>LUP - VAE invitación simposio SEN-SER - Nefro</v>
      </c>
      <c r="E8706" s="22" t="str">
        <f>HYPERLINK("https://otsuka-europe-crm.veevavault.com/ui/#object/sent_email__v/VBL00000002T017", "SE-001435536")</f>
        <v>SE-001435536</v>
      </c>
      <c r="F8706" s="23">
        <v>46185.358946759261</v>
      </c>
      <c r="G8706" s="24">
        <v>1</v>
      </c>
      <c r="H8706" s="24">
        <v>1</v>
      </c>
      <c r="I8706" s="24">
        <v>1</v>
      </c>
      <c r="J8706" s="23">
        <v>46185.359270833331</v>
      </c>
      <c r="K8706" s="24">
        <v>2</v>
      </c>
      <c r="L8706" s="22" t="str">
        <f>HYPERLINK("https://otsuka-europe-crm.veevavault.com/ui/#object/approved_document__v/V5O00000001H022", "LUP - VAE invitación simposio SEN-SER - Nefro")</f>
        <v>LUP - VAE invitación simposio SEN-SER - Nefro</v>
      </c>
      <c r="M8706" s="22" t="str">
        <f>HYPERLINK("mailto:sruizlemos@crm.otsuka-europe.com", "sruizlemos@crm.otsuka-europe.com")</f>
        <v>sruizlemos@crm.otsuka-europe.com</v>
      </c>
      <c r="N8706" s="23">
        <v>46185.313773148147</v>
      </c>
      <c r="O8706" s="14" t="str">
        <f>HYPERLINK("https://otsuka-europe-crm.veevavault.com/ui/#object/email_activity__v/V8C00000003V063", "EN-002094949")</f>
        <v>EN-002094949</v>
      </c>
    </row>
    <row r="8707" spans="1:15" ht="16" x14ac:dyDescent="0.2">
      <c r="A8707" s="18"/>
      <c r="B8707" s="18"/>
      <c r="C8707" s="18"/>
      <c r="D8707" s="18"/>
      <c r="E8707" s="18"/>
      <c r="F8707" s="18"/>
      <c r="G8707" s="18"/>
      <c r="H8707" s="18"/>
      <c r="I8707" s="18"/>
      <c r="J8707" s="18"/>
      <c r="K8707" s="18"/>
      <c r="L8707" s="18"/>
      <c r="M8707" s="18"/>
      <c r="N8707" s="18"/>
      <c r="O8707" s="14" t="str">
        <f>HYPERLINK("https://otsuka-europe-crm.veevavault.com/ui/#object/email_activity__v/V8C00000003V172", "EN-002095134")</f>
        <v>EN-002095134</v>
      </c>
    </row>
    <row r="8708" spans="1:15" ht="16" x14ac:dyDescent="0.2">
      <c r="A8708" s="18"/>
      <c r="B8708" s="18"/>
      <c r="C8708" s="18"/>
      <c r="D8708" s="18"/>
      <c r="E8708" s="18"/>
      <c r="F8708" s="18"/>
      <c r="G8708" s="18"/>
      <c r="H8708" s="18"/>
      <c r="I8708" s="18"/>
      <c r="J8708" s="18"/>
      <c r="K8708" s="18"/>
      <c r="L8708" s="18"/>
      <c r="M8708" s="18"/>
      <c r="N8708" s="18"/>
      <c r="O8708" s="14" t="str">
        <f>HYPERLINK("https://otsuka-europe-crm.veevavault.com/ui/#object/email_activity__v/V8C00000003V173", "EN-002095133")</f>
        <v>EN-002095133</v>
      </c>
    </row>
    <row r="8709" spans="1:15" ht="16" x14ac:dyDescent="0.2">
      <c r="A8709" s="18"/>
      <c r="B8709" s="18"/>
      <c r="C8709" s="18"/>
      <c r="D8709" s="18"/>
      <c r="E8709" s="18"/>
      <c r="F8709" s="18"/>
      <c r="G8709" s="18"/>
      <c r="H8709" s="18"/>
      <c r="I8709" s="18"/>
      <c r="J8709" s="18"/>
      <c r="K8709" s="18"/>
      <c r="L8709" s="18"/>
      <c r="M8709" s="18"/>
      <c r="N8709" s="18"/>
      <c r="O8709" s="14" t="str">
        <f>HYPERLINK("https://otsuka-europe-crm.veevavault.com/ui/#object/email_activity__v/V8C00000003V174", "EN-002095135")</f>
        <v>EN-002095135</v>
      </c>
    </row>
    <row r="8710" spans="1:15" ht="16" x14ac:dyDescent="0.2">
      <c r="A8710" s="18"/>
      <c r="B8710" s="18"/>
      <c r="C8710" s="18"/>
      <c r="D8710" s="18"/>
      <c r="E8710" s="18"/>
      <c r="F8710" s="18"/>
      <c r="G8710" s="18"/>
      <c r="H8710" s="18"/>
      <c r="I8710" s="18"/>
      <c r="J8710" s="18"/>
      <c r="K8710" s="18"/>
      <c r="L8710" s="18"/>
      <c r="M8710" s="18"/>
      <c r="N8710" s="18"/>
      <c r="O8710" s="14" t="str">
        <f>HYPERLINK("https://otsuka-europe-crm.veevavault.com/ui/#object/email_activity__v/V8C00000003V199", "EN-002095168")</f>
        <v>EN-002095168</v>
      </c>
    </row>
    <row r="8711" spans="1:15" ht="16" x14ac:dyDescent="0.2">
      <c r="A8711" s="19"/>
      <c r="B8711" s="19"/>
      <c r="C8711" s="19"/>
      <c r="D8711" s="19"/>
      <c r="E8711" s="19"/>
      <c r="F8711" s="19"/>
      <c r="G8711" s="19"/>
      <c r="H8711" s="19"/>
      <c r="I8711" s="19"/>
      <c r="J8711" s="19"/>
      <c r="K8711" s="19"/>
      <c r="L8711" s="19"/>
      <c r="M8711" s="19"/>
      <c r="N8711" s="19"/>
      <c r="O8711" s="14" t="str">
        <f>HYPERLINK("https://otsuka-europe-crm.veevavault.com/ui/#object/email_activity__v/V8C00000003V200", "EN-002095169")</f>
        <v>EN-002095169</v>
      </c>
    </row>
    <row r="8712" spans="1:15" ht="16" x14ac:dyDescent="0.2">
      <c r="A8712" s="17" t="str">
        <f>HYPERLINK("https://otsuka-europe-crm.veevavault.com/ui/#object/account__v/V4TZ06G6O71T8ZD", "MARIO ALONSO SUAREZ")</f>
        <v>MARIO ALONSO SUAREZ</v>
      </c>
      <c r="B8712" s="17" t="str">
        <f>HYPERLINK("https://otsuka-europe-crm.veevavault.com/ui/#object/vcountry__v/VENZ000004SONF5", "ES")</f>
        <v>ES</v>
      </c>
      <c r="C8712" s="20" t="s">
        <v>41</v>
      </c>
      <c r="D8712" s="21" t="str">
        <f>HYPERLINK("https://otsuka-europe-crm.veevavault.com/ui/#object/approved_document__v/V5O00000001H022", "LUP - VAE invitación simposio SEN-SER - Nefro")</f>
        <v>LUP - VAE invitación simposio SEN-SER - Nefro</v>
      </c>
      <c r="E8712" s="22" t="str">
        <f>HYPERLINK("https://otsuka-europe-crm.veevavault.com/ui/#object/sent_email__v/VBL00000002T018", "SE-001435537")</f>
        <v>SE-001435537</v>
      </c>
      <c r="F8712" s="23">
        <v>46185.5549537037</v>
      </c>
      <c r="G8712" s="24">
        <v>1</v>
      </c>
      <c r="H8712" s="24">
        <v>1</v>
      </c>
      <c r="I8712" s="24">
        <v>1</v>
      </c>
      <c r="J8712" s="23">
        <v>46185.5549537037</v>
      </c>
      <c r="K8712" s="24">
        <v>1</v>
      </c>
      <c r="L8712" s="22" t="str">
        <f>HYPERLINK("https://otsuka-europe-crm.veevavault.com/ui/#object/approved_document__v/V5O00000001H022", "LUP - VAE invitación simposio SEN-SER - Nefro")</f>
        <v>LUP - VAE invitación simposio SEN-SER - Nefro</v>
      </c>
      <c r="M8712" s="22" t="str">
        <f>HYPERLINK("mailto:sruizlemos@crm.otsuka-europe.com", "sruizlemos@crm.otsuka-europe.com")</f>
        <v>sruizlemos@crm.otsuka-europe.com</v>
      </c>
      <c r="N8712" s="23">
        <v>46185.313761574071</v>
      </c>
      <c r="O8712" s="14" t="str">
        <f>HYPERLINK("https://otsuka-europe-crm.veevavault.com/ui/#object/email_activity__v/V8C00000003U320", "EN-002095478")</f>
        <v>EN-002095478</v>
      </c>
    </row>
    <row r="8713" spans="1:15" ht="16" x14ac:dyDescent="0.2">
      <c r="A8713" s="18"/>
      <c r="B8713" s="18"/>
      <c r="C8713" s="18"/>
      <c r="D8713" s="18"/>
      <c r="E8713" s="18"/>
      <c r="F8713" s="18"/>
      <c r="G8713" s="18"/>
      <c r="H8713" s="18"/>
      <c r="I8713" s="18"/>
      <c r="J8713" s="18"/>
      <c r="K8713" s="18"/>
      <c r="L8713" s="18"/>
      <c r="M8713" s="18"/>
      <c r="N8713" s="18"/>
      <c r="O8713" s="14" t="str">
        <f>HYPERLINK("https://otsuka-europe-crm.veevavault.com/ui/#object/email_activity__v/V8C00000003U321", "EN-002095479")</f>
        <v>EN-002095479</v>
      </c>
    </row>
    <row r="8714" spans="1:15" ht="16" x14ac:dyDescent="0.2">
      <c r="A8714" s="18"/>
      <c r="B8714" s="18"/>
      <c r="C8714" s="18"/>
      <c r="D8714" s="18"/>
      <c r="E8714" s="18"/>
      <c r="F8714" s="18"/>
      <c r="G8714" s="18"/>
      <c r="H8714" s="18"/>
      <c r="I8714" s="18"/>
      <c r="J8714" s="18"/>
      <c r="K8714" s="18"/>
      <c r="L8714" s="18"/>
      <c r="M8714" s="18"/>
      <c r="N8714" s="18"/>
      <c r="O8714" s="14" t="str">
        <f>HYPERLINK("https://otsuka-europe-crm.veevavault.com/ui/#object/email_activity__v/V8C00000003V072", "EN-002094968")</f>
        <v>EN-002094968</v>
      </c>
    </row>
    <row r="8715" spans="1:15" ht="16" x14ac:dyDescent="0.2">
      <c r="A8715" s="18"/>
      <c r="B8715" s="18"/>
      <c r="C8715" s="18"/>
      <c r="D8715" s="18"/>
      <c r="E8715" s="18"/>
      <c r="F8715" s="18"/>
      <c r="G8715" s="18"/>
      <c r="H8715" s="18"/>
      <c r="I8715" s="18"/>
      <c r="J8715" s="18"/>
      <c r="K8715" s="18"/>
      <c r="L8715" s="18"/>
      <c r="M8715" s="18"/>
      <c r="N8715" s="18"/>
      <c r="O8715" s="14" t="str">
        <f>HYPERLINK("https://otsuka-europe-crm.veevavault.com/ui/#object/email_activity__v/V8C00000003V332", "EN-002095460")</f>
        <v>EN-002095460</v>
      </c>
    </row>
    <row r="8716" spans="1:15" ht="16" x14ac:dyDescent="0.2">
      <c r="A8716" s="19"/>
      <c r="B8716" s="19"/>
      <c r="C8716" s="19"/>
      <c r="D8716" s="19"/>
      <c r="E8716" s="19"/>
      <c r="F8716" s="19"/>
      <c r="G8716" s="19"/>
      <c r="H8716" s="19"/>
      <c r="I8716" s="19"/>
      <c r="J8716" s="19"/>
      <c r="K8716" s="19"/>
      <c r="L8716" s="19"/>
      <c r="M8716" s="19"/>
      <c r="N8716" s="19"/>
      <c r="O8716" s="14" t="str">
        <f>HYPERLINK("https://otsuka-europe-crm.veevavault.com/ui/#object/email_activity__v/V8C00000003V333", "EN-002095459")</f>
        <v>EN-002095459</v>
      </c>
    </row>
    <row r="8717" spans="1:15" ht="16" x14ac:dyDescent="0.2">
      <c r="A8717" s="17" t="str">
        <f>HYPERLINK("https://otsuka-europe-crm.veevavault.com/ui/#object/account__v/V4TZ06G6O71TB99", "RICARDO JAVIER MOUZO MIRCO")</f>
        <v>RICARDO JAVIER MOUZO MIRCO</v>
      </c>
      <c r="B8717" s="17" t="str">
        <f>HYPERLINK("https://otsuka-europe-crm.veevavault.com/ui/#object/vcountry__v/VENZ000004SONF5", "ES")</f>
        <v>ES</v>
      </c>
      <c r="C8717" s="20" t="s">
        <v>41</v>
      </c>
      <c r="D8717" s="21" t="str">
        <f>HYPERLINK("https://otsuka-europe-crm.veevavault.com/ui/#object/approved_document__v/V5O00000001H022", "LUP - VAE invitación simposio SEN-SER - Nefro")</f>
        <v>LUP - VAE invitación simposio SEN-SER - Nefro</v>
      </c>
      <c r="E8717" s="22" t="str">
        <f>HYPERLINK("https://otsuka-europe-crm.veevavault.com/ui/#object/sent_email__v/VBL00000002T019", "SE-001435538")</f>
        <v>SE-001435538</v>
      </c>
      <c r="F8717" s="25"/>
      <c r="G8717" s="24">
        <v>0</v>
      </c>
      <c r="H8717" s="24">
        <v>0</v>
      </c>
      <c r="I8717" s="24">
        <v>0</v>
      </c>
      <c r="J8717" s="25"/>
      <c r="K8717" s="24">
        <v>0</v>
      </c>
      <c r="L8717" s="22" t="str">
        <f>HYPERLINK("https://otsuka-europe-crm.veevavault.com/ui/#object/approved_document__v/V5O00000001H022", "LUP - VAE invitación simposio SEN-SER - Nefro")</f>
        <v>LUP - VAE invitación simposio SEN-SER - Nefro</v>
      </c>
      <c r="M8717" s="22" t="str">
        <f>HYPERLINK("mailto:sruizlemos@crm.otsuka-europe.com", "sruizlemos@crm.otsuka-europe.com")</f>
        <v>sruizlemos@crm.otsuka-europe.com</v>
      </c>
      <c r="N8717" s="23">
        <v>46185.313738425924</v>
      </c>
      <c r="O8717" s="14" t="str">
        <f>HYPERLINK("https://otsuka-europe-crm.veevavault.com/ui/#object/email_activity__v/V8C00000003U053", "EN-002094915")</f>
        <v>EN-002094915</v>
      </c>
    </row>
    <row r="8718" spans="1:15" ht="16" x14ac:dyDescent="0.2">
      <c r="A8718" s="19"/>
      <c r="B8718" s="19"/>
      <c r="C8718" s="19"/>
      <c r="D8718" s="19"/>
      <c r="E8718" s="19"/>
      <c r="F8718" s="19"/>
      <c r="G8718" s="19"/>
      <c r="H8718" s="19"/>
      <c r="I8718" s="19"/>
      <c r="J8718" s="19"/>
      <c r="K8718" s="19"/>
      <c r="L8718" s="19"/>
      <c r="M8718" s="19"/>
      <c r="N8718" s="19"/>
      <c r="O8718" s="14" t="str">
        <f>HYPERLINK("https://otsuka-europe-crm.veevavault.com/ui/#object/email_activity__v/V8C00000003W083", "EN-002096812")</f>
        <v>EN-002096812</v>
      </c>
    </row>
    <row r="8719" spans="1:15" ht="32" x14ac:dyDescent="0.2">
      <c r="A8719" s="7" t="str">
        <f>HYPERLINK("https://otsuka-europe-crm.veevavault.com/ui/#object/account__v/V4TZ06G6O71T9CE", "PABLO BOUZA PIÑEIRO")</f>
        <v>PABLO BOUZA PIÑEIRO</v>
      </c>
      <c r="B8719" s="7" t="str">
        <f>HYPERLINK("https://otsuka-europe-crm.veevavault.com/ui/#object/vcountry__v/VENZ000004SONF5", "ES")</f>
        <v>ES</v>
      </c>
      <c r="C8719" s="8" t="s">
        <v>41</v>
      </c>
      <c r="D8719" s="9" t="str">
        <f>HYPERLINK("https://otsuka-europe-crm.veevavault.com/ui/#object/approved_document__v/V5O00000001H022", "LUP - VAE invitación simposio SEN-SER - Nefro")</f>
        <v>LUP - VAE invitación simposio SEN-SER - Nefro</v>
      </c>
      <c r="E8719" s="10" t="str">
        <f>HYPERLINK("https://otsuka-europe-crm.veevavault.com/ui/#object/sent_email__v/VBL00000002T020", "SE-001435539")</f>
        <v>SE-001435539</v>
      </c>
      <c r="F8719" s="11"/>
      <c r="G8719" s="12">
        <v>0</v>
      </c>
      <c r="H8719" s="12">
        <v>0</v>
      </c>
      <c r="I8719" s="12">
        <v>0</v>
      </c>
      <c r="J8719" s="11"/>
      <c r="K8719" s="12">
        <v>0</v>
      </c>
      <c r="L8719" s="10" t="str">
        <f>HYPERLINK("https://otsuka-europe-crm.veevavault.com/ui/#object/approved_document__v/V5O00000001H022", "LUP - VAE invitación simposio SEN-SER - Nefro")</f>
        <v>LUP - VAE invitación simposio SEN-SER - Nefro</v>
      </c>
      <c r="M8719" s="10" t="str">
        <f>HYPERLINK("mailto:sruizlemos@crm.otsuka-europe.com", "sruizlemos@crm.otsuka-europe.com")</f>
        <v>sruizlemos@crm.otsuka-europe.com</v>
      </c>
      <c r="N8719" s="13">
        <v>46185.313738425924</v>
      </c>
      <c r="O8719" s="14" t="str">
        <f>HYPERLINK("https://otsuka-europe-crm.veevavault.com/ui/#object/email_activity__v/V8C00000003V120", "EN-002095032")</f>
        <v>EN-002095032</v>
      </c>
    </row>
    <row r="8720" spans="1:15" ht="16" x14ac:dyDescent="0.2">
      <c r="A8720" s="17" t="str">
        <f>HYPERLINK("https://otsuka-europe-crm.veevavault.com/ui/#object/account__v/V4TZ06G6O71T9HH", "MERCEDES CAO VILARIÑO")</f>
        <v>MERCEDES CAO VILARIÑO</v>
      </c>
      <c r="B8720" s="17" t="str">
        <f>HYPERLINK("https://otsuka-europe-crm.veevavault.com/ui/#object/vcountry__v/VENZ000004SONF5", "ES")</f>
        <v>ES</v>
      </c>
      <c r="C8720" s="20" t="s">
        <v>41</v>
      </c>
      <c r="D8720" s="21" t="str">
        <f>HYPERLINK("https://otsuka-europe-crm.veevavault.com/ui/#object/approved_document__v/V5O00000001H022", "LUP - VAE invitación simposio SEN-SER - Nefro")</f>
        <v>LUP - VAE invitación simposio SEN-SER - Nefro</v>
      </c>
      <c r="E8720" s="22" t="str">
        <f>HYPERLINK("https://otsuka-europe-crm.veevavault.com/ui/#object/sent_email__v/VBL00000002T021", "SE-001435540")</f>
        <v>SE-001435540</v>
      </c>
      <c r="F8720" s="23">
        <v>46188.744560185187</v>
      </c>
      <c r="G8720" s="24">
        <v>1</v>
      </c>
      <c r="H8720" s="24">
        <v>1</v>
      </c>
      <c r="I8720" s="24">
        <v>1</v>
      </c>
      <c r="J8720" s="23">
        <v>46188.744560185187</v>
      </c>
      <c r="K8720" s="24">
        <v>1</v>
      </c>
      <c r="L8720" s="22" t="str">
        <f>HYPERLINK("https://otsuka-europe-crm.veevavault.com/ui/#object/approved_document__v/V5O00000001H022", "LUP - VAE invitación simposio SEN-SER - Nefro")</f>
        <v>LUP - VAE invitación simposio SEN-SER - Nefro</v>
      </c>
      <c r="M8720" s="22" t="str">
        <f>HYPERLINK("mailto:sruizlemos@crm.otsuka-europe.com", "sruizlemos@crm.otsuka-europe.com")</f>
        <v>sruizlemos@crm.otsuka-europe.com</v>
      </c>
      <c r="N8720" s="23">
        <v>46185.313773148147</v>
      </c>
      <c r="O8720" s="14" t="str">
        <f>HYPERLINK("https://otsuka-europe-crm.veevavault.com/ui/#object/email_activity__v/V8C00000003U804", "EN-002096528")</f>
        <v>EN-002096528</v>
      </c>
    </row>
    <row r="8721" spans="1:15" ht="16" x14ac:dyDescent="0.2">
      <c r="A8721" s="18"/>
      <c r="B8721" s="18"/>
      <c r="C8721" s="18"/>
      <c r="D8721" s="18"/>
      <c r="E8721" s="18"/>
      <c r="F8721" s="18"/>
      <c r="G8721" s="18"/>
      <c r="H8721" s="18"/>
      <c r="I8721" s="18"/>
      <c r="J8721" s="18"/>
      <c r="K8721" s="18"/>
      <c r="L8721" s="18"/>
      <c r="M8721" s="18"/>
      <c r="N8721" s="18"/>
      <c r="O8721" s="14" t="str">
        <f>HYPERLINK("https://otsuka-europe-crm.veevavault.com/ui/#object/email_activity__v/V8C00000003U805", "EN-002096527")</f>
        <v>EN-002096527</v>
      </c>
    </row>
    <row r="8722" spans="1:15" ht="16" x14ac:dyDescent="0.2">
      <c r="A8722" s="18"/>
      <c r="B8722" s="18"/>
      <c r="C8722" s="18"/>
      <c r="D8722" s="18"/>
      <c r="E8722" s="18"/>
      <c r="F8722" s="18"/>
      <c r="G8722" s="18"/>
      <c r="H8722" s="18"/>
      <c r="I8722" s="18"/>
      <c r="J8722" s="18"/>
      <c r="K8722" s="18"/>
      <c r="L8722" s="18"/>
      <c r="M8722" s="18"/>
      <c r="N8722" s="18"/>
      <c r="O8722" s="14" t="str">
        <f>HYPERLINK("https://otsuka-europe-crm.veevavault.com/ui/#object/email_activity__v/V8C00000003U808", "EN-002096533")</f>
        <v>EN-002096533</v>
      </c>
    </row>
    <row r="8723" spans="1:15" ht="16" x14ac:dyDescent="0.2">
      <c r="A8723" s="19"/>
      <c r="B8723" s="19"/>
      <c r="C8723" s="19"/>
      <c r="D8723" s="19"/>
      <c r="E8723" s="19"/>
      <c r="F8723" s="19"/>
      <c r="G8723" s="19"/>
      <c r="H8723" s="19"/>
      <c r="I8723" s="19"/>
      <c r="J8723" s="19"/>
      <c r="K8723" s="19"/>
      <c r="L8723" s="19"/>
      <c r="M8723" s="19"/>
      <c r="N8723" s="19"/>
      <c r="O8723" s="14" t="str">
        <f>HYPERLINK("https://otsuka-europe-crm.veevavault.com/ui/#object/email_activity__v/V8C00000003V101", "EN-002095003")</f>
        <v>EN-002095003</v>
      </c>
    </row>
    <row r="8724" spans="1:15" ht="32" x14ac:dyDescent="0.2">
      <c r="A8724" s="7" t="str">
        <f>HYPERLINK("https://otsuka-europe-crm.veevavault.com/ui/#object/account__v/V4TZ04ASGBJGWJZ", "MARGARITA MONTSERRAT POUSA ORTEGA")</f>
        <v>MARGARITA MONTSERRAT POUSA ORTEGA</v>
      </c>
      <c r="B8724" s="7" t="str">
        <f>HYPERLINK("https://otsuka-europe-crm.veevavault.com/ui/#object/vcountry__v/VENZ000004SONF5", "ES")</f>
        <v>ES</v>
      </c>
      <c r="C8724" s="8" t="s">
        <v>41</v>
      </c>
      <c r="D8724" s="9" t="str">
        <f>HYPERLINK("https://otsuka-europe-crm.veevavault.com/ui/#object/approved_document__v/V5O00000001H022", "LUP - VAE invitación simposio SEN-SER - Nefro")</f>
        <v>LUP - VAE invitación simposio SEN-SER - Nefro</v>
      </c>
      <c r="E8724" s="10" t="str">
        <f>HYPERLINK("https://otsuka-europe-crm.veevavault.com/ui/#object/sent_email__v/VBL00000002T022", "SE-001435541")</f>
        <v>SE-001435541</v>
      </c>
      <c r="F8724" s="11"/>
      <c r="G8724" s="12">
        <v>0</v>
      </c>
      <c r="H8724" s="12">
        <v>0</v>
      </c>
      <c r="I8724" s="12">
        <v>0</v>
      </c>
      <c r="J8724" s="11"/>
      <c r="K8724" s="12">
        <v>0</v>
      </c>
      <c r="L8724" s="10" t="str">
        <f>HYPERLINK("https://otsuka-europe-crm.veevavault.com/ui/#object/approved_document__v/V5O00000001H022", "LUP - VAE invitación simposio SEN-SER - Nefro")</f>
        <v>LUP - VAE invitación simposio SEN-SER - Nefro</v>
      </c>
      <c r="M8724" s="10" t="str">
        <f>HYPERLINK("mailto:sruizlemos@crm.otsuka-europe.com", "sruizlemos@crm.otsuka-europe.com")</f>
        <v>sruizlemos@crm.otsuka-europe.com</v>
      </c>
      <c r="N8724" s="13">
        <v>46185.313738425924</v>
      </c>
      <c r="O8724" s="14" t="str">
        <f>HYPERLINK("https://otsuka-europe-crm.veevavault.com/ui/#object/email_activity__v/V8C00000003V114", "EN-002095026")</f>
        <v>EN-002095026</v>
      </c>
    </row>
    <row r="8725" spans="1:15" ht="16" x14ac:dyDescent="0.2">
      <c r="A8725" s="17" t="str">
        <f>HYPERLINK("https://otsuka-europe-crm.veevavault.com/ui/#object/account__v/V4TZ025E82HC1TM", "CLAUDIA IVETTE AZAÑA GARCIA")</f>
        <v>CLAUDIA IVETTE AZAÑA GARCIA</v>
      </c>
      <c r="B8725" s="17" t="str">
        <f>HYPERLINK("https://otsuka-europe-crm.veevavault.com/ui/#object/vcountry__v/VENZ000004SONF5", "ES")</f>
        <v>ES</v>
      </c>
      <c r="C8725" s="20" t="s">
        <v>41</v>
      </c>
      <c r="D8725" s="21" t="str">
        <f>HYPERLINK("https://otsuka-europe-crm.veevavault.com/ui/#object/approved_document__v/V5O00000001H022", "LUP - VAE invitación simposio SEN-SER - Nefro")</f>
        <v>LUP - VAE invitación simposio SEN-SER - Nefro</v>
      </c>
      <c r="E8725" s="22" t="str">
        <f>HYPERLINK("https://otsuka-europe-crm.veevavault.com/ui/#object/sent_email__v/VBL00000002T023", "SE-001435542")</f>
        <v>SE-001435542</v>
      </c>
      <c r="F8725" s="23">
        <v>46188.822905092595</v>
      </c>
      <c r="G8725" s="24">
        <v>1</v>
      </c>
      <c r="H8725" s="24">
        <v>4</v>
      </c>
      <c r="I8725" s="24">
        <v>0</v>
      </c>
      <c r="J8725" s="25"/>
      <c r="K8725" s="24">
        <v>0</v>
      </c>
      <c r="L8725" s="22" t="str">
        <f>HYPERLINK("https://otsuka-europe-crm.veevavault.com/ui/#object/approved_document__v/V5O00000001H022", "LUP - VAE invitación simposio SEN-SER - Nefro")</f>
        <v>LUP - VAE invitación simposio SEN-SER - Nefro</v>
      </c>
      <c r="M8725" s="22" t="str">
        <f>HYPERLINK("mailto:sruizlemos@crm.otsuka-europe.com", "sruizlemos@crm.otsuka-europe.com")</f>
        <v>sruizlemos@crm.otsuka-europe.com</v>
      </c>
      <c r="N8725" s="23">
        <v>46185.313738425924</v>
      </c>
      <c r="O8725" s="14" t="str">
        <f>HYPERLINK("https://otsuka-europe-crm.veevavault.com/ui/#object/email_activity__v/V8C00000003U336", "EN-002095513")</f>
        <v>EN-002095513</v>
      </c>
    </row>
    <row r="8726" spans="1:15" ht="16" x14ac:dyDescent="0.2">
      <c r="A8726" s="18"/>
      <c r="B8726" s="18"/>
      <c r="C8726" s="18"/>
      <c r="D8726" s="18"/>
      <c r="E8726" s="18"/>
      <c r="F8726" s="18"/>
      <c r="G8726" s="18"/>
      <c r="H8726" s="18"/>
      <c r="I8726" s="18"/>
      <c r="J8726" s="18"/>
      <c r="K8726" s="18"/>
      <c r="L8726" s="18"/>
      <c r="M8726" s="18"/>
      <c r="N8726" s="18"/>
      <c r="O8726" s="14" t="str">
        <f>HYPERLINK("https://otsuka-europe-crm.veevavault.com/ui/#object/email_activity__v/V8C00000003U354", "EN-002095557")</f>
        <v>EN-002095557</v>
      </c>
    </row>
    <row r="8727" spans="1:15" ht="16" x14ac:dyDescent="0.2">
      <c r="A8727" s="18"/>
      <c r="B8727" s="18"/>
      <c r="C8727" s="18"/>
      <c r="D8727" s="18"/>
      <c r="E8727" s="18"/>
      <c r="F8727" s="18"/>
      <c r="G8727" s="18"/>
      <c r="H8727" s="18"/>
      <c r="I8727" s="18"/>
      <c r="J8727" s="18"/>
      <c r="K8727" s="18"/>
      <c r="L8727" s="18"/>
      <c r="M8727" s="18"/>
      <c r="N8727" s="18"/>
      <c r="O8727" s="14" t="str">
        <f>HYPERLINK("https://otsuka-europe-crm.veevavault.com/ui/#object/email_activity__v/V8C00000003U890", "EN-002096764")</f>
        <v>EN-002096764</v>
      </c>
    </row>
    <row r="8728" spans="1:15" ht="16" x14ac:dyDescent="0.2">
      <c r="A8728" s="18"/>
      <c r="B8728" s="18"/>
      <c r="C8728" s="18"/>
      <c r="D8728" s="18"/>
      <c r="E8728" s="18"/>
      <c r="F8728" s="18"/>
      <c r="G8728" s="18"/>
      <c r="H8728" s="18"/>
      <c r="I8728" s="18"/>
      <c r="J8728" s="18"/>
      <c r="K8728" s="18"/>
      <c r="L8728" s="18"/>
      <c r="M8728" s="18"/>
      <c r="N8728" s="18"/>
      <c r="O8728" s="14" t="str">
        <f>HYPERLINK("https://otsuka-europe-crm.veevavault.com/ui/#object/email_activity__v/V8C00000003V112", "EN-002095024")</f>
        <v>EN-002095024</v>
      </c>
    </row>
    <row r="8729" spans="1:15" ht="16" x14ac:dyDescent="0.2">
      <c r="A8729" s="18"/>
      <c r="B8729" s="18"/>
      <c r="C8729" s="18"/>
      <c r="D8729" s="18"/>
      <c r="E8729" s="18"/>
      <c r="F8729" s="18"/>
      <c r="G8729" s="18"/>
      <c r="H8729" s="18"/>
      <c r="I8729" s="18"/>
      <c r="J8729" s="18"/>
      <c r="K8729" s="18"/>
      <c r="L8729" s="18"/>
      <c r="M8729" s="18"/>
      <c r="N8729" s="18"/>
      <c r="O8729" s="14" t="str">
        <f>HYPERLINK("https://otsuka-europe-crm.veevavault.com/ui/#object/email_activity__v/V8C00000003V390", "EN-002095562")</f>
        <v>EN-002095562</v>
      </c>
    </row>
    <row r="8730" spans="1:15" ht="16" x14ac:dyDescent="0.2">
      <c r="A8730" s="18"/>
      <c r="B8730" s="18"/>
      <c r="C8730" s="18"/>
      <c r="D8730" s="18"/>
      <c r="E8730" s="18"/>
      <c r="F8730" s="18"/>
      <c r="G8730" s="18"/>
      <c r="H8730" s="18"/>
      <c r="I8730" s="18"/>
      <c r="J8730" s="18"/>
      <c r="K8730" s="18"/>
      <c r="L8730" s="18"/>
      <c r="M8730" s="18"/>
      <c r="N8730" s="18"/>
      <c r="O8730" s="14" t="str">
        <f>HYPERLINK("https://otsuka-europe-crm.veevavault.com/ui/#object/email_activity__v/V8C00000003V392", "EN-002095564")</f>
        <v>EN-002095564</v>
      </c>
    </row>
    <row r="8731" spans="1:15" ht="16" x14ac:dyDescent="0.2">
      <c r="A8731" s="19"/>
      <c r="B8731" s="19"/>
      <c r="C8731" s="19"/>
      <c r="D8731" s="19"/>
      <c r="E8731" s="19"/>
      <c r="F8731" s="19"/>
      <c r="G8731" s="19"/>
      <c r="H8731" s="19"/>
      <c r="I8731" s="19"/>
      <c r="J8731" s="19"/>
      <c r="K8731" s="19"/>
      <c r="L8731" s="19"/>
      <c r="M8731" s="19"/>
      <c r="N8731" s="19"/>
      <c r="O8731" s="14" t="str">
        <f>HYPERLINK("https://otsuka-europe-crm.veevavault.com/ui/#object/email_activity__v/V8C00000003V491", "EN-002095768")</f>
        <v>EN-002095768</v>
      </c>
    </row>
    <row r="8732" spans="1:15" ht="32" x14ac:dyDescent="0.2">
      <c r="A8732" s="7" t="str">
        <f>HYPERLINK("https://otsuka-europe-crm.veevavault.com/ui/#object/account__v/V4TZ06G6O71T8NA", "SARA DOMENICA ERRAEZ GUERRERO")</f>
        <v>SARA DOMENICA ERRAEZ GUERRERO</v>
      </c>
      <c r="B8732" s="7" t="str">
        <f>HYPERLINK("https://otsuka-europe-crm.veevavault.com/ui/#object/vcountry__v/VENZ000004SONF5", "ES")</f>
        <v>ES</v>
      </c>
      <c r="C8732" s="8" t="s">
        <v>41</v>
      </c>
      <c r="D8732" s="9" t="str">
        <f>HYPERLINK("https://otsuka-europe-crm.veevavault.com/ui/#object/approved_document__v/V5O00000001H022", "LUP - VAE invitación simposio SEN-SER - Nefro")</f>
        <v>LUP - VAE invitación simposio SEN-SER - Nefro</v>
      </c>
      <c r="E8732" s="10" t="str">
        <f>HYPERLINK("https://otsuka-europe-crm.veevavault.com/ui/#object/sent_email__v/VBL00000002T024", "SE-001435543")</f>
        <v>SE-001435543</v>
      </c>
      <c r="F8732" s="11"/>
      <c r="G8732" s="12">
        <v>0</v>
      </c>
      <c r="H8732" s="12">
        <v>0</v>
      </c>
      <c r="I8732" s="12">
        <v>0</v>
      </c>
      <c r="J8732" s="11"/>
      <c r="K8732" s="12">
        <v>0</v>
      </c>
      <c r="L8732" s="10" t="str">
        <f>HYPERLINK("https://otsuka-europe-crm.veevavault.com/ui/#object/approved_document__v/V5O00000001H022", "LUP - VAE invitación simposio SEN-SER - Nefro")</f>
        <v>LUP - VAE invitación simposio SEN-SER - Nefro</v>
      </c>
      <c r="M8732" s="10" t="str">
        <f>HYPERLINK("mailto:sruizlemos@crm.otsuka-europe.com", "sruizlemos@crm.otsuka-europe.com")</f>
        <v>sruizlemos@crm.otsuka-europe.com</v>
      </c>
      <c r="N8732" s="13">
        <v>46185.313738425924</v>
      </c>
      <c r="O8732" s="14" t="str">
        <f>HYPERLINK("https://otsuka-europe-crm.veevavault.com/ui/#object/email_activity__v/V8C00000003V110", "EN-002095022")</f>
        <v>EN-002095022</v>
      </c>
    </row>
    <row r="8733" spans="1:15" ht="16" x14ac:dyDescent="0.2">
      <c r="A8733" s="17" t="str">
        <f>HYPERLINK("https://otsuka-europe-crm.veevavault.com/ui/#object/account__v/V4TZ06G6OA5VBSJ", "MARCO ANTONIO ROMERO RUIZ")</f>
        <v>MARCO ANTONIO ROMERO RUIZ</v>
      </c>
      <c r="B8733" s="17" t="str">
        <f>HYPERLINK("https://otsuka-europe-crm.veevavault.com/ui/#object/vcountry__v/VENZ000004SONF5", "ES")</f>
        <v>ES</v>
      </c>
      <c r="C8733" s="20" t="s">
        <v>41</v>
      </c>
      <c r="D8733" s="21" t="str">
        <f>HYPERLINK("https://otsuka-europe-crm.veevavault.com/ui/#object/approved_document__v/V5O00000001H022", "LUP - VAE invitación simposio SEN-SER - Nefro")</f>
        <v>LUP - VAE invitación simposio SEN-SER - Nefro</v>
      </c>
      <c r="E8733" s="22" t="str">
        <f>HYPERLINK("https://otsuka-europe-crm.veevavault.com/ui/#object/sent_email__v/VBL00000002T025", "SE-001435544")</f>
        <v>SE-001435544</v>
      </c>
      <c r="F8733" s="23">
        <v>46186.741527777776</v>
      </c>
      <c r="G8733" s="24">
        <v>1</v>
      </c>
      <c r="H8733" s="24">
        <v>3</v>
      </c>
      <c r="I8733" s="24">
        <v>1</v>
      </c>
      <c r="J8733" s="23">
        <v>46186.727500000001</v>
      </c>
      <c r="K8733" s="24">
        <v>1</v>
      </c>
      <c r="L8733" s="22" t="str">
        <f>HYPERLINK("https://otsuka-europe-crm.veevavault.com/ui/#object/approved_document__v/V5O00000001H022", "LUP - VAE invitación simposio SEN-SER - Nefro")</f>
        <v>LUP - VAE invitación simposio SEN-SER - Nefro</v>
      </c>
      <c r="M8733" s="22" t="str">
        <f>HYPERLINK("mailto:sruizlemos@crm.otsuka-europe.com", "sruizlemos@crm.otsuka-europe.com")</f>
        <v>sruizlemos@crm.otsuka-europe.com</v>
      </c>
      <c r="N8733" s="23">
        <v>46185.313715277778</v>
      </c>
      <c r="O8733" s="14" t="str">
        <f>HYPERLINK("https://otsuka-europe-crm.veevavault.com/ui/#object/email_activity__v/V8C00000003U398", "EN-002095656")</f>
        <v>EN-002095656</v>
      </c>
    </row>
    <row r="8734" spans="1:15" ht="16" x14ac:dyDescent="0.2">
      <c r="A8734" s="18"/>
      <c r="B8734" s="18"/>
      <c r="C8734" s="18"/>
      <c r="D8734" s="18"/>
      <c r="E8734" s="18"/>
      <c r="F8734" s="18"/>
      <c r="G8734" s="18"/>
      <c r="H8734" s="18"/>
      <c r="I8734" s="18"/>
      <c r="J8734" s="18"/>
      <c r="K8734" s="18"/>
      <c r="L8734" s="18"/>
      <c r="M8734" s="18"/>
      <c r="N8734" s="18"/>
      <c r="O8734" s="14" t="str">
        <f>HYPERLINK("https://otsuka-europe-crm.veevavault.com/ui/#object/email_activity__v/V8C00000003U399", "EN-002095657")</f>
        <v>EN-002095657</v>
      </c>
    </row>
    <row r="8735" spans="1:15" ht="16" x14ac:dyDescent="0.2">
      <c r="A8735" s="18"/>
      <c r="B8735" s="18"/>
      <c r="C8735" s="18"/>
      <c r="D8735" s="18"/>
      <c r="E8735" s="18"/>
      <c r="F8735" s="18"/>
      <c r="G8735" s="18"/>
      <c r="H8735" s="18"/>
      <c r="I8735" s="18"/>
      <c r="J8735" s="18"/>
      <c r="K8735" s="18"/>
      <c r="L8735" s="18"/>
      <c r="M8735" s="18"/>
      <c r="N8735" s="18"/>
      <c r="O8735" s="14" t="str">
        <f>HYPERLINK("https://otsuka-europe-crm.veevavault.com/ui/#object/email_activity__v/V8C00000003U400", "EN-002095658")</f>
        <v>EN-002095658</v>
      </c>
    </row>
    <row r="8736" spans="1:15" ht="16" x14ac:dyDescent="0.2">
      <c r="A8736" s="18"/>
      <c r="B8736" s="18"/>
      <c r="C8736" s="18"/>
      <c r="D8736" s="18"/>
      <c r="E8736" s="18"/>
      <c r="F8736" s="18"/>
      <c r="G8736" s="18"/>
      <c r="H8736" s="18"/>
      <c r="I8736" s="18"/>
      <c r="J8736" s="18"/>
      <c r="K8736" s="18"/>
      <c r="L8736" s="18"/>
      <c r="M8736" s="18"/>
      <c r="N8736" s="18"/>
      <c r="O8736" s="14" t="str">
        <f>HYPERLINK("https://otsuka-europe-crm.veevavault.com/ui/#object/email_activity__v/V8C00000003U403", "EN-002095664")</f>
        <v>EN-002095664</v>
      </c>
    </row>
    <row r="8737" spans="1:15" ht="16" x14ac:dyDescent="0.2">
      <c r="A8737" s="18"/>
      <c r="B8737" s="18"/>
      <c r="C8737" s="18"/>
      <c r="D8737" s="18"/>
      <c r="E8737" s="18"/>
      <c r="F8737" s="18"/>
      <c r="G8737" s="18"/>
      <c r="H8737" s="18"/>
      <c r="I8737" s="18"/>
      <c r="J8737" s="18"/>
      <c r="K8737" s="18"/>
      <c r="L8737" s="18"/>
      <c r="M8737" s="18"/>
      <c r="N8737" s="18"/>
      <c r="O8737" s="14" t="str">
        <f>HYPERLINK("https://otsuka-europe-crm.veevavault.com/ui/#object/email_activity__v/V8C00000003V054", "EN-002094940")</f>
        <v>EN-002094940</v>
      </c>
    </row>
    <row r="8738" spans="1:15" ht="16" x14ac:dyDescent="0.2">
      <c r="A8738" s="19"/>
      <c r="B8738" s="19"/>
      <c r="C8738" s="19"/>
      <c r="D8738" s="19"/>
      <c r="E8738" s="19"/>
      <c r="F8738" s="19"/>
      <c r="G8738" s="19"/>
      <c r="H8738" s="19"/>
      <c r="I8738" s="19"/>
      <c r="J8738" s="19"/>
      <c r="K8738" s="19"/>
      <c r="L8738" s="19"/>
      <c r="M8738" s="19"/>
      <c r="N8738" s="19"/>
      <c r="O8738" s="14" t="str">
        <f>HYPERLINK("https://otsuka-europe-crm.veevavault.com/ui/#object/email_activity__v/V8C00000003V443", "EN-002095660")</f>
        <v>EN-002095660</v>
      </c>
    </row>
    <row r="8739" spans="1:15" ht="16" x14ac:dyDescent="0.2">
      <c r="A8739" s="17" t="str">
        <f>HYPERLINK("https://otsuka-europe-crm.veevavault.com/ui/#object/account__v/V4TZ06G6O71TB2J", "JUDITH FATIMA MARTINS MUÑOZ")</f>
        <v>JUDITH FATIMA MARTINS MUÑOZ</v>
      </c>
      <c r="B8739" s="17" t="str">
        <f>HYPERLINK("https://otsuka-europe-crm.veevavault.com/ui/#object/vcountry__v/VENZ000004SONF5", "ES")</f>
        <v>ES</v>
      </c>
      <c r="C8739" s="20" t="s">
        <v>41</v>
      </c>
      <c r="D8739" s="21" t="str">
        <f>HYPERLINK("https://otsuka-europe-crm.veevavault.com/ui/#object/approved_document__v/V5O00000001H022", "LUP - VAE invitación simposio SEN-SER - Nefro")</f>
        <v>LUP - VAE invitación simposio SEN-SER - Nefro</v>
      </c>
      <c r="E8739" s="22" t="str">
        <f>HYPERLINK("https://otsuka-europe-crm.veevavault.com/ui/#object/sent_email__v/VBL00000002T026", "SE-001435545")</f>
        <v>SE-001435545</v>
      </c>
      <c r="F8739" s="23">
        <v>46185.316562499997</v>
      </c>
      <c r="G8739" s="24">
        <v>1</v>
      </c>
      <c r="H8739" s="24">
        <v>1</v>
      </c>
      <c r="I8739" s="24">
        <v>1</v>
      </c>
      <c r="J8739" s="23">
        <v>46185.316631944443</v>
      </c>
      <c r="K8739" s="24">
        <v>2</v>
      </c>
      <c r="L8739" s="22" t="str">
        <f>HYPERLINK("https://otsuka-europe-crm.veevavault.com/ui/#object/approved_document__v/V5O00000001H022", "LUP - VAE invitación simposio SEN-SER - Nefro")</f>
        <v>LUP - VAE invitación simposio SEN-SER - Nefro</v>
      </c>
      <c r="M8739" s="22" t="str">
        <f>HYPERLINK("mailto:sruizlemos@crm.otsuka-europe.com", "sruizlemos@crm.otsuka-europe.com")</f>
        <v>sruizlemos@crm.otsuka-europe.com</v>
      </c>
      <c r="N8739" s="23">
        <v>46185.313703703701</v>
      </c>
      <c r="O8739" s="14" t="str">
        <f>HYPERLINK("https://otsuka-europe-crm.veevavault.com/ui/#object/email_activity__v/V8C00000003U069", "EN-002094954")</f>
        <v>EN-002094954</v>
      </c>
    </row>
    <row r="8740" spans="1:15" ht="16" x14ac:dyDescent="0.2">
      <c r="A8740" s="18"/>
      <c r="B8740" s="18"/>
      <c r="C8740" s="18"/>
      <c r="D8740" s="18"/>
      <c r="E8740" s="18"/>
      <c r="F8740" s="18"/>
      <c r="G8740" s="18"/>
      <c r="H8740" s="18"/>
      <c r="I8740" s="18"/>
      <c r="J8740" s="18"/>
      <c r="K8740" s="18"/>
      <c r="L8740" s="18"/>
      <c r="M8740" s="18"/>
      <c r="N8740" s="18"/>
      <c r="O8740" s="14" t="str">
        <f>HYPERLINK("https://otsuka-europe-crm.veevavault.com/ui/#object/email_activity__v/V8C00000003U117", "EN-002095090")</f>
        <v>EN-002095090</v>
      </c>
    </row>
    <row r="8741" spans="1:15" ht="16" x14ac:dyDescent="0.2">
      <c r="A8741" s="18"/>
      <c r="B8741" s="18"/>
      <c r="C8741" s="18"/>
      <c r="D8741" s="18"/>
      <c r="E8741" s="18"/>
      <c r="F8741" s="18"/>
      <c r="G8741" s="18"/>
      <c r="H8741" s="18"/>
      <c r="I8741" s="18"/>
      <c r="J8741" s="18"/>
      <c r="K8741" s="18"/>
      <c r="L8741" s="18"/>
      <c r="M8741" s="18"/>
      <c r="N8741" s="18"/>
      <c r="O8741" s="14" t="str">
        <f>HYPERLINK("https://otsuka-europe-crm.veevavault.com/ui/#object/email_activity__v/V8C00000003U118", "EN-002095091")</f>
        <v>EN-002095091</v>
      </c>
    </row>
    <row r="8742" spans="1:15" ht="16" x14ac:dyDescent="0.2">
      <c r="A8742" s="18"/>
      <c r="B8742" s="18"/>
      <c r="C8742" s="18"/>
      <c r="D8742" s="18"/>
      <c r="E8742" s="18"/>
      <c r="F8742" s="18"/>
      <c r="G8742" s="18"/>
      <c r="H8742" s="18"/>
      <c r="I8742" s="18"/>
      <c r="J8742" s="18"/>
      <c r="K8742" s="18"/>
      <c r="L8742" s="18"/>
      <c r="M8742" s="18"/>
      <c r="N8742" s="18"/>
      <c r="O8742" s="14" t="str">
        <f>HYPERLINK("https://otsuka-europe-crm.veevavault.com/ui/#object/email_activity__v/V8C00000003U119", "EN-002095092")</f>
        <v>EN-002095092</v>
      </c>
    </row>
    <row r="8743" spans="1:15" ht="16" x14ac:dyDescent="0.2">
      <c r="A8743" s="18"/>
      <c r="B8743" s="18"/>
      <c r="C8743" s="18"/>
      <c r="D8743" s="18"/>
      <c r="E8743" s="18"/>
      <c r="F8743" s="18"/>
      <c r="G8743" s="18"/>
      <c r="H8743" s="18"/>
      <c r="I8743" s="18"/>
      <c r="J8743" s="18"/>
      <c r="K8743" s="18"/>
      <c r="L8743" s="18"/>
      <c r="M8743" s="18"/>
      <c r="N8743" s="18"/>
      <c r="O8743" s="14" t="str">
        <f>HYPERLINK("https://otsuka-europe-crm.veevavault.com/ui/#object/email_activity__v/V8C00000003U133", "EN-002095118")</f>
        <v>EN-002095118</v>
      </c>
    </row>
    <row r="8744" spans="1:15" ht="16" x14ac:dyDescent="0.2">
      <c r="A8744" s="18"/>
      <c r="B8744" s="18"/>
      <c r="C8744" s="18"/>
      <c r="D8744" s="18"/>
      <c r="E8744" s="18"/>
      <c r="F8744" s="18"/>
      <c r="G8744" s="18"/>
      <c r="H8744" s="18"/>
      <c r="I8744" s="18"/>
      <c r="J8744" s="18"/>
      <c r="K8744" s="18"/>
      <c r="L8744" s="18"/>
      <c r="M8744" s="18"/>
      <c r="N8744" s="18"/>
      <c r="O8744" s="14" t="str">
        <f>HYPERLINK("https://otsuka-europe-crm.veevavault.com/ui/#object/email_activity__v/V8C00000003U139", "EN-002095124")</f>
        <v>EN-002095124</v>
      </c>
    </row>
    <row r="8745" spans="1:15" ht="16" x14ac:dyDescent="0.2">
      <c r="A8745" s="19"/>
      <c r="B8745" s="19"/>
      <c r="C8745" s="19"/>
      <c r="D8745" s="19"/>
      <c r="E8745" s="19"/>
      <c r="F8745" s="19"/>
      <c r="G8745" s="19"/>
      <c r="H8745" s="19"/>
      <c r="I8745" s="19"/>
      <c r="J8745" s="19"/>
      <c r="K8745" s="19"/>
      <c r="L8745" s="19"/>
      <c r="M8745" s="19"/>
      <c r="N8745" s="19"/>
      <c r="O8745" s="14" t="str">
        <f>HYPERLINK("https://otsuka-europe-crm.veevavault.com/ui/#object/email_activity__v/V8C00000003W314", "EN-002097345")</f>
        <v>EN-002097345</v>
      </c>
    </row>
    <row r="8746" spans="1:15" ht="16" x14ac:dyDescent="0.2">
      <c r="A8746" s="17" t="str">
        <f>HYPERLINK("https://otsuka-europe-crm.veevavault.com/ui/#object/account__v/V4TZ06G6O71T9P3", "CANDIDO DIAZ RODRIGUEZ")</f>
        <v>CANDIDO DIAZ RODRIGUEZ</v>
      </c>
      <c r="B8746" s="17" t="str">
        <f>HYPERLINK("https://otsuka-europe-crm.veevavault.com/ui/#object/vcountry__v/VENZ000004SONF5", "ES")</f>
        <v>ES</v>
      </c>
      <c r="C8746" s="20" t="s">
        <v>41</v>
      </c>
      <c r="D8746" s="21" t="str">
        <f>HYPERLINK("https://otsuka-europe-crm.veevavault.com/ui/#object/approved_document__v/V5O00000001H022", "LUP - VAE invitación simposio SEN-SER - Nefro")</f>
        <v>LUP - VAE invitación simposio SEN-SER - Nefro</v>
      </c>
      <c r="E8746" s="22" t="str">
        <f>HYPERLINK("https://otsuka-europe-crm.veevavault.com/ui/#object/sent_email__v/VBL00000002T027", "SE-001435546")</f>
        <v>SE-001435546</v>
      </c>
      <c r="F8746" s="23">
        <v>46185.34815972222</v>
      </c>
      <c r="G8746" s="24">
        <v>1</v>
      </c>
      <c r="H8746" s="24">
        <v>1</v>
      </c>
      <c r="I8746" s="24">
        <v>0</v>
      </c>
      <c r="J8746" s="25"/>
      <c r="K8746" s="24">
        <v>0</v>
      </c>
      <c r="L8746" s="22" t="str">
        <f>HYPERLINK("https://otsuka-europe-crm.veevavault.com/ui/#object/approved_document__v/V5O00000001H022", "LUP - VAE invitación simposio SEN-SER - Nefro")</f>
        <v>LUP - VAE invitación simposio SEN-SER - Nefro</v>
      </c>
      <c r="M8746" s="22" t="str">
        <f>HYPERLINK("mailto:sruizlemos@crm.otsuka-europe.com", "sruizlemos@crm.otsuka-europe.com")</f>
        <v>sruizlemos@crm.otsuka-europe.com</v>
      </c>
      <c r="N8746" s="23">
        <v>46185.313703703701</v>
      </c>
      <c r="O8746" s="14" t="str">
        <f>HYPERLINK("https://otsuka-europe-crm.veevavault.com/ui/#object/email_activity__v/V8C00000003U087", "EN-002095011")</f>
        <v>EN-002095011</v>
      </c>
    </row>
    <row r="8747" spans="1:15" ht="16" x14ac:dyDescent="0.2">
      <c r="A8747" s="19"/>
      <c r="B8747" s="19"/>
      <c r="C8747" s="19"/>
      <c r="D8747" s="19"/>
      <c r="E8747" s="19"/>
      <c r="F8747" s="19"/>
      <c r="G8747" s="19"/>
      <c r="H8747" s="19"/>
      <c r="I8747" s="19"/>
      <c r="J8747" s="19"/>
      <c r="K8747" s="19"/>
      <c r="L8747" s="19"/>
      <c r="M8747" s="19"/>
      <c r="N8747" s="19"/>
      <c r="O8747" s="14" t="str">
        <f>HYPERLINK("https://otsuka-europe-crm.veevavault.com/ui/#object/email_activity__v/V8C00000003V170", "EN-002095131")</f>
        <v>EN-002095131</v>
      </c>
    </row>
    <row r="8748" spans="1:15" ht="32" x14ac:dyDescent="0.2">
      <c r="A8748" s="7" t="str">
        <f>HYPERLINK("https://otsuka-europe-crm.veevavault.com/ui/#object/account__v/V4TZ06G6O71T8YY", "ANGEL LUIS ALONSO HERNANDEZ")</f>
        <v>ANGEL LUIS ALONSO HERNANDEZ</v>
      </c>
      <c r="B8748" s="7" t="str">
        <f>HYPERLINK("https://otsuka-europe-crm.veevavault.com/ui/#object/vcountry__v/VENZ000004SONF5", "ES")</f>
        <v>ES</v>
      </c>
      <c r="C8748" s="8" t="s">
        <v>41</v>
      </c>
      <c r="D8748" s="9" t="str">
        <f>HYPERLINK("https://otsuka-europe-crm.veevavault.com/ui/#object/approved_document__v/V5O00000001H022", "LUP - VAE invitación simposio SEN-SER - Nefro")</f>
        <v>LUP - VAE invitación simposio SEN-SER - Nefro</v>
      </c>
      <c r="E8748" s="10" t="str">
        <f>HYPERLINK("https://otsuka-europe-crm.veevavault.com/ui/#object/sent_email__v/VBL00000002T028", "SE-001435547")</f>
        <v>SE-001435547</v>
      </c>
      <c r="F8748" s="11"/>
      <c r="G8748" s="12">
        <v>0</v>
      </c>
      <c r="H8748" s="12">
        <v>0</v>
      </c>
      <c r="I8748" s="12">
        <v>0</v>
      </c>
      <c r="J8748" s="11"/>
      <c r="K8748" s="12">
        <v>0</v>
      </c>
      <c r="L8748" s="10" t="str">
        <f>HYPERLINK("https://otsuka-europe-crm.veevavault.com/ui/#object/approved_document__v/V5O00000001H022", "LUP - VAE invitación simposio SEN-SER - Nefro")</f>
        <v>LUP - VAE invitación simposio SEN-SER - Nefro</v>
      </c>
      <c r="M8748" s="10" t="str">
        <f>HYPERLINK("mailto:sruizlemos@crm.otsuka-europe.com", "sruizlemos@crm.otsuka-europe.com")</f>
        <v>sruizlemos@crm.otsuka-europe.com</v>
      </c>
      <c r="N8748" s="13">
        <v>46185.313738425924</v>
      </c>
      <c r="O8748" s="14" t="str">
        <f>HYPERLINK("https://otsuka-europe-crm.veevavault.com/ui/#object/email_activity__v/V8C00000003V058", "EN-002094944")</f>
        <v>EN-002094944</v>
      </c>
    </row>
    <row r="8749" spans="1:15" ht="32" x14ac:dyDescent="0.2">
      <c r="A8749" s="7" t="str">
        <f>HYPERLINK("https://otsuka-europe-crm.veevavault.com/ui/#object/account__v/V4TZ06G6O71T9IH", "MARIA PAZ BORRAJO PROL")</f>
        <v>MARIA PAZ BORRAJO PROL</v>
      </c>
      <c r="B8749" s="7" t="str">
        <f>HYPERLINK("https://otsuka-europe-crm.veevavault.com/ui/#object/vcountry__v/VENZ000004SONF5", "ES")</f>
        <v>ES</v>
      </c>
      <c r="C8749" s="8" t="s">
        <v>41</v>
      </c>
      <c r="D8749" s="9" t="str">
        <f>HYPERLINK("https://otsuka-europe-crm.veevavault.com/ui/#object/approved_document__v/V5O00000001H022", "LUP - VAE invitación simposio SEN-SER - Nefro")</f>
        <v>LUP - VAE invitación simposio SEN-SER - Nefro</v>
      </c>
      <c r="E8749" s="10" t="str">
        <f>HYPERLINK("https://otsuka-europe-crm.veevavault.com/ui/#object/sent_email__v/VBL00000002T029", "SE-001435548")</f>
        <v>SE-001435548</v>
      </c>
      <c r="F8749" s="11"/>
      <c r="G8749" s="12">
        <v>0</v>
      </c>
      <c r="H8749" s="12">
        <v>0</v>
      </c>
      <c r="I8749" s="12">
        <v>0</v>
      </c>
      <c r="J8749" s="11"/>
      <c r="K8749" s="12">
        <v>0</v>
      </c>
      <c r="L8749" s="10" t="str">
        <f>HYPERLINK("https://otsuka-europe-crm.veevavault.com/ui/#object/approved_document__v/V5O00000001H022", "LUP - VAE invitación simposio SEN-SER - Nefro")</f>
        <v>LUP - VAE invitación simposio SEN-SER - Nefro</v>
      </c>
      <c r="M8749" s="10" t="str">
        <f>HYPERLINK("mailto:sruizlemos@crm.otsuka-europe.com", "sruizlemos@crm.otsuka-europe.com")</f>
        <v>sruizlemos@crm.otsuka-europe.com</v>
      </c>
      <c r="N8749" s="13">
        <v>46185.313703703701</v>
      </c>
      <c r="O8749" s="14" t="str">
        <f>HYPERLINK("https://otsuka-europe-crm.veevavault.com/ui/#object/email_activity__v/V8C00000003V050", "EN-002094930")</f>
        <v>EN-002094930</v>
      </c>
    </row>
    <row r="8750" spans="1:15" ht="16" x14ac:dyDescent="0.2">
      <c r="A8750" s="17" t="str">
        <f>HYPERLINK("https://otsuka-europe-crm.veevavault.com/ui/#object/account__v/V4TZ06G6O71TBRM", "ALFONSO POBES MARTINEZ DE SALINAS")</f>
        <v>ALFONSO POBES MARTINEZ DE SALINAS</v>
      </c>
      <c r="B8750" s="17" t="str">
        <f>HYPERLINK("https://otsuka-europe-crm.veevavault.com/ui/#object/vcountry__v/VENZ000004SONF5", "ES")</f>
        <v>ES</v>
      </c>
      <c r="C8750" s="20" t="s">
        <v>41</v>
      </c>
      <c r="D8750" s="21" t="str">
        <f>HYPERLINK("https://otsuka-europe-crm.veevavault.com/ui/#object/approved_document__v/V5O00000001H022", "LUP - VAE invitación simposio SEN-SER - Nefro")</f>
        <v>LUP - VAE invitación simposio SEN-SER - Nefro</v>
      </c>
      <c r="E8750" s="22" t="str">
        <f>HYPERLINK("https://otsuka-europe-crm.veevavault.com/ui/#object/sent_email__v/VBL00000002T030", "SE-001435549")</f>
        <v>SE-001435549</v>
      </c>
      <c r="F8750" s="23">
        <v>46185.559918981482</v>
      </c>
      <c r="G8750" s="24">
        <v>1</v>
      </c>
      <c r="H8750" s="24">
        <v>1</v>
      </c>
      <c r="I8750" s="24">
        <v>1</v>
      </c>
      <c r="J8750" s="23">
        <v>46192.49322916667</v>
      </c>
      <c r="K8750" s="24">
        <v>5</v>
      </c>
      <c r="L8750" s="22" t="str">
        <f>HYPERLINK("https://otsuka-europe-crm.veevavault.com/ui/#object/approved_document__v/V5O00000001H022", "LUP - VAE invitación simposio SEN-SER - Nefro")</f>
        <v>LUP - VAE invitación simposio SEN-SER - Nefro</v>
      </c>
      <c r="M8750" s="22" t="str">
        <f>HYPERLINK("mailto:sruizlemos@crm.otsuka-europe.com", "sruizlemos@crm.otsuka-europe.com")</f>
        <v>sruizlemos@crm.otsuka-europe.com</v>
      </c>
      <c r="N8750" s="23">
        <v>46185.313773148147</v>
      </c>
      <c r="O8750" s="14" t="str">
        <f>HYPERLINK("https://otsuka-europe-crm.veevavault.com/ui/#object/email_activity__v/V8C00000003U312", "EN-002095464")</f>
        <v>EN-002095464</v>
      </c>
    </row>
    <row r="8751" spans="1:15" ht="16" x14ac:dyDescent="0.2">
      <c r="A8751" s="18"/>
      <c r="B8751" s="18"/>
      <c r="C8751" s="18"/>
      <c r="D8751" s="18"/>
      <c r="E8751" s="18"/>
      <c r="F8751" s="18"/>
      <c r="G8751" s="18"/>
      <c r="H8751" s="18"/>
      <c r="I8751" s="18"/>
      <c r="J8751" s="18"/>
      <c r="K8751" s="18"/>
      <c r="L8751" s="18"/>
      <c r="M8751" s="18"/>
      <c r="N8751" s="18"/>
      <c r="O8751" s="14" t="str">
        <f>HYPERLINK("https://otsuka-europe-crm.veevavault.com/ui/#object/email_activity__v/V8C00000003U318", "EN-002095476")</f>
        <v>EN-002095476</v>
      </c>
    </row>
    <row r="8752" spans="1:15" ht="16" x14ac:dyDescent="0.2">
      <c r="A8752" s="18"/>
      <c r="B8752" s="18"/>
      <c r="C8752" s="18"/>
      <c r="D8752" s="18"/>
      <c r="E8752" s="18"/>
      <c r="F8752" s="18"/>
      <c r="G8752" s="18"/>
      <c r="H8752" s="18"/>
      <c r="I8752" s="18"/>
      <c r="J8752" s="18"/>
      <c r="K8752" s="18"/>
      <c r="L8752" s="18"/>
      <c r="M8752" s="18"/>
      <c r="N8752" s="18"/>
      <c r="O8752" s="14" t="str">
        <f>HYPERLINK("https://otsuka-europe-crm.veevavault.com/ui/#object/email_activity__v/V8C00000003U319", "EN-002095477")</f>
        <v>EN-002095477</v>
      </c>
    </row>
    <row r="8753" spans="1:15" ht="16" x14ac:dyDescent="0.2">
      <c r="A8753" s="18"/>
      <c r="B8753" s="18"/>
      <c r="C8753" s="18"/>
      <c r="D8753" s="18"/>
      <c r="E8753" s="18"/>
      <c r="F8753" s="18"/>
      <c r="G8753" s="18"/>
      <c r="H8753" s="18"/>
      <c r="I8753" s="18"/>
      <c r="J8753" s="18"/>
      <c r="K8753" s="18"/>
      <c r="L8753" s="18"/>
      <c r="M8753" s="18"/>
      <c r="N8753" s="18"/>
      <c r="O8753" s="14" t="str">
        <f>HYPERLINK("https://otsuka-europe-crm.veevavault.com/ui/#object/email_activity__v/V8C00000003U323", "EN-002095481")</f>
        <v>EN-002095481</v>
      </c>
    </row>
    <row r="8754" spans="1:15" ht="16" x14ac:dyDescent="0.2">
      <c r="A8754" s="18"/>
      <c r="B8754" s="18"/>
      <c r="C8754" s="18"/>
      <c r="D8754" s="18"/>
      <c r="E8754" s="18"/>
      <c r="F8754" s="18"/>
      <c r="G8754" s="18"/>
      <c r="H8754" s="18"/>
      <c r="I8754" s="18"/>
      <c r="J8754" s="18"/>
      <c r="K8754" s="18"/>
      <c r="L8754" s="18"/>
      <c r="M8754" s="18"/>
      <c r="N8754" s="18"/>
      <c r="O8754" s="14" t="str">
        <f>HYPERLINK("https://otsuka-europe-crm.veevavault.com/ui/#object/email_activity__v/V8C00000003V100", "EN-002095002")</f>
        <v>EN-002095002</v>
      </c>
    </row>
    <row r="8755" spans="1:15" ht="16" x14ac:dyDescent="0.2">
      <c r="A8755" s="18"/>
      <c r="B8755" s="18"/>
      <c r="C8755" s="18"/>
      <c r="D8755" s="18"/>
      <c r="E8755" s="18"/>
      <c r="F8755" s="18"/>
      <c r="G8755" s="18"/>
      <c r="H8755" s="18"/>
      <c r="I8755" s="18"/>
      <c r="J8755" s="18"/>
      <c r="K8755" s="18"/>
      <c r="L8755" s="18"/>
      <c r="M8755" s="18"/>
      <c r="N8755" s="18"/>
      <c r="O8755" s="14" t="str">
        <f>HYPERLINK("https://otsuka-europe-crm.veevavault.com/ui/#object/email_activity__v/V8C00000003V334", "EN-002095462")</f>
        <v>EN-002095462</v>
      </c>
    </row>
    <row r="8756" spans="1:15" ht="16" x14ac:dyDescent="0.2">
      <c r="A8756" s="18"/>
      <c r="B8756" s="18"/>
      <c r="C8756" s="18"/>
      <c r="D8756" s="18"/>
      <c r="E8756" s="18"/>
      <c r="F8756" s="18"/>
      <c r="G8756" s="18"/>
      <c r="H8756" s="18"/>
      <c r="I8756" s="18"/>
      <c r="J8756" s="18"/>
      <c r="K8756" s="18"/>
      <c r="L8756" s="18"/>
      <c r="M8756" s="18"/>
      <c r="N8756" s="18"/>
      <c r="O8756" s="14" t="str">
        <f>HYPERLINK("https://otsuka-europe-crm.veevavault.com/ui/#object/email_activity__v/V8C00000003V335", "EN-002095461")</f>
        <v>EN-002095461</v>
      </c>
    </row>
    <row r="8757" spans="1:15" ht="16" x14ac:dyDescent="0.2">
      <c r="A8757" s="18"/>
      <c r="B8757" s="18"/>
      <c r="C8757" s="18"/>
      <c r="D8757" s="18"/>
      <c r="E8757" s="18"/>
      <c r="F8757" s="18"/>
      <c r="G8757" s="18"/>
      <c r="H8757" s="18"/>
      <c r="I8757" s="18"/>
      <c r="J8757" s="18"/>
      <c r="K8757" s="18"/>
      <c r="L8757" s="18"/>
      <c r="M8757" s="18"/>
      <c r="N8757" s="18"/>
      <c r="O8757" s="14" t="str">
        <f>HYPERLINK("https://otsuka-europe-crm.veevavault.com/ui/#object/email_activity__v/V8C00000003V336", "EN-002095463")</f>
        <v>EN-002095463</v>
      </c>
    </row>
    <row r="8758" spans="1:15" ht="16" x14ac:dyDescent="0.2">
      <c r="A8758" s="18"/>
      <c r="B8758" s="18"/>
      <c r="C8758" s="18"/>
      <c r="D8758" s="18"/>
      <c r="E8758" s="18"/>
      <c r="F8758" s="18"/>
      <c r="G8758" s="18"/>
      <c r="H8758" s="18"/>
      <c r="I8758" s="18"/>
      <c r="J8758" s="18"/>
      <c r="K8758" s="18"/>
      <c r="L8758" s="18"/>
      <c r="M8758" s="18"/>
      <c r="N8758" s="18"/>
      <c r="O8758" s="14" t="str">
        <f>HYPERLINK("https://otsuka-europe-crm.veevavault.com/ui/#object/email_activity__v/V8C00000003Z080", "EN-002098783")</f>
        <v>EN-002098783</v>
      </c>
    </row>
    <row r="8759" spans="1:15" ht="16" x14ac:dyDescent="0.2">
      <c r="A8759" s="18"/>
      <c r="B8759" s="18"/>
      <c r="C8759" s="18"/>
      <c r="D8759" s="18"/>
      <c r="E8759" s="18"/>
      <c r="F8759" s="18"/>
      <c r="G8759" s="18"/>
      <c r="H8759" s="18"/>
      <c r="I8759" s="18"/>
      <c r="J8759" s="18"/>
      <c r="K8759" s="18"/>
      <c r="L8759" s="18"/>
      <c r="M8759" s="18"/>
      <c r="N8759" s="18"/>
      <c r="O8759" s="14" t="str">
        <f>HYPERLINK("https://otsuka-europe-crm.veevavault.com/ui/#object/email_activity__v/V8C00000003Z081", "EN-002098784")</f>
        <v>EN-002098784</v>
      </c>
    </row>
    <row r="8760" spans="1:15" ht="16" x14ac:dyDescent="0.2">
      <c r="A8760" s="18"/>
      <c r="B8760" s="18"/>
      <c r="C8760" s="18"/>
      <c r="D8760" s="18"/>
      <c r="E8760" s="18"/>
      <c r="F8760" s="18"/>
      <c r="G8760" s="18"/>
      <c r="H8760" s="18"/>
      <c r="I8760" s="18"/>
      <c r="J8760" s="18"/>
      <c r="K8760" s="18"/>
      <c r="L8760" s="18"/>
      <c r="M8760" s="18"/>
      <c r="N8760" s="18"/>
      <c r="O8760" s="14" t="str">
        <f>HYPERLINK("https://otsuka-europe-crm.veevavault.com/ui/#object/email_activity__v/V8C000000040047", "EN-002098790")</f>
        <v>EN-002098790</v>
      </c>
    </row>
    <row r="8761" spans="1:15" ht="16" x14ac:dyDescent="0.2">
      <c r="A8761" s="19"/>
      <c r="B8761" s="19"/>
      <c r="C8761" s="19"/>
      <c r="D8761" s="19"/>
      <c r="E8761" s="19"/>
      <c r="F8761" s="19"/>
      <c r="G8761" s="19"/>
      <c r="H8761" s="19"/>
      <c r="I8761" s="19"/>
      <c r="J8761" s="19"/>
      <c r="K8761" s="19"/>
      <c r="L8761" s="19"/>
      <c r="M8761" s="19"/>
      <c r="N8761" s="19"/>
      <c r="O8761" s="14" t="str">
        <f>HYPERLINK("https://otsuka-europe-crm.veevavault.com/ui/#object/email_activity__v/V8C000000040049", "EN-002098792")</f>
        <v>EN-002098792</v>
      </c>
    </row>
    <row r="8762" spans="1:15" ht="16" x14ac:dyDescent="0.2">
      <c r="A8762" s="17" t="str">
        <f>HYPERLINK("https://otsuka-europe-crm.veevavault.com/ui/#object/account__v/V4TZ025E82IVTUM", "JANSEN OLAVID QUISPE GONZALES")</f>
        <v>JANSEN OLAVID QUISPE GONZALES</v>
      </c>
      <c r="B8762" s="17" t="str">
        <f>HYPERLINK("https://otsuka-europe-crm.veevavault.com/ui/#object/vcountry__v/VENZ000004SONF5", "ES")</f>
        <v>ES</v>
      </c>
      <c r="C8762" s="20" t="s">
        <v>41</v>
      </c>
      <c r="D8762" s="21" t="str">
        <f>HYPERLINK("https://otsuka-europe-crm.veevavault.com/ui/#object/approved_document__v/V5O00000001H022", "LUP - VAE invitación simposio SEN-SER - Nefro")</f>
        <v>LUP - VAE invitación simposio SEN-SER - Nefro</v>
      </c>
      <c r="E8762" s="22" t="str">
        <f>HYPERLINK("https://otsuka-europe-crm.veevavault.com/ui/#object/sent_email__v/VBL00000002T031", "SE-001435550")</f>
        <v>SE-001435550</v>
      </c>
      <c r="F8762" s="23">
        <v>46186.476736111108</v>
      </c>
      <c r="G8762" s="24">
        <v>1</v>
      </c>
      <c r="H8762" s="24">
        <v>1</v>
      </c>
      <c r="I8762" s="24">
        <v>0</v>
      </c>
      <c r="J8762" s="25"/>
      <c r="K8762" s="24">
        <v>0</v>
      </c>
      <c r="L8762" s="22" t="str">
        <f>HYPERLINK("https://otsuka-europe-crm.veevavault.com/ui/#object/approved_document__v/V5O00000001H022", "LUP - VAE invitación simposio SEN-SER - Nefro")</f>
        <v>LUP - VAE invitación simposio SEN-SER - Nefro</v>
      </c>
      <c r="M8762" s="22" t="str">
        <f>HYPERLINK("mailto:sruizlemos@crm.otsuka-europe.com", "sruizlemos@crm.otsuka-europe.com")</f>
        <v>sruizlemos@crm.otsuka-europe.com</v>
      </c>
      <c r="N8762" s="23">
        <v>46185.313738425924</v>
      </c>
      <c r="O8762" s="14" t="str">
        <f>HYPERLINK("https://otsuka-europe-crm.veevavault.com/ui/#object/email_activity__v/V8C00000003U060", "EN-002094922")</f>
        <v>EN-002094922</v>
      </c>
    </row>
    <row r="8763" spans="1:15" ht="16" x14ac:dyDescent="0.2">
      <c r="A8763" s="19"/>
      <c r="B8763" s="19"/>
      <c r="C8763" s="19"/>
      <c r="D8763" s="19"/>
      <c r="E8763" s="19"/>
      <c r="F8763" s="19"/>
      <c r="G8763" s="19"/>
      <c r="H8763" s="19"/>
      <c r="I8763" s="19"/>
      <c r="J8763" s="19"/>
      <c r="K8763" s="19"/>
      <c r="L8763" s="19"/>
      <c r="M8763" s="19"/>
      <c r="N8763" s="19"/>
      <c r="O8763" s="14" t="str">
        <f>HYPERLINK("https://otsuka-europe-crm.veevavault.com/ui/#object/email_activity__v/V8C00000003V435", "EN-002095639")</f>
        <v>EN-002095639</v>
      </c>
    </row>
    <row r="8764" spans="1:15" ht="32" x14ac:dyDescent="0.2">
      <c r="A8764" s="7" t="str">
        <f>HYPERLINK("https://otsuka-europe-crm.veevavault.com/ui/#object/account__v/V4TZ06G6O71TK37", "CRISTINA LOPEZ ARNALDO")</f>
        <v>CRISTINA LOPEZ ARNALDO</v>
      </c>
      <c r="B8764" s="7" t="str">
        <f t="shared" ref="B8764:B8771" si="666">HYPERLINK("https://otsuka-europe-crm.veevavault.com/ui/#object/vcountry__v/VENZ000004SONF5", "ES")</f>
        <v>ES</v>
      </c>
      <c r="C8764" s="8" t="s">
        <v>41</v>
      </c>
      <c r="D8764" s="9" t="str">
        <f t="shared" ref="D8764:D8771" si="667">HYPERLINK("https://otsuka-europe-crm.veevavault.com/ui/#object/approved_document__v/V5O00000001H022", "LUP - VAE invitación simposio SEN-SER - Nefro")</f>
        <v>LUP - VAE invitación simposio SEN-SER - Nefro</v>
      </c>
      <c r="E8764" s="10" t="str">
        <f>HYPERLINK("https://otsuka-europe-crm.veevavault.com/ui/#object/sent_email__v/VBL00000002T032", "SE-001435551")</f>
        <v>SE-001435551</v>
      </c>
      <c r="F8764" s="11"/>
      <c r="G8764" s="12">
        <v>0</v>
      </c>
      <c r="H8764" s="12">
        <v>0</v>
      </c>
      <c r="I8764" s="12">
        <v>0</v>
      </c>
      <c r="J8764" s="11"/>
      <c r="K8764" s="12">
        <v>0</v>
      </c>
      <c r="L8764" s="10" t="str">
        <f t="shared" ref="L8764:L8771" si="668">HYPERLINK("https://otsuka-europe-crm.veevavault.com/ui/#object/approved_document__v/V5O00000001H022", "LUP - VAE invitación simposio SEN-SER - Nefro")</f>
        <v>LUP - VAE invitación simposio SEN-SER - Nefro</v>
      </c>
      <c r="M8764" s="10" t="str">
        <f t="shared" ref="M8764:M8771" si="669">HYPERLINK("mailto:sruizlemos@crm.otsuka-europe.com", "sruizlemos@crm.otsuka-europe.com")</f>
        <v>sruizlemos@crm.otsuka-europe.com</v>
      </c>
      <c r="N8764" s="13">
        <v>46185.313738425924</v>
      </c>
      <c r="O8764" s="14" t="str">
        <f>HYPERLINK("https://otsuka-europe-crm.veevavault.com/ui/#object/email_activity__v/V8C00000003V108", "EN-002095020")</f>
        <v>EN-002095020</v>
      </c>
    </row>
    <row r="8765" spans="1:15" ht="32" x14ac:dyDescent="0.2">
      <c r="A8765" s="7" t="str">
        <f>HYPERLINK("https://otsuka-europe-crm.veevavault.com/ui/#object/account__v/V4TZ06G6O71T8R7", "JAIME MAZON RUIZ")</f>
        <v>JAIME MAZON RUIZ</v>
      </c>
      <c r="B8765" s="7" t="str">
        <f t="shared" si="666"/>
        <v>ES</v>
      </c>
      <c r="C8765" s="8" t="s">
        <v>41</v>
      </c>
      <c r="D8765" s="9" t="str">
        <f t="shared" si="667"/>
        <v>LUP - VAE invitación simposio SEN-SER - Nefro</v>
      </c>
      <c r="E8765" s="10" t="str">
        <f>HYPERLINK("https://otsuka-europe-crm.veevavault.com/ui/#object/sent_email__v/VBL00000002T033", "SE-001435552")</f>
        <v>SE-001435552</v>
      </c>
      <c r="F8765" s="11"/>
      <c r="G8765" s="12">
        <v>0</v>
      </c>
      <c r="H8765" s="12">
        <v>0</v>
      </c>
      <c r="I8765" s="12">
        <v>0</v>
      </c>
      <c r="J8765" s="11"/>
      <c r="K8765" s="12">
        <v>0</v>
      </c>
      <c r="L8765" s="10" t="str">
        <f t="shared" si="668"/>
        <v>LUP - VAE invitación simposio SEN-SER - Nefro</v>
      </c>
      <c r="M8765" s="10" t="str">
        <f t="shared" si="669"/>
        <v>sruizlemos@crm.otsuka-europe.com</v>
      </c>
      <c r="N8765" s="13">
        <v>46185.313738425924</v>
      </c>
      <c r="O8765" s="14" t="str">
        <f>HYPERLINK("https://otsuka-europe-crm.veevavault.com/ui/#object/email_activity__v/V8C00000003U058", "EN-002094920")</f>
        <v>EN-002094920</v>
      </c>
    </row>
    <row r="8766" spans="1:15" ht="32" x14ac:dyDescent="0.2">
      <c r="A8766" s="7" t="str">
        <f>HYPERLINK("https://otsuka-europe-crm.veevavault.com/ui/#object/account__v/V4TZ025E83TJ6MW", "CINTIA CARAMES FEIJOO")</f>
        <v>CINTIA CARAMES FEIJOO</v>
      </c>
      <c r="B8766" s="7" t="str">
        <f t="shared" si="666"/>
        <v>ES</v>
      </c>
      <c r="C8766" s="8" t="s">
        <v>41</v>
      </c>
      <c r="D8766" s="9" t="str">
        <f t="shared" si="667"/>
        <v>LUP - VAE invitación simposio SEN-SER - Nefro</v>
      </c>
      <c r="E8766" s="10" t="str">
        <f>HYPERLINK("https://otsuka-europe-crm.veevavault.com/ui/#object/sent_email__v/VBL00000002T034", "SE-001435553")</f>
        <v>SE-001435553</v>
      </c>
      <c r="F8766" s="11"/>
      <c r="G8766" s="12">
        <v>0</v>
      </c>
      <c r="H8766" s="12">
        <v>0</v>
      </c>
      <c r="I8766" s="12">
        <v>0</v>
      </c>
      <c r="J8766" s="11"/>
      <c r="K8766" s="12">
        <v>0</v>
      </c>
      <c r="L8766" s="10" t="str">
        <f t="shared" si="668"/>
        <v>LUP - VAE invitación simposio SEN-SER - Nefro</v>
      </c>
      <c r="M8766" s="10" t="str">
        <f t="shared" si="669"/>
        <v>sruizlemos@crm.otsuka-europe.com</v>
      </c>
      <c r="N8766" s="13">
        <v>46185.313807870371</v>
      </c>
      <c r="O8766" s="14" t="str">
        <f>HYPERLINK("https://otsuka-europe-crm.veevavault.com/ui/#object/email_activity__v/V8C00000003U076", "EN-002094961")</f>
        <v>EN-002094961</v>
      </c>
    </row>
    <row r="8767" spans="1:15" ht="32" x14ac:dyDescent="0.2">
      <c r="A8767" s="7" t="str">
        <f>HYPERLINK("https://otsuka-europe-crm.veevavault.com/ui/#object/account__v/V4TZ06G6O71T9J2", "JUAN JOSE BRAVO LOPEZ")</f>
        <v>JUAN JOSE BRAVO LOPEZ</v>
      </c>
      <c r="B8767" s="7" t="str">
        <f t="shared" si="666"/>
        <v>ES</v>
      </c>
      <c r="C8767" s="8" t="s">
        <v>41</v>
      </c>
      <c r="D8767" s="9" t="str">
        <f t="shared" si="667"/>
        <v>LUP - VAE invitación simposio SEN-SER - Nefro</v>
      </c>
      <c r="E8767" s="10" t="str">
        <f>HYPERLINK("https://otsuka-europe-crm.veevavault.com/ui/#object/sent_email__v/VBL00000002T035", "SE-001435554")</f>
        <v>SE-001435554</v>
      </c>
      <c r="F8767" s="11"/>
      <c r="G8767" s="12">
        <v>0</v>
      </c>
      <c r="H8767" s="12">
        <v>0</v>
      </c>
      <c r="I8767" s="12">
        <v>0</v>
      </c>
      <c r="J8767" s="11"/>
      <c r="K8767" s="12">
        <v>0</v>
      </c>
      <c r="L8767" s="10" t="str">
        <f t="shared" si="668"/>
        <v>LUP - VAE invitación simposio SEN-SER - Nefro</v>
      </c>
      <c r="M8767" s="10" t="str">
        <f t="shared" si="669"/>
        <v>sruizlemos@crm.otsuka-europe.com</v>
      </c>
      <c r="N8767" s="13">
        <v>46185.313773148147</v>
      </c>
      <c r="O8767" s="14" t="str">
        <f>HYPERLINK("https://otsuka-europe-crm.veevavault.com/ui/#object/email_activity__v/V8C00000003V086", "EN-002094988")</f>
        <v>EN-002094988</v>
      </c>
    </row>
    <row r="8768" spans="1:15" ht="32" x14ac:dyDescent="0.2">
      <c r="A8768" s="7" t="str">
        <f>HYPERLINK("https://otsuka-europe-crm.veevavault.com/ui/#object/account__v/V4TZ06G6O9VMEFE", "CARMEN RAQUEL COBELO CASAS")</f>
        <v>CARMEN RAQUEL COBELO CASAS</v>
      </c>
      <c r="B8768" s="7" t="str">
        <f t="shared" si="666"/>
        <v>ES</v>
      </c>
      <c r="C8768" s="8" t="s">
        <v>41</v>
      </c>
      <c r="D8768" s="9" t="str">
        <f t="shared" si="667"/>
        <v>LUP - VAE invitación simposio SEN-SER - Nefro</v>
      </c>
      <c r="E8768" s="10" t="str">
        <f>HYPERLINK("https://otsuka-europe-crm.veevavault.com/ui/#object/sent_email__v/VBL00000002T036", "SE-001435555")</f>
        <v>SE-001435555</v>
      </c>
      <c r="F8768" s="11"/>
      <c r="G8768" s="12">
        <v>0</v>
      </c>
      <c r="H8768" s="12">
        <v>0</v>
      </c>
      <c r="I8768" s="12">
        <v>0</v>
      </c>
      <c r="J8768" s="11"/>
      <c r="K8768" s="12">
        <v>0</v>
      </c>
      <c r="L8768" s="10" t="str">
        <f t="shared" si="668"/>
        <v>LUP - VAE invitación simposio SEN-SER - Nefro</v>
      </c>
      <c r="M8768" s="10" t="str">
        <f t="shared" si="669"/>
        <v>sruizlemos@crm.otsuka-europe.com</v>
      </c>
      <c r="N8768" s="13">
        <v>46185.313773148147</v>
      </c>
      <c r="O8768" s="14" t="str">
        <f>HYPERLINK("https://otsuka-europe-crm.veevavault.com/ui/#object/email_activity__v/V8C00000003V097", "EN-002094999")</f>
        <v>EN-002094999</v>
      </c>
    </row>
    <row r="8769" spans="1:15" ht="32" x14ac:dyDescent="0.2">
      <c r="A8769" s="7" t="str">
        <f>HYPERLINK("https://otsuka-europe-crm.veevavault.com/ui/#object/account__v/V4TZ06G6O71TBY0", "MARIA GLORIA RODRIGUEZ GOYANES")</f>
        <v>MARIA GLORIA RODRIGUEZ GOYANES</v>
      </c>
      <c r="B8769" s="7" t="str">
        <f t="shared" si="666"/>
        <v>ES</v>
      </c>
      <c r="C8769" s="8" t="s">
        <v>41</v>
      </c>
      <c r="D8769" s="9" t="str">
        <f t="shared" si="667"/>
        <v>LUP - VAE invitación simposio SEN-SER - Nefro</v>
      </c>
      <c r="E8769" s="10" t="str">
        <f>HYPERLINK("https://otsuka-europe-crm.veevavault.com/ui/#object/sent_email__v/VBL00000002T037", "SE-001435556")</f>
        <v>SE-001435556</v>
      </c>
      <c r="F8769" s="11"/>
      <c r="G8769" s="12">
        <v>0</v>
      </c>
      <c r="H8769" s="12">
        <v>0</v>
      </c>
      <c r="I8769" s="12">
        <v>0</v>
      </c>
      <c r="J8769" s="11"/>
      <c r="K8769" s="12">
        <v>0</v>
      </c>
      <c r="L8769" s="10" t="str">
        <f t="shared" si="668"/>
        <v>LUP - VAE invitación simposio SEN-SER - Nefro</v>
      </c>
      <c r="M8769" s="10" t="str">
        <f t="shared" si="669"/>
        <v>sruizlemos@crm.otsuka-europe.com</v>
      </c>
      <c r="N8769" s="13">
        <v>46185.313773148147</v>
      </c>
      <c r="O8769" s="14" t="str">
        <f>HYPERLINK("https://otsuka-europe-crm.veevavault.com/ui/#object/email_activity__v/V8C00000003V075", "EN-002094971")</f>
        <v>EN-002094971</v>
      </c>
    </row>
    <row r="8770" spans="1:15" ht="32" x14ac:dyDescent="0.2">
      <c r="A8770" s="7" t="str">
        <f>HYPERLINK("https://otsuka-europe-crm.veevavault.com/ui/#object/account__v/V4TZ04ASGB9KHUG", "TERESA CORDAL MARTINEZ")</f>
        <v>TERESA CORDAL MARTINEZ</v>
      </c>
      <c r="B8770" s="7" t="str">
        <f t="shared" si="666"/>
        <v>ES</v>
      </c>
      <c r="C8770" s="8" t="s">
        <v>41</v>
      </c>
      <c r="D8770" s="9" t="str">
        <f t="shared" si="667"/>
        <v>LUP - VAE invitación simposio SEN-SER - Nefro</v>
      </c>
      <c r="E8770" s="10" t="str">
        <f>HYPERLINK("https://otsuka-europe-crm.veevavault.com/ui/#object/sent_email__v/VBL00000002T038", "SE-001435557")</f>
        <v>SE-001435557</v>
      </c>
      <c r="F8770" s="11"/>
      <c r="G8770" s="12">
        <v>0</v>
      </c>
      <c r="H8770" s="12">
        <v>0</v>
      </c>
      <c r="I8770" s="12">
        <v>0</v>
      </c>
      <c r="J8770" s="11"/>
      <c r="K8770" s="12">
        <v>0</v>
      </c>
      <c r="L8770" s="10" t="str">
        <f t="shared" si="668"/>
        <v>LUP - VAE invitación simposio SEN-SER - Nefro</v>
      </c>
      <c r="M8770" s="10" t="str">
        <f t="shared" si="669"/>
        <v>sruizlemos@crm.otsuka-europe.com</v>
      </c>
      <c r="N8770" s="13">
        <v>46185.313750000001</v>
      </c>
      <c r="O8770" s="14" t="str">
        <f>HYPERLINK("https://otsuka-europe-crm.veevavault.com/ui/#object/email_activity__v/V8C00000003V077", "EN-002094979")</f>
        <v>EN-002094979</v>
      </c>
    </row>
    <row r="8771" spans="1:15" ht="16" x14ac:dyDescent="0.2">
      <c r="A8771" s="17" t="str">
        <f>HYPERLINK("https://otsuka-europe-crm.veevavault.com/ui/#object/account__v/V4TZ06G6O71T96C", "JOSE MARIA BALTAR MARTIN")</f>
        <v>JOSE MARIA BALTAR MARTIN</v>
      </c>
      <c r="B8771" s="17" t="str">
        <f t="shared" si="666"/>
        <v>ES</v>
      </c>
      <c r="C8771" s="20" t="s">
        <v>41</v>
      </c>
      <c r="D8771" s="21" t="str">
        <f t="shared" si="667"/>
        <v>LUP - VAE invitación simposio SEN-SER - Nefro</v>
      </c>
      <c r="E8771" s="22" t="str">
        <f>HYPERLINK("https://otsuka-europe-crm.veevavault.com/ui/#object/sent_email__v/VBL00000002T039", "SE-001435558")</f>
        <v>SE-001435558</v>
      </c>
      <c r="F8771" s="25"/>
      <c r="G8771" s="24">
        <v>0</v>
      </c>
      <c r="H8771" s="24">
        <v>0</v>
      </c>
      <c r="I8771" s="24">
        <v>1</v>
      </c>
      <c r="J8771" s="23">
        <v>46185.686111111114</v>
      </c>
      <c r="K8771" s="24">
        <v>1</v>
      </c>
      <c r="L8771" s="22" t="str">
        <f t="shared" si="668"/>
        <v>LUP - VAE invitación simposio SEN-SER - Nefro</v>
      </c>
      <c r="M8771" s="22" t="str">
        <f t="shared" si="669"/>
        <v>sruizlemos@crm.otsuka-europe.com</v>
      </c>
      <c r="N8771" s="23">
        <v>46185.313761574071</v>
      </c>
      <c r="O8771" s="14" t="str">
        <f>HYPERLINK("https://otsuka-europe-crm.veevavault.com/ui/#object/email_activity__v/V8C00000003U075", "EN-002094960")</f>
        <v>EN-002094960</v>
      </c>
    </row>
    <row r="8772" spans="1:15" ht="16" x14ac:dyDescent="0.2">
      <c r="A8772" s="18"/>
      <c r="B8772" s="18"/>
      <c r="C8772" s="18"/>
      <c r="D8772" s="18"/>
      <c r="E8772" s="18"/>
      <c r="F8772" s="18"/>
      <c r="G8772" s="18"/>
      <c r="H8772" s="18"/>
      <c r="I8772" s="18"/>
      <c r="J8772" s="18"/>
      <c r="K8772" s="18"/>
      <c r="L8772" s="18"/>
      <c r="M8772" s="18"/>
      <c r="N8772" s="18"/>
      <c r="O8772" s="14" t="str">
        <f>HYPERLINK("https://otsuka-europe-crm.veevavault.com/ui/#object/email_activity__v/V8C00000003U352", "EN-002095542")</f>
        <v>EN-002095542</v>
      </c>
    </row>
    <row r="8773" spans="1:15" ht="16" x14ac:dyDescent="0.2">
      <c r="A8773" s="18"/>
      <c r="B8773" s="18"/>
      <c r="C8773" s="18"/>
      <c r="D8773" s="18"/>
      <c r="E8773" s="18"/>
      <c r="F8773" s="18"/>
      <c r="G8773" s="18"/>
      <c r="H8773" s="18"/>
      <c r="I8773" s="18"/>
      <c r="J8773" s="18"/>
      <c r="K8773" s="18"/>
      <c r="L8773" s="18"/>
      <c r="M8773" s="18"/>
      <c r="N8773" s="18"/>
      <c r="O8773" s="14" t="str">
        <f>HYPERLINK("https://otsuka-europe-crm.veevavault.com/ui/#object/email_activity__v/V8C00000003V374", "EN-002095540")</f>
        <v>EN-002095540</v>
      </c>
    </row>
    <row r="8774" spans="1:15" ht="16" x14ac:dyDescent="0.2">
      <c r="A8774" s="19"/>
      <c r="B8774" s="19"/>
      <c r="C8774" s="19"/>
      <c r="D8774" s="19"/>
      <c r="E8774" s="19"/>
      <c r="F8774" s="19"/>
      <c r="G8774" s="19"/>
      <c r="H8774" s="19"/>
      <c r="I8774" s="19"/>
      <c r="J8774" s="19"/>
      <c r="K8774" s="19"/>
      <c r="L8774" s="19"/>
      <c r="M8774" s="19"/>
      <c r="N8774" s="19"/>
      <c r="O8774" s="14" t="str">
        <f>HYPERLINK("https://otsuka-europe-crm.veevavault.com/ui/#object/email_activity__v/V8C00000003V376", "EN-002095545")</f>
        <v>EN-002095545</v>
      </c>
    </row>
    <row r="8775" spans="1:15" ht="32" x14ac:dyDescent="0.2">
      <c r="A8775" s="7" t="str">
        <f>HYPERLINK("https://otsuka-europe-crm.veevavault.com/ui/#object/account__v/V4TZ025E86TB66P", "ARTURO LORENZO CHAPATTE")</f>
        <v>ARTURO LORENZO CHAPATTE</v>
      </c>
      <c r="B8775" s="7" t="str">
        <f>HYPERLINK("https://otsuka-europe-crm.veevavault.com/ui/#object/vcountry__v/VENZ000004SONF5", "ES")</f>
        <v>ES</v>
      </c>
      <c r="C8775" s="8" t="s">
        <v>41</v>
      </c>
      <c r="D8775" s="9" t="str">
        <f>HYPERLINK("https://otsuka-europe-crm.veevavault.com/ui/#object/approved_document__v/V5O00000001H022", "LUP - VAE invitación simposio SEN-SER - Nefro")</f>
        <v>LUP - VAE invitación simposio SEN-SER - Nefro</v>
      </c>
      <c r="E8775" s="10" t="str">
        <f>HYPERLINK("https://otsuka-europe-crm.veevavault.com/ui/#object/sent_email__v/VBL00000002T040", "SE-001435559")</f>
        <v>SE-001435559</v>
      </c>
      <c r="F8775" s="11"/>
      <c r="G8775" s="12">
        <v>0</v>
      </c>
      <c r="H8775" s="12">
        <v>0</v>
      </c>
      <c r="I8775" s="12">
        <v>0</v>
      </c>
      <c r="J8775" s="11"/>
      <c r="K8775" s="12">
        <v>0</v>
      </c>
      <c r="L8775" s="10" t="str">
        <f>HYPERLINK("https://otsuka-europe-crm.veevavault.com/ui/#object/approved_document__v/V5O00000001H022", "LUP - VAE invitación simposio SEN-SER - Nefro")</f>
        <v>LUP - VAE invitación simposio SEN-SER - Nefro</v>
      </c>
      <c r="M8775" s="10" t="str">
        <f>HYPERLINK("mailto:sruizlemos@crm.otsuka-europe.com", "sruizlemos@crm.otsuka-europe.com")</f>
        <v>sruizlemos@crm.otsuka-europe.com</v>
      </c>
      <c r="N8775" s="13">
        <v>46185.313738425924</v>
      </c>
      <c r="O8775" s="14" t="str">
        <f>HYPERLINK("https://otsuka-europe-crm.veevavault.com/ui/#object/email_activity__v/V8C00000003V117", "EN-002095029")</f>
        <v>EN-002095029</v>
      </c>
    </row>
    <row r="8776" spans="1:15" ht="32" x14ac:dyDescent="0.2">
      <c r="A8776" s="7" t="str">
        <f>HYPERLINK("https://otsuka-europe-crm.veevavault.com/ui/#object/account__v/V4TZ06G6O71T9MD", "JESUS ANGEL CALVIÑO VARELA")</f>
        <v>JESUS ANGEL CALVIÑO VARELA</v>
      </c>
      <c r="B8776" s="7" t="str">
        <f>HYPERLINK("https://otsuka-europe-crm.veevavault.com/ui/#object/vcountry__v/VENZ000004SONF5", "ES")</f>
        <v>ES</v>
      </c>
      <c r="C8776" s="8" t="s">
        <v>41</v>
      </c>
      <c r="D8776" s="9" t="str">
        <f>HYPERLINK("https://otsuka-europe-crm.veevavault.com/ui/#object/approved_document__v/V5O00000001H022", "LUP - VAE invitación simposio SEN-SER - Nefro")</f>
        <v>LUP - VAE invitación simposio SEN-SER - Nefro</v>
      </c>
      <c r="E8776" s="10" t="str">
        <f>HYPERLINK("https://otsuka-europe-crm.veevavault.com/ui/#object/sent_email__v/VBL00000002T041", "SE-001435560")</f>
        <v>SE-001435560</v>
      </c>
      <c r="F8776" s="11"/>
      <c r="G8776" s="12">
        <v>0</v>
      </c>
      <c r="H8776" s="12">
        <v>0</v>
      </c>
      <c r="I8776" s="12">
        <v>0</v>
      </c>
      <c r="J8776" s="11"/>
      <c r="K8776" s="12">
        <v>0</v>
      </c>
      <c r="L8776" s="10" t="str">
        <f>HYPERLINK("https://otsuka-europe-crm.veevavault.com/ui/#object/approved_document__v/V5O00000001H022", "LUP - VAE invitación simposio SEN-SER - Nefro")</f>
        <v>LUP - VAE invitación simposio SEN-SER - Nefro</v>
      </c>
      <c r="M8776" s="10" t="str">
        <f>HYPERLINK("mailto:sruizlemos@crm.otsuka-europe.com", "sruizlemos@crm.otsuka-europe.com")</f>
        <v>sruizlemos@crm.otsuka-europe.com</v>
      </c>
      <c r="N8776" s="13">
        <v>46185.313738425924</v>
      </c>
      <c r="O8776" s="14" t="str">
        <f>HYPERLINK("https://otsuka-europe-crm.veevavault.com/ui/#object/email_activity__v/V8C00000003V111", "EN-002095023")</f>
        <v>EN-002095023</v>
      </c>
    </row>
    <row r="8777" spans="1:15" ht="16" x14ac:dyDescent="0.2">
      <c r="A8777" s="17" t="str">
        <f>HYPERLINK("https://otsuka-europe-crm.veevavault.com/ui/#object/account__v/V4TZ06G6O71TAJP", "MARIA JESUS CASTRO VILANOVA")</f>
        <v>MARIA JESUS CASTRO VILANOVA</v>
      </c>
      <c r="B8777" s="17" t="str">
        <f>HYPERLINK("https://otsuka-europe-crm.veevavault.com/ui/#object/vcountry__v/VENZ000004SONF5", "ES")</f>
        <v>ES</v>
      </c>
      <c r="C8777" s="20" t="s">
        <v>41</v>
      </c>
      <c r="D8777" s="21" t="str">
        <f>HYPERLINK("https://otsuka-europe-crm.veevavault.com/ui/#object/approved_document__v/V5O00000001H022", "LUP - VAE invitación simposio SEN-SER - Nefro")</f>
        <v>LUP - VAE invitación simposio SEN-SER - Nefro</v>
      </c>
      <c r="E8777" s="22" t="str">
        <f>HYPERLINK("https://otsuka-europe-crm.veevavault.com/ui/#object/sent_email__v/VBL00000002T042", "SE-001435561")</f>
        <v>SE-001435561</v>
      </c>
      <c r="F8777" s="23">
        <v>46185.552407407406</v>
      </c>
      <c r="G8777" s="24">
        <v>1</v>
      </c>
      <c r="H8777" s="24">
        <v>1</v>
      </c>
      <c r="I8777" s="24">
        <v>1</v>
      </c>
      <c r="J8777" s="23">
        <v>46185.552407407406</v>
      </c>
      <c r="K8777" s="24">
        <v>1</v>
      </c>
      <c r="L8777" s="22" t="str">
        <f>HYPERLINK("https://otsuka-europe-crm.veevavault.com/ui/#object/approved_document__v/V5O00000001H022", "LUP - VAE invitación simposio SEN-SER - Nefro")</f>
        <v>LUP - VAE invitación simposio SEN-SER - Nefro</v>
      </c>
      <c r="M8777" s="22" t="str">
        <f>HYPERLINK("mailto:sruizlemos@crm.otsuka-europe.com", "sruizlemos@crm.otsuka-europe.com")</f>
        <v>sruizlemos@crm.otsuka-europe.com</v>
      </c>
      <c r="N8777" s="23">
        <v>46185.313738425924</v>
      </c>
      <c r="O8777" s="14" t="str">
        <f>HYPERLINK("https://otsuka-europe-crm.veevavault.com/ui/#object/email_activity__v/V8C00000003U310", "EN-002095458")</f>
        <v>EN-002095458</v>
      </c>
    </row>
    <row r="8778" spans="1:15" ht="16" x14ac:dyDescent="0.2">
      <c r="A8778" s="18"/>
      <c r="B8778" s="18"/>
      <c r="C8778" s="18"/>
      <c r="D8778" s="18"/>
      <c r="E8778" s="18"/>
      <c r="F8778" s="18"/>
      <c r="G8778" s="18"/>
      <c r="H8778" s="18"/>
      <c r="I8778" s="18"/>
      <c r="J8778" s="18"/>
      <c r="K8778" s="18"/>
      <c r="L8778" s="18"/>
      <c r="M8778" s="18"/>
      <c r="N8778" s="18"/>
      <c r="O8778" s="14" t="str">
        <f>HYPERLINK("https://otsuka-europe-crm.veevavault.com/ui/#object/email_activity__v/V8C00000003U311", "EN-002095457")</f>
        <v>EN-002095457</v>
      </c>
    </row>
    <row r="8779" spans="1:15" ht="16" x14ac:dyDescent="0.2">
      <c r="A8779" s="18"/>
      <c r="B8779" s="18"/>
      <c r="C8779" s="18"/>
      <c r="D8779" s="18"/>
      <c r="E8779" s="18"/>
      <c r="F8779" s="18"/>
      <c r="G8779" s="18"/>
      <c r="H8779" s="18"/>
      <c r="I8779" s="18"/>
      <c r="J8779" s="18"/>
      <c r="K8779" s="18"/>
      <c r="L8779" s="18"/>
      <c r="M8779" s="18"/>
      <c r="N8779" s="18"/>
      <c r="O8779" s="14" t="str">
        <f>HYPERLINK("https://otsuka-europe-crm.veevavault.com/ui/#object/email_activity__v/V8C00000003U322", "EN-002095480")</f>
        <v>EN-002095480</v>
      </c>
    </row>
    <row r="8780" spans="1:15" ht="16" x14ac:dyDescent="0.2">
      <c r="A8780" s="19"/>
      <c r="B8780" s="19"/>
      <c r="C8780" s="19"/>
      <c r="D8780" s="19"/>
      <c r="E8780" s="19"/>
      <c r="F8780" s="19"/>
      <c r="G8780" s="19"/>
      <c r="H8780" s="19"/>
      <c r="I8780" s="19"/>
      <c r="J8780" s="19"/>
      <c r="K8780" s="19"/>
      <c r="L8780" s="19"/>
      <c r="M8780" s="19"/>
      <c r="N8780" s="19"/>
      <c r="O8780" s="14" t="str">
        <f>HYPERLINK("https://otsuka-europe-crm.veevavault.com/ui/#object/email_activity__v/V8C00000003V113", "EN-002095025")</f>
        <v>EN-002095025</v>
      </c>
    </row>
    <row r="8781" spans="1:15" ht="32" x14ac:dyDescent="0.2">
      <c r="A8781" s="7" t="str">
        <f>HYPERLINK("https://otsuka-europe-crm.veevavault.com/ui/#object/account__v/V4TZ04ASG763UXI", "CRISTINA PEREZ MELON")</f>
        <v>CRISTINA PEREZ MELON</v>
      </c>
      <c r="B8781" s="7" t="str">
        <f>HYPERLINK("https://otsuka-europe-crm.veevavault.com/ui/#object/vcountry__v/VENZ000004SONF5", "ES")</f>
        <v>ES</v>
      </c>
      <c r="C8781" s="8" t="s">
        <v>41</v>
      </c>
      <c r="D8781" s="9" t="str">
        <f>HYPERLINK("https://otsuka-europe-crm.veevavault.com/ui/#object/approved_document__v/V5O00000001H022", "LUP - VAE invitación simposio SEN-SER - Nefro")</f>
        <v>LUP - VAE invitación simposio SEN-SER - Nefro</v>
      </c>
      <c r="E8781" s="10" t="str">
        <f>HYPERLINK("https://otsuka-europe-crm.veevavault.com/ui/#object/sent_email__v/VBL00000002T043", "SE-001435562")</f>
        <v>SE-001435562</v>
      </c>
      <c r="F8781" s="11"/>
      <c r="G8781" s="12">
        <v>0</v>
      </c>
      <c r="H8781" s="12">
        <v>0</v>
      </c>
      <c r="I8781" s="12">
        <v>0</v>
      </c>
      <c r="J8781" s="11"/>
      <c r="K8781" s="12">
        <v>0</v>
      </c>
      <c r="L8781" s="10" t="str">
        <f>HYPERLINK("https://otsuka-europe-crm.veevavault.com/ui/#object/approved_document__v/V5O00000001H022", "LUP - VAE invitación simposio SEN-SER - Nefro")</f>
        <v>LUP - VAE invitación simposio SEN-SER - Nefro</v>
      </c>
      <c r="M8781" s="10" t="str">
        <f>HYPERLINK("mailto:sruizlemos@crm.otsuka-europe.com", "sruizlemos@crm.otsuka-europe.com")</f>
        <v>sruizlemos@crm.otsuka-europe.com</v>
      </c>
      <c r="N8781" s="13">
        <v>46185.313773148147</v>
      </c>
      <c r="O8781" s="14" t="str">
        <f>HYPERLINK("https://otsuka-europe-crm.veevavault.com/ui/#object/email_activity__v/V8C00000003V062", "EN-002094948")</f>
        <v>EN-002094948</v>
      </c>
    </row>
    <row r="8782" spans="1:15" ht="16" x14ac:dyDescent="0.2">
      <c r="A8782" s="17" t="str">
        <f>HYPERLINK("https://otsuka-europe-crm.veevavault.com/ui/#object/account__v/V4TZ06G6O71T8OW", "JOSE LUIS PEREZ CANGA")</f>
        <v>JOSE LUIS PEREZ CANGA</v>
      </c>
      <c r="B8782" s="17" t="str">
        <f>HYPERLINK("https://otsuka-europe-crm.veevavault.com/ui/#object/vcountry__v/VENZ000004SONF5", "ES")</f>
        <v>ES</v>
      </c>
      <c r="C8782" s="20" t="s">
        <v>41</v>
      </c>
      <c r="D8782" s="21" t="str">
        <f>HYPERLINK("https://otsuka-europe-crm.veevavault.com/ui/#object/approved_document__v/V5O00000001H022", "LUP - VAE invitación simposio SEN-SER - Nefro")</f>
        <v>LUP - VAE invitación simposio SEN-SER - Nefro</v>
      </c>
      <c r="E8782" s="22" t="str">
        <f>HYPERLINK("https://otsuka-europe-crm.veevavault.com/ui/#object/sent_email__v/VBL00000002T044", "SE-001435563")</f>
        <v>SE-001435563</v>
      </c>
      <c r="F8782" s="23">
        <v>46186.93340277778</v>
      </c>
      <c r="G8782" s="24">
        <v>1</v>
      </c>
      <c r="H8782" s="24">
        <v>1</v>
      </c>
      <c r="I8782" s="24">
        <v>0</v>
      </c>
      <c r="J8782" s="25"/>
      <c r="K8782" s="24">
        <v>0</v>
      </c>
      <c r="L8782" s="22" t="str">
        <f>HYPERLINK("https://otsuka-europe-crm.veevavault.com/ui/#object/approved_document__v/V5O00000001H022", "LUP - VAE invitación simposio SEN-SER - Nefro")</f>
        <v>LUP - VAE invitación simposio SEN-SER - Nefro</v>
      </c>
      <c r="M8782" s="22" t="str">
        <f>HYPERLINK("mailto:sruizlemos@crm.otsuka-europe.com", "sruizlemos@crm.otsuka-europe.com")</f>
        <v>sruizlemos@crm.otsuka-europe.com</v>
      </c>
      <c r="N8782" s="23">
        <v>46185.313738425924</v>
      </c>
      <c r="O8782" s="14" t="str">
        <f>HYPERLINK("https://otsuka-europe-crm.veevavault.com/ui/#object/email_activity__v/V8C00000003U065", "EN-002094935")</f>
        <v>EN-002094935</v>
      </c>
    </row>
    <row r="8783" spans="1:15" ht="16" x14ac:dyDescent="0.2">
      <c r="A8783" s="18"/>
      <c r="B8783" s="18"/>
      <c r="C8783" s="18"/>
      <c r="D8783" s="18"/>
      <c r="E8783" s="18"/>
      <c r="F8783" s="18"/>
      <c r="G8783" s="18"/>
      <c r="H8783" s="18"/>
      <c r="I8783" s="18"/>
      <c r="J8783" s="18"/>
      <c r="K8783" s="18"/>
      <c r="L8783" s="18"/>
      <c r="M8783" s="18"/>
      <c r="N8783" s="18"/>
      <c r="O8783" s="14" t="str">
        <f>HYPERLINK("https://otsuka-europe-crm.veevavault.com/ui/#object/email_activity__v/V8C00000003U127", "EN-002095105")</f>
        <v>EN-002095105</v>
      </c>
    </row>
    <row r="8784" spans="1:15" ht="16" x14ac:dyDescent="0.2">
      <c r="A8784" s="18"/>
      <c r="B8784" s="18"/>
      <c r="C8784" s="18"/>
      <c r="D8784" s="18"/>
      <c r="E8784" s="18"/>
      <c r="F8784" s="18"/>
      <c r="G8784" s="18"/>
      <c r="H8784" s="18"/>
      <c r="I8784" s="18"/>
      <c r="J8784" s="18"/>
      <c r="K8784" s="18"/>
      <c r="L8784" s="18"/>
      <c r="M8784" s="18"/>
      <c r="N8784" s="18"/>
      <c r="O8784" s="14" t="str">
        <f>HYPERLINK("https://otsuka-europe-crm.veevavault.com/ui/#object/email_activity__v/V8C00000003V448", "EN-002095670")</f>
        <v>EN-002095670</v>
      </c>
    </row>
    <row r="8785" spans="1:15" ht="16" x14ac:dyDescent="0.2">
      <c r="A8785" s="19"/>
      <c r="B8785" s="19"/>
      <c r="C8785" s="19"/>
      <c r="D8785" s="19"/>
      <c r="E8785" s="19"/>
      <c r="F8785" s="19"/>
      <c r="G8785" s="19"/>
      <c r="H8785" s="19"/>
      <c r="I8785" s="19"/>
      <c r="J8785" s="19"/>
      <c r="K8785" s="19"/>
      <c r="L8785" s="19"/>
      <c r="M8785" s="19"/>
      <c r="N8785" s="19"/>
      <c r="O8785" s="14" t="str">
        <f>HYPERLINK("https://otsuka-europe-crm.veevavault.com/ui/#object/email_activity__v/V8C00000003W329", "EN-002097372")</f>
        <v>EN-002097372</v>
      </c>
    </row>
    <row r="8786" spans="1:15" ht="16" x14ac:dyDescent="0.2">
      <c r="A8786" s="17" t="str">
        <f>HYPERLINK("https://otsuka-europe-crm.veevavault.com/ui/#object/account__v/V4TZ06G6O71T829", "LAURA DEL RIO GARCIA")</f>
        <v>LAURA DEL RIO GARCIA</v>
      </c>
      <c r="B8786" s="17" t="str">
        <f>HYPERLINK("https://otsuka-europe-crm.veevavault.com/ui/#object/vcountry__v/VENZ000004SONF5", "ES")</f>
        <v>ES</v>
      </c>
      <c r="C8786" s="20" t="s">
        <v>41</v>
      </c>
      <c r="D8786" s="21" t="str">
        <f>HYPERLINK("https://otsuka-europe-crm.veevavault.com/ui/#object/approved_document__v/V5O00000001H022", "LUP - VAE invitación simposio SEN-SER - Nefro")</f>
        <v>LUP - VAE invitación simposio SEN-SER - Nefro</v>
      </c>
      <c r="E8786" s="22" t="str">
        <f>HYPERLINK("https://otsuka-europe-crm.veevavault.com/ui/#object/sent_email__v/VBL00000002T045", "SE-001435564")</f>
        <v>SE-001435564</v>
      </c>
      <c r="F8786" s="23">
        <v>46185.618287037039</v>
      </c>
      <c r="G8786" s="24">
        <v>1</v>
      </c>
      <c r="H8786" s="24">
        <v>2</v>
      </c>
      <c r="I8786" s="24">
        <v>0</v>
      </c>
      <c r="J8786" s="25"/>
      <c r="K8786" s="24">
        <v>0</v>
      </c>
      <c r="L8786" s="22" t="str">
        <f>HYPERLINK("https://otsuka-europe-crm.veevavault.com/ui/#object/approved_document__v/V5O00000001H022", "LUP - VAE invitación simposio SEN-SER - Nefro")</f>
        <v>LUP - VAE invitación simposio SEN-SER - Nefro</v>
      </c>
      <c r="M8786" s="22" t="str">
        <f>HYPERLINK("mailto:sruizlemos@crm.otsuka-europe.com", "sruizlemos@crm.otsuka-europe.com")</f>
        <v>sruizlemos@crm.otsuka-europe.com</v>
      </c>
      <c r="N8786" s="23">
        <v>46185.313773148147</v>
      </c>
      <c r="O8786" s="14" t="str">
        <f>HYPERLINK("https://otsuka-europe-crm.veevavault.com/ui/#object/email_activity__v/V8C00000003V099", "EN-002095001")</f>
        <v>EN-002095001</v>
      </c>
    </row>
    <row r="8787" spans="1:15" ht="16" x14ac:dyDescent="0.2">
      <c r="A8787" s="18"/>
      <c r="B8787" s="18"/>
      <c r="C8787" s="18"/>
      <c r="D8787" s="18"/>
      <c r="E8787" s="18"/>
      <c r="F8787" s="18"/>
      <c r="G8787" s="18"/>
      <c r="H8787" s="18"/>
      <c r="I8787" s="18"/>
      <c r="J8787" s="18"/>
      <c r="K8787" s="18"/>
      <c r="L8787" s="18"/>
      <c r="M8787" s="18"/>
      <c r="N8787" s="18"/>
      <c r="O8787" s="14" t="str">
        <f>HYPERLINK("https://otsuka-europe-crm.veevavault.com/ui/#object/email_activity__v/V8C00000003V349", "EN-002095495")</f>
        <v>EN-002095495</v>
      </c>
    </row>
    <row r="8788" spans="1:15" ht="16" x14ac:dyDescent="0.2">
      <c r="A8788" s="19"/>
      <c r="B8788" s="19"/>
      <c r="C8788" s="19"/>
      <c r="D8788" s="19"/>
      <c r="E8788" s="19"/>
      <c r="F8788" s="19"/>
      <c r="G8788" s="19"/>
      <c r="H8788" s="19"/>
      <c r="I8788" s="19"/>
      <c r="J8788" s="19"/>
      <c r="K8788" s="19"/>
      <c r="L8788" s="19"/>
      <c r="M8788" s="19"/>
      <c r="N8788" s="19"/>
      <c r="O8788" s="14" t="str">
        <f>HYPERLINK("https://otsuka-europe-crm.veevavault.com/ui/#object/email_activity__v/V8C00000003V350", "EN-002095496")</f>
        <v>EN-002095496</v>
      </c>
    </row>
    <row r="8789" spans="1:15" ht="32" x14ac:dyDescent="0.2">
      <c r="A8789" s="7" t="str">
        <f>HYPERLINK("https://otsuka-europe-crm.veevavault.com/ui/#object/account__v/V4TZ06G6O8LCKXQ", "MARTA DA CUNHA NAVEIRA")</f>
        <v>MARTA DA CUNHA NAVEIRA</v>
      </c>
      <c r="B8789" s="7" t="str">
        <f>HYPERLINK("https://otsuka-europe-crm.veevavault.com/ui/#object/vcountry__v/VENZ000004SONF5", "ES")</f>
        <v>ES</v>
      </c>
      <c r="C8789" s="8" t="s">
        <v>41</v>
      </c>
      <c r="D8789" s="9" t="str">
        <f>HYPERLINK("https://otsuka-europe-crm.veevavault.com/ui/#object/approved_document__v/V5O00000001H022", "LUP - VAE invitación simposio SEN-SER - Nefro")</f>
        <v>LUP - VAE invitación simposio SEN-SER - Nefro</v>
      </c>
      <c r="E8789" s="10" t="str">
        <f>HYPERLINK("https://otsuka-europe-crm.veevavault.com/ui/#object/sent_email__v/VBL00000002T046", "SE-001435565")</f>
        <v>SE-001435565</v>
      </c>
      <c r="F8789" s="11"/>
      <c r="G8789" s="12">
        <v>0</v>
      </c>
      <c r="H8789" s="12">
        <v>0</v>
      </c>
      <c r="I8789" s="12">
        <v>0</v>
      </c>
      <c r="J8789" s="11"/>
      <c r="K8789" s="12">
        <v>0</v>
      </c>
      <c r="L8789" s="10" t="str">
        <f>HYPERLINK("https://otsuka-europe-crm.veevavault.com/ui/#object/approved_document__v/V5O00000001H022", "LUP - VAE invitación simposio SEN-SER - Nefro")</f>
        <v>LUP - VAE invitación simposio SEN-SER - Nefro</v>
      </c>
      <c r="M8789" s="10" t="str">
        <f>HYPERLINK("mailto:sruizlemos@crm.otsuka-europe.com", "sruizlemos@crm.otsuka-europe.com")</f>
        <v>sruizlemos@crm.otsuka-europe.com</v>
      </c>
      <c r="N8789" s="13">
        <v>46185.313738425924</v>
      </c>
      <c r="O8789" s="14" t="str">
        <f>HYPERLINK("https://otsuka-europe-crm.veevavault.com/ui/#object/email_activity__v/V8C00000003U092", "EN-002095016")</f>
        <v>EN-002095016</v>
      </c>
    </row>
    <row r="8790" spans="1:15" ht="32" x14ac:dyDescent="0.2">
      <c r="A8790" s="7" t="str">
        <f>HYPERLINK("https://otsuka-europe-crm.veevavault.com/ui/#object/account__v/V4TZ06G6O9VKKX7", "NAIARA AZCARATE RAMIREZ")</f>
        <v>NAIARA AZCARATE RAMIREZ</v>
      </c>
      <c r="B8790" s="7" t="str">
        <f>HYPERLINK("https://otsuka-europe-crm.veevavault.com/ui/#object/vcountry__v/VENZ000004SONF5", "ES")</f>
        <v>ES</v>
      </c>
      <c r="C8790" s="8" t="s">
        <v>41</v>
      </c>
      <c r="D8790" s="9" t="str">
        <f>HYPERLINK("https://otsuka-europe-crm.veevavault.com/ui/#object/approved_document__v/V5O00000001H022", "LUP - VAE invitación simposio SEN-SER - Nefro")</f>
        <v>LUP - VAE invitación simposio SEN-SER - Nefro</v>
      </c>
      <c r="E8790" s="10" t="str">
        <f>HYPERLINK("https://otsuka-europe-crm.veevavault.com/ui/#object/sent_email__v/VBL00000002T047", "SE-001435566")</f>
        <v>SE-001435566</v>
      </c>
      <c r="F8790" s="11"/>
      <c r="G8790" s="12">
        <v>0</v>
      </c>
      <c r="H8790" s="12">
        <v>0</v>
      </c>
      <c r="I8790" s="12">
        <v>0</v>
      </c>
      <c r="J8790" s="11"/>
      <c r="K8790" s="12">
        <v>0</v>
      </c>
      <c r="L8790" s="10" t="str">
        <f>HYPERLINK("https://otsuka-europe-crm.veevavault.com/ui/#object/approved_document__v/V5O00000001H022", "LUP - VAE invitación simposio SEN-SER - Nefro")</f>
        <v>LUP - VAE invitación simposio SEN-SER - Nefro</v>
      </c>
      <c r="M8790" s="10" t="str">
        <f>HYPERLINK("mailto:sruizlemos@crm.otsuka-europe.com", "sruizlemos@crm.otsuka-europe.com")</f>
        <v>sruizlemos@crm.otsuka-europe.com</v>
      </c>
      <c r="N8790" s="13">
        <v>46185.313738425924</v>
      </c>
      <c r="O8790" s="14" t="str">
        <f>HYPERLINK("https://otsuka-europe-crm.veevavault.com/ui/#object/email_activity__v/V8C00000003V127", "EN-002095039")</f>
        <v>EN-002095039</v>
      </c>
    </row>
    <row r="8791" spans="1:15" ht="16" x14ac:dyDescent="0.2">
      <c r="A8791" s="17" t="str">
        <f>HYPERLINK("https://otsuka-europe-crm.veevavault.com/ui/#object/account__v/V4TZ04ASGFPWDHF", "ANA CRISTINA ANDRADE LOPEZ")</f>
        <v>ANA CRISTINA ANDRADE LOPEZ</v>
      </c>
      <c r="B8791" s="17" t="str">
        <f>HYPERLINK("https://otsuka-europe-crm.veevavault.com/ui/#object/vcountry__v/VENZ000004SONF5", "ES")</f>
        <v>ES</v>
      </c>
      <c r="C8791" s="20" t="s">
        <v>41</v>
      </c>
      <c r="D8791" s="21" t="str">
        <f>HYPERLINK("https://otsuka-europe-crm.veevavault.com/ui/#object/approved_document__v/V5O00000001H022", "LUP - VAE invitación simposio SEN-SER - Nefro")</f>
        <v>LUP - VAE invitación simposio SEN-SER - Nefro</v>
      </c>
      <c r="E8791" s="22" t="str">
        <f>HYPERLINK("https://otsuka-europe-crm.veevavault.com/ui/#object/sent_email__v/VBL00000002T048", "SE-001435567")</f>
        <v>SE-001435567</v>
      </c>
      <c r="F8791" s="23">
        <v>46185.499652777777</v>
      </c>
      <c r="G8791" s="24">
        <v>1</v>
      </c>
      <c r="H8791" s="24">
        <v>1</v>
      </c>
      <c r="I8791" s="24">
        <v>0</v>
      </c>
      <c r="J8791" s="25"/>
      <c r="K8791" s="24">
        <v>0</v>
      </c>
      <c r="L8791" s="22" t="str">
        <f>HYPERLINK("https://otsuka-europe-crm.veevavault.com/ui/#object/approved_document__v/V5O00000001H022", "LUP - VAE invitación simposio SEN-SER - Nefro")</f>
        <v>LUP - VAE invitación simposio SEN-SER - Nefro</v>
      </c>
      <c r="M8791" s="22" t="str">
        <f>HYPERLINK("mailto:sruizlemos@crm.otsuka-europe.com", "sruizlemos@crm.otsuka-europe.com")</f>
        <v>sruizlemos@crm.otsuka-europe.com</v>
      </c>
      <c r="N8791" s="23">
        <v>46185.313738425924</v>
      </c>
      <c r="O8791" s="14" t="str">
        <f>HYPERLINK("https://otsuka-europe-crm.veevavault.com/ui/#object/email_activity__v/V8C00000003U064", "EN-002094934")</f>
        <v>EN-002094934</v>
      </c>
    </row>
    <row r="8792" spans="1:15" ht="16" x14ac:dyDescent="0.2">
      <c r="A8792" s="19"/>
      <c r="B8792" s="19"/>
      <c r="C8792" s="19"/>
      <c r="D8792" s="19"/>
      <c r="E8792" s="19"/>
      <c r="F8792" s="19"/>
      <c r="G8792" s="19"/>
      <c r="H8792" s="19"/>
      <c r="I8792" s="19"/>
      <c r="J8792" s="19"/>
      <c r="K8792" s="19"/>
      <c r="L8792" s="19"/>
      <c r="M8792" s="19"/>
      <c r="N8792" s="19"/>
      <c r="O8792" s="14" t="str">
        <f>HYPERLINK("https://otsuka-europe-crm.veevavault.com/ui/#object/email_activity__v/V8C00000003V292", "EN-002095372")</f>
        <v>EN-002095372</v>
      </c>
    </row>
    <row r="8793" spans="1:15" ht="16" x14ac:dyDescent="0.2">
      <c r="A8793" s="17" t="str">
        <f>HYPERLINK("https://otsuka-europe-crm.veevavault.com/ui/#object/account__v/V4TZ06G6OB3XDTZ", "CLARA SANZ GARCIA")</f>
        <v>CLARA SANZ GARCIA</v>
      </c>
      <c r="B8793" s="17" t="str">
        <f>HYPERLINK("https://otsuka-europe-crm.veevavault.com/ui/#object/vcountry__v/VENZ000004SONF5", "ES")</f>
        <v>ES</v>
      </c>
      <c r="C8793" s="20" t="s">
        <v>41</v>
      </c>
      <c r="D8793" s="21" t="str">
        <f>HYPERLINK("https://otsuka-europe-crm.veevavault.com/ui/#object/approved_document__v/V5O00000001H022", "LUP - VAE invitación simposio SEN-SER - Nefro")</f>
        <v>LUP - VAE invitación simposio SEN-SER - Nefro</v>
      </c>
      <c r="E8793" s="22" t="str">
        <f>HYPERLINK("https://otsuka-europe-crm.veevavault.com/ui/#object/sent_email__v/VBL00000002T049", "SE-001435568")</f>
        <v>SE-001435568</v>
      </c>
      <c r="F8793" s="25"/>
      <c r="G8793" s="24">
        <v>0</v>
      </c>
      <c r="H8793" s="24">
        <v>0</v>
      </c>
      <c r="I8793" s="24">
        <v>0</v>
      </c>
      <c r="J8793" s="25"/>
      <c r="K8793" s="24">
        <v>0</v>
      </c>
      <c r="L8793" s="22" t="str">
        <f>HYPERLINK("https://otsuka-europe-crm.veevavault.com/ui/#object/approved_document__v/V5O00000001H022", "LUP - VAE invitación simposio SEN-SER - Nefro")</f>
        <v>LUP - VAE invitación simposio SEN-SER - Nefro</v>
      </c>
      <c r="M8793" s="22" t="str">
        <f>HYPERLINK("mailto:sruizlemos@crm.otsuka-europe.com", "sruizlemos@crm.otsuka-europe.com")</f>
        <v>sruizlemos@crm.otsuka-europe.com</v>
      </c>
      <c r="N8793" s="23">
        <v>46185.313761574071</v>
      </c>
      <c r="O8793" s="14" t="str">
        <f>HYPERLINK("https://otsuka-europe-crm.veevavault.com/ui/#object/email_activity__v/V8C00000003U370", "EN-002095605")</f>
        <v>EN-002095605</v>
      </c>
    </row>
    <row r="8794" spans="1:15" ht="16" x14ac:dyDescent="0.2">
      <c r="A8794" s="19"/>
      <c r="B8794" s="19"/>
      <c r="C8794" s="19"/>
      <c r="D8794" s="19"/>
      <c r="E8794" s="19"/>
      <c r="F8794" s="19"/>
      <c r="G8794" s="19"/>
      <c r="H8794" s="19"/>
      <c r="I8794" s="19"/>
      <c r="J8794" s="19"/>
      <c r="K8794" s="19"/>
      <c r="L8794" s="19"/>
      <c r="M8794" s="19"/>
      <c r="N8794" s="19"/>
      <c r="O8794" s="14" t="str">
        <f>HYPERLINK("https://otsuka-europe-crm.veevavault.com/ui/#object/email_activity__v/V8C00000003V089", "EN-002094991")</f>
        <v>EN-002094991</v>
      </c>
    </row>
    <row r="8795" spans="1:15" ht="32" x14ac:dyDescent="0.2">
      <c r="A8795" s="7" t="str">
        <f>HYPERLINK("https://otsuka-europe-crm.veevavault.com/ui/#object/account__v/V4TZ06G6O71TCAN", "JUAN SANTOS NORES")</f>
        <v>JUAN SANTOS NORES</v>
      </c>
      <c r="B8795" s="7" t="str">
        <f>HYPERLINK("https://otsuka-europe-crm.veevavault.com/ui/#object/vcountry__v/VENZ000004SONF5", "ES")</f>
        <v>ES</v>
      </c>
      <c r="C8795" s="8" t="s">
        <v>41</v>
      </c>
      <c r="D8795" s="9" t="str">
        <f>HYPERLINK("https://otsuka-europe-crm.veevavault.com/ui/#object/approved_document__v/V5O00000001H022", "LUP - VAE invitación simposio SEN-SER - Nefro")</f>
        <v>LUP - VAE invitación simposio SEN-SER - Nefro</v>
      </c>
      <c r="E8795" s="10" t="str">
        <f>HYPERLINK("https://otsuka-europe-crm.veevavault.com/ui/#object/sent_email__v/VBL00000002T050", "SE-001435569")</f>
        <v>SE-001435569</v>
      </c>
      <c r="F8795" s="11"/>
      <c r="G8795" s="12">
        <v>0</v>
      </c>
      <c r="H8795" s="12">
        <v>0</v>
      </c>
      <c r="I8795" s="12">
        <v>0</v>
      </c>
      <c r="J8795" s="11"/>
      <c r="K8795" s="12">
        <v>0</v>
      </c>
      <c r="L8795" s="10" t="str">
        <f>HYPERLINK("https://otsuka-europe-crm.veevavault.com/ui/#object/approved_document__v/V5O00000001H022", "LUP - VAE invitación simposio SEN-SER - Nefro")</f>
        <v>LUP - VAE invitación simposio SEN-SER - Nefro</v>
      </c>
      <c r="M8795" s="10" t="str">
        <f>HYPERLINK("mailto:sruizlemos@crm.otsuka-europe.com", "sruizlemos@crm.otsuka-europe.com")</f>
        <v>sruizlemos@crm.otsuka-europe.com</v>
      </c>
      <c r="N8795" s="13">
        <v>46185.313773148147</v>
      </c>
      <c r="O8795" s="14" t="str">
        <f>HYPERLINK("https://otsuka-europe-crm.veevavault.com/ui/#object/email_activity__v/V8C00000003V074", "EN-002094970")</f>
        <v>EN-002094970</v>
      </c>
    </row>
    <row r="8796" spans="1:15" ht="16" x14ac:dyDescent="0.2">
      <c r="A8796" s="17" t="str">
        <f>HYPERLINK("https://otsuka-europe-crm.veevavault.com/ui/#object/account__v/V4TZ04ASG9GUTYB", "MIRIAM SAMPRON RODRIGUEZ")</f>
        <v>MIRIAM SAMPRON RODRIGUEZ</v>
      </c>
      <c r="B8796" s="17" t="str">
        <f>HYPERLINK("https://otsuka-europe-crm.veevavault.com/ui/#object/vcountry__v/VENZ000004SONF5", "ES")</f>
        <v>ES</v>
      </c>
      <c r="C8796" s="20" t="s">
        <v>41</v>
      </c>
      <c r="D8796" s="21" t="str">
        <f>HYPERLINK("https://otsuka-europe-crm.veevavault.com/ui/#object/approved_document__v/V5O00000001H022", "LUP - VAE invitación simposio SEN-SER - Nefro")</f>
        <v>LUP - VAE invitación simposio SEN-SER - Nefro</v>
      </c>
      <c r="E8796" s="22" t="str">
        <f>HYPERLINK("https://otsuka-europe-crm.veevavault.com/ui/#object/sent_email__v/VBL00000002T051", "SE-001435570")</f>
        <v>SE-001435570</v>
      </c>
      <c r="F8796" s="23">
        <v>46185.360300925924</v>
      </c>
      <c r="G8796" s="24">
        <v>1</v>
      </c>
      <c r="H8796" s="24">
        <v>1</v>
      </c>
      <c r="I8796" s="24">
        <v>1</v>
      </c>
      <c r="J8796" s="23">
        <v>46185.360300925924</v>
      </c>
      <c r="K8796" s="24">
        <v>1</v>
      </c>
      <c r="L8796" s="22" t="str">
        <f>HYPERLINK("https://otsuka-europe-crm.veevavault.com/ui/#object/approved_document__v/V5O00000001H022", "LUP - VAE invitación simposio SEN-SER - Nefro")</f>
        <v>LUP - VAE invitación simposio SEN-SER - Nefro</v>
      </c>
      <c r="M8796" s="22" t="str">
        <f>HYPERLINK("mailto:sruizlemos@crm.otsuka-europe.com", "sruizlemos@crm.otsuka-europe.com")</f>
        <v>sruizlemos@crm.otsuka-europe.com</v>
      </c>
      <c r="N8796" s="23">
        <v>46185.313738425924</v>
      </c>
      <c r="O8796" s="14" t="str">
        <f>HYPERLINK("https://otsuka-europe-crm.veevavault.com/ui/#object/email_activity__v/V8C00000003V125", "EN-002095037")</f>
        <v>EN-002095037</v>
      </c>
    </row>
    <row r="8797" spans="1:15" ht="16" x14ac:dyDescent="0.2">
      <c r="A8797" s="18"/>
      <c r="B8797" s="18"/>
      <c r="C8797" s="18"/>
      <c r="D8797" s="18"/>
      <c r="E8797" s="18"/>
      <c r="F8797" s="18"/>
      <c r="G8797" s="18"/>
      <c r="H8797" s="18"/>
      <c r="I8797" s="18"/>
      <c r="J8797" s="18"/>
      <c r="K8797" s="18"/>
      <c r="L8797" s="18"/>
      <c r="M8797" s="18"/>
      <c r="N8797" s="18"/>
      <c r="O8797" s="14" t="str">
        <f>HYPERLINK("https://otsuka-europe-crm.veevavault.com/ui/#object/email_activity__v/V8C00000003V175", "EN-002095137")</f>
        <v>EN-002095137</v>
      </c>
    </row>
    <row r="8798" spans="1:15" ht="16" x14ac:dyDescent="0.2">
      <c r="A8798" s="18"/>
      <c r="B8798" s="18"/>
      <c r="C8798" s="18"/>
      <c r="D8798" s="18"/>
      <c r="E8798" s="18"/>
      <c r="F8798" s="18"/>
      <c r="G8798" s="18"/>
      <c r="H8798" s="18"/>
      <c r="I8798" s="18"/>
      <c r="J8798" s="18"/>
      <c r="K8798" s="18"/>
      <c r="L8798" s="18"/>
      <c r="M8798" s="18"/>
      <c r="N8798" s="18"/>
      <c r="O8798" s="14" t="str">
        <f>HYPERLINK("https://otsuka-europe-crm.veevavault.com/ui/#object/email_activity__v/V8C00000003V176", "EN-002095136")</f>
        <v>EN-002095136</v>
      </c>
    </row>
    <row r="8799" spans="1:15" ht="16" x14ac:dyDescent="0.2">
      <c r="A8799" s="19"/>
      <c r="B8799" s="19"/>
      <c r="C8799" s="19"/>
      <c r="D8799" s="19"/>
      <c r="E8799" s="19"/>
      <c r="F8799" s="19"/>
      <c r="G8799" s="19"/>
      <c r="H8799" s="19"/>
      <c r="I8799" s="19"/>
      <c r="J8799" s="19"/>
      <c r="K8799" s="19"/>
      <c r="L8799" s="19"/>
      <c r="M8799" s="19"/>
      <c r="N8799" s="19"/>
      <c r="O8799" s="14" t="str">
        <f>HYPERLINK("https://otsuka-europe-crm.veevavault.com/ui/#object/email_activity__v/V8C00000003V198", "EN-002095167")</f>
        <v>EN-002095167</v>
      </c>
    </row>
    <row r="8800" spans="1:15" ht="32" x14ac:dyDescent="0.2">
      <c r="A8800" s="7" t="str">
        <f>HYPERLINK("https://otsuka-europe-crm.veevavault.com/ui/#object/account__v/V4TZ06G6O71T94B", "MARIA FERNANDA ARROJO ALONSO")</f>
        <v>MARIA FERNANDA ARROJO ALONSO</v>
      </c>
      <c r="B8800" s="7" t="str">
        <f>HYPERLINK("https://otsuka-europe-crm.veevavault.com/ui/#object/vcountry__v/VENZ000004SONF5", "ES")</f>
        <v>ES</v>
      </c>
      <c r="C8800" s="8" t="s">
        <v>41</v>
      </c>
      <c r="D8800" s="9" t="str">
        <f>HYPERLINK("https://otsuka-europe-crm.veevavault.com/ui/#object/approved_document__v/V5O00000001H022", "LUP - VAE invitación simposio SEN-SER - Nefro")</f>
        <v>LUP - VAE invitación simposio SEN-SER - Nefro</v>
      </c>
      <c r="E8800" s="10" t="str">
        <f>HYPERLINK("https://otsuka-europe-crm.veevavault.com/ui/#object/sent_email__v/VBL00000002T052", "SE-001435571")</f>
        <v>SE-001435571</v>
      </c>
      <c r="F8800" s="11"/>
      <c r="G8800" s="12">
        <v>0</v>
      </c>
      <c r="H8800" s="12">
        <v>0</v>
      </c>
      <c r="I8800" s="12">
        <v>0</v>
      </c>
      <c r="J8800" s="11"/>
      <c r="K8800" s="12">
        <v>0</v>
      </c>
      <c r="L8800" s="10" t="str">
        <f>HYPERLINK("https://otsuka-europe-crm.veevavault.com/ui/#object/approved_document__v/V5O00000001H022", "LUP - VAE invitación simposio SEN-SER - Nefro")</f>
        <v>LUP - VAE invitación simposio SEN-SER - Nefro</v>
      </c>
      <c r="M8800" s="10" t="str">
        <f>HYPERLINK("mailto:sruizlemos@crm.otsuka-europe.com", "sruizlemos@crm.otsuka-europe.com")</f>
        <v>sruizlemos@crm.otsuka-europe.com</v>
      </c>
      <c r="N8800" s="13">
        <v>46185.313738425924</v>
      </c>
      <c r="O8800" s="14" t="str">
        <f>HYPERLINK("https://otsuka-europe-crm.veevavault.com/ui/#object/email_activity__v/V8C00000003U068", "EN-002094938")</f>
        <v>EN-002094938</v>
      </c>
    </row>
    <row r="8801" spans="1:15" ht="16" x14ac:dyDescent="0.2">
      <c r="A8801" s="17" t="str">
        <f>HYPERLINK("https://otsuka-europe-crm.veevavault.com/ui/#object/account__v/V4TZ06G6O71T81T", "CRISTINA SANGO MERINO")</f>
        <v>CRISTINA SANGO MERINO</v>
      </c>
      <c r="B8801" s="17" t="str">
        <f>HYPERLINK("https://otsuka-europe-crm.veevavault.com/ui/#object/vcountry__v/VENZ000004SONF5", "ES")</f>
        <v>ES</v>
      </c>
      <c r="C8801" s="20" t="s">
        <v>41</v>
      </c>
      <c r="D8801" s="21" t="str">
        <f>HYPERLINK("https://otsuka-europe-crm.veevavault.com/ui/#object/approved_document__v/V5O00000001H022", "LUP - VAE invitación simposio SEN-SER - Nefro")</f>
        <v>LUP - VAE invitación simposio SEN-SER - Nefro</v>
      </c>
      <c r="E8801" s="22" t="str">
        <f>HYPERLINK("https://otsuka-europe-crm.veevavault.com/ui/#object/sent_email__v/VBL00000002T053", "SE-001435572")</f>
        <v>SE-001435572</v>
      </c>
      <c r="F8801" s="23">
        <v>46185.323449074072</v>
      </c>
      <c r="G8801" s="24">
        <v>1</v>
      </c>
      <c r="H8801" s="24">
        <v>1</v>
      </c>
      <c r="I8801" s="24">
        <v>1</v>
      </c>
      <c r="J8801" s="23">
        <v>46185.323946759258</v>
      </c>
      <c r="K8801" s="24">
        <v>2</v>
      </c>
      <c r="L8801" s="22" t="str">
        <f>HYPERLINK("https://otsuka-europe-crm.veevavault.com/ui/#object/approved_document__v/V5O00000001H022", "LUP - VAE invitación simposio SEN-SER - Nefro")</f>
        <v>LUP - VAE invitación simposio SEN-SER - Nefro</v>
      </c>
      <c r="M8801" s="22" t="str">
        <f>HYPERLINK("mailto:sruizlemos@crm.otsuka-europe.com", "sruizlemos@crm.otsuka-europe.com")</f>
        <v>sruizlemos@crm.otsuka-europe.com</v>
      </c>
      <c r="N8801" s="23">
        <v>46185.313738425924</v>
      </c>
      <c r="O8801" s="14" t="str">
        <f>HYPERLINK("https://otsuka-europe-crm.veevavault.com/ui/#object/email_activity__v/V8C00000003U056", "EN-002094918")</f>
        <v>EN-002094918</v>
      </c>
    </row>
    <row r="8802" spans="1:15" ht="16" x14ac:dyDescent="0.2">
      <c r="A8802" s="18"/>
      <c r="B8802" s="18"/>
      <c r="C8802" s="18"/>
      <c r="D8802" s="18"/>
      <c r="E8802" s="18"/>
      <c r="F8802" s="18"/>
      <c r="G8802" s="18"/>
      <c r="H8802" s="18"/>
      <c r="I8802" s="18"/>
      <c r="J8802" s="18"/>
      <c r="K8802" s="18"/>
      <c r="L8802" s="18"/>
      <c r="M8802" s="18"/>
      <c r="N8802" s="18"/>
      <c r="O8802" s="14" t="str">
        <f>HYPERLINK("https://otsuka-europe-crm.veevavault.com/ui/#object/email_activity__v/V8C00000003U126", "EN-002095104")</f>
        <v>EN-002095104</v>
      </c>
    </row>
    <row r="8803" spans="1:15" ht="16" x14ac:dyDescent="0.2">
      <c r="A8803" s="18"/>
      <c r="B8803" s="18"/>
      <c r="C8803" s="18"/>
      <c r="D8803" s="18"/>
      <c r="E8803" s="18"/>
      <c r="F8803" s="18"/>
      <c r="G8803" s="18"/>
      <c r="H8803" s="18"/>
      <c r="I8803" s="18"/>
      <c r="J8803" s="18"/>
      <c r="K8803" s="18"/>
      <c r="L8803" s="18"/>
      <c r="M8803" s="18"/>
      <c r="N8803" s="18"/>
      <c r="O8803" s="14" t="str">
        <f>HYPERLINK("https://otsuka-europe-crm.veevavault.com/ui/#object/email_activity__v/V8C00000003U135", "EN-002095120")</f>
        <v>EN-002095120</v>
      </c>
    </row>
    <row r="8804" spans="1:15" ht="16" x14ac:dyDescent="0.2">
      <c r="A8804" s="18"/>
      <c r="B8804" s="18"/>
      <c r="C8804" s="18"/>
      <c r="D8804" s="18"/>
      <c r="E8804" s="18"/>
      <c r="F8804" s="18"/>
      <c r="G8804" s="18"/>
      <c r="H8804" s="18"/>
      <c r="I8804" s="18"/>
      <c r="J8804" s="18"/>
      <c r="K8804" s="18"/>
      <c r="L8804" s="18"/>
      <c r="M8804" s="18"/>
      <c r="N8804" s="18"/>
      <c r="O8804" s="14" t="str">
        <f>HYPERLINK("https://otsuka-europe-crm.veevavault.com/ui/#object/email_activity__v/V8C00000003U136", "EN-002095121")</f>
        <v>EN-002095121</v>
      </c>
    </row>
    <row r="8805" spans="1:15" ht="16" x14ac:dyDescent="0.2">
      <c r="A8805" s="18"/>
      <c r="B8805" s="18"/>
      <c r="C8805" s="18"/>
      <c r="D8805" s="18"/>
      <c r="E8805" s="18"/>
      <c r="F8805" s="18"/>
      <c r="G8805" s="18"/>
      <c r="H8805" s="18"/>
      <c r="I8805" s="18"/>
      <c r="J8805" s="18"/>
      <c r="K8805" s="18"/>
      <c r="L8805" s="18"/>
      <c r="M8805" s="18"/>
      <c r="N8805" s="18"/>
      <c r="O8805" s="14" t="str">
        <f>HYPERLINK("https://otsuka-europe-crm.veevavault.com/ui/#object/email_activity__v/V8C00000003V159", "EN-002095102")</f>
        <v>EN-002095102</v>
      </c>
    </row>
    <row r="8806" spans="1:15" ht="16" x14ac:dyDescent="0.2">
      <c r="A8806" s="19"/>
      <c r="B8806" s="19"/>
      <c r="C8806" s="19"/>
      <c r="D8806" s="19"/>
      <c r="E8806" s="19"/>
      <c r="F8806" s="19"/>
      <c r="G8806" s="19"/>
      <c r="H8806" s="19"/>
      <c r="I8806" s="19"/>
      <c r="J8806" s="19"/>
      <c r="K8806" s="19"/>
      <c r="L8806" s="19"/>
      <c r="M8806" s="19"/>
      <c r="N8806" s="19"/>
      <c r="O8806" s="14" t="str">
        <f>HYPERLINK("https://otsuka-europe-crm.veevavault.com/ui/#object/email_activity__v/V8C00000003V160", "EN-002095103")</f>
        <v>EN-002095103</v>
      </c>
    </row>
    <row r="8807" spans="1:15" ht="32" x14ac:dyDescent="0.2">
      <c r="A8807" s="7" t="str">
        <f>HYPERLINK("https://otsuka-europe-crm.veevavault.com/ui/#object/account__v/V4T000000023081", "ALMUDENA JUEZ DEL POZO")</f>
        <v>ALMUDENA JUEZ DEL POZO</v>
      </c>
      <c r="B8807" s="7" t="str">
        <f>HYPERLINK("https://otsuka-europe-crm.veevavault.com/ui/#object/vcountry__v/VENZ000004SONF5", "ES")</f>
        <v>ES</v>
      </c>
      <c r="C8807" s="8" t="s">
        <v>41</v>
      </c>
      <c r="D8807" s="9" t="str">
        <f>HYPERLINK("https://otsuka-europe-crm.veevavault.com/ui/#object/approved_document__v/V5O00000001H022", "LUP - VAE invitación simposio SEN-SER - Nefro")</f>
        <v>LUP - VAE invitación simposio SEN-SER - Nefro</v>
      </c>
      <c r="E8807" s="10" t="str">
        <f>HYPERLINK("https://otsuka-europe-crm.veevavault.com/ui/#object/sent_email__v/VBL00000002T054", "SE-001435573")</f>
        <v>SE-001435573</v>
      </c>
      <c r="F8807" s="11"/>
      <c r="G8807" s="12">
        <v>0</v>
      </c>
      <c r="H8807" s="12">
        <v>0</v>
      </c>
      <c r="I8807" s="12">
        <v>0</v>
      </c>
      <c r="J8807" s="11"/>
      <c r="K8807" s="12">
        <v>0</v>
      </c>
      <c r="L8807" s="10" t="str">
        <f>HYPERLINK("https://otsuka-europe-crm.veevavault.com/ui/#object/approved_document__v/V5O00000001H022", "LUP - VAE invitación simposio SEN-SER - Nefro")</f>
        <v>LUP - VAE invitación simposio SEN-SER - Nefro</v>
      </c>
      <c r="M8807" s="10" t="str">
        <f>HYPERLINK("mailto:sruizlemos@crm.otsuka-europe.com", "sruizlemos@crm.otsuka-europe.com")</f>
        <v>sruizlemos@crm.otsuka-europe.com</v>
      </c>
      <c r="N8807" s="13">
        <v>46185.313738425924</v>
      </c>
      <c r="O8807" s="14" t="str">
        <f>HYPERLINK("https://otsuka-europe-crm.veevavault.com/ui/#object/email_activity__v/V8C00000003V118", "EN-002095030")</f>
        <v>EN-002095030</v>
      </c>
    </row>
    <row r="8808" spans="1:15" ht="32" x14ac:dyDescent="0.2">
      <c r="A8808" s="7" t="str">
        <f>HYPERLINK("https://otsuka-europe-crm.veevavault.com/ui/#object/account__v/V4TZ06G6O71T7TH", "ALBA MARIA GARCIA ENRIQUEZ")</f>
        <v>ALBA MARIA GARCIA ENRIQUEZ</v>
      </c>
      <c r="B8808" s="7" t="str">
        <f>HYPERLINK("https://otsuka-europe-crm.veevavault.com/ui/#object/vcountry__v/VENZ000004SONF5", "ES")</f>
        <v>ES</v>
      </c>
      <c r="C8808" s="8" t="s">
        <v>41</v>
      </c>
      <c r="D8808" s="9" t="str">
        <f>HYPERLINK("https://otsuka-europe-crm.veevavault.com/ui/#object/approved_document__v/V5O00000001H022", "LUP - VAE invitación simposio SEN-SER - Nefro")</f>
        <v>LUP - VAE invitación simposio SEN-SER - Nefro</v>
      </c>
      <c r="E8808" s="10" t="str">
        <f>HYPERLINK("https://otsuka-europe-crm.veevavault.com/ui/#object/sent_email__v/VBL00000002T055", "SE-001435574")</f>
        <v>SE-001435574</v>
      </c>
      <c r="F8808" s="11"/>
      <c r="G8808" s="12">
        <v>0</v>
      </c>
      <c r="H8808" s="12">
        <v>0</v>
      </c>
      <c r="I8808" s="12">
        <v>0</v>
      </c>
      <c r="J8808" s="11"/>
      <c r="K8808" s="12">
        <v>0</v>
      </c>
      <c r="L8808" s="10" t="str">
        <f>HYPERLINK("https://otsuka-europe-crm.veevavault.com/ui/#object/approved_document__v/V5O00000001H022", "LUP - VAE invitación simposio SEN-SER - Nefro")</f>
        <v>LUP - VAE invitación simposio SEN-SER - Nefro</v>
      </c>
      <c r="M8808" s="10" t="str">
        <f>HYPERLINK("mailto:sruizlemos@crm.otsuka-europe.com", "sruizlemos@crm.otsuka-europe.com")</f>
        <v>sruizlemos@crm.otsuka-europe.com</v>
      </c>
      <c r="N8808" s="13">
        <v>46185.313761574071</v>
      </c>
      <c r="O8808" s="14" t="str">
        <f>HYPERLINK("https://otsuka-europe-crm.veevavault.com/ui/#object/email_activity__v/V8C00000003V073", "EN-002094969")</f>
        <v>EN-002094969</v>
      </c>
    </row>
    <row r="8809" spans="1:15" ht="16" x14ac:dyDescent="0.2">
      <c r="A8809" s="17" t="str">
        <f>HYPERLINK("https://otsuka-europe-crm.veevavault.com/ui/#object/account__v/V4TZ06G6O71T8BU", "PABLO OTERO ALONSO")</f>
        <v>PABLO OTERO ALONSO</v>
      </c>
      <c r="B8809" s="17" t="str">
        <f>HYPERLINK("https://otsuka-europe-crm.veevavault.com/ui/#object/vcountry__v/VENZ000004SONF5", "ES")</f>
        <v>ES</v>
      </c>
      <c r="C8809" s="20" t="s">
        <v>41</v>
      </c>
      <c r="D8809" s="21" t="str">
        <f>HYPERLINK("https://otsuka-europe-crm.veevavault.com/ui/#object/approved_document__v/V5O00000001H022", "LUP - VAE invitación simposio SEN-SER - Nefro")</f>
        <v>LUP - VAE invitación simposio SEN-SER - Nefro</v>
      </c>
      <c r="E8809" s="22" t="str">
        <f>HYPERLINK("https://otsuka-europe-crm.veevavault.com/ui/#object/sent_email__v/VBL00000002T056", "SE-001435575")</f>
        <v>SE-001435575</v>
      </c>
      <c r="F8809" s="23">
        <v>46185.363981481481</v>
      </c>
      <c r="G8809" s="24">
        <v>1</v>
      </c>
      <c r="H8809" s="24">
        <v>1</v>
      </c>
      <c r="I8809" s="24">
        <v>1</v>
      </c>
      <c r="J8809" s="23">
        <v>46185.364293981482</v>
      </c>
      <c r="K8809" s="24">
        <v>2</v>
      </c>
      <c r="L8809" s="22" t="str">
        <f>HYPERLINK("https://otsuka-europe-crm.veevavault.com/ui/#object/approved_document__v/V5O00000001H022", "LUP - VAE invitación simposio SEN-SER - Nefro")</f>
        <v>LUP - VAE invitación simposio SEN-SER - Nefro</v>
      </c>
      <c r="M8809" s="22" t="str">
        <f>HYPERLINK("mailto:sruizlemos@crm.otsuka-europe.com", "sruizlemos@crm.otsuka-europe.com")</f>
        <v>sruizlemos@crm.otsuka-europe.com</v>
      </c>
      <c r="N8809" s="23">
        <v>46185.313738425924</v>
      </c>
      <c r="O8809" s="14" t="str">
        <f>HYPERLINK("https://otsuka-europe-crm.veevavault.com/ui/#object/email_activity__v/V8C00000003U146", "EN-002095144")</f>
        <v>EN-002095144</v>
      </c>
    </row>
    <row r="8810" spans="1:15" ht="16" x14ac:dyDescent="0.2">
      <c r="A8810" s="18"/>
      <c r="B8810" s="18"/>
      <c r="C8810" s="18"/>
      <c r="D8810" s="18"/>
      <c r="E8810" s="18"/>
      <c r="F8810" s="18"/>
      <c r="G8810" s="18"/>
      <c r="H8810" s="18"/>
      <c r="I8810" s="18"/>
      <c r="J8810" s="18"/>
      <c r="K8810" s="18"/>
      <c r="L8810" s="18"/>
      <c r="M8810" s="18"/>
      <c r="N8810" s="18"/>
      <c r="O8810" s="14" t="str">
        <f>HYPERLINK("https://otsuka-europe-crm.veevavault.com/ui/#object/email_activity__v/V8C00000003U149", "EN-002095147")</f>
        <v>EN-002095147</v>
      </c>
    </row>
    <row r="8811" spans="1:15" ht="16" x14ac:dyDescent="0.2">
      <c r="A8811" s="18"/>
      <c r="B8811" s="18"/>
      <c r="C8811" s="18"/>
      <c r="D8811" s="18"/>
      <c r="E8811" s="18"/>
      <c r="F8811" s="18"/>
      <c r="G8811" s="18"/>
      <c r="H8811" s="18"/>
      <c r="I8811" s="18"/>
      <c r="J8811" s="18"/>
      <c r="K8811" s="18"/>
      <c r="L8811" s="18"/>
      <c r="M8811" s="18"/>
      <c r="N8811" s="18"/>
      <c r="O8811" s="14" t="str">
        <f>HYPERLINK("https://otsuka-europe-crm.veevavault.com/ui/#object/email_activity__v/V8C00000003V107", "EN-002095019")</f>
        <v>EN-002095019</v>
      </c>
    </row>
    <row r="8812" spans="1:15" ht="16" x14ac:dyDescent="0.2">
      <c r="A8812" s="18"/>
      <c r="B8812" s="18"/>
      <c r="C8812" s="18"/>
      <c r="D8812" s="18"/>
      <c r="E8812" s="18"/>
      <c r="F8812" s="18"/>
      <c r="G8812" s="18"/>
      <c r="H8812" s="18"/>
      <c r="I8812" s="18"/>
      <c r="J8812" s="18"/>
      <c r="K8812" s="18"/>
      <c r="L8812" s="18"/>
      <c r="M8812" s="18"/>
      <c r="N8812" s="18"/>
      <c r="O8812" s="14" t="str">
        <f>HYPERLINK("https://otsuka-europe-crm.veevavault.com/ui/#object/email_activity__v/V8C00000003V181", "EN-002095149")</f>
        <v>EN-002095149</v>
      </c>
    </row>
    <row r="8813" spans="1:15" ht="16" x14ac:dyDescent="0.2">
      <c r="A8813" s="18"/>
      <c r="B8813" s="18"/>
      <c r="C8813" s="18"/>
      <c r="D8813" s="18"/>
      <c r="E8813" s="18"/>
      <c r="F8813" s="18"/>
      <c r="G8813" s="18"/>
      <c r="H8813" s="18"/>
      <c r="I8813" s="18"/>
      <c r="J8813" s="18"/>
      <c r="K8813" s="18"/>
      <c r="L8813" s="18"/>
      <c r="M8813" s="18"/>
      <c r="N8813" s="18"/>
      <c r="O8813" s="14" t="str">
        <f>HYPERLINK("https://otsuka-europe-crm.veevavault.com/ui/#object/email_activity__v/V8C00000003V192", "EN-002095161")</f>
        <v>EN-002095161</v>
      </c>
    </row>
    <row r="8814" spans="1:15" ht="16" x14ac:dyDescent="0.2">
      <c r="A8814" s="18"/>
      <c r="B8814" s="18"/>
      <c r="C8814" s="18"/>
      <c r="D8814" s="18"/>
      <c r="E8814" s="18"/>
      <c r="F8814" s="18"/>
      <c r="G8814" s="18"/>
      <c r="H8814" s="18"/>
      <c r="I8814" s="18"/>
      <c r="J8814" s="18"/>
      <c r="K8814" s="18"/>
      <c r="L8814" s="18"/>
      <c r="M8814" s="18"/>
      <c r="N8814" s="18"/>
      <c r="O8814" s="14" t="str">
        <f>HYPERLINK("https://otsuka-europe-crm.veevavault.com/ui/#object/email_activity__v/V8C00000003V193", "EN-002095162")</f>
        <v>EN-002095162</v>
      </c>
    </row>
    <row r="8815" spans="1:15" ht="16" x14ac:dyDescent="0.2">
      <c r="A8815" s="19"/>
      <c r="B8815" s="19"/>
      <c r="C8815" s="19"/>
      <c r="D8815" s="19"/>
      <c r="E8815" s="19"/>
      <c r="F8815" s="19"/>
      <c r="G8815" s="19"/>
      <c r="H8815" s="19"/>
      <c r="I8815" s="19"/>
      <c r="J8815" s="19"/>
      <c r="K8815" s="19"/>
      <c r="L8815" s="19"/>
      <c r="M8815" s="19"/>
      <c r="N8815" s="19"/>
      <c r="O8815" s="14" t="str">
        <f>HYPERLINK("https://otsuka-europe-crm.veevavault.com/ui/#object/email_activity__v/V8C00000003V194", "EN-002095163")</f>
        <v>EN-002095163</v>
      </c>
    </row>
    <row r="8816" spans="1:15" ht="32" x14ac:dyDescent="0.2">
      <c r="A8816" s="7" t="str">
        <f>HYPERLINK("https://otsuka-europe-crm.veevavault.com/ui/#object/account__v/V4TZ06G6O71TCHI", "PEDRO VIDAU ARGUELLES")</f>
        <v>PEDRO VIDAU ARGUELLES</v>
      </c>
      <c r="B8816" s="7" t="str">
        <f t="shared" ref="B8816:B8823" si="670">HYPERLINK("https://otsuka-europe-crm.veevavault.com/ui/#object/vcountry__v/VENZ000004SONF5", "ES")</f>
        <v>ES</v>
      </c>
      <c r="C8816" s="8" t="s">
        <v>41</v>
      </c>
      <c r="D8816" s="9" t="str">
        <f t="shared" ref="D8816:D8823" si="671">HYPERLINK("https://otsuka-europe-crm.veevavault.com/ui/#object/approved_document__v/V5O00000001H022", "LUP - VAE invitación simposio SEN-SER - Nefro")</f>
        <v>LUP - VAE invitación simposio SEN-SER - Nefro</v>
      </c>
      <c r="E8816" s="10" t="str">
        <f>HYPERLINK("https://otsuka-europe-crm.veevavault.com/ui/#object/sent_email__v/VBL00000002T057", "SE-001435576")</f>
        <v>SE-001435576</v>
      </c>
      <c r="F8816" s="11"/>
      <c r="G8816" s="12">
        <v>0</v>
      </c>
      <c r="H8816" s="12">
        <v>0</v>
      </c>
      <c r="I8816" s="12">
        <v>0</v>
      </c>
      <c r="J8816" s="11"/>
      <c r="K8816" s="12">
        <v>0</v>
      </c>
      <c r="L8816" s="10" t="str">
        <f t="shared" ref="L8816:L8823" si="672">HYPERLINK("https://otsuka-europe-crm.veevavault.com/ui/#object/approved_document__v/V5O00000001H022", "LUP - VAE invitación simposio SEN-SER - Nefro")</f>
        <v>LUP - VAE invitación simposio SEN-SER - Nefro</v>
      </c>
      <c r="M8816" s="10" t="str">
        <f t="shared" ref="M8816:M8823" si="673">HYPERLINK("mailto:sruizlemos@crm.otsuka-europe.com", "sruizlemos@crm.otsuka-europe.com")</f>
        <v>sruizlemos@crm.otsuka-europe.com</v>
      </c>
      <c r="N8816" s="13">
        <v>46185.313738425924</v>
      </c>
      <c r="O8816" s="14" t="str">
        <f>HYPERLINK("https://otsuka-europe-crm.veevavault.com/ui/#object/email_activity__v/V8C00000003V121", "EN-002095033")</f>
        <v>EN-002095033</v>
      </c>
    </row>
    <row r="8817" spans="1:15" ht="32" x14ac:dyDescent="0.2">
      <c r="A8817" s="7" t="str">
        <f>HYPERLINK("https://otsuka-europe-crm.veevavault.com/ui/#object/account__v/V4TZ06G6O71TCCQ", "CARLOS ALBERTO TRESANCOS FERNANDEZ")</f>
        <v>CARLOS ALBERTO TRESANCOS FERNANDEZ</v>
      </c>
      <c r="B8817" s="7" t="str">
        <f t="shared" si="670"/>
        <v>ES</v>
      </c>
      <c r="C8817" s="8" t="s">
        <v>41</v>
      </c>
      <c r="D8817" s="9" t="str">
        <f t="shared" si="671"/>
        <v>LUP - VAE invitación simposio SEN-SER - Nefro</v>
      </c>
      <c r="E8817" s="10" t="str">
        <f>HYPERLINK("https://otsuka-europe-crm.veevavault.com/ui/#object/sent_email__v/VBL00000002T058", "SE-001435577")</f>
        <v>SE-001435577</v>
      </c>
      <c r="F8817" s="11"/>
      <c r="G8817" s="12">
        <v>0</v>
      </c>
      <c r="H8817" s="12">
        <v>0</v>
      </c>
      <c r="I8817" s="12">
        <v>0</v>
      </c>
      <c r="J8817" s="11"/>
      <c r="K8817" s="12">
        <v>0</v>
      </c>
      <c r="L8817" s="10" t="str">
        <f t="shared" si="672"/>
        <v>LUP - VAE invitación simposio SEN-SER - Nefro</v>
      </c>
      <c r="M8817" s="10" t="str">
        <f t="shared" si="673"/>
        <v>sruizlemos@crm.otsuka-europe.com</v>
      </c>
      <c r="N8817" s="13">
        <v>46185.313773148147</v>
      </c>
      <c r="O8817" s="14" t="str">
        <f>HYPERLINK("https://otsuka-europe-crm.veevavault.com/ui/#object/email_activity__v/V8C00000003V082", "EN-002094984")</f>
        <v>EN-002094984</v>
      </c>
    </row>
    <row r="8818" spans="1:15" ht="32" x14ac:dyDescent="0.2">
      <c r="A8818" s="7" t="str">
        <f>HYPERLINK("https://otsuka-europe-crm.veevavault.com/ui/#object/account__v/V4TZ06G6O71U7IM", "OLAIA CONDE RIVERA")</f>
        <v>OLAIA CONDE RIVERA</v>
      </c>
      <c r="B8818" s="7" t="str">
        <f t="shared" si="670"/>
        <v>ES</v>
      </c>
      <c r="C8818" s="8" t="s">
        <v>41</v>
      </c>
      <c r="D8818" s="9" t="str">
        <f t="shared" si="671"/>
        <v>LUP - VAE invitación simposio SEN-SER - Nefro</v>
      </c>
      <c r="E8818" s="10" t="str">
        <f>HYPERLINK("https://otsuka-europe-crm.veevavault.com/ui/#object/sent_email__v/VBL00000002T059", "SE-001435578")</f>
        <v>SE-001435578</v>
      </c>
      <c r="F8818" s="11"/>
      <c r="G8818" s="12">
        <v>0</v>
      </c>
      <c r="H8818" s="12">
        <v>0</v>
      </c>
      <c r="I8818" s="12">
        <v>0</v>
      </c>
      <c r="J8818" s="11"/>
      <c r="K8818" s="12">
        <v>0</v>
      </c>
      <c r="L8818" s="10" t="str">
        <f t="shared" si="672"/>
        <v>LUP - VAE invitación simposio SEN-SER - Nefro</v>
      </c>
      <c r="M8818" s="10" t="str">
        <f t="shared" si="673"/>
        <v>sruizlemos@crm.otsuka-europe.com</v>
      </c>
      <c r="N8818" s="13">
        <v>46185.313773148147</v>
      </c>
      <c r="O8818" s="14" t="str">
        <f>HYPERLINK("https://otsuka-europe-crm.veevavault.com/ui/#object/email_activity__v/V8C00000003V085", "EN-002094987")</f>
        <v>EN-002094987</v>
      </c>
    </row>
    <row r="8819" spans="1:15" ht="32" x14ac:dyDescent="0.2">
      <c r="A8819" s="7" t="str">
        <f>HYPERLINK("https://otsuka-europe-crm.veevavault.com/ui/#object/account__v/V4TZ06G6O71TC2A", "JOSE EMILIO SANCHEZ ALVAREZ")</f>
        <v>JOSE EMILIO SANCHEZ ALVAREZ</v>
      </c>
      <c r="B8819" s="7" t="str">
        <f t="shared" si="670"/>
        <v>ES</v>
      </c>
      <c r="C8819" s="8" t="s">
        <v>41</v>
      </c>
      <c r="D8819" s="9" t="str">
        <f t="shared" si="671"/>
        <v>LUP - VAE invitación simposio SEN-SER - Nefro</v>
      </c>
      <c r="E8819" s="10" t="str">
        <f>HYPERLINK("https://otsuka-europe-crm.veevavault.com/ui/#object/sent_email__v/VBL00000002T060", "SE-001435579")</f>
        <v>SE-001435579</v>
      </c>
      <c r="F8819" s="11"/>
      <c r="G8819" s="12">
        <v>0</v>
      </c>
      <c r="H8819" s="12">
        <v>0</v>
      </c>
      <c r="I8819" s="12">
        <v>0</v>
      </c>
      <c r="J8819" s="11"/>
      <c r="K8819" s="12">
        <v>0</v>
      </c>
      <c r="L8819" s="10" t="str">
        <f t="shared" si="672"/>
        <v>LUP - VAE invitación simposio SEN-SER - Nefro</v>
      </c>
      <c r="M8819" s="10" t="str">
        <f t="shared" si="673"/>
        <v>sruizlemos@crm.otsuka-europe.com</v>
      </c>
      <c r="N8819" s="13">
        <v>46185.313738425924</v>
      </c>
      <c r="O8819" s="14" t="str">
        <f>HYPERLINK("https://otsuka-europe-crm.veevavault.com/ui/#object/email_activity__v/V8C00000003U090", "EN-002095014")</f>
        <v>EN-002095014</v>
      </c>
    </row>
    <row r="8820" spans="1:15" ht="32" x14ac:dyDescent="0.2">
      <c r="A8820" s="7" t="str">
        <f>HYPERLINK("https://otsuka-europe-crm.veevavault.com/ui/#object/account__v/V4TZ025E839FOSX", "MARIA JESUS CAMBA CARIDE")</f>
        <v>MARIA JESUS CAMBA CARIDE</v>
      </c>
      <c r="B8820" s="7" t="str">
        <f t="shared" si="670"/>
        <v>ES</v>
      </c>
      <c r="C8820" s="8" t="s">
        <v>41</v>
      </c>
      <c r="D8820" s="9" t="str">
        <f t="shared" si="671"/>
        <v>LUP - VAE invitación simposio SEN-SER - Nefro</v>
      </c>
      <c r="E8820" s="10" t="str">
        <f>HYPERLINK("https://otsuka-europe-crm.veevavault.com/ui/#object/sent_email__v/VBL00000002T061", "SE-001435580")</f>
        <v>SE-001435580</v>
      </c>
      <c r="F8820" s="11"/>
      <c r="G8820" s="12">
        <v>0</v>
      </c>
      <c r="H8820" s="12">
        <v>0</v>
      </c>
      <c r="I8820" s="12">
        <v>0</v>
      </c>
      <c r="J8820" s="11"/>
      <c r="K8820" s="12">
        <v>0</v>
      </c>
      <c r="L8820" s="10" t="str">
        <f t="shared" si="672"/>
        <v>LUP - VAE invitación simposio SEN-SER - Nefro</v>
      </c>
      <c r="M8820" s="10" t="str">
        <f t="shared" si="673"/>
        <v>sruizlemos@crm.otsuka-europe.com</v>
      </c>
      <c r="N8820" s="13">
        <v>46185.313773148147</v>
      </c>
      <c r="O8820" s="14" t="str">
        <f>HYPERLINK("https://otsuka-europe-crm.veevavault.com/ui/#object/email_activity__v/V8C00000003V065", "EN-002094951")</f>
        <v>EN-002094951</v>
      </c>
    </row>
    <row r="8821" spans="1:15" ht="32" x14ac:dyDescent="0.2">
      <c r="A8821" s="7" t="str">
        <f>HYPERLINK("https://otsuka-europe-crm.veevavault.com/ui/#object/account__v/V4TZ06G6O71T9MP", "SECUNDINO JOSE CIGARRAN GULDRIS")</f>
        <v>SECUNDINO JOSE CIGARRAN GULDRIS</v>
      </c>
      <c r="B8821" s="7" t="str">
        <f t="shared" si="670"/>
        <v>ES</v>
      </c>
      <c r="C8821" s="8" t="s">
        <v>41</v>
      </c>
      <c r="D8821" s="9" t="str">
        <f t="shared" si="671"/>
        <v>LUP - VAE invitación simposio SEN-SER - Nefro</v>
      </c>
      <c r="E8821" s="10" t="str">
        <f>HYPERLINK("https://otsuka-europe-crm.veevavault.com/ui/#object/sent_email__v/VBL00000002T062", "SE-001435581")</f>
        <v>SE-001435581</v>
      </c>
      <c r="F8821" s="11"/>
      <c r="G8821" s="12">
        <v>0</v>
      </c>
      <c r="H8821" s="12">
        <v>0</v>
      </c>
      <c r="I8821" s="12">
        <v>0</v>
      </c>
      <c r="J8821" s="11"/>
      <c r="K8821" s="12">
        <v>0</v>
      </c>
      <c r="L8821" s="10" t="str">
        <f t="shared" si="672"/>
        <v>LUP - VAE invitación simposio SEN-SER - Nefro</v>
      </c>
      <c r="M8821" s="10" t="str">
        <f t="shared" si="673"/>
        <v>sruizlemos@crm.otsuka-europe.com</v>
      </c>
      <c r="N8821" s="13">
        <v>46185.313738425924</v>
      </c>
      <c r="O8821" s="14" t="str">
        <f>HYPERLINK("https://otsuka-europe-crm.veevavault.com/ui/#object/email_activity__v/V8C00000003V116", "EN-002095028")</f>
        <v>EN-002095028</v>
      </c>
    </row>
    <row r="8822" spans="1:15" ht="32" x14ac:dyDescent="0.2">
      <c r="A8822" s="7" t="str">
        <f>HYPERLINK("https://otsuka-europe-crm.veevavault.com/ui/#object/account__v/V4TZ06G6O71T7VM", "JOSE JOAQUIN BANDE FERNANDEZ")</f>
        <v>JOSE JOAQUIN BANDE FERNANDEZ</v>
      </c>
      <c r="B8822" s="7" t="str">
        <f t="shared" si="670"/>
        <v>ES</v>
      </c>
      <c r="C8822" s="8" t="s">
        <v>41</v>
      </c>
      <c r="D8822" s="9" t="str">
        <f t="shared" si="671"/>
        <v>LUP - VAE invitación simposio SEN-SER - Nefro</v>
      </c>
      <c r="E8822" s="10" t="str">
        <f>HYPERLINK("https://otsuka-europe-crm.veevavault.com/ui/#object/sent_email__v/VBL00000002T063", "SE-001435582")</f>
        <v>SE-001435582</v>
      </c>
      <c r="F8822" s="11"/>
      <c r="G8822" s="12">
        <v>0</v>
      </c>
      <c r="H8822" s="12">
        <v>0</v>
      </c>
      <c r="I8822" s="12">
        <v>0</v>
      </c>
      <c r="J8822" s="11"/>
      <c r="K8822" s="12">
        <v>0</v>
      </c>
      <c r="L8822" s="10" t="str">
        <f t="shared" si="672"/>
        <v>LUP - VAE invitación simposio SEN-SER - Nefro</v>
      </c>
      <c r="M8822" s="10" t="str">
        <f t="shared" si="673"/>
        <v>sruizlemos@crm.otsuka-europe.com</v>
      </c>
      <c r="N8822" s="13">
        <v>46185.313738425924</v>
      </c>
      <c r="O8822" s="14" t="str">
        <f>HYPERLINK("https://otsuka-europe-crm.veevavault.com/ui/#object/email_activity__v/V8C00000003V046", "EN-002094926")</f>
        <v>EN-002094926</v>
      </c>
    </row>
    <row r="8823" spans="1:15" ht="16" x14ac:dyDescent="0.2">
      <c r="A8823" s="17" t="str">
        <f>HYPERLINK("https://otsuka-europe-crm.veevavault.com/ui/#object/account__v/V4TZ06G6O71TC3Z", "CARLOS RUIZ-ZORRILLA LOPEZ")</f>
        <v>CARLOS RUIZ-ZORRILLA LOPEZ</v>
      </c>
      <c r="B8823" s="17" t="str">
        <f t="shared" si="670"/>
        <v>ES</v>
      </c>
      <c r="C8823" s="20" t="s">
        <v>41</v>
      </c>
      <c r="D8823" s="21" t="str">
        <f t="shared" si="671"/>
        <v>LUP - VAE invitación simposio SEN-SER - Nefro</v>
      </c>
      <c r="E8823" s="22" t="str">
        <f>HYPERLINK("https://otsuka-europe-crm.veevavault.com/ui/#object/sent_email__v/VBL00000002T064", "SE-001435583")</f>
        <v>SE-001435583</v>
      </c>
      <c r="F8823" s="25"/>
      <c r="G8823" s="24">
        <v>0</v>
      </c>
      <c r="H8823" s="24">
        <v>0</v>
      </c>
      <c r="I8823" s="24">
        <v>0</v>
      </c>
      <c r="J8823" s="25"/>
      <c r="K8823" s="24">
        <v>0</v>
      </c>
      <c r="L8823" s="22" t="str">
        <f t="shared" si="672"/>
        <v>LUP - VAE invitación simposio SEN-SER - Nefro</v>
      </c>
      <c r="M8823" s="22" t="str">
        <f t="shared" si="673"/>
        <v>sruizlemos@crm.otsuka-europe.com</v>
      </c>
      <c r="N8823" s="23">
        <v>46185.313773148147</v>
      </c>
      <c r="O8823" s="14" t="str">
        <f>HYPERLINK("https://otsuka-europe-crm.veevavault.com/ui/#object/email_activity__v/V8C00000003U151", "EN-002095155")</f>
        <v>EN-002095155</v>
      </c>
    </row>
    <row r="8824" spans="1:15" ht="16" x14ac:dyDescent="0.2">
      <c r="A8824" s="19"/>
      <c r="B8824" s="19"/>
      <c r="C8824" s="19"/>
      <c r="D8824" s="19"/>
      <c r="E8824" s="19"/>
      <c r="F8824" s="19"/>
      <c r="G8824" s="19"/>
      <c r="H8824" s="19"/>
      <c r="I8824" s="19"/>
      <c r="J8824" s="19"/>
      <c r="K8824" s="19"/>
      <c r="L8824" s="19"/>
      <c r="M8824" s="19"/>
      <c r="N8824" s="19"/>
      <c r="O8824" s="14" t="str">
        <f>HYPERLINK("https://otsuka-europe-crm.veevavault.com/ui/#object/email_activity__v/V8C00000003V084", "EN-002094986")</f>
        <v>EN-002094986</v>
      </c>
    </row>
    <row r="8825" spans="1:15" ht="32" x14ac:dyDescent="0.2">
      <c r="A8825" s="7" t="str">
        <f>HYPERLINK("https://otsuka-europe-crm.veevavault.com/ui/#object/account__v/V4TZ04ASG6LDPHP", "BORJA TEMES ALVAREZ")</f>
        <v>BORJA TEMES ALVAREZ</v>
      </c>
      <c r="B8825" s="7" t="str">
        <f>HYPERLINK("https://otsuka-europe-crm.veevavault.com/ui/#object/vcountry__v/VENZ000004SONF5", "ES")</f>
        <v>ES</v>
      </c>
      <c r="C8825" s="8" t="s">
        <v>41</v>
      </c>
      <c r="D8825" s="9" t="str">
        <f>HYPERLINK("https://otsuka-europe-crm.veevavault.com/ui/#object/approved_document__v/V5O00000001H022", "LUP - VAE invitación simposio SEN-SER - Nefro")</f>
        <v>LUP - VAE invitación simposio SEN-SER - Nefro</v>
      </c>
      <c r="E8825" s="10" t="str">
        <f>HYPERLINK("https://otsuka-europe-crm.veevavault.com/ui/#object/sent_email__v/VBL00000002T065", "SE-001435584")</f>
        <v>SE-001435584</v>
      </c>
      <c r="F8825" s="11"/>
      <c r="G8825" s="12">
        <v>0</v>
      </c>
      <c r="H8825" s="12">
        <v>0</v>
      </c>
      <c r="I8825" s="12">
        <v>0</v>
      </c>
      <c r="J8825" s="11"/>
      <c r="K8825" s="12">
        <v>0</v>
      </c>
      <c r="L8825" s="10" t="str">
        <f>HYPERLINK("https://otsuka-europe-crm.veevavault.com/ui/#object/approved_document__v/V5O00000001H022", "LUP - VAE invitación simposio SEN-SER - Nefro")</f>
        <v>LUP - VAE invitación simposio SEN-SER - Nefro</v>
      </c>
      <c r="M8825" s="10" t="str">
        <f>HYPERLINK("mailto:sruizlemos@crm.otsuka-europe.com", "sruizlemos@crm.otsuka-europe.com")</f>
        <v>sruizlemos@crm.otsuka-europe.com</v>
      </c>
      <c r="N8825" s="13">
        <v>46185.313773148147</v>
      </c>
      <c r="O8825" s="14" t="str">
        <f>HYPERLINK("https://otsuka-europe-crm.veevavault.com/ui/#object/email_activity__v/V8C00000003V064", "EN-002094950")</f>
        <v>EN-002094950</v>
      </c>
    </row>
    <row r="8826" spans="1:15" ht="32" x14ac:dyDescent="0.2">
      <c r="A8826" s="7" t="str">
        <f>HYPERLINK("https://otsuka-europe-crm.veevavault.com/ui/#object/account__v/V4TZ06G6O71T9TC", "MARIA CARMEN DIAZ CORTE")</f>
        <v>MARIA CARMEN DIAZ CORTE</v>
      </c>
      <c r="B8826" s="7" t="str">
        <f>HYPERLINK("https://otsuka-europe-crm.veevavault.com/ui/#object/vcountry__v/VENZ000004SONF5", "ES")</f>
        <v>ES</v>
      </c>
      <c r="C8826" s="8" t="s">
        <v>41</v>
      </c>
      <c r="D8826" s="9" t="str">
        <f>HYPERLINK("https://otsuka-europe-crm.veevavault.com/ui/#object/approved_document__v/V5O00000001H022", "LUP - VAE invitación simposio SEN-SER - Nefro")</f>
        <v>LUP - VAE invitación simposio SEN-SER - Nefro</v>
      </c>
      <c r="E8826" s="10" t="str">
        <f>HYPERLINK("https://otsuka-europe-crm.veevavault.com/ui/#object/sent_email__v/VBL00000002T066", "SE-001435585")</f>
        <v>SE-001435585</v>
      </c>
      <c r="F8826" s="11"/>
      <c r="G8826" s="12">
        <v>0</v>
      </c>
      <c r="H8826" s="12">
        <v>0</v>
      </c>
      <c r="I8826" s="12">
        <v>0</v>
      </c>
      <c r="J8826" s="11"/>
      <c r="K8826" s="12">
        <v>0</v>
      </c>
      <c r="L8826" s="10" t="str">
        <f>HYPERLINK("https://otsuka-europe-crm.veevavault.com/ui/#object/approved_document__v/V5O00000001H022", "LUP - VAE invitación simposio SEN-SER - Nefro")</f>
        <v>LUP - VAE invitación simposio SEN-SER - Nefro</v>
      </c>
      <c r="M8826" s="10" t="str">
        <f>HYPERLINK("mailto:sruizlemos@crm.otsuka-europe.com", "sruizlemos@crm.otsuka-europe.com")</f>
        <v>sruizlemos@crm.otsuka-europe.com</v>
      </c>
      <c r="N8826" s="13">
        <v>46185.313738425924</v>
      </c>
      <c r="O8826" s="14" t="str">
        <f>HYPERLINK("https://otsuka-europe-crm.veevavault.com/ui/#object/email_activity__v/V8C00000003U120", "EN-002095093")</f>
        <v>EN-002095093</v>
      </c>
    </row>
    <row r="8827" spans="1:15" ht="16" x14ac:dyDescent="0.2">
      <c r="A8827" s="17" t="str">
        <f>HYPERLINK("https://otsuka-europe-crm.veevavault.com/ui/#object/account__v/V4TZ06G6OB3XDUT", "ADRIANA MARIA CAVADA BUSTAMANTE")</f>
        <v>ADRIANA MARIA CAVADA BUSTAMANTE</v>
      </c>
      <c r="B8827" s="17" t="str">
        <f>HYPERLINK("https://otsuka-europe-crm.veevavault.com/ui/#object/vcountry__v/VENZ000004SONF5", "ES")</f>
        <v>ES</v>
      </c>
      <c r="C8827" s="20" t="s">
        <v>41</v>
      </c>
      <c r="D8827" s="21" t="str">
        <f>HYPERLINK("https://otsuka-europe-crm.veevavault.com/ui/#object/approved_document__v/V5O00000001H022", "LUP - VAE invitación simposio SEN-SER - Nefro")</f>
        <v>LUP - VAE invitación simposio SEN-SER - Nefro</v>
      </c>
      <c r="E8827" s="22" t="str">
        <f>HYPERLINK("https://otsuka-europe-crm.veevavault.com/ui/#object/sent_email__v/VBL00000002T067", "SE-001435586")</f>
        <v>SE-001435586</v>
      </c>
      <c r="F8827" s="23">
        <v>46185.313819444447</v>
      </c>
      <c r="G8827" s="24">
        <v>1</v>
      </c>
      <c r="H8827" s="24">
        <v>1</v>
      </c>
      <c r="I8827" s="24">
        <v>0</v>
      </c>
      <c r="J8827" s="25"/>
      <c r="K8827" s="24">
        <v>0</v>
      </c>
      <c r="L8827" s="22" t="str">
        <f>HYPERLINK("https://otsuka-europe-crm.veevavault.com/ui/#object/approved_document__v/V5O00000001H022", "LUP - VAE invitación simposio SEN-SER - Nefro")</f>
        <v>LUP - VAE invitación simposio SEN-SER - Nefro</v>
      </c>
      <c r="M8827" s="22" t="str">
        <f>HYPERLINK("mailto:sruizlemos@crm.otsuka-europe.com", "sruizlemos@crm.otsuka-europe.com")</f>
        <v>sruizlemos@crm.otsuka-europe.com</v>
      </c>
      <c r="N8827" s="23">
        <v>46185.313738425924</v>
      </c>
      <c r="O8827" s="14" t="str">
        <f>HYPERLINK("https://otsuka-europe-crm.veevavault.com/ui/#object/email_activity__v/V8C00000003U062", "EN-002094924")</f>
        <v>EN-002094924</v>
      </c>
    </row>
    <row r="8828" spans="1:15" ht="16" x14ac:dyDescent="0.2">
      <c r="A8828" s="19"/>
      <c r="B8828" s="19"/>
      <c r="C8828" s="19"/>
      <c r="D8828" s="19"/>
      <c r="E8828" s="19"/>
      <c r="F8828" s="19"/>
      <c r="G8828" s="19"/>
      <c r="H8828" s="19"/>
      <c r="I8828" s="19"/>
      <c r="J8828" s="19"/>
      <c r="K8828" s="19"/>
      <c r="L8828" s="19"/>
      <c r="M8828" s="19"/>
      <c r="N8828" s="19"/>
      <c r="O8828" s="14" t="str">
        <f>HYPERLINK("https://otsuka-europe-crm.veevavault.com/ui/#object/email_activity__v/V8C00000003U078", "EN-002094963")</f>
        <v>EN-002094963</v>
      </c>
    </row>
    <row r="8829" spans="1:15" ht="32" x14ac:dyDescent="0.2">
      <c r="A8829" s="7" t="str">
        <f>HYPERLINK("https://otsuka-europe-crm.veevavault.com/ui/#object/account__v/V4TZ06G6O71T8K0", "MAGDALENA ADEVA ANDANY")</f>
        <v>MAGDALENA ADEVA ANDANY</v>
      </c>
      <c r="B8829" s="7" t="str">
        <f>HYPERLINK("https://otsuka-europe-crm.veevavault.com/ui/#object/vcountry__v/VENZ000004SONF5", "ES")</f>
        <v>ES</v>
      </c>
      <c r="C8829" s="8" t="s">
        <v>41</v>
      </c>
      <c r="D8829" s="9" t="str">
        <f>HYPERLINK("https://otsuka-europe-crm.veevavault.com/ui/#object/approved_document__v/V5O00000001H022", "LUP - VAE invitación simposio SEN-SER - Nefro")</f>
        <v>LUP - VAE invitación simposio SEN-SER - Nefro</v>
      </c>
      <c r="E8829" s="10" t="str">
        <f>HYPERLINK("https://otsuka-europe-crm.veevavault.com/ui/#object/sent_email__v/VBL00000002T068", "SE-001435587")</f>
        <v>SE-001435587</v>
      </c>
      <c r="F8829" s="11"/>
      <c r="G8829" s="12">
        <v>0</v>
      </c>
      <c r="H8829" s="12">
        <v>0</v>
      </c>
      <c r="I8829" s="12">
        <v>0</v>
      </c>
      <c r="J8829" s="11"/>
      <c r="K8829" s="12">
        <v>0</v>
      </c>
      <c r="L8829" s="10" t="str">
        <f>HYPERLINK("https://otsuka-europe-crm.veevavault.com/ui/#object/approved_document__v/V5O00000001H022", "LUP - VAE invitación simposio SEN-SER - Nefro")</f>
        <v>LUP - VAE invitación simposio SEN-SER - Nefro</v>
      </c>
      <c r="M8829" s="10" t="str">
        <f>HYPERLINK("mailto:sruizlemos@crm.otsuka-europe.com", "sruizlemos@crm.otsuka-europe.com")</f>
        <v>sruizlemos@crm.otsuka-europe.com</v>
      </c>
      <c r="N8829" s="13">
        <v>46185.313761574071</v>
      </c>
      <c r="O8829" s="14" t="str">
        <f>HYPERLINK("https://otsuka-europe-crm.veevavault.com/ui/#object/email_activity__v/V8C00000003V071", "EN-002094967")</f>
        <v>EN-002094967</v>
      </c>
    </row>
    <row r="8830" spans="1:15" ht="16" x14ac:dyDescent="0.2">
      <c r="A8830" s="17" t="str">
        <f>HYPERLINK("https://otsuka-europe-crm.veevavault.com/ui/#object/account__v/V4TZ025E85VQ2PV", "NEREA MOLINA ALVAREZ")</f>
        <v>NEREA MOLINA ALVAREZ</v>
      </c>
      <c r="B8830" s="17" t="str">
        <f>HYPERLINK("https://otsuka-europe-crm.veevavault.com/ui/#object/vcountry__v/VENZ000004SONF5", "ES")</f>
        <v>ES</v>
      </c>
      <c r="C8830" s="20" t="s">
        <v>41</v>
      </c>
      <c r="D8830" s="21" t="str">
        <f>HYPERLINK("https://otsuka-europe-crm.veevavault.com/ui/#object/approved_document__v/V5O00000001H022", "LUP - VAE invitación simposio SEN-SER - Nefro")</f>
        <v>LUP - VAE invitación simposio SEN-SER - Nefro</v>
      </c>
      <c r="E8830" s="22" t="str">
        <f>HYPERLINK("https://otsuka-europe-crm.veevavault.com/ui/#object/sent_email__v/VBL00000002T069", "SE-001435588")</f>
        <v>SE-001435588</v>
      </c>
      <c r="F8830" s="23">
        <v>46185.333819444444</v>
      </c>
      <c r="G8830" s="24">
        <v>1</v>
      </c>
      <c r="H8830" s="24">
        <v>1</v>
      </c>
      <c r="I8830" s="24">
        <v>0</v>
      </c>
      <c r="J8830" s="25"/>
      <c r="K8830" s="24">
        <v>0</v>
      </c>
      <c r="L8830" s="22" t="str">
        <f>HYPERLINK("https://otsuka-europe-crm.veevavault.com/ui/#object/approved_document__v/V5O00000001H022", "LUP - VAE invitación simposio SEN-SER - Nefro")</f>
        <v>LUP - VAE invitación simposio SEN-SER - Nefro</v>
      </c>
      <c r="M8830" s="22" t="str">
        <f>HYPERLINK("mailto:sruizlemos@crm.otsuka-europe.com", "sruizlemos@crm.otsuka-europe.com")</f>
        <v>sruizlemos@crm.otsuka-europe.com</v>
      </c>
      <c r="N8830" s="23">
        <v>46185.313715277778</v>
      </c>
      <c r="O8830" s="14" t="str">
        <f>HYPERLINK("https://otsuka-europe-crm.veevavault.com/ui/#object/email_activity__v/V8C00000003U129", "EN-002095112")</f>
        <v>EN-002095112</v>
      </c>
    </row>
    <row r="8831" spans="1:15" ht="16" x14ac:dyDescent="0.2">
      <c r="A8831" s="19"/>
      <c r="B8831" s="19"/>
      <c r="C8831" s="19"/>
      <c r="D8831" s="19"/>
      <c r="E8831" s="19"/>
      <c r="F8831" s="19"/>
      <c r="G8831" s="19"/>
      <c r="H8831" s="19"/>
      <c r="I8831" s="19"/>
      <c r="J8831" s="19"/>
      <c r="K8831" s="19"/>
      <c r="L8831" s="19"/>
      <c r="M8831" s="19"/>
      <c r="N8831" s="19"/>
      <c r="O8831" s="14" t="str">
        <f>HYPERLINK("https://otsuka-europe-crm.veevavault.com/ui/#object/email_activity__v/V8C00000003V055", "EN-002094941")</f>
        <v>EN-002094941</v>
      </c>
    </row>
    <row r="8832" spans="1:15" ht="32" x14ac:dyDescent="0.2">
      <c r="A8832" s="7" t="str">
        <f>HYPERLINK("https://otsuka-europe-crm.veevavault.com/ui/#object/account__v/V4TZ06G6O71UQQP", "CATUXA RODRIGUEZ MAGARIÑOS")</f>
        <v>CATUXA RODRIGUEZ MAGARIÑOS</v>
      </c>
      <c r="B8832" s="7" t="str">
        <f>HYPERLINK("https://otsuka-europe-crm.veevavault.com/ui/#object/vcountry__v/VENZ000004SONF5", "ES")</f>
        <v>ES</v>
      </c>
      <c r="C8832" s="8" t="s">
        <v>41</v>
      </c>
      <c r="D8832" s="9" t="str">
        <f>HYPERLINK("https://otsuka-europe-crm.veevavault.com/ui/#object/approved_document__v/V5O00000001H022", "LUP - VAE invitación simposio SEN-SER - Nefro")</f>
        <v>LUP - VAE invitación simposio SEN-SER - Nefro</v>
      </c>
      <c r="E8832" s="10" t="str">
        <f>HYPERLINK("https://otsuka-europe-crm.veevavault.com/ui/#object/sent_email__v/VBL00000002T070", "SE-001435589")</f>
        <v>SE-001435589</v>
      </c>
      <c r="F8832" s="11"/>
      <c r="G8832" s="12">
        <v>0</v>
      </c>
      <c r="H8832" s="12">
        <v>0</v>
      </c>
      <c r="I8832" s="12">
        <v>0</v>
      </c>
      <c r="J8832" s="11"/>
      <c r="K8832" s="12">
        <v>0</v>
      </c>
      <c r="L8832" s="10" t="str">
        <f>HYPERLINK("https://otsuka-europe-crm.veevavault.com/ui/#object/approved_document__v/V5O00000001H022", "LUP - VAE invitación simposio SEN-SER - Nefro")</f>
        <v>LUP - VAE invitación simposio SEN-SER - Nefro</v>
      </c>
      <c r="M8832" s="10" t="str">
        <f>HYPERLINK("mailto:sruizlemos@crm.otsuka-europe.com", "sruizlemos@crm.otsuka-europe.com")</f>
        <v>sruizlemos@crm.otsuka-europe.com</v>
      </c>
      <c r="N8832" s="13">
        <v>46185.313738425924</v>
      </c>
      <c r="O8832" s="14" t="str">
        <f>HYPERLINK("https://otsuka-europe-crm.veevavault.com/ui/#object/email_activity__v/V8C00000003U057", "EN-002094919")</f>
        <v>EN-002094919</v>
      </c>
    </row>
    <row r="8833" spans="1:15" ht="16" x14ac:dyDescent="0.2">
      <c r="A8833" s="17" t="str">
        <f>HYPERLINK("https://otsuka-europe-crm.veevavault.com/ui/#object/account__v/V4TZ06G6O71TJWD", "LEONARDO ALCURIA LEDO")</f>
        <v>LEONARDO ALCURIA LEDO</v>
      </c>
      <c r="B8833" s="17" t="str">
        <f>HYPERLINK("https://otsuka-europe-crm.veevavault.com/ui/#object/vcountry__v/VENZ000004SONF5", "ES")</f>
        <v>ES</v>
      </c>
      <c r="C8833" s="20" t="s">
        <v>41</v>
      </c>
      <c r="D8833" s="21" t="str">
        <f>HYPERLINK("https://otsuka-europe-crm.veevavault.com/ui/#object/approved_document__v/V5O00000001H022", "LUP - VAE invitación simposio SEN-SER - Nefro")</f>
        <v>LUP - VAE invitación simposio SEN-SER - Nefro</v>
      </c>
      <c r="E8833" s="22" t="str">
        <f>HYPERLINK("https://otsuka-europe-crm.veevavault.com/ui/#object/sent_email__v/VBL00000002T071", "SE-001435590")</f>
        <v>SE-001435590</v>
      </c>
      <c r="F8833" s="23">
        <v>46185.877465277779</v>
      </c>
      <c r="G8833" s="24">
        <v>1</v>
      </c>
      <c r="H8833" s="24">
        <v>3</v>
      </c>
      <c r="I8833" s="24">
        <v>0</v>
      </c>
      <c r="J8833" s="25"/>
      <c r="K8833" s="24">
        <v>0</v>
      </c>
      <c r="L8833" s="22" t="str">
        <f>HYPERLINK("https://otsuka-europe-crm.veevavault.com/ui/#object/approved_document__v/V5O00000001H022", "LUP - VAE invitación simposio SEN-SER - Nefro")</f>
        <v>LUP - VAE invitación simposio SEN-SER - Nefro</v>
      </c>
      <c r="M8833" s="22" t="str">
        <f>HYPERLINK("mailto:sruizlemos@crm.otsuka-europe.com", "sruizlemos@crm.otsuka-europe.com")</f>
        <v>sruizlemos@crm.otsuka-europe.com</v>
      </c>
      <c r="N8833" s="23">
        <v>46185.313761574071</v>
      </c>
      <c r="O8833" s="14" t="str">
        <f>HYPERLINK("https://otsuka-europe-crm.veevavault.com/ui/#object/email_activity__v/V8C00000003U353", "EN-002095544")</f>
        <v>EN-002095544</v>
      </c>
    </row>
    <row r="8834" spans="1:15" ht="16" x14ac:dyDescent="0.2">
      <c r="A8834" s="18"/>
      <c r="B8834" s="18"/>
      <c r="C8834" s="18"/>
      <c r="D8834" s="18"/>
      <c r="E8834" s="18"/>
      <c r="F8834" s="18"/>
      <c r="G8834" s="18"/>
      <c r="H8834" s="18"/>
      <c r="I8834" s="18"/>
      <c r="J8834" s="18"/>
      <c r="K8834" s="18"/>
      <c r="L8834" s="18"/>
      <c r="M8834" s="18"/>
      <c r="N8834" s="18"/>
      <c r="O8834" s="14" t="str">
        <f>HYPERLINK("https://otsuka-europe-crm.veevavault.com/ui/#object/email_activity__v/V8C00000003U364", "EN-002095584")</f>
        <v>EN-002095584</v>
      </c>
    </row>
    <row r="8835" spans="1:15" ht="16" x14ac:dyDescent="0.2">
      <c r="A8835" s="18"/>
      <c r="B8835" s="18"/>
      <c r="C8835" s="18"/>
      <c r="D8835" s="18"/>
      <c r="E8835" s="18"/>
      <c r="F8835" s="18"/>
      <c r="G8835" s="18"/>
      <c r="H8835" s="18"/>
      <c r="I8835" s="18"/>
      <c r="J8835" s="18"/>
      <c r="K8835" s="18"/>
      <c r="L8835" s="18"/>
      <c r="M8835" s="18"/>
      <c r="N8835" s="18"/>
      <c r="O8835" s="14" t="str">
        <f>HYPERLINK("https://otsuka-europe-crm.veevavault.com/ui/#object/email_activity__v/V8C00000003V091", "EN-002094993")</f>
        <v>EN-002094993</v>
      </c>
    </row>
    <row r="8836" spans="1:15" ht="16" x14ac:dyDescent="0.2">
      <c r="A8836" s="19"/>
      <c r="B8836" s="19"/>
      <c r="C8836" s="19"/>
      <c r="D8836" s="19"/>
      <c r="E8836" s="19"/>
      <c r="F8836" s="19"/>
      <c r="G8836" s="19"/>
      <c r="H8836" s="19"/>
      <c r="I8836" s="19"/>
      <c r="J8836" s="19"/>
      <c r="K8836" s="19"/>
      <c r="L8836" s="19"/>
      <c r="M8836" s="19"/>
      <c r="N8836" s="19"/>
      <c r="O8836" s="14" t="str">
        <f>HYPERLINK("https://otsuka-europe-crm.veevavault.com/ui/#object/email_activity__v/V8C00000003V364", "EN-002095524")</f>
        <v>EN-002095524</v>
      </c>
    </row>
    <row r="8837" spans="1:15" ht="16" x14ac:dyDescent="0.2">
      <c r="A8837" s="17" t="str">
        <f>HYPERLINK("https://otsuka-europe-crm.veevavault.com/ui/#object/account__v/V4TZ06G6O71T8Q5", "LUIS FERNANDO MORAN FERNANDEZ")</f>
        <v>LUIS FERNANDO MORAN FERNANDEZ</v>
      </c>
      <c r="B8837" s="17" t="str">
        <f>HYPERLINK("https://otsuka-europe-crm.veevavault.com/ui/#object/vcountry__v/VENZ000004SONF5", "ES")</f>
        <v>ES</v>
      </c>
      <c r="C8837" s="20" t="s">
        <v>41</v>
      </c>
      <c r="D8837" s="21" t="str">
        <f>HYPERLINK("https://otsuka-europe-crm.veevavault.com/ui/#object/approved_document__v/V5O00000001H022", "LUP - VAE invitación simposio SEN-SER - Nefro")</f>
        <v>LUP - VAE invitación simposio SEN-SER - Nefro</v>
      </c>
      <c r="E8837" s="22" t="str">
        <f>HYPERLINK("https://otsuka-europe-crm.veevavault.com/ui/#object/sent_email__v/VBL00000002T072", "SE-001435591")</f>
        <v>SE-001435591</v>
      </c>
      <c r="F8837" s="23">
        <v>46185.478437500002</v>
      </c>
      <c r="G8837" s="24">
        <v>1</v>
      </c>
      <c r="H8837" s="24">
        <v>4</v>
      </c>
      <c r="I8837" s="24">
        <v>0</v>
      </c>
      <c r="J8837" s="25"/>
      <c r="K8837" s="24">
        <v>0</v>
      </c>
      <c r="L8837" s="22" t="str">
        <f>HYPERLINK("https://otsuka-europe-crm.veevavault.com/ui/#object/approved_document__v/V5O00000001H022", "LUP - VAE invitación simposio SEN-SER - Nefro")</f>
        <v>LUP - VAE invitación simposio SEN-SER - Nefro</v>
      </c>
      <c r="M8837" s="22" t="str">
        <f>HYPERLINK("mailto:sruizlemos@crm.otsuka-europe.com", "sruizlemos@crm.otsuka-europe.com")</f>
        <v>sruizlemos@crm.otsuka-europe.com</v>
      </c>
      <c r="N8837" s="23">
        <v>46185.313750000001</v>
      </c>
      <c r="O8837" s="14" t="str">
        <f>HYPERLINK("https://otsuka-europe-crm.veevavault.com/ui/#object/email_activity__v/V8C00000003U165", "EN-002095191")</f>
        <v>EN-002095191</v>
      </c>
    </row>
    <row r="8838" spans="1:15" ht="16" x14ac:dyDescent="0.2">
      <c r="A8838" s="18"/>
      <c r="B8838" s="18"/>
      <c r="C8838" s="18"/>
      <c r="D8838" s="18"/>
      <c r="E8838" s="18"/>
      <c r="F8838" s="18"/>
      <c r="G8838" s="18"/>
      <c r="H8838" s="18"/>
      <c r="I8838" s="18"/>
      <c r="J8838" s="18"/>
      <c r="K8838" s="18"/>
      <c r="L8838" s="18"/>
      <c r="M8838" s="18"/>
      <c r="N8838" s="18"/>
      <c r="O8838" s="14" t="str">
        <f>HYPERLINK("https://otsuka-europe-crm.veevavault.com/ui/#object/email_activity__v/V8C00000003U166", "EN-002095192")</f>
        <v>EN-002095192</v>
      </c>
    </row>
    <row r="8839" spans="1:15" ht="16" x14ac:dyDescent="0.2">
      <c r="A8839" s="18"/>
      <c r="B8839" s="18"/>
      <c r="C8839" s="18"/>
      <c r="D8839" s="18"/>
      <c r="E8839" s="18"/>
      <c r="F8839" s="18"/>
      <c r="G8839" s="18"/>
      <c r="H8839" s="18"/>
      <c r="I8839" s="18"/>
      <c r="J8839" s="18"/>
      <c r="K8839" s="18"/>
      <c r="L8839" s="18"/>
      <c r="M8839" s="18"/>
      <c r="N8839" s="18"/>
      <c r="O8839" s="14" t="str">
        <f>HYPERLINK("https://otsuka-europe-crm.veevavault.com/ui/#object/email_activity__v/V8C00000003U260", "EN-002095367")</f>
        <v>EN-002095367</v>
      </c>
    </row>
    <row r="8840" spans="1:15" ht="16" x14ac:dyDescent="0.2">
      <c r="A8840" s="18"/>
      <c r="B8840" s="18"/>
      <c r="C8840" s="18"/>
      <c r="D8840" s="18"/>
      <c r="E8840" s="18"/>
      <c r="F8840" s="18"/>
      <c r="G8840" s="18"/>
      <c r="H8840" s="18"/>
      <c r="I8840" s="18"/>
      <c r="J8840" s="18"/>
      <c r="K8840" s="18"/>
      <c r="L8840" s="18"/>
      <c r="M8840" s="18"/>
      <c r="N8840" s="18"/>
      <c r="O8840" s="14" t="str">
        <f>HYPERLINK("https://otsuka-europe-crm.veevavault.com/ui/#object/email_activity__v/V8C00000003U261", "EN-002095368")</f>
        <v>EN-002095368</v>
      </c>
    </row>
    <row r="8841" spans="1:15" ht="16" x14ac:dyDescent="0.2">
      <c r="A8841" s="19"/>
      <c r="B8841" s="19"/>
      <c r="C8841" s="19"/>
      <c r="D8841" s="19"/>
      <c r="E8841" s="19"/>
      <c r="F8841" s="19"/>
      <c r="G8841" s="19"/>
      <c r="H8841" s="19"/>
      <c r="I8841" s="19"/>
      <c r="J8841" s="19"/>
      <c r="K8841" s="19"/>
      <c r="L8841" s="19"/>
      <c r="M8841" s="19"/>
      <c r="N8841" s="19"/>
      <c r="O8841" s="14" t="str">
        <f>HYPERLINK("https://otsuka-europe-crm.veevavault.com/ui/#object/email_activity__v/V8C00000003V079", "EN-002094981")</f>
        <v>EN-002094981</v>
      </c>
    </row>
    <row r="8842" spans="1:15" ht="32" x14ac:dyDescent="0.2">
      <c r="A8842" s="7" t="str">
        <f>HYPERLINK("https://otsuka-europe-crm.veevavault.com/ui/#object/account__v/V4TZ04ASGBJGXWV", "BEATRIZ FERREIRO ALVAREZ")</f>
        <v>BEATRIZ FERREIRO ALVAREZ</v>
      </c>
      <c r="B8842" s="7" t="str">
        <f>HYPERLINK("https://otsuka-europe-crm.veevavault.com/ui/#object/vcountry__v/VENZ000004SONF5", "ES")</f>
        <v>ES</v>
      </c>
      <c r="C8842" s="8" t="s">
        <v>41</v>
      </c>
      <c r="D8842" s="9" t="str">
        <f>HYPERLINK("https://otsuka-europe-crm.veevavault.com/ui/#object/approved_document__v/V5O00000001H022", "LUP - VAE invitación simposio SEN-SER - Nefro")</f>
        <v>LUP - VAE invitación simposio SEN-SER - Nefro</v>
      </c>
      <c r="E8842" s="10" t="str">
        <f>HYPERLINK("https://otsuka-europe-crm.veevavault.com/ui/#object/sent_email__v/VBL00000002T073", "SE-001435592")</f>
        <v>SE-001435592</v>
      </c>
      <c r="F8842" s="11"/>
      <c r="G8842" s="12">
        <v>0</v>
      </c>
      <c r="H8842" s="12">
        <v>0</v>
      </c>
      <c r="I8842" s="12">
        <v>0</v>
      </c>
      <c r="J8842" s="11"/>
      <c r="K8842" s="12">
        <v>0</v>
      </c>
      <c r="L8842" s="10" t="str">
        <f>HYPERLINK("https://otsuka-europe-crm.veevavault.com/ui/#object/approved_document__v/V5O00000001H022", "LUP - VAE invitación simposio SEN-SER - Nefro")</f>
        <v>LUP - VAE invitación simposio SEN-SER - Nefro</v>
      </c>
      <c r="M8842" s="10" t="str">
        <f>HYPERLINK("mailto:sruizlemos@crm.otsuka-europe.com", "sruizlemos@crm.otsuka-europe.com")</f>
        <v>sruizlemos@crm.otsuka-europe.com</v>
      </c>
      <c r="N8842" s="13">
        <v>46185.313773148147</v>
      </c>
      <c r="O8842" s="14" t="str">
        <f>HYPERLINK("https://otsuka-europe-crm.veevavault.com/ui/#object/email_activity__v/V8C00000003V087", "EN-002094989")</f>
        <v>EN-002094989</v>
      </c>
    </row>
    <row r="8843" spans="1:15" ht="32" x14ac:dyDescent="0.2">
      <c r="A8843" s="7" t="str">
        <f>HYPERLINK("https://otsuka-europe-crm.veevavault.com/ui/#object/account__v/V4TZ06G6OBIHFHF", "MANUEL FIDALGO DIAZ")</f>
        <v>MANUEL FIDALGO DIAZ</v>
      </c>
      <c r="B8843" s="7" t="str">
        <f>HYPERLINK("https://otsuka-europe-crm.veevavault.com/ui/#object/vcountry__v/VENZ000004SONF5", "ES")</f>
        <v>ES</v>
      </c>
      <c r="C8843" s="8" t="s">
        <v>41</v>
      </c>
      <c r="D8843" s="9" t="str">
        <f>HYPERLINK("https://otsuka-europe-crm.veevavault.com/ui/#object/approved_document__v/V5O00000001H022", "LUP - VAE invitación simposio SEN-SER - Nefro")</f>
        <v>LUP - VAE invitación simposio SEN-SER - Nefro</v>
      </c>
      <c r="E8843" s="10" t="str">
        <f>HYPERLINK("https://otsuka-europe-crm.veevavault.com/ui/#object/sent_email__v/VBL00000002T074", "SE-001435593")</f>
        <v>SE-001435593</v>
      </c>
      <c r="F8843" s="11"/>
      <c r="G8843" s="12">
        <v>0</v>
      </c>
      <c r="H8843" s="12">
        <v>0</v>
      </c>
      <c r="I8843" s="12">
        <v>0</v>
      </c>
      <c r="J8843" s="11"/>
      <c r="K8843" s="12">
        <v>0</v>
      </c>
      <c r="L8843" s="10" t="str">
        <f>HYPERLINK("https://otsuka-europe-crm.veevavault.com/ui/#object/approved_document__v/V5O00000001H022", "LUP - VAE invitación simposio SEN-SER - Nefro")</f>
        <v>LUP - VAE invitación simposio SEN-SER - Nefro</v>
      </c>
      <c r="M8843" s="10" t="str">
        <f>HYPERLINK("mailto:sruizlemos@crm.otsuka-europe.com", "sruizlemos@crm.otsuka-europe.com")</f>
        <v>sruizlemos@crm.otsuka-europe.com</v>
      </c>
      <c r="N8843" s="13">
        <v>46185.313773148147</v>
      </c>
      <c r="O8843" s="14" t="str">
        <f>HYPERLINK("https://otsuka-europe-crm.veevavault.com/ui/#object/email_activity__v/V8C00000003V066", "EN-002094952")</f>
        <v>EN-002094952</v>
      </c>
    </row>
    <row r="8844" spans="1:15" ht="16" x14ac:dyDescent="0.2">
      <c r="A8844" s="17" t="str">
        <f>HYPERLINK("https://otsuka-europe-crm.veevavault.com/ui/#object/account__v/V4TZ04ASGFD10DY", "MARIO BOTELLA BARRIOPEDRO")</f>
        <v>MARIO BOTELLA BARRIOPEDRO</v>
      </c>
      <c r="B8844" s="17" t="str">
        <f>HYPERLINK("https://otsuka-europe-crm.veevavault.com/ui/#object/vcountry__v/VENZ000004SONF5", "ES")</f>
        <v>ES</v>
      </c>
      <c r="C8844" s="20" t="s">
        <v>41</v>
      </c>
      <c r="D8844" s="21" t="str">
        <f>HYPERLINK("https://otsuka-europe-crm.veevavault.com/ui/#object/approved_document__v/V5O00000001H022", "LUP - VAE invitación simposio SEN-SER - Nefro")</f>
        <v>LUP - VAE invitación simposio SEN-SER - Nefro</v>
      </c>
      <c r="E8844" s="22" t="str">
        <f>HYPERLINK("https://otsuka-europe-crm.veevavault.com/ui/#object/sent_email__v/VBL00000002T075", "SE-001435594")</f>
        <v>SE-001435594</v>
      </c>
      <c r="F8844" s="23">
        <v>46187.768368055556</v>
      </c>
      <c r="G8844" s="24">
        <v>1</v>
      </c>
      <c r="H8844" s="24">
        <v>2</v>
      </c>
      <c r="I8844" s="24">
        <v>0</v>
      </c>
      <c r="J8844" s="25"/>
      <c r="K8844" s="24">
        <v>0</v>
      </c>
      <c r="L8844" s="22" t="str">
        <f>HYPERLINK("https://otsuka-europe-crm.veevavault.com/ui/#object/approved_document__v/V5O00000001H022", "LUP - VAE invitación simposio SEN-SER - Nefro")</f>
        <v>LUP - VAE invitación simposio SEN-SER - Nefro</v>
      </c>
      <c r="M8844" s="22" t="str">
        <f>HYPERLINK("mailto:sruizlemos@crm.otsuka-europe.com", "sruizlemos@crm.otsuka-europe.com")</f>
        <v>sruizlemos@crm.otsuka-europe.com</v>
      </c>
      <c r="N8844" s="23">
        <v>46185.313738425924</v>
      </c>
      <c r="O8844" s="14" t="str">
        <f>HYPERLINK("https://otsuka-europe-crm.veevavault.com/ui/#object/email_activity__v/V8C00000003U063", "EN-002094933")</f>
        <v>EN-002094933</v>
      </c>
    </row>
    <row r="8845" spans="1:15" ht="16" x14ac:dyDescent="0.2">
      <c r="A8845" s="18"/>
      <c r="B8845" s="18"/>
      <c r="C8845" s="18"/>
      <c r="D8845" s="18"/>
      <c r="E8845" s="18"/>
      <c r="F8845" s="18"/>
      <c r="G8845" s="18"/>
      <c r="H8845" s="18"/>
      <c r="I8845" s="18"/>
      <c r="J8845" s="18"/>
      <c r="K8845" s="18"/>
      <c r="L8845" s="18"/>
      <c r="M8845" s="18"/>
      <c r="N8845" s="18"/>
      <c r="O8845" s="14" t="str">
        <f>HYPERLINK("https://otsuka-europe-crm.veevavault.com/ui/#object/email_activity__v/V8C00000003U430", "EN-002095719")</f>
        <v>EN-002095719</v>
      </c>
    </row>
    <row r="8846" spans="1:15" ht="16" x14ac:dyDescent="0.2">
      <c r="A8846" s="19"/>
      <c r="B8846" s="19"/>
      <c r="C8846" s="19"/>
      <c r="D8846" s="19"/>
      <c r="E8846" s="19"/>
      <c r="F8846" s="19"/>
      <c r="G8846" s="19"/>
      <c r="H8846" s="19"/>
      <c r="I8846" s="19"/>
      <c r="J8846" s="19"/>
      <c r="K8846" s="19"/>
      <c r="L8846" s="19"/>
      <c r="M8846" s="19"/>
      <c r="N8846" s="19"/>
      <c r="O8846" s="14" t="str">
        <f>HYPERLINK("https://otsuka-europe-crm.veevavault.com/ui/#object/email_activity__v/V8C00000003V473", "EN-002095718")</f>
        <v>EN-002095718</v>
      </c>
    </row>
    <row r="8847" spans="1:15" ht="32" x14ac:dyDescent="0.2">
      <c r="A8847" s="7" t="str">
        <f>HYPERLINK("https://otsuka-europe-crm.veevavault.com/ui/#object/account__v/V4TZ025E87FZH32", "MARIA MARGARITA LOPEZ VAZQUEZ")</f>
        <v>MARIA MARGARITA LOPEZ VAZQUEZ</v>
      </c>
      <c r="B8847" s="7" t="str">
        <f>HYPERLINK("https://otsuka-europe-crm.veevavault.com/ui/#object/vcountry__v/VENZ000004SONF5", "ES")</f>
        <v>ES</v>
      </c>
      <c r="C8847" s="8" t="s">
        <v>41</v>
      </c>
      <c r="D8847" s="9" t="str">
        <f>HYPERLINK("https://otsuka-europe-crm.veevavault.com/ui/#object/approved_document__v/V5O00000001H022", "LUP - VAE invitación simposio SEN-SER - Nefro")</f>
        <v>LUP - VAE invitación simposio SEN-SER - Nefro</v>
      </c>
      <c r="E8847" s="10" t="str">
        <f>HYPERLINK("https://otsuka-europe-crm.veevavault.com/ui/#object/sent_email__v/VBL00000002T076", "SE-001435595")</f>
        <v>SE-001435595</v>
      </c>
      <c r="F8847" s="11"/>
      <c r="G8847" s="12">
        <v>0</v>
      </c>
      <c r="H8847" s="12">
        <v>0</v>
      </c>
      <c r="I8847" s="12">
        <v>0</v>
      </c>
      <c r="J8847" s="11"/>
      <c r="K8847" s="12">
        <v>0</v>
      </c>
      <c r="L8847" s="10" t="str">
        <f>HYPERLINK("https://otsuka-europe-crm.veevavault.com/ui/#object/approved_document__v/V5O00000001H022", "LUP - VAE invitación simposio SEN-SER - Nefro")</f>
        <v>LUP - VAE invitación simposio SEN-SER - Nefro</v>
      </c>
      <c r="M8847" s="10" t="str">
        <f>HYPERLINK("mailto:sruizlemos@crm.otsuka-europe.com", "sruizlemos@crm.otsuka-europe.com")</f>
        <v>sruizlemos@crm.otsuka-europe.com</v>
      </c>
      <c r="N8847" s="13">
        <v>46185.313773148147</v>
      </c>
      <c r="O8847" s="14" t="str">
        <f>HYPERLINK("https://otsuka-europe-crm.veevavault.com/ui/#object/email_activity__v/V8C00000003V098", "EN-002095000")</f>
        <v>EN-002095000</v>
      </c>
    </row>
    <row r="8848" spans="1:15" ht="32" x14ac:dyDescent="0.2">
      <c r="A8848" s="7" t="str">
        <f>HYPERLINK("https://otsuka-europe-crm.veevavault.com/ui/#object/account__v/V4TZ04ASG763VWH", "MARIA HERNANSANZ PEREZ")</f>
        <v>MARIA HERNANSANZ PEREZ</v>
      </c>
      <c r="B8848" s="7" t="str">
        <f>HYPERLINK("https://otsuka-europe-crm.veevavault.com/ui/#object/vcountry__v/VENZ000004SONF5", "ES")</f>
        <v>ES</v>
      </c>
      <c r="C8848" s="8" t="s">
        <v>41</v>
      </c>
      <c r="D8848" s="9" t="str">
        <f>HYPERLINK("https://otsuka-europe-crm.veevavault.com/ui/#object/approved_document__v/V5O00000001H022", "LUP - VAE invitación simposio SEN-SER - Nefro")</f>
        <v>LUP - VAE invitación simposio SEN-SER - Nefro</v>
      </c>
      <c r="E8848" s="10" t="str">
        <f>HYPERLINK("https://otsuka-europe-crm.veevavault.com/ui/#object/sent_email__v/VBL00000002T077", "SE-001435596")</f>
        <v>SE-001435596</v>
      </c>
      <c r="F8848" s="11"/>
      <c r="G8848" s="12">
        <v>0</v>
      </c>
      <c r="H8848" s="12">
        <v>0</v>
      </c>
      <c r="I8848" s="12">
        <v>0</v>
      </c>
      <c r="J8848" s="11"/>
      <c r="K8848" s="12">
        <v>0</v>
      </c>
      <c r="L8848" s="10" t="str">
        <f>HYPERLINK("https://otsuka-europe-crm.veevavault.com/ui/#object/approved_document__v/V5O00000001H022", "LUP - VAE invitación simposio SEN-SER - Nefro")</f>
        <v>LUP - VAE invitación simposio SEN-SER - Nefro</v>
      </c>
      <c r="M8848" s="10" t="str">
        <f>HYPERLINK("mailto:sruizlemos@crm.otsuka-europe.com", "sruizlemos@crm.otsuka-europe.com")</f>
        <v>sruizlemos@crm.otsuka-europe.com</v>
      </c>
      <c r="N8848" s="13">
        <v>46185.313738425924</v>
      </c>
      <c r="O8848" s="14" t="str">
        <f>HYPERLINK("https://otsuka-europe-crm.veevavault.com/ui/#object/email_activity__v/V8C00000003V047", "EN-002094927")</f>
        <v>EN-002094927</v>
      </c>
    </row>
    <row r="8849" spans="1:15" ht="32" x14ac:dyDescent="0.2">
      <c r="A8849" s="7" t="str">
        <f>HYPERLINK("https://otsuka-europe-crm.veevavault.com/ui/#object/account__v/V4TZ06G6O95NBW0", "MARIA TERESA GARCIA FALCON")</f>
        <v>MARIA TERESA GARCIA FALCON</v>
      </c>
      <c r="B8849" s="7" t="str">
        <f>HYPERLINK("https://otsuka-europe-crm.veevavault.com/ui/#object/vcountry__v/VENZ000004SONF5", "ES")</f>
        <v>ES</v>
      </c>
      <c r="C8849" s="8" t="s">
        <v>41</v>
      </c>
      <c r="D8849" s="9" t="str">
        <f>HYPERLINK("https://otsuka-europe-crm.veevavault.com/ui/#object/approved_document__v/V5O00000001H022", "LUP - VAE invitación simposio SEN-SER - Nefro")</f>
        <v>LUP - VAE invitación simposio SEN-SER - Nefro</v>
      </c>
      <c r="E8849" s="10" t="str">
        <f>HYPERLINK("https://otsuka-europe-crm.veevavault.com/ui/#object/sent_email__v/VBL00000002T078", "SE-001435597")</f>
        <v>SE-001435597</v>
      </c>
      <c r="F8849" s="11"/>
      <c r="G8849" s="12">
        <v>0</v>
      </c>
      <c r="H8849" s="12">
        <v>0</v>
      </c>
      <c r="I8849" s="12">
        <v>0</v>
      </c>
      <c r="J8849" s="11"/>
      <c r="K8849" s="12">
        <v>0</v>
      </c>
      <c r="L8849" s="10" t="str">
        <f>HYPERLINK("https://otsuka-europe-crm.veevavault.com/ui/#object/approved_document__v/V5O00000001H022", "LUP - VAE invitación simposio SEN-SER - Nefro")</f>
        <v>LUP - VAE invitación simposio SEN-SER - Nefro</v>
      </c>
      <c r="M8849" s="10" t="str">
        <f>HYPERLINK("mailto:sruizlemos@crm.otsuka-europe.com", "sruizlemos@crm.otsuka-europe.com")</f>
        <v>sruizlemos@crm.otsuka-europe.com</v>
      </c>
      <c r="N8849" s="13">
        <v>46185.313738425924</v>
      </c>
      <c r="O8849" s="14" t="str">
        <f>HYPERLINK("https://otsuka-europe-crm.veevavault.com/ui/#object/email_activity__v/V8C00000003U089", "EN-002095013")</f>
        <v>EN-002095013</v>
      </c>
    </row>
    <row r="8850" spans="1:15" ht="32" x14ac:dyDescent="0.2">
      <c r="A8850" s="7" t="str">
        <f>HYPERLINK("https://otsuka-europe-crm.veevavault.com/ui/#object/account__v/V4TZ025E87RDJL4", "BERTA ABAD GARCIA")</f>
        <v>BERTA ABAD GARCIA</v>
      </c>
      <c r="B8850" s="7" t="str">
        <f>HYPERLINK("https://otsuka-europe-crm.veevavault.com/ui/#object/vcountry__v/VENZ000004SONF5", "ES")</f>
        <v>ES</v>
      </c>
      <c r="C8850" s="8" t="s">
        <v>41</v>
      </c>
      <c r="D8850" s="9" t="str">
        <f>HYPERLINK("https://otsuka-europe-crm.veevavault.com/ui/#object/approved_document__v/V5O00000001H022", "LUP - VAE invitación simposio SEN-SER - Nefro")</f>
        <v>LUP - VAE invitación simposio SEN-SER - Nefro</v>
      </c>
      <c r="E8850" s="10" t="str">
        <f>HYPERLINK("https://otsuka-europe-crm.veevavault.com/ui/#object/sent_email__v/VBL00000002T079", "SE-001435598")</f>
        <v>SE-001435598</v>
      </c>
      <c r="F8850" s="11"/>
      <c r="G8850" s="12">
        <v>0</v>
      </c>
      <c r="H8850" s="12">
        <v>0</v>
      </c>
      <c r="I8850" s="12">
        <v>0</v>
      </c>
      <c r="J8850" s="11"/>
      <c r="K8850" s="12">
        <v>0</v>
      </c>
      <c r="L8850" s="10" t="str">
        <f>HYPERLINK("https://otsuka-europe-crm.veevavault.com/ui/#object/approved_document__v/V5O00000001H022", "LUP - VAE invitación simposio SEN-SER - Nefro")</f>
        <v>LUP - VAE invitación simposio SEN-SER - Nefro</v>
      </c>
      <c r="M8850" s="10" t="str">
        <f>HYPERLINK("mailto:sruizlemos@crm.otsuka-europe.com", "sruizlemos@crm.otsuka-europe.com")</f>
        <v>sruizlemos@crm.otsuka-europe.com</v>
      </c>
      <c r="N8850" s="13">
        <v>46185.313773148147</v>
      </c>
      <c r="O8850" s="14" t="str">
        <f>HYPERLINK("https://otsuka-europe-crm.veevavault.com/ui/#object/email_activity__v/V8C00000003V067", "EN-002094953")</f>
        <v>EN-002094953</v>
      </c>
    </row>
    <row r="8851" spans="1:15" ht="16" x14ac:dyDescent="0.2">
      <c r="A8851" s="17" t="str">
        <f>HYPERLINK("https://otsuka-europe-crm.veevavault.com/ui/#object/account__v/V4TZ06G6O71T7Y6", "ELENA ASTUDILLO CORTES")</f>
        <v>ELENA ASTUDILLO CORTES</v>
      </c>
      <c r="B8851" s="17" t="str">
        <f>HYPERLINK("https://otsuka-europe-crm.veevavault.com/ui/#object/vcountry__v/VENZ000004SONF5", "ES")</f>
        <v>ES</v>
      </c>
      <c r="C8851" s="20" t="s">
        <v>41</v>
      </c>
      <c r="D8851" s="21" t="str">
        <f>HYPERLINK("https://otsuka-europe-crm.veevavault.com/ui/#object/approved_document__v/V5O00000001H022", "LUP - VAE invitación simposio SEN-SER - Nefro")</f>
        <v>LUP - VAE invitación simposio SEN-SER - Nefro</v>
      </c>
      <c r="E8851" s="22" t="str">
        <f>HYPERLINK("https://otsuka-europe-crm.veevavault.com/ui/#object/sent_email__v/VBL00000002T080", "SE-001435599")</f>
        <v>SE-001435599</v>
      </c>
      <c r="F8851" s="25"/>
      <c r="G8851" s="24">
        <v>0</v>
      </c>
      <c r="H8851" s="24">
        <v>0</v>
      </c>
      <c r="I8851" s="24">
        <v>0</v>
      </c>
      <c r="J8851" s="25"/>
      <c r="K8851" s="24">
        <v>0</v>
      </c>
      <c r="L8851" s="22" t="str">
        <f>HYPERLINK("https://otsuka-europe-crm.veevavault.com/ui/#object/approved_document__v/V5O00000001H022", "LUP - VAE invitación simposio SEN-SER - Nefro")</f>
        <v>LUP - VAE invitación simposio SEN-SER - Nefro</v>
      </c>
      <c r="M8851" s="22" t="str">
        <f>HYPERLINK("mailto:sruizlemos@crm.otsuka-europe.com", "sruizlemos@crm.otsuka-europe.com")</f>
        <v>sruizlemos@crm.otsuka-europe.com</v>
      </c>
      <c r="N8851" s="23">
        <v>46185.313738425924</v>
      </c>
      <c r="O8851" s="14" t="str">
        <f>HYPERLINK("https://otsuka-europe-crm.veevavault.com/ui/#object/email_activity__v/V8C00000003U067", "EN-002094937")</f>
        <v>EN-002094937</v>
      </c>
    </row>
    <row r="8852" spans="1:15" ht="16" x14ac:dyDescent="0.2">
      <c r="A8852" s="19"/>
      <c r="B8852" s="19"/>
      <c r="C8852" s="19"/>
      <c r="D8852" s="19"/>
      <c r="E8852" s="19"/>
      <c r="F8852" s="19"/>
      <c r="G8852" s="19"/>
      <c r="H8852" s="19"/>
      <c r="I8852" s="19"/>
      <c r="J8852" s="19"/>
      <c r="K8852" s="19"/>
      <c r="L8852" s="19"/>
      <c r="M8852" s="19"/>
      <c r="N8852" s="19"/>
      <c r="O8852" s="14" t="str">
        <f>HYPERLINK("https://otsuka-europe-crm.veevavault.com/ui/#object/email_activity__v/V8C00000003V202", "EN-002095180")</f>
        <v>EN-002095180</v>
      </c>
    </row>
    <row r="8853" spans="1:15" ht="16" x14ac:dyDescent="0.2">
      <c r="A8853" s="17" t="str">
        <f>HYPERLINK("https://otsuka-europe-crm.veevavault.com/ui/#object/account__v/V4TZ06G6O71U95L", "LIZET LORENA RIVERA CHAVEZ")</f>
        <v>LIZET LORENA RIVERA CHAVEZ</v>
      </c>
      <c r="B8853" s="17" t="str">
        <f>HYPERLINK("https://otsuka-europe-crm.veevavault.com/ui/#object/vcountry__v/VENZ000004SONF5", "ES")</f>
        <v>ES</v>
      </c>
      <c r="C8853" s="20" t="s">
        <v>41</v>
      </c>
      <c r="D8853" s="21" t="str">
        <f>HYPERLINK("https://otsuka-europe-crm.veevavault.com/ui/#object/approved_document__v/V5O00000001H022", "LUP - VAE invitación simposio SEN-SER - Nefro")</f>
        <v>LUP - VAE invitación simposio SEN-SER - Nefro</v>
      </c>
      <c r="E8853" s="22" t="str">
        <f>HYPERLINK("https://otsuka-europe-crm.veevavault.com/ui/#object/sent_email__v/VBL00000002T081", "SE-001435600")</f>
        <v>SE-001435600</v>
      </c>
      <c r="F8853" s="25"/>
      <c r="G8853" s="24">
        <v>0</v>
      </c>
      <c r="H8853" s="24">
        <v>0</v>
      </c>
      <c r="I8853" s="24">
        <v>0</v>
      </c>
      <c r="J8853" s="25"/>
      <c r="K8853" s="24">
        <v>0</v>
      </c>
      <c r="L8853" s="22" t="str">
        <f>HYPERLINK("https://otsuka-europe-crm.veevavault.com/ui/#object/approved_document__v/V5O00000001H022", "LUP - VAE invitación simposio SEN-SER - Nefro")</f>
        <v>LUP - VAE invitación simposio SEN-SER - Nefro</v>
      </c>
      <c r="M8853" s="22" t="str">
        <f>HYPERLINK("mailto:sruizlemos@crm.otsuka-europe.com", "sruizlemos@crm.otsuka-europe.com")</f>
        <v>sruizlemos@crm.otsuka-europe.com</v>
      </c>
      <c r="N8853" s="23">
        <v>46185.313738425924</v>
      </c>
      <c r="O8853" s="14" t="str">
        <f>HYPERLINK("https://otsuka-europe-crm.veevavault.com/ui/#object/email_activity__v/V8C00000003V094", "EN-002094996")</f>
        <v>EN-002094996</v>
      </c>
    </row>
    <row r="8854" spans="1:15" ht="16" x14ac:dyDescent="0.2">
      <c r="A8854" s="19"/>
      <c r="B8854" s="19"/>
      <c r="C8854" s="19"/>
      <c r="D8854" s="19"/>
      <c r="E8854" s="19"/>
      <c r="F8854" s="19"/>
      <c r="G8854" s="19"/>
      <c r="H8854" s="19"/>
      <c r="I8854" s="19"/>
      <c r="J8854" s="19"/>
      <c r="K8854" s="19"/>
      <c r="L8854" s="19"/>
      <c r="M8854" s="19"/>
      <c r="N8854" s="19"/>
      <c r="O8854" s="14" t="str">
        <f>HYPERLINK("https://otsuka-europe-crm.veevavault.com/ui/#object/email_activity__v/V8C00000003V416", "EN-002095599")</f>
        <v>EN-002095599</v>
      </c>
    </row>
    <row r="8855" spans="1:15" ht="32" x14ac:dyDescent="0.2">
      <c r="A8855" s="7" t="str">
        <f>HYPERLINK("https://otsuka-europe-crm.veevavault.com/ui/#object/account__v/V4TZ06G6O71TK43", "ELISA TARRIO HERVA")</f>
        <v>ELISA TARRIO HERVA</v>
      </c>
      <c r="B8855" s="7" t="str">
        <f>HYPERLINK("https://otsuka-europe-crm.veevavault.com/ui/#object/vcountry__v/VENZ000004SONF5", "ES")</f>
        <v>ES</v>
      </c>
      <c r="C8855" s="8" t="s">
        <v>41</v>
      </c>
      <c r="D8855" s="9" t="str">
        <f>HYPERLINK("https://otsuka-europe-crm.veevavault.com/ui/#object/approved_document__v/V5O00000001H022", "LUP - VAE invitación simposio SEN-SER - Nefro")</f>
        <v>LUP - VAE invitación simposio SEN-SER - Nefro</v>
      </c>
      <c r="E8855" s="10" t="str">
        <f>HYPERLINK("https://otsuka-europe-crm.veevavault.com/ui/#object/sent_email__v/VBL00000002T082", "SE-001435601")</f>
        <v>SE-001435601</v>
      </c>
      <c r="F8855" s="11"/>
      <c r="G8855" s="12">
        <v>0</v>
      </c>
      <c r="H8855" s="12">
        <v>0</v>
      </c>
      <c r="I8855" s="12">
        <v>0</v>
      </c>
      <c r="J8855" s="11"/>
      <c r="K8855" s="12">
        <v>0</v>
      </c>
      <c r="L8855" s="10" t="str">
        <f>HYPERLINK("https://otsuka-europe-crm.veevavault.com/ui/#object/approved_document__v/V5O00000001H022", "LUP - VAE invitación simposio SEN-SER - Nefro")</f>
        <v>LUP - VAE invitación simposio SEN-SER - Nefro</v>
      </c>
      <c r="M8855" s="10" t="str">
        <f>HYPERLINK("mailto:sruizlemos@crm.otsuka-europe.com", "sruizlemos@crm.otsuka-europe.com")</f>
        <v>sruizlemos@crm.otsuka-europe.com</v>
      </c>
      <c r="N8855" s="13">
        <v>46185.313449074078</v>
      </c>
      <c r="O8855" s="14" t="str">
        <f>HYPERLINK("https://otsuka-europe-crm.veevavault.com/ui/#object/email_activity__v/V8C00000003U081", "EN-002094974")</f>
        <v>EN-002094974</v>
      </c>
    </row>
    <row r="8856" spans="1:15" ht="32" x14ac:dyDescent="0.2">
      <c r="A8856" s="7" t="str">
        <f>HYPERLINK("https://otsuka-europe-crm.veevavault.com/ui/#object/account__v/V4TZ06G6O71TK74", "RAQUEL BLANCO GARCIA")</f>
        <v>RAQUEL BLANCO GARCIA</v>
      </c>
      <c r="B8856" s="7" t="str">
        <f>HYPERLINK("https://otsuka-europe-crm.veevavault.com/ui/#object/vcountry__v/VENZ000004SONF5", "ES")</f>
        <v>ES</v>
      </c>
      <c r="C8856" s="8" t="s">
        <v>41</v>
      </c>
      <c r="D8856" s="9" t="str">
        <f>HYPERLINK("https://otsuka-europe-crm.veevavault.com/ui/#object/approved_document__v/V5O00000001H022", "LUP - VAE invitación simposio SEN-SER - Nefro")</f>
        <v>LUP - VAE invitación simposio SEN-SER - Nefro</v>
      </c>
      <c r="E8856" s="10" t="str">
        <f>HYPERLINK("https://otsuka-europe-crm.veevavault.com/ui/#object/sent_email__v/VBL00000002T083", "SE-001435602")</f>
        <v>SE-001435602</v>
      </c>
      <c r="F8856" s="11"/>
      <c r="G8856" s="12">
        <v>0</v>
      </c>
      <c r="H8856" s="12">
        <v>0</v>
      </c>
      <c r="I8856" s="12">
        <v>0</v>
      </c>
      <c r="J8856" s="11"/>
      <c r="K8856" s="12">
        <v>0</v>
      </c>
      <c r="L8856" s="10" t="str">
        <f>HYPERLINK("https://otsuka-europe-crm.veevavault.com/ui/#object/approved_document__v/V5O00000001H022", "LUP - VAE invitación simposio SEN-SER - Nefro")</f>
        <v>LUP - VAE invitación simposio SEN-SER - Nefro</v>
      </c>
      <c r="M8856" s="10" t="str">
        <f>HYPERLINK("mailto:sruizlemos@crm.otsuka-europe.com", "sruizlemos@crm.otsuka-europe.com")</f>
        <v>sruizlemos@crm.otsuka-europe.com</v>
      </c>
      <c r="N8856" s="13">
        <v>46185.313738425924</v>
      </c>
      <c r="O8856" s="14" t="str">
        <f>HYPERLINK("https://otsuka-europe-crm.veevavault.com/ui/#object/email_activity__v/V8C00000003U094", "EN-002095018")</f>
        <v>EN-002095018</v>
      </c>
    </row>
    <row r="8857" spans="1:15" ht="16" x14ac:dyDescent="0.2">
      <c r="A8857" s="17" t="str">
        <f>HYPERLINK("https://otsuka-europe-crm.veevavault.com/ui/#object/account__v/V4TZ04ASG9RGXKX", "ANDRES LOPEZ MUÑIZ")</f>
        <v>ANDRES LOPEZ MUÑIZ</v>
      </c>
      <c r="B8857" s="17" t="str">
        <f>HYPERLINK("https://otsuka-europe-crm.veevavault.com/ui/#object/vcountry__v/VENZ000004SONF5", "ES")</f>
        <v>ES</v>
      </c>
      <c r="C8857" s="20" t="s">
        <v>41</v>
      </c>
      <c r="D8857" s="21" t="str">
        <f>HYPERLINK("https://otsuka-europe-crm.veevavault.com/ui/#object/approved_document__v/V5O00000001H022", "LUP - VAE invitación simposio SEN-SER - Nefro")</f>
        <v>LUP - VAE invitación simposio SEN-SER - Nefro</v>
      </c>
      <c r="E8857" s="22" t="str">
        <f>HYPERLINK("https://otsuka-europe-crm.veevavault.com/ui/#object/sent_email__v/VBL00000002T084", "SE-001435603")</f>
        <v>SE-001435603</v>
      </c>
      <c r="F8857" s="23">
        <v>46185.318657407406</v>
      </c>
      <c r="G8857" s="24">
        <v>1</v>
      </c>
      <c r="H8857" s="24">
        <v>1</v>
      </c>
      <c r="I8857" s="24">
        <v>1</v>
      </c>
      <c r="J8857" s="23">
        <v>46185.318657407406</v>
      </c>
      <c r="K8857" s="24">
        <v>1</v>
      </c>
      <c r="L8857" s="22" t="str">
        <f>HYPERLINK("https://otsuka-europe-crm.veevavault.com/ui/#object/approved_document__v/V5O00000001H022", "LUP - VAE invitación simposio SEN-SER - Nefro")</f>
        <v>LUP - VAE invitación simposio SEN-SER - Nefro</v>
      </c>
      <c r="M8857" s="22" t="str">
        <f>HYPERLINK("mailto:sruizlemos@crm.otsuka-europe.com", "sruizlemos@crm.otsuka-europe.com")</f>
        <v>sruizlemos@crm.otsuka-europe.com</v>
      </c>
      <c r="N8857" s="23">
        <v>46185.313738425924</v>
      </c>
      <c r="O8857" s="14" t="str">
        <f>HYPERLINK("https://otsuka-europe-crm.veevavault.com/ui/#object/email_activity__v/V8C00000003U093", "EN-002095017")</f>
        <v>EN-002095017</v>
      </c>
    </row>
    <row r="8858" spans="1:15" ht="16" x14ac:dyDescent="0.2">
      <c r="A8858" s="18"/>
      <c r="B8858" s="18"/>
      <c r="C8858" s="18"/>
      <c r="D8858" s="18"/>
      <c r="E8858" s="18"/>
      <c r="F8858" s="18"/>
      <c r="G8858" s="18"/>
      <c r="H8858" s="18"/>
      <c r="I8858" s="18"/>
      <c r="J8858" s="18"/>
      <c r="K8858" s="18"/>
      <c r="L8858" s="18"/>
      <c r="M8858" s="18"/>
      <c r="N8858" s="18"/>
      <c r="O8858" s="14" t="str">
        <f>HYPERLINK("https://otsuka-europe-crm.veevavault.com/ui/#object/email_activity__v/V8C00000003U122", "EN-002095097")</f>
        <v>EN-002095097</v>
      </c>
    </row>
    <row r="8859" spans="1:15" ht="16" x14ac:dyDescent="0.2">
      <c r="A8859" s="18"/>
      <c r="B8859" s="18"/>
      <c r="C8859" s="18"/>
      <c r="D8859" s="18"/>
      <c r="E8859" s="18"/>
      <c r="F8859" s="18"/>
      <c r="G8859" s="18"/>
      <c r="H8859" s="18"/>
      <c r="I8859" s="18"/>
      <c r="J8859" s="18"/>
      <c r="K8859" s="18"/>
      <c r="L8859" s="18"/>
      <c r="M8859" s="18"/>
      <c r="N8859" s="18"/>
      <c r="O8859" s="14" t="str">
        <f>HYPERLINK("https://otsuka-europe-crm.veevavault.com/ui/#object/email_activity__v/V8C00000003U123", "EN-002095096")</f>
        <v>EN-002095096</v>
      </c>
    </row>
    <row r="8860" spans="1:15" ht="16" x14ac:dyDescent="0.2">
      <c r="A8860" s="19"/>
      <c r="B8860" s="19"/>
      <c r="C8860" s="19"/>
      <c r="D8860" s="19"/>
      <c r="E8860" s="19"/>
      <c r="F8860" s="19"/>
      <c r="G8860" s="19"/>
      <c r="H8860" s="19"/>
      <c r="I8860" s="19"/>
      <c r="J8860" s="19"/>
      <c r="K8860" s="19"/>
      <c r="L8860" s="19"/>
      <c r="M8860" s="19"/>
      <c r="N8860" s="19"/>
      <c r="O8860" s="14" t="str">
        <f>HYPERLINK("https://otsuka-europe-crm.veevavault.com/ui/#object/email_activity__v/V8C00000003U137", "EN-002095122")</f>
        <v>EN-002095122</v>
      </c>
    </row>
    <row r="8861" spans="1:15" ht="32" x14ac:dyDescent="0.2">
      <c r="A8861" s="7" t="str">
        <f>HYPERLINK("https://otsuka-europe-crm.veevavault.com/ui/#object/account__v/V4TZ06G6O71T7LJ", "MIGUEL SERAS MOZAS")</f>
        <v>MIGUEL SERAS MOZAS</v>
      </c>
      <c r="B8861" s="7" t="str">
        <f>HYPERLINK("https://otsuka-europe-crm.veevavault.com/ui/#object/vcountry__v/VENZ000004SONF5", "ES")</f>
        <v>ES</v>
      </c>
      <c r="C8861" s="8" t="s">
        <v>41</v>
      </c>
      <c r="D8861" s="9" t="str">
        <f>HYPERLINK("https://otsuka-europe-crm.veevavault.com/ui/#object/approved_document__v/V5O00000001H022", "LUP - VAE invitación simposio SEN-SER - Nefro")</f>
        <v>LUP - VAE invitación simposio SEN-SER - Nefro</v>
      </c>
      <c r="E8861" s="10" t="str">
        <f>HYPERLINK("https://otsuka-europe-crm.veevavault.com/ui/#object/sent_email__v/VBL00000002T085", "SE-001435604")</f>
        <v>SE-001435604</v>
      </c>
      <c r="F8861" s="11"/>
      <c r="G8861" s="12">
        <v>0</v>
      </c>
      <c r="H8861" s="12">
        <v>0</v>
      </c>
      <c r="I8861" s="12">
        <v>0</v>
      </c>
      <c r="J8861" s="11"/>
      <c r="K8861" s="12">
        <v>0</v>
      </c>
      <c r="L8861" s="10" t="str">
        <f>HYPERLINK("https://otsuka-europe-crm.veevavault.com/ui/#object/approved_document__v/V5O00000001H022", "LUP - VAE invitación simposio SEN-SER - Nefro")</f>
        <v>LUP - VAE invitación simposio SEN-SER - Nefro</v>
      </c>
      <c r="M8861" s="10" t="str">
        <f>HYPERLINK("mailto:sruizlemos@crm.otsuka-europe.com", "sruizlemos@crm.otsuka-europe.com")</f>
        <v>sruizlemos@crm.otsuka-europe.com</v>
      </c>
      <c r="N8861" s="13">
        <v>46185.313750000001</v>
      </c>
      <c r="O8861" s="14" t="str">
        <f>HYPERLINK("https://otsuka-europe-crm.veevavault.com/ui/#object/email_activity__v/V8C00000003U073", "EN-002094958")</f>
        <v>EN-002094958</v>
      </c>
    </row>
    <row r="8862" spans="1:15" ht="16" x14ac:dyDescent="0.2">
      <c r="A8862" s="17" t="str">
        <f>HYPERLINK("https://otsuka-europe-crm.veevavault.com/ui/#object/account__v/V4TZ06G6OCEKLKS", "ANTONIO JOSE MERA VARELA")</f>
        <v>ANTONIO JOSE MERA VARELA</v>
      </c>
      <c r="B8862" s="17" t="str">
        <f>HYPERLINK("https://otsuka-europe-crm.veevavault.com/ui/#object/vcountry__v/VENZ000004SONF5", "ES")</f>
        <v>ES</v>
      </c>
      <c r="C8862" s="20" t="s">
        <v>41</v>
      </c>
      <c r="D8862" s="21" t="str">
        <f>HYPERLINK("https://otsuka-europe-crm.veevavault.com/ui/#object/approved_document__v/V5O00000001H025", "LUP - VAE invitación simposio SEN-SER - Reuma")</f>
        <v>LUP - VAE invitación simposio SEN-SER - Reuma</v>
      </c>
      <c r="E8862" s="22" t="str">
        <f>HYPERLINK("https://otsuka-europe-crm.veevavault.com/ui/#object/sent_email__v/VBL00000002T086", "SE-001435605")</f>
        <v>SE-001435605</v>
      </c>
      <c r="F8862" s="23">
        <v>46185.422719907408</v>
      </c>
      <c r="G8862" s="24">
        <v>1</v>
      </c>
      <c r="H8862" s="24">
        <v>1</v>
      </c>
      <c r="I8862" s="24">
        <v>1</v>
      </c>
      <c r="J8862" s="23">
        <v>46185.422719907408</v>
      </c>
      <c r="K8862" s="24">
        <v>1</v>
      </c>
      <c r="L8862" s="22" t="str">
        <f>HYPERLINK("https://otsuka-europe-crm.veevavault.com/ui/#object/approved_document__v/V5O00000001H025", "LUP - VAE invitación simposio SEN-SER - Reuma")</f>
        <v>LUP - VAE invitación simposio SEN-SER - Reuma</v>
      </c>
      <c r="M8862" s="22" t="str">
        <f>HYPERLINK("mailto:sruizlemos@crm.otsuka-europe.com", "sruizlemos@crm.otsuka-europe.com")</f>
        <v>sruizlemos@crm.otsuka-europe.com</v>
      </c>
      <c r="N8862" s="23">
        <v>46185.313761574071</v>
      </c>
      <c r="O8862" s="14" t="str">
        <f>HYPERLINK("https://otsuka-europe-crm.veevavault.com/ui/#object/email_activity__v/V8C00000003U239", "EN-002095323")</f>
        <v>EN-002095323</v>
      </c>
    </row>
    <row r="8863" spans="1:15" ht="16" x14ac:dyDescent="0.2">
      <c r="A8863" s="18"/>
      <c r="B8863" s="18"/>
      <c r="C8863" s="18"/>
      <c r="D8863" s="18"/>
      <c r="E8863" s="18"/>
      <c r="F8863" s="18"/>
      <c r="G8863" s="18"/>
      <c r="H8863" s="18"/>
      <c r="I8863" s="18"/>
      <c r="J8863" s="18"/>
      <c r="K8863" s="18"/>
      <c r="L8863" s="18"/>
      <c r="M8863" s="18"/>
      <c r="N8863" s="18"/>
      <c r="O8863" s="14" t="str">
        <f>HYPERLINK("https://otsuka-europe-crm.veevavault.com/ui/#object/email_activity__v/V8C00000003U240", "EN-002095322")</f>
        <v>EN-002095322</v>
      </c>
    </row>
    <row r="8864" spans="1:15" ht="16" x14ac:dyDescent="0.2">
      <c r="A8864" s="18"/>
      <c r="B8864" s="18"/>
      <c r="C8864" s="18"/>
      <c r="D8864" s="18"/>
      <c r="E8864" s="18"/>
      <c r="F8864" s="18"/>
      <c r="G8864" s="18"/>
      <c r="H8864" s="18"/>
      <c r="I8864" s="18"/>
      <c r="J8864" s="18"/>
      <c r="K8864" s="18"/>
      <c r="L8864" s="18"/>
      <c r="M8864" s="18"/>
      <c r="N8864" s="18"/>
      <c r="O8864" s="14" t="str">
        <f>HYPERLINK("https://otsuka-europe-crm.veevavault.com/ui/#object/email_activity__v/V8C00000003U241", "EN-002095324")</f>
        <v>EN-002095324</v>
      </c>
    </row>
    <row r="8865" spans="1:15" ht="16" x14ac:dyDescent="0.2">
      <c r="A8865" s="19"/>
      <c r="B8865" s="19"/>
      <c r="C8865" s="19"/>
      <c r="D8865" s="19"/>
      <c r="E8865" s="19"/>
      <c r="F8865" s="19"/>
      <c r="G8865" s="19"/>
      <c r="H8865" s="19"/>
      <c r="I8865" s="19"/>
      <c r="J8865" s="19"/>
      <c r="K8865" s="19"/>
      <c r="L8865" s="19"/>
      <c r="M8865" s="19"/>
      <c r="N8865" s="19"/>
      <c r="O8865" s="14" t="str">
        <f>HYPERLINK("https://otsuka-europe-crm.veevavault.com/ui/#object/email_activity__v/V8C00000003V081", "EN-002094983")</f>
        <v>EN-002094983</v>
      </c>
    </row>
    <row r="8866" spans="1:15" ht="16" x14ac:dyDescent="0.2">
      <c r="A8866" s="17" t="str">
        <f>HYPERLINK("https://otsuka-europe-crm.veevavault.com/ui/#object/account__v/V4TZ025E88U1FO6", "ALBA MATA OJEROS")</f>
        <v>ALBA MATA OJEROS</v>
      </c>
      <c r="B8866" s="17" t="str">
        <f>HYPERLINK("https://otsuka-europe-crm.veevavault.com/ui/#object/vcountry__v/VENZ000004SONF5", "ES")</f>
        <v>ES</v>
      </c>
      <c r="C8866" s="20" t="s">
        <v>41</v>
      </c>
      <c r="D8866" s="21" t="str">
        <f>HYPERLINK("https://otsuka-europe-crm.veevavault.com/ui/#object/approved_document__v/V5O00000001H025", "LUP - VAE invitación simposio SEN-SER - Reuma")</f>
        <v>LUP - VAE invitación simposio SEN-SER - Reuma</v>
      </c>
      <c r="E8866" s="22" t="str">
        <f>HYPERLINK("https://otsuka-europe-crm.veevavault.com/ui/#object/sent_email__v/VBL00000002T087", "SE-001435606")</f>
        <v>SE-001435606</v>
      </c>
      <c r="F8866" s="23">
        <v>46185.384398148148</v>
      </c>
      <c r="G8866" s="24">
        <v>1</v>
      </c>
      <c r="H8866" s="24">
        <v>3</v>
      </c>
      <c r="I8866" s="24">
        <v>1</v>
      </c>
      <c r="J8866" s="23">
        <v>46185.384074074071</v>
      </c>
      <c r="K8866" s="24">
        <v>2</v>
      </c>
      <c r="L8866" s="22" t="str">
        <f>HYPERLINK("https://otsuka-europe-crm.veevavault.com/ui/#object/approved_document__v/V5O00000001H025", "LUP - VAE invitación simposio SEN-SER - Reuma")</f>
        <v>LUP - VAE invitación simposio SEN-SER - Reuma</v>
      </c>
      <c r="M8866" s="22" t="str">
        <f>HYPERLINK("mailto:sruizlemos@crm.otsuka-europe.com", "sruizlemos@crm.otsuka-europe.com")</f>
        <v>sruizlemos@crm.otsuka-europe.com</v>
      </c>
      <c r="N8866" s="23">
        <v>46185.313715277778</v>
      </c>
      <c r="O8866" s="14" t="str">
        <f>HYPERLINK("https://otsuka-europe-crm.veevavault.com/ui/#object/email_activity__v/V8C00000003U153", "EN-002095171")</f>
        <v>EN-002095171</v>
      </c>
    </row>
    <row r="8867" spans="1:15" ht="16" x14ac:dyDescent="0.2">
      <c r="A8867" s="18"/>
      <c r="B8867" s="18"/>
      <c r="C8867" s="18"/>
      <c r="D8867" s="18"/>
      <c r="E8867" s="18"/>
      <c r="F8867" s="18"/>
      <c r="G8867" s="18"/>
      <c r="H8867" s="18"/>
      <c r="I8867" s="18"/>
      <c r="J8867" s="18"/>
      <c r="K8867" s="18"/>
      <c r="L8867" s="18"/>
      <c r="M8867" s="18"/>
      <c r="N8867" s="18"/>
      <c r="O8867" s="14" t="str">
        <f>HYPERLINK("https://otsuka-europe-crm.veevavault.com/ui/#object/email_activity__v/V8C00000003U154", "EN-002095172")</f>
        <v>EN-002095172</v>
      </c>
    </row>
    <row r="8868" spans="1:15" ht="16" x14ac:dyDescent="0.2">
      <c r="A8868" s="18"/>
      <c r="B8868" s="18"/>
      <c r="C8868" s="18"/>
      <c r="D8868" s="18"/>
      <c r="E8868" s="18"/>
      <c r="F8868" s="18"/>
      <c r="G8868" s="18"/>
      <c r="H8868" s="18"/>
      <c r="I8868" s="18"/>
      <c r="J8868" s="18"/>
      <c r="K8868" s="18"/>
      <c r="L8868" s="18"/>
      <c r="M8868" s="18"/>
      <c r="N8868" s="18"/>
      <c r="O8868" s="14" t="str">
        <f>HYPERLINK("https://otsuka-europe-crm.veevavault.com/ui/#object/email_activity__v/V8C00000003U155", "EN-002095173")</f>
        <v>EN-002095173</v>
      </c>
    </row>
    <row r="8869" spans="1:15" ht="16" x14ac:dyDescent="0.2">
      <c r="A8869" s="18"/>
      <c r="B8869" s="18"/>
      <c r="C8869" s="18"/>
      <c r="D8869" s="18"/>
      <c r="E8869" s="18"/>
      <c r="F8869" s="18"/>
      <c r="G8869" s="18"/>
      <c r="H8869" s="18"/>
      <c r="I8869" s="18"/>
      <c r="J8869" s="18"/>
      <c r="K8869" s="18"/>
      <c r="L8869" s="18"/>
      <c r="M8869" s="18"/>
      <c r="N8869" s="18"/>
      <c r="O8869" s="14" t="str">
        <f>HYPERLINK("https://otsuka-europe-crm.veevavault.com/ui/#object/email_activity__v/V8C00000003U156", "EN-002095174")</f>
        <v>EN-002095174</v>
      </c>
    </row>
    <row r="8870" spans="1:15" ht="16" x14ac:dyDescent="0.2">
      <c r="A8870" s="18"/>
      <c r="B8870" s="18"/>
      <c r="C8870" s="18"/>
      <c r="D8870" s="18"/>
      <c r="E8870" s="18"/>
      <c r="F8870" s="18"/>
      <c r="G8870" s="18"/>
      <c r="H8870" s="18"/>
      <c r="I8870" s="18"/>
      <c r="J8870" s="18"/>
      <c r="K8870" s="18"/>
      <c r="L8870" s="18"/>
      <c r="M8870" s="18"/>
      <c r="N8870" s="18"/>
      <c r="O8870" s="14" t="str">
        <f>HYPERLINK("https://otsuka-europe-crm.veevavault.com/ui/#object/email_activity__v/V8C00000003U157", "EN-002095175")</f>
        <v>EN-002095175</v>
      </c>
    </row>
    <row r="8871" spans="1:15" ht="16" x14ac:dyDescent="0.2">
      <c r="A8871" s="19"/>
      <c r="B8871" s="19"/>
      <c r="C8871" s="19"/>
      <c r="D8871" s="19"/>
      <c r="E8871" s="19"/>
      <c r="F8871" s="19"/>
      <c r="G8871" s="19"/>
      <c r="H8871" s="19"/>
      <c r="I8871" s="19"/>
      <c r="J8871" s="19"/>
      <c r="K8871" s="19"/>
      <c r="L8871" s="19"/>
      <c r="M8871" s="19"/>
      <c r="N8871" s="19"/>
      <c r="O8871" s="14" t="str">
        <f>HYPERLINK("https://otsuka-europe-crm.veevavault.com/ui/#object/email_activity__v/V8C00000003V052", "EN-002094932")</f>
        <v>EN-002094932</v>
      </c>
    </row>
    <row r="8872" spans="1:15" ht="16" x14ac:dyDescent="0.2">
      <c r="A8872" s="17" t="str">
        <f>HYPERLINK("https://otsuka-europe-crm.veevavault.com/ui/#object/account__v/V4TZ04ASGB4XEPY", "ANAHY MARIA BRANDY GARCIA")</f>
        <v>ANAHY MARIA BRANDY GARCIA</v>
      </c>
      <c r="B8872" s="17" t="str">
        <f>HYPERLINK("https://otsuka-europe-crm.veevavault.com/ui/#object/vcountry__v/VENZ000004SONF5", "ES")</f>
        <v>ES</v>
      </c>
      <c r="C8872" s="20" t="s">
        <v>41</v>
      </c>
      <c r="D8872" s="21" t="str">
        <f>HYPERLINK("https://otsuka-europe-crm.veevavault.com/ui/#object/approved_document__v/V5O00000001H025", "LUP - VAE invitación simposio SEN-SER - Reuma")</f>
        <v>LUP - VAE invitación simposio SEN-SER - Reuma</v>
      </c>
      <c r="E8872" s="22" t="str">
        <f>HYPERLINK("https://otsuka-europe-crm.veevavault.com/ui/#object/sent_email__v/VBL00000002T088", "SE-001435607")</f>
        <v>SE-001435607</v>
      </c>
      <c r="F8872" s="25"/>
      <c r="G8872" s="24">
        <v>0</v>
      </c>
      <c r="H8872" s="24">
        <v>0</v>
      </c>
      <c r="I8872" s="24">
        <v>0</v>
      </c>
      <c r="J8872" s="25"/>
      <c r="K8872" s="24">
        <v>0</v>
      </c>
      <c r="L8872" s="22" t="str">
        <f>HYPERLINK("https://otsuka-europe-crm.veevavault.com/ui/#object/approved_document__v/V5O00000001H025", "LUP - VAE invitación simposio SEN-SER - Reuma")</f>
        <v>LUP - VAE invitación simposio SEN-SER - Reuma</v>
      </c>
      <c r="M8872" s="22" t="str">
        <f>HYPERLINK("mailto:sruizlemos@crm.otsuka-europe.com", "sruizlemos@crm.otsuka-europe.com")</f>
        <v>sruizlemos@crm.otsuka-europe.com</v>
      </c>
      <c r="N8872" s="23">
        <v>46185.313738425924</v>
      </c>
      <c r="O8872" s="14" t="str">
        <f>HYPERLINK("https://otsuka-europe-crm.veevavault.com/ui/#object/email_activity__v/V8C00000003U132", "EN-002095117")</f>
        <v>EN-002095117</v>
      </c>
    </row>
    <row r="8873" spans="1:15" ht="16" x14ac:dyDescent="0.2">
      <c r="A8873" s="18"/>
      <c r="B8873" s="18"/>
      <c r="C8873" s="18"/>
      <c r="D8873" s="18"/>
      <c r="E8873" s="18"/>
      <c r="F8873" s="18"/>
      <c r="G8873" s="18"/>
      <c r="H8873" s="18"/>
      <c r="I8873" s="18"/>
      <c r="J8873" s="18"/>
      <c r="K8873" s="18"/>
      <c r="L8873" s="18"/>
      <c r="M8873" s="18"/>
      <c r="N8873" s="18"/>
      <c r="O8873" s="14" t="str">
        <f>HYPERLINK("https://otsuka-europe-crm.veevavault.com/ui/#object/email_activity__v/V8C00000003U419", "EN-002095693")</f>
        <v>EN-002095693</v>
      </c>
    </row>
    <row r="8874" spans="1:15" ht="16" x14ac:dyDescent="0.2">
      <c r="A8874" s="19"/>
      <c r="B8874" s="19"/>
      <c r="C8874" s="19"/>
      <c r="D8874" s="19"/>
      <c r="E8874" s="19"/>
      <c r="F8874" s="19"/>
      <c r="G8874" s="19"/>
      <c r="H8874" s="19"/>
      <c r="I8874" s="19"/>
      <c r="J8874" s="19"/>
      <c r="K8874" s="19"/>
      <c r="L8874" s="19"/>
      <c r="M8874" s="19"/>
      <c r="N8874" s="19"/>
      <c r="O8874" s="14" t="str">
        <f>HYPERLINK("https://otsuka-europe-crm.veevavault.com/ui/#object/email_activity__v/V8C00000003V093", "EN-002094995")</f>
        <v>EN-002094995</v>
      </c>
    </row>
    <row r="8875" spans="1:15" ht="32" x14ac:dyDescent="0.2">
      <c r="A8875" s="7" t="str">
        <f>HYPERLINK("https://otsuka-europe-crm.veevavault.com/ui/#object/account__v/V4TZ06G6O9VLUMW", "JOSE MARIA PEGO REIGOSA")</f>
        <v>JOSE MARIA PEGO REIGOSA</v>
      </c>
      <c r="B8875" s="7" t="str">
        <f>HYPERLINK("https://otsuka-europe-crm.veevavault.com/ui/#object/vcountry__v/VENZ000004SONF5", "ES")</f>
        <v>ES</v>
      </c>
      <c r="C8875" s="8" t="s">
        <v>41</v>
      </c>
      <c r="D8875" s="9" t="str">
        <f>HYPERLINK("https://otsuka-europe-crm.veevavault.com/ui/#object/approved_document__v/V5O00000001H025", "LUP - VAE invitación simposio SEN-SER - Reuma")</f>
        <v>LUP - VAE invitación simposio SEN-SER - Reuma</v>
      </c>
      <c r="E8875" s="10" t="str">
        <f>HYPERLINK("https://otsuka-europe-crm.veevavault.com/ui/#object/sent_email__v/VBL00000002T089", "SE-001435608")</f>
        <v>SE-001435608</v>
      </c>
      <c r="F8875" s="11"/>
      <c r="G8875" s="12">
        <v>0</v>
      </c>
      <c r="H8875" s="12">
        <v>0</v>
      </c>
      <c r="I8875" s="12">
        <v>0</v>
      </c>
      <c r="J8875" s="11"/>
      <c r="K8875" s="12">
        <v>0</v>
      </c>
      <c r="L8875" s="10" t="str">
        <f>HYPERLINK("https://otsuka-europe-crm.veevavault.com/ui/#object/approved_document__v/V5O00000001H025", "LUP - VAE invitación simposio SEN-SER - Reuma")</f>
        <v>LUP - VAE invitación simposio SEN-SER - Reuma</v>
      </c>
      <c r="M8875" s="10" t="str">
        <f>HYPERLINK("mailto:sruizlemos@crm.otsuka-europe.com", "sruizlemos@crm.otsuka-europe.com")</f>
        <v>sruizlemos@crm.otsuka-europe.com</v>
      </c>
      <c r="N8875" s="13">
        <v>46185.313738425924</v>
      </c>
      <c r="O8875" s="14" t="str">
        <f>HYPERLINK("https://otsuka-europe-crm.veevavault.com/ui/#object/email_activity__v/V8C00000003V092", "EN-002094994")</f>
        <v>EN-002094994</v>
      </c>
    </row>
    <row r="8876" spans="1:15" ht="16" x14ac:dyDescent="0.2">
      <c r="A8876" s="17" t="str">
        <f>HYPERLINK("https://otsuka-europe-crm.veevavault.com/ui/#object/account__v/V4TZ04ASGB02EJ1", "ALVARO SEIJAS LOPEZ")</f>
        <v>ALVARO SEIJAS LOPEZ</v>
      </c>
      <c r="B8876" s="17" t="str">
        <f>HYPERLINK("https://otsuka-europe-crm.veevavault.com/ui/#object/vcountry__v/VENZ000004SONF5", "ES")</f>
        <v>ES</v>
      </c>
      <c r="C8876" s="20" t="s">
        <v>41</v>
      </c>
      <c r="D8876" s="21" t="str">
        <f>HYPERLINK("https://otsuka-europe-crm.veevavault.com/ui/#object/approved_document__v/V5O00000001H025", "LUP - VAE invitación simposio SEN-SER - Reuma")</f>
        <v>LUP - VAE invitación simposio SEN-SER - Reuma</v>
      </c>
      <c r="E8876" s="22" t="str">
        <f>HYPERLINK("https://otsuka-europe-crm.veevavault.com/ui/#object/sent_email__v/VBL00000002T090", "SE-001435609")</f>
        <v>SE-001435609</v>
      </c>
      <c r="F8876" s="23">
        <v>46185.323298611111</v>
      </c>
      <c r="G8876" s="24">
        <v>1</v>
      </c>
      <c r="H8876" s="24">
        <v>1</v>
      </c>
      <c r="I8876" s="24">
        <v>0</v>
      </c>
      <c r="J8876" s="25"/>
      <c r="K8876" s="24">
        <v>0</v>
      </c>
      <c r="L8876" s="22" t="str">
        <f>HYPERLINK("https://otsuka-europe-crm.veevavault.com/ui/#object/approved_document__v/V5O00000001H025", "LUP - VAE invitación simposio SEN-SER - Reuma")</f>
        <v>LUP - VAE invitación simposio SEN-SER - Reuma</v>
      </c>
      <c r="M8876" s="22" t="str">
        <f>HYPERLINK("mailto:sruizlemos@crm.otsuka-europe.com", "sruizlemos@crm.otsuka-europe.com")</f>
        <v>sruizlemos@crm.otsuka-europe.com</v>
      </c>
      <c r="N8876" s="23">
        <v>46185.313715277778</v>
      </c>
      <c r="O8876" s="14" t="str">
        <f>HYPERLINK("https://otsuka-europe-crm.veevavault.com/ui/#object/email_activity__v/V8C00000003U125", "EN-002095101")</f>
        <v>EN-002095101</v>
      </c>
    </row>
    <row r="8877" spans="1:15" ht="16" x14ac:dyDescent="0.2">
      <c r="A8877" s="19"/>
      <c r="B8877" s="19"/>
      <c r="C8877" s="19"/>
      <c r="D8877" s="19"/>
      <c r="E8877" s="19"/>
      <c r="F8877" s="19"/>
      <c r="G8877" s="19"/>
      <c r="H8877" s="19"/>
      <c r="I8877" s="19"/>
      <c r="J8877" s="19"/>
      <c r="K8877" s="19"/>
      <c r="L8877" s="19"/>
      <c r="M8877" s="19"/>
      <c r="N8877" s="19"/>
      <c r="O8877" s="14" t="str">
        <f>HYPERLINK("https://otsuka-europe-crm.veevavault.com/ui/#object/email_activity__v/V8C00000003V105", "EN-002095007")</f>
        <v>EN-002095007</v>
      </c>
    </row>
    <row r="8878" spans="1:15" ht="32" x14ac:dyDescent="0.2">
      <c r="A8878" s="7" t="str">
        <f>HYPERLINK("https://otsuka-europe-crm.veevavault.com/ui/#object/account__v/V4TZ025E8703YAV", "CARMEN ALVAREZ REGUERA")</f>
        <v>CARMEN ALVAREZ REGUERA</v>
      </c>
      <c r="B8878" s="7" t="str">
        <f>HYPERLINK("https://otsuka-europe-crm.veevavault.com/ui/#object/vcountry__v/VENZ000004SONF5", "ES")</f>
        <v>ES</v>
      </c>
      <c r="C8878" s="8" t="s">
        <v>41</v>
      </c>
      <c r="D8878" s="9" t="str">
        <f>HYPERLINK("https://otsuka-europe-crm.veevavault.com/ui/#object/approved_document__v/V5O00000001H025", "LUP - VAE invitación simposio SEN-SER - Reuma")</f>
        <v>LUP - VAE invitación simposio SEN-SER - Reuma</v>
      </c>
      <c r="E8878" s="10" t="str">
        <f>HYPERLINK("https://otsuka-europe-crm.veevavault.com/ui/#object/sent_email__v/VBL00000002T091", "SE-001435610")</f>
        <v>SE-001435610</v>
      </c>
      <c r="F8878" s="11"/>
      <c r="G8878" s="12">
        <v>0</v>
      </c>
      <c r="H8878" s="12">
        <v>0</v>
      </c>
      <c r="I8878" s="12">
        <v>0</v>
      </c>
      <c r="J8878" s="11"/>
      <c r="K8878" s="12">
        <v>0</v>
      </c>
      <c r="L8878" s="10" t="str">
        <f>HYPERLINK("https://otsuka-europe-crm.veevavault.com/ui/#object/approved_document__v/V5O00000001H025", "LUP - VAE invitación simposio SEN-SER - Reuma")</f>
        <v>LUP - VAE invitación simposio SEN-SER - Reuma</v>
      </c>
      <c r="M8878" s="10" t="str">
        <f>HYPERLINK("mailto:sruizlemos@crm.otsuka-europe.com", "sruizlemos@crm.otsuka-europe.com")</f>
        <v>sruizlemos@crm.otsuka-europe.com</v>
      </c>
      <c r="N8878" s="13">
        <v>46185.313715277778</v>
      </c>
      <c r="O8878" s="14" t="str">
        <f>HYPERLINK("https://otsuka-europe-crm.veevavault.com/ui/#object/email_activity__v/V8C00000003V109", "EN-002095021")</f>
        <v>EN-002095021</v>
      </c>
    </row>
    <row r="8879" spans="1:15" ht="32" x14ac:dyDescent="0.2">
      <c r="A8879" s="7" t="str">
        <f>HYPERLINK("https://otsuka-europe-crm.veevavault.com/ui/#object/account__v/V4TZ04ASGEIBSGY", "DIANA SUEIRO DELGADO")</f>
        <v>DIANA SUEIRO DELGADO</v>
      </c>
      <c r="B8879" s="7" t="str">
        <f>HYPERLINK("https://otsuka-europe-crm.veevavault.com/ui/#object/vcountry__v/VENZ000004SONF5", "ES")</f>
        <v>ES</v>
      </c>
      <c r="C8879" s="8" t="s">
        <v>41</v>
      </c>
      <c r="D8879" s="9" t="str">
        <f>HYPERLINK("https://otsuka-europe-crm.veevavault.com/ui/#object/approved_document__v/V5O00000001H025", "LUP - VAE invitación simposio SEN-SER - Reuma")</f>
        <v>LUP - VAE invitación simposio SEN-SER - Reuma</v>
      </c>
      <c r="E8879" s="10" t="str">
        <f>HYPERLINK("https://otsuka-europe-crm.veevavault.com/ui/#object/sent_email__v/VBL00000002T092", "SE-001435611")</f>
        <v>SE-001435611</v>
      </c>
      <c r="F8879" s="11"/>
      <c r="G8879" s="12">
        <v>0</v>
      </c>
      <c r="H8879" s="12">
        <v>0</v>
      </c>
      <c r="I8879" s="12">
        <v>0</v>
      </c>
      <c r="J8879" s="11"/>
      <c r="K8879" s="12">
        <v>0</v>
      </c>
      <c r="L8879" s="10" t="str">
        <f>HYPERLINK("https://otsuka-europe-crm.veevavault.com/ui/#object/approved_document__v/V5O00000001H025", "LUP - VAE invitación simposio SEN-SER - Reuma")</f>
        <v>LUP - VAE invitación simposio SEN-SER - Reuma</v>
      </c>
      <c r="M8879" s="10" t="str">
        <f>HYPERLINK("mailto:sruizlemos@crm.otsuka-europe.com", "sruizlemos@crm.otsuka-europe.com")</f>
        <v>sruizlemos@crm.otsuka-europe.com</v>
      </c>
      <c r="N8879" s="13">
        <v>46185.313750000001</v>
      </c>
      <c r="O8879" s="14" t="str">
        <f>HYPERLINK("https://otsuka-europe-crm.veevavault.com/ui/#object/email_activity__v/V8C00000003U071", "EN-002094956")</f>
        <v>EN-002094956</v>
      </c>
    </row>
    <row r="8880" spans="1:15" ht="32" x14ac:dyDescent="0.2">
      <c r="A8880" s="7" t="str">
        <f>HYPERLINK("https://otsuka-europe-crm.veevavault.com/ui/#object/account__v/V4TZ04ASGB02ECU", "CARLOS GARCIA PORRUA")</f>
        <v>CARLOS GARCIA PORRUA</v>
      </c>
      <c r="B8880" s="7" t="str">
        <f>HYPERLINK("https://otsuka-europe-crm.veevavault.com/ui/#object/vcountry__v/VENZ000004SONF5", "ES")</f>
        <v>ES</v>
      </c>
      <c r="C8880" s="8" t="s">
        <v>41</v>
      </c>
      <c r="D8880" s="9" t="str">
        <f>HYPERLINK("https://otsuka-europe-crm.veevavault.com/ui/#object/approved_document__v/V5O00000001H025", "LUP - VAE invitación simposio SEN-SER - Reuma")</f>
        <v>LUP - VAE invitación simposio SEN-SER - Reuma</v>
      </c>
      <c r="E8880" s="10" t="str">
        <f>HYPERLINK("https://otsuka-europe-crm.veevavault.com/ui/#object/sent_email__v/VBL00000002T093", "SE-001435612")</f>
        <v>SE-001435612</v>
      </c>
      <c r="F8880" s="11"/>
      <c r="G8880" s="12">
        <v>0</v>
      </c>
      <c r="H8880" s="12">
        <v>0</v>
      </c>
      <c r="I8880" s="12">
        <v>0</v>
      </c>
      <c r="J8880" s="11"/>
      <c r="K8880" s="12">
        <v>0</v>
      </c>
      <c r="L8880" s="10" t="str">
        <f>HYPERLINK("https://otsuka-europe-crm.veevavault.com/ui/#object/approved_document__v/V5O00000001H025", "LUP - VAE invitación simposio SEN-SER - Reuma")</f>
        <v>LUP - VAE invitación simposio SEN-SER - Reuma</v>
      </c>
      <c r="M8880" s="10" t="str">
        <f>HYPERLINK("mailto:sruizlemos@crm.otsuka-europe.com", "sruizlemos@crm.otsuka-europe.com")</f>
        <v>sruizlemos@crm.otsuka-europe.com</v>
      </c>
      <c r="N8880" s="13">
        <v>46185.313750000001</v>
      </c>
      <c r="O8880" s="14" t="str">
        <f>HYPERLINK("https://otsuka-europe-crm.veevavault.com/ui/#object/email_activity__v/V8C00000003U072", "EN-002094957")</f>
        <v>EN-002094957</v>
      </c>
    </row>
    <row r="8881" spans="1:15" ht="16" x14ac:dyDescent="0.2">
      <c r="A8881" s="17" t="str">
        <f>HYPERLINK("https://otsuka-europe-crm.veevavault.com/ui/#object/account__v/V4TZ04ASGBNRXSC", "JULIO CESAR VAZQUEZ PEREZ-COLEMAN")</f>
        <v>JULIO CESAR VAZQUEZ PEREZ-COLEMAN</v>
      </c>
      <c r="B8881" s="17" t="str">
        <f>HYPERLINK("https://otsuka-europe-crm.veevavault.com/ui/#object/vcountry__v/VENZ000004SONF5", "ES")</f>
        <v>ES</v>
      </c>
      <c r="C8881" s="20" t="s">
        <v>41</v>
      </c>
      <c r="D8881" s="21" t="str">
        <f>HYPERLINK("https://otsuka-europe-crm.veevavault.com/ui/#object/approved_document__v/V5O00000001H025", "LUP - VAE invitación simposio SEN-SER - Reuma")</f>
        <v>LUP - VAE invitación simposio SEN-SER - Reuma</v>
      </c>
      <c r="E8881" s="22" t="str">
        <f>HYPERLINK("https://otsuka-europe-crm.veevavault.com/ui/#object/sent_email__v/VBL00000002T094", "SE-001435613")</f>
        <v>SE-001435613</v>
      </c>
      <c r="F8881" s="23">
        <v>46193.980787037035</v>
      </c>
      <c r="G8881" s="24">
        <v>1</v>
      </c>
      <c r="H8881" s="24">
        <v>2</v>
      </c>
      <c r="I8881" s="24">
        <v>0</v>
      </c>
      <c r="J8881" s="25"/>
      <c r="K8881" s="24">
        <v>0</v>
      </c>
      <c r="L8881" s="22" t="str">
        <f>HYPERLINK("https://otsuka-europe-crm.veevavault.com/ui/#object/approved_document__v/V5O00000001H025", "LUP - VAE invitación simposio SEN-SER - Reuma")</f>
        <v>LUP - VAE invitación simposio SEN-SER - Reuma</v>
      </c>
      <c r="M8881" s="22" t="str">
        <f>HYPERLINK("mailto:sruizlemos@crm.otsuka-europe.com", "sruizlemos@crm.otsuka-europe.com")</f>
        <v>sruizlemos@crm.otsuka-europe.com</v>
      </c>
      <c r="N8881" s="23">
        <v>46185.313715277778</v>
      </c>
      <c r="O8881" s="14" t="str">
        <f>HYPERLINK("https://otsuka-europe-crm.veevavault.com/ui/#object/email_activity__v/V8C00000003U357", "EN-002095566")</f>
        <v>EN-002095566</v>
      </c>
    </row>
    <row r="8882" spans="1:15" ht="16" x14ac:dyDescent="0.2">
      <c r="A8882" s="18"/>
      <c r="B8882" s="18"/>
      <c r="C8882" s="18"/>
      <c r="D8882" s="18"/>
      <c r="E8882" s="18"/>
      <c r="F8882" s="18"/>
      <c r="G8882" s="18"/>
      <c r="H8882" s="18"/>
      <c r="I8882" s="18"/>
      <c r="J8882" s="18"/>
      <c r="K8882" s="18"/>
      <c r="L8882" s="18"/>
      <c r="M8882" s="18"/>
      <c r="N8882" s="18"/>
      <c r="O8882" s="14" t="str">
        <f>HYPERLINK("https://otsuka-europe-crm.veevavault.com/ui/#object/email_activity__v/V8C00000003V104", "EN-002095006")</f>
        <v>EN-002095006</v>
      </c>
    </row>
    <row r="8883" spans="1:15" ht="16" x14ac:dyDescent="0.2">
      <c r="A8883" s="19"/>
      <c r="B8883" s="19"/>
      <c r="C8883" s="19"/>
      <c r="D8883" s="19"/>
      <c r="E8883" s="19"/>
      <c r="F8883" s="19"/>
      <c r="G8883" s="19"/>
      <c r="H8883" s="19"/>
      <c r="I8883" s="19"/>
      <c r="J8883" s="19"/>
      <c r="K8883" s="19"/>
      <c r="L8883" s="19"/>
      <c r="M8883" s="19"/>
      <c r="N8883" s="19"/>
      <c r="O8883" s="14" t="str">
        <f>HYPERLINK("https://otsuka-europe-crm.veevavault.com/ui/#object/email_activity__v/V8C000000040107", "EN-002098899")</f>
        <v>EN-002098899</v>
      </c>
    </row>
    <row r="8884" spans="1:15" ht="32" x14ac:dyDescent="0.2">
      <c r="A8884" s="7" t="str">
        <f>HYPERLINK("https://otsuka-europe-crm.veevavault.com/ui/#object/account__v/V4TZ04ASGEC0U45", "JOHN HENRY GUZMAN CASTRO")</f>
        <v>JOHN HENRY GUZMAN CASTRO</v>
      </c>
      <c r="B8884" s="7" t="str">
        <f>HYPERLINK("https://otsuka-europe-crm.veevavault.com/ui/#object/vcountry__v/VENZ000004SONF5", "ES")</f>
        <v>ES</v>
      </c>
      <c r="C8884" s="8" t="s">
        <v>41</v>
      </c>
      <c r="D8884" s="9" t="str">
        <f>HYPERLINK("https://otsuka-europe-crm.veevavault.com/ui/#object/approved_document__v/V5O00000001H025", "LUP - VAE invitación simposio SEN-SER - Reuma")</f>
        <v>LUP - VAE invitación simposio SEN-SER - Reuma</v>
      </c>
      <c r="E8884" s="10" t="str">
        <f>HYPERLINK("https://otsuka-europe-crm.veevavault.com/ui/#object/sent_email__v/VBL00000002T095", "SE-001435614")</f>
        <v>SE-001435614</v>
      </c>
      <c r="F8884" s="11"/>
      <c r="G8884" s="12">
        <v>0</v>
      </c>
      <c r="H8884" s="12">
        <v>0</v>
      </c>
      <c r="I8884" s="12">
        <v>0</v>
      </c>
      <c r="J8884" s="11"/>
      <c r="K8884" s="12">
        <v>0</v>
      </c>
      <c r="L8884" s="10" t="str">
        <f>HYPERLINK("https://otsuka-europe-crm.veevavault.com/ui/#object/approved_document__v/V5O00000001H025", "LUP - VAE invitación simposio SEN-SER - Reuma")</f>
        <v>LUP - VAE invitación simposio SEN-SER - Reuma</v>
      </c>
      <c r="M8884" s="10" t="str">
        <f>HYPERLINK("mailto:sruizlemos@crm.otsuka-europe.com", "sruizlemos@crm.otsuka-europe.com")</f>
        <v>sruizlemos@crm.otsuka-europe.com</v>
      </c>
      <c r="N8884" s="13">
        <v>46185.313715277778</v>
      </c>
      <c r="O8884" s="14" t="str">
        <f>HYPERLINK("https://otsuka-europe-crm.veevavault.com/ui/#object/email_activity__v/V8C00000003V115", "EN-002095027")</f>
        <v>EN-002095027</v>
      </c>
    </row>
    <row r="8885" spans="1:15" ht="16" x14ac:dyDescent="0.2">
      <c r="A8885" s="17" t="str">
        <f>HYPERLINK("https://otsuka-europe-crm.veevavault.com/ui/#object/account__v/V4TZ04ASGB4V4PJ", "IGNACIO BRAÑA ABASCAL")</f>
        <v>IGNACIO BRAÑA ABASCAL</v>
      </c>
      <c r="B8885" s="17" t="str">
        <f>HYPERLINK("https://otsuka-europe-crm.veevavault.com/ui/#object/vcountry__v/VENZ000004SONF5", "ES")</f>
        <v>ES</v>
      </c>
      <c r="C8885" s="20" t="s">
        <v>41</v>
      </c>
      <c r="D8885" s="21" t="str">
        <f>HYPERLINK("https://otsuka-europe-crm.veevavault.com/ui/#object/approved_document__v/V5O00000001H025", "LUP - VAE invitación simposio SEN-SER - Reuma")</f>
        <v>LUP - VAE invitación simposio SEN-SER - Reuma</v>
      </c>
      <c r="E8885" s="22" t="str">
        <f>HYPERLINK("https://otsuka-europe-crm.veevavault.com/ui/#object/sent_email__v/VBL00000002T096", "SE-001435615")</f>
        <v>SE-001435615</v>
      </c>
      <c r="F8885" s="23">
        <v>46185.315520833334</v>
      </c>
      <c r="G8885" s="24">
        <v>1</v>
      </c>
      <c r="H8885" s="24">
        <v>1</v>
      </c>
      <c r="I8885" s="24">
        <v>1</v>
      </c>
      <c r="J8885" s="23">
        <v>46185.315717592595</v>
      </c>
      <c r="K8885" s="24">
        <v>1</v>
      </c>
      <c r="L8885" s="22" t="str">
        <f>HYPERLINK("https://otsuka-europe-crm.veevavault.com/ui/#object/approved_document__v/V5O00000001H025", "LUP - VAE invitación simposio SEN-SER - Reuma")</f>
        <v>LUP - VAE invitación simposio SEN-SER - Reuma</v>
      </c>
      <c r="M8885" s="22" t="str">
        <f>HYPERLINK("mailto:sruizlemos@crm.otsuka-europe.com", "sruizlemos@crm.otsuka-europe.com")</f>
        <v>sruizlemos@crm.otsuka-europe.com</v>
      </c>
      <c r="N8885" s="23">
        <v>46185.313750000001</v>
      </c>
      <c r="O8885" s="14" t="str">
        <f>HYPERLINK("https://otsuka-europe-crm.veevavault.com/ui/#object/email_activity__v/V8C00000003U082", "EN-002094975")</f>
        <v>EN-002094975</v>
      </c>
    </row>
    <row r="8886" spans="1:15" ht="16" x14ac:dyDescent="0.2">
      <c r="A8886" s="18"/>
      <c r="B8886" s="18"/>
      <c r="C8886" s="18"/>
      <c r="D8886" s="18"/>
      <c r="E8886" s="18"/>
      <c r="F8886" s="18"/>
      <c r="G8886" s="18"/>
      <c r="H8886" s="18"/>
      <c r="I8886" s="18"/>
      <c r="J8886" s="18"/>
      <c r="K8886" s="18"/>
      <c r="L8886" s="18"/>
      <c r="M8886" s="18"/>
      <c r="N8886" s="18"/>
      <c r="O8886" s="14" t="str">
        <f>HYPERLINK("https://otsuka-europe-crm.veevavault.com/ui/#object/email_activity__v/V8C00000003U115", "EN-002095088")</f>
        <v>EN-002095088</v>
      </c>
    </row>
    <row r="8887" spans="1:15" ht="16" x14ac:dyDescent="0.2">
      <c r="A8887" s="18"/>
      <c r="B8887" s="18"/>
      <c r="C8887" s="18"/>
      <c r="D8887" s="18"/>
      <c r="E8887" s="18"/>
      <c r="F8887" s="18"/>
      <c r="G8887" s="18"/>
      <c r="H8887" s="18"/>
      <c r="I8887" s="18"/>
      <c r="J8887" s="18"/>
      <c r="K8887" s="18"/>
      <c r="L8887" s="18"/>
      <c r="M8887" s="18"/>
      <c r="N8887" s="18"/>
      <c r="O8887" s="14" t="str">
        <f>HYPERLINK("https://otsuka-europe-crm.veevavault.com/ui/#object/email_activity__v/V8C00000003U134", "EN-002095119")</f>
        <v>EN-002095119</v>
      </c>
    </row>
    <row r="8888" spans="1:15" ht="16" x14ac:dyDescent="0.2">
      <c r="A8888" s="19"/>
      <c r="B8888" s="19"/>
      <c r="C8888" s="19"/>
      <c r="D8888" s="19"/>
      <c r="E8888" s="19"/>
      <c r="F8888" s="19"/>
      <c r="G8888" s="19"/>
      <c r="H8888" s="19"/>
      <c r="I8888" s="19"/>
      <c r="J8888" s="19"/>
      <c r="K8888" s="19"/>
      <c r="L8888" s="19"/>
      <c r="M8888" s="19"/>
      <c r="N8888" s="19"/>
      <c r="O8888" s="14" t="str">
        <f>HYPERLINK("https://otsuka-europe-crm.veevavault.com/ui/#object/email_activity__v/V8C00000003V155", "EN-002095087")</f>
        <v>EN-002095087</v>
      </c>
    </row>
    <row r="8889" spans="1:15" ht="32" x14ac:dyDescent="0.2">
      <c r="A8889" s="7" t="str">
        <f>HYPERLINK("https://otsuka-europe-crm.veevavault.com/ui/#object/account__v/V4TZ04ASGBU4XCQ", "MARISOL GONZALEZ PEREZ")</f>
        <v>MARISOL GONZALEZ PEREZ</v>
      </c>
      <c r="B8889" s="7" t="str">
        <f>HYPERLINK("https://otsuka-europe-crm.veevavault.com/ui/#object/vcountry__v/VENZ000004SONF5", "ES")</f>
        <v>ES</v>
      </c>
      <c r="C8889" s="8" t="s">
        <v>41</v>
      </c>
      <c r="D8889" s="9" t="str">
        <f>HYPERLINK("https://otsuka-europe-crm.veevavault.com/ui/#object/approved_document__v/V5O00000001H025", "LUP - VAE invitación simposio SEN-SER - Reuma")</f>
        <v>LUP - VAE invitación simposio SEN-SER - Reuma</v>
      </c>
      <c r="E8889" s="10" t="str">
        <f>HYPERLINK("https://otsuka-europe-crm.veevavault.com/ui/#object/sent_email__v/VBL00000002T097", "SE-001435616")</f>
        <v>SE-001435616</v>
      </c>
      <c r="F8889" s="11"/>
      <c r="G8889" s="12">
        <v>0</v>
      </c>
      <c r="H8889" s="12">
        <v>0</v>
      </c>
      <c r="I8889" s="12">
        <v>0</v>
      </c>
      <c r="J8889" s="11"/>
      <c r="K8889" s="12">
        <v>0</v>
      </c>
      <c r="L8889" s="10" t="str">
        <f>HYPERLINK("https://otsuka-europe-crm.veevavault.com/ui/#object/approved_document__v/V5O00000001H025", "LUP - VAE invitación simposio SEN-SER - Reuma")</f>
        <v>LUP - VAE invitación simposio SEN-SER - Reuma</v>
      </c>
      <c r="M8889" s="10" t="str">
        <f>HYPERLINK("mailto:sruizlemos@crm.otsuka-europe.com", "sruizlemos@crm.otsuka-europe.com")</f>
        <v>sruizlemos@crm.otsuka-europe.com</v>
      </c>
      <c r="N8889" s="13">
        <v>46185.313715277778</v>
      </c>
      <c r="O8889" s="14" t="str">
        <f>HYPERLINK("https://otsuka-europe-crm.veevavault.com/ui/#object/email_activity__v/V8C00000003V122", "EN-002095034")</f>
        <v>EN-002095034</v>
      </c>
    </row>
    <row r="8890" spans="1:15" ht="16" x14ac:dyDescent="0.2">
      <c r="A8890" s="17" t="str">
        <f>HYPERLINK("https://otsuka-europe-crm.veevavault.com/ui/#object/account__v/V4TZ04ASGB04UFD", "DAVID FERNANDEZ FERNANDEZ")</f>
        <v>DAVID FERNANDEZ FERNANDEZ</v>
      </c>
      <c r="B8890" s="17" t="str">
        <f>HYPERLINK("https://otsuka-europe-crm.veevavault.com/ui/#object/vcountry__v/VENZ000004SONF5", "ES")</f>
        <v>ES</v>
      </c>
      <c r="C8890" s="20" t="s">
        <v>41</v>
      </c>
      <c r="D8890" s="21" t="str">
        <f>HYPERLINK("https://otsuka-europe-crm.veevavault.com/ui/#object/approved_document__v/V5O00000001H025", "LUP - VAE invitación simposio SEN-SER - Reuma")</f>
        <v>LUP - VAE invitación simposio SEN-SER - Reuma</v>
      </c>
      <c r="E8890" s="22" t="str">
        <f>HYPERLINK("https://otsuka-europe-crm.veevavault.com/ui/#object/sent_email__v/VBL00000002T098", "SE-001435617")</f>
        <v>SE-001435617</v>
      </c>
      <c r="F8890" s="23">
        <v>46186.440925925926</v>
      </c>
      <c r="G8890" s="24">
        <v>1</v>
      </c>
      <c r="H8890" s="24">
        <v>1</v>
      </c>
      <c r="I8890" s="24">
        <v>1</v>
      </c>
      <c r="J8890" s="23">
        <v>46186.440925925926</v>
      </c>
      <c r="K8890" s="24">
        <v>1</v>
      </c>
      <c r="L8890" s="22" t="str">
        <f>HYPERLINK("https://otsuka-europe-crm.veevavault.com/ui/#object/approved_document__v/V5O00000001H025", "LUP - VAE invitación simposio SEN-SER - Reuma")</f>
        <v>LUP - VAE invitación simposio SEN-SER - Reuma</v>
      </c>
      <c r="M8890" s="22" t="str">
        <f>HYPERLINK("mailto:sruizlemos@crm.otsuka-europe.com", "sruizlemos@crm.otsuka-europe.com")</f>
        <v>sruizlemos@crm.otsuka-europe.com</v>
      </c>
      <c r="N8890" s="23">
        <v>46185.313761574071</v>
      </c>
      <c r="O8890" s="14" t="str">
        <f>HYPERLINK("https://otsuka-europe-crm.veevavault.com/ui/#object/email_activity__v/V8C00000003V080", "EN-002094982")</f>
        <v>EN-002094982</v>
      </c>
    </row>
    <row r="8891" spans="1:15" ht="16" x14ac:dyDescent="0.2">
      <c r="A8891" s="18"/>
      <c r="B8891" s="18"/>
      <c r="C8891" s="18"/>
      <c r="D8891" s="18"/>
      <c r="E8891" s="18"/>
      <c r="F8891" s="18"/>
      <c r="G8891" s="18"/>
      <c r="H8891" s="18"/>
      <c r="I8891" s="18"/>
      <c r="J8891" s="18"/>
      <c r="K8891" s="18"/>
      <c r="L8891" s="18"/>
      <c r="M8891" s="18"/>
      <c r="N8891" s="18"/>
      <c r="O8891" s="14" t="str">
        <f>HYPERLINK("https://otsuka-europe-crm.veevavault.com/ui/#object/email_activity__v/V8C00000003V431", "EN-002095633")</f>
        <v>EN-002095633</v>
      </c>
    </row>
    <row r="8892" spans="1:15" ht="16" x14ac:dyDescent="0.2">
      <c r="A8892" s="19"/>
      <c r="B8892" s="19"/>
      <c r="C8892" s="19"/>
      <c r="D8892" s="19"/>
      <c r="E8892" s="19"/>
      <c r="F8892" s="19"/>
      <c r="G8892" s="19"/>
      <c r="H8892" s="19"/>
      <c r="I8892" s="19"/>
      <c r="J8892" s="19"/>
      <c r="K8892" s="19"/>
      <c r="L8892" s="19"/>
      <c r="M8892" s="19"/>
      <c r="N8892" s="19"/>
      <c r="O8892" s="14" t="str">
        <f>HYPERLINK("https://otsuka-europe-crm.veevavault.com/ui/#object/email_activity__v/V8C00000003V432", "EN-002095632")</f>
        <v>EN-002095632</v>
      </c>
    </row>
    <row r="8893" spans="1:15" ht="16" x14ac:dyDescent="0.2">
      <c r="A8893" s="17" t="str">
        <f>HYPERLINK("https://otsuka-europe-crm.veevavault.com/ui/#object/account__v/V4TZ04ASGC2KC6U", "RODRIGO AGUIRRE DEL PINO")</f>
        <v>RODRIGO AGUIRRE DEL PINO</v>
      </c>
      <c r="B8893" s="17" t="str">
        <f>HYPERLINK("https://otsuka-europe-crm.veevavault.com/ui/#object/vcountry__v/VENZ000004SONF5", "ES")</f>
        <v>ES</v>
      </c>
      <c r="C8893" s="20" t="s">
        <v>41</v>
      </c>
      <c r="D8893" s="21" t="str">
        <f>HYPERLINK("https://otsuka-europe-crm.veevavault.com/ui/#object/approved_document__v/V5O00000001H025", "LUP - VAE invitación simposio SEN-SER - Reuma")</f>
        <v>LUP - VAE invitación simposio SEN-SER - Reuma</v>
      </c>
      <c r="E8893" s="22" t="str">
        <f>HYPERLINK("https://otsuka-europe-crm.veevavault.com/ui/#object/sent_email__v/VBL00000002T099", "SE-001435618")</f>
        <v>SE-001435618</v>
      </c>
      <c r="F8893" s="25"/>
      <c r="G8893" s="24">
        <v>0</v>
      </c>
      <c r="H8893" s="24">
        <v>0</v>
      </c>
      <c r="I8893" s="24">
        <v>0</v>
      </c>
      <c r="J8893" s="25"/>
      <c r="K8893" s="24">
        <v>0</v>
      </c>
      <c r="L8893" s="22" t="str">
        <f>HYPERLINK("https://otsuka-europe-crm.veevavault.com/ui/#object/approved_document__v/V5O00000001H025", "LUP - VAE invitación simposio SEN-SER - Reuma")</f>
        <v>LUP - VAE invitación simposio SEN-SER - Reuma</v>
      </c>
      <c r="M8893" s="22" t="str">
        <f>HYPERLINK("mailto:sruizlemos@crm.otsuka-europe.com", "sruizlemos@crm.otsuka-europe.com")</f>
        <v>sruizlemos@crm.otsuka-europe.com</v>
      </c>
      <c r="N8893" s="23">
        <v>46185.313738425924</v>
      </c>
      <c r="O8893" s="14" t="str">
        <f>HYPERLINK("https://otsuka-europe-crm.veevavault.com/ui/#object/email_activity__v/V8C00000003V059", "EN-002094945")</f>
        <v>EN-002094945</v>
      </c>
    </row>
    <row r="8894" spans="1:15" ht="16" x14ac:dyDescent="0.2">
      <c r="A8894" s="18"/>
      <c r="B8894" s="18"/>
      <c r="C8894" s="18"/>
      <c r="D8894" s="18"/>
      <c r="E8894" s="18"/>
      <c r="F8894" s="18"/>
      <c r="G8894" s="18"/>
      <c r="H8894" s="18"/>
      <c r="I8894" s="18"/>
      <c r="J8894" s="18"/>
      <c r="K8894" s="18"/>
      <c r="L8894" s="18"/>
      <c r="M8894" s="18"/>
      <c r="N8894" s="18"/>
      <c r="O8894" s="14" t="str">
        <f>HYPERLINK("https://otsuka-europe-crm.veevavault.com/ui/#object/email_activity__v/V8C00000003V207", "EN-002095186")</f>
        <v>EN-002095186</v>
      </c>
    </row>
    <row r="8895" spans="1:15" ht="16" x14ac:dyDescent="0.2">
      <c r="A8895" s="19"/>
      <c r="B8895" s="19"/>
      <c r="C8895" s="19"/>
      <c r="D8895" s="19"/>
      <c r="E8895" s="19"/>
      <c r="F8895" s="19"/>
      <c r="G8895" s="19"/>
      <c r="H8895" s="19"/>
      <c r="I8895" s="19"/>
      <c r="J8895" s="19"/>
      <c r="K8895" s="19"/>
      <c r="L8895" s="19"/>
      <c r="M8895" s="19"/>
      <c r="N8895" s="19"/>
      <c r="O8895" s="14" t="str">
        <f>HYPERLINK("https://otsuka-europe-crm.veevavault.com/ui/#object/email_activity__v/V8C000000040090", "EN-002098864")</f>
        <v>EN-002098864</v>
      </c>
    </row>
    <row r="8896" spans="1:15" ht="16" x14ac:dyDescent="0.2">
      <c r="A8896" s="17" t="str">
        <f>HYPERLINK("https://otsuka-europe-crm.veevavault.com/ui/#object/account__v/V4TZ04ASGB4OD36", "SABELA FERNANDEZ AGUADO")</f>
        <v>SABELA FERNANDEZ AGUADO</v>
      </c>
      <c r="B8896" s="17" t="str">
        <f>HYPERLINK("https://otsuka-europe-crm.veevavault.com/ui/#object/vcountry__v/VENZ000004SONF5", "ES")</f>
        <v>ES</v>
      </c>
      <c r="C8896" s="20" t="s">
        <v>41</v>
      </c>
      <c r="D8896" s="21" t="str">
        <f>HYPERLINK("https://otsuka-europe-crm.veevavault.com/ui/#object/approved_document__v/V5O00000001H025", "LUP - VAE invitación simposio SEN-SER - Reuma")</f>
        <v>LUP - VAE invitación simposio SEN-SER - Reuma</v>
      </c>
      <c r="E8896" s="22" t="str">
        <f>HYPERLINK("https://otsuka-europe-crm.veevavault.com/ui/#object/sent_email__v/VBL00000002T100", "SE-001435619")</f>
        <v>SE-001435619</v>
      </c>
      <c r="F8896" s="23">
        <v>46186.441435185188</v>
      </c>
      <c r="G8896" s="24">
        <v>1</v>
      </c>
      <c r="H8896" s="24">
        <v>2</v>
      </c>
      <c r="I8896" s="24">
        <v>0</v>
      </c>
      <c r="J8896" s="25"/>
      <c r="K8896" s="24">
        <v>0</v>
      </c>
      <c r="L8896" s="22" t="str">
        <f>HYPERLINK("https://otsuka-europe-crm.veevavault.com/ui/#object/approved_document__v/V5O00000001H025", "LUP - VAE invitación simposio SEN-SER - Reuma")</f>
        <v>LUP - VAE invitación simposio SEN-SER - Reuma</v>
      </c>
      <c r="M8896" s="22" t="str">
        <f>HYPERLINK("mailto:sruizlemos@crm.otsuka-europe.com", "sruizlemos@crm.otsuka-europe.com")</f>
        <v>sruizlemos@crm.otsuka-europe.com</v>
      </c>
      <c r="N8896" s="23">
        <v>46185.313750000001</v>
      </c>
      <c r="O8896" s="14" t="str">
        <f>HYPERLINK("https://otsuka-europe-crm.veevavault.com/ui/#object/email_activity__v/V8C00000003U385", "EN-002095630")</f>
        <v>EN-002095630</v>
      </c>
    </row>
    <row r="8897" spans="1:15" ht="16" x14ac:dyDescent="0.2">
      <c r="A8897" s="18"/>
      <c r="B8897" s="18"/>
      <c r="C8897" s="18"/>
      <c r="D8897" s="18"/>
      <c r="E8897" s="18"/>
      <c r="F8897" s="18"/>
      <c r="G8897" s="18"/>
      <c r="H8897" s="18"/>
      <c r="I8897" s="18"/>
      <c r="J8897" s="18"/>
      <c r="K8897" s="18"/>
      <c r="L8897" s="18"/>
      <c r="M8897" s="18"/>
      <c r="N8897" s="18"/>
      <c r="O8897" s="14" t="str">
        <f>HYPERLINK("https://otsuka-europe-crm.veevavault.com/ui/#object/email_activity__v/V8C00000003U386", "EN-002095634")</f>
        <v>EN-002095634</v>
      </c>
    </row>
    <row r="8898" spans="1:15" ht="16" x14ac:dyDescent="0.2">
      <c r="A8898" s="18"/>
      <c r="B8898" s="18"/>
      <c r="C8898" s="18"/>
      <c r="D8898" s="18"/>
      <c r="E8898" s="18"/>
      <c r="F8898" s="18"/>
      <c r="G8898" s="18"/>
      <c r="H8898" s="18"/>
      <c r="I8898" s="18"/>
      <c r="J8898" s="18"/>
      <c r="K8898" s="18"/>
      <c r="L8898" s="18"/>
      <c r="M8898" s="18"/>
      <c r="N8898" s="18"/>
      <c r="O8898" s="14" t="str">
        <f>HYPERLINK("https://otsuka-europe-crm.veevavault.com/ui/#object/email_activity__v/V8C00000003U431", "EN-002095720")</f>
        <v>EN-002095720</v>
      </c>
    </row>
    <row r="8899" spans="1:15" ht="16" x14ac:dyDescent="0.2">
      <c r="A8899" s="19"/>
      <c r="B8899" s="19"/>
      <c r="C8899" s="19"/>
      <c r="D8899" s="19"/>
      <c r="E8899" s="19"/>
      <c r="F8899" s="19"/>
      <c r="G8899" s="19"/>
      <c r="H8899" s="19"/>
      <c r="I8899" s="19"/>
      <c r="J8899" s="19"/>
      <c r="K8899" s="19"/>
      <c r="L8899" s="19"/>
      <c r="M8899" s="19"/>
      <c r="N8899" s="19"/>
      <c r="O8899" s="14" t="str">
        <f>HYPERLINK("https://otsuka-europe-crm.veevavault.com/ui/#object/email_activity__v/V8C00000003V060", "EN-002094946")</f>
        <v>EN-002094946</v>
      </c>
    </row>
    <row r="8900" spans="1:15" ht="16" x14ac:dyDescent="0.2">
      <c r="A8900" s="17" t="str">
        <f>HYPERLINK("https://otsuka-europe-crm.veevavault.com/ui/#object/account__v/V4TZ04ASG9B6Q3C", "SARA GARCIA PEREZ")</f>
        <v>SARA GARCIA PEREZ</v>
      </c>
      <c r="B8900" s="17" t="str">
        <f>HYPERLINK("https://otsuka-europe-crm.veevavault.com/ui/#object/vcountry__v/VENZ000004SONF5", "ES")</f>
        <v>ES</v>
      </c>
      <c r="C8900" s="20" t="s">
        <v>41</v>
      </c>
      <c r="D8900" s="21" t="str">
        <f>HYPERLINK("https://otsuka-europe-crm.veevavault.com/ui/#object/approved_document__v/V5O00000001H025", "LUP - VAE invitación simposio SEN-SER - Reuma")</f>
        <v>LUP - VAE invitación simposio SEN-SER - Reuma</v>
      </c>
      <c r="E8900" s="22" t="str">
        <f>HYPERLINK("https://otsuka-europe-crm.veevavault.com/ui/#object/sent_email__v/VBL00000002T101", "SE-001435620")</f>
        <v>SE-001435620</v>
      </c>
      <c r="F8900" s="23">
        <v>46189.583124999997</v>
      </c>
      <c r="G8900" s="24">
        <v>1</v>
      </c>
      <c r="H8900" s="24">
        <v>3</v>
      </c>
      <c r="I8900" s="24">
        <v>0</v>
      </c>
      <c r="J8900" s="25"/>
      <c r="K8900" s="24">
        <v>0</v>
      </c>
      <c r="L8900" s="22" t="str">
        <f>HYPERLINK("https://otsuka-europe-crm.veevavault.com/ui/#object/approved_document__v/V5O00000001H025", "LUP - VAE invitación simposio SEN-SER - Reuma")</f>
        <v>LUP - VAE invitación simposio SEN-SER - Reuma</v>
      </c>
      <c r="M8900" s="22" t="str">
        <f>HYPERLINK("mailto:sruizlemos@crm.otsuka-europe.com", "sruizlemos@crm.otsuka-europe.com")</f>
        <v>sruizlemos@crm.otsuka-europe.com</v>
      </c>
      <c r="N8900" s="23">
        <v>46185.313715277778</v>
      </c>
      <c r="O8900" s="14" t="str">
        <f>HYPERLINK("https://otsuka-europe-crm.veevavault.com/ui/#object/email_activity__v/V8C00000003U114", "EN-002095084")</f>
        <v>EN-002095084</v>
      </c>
    </row>
    <row r="8901" spans="1:15" ht="16" x14ac:dyDescent="0.2">
      <c r="A8901" s="18"/>
      <c r="B8901" s="18"/>
      <c r="C8901" s="18"/>
      <c r="D8901" s="18"/>
      <c r="E8901" s="18"/>
      <c r="F8901" s="18"/>
      <c r="G8901" s="18"/>
      <c r="H8901" s="18"/>
      <c r="I8901" s="18"/>
      <c r="J8901" s="18"/>
      <c r="K8901" s="18"/>
      <c r="L8901" s="18"/>
      <c r="M8901" s="18"/>
      <c r="N8901" s="18"/>
      <c r="O8901" s="14" t="str">
        <f>HYPERLINK("https://otsuka-europe-crm.veevavault.com/ui/#object/email_activity__v/V8C00000003U124", "EN-002095100")</f>
        <v>EN-002095100</v>
      </c>
    </row>
    <row r="8902" spans="1:15" ht="16" x14ac:dyDescent="0.2">
      <c r="A8902" s="18"/>
      <c r="B8902" s="18"/>
      <c r="C8902" s="18"/>
      <c r="D8902" s="18"/>
      <c r="E8902" s="18"/>
      <c r="F8902" s="18"/>
      <c r="G8902" s="18"/>
      <c r="H8902" s="18"/>
      <c r="I8902" s="18"/>
      <c r="J8902" s="18"/>
      <c r="K8902" s="18"/>
      <c r="L8902" s="18"/>
      <c r="M8902" s="18"/>
      <c r="N8902" s="18"/>
      <c r="O8902" s="14" t="str">
        <f>HYPERLINK("https://otsuka-europe-crm.veevavault.com/ui/#object/email_activity__v/V8C00000003V102", "EN-002095004")</f>
        <v>EN-002095004</v>
      </c>
    </row>
    <row r="8903" spans="1:15" ht="16" x14ac:dyDescent="0.2">
      <c r="A8903" s="19"/>
      <c r="B8903" s="19"/>
      <c r="C8903" s="19"/>
      <c r="D8903" s="19"/>
      <c r="E8903" s="19"/>
      <c r="F8903" s="19"/>
      <c r="G8903" s="19"/>
      <c r="H8903" s="19"/>
      <c r="I8903" s="19"/>
      <c r="J8903" s="19"/>
      <c r="K8903" s="19"/>
      <c r="L8903" s="19"/>
      <c r="M8903" s="19"/>
      <c r="N8903" s="19"/>
      <c r="O8903" s="14" t="str">
        <f>HYPERLINK("https://otsuka-europe-crm.veevavault.com/ui/#object/email_activity__v/V8C00000003X158", "EN-002097204")</f>
        <v>EN-002097204</v>
      </c>
    </row>
    <row r="8904" spans="1:15" ht="16" x14ac:dyDescent="0.2">
      <c r="A8904" s="17" t="str">
        <f>HYPERLINK("https://otsuka-europe-crm.veevavault.com/ui/#object/account__v/V4TZ04ASGB03EZ4", "LUCIA SILVA FERNANDEZ")</f>
        <v>LUCIA SILVA FERNANDEZ</v>
      </c>
      <c r="B8904" s="17" t="str">
        <f>HYPERLINK("https://otsuka-europe-crm.veevavault.com/ui/#object/vcountry__v/VENZ000004SONF5", "ES")</f>
        <v>ES</v>
      </c>
      <c r="C8904" s="20" t="s">
        <v>41</v>
      </c>
      <c r="D8904" s="21" t="str">
        <f>HYPERLINK("https://otsuka-europe-crm.veevavault.com/ui/#object/approved_document__v/V5O00000001H025", "LUP - VAE invitación simposio SEN-SER - Reuma")</f>
        <v>LUP - VAE invitación simposio SEN-SER - Reuma</v>
      </c>
      <c r="E8904" s="22" t="str">
        <f>HYPERLINK("https://otsuka-europe-crm.veevavault.com/ui/#object/sent_email__v/VBL00000002T102", "SE-001435621")</f>
        <v>SE-001435621</v>
      </c>
      <c r="F8904" s="25"/>
      <c r="G8904" s="24">
        <v>0</v>
      </c>
      <c r="H8904" s="24">
        <v>0</v>
      </c>
      <c r="I8904" s="24">
        <v>0</v>
      </c>
      <c r="J8904" s="25"/>
      <c r="K8904" s="24">
        <v>0</v>
      </c>
      <c r="L8904" s="22" t="str">
        <f>HYPERLINK("https://otsuka-europe-crm.veevavault.com/ui/#object/approved_document__v/V5O00000001H025", "LUP - VAE invitación simposio SEN-SER - Reuma")</f>
        <v>LUP - VAE invitación simposio SEN-SER - Reuma</v>
      </c>
      <c r="M8904" s="22" t="str">
        <f>HYPERLINK("mailto:sruizlemos@crm.otsuka-europe.com", "sruizlemos@crm.otsuka-europe.com")</f>
        <v>sruizlemos@crm.otsuka-europe.com</v>
      </c>
      <c r="N8904" s="23">
        <v>46185.313761574071</v>
      </c>
      <c r="O8904" s="14" t="str">
        <f>HYPERLINK("https://otsuka-europe-crm.veevavault.com/ui/#object/email_activity__v/V8C00000003U347", "EN-002095535")</f>
        <v>EN-002095535</v>
      </c>
    </row>
    <row r="8905" spans="1:15" ht="16" x14ac:dyDescent="0.2">
      <c r="A8905" s="19"/>
      <c r="B8905" s="19"/>
      <c r="C8905" s="19"/>
      <c r="D8905" s="19"/>
      <c r="E8905" s="19"/>
      <c r="F8905" s="19"/>
      <c r="G8905" s="19"/>
      <c r="H8905" s="19"/>
      <c r="I8905" s="19"/>
      <c r="J8905" s="19"/>
      <c r="K8905" s="19"/>
      <c r="L8905" s="19"/>
      <c r="M8905" s="19"/>
      <c r="N8905" s="19"/>
      <c r="O8905" s="14" t="str">
        <f>HYPERLINK("https://otsuka-europe-crm.veevavault.com/ui/#object/email_activity__v/V8C00000003V090", "EN-002094992")</f>
        <v>EN-002094992</v>
      </c>
    </row>
    <row r="8906" spans="1:15" ht="16" x14ac:dyDescent="0.2">
      <c r="A8906" s="17" t="str">
        <f>HYPERLINK("https://otsuka-europe-crm.veevavault.com/ui/#object/account__v/V4TZ04ASGGI4H5R", "CLARA VENTIN RODRIGUEZ")</f>
        <v>CLARA VENTIN RODRIGUEZ</v>
      </c>
      <c r="B8906" s="17" t="str">
        <f>HYPERLINK("https://otsuka-europe-crm.veevavault.com/ui/#object/vcountry__v/VENZ000004SONF5", "ES")</f>
        <v>ES</v>
      </c>
      <c r="C8906" s="20" t="s">
        <v>41</v>
      </c>
      <c r="D8906" s="21" t="str">
        <f>HYPERLINK("https://otsuka-europe-crm.veevavault.com/ui/#object/approved_document__v/V5O00000001H025", "LUP - VAE invitación simposio SEN-SER - Reuma")</f>
        <v>LUP - VAE invitación simposio SEN-SER - Reuma</v>
      </c>
      <c r="E8906" s="22" t="str">
        <f>HYPERLINK("https://otsuka-europe-crm.veevavault.com/ui/#object/sent_email__v/VBL00000002T103", "SE-001435622")</f>
        <v>SE-001435622</v>
      </c>
      <c r="F8906" s="23">
        <v>46185.348645833335</v>
      </c>
      <c r="G8906" s="24">
        <v>1</v>
      </c>
      <c r="H8906" s="24">
        <v>1</v>
      </c>
      <c r="I8906" s="24">
        <v>0</v>
      </c>
      <c r="J8906" s="25"/>
      <c r="K8906" s="24">
        <v>0</v>
      </c>
      <c r="L8906" s="22" t="str">
        <f>HYPERLINK("https://otsuka-europe-crm.veevavault.com/ui/#object/approved_document__v/V5O00000001H025", "LUP - VAE invitación simposio SEN-SER - Reuma")</f>
        <v>LUP - VAE invitación simposio SEN-SER - Reuma</v>
      </c>
      <c r="M8906" s="22" t="str">
        <f>HYPERLINK("mailto:sruizlemos@crm.otsuka-europe.com", "sruizlemos@crm.otsuka-europe.com")</f>
        <v>sruizlemos@crm.otsuka-europe.com</v>
      </c>
      <c r="N8906" s="23">
        <v>46185.313726851855</v>
      </c>
      <c r="O8906" s="14" t="str">
        <f>HYPERLINK("https://otsuka-europe-crm.veevavault.com/ui/#object/email_activity__v/V8C00000003V056", "EN-002094942")</f>
        <v>EN-002094942</v>
      </c>
    </row>
    <row r="8907" spans="1:15" ht="16" x14ac:dyDescent="0.2">
      <c r="A8907" s="19"/>
      <c r="B8907" s="19"/>
      <c r="C8907" s="19"/>
      <c r="D8907" s="19"/>
      <c r="E8907" s="19"/>
      <c r="F8907" s="19"/>
      <c r="G8907" s="19"/>
      <c r="H8907" s="19"/>
      <c r="I8907" s="19"/>
      <c r="J8907" s="19"/>
      <c r="K8907" s="19"/>
      <c r="L8907" s="19"/>
      <c r="M8907" s="19"/>
      <c r="N8907" s="19"/>
      <c r="O8907" s="14" t="str">
        <f>HYPERLINK("https://otsuka-europe-crm.veevavault.com/ui/#object/email_activity__v/V8C00000003V171", "EN-002095132")</f>
        <v>EN-002095132</v>
      </c>
    </row>
    <row r="8908" spans="1:15" ht="16" x14ac:dyDescent="0.2">
      <c r="A8908" s="17" t="str">
        <f>HYPERLINK("https://otsuka-europe-crm.veevavault.com/ui/#object/account__v/V4TZ04ASGE05PUE", "RAFAEL BENITO MELERO GONZALEZ")</f>
        <v>RAFAEL BENITO MELERO GONZALEZ</v>
      </c>
      <c r="B8908" s="17" t="str">
        <f>HYPERLINK("https://otsuka-europe-crm.veevavault.com/ui/#object/vcountry__v/VENZ000004SONF5", "ES")</f>
        <v>ES</v>
      </c>
      <c r="C8908" s="20" t="s">
        <v>41</v>
      </c>
      <c r="D8908" s="21" t="str">
        <f>HYPERLINK("https://otsuka-europe-crm.veevavault.com/ui/#object/approved_document__v/V5O00000001H025", "LUP - VAE invitación simposio SEN-SER - Reuma")</f>
        <v>LUP - VAE invitación simposio SEN-SER - Reuma</v>
      </c>
      <c r="E8908" s="22" t="str">
        <f>HYPERLINK("https://otsuka-europe-crm.veevavault.com/ui/#object/sent_email__v/VBL00000002T104", "SE-001435623")</f>
        <v>SE-001435623</v>
      </c>
      <c r="F8908" s="23">
        <v>46185.571886574071</v>
      </c>
      <c r="G8908" s="24">
        <v>1</v>
      </c>
      <c r="H8908" s="24">
        <v>1</v>
      </c>
      <c r="I8908" s="24">
        <v>0</v>
      </c>
      <c r="J8908" s="25"/>
      <c r="K8908" s="24">
        <v>0</v>
      </c>
      <c r="L8908" s="22" t="str">
        <f>HYPERLINK("https://otsuka-europe-crm.veevavault.com/ui/#object/approved_document__v/V5O00000001H025", "LUP - VAE invitación simposio SEN-SER - Reuma")</f>
        <v>LUP - VAE invitación simposio SEN-SER - Reuma</v>
      </c>
      <c r="M8908" s="22" t="str">
        <f>HYPERLINK("mailto:sruizlemos@crm.otsuka-europe.com", "sruizlemos@crm.otsuka-europe.com")</f>
        <v>sruizlemos@crm.otsuka-europe.com</v>
      </c>
      <c r="N8908" s="23">
        <v>46185.313750000001</v>
      </c>
      <c r="O8908" s="14" t="str">
        <f>HYPERLINK("https://otsuka-europe-crm.veevavault.com/ui/#object/email_activity__v/V8C00000003U083", "EN-002094976")</f>
        <v>EN-002094976</v>
      </c>
    </row>
    <row r="8909" spans="1:15" ht="16" x14ac:dyDescent="0.2">
      <c r="A8909" s="19"/>
      <c r="B8909" s="19"/>
      <c r="C8909" s="19"/>
      <c r="D8909" s="19"/>
      <c r="E8909" s="19"/>
      <c r="F8909" s="19"/>
      <c r="G8909" s="19"/>
      <c r="H8909" s="19"/>
      <c r="I8909" s="19"/>
      <c r="J8909" s="19"/>
      <c r="K8909" s="19"/>
      <c r="L8909" s="19"/>
      <c r="M8909" s="19"/>
      <c r="N8909" s="19"/>
      <c r="O8909" s="14" t="str">
        <f>HYPERLINK("https://otsuka-europe-crm.veevavault.com/ui/#object/email_activity__v/V8C00000003V340", "EN-002095472")</f>
        <v>EN-002095472</v>
      </c>
    </row>
    <row r="8910" spans="1:15" ht="16" x14ac:dyDescent="0.2">
      <c r="A8910" s="17" t="str">
        <f>HYPERLINK("https://otsuka-europe-crm.veevavault.com/ui/#object/account__v/V4TZ04ASGGHW3RA", "MARTA LOREDO MARTINEZ")</f>
        <v>MARTA LOREDO MARTINEZ</v>
      </c>
      <c r="B8910" s="17" t="str">
        <f>HYPERLINK("https://otsuka-europe-crm.veevavault.com/ui/#object/vcountry__v/VENZ000004SONF5", "ES")</f>
        <v>ES</v>
      </c>
      <c r="C8910" s="20" t="s">
        <v>41</v>
      </c>
      <c r="D8910" s="21" t="str">
        <f>HYPERLINK("https://otsuka-europe-crm.veevavault.com/ui/#object/approved_document__v/V5O00000001H025", "LUP - VAE invitación simposio SEN-SER - Reuma")</f>
        <v>LUP - VAE invitación simposio SEN-SER - Reuma</v>
      </c>
      <c r="E8910" s="22" t="str">
        <f>HYPERLINK("https://otsuka-europe-crm.veevavault.com/ui/#object/sent_email__v/VBL00000002T105", "SE-001435624")</f>
        <v>SE-001435624</v>
      </c>
      <c r="F8910" s="23">
        <v>46185.320729166669</v>
      </c>
      <c r="G8910" s="24">
        <v>1</v>
      </c>
      <c r="H8910" s="24">
        <v>2</v>
      </c>
      <c r="I8910" s="24">
        <v>0</v>
      </c>
      <c r="J8910" s="25"/>
      <c r="K8910" s="24">
        <v>0</v>
      </c>
      <c r="L8910" s="22" t="str">
        <f>HYPERLINK("https://otsuka-europe-crm.veevavault.com/ui/#object/approved_document__v/V5O00000001H025", "LUP - VAE invitación simposio SEN-SER - Reuma")</f>
        <v>LUP - VAE invitación simposio SEN-SER - Reuma</v>
      </c>
      <c r="M8910" s="22" t="str">
        <f>HYPERLINK("mailto:sruizlemos@crm.otsuka-europe.com", "sruizlemos@crm.otsuka-europe.com")</f>
        <v>sruizlemos@crm.otsuka-europe.com</v>
      </c>
      <c r="N8910" s="23">
        <v>46185.313715277778</v>
      </c>
      <c r="O8910" s="14" t="str">
        <f>HYPERLINK("https://otsuka-europe-crm.veevavault.com/ui/#object/email_activity__v/V8C00000003U116", "EN-002095089")</f>
        <v>EN-002095089</v>
      </c>
    </row>
    <row r="8911" spans="1:15" ht="16" x14ac:dyDescent="0.2">
      <c r="A8911" s="18"/>
      <c r="B8911" s="18"/>
      <c r="C8911" s="18"/>
      <c r="D8911" s="18"/>
      <c r="E8911" s="18"/>
      <c r="F8911" s="18"/>
      <c r="G8911" s="18"/>
      <c r="H8911" s="18"/>
      <c r="I8911" s="18"/>
      <c r="J8911" s="18"/>
      <c r="K8911" s="18"/>
      <c r="L8911" s="18"/>
      <c r="M8911" s="18"/>
      <c r="N8911" s="18"/>
      <c r="O8911" s="14" t="str">
        <f>HYPERLINK("https://otsuka-europe-crm.veevavault.com/ui/#object/email_activity__v/V8C00000003V068", "EN-002094964")</f>
        <v>EN-002094964</v>
      </c>
    </row>
    <row r="8912" spans="1:15" ht="16" x14ac:dyDescent="0.2">
      <c r="A8912" s="19"/>
      <c r="B8912" s="19"/>
      <c r="C8912" s="19"/>
      <c r="D8912" s="19"/>
      <c r="E8912" s="19"/>
      <c r="F8912" s="19"/>
      <c r="G8912" s="19"/>
      <c r="H8912" s="19"/>
      <c r="I8912" s="19"/>
      <c r="J8912" s="19"/>
      <c r="K8912" s="19"/>
      <c r="L8912" s="19"/>
      <c r="M8912" s="19"/>
      <c r="N8912" s="19"/>
      <c r="O8912" s="14" t="str">
        <f>HYPERLINK("https://otsuka-europe-crm.veevavault.com/ui/#object/email_activity__v/V8C00000003V157", "EN-002095098")</f>
        <v>EN-002095098</v>
      </c>
    </row>
    <row r="8913" spans="1:15" ht="32" x14ac:dyDescent="0.2">
      <c r="A8913" s="7" t="str">
        <f>HYPERLINK("https://otsuka-europe-crm.veevavault.com/ui/#object/account__v/V4TZ025E82NV6MU", "HALBERT HERNANDEZ NEGRIN")</f>
        <v>HALBERT HERNANDEZ NEGRIN</v>
      </c>
      <c r="B8913" s="7" t="str">
        <f>HYPERLINK("https://otsuka-europe-crm.veevavault.com/ui/#object/vcountry__v/VENZ000004SONF5", "ES")</f>
        <v>ES</v>
      </c>
      <c r="C8913" s="8" t="s">
        <v>41</v>
      </c>
      <c r="D8913" s="9" t="str">
        <f>HYPERLINK("https://otsuka-europe-crm.veevavault.com/ui/#object/approved_document__v/V5O00000001H025", "LUP - VAE invitación simposio SEN-SER - Reuma")</f>
        <v>LUP - VAE invitación simposio SEN-SER - Reuma</v>
      </c>
      <c r="E8913" s="10" t="str">
        <f>HYPERLINK("https://otsuka-europe-crm.veevavault.com/ui/#object/sent_email__v/VBL00000002T106", "SE-001435625")</f>
        <v>SE-001435625</v>
      </c>
      <c r="F8913" s="11"/>
      <c r="G8913" s="12">
        <v>0</v>
      </c>
      <c r="H8913" s="12">
        <v>0</v>
      </c>
      <c r="I8913" s="12">
        <v>0</v>
      </c>
      <c r="J8913" s="11"/>
      <c r="K8913" s="12">
        <v>0</v>
      </c>
      <c r="L8913" s="10" t="str">
        <f>HYPERLINK("https://otsuka-europe-crm.veevavault.com/ui/#object/approved_document__v/V5O00000001H025", "LUP - VAE invitación simposio SEN-SER - Reuma")</f>
        <v>LUP - VAE invitación simposio SEN-SER - Reuma</v>
      </c>
      <c r="M8913" s="10" t="str">
        <f>HYPERLINK("mailto:sruizlemos@crm.otsuka-europe.com", "sruizlemos@crm.otsuka-europe.com")</f>
        <v>sruizlemos@crm.otsuka-europe.com</v>
      </c>
      <c r="N8913" s="13">
        <v>46185.313715277778</v>
      </c>
      <c r="O8913" s="14" t="str">
        <f>HYPERLINK("https://otsuka-europe-crm.veevavault.com/ui/#object/email_activity__v/V8C00000003V069", "EN-002094965")</f>
        <v>EN-002094965</v>
      </c>
    </row>
    <row r="8914" spans="1:15" ht="32" x14ac:dyDescent="0.2">
      <c r="A8914" s="7" t="str">
        <f>HYPERLINK("https://otsuka-europe-crm.veevavault.com/ui/#object/account__v/V4TZ04ASGAAEB1O", "MARIA MERCEDES FREIRE GONZALEZ")</f>
        <v>MARIA MERCEDES FREIRE GONZALEZ</v>
      </c>
      <c r="B8914" s="7" t="str">
        <f>HYPERLINK("https://otsuka-europe-crm.veevavault.com/ui/#object/vcountry__v/VENZ000004SONF5", "ES")</f>
        <v>ES</v>
      </c>
      <c r="C8914" s="8" t="s">
        <v>41</v>
      </c>
      <c r="D8914" s="9" t="str">
        <f>HYPERLINK("https://otsuka-europe-crm.veevavault.com/ui/#object/approved_document__v/V5O00000001H025", "LUP - VAE invitación simposio SEN-SER - Reuma")</f>
        <v>LUP - VAE invitación simposio SEN-SER - Reuma</v>
      </c>
      <c r="E8914" s="10" t="str">
        <f>HYPERLINK("https://otsuka-europe-crm.veevavault.com/ui/#object/sent_email__v/VBL00000002T107", "SE-001435626")</f>
        <v>SE-001435626</v>
      </c>
      <c r="F8914" s="11"/>
      <c r="G8914" s="12">
        <v>0</v>
      </c>
      <c r="H8914" s="12">
        <v>0</v>
      </c>
      <c r="I8914" s="12">
        <v>0</v>
      </c>
      <c r="J8914" s="11"/>
      <c r="K8914" s="12">
        <v>0</v>
      </c>
      <c r="L8914" s="10" t="str">
        <f>HYPERLINK("https://otsuka-europe-crm.veevavault.com/ui/#object/approved_document__v/V5O00000001H025", "LUP - VAE invitación simposio SEN-SER - Reuma")</f>
        <v>LUP - VAE invitación simposio SEN-SER - Reuma</v>
      </c>
      <c r="M8914" s="10" t="str">
        <f>HYPERLINK("mailto:sruizlemos@crm.otsuka-europe.com", "sruizlemos@crm.otsuka-europe.com")</f>
        <v>sruizlemos@crm.otsuka-europe.com</v>
      </c>
      <c r="N8914" s="13">
        <v>46185.313692129632</v>
      </c>
      <c r="O8914" s="14" t="str">
        <f>HYPERLINK("https://otsuka-europe-crm.veevavault.com/ui/#object/email_activity__v/V8C00000003U088", "EN-002095012")</f>
        <v>EN-002095012</v>
      </c>
    </row>
    <row r="8915" spans="1:15" ht="16" x14ac:dyDescent="0.2">
      <c r="A8915" s="17" t="str">
        <f>HYPERLINK("https://otsuka-europe-crm.veevavault.com/ui/#object/account__v/V4TZ04ASGB4OD4A", "EVELIN CECILIA CERVANTES PEREZ")</f>
        <v>EVELIN CECILIA CERVANTES PEREZ</v>
      </c>
      <c r="B8915" s="17" t="str">
        <f>HYPERLINK("https://otsuka-europe-crm.veevavault.com/ui/#object/vcountry__v/VENZ000004SONF5", "ES")</f>
        <v>ES</v>
      </c>
      <c r="C8915" s="20" t="s">
        <v>41</v>
      </c>
      <c r="D8915" s="21" t="str">
        <f>HYPERLINK("https://otsuka-europe-crm.veevavault.com/ui/#object/approved_document__v/V5O00000001H025", "LUP - VAE invitación simposio SEN-SER - Reuma")</f>
        <v>LUP - VAE invitación simposio SEN-SER - Reuma</v>
      </c>
      <c r="E8915" s="22" t="str">
        <f>HYPERLINK("https://otsuka-europe-crm.veevavault.com/ui/#object/sent_email__v/VBL00000002T108", "SE-001435627")</f>
        <v>SE-001435627</v>
      </c>
      <c r="F8915" s="23">
        <v>46190.419791666667</v>
      </c>
      <c r="G8915" s="24">
        <v>1</v>
      </c>
      <c r="H8915" s="24">
        <v>1</v>
      </c>
      <c r="I8915" s="24">
        <v>0</v>
      </c>
      <c r="J8915" s="25"/>
      <c r="K8915" s="24">
        <v>0</v>
      </c>
      <c r="L8915" s="22" t="str">
        <f>HYPERLINK("https://otsuka-europe-crm.veevavault.com/ui/#object/approved_document__v/V5O00000001H025", "LUP - VAE invitación simposio SEN-SER - Reuma")</f>
        <v>LUP - VAE invitación simposio SEN-SER - Reuma</v>
      </c>
      <c r="M8915" s="22" t="str">
        <f>HYPERLINK("mailto:sruizlemos@crm.otsuka-europe.com", "sruizlemos@crm.otsuka-europe.com")</f>
        <v>sruizlemos@crm.otsuka-europe.com</v>
      </c>
      <c r="N8915" s="23">
        <v>46185.313703703701</v>
      </c>
      <c r="O8915" s="14" t="str">
        <f>HYPERLINK("https://otsuka-europe-crm.veevavault.com/ui/#object/email_activity__v/V8C00000003U384", "EN-002095628")</f>
        <v>EN-002095628</v>
      </c>
    </row>
    <row r="8916" spans="1:15" ht="16" x14ac:dyDescent="0.2">
      <c r="A8916" s="18"/>
      <c r="B8916" s="18"/>
      <c r="C8916" s="18"/>
      <c r="D8916" s="18"/>
      <c r="E8916" s="18"/>
      <c r="F8916" s="18"/>
      <c r="G8916" s="18"/>
      <c r="H8916" s="18"/>
      <c r="I8916" s="18"/>
      <c r="J8916" s="18"/>
      <c r="K8916" s="18"/>
      <c r="L8916" s="18"/>
      <c r="M8916" s="18"/>
      <c r="N8916" s="18"/>
      <c r="O8916" s="14" t="str">
        <f>HYPERLINK("https://otsuka-europe-crm.veevavault.com/ui/#object/email_activity__v/V8C00000003V053", "EN-002094939")</f>
        <v>EN-002094939</v>
      </c>
    </row>
    <row r="8917" spans="1:15" ht="16" x14ac:dyDescent="0.2">
      <c r="A8917" s="18"/>
      <c r="B8917" s="18"/>
      <c r="C8917" s="18"/>
      <c r="D8917" s="18"/>
      <c r="E8917" s="18"/>
      <c r="F8917" s="18"/>
      <c r="G8917" s="18"/>
      <c r="H8917" s="18"/>
      <c r="I8917" s="18"/>
      <c r="J8917" s="18"/>
      <c r="K8917" s="18"/>
      <c r="L8917" s="18"/>
      <c r="M8917" s="18"/>
      <c r="N8917" s="18"/>
      <c r="O8917" s="14" t="str">
        <f>HYPERLINK("https://otsuka-europe-crm.veevavault.com/ui/#object/email_activity__v/V8C00000003W667", "EN-002098312")</f>
        <v>EN-002098312</v>
      </c>
    </row>
    <row r="8918" spans="1:15" ht="16" x14ac:dyDescent="0.2">
      <c r="A8918" s="19"/>
      <c r="B8918" s="19"/>
      <c r="C8918" s="19"/>
      <c r="D8918" s="19"/>
      <c r="E8918" s="19"/>
      <c r="F8918" s="19"/>
      <c r="G8918" s="19"/>
      <c r="H8918" s="19"/>
      <c r="I8918" s="19"/>
      <c r="J8918" s="19"/>
      <c r="K8918" s="19"/>
      <c r="L8918" s="19"/>
      <c r="M8918" s="19"/>
      <c r="N8918" s="19"/>
      <c r="O8918" s="14" t="str">
        <f>HYPERLINK("https://otsuka-europe-crm.veevavault.com/ui/#object/email_activity__v/V8C000000040165", "EN-002098984")</f>
        <v>EN-002098984</v>
      </c>
    </row>
    <row r="8919" spans="1:15" ht="32" x14ac:dyDescent="0.2">
      <c r="A8919" s="7" t="str">
        <f>HYPERLINK("https://otsuka-europe-crm.veevavault.com/ui/#object/account__v/V4TZ04ASGBNRXQU", "LAURA LOSADA ARES")</f>
        <v>LAURA LOSADA ARES</v>
      </c>
      <c r="B8919" s="7" t="str">
        <f>HYPERLINK("https://otsuka-europe-crm.veevavault.com/ui/#object/vcountry__v/VENZ000004SONF5", "ES")</f>
        <v>ES</v>
      </c>
      <c r="C8919" s="8" t="s">
        <v>41</v>
      </c>
      <c r="D8919" s="9" t="str">
        <f>HYPERLINK("https://otsuka-europe-crm.veevavault.com/ui/#object/approved_document__v/V5O00000001H025", "LUP - VAE invitación simposio SEN-SER - Reuma")</f>
        <v>LUP - VAE invitación simposio SEN-SER - Reuma</v>
      </c>
      <c r="E8919" s="10" t="str">
        <f>HYPERLINK("https://otsuka-europe-crm.veevavault.com/ui/#object/sent_email__v/VBL00000002T109", "SE-001435628")</f>
        <v>SE-001435628</v>
      </c>
      <c r="F8919" s="11"/>
      <c r="G8919" s="12">
        <v>0</v>
      </c>
      <c r="H8919" s="12">
        <v>0</v>
      </c>
      <c r="I8919" s="12">
        <v>0</v>
      </c>
      <c r="J8919" s="11"/>
      <c r="K8919" s="12">
        <v>0</v>
      </c>
      <c r="L8919" s="10" t="str">
        <f>HYPERLINK("https://otsuka-europe-crm.veevavault.com/ui/#object/approved_document__v/V5O00000001H025", "LUP - VAE invitación simposio SEN-SER - Reuma")</f>
        <v>LUP - VAE invitación simposio SEN-SER - Reuma</v>
      </c>
      <c r="M8919" s="10" t="str">
        <f>HYPERLINK("mailto:sruizlemos@crm.otsuka-europe.com", "sruizlemos@crm.otsuka-europe.com")</f>
        <v>sruizlemos@crm.otsuka-europe.com</v>
      </c>
      <c r="N8919" s="13">
        <v>46185.313750000001</v>
      </c>
      <c r="O8919" s="14" t="str">
        <f>HYPERLINK("https://otsuka-europe-crm.veevavault.com/ui/#object/email_activity__v/V8C00000003V078", "EN-002094980")</f>
        <v>EN-002094980</v>
      </c>
    </row>
    <row r="8920" spans="1:15" ht="16" x14ac:dyDescent="0.2">
      <c r="A8920" s="17" t="str">
        <f>HYPERLINK("https://otsuka-europe-crm.veevavault.com/ui/#object/account__v/V4TZ025E82BJFSD", "MANUEL ENRIQUE POMBO SUAREZ")</f>
        <v>MANUEL ENRIQUE POMBO SUAREZ</v>
      </c>
      <c r="B8920" s="17" t="str">
        <f>HYPERLINK("https://otsuka-europe-crm.veevavault.com/ui/#object/vcountry__v/VENZ000004SONF5", "ES")</f>
        <v>ES</v>
      </c>
      <c r="C8920" s="20" t="s">
        <v>41</v>
      </c>
      <c r="D8920" s="21" t="str">
        <f>HYPERLINK("https://otsuka-europe-crm.veevavault.com/ui/#object/approved_document__v/V5O00000001H025", "LUP - VAE invitación simposio SEN-SER - Reuma")</f>
        <v>LUP - VAE invitación simposio SEN-SER - Reuma</v>
      </c>
      <c r="E8920" s="22" t="str">
        <f>HYPERLINK("https://otsuka-europe-crm.veevavault.com/ui/#object/sent_email__v/VBL00000002T110", "SE-001435629")</f>
        <v>SE-001435629</v>
      </c>
      <c r="F8920" s="25"/>
      <c r="G8920" s="24">
        <v>0</v>
      </c>
      <c r="H8920" s="24">
        <v>0</v>
      </c>
      <c r="I8920" s="24">
        <v>0</v>
      </c>
      <c r="J8920" s="25"/>
      <c r="K8920" s="24">
        <v>0</v>
      </c>
      <c r="L8920" s="22" t="str">
        <f>HYPERLINK("https://otsuka-europe-crm.veevavault.com/ui/#object/approved_document__v/V5O00000001H025", "LUP - VAE invitación simposio SEN-SER - Reuma")</f>
        <v>LUP - VAE invitación simposio SEN-SER - Reuma</v>
      </c>
      <c r="M8920" s="22" t="str">
        <f>HYPERLINK("mailto:sruizlemos@crm.otsuka-europe.com", "sruizlemos@crm.otsuka-europe.com")</f>
        <v>sruizlemos@crm.otsuka-europe.com</v>
      </c>
      <c r="N8920" s="23">
        <v>46185.313738425924</v>
      </c>
      <c r="O8920" s="14" t="str">
        <f>HYPERLINK("https://otsuka-europe-crm.veevavault.com/ui/#object/email_activity__v/V8C00000003U080", "EN-002094973")</f>
        <v>EN-002094973</v>
      </c>
    </row>
    <row r="8921" spans="1:15" ht="16" x14ac:dyDescent="0.2">
      <c r="A8921" s="18"/>
      <c r="B8921" s="18"/>
      <c r="C8921" s="18"/>
      <c r="D8921" s="18"/>
      <c r="E8921" s="18"/>
      <c r="F8921" s="18"/>
      <c r="G8921" s="18"/>
      <c r="H8921" s="18"/>
      <c r="I8921" s="18"/>
      <c r="J8921" s="18"/>
      <c r="K8921" s="18"/>
      <c r="L8921" s="18"/>
      <c r="M8921" s="18"/>
      <c r="N8921" s="18"/>
      <c r="O8921" s="14" t="str">
        <f>HYPERLINK("https://otsuka-europe-crm.veevavault.com/ui/#object/email_activity__v/V8C00000003V154", "EN-002095086")</f>
        <v>EN-002095086</v>
      </c>
    </row>
    <row r="8922" spans="1:15" ht="16" x14ac:dyDescent="0.2">
      <c r="A8922" s="19"/>
      <c r="B8922" s="19"/>
      <c r="C8922" s="19"/>
      <c r="D8922" s="19"/>
      <c r="E8922" s="19"/>
      <c r="F8922" s="19"/>
      <c r="G8922" s="19"/>
      <c r="H8922" s="19"/>
      <c r="I8922" s="19"/>
      <c r="J8922" s="19"/>
      <c r="K8922" s="19"/>
      <c r="L8922" s="19"/>
      <c r="M8922" s="19"/>
      <c r="N8922" s="19"/>
      <c r="O8922" s="14" t="str">
        <f>HYPERLINK("https://otsuka-europe-crm.veevavault.com/ui/#object/email_activity__v/V8C00000003V456", "EN-002095685")</f>
        <v>EN-002095685</v>
      </c>
    </row>
    <row r="8923" spans="1:15" ht="32" x14ac:dyDescent="0.2">
      <c r="A8923" s="7" t="str">
        <f>HYPERLINK("https://otsuka-europe-crm.veevavault.com/ui/#object/account__v/V4TZ04ASGB04UCF", "BALBINA CARMEN GONZALEZ ALVAREZ")</f>
        <v>BALBINA CARMEN GONZALEZ ALVAREZ</v>
      </c>
      <c r="B8923" s="7" t="str">
        <f>HYPERLINK("https://otsuka-europe-crm.veevavault.com/ui/#object/vcountry__v/VENZ000004SONF5", "ES")</f>
        <v>ES</v>
      </c>
      <c r="C8923" s="8" t="s">
        <v>41</v>
      </c>
      <c r="D8923" s="9" t="str">
        <f>HYPERLINK("https://otsuka-europe-crm.veevavault.com/ui/#object/approved_document__v/V5O00000001H025", "LUP - VAE invitación simposio SEN-SER - Reuma")</f>
        <v>LUP - VAE invitación simposio SEN-SER - Reuma</v>
      </c>
      <c r="E8923" s="10" t="str">
        <f>HYPERLINK("https://otsuka-europe-crm.veevavault.com/ui/#object/sent_email__v/VBL00000002T111", "SE-001435630")</f>
        <v>SE-001435630</v>
      </c>
      <c r="F8923" s="11"/>
      <c r="G8923" s="12">
        <v>0</v>
      </c>
      <c r="H8923" s="12">
        <v>0</v>
      </c>
      <c r="I8923" s="12">
        <v>0</v>
      </c>
      <c r="J8923" s="11"/>
      <c r="K8923" s="12">
        <v>0</v>
      </c>
      <c r="L8923" s="10" t="str">
        <f>HYPERLINK("https://otsuka-europe-crm.veevavault.com/ui/#object/approved_document__v/V5O00000001H025", "LUP - VAE invitación simposio SEN-SER - Reuma")</f>
        <v>LUP - VAE invitación simposio SEN-SER - Reuma</v>
      </c>
      <c r="M8923" s="10" t="str">
        <f>HYPERLINK("mailto:sruizlemos@crm.otsuka-europe.com", "sruizlemos@crm.otsuka-europe.com")</f>
        <v>sruizlemos@crm.otsuka-europe.com</v>
      </c>
      <c r="N8923" s="13">
        <v>46185.313761574071</v>
      </c>
      <c r="O8923" s="14" t="str">
        <f>HYPERLINK("https://otsuka-europe-crm.veevavault.com/ui/#object/email_activity__v/V8C00000003U074", "EN-002094959")</f>
        <v>EN-002094959</v>
      </c>
    </row>
    <row r="8924" spans="1:15" ht="16" x14ac:dyDescent="0.2">
      <c r="A8924" s="17" t="str">
        <f>HYPERLINK("https://otsuka-europe-crm.veevavault.com/ui/#object/account__v/V4TZ04ASGBJAJHN", "BEATRIZ ARCA BARCA")</f>
        <v>BEATRIZ ARCA BARCA</v>
      </c>
      <c r="B8924" s="17" t="str">
        <f>HYPERLINK("https://otsuka-europe-crm.veevavault.com/ui/#object/vcountry__v/VENZ000004SONF5", "ES")</f>
        <v>ES</v>
      </c>
      <c r="C8924" s="20" t="s">
        <v>41</v>
      </c>
      <c r="D8924" s="21" t="str">
        <f>HYPERLINK("https://otsuka-europe-crm.veevavault.com/ui/#object/approved_document__v/V5O00000001H025", "LUP - VAE invitación simposio SEN-SER - Reuma")</f>
        <v>LUP - VAE invitación simposio SEN-SER - Reuma</v>
      </c>
      <c r="E8924" s="22" t="str">
        <f>HYPERLINK("https://otsuka-europe-crm.veevavault.com/ui/#object/sent_email__v/VBL00000002T112", "SE-001435631")</f>
        <v>SE-001435631</v>
      </c>
      <c r="F8924" s="23">
        <v>46185.336747685185</v>
      </c>
      <c r="G8924" s="24">
        <v>1</v>
      </c>
      <c r="H8924" s="24">
        <v>2</v>
      </c>
      <c r="I8924" s="24">
        <v>0</v>
      </c>
      <c r="J8924" s="25"/>
      <c r="K8924" s="24">
        <v>0</v>
      </c>
      <c r="L8924" s="22" t="str">
        <f>HYPERLINK("https://otsuka-europe-crm.veevavault.com/ui/#object/approved_document__v/V5O00000001H025", "LUP - VAE invitación simposio SEN-SER - Reuma")</f>
        <v>LUP - VAE invitación simposio SEN-SER - Reuma</v>
      </c>
      <c r="M8924" s="22" t="str">
        <f>HYPERLINK("mailto:sruizlemos@crm.otsuka-europe.com", "sruizlemos@crm.otsuka-europe.com")</f>
        <v>sruizlemos@crm.otsuka-europe.com</v>
      </c>
      <c r="N8924" s="23">
        <v>46185.313750000001</v>
      </c>
      <c r="O8924" s="14" t="str">
        <f>HYPERLINK("https://otsuka-europe-crm.veevavault.com/ui/#object/email_activity__v/V8C00000003U130", "EN-002095114")</f>
        <v>EN-002095114</v>
      </c>
    </row>
    <row r="8925" spans="1:15" ht="16" x14ac:dyDescent="0.2">
      <c r="A8925" s="18"/>
      <c r="B8925" s="18"/>
      <c r="C8925" s="18"/>
      <c r="D8925" s="18"/>
      <c r="E8925" s="18"/>
      <c r="F8925" s="18"/>
      <c r="G8925" s="18"/>
      <c r="H8925" s="18"/>
      <c r="I8925" s="18"/>
      <c r="J8925" s="18"/>
      <c r="K8925" s="18"/>
      <c r="L8925" s="18"/>
      <c r="M8925" s="18"/>
      <c r="N8925" s="18"/>
      <c r="O8925" s="14" t="str">
        <f>HYPERLINK("https://otsuka-europe-crm.veevavault.com/ui/#object/email_activity__v/V8C00000003U131", "EN-002095116")</f>
        <v>EN-002095116</v>
      </c>
    </row>
    <row r="8926" spans="1:15" ht="16" x14ac:dyDescent="0.2">
      <c r="A8926" s="19"/>
      <c r="B8926" s="19"/>
      <c r="C8926" s="19"/>
      <c r="D8926" s="19"/>
      <c r="E8926" s="19"/>
      <c r="F8926" s="19"/>
      <c r="G8926" s="19"/>
      <c r="H8926" s="19"/>
      <c r="I8926" s="19"/>
      <c r="J8926" s="19"/>
      <c r="K8926" s="19"/>
      <c r="L8926" s="19"/>
      <c r="M8926" s="19"/>
      <c r="N8926" s="19"/>
      <c r="O8926" s="14" t="str">
        <f>HYPERLINK("https://otsuka-europe-crm.veevavault.com/ui/#object/email_activity__v/V8C00000003V095", "EN-002094997")</f>
        <v>EN-002094997</v>
      </c>
    </row>
    <row r="8927" spans="1:15" ht="32" x14ac:dyDescent="0.2">
      <c r="A8927" s="7" t="str">
        <f>HYPERLINK("https://otsuka-europe-crm.veevavault.com/ui/#object/account__v/V4TZ04ASGBNRXOL", "TOMAS RAMON VAZQUEZ RODRIGUEZ")</f>
        <v>TOMAS RAMON VAZQUEZ RODRIGUEZ</v>
      </c>
      <c r="B8927" s="7" t="str">
        <f>HYPERLINK("https://otsuka-europe-crm.veevavault.com/ui/#object/vcountry__v/VENZ000004SONF5", "ES")</f>
        <v>ES</v>
      </c>
      <c r="C8927" s="8" t="s">
        <v>41</v>
      </c>
      <c r="D8927" s="9" t="str">
        <f>HYPERLINK("https://otsuka-europe-crm.veevavault.com/ui/#object/approved_document__v/V5O00000001H025", "LUP - VAE invitación simposio SEN-SER - Reuma")</f>
        <v>LUP - VAE invitación simposio SEN-SER - Reuma</v>
      </c>
      <c r="E8927" s="10" t="str">
        <f>HYPERLINK("https://otsuka-europe-crm.veevavault.com/ui/#object/sent_email__v/VBL00000002T113", "SE-001435632")</f>
        <v>SE-001435632</v>
      </c>
      <c r="F8927" s="11"/>
      <c r="G8927" s="12">
        <v>0</v>
      </c>
      <c r="H8927" s="12">
        <v>0</v>
      </c>
      <c r="I8927" s="12">
        <v>0</v>
      </c>
      <c r="J8927" s="11"/>
      <c r="K8927" s="12">
        <v>0</v>
      </c>
      <c r="L8927" s="10" t="str">
        <f>HYPERLINK("https://otsuka-europe-crm.veevavault.com/ui/#object/approved_document__v/V5O00000001H025", "LUP - VAE invitación simposio SEN-SER - Reuma")</f>
        <v>LUP - VAE invitación simposio SEN-SER - Reuma</v>
      </c>
      <c r="M8927" s="10" t="str">
        <f>HYPERLINK("mailto:sruizlemos@crm.otsuka-europe.com", "sruizlemos@crm.otsuka-europe.com")</f>
        <v>sruizlemos@crm.otsuka-europe.com</v>
      </c>
      <c r="N8927" s="13">
        <v>46185.313750000001</v>
      </c>
      <c r="O8927" s="14" t="str">
        <f>HYPERLINK("https://otsuka-europe-crm.veevavault.com/ui/#object/email_activity__v/V8C00000003V076", "EN-002094978")</f>
        <v>EN-002094978</v>
      </c>
    </row>
    <row r="8928" spans="1:15" ht="32" x14ac:dyDescent="0.2">
      <c r="A8928" s="7" t="str">
        <f>HYPERLINK("https://otsuka-europe-crm.veevavault.com/ui/#object/account__v/V4TZ06G6OCEKLJY", "FRANCISCO JAVIER DE TORO SANTOS")</f>
        <v>FRANCISCO JAVIER DE TORO SANTOS</v>
      </c>
      <c r="B8928" s="7" t="str">
        <f>HYPERLINK("https://otsuka-europe-crm.veevavault.com/ui/#object/vcountry__v/VENZ000004SONF5", "ES")</f>
        <v>ES</v>
      </c>
      <c r="C8928" s="8" t="s">
        <v>41</v>
      </c>
      <c r="D8928" s="9" t="str">
        <f>HYPERLINK("https://otsuka-europe-crm.veevavault.com/ui/#object/approved_document__v/V5O00000001H025", "LUP - VAE invitación simposio SEN-SER - Reuma")</f>
        <v>LUP - VAE invitación simposio SEN-SER - Reuma</v>
      </c>
      <c r="E8928" s="10" t="str">
        <f>HYPERLINK("https://otsuka-europe-crm.veevavault.com/ui/#object/sent_email__v/VBL00000002T114", "SE-001435633")</f>
        <v>SE-001435633</v>
      </c>
      <c r="F8928" s="11"/>
      <c r="G8928" s="12">
        <v>0</v>
      </c>
      <c r="H8928" s="12">
        <v>0</v>
      </c>
      <c r="I8928" s="12">
        <v>0</v>
      </c>
      <c r="J8928" s="11"/>
      <c r="K8928" s="12">
        <v>0</v>
      </c>
      <c r="L8928" s="10" t="str">
        <f>HYPERLINK("https://otsuka-europe-crm.veevavault.com/ui/#object/approved_document__v/V5O00000001H025", "LUP - VAE invitación simposio SEN-SER - Reuma")</f>
        <v>LUP - VAE invitación simposio SEN-SER - Reuma</v>
      </c>
      <c r="M8928" s="10" t="str">
        <f>HYPERLINK("mailto:sruizlemos@crm.otsuka-europe.com", "sruizlemos@crm.otsuka-europe.com")</f>
        <v>sruizlemos@crm.otsuka-europe.com</v>
      </c>
      <c r="N8928" s="13">
        <v>46185.313715277778</v>
      </c>
      <c r="O8928" s="14" t="str">
        <f>HYPERLINK("https://otsuka-europe-crm.veevavault.com/ui/#object/email_activity__v/V8C00000003U055", "EN-002094917")</f>
        <v>EN-002094917</v>
      </c>
    </row>
    <row r="8929" spans="1:15" ht="16" x14ac:dyDescent="0.2">
      <c r="A8929" s="17" t="str">
        <f>HYPERLINK("https://otsuka-europe-crm.veevavault.com/ui/#object/account__v/V4TZ04ASGCYN3Z1", "JOSE ALBERTO MIRANDA FILLOY")</f>
        <v>JOSE ALBERTO MIRANDA FILLOY</v>
      </c>
      <c r="B8929" s="17" t="str">
        <f>HYPERLINK("https://otsuka-europe-crm.veevavault.com/ui/#object/vcountry__v/VENZ000004SONF5", "ES")</f>
        <v>ES</v>
      </c>
      <c r="C8929" s="20" t="s">
        <v>41</v>
      </c>
      <c r="D8929" s="21" t="str">
        <f>HYPERLINK("https://otsuka-europe-crm.veevavault.com/ui/#object/approved_document__v/V5O00000001H025", "LUP - VAE invitación simposio SEN-SER - Reuma")</f>
        <v>LUP - VAE invitación simposio SEN-SER - Reuma</v>
      </c>
      <c r="E8929" s="22" t="str">
        <f>HYPERLINK("https://otsuka-europe-crm.veevavault.com/ui/#object/sent_email__v/VBL00000002T115", "SE-001435634")</f>
        <v>SE-001435634</v>
      </c>
      <c r="F8929" s="23">
        <v>46197.507280092592</v>
      </c>
      <c r="G8929" s="24">
        <v>1</v>
      </c>
      <c r="H8929" s="24">
        <v>5</v>
      </c>
      <c r="I8929" s="24">
        <v>0</v>
      </c>
      <c r="J8929" s="25"/>
      <c r="K8929" s="24">
        <v>0</v>
      </c>
      <c r="L8929" s="22" t="str">
        <f>HYPERLINK("https://otsuka-europe-crm.veevavault.com/ui/#object/approved_document__v/V5O00000001H025", "LUP - VAE invitación simposio SEN-SER - Reuma")</f>
        <v>LUP - VAE invitación simposio SEN-SER - Reuma</v>
      </c>
      <c r="M8929" s="22" t="str">
        <f>HYPERLINK("mailto:sruizlemos@crm.otsuka-europe.com", "sruizlemos@crm.otsuka-europe.com")</f>
        <v>sruizlemos@crm.otsuka-europe.com</v>
      </c>
      <c r="N8929" s="23">
        <v>46185.313738425924</v>
      </c>
      <c r="O8929" s="14" t="str">
        <f>HYPERLINK("https://otsuka-europe-crm.veevavault.com/ui/#object/email_activity__v/V8C00000003U128", "EN-002095108")</f>
        <v>EN-002095108</v>
      </c>
    </row>
    <row r="8930" spans="1:15" ht="16" x14ac:dyDescent="0.2">
      <c r="A8930" s="18"/>
      <c r="B8930" s="18"/>
      <c r="C8930" s="18"/>
      <c r="D8930" s="18"/>
      <c r="E8930" s="18"/>
      <c r="F8930" s="18"/>
      <c r="G8930" s="18"/>
      <c r="H8930" s="18"/>
      <c r="I8930" s="18"/>
      <c r="J8930" s="18"/>
      <c r="K8930" s="18"/>
      <c r="L8930" s="18"/>
      <c r="M8930" s="18"/>
      <c r="N8930" s="18"/>
      <c r="O8930" s="14" t="str">
        <f>HYPERLINK("https://otsuka-europe-crm.veevavault.com/ui/#object/email_activity__v/V8C00000003U366", "EN-002095590")</f>
        <v>EN-002095590</v>
      </c>
    </row>
    <row r="8931" spans="1:15" ht="16" x14ac:dyDescent="0.2">
      <c r="A8931" s="18"/>
      <c r="B8931" s="18"/>
      <c r="C8931" s="18"/>
      <c r="D8931" s="18"/>
      <c r="E8931" s="18"/>
      <c r="F8931" s="18"/>
      <c r="G8931" s="18"/>
      <c r="H8931" s="18"/>
      <c r="I8931" s="18"/>
      <c r="J8931" s="18"/>
      <c r="K8931" s="18"/>
      <c r="L8931" s="18"/>
      <c r="M8931" s="18"/>
      <c r="N8931" s="18"/>
      <c r="O8931" s="14" t="str">
        <f>HYPERLINK("https://otsuka-europe-crm.veevavault.com/ui/#object/email_activity__v/V8C00000003U373", "EN-002095609")</f>
        <v>EN-002095609</v>
      </c>
    </row>
    <row r="8932" spans="1:15" ht="16" x14ac:dyDescent="0.2">
      <c r="A8932" s="18"/>
      <c r="B8932" s="18"/>
      <c r="C8932" s="18"/>
      <c r="D8932" s="18"/>
      <c r="E8932" s="18"/>
      <c r="F8932" s="18"/>
      <c r="G8932" s="18"/>
      <c r="H8932" s="18"/>
      <c r="I8932" s="18"/>
      <c r="J8932" s="18"/>
      <c r="K8932" s="18"/>
      <c r="L8932" s="18"/>
      <c r="M8932" s="18"/>
      <c r="N8932" s="18"/>
      <c r="O8932" s="14" t="str">
        <f>HYPERLINK("https://otsuka-europe-crm.veevavault.com/ui/#object/email_activity__v/V8C00000003V057", "EN-002094943")</f>
        <v>EN-002094943</v>
      </c>
    </row>
    <row r="8933" spans="1:15" ht="16" x14ac:dyDescent="0.2">
      <c r="A8933" s="18"/>
      <c r="B8933" s="18"/>
      <c r="C8933" s="18"/>
      <c r="D8933" s="18"/>
      <c r="E8933" s="18"/>
      <c r="F8933" s="18"/>
      <c r="G8933" s="18"/>
      <c r="H8933" s="18"/>
      <c r="I8933" s="18"/>
      <c r="J8933" s="18"/>
      <c r="K8933" s="18"/>
      <c r="L8933" s="18"/>
      <c r="M8933" s="18"/>
      <c r="N8933" s="18"/>
      <c r="O8933" s="14" t="str">
        <f>HYPERLINK("https://otsuka-europe-crm.veevavault.com/ui/#object/email_activity__v/V8C00000003V136", "EN-002095064")</f>
        <v>EN-002095064</v>
      </c>
    </row>
    <row r="8934" spans="1:15" ht="16" x14ac:dyDescent="0.2">
      <c r="A8934" s="18"/>
      <c r="B8934" s="18"/>
      <c r="C8934" s="18"/>
      <c r="D8934" s="18"/>
      <c r="E8934" s="18"/>
      <c r="F8934" s="18"/>
      <c r="G8934" s="18"/>
      <c r="H8934" s="18"/>
      <c r="I8934" s="18"/>
      <c r="J8934" s="18"/>
      <c r="K8934" s="18"/>
      <c r="L8934" s="18"/>
      <c r="M8934" s="18"/>
      <c r="N8934" s="18"/>
      <c r="O8934" s="14" t="str">
        <f>HYPERLINK("https://otsuka-europe-crm.veevavault.com/ui/#object/email_activity__v/V8C00000003V208", "EN-002095189")</f>
        <v>EN-002095189</v>
      </c>
    </row>
    <row r="8935" spans="1:15" ht="16" x14ac:dyDescent="0.2">
      <c r="A8935" s="19"/>
      <c r="B8935" s="19"/>
      <c r="C8935" s="19"/>
      <c r="D8935" s="19"/>
      <c r="E8935" s="19"/>
      <c r="F8935" s="19"/>
      <c r="G8935" s="19"/>
      <c r="H8935" s="19"/>
      <c r="I8935" s="19"/>
      <c r="J8935" s="19"/>
      <c r="K8935" s="19"/>
      <c r="L8935" s="19"/>
      <c r="M8935" s="19"/>
      <c r="N8935" s="19"/>
      <c r="O8935" s="14" t="str">
        <f>HYPERLINK("https://otsuka-europe-crm.veevavault.com/ui/#object/email_activity__v/V8C00000003Z434", "EN-002099548")</f>
        <v>EN-002099548</v>
      </c>
    </row>
    <row r="8936" spans="1:15" ht="32" x14ac:dyDescent="0.2">
      <c r="A8936" s="7" t="str">
        <f>HYPERLINK("https://otsuka-europe-crm.veevavault.com/ui/#object/account__v/V4TZ025E88SV6GA", "NOELIA CABALEIRO RAÑA")</f>
        <v>NOELIA CABALEIRO RAÑA</v>
      </c>
      <c r="B8936" s="7" t="str">
        <f>HYPERLINK("https://otsuka-europe-crm.veevavault.com/ui/#object/vcountry__v/VENZ000004SONF5", "ES")</f>
        <v>ES</v>
      </c>
      <c r="C8936" s="8" t="s">
        <v>41</v>
      </c>
      <c r="D8936" s="9" t="str">
        <f>HYPERLINK("https://otsuka-europe-crm.veevavault.com/ui/#object/approved_document__v/V5O00000001H025", "LUP - VAE invitación simposio SEN-SER - Reuma")</f>
        <v>LUP - VAE invitación simposio SEN-SER - Reuma</v>
      </c>
      <c r="E8936" s="10" t="str">
        <f>HYPERLINK("https://otsuka-europe-crm.veevavault.com/ui/#object/sent_email__v/VBL00000002T116", "SE-001435635")</f>
        <v>SE-001435635</v>
      </c>
      <c r="F8936" s="11"/>
      <c r="G8936" s="12">
        <v>0</v>
      </c>
      <c r="H8936" s="12">
        <v>0</v>
      </c>
      <c r="I8936" s="12">
        <v>0</v>
      </c>
      <c r="J8936" s="11"/>
      <c r="K8936" s="12">
        <v>0</v>
      </c>
      <c r="L8936" s="10" t="str">
        <f>HYPERLINK("https://otsuka-europe-crm.veevavault.com/ui/#object/approved_document__v/V5O00000001H025", "LUP - VAE invitación simposio SEN-SER - Reuma")</f>
        <v>LUP - VAE invitación simposio SEN-SER - Reuma</v>
      </c>
      <c r="M8936" s="10" t="str">
        <f>HYPERLINK("mailto:sruizlemos@crm.otsuka-europe.com", "sruizlemos@crm.otsuka-europe.com")</f>
        <v>sruizlemos@crm.otsuka-europe.com</v>
      </c>
      <c r="N8936" s="13">
        <v>46185.313715277778</v>
      </c>
      <c r="O8936" s="14" t="str">
        <f>HYPERLINK("https://otsuka-europe-crm.veevavault.com/ui/#object/email_activity__v/V8C00000003U085", "EN-002095009")</f>
        <v>EN-002095009</v>
      </c>
    </row>
    <row r="8937" spans="1:15" ht="16" x14ac:dyDescent="0.2">
      <c r="A8937" s="17" t="str">
        <f>HYPERLINK("https://otsuka-europe-crm.veevavault.com/ui/#object/account__v/V4TZ025E86S6WYW", "JAVIER SEOANE ROMERO")</f>
        <v>JAVIER SEOANE ROMERO</v>
      </c>
      <c r="B8937" s="17" t="str">
        <f>HYPERLINK("https://otsuka-europe-crm.veevavault.com/ui/#object/vcountry__v/VENZ000004SONF5", "ES")</f>
        <v>ES</v>
      </c>
      <c r="C8937" s="20" t="s">
        <v>41</v>
      </c>
      <c r="D8937" s="21" t="str">
        <f>HYPERLINK("https://otsuka-europe-crm.veevavault.com/ui/#object/approved_document__v/V5O00000001H025", "LUP - VAE invitación simposio SEN-SER - Reuma")</f>
        <v>LUP - VAE invitación simposio SEN-SER - Reuma</v>
      </c>
      <c r="E8937" s="22" t="str">
        <f>HYPERLINK("https://otsuka-europe-crm.veevavault.com/ui/#object/sent_email__v/VBL00000002T117", "SE-001435636")</f>
        <v>SE-001435636</v>
      </c>
      <c r="F8937" s="23">
        <v>46186.403194444443</v>
      </c>
      <c r="G8937" s="24">
        <v>1</v>
      </c>
      <c r="H8937" s="24">
        <v>3</v>
      </c>
      <c r="I8937" s="24">
        <v>0</v>
      </c>
      <c r="J8937" s="25"/>
      <c r="K8937" s="24">
        <v>0</v>
      </c>
      <c r="L8937" s="22" t="str">
        <f>HYPERLINK("https://otsuka-europe-crm.veevavault.com/ui/#object/approved_document__v/V5O00000001H025", "LUP - VAE invitación simposio SEN-SER - Reuma")</f>
        <v>LUP - VAE invitación simposio SEN-SER - Reuma</v>
      </c>
      <c r="M8937" s="22" t="str">
        <f>HYPERLINK("mailto:sruizlemos@crm.otsuka-europe.com", "sruizlemos@crm.otsuka-europe.com")</f>
        <v>sruizlemos@crm.otsuka-europe.com</v>
      </c>
      <c r="N8937" s="23">
        <v>46185.313715277778</v>
      </c>
      <c r="O8937" s="14" t="str">
        <f>HYPERLINK("https://otsuka-europe-crm.veevavault.com/ui/#object/email_activity__v/V8C00000003U077", "EN-002094962")</f>
        <v>EN-002094962</v>
      </c>
    </row>
    <row r="8938" spans="1:15" ht="16" x14ac:dyDescent="0.2">
      <c r="A8938" s="18"/>
      <c r="B8938" s="18"/>
      <c r="C8938" s="18"/>
      <c r="D8938" s="18"/>
      <c r="E8938" s="18"/>
      <c r="F8938" s="18"/>
      <c r="G8938" s="18"/>
      <c r="H8938" s="18"/>
      <c r="I8938" s="18"/>
      <c r="J8938" s="18"/>
      <c r="K8938" s="18"/>
      <c r="L8938" s="18"/>
      <c r="M8938" s="18"/>
      <c r="N8938" s="18"/>
      <c r="O8938" s="14" t="str">
        <f>HYPERLINK("https://otsuka-europe-crm.veevavault.com/ui/#object/email_activity__v/V8C00000003V106", "EN-002095008")</f>
        <v>EN-002095008</v>
      </c>
    </row>
    <row r="8939" spans="1:15" ht="16" x14ac:dyDescent="0.2">
      <c r="A8939" s="18"/>
      <c r="B8939" s="18"/>
      <c r="C8939" s="18"/>
      <c r="D8939" s="18"/>
      <c r="E8939" s="18"/>
      <c r="F8939" s="18"/>
      <c r="G8939" s="18"/>
      <c r="H8939" s="18"/>
      <c r="I8939" s="18"/>
      <c r="J8939" s="18"/>
      <c r="K8939" s="18"/>
      <c r="L8939" s="18"/>
      <c r="M8939" s="18"/>
      <c r="N8939" s="18"/>
      <c r="O8939" s="14" t="str">
        <f>HYPERLINK("https://otsuka-europe-crm.veevavault.com/ui/#object/email_activity__v/V8C00000003V410", "EN-002095593")</f>
        <v>EN-002095593</v>
      </c>
    </row>
    <row r="8940" spans="1:15" ht="16" x14ac:dyDescent="0.2">
      <c r="A8940" s="19"/>
      <c r="B8940" s="19"/>
      <c r="C8940" s="19"/>
      <c r="D8940" s="19"/>
      <c r="E8940" s="19"/>
      <c r="F8940" s="19"/>
      <c r="G8940" s="19"/>
      <c r="H8940" s="19"/>
      <c r="I8940" s="19"/>
      <c r="J8940" s="19"/>
      <c r="K8940" s="19"/>
      <c r="L8940" s="19"/>
      <c r="M8940" s="19"/>
      <c r="N8940" s="19"/>
      <c r="O8940" s="14" t="str">
        <f>HYPERLINK("https://otsuka-europe-crm.veevavault.com/ui/#object/email_activity__v/V8C00000003V429", "EN-002095629")</f>
        <v>EN-002095629</v>
      </c>
    </row>
    <row r="8941" spans="1:15" ht="16" x14ac:dyDescent="0.2">
      <c r="A8941" s="17" t="str">
        <f>HYPERLINK("https://otsuka-europe-crm.veevavault.com/ui/#object/account__v/V4TZ04ASGBUDA4X", "GUILLERMO GONZALEZ ARRIBAS")</f>
        <v>GUILLERMO GONZALEZ ARRIBAS</v>
      </c>
      <c r="B8941" s="17" t="str">
        <f>HYPERLINK("https://otsuka-europe-crm.veevavault.com/ui/#object/vcountry__v/VENZ000004SONF5", "ES")</f>
        <v>ES</v>
      </c>
      <c r="C8941" s="20" t="s">
        <v>41</v>
      </c>
      <c r="D8941" s="21" t="str">
        <f>HYPERLINK("https://otsuka-europe-crm.veevavault.com/ui/#object/approved_document__v/V5O00000001H025", "LUP - VAE invitación simposio SEN-SER - Reuma")</f>
        <v>LUP - VAE invitación simposio SEN-SER - Reuma</v>
      </c>
      <c r="E8941" s="22" t="str">
        <f>HYPERLINK("https://otsuka-europe-crm.veevavault.com/ui/#object/sent_email__v/VBL00000002T118", "SE-001435637")</f>
        <v>SE-001435637</v>
      </c>
      <c r="F8941" s="25"/>
      <c r="G8941" s="24">
        <v>0</v>
      </c>
      <c r="H8941" s="24">
        <v>0</v>
      </c>
      <c r="I8941" s="24">
        <v>0</v>
      </c>
      <c r="J8941" s="25"/>
      <c r="K8941" s="24">
        <v>0</v>
      </c>
      <c r="L8941" s="22" t="str">
        <f>HYPERLINK("https://otsuka-europe-crm.veevavault.com/ui/#object/approved_document__v/V5O00000001H025", "LUP - VAE invitación simposio SEN-SER - Reuma")</f>
        <v>LUP - VAE invitación simposio SEN-SER - Reuma</v>
      </c>
      <c r="M8941" s="22" t="str">
        <f>HYPERLINK("mailto:sruizlemos@crm.otsuka-europe.com", "sruizlemos@crm.otsuka-europe.com")</f>
        <v>sruizlemos@crm.otsuka-europe.com</v>
      </c>
      <c r="N8941" s="23">
        <v>46185.313715277778</v>
      </c>
      <c r="O8941" s="14" t="str">
        <f>HYPERLINK("https://otsuka-europe-crm.veevavault.com/ui/#object/email_activity__v/V8C00000003U152", "EN-002095170")</f>
        <v>EN-002095170</v>
      </c>
    </row>
    <row r="8942" spans="1:15" ht="16" x14ac:dyDescent="0.2">
      <c r="A8942" s="18"/>
      <c r="B8942" s="18"/>
      <c r="C8942" s="18"/>
      <c r="D8942" s="18"/>
      <c r="E8942" s="18"/>
      <c r="F8942" s="18"/>
      <c r="G8942" s="18"/>
      <c r="H8942" s="18"/>
      <c r="I8942" s="18"/>
      <c r="J8942" s="18"/>
      <c r="K8942" s="18"/>
      <c r="L8942" s="18"/>
      <c r="M8942" s="18"/>
      <c r="N8942" s="18"/>
      <c r="O8942" s="14" t="str">
        <f>HYPERLINK("https://otsuka-europe-crm.veevavault.com/ui/#object/email_activity__v/V8C00000003U435", "EN-002095724")</f>
        <v>EN-002095724</v>
      </c>
    </row>
    <row r="8943" spans="1:15" ht="16" x14ac:dyDescent="0.2">
      <c r="A8943" s="18"/>
      <c r="B8943" s="18"/>
      <c r="C8943" s="18"/>
      <c r="D8943" s="18"/>
      <c r="E8943" s="18"/>
      <c r="F8943" s="18"/>
      <c r="G8943" s="18"/>
      <c r="H8943" s="18"/>
      <c r="I8943" s="18"/>
      <c r="J8943" s="18"/>
      <c r="K8943" s="18"/>
      <c r="L8943" s="18"/>
      <c r="M8943" s="18"/>
      <c r="N8943" s="18"/>
      <c r="O8943" s="14" t="str">
        <f>HYPERLINK("https://otsuka-europe-crm.veevavault.com/ui/#object/email_activity__v/V8C00000003V049", "EN-002094929")</f>
        <v>EN-002094929</v>
      </c>
    </row>
    <row r="8944" spans="1:15" ht="16" x14ac:dyDescent="0.2">
      <c r="A8944" s="19"/>
      <c r="B8944" s="19"/>
      <c r="C8944" s="19"/>
      <c r="D8944" s="19"/>
      <c r="E8944" s="19"/>
      <c r="F8944" s="19"/>
      <c r="G8944" s="19"/>
      <c r="H8944" s="19"/>
      <c r="I8944" s="19"/>
      <c r="J8944" s="19"/>
      <c r="K8944" s="19"/>
      <c r="L8944" s="19"/>
      <c r="M8944" s="19"/>
      <c r="N8944" s="19"/>
      <c r="O8944" s="14" t="str">
        <f>HYPERLINK("https://otsuka-europe-crm.veevavault.com/ui/#object/email_activity__v/V8C000000041493", "EN-002100647")</f>
        <v>EN-002100647</v>
      </c>
    </row>
    <row r="8945" spans="1:15" ht="32" x14ac:dyDescent="0.2">
      <c r="A8945" s="7" t="str">
        <f>HYPERLINK("https://otsuka-europe-crm.veevavault.com/ui/#object/account__v/V4TZ04ASGB4ODCH", "MARINA RODRIGUEZ LOPEZ")</f>
        <v>MARINA RODRIGUEZ LOPEZ</v>
      </c>
      <c r="B8945" s="7" t="str">
        <f>HYPERLINK("https://otsuka-europe-crm.veevavault.com/ui/#object/vcountry__v/VENZ000004SONF5", "ES")</f>
        <v>ES</v>
      </c>
      <c r="C8945" s="8" t="s">
        <v>41</v>
      </c>
      <c r="D8945" s="9" t="str">
        <f>HYPERLINK("https://otsuka-europe-crm.veevavault.com/ui/#object/approved_document__v/V5O00000001H025", "LUP - VAE invitación simposio SEN-SER - Reuma")</f>
        <v>LUP - VAE invitación simposio SEN-SER - Reuma</v>
      </c>
      <c r="E8945" s="10" t="str">
        <f>HYPERLINK("https://otsuka-europe-crm.veevavault.com/ui/#object/sent_email__v/VBL00000002T119", "SE-001435638")</f>
        <v>SE-001435638</v>
      </c>
      <c r="F8945" s="11"/>
      <c r="G8945" s="12">
        <v>0</v>
      </c>
      <c r="H8945" s="12">
        <v>0</v>
      </c>
      <c r="I8945" s="12">
        <v>0</v>
      </c>
      <c r="J8945" s="11"/>
      <c r="K8945" s="12">
        <v>0</v>
      </c>
      <c r="L8945" s="10" t="str">
        <f>HYPERLINK("https://otsuka-europe-crm.veevavault.com/ui/#object/approved_document__v/V5O00000001H025", "LUP - VAE invitación simposio SEN-SER - Reuma")</f>
        <v>LUP - VAE invitación simposio SEN-SER - Reuma</v>
      </c>
      <c r="M8945" s="10" t="str">
        <f>HYPERLINK("mailto:sruizlemos@crm.otsuka-europe.com", "sruizlemos@crm.otsuka-europe.com")</f>
        <v>sruizlemos@crm.otsuka-europe.com</v>
      </c>
      <c r="N8945" s="13">
        <v>46185.313715277778</v>
      </c>
      <c r="O8945" s="14" t="str">
        <f>HYPERLINK("https://otsuka-europe-crm.veevavault.com/ui/#object/email_activity__v/V8C00000003U054", "EN-002094916")</f>
        <v>EN-002094916</v>
      </c>
    </row>
    <row r="8946" spans="1:15" ht="16" x14ac:dyDescent="0.2">
      <c r="A8946" s="17" t="str">
        <f>HYPERLINK("https://otsuka-europe-crm.veevavault.com/ui/#object/account__v/V4TZ04ASGGI4H7U", "NAIR PEREZ GOMEZ")</f>
        <v>NAIR PEREZ GOMEZ</v>
      </c>
      <c r="B8946" s="17" t="str">
        <f>HYPERLINK("https://otsuka-europe-crm.veevavault.com/ui/#object/vcountry__v/VENZ000004SONF5", "ES")</f>
        <v>ES</v>
      </c>
      <c r="C8946" s="20" t="s">
        <v>41</v>
      </c>
      <c r="D8946" s="21" t="str">
        <f>HYPERLINK("https://otsuka-europe-crm.veevavault.com/ui/#object/approved_document__v/V5O00000001H025", "LUP - VAE invitación simposio SEN-SER - Reuma")</f>
        <v>LUP - VAE invitación simposio SEN-SER - Reuma</v>
      </c>
      <c r="E8946" s="22" t="str">
        <f>HYPERLINK("https://otsuka-europe-crm.veevavault.com/ui/#object/sent_email__v/VBL00000002T120", "SE-001435639")</f>
        <v>SE-001435639</v>
      </c>
      <c r="F8946" s="23">
        <v>46185.314953703702</v>
      </c>
      <c r="G8946" s="24">
        <v>1</v>
      </c>
      <c r="H8946" s="24">
        <v>1</v>
      </c>
      <c r="I8946" s="24">
        <v>0</v>
      </c>
      <c r="J8946" s="25"/>
      <c r="K8946" s="24">
        <v>0</v>
      </c>
      <c r="L8946" s="22" t="str">
        <f>HYPERLINK("https://otsuka-europe-crm.veevavault.com/ui/#object/approved_document__v/V5O00000001H025", "LUP - VAE invitación simposio SEN-SER - Reuma")</f>
        <v>LUP - VAE invitación simposio SEN-SER - Reuma</v>
      </c>
      <c r="M8946" s="22" t="str">
        <f>HYPERLINK("mailto:sruizlemos@crm.otsuka-europe.com", "sruizlemos@crm.otsuka-europe.com")</f>
        <v>sruizlemos@crm.otsuka-europe.com</v>
      </c>
      <c r="N8946" s="23">
        <v>46185.313738425924</v>
      </c>
      <c r="O8946" s="14" t="str">
        <f>HYPERLINK("https://otsuka-europe-crm.veevavault.com/ui/#object/email_activity__v/V8C00000003U079", "EN-002094972")</f>
        <v>EN-002094972</v>
      </c>
    </row>
    <row r="8947" spans="1:15" ht="16" x14ac:dyDescent="0.2">
      <c r="A8947" s="19"/>
      <c r="B8947" s="19"/>
      <c r="C8947" s="19"/>
      <c r="D8947" s="19"/>
      <c r="E8947" s="19"/>
      <c r="F8947" s="19"/>
      <c r="G8947" s="19"/>
      <c r="H8947" s="19"/>
      <c r="I8947" s="19"/>
      <c r="J8947" s="19"/>
      <c r="K8947" s="19"/>
      <c r="L8947" s="19"/>
      <c r="M8947" s="19"/>
      <c r="N8947" s="19"/>
      <c r="O8947" s="14" t="str">
        <f>HYPERLINK("https://otsuka-europe-crm.veevavault.com/ui/#object/email_activity__v/V8C00000003V153", "EN-002095085")</f>
        <v>EN-002095085</v>
      </c>
    </row>
    <row r="8948" spans="1:15" ht="16" x14ac:dyDescent="0.2">
      <c r="A8948" s="17" t="str">
        <f>HYPERLINK("https://otsuka-europe-crm.veevavault.com/ui/#object/account__v/V4TZ025E892ZD0T", "JOSE LUIS PUGA GUZMAN")</f>
        <v>JOSE LUIS PUGA GUZMAN</v>
      </c>
      <c r="B8948" s="17" t="str">
        <f>HYPERLINK("https://otsuka-europe-crm.veevavault.com/ui/#object/vcountry__v/VENZ000004SONF5", "ES")</f>
        <v>ES</v>
      </c>
      <c r="C8948" s="20" t="s">
        <v>41</v>
      </c>
      <c r="D8948" s="21" t="str">
        <f>HYPERLINK("https://otsuka-europe-crm.veevavault.com/ui/#object/approved_document__v/V5O00000001H025", "LUP - VAE invitación simposio SEN-SER - Reuma")</f>
        <v>LUP - VAE invitación simposio SEN-SER - Reuma</v>
      </c>
      <c r="E8948" s="22" t="str">
        <f>HYPERLINK("https://otsuka-europe-crm.veevavault.com/ui/#object/sent_email__v/VBL00000002T121", "SE-001435640")</f>
        <v>SE-001435640</v>
      </c>
      <c r="F8948" s="23">
        <v>46185.673379629632</v>
      </c>
      <c r="G8948" s="24">
        <v>1</v>
      </c>
      <c r="H8948" s="24">
        <v>1</v>
      </c>
      <c r="I8948" s="24">
        <v>0</v>
      </c>
      <c r="J8948" s="25"/>
      <c r="K8948" s="24">
        <v>0</v>
      </c>
      <c r="L8948" s="22" t="str">
        <f>HYPERLINK("https://otsuka-europe-crm.veevavault.com/ui/#object/approved_document__v/V5O00000001H025", "LUP - VAE invitación simposio SEN-SER - Reuma")</f>
        <v>LUP - VAE invitación simposio SEN-SER - Reuma</v>
      </c>
      <c r="M8948" s="22" t="str">
        <f>HYPERLINK("mailto:sruizlemos@crm.otsuka-europe.com", "sruizlemos@crm.otsuka-europe.com")</f>
        <v>sruizlemos@crm.otsuka-europe.com</v>
      </c>
      <c r="N8948" s="23">
        <v>46185.313726851855</v>
      </c>
      <c r="O8948" s="14" t="str">
        <f>HYPERLINK("https://otsuka-europe-crm.veevavault.com/ui/#object/email_activity__v/V8C00000003U070", "EN-002094955")</f>
        <v>EN-002094955</v>
      </c>
    </row>
    <row r="8949" spans="1:15" ht="16" x14ac:dyDescent="0.2">
      <c r="A8949" s="19"/>
      <c r="B8949" s="19"/>
      <c r="C8949" s="19"/>
      <c r="D8949" s="19"/>
      <c r="E8949" s="19"/>
      <c r="F8949" s="19"/>
      <c r="G8949" s="19"/>
      <c r="H8949" s="19"/>
      <c r="I8949" s="19"/>
      <c r="J8949" s="19"/>
      <c r="K8949" s="19"/>
      <c r="L8949" s="19"/>
      <c r="M8949" s="19"/>
      <c r="N8949" s="19"/>
      <c r="O8949" s="14" t="str">
        <f>HYPERLINK("https://otsuka-europe-crm.veevavault.com/ui/#object/email_activity__v/V8C00000003V369", "EN-002095529")</f>
        <v>EN-002095529</v>
      </c>
    </row>
    <row r="8950" spans="1:15" ht="16" x14ac:dyDescent="0.2">
      <c r="A8950" s="17" t="str">
        <f>HYPERLINK("https://otsuka-europe-crm.veevavault.com/ui/#object/account__v/V4TZ04ASGBX0ZF6", "MIRIAM GARCIA ARIAS")</f>
        <v>MIRIAM GARCIA ARIAS</v>
      </c>
      <c r="B8950" s="17" t="str">
        <f>HYPERLINK("https://otsuka-europe-crm.veevavault.com/ui/#object/vcountry__v/VENZ000004SONF5", "ES")</f>
        <v>ES</v>
      </c>
      <c r="C8950" s="20" t="s">
        <v>41</v>
      </c>
      <c r="D8950" s="21" t="str">
        <f>HYPERLINK("https://otsuka-europe-crm.veevavault.com/ui/#object/approved_document__v/V5O00000001H025", "LUP - VAE invitación simposio SEN-SER - Reuma")</f>
        <v>LUP - VAE invitación simposio SEN-SER - Reuma</v>
      </c>
      <c r="E8950" s="22" t="str">
        <f>HYPERLINK("https://otsuka-europe-crm.veevavault.com/ui/#object/sent_email__v/VBL00000002T122", "SE-001435641")</f>
        <v>SE-001435641</v>
      </c>
      <c r="F8950" s="25"/>
      <c r="G8950" s="24">
        <v>0</v>
      </c>
      <c r="H8950" s="24">
        <v>0</v>
      </c>
      <c r="I8950" s="24">
        <v>0</v>
      </c>
      <c r="J8950" s="25"/>
      <c r="K8950" s="24">
        <v>0</v>
      </c>
      <c r="L8950" s="22" t="str">
        <f>HYPERLINK("https://otsuka-europe-crm.veevavault.com/ui/#object/approved_document__v/V5O00000001H025", "LUP - VAE invitación simposio SEN-SER - Reuma")</f>
        <v>LUP - VAE invitación simposio SEN-SER - Reuma</v>
      </c>
      <c r="M8950" s="22" t="str">
        <f>HYPERLINK("mailto:sruizlemos@crm.otsuka-europe.com", "sruizlemos@crm.otsuka-europe.com")</f>
        <v>sruizlemos@crm.otsuka-europe.com</v>
      </c>
      <c r="N8950" s="23">
        <v>46185.313715277778</v>
      </c>
      <c r="O8950" s="14" t="str">
        <f>HYPERLINK("https://otsuka-europe-crm.veevavault.com/ui/#object/email_activity__v/V8C00000003V051", "EN-002094931")</f>
        <v>EN-002094931</v>
      </c>
    </row>
    <row r="8951" spans="1:15" ht="16" x14ac:dyDescent="0.2">
      <c r="A8951" s="19"/>
      <c r="B8951" s="19"/>
      <c r="C8951" s="19"/>
      <c r="D8951" s="19"/>
      <c r="E8951" s="19"/>
      <c r="F8951" s="19"/>
      <c r="G8951" s="19"/>
      <c r="H8951" s="19"/>
      <c r="I8951" s="19"/>
      <c r="J8951" s="19"/>
      <c r="K8951" s="19"/>
      <c r="L8951" s="19"/>
      <c r="M8951" s="19"/>
      <c r="N8951" s="19"/>
      <c r="O8951" s="14" t="str">
        <f>HYPERLINK("https://otsuka-europe-crm.veevavault.com/ui/#object/email_activity__v/V8C00000003Z184", "EN-002098966")</f>
        <v>EN-002098966</v>
      </c>
    </row>
    <row r="8952" spans="1:15" ht="32" x14ac:dyDescent="0.2">
      <c r="A8952" s="7" t="str">
        <f>HYPERLINK("https://otsuka-europe-crm.veevavault.com/ui/#object/account__v/V4TZ04ASGB4U0CE", "MERCEDES ALPERI LOPEZ")</f>
        <v>MERCEDES ALPERI LOPEZ</v>
      </c>
      <c r="B8952" s="7" t="str">
        <f>HYPERLINK("https://otsuka-europe-crm.veevavault.com/ui/#object/vcountry__v/VENZ000004SONF5", "ES")</f>
        <v>ES</v>
      </c>
      <c r="C8952" s="8" t="s">
        <v>41</v>
      </c>
      <c r="D8952" s="9" t="str">
        <f>HYPERLINK("https://otsuka-europe-crm.veevavault.com/ui/#object/approved_document__v/V5O00000001H025", "LUP - VAE invitación simposio SEN-SER - Reuma")</f>
        <v>LUP - VAE invitación simposio SEN-SER - Reuma</v>
      </c>
      <c r="E8952" s="10" t="str">
        <f>HYPERLINK("https://otsuka-europe-crm.veevavault.com/ui/#object/sent_email__v/VBL00000002T123", "SE-001435642")</f>
        <v>SE-001435642</v>
      </c>
      <c r="F8952" s="11"/>
      <c r="G8952" s="12">
        <v>0</v>
      </c>
      <c r="H8952" s="12">
        <v>0</v>
      </c>
      <c r="I8952" s="12">
        <v>0</v>
      </c>
      <c r="J8952" s="11"/>
      <c r="K8952" s="12">
        <v>0</v>
      </c>
      <c r="L8952" s="10" t="str">
        <f>HYPERLINK("https://otsuka-europe-crm.veevavault.com/ui/#object/approved_document__v/V5O00000001H025", "LUP - VAE invitación simposio SEN-SER - Reuma")</f>
        <v>LUP - VAE invitación simposio SEN-SER - Reuma</v>
      </c>
      <c r="M8952" s="10" t="str">
        <f>HYPERLINK("mailto:sruizlemos@crm.otsuka-europe.com", "sruizlemos@crm.otsuka-europe.com")</f>
        <v>sruizlemos@crm.otsuka-europe.com</v>
      </c>
      <c r="N8952" s="13">
        <v>46185.313715277778</v>
      </c>
      <c r="O8952" s="14" t="str">
        <f>HYPERLINK("https://otsuka-europe-crm.veevavault.com/ui/#object/email_activity__v/V8C00000003U095", "EN-002095040")</f>
        <v>EN-002095040</v>
      </c>
    </row>
    <row r="8953" spans="1:15" ht="16" x14ac:dyDescent="0.2">
      <c r="A8953" s="17" t="str">
        <f>HYPERLINK("https://otsuka-europe-crm.veevavault.com/ui/#object/account__v/V4TZ04ASGBJGXZW", "MARIA NOELIA ALVAREZ RIVAS")</f>
        <v>MARIA NOELIA ALVAREZ RIVAS</v>
      </c>
      <c r="B8953" s="17" t="str">
        <f>HYPERLINK("https://otsuka-europe-crm.veevavault.com/ui/#object/vcountry__v/VENZ000004SONF5", "ES")</f>
        <v>ES</v>
      </c>
      <c r="C8953" s="20" t="s">
        <v>41</v>
      </c>
      <c r="D8953" s="21" t="str">
        <f>HYPERLINK("https://otsuka-europe-crm.veevavault.com/ui/#object/approved_document__v/V5O00000001H025", "LUP - VAE invitación simposio SEN-SER - Reuma")</f>
        <v>LUP - VAE invitación simposio SEN-SER - Reuma</v>
      </c>
      <c r="E8953" s="22" t="str">
        <f>HYPERLINK("https://otsuka-europe-crm.veevavault.com/ui/#object/sent_email__v/VBL00000002T124", "SE-001435643")</f>
        <v>SE-001435643</v>
      </c>
      <c r="F8953" s="23">
        <v>46185.570185185185</v>
      </c>
      <c r="G8953" s="24">
        <v>1</v>
      </c>
      <c r="H8953" s="24">
        <v>1</v>
      </c>
      <c r="I8953" s="24">
        <v>0</v>
      </c>
      <c r="J8953" s="25"/>
      <c r="K8953" s="24">
        <v>0</v>
      </c>
      <c r="L8953" s="22" t="str">
        <f>HYPERLINK("https://otsuka-europe-crm.veevavault.com/ui/#object/approved_document__v/V5O00000001H025", "LUP - VAE invitación simposio SEN-SER - Reuma")</f>
        <v>LUP - VAE invitación simposio SEN-SER - Reuma</v>
      </c>
      <c r="M8953" s="22" t="str">
        <f>HYPERLINK("mailto:sruizlemos@crm.otsuka-europe.com", "sruizlemos@crm.otsuka-europe.com")</f>
        <v>sruizlemos@crm.otsuka-europe.com</v>
      </c>
      <c r="N8953" s="23">
        <v>46185.313715277778</v>
      </c>
      <c r="O8953" s="14" t="str">
        <f>HYPERLINK("https://otsuka-europe-crm.veevavault.com/ui/#object/email_activity__v/V8C00000003U086", "EN-002095010")</f>
        <v>EN-002095010</v>
      </c>
    </row>
    <row r="8954" spans="1:15" ht="16" x14ac:dyDescent="0.2">
      <c r="A8954" s="19"/>
      <c r="B8954" s="19"/>
      <c r="C8954" s="19"/>
      <c r="D8954" s="19"/>
      <c r="E8954" s="19"/>
      <c r="F8954" s="19"/>
      <c r="G8954" s="19"/>
      <c r="H8954" s="19"/>
      <c r="I8954" s="19"/>
      <c r="J8954" s="19"/>
      <c r="K8954" s="19"/>
      <c r="L8954" s="19"/>
      <c r="M8954" s="19"/>
      <c r="N8954" s="19"/>
      <c r="O8954" s="14" t="str">
        <f>HYPERLINK("https://otsuka-europe-crm.veevavault.com/ui/#object/email_activity__v/V8C00000003U315", "EN-002095469")</f>
        <v>EN-002095469</v>
      </c>
    </row>
    <row r="8955" spans="1:15" ht="32" x14ac:dyDescent="0.2">
      <c r="A8955" s="7" t="str">
        <f>HYPERLINK("https://otsuka-europe-crm.veevavault.com/ui/#object/account__v/V4TZ04ASGBJAG5W", "JOSE ANTONIO FERNANDEZ SANCHEZ")</f>
        <v>JOSE ANTONIO FERNANDEZ SANCHEZ</v>
      </c>
      <c r="B8955" s="7" t="str">
        <f>HYPERLINK("https://otsuka-europe-crm.veevavault.com/ui/#object/vcountry__v/VENZ000004SONF5", "ES")</f>
        <v>ES</v>
      </c>
      <c r="C8955" s="8" t="s">
        <v>41</v>
      </c>
      <c r="D8955" s="9" t="str">
        <f>HYPERLINK("https://otsuka-europe-crm.veevavault.com/ui/#object/approved_document__v/V5O00000001H025", "LUP - VAE invitación simposio SEN-SER - Reuma")</f>
        <v>LUP - VAE invitación simposio SEN-SER - Reuma</v>
      </c>
      <c r="E8955" s="10" t="str">
        <f>HYPERLINK("https://otsuka-europe-crm.veevavault.com/ui/#object/sent_email__v/VBL00000002T125", "SE-001435644")</f>
        <v>SE-001435644</v>
      </c>
      <c r="F8955" s="11"/>
      <c r="G8955" s="12">
        <v>0</v>
      </c>
      <c r="H8955" s="12">
        <v>0</v>
      </c>
      <c r="I8955" s="12">
        <v>0</v>
      </c>
      <c r="J8955" s="11"/>
      <c r="K8955" s="12">
        <v>0</v>
      </c>
      <c r="L8955" s="10" t="str">
        <f>HYPERLINK("https://otsuka-europe-crm.veevavault.com/ui/#object/approved_document__v/V5O00000001H025", "LUP - VAE invitación simposio SEN-SER - Reuma")</f>
        <v>LUP - VAE invitación simposio SEN-SER - Reuma</v>
      </c>
      <c r="M8955" s="10" t="str">
        <f>HYPERLINK("mailto:sruizlemos@crm.otsuka-europe.com", "sruizlemos@crm.otsuka-europe.com")</f>
        <v>sruizlemos@crm.otsuka-europe.com</v>
      </c>
      <c r="N8955" s="13">
        <v>46185.313715277778</v>
      </c>
      <c r="O8955" s="14" t="str">
        <f>HYPERLINK("https://otsuka-europe-crm.veevavault.com/ui/#object/email_activity__v/V8C00000003V048", "EN-002094928")</f>
        <v>EN-002094928</v>
      </c>
    </row>
    <row r="8956" spans="1:15" ht="16" x14ac:dyDescent="0.2">
      <c r="A8956" s="17" t="str">
        <f>HYPERLINK("https://otsuka-europe-crm.veevavault.com/ui/#object/account__v/V4TZ025E84CYES4", "MARIA CAEIRO AGUADO")</f>
        <v>MARIA CAEIRO AGUADO</v>
      </c>
      <c r="B8956" s="17" t="str">
        <f>HYPERLINK("https://otsuka-europe-crm.veevavault.com/ui/#object/vcountry__v/VENZ000004SONF5", "ES")</f>
        <v>ES</v>
      </c>
      <c r="C8956" s="20" t="s">
        <v>41</v>
      </c>
      <c r="D8956" s="21" t="str">
        <f>HYPERLINK("https://otsuka-europe-crm.veevavault.com/ui/#object/approved_document__v/V5O00000001H025", "LUP - VAE invitación simposio SEN-SER - Reuma")</f>
        <v>LUP - VAE invitación simposio SEN-SER - Reuma</v>
      </c>
      <c r="E8956" s="22" t="str">
        <f>HYPERLINK("https://otsuka-europe-crm.veevavault.com/ui/#object/sent_email__v/VBL00000002T126", "SE-001435645")</f>
        <v>SE-001435645</v>
      </c>
      <c r="F8956" s="25"/>
      <c r="G8956" s="24">
        <v>0</v>
      </c>
      <c r="H8956" s="24">
        <v>0</v>
      </c>
      <c r="I8956" s="24">
        <v>0</v>
      </c>
      <c r="J8956" s="25"/>
      <c r="K8956" s="24">
        <v>0</v>
      </c>
      <c r="L8956" s="22" t="str">
        <f>HYPERLINK("https://otsuka-europe-crm.veevavault.com/ui/#object/approved_document__v/V5O00000001H025", "LUP - VAE invitación simposio SEN-SER - Reuma")</f>
        <v>LUP - VAE invitación simposio SEN-SER - Reuma</v>
      </c>
      <c r="M8956" s="22" t="str">
        <f>HYPERLINK("mailto:sruizlemos@crm.otsuka-europe.com", "sruizlemos@crm.otsuka-europe.com")</f>
        <v>sruizlemos@crm.otsuka-europe.com</v>
      </c>
      <c r="N8956" s="23">
        <v>46185.313761574071</v>
      </c>
      <c r="O8956" s="14" t="str">
        <f>HYPERLINK("https://otsuka-europe-crm.veevavault.com/ui/#object/email_activity__v/V8C00000003U148", "EN-002095146")</f>
        <v>EN-002095146</v>
      </c>
    </row>
    <row r="8957" spans="1:15" ht="16" x14ac:dyDescent="0.2">
      <c r="A8957" s="19"/>
      <c r="B8957" s="19"/>
      <c r="C8957" s="19"/>
      <c r="D8957" s="19"/>
      <c r="E8957" s="19"/>
      <c r="F8957" s="19"/>
      <c r="G8957" s="19"/>
      <c r="H8957" s="19"/>
      <c r="I8957" s="19"/>
      <c r="J8957" s="19"/>
      <c r="K8957" s="19"/>
      <c r="L8957" s="19"/>
      <c r="M8957" s="19"/>
      <c r="N8957" s="19"/>
      <c r="O8957" s="14" t="str">
        <f>HYPERLINK("https://otsuka-europe-crm.veevavault.com/ui/#object/email_activity__v/V8C00000003V088", "EN-002094990")</f>
        <v>EN-002094990</v>
      </c>
    </row>
    <row r="8958" spans="1:15" ht="16" x14ac:dyDescent="0.2">
      <c r="A8958" s="17" t="str">
        <f>HYPERLINK("https://otsuka-europe-crm.veevavault.com/ui/#object/account__v/V4TZ04ASGBNRXNT", "MARIA ANGELES HERNANDEZ DEL RIO")</f>
        <v>MARIA ANGELES HERNANDEZ DEL RIO</v>
      </c>
      <c r="B8958" s="17" t="str">
        <f>HYPERLINK("https://otsuka-europe-crm.veevavault.com/ui/#object/vcountry__v/VENZ000004SONF5", "ES")</f>
        <v>ES</v>
      </c>
      <c r="C8958" s="20" t="s">
        <v>41</v>
      </c>
      <c r="D8958" s="21" t="str">
        <f>HYPERLINK("https://otsuka-europe-crm.veevavault.com/ui/#object/approved_document__v/V5O00000001H025", "LUP - VAE invitación simposio SEN-SER - Reuma")</f>
        <v>LUP - VAE invitación simposio SEN-SER - Reuma</v>
      </c>
      <c r="E8958" s="22" t="str">
        <f>HYPERLINK("https://otsuka-europe-crm.veevavault.com/ui/#object/sent_email__v/VBL00000002T127", "SE-001435646")</f>
        <v>SE-001435646</v>
      </c>
      <c r="F8958" s="25"/>
      <c r="G8958" s="24">
        <v>0</v>
      </c>
      <c r="H8958" s="24">
        <v>0</v>
      </c>
      <c r="I8958" s="24">
        <v>0</v>
      </c>
      <c r="J8958" s="25"/>
      <c r="K8958" s="24">
        <v>0</v>
      </c>
      <c r="L8958" s="22" t="str">
        <f>HYPERLINK("https://otsuka-europe-crm.veevavault.com/ui/#object/approved_document__v/V5O00000001H025", "LUP - VAE invitación simposio SEN-SER - Reuma")</f>
        <v>LUP - VAE invitación simposio SEN-SER - Reuma</v>
      </c>
      <c r="M8958" s="22" t="str">
        <f>HYPERLINK("mailto:sruizlemos@crm.otsuka-europe.com", "sruizlemos@crm.otsuka-europe.com")</f>
        <v>sruizlemos@crm.otsuka-europe.com</v>
      </c>
      <c r="N8958" s="23">
        <v>46185.313703703701</v>
      </c>
      <c r="O8958" s="14" t="str">
        <f>HYPERLINK("https://otsuka-europe-crm.veevavault.com/ui/#object/email_activity__v/V8C00000003V103", "EN-002095005")</f>
        <v>EN-002095005</v>
      </c>
    </row>
    <row r="8959" spans="1:15" ht="16" x14ac:dyDescent="0.2">
      <c r="A8959" s="19"/>
      <c r="B8959" s="19"/>
      <c r="C8959" s="19"/>
      <c r="D8959" s="19"/>
      <c r="E8959" s="19"/>
      <c r="F8959" s="19"/>
      <c r="G8959" s="19"/>
      <c r="H8959" s="19"/>
      <c r="I8959" s="19"/>
      <c r="J8959" s="19"/>
      <c r="K8959" s="19"/>
      <c r="L8959" s="19"/>
      <c r="M8959" s="19"/>
      <c r="N8959" s="19"/>
      <c r="O8959" s="14" t="str">
        <f>HYPERLINK("https://otsuka-europe-crm.veevavault.com/ui/#object/email_activity__v/V8C00000003V177", "EN-002095138")</f>
        <v>EN-002095138</v>
      </c>
    </row>
    <row r="8960" spans="1:15" ht="64" x14ac:dyDescent="0.2">
      <c r="A8960" s="7" t="str">
        <f>HYPERLINK("https://otsuka-europe-crm.veevavault.com/ui/#object/account__v/V4TZ025E83QX4R5", "MARTA MARIA MEGIDO LAHERA")</f>
        <v>MARTA MARIA MEGIDO LAHERA</v>
      </c>
      <c r="B8960" s="7" t="str">
        <f t="shared" ref="B8960:B8969" si="674">HYPERLINK("https://otsuka-europe-crm.veevavault.com/ui/#object/vcountry__v/VENZ000004SONF5", "ES")</f>
        <v>ES</v>
      </c>
      <c r="C8960" s="8" t="s">
        <v>41</v>
      </c>
      <c r="D8960" s="9" t="str">
        <f t="shared" ref="D8960:D8969" si="675"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8960" s="10" t="str">
        <f>HYPERLINK("https://otsuka-europe-crm.veevavault.com/ui/#object/sent_email__v/VBL00000002U003", "SE-001435647")</f>
        <v>SE-001435647</v>
      </c>
      <c r="F8960" s="11"/>
      <c r="G8960" s="12">
        <v>0</v>
      </c>
      <c r="H8960" s="12">
        <v>0</v>
      </c>
      <c r="I8960" s="12">
        <v>0</v>
      </c>
      <c r="J8960" s="11"/>
      <c r="K8960" s="12">
        <v>0</v>
      </c>
      <c r="L8960" s="10" t="str">
        <f t="shared" ref="L8960:L8969" si="676"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8960" s="10" t="str">
        <f t="shared" ref="M8960:M8969" si="677">HYPERLINK("mailto:sruizlemos@crm.otsuka-europe.com", "sruizlemos@crm.otsuka-europe.com")</f>
        <v>sruizlemos@crm.otsuka-europe.com</v>
      </c>
      <c r="N8960" s="13">
        <v>46185.314039351855</v>
      </c>
      <c r="O8960" s="14" t="str">
        <f>HYPERLINK("https://otsuka-europe-crm.veevavault.com/ui/#object/email_activity__v/V8C00000003V145", "EN-002095073")</f>
        <v>EN-002095073</v>
      </c>
    </row>
    <row r="8961" spans="1:15" ht="64" x14ac:dyDescent="0.2">
      <c r="A8961" s="7" t="str">
        <f>HYPERLINK("https://otsuka-europe-crm.veevavault.com/ui/#object/account__v/V4TZ025E8648TRT", "ARIANA TRASTOY LOPEZ")</f>
        <v>ARIANA TRASTOY LOPEZ</v>
      </c>
      <c r="B8961" s="7" t="str">
        <f t="shared" si="674"/>
        <v>ES</v>
      </c>
      <c r="C8961" s="8" t="s">
        <v>41</v>
      </c>
      <c r="D8961" s="9" t="str">
        <f t="shared" si="675"/>
        <v>INA -  Webinar "30 minutos en casa" con la Dra. Irene Sánchez - 15 junio</v>
      </c>
      <c r="E8961" s="10" t="str">
        <f>HYPERLINK("https://otsuka-europe-crm.veevavault.com/ui/#object/sent_email__v/VBL00000002U004", "SE-001435648")</f>
        <v>SE-001435648</v>
      </c>
      <c r="F8961" s="11"/>
      <c r="G8961" s="12">
        <v>0</v>
      </c>
      <c r="H8961" s="12">
        <v>0</v>
      </c>
      <c r="I8961" s="12">
        <v>0</v>
      </c>
      <c r="J8961" s="11"/>
      <c r="K8961" s="12">
        <v>0</v>
      </c>
      <c r="L8961" s="10" t="str">
        <f t="shared" si="676"/>
        <v>INA -  Webinar "30 minutos en casa" con la Dra. Irene Sánchez - 15 junio</v>
      </c>
      <c r="M8961" s="10" t="str">
        <f t="shared" si="677"/>
        <v>sruizlemos@crm.otsuka-europe.com</v>
      </c>
      <c r="N8961" s="13">
        <v>46185.314039351855</v>
      </c>
      <c r="O8961" s="14" t="str">
        <f>HYPERLINK("https://otsuka-europe-crm.veevavault.com/ui/#object/email_activity__v/V8C00000003U100", "EN-002095045")</f>
        <v>EN-002095045</v>
      </c>
    </row>
    <row r="8962" spans="1:15" ht="64" x14ac:dyDescent="0.2">
      <c r="A8962" s="7" t="str">
        <f>HYPERLINK("https://otsuka-europe-crm.veevavault.com/ui/#object/account__v/V4TZ025E85SC627", "ESTEBAN ALBERTO HERNANDEZ VIZAN")</f>
        <v>ESTEBAN ALBERTO HERNANDEZ VIZAN</v>
      </c>
      <c r="B8962" s="7" t="str">
        <f t="shared" si="674"/>
        <v>ES</v>
      </c>
      <c r="C8962" s="8" t="s">
        <v>41</v>
      </c>
      <c r="D8962" s="9" t="str">
        <f t="shared" si="675"/>
        <v>INA -  Webinar "30 minutos en casa" con la Dra. Irene Sánchez - 15 junio</v>
      </c>
      <c r="E8962" s="10" t="str">
        <f>HYPERLINK("https://otsuka-europe-crm.veevavault.com/ui/#object/sent_email__v/VBL00000002U005", "SE-001435649")</f>
        <v>SE-001435649</v>
      </c>
      <c r="F8962" s="11"/>
      <c r="G8962" s="12">
        <v>0</v>
      </c>
      <c r="H8962" s="12">
        <v>0</v>
      </c>
      <c r="I8962" s="12">
        <v>0</v>
      </c>
      <c r="J8962" s="11"/>
      <c r="K8962" s="12">
        <v>0</v>
      </c>
      <c r="L8962" s="10" t="str">
        <f t="shared" si="676"/>
        <v>INA -  Webinar "30 minutos en casa" con la Dra. Irene Sánchez - 15 junio</v>
      </c>
      <c r="M8962" s="10" t="str">
        <f t="shared" si="677"/>
        <v>sruizlemos@crm.otsuka-europe.com</v>
      </c>
      <c r="N8962" s="13">
        <v>46185.314039351855</v>
      </c>
      <c r="O8962" s="14" t="str">
        <f>HYPERLINK("https://otsuka-europe-crm.veevavault.com/ui/#object/email_activity__v/V8C00000003U097", "EN-002095042")</f>
        <v>EN-002095042</v>
      </c>
    </row>
    <row r="8963" spans="1:15" ht="64" x14ac:dyDescent="0.2">
      <c r="A8963" s="7" t="str">
        <f>HYPERLINK("https://otsuka-europe-crm.veevavault.com/ui/#object/account__v/V4TZ025E8648TB5", "EVA MARIA FEIJOO VALENCIA")</f>
        <v>EVA MARIA FEIJOO VALENCIA</v>
      </c>
      <c r="B8963" s="7" t="str">
        <f t="shared" si="674"/>
        <v>ES</v>
      </c>
      <c r="C8963" s="8" t="s">
        <v>41</v>
      </c>
      <c r="D8963" s="9" t="str">
        <f t="shared" si="675"/>
        <v>INA -  Webinar "30 minutos en casa" con la Dra. Irene Sánchez - 15 junio</v>
      </c>
      <c r="E8963" s="10" t="str">
        <f>HYPERLINK("https://otsuka-europe-crm.veevavault.com/ui/#object/sent_email__v/VBL00000002U006", "SE-001435650")</f>
        <v>SE-001435650</v>
      </c>
      <c r="F8963" s="11"/>
      <c r="G8963" s="12">
        <v>0</v>
      </c>
      <c r="H8963" s="12">
        <v>0</v>
      </c>
      <c r="I8963" s="12">
        <v>0</v>
      </c>
      <c r="J8963" s="11"/>
      <c r="K8963" s="12">
        <v>0</v>
      </c>
      <c r="L8963" s="10" t="str">
        <f t="shared" si="676"/>
        <v>INA -  Webinar "30 minutos en casa" con la Dra. Irene Sánchez - 15 junio</v>
      </c>
      <c r="M8963" s="10" t="str">
        <f t="shared" si="677"/>
        <v>sruizlemos@crm.otsuka-europe.com</v>
      </c>
      <c r="N8963" s="13">
        <v>46185.314039351855</v>
      </c>
      <c r="O8963" s="14" t="str">
        <f>HYPERLINK("https://otsuka-europe-crm.veevavault.com/ui/#object/email_activity__v/V8C00000003U110", "EN-002095063")</f>
        <v>EN-002095063</v>
      </c>
    </row>
    <row r="8964" spans="1:15" ht="64" x14ac:dyDescent="0.2">
      <c r="A8964" s="7" t="str">
        <f>HYPERLINK("https://otsuka-europe-crm.veevavault.com/ui/#object/account__v/V4TZ04ASGE7FDFX", "ANA ALFONSO PIEROLA")</f>
        <v>ANA ALFONSO PIEROLA</v>
      </c>
      <c r="B8964" s="7" t="str">
        <f t="shared" si="674"/>
        <v>ES</v>
      </c>
      <c r="C8964" s="8" t="s">
        <v>41</v>
      </c>
      <c r="D8964" s="9" t="str">
        <f t="shared" si="675"/>
        <v>INA -  Webinar "30 minutos en casa" con la Dra. Irene Sánchez - 15 junio</v>
      </c>
      <c r="E8964" s="10" t="str">
        <f>HYPERLINK("https://otsuka-europe-crm.veevavault.com/ui/#object/sent_email__v/VBL00000002U007", "SE-001435651")</f>
        <v>SE-001435651</v>
      </c>
      <c r="F8964" s="11"/>
      <c r="G8964" s="12">
        <v>0</v>
      </c>
      <c r="H8964" s="12">
        <v>0</v>
      </c>
      <c r="I8964" s="12">
        <v>0</v>
      </c>
      <c r="J8964" s="11"/>
      <c r="K8964" s="12">
        <v>0</v>
      </c>
      <c r="L8964" s="10" t="str">
        <f t="shared" si="676"/>
        <v>INA -  Webinar "30 minutos en casa" con la Dra. Irene Sánchez - 15 junio</v>
      </c>
      <c r="M8964" s="10" t="str">
        <f t="shared" si="677"/>
        <v>sruizlemos@crm.otsuka-europe.com</v>
      </c>
      <c r="N8964" s="13">
        <v>46185.314039351855</v>
      </c>
      <c r="O8964" s="14" t="str">
        <f>HYPERLINK("https://otsuka-europe-crm.veevavault.com/ui/#object/email_activity__v/V8C00000003V138", "EN-002095066")</f>
        <v>EN-002095066</v>
      </c>
    </row>
    <row r="8965" spans="1:15" ht="64" x14ac:dyDescent="0.2">
      <c r="A8965" s="7" t="str">
        <f>HYPERLINK("https://otsuka-europe-crm.veevavault.com/ui/#object/account__v/V4TZ025E86480LY", "ALBA GUEDE RODRIGUEZ")</f>
        <v>ALBA GUEDE RODRIGUEZ</v>
      </c>
      <c r="B8965" s="7" t="str">
        <f t="shared" si="674"/>
        <v>ES</v>
      </c>
      <c r="C8965" s="8" t="s">
        <v>41</v>
      </c>
      <c r="D8965" s="9" t="str">
        <f t="shared" si="675"/>
        <v>INA -  Webinar "30 minutos en casa" con la Dra. Irene Sánchez - 15 junio</v>
      </c>
      <c r="E8965" s="10" t="str">
        <f>HYPERLINK("https://otsuka-europe-crm.veevavault.com/ui/#object/sent_email__v/VBL00000002U008", "SE-001435652")</f>
        <v>SE-001435652</v>
      </c>
      <c r="F8965" s="11"/>
      <c r="G8965" s="12">
        <v>0</v>
      </c>
      <c r="H8965" s="12">
        <v>0</v>
      </c>
      <c r="I8965" s="12">
        <v>0</v>
      </c>
      <c r="J8965" s="11"/>
      <c r="K8965" s="12">
        <v>0</v>
      </c>
      <c r="L8965" s="10" t="str">
        <f t="shared" si="676"/>
        <v>INA -  Webinar "30 minutos en casa" con la Dra. Irene Sánchez - 15 junio</v>
      </c>
      <c r="M8965" s="10" t="str">
        <f t="shared" si="677"/>
        <v>sruizlemos@crm.otsuka-europe.com</v>
      </c>
      <c r="N8965" s="13">
        <v>46185.314039351855</v>
      </c>
      <c r="O8965" s="14" t="str">
        <f>HYPERLINK("https://otsuka-europe-crm.veevavault.com/ui/#object/email_activity__v/V8C00000003V131", "EN-002095054")</f>
        <v>EN-002095054</v>
      </c>
    </row>
    <row r="8966" spans="1:15" ht="64" x14ac:dyDescent="0.2">
      <c r="A8966" s="7" t="str">
        <f>HYPERLINK("https://otsuka-europe-crm.veevavault.com/ui/#object/account__v/V4TZ025E892KUQ2", "ANA ALICIA LOPEZ IGLESIAS")</f>
        <v>ANA ALICIA LOPEZ IGLESIAS</v>
      </c>
      <c r="B8966" s="7" t="str">
        <f t="shared" si="674"/>
        <v>ES</v>
      </c>
      <c r="C8966" s="8" t="s">
        <v>41</v>
      </c>
      <c r="D8966" s="9" t="str">
        <f t="shared" si="675"/>
        <v>INA -  Webinar "30 minutos en casa" con la Dra. Irene Sánchez - 15 junio</v>
      </c>
      <c r="E8966" s="10" t="str">
        <f>HYPERLINK("https://otsuka-europe-crm.veevavault.com/ui/#object/sent_email__v/VBL00000002U009", "SE-001435653")</f>
        <v>SE-001435653</v>
      </c>
      <c r="F8966" s="11"/>
      <c r="G8966" s="12">
        <v>0</v>
      </c>
      <c r="H8966" s="12">
        <v>0</v>
      </c>
      <c r="I8966" s="12">
        <v>0</v>
      </c>
      <c r="J8966" s="11"/>
      <c r="K8966" s="12">
        <v>0</v>
      </c>
      <c r="L8966" s="10" t="str">
        <f t="shared" si="676"/>
        <v>INA -  Webinar "30 minutos en casa" con la Dra. Irene Sánchez - 15 junio</v>
      </c>
      <c r="M8966" s="10" t="str">
        <f t="shared" si="677"/>
        <v>sruizlemos@crm.otsuka-europe.com</v>
      </c>
      <c r="N8966" s="13">
        <v>46185.314050925925</v>
      </c>
      <c r="O8966" s="14" t="str">
        <f>HYPERLINK("https://otsuka-europe-crm.veevavault.com/ui/#object/email_activity__v/V8C00000003V148", "EN-002095079")</f>
        <v>EN-002095079</v>
      </c>
    </row>
    <row r="8967" spans="1:15" ht="64" x14ac:dyDescent="0.2">
      <c r="A8967" s="7" t="str">
        <f>HYPERLINK("https://otsuka-europe-crm.veevavault.com/ui/#object/account__v/V4TZ025E88AH9LG", "DIANA MARTINEZ SEÑARIS")</f>
        <v>DIANA MARTINEZ SEÑARIS</v>
      </c>
      <c r="B8967" s="7" t="str">
        <f t="shared" si="674"/>
        <v>ES</v>
      </c>
      <c r="C8967" s="8" t="s">
        <v>41</v>
      </c>
      <c r="D8967" s="9" t="str">
        <f t="shared" si="675"/>
        <v>INA -  Webinar "30 minutos en casa" con la Dra. Irene Sánchez - 15 junio</v>
      </c>
      <c r="E8967" s="10" t="str">
        <f>HYPERLINK("https://otsuka-europe-crm.veevavault.com/ui/#object/sent_email__v/VBL00000002U010", "SE-001435654")</f>
        <v>SE-001435654</v>
      </c>
      <c r="F8967" s="11"/>
      <c r="G8967" s="12">
        <v>0</v>
      </c>
      <c r="H8967" s="12">
        <v>0</v>
      </c>
      <c r="I8967" s="12">
        <v>0</v>
      </c>
      <c r="J8967" s="11"/>
      <c r="K8967" s="12">
        <v>0</v>
      </c>
      <c r="L8967" s="10" t="str">
        <f t="shared" si="676"/>
        <v>INA -  Webinar "30 minutos en casa" con la Dra. Irene Sánchez - 15 junio</v>
      </c>
      <c r="M8967" s="10" t="str">
        <f t="shared" si="677"/>
        <v>sruizlemos@crm.otsuka-europe.com</v>
      </c>
      <c r="N8967" s="13">
        <v>46185.314050925925</v>
      </c>
      <c r="O8967" s="14" t="str">
        <f>HYPERLINK("https://otsuka-europe-crm.veevavault.com/ui/#object/email_activity__v/V8C00000003V152", "EN-002095083")</f>
        <v>EN-002095083</v>
      </c>
    </row>
    <row r="8968" spans="1:15" ht="64" x14ac:dyDescent="0.2">
      <c r="A8968" s="7" t="str">
        <f>HYPERLINK("https://otsuka-europe-crm.veevavault.com/ui/#object/account__v/V4TZ025E85O550U", "OSCAR DOMINGUEZ MUÑIZ")</f>
        <v>OSCAR DOMINGUEZ MUÑIZ</v>
      </c>
      <c r="B8968" s="7" t="str">
        <f t="shared" si="674"/>
        <v>ES</v>
      </c>
      <c r="C8968" s="8" t="s">
        <v>41</v>
      </c>
      <c r="D8968" s="9" t="str">
        <f t="shared" si="675"/>
        <v>INA -  Webinar "30 minutos en casa" con la Dra. Irene Sánchez - 15 junio</v>
      </c>
      <c r="E8968" s="10" t="str">
        <f>HYPERLINK("https://otsuka-europe-crm.veevavault.com/ui/#object/sent_email__v/VBL00000002U011", "SE-001435655")</f>
        <v>SE-001435655</v>
      </c>
      <c r="F8968" s="11"/>
      <c r="G8968" s="12">
        <v>0</v>
      </c>
      <c r="H8968" s="12">
        <v>0</v>
      </c>
      <c r="I8968" s="12">
        <v>0</v>
      </c>
      <c r="J8968" s="11"/>
      <c r="K8968" s="12">
        <v>0</v>
      </c>
      <c r="L8968" s="10" t="str">
        <f t="shared" si="676"/>
        <v>INA -  Webinar "30 minutos en casa" con la Dra. Irene Sánchez - 15 junio</v>
      </c>
      <c r="M8968" s="10" t="str">
        <f t="shared" si="677"/>
        <v>sruizlemos@crm.otsuka-europe.com</v>
      </c>
      <c r="N8968" s="13">
        <v>46185.314039351855</v>
      </c>
      <c r="O8968" s="14" t="str">
        <f>HYPERLINK("https://otsuka-europe-crm.veevavault.com/ui/#object/email_activity__v/V8C00000003U102", "EN-002095047")</f>
        <v>EN-002095047</v>
      </c>
    </row>
    <row r="8969" spans="1:15" ht="16" x14ac:dyDescent="0.2">
      <c r="A8969" s="17" t="str">
        <f>HYPERLINK("https://otsuka-europe-crm.veevavault.com/ui/#object/account__v/V4TZ025E85Q56P1", "MARIA ESTHER GONZALEZ GARCIA")</f>
        <v>MARIA ESTHER GONZALEZ GARCIA</v>
      </c>
      <c r="B8969" s="17" t="str">
        <f t="shared" si="674"/>
        <v>ES</v>
      </c>
      <c r="C8969" s="20" t="s">
        <v>41</v>
      </c>
      <c r="D8969" s="21" t="str">
        <f t="shared" si="675"/>
        <v>INA -  Webinar "30 minutos en casa" con la Dra. Irene Sánchez - 15 junio</v>
      </c>
      <c r="E8969" s="22" t="str">
        <f>HYPERLINK("https://otsuka-europe-crm.veevavault.com/ui/#object/sent_email__v/VBL00000002U012", "SE-001435656")</f>
        <v>SE-001435656</v>
      </c>
      <c r="F8969" s="23">
        <v>46185.320972222224</v>
      </c>
      <c r="G8969" s="24">
        <v>1</v>
      </c>
      <c r="H8969" s="24">
        <v>1</v>
      </c>
      <c r="I8969" s="24">
        <v>0</v>
      </c>
      <c r="J8969" s="25"/>
      <c r="K8969" s="24">
        <v>0</v>
      </c>
      <c r="L8969" s="22" t="str">
        <f t="shared" si="676"/>
        <v>INA -  Webinar "30 minutos en casa" con la Dra. Irene Sánchez - 15 junio</v>
      </c>
      <c r="M8969" s="22" t="str">
        <f t="shared" si="677"/>
        <v>sruizlemos@crm.otsuka-europe.com</v>
      </c>
      <c r="N8969" s="23">
        <v>46185.314039351855</v>
      </c>
      <c r="O8969" s="14" t="str">
        <f>HYPERLINK("https://otsuka-europe-crm.veevavault.com/ui/#object/email_activity__v/V8C00000003V133", "EN-002095056")</f>
        <v>EN-002095056</v>
      </c>
    </row>
    <row r="8970" spans="1:15" ht="16" x14ac:dyDescent="0.2">
      <c r="A8970" s="19"/>
      <c r="B8970" s="19"/>
      <c r="C8970" s="19"/>
      <c r="D8970" s="19"/>
      <c r="E8970" s="19"/>
      <c r="F8970" s="19"/>
      <c r="G8970" s="19"/>
      <c r="H8970" s="19"/>
      <c r="I8970" s="19"/>
      <c r="J8970" s="19"/>
      <c r="K8970" s="19"/>
      <c r="L8970" s="19"/>
      <c r="M8970" s="19"/>
      <c r="N8970" s="19"/>
      <c r="O8970" s="14" t="str">
        <f>HYPERLINK("https://otsuka-europe-crm.veevavault.com/ui/#object/email_activity__v/V8C00000003V158", "EN-002095099")</f>
        <v>EN-002095099</v>
      </c>
    </row>
    <row r="8971" spans="1:15" ht="64" x14ac:dyDescent="0.2">
      <c r="A8971" s="7" t="str">
        <f>HYPERLINK("https://otsuka-europe-crm.veevavault.com/ui/#object/account__v/V4TZ025E838D1OA", "JOSE LUIS SASTRE MORAL")</f>
        <v>JOSE LUIS SASTRE MORAL</v>
      </c>
      <c r="B8971" s="7" t="str">
        <f t="shared" ref="B8971:B8976" si="678">HYPERLINK("https://otsuka-europe-crm.veevavault.com/ui/#object/vcountry__v/VENZ000004SONF5", "ES")</f>
        <v>ES</v>
      </c>
      <c r="C8971" s="8" t="s">
        <v>41</v>
      </c>
      <c r="D8971" s="9" t="str">
        <f t="shared" ref="D8971:D8976" si="679"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8971" s="10" t="str">
        <f>HYPERLINK("https://otsuka-europe-crm.veevavault.com/ui/#object/sent_email__v/VBL00000002U013", "SE-001435657")</f>
        <v>SE-001435657</v>
      </c>
      <c r="F8971" s="11"/>
      <c r="G8971" s="12">
        <v>0</v>
      </c>
      <c r="H8971" s="12">
        <v>0</v>
      </c>
      <c r="I8971" s="12">
        <v>0</v>
      </c>
      <c r="J8971" s="11"/>
      <c r="K8971" s="12">
        <v>0</v>
      </c>
      <c r="L8971" s="10" t="str">
        <f t="shared" ref="L8971:L8976" si="680"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8971" s="10" t="str">
        <f t="shared" ref="M8971:M8976" si="681">HYPERLINK("mailto:sruizlemos@crm.otsuka-europe.com", "sruizlemos@crm.otsuka-europe.com")</f>
        <v>sruizlemos@crm.otsuka-europe.com</v>
      </c>
      <c r="N8971" s="13">
        <v>46185.314050925925</v>
      </c>
      <c r="O8971" s="14" t="str">
        <f>HYPERLINK("https://otsuka-europe-crm.veevavault.com/ui/#object/email_activity__v/V8C00000003V151", "EN-002095082")</f>
        <v>EN-002095082</v>
      </c>
    </row>
    <row r="8972" spans="1:15" ht="64" x14ac:dyDescent="0.2">
      <c r="A8972" s="7" t="str">
        <f>HYPERLINK("https://otsuka-europe-crm.veevavault.com/ui/#object/account__v/V4TZ025E8363S2J", "AITOR ABUIN BLANCO")</f>
        <v>AITOR ABUIN BLANCO</v>
      </c>
      <c r="B8972" s="7" t="str">
        <f t="shared" si="678"/>
        <v>ES</v>
      </c>
      <c r="C8972" s="8" t="s">
        <v>41</v>
      </c>
      <c r="D8972" s="9" t="str">
        <f t="shared" si="679"/>
        <v>INA -  Webinar "30 minutos en casa" con la Dra. Irene Sánchez - 15 junio</v>
      </c>
      <c r="E8972" s="10" t="str">
        <f>HYPERLINK("https://otsuka-europe-crm.veevavault.com/ui/#object/sent_email__v/VBL00000002U014", "SE-001435658")</f>
        <v>SE-001435658</v>
      </c>
      <c r="F8972" s="11"/>
      <c r="G8972" s="12">
        <v>0</v>
      </c>
      <c r="H8972" s="12">
        <v>0</v>
      </c>
      <c r="I8972" s="12">
        <v>0</v>
      </c>
      <c r="J8972" s="11"/>
      <c r="K8972" s="12">
        <v>0</v>
      </c>
      <c r="L8972" s="10" t="str">
        <f t="shared" si="680"/>
        <v>INA -  Webinar "30 minutos en casa" con la Dra. Irene Sánchez - 15 junio</v>
      </c>
      <c r="M8972" s="10" t="str">
        <f t="shared" si="681"/>
        <v>sruizlemos@crm.otsuka-europe.com</v>
      </c>
      <c r="N8972" s="13">
        <v>46185.314016203702</v>
      </c>
      <c r="O8972" s="14" t="str">
        <f>HYPERLINK("https://otsuka-europe-crm.veevavault.com/ui/#object/email_activity__v/V8C00000003V139", "EN-002095067")</f>
        <v>EN-002095067</v>
      </c>
    </row>
    <row r="8973" spans="1:15" ht="64" x14ac:dyDescent="0.2">
      <c r="A8973" s="7" t="str">
        <f>HYPERLINK("https://otsuka-europe-crm.veevavault.com/ui/#object/account__v/V4TZ025E8363Y2P", "MARIA ESPERANZA LAVILLA RUBIRA")</f>
        <v>MARIA ESPERANZA LAVILLA RUBIRA</v>
      </c>
      <c r="B8973" s="7" t="str">
        <f t="shared" si="678"/>
        <v>ES</v>
      </c>
      <c r="C8973" s="8" t="s">
        <v>41</v>
      </c>
      <c r="D8973" s="9" t="str">
        <f t="shared" si="679"/>
        <v>INA -  Webinar "30 minutos en casa" con la Dra. Irene Sánchez - 15 junio</v>
      </c>
      <c r="E8973" s="10" t="str">
        <f>HYPERLINK("https://otsuka-europe-crm.veevavault.com/ui/#object/sent_email__v/VBL00000002U015", "SE-001435659")</f>
        <v>SE-001435659</v>
      </c>
      <c r="F8973" s="11"/>
      <c r="G8973" s="12">
        <v>0</v>
      </c>
      <c r="H8973" s="12">
        <v>0</v>
      </c>
      <c r="I8973" s="12">
        <v>0</v>
      </c>
      <c r="J8973" s="11"/>
      <c r="K8973" s="12">
        <v>0</v>
      </c>
      <c r="L8973" s="10" t="str">
        <f t="shared" si="680"/>
        <v>INA -  Webinar "30 minutos en casa" con la Dra. Irene Sánchez - 15 junio</v>
      </c>
      <c r="M8973" s="10" t="str">
        <f t="shared" si="681"/>
        <v>sruizlemos@crm.otsuka-europe.com</v>
      </c>
      <c r="N8973" s="13">
        <v>46185.314016203702</v>
      </c>
      <c r="O8973" s="14" t="str">
        <f>HYPERLINK("https://otsuka-europe-crm.veevavault.com/ui/#object/email_activity__v/V8C00000003U096", "EN-002095041")</f>
        <v>EN-002095041</v>
      </c>
    </row>
    <row r="8974" spans="1:15" ht="64" x14ac:dyDescent="0.2">
      <c r="A8974" s="7" t="str">
        <f>HYPERLINK("https://otsuka-europe-crm.veevavault.com/ui/#object/account__v/V4TZ025E85PZKGI", "ESPERANZA ROMERO PICOS")</f>
        <v>ESPERANZA ROMERO PICOS</v>
      </c>
      <c r="B8974" s="7" t="str">
        <f t="shared" si="678"/>
        <v>ES</v>
      </c>
      <c r="C8974" s="8" t="s">
        <v>41</v>
      </c>
      <c r="D8974" s="9" t="str">
        <f t="shared" si="679"/>
        <v>INA -  Webinar "30 minutos en casa" con la Dra. Irene Sánchez - 15 junio</v>
      </c>
      <c r="E8974" s="10" t="str">
        <f>HYPERLINK("https://otsuka-europe-crm.veevavault.com/ui/#object/sent_email__v/VBL00000002U016", "SE-001435660")</f>
        <v>SE-001435660</v>
      </c>
      <c r="F8974" s="11"/>
      <c r="G8974" s="12">
        <v>0</v>
      </c>
      <c r="H8974" s="12">
        <v>0</v>
      </c>
      <c r="I8974" s="12">
        <v>0</v>
      </c>
      <c r="J8974" s="11"/>
      <c r="K8974" s="12">
        <v>0</v>
      </c>
      <c r="L8974" s="10" t="str">
        <f t="shared" si="680"/>
        <v>INA -  Webinar "30 minutos en casa" con la Dra. Irene Sánchez - 15 junio</v>
      </c>
      <c r="M8974" s="10" t="str">
        <f t="shared" si="681"/>
        <v>sruizlemos@crm.otsuka-europe.com</v>
      </c>
      <c r="N8974" s="13">
        <v>46185.314039351855</v>
      </c>
      <c r="O8974" s="14" t="str">
        <f>HYPERLINK("https://otsuka-europe-crm.veevavault.com/ui/#object/email_activity__v/V8C00000003V142", "EN-002095070")</f>
        <v>EN-002095070</v>
      </c>
    </row>
    <row r="8975" spans="1:15" ht="64" x14ac:dyDescent="0.2">
      <c r="A8975" s="7" t="str">
        <f>HYPERLINK("https://otsuka-europe-crm.veevavault.com/ui/#object/account__v/V4TZ025E83UDZI9", "ANA MARIA FERNANDEZ VILLAR")</f>
        <v>ANA MARIA FERNANDEZ VILLAR</v>
      </c>
      <c r="B8975" s="7" t="str">
        <f t="shared" si="678"/>
        <v>ES</v>
      </c>
      <c r="C8975" s="8" t="s">
        <v>41</v>
      </c>
      <c r="D8975" s="9" t="str">
        <f t="shared" si="679"/>
        <v>INA -  Webinar "30 minutos en casa" con la Dra. Irene Sánchez - 15 junio</v>
      </c>
      <c r="E8975" s="10" t="str">
        <f>HYPERLINK("https://otsuka-europe-crm.veevavault.com/ui/#object/sent_email__v/VBL00000002U017", "SE-001435661")</f>
        <v>SE-001435661</v>
      </c>
      <c r="F8975" s="11"/>
      <c r="G8975" s="12">
        <v>0</v>
      </c>
      <c r="H8975" s="12">
        <v>0</v>
      </c>
      <c r="I8975" s="12">
        <v>0</v>
      </c>
      <c r="J8975" s="11"/>
      <c r="K8975" s="12">
        <v>0</v>
      </c>
      <c r="L8975" s="10" t="str">
        <f t="shared" si="680"/>
        <v>INA -  Webinar "30 minutos en casa" con la Dra. Irene Sánchez - 15 junio</v>
      </c>
      <c r="M8975" s="10" t="str">
        <f t="shared" si="681"/>
        <v>sruizlemos@crm.otsuka-europe.com</v>
      </c>
      <c r="N8975" s="13">
        <v>46185.314039351855</v>
      </c>
      <c r="O8975" s="14" t="str">
        <f>HYPERLINK("https://otsuka-europe-crm.veevavault.com/ui/#object/email_activity__v/V8C00000003V130", "EN-002095053")</f>
        <v>EN-002095053</v>
      </c>
    </row>
    <row r="8976" spans="1:15" ht="16" x14ac:dyDescent="0.2">
      <c r="A8976" s="17" t="str">
        <f>HYPERLINK("https://otsuka-europe-crm.veevavault.com/ui/#object/account__v/V4TZ025E83N6BLA", "MARA CELIS ALVAREZ")</f>
        <v>MARA CELIS ALVAREZ</v>
      </c>
      <c r="B8976" s="17" t="str">
        <f t="shared" si="678"/>
        <v>ES</v>
      </c>
      <c r="C8976" s="20" t="s">
        <v>41</v>
      </c>
      <c r="D8976" s="21" t="str">
        <f t="shared" si="679"/>
        <v>INA -  Webinar "30 minutos en casa" con la Dra. Irene Sánchez - 15 junio</v>
      </c>
      <c r="E8976" s="22" t="str">
        <f>HYPERLINK("https://otsuka-europe-crm.veevavault.com/ui/#object/sent_email__v/VBL00000002U018", "SE-001435662")</f>
        <v>SE-001435662</v>
      </c>
      <c r="F8976" s="25"/>
      <c r="G8976" s="24">
        <v>0</v>
      </c>
      <c r="H8976" s="24">
        <v>0</v>
      </c>
      <c r="I8976" s="24">
        <v>0</v>
      </c>
      <c r="J8976" s="25"/>
      <c r="K8976" s="24">
        <v>0</v>
      </c>
      <c r="L8976" s="22" t="str">
        <f t="shared" si="680"/>
        <v>INA -  Webinar "30 minutos en casa" con la Dra. Irene Sánchez - 15 junio</v>
      </c>
      <c r="M8976" s="22" t="str">
        <f t="shared" si="681"/>
        <v>sruizlemos@crm.otsuka-europe.com</v>
      </c>
      <c r="N8976" s="23">
        <v>46185.314039351855</v>
      </c>
      <c r="O8976" s="14" t="str">
        <f>HYPERLINK("https://otsuka-europe-crm.veevavault.com/ui/#object/email_activity__v/V8C00000003U112", "EN-002095076")</f>
        <v>EN-002095076</v>
      </c>
    </row>
    <row r="8977" spans="1:15" ht="16" x14ac:dyDescent="0.2">
      <c r="A8977" s="19"/>
      <c r="B8977" s="19"/>
      <c r="C8977" s="19"/>
      <c r="D8977" s="19"/>
      <c r="E8977" s="19"/>
      <c r="F8977" s="19"/>
      <c r="G8977" s="19"/>
      <c r="H8977" s="19"/>
      <c r="I8977" s="19"/>
      <c r="J8977" s="19"/>
      <c r="K8977" s="19"/>
      <c r="L8977" s="19"/>
      <c r="M8977" s="19"/>
      <c r="N8977" s="19"/>
      <c r="O8977" s="14" t="str">
        <f>HYPERLINK("https://otsuka-europe-crm.veevavault.com/ui/#object/email_activity__v/V8C00000003U143", "EN-002095130")</f>
        <v>EN-002095130</v>
      </c>
    </row>
    <row r="8978" spans="1:15" ht="16" x14ac:dyDescent="0.2">
      <c r="A8978" s="17" t="str">
        <f>HYPERLINK("https://otsuka-europe-crm.veevavault.com/ui/#object/account__v/V4TZ025E85PZEWJ", "NICOLAS ANTONIO DIAZ VARELA")</f>
        <v>NICOLAS ANTONIO DIAZ VARELA</v>
      </c>
      <c r="B8978" s="17" t="str">
        <f>HYPERLINK("https://otsuka-europe-crm.veevavault.com/ui/#object/vcountry__v/VENZ000004SONF5", "ES")</f>
        <v>ES</v>
      </c>
      <c r="C8978" s="20" t="s">
        <v>41</v>
      </c>
      <c r="D8978" s="21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8978" s="22" t="str">
        <f>HYPERLINK("https://otsuka-europe-crm.veevavault.com/ui/#object/sent_email__v/VBL00000002U019", "SE-001435663")</f>
        <v>SE-001435663</v>
      </c>
      <c r="F8978" s="25"/>
      <c r="G8978" s="24">
        <v>0</v>
      </c>
      <c r="H8978" s="24">
        <v>0</v>
      </c>
      <c r="I8978" s="24">
        <v>0</v>
      </c>
      <c r="J8978" s="25"/>
      <c r="K8978" s="24">
        <v>0</v>
      </c>
      <c r="L8978" s="22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8978" s="22" t="str">
        <f>HYPERLINK("mailto:sruizlemos@crm.otsuka-europe.com", "sruizlemos@crm.otsuka-europe.com")</f>
        <v>sruizlemos@crm.otsuka-europe.com</v>
      </c>
      <c r="N8978" s="23">
        <v>46185.314039351855</v>
      </c>
      <c r="O8978" s="14" t="str">
        <f>HYPERLINK("https://otsuka-europe-crm.veevavault.com/ui/#object/email_activity__v/V8C00000003U449", "EN-002095746")</f>
        <v>EN-002095746</v>
      </c>
    </row>
    <row r="8979" spans="1:15" ht="16" x14ac:dyDescent="0.2">
      <c r="A8979" s="19"/>
      <c r="B8979" s="19"/>
      <c r="C8979" s="19"/>
      <c r="D8979" s="19"/>
      <c r="E8979" s="19"/>
      <c r="F8979" s="19"/>
      <c r="G8979" s="19"/>
      <c r="H8979" s="19"/>
      <c r="I8979" s="19"/>
      <c r="J8979" s="19"/>
      <c r="K8979" s="19"/>
      <c r="L8979" s="19"/>
      <c r="M8979" s="19"/>
      <c r="N8979" s="19"/>
      <c r="O8979" s="14" t="str">
        <f>HYPERLINK("https://otsuka-europe-crm.veevavault.com/ui/#object/email_activity__v/V8C00000003V143", "EN-002095071")</f>
        <v>EN-002095071</v>
      </c>
    </row>
    <row r="8980" spans="1:15" ht="64" x14ac:dyDescent="0.2">
      <c r="A8980" s="7" t="str">
        <f>HYPERLINK("https://otsuka-europe-crm.veevavault.com/ui/#object/account__v/V4TZ025E83JTF1M", "MARIA CARMEN ALBO LOPEZ")</f>
        <v>MARIA CARMEN ALBO LOPEZ</v>
      </c>
      <c r="B8980" s="7" t="str">
        <f>HYPERLINK("https://otsuka-europe-crm.veevavault.com/ui/#object/vcountry__v/VENZ000004SONF5", "ES")</f>
        <v>ES</v>
      </c>
      <c r="C8980" s="8" t="s">
        <v>41</v>
      </c>
      <c r="D8980" s="9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8980" s="10" t="str">
        <f>HYPERLINK("https://otsuka-europe-crm.veevavault.com/ui/#object/sent_email__v/VBL00000002U020", "SE-001435664")</f>
        <v>SE-001435664</v>
      </c>
      <c r="F8980" s="11"/>
      <c r="G8980" s="12">
        <v>0</v>
      </c>
      <c r="H8980" s="12">
        <v>0</v>
      </c>
      <c r="I8980" s="12">
        <v>0</v>
      </c>
      <c r="J8980" s="11"/>
      <c r="K8980" s="12">
        <v>0</v>
      </c>
      <c r="L8980" s="10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8980" s="10" t="str">
        <f>HYPERLINK("mailto:sruizlemos@crm.otsuka-europe.com", "sruizlemos@crm.otsuka-europe.com")</f>
        <v>sruizlemos@crm.otsuka-europe.com</v>
      </c>
      <c r="N8980" s="13">
        <v>46185.314039351855</v>
      </c>
      <c r="O8980" s="14" t="str">
        <f>HYPERLINK("https://otsuka-europe-crm.veevavault.com/ui/#object/email_activity__v/V8C00000003U108", "EN-002095061")</f>
        <v>EN-002095061</v>
      </c>
    </row>
    <row r="8981" spans="1:15" ht="16" x14ac:dyDescent="0.2">
      <c r="A8981" s="17" t="str">
        <f>HYPERLINK("https://otsuka-europe-crm.veevavault.com/ui/#object/account__v/V4TZ025E8648MZF", "ANA MARIA DIOS LOUREIRO")</f>
        <v>ANA MARIA DIOS LOUREIRO</v>
      </c>
      <c r="B8981" s="17" t="str">
        <f>HYPERLINK("https://otsuka-europe-crm.veevavault.com/ui/#object/vcountry__v/VENZ000004SONF5", "ES")</f>
        <v>ES</v>
      </c>
      <c r="C8981" s="20" t="s">
        <v>41</v>
      </c>
      <c r="D8981" s="21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8981" s="22" t="str">
        <f>HYPERLINK("https://otsuka-europe-crm.veevavault.com/ui/#object/sent_email__v/VBL00000002U021", "SE-001435665")</f>
        <v>SE-001435665</v>
      </c>
      <c r="F8981" s="25"/>
      <c r="G8981" s="24">
        <v>0</v>
      </c>
      <c r="H8981" s="24">
        <v>0</v>
      </c>
      <c r="I8981" s="24">
        <v>0</v>
      </c>
      <c r="J8981" s="25"/>
      <c r="K8981" s="24">
        <v>0</v>
      </c>
      <c r="L8981" s="22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8981" s="22" t="str">
        <f>HYPERLINK("mailto:sruizlemos@crm.otsuka-europe.com", "sruizlemos@crm.otsuka-europe.com")</f>
        <v>sruizlemos@crm.otsuka-europe.com</v>
      </c>
      <c r="N8981" s="23">
        <v>46185.314039351855</v>
      </c>
      <c r="O8981" s="14" t="str">
        <f>HYPERLINK("https://otsuka-europe-crm.veevavault.com/ui/#object/email_activity__v/V8C00000003V128", "EN-002095051")</f>
        <v>EN-002095051</v>
      </c>
    </row>
    <row r="8982" spans="1:15" ht="16" x14ac:dyDescent="0.2">
      <c r="A8982" s="19"/>
      <c r="B8982" s="19"/>
      <c r="C8982" s="19"/>
      <c r="D8982" s="19"/>
      <c r="E8982" s="19"/>
      <c r="F8982" s="19"/>
      <c r="G8982" s="19"/>
      <c r="H8982" s="19"/>
      <c r="I8982" s="19"/>
      <c r="J8982" s="19"/>
      <c r="K8982" s="19"/>
      <c r="L8982" s="19"/>
      <c r="M8982" s="19"/>
      <c r="N8982" s="19"/>
      <c r="O8982" s="14" t="str">
        <f>HYPERLINK("https://otsuka-europe-crm.veevavault.com/ui/#object/email_activity__v/V8C00000003Y023", "EN-002098646")</f>
        <v>EN-002098646</v>
      </c>
    </row>
    <row r="8983" spans="1:15" ht="16" x14ac:dyDescent="0.2">
      <c r="A8983" s="17" t="str">
        <f>HYPERLINK("https://otsuka-europe-crm.veevavault.com/ui/#object/account__v/V4TZ025E83BQDHY", "ANGEL RAMIREZ PAYER")</f>
        <v>ANGEL RAMIREZ PAYER</v>
      </c>
      <c r="B8983" s="17" t="str">
        <f>HYPERLINK("https://otsuka-europe-crm.veevavault.com/ui/#object/vcountry__v/VENZ000004SONF5", "ES")</f>
        <v>ES</v>
      </c>
      <c r="C8983" s="20" t="s">
        <v>41</v>
      </c>
      <c r="D8983" s="21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8983" s="22" t="str">
        <f>HYPERLINK("https://otsuka-europe-crm.veevavault.com/ui/#object/sent_email__v/VBL00000002U022", "SE-001435666")</f>
        <v>SE-001435666</v>
      </c>
      <c r="F8983" s="25"/>
      <c r="G8983" s="24">
        <v>0</v>
      </c>
      <c r="H8983" s="24">
        <v>0</v>
      </c>
      <c r="I8983" s="24">
        <v>0</v>
      </c>
      <c r="J8983" s="25"/>
      <c r="K8983" s="24">
        <v>0</v>
      </c>
      <c r="L8983" s="22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8983" s="22" t="str">
        <f>HYPERLINK("mailto:sruizlemos@crm.otsuka-europe.com", "sruizlemos@crm.otsuka-europe.com")</f>
        <v>sruizlemos@crm.otsuka-europe.com</v>
      </c>
      <c r="N8983" s="23">
        <v>46185.314039351855</v>
      </c>
      <c r="O8983" s="14" t="str">
        <f>HYPERLINK("https://otsuka-europe-crm.veevavault.com/ui/#object/email_activity__v/V8C00000003U106", "EN-002095059")</f>
        <v>EN-002095059</v>
      </c>
    </row>
    <row r="8984" spans="1:15" ht="16" x14ac:dyDescent="0.2">
      <c r="A8984" s="19"/>
      <c r="B8984" s="19"/>
      <c r="C8984" s="19"/>
      <c r="D8984" s="19"/>
      <c r="E8984" s="19"/>
      <c r="F8984" s="19"/>
      <c r="G8984" s="19"/>
      <c r="H8984" s="19"/>
      <c r="I8984" s="19"/>
      <c r="J8984" s="19"/>
      <c r="K8984" s="19"/>
      <c r="L8984" s="19"/>
      <c r="M8984" s="19"/>
      <c r="N8984" s="19"/>
      <c r="O8984" s="14" t="str">
        <f>HYPERLINK("https://otsuka-europe-crm.veevavault.com/ui/#object/email_activity__v/V8C00000003U361", "EN-002095578")</f>
        <v>EN-002095578</v>
      </c>
    </row>
    <row r="8985" spans="1:15" ht="64" x14ac:dyDescent="0.2">
      <c r="A8985" s="7" t="str">
        <f>HYPERLINK("https://otsuka-europe-crm.veevavault.com/ui/#object/account__v/V4TZ025E890XMJQ", "ANA DIAZ TRAPIELLA")</f>
        <v>ANA DIAZ TRAPIELLA</v>
      </c>
      <c r="B8985" s="7" t="str">
        <f>HYPERLINK("https://otsuka-europe-crm.veevavault.com/ui/#object/vcountry__v/VENZ000004SONF5", "ES")</f>
        <v>ES</v>
      </c>
      <c r="C8985" s="8" t="s">
        <v>41</v>
      </c>
      <c r="D8985" s="9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8985" s="10" t="str">
        <f>HYPERLINK("https://otsuka-europe-crm.veevavault.com/ui/#object/sent_email__v/VBL00000002U023", "SE-001435667")</f>
        <v>SE-001435667</v>
      </c>
      <c r="F8985" s="11"/>
      <c r="G8985" s="12">
        <v>0</v>
      </c>
      <c r="H8985" s="12">
        <v>0</v>
      </c>
      <c r="I8985" s="12">
        <v>0</v>
      </c>
      <c r="J8985" s="11"/>
      <c r="K8985" s="12">
        <v>0</v>
      </c>
      <c r="L8985" s="10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8985" s="10" t="str">
        <f>HYPERLINK("mailto:sruizlemos@crm.otsuka-europe.com", "sruizlemos@crm.otsuka-europe.com")</f>
        <v>sruizlemos@crm.otsuka-europe.com</v>
      </c>
      <c r="N8985" s="13">
        <v>46185.314039351855</v>
      </c>
      <c r="O8985" s="14" t="str">
        <f>HYPERLINK("https://otsuka-europe-crm.veevavault.com/ui/#object/email_activity__v/V8C00000003U113", "EN-002095077")</f>
        <v>EN-002095077</v>
      </c>
    </row>
    <row r="8986" spans="1:15" ht="64" x14ac:dyDescent="0.2">
      <c r="A8986" s="7" t="str">
        <f>HYPERLINK("https://otsuka-europe-crm.veevavault.com/ui/#object/account__v/V4TZ025E8648UMD", "RAFAEL ROMERO CARMONA")</f>
        <v>RAFAEL ROMERO CARMONA</v>
      </c>
      <c r="B8986" s="7" t="str">
        <f>HYPERLINK("https://otsuka-europe-crm.veevavault.com/ui/#object/vcountry__v/VENZ000004SONF5", "ES")</f>
        <v>ES</v>
      </c>
      <c r="C8986" s="8" t="s">
        <v>41</v>
      </c>
      <c r="D8986" s="9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8986" s="10" t="str">
        <f>HYPERLINK("https://otsuka-europe-crm.veevavault.com/ui/#object/sent_email__v/VBL00000002U024", "SE-001435668")</f>
        <v>SE-001435668</v>
      </c>
      <c r="F8986" s="11"/>
      <c r="G8986" s="12">
        <v>0</v>
      </c>
      <c r="H8986" s="12">
        <v>0</v>
      </c>
      <c r="I8986" s="12">
        <v>0</v>
      </c>
      <c r="J8986" s="11"/>
      <c r="K8986" s="12">
        <v>0</v>
      </c>
      <c r="L8986" s="10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8986" s="10" t="str">
        <f>HYPERLINK("mailto:sruizlemos@crm.otsuka-europe.com", "sruizlemos@crm.otsuka-europe.com")</f>
        <v>sruizlemos@crm.otsuka-europe.com</v>
      </c>
      <c r="N8986" s="13">
        <v>46185.314039351855</v>
      </c>
      <c r="O8986" s="14" t="str">
        <f>HYPERLINK("https://otsuka-europe-crm.veevavault.com/ui/#object/email_activity__v/V8C00000003V135", "EN-002095058")</f>
        <v>EN-002095058</v>
      </c>
    </row>
    <row r="8987" spans="1:15" ht="64" x14ac:dyDescent="0.2">
      <c r="A8987" s="7" t="str">
        <f>HYPERLINK("https://otsuka-europe-crm.veevavault.com/ui/#object/account__v/V4TZ025E85RPRCK", "PABLO CHAMORRO CHAMORRO")</f>
        <v>PABLO CHAMORRO CHAMORRO</v>
      </c>
      <c r="B8987" s="7" t="str">
        <f>HYPERLINK("https://otsuka-europe-crm.veevavault.com/ui/#object/vcountry__v/VENZ000004SONF5", "ES")</f>
        <v>ES</v>
      </c>
      <c r="C8987" s="8" t="s">
        <v>41</v>
      </c>
      <c r="D8987" s="9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8987" s="10" t="str">
        <f>HYPERLINK("https://otsuka-europe-crm.veevavault.com/ui/#object/sent_email__v/VBL00000002U025", "SE-001435669")</f>
        <v>SE-001435669</v>
      </c>
      <c r="F8987" s="11"/>
      <c r="G8987" s="12">
        <v>0</v>
      </c>
      <c r="H8987" s="12">
        <v>0</v>
      </c>
      <c r="I8987" s="12">
        <v>0</v>
      </c>
      <c r="J8987" s="11"/>
      <c r="K8987" s="12">
        <v>0</v>
      </c>
      <c r="L8987" s="10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8987" s="10" t="str">
        <f>HYPERLINK("mailto:sruizlemos@crm.otsuka-europe.com", "sruizlemos@crm.otsuka-europe.com")</f>
        <v>sruizlemos@crm.otsuka-europe.com</v>
      </c>
      <c r="N8987" s="13">
        <v>46185.314039351855</v>
      </c>
      <c r="O8987" s="14" t="str">
        <f>HYPERLINK("https://otsuka-europe-crm.veevavault.com/ui/#object/email_activity__v/V8C00000003V134", "EN-002095057")</f>
        <v>EN-002095057</v>
      </c>
    </row>
    <row r="8988" spans="1:15" ht="16" x14ac:dyDescent="0.2">
      <c r="A8988" s="17" t="str">
        <f>HYPERLINK("https://otsuka-europe-crm.veevavault.com/ui/#object/account__v/V4TZ06G6O71T9CT", "MARIA TERESA BERNAL DEL CASTILLO")</f>
        <v>MARIA TERESA BERNAL DEL CASTILLO</v>
      </c>
      <c r="B8988" s="17" t="str">
        <f>HYPERLINK("https://otsuka-europe-crm.veevavault.com/ui/#object/vcountry__v/VENZ000004SONF5", "ES")</f>
        <v>ES</v>
      </c>
      <c r="C8988" s="20" t="s">
        <v>41</v>
      </c>
      <c r="D8988" s="21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8988" s="22" t="str">
        <f>HYPERLINK("https://otsuka-europe-crm.veevavault.com/ui/#object/sent_email__v/VBL00000002U026", "SE-001435670")</f>
        <v>SE-001435670</v>
      </c>
      <c r="F8988" s="23">
        <v>46185.324594907404</v>
      </c>
      <c r="G8988" s="24">
        <v>1</v>
      </c>
      <c r="H8988" s="24">
        <v>1</v>
      </c>
      <c r="I8988" s="24">
        <v>0</v>
      </c>
      <c r="J8988" s="25"/>
      <c r="K8988" s="24">
        <v>0</v>
      </c>
      <c r="L8988" s="22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8988" s="22" t="str">
        <f>HYPERLINK("mailto:sruizlemos@crm.otsuka-europe.com", "sruizlemos@crm.otsuka-europe.com")</f>
        <v>sruizlemos@crm.otsuka-europe.com</v>
      </c>
      <c r="N8988" s="23">
        <v>46185.314039351855</v>
      </c>
      <c r="O8988" s="14" t="str">
        <f>HYPERLINK("https://otsuka-europe-crm.veevavault.com/ui/#object/email_activity__v/V8C00000003U111", "EN-002095075")</f>
        <v>EN-002095075</v>
      </c>
    </row>
    <row r="8989" spans="1:15" ht="16" x14ac:dyDescent="0.2">
      <c r="A8989" s="19"/>
      <c r="B8989" s="19"/>
      <c r="C8989" s="19"/>
      <c r="D8989" s="19"/>
      <c r="E8989" s="19"/>
      <c r="F8989" s="19"/>
      <c r="G8989" s="19"/>
      <c r="H8989" s="19"/>
      <c r="I8989" s="19"/>
      <c r="J8989" s="19"/>
      <c r="K8989" s="19"/>
      <c r="L8989" s="19"/>
      <c r="M8989" s="19"/>
      <c r="N8989" s="19"/>
      <c r="O8989" s="14" t="str">
        <f>HYPERLINK("https://otsuka-europe-crm.veevavault.com/ui/#object/email_activity__v/V8C00000003V161", "EN-002095106")</f>
        <v>EN-002095106</v>
      </c>
    </row>
    <row r="8990" spans="1:15" ht="64" x14ac:dyDescent="0.2">
      <c r="A8990" s="7" t="str">
        <f>HYPERLINK("https://otsuka-europe-crm.veevavault.com/ui/#object/account__v/V4TZ025E864PEAX", "VIOLETA TURCU PARASCHIV")</f>
        <v>VIOLETA TURCU PARASCHIV</v>
      </c>
      <c r="B8990" s="7" t="str">
        <f>HYPERLINK("https://otsuka-europe-crm.veevavault.com/ui/#object/vcountry__v/VENZ000004SONF5", "ES")</f>
        <v>ES</v>
      </c>
      <c r="C8990" s="8" t="s">
        <v>41</v>
      </c>
      <c r="D8990" s="9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8990" s="10" t="str">
        <f>HYPERLINK("https://otsuka-europe-crm.veevavault.com/ui/#object/sent_email__v/VBL00000002U027", "SE-001435671")</f>
        <v>SE-001435671</v>
      </c>
      <c r="F8990" s="11"/>
      <c r="G8990" s="12">
        <v>0</v>
      </c>
      <c r="H8990" s="12">
        <v>0</v>
      </c>
      <c r="I8990" s="12">
        <v>0</v>
      </c>
      <c r="J8990" s="11"/>
      <c r="K8990" s="12">
        <v>0</v>
      </c>
      <c r="L8990" s="10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8990" s="10" t="str">
        <f>HYPERLINK("mailto:sruizlemos@crm.otsuka-europe.com", "sruizlemos@crm.otsuka-europe.com")</f>
        <v>sruizlemos@crm.otsuka-europe.com</v>
      </c>
      <c r="N8990" s="13">
        <v>46185.314039351855</v>
      </c>
      <c r="O8990" s="14" t="str">
        <f>HYPERLINK("https://otsuka-europe-crm.veevavault.com/ui/#object/email_activity__v/V8C00000003V144", "EN-002095072")</f>
        <v>EN-002095072</v>
      </c>
    </row>
    <row r="8991" spans="1:15" ht="16" x14ac:dyDescent="0.2">
      <c r="A8991" s="17" t="str">
        <f>HYPERLINK("https://otsuka-europe-crm.veevavault.com/ui/#object/account__v/V4T000000014086", "CARMEN LOREDO ALVAREZ")</f>
        <v>CARMEN LOREDO ALVAREZ</v>
      </c>
      <c r="B8991" s="17" t="str">
        <f>HYPERLINK("https://otsuka-europe-crm.veevavault.com/ui/#object/vcountry__v/VENZ000004SONF5", "ES")</f>
        <v>ES</v>
      </c>
      <c r="C8991" s="20" t="s">
        <v>41</v>
      </c>
      <c r="D8991" s="21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8991" s="22" t="str">
        <f>HYPERLINK("https://otsuka-europe-crm.veevavault.com/ui/#object/sent_email__v/VBL00000002U028", "SE-001435672")</f>
        <v>SE-001435672</v>
      </c>
      <c r="F8991" s="25"/>
      <c r="G8991" s="24">
        <v>0</v>
      </c>
      <c r="H8991" s="24">
        <v>0</v>
      </c>
      <c r="I8991" s="24">
        <v>0</v>
      </c>
      <c r="J8991" s="25"/>
      <c r="K8991" s="24">
        <v>0</v>
      </c>
      <c r="L8991" s="22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8991" s="22" t="str">
        <f>HYPERLINK("mailto:sruizlemos@crm.otsuka-europe.com", "sruizlemos@crm.otsuka-europe.com")</f>
        <v>sruizlemos@crm.otsuka-europe.com</v>
      </c>
      <c r="N8991" s="23">
        <v>46185.314039351855</v>
      </c>
      <c r="O8991" s="14" t="str">
        <f>HYPERLINK("https://otsuka-europe-crm.veevavault.com/ui/#object/email_activity__v/V8C00000003U098", "EN-002095043")</f>
        <v>EN-002095043</v>
      </c>
    </row>
    <row r="8992" spans="1:15" ht="16" x14ac:dyDescent="0.2">
      <c r="A8992" s="19"/>
      <c r="B8992" s="19"/>
      <c r="C8992" s="19"/>
      <c r="D8992" s="19"/>
      <c r="E8992" s="19"/>
      <c r="F8992" s="19"/>
      <c r="G8992" s="19"/>
      <c r="H8992" s="19"/>
      <c r="I8992" s="19"/>
      <c r="J8992" s="19"/>
      <c r="K8992" s="19"/>
      <c r="L8992" s="19"/>
      <c r="M8992" s="19"/>
      <c r="N8992" s="19"/>
      <c r="O8992" s="14" t="str">
        <f>HYPERLINK("https://otsuka-europe-crm.veevavault.com/ui/#object/email_activity__v/V8C00000003V382", "EN-002095551")</f>
        <v>EN-002095551</v>
      </c>
    </row>
    <row r="8993" spans="1:15" ht="64" x14ac:dyDescent="0.2">
      <c r="A8993" s="7" t="str">
        <f>HYPERLINK("https://otsuka-europe-crm.veevavault.com/ui/#object/account__v/V4TZ06G6O71TA5R", "JOSE MARIA GARCIA GALA")</f>
        <v>JOSE MARIA GARCIA GALA</v>
      </c>
      <c r="B8993" s="7" t="str">
        <f t="shared" ref="B8993:B8998" si="682">HYPERLINK("https://otsuka-europe-crm.veevavault.com/ui/#object/vcountry__v/VENZ000004SONF5", "ES")</f>
        <v>ES</v>
      </c>
      <c r="C8993" s="8" t="s">
        <v>41</v>
      </c>
      <c r="D8993" s="9" t="str">
        <f t="shared" ref="D8993:D8998" si="683"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8993" s="10" t="str">
        <f>HYPERLINK("https://otsuka-europe-crm.veevavault.com/ui/#object/sent_email__v/VBL00000002U029", "SE-001435673")</f>
        <v>SE-001435673</v>
      </c>
      <c r="F8993" s="11"/>
      <c r="G8993" s="12">
        <v>0</v>
      </c>
      <c r="H8993" s="12">
        <v>0</v>
      </c>
      <c r="I8993" s="12">
        <v>0</v>
      </c>
      <c r="J8993" s="11"/>
      <c r="K8993" s="12">
        <v>0</v>
      </c>
      <c r="L8993" s="10" t="str">
        <f t="shared" ref="L8993:L8998" si="684"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8993" s="10" t="str">
        <f t="shared" ref="M8993:M8998" si="685">HYPERLINK("mailto:sruizlemos@crm.otsuka-europe.com", "sruizlemos@crm.otsuka-europe.com")</f>
        <v>sruizlemos@crm.otsuka-europe.com</v>
      </c>
      <c r="N8993" s="13">
        <v>46185.314039351855</v>
      </c>
      <c r="O8993" s="14" t="str">
        <f>HYPERLINK("https://otsuka-europe-crm.veevavault.com/ui/#object/email_activity__v/V8C00000003V147", "EN-002095078")</f>
        <v>EN-002095078</v>
      </c>
    </row>
    <row r="8994" spans="1:15" ht="64" x14ac:dyDescent="0.2">
      <c r="A8994" s="7" t="str">
        <f>HYPERLINK("https://otsuka-europe-crm.veevavault.com/ui/#object/account__v/V4T000000004018", "MARIA TERESA FERNANDEZ FERNANDEZ")</f>
        <v>MARIA TERESA FERNANDEZ FERNANDEZ</v>
      </c>
      <c r="B8994" s="7" t="str">
        <f t="shared" si="682"/>
        <v>ES</v>
      </c>
      <c r="C8994" s="8" t="s">
        <v>41</v>
      </c>
      <c r="D8994" s="9" t="str">
        <f t="shared" si="683"/>
        <v>INA -  Webinar "30 minutos en casa" con la Dra. Irene Sánchez - 15 junio</v>
      </c>
      <c r="E8994" s="10" t="str">
        <f>HYPERLINK("https://otsuka-europe-crm.veevavault.com/ui/#object/sent_email__v/VBL00000002U030", "SE-001435674")</f>
        <v>SE-001435674</v>
      </c>
      <c r="F8994" s="11"/>
      <c r="G8994" s="12">
        <v>0</v>
      </c>
      <c r="H8994" s="12">
        <v>0</v>
      </c>
      <c r="I8994" s="12">
        <v>0</v>
      </c>
      <c r="J8994" s="11"/>
      <c r="K8994" s="12">
        <v>0</v>
      </c>
      <c r="L8994" s="10" t="str">
        <f t="shared" si="684"/>
        <v>INA -  Webinar "30 minutos en casa" con la Dra. Irene Sánchez - 15 junio</v>
      </c>
      <c r="M8994" s="10" t="str">
        <f t="shared" si="685"/>
        <v>sruizlemos@crm.otsuka-europe.com</v>
      </c>
      <c r="N8994" s="13">
        <v>46185.314039351855</v>
      </c>
      <c r="O8994" s="14" t="str">
        <f>HYPERLINK("https://otsuka-europe-crm.veevavault.com/ui/#object/email_activity__v/V8C00000003U103", "EN-002095048")</f>
        <v>EN-002095048</v>
      </c>
    </row>
    <row r="8995" spans="1:15" ht="64" x14ac:dyDescent="0.2">
      <c r="A8995" s="7" t="str">
        <f>HYPERLINK("https://otsuka-europe-crm.veevavault.com/ui/#object/account__v/V4TZ025E83PJOIK", "JUAN PIO TORRES CARRETE")</f>
        <v>JUAN PIO TORRES CARRETE</v>
      </c>
      <c r="B8995" s="7" t="str">
        <f t="shared" si="682"/>
        <v>ES</v>
      </c>
      <c r="C8995" s="8" t="s">
        <v>41</v>
      </c>
      <c r="D8995" s="9" t="str">
        <f t="shared" si="683"/>
        <v>INA -  Webinar "30 minutos en casa" con la Dra. Irene Sánchez - 15 junio</v>
      </c>
      <c r="E8995" s="10" t="str">
        <f>HYPERLINK("https://otsuka-europe-crm.veevavault.com/ui/#object/sent_email__v/VBL00000002U031", "SE-001435675")</f>
        <v>SE-001435675</v>
      </c>
      <c r="F8995" s="11"/>
      <c r="G8995" s="12">
        <v>0</v>
      </c>
      <c r="H8995" s="12">
        <v>0</v>
      </c>
      <c r="I8995" s="12">
        <v>0</v>
      </c>
      <c r="J8995" s="11"/>
      <c r="K8995" s="12">
        <v>0</v>
      </c>
      <c r="L8995" s="10" t="str">
        <f t="shared" si="684"/>
        <v>INA -  Webinar "30 minutos en casa" con la Dra. Irene Sánchez - 15 junio</v>
      </c>
      <c r="M8995" s="10" t="str">
        <f t="shared" si="685"/>
        <v>sruizlemos@crm.otsuka-europe.com</v>
      </c>
      <c r="N8995" s="13">
        <v>46185.314050925925</v>
      </c>
      <c r="O8995" s="14" t="str">
        <f>HYPERLINK("https://otsuka-europe-crm.veevavault.com/ui/#object/email_activity__v/V8C00000003V149", "EN-002095080")</f>
        <v>EN-002095080</v>
      </c>
    </row>
    <row r="8996" spans="1:15" ht="64" x14ac:dyDescent="0.2">
      <c r="A8996" s="7" t="str">
        <f>HYPERLINK("https://otsuka-europe-crm.veevavault.com/ui/#object/account__v/V4TZ025E83TITWJ", "EDUARDO GOMEZ TORREIRO")</f>
        <v>EDUARDO GOMEZ TORREIRO</v>
      </c>
      <c r="B8996" s="7" t="str">
        <f t="shared" si="682"/>
        <v>ES</v>
      </c>
      <c r="C8996" s="8" t="s">
        <v>41</v>
      </c>
      <c r="D8996" s="9" t="str">
        <f t="shared" si="683"/>
        <v>INA -  Webinar "30 minutos en casa" con la Dra. Irene Sánchez - 15 junio</v>
      </c>
      <c r="E8996" s="10" t="str">
        <f>HYPERLINK("https://otsuka-europe-crm.veevavault.com/ui/#object/sent_email__v/VBL00000002U032", "SE-001435676")</f>
        <v>SE-001435676</v>
      </c>
      <c r="F8996" s="11"/>
      <c r="G8996" s="12">
        <v>0</v>
      </c>
      <c r="H8996" s="12">
        <v>0</v>
      </c>
      <c r="I8996" s="12">
        <v>0</v>
      </c>
      <c r="J8996" s="11"/>
      <c r="K8996" s="12">
        <v>0</v>
      </c>
      <c r="L8996" s="10" t="str">
        <f t="shared" si="684"/>
        <v>INA -  Webinar "30 minutos en casa" con la Dra. Irene Sánchez - 15 junio</v>
      </c>
      <c r="M8996" s="10" t="str">
        <f t="shared" si="685"/>
        <v>sruizlemos@crm.otsuka-europe.com</v>
      </c>
      <c r="N8996" s="13">
        <v>46185.314039351855</v>
      </c>
      <c r="O8996" s="14" t="str">
        <f>HYPERLINK("https://otsuka-europe-crm.veevavault.com/ui/#object/email_activity__v/V8C00000003U105", "EN-002095050")</f>
        <v>EN-002095050</v>
      </c>
    </row>
    <row r="8997" spans="1:15" ht="64" x14ac:dyDescent="0.2">
      <c r="A8997" s="7" t="str">
        <f>HYPERLINK("https://otsuka-europe-crm.veevavault.com/ui/#object/account__v/V4TZ025E8363WOP", "LOURDES AMADOR BARCIELA")</f>
        <v>LOURDES AMADOR BARCIELA</v>
      </c>
      <c r="B8997" s="7" t="str">
        <f t="shared" si="682"/>
        <v>ES</v>
      </c>
      <c r="C8997" s="8" t="s">
        <v>41</v>
      </c>
      <c r="D8997" s="9" t="str">
        <f t="shared" si="683"/>
        <v>INA -  Webinar "30 minutos en casa" con la Dra. Irene Sánchez - 15 junio</v>
      </c>
      <c r="E8997" s="10" t="str">
        <f>HYPERLINK("https://otsuka-europe-crm.veevavault.com/ui/#object/sent_email__v/VBL00000002U033", "SE-001435677")</f>
        <v>SE-001435677</v>
      </c>
      <c r="F8997" s="11"/>
      <c r="G8997" s="12">
        <v>0</v>
      </c>
      <c r="H8997" s="12">
        <v>0</v>
      </c>
      <c r="I8997" s="12">
        <v>0</v>
      </c>
      <c r="J8997" s="11"/>
      <c r="K8997" s="12">
        <v>0</v>
      </c>
      <c r="L8997" s="10" t="str">
        <f t="shared" si="684"/>
        <v>INA -  Webinar "30 minutos en casa" con la Dra. Irene Sánchez - 15 junio</v>
      </c>
      <c r="M8997" s="10" t="str">
        <f t="shared" si="685"/>
        <v>sruizlemos@crm.otsuka-europe.com</v>
      </c>
      <c r="N8997" s="13">
        <v>46185.314039351855</v>
      </c>
      <c r="O8997" s="14" t="str">
        <f>HYPERLINK("https://otsuka-europe-crm.veevavault.com/ui/#object/email_activity__v/V8C00000003V129", "EN-002095052")</f>
        <v>EN-002095052</v>
      </c>
    </row>
    <row r="8998" spans="1:15" ht="16" x14ac:dyDescent="0.2">
      <c r="A8998" s="17" t="str">
        <f>HYPERLINK("https://otsuka-europe-crm.veevavault.com/ui/#object/account__v/V4TZ025E85RQX0H", "ALMUDENA FERNANDEZ GONZALEZ")</f>
        <v>ALMUDENA FERNANDEZ GONZALEZ</v>
      </c>
      <c r="B8998" s="17" t="str">
        <f t="shared" si="682"/>
        <v>ES</v>
      </c>
      <c r="C8998" s="20" t="s">
        <v>41</v>
      </c>
      <c r="D8998" s="21" t="str">
        <f t="shared" si="683"/>
        <v>INA -  Webinar "30 minutos en casa" con la Dra. Irene Sánchez - 15 junio</v>
      </c>
      <c r="E8998" s="22" t="str">
        <f>HYPERLINK("https://otsuka-europe-crm.veevavault.com/ui/#object/sent_email__v/VBL00000002U034", "SE-001435678")</f>
        <v>SE-001435678</v>
      </c>
      <c r="F8998" s="23">
        <v>46187.885671296295</v>
      </c>
      <c r="G8998" s="24">
        <v>1</v>
      </c>
      <c r="H8998" s="24">
        <v>1</v>
      </c>
      <c r="I8998" s="24">
        <v>1</v>
      </c>
      <c r="J8998" s="23">
        <v>46187.885995370372</v>
      </c>
      <c r="K8998" s="24">
        <v>3</v>
      </c>
      <c r="L8998" s="22" t="str">
        <f t="shared" si="684"/>
        <v>INA -  Webinar "30 minutos en casa" con la Dra. Irene Sánchez - 15 junio</v>
      </c>
      <c r="M8998" s="22" t="str">
        <f t="shared" si="685"/>
        <v>sruizlemos@crm.otsuka-europe.com</v>
      </c>
      <c r="N8998" s="23">
        <v>46185.314039351855</v>
      </c>
      <c r="O8998" s="14" t="str">
        <f>HYPERLINK("https://otsuka-europe-crm.veevavault.com/ui/#object/email_activity__v/V8C00000003U437", "EN-002095728")</f>
        <v>EN-002095728</v>
      </c>
    </row>
    <row r="8999" spans="1:15" ht="16" x14ac:dyDescent="0.2">
      <c r="A8999" s="18"/>
      <c r="B8999" s="18"/>
      <c r="C8999" s="18"/>
      <c r="D8999" s="18"/>
      <c r="E8999" s="18"/>
      <c r="F8999" s="18"/>
      <c r="G8999" s="18"/>
      <c r="H8999" s="18"/>
      <c r="I8999" s="18"/>
      <c r="J8999" s="18"/>
      <c r="K8999" s="18"/>
      <c r="L8999" s="18"/>
      <c r="M8999" s="18"/>
      <c r="N8999" s="18"/>
      <c r="O8999" s="14" t="str">
        <f>HYPERLINK("https://otsuka-europe-crm.veevavault.com/ui/#object/email_activity__v/V8C00000003U438", "EN-002095727")</f>
        <v>EN-002095727</v>
      </c>
    </row>
    <row r="9000" spans="1:15" ht="16" x14ac:dyDescent="0.2">
      <c r="A9000" s="18"/>
      <c r="B9000" s="18"/>
      <c r="C9000" s="18"/>
      <c r="D9000" s="18"/>
      <c r="E9000" s="18"/>
      <c r="F9000" s="18"/>
      <c r="G9000" s="18"/>
      <c r="H9000" s="18"/>
      <c r="I9000" s="18"/>
      <c r="J9000" s="18"/>
      <c r="K9000" s="18"/>
      <c r="L9000" s="18"/>
      <c r="M9000" s="18"/>
      <c r="N9000" s="18"/>
      <c r="O9000" s="14" t="str">
        <f>HYPERLINK("https://otsuka-europe-crm.veevavault.com/ui/#object/email_activity__v/V8C00000003U439", "EN-002095729")</f>
        <v>EN-002095729</v>
      </c>
    </row>
    <row r="9001" spans="1:15" ht="16" x14ac:dyDescent="0.2">
      <c r="A9001" s="18"/>
      <c r="B9001" s="18"/>
      <c r="C9001" s="18"/>
      <c r="D9001" s="18"/>
      <c r="E9001" s="18"/>
      <c r="F9001" s="18"/>
      <c r="G9001" s="18"/>
      <c r="H9001" s="18"/>
      <c r="I9001" s="18"/>
      <c r="J9001" s="18"/>
      <c r="K9001" s="18"/>
      <c r="L9001" s="18"/>
      <c r="M9001" s="18"/>
      <c r="N9001" s="18"/>
      <c r="O9001" s="14" t="str">
        <f>HYPERLINK("https://otsuka-europe-crm.veevavault.com/ui/#object/email_activity__v/V8C00000003U440", "EN-002095730")</f>
        <v>EN-002095730</v>
      </c>
    </row>
    <row r="9002" spans="1:15" ht="16" x14ac:dyDescent="0.2">
      <c r="A9002" s="19"/>
      <c r="B9002" s="19"/>
      <c r="C9002" s="19"/>
      <c r="D9002" s="19"/>
      <c r="E9002" s="19"/>
      <c r="F9002" s="19"/>
      <c r="G9002" s="19"/>
      <c r="H9002" s="19"/>
      <c r="I9002" s="19"/>
      <c r="J9002" s="19"/>
      <c r="K9002" s="19"/>
      <c r="L9002" s="19"/>
      <c r="M9002" s="19"/>
      <c r="N9002" s="19"/>
      <c r="O9002" s="14" t="str">
        <f>HYPERLINK("https://otsuka-europe-crm.veevavault.com/ui/#object/email_activity__v/V8C00000003V146", "EN-002095074")</f>
        <v>EN-002095074</v>
      </c>
    </row>
    <row r="9003" spans="1:15" ht="64" x14ac:dyDescent="0.2">
      <c r="A9003" s="7" t="str">
        <f>HYPERLINK("https://otsuka-europe-crm.veevavault.com/ui/#object/account__v/V4TZ025E83PKB46", "RUBEN VAZQUEZ FERNANDEZ")</f>
        <v>RUBEN VAZQUEZ FERNANDEZ</v>
      </c>
      <c r="B9003" s="7" t="str">
        <f t="shared" ref="B9003:B9008" si="686">HYPERLINK("https://otsuka-europe-crm.veevavault.com/ui/#object/vcountry__v/VENZ000004SONF5", "ES")</f>
        <v>ES</v>
      </c>
      <c r="C9003" s="8" t="s">
        <v>41</v>
      </c>
      <c r="D9003" s="9" t="str">
        <f t="shared" ref="D9003:D9008" si="687"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9003" s="10" t="str">
        <f>HYPERLINK("https://otsuka-europe-crm.veevavault.com/ui/#object/sent_email__v/VBL00000002U035", "SE-001435679")</f>
        <v>SE-001435679</v>
      </c>
      <c r="F9003" s="11"/>
      <c r="G9003" s="12">
        <v>0</v>
      </c>
      <c r="H9003" s="12">
        <v>0</v>
      </c>
      <c r="I9003" s="12">
        <v>0</v>
      </c>
      <c r="J9003" s="11"/>
      <c r="K9003" s="12">
        <v>0</v>
      </c>
      <c r="L9003" s="10" t="str">
        <f t="shared" ref="L9003:L9008" si="688"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9003" s="10" t="str">
        <f t="shared" ref="M9003:M9008" si="689">HYPERLINK("mailto:sruizlemos@crm.otsuka-europe.com", "sruizlemos@crm.otsuka-europe.com")</f>
        <v>sruizlemos@crm.otsuka-europe.com</v>
      </c>
      <c r="N9003" s="13">
        <v>46185.314039351855</v>
      </c>
      <c r="O9003" s="14" t="str">
        <f>HYPERLINK("https://otsuka-europe-crm.veevavault.com/ui/#object/email_activity__v/V8C00000003V132", "EN-002095055")</f>
        <v>EN-002095055</v>
      </c>
    </row>
    <row r="9004" spans="1:15" ht="64" x14ac:dyDescent="0.2">
      <c r="A9004" s="7" t="str">
        <f>HYPERLINK("https://otsuka-europe-crm.veevavault.com/ui/#object/account__v/V4TZ025E85SAT7W", "MARIA GORETI VAZQUEZ VAZQUEZ")</f>
        <v>MARIA GORETI VAZQUEZ VAZQUEZ</v>
      </c>
      <c r="B9004" s="7" t="str">
        <f t="shared" si="686"/>
        <v>ES</v>
      </c>
      <c r="C9004" s="8" t="s">
        <v>41</v>
      </c>
      <c r="D9004" s="9" t="str">
        <f t="shared" si="687"/>
        <v>INA -  Webinar "30 minutos en casa" con la Dra. Irene Sánchez - 15 junio</v>
      </c>
      <c r="E9004" s="10" t="str">
        <f>HYPERLINK("https://otsuka-europe-crm.veevavault.com/ui/#object/sent_email__v/VBL00000002U036", "SE-001435680")</f>
        <v>SE-001435680</v>
      </c>
      <c r="F9004" s="11"/>
      <c r="G9004" s="12">
        <v>0</v>
      </c>
      <c r="H9004" s="12">
        <v>0</v>
      </c>
      <c r="I9004" s="12">
        <v>0</v>
      </c>
      <c r="J9004" s="11"/>
      <c r="K9004" s="12">
        <v>0</v>
      </c>
      <c r="L9004" s="10" t="str">
        <f t="shared" si="688"/>
        <v>INA -  Webinar "30 minutos en casa" con la Dra. Irene Sánchez - 15 junio</v>
      </c>
      <c r="M9004" s="10" t="str">
        <f t="shared" si="689"/>
        <v>sruizlemos@crm.otsuka-europe.com</v>
      </c>
      <c r="N9004" s="13">
        <v>46185.314016203702</v>
      </c>
      <c r="O9004" s="14" t="str">
        <f>HYPERLINK("https://otsuka-europe-crm.veevavault.com/ui/#object/email_activity__v/V8C00000003V140", "EN-002095068")</f>
        <v>EN-002095068</v>
      </c>
    </row>
    <row r="9005" spans="1:15" ht="64" x14ac:dyDescent="0.2">
      <c r="A9005" s="7" t="str">
        <f>HYPERLINK("https://otsuka-europe-crm.veevavault.com/ui/#object/account__v/V4TZ025E83UDV6P", "MANUEL MATEO PEREZ ENCINAS")</f>
        <v>MANUEL MATEO PEREZ ENCINAS</v>
      </c>
      <c r="B9005" s="7" t="str">
        <f t="shared" si="686"/>
        <v>ES</v>
      </c>
      <c r="C9005" s="8" t="s">
        <v>41</v>
      </c>
      <c r="D9005" s="9" t="str">
        <f t="shared" si="687"/>
        <v>INA -  Webinar "30 minutos en casa" con la Dra. Irene Sánchez - 15 junio</v>
      </c>
      <c r="E9005" s="10" t="str">
        <f>HYPERLINK("https://otsuka-europe-crm.veevavault.com/ui/#object/sent_email__v/VBL00000002U037", "SE-001435681")</f>
        <v>SE-001435681</v>
      </c>
      <c r="F9005" s="11"/>
      <c r="G9005" s="12">
        <v>0</v>
      </c>
      <c r="H9005" s="12">
        <v>0</v>
      </c>
      <c r="I9005" s="12">
        <v>0</v>
      </c>
      <c r="J9005" s="11"/>
      <c r="K9005" s="12">
        <v>0</v>
      </c>
      <c r="L9005" s="10" t="str">
        <f t="shared" si="688"/>
        <v>INA -  Webinar "30 minutos en casa" con la Dra. Irene Sánchez - 15 junio</v>
      </c>
      <c r="M9005" s="10" t="str">
        <f t="shared" si="689"/>
        <v>sruizlemos@crm.otsuka-europe.com</v>
      </c>
      <c r="N9005" s="13">
        <v>46185.314039351855</v>
      </c>
      <c r="O9005" s="14" t="str">
        <f>HYPERLINK("https://otsuka-europe-crm.veevavault.com/ui/#object/email_activity__v/V8C00000003U101", "EN-002095046")</f>
        <v>EN-002095046</v>
      </c>
    </row>
    <row r="9006" spans="1:15" ht="64" x14ac:dyDescent="0.2">
      <c r="A9006" s="7" t="str">
        <f>HYPERLINK("https://otsuka-europe-crm.veevavault.com/ui/#object/account__v/V4TZ06G6O71T91B", "CONCEPCION ANDON SAAVEDRA")</f>
        <v>CONCEPCION ANDON SAAVEDRA</v>
      </c>
      <c r="B9006" s="7" t="str">
        <f t="shared" si="686"/>
        <v>ES</v>
      </c>
      <c r="C9006" s="8" t="s">
        <v>41</v>
      </c>
      <c r="D9006" s="9" t="str">
        <f t="shared" si="687"/>
        <v>INA -  Webinar "30 minutos en casa" con la Dra. Irene Sánchez - 15 junio</v>
      </c>
      <c r="E9006" s="10" t="str">
        <f>HYPERLINK("https://otsuka-europe-crm.veevavault.com/ui/#object/sent_email__v/VBL00000002U038", "SE-001435682")</f>
        <v>SE-001435682</v>
      </c>
      <c r="F9006" s="11"/>
      <c r="G9006" s="12">
        <v>0</v>
      </c>
      <c r="H9006" s="12">
        <v>0</v>
      </c>
      <c r="I9006" s="12">
        <v>0</v>
      </c>
      <c r="J9006" s="11"/>
      <c r="K9006" s="12">
        <v>0</v>
      </c>
      <c r="L9006" s="10" t="str">
        <f t="shared" si="688"/>
        <v>INA -  Webinar "30 minutos en casa" con la Dra. Irene Sánchez - 15 junio</v>
      </c>
      <c r="M9006" s="10" t="str">
        <f t="shared" si="689"/>
        <v>sruizlemos@crm.otsuka-europe.com</v>
      </c>
      <c r="N9006" s="13">
        <v>46185.314039351855</v>
      </c>
      <c r="O9006" s="14" t="str">
        <f>HYPERLINK("https://otsuka-europe-crm.veevavault.com/ui/#object/email_activity__v/V8C00000003V141", "EN-002095069")</f>
        <v>EN-002095069</v>
      </c>
    </row>
    <row r="9007" spans="1:15" ht="64" x14ac:dyDescent="0.2">
      <c r="A9007" s="7" t="str">
        <f>HYPERLINK("https://otsuka-europe-crm.veevavault.com/ui/#object/account__v/V4TZ025E85O553L", "RAQUEL OCAMPO MARTINEZ")</f>
        <v>RAQUEL OCAMPO MARTINEZ</v>
      </c>
      <c r="B9007" s="7" t="str">
        <f t="shared" si="686"/>
        <v>ES</v>
      </c>
      <c r="C9007" s="8" t="s">
        <v>41</v>
      </c>
      <c r="D9007" s="9" t="str">
        <f t="shared" si="687"/>
        <v>INA -  Webinar "30 minutos en casa" con la Dra. Irene Sánchez - 15 junio</v>
      </c>
      <c r="E9007" s="10" t="str">
        <f>HYPERLINK("https://otsuka-europe-crm.veevavault.com/ui/#object/sent_email__v/VBL00000002U039", "SE-001435683")</f>
        <v>SE-001435683</v>
      </c>
      <c r="F9007" s="11"/>
      <c r="G9007" s="12">
        <v>0</v>
      </c>
      <c r="H9007" s="12">
        <v>0</v>
      </c>
      <c r="I9007" s="12">
        <v>0</v>
      </c>
      <c r="J9007" s="11"/>
      <c r="K9007" s="12">
        <v>0</v>
      </c>
      <c r="L9007" s="10" t="str">
        <f t="shared" si="688"/>
        <v>INA -  Webinar "30 minutos en casa" con la Dra. Irene Sánchez - 15 junio</v>
      </c>
      <c r="M9007" s="10" t="str">
        <f t="shared" si="689"/>
        <v>sruizlemos@crm.otsuka-europe.com</v>
      </c>
      <c r="N9007" s="13">
        <v>46185.314050925925</v>
      </c>
      <c r="O9007" s="14" t="str">
        <f>HYPERLINK("https://otsuka-europe-crm.veevavault.com/ui/#object/email_activity__v/V8C00000003V150", "EN-002095081")</f>
        <v>EN-002095081</v>
      </c>
    </row>
    <row r="9008" spans="1:15" ht="16" x14ac:dyDescent="0.2">
      <c r="A9008" s="17" t="str">
        <f>HYPERLINK("https://otsuka-europe-crm.veevavault.com/ui/#object/account__v/V4TZ025E85O4W2O", "LAURA IGLESIAS DOMINGUEZ")</f>
        <v>LAURA IGLESIAS DOMINGUEZ</v>
      </c>
      <c r="B9008" s="17" t="str">
        <f t="shared" si="686"/>
        <v>ES</v>
      </c>
      <c r="C9008" s="20" t="s">
        <v>41</v>
      </c>
      <c r="D9008" s="21" t="str">
        <f t="shared" si="687"/>
        <v>INA -  Webinar "30 minutos en casa" con la Dra. Irene Sánchez - 15 junio</v>
      </c>
      <c r="E9008" s="22" t="str">
        <f>HYPERLINK("https://otsuka-europe-crm.veevavault.com/ui/#object/sent_email__v/VBL00000002U040", "SE-001435684")</f>
        <v>SE-001435684</v>
      </c>
      <c r="F9008" s="23">
        <v>46188.258263888885</v>
      </c>
      <c r="G9008" s="24">
        <v>1</v>
      </c>
      <c r="H9008" s="24">
        <v>1</v>
      </c>
      <c r="I9008" s="24">
        <v>1</v>
      </c>
      <c r="J9008" s="23">
        <v>46188.699560185189</v>
      </c>
      <c r="K9008" s="24">
        <v>3</v>
      </c>
      <c r="L9008" s="22" t="str">
        <f t="shared" si="688"/>
        <v>INA -  Webinar "30 minutos en casa" con la Dra. Irene Sánchez - 15 junio</v>
      </c>
      <c r="M9008" s="22" t="str">
        <f t="shared" si="689"/>
        <v>sruizlemos@crm.otsuka-europe.com</v>
      </c>
      <c r="N9008" s="23">
        <v>46185.314039351855</v>
      </c>
      <c r="O9008" s="14" t="str">
        <f>HYPERLINK("https://otsuka-europe-crm.veevavault.com/ui/#object/email_activity__v/V8C00000003U451", "EN-002095751")</f>
        <v>EN-002095751</v>
      </c>
    </row>
    <row r="9009" spans="1:15" ht="16" x14ac:dyDescent="0.2">
      <c r="A9009" s="18"/>
      <c r="B9009" s="18"/>
      <c r="C9009" s="18"/>
      <c r="D9009" s="18"/>
      <c r="E9009" s="18"/>
      <c r="F9009" s="18"/>
      <c r="G9009" s="18"/>
      <c r="H9009" s="18"/>
      <c r="I9009" s="18"/>
      <c r="J9009" s="18"/>
      <c r="K9009" s="18"/>
      <c r="L9009" s="18"/>
      <c r="M9009" s="18"/>
      <c r="N9009" s="18"/>
      <c r="O9009" s="14" t="str">
        <f>HYPERLINK("https://otsuka-europe-crm.veevavault.com/ui/#object/email_activity__v/V8C00000003U452", "EN-002095750")</f>
        <v>EN-002095750</v>
      </c>
    </row>
    <row r="9010" spans="1:15" ht="16" x14ac:dyDescent="0.2">
      <c r="A9010" s="18"/>
      <c r="B9010" s="18"/>
      <c r="C9010" s="18"/>
      <c r="D9010" s="18"/>
      <c r="E9010" s="18"/>
      <c r="F9010" s="18"/>
      <c r="G9010" s="18"/>
      <c r="H9010" s="18"/>
      <c r="I9010" s="18"/>
      <c r="J9010" s="18"/>
      <c r="K9010" s="18"/>
      <c r="L9010" s="18"/>
      <c r="M9010" s="18"/>
      <c r="N9010" s="18"/>
      <c r="O9010" s="14" t="str">
        <f>HYPERLINK("https://otsuka-europe-crm.veevavault.com/ui/#object/email_activity__v/V8C00000003U782", "EN-002096481")</f>
        <v>EN-002096481</v>
      </c>
    </row>
    <row r="9011" spans="1:15" ht="16" x14ac:dyDescent="0.2">
      <c r="A9011" s="18"/>
      <c r="B9011" s="18"/>
      <c r="C9011" s="18"/>
      <c r="D9011" s="18"/>
      <c r="E9011" s="18"/>
      <c r="F9011" s="18"/>
      <c r="G9011" s="18"/>
      <c r="H9011" s="18"/>
      <c r="I9011" s="18"/>
      <c r="J9011" s="18"/>
      <c r="K9011" s="18"/>
      <c r="L9011" s="18"/>
      <c r="M9011" s="18"/>
      <c r="N9011" s="18"/>
      <c r="O9011" s="14" t="str">
        <f>HYPERLINK("https://otsuka-europe-crm.veevavault.com/ui/#object/email_activity__v/V8C00000003V137", "EN-002095065")</f>
        <v>EN-002095065</v>
      </c>
    </row>
    <row r="9012" spans="1:15" ht="16" x14ac:dyDescent="0.2">
      <c r="A9012" s="19"/>
      <c r="B9012" s="19"/>
      <c r="C9012" s="19"/>
      <c r="D9012" s="19"/>
      <c r="E9012" s="19"/>
      <c r="F9012" s="19"/>
      <c r="G9012" s="19"/>
      <c r="H9012" s="19"/>
      <c r="I9012" s="19"/>
      <c r="J9012" s="19"/>
      <c r="K9012" s="19"/>
      <c r="L9012" s="19"/>
      <c r="M9012" s="19"/>
      <c r="N9012" s="19"/>
      <c r="O9012" s="14" t="str">
        <f>HYPERLINK("https://otsuka-europe-crm.veevavault.com/ui/#object/email_activity__v/V8C00000003V884", "EN-002096479")</f>
        <v>EN-002096479</v>
      </c>
    </row>
    <row r="9013" spans="1:15" ht="16" x14ac:dyDescent="0.2">
      <c r="A9013" s="17" t="str">
        <f>HYPERLINK("https://otsuka-europe-crm.veevavault.com/ui/#object/account__v/V4TZ025E86Z5QQS", "ANDRES PELETEIRO RAINDO")</f>
        <v>ANDRES PELETEIRO RAINDO</v>
      </c>
      <c r="B9013" s="17" t="str">
        <f>HYPERLINK("https://otsuka-europe-crm.veevavault.com/ui/#object/vcountry__v/VENZ000004SONF5", "ES")</f>
        <v>ES</v>
      </c>
      <c r="C9013" s="20" t="s">
        <v>41</v>
      </c>
      <c r="D9013" s="21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9013" s="22" t="str">
        <f>HYPERLINK("https://otsuka-europe-crm.veevavault.com/ui/#object/sent_email__v/VBL00000002U041", "SE-001435685")</f>
        <v>SE-001435685</v>
      </c>
      <c r="F9013" s="25"/>
      <c r="G9013" s="24">
        <v>0</v>
      </c>
      <c r="H9013" s="24">
        <v>0</v>
      </c>
      <c r="I9013" s="24">
        <v>0</v>
      </c>
      <c r="J9013" s="25"/>
      <c r="K9013" s="24">
        <v>0</v>
      </c>
      <c r="L9013" s="22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9013" s="22" t="str">
        <f>HYPERLINK("mailto:sruizlemos@crm.otsuka-europe.com", "sruizlemos@crm.otsuka-europe.com")</f>
        <v>sruizlemos@crm.otsuka-europe.com</v>
      </c>
      <c r="N9013" s="23">
        <v>46185.314039351855</v>
      </c>
      <c r="O9013" s="14" t="str">
        <f>HYPERLINK("https://otsuka-europe-crm.veevavault.com/ui/#object/email_activity__v/V8C00000003U099", "EN-002095044")</f>
        <v>EN-002095044</v>
      </c>
    </row>
    <row r="9014" spans="1:15" ht="16" x14ac:dyDescent="0.2">
      <c r="A9014" s="19"/>
      <c r="B9014" s="19"/>
      <c r="C9014" s="19"/>
      <c r="D9014" s="19"/>
      <c r="E9014" s="19"/>
      <c r="F9014" s="19"/>
      <c r="G9014" s="19"/>
      <c r="H9014" s="19"/>
      <c r="I9014" s="19"/>
      <c r="J9014" s="19"/>
      <c r="K9014" s="19"/>
      <c r="L9014" s="19"/>
      <c r="M9014" s="19"/>
      <c r="N9014" s="19"/>
      <c r="O9014" s="14" t="str">
        <f>HYPERLINK("https://otsuka-europe-crm.veevavault.com/ui/#object/email_activity__v/V8C00000003U369", "EN-002095602")</f>
        <v>EN-002095602</v>
      </c>
    </row>
    <row r="9015" spans="1:15" ht="64" x14ac:dyDescent="0.2">
      <c r="A9015" s="7" t="str">
        <f>HYPERLINK("https://otsuka-europe-crm.veevavault.com/ui/#object/account__v/V4TZ025E84E05KQ", "CARLOS ULIBARRENA REDONDO")</f>
        <v>CARLOS ULIBARRENA REDONDO</v>
      </c>
      <c r="B9015" s="7" t="str">
        <f>HYPERLINK("https://otsuka-europe-crm.veevavault.com/ui/#object/vcountry__v/VENZ000004SONF5", "ES")</f>
        <v>ES</v>
      </c>
      <c r="C9015" s="8" t="s">
        <v>41</v>
      </c>
      <c r="D9015" s="9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9015" s="10" t="str">
        <f>HYPERLINK("https://otsuka-europe-crm.veevavault.com/ui/#object/sent_email__v/VBL00000002U042", "SE-001435686")</f>
        <v>SE-001435686</v>
      </c>
      <c r="F9015" s="11"/>
      <c r="G9015" s="12">
        <v>0</v>
      </c>
      <c r="H9015" s="12">
        <v>0</v>
      </c>
      <c r="I9015" s="12">
        <v>0</v>
      </c>
      <c r="J9015" s="11"/>
      <c r="K9015" s="12">
        <v>0</v>
      </c>
      <c r="L9015" s="10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9015" s="10" t="str">
        <f>HYPERLINK("mailto:sruizlemos@crm.otsuka-europe.com", "sruizlemos@crm.otsuka-europe.com")</f>
        <v>sruizlemos@crm.otsuka-europe.com</v>
      </c>
      <c r="N9015" s="13">
        <v>46185.314039351855</v>
      </c>
      <c r="O9015" s="14" t="str">
        <f>HYPERLINK("https://otsuka-europe-crm.veevavault.com/ui/#object/email_activity__v/V8C00000003U104", "EN-002095049")</f>
        <v>EN-002095049</v>
      </c>
    </row>
    <row r="9016" spans="1:15" ht="64" x14ac:dyDescent="0.2">
      <c r="A9016" s="7" t="str">
        <f>HYPERLINK("https://otsuka-europe-crm.veevavault.com/ui/#object/account__v/V4T00000001W160", "MARIA PEREIRO SANCHEZ")</f>
        <v>MARIA PEREIRO SANCHEZ</v>
      </c>
      <c r="B9016" s="7" t="str">
        <f>HYPERLINK("https://otsuka-europe-crm.veevavault.com/ui/#object/vcountry__v/VENZ000004SONF5", "ES")</f>
        <v>ES</v>
      </c>
      <c r="C9016" s="8" t="s">
        <v>41</v>
      </c>
      <c r="D9016" s="9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9016" s="10" t="str">
        <f>HYPERLINK("https://otsuka-europe-crm.veevavault.com/ui/#object/sent_email__v/VBL00000002U043", "SE-001435687")</f>
        <v>SE-001435687</v>
      </c>
      <c r="F9016" s="11"/>
      <c r="G9016" s="12">
        <v>0</v>
      </c>
      <c r="H9016" s="12">
        <v>0</v>
      </c>
      <c r="I9016" s="12">
        <v>0</v>
      </c>
      <c r="J9016" s="11"/>
      <c r="K9016" s="12">
        <v>0</v>
      </c>
      <c r="L9016" s="10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9016" s="10" t="str">
        <f>HYPERLINK("mailto:sruizlemos@crm.otsuka-europe.com", "sruizlemos@crm.otsuka-europe.com")</f>
        <v>sruizlemos@crm.otsuka-europe.com</v>
      </c>
      <c r="N9016" s="13">
        <v>46185.314039351855</v>
      </c>
      <c r="O9016" s="14" t="str">
        <f>HYPERLINK("https://otsuka-europe-crm.veevavault.com/ui/#object/email_activity__v/V8C00000003U109", "EN-002095062")</f>
        <v>EN-002095062</v>
      </c>
    </row>
    <row r="9017" spans="1:15" ht="16" x14ac:dyDescent="0.2">
      <c r="A9017" s="17" t="str">
        <f>HYPERLINK("https://otsuka-europe-crm.veevavault.com/ui/#object/account__v/V4TZ025E85XAQ2N", "AINHOA FERNANDEZ MORENO")</f>
        <v>AINHOA FERNANDEZ MORENO</v>
      </c>
      <c r="B9017" s="17" t="str">
        <f>HYPERLINK("https://otsuka-europe-crm.veevavault.com/ui/#object/vcountry__v/VENZ000004SONF5", "ES")</f>
        <v>ES</v>
      </c>
      <c r="C9017" s="20" t="s">
        <v>41</v>
      </c>
      <c r="D9017" s="21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9017" s="22" t="str">
        <f>HYPERLINK("https://otsuka-europe-crm.veevavault.com/ui/#object/sent_email__v/VBL00000002U044", "SE-001435688")</f>
        <v>SE-001435688</v>
      </c>
      <c r="F9017" s="25"/>
      <c r="G9017" s="24">
        <v>0</v>
      </c>
      <c r="H9017" s="24">
        <v>0</v>
      </c>
      <c r="I9017" s="24">
        <v>0</v>
      </c>
      <c r="J9017" s="25"/>
      <c r="K9017" s="24">
        <v>0</v>
      </c>
      <c r="L9017" s="22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9017" s="22" t="str">
        <f>HYPERLINK("mailto:sruizlemos@crm.otsuka-europe.com", "sruizlemos@crm.otsuka-europe.com")</f>
        <v>sruizlemos@crm.otsuka-europe.com</v>
      </c>
      <c r="N9017" s="23">
        <v>46185.314039351855</v>
      </c>
      <c r="O9017" s="14" t="str">
        <f>HYPERLINK("https://otsuka-europe-crm.veevavault.com/ui/#object/email_activity__v/V8C00000003U107", "EN-002095060")</f>
        <v>EN-002095060</v>
      </c>
    </row>
    <row r="9018" spans="1:15" ht="16" x14ac:dyDescent="0.2">
      <c r="A9018" s="19"/>
      <c r="B9018" s="19"/>
      <c r="C9018" s="19"/>
      <c r="D9018" s="19"/>
      <c r="E9018" s="19"/>
      <c r="F9018" s="19"/>
      <c r="G9018" s="19"/>
      <c r="H9018" s="19"/>
      <c r="I9018" s="19"/>
      <c r="J9018" s="19"/>
      <c r="K9018" s="19"/>
      <c r="L9018" s="19"/>
      <c r="M9018" s="19"/>
      <c r="N9018" s="19"/>
      <c r="O9018" s="14" t="str">
        <f>HYPERLINK("https://otsuka-europe-crm.veevavault.com/ui/#object/email_activity__v/V8C00000003V339", "EN-002095471")</f>
        <v>EN-002095471</v>
      </c>
    </row>
    <row r="9019" spans="1:15" ht="64" x14ac:dyDescent="0.2">
      <c r="A9019" s="7" t="str">
        <f>HYPERLINK("https://otsuka-europe-crm.veevavault.com/ui/#object/account__v/V4TZ06G6O71SCRY", "GIANLUIGI ZAZA")</f>
        <v>GIANLUIGI ZAZA</v>
      </c>
      <c r="B9019" s="7" t="str">
        <f>HYPERLINK("https://otsuka-europe-crm.veevavault.com/ui/#object/vcountry__v/VENZ000004SONFQ", "IT")</f>
        <v>IT</v>
      </c>
      <c r="C9019" s="8" t="s">
        <v>44</v>
      </c>
      <c r="D9019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9019" s="10" t="str">
        <f>HYPERLINK("https://otsuka-europe-crm.veevavault.com/ui/#object/sent_email__v/VBL00000002T128", "SE-001435689")</f>
        <v>SE-001435689</v>
      </c>
      <c r="F9019" s="11"/>
      <c r="G9019" s="12">
        <v>0</v>
      </c>
      <c r="H9019" s="12">
        <v>0</v>
      </c>
      <c r="I9019" s="12">
        <v>0</v>
      </c>
      <c r="J9019" s="11"/>
      <c r="K9019" s="12">
        <v>0</v>
      </c>
      <c r="L9019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9019" s="10" t="str">
        <f>HYPERLINK("mailto:giada.camassa@outsuka.it", "giada.camassa@outsuka.it")</f>
        <v>giada.camassa@outsuka.it</v>
      </c>
      <c r="N9019" s="13">
        <v>46185.401898148149</v>
      </c>
      <c r="O9019" s="14" t="str">
        <f>HYPERLINK("https://otsuka-europe-crm.veevavault.com/ui/#object/email_activity__v/V8C00000003U164", "EN-002095190")</f>
        <v>EN-002095190</v>
      </c>
    </row>
    <row r="9020" spans="1:15" ht="64" x14ac:dyDescent="0.2">
      <c r="A9020" s="7" t="str">
        <f>HYPERLINK("https://otsuka-europe-crm.veevavault.com/ui/#object/account__v/V4TZ04ASGC2KJUQ", "CINZIA ZACCHEO")</f>
        <v>CINZIA ZACCHEO</v>
      </c>
      <c r="B9020" s="7" t="str">
        <f>HYPERLINK("https://otsuka-europe-crm.veevavault.com/ui/#object/vcountry__v/VENZ000004SONFQ", "IT")</f>
        <v>IT</v>
      </c>
      <c r="C9020" s="8" t="s">
        <v>44</v>
      </c>
      <c r="D9020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9020" s="10" t="str">
        <f>HYPERLINK("https://otsuka-europe-crm.veevavault.com/ui/#object/sent_email__v/VBL00000002U045", "SE-001435690")</f>
        <v>SE-001435690</v>
      </c>
      <c r="F9020" s="11"/>
      <c r="G9020" s="12">
        <v>0</v>
      </c>
      <c r="H9020" s="12">
        <v>0</v>
      </c>
      <c r="I9020" s="12">
        <v>0</v>
      </c>
      <c r="J9020" s="11"/>
      <c r="K9020" s="12">
        <v>0</v>
      </c>
      <c r="L9020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9020" s="10" t="str">
        <f>HYPERLINK("mailto:giada.camassa@outsuka.it", "giada.camassa@outsuka.it")</f>
        <v>giada.camassa@outsuka.it</v>
      </c>
      <c r="N9020" s="13">
        <v>46185.402280092596</v>
      </c>
      <c r="O9020" s="14" t="str">
        <f>HYPERLINK("https://otsuka-europe-crm.veevavault.com/ui/#object/email_activity__v/V8C00000003U167", "EN-002095193")</f>
        <v>EN-002095193</v>
      </c>
    </row>
    <row r="9021" spans="1:15" ht="64" x14ac:dyDescent="0.2">
      <c r="A9021" s="7" t="str">
        <f>HYPERLINK("https://otsuka-europe-crm.veevavault.com/ui/#object/account__v/V4TZ04ASGDP37EF", "VALENTINA VARRIANO")</f>
        <v>VALENTINA VARRIANO</v>
      </c>
      <c r="B9021" s="7" t="str">
        <f>HYPERLINK("https://otsuka-europe-crm.veevavault.com/ui/#object/vcountry__v/VENZ000004SONFQ", "IT")</f>
        <v>IT</v>
      </c>
      <c r="C9021" s="8" t="s">
        <v>44</v>
      </c>
      <c r="D9021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9021" s="10" t="str">
        <f>HYPERLINK("https://otsuka-europe-crm.veevavault.com/ui/#object/sent_email__v/VBL00000002U046", "SE-001435691")</f>
        <v>SE-001435691</v>
      </c>
      <c r="F9021" s="11"/>
      <c r="G9021" s="12">
        <v>0</v>
      </c>
      <c r="H9021" s="12">
        <v>0</v>
      </c>
      <c r="I9021" s="12">
        <v>0</v>
      </c>
      <c r="J9021" s="11"/>
      <c r="K9021" s="12">
        <v>0</v>
      </c>
      <c r="L9021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9021" s="10" t="str">
        <f>HYPERLINK("mailto:giada.camassa@outsuka.it", "giada.camassa@outsuka.it")</f>
        <v>giada.camassa@outsuka.it</v>
      </c>
      <c r="N9021" s="13">
        <v>46185.402303240742</v>
      </c>
      <c r="O9021" s="14" t="str">
        <f>HYPERLINK("https://otsuka-europe-crm.veevavault.com/ui/#object/email_activity__v/V8C00000003U168", "EN-002095194")</f>
        <v>EN-002095194</v>
      </c>
    </row>
    <row r="9022" spans="1:15" ht="16" x14ac:dyDescent="0.2">
      <c r="A9022" s="17" t="str">
        <f>HYPERLINK("https://otsuka-europe-crm.veevavault.com/ui/#object/account__v/V4TZ025E85T5EAQ", "VALENTINA VAIARELLO")</f>
        <v>VALENTINA VAIARELLO</v>
      </c>
      <c r="B9022" s="17" t="str">
        <f>HYPERLINK("https://otsuka-europe-crm.veevavault.com/ui/#object/vcountry__v/VENZ000004SONFQ", "IT")</f>
        <v>IT</v>
      </c>
      <c r="C9022" s="20" t="s">
        <v>44</v>
      </c>
      <c r="D9022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9022" s="22" t="str">
        <f>HYPERLINK("https://otsuka-europe-crm.veevavault.com/ui/#object/sent_email__v/VBL00000002U047", "SE-001435692")</f>
        <v>SE-001435692</v>
      </c>
      <c r="F9022" s="23">
        <v>46185.403067129628</v>
      </c>
      <c r="G9022" s="24">
        <v>1</v>
      </c>
      <c r="H9022" s="24">
        <v>1</v>
      </c>
      <c r="I9022" s="24">
        <v>0</v>
      </c>
      <c r="J9022" s="25"/>
      <c r="K9022" s="24">
        <v>0</v>
      </c>
      <c r="L9022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9022" s="22" t="str">
        <f>HYPERLINK("mailto:giada.camassa@outsuka.it", "giada.camassa@outsuka.it")</f>
        <v>giada.camassa@outsuka.it</v>
      </c>
      <c r="N9022" s="23">
        <v>46185.402951388889</v>
      </c>
      <c r="O9022" s="14" t="str">
        <f>HYPERLINK("https://otsuka-europe-crm.veevavault.com/ui/#object/email_activity__v/V8C00000003U169", "EN-002095195")</f>
        <v>EN-002095195</v>
      </c>
    </row>
    <row r="9023" spans="1:15" ht="16" x14ac:dyDescent="0.2">
      <c r="A9023" s="19"/>
      <c r="B9023" s="19"/>
      <c r="C9023" s="19"/>
      <c r="D9023" s="19"/>
      <c r="E9023" s="19"/>
      <c r="F9023" s="19"/>
      <c r="G9023" s="19"/>
      <c r="H9023" s="19"/>
      <c r="I9023" s="19"/>
      <c r="J9023" s="19"/>
      <c r="K9023" s="19"/>
      <c r="L9023" s="19"/>
      <c r="M9023" s="19"/>
      <c r="N9023" s="19"/>
      <c r="O9023" s="14" t="str">
        <f>HYPERLINK("https://otsuka-europe-crm.veevavault.com/ui/#object/email_activity__v/V8C00000003U170", "EN-002095196")</f>
        <v>EN-002095196</v>
      </c>
    </row>
    <row r="9024" spans="1:15" ht="16" x14ac:dyDescent="0.2">
      <c r="A9024" s="17" t="str">
        <f>HYPERLINK("https://otsuka-europe-crm.veevavault.com/ui/#object/account__v/V4TZ04ASGBC5XTF", "MARTA VADACCA")</f>
        <v>MARTA VADACCA</v>
      </c>
      <c r="B9024" s="17" t="str">
        <f>HYPERLINK("https://otsuka-europe-crm.veevavault.com/ui/#object/vcountry__v/VENZ000004SONFQ", "IT")</f>
        <v>IT</v>
      </c>
      <c r="C9024" s="20" t="s">
        <v>44</v>
      </c>
      <c r="D9024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9024" s="22" t="str">
        <f>HYPERLINK("https://otsuka-europe-crm.veevavault.com/ui/#object/sent_email__v/VBL00000002U048", "SE-001435693")</f>
        <v>SE-001435693</v>
      </c>
      <c r="F9024" s="23">
        <v>46185.619884259257</v>
      </c>
      <c r="G9024" s="24">
        <v>1</v>
      </c>
      <c r="H9024" s="24">
        <v>1</v>
      </c>
      <c r="I9024" s="24">
        <v>0</v>
      </c>
      <c r="J9024" s="25"/>
      <c r="K9024" s="24">
        <v>0</v>
      </c>
      <c r="L9024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9024" s="22" t="str">
        <f>HYPERLINK("mailto:giada.camassa@outsuka.it", "giada.camassa@outsuka.it")</f>
        <v>giada.camassa@outsuka.it</v>
      </c>
      <c r="N9024" s="23">
        <v>46185.403263888889</v>
      </c>
      <c r="O9024" s="14" t="str">
        <f>HYPERLINK("https://otsuka-europe-crm.veevavault.com/ui/#object/email_activity__v/V8C00000003U331", "EN-002095497")</f>
        <v>EN-002095497</v>
      </c>
    </row>
    <row r="9025" spans="1:15" ht="16" x14ac:dyDescent="0.2">
      <c r="A9025" s="19"/>
      <c r="B9025" s="19"/>
      <c r="C9025" s="19"/>
      <c r="D9025" s="19"/>
      <c r="E9025" s="19"/>
      <c r="F9025" s="19"/>
      <c r="G9025" s="19"/>
      <c r="H9025" s="19"/>
      <c r="I9025" s="19"/>
      <c r="J9025" s="19"/>
      <c r="K9025" s="19"/>
      <c r="L9025" s="19"/>
      <c r="M9025" s="19"/>
      <c r="N9025" s="19"/>
      <c r="O9025" s="14" t="str">
        <f>HYPERLINK("https://otsuka-europe-crm.veevavault.com/ui/#object/email_activity__v/V8C00000003V209", "EN-002095197")</f>
        <v>EN-002095197</v>
      </c>
    </row>
    <row r="9026" spans="1:15" ht="64" x14ac:dyDescent="0.2">
      <c r="A9026" s="7" t="str">
        <f>HYPERLINK("https://otsuka-europe-crm.veevavault.com/ui/#object/account__v/V4TZ04ASGBC5Z54", "SIMONA TRUGLIA")</f>
        <v>SIMONA TRUGLIA</v>
      </c>
      <c r="B9026" s="7" t="str">
        <f>HYPERLINK("https://otsuka-europe-crm.veevavault.com/ui/#object/vcountry__v/VENZ000004SONFQ", "IT")</f>
        <v>IT</v>
      </c>
      <c r="C9026" s="8" t="s">
        <v>44</v>
      </c>
      <c r="D9026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9026" s="10" t="str">
        <f>HYPERLINK("https://otsuka-europe-crm.veevavault.com/ui/#object/sent_email__v/VBL00000002U049", "SE-001435694")</f>
        <v>SE-001435694</v>
      </c>
      <c r="F9026" s="11"/>
      <c r="G9026" s="12">
        <v>0</v>
      </c>
      <c r="H9026" s="12">
        <v>0</v>
      </c>
      <c r="I9026" s="12">
        <v>0</v>
      </c>
      <c r="J9026" s="11"/>
      <c r="K9026" s="12">
        <v>0</v>
      </c>
      <c r="L9026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9026" s="10" t="str">
        <f>HYPERLINK("mailto:giada.camassa@outsuka.it", "giada.camassa@outsuka.it")</f>
        <v>giada.camassa@outsuka.it</v>
      </c>
      <c r="N9026" s="13">
        <v>46185.403368055559</v>
      </c>
      <c r="O9026" s="14" t="str">
        <f>HYPERLINK("https://otsuka-europe-crm.veevavault.com/ui/#object/email_activity__v/V8C00000003V210", "EN-002095198")</f>
        <v>EN-002095198</v>
      </c>
    </row>
    <row r="9027" spans="1:15" ht="64" x14ac:dyDescent="0.2">
      <c r="A9027" s="7" t="str">
        <f>HYPERLINK("https://otsuka-europe-crm.veevavault.com/ui/#object/account__v/V4TZ025E85APNME", "LUIGI TROTTA")</f>
        <v>LUIGI TROTTA</v>
      </c>
      <c r="B9027" s="7" t="str">
        <f>HYPERLINK("https://otsuka-europe-crm.veevavault.com/ui/#object/vcountry__v/VENZ000004SONFQ", "IT")</f>
        <v>IT</v>
      </c>
      <c r="C9027" s="8" t="s">
        <v>44</v>
      </c>
      <c r="D9027" s="9" t="str">
        <f>HYPERLINK("https://otsuka-europe-crm.veevavault.com/ui/#object/approved_document__v/V5O00000000G060", "AE - AGGIORNAMENTI SEZIONE APPROFONDIMENTI IMMUNO IT-NPR-2500150")</f>
        <v>AE - AGGIORNAMENTI SEZIONE APPROFONDIMENTI IMMUNO IT-NPR-2500150</v>
      </c>
      <c r="E9027" s="10" t="str">
        <f>HYPERLINK("https://otsuka-europe-crm.veevavault.com/ui/#object/sent_email__v/VBL00000002U050", "SE-001435695")</f>
        <v>SE-001435695</v>
      </c>
      <c r="F9027" s="11"/>
      <c r="G9027" s="12">
        <v>0</v>
      </c>
      <c r="H9027" s="12">
        <v>0</v>
      </c>
      <c r="I9027" s="12">
        <v>0</v>
      </c>
      <c r="J9027" s="11"/>
      <c r="K9027" s="12">
        <v>0</v>
      </c>
      <c r="L9027" s="10" t="str">
        <f>HYPERLINK("https://otsuka-europe-crm.veevavault.com/ui/#object/approved_document__v/V5O00000000G060", "AE - AGGIORNAMENTI SEZIONE APPROFONDIMENTI IMMUNO IT-NPR-2500150")</f>
        <v>AE - AGGIORNAMENTI SEZIONE APPROFONDIMENTI IMMUNO IT-NPR-2500150</v>
      </c>
      <c r="M9027" s="10" t="str">
        <f>HYPERLINK("mailto:giada.camassa@outsuka.it", "giada.camassa@outsuka.it")</f>
        <v>giada.camassa@outsuka.it</v>
      </c>
      <c r="N9027" s="13">
        <v>46185.403611111113</v>
      </c>
      <c r="O9027" s="14" t="str">
        <f>HYPERLINK("https://otsuka-europe-crm.veevavault.com/ui/#object/email_activity__v/V8C00000003U171", "EN-002095199")</f>
        <v>EN-002095199</v>
      </c>
    </row>
    <row r="9028" spans="1:15" ht="64" x14ac:dyDescent="0.2">
      <c r="A9028" s="7" t="str">
        <f>HYPERLINK("https://otsuka-europe-crm.veevavault.com/ui/#object/account__v/V4TZ025E86G9ZR5", "MASSIMO TRIGGIANI")</f>
        <v>MASSIMO TRIGGIANI</v>
      </c>
      <c r="B9028" s="7" t="str">
        <f>HYPERLINK("https://otsuka-europe-crm.veevavault.com/ui/#object/vcountry__v/VENZ000004SONFQ", "IT")</f>
        <v>IT</v>
      </c>
      <c r="C9028" s="8" t="s">
        <v>44</v>
      </c>
      <c r="D9028" s="9" t="str">
        <f>HYPERLINK("https://otsuka-europe-crm.veevavault.com/ui/#object/approved_document__v/V5O00000000G060", "AE - AGGIORNAMENTI SEZIONE APPROFONDIMENTI IMMUNO IT-NPR-2500150")</f>
        <v>AE - AGGIORNAMENTI SEZIONE APPROFONDIMENTI IMMUNO IT-NPR-2500150</v>
      </c>
      <c r="E9028" s="10" t="str">
        <f>HYPERLINK("https://otsuka-europe-crm.veevavault.com/ui/#object/sent_email__v/VBL00000002U051", "SE-001435696")</f>
        <v>SE-001435696</v>
      </c>
      <c r="F9028" s="11"/>
      <c r="G9028" s="12">
        <v>0</v>
      </c>
      <c r="H9028" s="12">
        <v>0</v>
      </c>
      <c r="I9028" s="12">
        <v>0</v>
      </c>
      <c r="J9028" s="11"/>
      <c r="K9028" s="12">
        <v>0</v>
      </c>
      <c r="L9028" s="10" t="str">
        <f>HYPERLINK("https://otsuka-europe-crm.veevavault.com/ui/#object/approved_document__v/V5O00000000G060", "AE - AGGIORNAMENTI SEZIONE APPROFONDIMENTI IMMUNO IT-NPR-2500150")</f>
        <v>AE - AGGIORNAMENTI SEZIONE APPROFONDIMENTI IMMUNO IT-NPR-2500150</v>
      </c>
      <c r="M9028" s="10" t="str">
        <f>HYPERLINK("mailto:giada.camassa@outsuka.it", "giada.camassa@outsuka.it")</f>
        <v>giada.camassa@outsuka.it</v>
      </c>
      <c r="N9028" s="13">
        <v>46185.403692129628</v>
      </c>
      <c r="O9028" s="14" t="str">
        <f>HYPERLINK("https://otsuka-europe-crm.veevavault.com/ui/#object/email_activity__v/V8C00000003U172", "EN-002095200")</f>
        <v>EN-002095200</v>
      </c>
    </row>
    <row r="9029" spans="1:15" ht="64" x14ac:dyDescent="0.2">
      <c r="A9029" s="7" t="str">
        <f>HYPERLINK("https://otsuka-europe-crm.veevavault.com/ui/#object/account__v/V4TZ04ASGETFFW9", "PAOLA TRIGGIANESE")</f>
        <v>PAOLA TRIGGIANESE</v>
      </c>
      <c r="B9029" s="7" t="str">
        <f>HYPERLINK("https://otsuka-europe-crm.veevavault.com/ui/#object/vcountry__v/VENZ000004SONFQ", "IT")</f>
        <v>IT</v>
      </c>
      <c r="C9029" s="8" t="s">
        <v>44</v>
      </c>
      <c r="D9029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9029" s="10" t="str">
        <f>HYPERLINK("https://otsuka-europe-crm.veevavault.com/ui/#object/sent_email__v/VBL00000002U052", "SE-001435697")</f>
        <v>SE-001435697</v>
      </c>
      <c r="F9029" s="11"/>
      <c r="G9029" s="12">
        <v>0</v>
      </c>
      <c r="H9029" s="12">
        <v>0</v>
      </c>
      <c r="I9029" s="12">
        <v>0</v>
      </c>
      <c r="J9029" s="11"/>
      <c r="K9029" s="12">
        <v>0</v>
      </c>
      <c r="L9029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9029" s="10" t="str">
        <f>HYPERLINK("mailto:giada.camassa@outsuka.it", "giada.camassa@outsuka.it")</f>
        <v>giada.camassa@outsuka.it</v>
      </c>
      <c r="N9029" s="13">
        <v>46185.403993055559</v>
      </c>
      <c r="O9029" s="14" t="str">
        <f>HYPERLINK("https://otsuka-europe-crm.veevavault.com/ui/#object/email_activity__v/V8C00000003U173", "EN-002095201")</f>
        <v>EN-002095201</v>
      </c>
    </row>
    <row r="9030" spans="1:15" ht="16" x14ac:dyDescent="0.2">
      <c r="A9030" s="17" t="str">
        <f>HYPERLINK("https://otsuka-europe-crm.veevavault.com/ui/#object/account__v/V4TZ06G6O71S9E9", "FRANCESCO TREPICCIONE")</f>
        <v>FRANCESCO TREPICCIONE</v>
      </c>
      <c r="B9030" s="17" t="str">
        <f>HYPERLINK("https://otsuka-europe-crm.veevavault.com/ui/#object/vcountry__v/VENZ000004SONFQ", "IT")</f>
        <v>IT</v>
      </c>
      <c r="C9030" s="20" t="s">
        <v>44</v>
      </c>
      <c r="D9030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9030" s="22" t="str">
        <f>HYPERLINK("https://otsuka-europe-crm.veevavault.com/ui/#object/sent_email__v/VBL00000002U053", "SE-001435698")</f>
        <v>SE-001435698</v>
      </c>
      <c r="F9030" s="23">
        <v>46185.40420138889</v>
      </c>
      <c r="G9030" s="24">
        <v>1</v>
      </c>
      <c r="H9030" s="24">
        <v>1</v>
      </c>
      <c r="I9030" s="24">
        <v>0</v>
      </c>
      <c r="J9030" s="25"/>
      <c r="K9030" s="24">
        <v>0</v>
      </c>
      <c r="L9030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9030" s="22" t="str">
        <f>HYPERLINK("mailto:giada.camassa@outsuka.it", "giada.camassa@outsuka.it")</f>
        <v>giada.camassa@outsuka.it</v>
      </c>
      <c r="N9030" s="23">
        <v>46185.404074074075</v>
      </c>
      <c r="O9030" s="14" t="str">
        <f>HYPERLINK("https://otsuka-europe-crm.veevavault.com/ui/#object/email_activity__v/V8C00000003V211", "EN-002095202")</f>
        <v>EN-002095202</v>
      </c>
    </row>
    <row r="9031" spans="1:15" ht="16" x14ac:dyDescent="0.2">
      <c r="A9031" s="19"/>
      <c r="B9031" s="19"/>
      <c r="C9031" s="19"/>
      <c r="D9031" s="19"/>
      <c r="E9031" s="19"/>
      <c r="F9031" s="19"/>
      <c r="G9031" s="19"/>
      <c r="H9031" s="19"/>
      <c r="I9031" s="19"/>
      <c r="J9031" s="19"/>
      <c r="K9031" s="19"/>
      <c r="L9031" s="19"/>
      <c r="M9031" s="19"/>
      <c r="N9031" s="19"/>
      <c r="O9031" s="14" t="str">
        <f>HYPERLINK("https://otsuka-europe-crm.veevavault.com/ui/#object/email_activity__v/V8C00000003V212", "EN-002095203")</f>
        <v>EN-002095203</v>
      </c>
    </row>
    <row r="9032" spans="1:15" ht="16" x14ac:dyDescent="0.2">
      <c r="A9032" s="17" t="str">
        <f>HYPERLINK("https://otsuka-europe-crm.veevavault.com/ui/#object/account__v/V4TZ04ASGB4OGIS", "ENRICO TIRRI")</f>
        <v>ENRICO TIRRI</v>
      </c>
      <c r="B9032" s="17" t="str">
        <f>HYPERLINK("https://otsuka-europe-crm.veevavault.com/ui/#object/vcountry__v/VENZ000004SONFQ", "IT")</f>
        <v>IT</v>
      </c>
      <c r="C9032" s="20" t="s">
        <v>44</v>
      </c>
      <c r="D9032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9032" s="22" t="str">
        <f>HYPERLINK("https://otsuka-europe-crm.veevavault.com/ui/#object/sent_email__v/VBL00000002U054", "SE-001435699")</f>
        <v>SE-001435699</v>
      </c>
      <c r="F9032" s="23">
        <v>46185.40457175926</v>
      </c>
      <c r="G9032" s="24">
        <v>1</v>
      </c>
      <c r="H9032" s="24">
        <v>1</v>
      </c>
      <c r="I9032" s="24">
        <v>0</v>
      </c>
      <c r="J9032" s="25"/>
      <c r="K9032" s="24">
        <v>0</v>
      </c>
      <c r="L9032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9032" s="22" t="str">
        <f>HYPERLINK("mailto:giada.camassa@outsuka.it", "giada.camassa@outsuka.it")</f>
        <v>giada.camassa@outsuka.it</v>
      </c>
      <c r="N9032" s="23">
        <v>46185.404317129629</v>
      </c>
      <c r="O9032" s="14" t="str">
        <f>HYPERLINK("https://otsuka-europe-crm.veevavault.com/ui/#object/email_activity__v/V8C00000003U174", "EN-002095204")</f>
        <v>EN-002095204</v>
      </c>
    </row>
    <row r="9033" spans="1:15" ht="16" x14ac:dyDescent="0.2">
      <c r="A9033" s="19"/>
      <c r="B9033" s="19"/>
      <c r="C9033" s="19"/>
      <c r="D9033" s="19"/>
      <c r="E9033" s="19"/>
      <c r="F9033" s="19"/>
      <c r="G9033" s="19"/>
      <c r="H9033" s="19"/>
      <c r="I9033" s="19"/>
      <c r="J9033" s="19"/>
      <c r="K9033" s="19"/>
      <c r="L9033" s="19"/>
      <c r="M9033" s="19"/>
      <c r="N9033" s="19"/>
      <c r="O9033" s="14" t="str">
        <f>HYPERLINK("https://otsuka-europe-crm.veevavault.com/ui/#object/email_activity__v/V8C00000003U175", "EN-002095206")</f>
        <v>EN-002095206</v>
      </c>
    </row>
    <row r="9034" spans="1:15" ht="16" x14ac:dyDescent="0.2">
      <c r="A9034" s="17" t="str">
        <f>HYPERLINK("https://otsuka-europe-crm.veevavault.com/ui/#object/account__v/V4TZ06G6O71SCJN", "PAOLA TATANGELO")</f>
        <v>PAOLA TATANGELO</v>
      </c>
      <c r="B9034" s="17" t="str">
        <f>HYPERLINK("https://otsuka-europe-crm.veevavault.com/ui/#object/vcountry__v/VENZ000004SONFQ", "IT")</f>
        <v>IT</v>
      </c>
      <c r="C9034" s="20" t="s">
        <v>44</v>
      </c>
      <c r="D9034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9034" s="22" t="str">
        <f>HYPERLINK("https://otsuka-europe-crm.veevavault.com/ui/#object/sent_email__v/VBL00000002U055", "SE-001435700")</f>
        <v>SE-001435700</v>
      </c>
      <c r="F9034" s="25"/>
      <c r="G9034" s="24">
        <v>0</v>
      </c>
      <c r="H9034" s="24">
        <v>0</v>
      </c>
      <c r="I9034" s="24">
        <v>0</v>
      </c>
      <c r="J9034" s="25"/>
      <c r="K9034" s="24">
        <v>0</v>
      </c>
      <c r="L9034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9034" s="22" t="str">
        <f>HYPERLINK("mailto:giada.camassa@outsuka.it", "giada.camassa@outsuka.it")</f>
        <v>giada.camassa@outsuka.it</v>
      </c>
      <c r="N9034" s="23">
        <v>46185.404456018521</v>
      </c>
      <c r="O9034" s="14" t="str">
        <f>HYPERLINK("https://otsuka-europe-crm.veevavault.com/ui/#object/email_activity__v/V8C00000003U351", "EN-002095541")</f>
        <v>EN-002095541</v>
      </c>
    </row>
    <row r="9035" spans="1:15" ht="16" x14ac:dyDescent="0.2">
      <c r="A9035" s="18"/>
      <c r="B9035" s="18"/>
      <c r="C9035" s="18"/>
      <c r="D9035" s="18"/>
      <c r="E9035" s="18"/>
      <c r="F9035" s="18"/>
      <c r="G9035" s="18"/>
      <c r="H9035" s="18"/>
      <c r="I9035" s="18"/>
      <c r="J9035" s="18"/>
      <c r="K9035" s="18"/>
      <c r="L9035" s="18"/>
      <c r="M9035" s="18"/>
      <c r="N9035" s="18"/>
      <c r="O9035" s="14" t="str">
        <f>HYPERLINK("https://otsuka-europe-crm.veevavault.com/ui/#object/email_activity__v/V8C00000003U371", "EN-002095607")</f>
        <v>EN-002095607</v>
      </c>
    </row>
    <row r="9036" spans="1:15" ht="16" x14ac:dyDescent="0.2">
      <c r="A9036" s="19"/>
      <c r="B9036" s="19"/>
      <c r="C9036" s="19"/>
      <c r="D9036" s="19"/>
      <c r="E9036" s="19"/>
      <c r="F9036" s="19"/>
      <c r="G9036" s="19"/>
      <c r="H9036" s="19"/>
      <c r="I9036" s="19"/>
      <c r="J9036" s="19"/>
      <c r="K9036" s="19"/>
      <c r="L9036" s="19"/>
      <c r="M9036" s="19"/>
      <c r="N9036" s="19"/>
      <c r="O9036" s="14" t="str">
        <f>HYPERLINK("https://otsuka-europe-crm.veevavault.com/ui/#object/email_activity__v/V8C00000003V213", "EN-002095205")</f>
        <v>EN-002095205</v>
      </c>
    </row>
    <row r="9037" spans="1:15" ht="64" x14ac:dyDescent="0.2">
      <c r="A9037" s="7" t="str">
        <f>HYPERLINK("https://otsuka-europe-crm.veevavault.com/ui/#object/account__v/V4TZ04ASGB9OKAO", "FRANCESCA ROMANA SPINELLI")</f>
        <v>FRANCESCA ROMANA SPINELLI</v>
      </c>
      <c r="B9037" s="7" t="str">
        <f>HYPERLINK("https://otsuka-europe-crm.veevavault.com/ui/#object/vcountry__v/VENZ000004SONFQ", "IT")</f>
        <v>IT</v>
      </c>
      <c r="C9037" s="8" t="s">
        <v>44</v>
      </c>
      <c r="D9037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9037" s="10" t="str">
        <f>HYPERLINK("https://otsuka-europe-crm.veevavault.com/ui/#object/sent_email__v/VBL00000002U056", "SE-001435701")</f>
        <v>SE-001435701</v>
      </c>
      <c r="F9037" s="11"/>
      <c r="G9037" s="12">
        <v>0</v>
      </c>
      <c r="H9037" s="12">
        <v>0</v>
      </c>
      <c r="I9037" s="12">
        <v>0</v>
      </c>
      <c r="J9037" s="11"/>
      <c r="K9037" s="12">
        <v>0</v>
      </c>
      <c r="L9037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9037" s="10" t="str">
        <f>HYPERLINK("mailto:giada.camassa@outsuka.it", "giada.camassa@outsuka.it")</f>
        <v>giada.camassa@outsuka.it</v>
      </c>
      <c r="N9037" s="13">
        <v>46185.404641203706</v>
      </c>
      <c r="O9037" s="14" t="str">
        <f>HYPERLINK("https://otsuka-europe-crm.veevavault.com/ui/#object/email_activity__v/V8C00000003V214", "EN-002095207")</f>
        <v>EN-002095207</v>
      </c>
    </row>
    <row r="9038" spans="1:15" ht="16" x14ac:dyDescent="0.2">
      <c r="A9038" s="17" t="str">
        <f>HYPERLINK("https://otsuka-europe-crm.veevavault.com/ui/#object/account__v/V4TZ025E84GCU9J", "LIVIA MARIA SORRENTINO")</f>
        <v>LIVIA MARIA SORRENTINO</v>
      </c>
      <c r="B9038" s="17" t="str">
        <f>HYPERLINK("https://otsuka-europe-crm.veevavault.com/ui/#object/vcountry__v/VENZ000004SONFQ", "IT")</f>
        <v>IT</v>
      </c>
      <c r="C9038" s="20" t="s">
        <v>44</v>
      </c>
      <c r="D9038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9038" s="22" t="str">
        <f>HYPERLINK("https://otsuka-europe-crm.veevavault.com/ui/#object/sent_email__v/VBL00000002U057", "SE-001435702")</f>
        <v>SE-001435702</v>
      </c>
      <c r="F9038" s="23">
        <v>46185.404942129629</v>
      </c>
      <c r="G9038" s="24">
        <v>1</v>
      </c>
      <c r="H9038" s="24">
        <v>1</v>
      </c>
      <c r="I9038" s="24">
        <v>0</v>
      </c>
      <c r="J9038" s="25"/>
      <c r="K9038" s="24">
        <v>0</v>
      </c>
      <c r="L9038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9038" s="22" t="str">
        <f>HYPERLINK("mailto:giada.camassa@outsuka.it", "giada.camassa@outsuka.it")</f>
        <v>giada.camassa@outsuka.it</v>
      </c>
      <c r="N9038" s="23">
        <v>46185.404791666668</v>
      </c>
      <c r="O9038" s="14" t="str">
        <f>HYPERLINK("https://otsuka-europe-crm.veevavault.com/ui/#object/email_activity__v/V8C00000003V215", "EN-002095208")</f>
        <v>EN-002095208</v>
      </c>
    </row>
    <row r="9039" spans="1:15" ht="16" x14ac:dyDescent="0.2">
      <c r="A9039" s="19"/>
      <c r="B9039" s="19"/>
      <c r="C9039" s="19"/>
      <c r="D9039" s="19"/>
      <c r="E9039" s="19"/>
      <c r="F9039" s="19"/>
      <c r="G9039" s="19"/>
      <c r="H9039" s="19"/>
      <c r="I9039" s="19"/>
      <c r="J9039" s="19"/>
      <c r="K9039" s="19"/>
      <c r="L9039" s="19"/>
      <c r="M9039" s="19"/>
      <c r="N9039" s="19"/>
      <c r="O9039" s="14" t="str">
        <f>HYPERLINK("https://otsuka-europe-crm.veevavault.com/ui/#object/email_activity__v/V8C00000003V216", "EN-002095209")</f>
        <v>EN-002095209</v>
      </c>
    </row>
    <row r="9040" spans="1:15" ht="64" x14ac:dyDescent="0.2">
      <c r="A9040" s="7" t="str">
        <f>HYPERLINK("https://otsuka-europe-crm.veevavault.com/ui/#object/account__v/V4TZ025E87NMJRP", "FELICE SENSI")</f>
        <v>FELICE SENSI</v>
      </c>
      <c r="B9040" s="7" t="str">
        <f>HYPERLINK("https://otsuka-europe-crm.veevavault.com/ui/#object/vcountry__v/VENZ000004SONFQ", "IT")</f>
        <v>IT</v>
      </c>
      <c r="C9040" s="8" t="s">
        <v>44</v>
      </c>
      <c r="D9040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9040" s="10" t="str">
        <f>HYPERLINK("https://otsuka-europe-crm.veevavault.com/ui/#object/sent_email__v/VBL00000002U058", "SE-001435703")</f>
        <v>SE-001435703</v>
      </c>
      <c r="F9040" s="11"/>
      <c r="G9040" s="12">
        <v>0</v>
      </c>
      <c r="H9040" s="12">
        <v>0</v>
      </c>
      <c r="I9040" s="12">
        <v>0</v>
      </c>
      <c r="J9040" s="11"/>
      <c r="K9040" s="12">
        <v>0</v>
      </c>
      <c r="L9040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9040" s="10" t="str">
        <f>HYPERLINK("mailto:giada.camassa@outsuka.it", "giada.camassa@outsuka.it")</f>
        <v>giada.camassa@outsuka.it</v>
      </c>
      <c r="N9040" s="13">
        <v>46185.405023148145</v>
      </c>
      <c r="O9040" s="14" t="str">
        <f>HYPERLINK("https://otsuka-europe-crm.veevavault.com/ui/#object/email_activity__v/V8C00000003V217", "EN-002095210")</f>
        <v>EN-002095210</v>
      </c>
    </row>
    <row r="9041" spans="1:15" ht="16" x14ac:dyDescent="0.2">
      <c r="A9041" s="17" t="str">
        <f>HYPERLINK("https://otsuka-europe-crm.veevavault.com/ui/#object/account__v/V4TZ04ASGB4WCMC", "GIAN DOMENICO SEBASTIANI")</f>
        <v>GIAN DOMENICO SEBASTIANI</v>
      </c>
      <c r="B9041" s="17" t="str">
        <f>HYPERLINK("https://otsuka-europe-crm.veevavault.com/ui/#object/vcountry__v/VENZ000004SONFQ", "IT")</f>
        <v>IT</v>
      </c>
      <c r="C9041" s="20" t="s">
        <v>44</v>
      </c>
      <c r="D9041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9041" s="22" t="str">
        <f>HYPERLINK("https://otsuka-europe-crm.veevavault.com/ui/#object/sent_email__v/VBL00000002U059", "SE-001435704")</f>
        <v>SE-001435704</v>
      </c>
      <c r="F9041" s="23">
        <v>46185.405821759261</v>
      </c>
      <c r="G9041" s="24">
        <v>1</v>
      </c>
      <c r="H9041" s="24">
        <v>1</v>
      </c>
      <c r="I9041" s="24">
        <v>0</v>
      </c>
      <c r="J9041" s="25"/>
      <c r="K9041" s="24">
        <v>0</v>
      </c>
      <c r="L9041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9041" s="22" t="str">
        <f>HYPERLINK("mailto:giada.camassa@outsuka.it", "giada.camassa@outsuka.it")</f>
        <v>giada.camassa@outsuka.it</v>
      </c>
      <c r="N9041" s="23">
        <v>46185.405682870369</v>
      </c>
      <c r="O9041" s="14" t="str">
        <f>HYPERLINK("https://otsuka-europe-crm.veevavault.com/ui/#object/email_activity__v/V8C00000003U176", "EN-002095211")</f>
        <v>EN-002095211</v>
      </c>
    </row>
    <row r="9042" spans="1:15" ht="16" x14ac:dyDescent="0.2">
      <c r="A9042" s="19"/>
      <c r="B9042" s="19"/>
      <c r="C9042" s="19"/>
      <c r="D9042" s="19"/>
      <c r="E9042" s="19"/>
      <c r="F9042" s="19"/>
      <c r="G9042" s="19"/>
      <c r="H9042" s="19"/>
      <c r="I9042" s="19"/>
      <c r="J9042" s="19"/>
      <c r="K9042" s="19"/>
      <c r="L9042" s="19"/>
      <c r="M9042" s="19"/>
      <c r="N9042" s="19"/>
      <c r="O9042" s="14" t="str">
        <f>HYPERLINK("https://otsuka-europe-crm.veevavault.com/ui/#object/email_activity__v/V8C00000003U178", "EN-002095213")</f>
        <v>EN-002095213</v>
      </c>
    </row>
    <row r="9043" spans="1:15" ht="16" x14ac:dyDescent="0.2">
      <c r="A9043" s="17" t="str">
        <f>HYPERLINK("https://otsuka-europe-crm.veevavault.com/ui/#object/account__v/V4TZ04ASGBJUHK4", "CHIARA SCIROCCO")</f>
        <v>CHIARA SCIROCCO</v>
      </c>
      <c r="B9043" s="17" t="str">
        <f>HYPERLINK("https://otsuka-europe-crm.veevavault.com/ui/#object/vcountry__v/VENZ000004SONFQ", "IT")</f>
        <v>IT</v>
      </c>
      <c r="C9043" s="20" t="s">
        <v>44</v>
      </c>
      <c r="D9043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9043" s="22" t="str">
        <f>HYPERLINK("https://otsuka-europe-crm.veevavault.com/ui/#object/sent_email__v/VBL00000002U060", "SE-001435705")</f>
        <v>SE-001435705</v>
      </c>
      <c r="F9043" s="23">
        <v>46185.405833333331</v>
      </c>
      <c r="G9043" s="24">
        <v>1</v>
      </c>
      <c r="H9043" s="24">
        <v>1</v>
      </c>
      <c r="I9043" s="24">
        <v>0</v>
      </c>
      <c r="J9043" s="25"/>
      <c r="K9043" s="24">
        <v>0</v>
      </c>
      <c r="L9043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9043" s="22" t="str">
        <f>HYPERLINK("mailto:giada.camassa@outsuka.it", "giada.camassa@outsuka.it")</f>
        <v>giada.camassa@outsuka.it</v>
      </c>
      <c r="N9043" s="23">
        <v>46185.405706018515</v>
      </c>
      <c r="O9043" s="14" t="str">
        <f>HYPERLINK("https://otsuka-europe-crm.veevavault.com/ui/#object/email_activity__v/V8C00000003U177", "EN-002095212")</f>
        <v>EN-002095212</v>
      </c>
    </row>
    <row r="9044" spans="1:15" ht="16" x14ac:dyDescent="0.2">
      <c r="A9044" s="19"/>
      <c r="B9044" s="19"/>
      <c r="C9044" s="19"/>
      <c r="D9044" s="19"/>
      <c r="E9044" s="19"/>
      <c r="F9044" s="19"/>
      <c r="G9044" s="19"/>
      <c r="H9044" s="19"/>
      <c r="I9044" s="19"/>
      <c r="J9044" s="19"/>
      <c r="K9044" s="19"/>
      <c r="L9044" s="19"/>
      <c r="M9044" s="19"/>
      <c r="N9044" s="19"/>
      <c r="O9044" s="14" t="str">
        <f>HYPERLINK("https://otsuka-europe-crm.veevavault.com/ui/#object/email_activity__v/V8C00000003V218", "EN-002095214")</f>
        <v>EN-002095214</v>
      </c>
    </row>
    <row r="9045" spans="1:15" ht="64" x14ac:dyDescent="0.2">
      <c r="A9045" s="7" t="str">
        <f>HYPERLINK("https://otsuka-europe-crm.veevavault.com/ui/#object/account__v/V4TZ04ASGC0194L", "SALVATORE SCARPATO")</f>
        <v>SALVATORE SCARPATO</v>
      </c>
      <c r="B9045" s="7" t="str">
        <f>HYPERLINK("https://otsuka-europe-crm.veevavault.com/ui/#object/vcountry__v/VENZ000004SONFQ", "IT")</f>
        <v>IT</v>
      </c>
      <c r="C9045" s="8" t="s">
        <v>44</v>
      </c>
      <c r="D9045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9045" s="10" t="str">
        <f>HYPERLINK("https://otsuka-europe-crm.veevavault.com/ui/#object/sent_email__v/VBL00000002U061", "SE-001435706")</f>
        <v>SE-001435706</v>
      </c>
      <c r="F9045" s="11"/>
      <c r="G9045" s="12">
        <v>0</v>
      </c>
      <c r="H9045" s="12">
        <v>0</v>
      </c>
      <c r="I9045" s="12">
        <v>0</v>
      </c>
      <c r="J9045" s="11"/>
      <c r="K9045" s="12">
        <v>0</v>
      </c>
      <c r="L9045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9045" s="10" t="str">
        <f>HYPERLINK("mailto:giada.camassa@outsuka.it", "giada.camassa@outsuka.it")</f>
        <v>giada.camassa@outsuka.it</v>
      </c>
      <c r="N9045" s="13">
        <v>46185.405833333331</v>
      </c>
      <c r="O9045" s="14" t="str">
        <f>HYPERLINK("https://otsuka-europe-crm.veevavault.com/ui/#object/email_activity__v/V8C00000003U179", "EN-002095215")</f>
        <v>EN-002095215</v>
      </c>
    </row>
    <row r="9046" spans="1:15" ht="64" x14ac:dyDescent="0.2">
      <c r="A9046" s="7" t="str">
        <f>HYPERLINK("https://otsuka-europe-crm.veevavault.com/ui/#object/account__v/V4TZ025E88BZDCT", "FRANCESCA SARACINO")</f>
        <v>FRANCESCA SARACINO</v>
      </c>
      <c r="B9046" s="7" t="str">
        <f>HYPERLINK("https://otsuka-europe-crm.veevavault.com/ui/#object/vcountry__v/VENZ000004SONFQ", "IT")</f>
        <v>IT</v>
      </c>
      <c r="C9046" s="8" t="s">
        <v>44</v>
      </c>
      <c r="D9046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9046" s="10" t="str">
        <f>HYPERLINK("https://otsuka-europe-crm.veevavault.com/ui/#object/sent_email__v/VBL00000002U062", "SE-001435707")</f>
        <v>SE-001435707</v>
      </c>
      <c r="F9046" s="11"/>
      <c r="G9046" s="12">
        <v>0</v>
      </c>
      <c r="H9046" s="12">
        <v>0</v>
      </c>
      <c r="I9046" s="12">
        <v>0</v>
      </c>
      <c r="J9046" s="11"/>
      <c r="K9046" s="12">
        <v>0</v>
      </c>
      <c r="L9046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9046" s="10" t="str">
        <f>HYPERLINK("mailto:giada.camassa@outsuka.it", "giada.camassa@outsuka.it")</f>
        <v>giada.camassa@outsuka.it</v>
      </c>
      <c r="N9046" s="13">
        <v>46185.406226851854</v>
      </c>
      <c r="O9046" s="14" t="str">
        <f>HYPERLINK("https://otsuka-europe-crm.veevavault.com/ui/#object/email_activity__v/V8C00000003U180", "EN-002095216")</f>
        <v>EN-002095216</v>
      </c>
    </row>
    <row r="9047" spans="1:15" ht="16" x14ac:dyDescent="0.2">
      <c r="A9047" s="17" t="str">
        <f>HYPERLINK("https://otsuka-europe-crm.veevavault.com/ui/#object/account__v/V4TZ04ASGBNVSQK", "FRANCESCA WANDA ROSSI")</f>
        <v>FRANCESCA WANDA ROSSI</v>
      </c>
      <c r="B9047" s="17" t="str">
        <f>HYPERLINK("https://otsuka-europe-crm.veevavault.com/ui/#object/vcountry__v/VENZ000004SONFQ", "IT")</f>
        <v>IT</v>
      </c>
      <c r="C9047" s="20" t="s">
        <v>44</v>
      </c>
      <c r="D9047" s="21" t="str">
        <f>HYPERLINK("https://otsuka-europe-crm.veevavault.com/ui/#object/approved_document__v/V5O00000000G060", "AE - AGGIORNAMENTI SEZIONE APPROFONDIMENTI IMMUNO IT-NPR-2500150")</f>
        <v>AE - AGGIORNAMENTI SEZIONE APPROFONDIMENTI IMMUNO IT-NPR-2500150</v>
      </c>
      <c r="E9047" s="22" t="str">
        <f>HYPERLINK("https://otsuka-europe-crm.veevavault.com/ui/#object/sent_email__v/VBL00000002U063", "SE-001435708")</f>
        <v>SE-001435708</v>
      </c>
      <c r="F9047" s="23">
        <v>46185.407418981478</v>
      </c>
      <c r="G9047" s="24">
        <v>1</v>
      </c>
      <c r="H9047" s="24">
        <v>1</v>
      </c>
      <c r="I9047" s="24">
        <v>0</v>
      </c>
      <c r="J9047" s="25"/>
      <c r="K9047" s="24">
        <v>0</v>
      </c>
      <c r="L9047" s="22" t="str">
        <f>HYPERLINK("https://otsuka-europe-crm.veevavault.com/ui/#object/approved_document__v/V5O00000000G060", "AE - AGGIORNAMENTI SEZIONE APPROFONDIMENTI IMMUNO IT-NPR-2500150")</f>
        <v>AE - AGGIORNAMENTI SEZIONE APPROFONDIMENTI IMMUNO IT-NPR-2500150</v>
      </c>
      <c r="M9047" s="22" t="str">
        <f>HYPERLINK("mailto:giada.camassa@outsuka.it", "giada.camassa@outsuka.it")</f>
        <v>giada.camassa@outsuka.it</v>
      </c>
      <c r="N9047" s="23">
        <v>46185.407256944447</v>
      </c>
      <c r="O9047" s="14" t="str">
        <f>HYPERLINK("https://otsuka-europe-crm.veevavault.com/ui/#object/email_activity__v/V8C00000003V220", "EN-002095218")</f>
        <v>EN-002095218</v>
      </c>
    </row>
    <row r="9048" spans="1:15" ht="16" x14ac:dyDescent="0.2">
      <c r="A9048" s="19"/>
      <c r="B9048" s="19"/>
      <c r="C9048" s="19"/>
      <c r="D9048" s="19"/>
      <c r="E9048" s="19"/>
      <c r="F9048" s="19"/>
      <c r="G9048" s="19"/>
      <c r="H9048" s="19"/>
      <c r="I9048" s="19"/>
      <c r="J9048" s="19"/>
      <c r="K9048" s="19"/>
      <c r="L9048" s="19"/>
      <c r="M9048" s="19"/>
      <c r="N9048" s="19"/>
      <c r="O9048" s="14" t="str">
        <f>HYPERLINK("https://otsuka-europe-crm.veevavault.com/ui/#object/email_activity__v/V8C00000003V221", "EN-002095219")</f>
        <v>EN-002095219</v>
      </c>
    </row>
    <row r="9049" spans="1:15" ht="16" x14ac:dyDescent="0.2">
      <c r="A9049" s="17" t="str">
        <f>HYPERLINK("https://otsuka-europe-crm.veevavault.com/ui/#object/account__v/V4TZ06G6O71SC5H", "MARGHERITA ROSA")</f>
        <v>MARGHERITA ROSA</v>
      </c>
      <c r="B9049" s="17" t="str">
        <f>HYPERLINK("https://otsuka-europe-crm.veevavault.com/ui/#object/vcountry__v/VENZ000004SONFQ", "IT")</f>
        <v>IT</v>
      </c>
      <c r="C9049" s="20" t="s">
        <v>44</v>
      </c>
      <c r="D9049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9049" s="22" t="str">
        <f>HYPERLINK("https://otsuka-europe-crm.veevavault.com/ui/#object/sent_email__v/VBL00000002U064", "SE-001435709")</f>
        <v>SE-001435709</v>
      </c>
      <c r="F9049" s="23">
        <v>46185.407511574071</v>
      </c>
      <c r="G9049" s="24">
        <v>1</v>
      </c>
      <c r="H9049" s="24">
        <v>1</v>
      </c>
      <c r="I9049" s="24">
        <v>0</v>
      </c>
      <c r="J9049" s="25"/>
      <c r="K9049" s="24">
        <v>0</v>
      </c>
      <c r="L9049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9049" s="22" t="str">
        <f>HYPERLINK("mailto:giada.camassa@outsuka.it", "giada.camassa@outsuka.it")</f>
        <v>giada.camassa@outsuka.it</v>
      </c>
      <c r="N9049" s="23">
        <v>46185.407326388886</v>
      </c>
      <c r="O9049" s="14" t="str">
        <f>HYPERLINK("https://otsuka-europe-crm.veevavault.com/ui/#object/email_activity__v/V8C00000003V219", "EN-002095217")</f>
        <v>EN-002095217</v>
      </c>
    </row>
    <row r="9050" spans="1:15" ht="16" x14ac:dyDescent="0.2">
      <c r="A9050" s="19"/>
      <c r="B9050" s="19"/>
      <c r="C9050" s="19"/>
      <c r="D9050" s="19"/>
      <c r="E9050" s="19"/>
      <c r="F9050" s="19"/>
      <c r="G9050" s="19"/>
      <c r="H9050" s="19"/>
      <c r="I9050" s="19"/>
      <c r="J9050" s="19"/>
      <c r="K9050" s="19"/>
      <c r="L9050" s="19"/>
      <c r="M9050" s="19"/>
      <c r="N9050" s="19"/>
      <c r="O9050" s="14" t="str">
        <f>HYPERLINK("https://otsuka-europe-crm.veevavault.com/ui/#object/email_activity__v/V8C00000003V222", "EN-002095220")</f>
        <v>EN-002095220</v>
      </c>
    </row>
    <row r="9051" spans="1:15" ht="16" x14ac:dyDescent="0.2">
      <c r="A9051" s="17" t="str">
        <f>HYPERLINK("https://otsuka-europe-crm.veevavault.com/ui/#object/account__v/V4TZ025E85J4375", "ELEONORA RICCIO")</f>
        <v>ELEONORA RICCIO</v>
      </c>
      <c r="B9051" s="17" t="str">
        <f>HYPERLINK("https://otsuka-europe-crm.veevavault.com/ui/#object/vcountry__v/VENZ000004SONFQ", "IT")</f>
        <v>IT</v>
      </c>
      <c r="C9051" s="20" t="s">
        <v>44</v>
      </c>
      <c r="D9051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9051" s="22" t="str">
        <f>HYPERLINK("https://otsuka-europe-crm.veevavault.com/ui/#object/sent_email__v/VBL00000002T129", "SE-001435710")</f>
        <v>SE-001435710</v>
      </c>
      <c r="F9051" s="23">
        <v>46185.408101851855</v>
      </c>
      <c r="G9051" s="24">
        <v>1</v>
      </c>
      <c r="H9051" s="24">
        <v>1</v>
      </c>
      <c r="I9051" s="24">
        <v>0</v>
      </c>
      <c r="J9051" s="25"/>
      <c r="K9051" s="24">
        <v>0</v>
      </c>
      <c r="L9051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9051" s="22" t="str">
        <f>HYPERLINK("mailto:giada.camassa@outsuka.it", "giada.camassa@outsuka.it")</f>
        <v>giada.camassa@outsuka.it</v>
      </c>
      <c r="N9051" s="23">
        <v>46185.407962962963</v>
      </c>
      <c r="O9051" s="14" t="str">
        <f>HYPERLINK("https://otsuka-europe-crm.veevavault.com/ui/#object/email_activity__v/V8C00000003V224", "EN-002095222")</f>
        <v>EN-002095222</v>
      </c>
    </row>
    <row r="9052" spans="1:15" ht="16" x14ac:dyDescent="0.2">
      <c r="A9052" s="19"/>
      <c r="B9052" s="19"/>
      <c r="C9052" s="19"/>
      <c r="D9052" s="19"/>
      <c r="E9052" s="19"/>
      <c r="F9052" s="19"/>
      <c r="G9052" s="19"/>
      <c r="H9052" s="19"/>
      <c r="I9052" s="19"/>
      <c r="J9052" s="19"/>
      <c r="K9052" s="19"/>
      <c r="L9052" s="19"/>
      <c r="M9052" s="19"/>
      <c r="N9052" s="19"/>
      <c r="O9052" s="14" t="str">
        <f>HYPERLINK("https://otsuka-europe-crm.veevavault.com/ui/#object/email_activity__v/V8C00000003V225", "EN-002095223")</f>
        <v>EN-002095223</v>
      </c>
    </row>
    <row r="9053" spans="1:15" ht="64" x14ac:dyDescent="0.2">
      <c r="A9053" s="7" t="str">
        <f>HYPERLINK("https://otsuka-europe-crm.veevavault.com/ui/#object/account__v/V4TZ025E833A1BQ", "ILARIA PUCA")</f>
        <v>ILARIA PUCA</v>
      </c>
      <c r="B9053" s="7" t="str">
        <f>HYPERLINK("https://otsuka-europe-crm.veevavault.com/ui/#object/vcountry__v/VENZ000004SONFQ", "IT")</f>
        <v>IT</v>
      </c>
      <c r="C9053" s="8" t="s">
        <v>44</v>
      </c>
      <c r="D9053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9053" s="10" t="str">
        <f>HYPERLINK("https://otsuka-europe-crm.veevavault.com/ui/#object/sent_email__v/VBL00000002U065", "SE-001435711")</f>
        <v>SE-001435711</v>
      </c>
      <c r="F9053" s="11"/>
      <c r="G9053" s="12">
        <v>0</v>
      </c>
      <c r="H9053" s="12">
        <v>0</v>
      </c>
      <c r="I9053" s="12">
        <v>0</v>
      </c>
      <c r="J9053" s="11"/>
      <c r="K9053" s="12">
        <v>0</v>
      </c>
      <c r="L9053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9053" s="10" t="str">
        <f>HYPERLINK("mailto:giada.camassa@outsuka.it", "giada.camassa@outsuka.it")</f>
        <v>giada.camassa@outsuka.it</v>
      </c>
      <c r="N9053" s="13">
        <v>46185.407986111109</v>
      </c>
      <c r="O9053" s="14" t="str">
        <f>HYPERLINK("https://otsuka-europe-crm.veevavault.com/ui/#object/email_activity__v/V8C00000003V223", "EN-002095221")</f>
        <v>EN-002095221</v>
      </c>
    </row>
    <row r="9054" spans="1:15" ht="16" x14ac:dyDescent="0.2">
      <c r="A9054" s="17" t="str">
        <f>HYPERLINK("https://otsuka-europe-crm.veevavault.com/ui/#object/account__v/V4TZ04ASGBCJYE1", "IMMACOLATA PREVETE")</f>
        <v>IMMACOLATA PREVETE</v>
      </c>
      <c r="B9054" s="17" t="str">
        <f>HYPERLINK("https://otsuka-europe-crm.veevavault.com/ui/#object/vcountry__v/VENZ000004SONFQ", "IT")</f>
        <v>IT</v>
      </c>
      <c r="C9054" s="20" t="s">
        <v>44</v>
      </c>
      <c r="D9054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9054" s="22" t="str">
        <f>HYPERLINK("https://otsuka-europe-crm.veevavault.com/ui/#object/sent_email__v/VBL00000002U066", "SE-001435712")</f>
        <v>SE-001435712</v>
      </c>
      <c r="F9054" s="23">
        <v>46185.408252314817</v>
      </c>
      <c r="G9054" s="24">
        <v>1</v>
      </c>
      <c r="H9054" s="24">
        <v>1</v>
      </c>
      <c r="I9054" s="24">
        <v>0</v>
      </c>
      <c r="J9054" s="25"/>
      <c r="K9054" s="24">
        <v>0</v>
      </c>
      <c r="L9054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9054" s="22" t="str">
        <f>HYPERLINK("mailto:giada.camassa@outsuka.it", "giada.camassa@outsuka.it")</f>
        <v>giada.camassa@outsuka.it</v>
      </c>
      <c r="N9054" s="23">
        <v>46185.408113425925</v>
      </c>
      <c r="O9054" s="14" t="str">
        <f>HYPERLINK("https://otsuka-europe-crm.veevavault.com/ui/#object/email_activity__v/V8C00000003V226", "EN-002095224")</f>
        <v>EN-002095224</v>
      </c>
    </row>
    <row r="9055" spans="1:15" ht="16" x14ac:dyDescent="0.2">
      <c r="A9055" s="19"/>
      <c r="B9055" s="19"/>
      <c r="C9055" s="19"/>
      <c r="D9055" s="19"/>
      <c r="E9055" s="19"/>
      <c r="F9055" s="19"/>
      <c r="G9055" s="19"/>
      <c r="H9055" s="19"/>
      <c r="I9055" s="19"/>
      <c r="J9055" s="19"/>
      <c r="K9055" s="19"/>
      <c r="L9055" s="19"/>
      <c r="M9055" s="19"/>
      <c r="N9055" s="19"/>
      <c r="O9055" s="14" t="str">
        <f>HYPERLINK("https://otsuka-europe-crm.veevavault.com/ui/#object/email_activity__v/V8C00000003V227", "EN-002095225")</f>
        <v>EN-002095225</v>
      </c>
    </row>
    <row r="9056" spans="1:15" ht="32" x14ac:dyDescent="0.2">
      <c r="A9056" s="7" t="str">
        <f>HYPERLINK("https://otsuka-europe-crm.veevavault.com/ui/#object/account__v/V4TZ025E830D2UT", "Benjamin Williams")</f>
        <v>Benjamin Williams</v>
      </c>
      <c r="B9056" s="7" t="str">
        <f>HYPERLINK("https://otsuka-europe-crm.veevavault.com/ui/#object/vcountry__v/VENZ000004SONFK", "GB")</f>
        <v>GB</v>
      </c>
      <c r="C9056" s="8" t="s">
        <v>39</v>
      </c>
      <c r="D9056" s="9" t="str">
        <f>HYPERLINK("https://otsuka-europe-crm.veevavault.com/ui/#object/approved_document__v/V5O00000000I022", "Aripiprazole 960mg FAQ VAE")</f>
        <v>Aripiprazole 960mg FAQ VAE</v>
      </c>
      <c r="E9056" s="10" t="str">
        <f>HYPERLINK("https://otsuka-europe-crm.veevavault.com/ui/#object/sent_email__v/VBL00000002T130", "SE-001435713")</f>
        <v>SE-001435713</v>
      </c>
      <c r="F9056" s="11"/>
      <c r="G9056" s="12">
        <v>0</v>
      </c>
      <c r="H9056" s="12">
        <v>0</v>
      </c>
      <c r="I9056" s="12">
        <v>0</v>
      </c>
      <c r="J9056" s="11"/>
      <c r="K9056" s="12">
        <v>0</v>
      </c>
      <c r="L9056" s="10" t="str">
        <f>HYPERLINK("https://otsuka-europe-crm.veevavault.com/ui/#object/approved_document__v/V5O00000000I022", "Aripiprazole 960mg FAQ VAE")</f>
        <v>Aripiprazole 960mg FAQ VAE</v>
      </c>
      <c r="M9056" s="10" t="str">
        <f>HYPERLINK("mailto:sfinnigan@crm.otsuka-europe.com", "sfinnigan@crm.otsuka-europe.com")</f>
        <v>sfinnigan@crm.otsuka-europe.com</v>
      </c>
      <c r="N9056" s="13">
        <v>46185.410057870373</v>
      </c>
      <c r="O9056" s="14" t="str">
        <f>HYPERLINK("https://otsuka-europe-crm.veevavault.com/ui/#object/email_activity__v/V8C00000003U181", "EN-002095226")</f>
        <v>EN-002095226</v>
      </c>
    </row>
    <row r="9057" spans="1:15" ht="32" x14ac:dyDescent="0.2">
      <c r="A9057" s="7" t="str">
        <f>HYPERLINK("https://otsuka-europe-crm.veevavault.com/ui/#object/account__v/V4TZ0000062PIZ9", "Adarsh Vohra")</f>
        <v>Adarsh Vohra</v>
      </c>
      <c r="B9057" s="7" t="str">
        <f>HYPERLINK("https://otsuka-europe-crm.veevavault.com/ui/#object/vcountry__v/VENZ000004SONFK", "GB")</f>
        <v>GB</v>
      </c>
      <c r="C9057" s="8" t="s">
        <v>39</v>
      </c>
      <c r="D9057" s="9" t="str">
        <f>HYPERLINK("https://otsuka-europe-crm.veevavault.com/ui/#object/approved_document__v/V5O00000000I022", "Aripiprazole 960mg FAQ VAE")</f>
        <v>Aripiprazole 960mg FAQ VAE</v>
      </c>
      <c r="E9057" s="10" t="str">
        <f>HYPERLINK("https://otsuka-europe-crm.veevavault.com/ui/#object/sent_email__v/VBL00000002U067", "SE-001435714")</f>
        <v>SE-001435714</v>
      </c>
      <c r="F9057" s="11"/>
      <c r="G9057" s="12">
        <v>0</v>
      </c>
      <c r="H9057" s="12">
        <v>0</v>
      </c>
      <c r="I9057" s="12">
        <v>0</v>
      </c>
      <c r="J9057" s="11"/>
      <c r="K9057" s="12">
        <v>0</v>
      </c>
      <c r="L9057" s="10" t="str">
        <f>HYPERLINK("https://otsuka-europe-crm.veevavault.com/ui/#object/approved_document__v/V5O00000000I022", "Aripiprazole 960mg FAQ VAE")</f>
        <v>Aripiprazole 960mg FAQ VAE</v>
      </c>
      <c r="M9057" s="10" t="str">
        <f>HYPERLINK("mailto:sfinnigan@crm.otsuka-europe.com", "sfinnigan@crm.otsuka-europe.com")</f>
        <v>sfinnigan@crm.otsuka-europe.com</v>
      </c>
      <c r="N9057" s="13">
        <v>46185.410381944443</v>
      </c>
      <c r="O9057" s="14" t="str">
        <f>HYPERLINK("https://otsuka-europe-crm.veevavault.com/ui/#object/email_activity__v/V8C00000003V228", "EN-002095227")</f>
        <v>EN-002095227</v>
      </c>
    </row>
    <row r="9058" spans="1:15" ht="32" x14ac:dyDescent="0.2">
      <c r="A9058" s="7" t="str">
        <f>HYPERLINK("https://otsuka-europe-crm.veevavault.com/ui/#object/account__v/V4TZ0000062PIN8", "Christopher Ubawuchi")</f>
        <v>Christopher Ubawuchi</v>
      </c>
      <c r="B9058" s="7" t="str">
        <f>HYPERLINK("https://otsuka-europe-crm.veevavault.com/ui/#object/vcountry__v/VENZ000004SONFK", "GB")</f>
        <v>GB</v>
      </c>
      <c r="C9058" s="8" t="s">
        <v>39</v>
      </c>
      <c r="D9058" s="9" t="str">
        <f>HYPERLINK("https://otsuka-europe-crm.veevavault.com/ui/#object/approved_document__v/V5O00000000I022", "Aripiprazole 960mg FAQ VAE")</f>
        <v>Aripiprazole 960mg FAQ VAE</v>
      </c>
      <c r="E9058" s="10" t="str">
        <f>HYPERLINK("https://otsuka-europe-crm.veevavault.com/ui/#object/sent_email__v/VBL00000002U068", "SE-001435715")</f>
        <v>SE-001435715</v>
      </c>
      <c r="F9058" s="11"/>
      <c r="G9058" s="12">
        <v>0</v>
      </c>
      <c r="H9058" s="12">
        <v>0</v>
      </c>
      <c r="I9058" s="12">
        <v>0</v>
      </c>
      <c r="J9058" s="11"/>
      <c r="K9058" s="12">
        <v>0</v>
      </c>
      <c r="L9058" s="10" t="str">
        <f>HYPERLINK("https://otsuka-europe-crm.veevavault.com/ui/#object/approved_document__v/V5O00000000I022", "Aripiprazole 960mg FAQ VAE")</f>
        <v>Aripiprazole 960mg FAQ VAE</v>
      </c>
      <c r="M9058" s="10" t="str">
        <f>HYPERLINK("mailto:sfinnigan@crm.otsuka-europe.com", "sfinnigan@crm.otsuka-europe.com")</f>
        <v>sfinnigan@crm.otsuka-europe.com</v>
      </c>
      <c r="N9058" s="13">
        <v>46185.410543981481</v>
      </c>
      <c r="O9058" s="14" t="str">
        <f>HYPERLINK("https://otsuka-europe-crm.veevavault.com/ui/#object/email_activity__v/V8C00000003V229", "EN-002095228")</f>
        <v>EN-002095228</v>
      </c>
    </row>
    <row r="9059" spans="1:15" ht="32" x14ac:dyDescent="0.2">
      <c r="A9059" s="7" t="str">
        <f>HYPERLINK("https://otsuka-europe-crm.veevavault.com/ui/#object/account__v/V4TZ06G6O857H31", "Robert Turner")</f>
        <v>Robert Turner</v>
      </c>
      <c r="B9059" s="7" t="str">
        <f>HYPERLINK("https://otsuka-europe-crm.veevavault.com/ui/#object/vcountry__v/VENZ000004SONFK", "GB")</f>
        <v>GB</v>
      </c>
      <c r="C9059" s="8" t="s">
        <v>39</v>
      </c>
      <c r="D9059" s="9" t="str">
        <f>HYPERLINK("https://otsuka-europe-crm.veevavault.com/ui/#object/approved_document__v/V5O00000000I022", "Aripiprazole 960mg FAQ VAE")</f>
        <v>Aripiprazole 960mg FAQ VAE</v>
      </c>
      <c r="E9059" s="10" t="str">
        <f>HYPERLINK("https://otsuka-europe-crm.veevavault.com/ui/#object/sent_email__v/VBL00000002T131", "SE-001435716")</f>
        <v>SE-001435716</v>
      </c>
      <c r="F9059" s="11"/>
      <c r="G9059" s="12">
        <v>0</v>
      </c>
      <c r="H9059" s="12">
        <v>0</v>
      </c>
      <c r="I9059" s="12">
        <v>0</v>
      </c>
      <c r="J9059" s="11"/>
      <c r="K9059" s="12">
        <v>0</v>
      </c>
      <c r="L9059" s="10" t="str">
        <f>HYPERLINK("https://otsuka-europe-crm.veevavault.com/ui/#object/approved_document__v/V5O00000000I022", "Aripiprazole 960mg FAQ VAE")</f>
        <v>Aripiprazole 960mg FAQ VAE</v>
      </c>
      <c r="M9059" s="10" t="str">
        <f>HYPERLINK("mailto:sfinnigan@crm.otsuka-europe.com", "sfinnigan@crm.otsuka-europe.com")</f>
        <v>sfinnigan@crm.otsuka-europe.com</v>
      </c>
      <c r="N9059" s="13">
        <v>46185.410729166666</v>
      </c>
      <c r="O9059" s="14" t="str">
        <f>HYPERLINK("https://otsuka-europe-crm.veevavault.com/ui/#object/email_activity__v/V8C00000003V230", "EN-002095229")</f>
        <v>EN-002095229</v>
      </c>
    </row>
    <row r="9060" spans="1:15" ht="16" x14ac:dyDescent="0.2">
      <c r="A9060" s="17" t="str">
        <f>HYPERLINK("https://otsuka-europe-crm.veevavault.com/ui/#object/account__v/V4TZ0000062PIEI", "Gourinath Tokachichu")</f>
        <v>Gourinath Tokachichu</v>
      </c>
      <c r="B9060" s="17" t="str">
        <f>HYPERLINK("https://otsuka-europe-crm.veevavault.com/ui/#object/vcountry__v/VENZ000004SONFK", "GB")</f>
        <v>GB</v>
      </c>
      <c r="C9060" s="20" t="s">
        <v>39</v>
      </c>
      <c r="D9060" s="21" t="str">
        <f>HYPERLINK("https://otsuka-europe-crm.veevavault.com/ui/#object/approved_document__v/V5O00000000I022", "Aripiprazole 960mg FAQ VAE")</f>
        <v>Aripiprazole 960mg FAQ VAE</v>
      </c>
      <c r="E9060" s="22" t="str">
        <f>HYPERLINK("https://otsuka-europe-crm.veevavault.com/ui/#object/sent_email__v/VBL00000002T132", "SE-001435717")</f>
        <v>SE-001435717</v>
      </c>
      <c r="F9060" s="23">
        <v>46189.51226851852</v>
      </c>
      <c r="G9060" s="24">
        <v>1</v>
      </c>
      <c r="H9060" s="24">
        <v>4</v>
      </c>
      <c r="I9060" s="24">
        <v>1</v>
      </c>
      <c r="J9060" s="23">
        <v>46185.411111111112</v>
      </c>
      <c r="K9060" s="24">
        <v>1</v>
      </c>
      <c r="L9060" s="22" t="str">
        <f>HYPERLINK("https://otsuka-europe-crm.veevavault.com/ui/#object/approved_document__v/V5O00000000I022", "Aripiprazole 960mg FAQ VAE")</f>
        <v>Aripiprazole 960mg FAQ VAE</v>
      </c>
      <c r="M9060" s="22" t="str">
        <f>HYPERLINK("mailto:sfinnigan@crm.otsuka-europe.com", "sfinnigan@crm.otsuka-europe.com")</f>
        <v>sfinnigan@crm.otsuka-europe.com</v>
      </c>
      <c r="N9060" s="23">
        <v>46185.411076388889</v>
      </c>
      <c r="O9060" s="14" t="str">
        <f>HYPERLINK("https://otsuka-europe-crm.veevavault.com/ui/#object/email_activity__v/V8C00000003U182", "EN-002095231")</f>
        <v>EN-002095231</v>
      </c>
    </row>
    <row r="9061" spans="1:15" ht="16" x14ac:dyDescent="0.2">
      <c r="A9061" s="18"/>
      <c r="B9061" s="18"/>
      <c r="C9061" s="18"/>
      <c r="D9061" s="18"/>
      <c r="E9061" s="18"/>
      <c r="F9061" s="18"/>
      <c r="G9061" s="18"/>
      <c r="H9061" s="18"/>
      <c r="I9061" s="18"/>
      <c r="J9061" s="18"/>
      <c r="K9061" s="18"/>
      <c r="L9061" s="18"/>
      <c r="M9061" s="18"/>
      <c r="N9061" s="18"/>
      <c r="O9061" s="14" t="str">
        <f>HYPERLINK("https://otsuka-europe-crm.veevavault.com/ui/#object/email_activity__v/V8C00000003U204", "EN-002095262")</f>
        <v>EN-002095262</v>
      </c>
    </row>
    <row r="9062" spans="1:15" ht="16" x14ac:dyDescent="0.2">
      <c r="A9062" s="18"/>
      <c r="B9062" s="18"/>
      <c r="C9062" s="18"/>
      <c r="D9062" s="18"/>
      <c r="E9062" s="18"/>
      <c r="F9062" s="18"/>
      <c r="G9062" s="18"/>
      <c r="H9062" s="18"/>
      <c r="I9062" s="18"/>
      <c r="J9062" s="18"/>
      <c r="K9062" s="18"/>
      <c r="L9062" s="18"/>
      <c r="M9062" s="18"/>
      <c r="N9062" s="18"/>
      <c r="O9062" s="14" t="str">
        <f>HYPERLINK("https://otsuka-europe-crm.veevavault.com/ui/#object/email_activity__v/V8C00000003U454", "EN-002095752")</f>
        <v>EN-002095752</v>
      </c>
    </row>
    <row r="9063" spans="1:15" ht="16" x14ac:dyDescent="0.2">
      <c r="A9063" s="18"/>
      <c r="B9063" s="18"/>
      <c r="C9063" s="18"/>
      <c r="D9063" s="18"/>
      <c r="E9063" s="18"/>
      <c r="F9063" s="18"/>
      <c r="G9063" s="18"/>
      <c r="H9063" s="18"/>
      <c r="I9063" s="18"/>
      <c r="J9063" s="18"/>
      <c r="K9063" s="18"/>
      <c r="L9063" s="18"/>
      <c r="M9063" s="18"/>
      <c r="N9063" s="18"/>
      <c r="O9063" s="14" t="str">
        <f>HYPERLINK("https://otsuka-europe-crm.veevavault.com/ui/#object/email_activity__v/V8C00000003V231", "EN-002095232")</f>
        <v>EN-002095232</v>
      </c>
    </row>
    <row r="9064" spans="1:15" ht="16" x14ac:dyDescent="0.2">
      <c r="A9064" s="18"/>
      <c r="B9064" s="18"/>
      <c r="C9064" s="18"/>
      <c r="D9064" s="18"/>
      <c r="E9064" s="18"/>
      <c r="F9064" s="18"/>
      <c r="G9064" s="18"/>
      <c r="H9064" s="18"/>
      <c r="I9064" s="18"/>
      <c r="J9064" s="18"/>
      <c r="K9064" s="18"/>
      <c r="L9064" s="18"/>
      <c r="M9064" s="18"/>
      <c r="N9064" s="18"/>
      <c r="O9064" s="14" t="str">
        <f>HYPERLINK("https://otsuka-europe-crm.veevavault.com/ui/#object/email_activity__v/V8C00000003V232", "EN-002095230")</f>
        <v>EN-002095230</v>
      </c>
    </row>
    <row r="9065" spans="1:15" ht="16" x14ac:dyDescent="0.2">
      <c r="A9065" s="19"/>
      <c r="B9065" s="19"/>
      <c r="C9065" s="19"/>
      <c r="D9065" s="19"/>
      <c r="E9065" s="19"/>
      <c r="F9065" s="19"/>
      <c r="G9065" s="19"/>
      <c r="H9065" s="19"/>
      <c r="I9065" s="19"/>
      <c r="J9065" s="19"/>
      <c r="K9065" s="19"/>
      <c r="L9065" s="19"/>
      <c r="M9065" s="19"/>
      <c r="N9065" s="19"/>
      <c r="O9065" s="14" t="str">
        <f>HYPERLINK("https://otsuka-europe-crm.veevavault.com/ui/#object/email_activity__v/V8C00000003W217", "EN-002097172")</f>
        <v>EN-002097172</v>
      </c>
    </row>
    <row r="9066" spans="1:15" ht="32" x14ac:dyDescent="0.2">
      <c r="A9066" s="7" t="str">
        <f>HYPERLINK("https://otsuka-europe-crm.veevavault.com/ui/#object/account__v/V4TZ04ASGAPAR4A", "Richard Tembo")</f>
        <v>Richard Tembo</v>
      </c>
      <c r="B9066" s="7" t="str">
        <f t="shared" ref="B9066:B9071" si="690">HYPERLINK("https://otsuka-europe-crm.veevavault.com/ui/#object/vcountry__v/VENZ000004SONFK", "GB")</f>
        <v>GB</v>
      </c>
      <c r="C9066" s="8" t="s">
        <v>39</v>
      </c>
      <c r="D9066" s="9" t="str">
        <f t="shared" ref="D9066:D9071" si="691">HYPERLINK("https://otsuka-europe-crm.veevavault.com/ui/#object/approved_document__v/V5OZ025E82TSZBI", "Aripiprazole 960mg Fragment VAE")</f>
        <v>Aripiprazole 960mg Fragment VAE</v>
      </c>
      <c r="E9066" s="10" t="str">
        <f>HYPERLINK("https://otsuka-europe-crm.veevavault.com/ui/#object/sent_email__v/VBL00000002T133", "SE-001435718")</f>
        <v>SE-001435718</v>
      </c>
      <c r="F9066" s="11"/>
      <c r="G9066" s="12">
        <v>0</v>
      </c>
      <c r="H9066" s="12">
        <v>0</v>
      </c>
      <c r="I9066" s="12">
        <v>0</v>
      </c>
      <c r="J9066" s="11"/>
      <c r="K9066" s="12">
        <v>0</v>
      </c>
      <c r="L9066" s="10" t="str">
        <f t="shared" ref="L9066:L9071" si="692">HYPERLINK("https://otsuka-europe-crm.veevavault.com/ui/#object/approved_document__v/V5OZ025E82TSZBI", "Aripiprazole 960mg Fragment VAE")</f>
        <v>Aripiprazole 960mg Fragment VAE</v>
      </c>
      <c r="M9066" s="10" t="str">
        <f t="shared" ref="M9066:M9071" si="693">HYPERLINK("mailto:sfinnigan@crm.otsuka-europe.com", "sfinnigan@crm.otsuka-europe.com")</f>
        <v>sfinnigan@crm.otsuka-europe.com</v>
      </c>
      <c r="N9066" s="13">
        <v>46185.411423611113</v>
      </c>
      <c r="O9066" s="14" t="str">
        <f>HYPERLINK("https://otsuka-europe-crm.veevavault.com/ui/#object/email_activity__v/V8C00000003V233", "EN-002095233")</f>
        <v>EN-002095233</v>
      </c>
    </row>
    <row r="9067" spans="1:15" ht="32" x14ac:dyDescent="0.2">
      <c r="A9067" s="7" t="str">
        <f>HYPERLINK("https://otsuka-europe-crm.veevavault.com/ui/#object/account__v/V4TZ0000062PEDS", "Parveen Sharma")</f>
        <v>Parveen Sharma</v>
      </c>
      <c r="B9067" s="7" t="str">
        <f t="shared" si="690"/>
        <v>GB</v>
      </c>
      <c r="C9067" s="8" t="s">
        <v>39</v>
      </c>
      <c r="D9067" s="9" t="str">
        <f t="shared" si="691"/>
        <v>Aripiprazole 960mg Fragment VAE</v>
      </c>
      <c r="E9067" s="10" t="str">
        <f>HYPERLINK("https://otsuka-europe-crm.veevavault.com/ui/#object/sent_email__v/VBL00000002U069", "SE-001435719")</f>
        <v>SE-001435719</v>
      </c>
      <c r="F9067" s="11"/>
      <c r="G9067" s="12">
        <v>0</v>
      </c>
      <c r="H9067" s="12">
        <v>0</v>
      </c>
      <c r="I9067" s="12">
        <v>0</v>
      </c>
      <c r="J9067" s="11"/>
      <c r="K9067" s="12">
        <v>0</v>
      </c>
      <c r="L9067" s="10" t="str">
        <f t="shared" si="692"/>
        <v>Aripiprazole 960mg Fragment VAE</v>
      </c>
      <c r="M9067" s="10" t="str">
        <f t="shared" si="693"/>
        <v>sfinnigan@crm.otsuka-europe.com</v>
      </c>
      <c r="N9067" s="13">
        <v>46185.411770833336</v>
      </c>
      <c r="O9067" s="14" t="str">
        <f>HYPERLINK("https://otsuka-europe-crm.veevavault.com/ui/#object/email_activity__v/V8C00000003U183", "EN-002095234")</f>
        <v>EN-002095234</v>
      </c>
    </row>
    <row r="9068" spans="1:15" ht="32" x14ac:dyDescent="0.2">
      <c r="A9068" s="7" t="str">
        <f>HYPERLINK("https://otsuka-europe-crm.veevavault.com/ui/#object/account__v/V4TZ0000062PEDN", "Mukul Sharma")</f>
        <v>Mukul Sharma</v>
      </c>
      <c r="B9068" s="7" t="str">
        <f t="shared" si="690"/>
        <v>GB</v>
      </c>
      <c r="C9068" s="8" t="s">
        <v>39</v>
      </c>
      <c r="D9068" s="9" t="str">
        <f t="shared" si="691"/>
        <v>Aripiprazole 960mg Fragment VAE</v>
      </c>
      <c r="E9068" s="10" t="str">
        <f>HYPERLINK("https://otsuka-europe-crm.veevavault.com/ui/#object/sent_email__v/VBL00000002T134", "SE-001435720")</f>
        <v>SE-001435720</v>
      </c>
      <c r="F9068" s="11"/>
      <c r="G9068" s="12">
        <v>0</v>
      </c>
      <c r="H9068" s="12">
        <v>0</v>
      </c>
      <c r="I9068" s="12">
        <v>0</v>
      </c>
      <c r="J9068" s="11"/>
      <c r="K9068" s="12">
        <v>0</v>
      </c>
      <c r="L9068" s="10" t="str">
        <f t="shared" si="692"/>
        <v>Aripiprazole 960mg Fragment VAE</v>
      </c>
      <c r="M9068" s="10" t="str">
        <f t="shared" si="693"/>
        <v>sfinnigan@crm.otsuka-europe.com</v>
      </c>
      <c r="N9068" s="13">
        <v>46185.412118055552</v>
      </c>
      <c r="O9068" s="14" t="str">
        <f>HYPERLINK("https://otsuka-europe-crm.veevavault.com/ui/#object/email_activity__v/V8C00000003V234", "EN-002095235")</f>
        <v>EN-002095235</v>
      </c>
    </row>
    <row r="9069" spans="1:15" ht="32" x14ac:dyDescent="0.2">
      <c r="A9069" s="7" t="str">
        <f>HYPERLINK("https://otsuka-europe-crm.veevavault.com/ui/#object/account__v/V4TZ04ASGE7777T", "Ibrahim Shaikh")</f>
        <v>Ibrahim Shaikh</v>
      </c>
      <c r="B9069" s="7" t="str">
        <f t="shared" si="690"/>
        <v>GB</v>
      </c>
      <c r="C9069" s="8" t="s">
        <v>39</v>
      </c>
      <c r="D9069" s="9" t="str">
        <f t="shared" si="691"/>
        <v>Aripiprazole 960mg Fragment VAE</v>
      </c>
      <c r="E9069" s="10" t="str">
        <f>HYPERLINK("https://otsuka-europe-crm.veevavault.com/ui/#object/sent_email__v/VBL00000002T135", "SE-001435721")</f>
        <v>SE-001435721</v>
      </c>
      <c r="F9069" s="11"/>
      <c r="G9069" s="12">
        <v>0</v>
      </c>
      <c r="H9069" s="12">
        <v>0</v>
      </c>
      <c r="I9069" s="12">
        <v>0</v>
      </c>
      <c r="J9069" s="11"/>
      <c r="K9069" s="12">
        <v>0</v>
      </c>
      <c r="L9069" s="10" t="str">
        <f t="shared" si="692"/>
        <v>Aripiprazole 960mg Fragment VAE</v>
      </c>
      <c r="M9069" s="10" t="str">
        <f t="shared" si="693"/>
        <v>sfinnigan@crm.otsuka-europe.com</v>
      </c>
      <c r="N9069" s="13">
        <v>46185.412476851852</v>
      </c>
      <c r="O9069" s="14" t="str">
        <f>HYPERLINK("https://otsuka-europe-crm.veevavault.com/ui/#object/email_activity__v/V8C00000003V235", "EN-002095236")</f>
        <v>EN-002095236</v>
      </c>
    </row>
    <row r="9070" spans="1:15" ht="32" x14ac:dyDescent="0.2">
      <c r="A9070" s="7" t="str">
        <f>HYPERLINK("https://otsuka-europe-crm.veevavault.com/ui/#object/account__v/V4TZ06G6O8T9LRR", "Kamlaj Sayal")</f>
        <v>Kamlaj Sayal</v>
      </c>
      <c r="B9070" s="7" t="str">
        <f t="shared" si="690"/>
        <v>GB</v>
      </c>
      <c r="C9070" s="8" t="s">
        <v>39</v>
      </c>
      <c r="D9070" s="9" t="str">
        <f t="shared" si="691"/>
        <v>Aripiprazole 960mg Fragment VAE</v>
      </c>
      <c r="E9070" s="10" t="str">
        <f>HYPERLINK("https://otsuka-europe-crm.veevavault.com/ui/#object/sent_email__v/VBL00000002T136", "SE-001435722")</f>
        <v>SE-001435722</v>
      </c>
      <c r="F9070" s="11"/>
      <c r="G9070" s="12">
        <v>0</v>
      </c>
      <c r="H9070" s="12">
        <v>0</v>
      </c>
      <c r="I9070" s="12">
        <v>0</v>
      </c>
      <c r="J9070" s="11"/>
      <c r="K9070" s="12">
        <v>0</v>
      </c>
      <c r="L9070" s="10" t="str">
        <f t="shared" si="692"/>
        <v>Aripiprazole 960mg Fragment VAE</v>
      </c>
      <c r="M9070" s="10" t="str">
        <f t="shared" si="693"/>
        <v>sfinnigan@crm.otsuka-europe.com</v>
      </c>
      <c r="N9070" s="13">
        <v>46185.412986111114</v>
      </c>
      <c r="O9070" s="14" t="str">
        <f>HYPERLINK("https://otsuka-europe-crm.veevavault.com/ui/#object/email_activity__v/V8C00000003U184", "EN-002095237")</f>
        <v>EN-002095237</v>
      </c>
    </row>
    <row r="9071" spans="1:15" ht="32" x14ac:dyDescent="0.2">
      <c r="A9071" s="7" t="str">
        <f>HYPERLINK("https://otsuka-europe-crm.veevavault.com/ui/#object/account__v/V4TZ06G6OCEPP97", "George Rix")</f>
        <v>George Rix</v>
      </c>
      <c r="B9071" s="7" t="str">
        <f t="shared" si="690"/>
        <v>GB</v>
      </c>
      <c r="C9071" s="8" t="s">
        <v>39</v>
      </c>
      <c r="D9071" s="9" t="str">
        <f t="shared" si="691"/>
        <v>Aripiprazole 960mg Fragment VAE</v>
      </c>
      <c r="E9071" s="10" t="str">
        <f>HYPERLINK("https://otsuka-europe-crm.veevavault.com/ui/#object/sent_email__v/VBL00000002T137", "SE-001435723")</f>
        <v>SE-001435723</v>
      </c>
      <c r="F9071" s="11"/>
      <c r="G9071" s="12">
        <v>0</v>
      </c>
      <c r="H9071" s="12">
        <v>0</v>
      </c>
      <c r="I9071" s="12">
        <v>0</v>
      </c>
      <c r="J9071" s="11"/>
      <c r="K9071" s="12">
        <v>0</v>
      </c>
      <c r="L9071" s="10" t="str">
        <f t="shared" si="692"/>
        <v>Aripiprazole 960mg Fragment VAE</v>
      </c>
      <c r="M9071" s="10" t="str">
        <f t="shared" si="693"/>
        <v>sfinnigan@crm.otsuka-europe.com</v>
      </c>
      <c r="N9071" s="13">
        <v>46185.413344907407</v>
      </c>
      <c r="O9071" s="14" t="str">
        <f>HYPERLINK("https://otsuka-europe-crm.veevavault.com/ui/#object/email_activity__v/V8C00000003V236", "EN-002095238")</f>
        <v>EN-002095238</v>
      </c>
    </row>
    <row r="9072" spans="1:15" ht="64" x14ac:dyDescent="0.2">
      <c r="A9072" s="7" t="str">
        <f>HYPERLINK("https://otsuka-europe-crm.veevavault.com/ui/#object/account__v/V4TZ04ASGBNL7LI", "ALESSANDRA POMPA")</f>
        <v>ALESSANDRA POMPA</v>
      </c>
      <c r="B9072" s="7" t="str">
        <f>HYPERLINK("https://otsuka-europe-crm.veevavault.com/ui/#object/vcountry__v/VENZ000004SONFQ", "IT")</f>
        <v>IT</v>
      </c>
      <c r="C9072" s="8" t="s">
        <v>44</v>
      </c>
      <c r="D9072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9072" s="10" t="str">
        <f>HYPERLINK("https://otsuka-europe-crm.veevavault.com/ui/#object/sent_email__v/VBL00000002T138", "SE-001435724")</f>
        <v>SE-001435724</v>
      </c>
      <c r="F9072" s="11"/>
      <c r="G9072" s="12">
        <v>0</v>
      </c>
      <c r="H9072" s="12">
        <v>0</v>
      </c>
      <c r="I9072" s="12">
        <v>0</v>
      </c>
      <c r="J9072" s="11"/>
      <c r="K9072" s="12">
        <v>0</v>
      </c>
      <c r="L9072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9072" s="10" t="str">
        <f>HYPERLINK("mailto:giada.camassa@outsuka.it", "giada.camassa@outsuka.it")</f>
        <v>giada.camassa@outsuka.it</v>
      </c>
      <c r="N9072" s="13">
        <v>46185.413402777776</v>
      </c>
      <c r="O9072" s="14" t="str">
        <f>HYPERLINK("https://otsuka-europe-crm.veevavault.com/ui/#object/email_activity__v/V8C00000003V237", "EN-002095240")</f>
        <v>EN-002095240</v>
      </c>
    </row>
    <row r="9073" spans="1:15" ht="16" x14ac:dyDescent="0.2">
      <c r="A9073" s="17" t="str">
        <f>HYPERLINK("https://otsuka-europe-crm.veevavault.com/ui/#object/account__v/V4TZ0000062PHXS", "Abdulhakim Rhouma")</f>
        <v>Abdulhakim Rhouma</v>
      </c>
      <c r="B9073" s="17" t="str">
        <f>HYPERLINK("https://otsuka-europe-crm.veevavault.com/ui/#object/vcountry__v/VENZ000004SONFK", "GB")</f>
        <v>GB</v>
      </c>
      <c r="C9073" s="20" t="s">
        <v>39</v>
      </c>
      <c r="D9073" s="21" t="str">
        <f>HYPERLINK("https://otsuka-europe-crm.veevavault.com/ui/#object/approved_document__v/V5OZ025E82TSZBI", "Aripiprazole 960mg Fragment VAE")</f>
        <v>Aripiprazole 960mg Fragment VAE</v>
      </c>
      <c r="E9073" s="22" t="str">
        <f>HYPERLINK("https://otsuka-europe-crm.veevavault.com/ui/#object/sent_email__v/VBL00000002T139", "SE-001435725")</f>
        <v>SE-001435725</v>
      </c>
      <c r="F9073" s="23">
        <v>46185.413553240738</v>
      </c>
      <c r="G9073" s="24">
        <v>1</v>
      </c>
      <c r="H9073" s="24">
        <v>1</v>
      </c>
      <c r="I9073" s="24">
        <v>1</v>
      </c>
      <c r="J9073" s="23">
        <v>46185.413553240738</v>
      </c>
      <c r="K9073" s="24">
        <v>1</v>
      </c>
      <c r="L9073" s="22" t="str">
        <f>HYPERLINK("https://otsuka-europe-crm.veevavault.com/ui/#object/approved_document__v/V5OZ025E82TSZBI", "Aripiprazole 960mg Fragment VAE")</f>
        <v>Aripiprazole 960mg Fragment VAE</v>
      </c>
      <c r="M9073" s="22" t="str">
        <f>HYPERLINK("mailto:sfinnigan@crm.otsuka-europe.com", "sfinnigan@crm.otsuka-europe.com")</f>
        <v>sfinnigan@crm.otsuka-europe.com</v>
      </c>
      <c r="N9073" s="23">
        <v>46185.413518518515</v>
      </c>
      <c r="O9073" s="14" t="str">
        <f>HYPERLINK("https://otsuka-europe-crm.veevavault.com/ui/#object/email_activity__v/V8C00000003U185", "EN-002095239")</f>
        <v>EN-002095239</v>
      </c>
    </row>
    <row r="9074" spans="1:15" ht="16" x14ac:dyDescent="0.2">
      <c r="A9074" s="18"/>
      <c r="B9074" s="18"/>
      <c r="C9074" s="18"/>
      <c r="D9074" s="18"/>
      <c r="E9074" s="18"/>
      <c r="F9074" s="18"/>
      <c r="G9074" s="18"/>
      <c r="H9074" s="18"/>
      <c r="I9074" s="18"/>
      <c r="J9074" s="18"/>
      <c r="K9074" s="18"/>
      <c r="L9074" s="18"/>
      <c r="M9074" s="18"/>
      <c r="N9074" s="18"/>
      <c r="O9074" s="14" t="str">
        <f>HYPERLINK("https://otsuka-europe-crm.veevavault.com/ui/#object/email_activity__v/V8C00000003U186", "EN-002095242")</f>
        <v>EN-002095242</v>
      </c>
    </row>
    <row r="9075" spans="1:15" ht="16" x14ac:dyDescent="0.2">
      <c r="A9075" s="19"/>
      <c r="B9075" s="19"/>
      <c r="C9075" s="19"/>
      <c r="D9075" s="19"/>
      <c r="E9075" s="19"/>
      <c r="F9075" s="19"/>
      <c r="G9075" s="19"/>
      <c r="H9075" s="19"/>
      <c r="I9075" s="19"/>
      <c r="J9075" s="19"/>
      <c r="K9075" s="19"/>
      <c r="L9075" s="19"/>
      <c r="M9075" s="19"/>
      <c r="N9075" s="19"/>
      <c r="O9075" s="14" t="str">
        <f>HYPERLINK("https://otsuka-europe-crm.veevavault.com/ui/#object/email_activity__v/V8C00000003U187", "EN-002095241")</f>
        <v>EN-002095241</v>
      </c>
    </row>
    <row r="9076" spans="1:15" ht="16" x14ac:dyDescent="0.2">
      <c r="A9076" s="17" t="str">
        <f>HYPERLINK("https://otsuka-europe-crm.veevavault.com/ui/#object/account__v/V4TZ06G6O71SBXW", "ANTONIO PISANI")</f>
        <v>ANTONIO PISANI</v>
      </c>
      <c r="B9076" s="17" t="str">
        <f>HYPERLINK("https://otsuka-europe-crm.veevavault.com/ui/#object/vcountry__v/VENZ000004SONFQ", "IT")</f>
        <v>IT</v>
      </c>
      <c r="C9076" s="20" t="s">
        <v>44</v>
      </c>
      <c r="D9076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9076" s="22" t="str">
        <f>HYPERLINK("https://otsuka-europe-crm.veevavault.com/ui/#object/sent_email__v/VBL00000002T140", "SE-001435726")</f>
        <v>SE-001435726</v>
      </c>
      <c r="F9076" s="23">
        <v>46185.414027777777</v>
      </c>
      <c r="G9076" s="24">
        <v>1</v>
      </c>
      <c r="H9076" s="24">
        <v>1</v>
      </c>
      <c r="I9076" s="24">
        <v>0</v>
      </c>
      <c r="J9076" s="25"/>
      <c r="K9076" s="24">
        <v>0</v>
      </c>
      <c r="L9076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9076" s="22" t="str">
        <f>HYPERLINK("mailto:giada.camassa@outsuka.it", "giada.camassa@outsuka.it")</f>
        <v>giada.camassa@outsuka.it</v>
      </c>
      <c r="N9076" s="23">
        <v>46185.413923611108</v>
      </c>
      <c r="O9076" s="14" t="str">
        <f>HYPERLINK("https://otsuka-europe-crm.veevavault.com/ui/#object/email_activity__v/V8C00000003U188", "EN-002095245")</f>
        <v>EN-002095245</v>
      </c>
    </row>
    <row r="9077" spans="1:15" ht="16" x14ac:dyDescent="0.2">
      <c r="A9077" s="19"/>
      <c r="B9077" s="19"/>
      <c r="C9077" s="19"/>
      <c r="D9077" s="19"/>
      <c r="E9077" s="19"/>
      <c r="F9077" s="19"/>
      <c r="G9077" s="19"/>
      <c r="H9077" s="19"/>
      <c r="I9077" s="19"/>
      <c r="J9077" s="19"/>
      <c r="K9077" s="19"/>
      <c r="L9077" s="19"/>
      <c r="M9077" s="19"/>
      <c r="N9077" s="19"/>
      <c r="O9077" s="14" t="str">
        <f>HYPERLINK("https://otsuka-europe-crm.veevavault.com/ui/#object/email_activity__v/V8C00000003V238", "EN-002095243")</f>
        <v>EN-002095243</v>
      </c>
    </row>
    <row r="9078" spans="1:15" ht="32" x14ac:dyDescent="0.2">
      <c r="A9078" s="7" t="str">
        <f>HYPERLINK("https://otsuka-europe-crm.veevavault.com/ui/#object/account__v/V4TZ0000062PHPY", "Hena Rahman")</f>
        <v>Hena Rahman</v>
      </c>
      <c r="B9078" s="7" t="str">
        <f>HYPERLINK("https://otsuka-europe-crm.veevavault.com/ui/#object/vcountry__v/VENZ000004SONFK", "GB")</f>
        <v>GB</v>
      </c>
      <c r="C9078" s="8" t="s">
        <v>39</v>
      </c>
      <c r="D9078" s="9" t="str">
        <f>HYPERLINK("https://otsuka-europe-crm.veevavault.com/ui/#object/approved_document__v/V5OZ025E82TSZBI", "Aripiprazole 960mg Fragment VAE")</f>
        <v>Aripiprazole 960mg Fragment VAE</v>
      </c>
      <c r="E9078" s="10" t="str">
        <f>HYPERLINK("https://otsuka-europe-crm.veevavault.com/ui/#object/sent_email__v/VBL00000002T141", "SE-001435727")</f>
        <v>SE-001435727</v>
      </c>
      <c r="F9078" s="11"/>
      <c r="G9078" s="12">
        <v>0</v>
      </c>
      <c r="H9078" s="12">
        <v>0</v>
      </c>
      <c r="I9078" s="12">
        <v>0</v>
      </c>
      <c r="J9078" s="11"/>
      <c r="K9078" s="12">
        <v>0</v>
      </c>
      <c r="L9078" s="10" t="str">
        <f>HYPERLINK("https://otsuka-europe-crm.veevavault.com/ui/#object/approved_document__v/V5OZ025E82TSZBI", "Aripiprazole 960mg Fragment VAE")</f>
        <v>Aripiprazole 960mg Fragment VAE</v>
      </c>
      <c r="M9078" s="10" t="str">
        <f>HYPERLINK("mailto:sfinnigan@crm.otsuka-europe.com", "sfinnigan@crm.otsuka-europe.com")</f>
        <v>sfinnigan@crm.otsuka-europe.com</v>
      </c>
      <c r="N9078" s="13">
        <v>46185.413877314815</v>
      </c>
      <c r="O9078" s="14" t="str">
        <f>HYPERLINK("https://otsuka-europe-crm.veevavault.com/ui/#object/email_activity__v/V8C00000003V240", "EN-002095246")</f>
        <v>EN-002095246</v>
      </c>
    </row>
    <row r="9079" spans="1:15" ht="64" x14ac:dyDescent="0.2">
      <c r="A9079" s="7" t="str">
        <f>HYPERLINK("https://otsuka-europe-crm.veevavault.com/ui/#object/account__v/V4TZ04ASGBUJPKN", "ANDREA PICCHIANTI DIAMANTI")</f>
        <v>ANDREA PICCHIANTI DIAMANTI</v>
      </c>
      <c r="B9079" s="7" t="str">
        <f>HYPERLINK("https://otsuka-europe-crm.veevavault.com/ui/#object/vcountry__v/VENZ000004SONFQ", "IT")</f>
        <v>IT</v>
      </c>
      <c r="C9079" s="8" t="s">
        <v>44</v>
      </c>
      <c r="D9079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9079" s="10" t="str">
        <f>HYPERLINK("https://otsuka-europe-crm.veevavault.com/ui/#object/sent_email__v/VBL00000002T142", "SE-001435728")</f>
        <v>SE-001435728</v>
      </c>
      <c r="F9079" s="11"/>
      <c r="G9079" s="12">
        <v>0</v>
      </c>
      <c r="H9079" s="12">
        <v>0</v>
      </c>
      <c r="I9079" s="12">
        <v>0</v>
      </c>
      <c r="J9079" s="11"/>
      <c r="K9079" s="12">
        <v>0</v>
      </c>
      <c r="L9079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9079" s="10" t="str">
        <f>HYPERLINK("mailto:giada.camassa@outsuka.it", "giada.camassa@outsuka.it")</f>
        <v>giada.camassa@outsuka.it</v>
      </c>
      <c r="N9079" s="13">
        <v>46185.413958333331</v>
      </c>
      <c r="O9079" s="14" t="str">
        <f>HYPERLINK("https://otsuka-europe-crm.veevavault.com/ui/#object/email_activity__v/V8C00000003V239", "EN-002095244")</f>
        <v>EN-002095244</v>
      </c>
    </row>
    <row r="9080" spans="1:15" ht="16" x14ac:dyDescent="0.2">
      <c r="A9080" s="17" t="str">
        <f>HYPERLINK("https://otsuka-europe-crm.veevavault.com/ui/#object/account__v/V4TZ04ASGC7D26L", "LUCA PETRICCA")</f>
        <v>LUCA PETRICCA</v>
      </c>
      <c r="B9080" s="17" t="str">
        <f>HYPERLINK("https://otsuka-europe-crm.veevavault.com/ui/#object/vcountry__v/VENZ000004SONFQ", "IT")</f>
        <v>IT</v>
      </c>
      <c r="C9080" s="20" t="s">
        <v>44</v>
      </c>
      <c r="D9080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9080" s="22" t="str">
        <f>HYPERLINK("https://otsuka-europe-crm.veevavault.com/ui/#object/sent_email__v/VBL00000002T143", "SE-001435729")</f>
        <v>SE-001435729</v>
      </c>
      <c r="F9080" s="23">
        <v>46185.414375</v>
      </c>
      <c r="G9080" s="24">
        <v>1</v>
      </c>
      <c r="H9080" s="24">
        <v>1</v>
      </c>
      <c r="I9080" s="24">
        <v>0</v>
      </c>
      <c r="J9080" s="25"/>
      <c r="K9080" s="24">
        <v>0</v>
      </c>
      <c r="L9080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9080" s="22" t="str">
        <f>HYPERLINK("mailto:giada.camassa@outsuka.it", "giada.camassa@outsuka.it")</f>
        <v>giada.camassa@outsuka.it</v>
      </c>
      <c r="N9080" s="23">
        <v>46185.414212962962</v>
      </c>
      <c r="O9080" s="14" t="str">
        <f>HYPERLINK("https://otsuka-europe-crm.veevavault.com/ui/#object/email_activity__v/V8C00000003U190", "EN-002095248")</f>
        <v>EN-002095248</v>
      </c>
    </row>
    <row r="9081" spans="1:15" ht="16" x14ac:dyDescent="0.2">
      <c r="A9081" s="19"/>
      <c r="B9081" s="19"/>
      <c r="C9081" s="19"/>
      <c r="D9081" s="19"/>
      <c r="E9081" s="19"/>
      <c r="F9081" s="19"/>
      <c r="G9081" s="19"/>
      <c r="H9081" s="19"/>
      <c r="I9081" s="19"/>
      <c r="J9081" s="19"/>
      <c r="K9081" s="19"/>
      <c r="L9081" s="19"/>
      <c r="M9081" s="19"/>
      <c r="N9081" s="19"/>
      <c r="O9081" s="14" t="str">
        <f>HYPERLINK("https://otsuka-europe-crm.veevavault.com/ui/#object/email_activity__v/V8C00000003U191", "EN-002095249")</f>
        <v>EN-002095249</v>
      </c>
    </row>
    <row r="9082" spans="1:15" ht="32" x14ac:dyDescent="0.2">
      <c r="A9082" s="7" t="str">
        <f>HYPERLINK("https://otsuka-europe-crm.veevavault.com/ui/#object/account__v/V4TZ0000062PFFM", "Masood Qureshi")</f>
        <v>Masood Qureshi</v>
      </c>
      <c r="B9082" s="7" t="str">
        <f>HYPERLINK("https://otsuka-europe-crm.veevavault.com/ui/#object/vcountry__v/VENZ000004SONFK", "GB")</f>
        <v>GB</v>
      </c>
      <c r="C9082" s="8" t="s">
        <v>39</v>
      </c>
      <c r="D9082" s="9" t="str">
        <f>HYPERLINK("https://otsuka-europe-crm.veevavault.com/ui/#object/approved_document__v/V5OZ025E82TSZBI", "Aripiprazole 960mg Fragment VAE")</f>
        <v>Aripiprazole 960mg Fragment VAE</v>
      </c>
      <c r="E9082" s="10" t="str">
        <f>HYPERLINK("https://otsuka-europe-crm.veevavault.com/ui/#object/sent_email__v/VBL00000002T144", "SE-001435730")</f>
        <v>SE-001435730</v>
      </c>
      <c r="F9082" s="11"/>
      <c r="G9082" s="12">
        <v>0</v>
      </c>
      <c r="H9082" s="12">
        <v>0</v>
      </c>
      <c r="I9082" s="12">
        <v>0</v>
      </c>
      <c r="J9082" s="11"/>
      <c r="K9082" s="12">
        <v>0</v>
      </c>
      <c r="L9082" s="10" t="str">
        <f>HYPERLINK("https://otsuka-europe-crm.veevavault.com/ui/#object/approved_document__v/V5OZ025E82TSZBI", "Aripiprazole 960mg Fragment VAE")</f>
        <v>Aripiprazole 960mg Fragment VAE</v>
      </c>
      <c r="M9082" s="10" t="str">
        <f>HYPERLINK("mailto:sfinnigan@crm.otsuka-europe.com", "sfinnigan@crm.otsuka-europe.com")</f>
        <v>sfinnigan@crm.otsuka-europe.com</v>
      </c>
      <c r="N9082" s="13">
        <v>46185.414212962962</v>
      </c>
      <c r="O9082" s="14" t="str">
        <f>HYPERLINK("https://otsuka-europe-crm.veevavault.com/ui/#object/email_activity__v/V8C00000003U189", "EN-002095247")</f>
        <v>EN-002095247</v>
      </c>
    </row>
    <row r="9083" spans="1:15" ht="16" x14ac:dyDescent="0.2">
      <c r="A9083" s="17" t="str">
        <f>HYPERLINK("https://otsuka-europe-crm.veevavault.com/ui/#object/account__v/V4TZ06G6O71SBRZ", "FRANCESCO PESCE")</f>
        <v>FRANCESCO PESCE</v>
      </c>
      <c r="B9083" s="17" t="str">
        <f>HYPERLINK("https://otsuka-europe-crm.veevavault.com/ui/#object/vcountry__v/VENZ000004SONFQ", "IT")</f>
        <v>IT</v>
      </c>
      <c r="C9083" s="20" t="s">
        <v>44</v>
      </c>
      <c r="D9083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9083" s="22" t="str">
        <f>HYPERLINK("https://otsuka-europe-crm.veevavault.com/ui/#object/sent_email__v/VBL00000002T145", "SE-001435731")</f>
        <v>SE-001435731</v>
      </c>
      <c r="F9083" s="25"/>
      <c r="G9083" s="24">
        <v>0</v>
      </c>
      <c r="H9083" s="24">
        <v>0</v>
      </c>
      <c r="I9083" s="24">
        <v>0</v>
      </c>
      <c r="J9083" s="25"/>
      <c r="K9083" s="24">
        <v>0</v>
      </c>
      <c r="L9083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9083" s="22" t="str">
        <f>HYPERLINK("mailto:giada.camassa@outsuka.it", "giada.camassa@outsuka.it")</f>
        <v>giada.camassa@outsuka.it</v>
      </c>
      <c r="N9083" s="23">
        <v>46185.414317129631</v>
      </c>
      <c r="O9083" s="14" t="str">
        <f>HYPERLINK("https://otsuka-europe-crm.veevavault.com/ui/#object/email_activity__v/V8C00000003U192", "EN-002095250")</f>
        <v>EN-002095250</v>
      </c>
    </row>
    <row r="9084" spans="1:15" ht="16" x14ac:dyDescent="0.2">
      <c r="A9084" s="19"/>
      <c r="B9084" s="19"/>
      <c r="C9084" s="19"/>
      <c r="D9084" s="19"/>
      <c r="E9084" s="19"/>
      <c r="F9084" s="19"/>
      <c r="G9084" s="19"/>
      <c r="H9084" s="19"/>
      <c r="I9084" s="19"/>
      <c r="J9084" s="19"/>
      <c r="K9084" s="19"/>
      <c r="L9084" s="19"/>
      <c r="M9084" s="19"/>
      <c r="N9084" s="19"/>
      <c r="O9084" s="14" t="str">
        <f>HYPERLINK("https://otsuka-europe-crm.veevavault.com/ui/#object/email_activity__v/V8C00000003U316", "EN-002095470")</f>
        <v>EN-002095470</v>
      </c>
    </row>
    <row r="9085" spans="1:15" ht="32" x14ac:dyDescent="0.2">
      <c r="A9085" s="7" t="str">
        <f>HYPERLINK("https://otsuka-europe-crm.veevavault.com/ui/#object/account__v/V4TZ06G6O9VB9FH", "Graham Prior")</f>
        <v>Graham Prior</v>
      </c>
      <c r="B9085" s="7" t="str">
        <f>HYPERLINK("https://otsuka-europe-crm.veevavault.com/ui/#object/vcountry__v/VENZ000004SONFK", "GB")</f>
        <v>GB</v>
      </c>
      <c r="C9085" s="8" t="s">
        <v>39</v>
      </c>
      <c r="D9085" s="9" t="str">
        <f>HYPERLINK("https://otsuka-europe-crm.veevavault.com/ui/#object/approved_document__v/V5OZ025E82TSZBI", "Aripiprazole 960mg Fragment VAE")</f>
        <v>Aripiprazole 960mg Fragment VAE</v>
      </c>
      <c r="E9085" s="10" t="str">
        <f>HYPERLINK("https://otsuka-europe-crm.veevavault.com/ui/#object/sent_email__v/VBL00000002T147", "SE-001435732")</f>
        <v>SE-001435732</v>
      </c>
      <c r="F9085" s="11"/>
      <c r="G9085" s="12">
        <v>0</v>
      </c>
      <c r="H9085" s="12">
        <v>0</v>
      </c>
      <c r="I9085" s="12">
        <v>0</v>
      </c>
      <c r="J9085" s="11"/>
      <c r="K9085" s="12">
        <v>0</v>
      </c>
      <c r="L9085" s="10" t="str">
        <f>HYPERLINK("https://otsuka-europe-crm.veevavault.com/ui/#object/approved_document__v/V5OZ025E82TSZBI", "Aripiprazole 960mg Fragment VAE")</f>
        <v>Aripiprazole 960mg Fragment VAE</v>
      </c>
      <c r="M9085" s="10" t="str">
        <f>HYPERLINK("mailto:sfinnigan@crm.otsuka-europe.com", "sfinnigan@crm.otsuka-europe.com")</f>
        <v>sfinnigan@crm.otsuka-europe.com</v>
      </c>
      <c r="N9085" s="13">
        <v>46185.414571759262</v>
      </c>
      <c r="O9085" s="14" t="str">
        <f>HYPERLINK("https://otsuka-europe-crm.veevavault.com/ui/#object/email_activity__v/V8C00000003U193", "EN-002095251")</f>
        <v>EN-002095251</v>
      </c>
    </row>
    <row r="9086" spans="1:15" ht="16" x14ac:dyDescent="0.2">
      <c r="A9086" s="17" t="str">
        <f>HYPERLINK("https://otsuka-europe-crm.veevavault.com/ui/#object/account__v/V4TZ06G6O71SBRH", "ALESSANDRA PERNA")</f>
        <v>ALESSANDRA PERNA</v>
      </c>
      <c r="B9086" s="17" t="str">
        <f>HYPERLINK("https://otsuka-europe-crm.veevavault.com/ui/#object/vcountry__v/VENZ000004SONFQ", "IT")</f>
        <v>IT</v>
      </c>
      <c r="C9086" s="20" t="s">
        <v>44</v>
      </c>
      <c r="D9086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9086" s="22" t="str">
        <f>HYPERLINK("https://otsuka-europe-crm.veevavault.com/ui/#object/sent_email__v/VBL00000002T146", "SE-001435733")</f>
        <v>SE-001435733</v>
      </c>
      <c r="F9086" s="23">
        <v>46188.364062499997</v>
      </c>
      <c r="G9086" s="24">
        <v>1</v>
      </c>
      <c r="H9086" s="24">
        <v>2</v>
      </c>
      <c r="I9086" s="24">
        <v>0</v>
      </c>
      <c r="J9086" s="25"/>
      <c r="K9086" s="24">
        <v>0</v>
      </c>
      <c r="L9086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9086" s="22" t="str">
        <f>HYPERLINK("mailto:giada.camassa@outsuka.it", "giada.camassa@outsuka.it")</f>
        <v>giada.camassa@outsuka.it</v>
      </c>
      <c r="N9086" s="23">
        <v>46185.414594907408</v>
      </c>
      <c r="O9086" s="14" t="str">
        <f>HYPERLINK("https://otsuka-europe-crm.veevavault.com/ui/#object/email_activity__v/V8C00000003U194", "EN-002095252")</f>
        <v>EN-002095252</v>
      </c>
    </row>
    <row r="9087" spans="1:15" ht="16" x14ac:dyDescent="0.2">
      <c r="A9087" s="18"/>
      <c r="B9087" s="18"/>
      <c r="C9087" s="18"/>
      <c r="D9087" s="18"/>
      <c r="E9087" s="18"/>
      <c r="F9087" s="18"/>
      <c r="G9087" s="18"/>
      <c r="H9087" s="18"/>
      <c r="I9087" s="18"/>
      <c r="J9087" s="18"/>
      <c r="K9087" s="18"/>
      <c r="L9087" s="18"/>
      <c r="M9087" s="18"/>
      <c r="N9087" s="18"/>
      <c r="O9087" s="14" t="str">
        <f>HYPERLINK("https://otsuka-europe-crm.veevavault.com/ui/#object/email_activity__v/V8C00000003U196", "EN-002095254")</f>
        <v>EN-002095254</v>
      </c>
    </row>
    <row r="9088" spans="1:15" ht="16" x14ac:dyDescent="0.2">
      <c r="A9088" s="19"/>
      <c r="B9088" s="19"/>
      <c r="C9088" s="19"/>
      <c r="D9088" s="19"/>
      <c r="E9088" s="19"/>
      <c r="F9088" s="19"/>
      <c r="G9088" s="19"/>
      <c r="H9088" s="19"/>
      <c r="I9088" s="19"/>
      <c r="J9088" s="19"/>
      <c r="K9088" s="19"/>
      <c r="L9088" s="19"/>
      <c r="M9088" s="19"/>
      <c r="N9088" s="19"/>
      <c r="O9088" s="14" t="str">
        <f>HYPERLINK("https://otsuka-europe-crm.veevavault.com/ui/#object/email_activity__v/V8C00000003V488", "EN-002095763")</f>
        <v>EN-002095763</v>
      </c>
    </row>
    <row r="9089" spans="1:15" ht="32" x14ac:dyDescent="0.2">
      <c r="A9089" s="7" t="str">
        <f>HYPERLINK("https://otsuka-europe-crm.veevavault.com/ui/#object/account__v/V4TZ0000062PB4W", "Olusegun Popoola")</f>
        <v>Olusegun Popoola</v>
      </c>
      <c r="B9089" s="7" t="str">
        <f>HYPERLINK("https://otsuka-europe-crm.veevavault.com/ui/#object/vcountry__v/VENZ000004SONFK", "GB")</f>
        <v>GB</v>
      </c>
      <c r="C9089" s="8" t="s">
        <v>39</v>
      </c>
      <c r="D9089" s="9" t="str">
        <f>HYPERLINK("https://otsuka-europe-crm.veevavault.com/ui/#object/approved_document__v/V5OZ025E82TSZBI", "Aripiprazole 960mg Fragment VAE")</f>
        <v>Aripiprazole 960mg Fragment VAE</v>
      </c>
      <c r="E9089" s="10" t="str">
        <f>HYPERLINK("https://otsuka-europe-crm.veevavault.com/ui/#object/sent_email__v/VBL00000002T148", "SE-001435734")</f>
        <v>SE-001435734</v>
      </c>
      <c r="F9089" s="11"/>
      <c r="G9089" s="12">
        <v>0</v>
      </c>
      <c r="H9089" s="12">
        <v>0</v>
      </c>
      <c r="I9089" s="12">
        <v>0</v>
      </c>
      <c r="J9089" s="11"/>
      <c r="K9089" s="12">
        <v>0</v>
      </c>
      <c r="L9089" s="10" t="str">
        <f>HYPERLINK("https://otsuka-europe-crm.veevavault.com/ui/#object/approved_document__v/V5OZ025E82TSZBI", "Aripiprazole 960mg Fragment VAE")</f>
        <v>Aripiprazole 960mg Fragment VAE</v>
      </c>
      <c r="M9089" s="10" t="str">
        <f>HYPERLINK("mailto:sfinnigan@crm.otsuka-europe.com", "sfinnigan@crm.otsuka-europe.com")</f>
        <v>sfinnigan@crm.otsuka-europe.com</v>
      </c>
      <c r="N9089" s="13">
        <v>46185.414918981478</v>
      </c>
      <c r="O9089" s="14" t="str">
        <f>HYPERLINK("https://otsuka-europe-crm.veevavault.com/ui/#object/email_activity__v/V8C00000003U197", "EN-002095255")</f>
        <v>EN-002095255</v>
      </c>
    </row>
    <row r="9090" spans="1:15" ht="64" x14ac:dyDescent="0.2">
      <c r="A9090" s="7" t="str">
        <f>HYPERLINK("https://otsuka-europe-crm.veevavault.com/ui/#object/account__v/V4TZ04ASGDP37C0", "ANNAMARIA PAGLIONICO")</f>
        <v>ANNAMARIA PAGLIONICO</v>
      </c>
      <c r="B9090" s="7" t="str">
        <f>HYPERLINK("https://otsuka-europe-crm.veevavault.com/ui/#object/vcountry__v/VENZ000004SONFQ", "IT")</f>
        <v>IT</v>
      </c>
      <c r="C9090" s="8" t="s">
        <v>44</v>
      </c>
      <c r="D9090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9090" s="10" t="str">
        <f>HYPERLINK("https://otsuka-europe-crm.veevavault.com/ui/#object/sent_email__v/VBL00000002T149", "SE-001435735")</f>
        <v>SE-001435735</v>
      </c>
      <c r="F9090" s="11"/>
      <c r="G9090" s="12">
        <v>0</v>
      </c>
      <c r="H9090" s="12">
        <v>0</v>
      </c>
      <c r="I9090" s="12">
        <v>0</v>
      </c>
      <c r="J9090" s="11"/>
      <c r="K9090" s="12">
        <v>0</v>
      </c>
      <c r="L9090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9090" s="10" t="str">
        <f>HYPERLINK("mailto:giada.camassa@outsuka.it", "giada.camassa@outsuka.it")</f>
        <v>giada.camassa@outsuka.it</v>
      </c>
      <c r="N9090" s="13">
        <v>46185.414907407408</v>
      </c>
      <c r="O9090" s="14" t="str">
        <f>HYPERLINK("https://otsuka-europe-crm.veevavault.com/ui/#object/email_activity__v/V8C00000003U195", "EN-002095253")</f>
        <v>EN-002095253</v>
      </c>
    </row>
    <row r="9091" spans="1:15" ht="64" x14ac:dyDescent="0.2">
      <c r="A9091" s="7" t="str">
        <f>HYPERLINK("https://otsuka-europe-crm.veevavault.com/ui/#object/account__v/V4TZ025E83CKFD5", "VIVIANA ANTONELLA PACUCCI")</f>
        <v>VIVIANA ANTONELLA PACUCCI</v>
      </c>
      <c r="B9091" s="7" t="str">
        <f>HYPERLINK("https://otsuka-europe-crm.veevavault.com/ui/#object/vcountry__v/VENZ000004SONFQ", "IT")</f>
        <v>IT</v>
      </c>
      <c r="C9091" s="8" t="s">
        <v>44</v>
      </c>
      <c r="D9091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9091" s="10" t="str">
        <f>HYPERLINK("https://otsuka-europe-crm.veevavault.com/ui/#object/sent_email__v/VBL00000002T150", "SE-001435736")</f>
        <v>SE-001435736</v>
      </c>
      <c r="F9091" s="11"/>
      <c r="G9091" s="12">
        <v>0</v>
      </c>
      <c r="H9091" s="12">
        <v>0</v>
      </c>
      <c r="I9091" s="12">
        <v>0</v>
      </c>
      <c r="J9091" s="11"/>
      <c r="K9091" s="12">
        <v>0</v>
      </c>
      <c r="L9091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9091" s="10" t="str">
        <f>HYPERLINK("mailto:giada.camassa@outsuka.it", "giada.camassa@outsuka.it")</f>
        <v>giada.camassa@outsuka.it</v>
      </c>
      <c r="N9091" s="13">
        <v>46185.415023148147</v>
      </c>
      <c r="O9091" s="14" t="str">
        <f>HYPERLINK("https://otsuka-europe-crm.veevavault.com/ui/#object/email_activity__v/V8C00000003U198", "EN-002095256")</f>
        <v>EN-002095256</v>
      </c>
    </row>
    <row r="9092" spans="1:15" ht="32" x14ac:dyDescent="0.2">
      <c r="A9092" s="7" t="str">
        <f>HYPERLINK("https://otsuka-europe-crm.veevavault.com/ui/#object/account__v/V4TZ0000062PHL5", "Georgy Pius")</f>
        <v>Georgy Pius</v>
      </c>
      <c r="B9092" s="7" t="str">
        <f>HYPERLINK("https://otsuka-europe-crm.veevavault.com/ui/#object/vcountry__v/VENZ000004SONFK", "GB")</f>
        <v>GB</v>
      </c>
      <c r="C9092" s="8" t="s">
        <v>39</v>
      </c>
      <c r="D9092" s="9" t="str">
        <f>HYPERLINK("https://otsuka-europe-crm.veevavault.com/ui/#object/approved_document__v/V5OZ025E82TSZBI", "Aripiprazole 960mg Fragment VAE")</f>
        <v>Aripiprazole 960mg Fragment VAE</v>
      </c>
      <c r="E9092" s="10" t="str">
        <f>HYPERLINK("https://otsuka-europe-crm.veevavault.com/ui/#object/sent_email__v/VBL00000002T151", "SE-001435737")</f>
        <v>SE-001435737</v>
      </c>
      <c r="F9092" s="11"/>
      <c r="G9092" s="12">
        <v>0</v>
      </c>
      <c r="H9092" s="12">
        <v>0</v>
      </c>
      <c r="I9092" s="12">
        <v>0</v>
      </c>
      <c r="J9092" s="11"/>
      <c r="K9092" s="12">
        <v>0</v>
      </c>
      <c r="L9092" s="10" t="str">
        <f>HYPERLINK("https://otsuka-europe-crm.veevavault.com/ui/#object/approved_document__v/V5OZ025E82TSZBI", "Aripiprazole 960mg Fragment VAE")</f>
        <v>Aripiprazole 960mg Fragment VAE</v>
      </c>
      <c r="M9092" s="10" t="str">
        <f>HYPERLINK("mailto:sfinnigan@crm.otsuka-europe.com", "sfinnigan@crm.otsuka-europe.com")</f>
        <v>sfinnigan@crm.otsuka-europe.com</v>
      </c>
      <c r="N9092" s="13">
        <v>46185.415069444447</v>
      </c>
      <c r="O9092" s="14" t="str">
        <f>HYPERLINK("https://otsuka-europe-crm.veevavault.com/ui/#object/email_activity__v/V8C00000003U199", "EN-002095257")</f>
        <v>EN-002095257</v>
      </c>
    </row>
    <row r="9093" spans="1:15" ht="16" x14ac:dyDescent="0.2">
      <c r="A9093" s="17" t="str">
        <f>HYPERLINK("https://otsuka-europe-crm.veevavault.com/ui/#object/account__v/V4TZ04ASGC7DXDO", "AUGUSTA ORTOLAN")</f>
        <v>AUGUSTA ORTOLAN</v>
      </c>
      <c r="B9093" s="17" t="str">
        <f>HYPERLINK("https://otsuka-europe-crm.veevavault.com/ui/#object/vcountry__v/VENZ000004SONFQ", "IT")</f>
        <v>IT</v>
      </c>
      <c r="C9093" s="20" t="s">
        <v>44</v>
      </c>
      <c r="D9093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9093" s="22" t="str">
        <f>HYPERLINK("https://otsuka-europe-crm.veevavault.com/ui/#object/sent_email__v/VBL00000002T152", "SE-001435738")</f>
        <v>SE-001435738</v>
      </c>
      <c r="F9093" s="23">
        <v>46185.415370370371</v>
      </c>
      <c r="G9093" s="24">
        <v>1</v>
      </c>
      <c r="H9093" s="24">
        <v>1</v>
      </c>
      <c r="I9093" s="24">
        <v>0</v>
      </c>
      <c r="J9093" s="25"/>
      <c r="K9093" s="24">
        <v>0</v>
      </c>
      <c r="L9093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9093" s="22" t="str">
        <f>HYPERLINK("mailto:giada.camassa@outsuka.it", "giada.camassa@outsuka.it")</f>
        <v>giada.camassa@outsuka.it</v>
      </c>
      <c r="N9093" s="23">
        <v>46185.415266203701</v>
      </c>
      <c r="O9093" s="14" t="str">
        <f>HYPERLINK("https://otsuka-europe-crm.veevavault.com/ui/#object/email_activity__v/V8C00000003U200", "EN-002095258")</f>
        <v>EN-002095258</v>
      </c>
    </row>
    <row r="9094" spans="1:15" ht="16" x14ac:dyDescent="0.2">
      <c r="A9094" s="19"/>
      <c r="B9094" s="19"/>
      <c r="C9094" s="19"/>
      <c r="D9094" s="19"/>
      <c r="E9094" s="19"/>
      <c r="F9094" s="19"/>
      <c r="G9094" s="19"/>
      <c r="H9094" s="19"/>
      <c r="I9094" s="19"/>
      <c r="J9094" s="19"/>
      <c r="K9094" s="19"/>
      <c r="L9094" s="19"/>
      <c r="M9094" s="19"/>
      <c r="N9094" s="19"/>
      <c r="O9094" s="14" t="str">
        <f>HYPERLINK("https://otsuka-europe-crm.veevavault.com/ui/#object/email_activity__v/V8C00000003U202", "EN-002095260")</f>
        <v>EN-002095260</v>
      </c>
    </row>
    <row r="9095" spans="1:15" ht="16" x14ac:dyDescent="0.2">
      <c r="A9095" s="17" t="str">
        <f>HYPERLINK("https://otsuka-europe-crm.veevavault.com/ui/#object/account__v/V4TZ0000062PBFW", "Pamella Peter")</f>
        <v>Pamella Peter</v>
      </c>
      <c r="B9095" s="17" t="str">
        <f>HYPERLINK("https://otsuka-europe-crm.veevavault.com/ui/#object/vcountry__v/VENZ000004SONFK", "GB")</f>
        <v>GB</v>
      </c>
      <c r="C9095" s="20" t="s">
        <v>39</v>
      </c>
      <c r="D9095" s="21" t="str">
        <f>HYPERLINK("https://otsuka-europe-crm.veevavault.com/ui/#object/approved_document__v/V5OZ025E82TSZBI", "Aripiprazole 960mg Fragment VAE")</f>
        <v>Aripiprazole 960mg Fragment VAE</v>
      </c>
      <c r="E9095" s="22" t="str">
        <f>HYPERLINK("https://otsuka-europe-crm.veevavault.com/ui/#object/sent_email__v/VBL00000002T153", "SE-001435739")</f>
        <v>SE-001435739</v>
      </c>
      <c r="F9095" s="23">
        <v>46185.459548611114</v>
      </c>
      <c r="G9095" s="24">
        <v>1</v>
      </c>
      <c r="H9095" s="24">
        <v>1</v>
      </c>
      <c r="I9095" s="24">
        <v>1</v>
      </c>
      <c r="J9095" s="23">
        <v>46185.459791666668</v>
      </c>
      <c r="K9095" s="24">
        <v>1</v>
      </c>
      <c r="L9095" s="22" t="str">
        <f>HYPERLINK("https://otsuka-europe-crm.veevavault.com/ui/#object/approved_document__v/V5OZ025E82TSZBI", "Aripiprazole 960mg Fragment VAE")</f>
        <v>Aripiprazole 960mg Fragment VAE</v>
      </c>
      <c r="M9095" s="22" t="str">
        <f>HYPERLINK("mailto:sfinnigan@crm.otsuka-europe.com", "sfinnigan@crm.otsuka-europe.com")</f>
        <v>sfinnigan@crm.otsuka-europe.com</v>
      </c>
      <c r="N9095" s="23">
        <v>46185.415312500001</v>
      </c>
      <c r="O9095" s="14" t="str">
        <f>HYPERLINK("https://otsuka-europe-crm.veevavault.com/ui/#object/email_activity__v/V8C00000003U203", "EN-002095261")</f>
        <v>EN-002095261</v>
      </c>
    </row>
    <row r="9096" spans="1:15" ht="16" x14ac:dyDescent="0.2">
      <c r="A9096" s="18"/>
      <c r="B9096" s="18"/>
      <c r="C9096" s="18"/>
      <c r="D9096" s="18"/>
      <c r="E9096" s="18"/>
      <c r="F9096" s="18"/>
      <c r="G9096" s="18"/>
      <c r="H9096" s="18"/>
      <c r="I9096" s="18"/>
      <c r="J9096" s="18"/>
      <c r="K9096" s="18"/>
      <c r="L9096" s="18"/>
      <c r="M9096" s="18"/>
      <c r="N9096" s="18"/>
      <c r="O9096" s="14" t="str">
        <f>HYPERLINK("https://otsuka-europe-crm.veevavault.com/ui/#object/email_activity__v/V8C00000003U251", "EN-002095355")</f>
        <v>EN-002095355</v>
      </c>
    </row>
    <row r="9097" spans="1:15" ht="16" x14ac:dyDescent="0.2">
      <c r="A9097" s="18"/>
      <c r="B9097" s="18"/>
      <c r="C9097" s="18"/>
      <c r="D9097" s="18"/>
      <c r="E9097" s="18"/>
      <c r="F9097" s="18"/>
      <c r="G9097" s="18"/>
      <c r="H9097" s="18"/>
      <c r="I9097" s="18"/>
      <c r="J9097" s="18"/>
      <c r="K9097" s="18"/>
      <c r="L9097" s="18"/>
      <c r="M9097" s="18"/>
      <c r="N9097" s="18"/>
      <c r="O9097" s="14" t="str">
        <f>HYPERLINK("https://otsuka-europe-crm.veevavault.com/ui/#object/email_activity__v/V8C00000003U252", "EN-002095357")</f>
        <v>EN-002095357</v>
      </c>
    </row>
    <row r="9098" spans="1:15" ht="16" x14ac:dyDescent="0.2">
      <c r="A9098" s="19"/>
      <c r="B9098" s="19"/>
      <c r="C9098" s="19"/>
      <c r="D9098" s="19"/>
      <c r="E9098" s="19"/>
      <c r="F9098" s="19"/>
      <c r="G9098" s="19"/>
      <c r="H9098" s="19"/>
      <c r="I9098" s="19"/>
      <c r="J9098" s="19"/>
      <c r="K9098" s="19"/>
      <c r="L9098" s="19"/>
      <c r="M9098" s="19"/>
      <c r="N9098" s="19"/>
      <c r="O9098" s="14" t="str">
        <f>HYPERLINK("https://otsuka-europe-crm.veevavault.com/ui/#object/email_activity__v/V8C00000003V287", "EN-002095352")</f>
        <v>EN-002095352</v>
      </c>
    </row>
    <row r="9099" spans="1:15" ht="16" x14ac:dyDescent="0.2">
      <c r="A9099" s="17" t="str">
        <f>HYPERLINK("https://otsuka-europe-crm.veevavault.com/ui/#object/account__v/V4TZ04ASGBJAKFI", "ALFONSO ORIENTE")</f>
        <v>ALFONSO ORIENTE</v>
      </c>
      <c r="B9099" s="17" t="str">
        <f>HYPERLINK("https://otsuka-europe-crm.veevavault.com/ui/#object/vcountry__v/VENZ000004SONFQ", "IT")</f>
        <v>IT</v>
      </c>
      <c r="C9099" s="20" t="s">
        <v>44</v>
      </c>
      <c r="D9099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9099" s="22" t="str">
        <f>HYPERLINK("https://otsuka-europe-crm.veevavault.com/ui/#object/sent_email__v/VBL00000002T154", "SE-001435740")</f>
        <v>SE-001435740</v>
      </c>
      <c r="F9099" s="23">
        <v>46185.415648148148</v>
      </c>
      <c r="G9099" s="24">
        <v>1</v>
      </c>
      <c r="H9099" s="24">
        <v>1</v>
      </c>
      <c r="I9099" s="24">
        <v>0</v>
      </c>
      <c r="J9099" s="25"/>
      <c r="K9099" s="24">
        <v>0</v>
      </c>
      <c r="L9099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9099" s="22" t="str">
        <f>HYPERLINK("mailto:giada.camassa@outsuka.it", "giada.camassa@outsuka.it")</f>
        <v>giada.camassa@outsuka.it</v>
      </c>
      <c r="N9099" s="23">
        <v>46185.41542824074</v>
      </c>
      <c r="O9099" s="14" t="str">
        <f>HYPERLINK("https://otsuka-europe-crm.veevavault.com/ui/#object/email_activity__v/V8C00000003U201", "EN-002095259")</f>
        <v>EN-002095259</v>
      </c>
    </row>
    <row r="9100" spans="1:15" ht="16" x14ac:dyDescent="0.2">
      <c r="A9100" s="19"/>
      <c r="B9100" s="19"/>
      <c r="C9100" s="19"/>
      <c r="D9100" s="19"/>
      <c r="E9100" s="19"/>
      <c r="F9100" s="19"/>
      <c r="G9100" s="19"/>
      <c r="H9100" s="19"/>
      <c r="I9100" s="19"/>
      <c r="J9100" s="19"/>
      <c r="K9100" s="19"/>
      <c r="L9100" s="19"/>
      <c r="M9100" s="19"/>
      <c r="N9100" s="19"/>
      <c r="O9100" s="14" t="str">
        <f>HYPERLINK("https://otsuka-europe-crm.veevavault.com/ui/#object/email_activity__v/V8C00000003U205", "EN-002095263")</f>
        <v>EN-002095263</v>
      </c>
    </row>
    <row r="9101" spans="1:15" ht="16" x14ac:dyDescent="0.2">
      <c r="A9101" s="17" t="str">
        <f>HYPERLINK("https://otsuka-europe-crm.veevavault.com/ui/#object/account__v/V4TZ025E83QZZAU", "VALERIA OREFICE")</f>
        <v>VALERIA OREFICE</v>
      </c>
      <c r="B9101" s="17" t="str">
        <f>HYPERLINK("https://otsuka-europe-crm.veevavault.com/ui/#object/vcountry__v/VENZ000004SONFQ", "IT")</f>
        <v>IT</v>
      </c>
      <c r="C9101" s="20" t="s">
        <v>44</v>
      </c>
      <c r="D9101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9101" s="22" t="str">
        <f>HYPERLINK("https://otsuka-europe-crm.veevavault.com/ui/#object/sent_email__v/VBL00000002T155", "SE-001435741")</f>
        <v>SE-001435741</v>
      </c>
      <c r="F9101" s="25"/>
      <c r="G9101" s="24">
        <v>0</v>
      </c>
      <c r="H9101" s="24">
        <v>0</v>
      </c>
      <c r="I9101" s="24">
        <v>0</v>
      </c>
      <c r="J9101" s="25"/>
      <c r="K9101" s="24">
        <v>0</v>
      </c>
      <c r="L9101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9101" s="22" t="str">
        <f>HYPERLINK("mailto:giada.camassa@outsuka.it", "giada.camassa@outsuka.it")</f>
        <v>giada.camassa@outsuka.it</v>
      </c>
      <c r="N9101" s="23">
        <v>46185.415798611109</v>
      </c>
      <c r="O9101" s="14" t="str">
        <f>HYPERLINK("https://otsuka-europe-crm.veevavault.com/ui/#object/email_activity__v/V8C00000003U208", "EN-002095264")</f>
        <v>EN-002095264</v>
      </c>
    </row>
    <row r="9102" spans="1:15" ht="16" x14ac:dyDescent="0.2">
      <c r="A9102" s="19"/>
      <c r="B9102" s="19"/>
      <c r="C9102" s="19"/>
      <c r="D9102" s="19"/>
      <c r="E9102" s="19"/>
      <c r="F9102" s="19"/>
      <c r="G9102" s="19"/>
      <c r="H9102" s="19"/>
      <c r="I9102" s="19"/>
      <c r="J9102" s="19"/>
      <c r="K9102" s="19"/>
      <c r="L9102" s="19"/>
      <c r="M9102" s="19"/>
      <c r="N9102" s="19"/>
      <c r="O9102" s="14" t="str">
        <f>HYPERLINK("https://otsuka-europe-crm.veevavault.com/ui/#object/email_activity__v/V8C00000003V285", "EN-002095348")</f>
        <v>EN-002095348</v>
      </c>
    </row>
    <row r="9103" spans="1:15" ht="32" x14ac:dyDescent="0.2">
      <c r="A9103" s="7" t="str">
        <f>HYPERLINK("https://otsuka-europe-crm.veevavault.com/ui/#object/account__v/V4TZ0000062PHBP", "Umberto Pacati")</f>
        <v>Umberto Pacati</v>
      </c>
      <c r="B9103" s="7" t="str">
        <f>HYPERLINK("https://otsuka-europe-crm.veevavault.com/ui/#object/vcountry__v/VENZ000004SONFK", "GB")</f>
        <v>GB</v>
      </c>
      <c r="C9103" s="8" t="s">
        <v>39</v>
      </c>
      <c r="D9103" s="9" t="str">
        <f>HYPERLINK("https://otsuka-europe-crm.veevavault.com/ui/#object/approved_document__v/V5OZ025E82TSZBI", "Aripiprazole 960mg Fragment VAE")</f>
        <v>Aripiprazole 960mg Fragment VAE</v>
      </c>
      <c r="E9103" s="10" t="str">
        <f>HYPERLINK("https://otsuka-europe-crm.veevavault.com/ui/#object/sent_email__v/VBL00000002T156", "SE-001435742")</f>
        <v>SE-001435742</v>
      </c>
      <c r="F9103" s="11"/>
      <c r="G9103" s="12">
        <v>0</v>
      </c>
      <c r="H9103" s="12">
        <v>0</v>
      </c>
      <c r="I9103" s="12">
        <v>0</v>
      </c>
      <c r="J9103" s="11"/>
      <c r="K9103" s="12">
        <v>0</v>
      </c>
      <c r="L9103" s="10" t="str">
        <f>HYPERLINK("https://otsuka-europe-crm.veevavault.com/ui/#object/approved_document__v/V5OZ025E82TSZBI", "Aripiprazole 960mg Fragment VAE")</f>
        <v>Aripiprazole 960mg Fragment VAE</v>
      </c>
      <c r="M9103" s="10" t="str">
        <f>HYPERLINK("mailto:sfinnigan@crm.otsuka-europe.com", "sfinnigan@crm.otsuka-europe.com")</f>
        <v>sfinnigan@crm.otsuka-europe.com</v>
      </c>
      <c r="N9103" s="13">
        <v>46185.415798611109</v>
      </c>
      <c r="O9103" s="14" t="str">
        <f>HYPERLINK("https://otsuka-europe-crm.veevavault.com/ui/#object/email_activity__v/V8C00000003U210", "EN-002095266")</f>
        <v>EN-002095266</v>
      </c>
    </row>
    <row r="9104" spans="1:15" ht="64" x14ac:dyDescent="0.2">
      <c r="A9104" s="7" t="str">
        <f>HYPERLINK("https://otsuka-europe-crm.veevavault.com/ui/#object/account__v/V4TZ04ASGBJPYDW", "LUCA NAVARINI")</f>
        <v>LUCA NAVARINI</v>
      </c>
      <c r="B9104" s="7" t="str">
        <f>HYPERLINK("https://otsuka-europe-crm.veevavault.com/ui/#object/vcountry__v/VENZ000004SONFQ", "IT")</f>
        <v>IT</v>
      </c>
      <c r="C9104" s="8" t="s">
        <v>44</v>
      </c>
      <c r="D9104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9104" s="10" t="str">
        <f>HYPERLINK("https://otsuka-europe-crm.veevavault.com/ui/#object/sent_email__v/VBL00000002T157", "SE-001435743")</f>
        <v>SE-001435743</v>
      </c>
      <c r="F9104" s="11"/>
      <c r="G9104" s="12">
        <v>0</v>
      </c>
      <c r="H9104" s="12">
        <v>0</v>
      </c>
      <c r="I9104" s="12">
        <v>0</v>
      </c>
      <c r="J9104" s="11"/>
      <c r="K9104" s="12">
        <v>0</v>
      </c>
      <c r="L9104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9104" s="10" t="str">
        <f>HYPERLINK("mailto:giada.camassa@outsuka.it", "giada.camassa@outsuka.it")</f>
        <v>giada.camassa@outsuka.it</v>
      </c>
      <c r="N9104" s="13">
        <v>46185.41578703704</v>
      </c>
      <c r="O9104" s="14" t="str">
        <f>HYPERLINK("https://otsuka-europe-crm.veevavault.com/ui/#object/email_activity__v/V8C00000003U209", "EN-002095265")</f>
        <v>EN-002095265</v>
      </c>
    </row>
    <row r="9105" spans="1:15" ht="64" x14ac:dyDescent="0.2">
      <c r="A9105" s="7" t="str">
        <f>HYPERLINK("https://otsuka-europe-crm.veevavault.com/ui/#object/account__v/V4TZ06G6O71SBO3", "FELICE NAPPI")</f>
        <v>FELICE NAPPI</v>
      </c>
      <c r="B9105" s="7" t="str">
        <f>HYPERLINK("https://otsuka-europe-crm.veevavault.com/ui/#object/vcountry__v/VENZ000004SONFQ", "IT")</f>
        <v>IT</v>
      </c>
      <c r="C9105" s="8" t="s">
        <v>44</v>
      </c>
      <c r="D9105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9105" s="10" t="str">
        <f>HYPERLINK("https://otsuka-europe-crm.veevavault.com/ui/#object/sent_email__v/VBL00000002T158", "SE-001435744")</f>
        <v>SE-001435744</v>
      </c>
      <c r="F9105" s="11"/>
      <c r="G9105" s="12">
        <v>0</v>
      </c>
      <c r="H9105" s="12">
        <v>0</v>
      </c>
      <c r="I9105" s="12">
        <v>0</v>
      </c>
      <c r="J9105" s="11"/>
      <c r="K9105" s="12">
        <v>0</v>
      </c>
      <c r="L9105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9105" s="10" t="str">
        <f>HYPERLINK("mailto:giada.camassa@outsuka.it", "giada.camassa@outsuka.it")</f>
        <v>giada.camassa@outsuka.it</v>
      </c>
      <c r="N9105" s="13">
        <v>46185.415902777779</v>
      </c>
      <c r="O9105" s="14" t="str">
        <f>HYPERLINK("https://otsuka-europe-crm.veevavault.com/ui/#object/email_activity__v/V8C00000003U211", "EN-002095267")</f>
        <v>EN-002095267</v>
      </c>
    </row>
    <row r="9106" spans="1:15" ht="64" x14ac:dyDescent="0.2">
      <c r="A9106" s="7" t="str">
        <f>HYPERLINK("https://otsuka-europe-crm.veevavault.com/ui/#object/account__v/V4TZ04ASGC0197N", "CATERINA NACLERIO")</f>
        <v>CATERINA NACLERIO</v>
      </c>
      <c r="B9106" s="7" t="str">
        <f>HYPERLINK("https://otsuka-europe-crm.veevavault.com/ui/#object/vcountry__v/VENZ000004SONFQ", "IT")</f>
        <v>IT</v>
      </c>
      <c r="C9106" s="8" t="s">
        <v>44</v>
      </c>
      <c r="D9106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9106" s="10" t="str">
        <f>HYPERLINK("https://otsuka-europe-crm.veevavault.com/ui/#object/sent_email__v/VBL00000002T159", "SE-001435745")</f>
        <v>SE-001435745</v>
      </c>
      <c r="F9106" s="11"/>
      <c r="G9106" s="12">
        <v>0</v>
      </c>
      <c r="H9106" s="12">
        <v>0</v>
      </c>
      <c r="I9106" s="12">
        <v>0</v>
      </c>
      <c r="J9106" s="11"/>
      <c r="K9106" s="12">
        <v>0</v>
      </c>
      <c r="L9106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9106" s="10" t="str">
        <f>HYPERLINK("mailto:giada.camassa@outsuka.it", "giada.camassa@outsuka.it")</f>
        <v>giada.camassa@outsuka.it</v>
      </c>
      <c r="N9106" s="13">
        <v>46185.416145833333</v>
      </c>
      <c r="O9106" s="14" t="str">
        <f>HYPERLINK("https://otsuka-europe-crm.veevavault.com/ui/#object/email_activity__v/V8C00000003U212", "EN-002095268")</f>
        <v>EN-002095268</v>
      </c>
    </row>
    <row r="9107" spans="1:15" ht="32" x14ac:dyDescent="0.2">
      <c r="A9107" s="7" t="str">
        <f>HYPERLINK("https://otsuka-europe-crm.veevavault.com/ui/#object/account__v/V4TZ04ASGBJUAH2", "Abdul Mughal")</f>
        <v>Abdul Mughal</v>
      </c>
      <c r="B9107" s="7" t="str">
        <f>HYPERLINK("https://otsuka-europe-crm.veevavault.com/ui/#object/vcountry__v/VENZ000004SONFK", "GB")</f>
        <v>GB</v>
      </c>
      <c r="C9107" s="8" t="s">
        <v>39</v>
      </c>
      <c r="D9107" s="9" t="str">
        <f>HYPERLINK("https://otsuka-europe-crm.veevavault.com/ui/#object/approved_document__v/V5OZ025E82TSZBI", "Aripiprazole 960mg Fragment VAE")</f>
        <v>Aripiprazole 960mg Fragment VAE</v>
      </c>
      <c r="E9107" s="10" t="str">
        <f>HYPERLINK("https://otsuka-europe-crm.veevavault.com/ui/#object/sent_email__v/VBL00000002T160", "SE-001435746")</f>
        <v>SE-001435746</v>
      </c>
      <c r="F9107" s="11"/>
      <c r="G9107" s="12">
        <v>0</v>
      </c>
      <c r="H9107" s="12">
        <v>0</v>
      </c>
      <c r="I9107" s="12">
        <v>0</v>
      </c>
      <c r="J9107" s="11"/>
      <c r="K9107" s="12">
        <v>0</v>
      </c>
      <c r="L9107" s="10" t="str">
        <f>HYPERLINK("https://otsuka-europe-crm.veevavault.com/ui/#object/approved_document__v/V5OZ025E82TSZBI", "Aripiprazole 960mg Fragment VAE")</f>
        <v>Aripiprazole 960mg Fragment VAE</v>
      </c>
      <c r="M9107" s="10" t="str">
        <f>HYPERLINK("mailto:sfinnigan@crm.otsuka-europe.com", "sfinnigan@crm.otsuka-europe.com")</f>
        <v>sfinnigan@crm.otsuka-europe.com</v>
      </c>
      <c r="N9107" s="13">
        <v>46185.416145833333</v>
      </c>
      <c r="O9107" s="14" t="str">
        <f>HYPERLINK("https://otsuka-europe-crm.veevavault.com/ui/#object/email_activity__v/V8C00000003U213", "EN-002095269")</f>
        <v>EN-002095269</v>
      </c>
    </row>
    <row r="9108" spans="1:15" ht="64" x14ac:dyDescent="0.2">
      <c r="A9108" s="7" t="str">
        <f>HYPERLINK("https://otsuka-europe-crm.veevavault.com/ui/#object/account__v/V4TZ04ASG9AWFNR", "CORRADO MURTAS")</f>
        <v>CORRADO MURTAS</v>
      </c>
      <c r="B9108" s="7" t="str">
        <f>HYPERLINK("https://otsuka-europe-crm.veevavault.com/ui/#object/vcountry__v/VENZ000004SONFQ", "IT")</f>
        <v>IT</v>
      </c>
      <c r="C9108" s="8" t="s">
        <v>44</v>
      </c>
      <c r="D9108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9108" s="10" t="str">
        <f>HYPERLINK("https://otsuka-europe-crm.veevavault.com/ui/#object/sent_email__v/VBL00000002T161", "SE-001435747")</f>
        <v>SE-001435747</v>
      </c>
      <c r="F9108" s="11"/>
      <c r="G9108" s="12">
        <v>0</v>
      </c>
      <c r="H9108" s="12">
        <v>0</v>
      </c>
      <c r="I9108" s="12">
        <v>0</v>
      </c>
      <c r="J9108" s="11"/>
      <c r="K9108" s="12">
        <v>0</v>
      </c>
      <c r="L9108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9108" s="10" t="str">
        <f>HYPERLINK("mailto:giada.camassa@outsuka.it", "giada.camassa@outsuka.it")</f>
        <v>giada.camassa@outsuka.it</v>
      </c>
      <c r="N9108" s="13">
        <v>46185.416180555556</v>
      </c>
      <c r="O9108" s="14" t="str">
        <f>HYPERLINK("https://otsuka-europe-crm.veevavault.com/ui/#object/email_activity__v/V8C00000003U215", "EN-002095271")</f>
        <v>EN-002095271</v>
      </c>
    </row>
    <row r="9109" spans="1:15" ht="64" x14ac:dyDescent="0.2">
      <c r="A9109" s="7" t="str">
        <f>HYPERLINK("https://otsuka-europe-crm.veevavault.com/ui/#object/account__v/V4TZ04ASGBCE9KP", "PAOLO MOSCATO")</f>
        <v>PAOLO MOSCATO</v>
      </c>
      <c r="B9109" s="7" t="str">
        <f>HYPERLINK("https://otsuka-europe-crm.veevavault.com/ui/#object/vcountry__v/VENZ000004SONFQ", "IT")</f>
        <v>IT</v>
      </c>
      <c r="C9109" s="8" t="s">
        <v>44</v>
      </c>
      <c r="D9109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9109" s="10" t="str">
        <f>HYPERLINK("https://otsuka-europe-crm.veevavault.com/ui/#object/sent_email__v/VBL00000002T162", "SE-001435748")</f>
        <v>SE-001435748</v>
      </c>
      <c r="F9109" s="11"/>
      <c r="G9109" s="12">
        <v>0</v>
      </c>
      <c r="H9109" s="12">
        <v>0</v>
      </c>
      <c r="I9109" s="12">
        <v>0</v>
      </c>
      <c r="J9109" s="11"/>
      <c r="K9109" s="12">
        <v>0</v>
      </c>
      <c r="L9109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9109" s="10" t="str">
        <f>HYPERLINK("mailto:giada.camassa@outsuka.it", "giada.camassa@outsuka.it")</f>
        <v>giada.camassa@outsuka.it</v>
      </c>
      <c r="N9109" s="13">
        <v>46185.416307870371</v>
      </c>
      <c r="O9109" s="14" t="str">
        <f>HYPERLINK("https://otsuka-europe-crm.veevavault.com/ui/#object/email_activity__v/V8C00000003U214", "EN-002095270")</f>
        <v>EN-002095270</v>
      </c>
    </row>
    <row r="9110" spans="1:15" ht="64" x14ac:dyDescent="0.2">
      <c r="A9110" s="7" t="str">
        <f>HYPERLINK("https://otsuka-europe-crm.veevavault.com/ui/#object/account__v/V4TZ06G6O71SBKR", "MASSIMO MOROSETTI")</f>
        <v>MASSIMO MOROSETTI</v>
      </c>
      <c r="B9110" s="7" t="str">
        <f>HYPERLINK("https://otsuka-europe-crm.veevavault.com/ui/#object/vcountry__v/VENZ000004SONFQ", "IT")</f>
        <v>IT</v>
      </c>
      <c r="C9110" s="8" t="s">
        <v>44</v>
      </c>
      <c r="D9110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9110" s="10" t="str">
        <f>HYPERLINK("https://otsuka-europe-crm.veevavault.com/ui/#object/sent_email__v/VBL00000002T163", "SE-001435749")</f>
        <v>SE-001435749</v>
      </c>
      <c r="F9110" s="11"/>
      <c r="G9110" s="12">
        <v>0</v>
      </c>
      <c r="H9110" s="12">
        <v>0</v>
      </c>
      <c r="I9110" s="12">
        <v>0</v>
      </c>
      <c r="J9110" s="11"/>
      <c r="K9110" s="12">
        <v>0</v>
      </c>
      <c r="L9110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9110" s="10" t="str">
        <f>HYPERLINK("mailto:giada.camassa@outsuka.it", "giada.camassa@outsuka.it")</f>
        <v>giada.camassa@outsuka.it</v>
      </c>
      <c r="N9110" s="13">
        <v>46185.416458333333</v>
      </c>
      <c r="O9110" s="14" t="str">
        <f>HYPERLINK("https://otsuka-europe-crm.veevavault.com/ui/#object/email_activity__v/V8C00000003U217", "EN-002095273")</f>
        <v>EN-002095273</v>
      </c>
    </row>
    <row r="9111" spans="1:15" ht="32" x14ac:dyDescent="0.2">
      <c r="A9111" s="7" t="str">
        <f>HYPERLINK("https://otsuka-europe-crm.veevavault.com/ui/#object/account__v/V4TZ0000062PGBU", "Asif Mir")</f>
        <v>Asif Mir</v>
      </c>
      <c r="B9111" s="7" t="str">
        <f>HYPERLINK("https://otsuka-europe-crm.veevavault.com/ui/#object/vcountry__v/VENZ000004SONFK", "GB")</f>
        <v>GB</v>
      </c>
      <c r="C9111" s="8" t="s">
        <v>39</v>
      </c>
      <c r="D9111" s="9" t="str">
        <f>HYPERLINK("https://otsuka-europe-crm.veevavault.com/ui/#object/approved_document__v/V5OZ025E82TSZBI", "Aripiprazole 960mg Fragment VAE")</f>
        <v>Aripiprazole 960mg Fragment VAE</v>
      </c>
      <c r="E9111" s="10" t="str">
        <f>HYPERLINK("https://otsuka-europe-crm.veevavault.com/ui/#object/sent_email__v/VBL00000002T164", "SE-001435750")</f>
        <v>SE-001435750</v>
      </c>
      <c r="F9111" s="11"/>
      <c r="G9111" s="12">
        <v>0</v>
      </c>
      <c r="H9111" s="12">
        <v>0</v>
      </c>
      <c r="I9111" s="12">
        <v>0</v>
      </c>
      <c r="J9111" s="11"/>
      <c r="K9111" s="12">
        <v>0</v>
      </c>
      <c r="L9111" s="10" t="str">
        <f>HYPERLINK("https://otsuka-europe-crm.veevavault.com/ui/#object/approved_document__v/V5OZ025E82TSZBI", "Aripiprazole 960mg Fragment VAE")</f>
        <v>Aripiprazole 960mg Fragment VAE</v>
      </c>
      <c r="M9111" s="10" t="str">
        <f>HYPERLINK("mailto:sfinnigan@crm.otsuka-europe.com", "sfinnigan@crm.otsuka-europe.com")</f>
        <v>sfinnigan@crm.otsuka-europe.com</v>
      </c>
      <c r="N9111" s="13">
        <v>46185.41646990741</v>
      </c>
      <c r="O9111" s="14" t="str">
        <f>HYPERLINK("https://otsuka-europe-crm.veevavault.com/ui/#object/email_activity__v/V8C00000003U216", "EN-002095272")</f>
        <v>EN-002095272</v>
      </c>
    </row>
    <row r="9112" spans="1:15" ht="16" x14ac:dyDescent="0.2">
      <c r="A9112" s="17" t="str">
        <f>HYPERLINK("https://otsuka-europe-crm.veevavault.com/ui/#object/account__v/V4TZ04ASGBCHC67", "STELLA MODICA")</f>
        <v>STELLA MODICA</v>
      </c>
      <c r="B9112" s="17" t="str">
        <f>HYPERLINK("https://otsuka-europe-crm.veevavault.com/ui/#object/vcountry__v/VENZ000004SONFQ", "IT")</f>
        <v>IT</v>
      </c>
      <c r="C9112" s="20" t="s">
        <v>44</v>
      </c>
      <c r="D9112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9112" s="22" t="str">
        <f>HYPERLINK("https://otsuka-europe-crm.veevavault.com/ui/#object/sent_email__v/VBL00000002T165", "SE-001435751")</f>
        <v>SE-001435751</v>
      </c>
      <c r="F9112" s="23">
        <v>46185.420902777776</v>
      </c>
      <c r="G9112" s="24">
        <v>1</v>
      </c>
      <c r="H9112" s="24">
        <v>2</v>
      </c>
      <c r="I9112" s="24">
        <v>0</v>
      </c>
      <c r="J9112" s="25"/>
      <c r="K9112" s="24">
        <v>0</v>
      </c>
      <c r="L9112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9112" s="22" t="str">
        <f>HYPERLINK("mailto:giada.camassa@outsuka.it", "giada.camassa@outsuka.it")</f>
        <v>giada.camassa@outsuka.it</v>
      </c>
      <c r="N9112" s="23">
        <v>46185.416620370372</v>
      </c>
      <c r="O9112" s="14" t="str">
        <f>HYPERLINK("https://otsuka-europe-crm.veevavault.com/ui/#object/email_activity__v/V8C00000003U218", "EN-002095274")</f>
        <v>EN-002095274</v>
      </c>
    </row>
    <row r="9113" spans="1:15" ht="16" x14ac:dyDescent="0.2">
      <c r="A9113" s="18"/>
      <c r="B9113" s="18"/>
      <c r="C9113" s="18"/>
      <c r="D9113" s="18"/>
      <c r="E9113" s="18"/>
      <c r="F9113" s="18"/>
      <c r="G9113" s="18"/>
      <c r="H9113" s="18"/>
      <c r="I9113" s="18"/>
      <c r="J9113" s="18"/>
      <c r="K9113" s="18"/>
      <c r="L9113" s="18"/>
      <c r="M9113" s="18"/>
      <c r="N9113" s="18"/>
      <c r="O9113" s="14" t="str">
        <f>HYPERLINK("https://otsuka-europe-crm.veevavault.com/ui/#object/email_activity__v/V8C00000003U219", "EN-002095275")</f>
        <v>EN-002095275</v>
      </c>
    </row>
    <row r="9114" spans="1:15" ht="16" x14ac:dyDescent="0.2">
      <c r="A9114" s="19"/>
      <c r="B9114" s="19"/>
      <c r="C9114" s="19"/>
      <c r="D9114" s="19"/>
      <c r="E9114" s="19"/>
      <c r="F9114" s="19"/>
      <c r="G9114" s="19"/>
      <c r="H9114" s="19"/>
      <c r="I9114" s="19"/>
      <c r="J9114" s="19"/>
      <c r="K9114" s="19"/>
      <c r="L9114" s="19"/>
      <c r="M9114" s="19"/>
      <c r="N9114" s="19"/>
      <c r="O9114" s="14" t="str">
        <f>HYPERLINK("https://otsuka-europe-crm.veevavault.com/ui/#object/email_activity__v/V8C00000003V259", "EN-002095311")</f>
        <v>EN-002095311</v>
      </c>
    </row>
    <row r="9115" spans="1:15" ht="32" x14ac:dyDescent="0.2">
      <c r="A9115" s="7" t="str">
        <f>HYPERLINK("https://otsuka-europe-crm.veevavault.com/ui/#object/account__v/V4TZ06G6O71UNM9", "Joseph Meagher")</f>
        <v>Joseph Meagher</v>
      </c>
      <c r="B9115" s="7" t="str">
        <f>HYPERLINK("https://otsuka-europe-crm.veevavault.com/ui/#object/vcountry__v/VENZ000004SONFK", "GB")</f>
        <v>GB</v>
      </c>
      <c r="C9115" s="8" t="s">
        <v>39</v>
      </c>
      <c r="D9115" s="9" t="str">
        <f>HYPERLINK("https://otsuka-europe-crm.veevavault.com/ui/#object/approved_document__v/V5OZ025E82TSZBI", "Aripiprazole 960mg Fragment VAE")</f>
        <v>Aripiprazole 960mg Fragment VAE</v>
      </c>
      <c r="E9115" s="10" t="str">
        <f>HYPERLINK("https://otsuka-europe-crm.veevavault.com/ui/#object/sent_email__v/VBL00000002T166", "SE-001435752")</f>
        <v>SE-001435752</v>
      </c>
      <c r="F9115" s="11"/>
      <c r="G9115" s="12">
        <v>0</v>
      </c>
      <c r="H9115" s="12">
        <v>0</v>
      </c>
      <c r="I9115" s="12">
        <v>0</v>
      </c>
      <c r="J9115" s="11"/>
      <c r="K9115" s="12">
        <v>0</v>
      </c>
      <c r="L9115" s="10" t="str">
        <f>HYPERLINK("https://otsuka-europe-crm.veevavault.com/ui/#object/approved_document__v/V5OZ025E82TSZBI", "Aripiprazole 960mg Fragment VAE")</f>
        <v>Aripiprazole 960mg Fragment VAE</v>
      </c>
      <c r="M9115" s="10" t="str">
        <f>HYPERLINK("mailto:sfinnigan@crm.otsuka-europe.com", "sfinnigan@crm.otsuka-europe.com")</f>
        <v>sfinnigan@crm.otsuka-europe.com</v>
      </c>
      <c r="N9115" s="13">
        <v>46185.416817129626</v>
      </c>
      <c r="O9115" s="14" t="str">
        <f>HYPERLINK("https://otsuka-europe-crm.veevavault.com/ui/#object/email_activity__v/V8C00000003U220", "EN-002095276")</f>
        <v>EN-002095276</v>
      </c>
    </row>
    <row r="9116" spans="1:15" ht="64" x14ac:dyDescent="0.2">
      <c r="A9116" s="7" t="str">
        <f>HYPERLINK("https://otsuka-europe-crm.veevavault.com/ui/#object/account__v/V4TZ04ASGBCE9K6", "ANNA MERCHIONDA")</f>
        <v>ANNA MERCHIONDA</v>
      </c>
      <c r="B9116" s="7" t="str">
        <f>HYPERLINK("https://otsuka-europe-crm.veevavault.com/ui/#object/vcountry__v/VENZ000004SONFQ", "IT")</f>
        <v>IT</v>
      </c>
      <c r="C9116" s="8" t="s">
        <v>44</v>
      </c>
      <c r="D9116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9116" s="10" t="str">
        <f>HYPERLINK("https://otsuka-europe-crm.veevavault.com/ui/#object/sent_email__v/VBL00000002T167", "SE-001435753")</f>
        <v>SE-001435753</v>
      </c>
      <c r="F9116" s="11"/>
      <c r="G9116" s="12">
        <v>0</v>
      </c>
      <c r="H9116" s="12">
        <v>0</v>
      </c>
      <c r="I9116" s="12">
        <v>0</v>
      </c>
      <c r="J9116" s="11"/>
      <c r="K9116" s="12">
        <v>0</v>
      </c>
      <c r="L9116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9116" s="10" t="str">
        <f>HYPERLINK("mailto:giada.camassa@outsuka.it", "giada.camassa@outsuka.it")</f>
        <v>giada.camassa@outsuka.it</v>
      </c>
      <c r="N9116" s="13">
        <v>46185.416886574072</v>
      </c>
      <c r="O9116" s="14" t="str">
        <f>HYPERLINK("https://otsuka-europe-crm.veevavault.com/ui/#object/email_activity__v/V8C00000003U221", "EN-002095277")</f>
        <v>EN-002095277</v>
      </c>
    </row>
    <row r="9117" spans="1:15" ht="32" x14ac:dyDescent="0.2">
      <c r="A9117" s="7" t="str">
        <f>HYPERLINK("https://otsuka-europe-crm.veevavault.com/ui/#object/account__v/V4TZ025E84K8SZY", "Phoebe Lyons")</f>
        <v>Phoebe Lyons</v>
      </c>
      <c r="B9117" s="7" t="str">
        <f>HYPERLINK("https://otsuka-europe-crm.veevavault.com/ui/#object/vcountry__v/VENZ000004SONFK", "GB")</f>
        <v>GB</v>
      </c>
      <c r="C9117" s="8" t="s">
        <v>39</v>
      </c>
      <c r="D9117" s="9" t="str">
        <f>HYPERLINK("https://otsuka-europe-crm.veevavault.com/ui/#object/approved_document__v/V5OZ025E82TSZBI", "Aripiprazole 960mg Fragment VAE")</f>
        <v>Aripiprazole 960mg Fragment VAE</v>
      </c>
      <c r="E9117" s="10" t="str">
        <f>HYPERLINK("https://otsuka-europe-crm.veevavault.com/ui/#object/sent_email__v/VBL00000002T168", "SE-001435754")</f>
        <v>SE-001435754</v>
      </c>
      <c r="F9117" s="11"/>
      <c r="G9117" s="12">
        <v>0</v>
      </c>
      <c r="H9117" s="12">
        <v>0</v>
      </c>
      <c r="I9117" s="12">
        <v>0</v>
      </c>
      <c r="J9117" s="11"/>
      <c r="K9117" s="12">
        <v>0</v>
      </c>
      <c r="L9117" s="10" t="str">
        <f>HYPERLINK("https://otsuka-europe-crm.veevavault.com/ui/#object/approved_document__v/V5OZ025E82TSZBI", "Aripiprazole 960mg Fragment VAE")</f>
        <v>Aripiprazole 960mg Fragment VAE</v>
      </c>
      <c r="M9117" s="10" t="str">
        <f>HYPERLINK("mailto:sfinnigan@crm.otsuka-europe.com", "sfinnigan@crm.otsuka-europe.com")</f>
        <v>sfinnigan@crm.otsuka-europe.com</v>
      </c>
      <c r="N9117" s="13">
        <v>46185.417175925926</v>
      </c>
      <c r="O9117" s="14" t="str">
        <f>HYPERLINK("https://otsuka-europe-crm.veevavault.com/ui/#object/email_activity__v/V8C00000003U222", "EN-002095278")</f>
        <v>EN-002095278</v>
      </c>
    </row>
    <row r="9118" spans="1:15" ht="16" x14ac:dyDescent="0.2">
      <c r="A9118" s="17" t="str">
        <f>HYPERLINK("https://otsuka-europe-crm.veevavault.com/ui/#object/account__v/V4TZ0000062PPHH", "Stuart Long")</f>
        <v>Stuart Long</v>
      </c>
      <c r="B9118" s="17" t="str">
        <f>HYPERLINK("https://otsuka-europe-crm.veevavault.com/ui/#object/vcountry__v/VENZ000004SONFK", "GB")</f>
        <v>GB</v>
      </c>
      <c r="C9118" s="20" t="s">
        <v>39</v>
      </c>
      <c r="D9118" s="21" t="str">
        <f>HYPERLINK("https://otsuka-europe-crm.veevavault.com/ui/#object/approved_document__v/V5OZ025E82TSZBI", "Aripiprazole 960mg Fragment VAE")</f>
        <v>Aripiprazole 960mg Fragment VAE</v>
      </c>
      <c r="E9118" s="22" t="str">
        <f>HYPERLINK("https://otsuka-europe-crm.veevavault.com/ui/#object/sent_email__v/VBL00000002T169", "SE-001435755")</f>
        <v>SE-001435755</v>
      </c>
      <c r="F9118" s="23">
        <v>46185.417986111112</v>
      </c>
      <c r="G9118" s="24">
        <v>1</v>
      </c>
      <c r="H9118" s="24">
        <v>2</v>
      </c>
      <c r="I9118" s="24">
        <v>0</v>
      </c>
      <c r="J9118" s="25"/>
      <c r="K9118" s="24">
        <v>0</v>
      </c>
      <c r="L9118" s="22" t="str">
        <f>HYPERLINK("https://otsuka-europe-crm.veevavault.com/ui/#object/approved_document__v/V5OZ025E82TSZBI", "Aripiprazole 960mg Fragment VAE")</f>
        <v>Aripiprazole 960mg Fragment VAE</v>
      </c>
      <c r="M9118" s="22" t="str">
        <f>HYPERLINK("mailto:sfinnigan@crm.otsuka-europe.com", "sfinnigan@crm.otsuka-europe.com")</f>
        <v>sfinnigan@crm.otsuka-europe.com</v>
      </c>
      <c r="N9118" s="23">
        <v>46185.417546296296</v>
      </c>
      <c r="O9118" s="14" t="str">
        <f>HYPERLINK("https://otsuka-europe-crm.veevavault.com/ui/#object/email_activity__v/V8C00000003U223", "EN-002095281")</f>
        <v>EN-002095281</v>
      </c>
    </row>
    <row r="9119" spans="1:15" ht="16" x14ac:dyDescent="0.2">
      <c r="A9119" s="18"/>
      <c r="B9119" s="18"/>
      <c r="C9119" s="18"/>
      <c r="D9119" s="18"/>
      <c r="E9119" s="18"/>
      <c r="F9119" s="18"/>
      <c r="G9119" s="18"/>
      <c r="H9119" s="18"/>
      <c r="I9119" s="18"/>
      <c r="J9119" s="18"/>
      <c r="K9119" s="18"/>
      <c r="L9119" s="18"/>
      <c r="M9119" s="18"/>
      <c r="N9119" s="18"/>
      <c r="O9119" s="14" t="str">
        <f>HYPERLINK("https://otsuka-europe-crm.veevavault.com/ui/#object/email_activity__v/V8C00000003U226", "EN-002095285")</f>
        <v>EN-002095285</v>
      </c>
    </row>
    <row r="9120" spans="1:15" ht="16" x14ac:dyDescent="0.2">
      <c r="A9120" s="19"/>
      <c r="B9120" s="19"/>
      <c r="C9120" s="19"/>
      <c r="D9120" s="19"/>
      <c r="E9120" s="19"/>
      <c r="F9120" s="19"/>
      <c r="G9120" s="19"/>
      <c r="H9120" s="19"/>
      <c r="I9120" s="19"/>
      <c r="J9120" s="19"/>
      <c r="K9120" s="19"/>
      <c r="L9120" s="19"/>
      <c r="M9120" s="19"/>
      <c r="N9120" s="19"/>
      <c r="O9120" s="14" t="str">
        <f>HYPERLINK("https://otsuka-europe-crm.veevavault.com/ui/#object/email_activity__v/V8C00000003V241", "EN-002095279")</f>
        <v>EN-002095279</v>
      </c>
    </row>
    <row r="9121" spans="1:15" ht="16" x14ac:dyDescent="0.2">
      <c r="A9121" s="17" t="str">
        <f>HYPERLINK("https://otsuka-europe-crm.veevavault.com/ui/#object/account__v/V4TZ04ASGBNYFQ7", "DANIELE MAURO")</f>
        <v>DANIELE MAURO</v>
      </c>
      <c r="B9121" s="17" t="str">
        <f>HYPERLINK("https://otsuka-europe-crm.veevavault.com/ui/#object/vcountry__v/VENZ000004SONFQ", "IT")</f>
        <v>IT</v>
      </c>
      <c r="C9121" s="20" t="s">
        <v>44</v>
      </c>
      <c r="D9121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9121" s="22" t="str">
        <f>HYPERLINK("https://otsuka-europe-crm.veevavault.com/ui/#object/sent_email__v/VBL00000002T170", "SE-001435756")</f>
        <v>SE-001435756</v>
      </c>
      <c r="F9121" s="23">
        <v>46185.41777777778</v>
      </c>
      <c r="G9121" s="24">
        <v>1</v>
      </c>
      <c r="H9121" s="24">
        <v>1</v>
      </c>
      <c r="I9121" s="24">
        <v>0</v>
      </c>
      <c r="J9121" s="25"/>
      <c r="K9121" s="24">
        <v>0</v>
      </c>
      <c r="L9121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9121" s="22" t="str">
        <f>HYPERLINK("mailto:giada.camassa@outsuka.it", "giada.camassa@outsuka.it")</f>
        <v>giada.camassa@outsuka.it</v>
      </c>
      <c r="N9121" s="23">
        <v>46185.417627314811</v>
      </c>
      <c r="O9121" s="14" t="str">
        <f>HYPERLINK("https://otsuka-europe-crm.veevavault.com/ui/#object/email_activity__v/V8C00000003V242", "EN-002095280")</f>
        <v>EN-002095280</v>
      </c>
    </row>
    <row r="9122" spans="1:15" ht="16" x14ac:dyDescent="0.2">
      <c r="A9122" s="19"/>
      <c r="B9122" s="19"/>
      <c r="C9122" s="19"/>
      <c r="D9122" s="19"/>
      <c r="E9122" s="19"/>
      <c r="F9122" s="19"/>
      <c r="G9122" s="19"/>
      <c r="H9122" s="19"/>
      <c r="I9122" s="19"/>
      <c r="J9122" s="19"/>
      <c r="K9122" s="19"/>
      <c r="L9122" s="19"/>
      <c r="M9122" s="19"/>
      <c r="N9122" s="19"/>
      <c r="O9122" s="14" t="str">
        <f>HYPERLINK("https://otsuka-europe-crm.veevavault.com/ui/#object/email_activity__v/V8C00000003V243", "EN-002095282")</f>
        <v>EN-002095282</v>
      </c>
    </row>
    <row r="9123" spans="1:15" ht="64" x14ac:dyDescent="0.2">
      <c r="A9123" s="7" t="str">
        <f>HYPERLINK("https://otsuka-europe-crm.veevavault.com/ui/#object/account__v/V4TZ025E83K1VAF", "ANNALISA MARINO")</f>
        <v>ANNALISA MARINO</v>
      </c>
      <c r="B9123" s="7" t="str">
        <f>HYPERLINK("https://otsuka-europe-crm.veevavault.com/ui/#object/vcountry__v/VENZ000004SONFQ", "IT")</f>
        <v>IT</v>
      </c>
      <c r="C9123" s="8" t="s">
        <v>44</v>
      </c>
      <c r="D9123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9123" s="10" t="str">
        <f>HYPERLINK("https://otsuka-europe-crm.veevavault.com/ui/#object/sent_email__v/VBL00000002T171", "SE-001435757")</f>
        <v>SE-001435757</v>
      </c>
      <c r="F9123" s="11"/>
      <c r="G9123" s="12">
        <v>0</v>
      </c>
      <c r="H9123" s="12">
        <v>0</v>
      </c>
      <c r="I9123" s="12">
        <v>0</v>
      </c>
      <c r="J9123" s="11"/>
      <c r="K9123" s="12">
        <v>0</v>
      </c>
      <c r="L9123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9123" s="10" t="str">
        <f>HYPERLINK("mailto:giada.camassa@outsuka.it", "giada.camassa@outsuka.it")</f>
        <v>giada.camassa@outsuka.it</v>
      </c>
      <c r="N9123" s="13">
        <v>46185.417893518519</v>
      </c>
      <c r="O9123" s="14" t="str">
        <f>HYPERLINK("https://otsuka-europe-crm.veevavault.com/ui/#object/email_activity__v/V8C00000003U224", "EN-002095283")</f>
        <v>EN-002095283</v>
      </c>
    </row>
    <row r="9124" spans="1:15" ht="32" x14ac:dyDescent="0.2">
      <c r="A9124" s="7" t="str">
        <f>HYPERLINK("https://otsuka-europe-crm.veevavault.com/ui/#object/account__v/V4TZ0000062PFP8", "Cherry Lewin")</f>
        <v>Cherry Lewin</v>
      </c>
      <c r="B9124" s="7" t="str">
        <f>HYPERLINK("https://otsuka-europe-crm.veevavault.com/ui/#object/vcountry__v/VENZ000004SONFK", "GB")</f>
        <v>GB</v>
      </c>
      <c r="C9124" s="8" t="s">
        <v>39</v>
      </c>
      <c r="D9124" s="9" t="str">
        <f>HYPERLINK("https://otsuka-europe-crm.veevavault.com/ui/#object/approved_document__v/V5OZ025E82TSZBI", "Aripiprazole 960mg Fragment VAE")</f>
        <v>Aripiprazole 960mg Fragment VAE</v>
      </c>
      <c r="E9124" s="10" t="str">
        <f>HYPERLINK("https://otsuka-europe-crm.veevavault.com/ui/#object/sent_email__v/VBL00000002T172", "SE-001435758")</f>
        <v>SE-001435758</v>
      </c>
      <c r="F9124" s="11"/>
      <c r="G9124" s="12">
        <v>0</v>
      </c>
      <c r="H9124" s="12">
        <v>0</v>
      </c>
      <c r="I9124" s="12">
        <v>0</v>
      </c>
      <c r="J9124" s="11"/>
      <c r="K9124" s="12">
        <v>0</v>
      </c>
      <c r="L9124" s="10" t="str">
        <f>HYPERLINK("https://otsuka-europe-crm.veevavault.com/ui/#object/approved_document__v/V5OZ025E82TSZBI", "Aripiprazole 960mg Fragment VAE")</f>
        <v>Aripiprazole 960mg Fragment VAE</v>
      </c>
      <c r="M9124" s="10" t="str">
        <f>HYPERLINK("mailto:sfinnigan@crm.otsuka-europe.com", "sfinnigan@crm.otsuka-europe.com")</f>
        <v>sfinnigan@crm.otsuka-europe.com</v>
      </c>
      <c r="N9124" s="13">
        <v>46185.417870370373</v>
      </c>
      <c r="O9124" s="14" t="str">
        <f>HYPERLINK("https://otsuka-europe-crm.veevavault.com/ui/#object/email_activity__v/V8C00000003U225", "EN-002095284")</f>
        <v>EN-002095284</v>
      </c>
    </row>
    <row r="9125" spans="1:15" ht="64" x14ac:dyDescent="0.2">
      <c r="A9125" s="7" t="str">
        <f>HYPERLINK("https://otsuka-europe-crm.veevavault.com/ui/#object/account__v/V4TZ025E86FK8AA", "SILVIA MANCUSO")</f>
        <v>SILVIA MANCUSO</v>
      </c>
      <c r="B9125" s="7" t="str">
        <f>HYPERLINK("https://otsuka-europe-crm.veevavault.com/ui/#object/vcountry__v/VENZ000004SONFQ", "IT")</f>
        <v>IT</v>
      </c>
      <c r="C9125" s="8" t="s">
        <v>44</v>
      </c>
      <c r="D9125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9125" s="10" t="str">
        <f>HYPERLINK("https://otsuka-europe-crm.veevavault.com/ui/#object/sent_email__v/VBL00000002T173", "SE-001435759")</f>
        <v>SE-001435759</v>
      </c>
      <c r="F9125" s="11"/>
      <c r="G9125" s="12">
        <v>0</v>
      </c>
      <c r="H9125" s="12">
        <v>0</v>
      </c>
      <c r="I9125" s="12">
        <v>0</v>
      </c>
      <c r="J9125" s="11"/>
      <c r="K9125" s="12">
        <v>0</v>
      </c>
      <c r="L9125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9125" s="10" t="str">
        <f>HYPERLINK("mailto:giada.camassa@outsuka.it", "giada.camassa@outsuka.it")</f>
        <v>giada.camassa@outsuka.it</v>
      </c>
      <c r="N9125" s="13">
        <v>46185.417962962965</v>
      </c>
      <c r="O9125" s="14" t="str">
        <f>HYPERLINK("https://otsuka-europe-crm.veevavault.com/ui/#object/email_activity__v/V8C00000003U227", "EN-002095286")</f>
        <v>EN-002095286</v>
      </c>
    </row>
    <row r="9126" spans="1:15" ht="32" x14ac:dyDescent="0.2">
      <c r="A9126" s="7" t="str">
        <f>HYPERLINK("https://otsuka-europe-crm.veevavault.com/ui/#object/account__v/V4TZ0000062PFQE", "Nismen Lathif")</f>
        <v>Nismen Lathif</v>
      </c>
      <c r="B9126" s="7" t="str">
        <f>HYPERLINK("https://otsuka-europe-crm.veevavault.com/ui/#object/vcountry__v/VENZ000004SONFK", "GB")</f>
        <v>GB</v>
      </c>
      <c r="C9126" s="8" t="s">
        <v>39</v>
      </c>
      <c r="D9126" s="9" t="str">
        <f>HYPERLINK("https://otsuka-europe-crm.veevavault.com/ui/#object/approved_document__v/V5OZ025E82TSZBI", "Aripiprazole 960mg Fragment VAE")</f>
        <v>Aripiprazole 960mg Fragment VAE</v>
      </c>
      <c r="E9126" s="10" t="str">
        <f>HYPERLINK("https://otsuka-europe-crm.veevavault.com/ui/#object/sent_email__v/VBL00000002T174", "SE-001435760")</f>
        <v>SE-001435760</v>
      </c>
      <c r="F9126" s="11"/>
      <c r="G9126" s="12">
        <v>0</v>
      </c>
      <c r="H9126" s="12">
        <v>0</v>
      </c>
      <c r="I9126" s="12">
        <v>0</v>
      </c>
      <c r="J9126" s="11"/>
      <c r="K9126" s="12">
        <v>0</v>
      </c>
      <c r="L9126" s="10" t="str">
        <f>HYPERLINK("https://otsuka-europe-crm.veevavault.com/ui/#object/approved_document__v/V5OZ025E82TSZBI", "Aripiprazole 960mg Fragment VAE")</f>
        <v>Aripiprazole 960mg Fragment VAE</v>
      </c>
      <c r="M9126" s="10" t="str">
        <f>HYPERLINK("mailto:sfinnigan@crm.otsuka-europe.com", "sfinnigan@crm.otsuka-europe.com")</f>
        <v>sfinnigan@crm.otsuka-europe.com</v>
      </c>
      <c r="N9126" s="13">
        <v>46185.418032407404</v>
      </c>
      <c r="O9126" s="14" t="str">
        <f>HYPERLINK("https://otsuka-europe-crm.veevavault.com/ui/#object/email_activity__v/V8C00000003V245", "EN-002095288")</f>
        <v>EN-002095288</v>
      </c>
    </row>
    <row r="9127" spans="1:15" ht="64" x14ac:dyDescent="0.2">
      <c r="A9127" s="7" t="str">
        <f>HYPERLINK("https://otsuka-europe-crm.veevavault.com/ui/#object/account__v/V4TZ04ASGBC5XG5", "SEBASTIANO LORUSSO")</f>
        <v>SEBASTIANO LORUSSO</v>
      </c>
      <c r="B9127" s="7" t="str">
        <f t="shared" ref="B9127:B9132" si="694">HYPERLINK("https://otsuka-europe-crm.veevavault.com/ui/#object/vcountry__v/VENZ000004SONFQ", "IT")</f>
        <v>IT</v>
      </c>
      <c r="C9127" s="8" t="s">
        <v>44</v>
      </c>
      <c r="D9127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9127" s="10" t="str">
        <f>HYPERLINK("https://otsuka-europe-crm.veevavault.com/ui/#object/sent_email__v/VBL00000002T175", "SE-001435761")</f>
        <v>SE-001435761</v>
      </c>
      <c r="F9127" s="11"/>
      <c r="G9127" s="12">
        <v>0</v>
      </c>
      <c r="H9127" s="12">
        <v>0</v>
      </c>
      <c r="I9127" s="12">
        <v>0</v>
      </c>
      <c r="J9127" s="11"/>
      <c r="K9127" s="12">
        <v>0</v>
      </c>
      <c r="L9127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9127" s="10" t="str">
        <f t="shared" ref="M9127:M9132" si="695">HYPERLINK("mailto:giada.camassa@outsuka.it", "giada.camassa@outsuka.it")</f>
        <v>giada.camassa@outsuka.it</v>
      </c>
      <c r="N9127" s="13">
        <v>46185.418124999997</v>
      </c>
      <c r="O9127" s="14" t="str">
        <f>HYPERLINK("https://otsuka-europe-crm.veevavault.com/ui/#object/email_activity__v/V8C00000003V244", "EN-002095287")</f>
        <v>EN-002095287</v>
      </c>
    </row>
    <row r="9128" spans="1:15" ht="64" x14ac:dyDescent="0.2">
      <c r="A9128" s="7" t="str">
        <f>HYPERLINK("https://otsuka-europe-crm.veevavault.com/ui/#object/account__v/V4TZ04ASGC2KJWQ", "FRANCESCO LONDRINO")</f>
        <v>FRANCESCO LONDRINO</v>
      </c>
      <c r="B9128" s="7" t="str">
        <f t="shared" si="694"/>
        <v>IT</v>
      </c>
      <c r="C9128" s="8" t="s">
        <v>44</v>
      </c>
      <c r="D9128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9128" s="10" t="str">
        <f>HYPERLINK("https://otsuka-europe-crm.veevavault.com/ui/#object/sent_email__v/VBL00000002T176", "SE-001435762")</f>
        <v>SE-001435762</v>
      </c>
      <c r="F9128" s="11"/>
      <c r="G9128" s="12">
        <v>0</v>
      </c>
      <c r="H9128" s="12">
        <v>0</v>
      </c>
      <c r="I9128" s="12">
        <v>0</v>
      </c>
      <c r="J9128" s="11"/>
      <c r="K9128" s="12">
        <v>0</v>
      </c>
      <c r="L9128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9128" s="10" t="str">
        <f t="shared" si="695"/>
        <v>giada.camassa@outsuka.it</v>
      </c>
      <c r="N9128" s="13">
        <v>46185.418449074074</v>
      </c>
      <c r="O9128" s="14" t="str">
        <f>HYPERLINK("https://otsuka-europe-crm.veevavault.com/ui/#object/email_activity__v/V8C00000003V246", "EN-002095289")</f>
        <v>EN-002095289</v>
      </c>
    </row>
    <row r="9129" spans="1:15" ht="64" x14ac:dyDescent="0.2">
      <c r="A9129" s="7" t="str">
        <f>HYPERLINK("https://otsuka-europe-crm.veevavault.com/ui/#object/account__v/V4TZ04ASGBCFYVY", "GABRIELLA LOI")</f>
        <v>GABRIELLA LOI</v>
      </c>
      <c r="B9129" s="7" t="str">
        <f t="shared" si="694"/>
        <v>IT</v>
      </c>
      <c r="C9129" s="8" t="s">
        <v>44</v>
      </c>
      <c r="D9129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9129" s="10" t="str">
        <f>HYPERLINK("https://otsuka-europe-crm.veevavault.com/ui/#object/sent_email__v/VBL00000002T177", "SE-001435763")</f>
        <v>SE-001435763</v>
      </c>
      <c r="F9129" s="11"/>
      <c r="G9129" s="12">
        <v>0</v>
      </c>
      <c r="H9129" s="12">
        <v>0</v>
      </c>
      <c r="I9129" s="12">
        <v>0</v>
      </c>
      <c r="J9129" s="11"/>
      <c r="K9129" s="12">
        <v>0</v>
      </c>
      <c r="L9129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9129" s="10" t="str">
        <f t="shared" si="695"/>
        <v>giada.camassa@outsuka.it</v>
      </c>
      <c r="N9129" s="13">
        <v>46185.41846064815</v>
      </c>
      <c r="O9129" s="14" t="str">
        <f>HYPERLINK("https://otsuka-europe-crm.veevavault.com/ui/#object/email_activity__v/V8C00000003V247", "EN-002095290")</f>
        <v>EN-002095290</v>
      </c>
    </row>
    <row r="9130" spans="1:15" ht="64" x14ac:dyDescent="0.2">
      <c r="A9130" s="7" t="str">
        <f>HYPERLINK("https://otsuka-europe-crm.veevavault.com/ui/#object/account__v/V4TZ04ASGBNLBEH", "ILARIA LECCESE")</f>
        <v>ILARIA LECCESE</v>
      </c>
      <c r="B9130" s="7" t="str">
        <f t="shared" si="694"/>
        <v>IT</v>
      </c>
      <c r="C9130" s="8" t="s">
        <v>44</v>
      </c>
      <c r="D9130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9130" s="10" t="str">
        <f>HYPERLINK("https://otsuka-europe-crm.veevavault.com/ui/#object/sent_email__v/VBL00000002T178", "SE-001435764")</f>
        <v>SE-001435764</v>
      </c>
      <c r="F9130" s="11"/>
      <c r="G9130" s="12">
        <v>0</v>
      </c>
      <c r="H9130" s="12">
        <v>0</v>
      </c>
      <c r="I9130" s="12">
        <v>0</v>
      </c>
      <c r="J9130" s="11"/>
      <c r="K9130" s="12">
        <v>0</v>
      </c>
      <c r="L9130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9130" s="10" t="str">
        <f t="shared" si="695"/>
        <v>giada.camassa@outsuka.it</v>
      </c>
      <c r="N9130" s="13">
        <v>46185.41878472222</v>
      </c>
      <c r="O9130" s="14" t="str">
        <f>HYPERLINK("https://otsuka-europe-crm.veevavault.com/ui/#object/email_activity__v/V8C00000003U228", "EN-002095291")</f>
        <v>EN-002095291</v>
      </c>
    </row>
    <row r="9131" spans="1:15" ht="64" x14ac:dyDescent="0.2">
      <c r="A9131" s="7" t="str">
        <f>HYPERLINK("https://otsuka-europe-crm.veevavault.com/ui/#object/account__v/V4TZ06G6O94QVG5", "SIMONA LAURINO")</f>
        <v>SIMONA LAURINO</v>
      </c>
      <c r="B9131" s="7" t="str">
        <f t="shared" si="694"/>
        <v>IT</v>
      </c>
      <c r="C9131" s="8" t="s">
        <v>44</v>
      </c>
      <c r="D9131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9131" s="10" t="str">
        <f>HYPERLINK("https://otsuka-europe-crm.veevavault.com/ui/#object/sent_email__v/VBL00000002T179", "SE-001435765")</f>
        <v>SE-001435765</v>
      </c>
      <c r="F9131" s="11"/>
      <c r="G9131" s="12">
        <v>0</v>
      </c>
      <c r="H9131" s="12">
        <v>0</v>
      </c>
      <c r="I9131" s="12">
        <v>0</v>
      </c>
      <c r="J9131" s="11"/>
      <c r="K9131" s="12">
        <v>0</v>
      </c>
      <c r="L9131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9131" s="10" t="str">
        <f t="shared" si="695"/>
        <v>giada.camassa@outsuka.it</v>
      </c>
      <c r="N9131" s="13">
        <v>46185.418749999997</v>
      </c>
      <c r="O9131" s="14" t="str">
        <f>HYPERLINK("https://otsuka-europe-crm.veevavault.com/ui/#object/email_activity__v/V8C00000003U229", "EN-002095292")</f>
        <v>EN-002095292</v>
      </c>
    </row>
    <row r="9132" spans="1:15" ht="64" x14ac:dyDescent="0.2">
      <c r="A9132" s="7" t="str">
        <f>HYPERLINK("https://otsuka-europe-crm.veevavault.com/ui/#object/account__v/V4TZ025E87CNPCA", "LUDOVICA LAMBERTI")</f>
        <v>LUDOVICA LAMBERTI</v>
      </c>
      <c r="B9132" s="7" t="str">
        <f t="shared" si="694"/>
        <v>IT</v>
      </c>
      <c r="C9132" s="8" t="s">
        <v>44</v>
      </c>
      <c r="D9132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9132" s="10" t="str">
        <f>HYPERLINK("https://otsuka-europe-crm.veevavault.com/ui/#object/sent_email__v/VBL00000002T180", "SE-001435766")</f>
        <v>SE-001435766</v>
      </c>
      <c r="F9132" s="11"/>
      <c r="G9132" s="12">
        <v>0</v>
      </c>
      <c r="H9132" s="12">
        <v>0</v>
      </c>
      <c r="I9132" s="12">
        <v>0</v>
      </c>
      <c r="J9132" s="11"/>
      <c r="K9132" s="12">
        <v>0</v>
      </c>
      <c r="L9132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9132" s="10" t="str">
        <f t="shared" si="695"/>
        <v>giada.camassa@outsuka.it</v>
      </c>
      <c r="N9132" s="13">
        <v>46185.418923611112</v>
      </c>
      <c r="O9132" s="14" t="str">
        <f>HYPERLINK("https://otsuka-europe-crm.veevavault.com/ui/#object/email_activity__v/V8C00000003U230", "EN-002095293")</f>
        <v>EN-002095293</v>
      </c>
    </row>
    <row r="9133" spans="1:15" ht="32" x14ac:dyDescent="0.2">
      <c r="A9133" s="7" t="str">
        <f>HYPERLINK("https://otsuka-europe-crm.veevavault.com/ui/#object/account__v/V4TZ0000062PFI8", "Cecil Kullu")</f>
        <v>Cecil Kullu</v>
      </c>
      <c r="B9133" s="7" t="str">
        <f>HYPERLINK("https://otsuka-europe-crm.veevavault.com/ui/#object/vcountry__v/VENZ000004SONFK", "GB")</f>
        <v>GB</v>
      </c>
      <c r="C9133" s="8" t="s">
        <v>39</v>
      </c>
      <c r="D9133" s="9" t="str">
        <f>HYPERLINK("https://otsuka-europe-crm.veevavault.com/ui/#object/approved_document__v/V5OZ025E82TSZBI", "Aripiprazole 960mg Fragment VAE")</f>
        <v>Aripiprazole 960mg Fragment VAE</v>
      </c>
      <c r="E9133" s="10" t="str">
        <f>HYPERLINK("https://otsuka-europe-crm.veevavault.com/ui/#object/sent_email__v/VBL00000002T181", "SE-001435767")</f>
        <v>SE-001435767</v>
      </c>
      <c r="F9133" s="11"/>
      <c r="G9133" s="12">
        <v>0</v>
      </c>
      <c r="H9133" s="12">
        <v>0</v>
      </c>
      <c r="I9133" s="12">
        <v>0</v>
      </c>
      <c r="J9133" s="11"/>
      <c r="K9133" s="12">
        <v>0</v>
      </c>
      <c r="L9133" s="10" t="str">
        <f>HYPERLINK("https://otsuka-europe-crm.veevavault.com/ui/#object/approved_document__v/V5OZ025E82TSZBI", "Aripiprazole 960mg Fragment VAE")</f>
        <v>Aripiprazole 960mg Fragment VAE</v>
      </c>
      <c r="M9133" s="10" t="str">
        <f>HYPERLINK("mailto:sfinnigan@crm.otsuka-europe.com", "sfinnigan@crm.otsuka-europe.com")</f>
        <v>sfinnigan@crm.otsuka-europe.com</v>
      </c>
      <c r="N9133" s="13">
        <v>46185.41909722222</v>
      </c>
      <c r="O9133" s="14" t="str">
        <f>HYPERLINK("https://otsuka-europe-crm.veevavault.com/ui/#object/email_activity__v/V8C00000003V248", "EN-002095294")</f>
        <v>EN-002095294</v>
      </c>
    </row>
    <row r="9134" spans="1:15" ht="64" x14ac:dyDescent="0.2">
      <c r="A9134" s="7" t="str">
        <f>HYPERLINK("https://otsuka-europe-crm.veevavault.com/ui/#object/account__v/V4TZ06G6O71SB7D", "ANTONIETTA LA VERDE")</f>
        <v>ANTONIETTA LA VERDE</v>
      </c>
      <c r="B9134" s="7" t="str">
        <f>HYPERLINK("https://otsuka-europe-crm.veevavault.com/ui/#object/vcountry__v/VENZ000004SONFQ", "IT")</f>
        <v>IT</v>
      </c>
      <c r="C9134" s="8" t="s">
        <v>44</v>
      </c>
      <c r="D9134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9134" s="10" t="str">
        <f>HYPERLINK("https://otsuka-europe-crm.veevavault.com/ui/#object/sent_email__v/VBL00000002T182", "SE-001435768")</f>
        <v>SE-001435768</v>
      </c>
      <c r="F9134" s="11"/>
      <c r="G9134" s="12">
        <v>0</v>
      </c>
      <c r="H9134" s="12">
        <v>0</v>
      </c>
      <c r="I9134" s="12">
        <v>0</v>
      </c>
      <c r="J9134" s="11"/>
      <c r="K9134" s="12">
        <v>0</v>
      </c>
      <c r="L9134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9134" s="10" t="str">
        <f>HYPERLINK("mailto:giada.camassa@outsuka.it", "giada.camassa@outsuka.it")</f>
        <v>giada.camassa@outsuka.it</v>
      </c>
      <c r="N9134" s="13">
        <v>46185.419120370374</v>
      </c>
      <c r="O9134" s="14" t="str">
        <f>HYPERLINK("https://otsuka-europe-crm.veevavault.com/ui/#object/email_activity__v/V8C00000003U231", "EN-002095295")</f>
        <v>EN-002095295</v>
      </c>
    </row>
    <row r="9135" spans="1:15" ht="16" x14ac:dyDescent="0.2">
      <c r="A9135" s="17" t="str">
        <f>HYPERLINK("https://otsuka-europe-crm.veevavault.com/ui/#object/account__v/V4TZ04ASGBCHC4Z", "BARBARA KROEGLER")</f>
        <v>BARBARA KROEGLER</v>
      </c>
      <c r="B9135" s="17" t="str">
        <f>HYPERLINK("https://otsuka-europe-crm.veevavault.com/ui/#object/vcountry__v/VENZ000004SONFQ", "IT")</f>
        <v>IT</v>
      </c>
      <c r="C9135" s="20" t="s">
        <v>44</v>
      </c>
      <c r="D9135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9135" s="22" t="str">
        <f>HYPERLINK("https://otsuka-europe-crm.veevavault.com/ui/#object/sent_email__v/VBL00000002T183", "SE-001435769")</f>
        <v>SE-001435769</v>
      </c>
      <c r="F9135" s="25"/>
      <c r="G9135" s="24">
        <v>0</v>
      </c>
      <c r="H9135" s="24">
        <v>0</v>
      </c>
      <c r="I9135" s="24">
        <v>0</v>
      </c>
      <c r="J9135" s="25"/>
      <c r="K9135" s="24">
        <v>0</v>
      </c>
      <c r="L9135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9135" s="22" t="str">
        <f>HYPERLINK("mailto:giada.camassa@outsuka.it", "giada.camassa@outsuka.it")</f>
        <v>giada.camassa@outsuka.it</v>
      </c>
      <c r="N9135" s="23">
        <v>46185.419212962966</v>
      </c>
      <c r="O9135" s="14" t="str">
        <f>HYPERLINK("https://otsuka-europe-crm.veevavault.com/ui/#object/email_activity__v/V8C00000003U232", "EN-002095296")</f>
        <v>EN-002095296</v>
      </c>
    </row>
    <row r="9136" spans="1:15" ht="16" x14ac:dyDescent="0.2">
      <c r="A9136" s="18"/>
      <c r="B9136" s="18"/>
      <c r="C9136" s="18"/>
      <c r="D9136" s="18"/>
      <c r="E9136" s="18"/>
      <c r="F9136" s="18"/>
      <c r="G9136" s="18"/>
      <c r="H9136" s="18"/>
      <c r="I9136" s="18"/>
      <c r="J9136" s="18"/>
      <c r="K9136" s="18"/>
      <c r="L9136" s="18"/>
      <c r="M9136" s="18"/>
      <c r="N9136" s="18"/>
      <c r="O9136" s="14" t="str">
        <f>HYPERLINK("https://otsuka-europe-crm.veevavault.com/ui/#object/email_activity__v/V8C00000003U422", "EN-002095703")</f>
        <v>EN-002095703</v>
      </c>
    </row>
    <row r="9137" spans="1:15" ht="16" x14ac:dyDescent="0.2">
      <c r="A9137" s="18"/>
      <c r="B9137" s="18"/>
      <c r="C9137" s="18"/>
      <c r="D9137" s="18"/>
      <c r="E9137" s="18"/>
      <c r="F9137" s="18"/>
      <c r="G9137" s="18"/>
      <c r="H9137" s="18"/>
      <c r="I9137" s="18"/>
      <c r="J9137" s="18"/>
      <c r="K9137" s="18"/>
      <c r="L9137" s="18"/>
      <c r="M9137" s="18"/>
      <c r="N9137" s="18"/>
      <c r="O9137" s="14" t="str">
        <f>HYPERLINK("https://otsuka-europe-crm.veevavault.com/ui/#object/email_activity__v/V8C00000003U434", "EN-002095723")</f>
        <v>EN-002095723</v>
      </c>
    </row>
    <row r="9138" spans="1:15" ht="16" x14ac:dyDescent="0.2">
      <c r="A9138" s="19"/>
      <c r="B9138" s="19"/>
      <c r="C9138" s="19"/>
      <c r="D9138" s="19"/>
      <c r="E9138" s="19"/>
      <c r="F9138" s="19"/>
      <c r="G9138" s="19"/>
      <c r="H9138" s="19"/>
      <c r="I9138" s="19"/>
      <c r="J9138" s="19"/>
      <c r="K9138" s="19"/>
      <c r="L9138" s="19"/>
      <c r="M9138" s="19"/>
      <c r="N9138" s="19"/>
      <c r="O9138" s="14" t="str">
        <f>HYPERLINK("https://otsuka-europe-crm.veevavault.com/ui/#object/email_activity__v/V8C00000003W723", "EN-002098431")</f>
        <v>EN-002098431</v>
      </c>
    </row>
    <row r="9139" spans="1:15" ht="64" x14ac:dyDescent="0.2">
      <c r="A9139" s="7" t="str">
        <f>HYPERLINK("https://otsuka-europe-crm.veevavault.com/ui/#object/account__v/V4TZ04ASGBNHMNT", "LJILJANA JANKOVIC")</f>
        <v>LJILJANA JANKOVIC</v>
      </c>
      <c r="B9139" s="7" t="str">
        <f>HYPERLINK("https://otsuka-europe-crm.veevavault.com/ui/#object/vcountry__v/VENZ000004SONFQ", "IT")</f>
        <v>IT</v>
      </c>
      <c r="C9139" s="8" t="s">
        <v>44</v>
      </c>
      <c r="D9139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9139" s="10" t="str">
        <f>HYPERLINK("https://otsuka-europe-crm.veevavault.com/ui/#object/sent_email__v/VBL00000002T184", "SE-001435770")</f>
        <v>SE-001435770</v>
      </c>
      <c r="F9139" s="11"/>
      <c r="G9139" s="12">
        <v>0</v>
      </c>
      <c r="H9139" s="12">
        <v>0</v>
      </c>
      <c r="I9139" s="12">
        <v>0</v>
      </c>
      <c r="J9139" s="11"/>
      <c r="K9139" s="12">
        <v>0</v>
      </c>
      <c r="L9139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9139" s="10" t="str">
        <f>HYPERLINK("mailto:giada.camassa@outsuka.it", "giada.camassa@outsuka.it")</f>
        <v>giada.camassa@outsuka.it</v>
      </c>
      <c r="N9139" s="13">
        <v>46185.419432870367</v>
      </c>
      <c r="O9139" s="14" t="str">
        <f>HYPERLINK("https://otsuka-europe-crm.veevavault.com/ui/#object/email_activity__v/V8C00000003U233", "EN-002095297")</f>
        <v>EN-002095297</v>
      </c>
    </row>
    <row r="9140" spans="1:15" ht="32" x14ac:dyDescent="0.2">
      <c r="A9140" s="7" t="str">
        <f>HYPERLINK("https://otsuka-europe-crm.veevavault.com/ui/#object/account__v/V4TZ06G6OCEQ11U", "Tracey Harrison")</f>
        <v>Tracey Harrison</v>
      </c>
      <c r="B9140" s="7" t="str">
        <f>HYPERLINK("https://otsuka-europe-crm.veevavault.com/ui/#object/vcountry__v/VENZ000004SONFK", "GB")</f>
        <v>GB</v>
      </c>
      <c r="C9140" s="8" t="s">
        <v>39</v>
      </c>
      <c r="D9140" s="9" t="str">
        <f>HYPERLINK("https://otsuka-europe-crm.veevavault.com/ui/#object/approved_document__v/V5OZ025E82TSZBI", "Aripiprazole 960mg Fragment VAE")</f>
        <v>Aripiprazole 960mg Fragment VAE</v>
      </c>
      <c r="E9140" s="10" t="str">
        <f>HYPERLINK("https://otsuka-europe-crm.veevavault.com/ui/#object/sent_email__v/VBL00000002T185", "SE-001435771")</f>
        <v>SE-001435771</v>
      </c>
      <c r="F9140" s="11"/>
      <c r="G9140" s="12">
        <v>0</v>
      </c>
      <c r="H9140" s="12">
        <v>0</v>
      </c>
      <c r="I9140" s="12">
        <v>0</v>
      </c>
      <c r="J9140" s="11"/>
      <c r="K9140" s="12">
        <v>0</v>
      </c>
      <c r="L9140" s="10" t="str">
        <f>HYPERLINK("https://otsuka-europe-crm.veevavault.com/ui/#object/approved_document__v/V5OZ025E82TSZBI", "Aripiprazole 960mg Fragment VAE")</f>
        <v>Aripiprazole 960mg Fragment VAE</v>
      </c>
      <c r="M9140" s="10" t="str">
        <f>HYPERLINK("mailto:sfinnigan@crm.otsuka-europe.com", "sfinnigan@crm.otsuka-europe.com")</f>
        <v>sfinnigan@crm.otsuka-europe.com</v>
      </c>
      <c r="N9140" s="13">
        <v>46185.419594907406</v>
      </c>
      <c r="O9140" s="14" t="str">
        <f>HYPERLINK("https://otsuka-europe-crm.veevavault.com/ui/#object/email_activity__v/V8C00000003U234", "EN-002095298")</f>
        <v>EN-002095298</v>
      </c>
    </row>
    <row r="9141" spans="1:15" ht="16" x14ac:dyDescent="0.2">
      <c r="A9141" s="17" t="str">
        <f>HYPERLINK("https://otsuka-europe-crm.veevavault.com/ui/#object/account__v/V4TZ04ASGE0FU3U", "MARIAROSARIA IANNUZZI")</f>
        <v>MARIAROSARIA IANNUZZI</v>
      </c>
      <c r="B9141" s="17" t="str">
        <f>HYPERLINK("https://otsuka-europe-crm.veevavault.com/ui/#object/vcountry__v/VENZ000004SONFQ", "IT")</f>
        <v>IT</v>
      </c>
      <c r="C9141" s="20" t="s">
        <v>44</v>
      </c>
      <c r="D9141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9141" s="22" t="str">
        <f>HYPERLINK("https://otsuka-europe-crm.veevavault.com/ui/#object/sent_email__v/VBL00000002T186", "SE-001435772")</f>
        <v>SE-001435772</v>
      </c>
      <c r="F9141" s="23">
        <v>46185.419988425929</v>
      </c>
      <c r="G9141" s="24">
        <v>1</v>
      </c>
      <c r="H9141" s="24">
        <v>1</v>
      </c>
      <c r="I9141" s="24">
        <v>0</v>
      </c>
      <c r="J9141" s="25"/>
      <c r="K9141" s="24">
        <v>0</v>
      </c>
      <c r="L9141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9141" s="22" t="str">
        <f>HYPERLINK("mailto:giada.camassa@outsuka.it", "giada.camassa@outsuka.it")</f>
        <v>giada.camassa@outsuka.it</v>
      </c>
      <c r="N9141" s="23">
        <v>46185.41978009259</v>
      </c>
      <c r="O9141" s="14" t="str">
        <f>HYPERLINK("https://otsuka-europe-crm.veevavault.com/ui/#object/email_activity__v/V8C00000003V249", "EN-002095299")</f>
        <v>EN-002095299</v>
      </c>
    </row>
    <row r="9142" spans="1:15" ht="16" x14ac:dyDescent="0.2">
      <c r="A9142" s="19"/>
      <c r="B9142" s="19"/>
      <c r="C9142" s="19"/>
      <c r="D9142" s="19"/>
      <c r="E9142" s="19"/>
      <c r="F9142" s="19"/>
      <c r="G9142" s="19"/>
      <c r="H9142" s="19"/>
      <c r="I9142" s="19"/>
      <c r="J9142" s="19"/>
      <c r="K9142" s="19"/>
      <c r="L9142" s="19"/>
      <c r="M9142" s="19"/>
      <c r="N9142" s="19"/>
      <c r="O9142" s="14" t="str">
        <f>HYPERLINK("https://otsuka-europe-crm.veevavault.com/ui/#object/email_activity__v/V8C00000003V251", "EN-002095302")</f>
        <v>EN-002095302</v>
      </c>
    </row>
    <row r="9143" spans="1:15" ht="64" x14ac:dyDescent="0.2">
      <c r="A9143" s="7" t="str">
        <f>HYPERLINK("https://otsuka-europe-crm.veevavault.com/ui/#object/account__v/V4TZ06G6O9VL04V", "ROBERTA GUASTINI")</f>
        <v>ROBERTA GUASTINI</v>
      </c>
      <c r="B9143" s="7" t="str">
        <f>HYPERLINK("https://otsuka-europe-crm.veevavault.com/ui/#object/vcountry__v/VENZ000004SONFQ", "IT")</f>
        <v>IT</v>
      </c>
      <c r="C9143" s="8" t="s">
        <v>44</v>
      </c>
      <c r="D9143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9143" s="10" t="str">
        <f>HYPERLINK("https://otsuka-europe-crm.veevavault.com/ui/#object/sent_email__v/VBL00000002T187", "SE-001435773")</f>
        <v>SE-001435773</v>
      </c>
      <c r="F9143" s="11"/>
      <c r="G9143" s="12">
        <v>0</v>
      </c>
      <c r="H9143" s="12">
        <v>0</v>
      </c>
      <c r="I9143" s="12">
        <v>0</v>
      </c>
      <c r="J9143" s="11"/>
      <c r="K9143" s="12">
        <v>0</v>
      </c>
      <c r="L9143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9143" s="10" t="str">
        <f>HYPERLINK("mailto:giada.camassa@outsuka.it", "giada.camassa@outsuka.it")</f>
        <v>giada.camassa@outsuka.it</v>
      </c>
      <c r="N9143" s="13">
        <v>46185.419803240744</v>
      </c>
      <c r="O9143" s="14" t="str">
        <f>HYPERLINK("https://otsuka-europe-crm.veevavault.com/ui/#object/email_activity__v/V8C00000003V250", "EN-002095300")</f>
        <v>EN-002095300</v>
      </c>
    </row>
    <row r="9144" spans="1:15" ht="16" x14ac:dyDescent="0.2">
      <c r="A9144" s="17" t="str">
        <f>HYPERLINK("https://otsuka-europe-crm.veevavault.com/ui/#object/account__v/V4TZ04ASGBCHC6I", "ELISABETTA GRECO")</f>
        <v>ELISABETTA GRECO</v>
      </c>
      <c r="B9144" s="17" t="str">
        <f>HYPERLINK("https://otsuka-europe-crm.veevavault.com/ui/#object/vcountry__v/VENZ000004SONFQ", "IT")</f>
        <v>IT</v>
      </c>
      <c r="C9144" s="20" t="s">
        <v>44</v>
      </c>
      <c r="D9144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9144" s="22" t="str">
        <f>HYPERLINK("https://otsuka-europe-crm.veevavault.com/ui/#object/sent_email__v/VBL00000002T188", "SE-001435774")</f>
        <v>SE-001435774</v>
      </c>
      <c r="F9144" s="23">
        <v>46185.424224537041</v>
      </c>
      <c r="G9144" s="24">
        <v>1</v>
      </c>
      <c r="H9144" s="24">
        <v>2</v>
      </c>
      <c r="I9144" s="24">
        <v>0</v>
      </c>
      <c r="J9144" s="25"/>
      <c r="K9144" s="24">
        <v>0</v>
      </c>
      <c r="L9144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9144" s="22" t="str">
        <f>HYPERLINK("mailto:giada.camassa@outsuka.it", "giada.camassa@outsuka.it")</f>
        <v>giada.camassa@outsuka.it</v>
      </c>
      <c r="N9144" s="23">
        <v>46185.419942129629</v>
      </c>
      <c r="O9144" s="14" t="str">
        <f>HYPERLINK("https://otsuka-europe-crm.veevavault.com/ui/#object/email_activity__v/V8C00000003U235", "EN-002095301")</f>
        <v>EN-002095301</v>
      </c>
    </row>
    <row r="9145" spans="1:15" ht="16" x14ac:dyDescent="0.2">
      <c r="A9145" s="18"/>
      <c r="B9145" s="18"/>
      <c r="C9145" s="18"/>
      <c r="D9145" s="18"/>
      <c r="E9145" s="18"/>
      <c r="F9145" s="18"/>
      <c r="G9145" s="18"/>
      <c r="H9145" s="18"/>
      <c r="I9145" s="18"/>
      <c r="J9145" s="18"/>
      <c r="K9145" s="18"/>
      <c r="L9145" s="18"/>
      <c r="M9145" s="18"/>
      <c r="N9145" s="18"/>
      <c r="O9145" s="14" t="str">
        <f>HYPERLINK("https://otsuka-europe-crm.veevavault.com/ui/#object/email_activity__v/V8C00000003U236", "EN-002095303")</f>
        <v>EN-002095303</v>
      </c>
    </row>
    <row r="9146" spans="1:15" ht="16" x14ac:dyDescent="0.2">
      <c r="A9146" s="19"/>
      <c r="B9146" s="19"/>
      <c r="C9146" s="19"/>
      <c r="D9146" s="19"/>
      <c r="E9146" s="19"/>
      <c r="F9146" s="19"/>
      <c r="G9146" s="19"/>
      <c r="H9146" s="19"/>
      <c r="I9146" s="19"/>
      <c r="J9146" s="19"/>
      <c r="K9146" s="19"/>
      <c r="L9146" s="19"/>
      <c r="M9146" s="19"/>
      <c r="N9146" s="19"/>
      <c r="O9146" s="14" t="str">
        <f>HYPERLINK("https://otsuka-europe-crm.veevavault.com/ui/#object/email_activity__v/V8C00000003U242", "EN-002095325")</f>
        <v>EN-002095325</v>
      </c>
    </row>
    <row r="9147" spans="1:15" ht="16" x14ac:dyDescent="0.2">
      <c r="A9147" s="17" t="str">
        <f>HYPERLINK("https://otsuka-europe-crm.veevavault.com/ui/#object/account__v/V4TZ000006DOZVA", "Razia Hussain")</f>
        <v>Razia Hussain</v>
      </c>
      <c r="B9147" s="17" t="str">
        <f>HYPERLINK("https://otsuka-europe-crm.veevavault.com/ui/#object/vcountry__v/VENZ000004SONFK", "GB")</f>
        <v>GB</v>
      </c>
      <c r="C9147" s="20" t="s">
        <v>39</v>
      </c>
      <c r="D9147" s="21" t="str">
        <f>HYPERLINK("https://otsuka-europe-crm.veevavault.com/ui/#object/approved_document__v/V5OZ025E82TSZBI", "Aripiprazole 960mg Fragment VAE")</f>
        <v>Aripiprazole 960mg Fragment VAE</v>
      </c>
      <c r="E9147" s="22" t="str">
        <f>HYPERLINK("https://otsuka-europe-crm.veevavault.com/ui/#object/sent_email__v/VBL00000002T189", "SE-001435775")</f>
        <v>SE-001435775</v>
      </c>
      <c r="F9147" s="23">
        <v>46192.58390046296</v>
      </c>
      <c r="G9147" s="24">
        <v>1</v>
      </c>
      <c r="H9147" s="24">
        <v>17</v>
      </c>
      <c r="I9147" s="24">
        <v>0</v>
      </c>
      <c r="J9147" s="25"/>
      <c r="K9147" s="24">
        <v>0</v>
      </c>
      <c r="L9147" s="22" t="str">
        <f>HYPERLINK("https://otsuka-europe-crm.veevavault.com/ui/#object/approved_document__v/V5OZ025E82TSZBI", "Aripiprazole 960mg Fragment VAE")</f>
        <v>Aripiprazole 960mg Fragment VAE</v>
      </c>
      <c r="M9147" s="22" t="str">
        <f>HYPERLINK("mailto:sfinnigan@crm.otsuka-europe.com", "sfinnigan@crm.otsuka-europe.com")</f>
        <v>sfinnigan@crm.otsuka-europe.com</v>
      </c>
      <c r="N9147" s="23">
        <v>46185.420127314814</v>
      </c>
      <c r="O9147" s="14" t="str">
        <f>HYPERLINK("https://otsuka-europe-crm.veevavault.com/ui/#object/email_activity__v/V8C00000003V255", "EN-002095307")</f>
        <v>EN-002095307</v>
      </c>
    </row>
    <row r="9148" spans="1:15" ht="16" x14ac:dyDescent="0.2">
      <c r="A9148" s="18"/>
      <c r="B9148" s="18"/>
      <c r="C9148" s="18"/>
      <c r="D9148" s="18"/>
      <c r="E9148" s="18"/>
      <c r="F9148" s="18"/>
      <c r="G9148" s="18"/>
      <c r="H9148" s="18"/>
      <c r="I9148" s="18"/>
      <c r="J9148" s="18"/>
      <c r="K9148" s="18"/>
      <c r="L9148" s="18"/>
      <c r="M9148" s="18"/>
      <c r="N9148" s="18"/>
      <c r="O9148" s="14" t="str">
        <f>HYPERLINK("https://otsuka-europe-crm.veevavault.com/ui/#object/email_activity__v/V8C00000003V316", "EN-002095423")</f>
        <v>EN-002095423</v>
      </c>
    </row>
    <row r="9149" spans="1:15" ht="16" x14ac:dyDescent="0.2">
      <c r="A9149" s="18"/>
      <c r="B9149" s="18"/>
      <c r="C9149" s="18"/>
      <c r="D9149" s="18"/>
      <c r="E9149" s="18"/>
      <c r="F9149" s="18"/>
      <c r="G9149" s="18"/>
      <c r="H9149" s="18"/>
      <c r="I9149" s="18"/>
      <c r="J9149" s="18"/>
      <c r="K9149" s="18"/>
      <c r="L9149" s="18"/>
      <c r="M9149" s="18"/>
      <c r="N9149" s="18"/>
      <c r="O9149" s="14" t="str">
        <f>HYPERLINK("https://otsuka-europe-crm.veevavault.com/ui/#object/email_activity__v/V8C00000003V368", "EN-002095528")</f>
        <v>EN-002095528</v>
      </c>
    </row>
    <row r="9150" spans="1:15" ht="16" x14ac:dyDescent="0.2">
      <c r="A9150" s="18"/>
      <c r="B9150" s="18"/>
      <c r="C9150" s="18"/>
      <c r="D9150" s="18"/>
      <c r="E9150" s="18"/>
      <c r="F9150" s="18"/>
      <c r="G9150" s="18"/>
      <c r="H9150" s="18"/>
      <c r="I9150" s="18"/>
      <c r="J9150" s="18"/>
      <c r="K9150" s="18"/>
      <c r="L9150" s="18"/>
      <c r="M9150" s="18"/>
      <c r="N9150" s="18"/>
      <c r="O9150" s="14" t="str">
        <f>HYPERLINK("https://otsuka-europe-crm.veevavault.com/ui/#object/email_activity__v/V8C00000003Z088", "EN-002098816")</f>
        <v>EN-002098816</v>
      </c>
    </row>
    <row r="9151" spans="1:15" ht="16" x14ac:dyDescent="0.2">
      <c r="A9151" s="18"/>
      <c r="B9151" s="18"/>
      <c r="C9151" s="18"/>
      <c r="D9151" s="18"/>
      <c r="E9151" s="18"/>
      <c r="F9151" s="18"/>
      <c r="G9151" s="18"/>
      <c r="H9151" s="18"/>
      <c r="I9151" s="18"/>
      <c r="J9151" s="18"/>
      <c r="K9151" s="18"/>
      <c r="L9151" s="18"/>
      <c r="M9151" s="18"/>
      <c r="N9151" s="18"/>
      <c r="O9151" s="14" t="str">
        <f>HYPERLINK("https://otsuka-europe-crm.veevavault.com/ui/#object/email_activity__v/V8C00000003Z089", "EN-002098818")</f>
        <v>EN-002098818</v>
      </c>
    </row>
    <row r="9152" spans="1:15" ht="16" x14ac:dyDescent="0.2">
      <c r="A9152" s="18"/>
      <c r="B9152" s="18"/>
      <c r="C9152" s="18"/>
      <c r="D9152" s="18"/>
      <c r="E9152" s="18"/>
      <c r="F9152" s="18"/>
      <c r="G9152" s="18"/>
      <c r="H9152" s="18"/>
      <c r="I9152" s="18"/>
      <c r="J9152" s="18"/>
      <c r="K9152" s="18"/>
      <c r="L9152" s="18"/>
      <c r="M9152" s="18"/>
      <c r="N9152" s="18"/>
      <c r="O9152" s="14" t="str">
        <f>HYPERLINK("https://otsuka-europe-crm.veevavault.com/ui/#object/email_activity__v/V8C00000003Z091", "EN-002098824")</f>
        <v>EN-002098824</v>
      </c>
    </row>
    <row r="9153" spans="1:15" ht="16" x14ac:dyDescent="0.2">
      <c r="A9153" s="18"/>
      <c r="B9153" s="18"/>
      <c r="C9153" s="18"/>
      <c r="D9153" s="18"/>
      <c r="E9153" s="18"/>
      <c r="F9153" s="18"/>
      <c r="G9153" s="18"/>
      <c r="H9153" s="18"/>
      <c r="I9153" s="18"/>
      <c r="J9153" s="18"/>
      <c r="K9153" s="18"/>
      <c r="L9153" s="18"/>
      <c r="M9153" s="18"/>
      <c r="N9153" s="18"/>
      <c r="O9153" s="14" t="str">
        <f>HYPERLINK("https://otsuka-europe-crm.veevavault.com/ui/#object/email_activity__v/V8C00000003Z093", "EN-002098826")</f>
        <v>EN-002098826</v>
      </c>
    </row>
    <row r="9154" spans="1:15" ht="16" x14ac:dyDescent="0.2">
      <c r="A9154" s="18"/>
      <c r="B9154" s="18"/>
      <c r="C9154" s="18"/>
      <c r="D9154" s="18"/>
      <c r="E9154" s="18"/>
      <c r="F9154" s="18"/>
      <c r="G9154" s="18"/>
      <c r="H9154" s="18"/>
      <c r="I9154" s="18"/>
      <c r="J9154" s="18"/>
      <c r="K9154" s="18"/>
      <c r="L9154" s="18"/>
      <c r="M9154" s="18"/>
      <c r="N9154" s="18"/>
      <c r="O9154" s="14" t="str">
        <f>HYPERLINK("https://otsuka-europe-crm.veevavault.com/ui/#object/email_activity__v/V8C00000003Z094", "EN-002098827")</f>
        <v>EN-002098827</v>
      </c>
    </row>
    <row r="9155" spans="1:15" ht="16" x14ac:dyDescent="0.2">
      <c r="A9155" s="18"/>
      <c r="B9155" s="18"/>
      <c r="C9155" s="18"/>
      <c r="D9155" s="18"/>
      <c r="E9155" s="18"/>
      <c r="F9155" s="18"/>
      <c r="G9155" s="18"/>
      <c r="H9155" s="18"/>
      <c r="I9155" s="18"/>
      <c r="J9155" s="18"/>
      <c r="K9155" s="18"/>
      <c r="L9155" s="18"/>
      <c r="M9155" s="18"/>
      <c r="N9155" s="18"/>
      <c r="O9155" s="14" t="str">
        <f>HYPERLINK("https://otsuka-europe-crm.veevavault.com/ui/#object/email_activity__v/V8C000000040062", "EN-002098810")</f>
        <v>EN-002098810</v>
      </c>
    </row>
    <row r="9156" spans="1:15" ht="16" x14ac:dyDescent="0.2">
      <c r="A9156" s="18"/>
      <c r="B9156" s="18"/>
      <c r="C9156" s="18"/>
      <c r="D9156" s="18"/>
      <c r="E9156" s="18"/>
      <c r="F9156" s="18"/>
      <c r="G9156" s="18"/>
      <c r="H9156" s="18"/>
      <c r="I9156" s="18"/>
      <c r="J9156" s="18"/>
      <c r="K9156" s="18"/>
      <c r="L9156" s="18"/>
      <c r="M9156" s="18"/>
      <c r="N9156" s="18"/>
      <c r="O9156" s="14" t="str">
        <f>HYPERLINK("https://otsuka-europe-crm.veevavault.com/ui/#object/email_activity__v/V8C000000040063", "EN-002098811")</f>
        <v>EN-002098811</v>
      </c>
    </row>
    <row r="9157" spans="1:15" ht="16" x14ac:dyDescent="0.2">
      <c r="A9157" s="18"/>
      <c r="B9157" s="18"/>
      <c r="C9157" s="18"/>
      <c r="D9157" s="18"/>
      <c r="E9157" s="18"/>
      <c r="F9157" s="18"/>
      <c r="G9157" s="18"/>
      <c r="H9157" s="18"/>
      <c r="I9157" s="18"/>
      <c r="J9157" s="18"/>
      <c r="K9157" s="18"/>
      <c r="L9157" s="18"/>
      <c r="M9157" s="18"/>
      <c r="N9157" s="18"/>
      <c r="O9157" s="14" t="str">
        <f>HYPERLINK("https://otsuka-europe-crm.veevavault.com/ui/#object/email_activity__v/V8C000000040065", "EN-002098813")</f>
        <v>EN-002098813</v>
      </c>
    </row>
    <row r="9158" spans="1:15" ht="16" x14ac:dyDescent="0.2">
      <c r="A9158" s="18"/>
      <c r="B9158" s="18"/>
      <c r="C9158" s="18"/>
      <c r="D9158" s="18"/>
      <c r="E9158" s="18"/>
      <c r="F9158" s="18"/>
      <c r="G9158" s="18"/>
      <c r="H9158" s="18"/>
      <c r="I9158" s="18"/>
      <c r="J9158" s="18"/>
      <c r="K9158" s="18"/>
      <c r="L9158" s="18"/>
      <c r="M9158" s="18"/>
      <c r="N9158" s="18"/>
      <c r="O9158" s="14" t="str">
        <f>HYPERLINK("https://otsuka-europe-crm.veevavault.com/ui/#object/email_activity__v/V8C000000040066", "EN-002098814")</f>
        <v>EN-002098814</v>
      </c>
    </row>
    <row r="9159" spans="1:15" ht="16" x14ac:dyDescent="0.2">
      <c r="A9159" s="18"/>
      <c r="B9159" s="18"/>
      <c r="C9159" s="18"/>
      <c r="D9159" s="18"/>
      <c r="E9159" s="18"/>
      <c r="F9159" s="18"/>
      <c r="G9159" s="18"/>
      <c r="H9159" s="18"/>
      <c r="I9159" s="18"/>
      <c r="J9159" s="18"/>
      <c r="K9159" s="18"/>
      <c r="L9159" s="18"/>
      <c r="M9159" s="18"/>
      <c r="N9159" s="18"/>
      <c r="O9159" s="14" t="str">
        <f>HYPERLINK("https://otsuka-europe-crm.veevavault.com/ui/#object/email_activity__v/V8C000000040067", "EN-002098815")</f>
        <v>EN-002098815</v>
      </c>
    </row>
    <row r="9160" spans="1:15" ht="16" x14ac:dyDescent="0.2">
      <c r="A9160" s="18"/>
      <c r="B9160" s="18"/>
      <c r="C9160" s="18"/>
      <c r="D9160" s="18"/>
      <c r="E9160" s="18"/>
      <c r="F9160" s="18"/>
      <c r="G9160" s="18"/>
      <c r="H9160" s="18"/>
      <c r="I9160" s="18"/>
      <c r="J9160" s="18"/>
      <c r="K9160" s="18"/>
      <c r="L9160" s="18"/>
      <c r="M9160" s="18"/>
      <c r="N9160" s="18"/>
      <c r="O9160" s="14" t="str">
        <f>HYPERLINK("https://otsuka-europe-crm.veevavault.com/ui/#object/email_activity__v/V8C000000040068", "EN-002098817")</f>
        <v>EN-002098817</v>
      </c>
    </row>
    <row r="9161" spans="1:15" ht="16" x14ac:dyDescent="0.2">
      <c r="A9161" s="18"/>
      <c r="B9161" s="18"/>
      <c r="C9161" s="18"/>
      <c r="D9161" s="18"/>
      <c r="E9161" s="18"/>
      <c r="F9161" s="18"/>
      <c r="G9161" s="18"/>
      <c r="H9161" s="18"/>
      <c r="I9161" s="18"/>
      <c r="J9161" s="18"/>
      <c r="K9161" s="18"/>
      <c r="L9161" s="18"/>
      <c r="M9161" s="18"/>
      <c r="N9161" s="18"/>
      <c r="O9161" s="14" t="str">
        <f>HYPERLINK("https://otsuka-europe-crm.veevavault.com/ui/#object/email_activity__v/V8C000000040069", "EN-002098819")</f>
        <v>EN-002098819</v>
      </c>
    </row>
    <row r="9162" spans="1:15" ht="16" x14ac:dyDescent="0.2">
      <c r="A9162" s="18"/>
      <c r="B9162" s="18"/>
      <c r="C9162" s="18"/>
      <c r="D9162" s="18"/>
      <c r="E9162" s="18"/>
      <c r="F9162" s="18"/>
      <c r="G9162" s="18"/>
      <c r="H9162" s="18"/>
      <c r="I9162" s="18"/>
      <c r="J9162" s="18"/>
      <c r="K9162" s="18"/>
      <c r="L9162" s="18"/>
      <c r="M9162" s="18"/>
      <c r="N9162" s="18"/>
      <c r="O9162" s="14" t="str">
        <f>HYPERLINK("https://otsuka-europe-crm.veevavault.com/ui/#object/email_activity__v/V8C000000040070", "EN-002098821")</f>
        <v>EN-002098821</v>
      </c>
    </row>
    <row r="9163" spans="1:15" ht="16" x14ac:dyDescent="0.2">
      <c r="A9163" s="18"/>
      <c r="B9163" s="18"/>
      <c r="C9163" s="18"/>
      <c r="D9163" s="18"/>
      <c r="E9163" s="18"/>
      <c r="F9163" s="18"/>
      <c r="G9163" s="18"/>
      <c r="H9163" s="18"/>
      <c r="I9163" s="18"/>
      <c r="J9163" s="18"/>
      <c r="K9163" s="18"/>
      <c r="L9163" s="18"/>
      <c r="M9163" s="18"/>
      <c r="N9163" s="18"/>
      <c r="O9163" s="14" t="str">
        <f>HYPERLINK("https://otsuka-europe-crm.veevavault.com/ui/#object/email_activity__v/V8C000000040071", "EN-002098822")</f>
        <v>EN-002098822</v>
      </c>
    </row>
    <row r="9164" spans="1:15" ht="16" x14ac:dyDescent="0.2">
      <c r="A9164" s="19"/>
      <c r="B9164" s="19"/>
      <c r="C9164" s="19"/>
      <c r="D9164" s="19"/>
      <c r="E9164" s="19"/>
      <c r="F9164" s="19"/>
      <c r="G9164" s="19"/>
      <c r="H9164" s="19"/>
      <c r="I9164" s="19"/>
      <c r="J9164" s="19"/>
      <c r="K9164" s="19"/>
      <c r="L9164" s="19"/>
      <c r="M9164" s="19"/>
      <c r="N9164" s="19"/>
      <c r="O9164" s="14" t="str">
        <f>HYPERLINK("https://otsuka-europe-crm.veevavault.com/ui/#object/email_activity__v/V8C000000040072", "EN-002098823")</f>
        <v>EN-002098823</v>
      </c>
    </row>
    <row r="9165" spans="1:15" ht="16" x14ac:dyDescent="0.2">
      <c r="A9165" s="17" t="str">
        <f>HYPERLINK("https://otsuka-europe-crm.veevavault.com/ui/#object/account__v/V4TZ06G6O71SAQU", "GIUSEPPE GRANDALIANO")</f>
        <v>GIUSEPPE GRANDALIANO</v>
      </c>
      <c r="B9165" s="17" t="str">
        <f>HYPERLINK("https://otsuka-europe-crm.veevavault.com/ui/#object/vcountry__v/VENZ000004SONFQ", "IT")</f>
        <v>IT</v>
      </c>
      <c r="C9165" s="20" t="s">
        <v>44</v>
      </c>
      <c r="D9165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9165" s="22" t="str">
        <f>HYPERLINK("https://otsuka-europe-crm.veevavault.com/ui/#object/sent_email__v/VBL00000002T190", "SE-001435776")</f>
        <v>SE-001435776</v>
      </c>
      <c r="F9165" s="23">
        <v>46185.420300925929</v>
      </c>
      <c r="G9165" s="24">
        <v>1</v>
      </c>
      <c r="H9165" s="24">
        <v>1</v>
      </c>
      <c r="I9165" s="24">
        <v>0</v>
      </c>
      <c r="J9165" s="25"/>
      <c r="K9165" s="24">
        <v>0</v>
      </c>
      <c r="L9165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9165" s="22" t="str">
        <f>HYPERLINK("mailto:giada.camassa@outsuka.it", "giada.camassa@outsuka.it")</f>
        <v>giada.camassa@outsuka.it</v>
      </c>
      <c r="N9165" s="23">
        <v>46185.420162037037</v>
      </c>
      <c r="O9165" s="14" t="str">
        <f>HYPERLINK("https://otsuka-europe-crm.veevavault.com/ui/#object/email_activity__v/V8C00000003V252", "EN-002095304")</f>
        <v>EN-002095304</v>
      </c>
    </row>
    <row r="9166" spans="1:15" ht="16" x14ac:dyDescent="0.2">
      <c r="A9166" s="19"/>
      <c r="B9166" s="19"/>
      <c r="C9166" s="19"/>
      <c r="D9166" s="19"/>
      <c r="E9166" s="19"/>
      <c r="F9166" s="19"/>
      <c r="G9166" s="19"/>
      <c r="H9166" s="19"/>
      <c r="I9166" s="19"/>
      <c r="J9166" s="19"/>
      <c r="K9166" s="19"/>
      <c r="L9166" s="19"/>
      <c r="M9166" s="19"/>
      <c r="N9166" s="19"/>
      <c r="O9166" s="14" t="str">
        <f>HYPERLINK("https://otsuka-europe-crm.veevavault.com/ui/#object/email_activity__v/V8C00000003V254", "EN-002095306")</f>
        <v>EN-002095306</v>
      </c>
    </row>
    <row r="9167" spans="1:15" ht="16" x14ac:dyDescent="0.2">
      <c r="A9167" s="17" t="str">
        <f>HYPERLINK("https://otsuka-europe-crm.veevavault.com/ui/#object/account__v/V4TZ06G6O71SAU3", "GIUSEPPE GIGLIOTTI")</f>
        <v>GIUSEPPE GIGLIOTTI</v>
      </c>
      <c r="B9167" s="17" t="str">
        <f>HYPERLINK("https://otsuka-europe-crm.veevavault.com/ui/#object/vcountry__v/VENZ000004SONFQ", "IT")</f>
        <v>IT</v>
      </c>
      <c r="C9167" s="20" t="s">
        <v>44</v>
      </c>
      <c r="D9167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9167" s="22" t="str">
        <f>HYPERLINK("https://otsuka-europe-crm.veevavault.com/ui/#object/sent_email__v/VBL00000002T191", "SE-001435777")</f>
        <v>SE-001435777</v>
      </c>
      <c r="F9167" s="25"/>
      <c r="G9167" s="24">
        <v>0</v>
      </c>
      <c r="H9167" s="24">
        <v>0</v>
      </c>
      <c r="I9167" s="24">
        <v>0</v>
      </c>
      <c r="J9167" s="25"/>
      <c r="K9167" s="24">
        <v>0</v>
      </c>
      <c r="L9167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9167" s="22" t="str">
        <f>HYPERLINK("mailto:giada.camassa@outsuka.it", "giada.camassa@outsuka.it")</f>
        <v>giada.camassa@outsuka.it</v>
      </c>
      <c r="N9167" s="23">
        <v>46185.420266203706</v>
      </c>
      <c r="O9167" s="14" t="str">
        <f>HYPERLINK("https://otsuka-europe-crm.veevavault.com/ui/#object/email_activity__v/V8C00000003V253", "EN-002095305")</f>
        <v>EN-002095305</v>
      </c>
    </row>
    <row r="9168" spans="1:15" ht="16" x14ac:dyDescent="0.2">
      <c r="A9168" s="18"/>
      <c r="B9168" s="18"/>
      <c r="C9168" s="18"/>
      <c r="D9168" s="18"/>
      <c r="E9168" s="18"/>
      <c r="F9168" s="18"/>
      <c r="G9168" s="18"/>
      <c r="H9168" s="18"/>
      <c r="I9168" s="18"/>
      <c r="J9168" s="18"/>
      <c r="K9168" s="18"/>
      <c r="L9168" s="18"/>
      <c r="M9168" s="18"/>
      <c r="N9168" s="18"/>
      <c r="O9168" s="14" t="str">
        <f>HYPERLINK("https://otsuka-europe-crm.veevavault.com/ui/#object/email_activity__v/V8C00000003V289", "EN-002095356")</f>
        <v>EN-002095356</v>
      </c>
    </row>
    <row r="9169" spans="1:15" ht="16" x14ac:dyDescent="0.2">
      <c r="A9169" s="19"/>
      <c r="B9169" s="19"/>
      <c r="C9169" s="19"/>
      <c r="D9169" s="19"/>
      <c r="E9169" s="19"/>
      <c r="F9169" s="19"/>
      <c r="G9169" s="19"/>
      <c r="H9169" s="19"/>
      <c r="I9169" s="19"/>
      <c r="J9169" s="19"/>
      <c r="K9169" s="19"/>
      <c r="L9169" s="19"/>
      <c r="M9169" s="19"/>
      <c r="N9169" s="19"/>
      <c r="O9169" s="14" t="str">
        <f>HYPERLINK("https://otsuka-europe-crm.veevavault.com/ui/#object/email_activity__v/V8C000000042193", "EN-002100100")</f>
        <v>EN-002100100</v>
      </c>
    </row>
    <row r="9170" spans="1:15" ht="16" x14ac:dyDescent="0.2">
      <c r="A9170" s="17" t="str">
        <f>HYPERLINK("https://otsuka-europe-crm.veevavault.com/ui/#object/account__v/V4TZ04ASGC7D29P", "MARIA RITA GIGANTE")</f>
        <v>MARIA RITA GIGANTE</v>
      </c>
      <c r="B9170" s="17" t="str">
        <f>HYPERLINK("https://otsuka-europe-crm.veevavault.com/ui/#object/vcountry__v/VENZ000004SONFQ", "IT")</f>
        <v>IT</v>
      </c>
      <c r="C9170" s="20" t="s">
        <v>44</v>
      </c>
      <c r="D9170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9170" s="22" t="str">
        <f>HYPERLINK("https://otsuka-europe-crm.veevavault.com/ui/#object/sent_email__v/VBL00000002T192", "SE-001435778")</f>
        <v>SE-001435778</v>
      </c>
      <c r="F9170" s="23">
        <v>46185.420659722222</v>
      </c>
      <c r="G9170" s="24">
        <v>1</v>
      </c>
      <c r="H9170" s="24">
        <v>1</v>
      </c>
      <c r="I9170" s="24">
        <v>0</v>
      </c>
      <c r="J9170" s="25"/>
      <c r="K9170" s="24">
        <v>0</v>
      </c>
      <c r="L9170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9170" s="22" t="str">
        <f>HYPERLINK("mailto:giada.camassa@outsuka.it", "giada.camassa@outsuka.it")</f>
        <v>giada.camassa@outsuka.it</v>
      </c>
      <c r="N9170" s="23">
        <v>46185.420497685183</v>
      </c>
      <c r="O9170" s="14" t="str">
        <f>HYPERLINK("https://otsuka-europe-crm.veevavault.com/ui/#object/email_activity__v/V8C00000003V256", "EN-002095308")</f>
        <v>EN-002095308</v>
      </c>
    </row>
    <row r="9171" spans="1:15" ht="16" x14ac:dyDescent="0.2">
      <c r="A9171" s="19"/>
      <c r="B9171" s="19"/>
      <c r="C9171" s="19"/>
      <c r="D9171" s="19"/>
      <c r="E9171" s="19"/>
      <c r="F9171" s="19"/>
      <c r="G9171" s="19"/>
      <c r="H9171" s="19"/>
      <c r="I9171" s="19"/>
      <c r="J9171" s="19"/>
      <c r="K9171" s="19"/>
      <c r="L9171" s="19"/>
      <c r="M9171" s="19"/>
      <c r="N9171" s="19"/>
      <c r="O9171" s="14" t="str">
        <f>HYPERLINK("https://otsuka-europe-crm.veevavault.com/ui/#object/email_activity__v/V8C00000003V257", "EN-002095309")</f>
        <v>EN-002095309</v>
      </c>
    </row>
    <row r="9172" spans="1:15" ht="16" x14ac:dyDescent="0.2">
      <c r="A9172" s="17" t="str">
        <f>HYPERLINK("https://otsuka-europe-crm.veevavault.com/ui/#object/account__v/V4TZ04ASGB4UR3E", "SAVIANA GANDOLFO")</f>
        <v>SAVIANA GANDOLFO</v>
      </c>
      <c r="B9172" s="17" t="str">
        <f>HYPERLINK("https://otsuka-europe-crm.veevavault.com/ui/#object/vcountry__v/VENZ000004SONFQ", "IT")</f>
        <v>IT</v>
      </c>
      <c r="C9172" s="20" t="s">
        <v>44</v>
      </c>
      <c r="D9172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9172" s="22" t="str">
        <f>HYPERLINK("https://otsuka-europe-crm.veevavault.com/ui/#object/sent_email__v/VBL00000002T193", "SE-001435779")</f>
        <v>SE-001435779</v>
      </c>
      <c r="F9172" s="23">
        <v>46185.429201388892</v>
      </c>
      <c r="G9172" s="24">
        <v>1</v>
      </c>
      <c r="H9172" s="24">
        <v>2</v>
      </c>
      <c r="I9172" s="24">
        <v>0</v>
      </c>
      <c r="J9172" s="25"/>
      <c r="K9172" s="24">
        <v>0</v>
      </c>
      <c r="L9172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9172" s="22" t="str">
        <f>HYPERLINK("mailto:giada.camassa@outsuka.it", "giada.camassa@outsuka.it")</f>
        <v>giada.camassa@outsuka.it</v>
      </c>
      <c r="N9172" s="23">
        <v>46185.42083333333</v>
      </c>
      <c r="O9172" s="14" t="str">
        <f>HYPERLINK("https://otsuka-europe-crm.veevavault.com/ui/#object/email_activity__v/V8C00000003U237", "EN-002095312")</f>
        <v>EN-002095312</v>
      </c>
    </row>
    <row r="9173" spans="1:15" ht="16" x14ac:dyDescent="0.2">
      <c r="A9173" s="18"/>
      <c r="B9173" s="18"/>
      <c r="C9173" s="18"/>
      <c r="D9173" s="18"/>
      <c r="E9173" s="18"/>
      <c r="F9173" s="18"/>
      <c r="G9173" s="18"/>
      <c r="H9173" s="18"/>
      <c r="I9173" s="18"/>
      <c r="J9173" s="18"/>
      <c r="K9173" s="18"/>
      <c r="L9173" s="18"/>
      <c r="M9173" s="18"/>
      <c r="N9173" s="18"/>
      <c r="O9173" s="14" t="str">
        <f>HYPERLINK("https://otsuka-europe-crm.veevavault.com/ui/#object/email_activity__v/V8C00000003V258", "EN-002095310")</f>
        <v>EN-002095310</v>
      </c>
    </row>
    <row r="9174" spans="1:15" ht="16" x14ac:dyDescent="0.2">
      <c r="A9174" s="19"/>
      <c r="B9174" s="19"/>
      <c r="C9174" s="19"/>
      <c r="D9174" s="19"/>
      <c r="E9174" s="19"/>
      <c r="F9174" s="19"/>
      <c r="G9174" s="19"/>
      <c r="H9174" s="19"/>
      <c r="I9174" s="19"/>
      <c r="J9174" s="19"/>
      <c r="K9174" s="19"/>
      <c r="L9174" s="19"/>
      <c r="M9174" s="19"/>
      <c r="N9174" s="19"/>
      <c r="O9174" s="14" t="str">
        <f>HYPERLINK("https://otsuka-europe-crm.veevavault.com/ui/#object/email_activity__v/V8C00000003V276", "EN-002095334")</f>
        <v>EN-002095334</v>
      </c>
    </row>
    <row r="9175" spans="1:15" ht="64" x14ac:dyDescent="0.2">
      <c r="A9175" s="7" t="str">
        <f>HYPERLINK("https://otsuka-europe-crm.veevavault.com/ui/#object/account__v/V4TZ04ASGBCHCA3", "SARA FERRIGNO")</f>
        <v>SARA FERRIGNO</v>
      </c>
      <c r="B9175" s="7" t="str">
        <f>HYPERLINK("https://otsuka-europe-crm.veevavault.com/ui/#object/vcountry__v/VENZ000004SONFQ", "IT")</f>
        <v>IT</v>
      </c>
      <c r="C9175" s="8" t="s">
        <v>44</v>
      </c>
      <c r="D9175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9175" s="10" t="str">
        <f>HYPERLINK("https://otsuka-europe-crm.veevavault.com/ui/#object/sent_email__v/VBL00000002T194", "SE-001435780")</f>
        <v>SE-001435780</v>
      </c>
      <c r="F9175" s="11"/>
      <c r="G9175" s="12">
        <v>0</v>
      </c>
      <c r="H9175" s="12">
        <v>0</v>
      </c>
      <c r="I9175" s="12">
        <v>0</v>
      </c>
      <c r="J9175" s="11"/>
      <c r="K9175" s="12">
        <v>0</v>
      </c>
      <c r="L9175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9175" s="10" t="str">
        <f>HYPERLINK("mailto:giada.camassa@outsuka.it", "giada.camassa@outsuka.it")</f>
        <v>giada.camassa@outsuka.it</v>
      </c>
      <c r="N9175" s="13">
        <v>46185.421180555553</v>
      </c>
      <c r="O9175" s="14" t="str">
        <f>HYPERLINK("https://otsuka-europe-crm.veevavault.com/ui/#object/email_activity__v/V8C00000003V260", "EN-002095313")</f>
        <v>EN-002095313</v>
      </c>
    </row>
    <row r="9176" spans="1:15" ht="16" x14ac:dyDescent="0.2">
      <c r="A9176" s="17" t="str">
        <f>HYPERLINK("https://otsuka-europe-crm.veevavault.com/ui/#object/account__v/V4TZ04ASGB4KE60", "SERENA FASANO")</f>
        <v>SERENA FASANO</v>
      </c>
      <c r="B9176" s="17" t="str">
        <f>HYPERLINK("https://otsuka-europe-crm.veevavault.com/ui/#object/vcountry__v/VENZ000004SONFQ", "IT")</f>
        <v>IT</v>
      </c>
      <c r="C9176" s="20" t="s">
        <v>44</v>
      </c>
      <c r="D9176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9176" s="22" t="str">
        <f>HYPERLINK("https://otsuka-europe-crm.veevavault.com/ui/#object/sent_email__v/VBL00000002T195", "SE-001435781")</f>
        <v>SE-001435781</v>
      </c>
      <c r="F9176" s="23">
        <v>46185.421342592592</v>
      </c>
      <c r="G9176" s="24">
        <v>1</v>
      </c>
      <c r="H9176" s="24">
        <v>1</v>
      </c>
      <c r="I9176" s="24">
        <v>0</v>
      </c>
      <c r="J9176" s="25"/>
      <c r="K9176" s="24">
        <v>0</v>
      </c>
      <c r="L9176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9176" s="22" t="str">
        <f>HYPERLINK("mailto:giada.camassa@outsuka.it", "giada.camassa@outsuka.it")</f>
        <v>giada.camassa@outsuka.it</v>
      </c>
      <c r="N9176" s="23">
        <v>46185.421180555553</v>
      </c>
      <c r="O9176" s="14" t="str">
        <f>HYPERLINK("https://otsuka-europe-crm.veevavault.com/ui/#object/email_activity__v/V8C00000003V261", "EN-002095314")</f>
        <v>EN-002095314</v>
      </c>
    </row>
    <row r="9177" spans="1:15" ht="16" x14ac:dyDescent="0.2">
      <c r="A9177" s="19"/>
      <c r="B9177" s="19"/>
      <c r="C9177" s="19"/>
      <c r="D9177" s="19"/>
      <c r="E9177" s="19"/>
      <c r="F9177" s="19"/>
      <c r="G9177" s="19"/>
      <c r="H9177" s="19"/>
      <c r="I9177" s="19"/>
      <c r="J9177" s="19"/>
      <c r="K9177" s="19"/>
      <c r="L9177" s="19"/>
      <c r="M9177" s="19"/>
      <c r="N9177" s="19"/>
      <c r="O9177" s="14" t="str">
        <f>HYPERLINK("https://otsuka-europe-crm.veevavault.com/ui/#object/email_activity__v/V8C00000003V262", "EN-002095316")</f>
        <v>EN-002095316</v>
      </c>
    </row>
    <row r="9178" spans="1:15" ht="16" x14ac:dyDescent="0.2">
      <c r="A9178" s="17" t="str">
        <f>HYPERLINK("https://otsuka-europe-crm.veevavault.com/ui/#object/account__v/V4TZ025E867FBUA", "FRANCESCA DELLA CASA")</f>
        <v>FRANCESCA DELLA CASA</v>
      </c>
      <c r="B9178" s="17" t="str">
        <f>HYPERLINK("https://otsuka-europe-crm.veevavault.com/ui/#object/vcountry__v/VENZ000004SONFQ", "IT")</f>
        <v>IT</v>
      </c>
      <c r="C9178" s="20" t="s">
        <v>44</v>
      </c>
      <c r="D9178" s="21" t="str">
        <f>HYPERLINK("https://otsuka-europe-crm.veevavault.com/ui/#object/approved_document__v/V5O00000000G060", "AE - AGGIORNAMENTI SEZIONE APPROFONDIMENTI IMMUNO IT-NPR-2500150")</f>
        <v>AE - AGGIORNAMENTI SEZIONE APPROFONDIMENTI IMMUNO IT-NPR-2500150</v>
      </c>
      <c r="E9178" s="22" t="str">
        <f>HYPERLINK("https://otsuka-europe-crm.veevavault.com/ui/#object/sent_email__v/VBL00000002T196", "SE-001435782")</f>
        <v>SE-001435782</v>
      </c>
      <c r="F9178" s="23">
        <v>46185.421493055554</v>
      </c>
      <c r="G9178" s="24">
        <v>1</v>
      </c>
      <c r="H9178" s="24">
        <v>1</v>
      </c>
      <c r="I9178" s="24">
        <v>0</v>
      </c>
      <c r="J9178" s="25"/>
      <c r="K9178" s="24">
        <v>0</v>
      </c>
      <c r="L9178" s="22" t="str">
        <f>HYPERLINK("https://otsuka-europe-crm.veevavault.com/ui/#object/approved_document__v/V5O00000000G060", "AE - AGGIORNAMENTI SEZIONE APPROFONDIMENTI IMMUNO IT-NPR-2500150")</f>
        <v>AE - AGGIORNAMENTI SEZIONE APPROFONDIMENTI IMMUNO IT-NPR-2500150</v>
      </c>
      <c r="M9178" s="22" t="str">
        <f>HYPERLINK("mailto:giada.camassa@outsuka.it", "giada.camassa@outsuka.it")</f>
        <v>giada.camassa@outsuka.it</v>
      </c>
      <c r="N9178" s="23">
        <v>46185.421354166669</v>
      </c>
      <c r="O9178" s="14" t="str">
        <f>HYPERLINK("https://otsuka-europe-crm.veevavault.com/ui/#object/email_activity__v/V8C00000003U238", "EN-002095315")</f>
        <v>EN-002095315</v>
      </c>
    </row>
    <row r="9179" spans="1:15" ht="16" x14ac:dyDescent="0.2">
      <c r="A9179" s="19"/>
      <c r="B9179" s="19"/>
      <c r="C9179" s="19"/>
      <c r="D9179" s="19"/>
      <c r="E9179" s="19"/>
      <c r="F9179" s="19"/>
      <c r="G9179" s="19"/>
      <c r="H9179" s="19"/>
      <c r="I9179" s="19"/>
      <c r="J9179" s="19"/>
      <c r="K9179" s="19"/>
      <c r="L9179" s="19"/>
      <c r="M9179" s="19"/>
      <c r="N9179" s="19"/>
      <c r="O9179" s="14" t="str">
        <f>HYPERLINK("https://otsuka-europe-crm.veevavault.com/ui/#object/email_activity__v/V8C00000003V263", "EN-002095317")</f>
        <v>EN-002095317</v>
      </c>
    </row>
    <row r="9180" spans="1:15" ht="16" x14ac:dyDescent="0.2">
      <c r="A9180" s="17" t="str">
        <f>HYPERLINK("https://otsuka-europe-crm.veevavault.com/ui/#object/account__v/V4TZ04ASGB4URAS", "ANTONIO DEL PUENTE")</f>
        <v>ANTONIO DEL PUENTE</v>
      </c>
      <c r="B9180" s="17" t="str">
        <f>HYPERLINK("https://otsuka-europe-crm.veevavault.com/ui/#object/vcountry__v/VENZ000004SONFQ", "IT")</f>
        <v>IT</v>
      </c>
      <c r="C9180" s="20" t="s">
        <v>44</v>
      </c>
      <c r="D9180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9180" s="22" t="str">
        <f>HYPERLINK("https://otsuka-europe-crm.veevavault.com/ui/#object/sent_email__v/VBL00000002T197", "SE-001435783")</f>
        <v>SE-001435783</v>
      </c>
      <c r="F9180" s="23">
        <v>46185.421678240738</v>
      </c>
      <c r="G9180" s="24">
        <v>1</v>
      </c>
      <c r="H9180" s="24">
        <v>1</v>
      </c>
      <c r="I9180" s="24">
        <v>0</v>
      </c>
      <c r="J9180" s="25"/>
      <c r="K9180" s="24">
        <v>0</v>
      </c>
      <c r="L9180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9180" s="22" t="str">
        <f>HYPERLINK("mailto:giada.camassa@outsuka.it", "giada.camassa@outsuka.it")</f>
        <v>giada.camassa@outsuka.it</v>
      </c>
      <c r="N9180" s="23">
        <v>46185.421527777777</v>
      </c>
      <c r="O9180" s="14" t="str">
        <f>HYPERLINK("https://otsuka-europe-crm.veevavault.com/ui/#object/email_activity__v/V8C00000003V264", "EN-002095318")</f>
        <v>EN-002095318</v>
      </c>
    </row>
    <row r="9181" spans="1:15" ht="16" x14ac:dyDescent="0.2">
      <c r="A9181" s="19"/>
      <c r="B9181" s="19"/>
      <c r="C9181" s="19"/>
      <c r="D9181" s="19"/>
      <c r="E9181" s="19"/>
      <c r="F9181" s="19"/>
      <c r="G9181" s="19"/>
      <c r="H9181" s="19"/>
      <c r="I9181" s="19"/>
      <c r="J9181" s="19"/>
      <c r="K9181" s="19"/>
      <c r="L9181" s="19"/>
      <c r="M9181" s="19"/>
      <c r="N9181" s="19"/>
      <c r="O9181" s="14" t="str">
        <f>HYPERLINK("https://otsuka-europe-crm.veevavault.com/ui/#object/email_activity__v/V8C00000003V266", "EN-002095320")</f>
        <v>EN-002095320</v>
      </c>
    </row>
    <row r="9182" spans="1:15" ht="16" x14ac:dyDescent="0.2">
      <c r="A9182" s="17" t="str">
        <f>HYPERLINK("https://otsuka-europe-crm.veevavault.com/ui/#object/account__v/V4TZ04ASGBNVSN6", "AMATO DE PAULIS")</f>
        <v>AMATO DE PAULIS</v>
      </c>
      <c r="B9182" s="17" t="str">
        <f>HYPERLINK("https://otsuka-europe-crm.veevavault.com/ui/#object/vcountry__v/VENZ000004SONFQ", "IT")</f>
        <v>IT</v>
      </c>
      <c r="C9182" s="20" t="s">
        <v>44</v>
      </c>
      <c r="D9182" s="21" t="str">
        <f>HYPERLINK("https://otsuka-europe-crm.veevavault.com/ui/#object/approved_document__v/V5O00000000G060", "AE - AGGIORNAMENTI SEZIONE APPROFONDIMENTI IMMUNO IT-NPR-2500150")</f>
        <v>AE - AGGIORNAMENTI SEZIONE APPROFONDIMENTI IMMUNO IT-NPR-2500150</v>
      </c>
      <c r="E9182" s="22" t="str">
        <f>HYPERLINK("https://otsuka-europe-crm.veevavault.com/ui/#object/sent_email__v/VBL00000002T198", "SE-001435784")</f>
        <v>SE-001435784</v>
      </c>
      <c r="F9182" s="23">
        <v>46185.421701388892</v>
      </c>
      <c r="G9182" s="24">
        <v>1</v>
      </c>
      <c r="H9182" s="24">
        <v>1</v>
      </c>
      <c r="I9182" s="24">
        <v>0</v>
      </c>
      <c r="J9182" s="25"/>
      <c r="K9182" s="24">
        <v>0</v>
      </c>
      <c r="L9182" s="22" t="str">
        <f>HYPERLINK("https://otsuka-europe-crm.veevavault.com/ui/#object/approved_document__v/V5O00000000G060", "AE - AGGIORNAMENTI SEZIONE APPROFONDIMENTI IMMUNO IT-NPR-2500150")</f>
        <v>AE - AGGIORNAMENTI SEZIONE APPROFONDIMENTI IMMUNO IT-NPR-2500150</v>
      </c>
      <c r="M9182" s="22" t="str">
        <f>HYPERLINK("mailto:giada.camassa@outsuka.it", "giada.camassa@outsuka.it")</f>
        <v>giada.camassa@outsuka.it</v>
      </c>
      <c r="N9182" s="23">
        <v>46185.421550925923</v>
      </c>
      <c r="O9182" s="14" t="str">
        <f>HYPERLINK("https://otsuka-europe-crm.veevavault.com/ui/#object/email_activity__v/V8C00000003V265", "EN-002095319")</f>
        <v>EN-002095319</v>
      </c>
    </row>
    <row r="9183" spans="1:15" ht="16" x14ac:dyDescent="0.2">
      <c r="A9183" s="19"/>
      <c r="B9183" s="19"/>
      <c r="C9183" s="19"/>
      <c r="D9183" s="19"/>
      <c r="E9183" s="19"/>
      <c r="F9183" s="19"/>
      <c r="G9183" s="19"/>
      <c r="H9183" s="19"/>
      <c r="I9183" s="19"/>
      <c r="J9183" s="19"/>
      <c r="K9183" s="19"/>
      <c r="L9183" s="19"/>
      <c r="M9183" s="19"/>
      <c r="N9183" s="19"/>
      <c r="O9183" s="14" t="str">
        <f>HYPERLINK("https://otsuka-europe-crm.veevavault.com/ui/#object/email_activity__v/V8C00000003V267", "EN-002095321")</f>
        <v>EN-002095321</v>
      </c>
    </row>
    <row r="9184" spans="1:15" ht="16" x14ac:dyDescent="0.2">
      <c r="A9184" s="17" t="str">
        <f>HYPERLINK("https://otsuka-europe-crm.veevavault.com/ui/#object/account__v/V4T000000023088", "Suzanne Burke")</f>
        <v>Suzanne Burke</v>
      </c>
      <c r="B9184" s="17" t="str">
        <f>HYPERLINK("https://otsuka-europe-crm.veevavault.com/ui/#object/vcountry__v/VENZ000004SONFK", "GB")</f>
        <v>GB</v>
      </c>
      <c r="C9184" s="20" t="s">
        <v>39</v>
      </c>
      <c r="D9184" s="21" t="str">
        <f>HYPERLINK("https://otsuka-europe-crm.veevavault.com/ui/#object/approved_document__v/V5OZ025E82UYOBH", "Aripiprazole 300mg PFS Available VAE")</f>
        <v>Aripiprazole 300mg PFS Available VAE</v>
      </c>
      <c r="E9184" s="22" t="str">
        <f>HYPERLINK("https://otsuka-europe-crm.veevavault.com/ui/#object/sent_email__v/VBL00000002T199", "SE-001435785")</f>
        <v>SE-001435785</v>
      </c>
      <c r="F9184" s="23">
        <v>46185.532696759263</v>
      </c>
      <c r="G9184" s="24">
        <v>1</v>
      </c>
      <c r="H9184" s="24">
        <v>2</v>
      </c>
      <c r="I9184" s="24">
        <v>0</v>
      </c>
      <c r="J9184" s="25"/>
      <c r="K9184" s="24">
        <v>0</v>
      </c>
      <c r="L9184" s="22" t="str">
        <f>HYPERLINK("https://otsuka-europe-crm.veevavault.com/ui/#object/approved_document__v/V5OZ025E82UYOBH", "Aripiprazole 300mg PFS Available VAE")</f>
        <v>Aripiprazole 300mg PFS Available VAE</v>
      </c>
      <c r="M9184" s="22" t="str">
        <f>HYPERLINK("mailto:ldimambro@crm.otsuka-europe.com", "ldimambro@crm.otsuka-europe.com")</f>
        <v>ldimambro@crm.otsuka-europe.com</v>
      </c>
      <c r="N9184" s="23">
        <v>46185.428298611114</v>
      </c>
      <c r="O9184" s="14" t="str">
        <f>HYPERLINK("https://otsuka-europe-crm.veevavault.com/ui/#object/email_activity__v/V8C00000003U295", "EN-002095438")</f>
        <v>EN-002095438</v>
      </c>
    </row>
    <row r="9185" spans="1:15" ht="16" x14ac:dyDescent="0.2">
      <c r="A9185" s="18"/>
      <c r="B9185" s="18"/>
      <c r="C9185" s="18"/>
      <c r="D9185" s="18"/>
      <c r="E9185" s="18"/>
      <c r="F9185" s="18"/>
      <c r="G9185" s="18"/>
      <c r="H9185" s="18"/>
      <c r="I9185" s="18"/>
      <c r="J9185" s="18"/>
      <c r="K9185" s="18"/>
      <c r="L9185" s="18"/>
      <c r="M9185" s="18"/>
      <c r="N9185" s="18"/>
      <c r="O9185" s="14" t="str">
        <f>HYPERLINK("https://otsuka-europe-crm.veevavault.com/ui/#object/email_activity__v/V8C00000003U296", "EN-002095439")</f>
        <v>EN-002095439</v>
      </c>
    </row>
    <row r="9186" spans="1:15" ht="16" x14ac:dyDescent="0.2">
      <c r="A9186" s="19"/>
      <c r="B9186" s="19"/>
      <c r="C9186" s="19"/>
      <c r="D9186" s="19"/>
      <c r="E9186" s="19"/>
      <c r="F9186" s="19"/>
      <c r="G9186" s="19"/>
      <c r="H9186" s="19"/>
      <c r="I9186" s="19"/>
      <c r="J9186" s="19"/>
      <c r="K9186" s="19"/>
      <c r="L9186" s="19"/>
      <c r="M9186" s="19"/>
      <c r="N9186" s="19"/>
      <c r="O9186" s="14" t="str">
        <f>HYPERLINK("https://otsuka-europe-crm.veevavault.com/ui/#object/email_activity__v/V8C00000003V273", "EN-002095331")</f>
        <v>EN-002095331</v>
      </c>
    </row>
    <row r="9187" spans="1:15" ht="16" x14ac:dyDescent="0.2">
      <c r="A9187" s="17" t="str">
        <f>HYPERLINK("https://otsuka-europe-crm.veevavault.com/ui/#object/account__v/V4T000000023088", "Suzanne Burke")</f>
        <v>Suzanne Burke</v>
      </c>
      <c r="B9187" s="17" t="str">
        <f>HYPERLINK("https://otsuka-europe-crm.veevavault.com/ui/#object/vcountry__v/VENZ000004SONFK", "GB")</f>
        <v>GB</v>
      </c>
      <c r="C9187" s="20" t="s">
        <v>39</v>
      </c>
      <c r="D9187" s="21" t="str">
        <f>HYPERLINK("https://otsuka-europe-crm.veevavault.com/ui/#object/approved_document__v/V5OZ025E82TSZBI", "Aripiprazole 960mg Fragment VAE")</f>
        <v>Aripiprazole 960mg Fragment VAE</v>
      </c>
      <c r="E9187" s="22" t="str">
        <f>HYPERLINK("https://otsuka-europe-crm.veevavault.com/ui/#object/sent_email__v/VBL00000002T200", "SE-001435786")</f>
        <v>SE-001435786</v>
      </c>
      <c r="F9187" s="23">
        <v>46185.533113425925</v>
      </c>
      <c r="G9187" s="24">
        <v>1</v>
      </c>
      <c r="H9187" s="24">
        <v>2</v>
      </c>
      <c r="I9187" s="24">
        <v>1</v>
      </c>
      <c r="J9187" s="23">
        <v>46185.533321759256</v>
      </c>
      <c r="K9187" s="24">
        <v>1</v>
      </c>
      <c r="L9187" s="22" t="str">
        <f>HYPERLINK("https://otsuka-europe-crm.veevavault.com/ui/#object/approved_document__v/V5OZ025E82TSZBI", "Aripiprazole 960mg Fragment VAE")</f>
        <v>Aripiprazole 960mg Fragment VAE</v>
      </c>
      <c r="M9187" s="22" t="str">
        <f>HYPERLINK("mailto:ldimambro@crm.otsuka-europe.com", "ldimambro@crm.otsuka-europe.com")</f>
        <v>ldimambro@crm.otsuka-europe.com</v>
      </c>
      <c r="N9187" s="23">
        <v>46185.428831018522</v>
      </c>
      <c r="O9187" s="14" t="str">
        <f>HYPERLINK("https://otsuka-europe-crm.veevavault.com/ui/#object/email_activity__v/V8C00000003U297", "EN-002095440")</f>
        <v>EN-002095440</v>
      </c>
    </row>
    <row r="9188" spans="1:15" ht="16" x14ac:dyDescent="0.2">
      <c r="A9188" s="18"/>
      <c r="B9188" s="18"/>
      <c r="C9188" s="18"/>
      <c r="D9188" s="18"/>
      <c r="E9188" s="18"/>
      <c r="F9188" s="18"/>
      <c r="G9188" s="18"/>
      <c r="H9188" s="18"/>
      <c r="I9188" s="18"/>
      <c r="J9188" s="18"/>
      <c r="K9188" s="18"/>
      <c r="L9188" s="18"/>
      <c r="M9188" s="18"/>
      <c r="N9188" s="18"/>
      <c r="O9188" s="14" t="str">
        <f>HYPERLINK("https://otsuka-europe-crm.veevavault.com/ui/#object/email_activity__v/V8C00000003U298", "EN-002095442")</f>
        <v>EN-002095442</v>
      </c>
    </row>
    <row r="9189" spans="1:15" ht="16" x14ac:dyDescent="0.2">
      <c r="A9189" s="18"/>
      <c r="B9189" s="18"/>
      <c r="C9189" s="18"/>
      <c r="D9189" s="18"/>
      <c r="E9189" s="18"/>
      <c r="F9189" s="18"/>
      <c r="G9189" s="18"/>
      <c r="H9189" s="18"/>
      <c r="I9189" s="18"/>
      <c r="J9189" s="18"/>
      <c r="K9189" s="18"/>
      <c r="L9189" s="18"/>
      <c r="M9189" s="18"/>
      <c r="N9189" s="18"/>
      <c r="O9189" s="14" t="str">
        <f>HYPERLINK("https://otsuka-europe-crm.veevavault.com/ui/#object/email_activity__v/V8C00000003U303", "EN-002095450")</f>
        <v>EN-002095450</v>
      </c>
    </row>
    <row r="9190" spans="1:15" ht="16" x14ac:dyDescent="0.2">
      <c r="A9190" s="18"/>
      <c r="B9190" s="18"/>
      <c r="C9190" s="18"/>
      <c r="D9190" s="18"/>
      <c r="E9190" s="18"/>
      <c r="F9190" s="18"/>
      <c r="G9190" s="18"/>
      <c r="H9190" s="18"/>
      <c r="I9190" s="18"/>
      <c r="J9190" s="18"/>
      <c r="K9190" s="18"/>
      <c r="L9190" s="18"/>
      <c r="M9190" s="18"/>
      <c r="N9190" s="18"/>
      <c r="O9190" s="14" t="str">
        <f>HYPERLINK("https://otsuka-europe-crm.veevavault.com/ui/#object/email_activity__v/V8C00000003U305", "EN-002095452")</f>
        <v>EN-002095452</v>
      </c>
    </row>
    <row r="9191" spans="1:15" ht="16" x14ac:dyDescent="0.2">
      <c r="A9191" s="18"/>
      <c r="B9191" s="18"/>
      <c r="C9191" s="18"/>
      <c r="D9191" s="18"/>
      <c r="E9191" s="18"/>
      <c r="F9191" s="18"/>
      <c r="G9191" s="18"/>
      <c r="H9191" s="18"/>
      <c r="I9191" s="18"/>
      <c r="J9191" s="18"/>
      <c r="K9191" s="18"/>
      <c r="L9191" s="18"/>
      <c r="M9191" s="18"/>
      <c r="N9191" s="18"/>
      <c r="O9191" s="14" t="str">
        <f>HYPERLINK("https://otsuka-europe-crm.veevavault.com/ui/#object/email_activity__v/V8C00000003U306", "EN-002095453")</f>
        <v>EN-002095453</v>
      </c>
    </row>
    <row r="9192" spans="1:15" ht="16" x14ac:dyDescent="0.2">
      <c r="A9192" s="18"/>
      <c r="B9192" s="18"/>
      <c r="C9192" s="18"/>
      <c r="D9192" s="18"/>
      <c r="E9192" s="18"/>
      <c r="F9192" s="18"/>
      <c r="G9192" s="18"/>
      <c r="H9192" s="18"/>
      <c r="I9192" s="18"/>
      <c r="J9192" s="18"/>
      <c r="K9192" s="18"/>
      <c r="L9192" s="18"/>
      <c r="M9192" s="18"/>
      <c r="N9192" s="18"/>
      <c r="O9192" s="14" t="str">
        <f>HYPERLINK("https://otsuka-europe-crm.veevavault.com/ui/#object/email_activity__v/V8C00000003U308", "EN-002095455")</f>
        <v>EN-002095455</v>
      </c>
    </row>
    <row r="9193" spans="1:15" ht="16" x14ac:dyDescent="0.2">
      <c r="A9193" s="18"/>
      <c r="B9193" s="18"/>
      <c r="C9193" s="18"/>
      <c r="D9193" s="18"/>
      <c r="E9193" s="18"/>
      <c r="F9193" s="18"/>
      <c r="G9193" s="18"/>
      <c r="H9193" s="18"/>
      <c r="I9193" s="18"/>
      <c r="J9193" s="18"/>
      <c r="K9193" s="18"/>
      <c r="L9193" s="18"/>
      <c r="M9193" s="18"/>
      <c r="N9193" s="18"/>
      <c r="O9193" s="14" t="str">
        <f>HYPERLINK("https://otsuka-europe-crm.veevavault.com/ui/#object/email_activity__v/V8C00000003V275", "EN-002095333")</f>
        <v>EN-002095333</v>
      </c>
    </row>
    <row r="9194" spans="1:15" ht="16" x14ac:dyDescent="0.2">
      <c r="A9194" s="19"/>
      <c r="B9194" s="19"/>
      <c r="C9194" s="19"/>
      <c r="D9194" s="19"/>
      <c r="E9194" s="19"/>
      <c r="F9194" s="19"/>
      <c r="G9194" s="19"/>
      <c r="H9194" s="19"/>
      <c r="I9194" s="19"/>
      <c r="J9194" s="19"/>
      <c r="K9194" s="19"/>
      <c r="L9194" s="19"/>
      <c r="M9194" s="19"/>
      <c r="N9194" s="19"/>
      <c r="O9194" s="14" t="str">
        <f>HYPERLINK("https://otsuka-europe-crm.veevavault.com/ui/#object/email_activity__v/V8C00000003V328", "EN-002095441")</f>
        <v>EN-002095441</v>
      </c>
    </row>
    <row r="9195" spans="1:15" ht="16" x14ac:dyDescent="0.2">
      <c r="A9195" s="17" t="str">
        <f>HYPERLINK("https://otsuka-europe-crm.veevavault.com/ui/#object/account__v/V4TZ025E83XSK33", "PILAR LOPEZ SOLER")</f>
        <v>PILAR LOPEZ SOLER</v>
      </c>
      <c r="B9195" s="17" t="str">
        <f>HYPERLINK("https://otsuka-europe-crm.veevavault.com/ui/#object/vcountry__v/VENZ000004SONF5", "ES")</f>
        <v>ES</v>
      </c>
      <c r="C9195" s="20" t="s">
        <v>41</v>
      </c>
      <c r="D9195" s="21" t="str">
        <f>HYPERLINK("https://otsuka-europe-crm.veevavault.com/ui/#object/approved_document__v/V5O00000001K002", "Programa 4º edición Curso Simulación clínica en psiquiatría Hospital 12-Octubre")</f>
        <v>Programa 4º edición Curso Simulación clínica en psiquiatría Hospital 12-Octubre</v>
      </c>
      <c r="E9195" s="22" t="str">
        <f>HYPERLINK("https://otsuka-europe-crm.veevavault.com/ui/#object/sent_email__v/VBL00000002T201", "SE-001435787")</f>
        <v>SE-001435787</v>
      </c>
      <c r="F9195" s="23">
        <v>46188.418877314813</v>
      </c>
      <c r="G9195" s="24">
        <v>1</v>
      </c>
      <c r="H9195" s="24">
        <v>1</v>
      </c>
      <c r="I9195" s="24">
        <v>0</v>
      </c>
      <c r="J9195" s="25"/>
      <c r="K9195" s="24">
        <v>0</v>
      </c>
      <c r="L9195" s="22" t="str">
        <f>HYPERLINK("https://otsuka-europe-crm.veevavault.com/ui/#object/approved_document__v/V5O00000001K002", "Programa 4º edición Curso Simulación clínica en psiquiatría Hospital 12-Octubre")</f>
        <v>Programa 4º edición Curso Simulación clínica en psiquiatría Hospital 12-Octubre</v>
      </c>
      <c r="M9195" s="22" t="str">
        <f>HYPERLINK("mailto:mgravan@crm.otsuka-europe.com", "mgravan@crm.otsuka-europe.com")</f>
        <v>mgravan@crm.otsuka-europe.com</v>
      </c>
      <c r="N9195" s="23">
        <v>46185.435833333337</v>
      </c>
      <c r="O9195" s="14" t="str">
        <f>HYPERLINK("https://otsuka-europe-crm.veevavault.com/ui/#object/email_activity__v/V8C00000003V282", "EN-002095340")</f>
        <v>EN-002095340</v>
      </c>
    </row>
    <row r="9196" spans="1:15" ht="16" x14ac:dyDescent="0.2">
      <c r="A9196" s="19"/>
      <c r="B9196" s="19"/>
      <c r="C9196" s="19"/>
      <c r="D9196" s="19"/>
      <c r="E9196" s="19"/>
      <c r="F9196" s="19"/>
      <c r="G9196" s="19"/>
      <c r="H9196" s="19"/>
      <c r="I9196" s="19"/>
      <c r="J9196" s="19"/>
      <c r="K9196" s="19"/>
      <c r="L9196" s="19"/>
      <c r="M9196" s="19"/>
      <c r="N9196" s="19"/>
      <c r="O9196" s="14" t="str">
        <f>HYPERLINK("https://otsuka-europe-crm.veevavault.com/ui/#object/email_activity__v/V8C00000003V495", "EN-002095794")</f>
        <v>EN-002095794</v>
      </c>
    </row>
    <row r="9197" spans="1:15" ht="64" x14ac:dyDescent="0.2">
      <c r="A9197" s="7" t="str">
        <f>HYPERLINK("https://otsuka-europe-crm.veevavault.com/ui/#object/account__v/V4TZ025E84EVLD5", "JORGE SALVADOR GARCIA")</f>
        <v>JORGE SALVADOR GARCIA</v>
      </c>
      <c r="B9197" s="7" t="str">
        <f>HYPERLINK("https://otsuka-europe-crm.veevavault.com/ui/#object/vcountry__v/VENZ000004SONF5", "ES")</f>
        <v>ES</v>
      </c>
      <c r="C9197" s="8" t="s">
        <v>41</v>
      </c>
      <c r="D9197" s="9" t="str">
        <f>HYPERLINK("https://otsuka-europe-crm.veevavault.com/ui/#object/approved_document__v/V5O00000001K002", "Programa 4º edición Curso Simulación clínica en psiquiatría Hospital 12-Octubre")</f>
        <v>Programa 4º edición Curso Simulación clínica en psiquiatría Hospital 12-Octubre</v>
      </c>
      <c r="E9197" s="10" t="str">
        <f>HYPERLINK("https://otsuka-europe-crm.veevavault.com/ui/#object/sent_email__v/VBL00000002T202", "SE-001435788")</f>
        <v>SE-001435788</v>
      </c>
      <c r="F9197" s="11"/>
      <c r="G9197" s="12">
        <v>0</v>
      </c>
      <c r="H9197" s="12">
        <v>0</v>
      </c>
      <c r="I9197" s="12">
        <v>0</v>
      </c>
      <c r="J9197" s="11"/>
      <c r="K9197" s="12">
        <v>0</v>
      </c>
      <c r="L9197" s="10" t="str">
        <f>HYPERLINK("https://otsuka-europe-crm.veevavault.com/ui/#object/approved_document__v/V5O00000001K002", "Programa 4º edición Curso Simulación clínica en psiquiatría Hospital 12-Octubre")</f>
        <v>Programa 4º edición Curso Simulación clínica en psiquiatría Hospital 12-Octubre</v>
      </c>
      <c r="M9197" s="10" t="str">
        <f>HYPERLINK("mailto:mgravan@crm.otsuka-europe.com", "mgravan@crm.otsuka-europe.com")</f>
        <v>mgravan@crm.otsuka-europe.com</v>
      </c>
      <c r="N9197" s="13">
        <v>46185.435833333337</v>
      </c>
      <c r="O9197" s="14" t="str">
        <f>HYPERLINK("https://otsuka-europe-crm.veevavault.com/ui/#object/email_activity__v/V8C00000003U244", "EN-002095342")</f>
        <v>EN-002095342</v>
      </c>
    </row>
    <row r="9198" spans="1:15" ht="16" x14ac:dyDescent="0.2">
      <c r="A9198" s="17" t="str">
        <f>HYPERLINK("https://otsuka-europe-crm.veevavault.com/ui/#object/account__v/V4TZ04ASGETOS6Y", "NOHEMI LIONIS VARGAS")</f>
        <v>NOHEMI LIONIS VARGAS</v>
      </c>
      <c r="B9198" s="17" t="str">
        <f>HYPERLINK("https://otsuka-europe-crm.veevavault.com/ui/#object/vcountry__v/VENZ000004SONF5", "ES")</f>
        <v>ES</v>
      </c>
      <c r="C9198" s="20" t="s">
        <v>41</v>
      </c>
      <c r="D9198" s="21" t="str">
        <f>HYPERLINK("https://otsuka-europe-crm.veevavault.com/ui/#object/approved_document__v/V5O00000001K002", "Programa 4º edición Curso Simulación clínica en psiquiatría Hospital 12-Octubre")</f>
        <v>Programa 4º edición Curso Simulación clínica en psiquiatría Hospital 12-Octubre</v>
      </c>
      <c r="E9198" s="22" t="str">
        <f>HYPERLINK("https://otsuka-europe-crm.veevavault.com/ui/#object/sent_email__v/VBL00000002T203", "SE-001435789")</f>
        <v>SE-001435789</v>
      </c>
      <c r="F9198" s="23">
        <v>46185.581192129626</v>
      </c>
      <c r="G9198" s="24">
        <v>1</v>
      </c>
      <c r="H9198" s="24">
        <v>1</v>
      </c>
      <c r="I9198" s="24">
        <v>1</v>
      </c>
      <c r="J9198" s="23">
        <v>46185.581192129626</v>
      </c>
      <c r="K9198" s="24">
        <v>1</v>
      </c>
      <c r="L9198" s="22" t="str">
        <f>HYPERLINK("https://otsuka-europe-crm.veevavault.com/ui/#object/approved_document__v/V5O00000001K002", "Programa 4º edición Curso Simulación clínica en psiquiatría Hospital 12-Octubre")</f>
        <v>Programa 4º edición Curso Simulación clínica en psiquiatría Hospital 12-Octubre</v>
      </c>
      <c r="M9198" s="22" t="str">
        <f>HYPERLINK("mailto:mgravan@crm.otsuka-europe.com", "mgravan@crm.otsuka-europe.com")</f>
        <v>mgravan@crm.otsuka-europe.com</v>
      </c>
      <c r="N9198" s="23">
        <v>46185.43582175926</v>
      </c>
      <c r="O9198" s="14" t="str">
        <f>HYPERLINK("https://otsuka-europe-crm.veevavault.com/ui/#object/email_activity__v/V8C00000003U243", "EN-002095341")</f>
        <v>EN-002095341</v>
      </c>
    </row>
    <row r="9199" spans="1:15" ht="16" x14ac:dyDescent="0.2">
      <c r="A9199" s="18"/>
      <c r="B9199" s="18"/>
      <c r="C9199" s="18"/>
      <c r="D9199" s="18"/>
      <c r="E9199" s="18"/>
      <c r="F9199" s="18"/>
      <c r="G9199" s="18"/>
      <c r="H9199" s="18"/>
      <c r="I9199" s="18"/>
      <c r="J9199" s="18"/>
      <c r="K9199" s="18"/>
      <c r="L9199" s="18"/>
      <c r="M9199" s="18"/>
      <c r="N9199" s="18"/>
      <c r="O9199" s="14" t="str">
        <f>HYPERLINK("https://otsuka-europe-crm.veevavault.com/ui/#object/email_activity__v/V8C00000003U325", "EN-002095483")</f>
        <v>EN-002095483</v>
      </c>
    </row>
    <row r="9200" spans="1:15" ht="16" x14ac:dyDescent="0.2">
      <c r="A9200" s="18"/>
      <c r="B9200" s="18"/>
      <c r="C9200" s="18"/>
      <c r="D9200" s="18"/>
      <c r="E9200" s="18"/>
      <c r="F9200" s="18"/>
      <c r="G9200" s="18"/>
      <c r="H9200" s="18"/>
      <c r="I9200" s="18"/>
      <c r="J9200" s="18"/>
      <c r="K9200" s="18"/>
      <c r="L9200" s="18"/>
      <c r="M9200" s="18"/>
      <c r="N9200" s="18"/>
      <c r="O9200" s="14" t="str">
        <f>HYPERLINK("https://otsuka-europe-crm.veevavault.com/ui/#object/email_activity__v/V8C00000003V341", "EN-002095474")</f>
        <v>EN-002095474</v>
      </c>
    </row>
    <row r="9201" spans="1:15" ht="16" x14ac:dyDescent="0.2">
      <c r="A9201" s="18"/>
      <c r="B9201" s="18"/>
      <c r="C9201" s="18"/>
      <c r="D9201" s="18"/>
      <c r="E9201" s="18"/>
      <c r="F9201" s="18"/>
      <c r="G9201" s="18"/>
      <c r="H9201" s="18"/>
      <c r="I9201" s="18"/>
      <c r="J9201" s="18"/>
      <c r="K9201" s="18"/>
      <c r="L9201" s="18"/>
      <c r="M9201" s="18"/>
      <c r="N9201" s="18"/>
      <c r="O9201" s="14" t="str">
        <f>HYPERLINK("https://otsuka-europe-crm.veevavault.com/ui/#object/email_activity__v/V8C00000003V342", "EN-002095473")</f>
        <v>EN-002095473</v>
      </c>
    </row>
    <row r="9202" spans="1:15" ht="16" x14ac:dyDescent="0.2">
      <c r="A9202" s="19"/>
      <c r="B9202" s="19"/>
      <c r="C9202" s="19"/>
      <c r="D9202" s="19"/>
      <c r="E9202" s="19"/>
      <c r="F9202" s="19"/>
      <c r="G9202" s="19"/>
      <c r="H9202" s="19"/>
      <c r="I9202" s="19"/>
      <c r="J9202" s="19"/>
      <c r="K9202" s="19"/>
      <c r="L9202" s="19"/>
      <c r="M9202" s="19"/>
      <c r="N9202" s="19"/>
      <c r="O9202" s="14" t="str">
        <f>HYPERLINK("https://otsuka-europe-crm.veevavault.com/ui/#object/email_activity__v/V8C00000003V400", "EN-002095576")</f>
        <v>EN-002095576</v>
      </c>
    </row>
    <row r="9203" spans="1:15" ht="16" x14ac:dyDescent="0.2">
      <c r="A9203" s="17" t="str">
        <f>HYPERLINK("https://otsuka-europe-crm.veevavault.com/ui/#object/account__v/V4TZ025E83YCIZL", "MARTA ORTEGA SANCHEZ")</f>
        <v>MARTA ORTEGA SANCHEZ</v>
      </c>
      <c r="B9203" s="17" t="str">
        <f>HYPERLINK("https://otsuka-europe-crm.veevavault.com/ui/#object/vcountry__v/VENZ000004SONF5", "ES")</f>
        <v>ES</v>
      </c>
      <c r="C9203" s="20" t="s">
        <v>41</v>
      </c>
      <c r="D9203" s="21" t="str">
        <f>HYPERLINK("https://otsuka-europe-crm.veevavault.com/ui/#object/approved_document__v/V5O00000001K002", "Programa 4º edición Curso Simulación clínica en psiquiatría Hospital 12-Octubre")</f>
        <v>Programa 4º edición Curso Simulación clínica en psiquiatría Hospital 12-Octubre</v>
      </c>
      <c r="E9203" s="22" t="str">
        <f>HYPERLINK("https://otsuka-europe-crm.veevavault.com/ui/#object/sent_email__v/VBL00000002T204", "SE-001435790")</f>
        <v>SE-001435790</v>
      </c>
      <c r="F9203" s="23">
        <v>46185.67796296296</v>
      </c>
      <c r="G9203" s="24">
        <v>1</v>
      </c>
      <c r="H9203" s="24">
        <v>1</v>
      </c>
      <c r="I9203" s="24">
        <v>0</v>
      </c>
      <c r="J9203" s="25"/>
      <c r="K9203" s="24">
        <v>0</v>
      </c>
      <c r="L9203" s="22" t="str">
        <f>HYPERLINK("https://otsuka-europe-crm.veevavault.com/ui/#object/approved_document__v/V5O00000001K002", "Programa 4º edición Curso Simulación clínica en psiquiatría Hospital 12-Octubre")</f>
        <v>Programa 4º edición Curso Simulación clínica en psiquiatría Hospital 12-Octubre</v>
      </c>
      <c r="M9203" s="22" t="str">
        <f>HYPERLINK("mailto:mgravan@crm.otsuka-europe.com", "mgravan@crm.otsuka-europe.com")</f>
        <v>mgravan@crm.otsuka-europe.com</v>
      </c>
      <c r="N9203" s="23">
        <v>46185.43582175926</v>
      </c>
      <c r="O9203" s="14" t="str">
        <f>HYPERLINK("https://otsuka-europe-crm.veevavault.com/ui/#object/email_activity__v/V8C00000003U245", "EN-002095343")</f>
        <v>EN-002095343</v>
      </c>
    </row>
    <row r="9204" spans="1:15" ht="16" x14ac:dyDescent="0.2">
      <c r="A9204" s="19"/>
      <c r="B9204" s="19"/>
      <c r="C9204" s="19"/>
      <c r="D9204" s="19"/>
      <c r="E9204" s="19"/>
      <c r="F9204" s="19"/>
      <c r="G9204" s="19"/>
      <c r="H9204" s="19"/>
      <c r="I9204" s="19"/>
      <c r="J9204" s="19"/>
      <c r="K9204" s="19"/>
      <c r="L9204" s="19"/>
      <c r="M9204" s="19"/>
      <c r="N9204" s="19"/>
      <c r="O9204" s="14" t="str">
        <f>HYPERLINK("https://otsuka-europe-crm.veevavault.com/ui/#object/email_activity__v/V8C00000003V370", "EN-002095532")</f>
        <v>EN-002095532</v>
      </c>
    </row>
    <row r="9205" spans="1:15" ht="16" x14ac:dyDescent="0.2">
      <c r="A9205" s="17" t="str">
        <f>HYPERLINK("https://otsuka-europe-crm.veevavault.com/ui/#object/account__v/V4TZ025E85AY5SL", "MARTA CENTENO SANTANA")</f>
        <v>MARTA CENTENO SANTANA</v>
      </c>
      <c r="B9205" s="17" t="str">
        <f>HYPERLINK("https://otsuka-europe-crm.veevavault.com/ui/#object/vcountry__v/VENZ000004SONF5", "ES")</f>
        <v>ES</v>
      </c>
      <c r="C9205" s="20" t="s">
        <v>41</v>
      </c>
      <c r="D9205" s="21" t="str">
        <f>HYPERLINK("https://otsuka-europe-crm.veevavault.com/ui/#object/approved_document__v/V5O00000001K002", "Programa 4º edición Curso Simulación clínica en psiquiatría Hospital 12-Octubre")</f>
        <v>Programa 4º edición Curso Simulación clínica en psiquiatría Hospital 12-Octubre</v>
      </c>
      <c r="E9205" s="22" t="str">
        <f>HYPERLINK("https://otsuka-europe-crm.veevavault.com/ui/#object/sent_email__v/VBL00000002T205", "SE-001435791")</f>
        <v>SE-001435791</v>
      </c>
      <c r="F9205" s="23">
        <v>46185.459594907406</v>
      </c>
      <c r="G9205" s="24">
        <v>1</v>
      </c>
      <c r="H9205" s="24">
        <v>2</v>
      </c>
      <c r="I9205" s="24">
        <v>0</v>
      </c>
      <c r="J9205" s="25"/>
      <c r="K9205" s="24">
        <v>0</v>
      </c>
      <c r="L9205" s="22" t="str">
        <f>HYPERLINK("https://otsuka-europe-crm.veevavault.com/ui/#object/approved_document__v/V5O00000001K002", "Programa 4º edición Curso Simulación clínica en psiquiatría Hospital 12-Octubre")</f>
        <v>Programa 4º edición Curso Simulación clínica en psiquiatría Hospital 12-Octubre</v>
      </c>
      <c r="M9205" s="22" t="str">
        <f>HYPERLINK("mailto:mgravan@crm.otsuka-europe.com", "mgravan@crm.otsuka-europe.com")</f>
        <v>mgravan@crm.otsuka-europe.com</v>
      </c>
      <c r="N9205" s="23">
        <v>46185.43582175926</v>
      </c>
      <c r="O9205" s="14" t="str">
        <f>HYPERLINK("https://otsuka-europe-crm.veevavault.com/ui/#object/email_activity__v/V8C00000003U250", "EN-002095354")</f>
        <v>EN-002095354</v>
      </c>
    </row>
    <row r="9206" spans="1:15" ht="16" x14ac:dyDescent="0.2">
      <c r="A9206" s="18"/>
      <c r="B9206" s="18"/>
      <c r="C9206" s="18"/>
      <c r="D9206" s="18"/>
      <c r="E9206" s="18"/>
      <c r="F9206" s="18"/>
      <c r="G9206" s="18"/>
      <c r="H9206" s="18"/>
      <c r="I9206" s="18"/>
      <c r="J9206" s="18"/>
      <c r="K9206" s="18"/>
      <c r="L9206" s="18"/>
      <c r="M9206" s="18"/>
      <c r="N9206" s="18"/>
      <c r="O9206" s="14" t="str">
        <f>HYPERLINK("https://otsuka-europe-crm.veevavault.com/ui/#object/email_activity__v/V8C00000003V277", "EN-002095335")</f>
        <v>EN-002095335</v>
      </c>
    </row>
    <row r="9207" spans="1:15" ht="16" x14ac:dyDescent="0.2">
      <c r="A9207" s="19"/>
      <c r="B9207" s="19"/>
      <c r="C9207" s="19"/>
      <c r="D9207" s="19"/>
      <c r="E9207" s="19"/>
      <c r="F9207" s="19"/>
      <c r="G9207" s="19"/>
      <c r="H9207" s="19"/>
      <c r="I9207" s="19"/>
      <c r="J9207" s="19"/>
      <c r="K9207" s="19"/>
      <c r="L9207" s="19"/>
      <c r="M9207" s="19"/>
      <c r="N9207" s="19"/>
      <c r="O9207" s="14" t="str">
        <f>HYPERLINK("https://otsuka-europe-crm.veevavault.com/ui/#object/email_activity__v/V8C00000003V288", "EN-002095353")</f>
        <v>EN-002095353</v>
      </c>
    </row>
    <row r="9208" spans="1:15" ht="64" x14ac:dyDescent="0.2">
      <c r="A9208" s="7" t="str">
        <f>HYPERLINK("https://otsuka-europe-crm.veevavault.com/ui/#object/account__v/V4TZ025E83YCF7H", "JUAN JOSE MARTIN MENENDEZ")</f>
        <v>JUAN JOSE MARTIN MENENDEZ</v>
      </c>
      <c r="B9208" s="7" t="str">
        <f>HYPERLINK("https://otsuka-europe-crm.veevavault.com/ui/#object/vcountry__v/VENZ000004SONF5", "ES")</f>
        <v>ES</v>
      </c>
      <c r="C9208" s="8" t="s">
        <v>41</v>
      </c>
      <c r="D9208" s="9" t="str">
        <f>HYPERLINK("https://otsuka-europe-crm.veevavault.com/ui/#object/approved_document__v/V5O00000001K002", "Programa 4º edición Curso Simulación clínica en psiquiatría Hospital 12-Octubre")</f>
        <v>Programa 4º edición Curso Simulación clínica en psiquiatría Hospital 12-Octubre</v>
      </c>
      <c r="E9208" s="10" t="str">
        <f>HYPERLINK("https://otsuka-europe-crm.veevavault.com/ui/#object/sent_email__v/VBL00000002T206", "SE-001435792")</f>
        <v>SE-001435792</v>
      </c>
      <c r="F9208" s="11"/>
      <c r="G9208" s="12">
        <v>0</v>
      </c>
      <c r="H9208" s="12">
        <v>0</v>
      </c>
      <c r="I9208" s="12">
        <v>0</v>
      </c>
      <c r="J9208" s="11"/>
      <c r="K9208" s="12">
        <v>0</v>
      </c>
      <c r="L9208" s="10" t="str">
        <f>HYPERLINK("https://otsuka-europe-crm.veevavault.com/ui/#object/approved_document__v/V5O00000001K002", "Programa 4º edición Curso Simulación clínica en psiquiatría Hospital 12-Octubre")</f>
        <v>Programa 4º edición Curso Simulación clínica en psiquiatría Hospital 12-Octubre</v>
      </c>
      <c r="M9208" s="10" t="str">
        <f>HYPERLINK("mailto:mgravan@crm.otsuka-europe.com", "mgravan@crm.otsuka-europe.com")</f>
        <v>mgravan@crm.otsuka-europe.com</v>
      </c>
      <c r="N9208" s="13">
        <v>46185.43582175926</v>
      </c>
      <c r="O9208" s="14" t="str">
        <f>HYPERLINK("https://otsuka-europe-crm.veevavault.com/ui/#object/email_activity__v/V8C00000003V279", "EN-002095337")</f>
        <v>EN-002095337</v>
      </c>
    </row>
    <row r="9209" spans="1:15" ht="64" x14ac:dyDescent="0.2">
      <c r="A9209" s="7" t="str">
        <f>HYPERLINK("https://otsuka-europe-crm.veevavault.com/ui/#object/account__v/V4TZ025E85JE48D", "VICTORIA GOMEZ DORANTES")</f>
        <v>VICTORIA GOMEZ DORANTES</v>
      </c>
      <c r="B9209" s="7" t="str">
        <f>HYPERLINK("https://otsuka-europe-crm.veevavault.com/ui/#object/vcountry__v/VENZ000004SONF5", "ES")</f>
        <v>ES</v>
      </c>
      <c r="C9209" s="8" t="s">
        <v>41</v>
      </c>
      <c r="D9209" s="9" t="str">
        <f>HYPERLINK("https://otsuka-europe-crm.veevavault.com/ui/#object/approved_document__v/V5O00000001K002", "Programa 4º edición Curso Simulación clínica en psiquiatría Hospital 12-Octubre")</f>
        <v>Programa 4º edición Curso Simulación clínica en psiquiatría Hospital 12-Octubre</v>
      </c>
      <c r="E9209" s="10" t="str">
        <f>HYPERLINK("https://otsuka-europe-crm.veevavault.com/ui/#object/sent_email__v/VBL00000002T207", "SE-001435793")</f>
        <v>SE-001435793</v>
      </c>
      <c r="F9209" s="11"/>
      <c r="G9209" s="12">
        <v>0</v>
      </c>
      <c r="H9209" s="12">
        <v>0</v>
      </c>
      <c r="I9209" s="12">
        <v>0</v>
      </c>
      <c r="J9209" s="11"/>
      <c r="K9209" s="12">
        <v>0</v>
      </c>
      <c r="L9209" s="10" t="str">
        <f>HYPERLINK("https://otsuka-europe-crm.veevavault.com/ui/#object/approved_document__v/V5O00000001K002", "Programa 4º edición Curso Simulación clínica en psiquiatría Hospital 12-Octubre")</f>
        <v>Programa 4º edición Curso Simulación clínica en psiquiatría Hospital 12-Octubre</v>
      </c>
      <c r="M9209" s="10" t="str">
        <f>HYPERLINK("mailto:mgravan@crm.otsuka-europe.com", "mgravan@crm.otsuka-europe.com")</f>
        <v>mgravan@crm.otsuka-europe.com</v>
      </c>
      <c r="N9209" s="13">
        <v>46185.43582175926</v>
      </c>
      <c r="O9209" s="14" t="str">
        <f>HYPERLINK("https://otsuka-europe-crm.veevavault.com/ui/#object/email_activity__v/V8C00000003V278", "EN-002095336")</f>
        <v>EN-002095336</v>
      </c>
    </row>
    <row r="9210" spans="1:15" ht="64" x14ac:dyDescent="0.2">
      <c r="A9210" s="7" t="str">
        <f>HYPERLINK("https://otsuka-europe-crm.veevavault.com/ui/#object/account__v/V4TZ025E83XWGD2", "ISMAEL NAJIB RODRIGUEZ")</f>
        <v>ISMAEL NAJIB RODRIGUEZ</v>
      </c>
      <c r="B9210" s="7" t="str">
        <f>HYPERLINK("https://otsuka-europe-crm.veevavault.com/ui/#object/vcountry__v/VENZ000004SONF5", "ES")</f>
        <v>ES</v>
      </c>
      <c r="C9210" s="8" t="s">
        <v>41</v>
      </c>
      <c r="D9210" s="9" t="str">
        <f>HYPERLINK("https://otsuka-europe-crm.veevavault.com/ui/#object/approved_document__v/V5O00000001K002", "Programa 4º edición Curso Simulación clínica en psiquiatría Hospital 12-Octubre")</f>
        <v>Programa 4º edición Curso Simulación clínica en psiquiatría Hospital 12-Octubre</v>
      </c>
      <c r="E9210" s="10" t="str">
        <f>HYPERLINK("https://otsuka-europe-crm.veevavault.com/ui/#object/sent_email__v/VBL00000002T208", "SE-001435794")</f>
        <v>SE-001435794</v>
      </c>
      <c r="F9210" s="11"/>
      <c r="G9210" s="12">
        <v>0</v>
      </c>
      <c r="H9210" s="12">
        <v>0</v>
      </c>
      <c r="I9210" s="12">
        <v>0</v>
      </c>
      <c r="J9210" s="11"/>
      <c r="K9210" s="12">
        <v>0</v>
      </c>
      <c r="L9210" s="10" t="str">
        <f>HYPERLINK("https://otsuka-europe-crm.veevavault.com/ui/#object/approved_document__v/V5O00000001K002", "Programa 4º edición Curso Simulación clínica en psiquiatría Hospital 12-Octubre")</f>
        <v>Programa 4º edición Curso Simulación clínica en psiquiatría Hospital 12-Octubre</v>
      </c>
      <c r="M9210" s="10" t="str">
        <f>HYPERLINK("mailto:mgravan@crm.otsuka-europe.com", "mgravan@crm.otsuka-europe.com")</f>
        <v>mgravan@crm.otsuka-europe.com</v>
      </c>
      <c r="N9210" s="13">
        <v>46185.435833333337</v>
      </c>
      <c r="O9210" s="14" t="str">
        <f>HYPERLINK("https://otsuka-europe-crm.veevavault.com/ui/#object/email_activity__v/V8C00000003V281", "EN-002095339")</f>
        <v>EN-002095339</v>
      </c>
    </row>
    <row r="9211" spans="1:15" ht="16" x14ac:dyDescent="0.2">
      <c r="A9211" s="17" t="str">
        <f>HYPERLINK("https://otsuka-europe-crm.veevavault.com/ui/#object/account__v/V4TZ0000062R3NN", "Gerfried Georg Gratze")</f>
        <v>Gerfried Georg Gratze</v>
      </c>
      <c r="B9211" s="17" t="str">
        <f>HYPERLINK("https://otsuka-europe-crm.veevavault.com/ui/#object/vcountry__v/VENZ000004SONFD", "AT")</f>
        <v>AT</v>
      </c>
      <c r="C9211" s="20" t="s">
        <v>40</v>
      </c>
      <c r="D9211" s="21" t="str">
        <f>HYPERLINK("https://otsuka-europe-crm.veevavault.com/ui/#object/approved_document__v/V5O00000000K004", "Austria - Consent Email - Aug25 v2")</f>
        <v>Austria - Consent Email - Aug25 v2</v>
      </c>
      <c r="E9211" s="22" t="str">
        <f>HYPERLINK("https://otsuka-europe-crm.veevavault.com/ui/#object/sent_email__v/VBL00000002U070", "SE-001435795")</f>
        <v>SE-001435795</v>
      </c>
      <c r="F9211" s="23">
        <v>46185.734699074077</v>
      </c>
      <c r="G9211" s="24">
        <v>1</v>
      </c>
      <c r="H9211" s="24">
        <v>1</v>
      </c>
      <c r="I9211" s="24">
        <v>0</v>
      </c>
      <c r="J9211" s="25"/>
      <c r="K9211" s="24">
        <v>0</v>
      </c>
      <c r="L9211" s="22" t="str">
        <f>HYPERLINK("https://otsuka-europe-crm.veevavault.com/ui/#object/approved_document__v/V5O00000000K004", "Austria - Consent Email - Aug25 v2")</f>
        <v>Austria - Consent Email - Aug25 v2</v>
      </c>
      <c r="M9211" s="22" t="str">
        <f>HYPERLINK("mailto:nlerchner@crm.otsuka-europe.com", "nlerchner@crm.otsuka-europe.com")</f>
        <v>nlerchner@crm.otsuka-europe.com</v>
      </c>
      <c r="N9211" s="23">
        <v>46185.446111111109</v>
      </c>
      <c r="O9211" s="14" t="str">
        <f>HYPERLINK("https://otsuka-europe-crm.veevavault.com/ui/#object/email_activity__v/V8C00000003U249", "EN-002095350")</f>
        <v>EN-002095350</v>
      </c>
    </row>
    <row r="9212" spans="1:15" ht="16" x14ac:dyDescent="0.2">
      <c r="A9212" s="19"/>
      <c r="B9212" s="19"/>
      <c r="C9212" s="19"/>
      <c r="D9212" s="19"/>
      <c r="E9212" s="19"/>
      <c r="F9212" s="19"/>
      <c r="G9212" s="19"/>
      <c r="H9212" s="19"/>
      <c r="I9212" s="19"/>
      <c r="J9212" s="19"/>
      <c r="K9212" s="19"/>
      <c r="L9212" s="19"/>
      <c r="M9212" s="19"/>
      <c r="N9212" s="19"/>
      <c r="O9212" s="14" t="str">
        <f>HYPERLINK("https://otsuka-europe-crm.veevavault.com/ui/#object/email_activity__v/V8C00000003V381", "EN-002095550")</f>
        <v>EN-002095550</v>
      </c>
    </row>
    <row r="9213" spans="1:15" ht="16" x14ac:dyDescent="0.2">
      <c r="A9213" s="17" t="str">
        <f>HYPERLINK("https://otsuka-europe-crm.veevavault.com/ui/#object/account__v/V4TZ0000062R3NN", "Gerfried Georg Gratze")</f>
        <v>Gerfried Georg Gratze</v>
      </c>
      <c r="B9213" s="17" t="str">
        <f>HYPERLINK("https://otsuka-europe-crm.veevavault.com/ui/#object/vcountry__v/VENZ000004SONFD", "AT")</f>
        <v>AT</v>
      </c>
      <c r="C9213" s="20" t="s">
        <v>40</v>
      </c>
      <c r="D9213" s="21" t="str">
        <f>HYPERLINK("https://otsuka-europe-crm.veevavault.com/ui/#object/approved_document__v/V5OZ04ASG4FXQX9", "AT - HCP Einwilligung für Remote Calls Österreich")</f>
        <v>AT - HCP Einwilligung für Remote Calls Österreich</v>
      </c>
      <c r="E9213" s="22" t="str">
        <f>HYPERLINK("https://otsuka-europe-crm.veevavault.com/ui/#object/sent_email__v/VBL00000002U071", "SE-001435796")</f>
        <v>SE-001435796</v>
      </c>
      <c r="F9213" s="23">
        <v>46185.734699074077</v>
      </c>
      <c r="G9213" s="24">
        <v>1</v>
      </c>
      <c r="H9213" s="24">
        <v>1</v>
      </c>
      <c r="I9213" s="24">
        <v>0</v>
      </c>
      <c r="J9213" s="25"/>
      <c r="K9213" s="24">
        <v>0</v>
      </c>
      <c r="L9213" s="22" t="str">
        <f>HYPERLINK("https://otsuka-europe-crm.veevavault.com/ui/#object/approved_document__v/V5OZ04ASG4FXQX9", "AT - HCP Einwilligung für Remote Calls Österreich")</f>
        <v>AT - HCP Einwilligung für Remote Calls Österreich</v>
      </c>
      <c r="M9213" s="22" t="str">
        <f>HYPERLINK("mailto:nlerchner@crm.otsuka-europe.com", "nlerchner@crm.otsuka-europe.com")</f>
        <v>nlerchner@crm.otsuka-europe.com</v>
      </c>
      <c r="N9213" s="23">
        <v>46185.446099537039</v>
      </c>
      <c r="O9213" s="14" t="str">
        <f>HYPERLINK("https://otsuka-europe-crm.veevavault.com/ui/#object/email_activity__v/V8C00000003U248", "EN-002095349")</f>
        <v>EN-002095349</v>
      </c>
    </row>
    <row r="9214" spans="1:15" ht="16" x14ac:dyDescent="0.2">
      <c r="A9214" s="19"/>
      <c r="B9214" s="19"/>
      <c r="C9214" s="19"/>
      <c r="D9214" s="19"/>
      <c r="E9214" s="19"/>
      <c r="F9214" s="19"/>
      <c r="G9214" s="19"/>
      <c r="H9214" s="19"/>
      <c r="I9214" s="19"/>
      <c r="J9214" s="19"/>
      <c r="K9214" s="19"/>
      <c r="L9214" s="19"/>
      <c r="M9214" s="19"/>
      <c r="N9214" s="19"/>
      <c r="O9214" s="14" t="str">
        <f>HYPERLINK("https://otsuka-europe-crm.veevavault.com/ui/#object/email_activity__v/V8C00000003V380", "EN-002095549")</f>
        <v>EN-002095549</v>
      </c>
    </row>
    <row r="9215" spans="1:15" ht="48" x14ac:dyDescent="0.2">
      <c r="A9215" s="7" t="str">
        <f>HYPERLINK("https://otsuka-europe-crm.veevavault.com/ui/#object/account__v/V4TZ06G6O9C1SK0", "SERGIO MERLINO")</f>
        <v>SERGIO MERLINO</v>
      </c>
      <c r="B9215" s="7" t="str">
        <f>HYPERLINK("https://otsuka-europe-crm.veevavault.com/ui/#object/vcountry__v/VENZ000004SONFQ", "IT")</f>
        <v>IT</v>
      </c>
      <c r="C9215" s="8" t="s">
        <v>44</v>
      </c>
      <c r="D9215" s="9" t="str">
        <f>HYPERLINK("https://otsuka-europe-crm.veevavault.com/ui/#object/approved_document__v/V5OZ025E82UFNWM", "ABILIFY 960720_Branded_AE Fagiolini_IT-AM2-2500131")</f>
        <v>ABILIFY 960720_Branded_AE Fagiolini_IT-AM2-2500131</v>
      </c>
      <c r="E9215" s="10" t="str">
        <f>HYPERLINK("https://otsuka-europe-crm.veevavault.com/ui/#object/sent_email__v/VBL00000002T209", "SE-001435797")</f>
        <v>SE-001435797</v>
      </c>
      <c r="F9215" s="11"/>
      <c r="G9215" s="12">
        <v>0</v>
      </c>
      <c r="H9215" s="12">
        <v>0</v>
      </c>
      <c r="I9215" s="12">
        <v>0</v>
      </c>
      <c r="J9215" s="11"/>
      <c r="K9215" s="12">
        <v>0</v>
      </c>
      <c r="L9215" s="10" t="str">
        <f>HYPERLINK("https://otsuka-europe-crm.veevavault.com/ui/#object/approved_document__v/V5OZ025E82UFNWM", "ABILIFY 960720_Branded_AE Fagiolini_IT-AM2-2500131")</f>
        <v>ABILIFY 960720_Branded_AE Fagiolini_IT-AM2-2500131</v>
      </c>
      <c r="M9215" s="10" t="str">
        <f>HYPERLINK("mailto:marina.maccaglia@crm.otsuka-europe.com", "marina.maccaglia@crm.otsuka-europe.com")</f>
        <v>marina.maccaglia@crm.otsuka-europe.com</v>
      </c>
      <c r="N9215" s="13">
        <v>46185.510416666664</v>
      </c>
      <c r="O9215" s="14" t="str">
        <f>HYPERLINK("https://otsuka-europe-crm.veevavault.com/ui/#object/email_activity__v/V8C00000003V295", "EN-002095378")</f>
        <v>EN-002095378</v>
      </c>
    </row>
    <row r="9216" spans="1:15" ht="16" x14ac:dyDescent="0.2">
      <c r="A9216" s="17" t="str">
        <f>HYPERLINK("https://otsuka-europe-crm.veevavault.com/ui/#object/account__v/V4TZ04ASGBCFKLL", "MICOL FRASSI")</f>
        <v>MICOL FRASSI</v>
      </c>
      <c r="B9216" s="17" t="str">
        <f>HYPERLINK("https://otsuka-europe-crm.veevavault.com/ui/#object/vcountry__v/VENZ000004SONFQ", "IT")</f>
        <v>IT</v>
      </c>
      <c r="C9216" s="20" t="s">
        <v>44</v>
      </c>
      <c r="D9216" s="21" t="str">
        <f>HYPERLINK("https://otsuka-europe-crm.veevavault.com/ui/#object/approved_document__v/V5O00000001A009", "Lupkynis_classi bioptiche_IT-LUP-2600008 v1.0 - RHEUMA")</f>
        <v>Lupkynis_classi bioptiche_IT-LUP-2600008 v1.0 - RHEUMA</v>
      </c>
      <c r="E9216" s="22" t="str">
        <f>HYPERLINK("https://otsuka-europe-crm.veevavault.com/ui/#object/sent_email__v/VBL00000002T210", "SE-001435798")</f>
        <v>SE-001435798</v>
      </c>
      <c r="F9216" s="25"/>
      <c r="G9216" s="24">
        <v>0</v>
      </c>
      <c r="H9216" s="24">
        <v>0</v>
      </c>
      <c r="I9216" s="24">
        <v>0</v>
      </c>
      <c r="J9216" s="25"/>
      <c r="K9216" s="24">
        <v>0</v>
      </c>
      <c r="L9216" s="22" t="str">
        <f>HYPERLINK("https://otsuka-europe-crm.veevavault.com/ui/#object/approved_document__v/V5O00000001A009", "Lupkynis_classi bioptiche_IT-LUP-2600008 v1.0 - RHEUMA")</f>
        <v>Lupkynis_classi bioptiche_IT-LUP-2600008 v1.0 - RHEUMA</v>
      </c>
      <c r="M9216" s="22" t="str">
        <f>HYPERLINK("mailto:marco.aldrigo@crm.otsuka-europe.com", "marco.aldrigo@crm.otsuka-europe.com")</f>
        <v>marco.aldrigo@crm.otsuka-europe.com</v>
      </c>
      <c r="N9216" s="23">
        <v>46185.511458333334</v>
      </c>
      <c r="O9216" s="14" t="str">
        <f>HYPERLINK("https://otsuka-europe-crm.veevavault.com/ui/#object/email_activity__v/V8C00000003U425", "EN-002095708")</f>
        <v>EN-002095708</v>
      </c>
    </row>
    <row r="9217" spans="1:15" ht="16" x14ac:dyDescent="0.2">
      <c r="A9217" s="19"/>
      <c r="B9217" s="19"/>
      <c r="C9217" s="19"/>
      <c r="D9217" s="19"/>
      <c r="E9217" s="19"/>
      <c r="F9217" s="19"/>
      <c r="G9217" s="19"/>
      <c r="H9217" s="19"/>
      <c r="I9217" s="19"/>
      <c r="J9217" s="19"/>
      <c r="K9217" s="19"/>
      <c r="L9217" s="19"/>
      <c r="M9217" s="19"/>
      <c r="N9217" s="19"/>
      <c r="O9217" s="14" t="str">
        <f>HYPERLINK("https://otsuka-europe-crm.veevavault.com/ui/#object/email_activity__v/V8C00000003V297", "EN-002095380")</f>
        <v>EN-002095380</v>
      </c>
    </row>
    <row r="9218" spans="1:15" ht="48" x14ac:dyDescent="0.2">
      <c r="A9218" s="7" t="str">
        <f>HYPERLINK("https://otsuka-europe-crm.veevavault.com/ui/#object/account__v/V4TZ04ASGBCFKOI", "CECILIA NALLI")</f>
        <v>CECILIA NALLI</v>
      </c>
      <c r="B9218" s="7" t="str">
        <f>HYPERLINK("https://otsuka-europe-crm.veevavault.com/ui/#object/vcountry__v/VENZ000004SONFQ", "IT")</f>
        <v>IT</v>
      </c>
      <c r="C9218" s="8" t="s">
        <v>44</v>
      </c>
      <c r="D9218" s="9" t="str">
        <f>HYPERLINK("https://otsuka-europe-crm.veevavault.com/ui/#object/approved_document__v/V5O00000001A009", "Lupkynis_classi bioptiche_IT-LUP-2600008 v1.0 - RHEUMA")</f>
        <v>Lupkynis_classi bioptiche_IT-LUP-2600008 v1.0 - RHEUMA</v>
      </c>
      <c r="E9218" s="10" t="str">
        <f>HYPERLINK("https://otsuka-europe-crm.veevavault.com/ui/#object/sent_email__v/VBL00000002T211", "SE-001435799")</f>
        <v>SE-001435799</v>
      </c>
      <c r="F9218" s="11"/>
      <c r="G9218" s="12">
        <v>0</v>
      </c>
      <c r="H9218" s="12">
        <v>0</v>
      </c>
      <c r="I9218" s="12">
        <v>0</v>
      </c>
      <c r="J9218" s="11"/>
      <c r="K9218" s="12">
        <v>0</v>
      </c>
      <c r="L9218" s="10" t="str">
        <f>HYPERLINK("https://otsuka-europe-crm.veevavault.com/ui/#object/approved_document__v/V5O00000001A009", "Lupkynis_classi bioptiche_IT-LUP-2600008 v1.0 - RHEUMA")</f>
        <v>Lupkynis_classi bioptiche_IT-LUP-2600008 v1.0 - RHEUMA</v>
      </c>
      <c r="M9218" s="10" t="str">
        <f>HYPERLINK("mailto:marco.aldrigo@crm.otsuka-europe.com", "marco.aldrigo@crm.otsuka-europe.com")</f>
        <v>marco.aldrigo@crm.otsuka-europe.com</v>
      </c>
      <c r="N9218" s="13">
        <v>46185.511481481481</v>
      </c>
      <c r="O9218" s="14" t="str">
        <f>HYPERLINK("https://otsuka-europe-crm.veevavault.com/ui/#object/email_activity__v/V8C00000003V296", "EN-002095379")</f>
        <v>EN-002095379</v>
      </c>
    </row>
    <row r="9219" spans="1:15" ht="48" x14ac:dyDescent="0.2">
      <c r="A9219" s="7" t="str">
        <f>HYPERLINK("https://otsuka-europe-crm.veevavault.com/ui/#object/account__v/V4TZ04ASGBU8EGS", "ILARIA CAVAZZANA")</f>
        <v>ILARIA CAVAZZANA</v>
      </c>
      <c r="B9219" s="7" t="str">
        <f>HYPERLINK("https://otsuka-europe-crm.veevavault.com/ui/#object/vcountry__v/VENZ000004SONFQ", "IT")</f>
        <v>IT</v>
      </c>
      <c r="C9219" s="8" t="s">
        <v>44</v>
      </c>
      <c r="D9219" s="9" t="str">
        <f>HYPERLINK("https://otsuka-europe-crm.veevavault.com/ui/#object/approved_document__v/V5O00000001A009", "Lupkynis_classi bioptiche_IT-LUP-2600008 v1.0 - RHEUMA")</f>
        <v>Lupkynis_classi bioptiche_IT-LUP-2600008 v1.0 - RHEUMA</v>
      </c>
      <c r="E9219" s="10" t="str">
        <f>HYPERLINK("https://otsuka-europe-crm.veevavault.com/ui/#object/sent_email__v/VBL00000002U072", "SE-001435800")</f>
        <v>SE-001435800</v>
      </c>
      <c r="F9219" s="11"/>
      <c r="G9219" s="12">
        <v>0</v>
      </c>
      <c r="H9219" s="12">
        <v>0</v>
      </c>
      <c r="I9219" s="12">
        <v>0</v>
      </c>
      <c r="J9219" s="11"/>
      <c r="K9219" s="12">
        <v>0</v>
      </c>
      <c r="L9219" s="10" t="str">
        <f>HYPERLINK("https://otsuka-europe-crm.veevavault.com/ui/#object/approved_document__v/V5O00000001A009", "Lupkynis_classi bioptiche_IT-LUP-2600008 v1.0 - RHEUMA")</f>
        <v>Lupkynis_classi bioptiche_IT-LUP-2600008 v1.0 - RHEUMA</v>
      </c>
      <c r="M9219" s="10" t="str">
        <f>HYPERLINK("mailto:marco.aldrigo@crm.otsuka-europe.com", "marco.aldrigo@crm.otsuka-europe.com")</f>
        <v>marco.aldrigo@crm.otsuka-europe.com</v>
      </c>
      <c r="N9219" s="13">
        <v>46185.511817129627</v>
      </c>
      <c r="O9219" s="14" t="str">
        <f>HYPERLINK("https://otsuka-europe-crm.veevavault.com/ui/#object/email_activity__v/V8C00000003U268", "EN-002095381")</f>
        <v>EN-002095381</v>
      </c>
    </row>
    <row r="9220" spans="1:15" ht="16" x14ac:dyDescent="0.2">
      <c r="A9220" s="17" t="str">
        <f>HYPERLINK("https://otsuka-europe-crm.veevavault.com/ui/#object/account__v/V4TZ04ASGEOMOF7", "MATTEO FILIPPINI")</f>
        <v>MATTEO FILIPPINI</v>
      </c>
      <c r="B9220" s="17" t="str">
        <f>HYPERLINK("https://otsuka-europe-crm.veevavault.com/ui/#object/vcountry__v/VENZ000004SONFQ", "IT")</f>
        <v>IT</v>
      </c>
      <c r="C9220" s="20" t="s">
        <v>44</v>
      </c>
      <c r="D9220" s="21" t="str">
        <f>HYPERLINK("https://otsuka-europe-crm.veevavault.com/ui/#object/approved_document__v/V5O00000001A009", "Lupkynis_classi bioptiche_IT-LUP-2600008 v1.0 - RHEUMA")</f>
        <v>Lupkynis_classi bioptiche_IT-LUP-2600008 v1.0 - RHEUMA</v>
      </c>
      <c r="E9220" s="22" t="str">
        <f>HYPERLINK("https://otsuka-europe-crm.veevavault.com/ui/#object/sent_email__v/VBL00000002T212", "SE-001435801")</f>
        <v>SE-001435801</v>
      </c>
      <c r="F9220" s="23">
        <v>46185.512071759258</v>
      </c>
      <c r="G9220" s="24">
        <v>1</v>
      </c>
      <c r="H9220" s="24">
        <v>1</v>
      </c>
      <c r="I9220" s="24">
        <v>0</v>
      </c>
      <c r="J9220" s="25"/>
      <c r="K9220" s="24">
        <v>0</v>
      </c>
      <c r="L9220" s="22" t="str">
        <f>HYPERLINK("https://otsuka-europe-crm.veevavault.com/ui/#object/approved_document__v/V5O00000001A009", "Lupkynis_classi bioptiche_IT-LUP-2600008 v1.0 - RHEUMA")</f>
        <v>Lupkynis_classi bioptiche_IT-LUP-2600008 v1.0 - RHEUMA</v>
      </c>
      <c r="M9220" s="22" t="str">
        <f>HYPERLINK("mailto:marco.aldrigo@crm.otsuka-europe.com", "marco.aldrigo@crm.otsuka-europe.com")</f>
        <v>marco.aldrigo@crm.otsuka-europe.com</v>
      </c>
      <c r="N9220" s="23">
        <v>46185.511840277781</v>
      </c>
      <c r="O9220" s="14" t="str">
        <f>HYPERLINK("https://otsuka-europe-crm.veevavault.com/ui/#object/email_activity__v/V8C00000003U269", "EN-002095384")</f>
        <v>EN-002095384</v>
      </c>
    </row>
    <row r="9221" spans="1:15" ht="16" x14ac:dyDescent="0.2">
      <c r="A9221" s="18"/>
      <c r="B9221" s="18"/>
      <c r="C9221" s="18"/>
      <c r="D9221" s="18"/>
      <c r="E9221" s="18"/>
      <c r="F9221" s="18"/>
      <c r="G9221" s="18"/>
      <c r="H9221" s="18"/>
      <c r="I9221" s="18"/>
      <c r="J9221" s="18"/>
      <c r="K9221" s="18"/>
      <c r="L9221" s="18"/>
      <c r="M9221" s="18"/>
      <c r="N9221" s="18"/>
      <c r="O9221" s="14" t="str">
        <f>HYPERLINK("https://otsuka-europe-crm.veevavault.com/ui/#object/email_activity__v/V8C00000003U560", "EN-002095925")</f>
        <v>EN-002095925</v>
      </c>
    </row>
    <row r="9222" spans="1:15" ht="16" x14ac:dyDescent="0.2">
      <c r="A9222" s="18"/>
      <c r="B9222" s="18"/>
      <c r="C9222" s="18"/>
      <c r="D9222" s="18"/>
      <c r="E9222" s="18"/>
      <c r="F9222" s="18"/>
      <c r="G9222" s="18"/>
      <c r="H9222" s="18"/>
      <c r="I9222" s="18"/>
      <c r="J9222" s="18"/>
      <c r="K9222" s="18"/>
      <c r="L9222" s="18"/>
      <c r="M9222" s="18"/>
      <c r="N9222" s="18"/>
      <c r="O9222" s="14" t="str">
        <f>HYPERLINK("https://otsuka-europe-crm.veevavault.com/ui/#object/email_activity__v/V8C00000003V298", "EN-002095382")</f>
        <v>EN-002095382</v>
      </c>
    </row>
    <row r="9223" spans="1:15" ht="16" x14ac:dyDescent="0.2">
      <c r="A9223" s="19"/>
      <c r="B9223" s="19"/>
      <c r="C9223" s="19"/>
      <c r="D9223" s="19"/>
      <c r="E9223" s="19"/>
      <c r="F9223" s="19"/>
      <c r="G9223" s="19"/>
      <c r="H9223" s="19"/>
      <c r="I9223" s="19"/>
      <c r="J9223" s="19"/>
      <c r="K9223" s="19"/>
      <c r="L9223" s="19"/>
      <c r="M9223" s="19"/>
      <c r="N9223" s="19"/>
      <c r="O9223" s="14" t="str">
        <f>HYPERLINK("https://otsuka-europe-crm.veevavault.com/ui/#object/email_activity__v/V8C00000003V319", "EN-002095426")</f>
        <v>EN-002095426</v>
      </c>
    </row>
    <row r="9224" spans="1:15" ht="16" x14ac:dyDescent="0.2">
      <c r="A9224" s="17" t="str">
        <f>HYPERLINK("https://otsuka-europe-crm.veevavault.com/ui/#object/account__v/V4TZ04ASGB95Z2E", "MICAELA FREDI")</f>
        <v>MICAELA FREDI</v>
      </c>
      <c r="B9224" s="17" t="str">
        <f>HYPERLINK("https://otsuka-europe-crm.veevavault.com/ui/#object/vcountry__v/VENZ000004SONFQ", "IT")</f>
        <v>IT</v>
      </c>
      <c r="C9224" s="20" t="s">
        <v>44</v>
      </c>
      <c r="D9224" s="21" t="str">
        <f>HYPERLINK("https://otsuka-europe-crm.veevavault.com/ui/#object/approved_document__v/V5O00000001A009", "Lupkynis_classi bioptiche_IT-LUP-2600008 v1.0 - RHEUMA")</f>
        <v>Lupkynis_classi bioptiche_IT-LUP-2600008 v1.0 - RHEUMA</v>
      </c>
      <c r="E9224" s="22" t="str">
        <f>HYPERLINK("https://otsuka-europe-crm.veevavault.com/ui/#object/sent_email__v/VBL00000002U073", "SE-001435802")</f>
        <v>SE-001435802</v>
      </c>
      <c r="F9224" s="23">
        <v>46185.550787037035</v>
      </c>
      <c r="G9224" s="24">
        <v>1</v>
      </c>
      <c r="H9224" s="24">
        <v>2</v>
      </c>
      <c r="I9224" s="24">
        <v>0</v>
      </c>
      <c r="J9224" s="25"/>
      <c r="K9224" s="24">
        <v>0</v>
      </c>
      <c r="L9224" s="22" t="str">
        <f>HYPERLINK("https://otsuka-europe-crm.veevavault.com/ui/#object/approved_document__v/V5O00000001A009", "Lupkynis_classi bioptiche_IT-LUP-2600008 v1.0 - RHEUMA")</f>
        <v>Lupkynis_classi bioptiche_IT-LUP-2600008 v1.0 - RHEUMA</v>
      </c>
      <c r="M9224" s="22" t="str">
        <f>HYPERLINK("mailto:marco.aldrigo@crm.otsuka-europe.com", "marco.aldrigo@crm.otsuka-europe.com")</f>
        <v>marco.aldrigo@crm.otsuka-europe.com</v>
      </c>
      <c r="N9224" s="23">
        <v>46185.512141203704</v>
      </c>
      <c r="O9224" s="14" t="str">
        <f>HYPERLINK("https://otsuka-europe-crm.veevavault.com/ui/#object/email_activity__v/V8C00000003U309", "EN-002095456")</f>
        <v>EN-002095456</v>
      </c>
    </row>
    <row r="9225" spans="1:15" ht="16" x14ac:dyDescent="0.2">
      <c r="A9225" s="18"/>
      <c r="B9225" s="18"/>
      <c r="C9225" s="18"/>
      <c r="D9225" s="18"/>
      <c r="E9225" s="18"/>
      <c r="F9225" s="18"/>
      <c r="G9225" s="18"/>
      <c r="H9225" s="18"/>
      <c r="I9225" s="18"/>
      <c r="J9225" s="18"/>
      <c r="K9225" s="18"/>
      <c r="L9225" s="18"/>
      <c r="M9225" s="18"/>
      <c r="N9225" s="18"/>
      <c r="O9225" s="14" t="str">
        <f>HYPERLINK("https://otsuka-europe-crm.veevavault.com/ui/#object/email_activity__v/V8C00000003V299", "EN-002095383")</f>
        <v>EN-002095383</v>
      </c>
    </row>
    <row r="9226" spans="1:15" ht="16" x14ac:dyDescent="0.2">
      <c r="A9226" s="19"/>
      <c r="B9226" s="19"/>
      <c r="C9226" s="19"/>
      <c r="D9226" s="19"/>
      <c r="E9226" s="19"/>
      <c r="F9226" s="19"/>
      <c r="G9226" s="19"/>
      <c r="H9226" s="19"/>
      <c r="I9226" s="19"/>
      <c r="J9226" s="19"/>
      <c r="K9226" s="19"/>
      <c r="L9226" s="19"/>
      <c r="M9226" s="19"/>
      <c r="N9226" s="19"/>
      <c r="O9226" s="14" t="str">
        <f>HYPERLINK("https://otsuka-europe-crm.veevavault.com/ui/#object/email_activity__v/V8C00000003V323", "EN-002095432")</f>
        <v>EN-002095432</v>
      </c>
    </row>
    <row r="9227" spans="1:15" ht="16" x14ac:dyDescent="0.2">
      <c r="A9227" s="17" t="str">
        <f>HYPERLINK("https://otsuka-europe-crm.veevavault.com/ui/#object/account__v/V4TZ04ASGBU8F2S", "FRANCESCA REGOLA")</f>
        <v>FRANCESCA REGOLA</v>
      </c>
      <c r="B9227" s="17" t="str">
        <f>HYPERLINK("https://otsuka-europe-crm.veevavault.com/ui/#object/vcountry__v/VENZ000004SONFQ", "IT")</f>
        <v>IT</v>
      </c>
      <c r="C9227" s="20" t="s">
        <v>44</v>
      </c>
      <c r="D9227" s="21" t="str">
        <f>HYPERLINK("https://otsuka-europe-crm.veevavault.com/ui/#object/approved_document__v/V5O00000001A009", "Lupkynis_classi bioptiche_IT-LUP-2600008 v1.0 - RHEUMA")</f>
        <v>Lupkynis_classi bioptiche_IT-LUP-2600008 v1.0 - RHEUMA</v>
      </c>
      <c r="E9227" s="22" t="str">
        <f>HYPERLINK("https://otsuka-europe-crm.veevavault.com/ui/#object/sent_email__v/VBL00000002U074", "SE-001435803")</f>
        <v>SE-001435803</v>
      </c>
      <c r="F9227" s="25"/>
      <c r="G9227" s="24">
        <v>0</v>
      </c>
      <c r="H9227" s="24">
        <v>0</v>
      </c>
      <c r="I9227" s="24">
        <v>0</v>
      </c>
      <c r="J9227" s="25"/>
      <c r="K9227" s="24">
        <v>0</v>
      </c>
      <c r="L9227" s="22" t="str">
        <f>HYPERLINK("https://otsuka-europe-crm.veevavault.com/ui/#object/approved_document__v/V5O00000001A009", "Lupkynis_classi bioptiche_IT-LUP-2600008 v1.0 - RHEUMA")</f>
        <v>Lupkynis_classi bioptiche_IT-LUP-2600008 v1.0 - RHEUMA</v>
      </c>
      <c r="M9227" s="22" t="str">
        <f>HYPERLINK("mailto:marco.aldrigo@crm.otsuka-europe.com", "marco.aldrigo@crm.otsuka-europe.com")</f>
        <v>marco.aldrigo@crm.otsuka-europe.com</v>
      </c>
      <c r="N9227" s="23">
        <v>46185.512499999997</v>
      </c>
      <c r="O9227" s="14" t="str">
        <f>HYPERLINK("https://otsuka-europe-crm.veevavault.com/ui/#object/email_activity__v/V8C00000003V300", "EN-002095385")</f>
        <v>EN-002095385</v>
      </c>
    </row>
    <row r="9228" spans="1:15" ht="16" x14ac:dyDescent="0.2">
      <c r="A9228" s="19"/>
      <c r="B9228" s="19"/>
      <c r="C9228" s="19"/>
      <c r="D9228" s="19"/>
      <c r="E9228" s="19"/>
      <c r="F9228" s="19"/>
      <c r="G9228" s="19"/>
      <c r="H9228" s="19"/>
      <c r="I9228" s="19"/>
      <c r="J9228" s="19"/>
      <c r="K9228" s="19"/>
      <c r="L9228" s="19"/>
      <c r="M9228" s="19"/>
      <c r="N9228" s="19"/>
      <c r="O9228" s="14" t="str">
        <f>HYPERLINK("https://otsuka-europe-crm.veevavault.com/ui/#object/email_activity__v/V8C00000003V454", "EN-002095677")</f>
        <v>EN-002095677</v>
      </c>
    </row>
    <row r="9229" spans="1:15" ht="48" x14ac:dyDescent="0.2">
      <c r="A9229" s="7" t="str">
        <f>HYPERLINK("https://otsuka-europe-crm.veevavault.com/ui/#object/account__v/V4TZ04ASGBWYIN9", "FABIO DE GENNARO")</f>
        <v>FABIO DE GENNARO</v>
      </c>
      <c r="B9229" s="7" t="str">
        <f t="shared" ref="B9229:B9237" si="696">HYPERLINK("https://otsuka-europe-crm.veevavault.com/ui/#object/vcountry__v/VENZ000004SONFQ", "IT")</f>
        <v>IT</v>
      </c>
      <c r="C9229" s="8" t="s">
        <v>44</v>
      </c>
      <c r="D9229" s="9" t="str">
        <f>HYPERLINK("https://otsuka-europe-crm.veevavault.com/ui/#object/approved_document__v/V5O00000001A009", "Lupkynis_classi bioptiche_IT-LUP-2600008 v1.0 - RHEUMA")</f>
        <v>Lupkynis_classi bioptiche_IT-LUP-2600008 v1.0 - RHEUMA</v>
      </c>
      <c r="E9229" s="10" t="str">
        <f>HYPERLINK("https://otsuka-europe-crm.veevavault.com/ui/#object/sent_email__v/VBL00000002U075", "SE-001435804")</f>
        <v>SE-001435804</v>
      </c>
      <c r="F9229" s="11"/>
      <c r="G9229" s="12">
        <v>0</v>
      </c>
      <c r="H9229" s="12">
        <v>0</v>
      </c>
      <c r="I9229" s="12">
        <v>0</v>
      </c>
      <c r="J9229" s="11"/>
      <c r="K9229" s="12">
        <v>0</v>
      </c>
      <c r="L9229" s="10" t="str">
        <f>HYPERLINK("https://otsuka-europe-crm.veevavault.com/ui/#object/approved_document__v/V5O00000001A009", "Lupkynis_classi bioptiche_IT-LUP-2600008 v1.0 - RHEUMA")</f>
        <v>Lupkynis_classi bioptiche_IT-LUP-2600008 v1.0 - RHEUMA</v>
      </c>
      <c r="M9229" s="10" t="str">
        <f t="shared" ref="M9229:M9237" si="697">HYPERLINK("mailto:marco.aldrigo@crm.otsuka-europe.com", "marco.aldrigo@crm.otsuka-europe.com")</f>
        <v>marco.aldrigo@crm.otsuka-europe.com</v>
      </c>
      <c r="N9229" s="13">
        <v>46185.513020833336</v>
      </c>
      <c r="O9229" s="14" t="str">
        <f>HYPERLINK("https://otsuka-europe-crm.veevavault.com/ui/#object/email_activity__v/V8C00000003U270", "EN-002095386")</f>
        <v>EN-002095386</v>
      </c>
    </row>
    <row r="9230" spans="1:15" ht="48" x14ac:dyDescent="0.2">
      <c r="A9230" s="7" t="str">
        <f>HYPERLINK("https://otsuka-europe-crm.veevavault.com/ui/#object/account__v/V4TZ04ASGBWYIPP", "ANNA LAURA NARDECCHIA")</f>
        <v>ANNA LAURA NARDECCHIA</v>
      </c>
      <c r="B9230" s="7" t="str">
        <f t="shared" si="696"/>
        <v>IT</v>
      </c>
      <c r="C9230" s="8" t="s">
        <v>44</v>
      </c>
      <c r="D9230" s="9" t="str">
        <f>HYPERLINK("https://otsuka-europe-crm.veevavault.com/ui/#object/approved_document__v/V5O00000001A009", "Lupkynis_classi bioptiche_IT-LUP-2600008 v1.0 - RHEUMA")</f>
        <v>Lupkynis_classi bioptiche_IT-LUP-2600008 v1.0 - RHEUMA</v>
      </c>
      <c r="E9230" s="10" t="str">
        <f>HYPERLINK("https://otsuka-europe-crm.veevavault.com/ui/#object/sent_email__v/VBL00000002U076", "SE-001435805")</f>
        <v>SE-001435805</v>
      </c>
      <c r="F9230" s="11"/>
      <c r="G9230" s="12">
        <v>0</v>
      </c>
      <c r="H9230" s="12">
        <v>0</v>
      </c>
      <c r="I9230" s="12">
        <v>0</v>
      </c>
      <c r="J9230" s="11"/>
      <c r="K9230" s="12">
        <v>0</v>
      </c>
      <c r="L9230" s="10" t="str">
        <f>HYPERLINK("https://otsuka-europe-crm.veevavault.com/ui/#object/approved_document__v/V5O00000001A009", "Lupkynis_classi bioptiche_IT-LUP-2600008 v1.0 - RHEUMA")</f>
        <v>Lupkynis_classi bioptiche_IT-LUP-2600008 v1.0 - RHEUMA</v>
      </c>
      <c r="M9230" s="10" t="str">
        <f t="shared" si="697"/>
        <v>marco.aldrigo@crm.otsuka-europe.com</v>
      </c>
      <c r="N9230" s="13">
        <v>46185.513113425928</v>
      </c>
      <c r="O9230" s="14" t="str">
        <f>HYPERLINK("https://otsuka-europe-crm.veevavault.com/ui/#object/email_activity__v/V8C00000003U271", "EN-002095387")</f>
        <v>EN-002095387</v>
      </c>
    </row>
    <row r="9231" spans="1:15" ht="48" x14ac:dyDescent="0.2">
      <c r="A9231" s="7" t="str">
        <f>HYPERLINK("https://otsuka-europe-crm.veevavault.com/ui/#object/account__v/V4TZ04ASGC4D4S4", "PAOLO FOINI")</f>
        <v>PAOLO FOINI</v>
      </c>
      <c r="B9231" s="7" t="str">
        <f t="shared" si="696"/>
        <v>IT</v>
      </c>
      <c r="C9231" s="8" t="s">
        <v>44</v>
      </c>
      <c r="D9231" s="9" t="str">
        <f>HYPERLINK("https://otsuka-europe-crm.veevavault.com/ui/#object/approved_document__v/V5O00000001A010", "Lupkynis_classi bioptiche_IT-LUP-2600008 v1.0 - NEPHRO")</f>
        <v>Lupkynis_classi bioptiche_IT-LUP-2600008 v1.0 - NEPHRO</v>
      </c>
      <c r="E9231" s="10" t="str">
        <f>HYPERLINK("https://otsuka-europe-crm.veevavault.com/ui/#object/sent_email__v/VBL00000002U077", "SE-001435806")</f>
        <v>SE-001435806</v>
      </c>
      <c r="F9231" s="11"/>
      <c r="G9231" s="12">
        <v>0</v>
      </c>
      <c r="H9231" s="12">
        <v>0</v>
      </c>
      <c r="I9231" s="12">
        <v>0</v>
      </c>
      <c r="J9231" s="11"/>
      <c r="K9231" s="12">
        <v>0</v>
      </c>
      <c r="L9231" s="10" t="str">
        <f>HYPERLINK("https://otsuka-europe-crm.veevavault.com/ui/#object/approved_document__v/V5O00000001A010", "Lupkynis_classi bioptiche_IT-LUP-2600008 v1.0 - NEPHRO")</f>
        <v>Lupkynis_classi bioptiche_IT-LUP-2600008 v1.0 - NEPHRO</v>
      </c>
      <c r="M9231" s="10" t="str">
        <f t="shared" si="697"/>
        <v>marco.aldrigo@crm.otsuka-europe.com</v>
      </c>
      <c r="N9231" s="13">
        <v>46185.513541666667</v>
      </c>
      <c r="O9231" s="14" t="str">
        <f>HYPERLINK("https://otsuka-europe-crm.veevavault.com/ui/#object/email_activity__v/V8C00000003U272", "EN-002095388")</f>
        <v>EN-002095388</v>
      </c>
    </row>
    <row r="9232" spans="1:15" ht="48" x14ac:dyDescent="0.2">
      <c r="A9232" s="7" t="str">
        <f>HYPERLINK("https://otsuka-europe-crm.veevavault.com/ui/#object/account__v/V4TZ06G6O71SBQL", "PAOLA PECCHINI")</f>
        <v>PAOLA PECCHINI</v>
      </c>
      <c r="B9232" s="7" t="str">
        <f t="shared" si="696"/>
        <v>IT</v>
      </c>
      <c r="C9232" s="8" t="s">
        <v>44</v>
      </c>
      <c r="D9232" s="9" t="str">
        <f>HYPERLINK("https://otsuka-europe-crm.veevavault.com/ui/#object/approved_document__v/V5O00000001A010", "Lupkynis_classi bioptiche_IT-LUP-2600008 v1.0 - NEPHRO")</f>
        <v>Lupkynis_classi bioptiche_IT-LUP-2600008 v1.0 - NEPHRO</v>
      </c>
      <c r="E9232" s="10" t="str">
        <f>HYPERLINK("https://otsuka-europe-crm.veevavault.com/ui/#object/sent_email__v/VBL00000002U078", "SE-001435807")</f>
        <v>SE-001435807</v>
      </c>
      <c r="F9232" s="11"/>
      <c r="G9232" s="12">
        <v>0</v>
      </c>
      <c r="H9232" s="12">
        <v>0</v>
      </c>
      <c r="I9232" s="12">
        <v>0</v>
      </c>
      <c r="J9232" s="11"/>
      <c r="K9232" s="12">
        <v>0</v>
      </c>
      <c r="L9232" s="10" t="str">
        <f>HYPERLINK("https://otsuka-europe-crm.veevavault.com/ui/#object/approved_document__v/V5O00000001A010", "Lupkynis_classi bioptiche_IT-LUP-2600008 v1.0 - NEPHRO")</f>
        <v>Lupkynis_classi bioptiche_IT-LUP-2600008 v1.0 - NEPHRO</v>
      </c>
      <c r="M9232" s="10" t="str">
        <f t="shared" si="697"/>
        <v>marco.aldrigo@crm.otsuka-europe.com</v>
      </c>
      <c r="N9232" s="13">
        <v>46185.513680555552</v>
      </c>
      <c r="O9232" s="14" t="str">
        <f>HYPERLINK("https://otsuka-europe-crm.veevavault.com/ui/#object/email_activity__v/V8C00000003U273", "EN-002095389")</f>
        <v>EN-002095389</v>
      </c>
    </row>
    <row r="9233" spans="1:15" ht="48" x14ac:dyDescent="0.2">
      <c r="A9233" s="7" t="str">
        <f>HYPERLINK("https://otsuka-europe-crm.veevavault.com/ui/#object/account__v/V4TZ04ASGB4W210", "CHIARA BELLOCCHI")</f>
        <v>CHIARA BELLOCCHI</v>
      </c>
      <c r="B9233" s="7" t="str">
        <f t="shared" si="696"/>
        <v>IT</v>
      </c>
      <c r="C9233" s="8" t="s">
        <v>44</v>
      </c>
      <c r="D9233" s="9" t="str">
        <f>HYPERLINK("https://otsuka-europe-crm.veevavault.com/ui/#object/approved_document__v/V5O00000001A011", "Lupkynis_classi bioptiche_IT-LUP-2600008 v1.0 - IMMUNO")</f>
        <v>Lupkynis_classi bioptiche_IT-LUP-2600008 v1.0 - IMMUNO</v>
      </c>
      <c r="E9233" s="10" t="str">
        <f>HYPERLINK("https://otsuka-europe-crm.veevavault.com/ui/#object/sent_email__v/VBL00000002U079", "SE-001435808")</f>
        <v>SE-001435808</v>
      </c>
      <c r="F9233" s="11"/>
      <c r="G9233" s="12">
        <v>0</v>
      </c>
      <c r="H9233" s="12">
        <v>0</v>
      </c>
      <c r="I9233" s="12">
        <v>0</v>
      </c>
      <c r="J9233" s="11"/>
      <c r="K9233" s="12">
        <v>0</v>
      </c>
      <c r="L9233" s="10" t="str">
        <f>HYPERLINK("https://otsuka-europe-crm.veevavault.com/ui/#object/approved_document__v/V5O00000001A011", "Lupkynis_classi bioptiche_IT-LUP-2600008 v1.0 - IMMUNO")</f>
        <v>Lupkynis_classi bioptiche_IT-LUP-2600008 v1.0 - IMMUNO</v>
      </c>
      <c r="M9233" s="10" t="str">
        <f t="shared" si="697"/>
        <v>marco.aldrigo@crm.otsuka-europe.com</v>
      </c>
      <c r="N9233" s="13">
        <v>46185.515277777777</v>
      </c>
      <c r="O9233" s="14" t="str">
        <f>HYPERLINK("https://otsuka-europe-crm.veevavault.com/ui/#object/email_activity__v/V8C00000003U274", "EN-002095390")</f>
        <v>EN-002095390</v>
      </c>
    </row>
    <row r="9234" spans="1:15" ht="48" x14ac:dyDescent="0.2">
      <c r="A9234" s="7" t="str">
        <f>HYPERLINK("https://otsuka-europe-crm.veevavault.com/ui/#object/account__v/V4TZ04ASGDUBXFJ", "ADRIANA SEVERINO")</f>
        <v>ADRIANA SEVERINO</v>
      </c>
      <c r="B9234" s="7" t="str">
        <f t="shared" si="696"/>
        <v>IT</v>
      </c>
      <c r="C9234" s="8" t="s">
        <v>44</v>
      </c>
      <c r="D9234" s="9" t="str">
        <f>HYPERLINK("https://otsuka-europe-crm.veevavault.com/ui/#object/approved_document__v/V5O00000001A011", "Lupkynis_classi bioptiche_IT-LUP-2600008 v1.0 - IMMUNO")</f>
        <v>Lupkynis_classi bioptiche_IT-LUP-2600008 v1.0 - IMMUNO</v>
      </c>
      <c r="E9234" s="10" t="str">
        <f>HYPERLINK("https://otsuka-europe-crm.veevavault.com/ui/#object/sent_email__v/VBL00000002U080", "SE-001435809")</f>
        <v>SE-001435809</v>
      </c>
      <c r="F9234" s="11"/>
      <c r="G9234" s="12">
        <v>0</v>
      </c>
      <c r="H9234" s="12">
        <v>0</v>
      </c>
      <c r="I9234" s="12">
        <v>0</v>
      </c>
      <c r="J9234" s="11"/>
      <c r="K9234" s="12">
        <v>0</v>
      </c>
      <c r="L9234" s="10" t="str">
        <f>HYPERLINK("https://otsuka-europe-crm.veevavault.com/ui/#object/approved_document__v/V5O00000001A011", "Lupkynis_classi bioptiche_IT-LUP-2600008 v1.0 - IMMUNO")</f>
        <v>Lupkynis_classi bioptiche_IT-LUP-2600008 v1.0 - IMMUNO</v>
      </c>
      <c r="M9234" s="10" t="str">
        <f t="shared" si="697"/>
        <v>marco.aldrigo@crm.otsuka-europe.com</v>
      </c>
      <c r="N9234" s="13">
        <v>46185.515381944446</v>
      </c>
      <c r="O9234" s="14" t="str">
        <f>HYPERLINK("https://otsuka-europe-crm.veevavault.com/ui/#object/email_activity__v/V8C00000003U275", "EN-002095391")</f>
        <v>EN-002095391</v>
      </c>
    </row>
    <row r="9235" spans="1:15" ht="48" x14ac:dyDescent="0.2">
      <c r="A9235" s="7" t="str">
        <f>HYPERLINK("https://otsuka-europe-crm.veevavault.com/ui/#object/account__v/V4TZ04ASGB4W2C7", "LORENZO BERETTA")</f>
        <v>LORENZO BERETTA</v>
      </c>
      <c r="B9235" s="7" t="str">
        <f t="shared" si="696"/>
        <v>IT</v>
      </c>
      <c r="C9235" s="8" t="s">
        <v>44</v>
      </c>
      <c r="D9235" s="9" t="str">
        <f>HYPERLINK("https://otsuka-europe-crm.veevavault.com/ui/#object/approved_document__v/V5O00000001A011", "Lupkynis_classi bioptiche_IT-LUP-2600008 v1.0 - IMMUNO")</f>
        <v>Lupkynis_classi bioptiche_IT-LUP-2600008 v1.0 - IMMUNO</v>
      </c>
      <c r="E9235" s="10" t="str">
        <f>HYPERLINK("https://otsuka-europe-crm.veevavault.com/ui/#object/sent_email__v/VBL00000002U081", "SE-001435810")</f>
        <v>SE-001435810</v>
      </c>
      <c r="F9235" s="11"/>
      <c r="G9235" s="12">
        <v>0</v>
      </c>
      <c r="H9235" s="12">
        <v>0</v>
      </c>
      <c r="I9235" s="12">
        <v>0</v>
      </c>
      <c r="J9235" s="11"/>
      <c r="K9235" s="12">
        <v>0</v>
      </c>
      <c r="L9235" s="10" t="str">
        <f>HYPERLINK("https://otsuka-europe-crm.veevavault.com/ui/#object/approved_document__v/V5O00000001A011", "Lupkynis_classi bioptiche_IT-LUP-2600008 v1.0 - IMMUNO")</f>
        <v>Lupkynis_classi bioptiche_IT-LUP-2600008 v1.0 - IMMUNO</v>
      </c>
      <c r="M9235" s="10" t="str">
        <f t="shared" si="697"/>
        <v>marco.aldrigo@crm.otsuka-europe.com</v>
      </c>
      <c r="N9235" s="13">
        <v>46185.515636574077</v>
      </c>
      <c r="O9235" s="14" t="str">
        <f>HYPERLINK("https://otsuka-europe-crm.veevavault.com/ui/#object/email_activity__v/V8C00000003V301", "EN-002095392")</f>
        <v>EN-002095392</v>
      </c>
    </row>
    <row r="9236" spans="1:15" ht="48" x14ac:dyDescent="0.2">
      <c r="A9236" s="7" t="str">
        <f>HYPERLINK("https://otsuka-europe-crm.veevavault.com/ui/#object/account__v/V4TZ04ASGF6HZ9K", "BARBARA VIGONE")</f>
        <v>BARBARA VIGONE</v>
      </c>
      <c r="B9236" s="7" t="str">
        <f t="shared" si="696"/>
        <v>IT</v>
      </c>
      <c r="C9236" s="8" t="s">
        <v>44</v>
      </c>
      <c r="D9236" s="9" t="str">
        <f>HYPERLINK("https://otsuka-europe-crm.veevavault.com/ui/#object/approved_document__v/V5O00000001A011", "Lupkynis_classi bioptiche_IT-LUP-2600008 v1.0 - IMMUNO")</f>
        <v>Lupkynis_classi bioptiche_IT-LUP-2600008 v1.0 - IMMUNO</v>
      </c>
      <c r="E9236" s="10" t="str">
        <f>HYPERLINK("https://otsuka-europe-crm.veevavault.com/ui/#object/sent_email__v/VBL00000002U082", "SE-001435811")</f>
        <v>SE-001435811</v>
      </c>
      <c r="F9236" s="11"/>
      <c r="G9236" s="12">
        <v>0</v>
      </c>
      <c r="H9236" s="12">
        <v>0</v>
      </c>
      <c r="I9236" s="12">
        <v>0</v>
      </c>
      <c r="J9236" s="11"/>
      <c r="K9236" s="12">
        <v>0</v>
      </c>
      <c r="L9236" s="10" t="str">
        <f>HYPERLINK("https://otsuka-europe-crm.veevavault.com/ui/#object/approved_document__v/V5O00000001A011", "Lupkynis_classi bioptiche_IT-LUP-2600008 v1.0 - IMMUNO")</f>
        <v>Lupkynis_classi bioptiche_IT-LUP-2600008 v1.0 - IMMUNO</v>
      </c>
      <c r="M9236" s="10" t="str">
        <f t="shared" si="697"/>
        <v>marco.aldrigo@crm.otsuka-europe.com</v>
      </c>
      <c r="N9236" s="13">
        <v>46185.51599537037</v>
      </c>
      <c r="O9236" s="14" t="str">
        <f>HYPERLINK("https://otsuka-europe-crm.veevavault.com/ui/#object/email_activity__v/V8C00000003V302", "EN-002095394")</f>
        <v>EN-002095394</v>
      </c>
    </row>
    <row r="9237" spans="1:15" ht="16" x14ac:dyDescent="0.2">
      <c r="A9237" s="17" t="str">
        <f>HYPERLINK("https://otsuka-europe-crm.veevavault.com/ui/#object/account__v/V4TZ04ASGB4W1W6", "ALESSANDRO SANTANIELLO")</f>
        <v>ALESSANDRO SANTANIELLO</v>
      </c>
      <c r="B9237" s="17" t="str">
        <f t="shared" si="696"/>
        <v>IT</v>
      </c>
      <c r="C9237" s="20" t="s">
        <v>44</v>
      </c>
      <c r="D9237" s="21" t="str">
        <f>HYPERLINK("https://otsuka-europe-crm.veevavault.com/ui/#object/approved_document__v/V5O00000001A011", "Lupkynis_classi bioptiche_IT-LUP-2600008 v1.0 - IMMUNO")</f>
        <v>Lupkynis_classi bioptiche_IT-LUP-2600008 v1.0 - IMMUNO</v>
      </c>
      <c r="E9237" s="22" t="str">
        <f>HYPERLINK("https://otsuka-europe-crm.veevavault.com/ui/#object/sent_email__v/VBL00000002U083", "SE-001435812")</f>
        <v>SE-001435812</v>
      </c>
      <c r="F9237" s="25"/>
      <c r="G9237" s="24">
        <v>0</v>
      </c>
      <c r="H9237" s="24">
        <v>0</v>
      </c>
      <c r="I9237" s="24">
        <v>0</v>
      </c>
      <c r="J9237" s="25"/>
      <c r="K9237" s="24">
        <v>0</v>
      </c>
      <c r="L9237" s="22" t="str">
        <f>HYPERLINK("https://otsuka-europe-crm.veevavault.com/ui/#object/approved_document__v/V5O00000001A011", "Lupkynis_classi bioptiche_IT-LUP-2600008 v1.0 - IMMUNO")</f>
        <v>Lupkynis_classi bioptiche_IT-LUP-2600008 v1.0 - IMMUNO</v>
      </c>
      <c r="M9237" s="22" t="str">
        <f t="shared" si="697"/>
        <v>marco.aldrigo@crm.otsuka-europe.com</v>
      </c>
      <c r="N9237" s="23">
        <v>46185.516064814816</v>
      </c>
      <c r="O9237" s="14" t="str">
        <f>HYPERLINK("https://otsuka-europe-crm.veevavault.com/ui/#object/email_activity__v/V8C00000003U276", "EN-002095393")</f>
        <v>EN-002095393</v>
      </c>
    </row>
    <row r="9238" spans="1:15" ht="16" x14ac:dyDescent="0.2">
      <c r="A9238" s="19"/>
      <c r="B9238" s="19"/>
      <c r="C9238" s="19"/>
      <c r="D9238" s="19"/>
      <c r="E9238" s="19"/>
      <c r="F9238" s="19"/>
      <c r="G9238" s="19"/>
      <c r="H9238" s="19"/>
      <c r="I9238" s="19"/>
      <c r="J9238" s="19"/>
      <c r="K9238" s="19"/>
      <c r="L9238" s="19"/>
      <c r="M9238" s="19"/>
      <c r="N9238" s="19"/>
      <c r="O9238" s="14" t="str">
        <f>HYPERLINK("https://otsuka-europe-crm.veevavault.com/ui/#object/email_activity__v/V8C00000003U317", "EN-002095475")</f>
        <v>EN-002095475</v>
      </c>
    </row>
    <row r="9239" spans="1:15" ht="48" x14ac:dyDescent="0.2">
      <c r="A9239" s="7" t="str">
        <f>HYPERLINK("https://otsuka-europe-crm.veevavault.com/ui/#object/account__v/V4TZ04ASGF6HZ4B", "VALERIA FABBRI")</f>
        <v>VALERIA FABBRI</v>
      </c>
      <c r="B9239" s="7" t="str">
        <f>HYPERLINK("https://otsuka-europe-crm.veevavault.com/ui/#object/vcountry__v/VENZ000004SONFQ", "IT")</f>
        <v>IT</v>
      </c>
      <c r="C9239" s="8" t="s">
        <v>44</v>
      </c>
      <c r="D9239" s="9" t="str">
        <f>HYPERLINK("https://otsuka-europe-crm.veevavault.com/ui/#object/approved_document__v/V5O00000001A011", "Lupkynis_classi bioptiche_IT-LUP-2600008 v1.0 - IMMUNO")</f>
        <v>Lupkynis_classi bioptiche_IT-LUP-2600008 v1.0 - IMMUNO</v>
      </c>
      <c r="E9239" s="10" t="str">
        <f>HYPERLINK("https://otsuka-europe-crm.veevavault.com/ui/#object/sent_email__v/VBL00000002U084", "SE-001435813")</f>
        <v>SE-001435813</v>
      </c>
      <c r="F9239" s="11"/>
      <c r="G9239" s="12">
        <v>0</v>
      </c>
      <c r="H9239" s="12">
        <v>0</v>
      </c>
      <c r="I9239" s="12">
        <v>0</v>
      </c>
      <c r="J9239" s="11"/>
      <c r="K9239" s="12">
        <v>0</v>
      </c>
      <c r="L9239" s="10" t="str">
        <f>HYPERLINK("https://otsuka-europe-crm.veevavault.com/ui/#object/approved_document__v/V5O00000001A011", "Lupkynis_classi bioptiche_IT-LUP-2600008 v1.0 - IMMUNO")</f>
        <v>Lupkynis_classi bioptiche_IT-LUP-2600008 v1.0 - IMMUNO</v>
      </c>
      <c r="M9239" s="10" t="str">
        <f>HYPERLINK("mailto:marco.aldrigo@crm.otsuka-europe.com", "marco.aldrigo@crm.otsuka-europe.com")</f>
        <v>marco.aldrigo@crm.otsuka-europe.com</v>
      </c>
      <c r="N9239" s="13">
        <v>46185.516319444447</v>
      </c>
      <c r="O9239" s="14" t="str">
        <f>HYPERLINK("https://otsuka-europe-crm.veevavault.com/ui/#object/email_activity__v/V8C00000003U277", "EN-002095395")</f>
        <v>EN-002095395</v>
      </c>
    </row>
    <row r="9240" spans="1:15" ht="16" x14ac:dyDescent="0.2">
      <c r="A9240" s="17" t="str">
        <f>HYPERLINK("https://otsuka-europe-crm.veevavault.com/ui/#object/account__v/V4TZ06G6O71SBO2", "PIETRO NAPODANO")</f>
        <v>PIETRO NAPODANO</v>
      </c>
      <c r="B9240" s="17" t="str">
        <f>HYPERLINK("https://otsuka-europe-crm.veevavault.com/ui/#object/vcountry__v/VENZ000004SONFQ", "IT")</f>
        <v>IT</v>
      </c>
      <c r="C9240" s="20" t="s">
        <v>44</v>
      </c>
      <c r="D9240" s="21" t="str">
        <f>HYPERLINK("https://otsuka-europe-crm.veevavault.com/ui/#object/approved_document__v/V5O00000001A010", "Lupkynis_classi bioptiche_IT-LUP-2600008 v1.0 - NEPHRO")</f>
        <v>Lupkynis_classi bioptiche_IT-LUP-2600008 v1.0 - NEPHRO</v>
      </c>
      <c r="E9240" s="22" t="str">
        <f>HYPERLINK("https://otsuka-europe-crm.veevavault.com/ui/#object/sent_email__v/VBL00000002U085", "SE-001435814")</f>
        <v>SE-001435814</v>
      </c>
      <c r="F9240" s="25"/>
      <c r="G9240" s="24">
        <v>0</v>
      </c>
      <c r="H9240" s="24">
        <v>0</v>
      </c>
      <c r="I9240" s="24">
        <v>0</v>
      </c>
      <c r="J9240" s="25"/>
      <c r="K9240" s="24">
        <v>0</v>
      </c>
      <c r="L9240" s="22" t="str">
        <f>HYPERLINK("https://otsuka-europe-crm.veevavault.com/ui/#object/approved_document__v/V5O00000001A010", "Lupkynis_classi bioptiche_IT-LUP-2600008 v1.0 - NEPHRO")</f>
        <v>Lupkynis_classi bioptiche_IT-LUP-2600008 v1.0 - NEPHRO</v>
      </c>
      <c r="M9240" s="22" t="str">
        <f>HYPERLINK("mailto:marco.aldrigo@crm.otsuka-europe.com", "marco.aldrigo@crm.otsuka-europe.com")</f>
        <v>marco.aldrigo@crm.otsuka-europe.com</v>
      </c>
      <c r="N9240" s="23">
        <v>46185.51703703704</v>
      </c>
      <c r="O9240" s="14" t="str">
        <f>HYPERLINK("https://otsuka-europe-crm.veevavault.com/ui/#object/email_activity__v/V8C00000003U278", "EN-002095396")</f>
        <v>EN-002095396</v>
      </c>
    </row>
    <row r="9241" spans="1:15" ht="16" x14ac:dyDescent="0.2">
      <c r="A9241" s="19"/>
      <c r="B9241" s="19"/>
      <c r="C9241" s="19"/>
      <c r="D9241" s="19"/>
      <c r="E9241" s="19"/>
      <c r="F9241" s="19"/>
      <c r="G9241" s="19"/>
      <c r="H9241" s="19"/>
      <c r="I9241" s="19"/>
      <c r="J9241" s="19"/>
      <c r="K9241" s="19"/>
      <c r="L9241" s="19"/>
      <c r="M9241" s="19"/>
      <c r="N9241" s="19"/>
      <c r="O9241" s="14" t="str">
        <f>HYPERLINK("https://otsuka-europe-crm.veevavault.com/ui/#object/email_activity__v/V8C00000003V409", "EN-002095591")</f>
        <v>EN-002095591</v>
      </c>
    </row>
    <row r="9242" spans="1:15" ht="16" x14ac:dyDescent="0.2">
      <c r="A9242" s="17" t="str">
        <f>HYPERLINK("https://otsuka-europe-crm.veevavault.com/ui/#object/account__v/V4TZ04ASGBXIIK9", "NICOLETTA MEZZINA")</f>
        <v>NICOLETTA MEZZINA</v>
      </c>
      <c r="B9242" s="17" t="str">
        <f>HYPERLINK("https://otsuka-europe-crm.veevavault.com/ui/#object/vcountry__v/VENZ000004SONFQ", "IT")</f>
        <v>IT</v>
      </c>
      <c r="C9242" s="20" t="s">
        <v>44</v>
      </c>
      <c r="D9242" s="21" t="str">
        <f>HYPERLINK("https://otsuka-europe-crm.veevavault.com/ui/#object/approved_document__v/V5O00000001A010", "Lupkynis_classi bioptiche_IT-LUP-2600008 v1.0 - NEPHRO")</f>
        <v>Lupkynis_classi bioptiche_IT-LUP-2600008 v1.0 - NEPHRO</v>
      </c>
      <c r="E9242" s="22" t="str">
        <f>HYPERLINK("https://otsuka-europe-crm.veevavault.com/ui/#object/sent_email__v/VBL00000002U086", "SE-001435815")</f>
        <v>SE-001435815</v>
      </c>
      <c r="F9242" s="25"/>
      <c r="G9242" s="24">
        <v>0</v>
      </c>
      <c r="H9242" s="24">
        <v>0</v>
      </c>
      <c r="I9242" s="24">
        <v>0</v>
      </c>
      <c r="J9242" s="25"/>
      <c r="K9242" s="24">
        <v>0</v>
      </c>
      <c r="L9242" s="22" t="str">
        <f>HYPERLINK("https://otsuka-europe-crm.veevavault.com/ui/#object/approved_document__v/V5O00000001A010", "Lupkynis_classi bioptiche_IT-LUP-2600008 v1.0 - NEPHRO")</f>
        <v>Lupkynis_classi bioptiche_IT-LUP-2600008 v1.0 - NEPHRO</v>
      </c>
      <c r="M9242" s="22" t="str">
        <f>HYPERLINK("mailto:marco.aldrigo@crm.otsuka-europe.com", "marco.aldrigo@crm.otsuka-europe.com")</f>
        <v>marco.aldrigo@crm.otsuka-europe.com</v>
      </c>
      <c r="N9242" s="23">
        <v>46185.517129629632</v>
      </c>
      <c r="O9242" s="14" t="str">
        <f>HYPERLINK("https://otsuka-europe-crm.veevavault.com/ui/#object/email_activity__v/V8C00000003U279", "EN-002095397")</f>
        <v>EN-002095397</v>
      </c>
    </row>
    <row r="9243" spans="1:15" ht="16" x14ac:dyDescent="0.2">
      <c r="A9243" s="19"/>
      <c r="B9243" s="19"/>
      <c r="C9243" s="19"/>
      <c r="D9243" s="19"/>
      <c r="E9243" s="19"/>
      <c r="F9243" s="19"/>
      <c r="G9243" s="19"/>
      <c r="H9243" s="19"/>
      <c r="I9243" s="19"/>
      <c r="J9243" s="19"/>
      <c r="K9243" s="19"/>
      <c r="L9243" s="19"/>
      <c r="M9243" s="19"/>
      <c r="N9243" s="19"/>
      <c r="O9243" s="14" t="str">
        <f>HYPERLINK("https://otsuka-europe-crm.veevavault.com/ui/#object/email_activity__v/V8C00000003U300", "EN-002095444")</f>
        <v>EN-002095444</v>
      </c>
    </row>
    <row r="9244" spans="1:15" ht="48" x14ac:dyDescent="0.2">
      <c r="A9244" s="7" t="str">
        <f>HYPERLINK("https://otsuka-europe-crm.veevavault.com/ui/#object/account__v/V4TZ06G6ODNLUC4", "ALESSIA IANNUCCELLI")</f>
        <v>ALESSIA IANNUCCELLI</v>
      </c>
      <c r="B9244" s="7" t="str">
        <f>HYPERLINK("https://otsuka-europe-crm.veevavault.com/ui/#object/vcountry__v/VENZ000004SONFQ", "IT")</f>
        <v>IT</v>
      </c>
      <c r="C9244" s="8" t="s">
        <v>44</v>
      </c>
      <c r="D9244" s="9" t="str">
        <f>HYPERLINK("https://otsuka-europe-crm.veevavault.com/ui/#object/approved_document__v/V5OZ025E82UFNWM", "ABILIFY 960720_Branded_AE Fagiolini_IT-AM2-2500131")</f>
        <v>ABILIFY 960720_Branded_AE Fagiolini_IT-AM2-2500131</v>
      </c>
      <c r="E9244" s="10" t="str">
        <f>HYPERLINK("https://otsuka-europe-crm.veevavault.com/ui/#object/sent_email__v/VBL00000002U087", "SE-001435816")</f>
        <v>SE-001435816</v>
      </c>
      <c r="F9244" s="11"/>
      <c r="G9244" s="12">
        <v>0</v>
      </c>
      <c r="H9244" s="12">
        <v>0</v>
      </c>
      <c r="I9244" s="12">
        <v>0</v>
      </c>
      <c r="J9244" s="11"/>
      <c r="K9244" s="12">
        <v>0</v>
      </c>
      <c r="L9244" s="10" t="str">
        <f>HYPERLINK("https://otsuka-europe-crm.veevavault.com/ui/#object/approved_document__v/V5OZ025E82UFNWM", "ABILIFY 960720_Branded_AE Fagiolini_IT-AM2-2500131")</f>
        <v>ABILIFY 960720_Branded_AE Fagiolini_IT-AM2-2500131</v>
      </c>
      <c r="M9244" s="10" t="str">
        <f>HYPERLINK("mailto:marina.maccaglia@crm.otsuka-europe.com", "marina.maccaglia@crm.otsuka-europe.com")</f>
        <v>marina.maccaglia@crm.otsuka-europe.com</v>
      </c>
      <c r="N9244" s="13">
        <v>46185.517384259256</v>
      </c>
      <c r="O9244" s="14" t="str">
        <f>HYPERLINK("https://otsuka-europe-crm.veevavault.com/ui/#object/email_activity__v/V8C00000003U280", "EN-002095398")</f>
        <v>EN-002095398</v>
      </c>
    </row>
    <row r="9245" spans="1:15" ht="48" x14ac:dyDescent="0.2">
      <c r="A9245" s="7" t="str">
        <f>HYPERLINK("https://otsuka-europe-crm.veevavault.com/ui/#object/account__v/V4TZ025E8488QR9", "GIULIA FRONTINI")</f>
        <v>GIULIA FRONTINI</v>
      </c>
      <c r="B9245" s="7" t="str">
        <f>HYPERLINK("https://otsuka-europe-crm.veevavault.com/ui/#object/vcountry__v/VENZ000004SONFQ", "IT")</f>
        <v>IT</v>
      </c>
      <c r="C9245" s="8" t="s">
        <v>44</v>
      </c>
      <c r="D9245" s="9" t="str">
        <f>HYPERLINK("https://otsuka-europe-crm.veevavault.com/ui/#object/approved_document__v/V5O00000001A010", "Lupkynis_classi bioptiche_IT-LUP-2600008 v1.0 - NEPHRO")</f>
        <v>Lupkynis_classi bioptiche_IT-LUP-2600008 v1.0 - NEPHRO</v>
      </c>
      <c r="E9245" s="10" t="str">
        <f>HYPERLINK("https://otsuka-europe-crm.veevavault.com/ui/#object/sent_email__v/VBL00000002U088", "SE-001435817")</f>
        <v>SE-001435817</v>
      </c>
      <c r="F9245" s="11"/>
      <c r="G9245" s="12">
        <v>0</v>
      </c>
      <c r="H9245" s="12">
        <v>0</v>
      </c>
      <c r="I9245" s="12">
        <v>0</v>
      </c>
      <c r="J9245" s="11"/>
      <c r="K9245" s="12">
        <v>0</v>
      </c>
      <c r="L9245" s="10" t="str">
        <f>HYPERLINK("https://otsuka-europe-crm.veevavault.com/ui/#object/approved_document__v/V5O00000001A010", "Lupkynis_classi bioptiche_IT-LUP-2600008 v1.0 - NEPHRO")</f>
        <v>Lupkynis_classi bioptiche_IT-LUP-2600008 v1.0 - NEPHRO</v>
      </c>
      <c r="M9245" s="10" t="str">
        <f>HYPERLINK("mailto:marco.aldrigo@crm.otsuka-europe.com", "marco.aldrigo@crm.otsuka-europe.com")</f>
        <v>marco.aldrigo@crm.otsuka-europe.com</v>
      </c>
      <c r="N9245" s="13">
        <v>46185.517476851855</v>
      </c>
      <c r="O9245" s="14" t="str">
        <f>HYPERLINK("https://otsuka-europe-crm.veevavault.com/ui/#object/email_activity__v/V8C00000003U281", "EN-002095399")</f>
        <v>EN-002095399</v>
      </c>
    </row>
    <row r="9246" spans="1:15" ht="16" x14ac:dyDescent="0.2">
      <c r="A9246" s="17" t="str">
        <f>HYPERLINK("https://otsuka-europe-crm.veevavault.com/ui/#object/account__v/V4TZ06G6O71SCHF", "ANDREA STUCCHI")</f>
        <v>ANDREA STUCCHI</v>
      </c>
      <c r="B9246" s="17" t="str">
        <f>HYPERLINK("https://otsuka-europe-crm.veevavault.com/ui/#object/vcountry__v/VENZ000004SONFQ", "IT")</f>
        <v>IT</v>
      </c>
      <c r="C9246" s="20" t="s">
        <v>44</v>
      </c>
      <c r="D9246" s="21" t="str">
        <f>HYPERLINK("https://otsuka-europe-crm.veevavault.com/ui/#object/approved_document__v/V5O00000001A010", "Lupkynis_classi bioptiche_IT-LUP-2600008 v1.0 - NEPHRO")</f>
        <v>Lupkynis_classi bioptiche_IT-LUP-2600008 v1.0 - NEPHRO</v>
      </c>
      <c r="E9246" s="22" t="str">
        <f>HYPERLINK("https://otsuka-europe-crm.veevavault.com/ui/#object/sent_email__v/VBL00000002U089", "SE-001435818")</f>
        <v>SE-001435818</v>
      </c>
      <c r="F9246" s="25"/>
      <c r="G9246" s="24">
        <v>0</v>
      </c>
      <c r="H9246" s="24">
        <v>0</v>
      </c>
      <c r="I9246" s="24">
        <v>0</v>
      </c>
      <c r="J9246" s="25"/>
      <c r="K9246" s="24">
        <v>0</v>
      </c>
      <c r="L9246" s="22" t="str">
        <f>HYPERLINK("https://otsuka-europe-crm.veevavault.com/ui/#object/approved_document__v/V5O00000001A010", "Lupkynis_classi bioptiche_IT-LUP-2600008 v1.0 - NEPHRO")</f>
        <v>Lupkynis_classi bioptiche_IT-LUP-2600008 v1.0 - NEPHRO</v>
      </c>
      <c r="M9246" s="22" t="str">
        <f>HYPERLINK("mailto:marco.aldrigo@crm.otsuka-europe.com", "marco.aldrigo@crm.otsuka-europe.com")</f>
        <v>marco.aldrigo@crm.otsuka-europe.com</v>
      </c>
      <c r="N9246" s="23">
        <v>46185.517708333333</v>
      </c>
      <c r="O9246" s="14" t="str">
        <f>HYPERLINK("https://otsuka-europe-crm.veevavault.com/ui/#object/email_activity__v/V8C00000003U282", "EN-002095400")</f>
        <v>EN-002095400</v>
      </c>
    </row>
    <row r="9247" spans="1:15" ht="16" x14ac:dyDescent="0.2">
      <c r="A9247" s="19"/>
      <c r="B9247" s="19"/>
      <c r="C9247" s="19"/>
      <c r="D9247" s="19"/>
      <c r="E9247" s="19"/>
      <c r="F9247" s="19"/>
      <c r="G9247" s="19"/>
      <c r="H9247" s="19"/>
      <c r="I9247" s="19"/>
      <c r="J9247" s="19"/>
      <c r="K9247" s="19"/>
      <c r="L9247" s="19"/>
      <c r="M9247" s="19"/>
      <c r="N9247" s="19"/>
      <c r="O9247" s="14" t="str">
        <f>HYPERLINK("https://otsuka-europe-crm.veevavault.com/ui/#object/email_activity__v/V8C00000003U299", "EN-002095443")</f>
        <v>EN-002095443</v>
      </c>
    </row>
    <row r="9248" spans="1:15" ht="48" x14ac:dyDescent="0.2">
      <c r="A9248" s="7" t="str">
        <f>HYPERLINK("https://otsuka-europe-crm.veevavault.com/ui/#object/account__v/V4TZ025E85MZHHH", "PATRIZIA BALZARINI")</f>
        <v>PATRIZIA BALZARINI</v>
      </c>
      <c r="B9248" s="7" t="str">
        <f>HYPERLINK("https://otsuka-europe-crm.veevavault.com/ui/#object/vcountry__v/VENZ000004SONFQ", "IT")</f>
        <v>IT</v>
      </c>
      <c r="C9248" s="8" t="s">
        <v>44</v>
      </c>
      <c r="D9248" s="9" t="str">
        <f>HYPERLINK("https://otsuka-europe-crm.veevavault.com/ui/#object/approved_document__v/V5O00000001A009", "Lupkynis_classi bioptiche_IT-LUP-2600008 v1.0 - RHEUMA")</f>
        <v>Lupkynis_classi bioptiche_IT-LUP-2600008 v1.0 - RHEUMA</v>
      </c>
      <c r="E9248" s="10" t="str">
        <f>HYPERLINK("https://otsuka-europe-crm.veevavault.com/ui/#object/sent_email__v/VBL00000002U090", "SE-001435819")</f>
        <v>SE-001435819</v>
      </c>
      <c r="F9248" s="11"/>
      <c r="G9248" s="12">
        <v>0</v>
      </c>
      <c r="H9248" s="12">
        <v>0</v>
      </c>
      <c r="I9248" s="12">
        <v>0</v>
      </c>
      <c r="J9248" s="11"/>
      <c r="K9248" s="12">
        <v>0</v>
      </c>
      <c r="L9248" s="10" t="str">
        <f>HYPERLINK("https://otsuka-europe-crm.veevavault.com/ui/#object/approved_document__v/V5O00000001A009", "Lupkynis_classi bioptiche_IT-LUP-2600008 v1.0 - RHEUMA")</f>
        <v>Lupkynis_classi bioptiche_IT-LUP-2600008 v1.0 - RHEUMA</v>
      </c>
      <c r="M9248" s="10" t="str">
        <f>HYPERLINK("mailto:marco.aldrigo@crm.otsuka-europe.com", "marco.aldrigo@crm.otsuka-europe.com")</f>
        <v>marco.aldrigo@crm.otsuka-europe.com</v>
      </c>
      <c r="N9248" s="13">
        <v>46185.518252314818</v>
      </c>
      <c r="O9248" s="14" t="str">
        <f>HYPERLINK("https://otsuka-europe-crm.veevavault.com/ui/#object/email_activity__v/V8C00000003U283", "EN-002095401")</f>
        <v>EN-002095401</v>
      </c>
    </row>
    <row r="9249" spans="1:15" ht="48" x14ac:dyDescent="0.2">
      <c r="A9249" s="7" t="str">
        <f>HYPERLINK("https://otsuka-europe-crm.veevavault.com/ui/#object/account__v/V4TZ04ASGBUJPIP", "ALBERTO BATTICCIOTTO")</f>
        <v>ALBERTO BATTICCIOTTO</v>
      </c>
      <c r="B9249" s="7" t="str">
        <f>HYPERLINK("https://otsuka-europe-crm.veevavault.com/ui/#object/vcountry__v/VENZ000004SONFQ", "IT")</f>
        <v>IT</v>
      </c>
      <c r="C9249" s="8" t="s">
        <v>44</v>
      </c>
      <c r="D9249" s="9" t="str">
        <f>HYPERLINK("https://otsuka-europe-crm.veevavault.com/ui/#object/approved_document__v/V5O00000001A009", "Lupkynis_classi bioptiche_IT-LUP-2600008 v1.0 - RHEUMA")</f>
        <v>Lupkynis_classi bioptiche_IT-LUP-2600008 v1.0 - RHEUMA</v>
      </c>
      <c r="E9249" s="10" t="str">
        <f>HYPERLINK("https://otsuka-europe-crm.veevavault.com/ui/#object/sent_email__v/VBL00000002U091", "SE-001435820")</f>
        <v>SE-001435820</v>
      </c>
      <c r="F9249" s="11"/>
      <c r="G9249" s="12">
        <v>0</v>
      </c>
      <c r="H9249" s="12">
        <v>0</v>
      </c>
      <c r="I9249" s="12">
        <v>0</v>
      </c>
      <c r="J9249" s="11"/>
      <c r="K9249" s="12">
        <v>0</v>
      </c>
      <c r="L9249" s="10" t="str">
        <f>HYPERLINK("https://otsuka-europe-crm.veevavault.com/ui/#object/approved_document__v/V5O00000001A009", "Lupkynis_classi bioptiche_IT-LUP-2600008 v1.0 - RHEUMA")</f>
        <v>Lupkynis_classi bioptiche_IT-LUP-2600008 v1.0 - RHEUMA</v>
      </c>
      <c r="M9249" s="10" t="str">
        <f>HYPERLINK("mailto:marco.aldrigo@crm.otsuka-europe.com", "marco.aldrigo@crm.otsuka-europe.com")</f>
        <v>marco.aldrigo@crm.otsuka-europe.com</v>
      </c>
      <c r="N9249" s="13">
        <v>46185.518275462964</v>
      </c>
      <c r="O9249" s="14" t="str">
        <f>HYPERLINK("https://otsuka-europe-crm.veevavault.com/ui/#object/email_activity__v/V8C00000003V303", "EN-002095402")</f>
        <v>EN-002095402</v>
      </c>
    </row>
    <row r="9250" spans="1:15" ht="48" x14ac:dyDescent="0.2">
      <c r="A9250" s="7" t="str">
        <f>HYPERLINK("https://otsuka-europe-crm.veevavault.com/ui/#object/account__v/V4TZ025E88KA5DI", "FRANCESCA FRANCIOSO")</f>
        <v>FRANCESCA FRANCIOSO</v>
      </c>
      <c r="B9250" s="7" t="str">
        <f>HYPERLINK("https://otsuka-europe-crm.veevavault.com/ui/#object/vcountry__v/VENZ000004SONFQ", "IT")</f>
        <v>IT</v>
      </c>
      <c r="C9250" s="8" t="s">
        <v>44</v>
      </c>
      <c r="D9250" s="9" t="str">
        <f>HYPERLINK("https://otsuka-europe-crm.veevavault.com/ui/#object/approved_document__v/V5O00000001A009", "Lupkynis_classi bioptiche_IT-LUP-2600008 v1.0 - RHEUMA")</f>
        <v>Lupkynis_classi bioptiche_IT-LUP-2600008 v1.0 - RHEUMA</v>
      </c>
      <c r="E9250" s="10" t="str">
        <f>HYPERLINK("https://otsuka-europe-crm.veevavault.com/ui/#object/sent_email__v/VBL00000002U092", "SE-001435821")</f>
        <v>SE-001435821</v>
      </c>
      <c r="F9250" s="11"/>
      <c r="G9250" s="12">
        <v>0</v>
      </c>
      <c r="H9250" s="12">
        <v>0</v>
      </c>
      <c r="I9250" s="12">
        <v>0</v>
      </c>
      <c r="J9250" s="11"/>
      <c r="K9250" s="12">
        <v>0</v>
      </c>
      <c r="L9250" s="10" t="str">
        <f>HYPERLINK("https://otsuka-europe-crm.veevavault.com/ui/#object/approved_document__v/V5O00000001A009", "Lupkynis_classi bioptiche_IT-LUP-2600008 v1.0 - RHEUMA")</f>
        <v>Lupkynis_classi bioptiche_IT-LUP-2600008 v1.0 - RHEUMA</v>
      </c>
      <c r="M9250" s="10" t="str">
        <f>HYPERLINK("mailto:marco.aldrigo@crm.otsuka-europe.com", "marco.aldrigo@crm.otsuka-europe.com")</f>
        <v>marco.aldrigo@crm.otsuka-europe.com</v>
      </c>
      <c r="N9250" s="13">
        <v>46185.518611111111</v>
      </c>
      <c r="O9250" s="14" t="str">
        <f>HYPERLINK("https://otsuka-europe-crm.veevavault.com/ui/#object/email_activity__v/V8C00000003V304", "EN-002095403")</f>
        <v>EN-002095403</v>
      </c>
    </row>
    <row r="9251" spans="1:15" ht="16" x14ac:dyDescent="0.2">
      <c r="A9251" s="17" t="str">
        <f>HYPERLINK("https://otsuka-europe-crm.veevavault.com/ui/#object/account__v/V4TZ06G6OCBH6O8", "DANIELA NUNZIATA")</f>
        <v>DANIELA NUNZIATA</v>
      </c>
      <c r="B9251" s="17" t="str">
        <f>HYPERLINK("https://otsuka-europe-crm.veevavault.com/ui/#object/vcountry__v/VENZ000004SONFQ", "IT")</f>
        <v>IT</v>
      </c>
      <c r="C9251" s="20" t="s">
        <v>44</v>
      </c>
      <c r="D9251" s="21" t="str">
        <f>HYPERLINK("https://otsuka-europe-crm.veevavault.com/ui/#object/approved_document__v/V5OZ025E82UFNWM", "ABILIFY 960720_Branded_AE Fagiolini_IT-AM2-2500131")</f>
        <v>ABILIFY 960720_Branded_AE Fagiolini_IT-AM2-2500131</v>
      </c>
      <c r="E9251" s="22" t="str">
        <f>HYPERLINK("https://otsuka-europe-crm.veevavault.com/ui/#object/sent_email__v/VBL00000002U093", "SE-001435822")</f>
        <v>SE-001435822</v>
      </c>
      <c r="F9251" s="23">
        <v>46185.531018518515</v>
      </c>
      <c r="G9251" s="24">
        <v>1</v>
      </c>
      <c r="H9251" s="24">
        <v>1</v>
      </c>
      <c r="I9251" s="24">
        <v>1</v>
      </c>
      <c r="J9251" s="23">
        <v>46185.531168981484</v>
      </c>
      <c r="K9251" s="24">
        <v>1</v>
      </c>
      <c r="L9251" s="22" t="str">
        <f>HYPERLINK("https://otsuka-europe-crm.veevavault.com/ui/#object/approved_document__v/V5OZ025E82UFNWM", "ABILIFY 960720_Branded_AE Fagiolini_IT-AM2-2500131")</f>
        <v>ABILIFY 960720_Branded_AE Fagiolini_IT-AM2-2500131</v>
      </c>
      <c r="M9251" s="22" t="str">
        <f>HYPERLINK("mailto:marina.maccaglia@crm.otsuka-europe.com", "marina.maccaglia@crm.otsuka-europe.com")</f>
        <v>marina.maccaglia@crm.otsuka-europe.com</v>
      </c>
      <c r="N9251" s="23">
        <v>46185.518599537034</v>
      </c>
      <c r="O9251" s="14" t="str">
        <f>HYPERLINK("https://otsuka-europe-crm.veevavault.com/ui/#object/email_activity__v/V8C00000003U304", "EN-002095451")</f>
        <v>EN-002095451</v>
      </c>
    </row>
    <row r="9252" spans="1:15" ht="16" x14ac:dyDescent="0.2">
      <c r="A9252" s="18"/>
      <c r="B9252" s="18"/>
      <c r="C9252" s="18"/>
      <c r="D9252" s="18"/>
      <c r="E9252" s="18"/>
      <c r="F9252" s="18"/>
      <c r="G9252" s="18"/>
      <c r="H9252" s="18"/>
      <c r="I9252" s="18"/>
      <c r="J9252" s="18"/>
      <c r="K9252" s="18"/>
      <c r="L9252" s="18"/>
      <c r="M9252" s="18"/>
      <c r="N9252" s="18"/>
      <c r="O9252" s="14" t="str">
        <f>HYPERLINK("https://otsuka-europe-crm.veevavault.com/ui/#object/email_activity__v/V8C00000003V305", "EN-002095404")</f>
        <v>EN-002095404</v>
      </c>
    </row>
    <row r="9253" spans="1:15" ht="16" x14ac:dyDescent="0.2">
      <c r="A9253" s="18"/>
      <c r="B9253" s="18"/>
      <c r="C9253" s="18"/>
      <c r="D9253" s="18"/>
      <c r="E9253" s="18"/>
      <c r="F9253" s="18"/>
      <c r="G9253" s="18"/>
      <c r="H9253" s="18"/>
      <c r="I9253" s="18"/>
      <c r="J9253" s="18"/>
      <c r="K9253" s="18"/>
      <c r="L9253" s="18"/>
      <c r="M9253" s="18"/>
      <c r="N9253" s="18"/>
      <c r="O9253" s="14" t="str">
        <f>HYPERLINK("https://otsuka-europe-crm.veevavault.com/ui/#object/email_activity__v/V8C00000003V326", "EN-002095436")</f>
        <v>EN-002095436</v>
      </c>
    </row>
    <row r="9254" spans="1:15" ht="16" x14ac:dyDescent="0.2">
      <c r="A9254" s="18"/>
      <c r="B9254" s="18"/>
      <c r="C9254" s="18"/>
      <c r="D9254" s="18"/>
      <c r="E9254" s="18"/>
      <c r="F9254" s="18"/>
      <c r="G9254" s="18"/>
      <c r="H9254" s="18"/>
      <c r="I9254" s="18"/>
      <c r="J9254" s="18"/>
      <c r="K9254" s="18"/>
      <c r="L9254" s="18"/>
      <c r="M9254" s="18"/>
      <c r="N9254" s="18"/>
      <c r="O9254" s="14" t="str">
        <f>HYPERLINK("https://otsuka-europe-crm.veevavault.com/ui/#object/email_activity__v/V8C00000003V327", "EN-002095437")</f>
        <v>EN-002095437</v>
      </c>
    </row>
    <row r="9255" spans="1:15" ht="16" x14ac:dyDescent="0.2">
      <c r="A9255" s="19"/>
      <c r="B9255" s="19"/>
      <c r="C9255" s="19"/>
      <c r="D9255" s="19"/>
      <c r="E9255" s="19"/>
      <c r="F9255" s="19"/>
      <c r="G9255" s="19"/>
      <c r="H9255" s="19"/>
      <c r="I9255" s="19"/>
      <c r="J9255" s="19"/>
      <c r="K9255" s="19"/>
      <c r="L9255" s="19"/>
      <c r="M9255" s="19"/>
      <c r="N9255" s="19"/>
      <c r="O9255" s="14" t="str">
        <f>HYPERLINK("https://otsuka-europe-crm.veevavault.com/ui/#object/email_activity__v/V8C00000003V404", "EN-002095583")</f>
        <v>EN-002095583</v>
      </c>
    </row>
    <row r="9256" spans="1:15" ht="16" x14ac:dyDescent="0.2">
      <c r="A9256" s="17" t="str">
        <f>HYPERLINK("https://otsuka-europe-crm.veevavault.com/ui/#object/account__v/V4TZ04ASGBUJPNG", "ANTONELLA CAPPELLI")</f>
        <v>ANTONELLA CAPPELLI</v>
      </c>
      <c r="B9256" s="17" t="str">
        <f>HYPERLINK("https://otsuka-europe-crm.veevavault.com/ui/#object/vcountry__v/VENZ000004SONFQ", "IT")</f>
        <v>IT</v>
      </c>
      <c r="C9256" s="20" t="s">
        <v>44</v>
      </c>
      <c r="D9256" s="21" t="str">
        <f>HYPERLINK("https://otsuka-europe-crm.veevavault.com/ui/#object/approved_document__v/V5O00000001A009", "Lupkynis_classi bioptiche_IT-LUP-2600008 v1.0 - RHEUMA")</f>
        <v>Lupkynis_classi bioptiche_IT-LUP-2600008 v1.0 - RHEUMA</v>
      </c>
      <c r="E9256" s="22" t="str">
        <f>HYPERLINK("https://otsuka-europe-crm.veevavault.com/ui/#object/sent_email__v/VBL00000002U094", "SE-001435823")</f>
        <v>SE-001435823</v>
      </c>
      <c r="F9256" s="23">
        <v>46185.754074074073</v>
      </c>
      <c r="G9256" s="24">
        <v>1</v>
      </c>
      <c r="H9256" s="24">
        <v>1</v>
      </c>
      <c r="I9256" s="24">
        <v>0</v>
      </c>
      <c r="J9256" s="25"/>
      <c r="K9256" s="24">
        <v>0</v>
      </c>
      <c r="L9256" s="22" t="str">
        <f>HYPERLINK("https://otsuka-europe-crm.veevavault.com/ui/#object/approved_document__v/V5O00000001A009", "Lupkynis_classi bioptiche_IT-LUP-2600008 v1.0 - RHEUMA")</f>
        <v>Lupkynis_classi bioptiche_IT-LUP-2600008 v1.0 - RHEUMA</v>
      </c>
      <c r="M9256" s="22" t="str">
        <f>HYPERLINK("mailto:marco.aldrigo@crm.otsuka-europe.com", "marco.aldrigo@crm.otsuka-europe.com")</f>
        <v>marco.aldrigo@crm.otsuka-europe.com</v>
      </c>
      <c r="N9256" s="23">
        <v>46185.518935185188</v>
      </c>
      <c r="O9256" s="14" t="str">
        <f>HYPERLINK("https://otsuka-europe-crm.veevavault.com/ui/#object/email_activity__v/V8C00000003U356", "EN-002095560")</f>
        <v>EN-002095560</v>
      </c>
    </row>
    <row r="9257" spans="1:15" ht="16" x14ac:dyDescent="0.2">
      <c r="A9257" s="19"/>
      <c r="B9257" s="19"/>
      <c r="C9257" s="19"/>
      <c r="D9257" s="19"/>
      <c r="E9257" s="19"/>
      <c r="F9257" s="19"/>
      <c r="G9257" s="19"/>
      <c r="H9257" s="19"/>
      <c r="I9257" s="19"/>
      <c r="J9257" s="19"/>
      <c r="K9257" s="19"/>
      <c r="L9257" s="19"/>
      <c r="M9257" s="19"/>
      <c r="N9257" s="19"/>
      <c r="O9257" s="14" t="str">
        <f>HYPERLINK("https://otsuka-europe-crm.veevavault.com/ui/#object/email_activity__v/V8C00000003V306", "EN-002095405")</f>
        <v>EN-002095405</v>
      </c>
    </row>
    <row r="9258" spans="1:15" ht="16" x14ac:dyDescent="0.2">
      <c r="A9258" s="17" t="str">
        <f>HYPERLINK("https://otsuka-europe-crm.veevavault.com/ui/#object/account__v/V4TZ04ASGBUJEVD", "ANDREA AMBROSINI")</f>
        <v>ANDREA AMBROSINI</v>
      </c>
      <c r="B9258" s="17" t="str">
        <f>HYPERLINK("https://otsuka-europe-crm.veevavault.com/ui/#object/vcountry__v/VENZ000004SONFQ", "IT")</f>
        <v>IT</v>
      </c>
      <c r="C9258" s="20" t="s">
        <v>44</v>
      </c>
      <c r="D9258" s="21" t="str">
        <f>HYPERLINK("https://otsuka-europe-crm.veevavault.com/ui/#object/approved_document__v/V5O00000001A010", "Lupkynis_classi bioptiche_IT-LUP-2600008 v1.0 - NEPHRO")</f>
        <v>Lupkynis_classi bioptiche_IT-LUP-2600008 v1.0 - NEPHRO</v>
      </c>
      <c r="E9258" s="22" t="str">
        <f>HYPERLINK("https://otsuka-europe-crm.veevavault.com/ui/#object/sent_email__v/VBL00000002U095", "SE-001435824")</f>
        <v>SE-001435824</v>
      </c>
      <c r="F9258" s="23">
        <v>46186.221192129633</v>
      </c>
      <c r="G9258" s="24">
        <v>1</v>
      </c>
      <c r="H9258" s="24">
        <v>1</v>
      </c>
      <c r="I9258" s="24">
        <v>0</v>
      </c>
      <c r="J9258" s="25"/>
      <c r="K9258" s="24">
        <v>0</v>
      </c>
      <c r="L9258" s="22" t="str">
        <f>HYPERLINK("https://otsuka-europe-crm.veevavault.com/ui/#object/approved_document__v/V5O00000001A010", "Lupkynis_classi bioptiche_IT-LUP-2600008 v1.0 - NEPHRO")</f>
        <v>Lupkynis_classi bioptiche_IT-LUP-2600008 v1.0 - NEPHRO</v>
      </c>
      <c r="M9258" s="22" t="str">
        <f>HYPERLINK("mailto:marco.aldrigo@crm.otsuka-europe.com", "marco.aldrigo@crm.otsuka-europe.com")</f>
        <v>marco.aldrigo@crm.otsuka-europe.com</v>
      </c>
      <c r="N9258" s="23">
        <v>46185.519282407404</v>
      </c>
      <c r="O9258" s="14" t="str">
        <f>HYPERLINK("https://otsuka-europe-crm.veevavault.com/ui/#object/email_activity__v/V8C00000003U372", "EN-002095608")</f>
        <v>EN-002095608</v>
      </c>
    </row>
    <row r="9259" spans="1:15" ht="16" x14ac:dyDescent="0.2">
      <c r="A9259" s="19"/>
      <c r="B9259" s="19"/>
      <c r="C9259" s="19"/>
      <c r="D9259" s="19"/>
      <c r="E9259" s="19"/>
      <c r="F9259" s="19"/>
      <c r="G9259" s="19"/>
      <c r="H9259" s="19"/>
      <c r="I9259" s="19"/>
      <c r="J9259" s="19"/>
      <c r="K9259" s="19"/>
      <c r="L9259" s="19"/>
      <c r="M9259" s="19"/>
      <c r="N9259" s="19"/>
      <c r="O9259" s="14" t="str">
        <f>HYPERLINK("https://otsuka-europe-crm.veevavault.com/ui/#object/email_activity__v/V8C00000003V311", "EN-002095410")</f>
        <v>EN-002095410</v>
      </c>
    </row>
    <row r="9260" spans="1:15" ht="48" x14ac:dyDescent="0.2">
      <c r="A9260" s="7" t="str">
        <f>HYPERLINK("https://otsuka-europe-crm.veevavault.com/ui/#object/account__v/V4TZ04ASGBUJPIQ", "FRANCESCA BRUNINI")</f>
        <v>FRANCESCA BRUNINI</v>
      </c>
      <c r="B9260" s="7" t="str">
        <f>HYPERLINK("https://otsuka-europe-crm.veevavault.com/ui/#object/vcountry__v/VENZ000004SONFQ", "IT")</f>
        <v>IT</v>
      </c>
      <c r="C9260" s="8" t="s">
        <v>44</v>
      </c>
      <c r="D9260" s="9" t="str">
        <f>HYPERLINK("https://otsuka-europe-crm.veevavault.com/ui/#object/approved_document__v/V5O00000001A010", "Lupkynis_classi bioptiche_IT-LUP-2600008 v1.0 - NEPHRO")</f>
        <v>Lupkynis_classi bioptiche_IT-LUP-2600008 v1.0 - NEPHRO</v>
      </c>
      <c r="E9260" s="10" t="str">
        <f>HYPERLINK("https://otsuka-europe-crm.veevavault.com/ui/#object/sent_email__v/VBL00000002U096", "SE-001435825")</f>
        <v>SE-001435825</v>
      </c>
      <c r="F9260" s="11"/>
      <c r="G9260" s="12">
        <v>0</v>
      </c>
      <c r="H9260" s="12">
        <v>0</v>
      </c>
      <c r="I9260" s="12">
        <v>0</v>
      </c>
      <c r="J9260" s="11"/>
      <c r="K9260" s="12">
        <v>0</v>
      </c>
      <c r="L9260" s="10" t="str">
        <f>HYPERLINK("https://otsuka-europe-crm.veevavault.com/ui/#object/approved_document__v/V5O00000001A010", "Lupkynis_classi bioptiche_IT-LUP-2600008 v1.0 - NEPHRO")</f>
        <v>Lupkynis_classi bioptiche_IT-LUP-2600008 v1.0 - NEPHRO</v>
      </c>
      <c r="M9260" s="10" t="str">
        <f>HYPERLINK("mailto:marco.aldrigo@crm.otsuka-europe.com", "marco.aldrigo@crm.otsuka-europe.com")</f>
        <v>marco.aldrigo@crm.otsuka-europe.com</v>
      </c>
      <c r="N9260" s="13">
        <v>46185.51939814815</v>
      </c>
      <c r="O9260" s="14" t="str">
        <f>HYPERLINK("https://otsuka-europe-crm.veevavault.com/ui/#object/email_activity__v/V8C00000003V312", "EN-002095411")</f>
        <v>EN-002095411</v>
      </c>
    </row>
    <row r="9261" spans="1:15" ht="16" x14ac:dyDescent="0.2">
      <c r="A9261" s="17" t="str">
        <f>HYPERLINK("https://otsuka-europe-crm.veevavault.com/ui/#object/account__v/V4TZ025E883ZIUY", "ALEXI DI CRISTOFARO")</f>
        <v>ALEXI DI CRISTOFARO</v>
      </c>
      <c r="B9261" s="17" t="str">
        <f>HYPERLINK("https://otsuka-europe-crm.veevavault.com/ui/#object/vcountry__v/VENZ000004SONFQ", "IT")</f>
        <v>IT</v>
      </c>
      <c r="C9261" s="20" t="s">
        <v>44</v>
      </c>
      <c r="D9261" s="21" t="str">
        <f>HYPERLINK("https://otsuka-europe-crm.veevavault.com/ui/#object/approved_document__v/V5OZ025E82UFNWM", "ABILIFY 960720_Branded_AE Fagiolini_IT-AM2-2500131")</f>
        <v>ABILIFY 960720_Branded_AE Fagiolini_IT-AM2-2500131</v>
      </c>
      <c r="E9261" s="22" t="str">
        <f>HYPERLINK("https://otsuka-europe-crm.veevavault.com/ui/#object/sent_email__v/VBL00000002U097", "SE-001435826")</f>
        <v>SE-001435826</v>
      </c>
      <c r="F9261" s="23">
        <v>46187.006944444445</v>
      </c>
      <c r="G9261" s="24">
        <v>1</v>
      </c>
      <c r="H9261" s="24">
        <v>1</v>
      </c>
      <c r="I9261" s="24">
        <v>0</v>
      </c>
      <c r="J9261" s="25"/>
      <c r="K9261" s="24">
        <v>0</v>
      </c>
      <c r="L9261" s="22" t="str">
        <f>HYPERLINK("https://otsuka-europe-crm.veevavault.com/ui/#object/approved_document__v/V5OZ025E82UFNWM", "ABILIFY 960720_Branded_AE Fagiolini_IT-AM2-2500131")</f>
        <v>ABILIFY 960720_Branded_AE Fagiolini_IT-AM2-2500131</v>
      </c>
      <c r="M9261" s="22" t="str">
        <f>HYPERLINK("mailto:marina.maccaglia@crm.otsuka-europe.com", "marina.maccaglia@crm.otsuka-europe.com")</f>
        <v>marina.maccaglia@crm.otsuka-europe.com</v>
      </c>
      <c r="N9261" s="23">
        <v>46185.519803240742</v>
      </c>
      <c r="O9261" s="14" t="str">
        <f>HYPERLINK("https://otsuka-europe-crm.veevavault.com/ui/#object/email_activity__v/V8C00000003U284", "EN-002095412")</f>
        <v>EN-002095412</v>
      </c>
    </row>
    <row r="9262" spans="1:15" ht="16" x14ac:dyDescent="0.2">
      <c r="A9262" s="19"/>
      <c r="B9262" s="19"/>
      <c r="C9262" s="19"/>
      <c r="D9262" s="19"/>
      <c r="E9262" s="19"/>
      <c r="F9262" s="19"/>
      <c r="G9262" s="19"/>
      <c r="H9262" s="19"/>
      <c r="I9262" s="19"/>
      <c r="J9262" s="19"/>
      <c r="K9262" s="19"/>
      <c r="L9262" s="19"/>
      <c r="M9262" s="19"/>
      <c r="N9262" s="19"/>
      <c r="O9262" s="14" t="str">
        <f>HYPERLINK("https://otsuka-europe-crm.veevavault.com/ui/#object/email_activity__v/V8C00000003V453", "EN-002095676")</f>
        <v>EN-002095676</v>
      </c>
    </row>
    <row r="9263" spans="1:15" ht="48" x14ac:dyDescent="0.2">
      <c r="A9263" s="7" t="str">
        <f>HYPERLINK("https://otsuka-europe-crm.veevavault.com/ui/#object/account__v/V4TZ04ASGDUDX4Y", "PAOLA MARIA FAGGIOLI")</f>
        <v>PAOLA MARIA FAGGIOLI</v>
      </c>
      <c r="B9263" s="7" t="str">
        <f>HYPERLINK("https://otsuka-europe-crm.veevavault.com/ui/#object/vcountry__v/VENZ000004SONFQ", "IT")</f>
        <v>IT</v>
      </c>
      <c r="C9263" s="8" t="s">
        <v>44</v>
      </c>
      <c r="D9263" s="9" t="str">
        <f>HYPERLINK("https://otsuka-europe-crm.veevavault.com/ui/#object/approved_document__v/V5O00000001A009", "Lupkynis_classi bioptiche_IT-LUP-2600008 v1.0 - RHEUMA")</f>
        <v>Lupkynis_classi bioptiche_IT-LUP-2600008 v1.0 - RHEUMA</v>
      </c>
      <c r="E9263" s="10" t="str">
        <f>HYPERLINK("https://otsuka-europe-crm.veevavault.com/ui/#object/sent_email__v/VBL00000002U098", "SE-001435827")</f>
        <v>SE-001435827</v>
      </c>
      <c r="F9263" s="11"/>
      <c r="G9263" s="12">
        <v>0</v>
      </c>
      <c r="H9263" s="12">
        <v>0</v>
      </c>
      <c r="I9263" s="12">
        <v>0</v>
      </c>
      <c r="J9263" s="11"/>
      <c r="K9263" s="12">
        <v>0</v>
      </c>
      <c r="L9263" s="10" t="str">
        <f>HYPERLINK("https://otsuka-europe-crm.veevavault.com/ui/#object/approved_document__v/V5O00000001A009", "Lupkynis_classi bioptiche_IT-LUP-2600008 v1.0 - RHEUMA")</f>
        <v>Lupkynis_classi bioptiche_IT-LUP-2600008 v1.0 - RHEUMA</v>
      </c>
      <c r="M9263" s="10" t="str">
        <f>HYPERLINK("mailto:marco.aldrigo@crm.otsuka-europe.com", "marco.aldrigo@crm.otsuka-europe.com")</f>
        <v>marco.aldrigo@crm.otsuka-europe.com</v>
      </c>
      <c r="N9263" s="13">
        <v>46185.520150462966</v>
      </c>
      <c r="O9263" s="14" t="str">
        <f>HYPERLINK("https://otsuka-europe-crm.veevavault.com/ui/#object/email_activity__v/V8C00000003U285", "EN-002095413")</f>
        <v>EN-002095413</v>
      </c>
    </row>
    <row r="9264" spans="1:15" ht="48" x14ac:dyDescent="0.2">
      <c r="A9264" s="7" t="str">
        <f>HYPERLINK("https://otsuka-europe-crm.veevavault.com/ui/#object/account__v/V4TZ025E84OBXR9", "KATIA ANGELA RE")</f>
        <v>KATIA ANGELA RE</v>
      </c>
      <c r="B9264" s="7" t="str">
        <f>HYPERLINK("https://otsuka-europe-crm.veevavault.com/ui/#object/vcountry__v/VENZ000004SONFQ", "IT")</f>
        <v>IT</v>
      </c>
      <c r="C9264" s="8" t="s">
        <v>44</v>
      </c>
      <c r="D9264" s="9" t="str">
        <f>HYPERLINK("https://otsuka-europe-crm.veevavault.com/ui/#object/approved_document__v/V5O00000001A009", "Lupkynis_classi bioptiche_IT-LUP-2600008 v1.0 - RHEUMA")</f>
        <v>Lupkynis_classi bioptiche_IT-LUP-2600008 v1.0 - RHEUMA</v>
      </c>
      <c r="E9264" s="10" t="str">
        <f>HYPERLINK("https://otsuka-europe-crm.veevavault.com/ui/#object/sent_email__v/VBL00000002T213", "SE-001435828")</f>
        <v>SE-001435828</v>
      </c>
      <c r="F9264" s="11"/>
      <c r="G9264" s="12">
        <v>0</v>
      </c>
      <c r="H9264" s="12">
        <v>0</v>
      </c>
      <c r="I9264" s="12">
        <v>0</v>
      </c>
      <c r="J9264" s="11"/>
      <c r="K9264" s="12">
        <v>0</v>
      </c>
      <c r="L9264" s="10" t="str">
        <f>HYPERLINK("https://otsuka-europe-crm.veevavault.com/ui/#object/approved_document__v/V5O00000001A009", "Lupkynis_classi bioptiche_IT-LUP-2600008 v1.0 - RHEUMA")</f>
        <v>Lupkynis_classi bioptiche_IT-LUP-2600008 v1.0 - RHEUMA</v>
      </c>
      <c r="M9264" s="10" t="str">
        <f>HYPERLINK("mailto:marco.aldrigo@crm.otsuka-europe.com", "marco.aldrigo@crm.otsuka-europe.com")</f>
        <v>marco.aldrigo@crm.otsuka-europe.com</v>
      </c>
      <c r="N9264" s="13">
        <v>46185.521018518521</v>
      </c>
      <c r="O9264" s="14" t="str">
        <f>HYPERLINK("https://otsuka-europe-crm.veevavault.com/ui/#object/email_activity__v/V8C00000003U287", "EN-002095415")</f>
        <v>EN-002095415</v>
      </c>
    </row>
    <row r="9265" spans="1:15" ht="48" x14ac:dyDescent="0.2">
      <c r="A9265" s="7" t="str">
        <f>HYPERLINK("https://otsuka-europe-crm.veevavault.com/ui/#object/account__v/V4TZ025E843349T", "MARIA GRAZIA MARRAZZA")</f>
        <v>MARIA GRAZIA MARRAZZA</v>
      </c>
      <c r="B9265" s="7" t="str">
        <f>HYPERLINK("https://otsuka-europe-crm.veevavault.com/ui/#object/vcountry__v/VENZ000004SONFQ", "IT")</f>
        <v>IT</v>
      </c>
      <c r="C9265" s="8" t="s">
        <v>44</v>
      </c>
      <c r="D9265" s="9" t="str">
        <f>HYPERLINK("https://otsuka-europe-crm.veevavault.com/ui/#object/approved_document__v/V5O00000001A009", "Lupkynis_classi bioptiche_IT-LUP-2600008 v1.0 - RHEUMA")</f>
        <v>Lupkynis_classi bioptiche_IT-LUP-2600008 v1.0 - RHEUMA</v>
      </c>
      <c r="E9265" s="10" t="str">
        <f>HYPERLINK("https://otsuka-europe-crm.veevavault.com/ui/#object/sent_email__v/VBL00000002U099", "SE-001435829")</f>
        <v>SE-001435829</v>
      </c>
      <c r="F9265" s="11"/>
      <c r="G9265" s="12">
        <v>0</v>
      </c>
      <c r="H9265" s="12">
        <v>0</v>
      </c>
      <c r="I9265" s="12">
        <v>0</v>
      </c>
      <c r="J9265" s="11"/>
      <c r="K9265" s="12">
        <v>0</v>
      </c>
      <c r="L9265" s="10" t="str">
        <f>HYPERLINK("https://otsuka-europe-crm.veevavault.com/ui/#object/approved_document__v/V5O00000001A009", "Lupkynis_classi bioptiche_IT-LUP-2600008 v1.0 - RHEUMA")</f>
        <v>Lupkynis_classi bioptiche_IT-LUP-2600008 v1.0 - RHEUMA</v>
      </c>
      <c r="M9265" s="10" t="str">
        <f>HYPERLINK("mailto:marco.aldrigo@crm.otsuka-europe.com", "marco.aldrigo@crm.otsuka-europe.com")</f>
        <v>marco.aldrigo@crm.otsuka-europe.com</v>
      </c>
      <c r="N9265" s="13">
        <v>46185.521145833336</v>
      </c>
      <c r="O9265" s="14" t="str">
        <f>HYPERLINK("https://otsuka-europe-crm.veevavault.com/ui/#object/email_activity__v/V8C00000003U286", "EN-002095414")</f>
        <v>EN-002095414</v>
      </c>
    </row>
    <row r="9266" spans="1:15" ht="48" x14ac:dyDescent="0.2">
      <c r="A9266" s="7" t="str">
        <f>HYPERLINK("https://otsuka-europe-crm.veevavault.com/ui/#object/account__v/V4TZ06G6O71SAHG", "LUCAFRANCESCO DI TOMA")</f>
        <v>LUCAFRANCESCO DI TOMA</v>
      </c>
      <c r="B9266" s="7" t="str">
        <f>HYPERLINK("https://otsuka-europe-crm.veevavault.com/ui/#object/vcountry__v/VENZ000004SONFQ", "IT")</f>
        <v>IT</v>
      </c>
      <c r="C9266" s="8" t="s">
        <v>44</v>
      </c>
      <c r="D9266" s="9" t="str">
        <f>HYPERLINK("https://otsuka-europe-crm.veevavault.com/ui/#object/approved_document__v/V5O00000001A010", "Lupkynis_classi bioptiche_IT-LUP-2600008 v1.0 - NEPHRO")</f>
        <v>Lupkynis_classi bioptiche_IT-LUP-2600008 v1.0 - NEPHRO</v>
      </c>
      <c r="E9266" s="10" t="str">
        <f>HYPERLINK("https://otsuka-europe-crm.veevavault.com/ui/#object/sent_email__v/VBL00000002U100", "SE-001435830")</f>
        <v>SE-001435830</v>
      </c>
      <c r="F9266" s="11"/>
      <c r="G9266" s="12">
        <v>0</v>
      </c>
      <c r="H9266" s="12">
        <v>0</v>
      </c>
      <c r="I9266" s="12">
        <v>0</v>
      </c>
      <c r="J9266" s="11"/>
      <c r="K9266" s="12">
        <v>0</v>
      </c>
      <c r="L9266" s="10" t="str">
        <f>HYPERLINK("https://otsuka-europe-crm.veevavault.com/ui/#object/approved_document__v/V5O00000001A010", "Lupkynis_classi bioptiche_IT-LUP-2600008 v1.0 - NEPHRO")</f>
        <v>Lupkynis_classi bioptiche_IT-LUP-2600008 v1.0 - NEPHRO</v>
      </c>
      <c r="M9266" s="10" t="str">
        <f>HYPERLINK("mailto:marco.aldrigo@crm.otsuka-europe.com", "marco.aldrigo@crm.otsuka-europe.com")</f>
        <v>marco.aldrigo@crm.otsuka-europe.com</v>
      </c>
      <c r="N9266" s="13">
        <v>46185.521724537037</v>
      </c>
      <c r="O9266" s="14" t="str">
        <f>HYPERLINK("https://otsuka-europe-crm.veevavault.com/ui/#object/email_activity__v/V8C00000003U288", "EN-002095416")</f>
        <v>EN-002095416</v>
      </c>
    </row>
    <row r="9267" spans="1:15" ht="16" x14ac:dyDescent="0.2">
      <c r="A9267" s="17" t="str">
        <f>HYPERLINK("https://otsuka-europe-crm.veevavault.com/ui/#object/account__v/V4TZ04ASGB4WX58", "LORENZO CAVAGNA")</f>
        <v>LORENZO CAVAGNA</v>
      </c>
      <c r="B9267" s="17" t="str">
        <f>HYPERLINK("https://otsuka-europe-crm.veevavault.com/ui/#object/vcountry__v/VENZ000004SONFQ", "IT")</f>
        <v>IT</v>
      </c>
      <c r="C9267" s="20" t="s">
        <v>44</v>
      </c>
      <c r="D9267" s="21" t="str">
        <f>HYPERLINK("https://otsuka-europe-crm.veevavault.com/ui/#object/approved_document__v/V5O00000001A009", "Lupkynis_classi bioptiche_IT-LUP-2600008 v1.0 - RHEUMA")</f>
        <v>Lupkynis_classi bioptiche_IT-LUP-2600008 v1.0 - RHEUMA</v>
      </c>
      <c r="E9267" s="22" t="str">
        <f>HYPERLINK("https://otsuka-europe-crm.veevavault.com/ui/#object/sent_email__v/VBL00000002U101", "SE-001435831")</f>
        <v>SE-001435831</v>
      </c>
      <c r="F9267" s="23">
        <v>46185.522534722222</v>
      </c>
      <c r="G9267" s="24">
        <v>1</v>
      </c>
      <c r="H9267" s="24">
        <v>1</v>
      </c>
      <c r="I9267" s="24">
        <v>0</v>
      </c>
      <c r="J9267" s="25"/>
      <c r="K9267" s="24">
        <v>0</v>
      </c>
      <c r="L9267" s="22" t="str">
        <f>HYPERLINK("https://otsuka-europe-crm.veevavault.com/ui/#object/approved_document__v/V5O00000001A009", "Lupkynis_classi bioptiche_IT-LUP-2600008 v1.0 - RHEUMA")</f>
        <v>Lupkynis_classi bioptiche_IT-LUP-2600008 v1.0 - RHEUMA</v>
      </c>
      <c r="M9267" s="22" t="str">
        <f>HYPERLINK("mailto:marco.aldrigo@crm.otsuka-europe.com", "marco.aldrigo@crm.otsuka-europe.com")</f>
        <v>marco.aldrigo@crm.otsuka-europe.com</v>
      </c>
      <c r="N9267" s="23">
        <v>46185.522418981483</v>
      </c>
      <c r="O9267" s="14" t="str">
        <f>HYPERLINK("https://otsuka-europe-crm.veevavault.com/ui/#object/email_activity__v/V8C00000003U289", "EN-002095417")</f>
        <v>EN-002095417</v>
      </c>
    </row>
    <row r="9268" spans="1:15" ht="16" x14ac:dyDescent="0.2">
      <c r="A9268" s="19"/>
      <c r="B9268" s="19"/>
      <c r="C9268" s="19"/>
      <c r="D9268" s="19"/>
      <c r="E9268" s="19"/>
      <c r="F9268" s="19"/>
      <c r="G9268" s="19"/>
      <c r="H9268" s="19"/>
      <c r="I9268" s="19"/>
      <c r="J9268" s="19"/>
      <c r="K9268" s="19"/>
      <c r="L9268" s="19"/>
      <c r="M9268" s="19"/>
      <c r="N9268" s="19"/>
      <c r="O9268" s="14" t="str">
        <f>HYPERLINK("https://otsuka-europe-crm.veevavault.com/ui/#object/email_activity__v/V8C00000003U290", "EN-002095418")</f>
        <v>EN-002095418</v>
      </c>
    </row>
    <row r="9269" spans="1:15" ht="48" x14ac:dyDescent="0.2">
      <c r="A9269" s="7" t="str">
        <f>HYPERLINK("https://otsuka-europe-crm.veevavault.com/ui/#object/account__v/V4TZ04ASGB4WZFJ", "GIOVANNI ZANFRAMUNDO")</f>
        <v>GIOVANNI ZANFRAMUNDO</v>
      </c>
      <c r="B9269" s="7" t="str">
        <f>HYPERLINK("https://otsuka-europe-crm.veevavault.com/ui/#object/vcountry__v/VENZ000004SONFQ", "IT")</f>
        <v>IT</v>
      </c>
      <c r="C9269" s="8" t="s">
        <v>44</v>
      </c>
      <c r="D9269" s="9" t="str">
        <f>HYPERLINK("https://otsuka-europe-crm.veevavault.com/ui/#object/approved_document__v/V5O00000001A009", "Lupkynis_classi bioptiche_IT-LUP-2600008 v1.0 - RHEUMA")</f>
        <v>Lupkynis_classi bioptiche_IT-LUP-2600008 v1.0 - RHEUMA</v>
      </c>
      <c r="E9269" s="10" t="str">
        <f>HYPERLINK("https://otsuka-europe-crm.veevavault.com/ui/#object/sent_email__v/VBL00000002T214", "SE-001435832")</f>
        <v>SE-001435832</v>
      </c>
      <c r="F9269" s="11"/>
      <c r="G9269" s="12">
        <v>0</v>
      </c>
      <c r="H9269" s="12">
        <v>0</v>
      </c>
      <c r="I9269" s="12">
        <v>0</v>
      </c>
      <c r="J9269" s="11"/>
      <c r="K9269" s="12">
        <v>0</v>
      </c>
      <c r="L9269" s="10" t="str">
        <f>HYPERLINK("https://otsuka-europe-crm.veevavault.com/ui/#object/approved_document__v/V5O00000001A009", "Lupkynis_classi bioptiche_IT-LUP-2600008 v1.0 - RHEUMA")</f>
        <v>Lupkynis_classi bioptiche_IT-LUP-2600008 v1.0 - RHEUMA</v>
      </c>
      <c r="M9269" s="10" t="str">
        <f>HYPERLINK("mailto:marco.aldrigo@crm.otsuka-europe.com", "marco.aldrigo@crm.otsuka-europe.com")</f>
        <v>marco.aldrigo@crm.otsuka-europe.com</v>
      </c>
      <c r="N9269" s="13">
        <v>46185.522581018522</v>
      </c>
      <c r="O9269" s="14" t="str">
        <f>HYPERLINK("https://otsuka-europe-crm.veevavault.com/ui/#object/email_activity__v/V8C00000003V313", "EN-002095419")</f>
        <v>EN-002095419</v>
      </c>
    </row>
    <row r="9270" spans="1:15" ht="16" x14ac:dyDescent="0.2">
      <c r="A9270" s="17" t="str">
        <f>HYPERLINK("https://otsuka-europe-crm.veevavault.com/ui/#object/account__v/V4TZ04ASGBJGVBH", "VERONICA CODULLO")</f>
        <v>VERONICA CODULLO</v>
      </c>
      <c r="B9270" s="17" t="str">
        <f>HYPERLINK("https://otsuka-europe-crm.veevavault.com/ui/#object/vcountry__v/VENZ000004SONFQ", "IT")</f>
        <v>IT</v>
      </c>
      <c r="C9270" s="20" t="s">
        <v>44</v>
      </c>
      <c r="D9270" s="21" t="str">
        <f>HYPERLINK("https://otsuka-europe-crm.veevavault.com/ui/#object/approved_document__v/V5O00000001A009", "Lupkynis_classi bioptiche_IT-LUP-2600008 v1.0 - RHEUMA")</f>
        <v>Lupkynis_classi bioptiche_IT-LUP-2600008 v1.0 - RHEUMA</v>
      </c>
      <c r="E9270" s="22" t="str">
        <f>HYPERLINK("https://otsuka-europe-crm.veevavault.com/ui/#object/sent_email__v/VBL00000002U102", "SE-001435833")</f>
        <v>SE-001435833</v>
      </c>
      <c r="F9270" s="25"/>
      <c r="G9270" s="24">
        <v>0</v>
      </c>
      <c r="H9270" s="24">
        <v>0</v>
      </c>
      <c r="I9270" s="24">
        <v>0</v>
      </c>
      <c r="J9270" s="25"/>
      <c r="K9270" s="24">
        <v>0</v>
      </c>
      <c r="L9270" s="22" t="str">
        <f>HYPERLINK("https://otsuka-europe-crm.veevavault.com/ui/#object/approved_document__v/V5O00000001A009", "Lupkynis_classi bioptiche_IT-LUP-2600008 v1.0 - RHEUMA")</f>
        <v>Lupkynis_classi bioptiche_IT-LUP-2600008 v1.0 - RHEUMA</v>
      </c>
      <c r="M9270" s="22" t="str">
        <f>HYPERLINK("mailto:marco.aldrigo@crm.otsuka-europe.com", "marco.aldrigo@crm.otsuka-europe.com")</f>
        <v>marco.aldrigo@crm.otsuka-europe.com</v>
      </c>
      <c r="N9270" s="23">
        <v>46185.522951388892</v>
      </c>
      <c r="O9270" s="14" t="str">
        <f>HYPERLINK("https://otsuka-europe-crm.veevavault.com/ui/#object/email_activity__v/V8C00000003V314", "EN-002095420")</f>
        <v>EN-002095420</v>
      </c>
    </row>
    <row r="9271" spans="1:15" ht="16" x14ac:dyDescent="0.2">
      <c r="A9271" s="19"/>
      <c r="B9271" s="19"/>
      <c r="C9271" s="19"/>
      <c r="D9271" s="19"/>
      <c r="E9271" s="19"/>
      <c r="F9271" s="19"/>
      <c r="G9271" s="19"/>
      <c r="H9271" s="19"/>
      <c r="I9271" s="19"/>
      <c r="J9271" s="19"/>
      <c r="K9271" s="19"/>
      <c r="L9271" s="19"/>
      <c r="M9271" s="19"/>
      <c r="N9271" s="19"/>
      <c r="O9271" s="14" t="str">
        <f>HYPERLINK("https://otsuka-europe-crm.veevavault.com/ui/#object/email_activity__v/V8C00000003V428", "EN-002095619")</f>
        <v>EN-002095619</v>
      </c>
    </row>
    <row r="9272" spans="1:15" ht="48" x14ac:dyDescent="0.2">
      <c r="A9272" s="7" t="str">
        <f>HYPERLINK("https://otsuka-europe-crm.veevavault.com/ui/#object/account__v/V4TZ06G6O71SARJ", "FABRIZIO GROSJEAN")</f>
        <v>FABRIZIO GROSJEAN</v>
      </c>
      <c r="B9272" s="7" t="str">
        <f>HYPERLINK("https://otsuka-europe-crm.veevavault.com/ui/#object/vcountry__v/VENZ000004SONFQ", "IT")</f>
        <v>IT</v>
      </c>
      <c r="C9272" s="8" t="s">
        <v>44</v>
      </c>
      <c r="D9272" s="9" t="str">
        <f>HYPERLINK("https://otsuka-europe-crm.veevavault.com/ui/#object/approved_document__v/V5O00000001A010", "Lupkynis_classi bioptiche_IT-LUP-2600008 v1.0 - NEPHRO")</f>
        <v>Lupkynis_classi bioptiche_IT-LUP-2600008 v1.0 - NEPHRO</v>
      </c>
      <c r="E9272" s="10" t="str">
        <f>HYPERLINK("https://otsuka-europe-crm.veevavault.com/ui/#object/sent_email__v/VBL00000002T215", "SE-001435834")</f>
        <v>SE-001435834</v>
      </c>
      <c r="F9272" s="11"/>
      <c r="G9272" s="12">
        <v>0</v>
      </c>
      <c r="H9272" s="12">
        <v>0</v>
      </c>
      <c r="I9272" s="12">
        <v>0</v>
      </c>
      <c r="J9272" s="11"/>
      <c r="K9272" s="12">
        <v>0</v>
      </c>
      <c r="L9272" s="10" t="str">
        <f>HYPERLINK("https://otsuka-europe-crm.veevavault.com/ui/#object/approved_document__v/V5O00000001A010", "Lupkynis_classi bioptiche_IT-LUP-2600008 v1.0 - NEPHRO")</f>
        <v>Lupkynis_classi bioptiche_IT-LUP-2600008 v1.0 - NEPHRO</v>
      </c>
      <c r="M9272" s="10" t="str">
        <f>HYPERLINK("mailto:marco.aldrigo@crm.otsuka-europe.com", "marco.aldrigo@crm.otsuka-europe.com")</f>
        <v>marco.aldrigo@crm.otsuka-europe.com</v>
      </c>
      <c r="N9272" s="13">
        <v>46185.523460648146</v>
      </c>
      <c r="O9272" s="14" t="str">
        <f>HYPERLINK("https://otsuka-europe-crm.veevavault.com/ui/#object/email_activity__v/V8C00000003U291", "EN-002095421")</f>
        <v>EN-002095421</v>
      </c>
    </row>
    <row r="9273" spans="1:15" ht="48" x14ac:dyDescent="0.2">
      <c r="A9273" s="7" t="str">
        <f>HYPERLINK("https://otsuka-europe-crm.veevavault.com/ui/#object/account__v/V4TZ025E878R3JD", "MARILENA GREGORINI")</f>
        <v>MARILENA GREGORINI</v>
      </c>
      <c r="B9273" s="7" t="str">
        <f>HYPERLINK("https://otsuka-europe-crm.veevavault.com/ui/#object/vcountry__v/VENZ000004SONFQ", "IT")</f>
        <v>IT</v>
      </c>
      <c r="C9273" s="8" t="s">
        <v>44</v>
      </c>
      <c r="D9273" s="9" t="str">
        <f>HYPERLINK("https://otsuka-europe-crm.veevavault.com/ui/#object/approved_document__v/V5O00000001A010", "Lupkynis_classi bioptiche_IT-LUP-2600008 v1.0 - NEPHRO")</f>
        <v>Lupkynis_classi bioptiche_IT-LUP-2600008 v1.0 - NEPHRO</v>
      </c>
      <c r="E9273" s="10" t="str">
        <f>HYPERLINK("https://otsuka-europe-crm.veevavault.com/ui/#object/sent_email__v/VBL00000002T216", "SE-001435835")</f>
        <v>SE-001435835</v>
      </c>
      <c r="F9273" s="11"/>
      <c r="G9273" s="12">
        <v>0</v>
      </c>
      <c r="H9273" s="12">
        <v>0</v>
      </c>
      <c r="I9273" s="12">
        <v>0</v>
      </c>
      <c r="J9273" s="11"/>
      <c r="K9273" s="12">
        <v>0</v>
      </c>
      <c r="L9273" s="10" t="str">
        <f>HYPERLINK("https://otsuka-europe-crm.veevavault.com/ui/#object/approved_document__v/V5O00000001A010", "Lupkynis_classi bioptiche_IT-LUP-2600008 v1.0 - NEPHRO")</f>
        <v>Lupkynis_classi bioptiche_IT-LUP-2600008 v1.0 - NEPHRO</v>
      </c>
      <c r="M9273" s="10" t="str">
        <f>HYPERLINK("mailto:marco.aldrigo@crm.otsuka-europe.com", "marco.aldrigo@crm.otsuka-europe.com")</f>
        <v>marco.aldrigo@crm.otsuka-europe.com</v>
      </c>
      <c r="N9273" s="13">
        <v>46185.52380787037</v>
      </c>
      <c r="O9273" s="14" t="str">
        <f>HYPERLINK("https://otsuka-europe-crm.veevavault.com/ui/#object/email_activity__v/V8C00000003V315", "EN-002095422")</f>
        <v>EN-002095422</v>
      </c>
    </row>
    <row r="9274" spans="1:15" ht="48" x14ac:dyDescent="0.2">
      <c r="A9274" s="7" t="str">
        <f>HYPERLINK("https://otsuka-europe-crm.veevavault.com/ui/#object/account__v/V4TZ06G6O71SC60", "RODOLFO RUSSO")</f>
        <v>RODOLFO RUSSO</v>
      </c>
      <c r="B9274" s="7" t="str">
        <f>HYPERLINK("https://otsuka-europe-crm.veevavault.com/ui/#object/vcountry__v/VENZ000004SONFQ", "IT")</f>
        <v>IT</v>
      </c>
      <c r="C9274" s="8" t="s">
        <v>44</v>
      </c>
      <c r="D9274" s="9" t="str">
        <f>HYPERLINK("https://otsuka-europe-crm.veevavault.com/ui/#object/approved_document__v/V5O00000001A010", "Lupkynis_classi bioptiche_IT-LUP-2600008 v1.0 - NEPHRO")</f>
        <v>Lupkynis_classi bioptiche_IT-LUP-2600008 v1.0 - NEPHRO</v>
      </c>
      <c r="E9274" s="10" t="str">
        <f>HYPERLINK("https://otsuka-europe-crm.veevavault.com/ui/#object/sent_email__v/VBL00000002T217", "SE-001435836")</f>
        <v>SE-001435836</v>
      </c>
      <c r="F9274" s="11"/>
      <c r="G9274" s="12">
        <v>0</v>
      </c>
      <c r="H9274" s="12">
        <v>0</v>
      </c>
      <c r="I9274" s="12">
        <v>0</v>
      </c>
      <c r="J9274" s="11"/>
      <c r="K9274" s="12">
        <v>0</v>
      </c>
      <c r="L9274" s="10" t="str">
        <f>HYPERLINK("https://otsuka-europe-crm.veevavault.com/ui/#object/approved_document__v/V5O00000001A010", "Lupkynis_classi bioptiche_IT-LUP-2600008 v1.0 - NEPHRO")</f>
        <v>Lupkynis_classi bioptiche_IT-LUP-2600008 v1.0 - NEPHRO</v>
      </c>
      <c r="M9274" s="10" t="str">
        <f>HYPERLINK("mailto:marco.aldrigo@crm.otsuka-europe.com", "marco.aldrigo@crm.otsuka-europe.com")</f>
        <v>marco.aldrigo@crm.otsuka-europe.com</v>
      </c>
      <c r="N9274" s="13">
        <v>46185.524837962963</v>
      </c>
      <c r="O9274" s="14" t="str">
        <f>HYPERLINK("https://otsuka-europe-crm.veevavault.com/ui/#object/email_activity__v/V8C00000003V317", "EN-002095424")</f>
        <v>EN-002095424</v>
      </c>
    </row>
    <row r="9275" spans="1:15" ht="48" x14ac:dyDescent="0.2">
      <c r="A9275" s="7" t="str">
        <f>HYPERLINK("https://otsuka-europe-crm.veevavault.com/ui/#object/account__v/V4TZ025E85L261E", "OTTAVIA MAGNANI")</f>
        <v>OTTAVIA MAGNANI</v>
      </c>
      <c r="B9275" s="7" t="str">
        <f>HYPERLINK("https://otsuka-europe-crm.veevavault.com/ui/#object/vcountry__v/VENZ000004SONFQ", "IT")</f>
        <v>IT</v>
      </c>
      <c r="C9275" s="8" t="s">
        <v>44</v>
      </c>
      <c r="D9275" s="9" t="str">
        <f>HYPERLINK("https://otsuka-europe-crm.veevavault.com/ui/#object/approved_document__v/V5O00000001A011", "Lupkynis_classi bioptiche_IT-LUP-2600008 v1.0 - IMMUNO")</f>
        <v>Lupkynis_classi bioptiche_IT-LUP-2600008 v1.0 - IMMUNO</v>
      </c>
      <c r="E9275" s="10" t="str">
        <f>HYPERLINK("https://otsuka-europe-crm.veevavault.com/ui/#object/sent_email__v/VBL00000002T218", "SE-001435837")</f>
        <v>SE-001435837</v>
      </c>
      <c r="F9275" s="11"/>
      <c r="G9275" s="12">
        <v>0</v>
      </c>
      <c r="H9275" s="12">
        <v>0</v>
      </c>
      <c r="I9275" s="12">
        <v>0</v>
      </c>
      <c r="J9275" s="11"/>
      <c r="K9275" s="12">
        <v>0</v>
      </c>
      <c r="L9275" s="10" t="str">
        <f>HYPERLINK("https://otsuka-europe-crm.veevavault.com/ui/#object/approved_document__v/V5O00000001A011", "Lupkynis_classi bioptiche_IT-LUP-2600008 v1.0 - IMMUNO")</f>
        <v>Lupkynis_classi bioptiche_IT-LUP-2600008 v1.0 - IMMUNO</v>
      </c>
      <c r="M9275" s="10" t="str">
        <f>HYPERLINK("mailto:marco.aldrigo@crm.otsuka-europe.com", "marco.aldrigo@crm.otsuka-europe.com")</f>
        <v>marco.aldrigo@crm.otsuka-europe.com</v>
      </c>
      <c r="N9275" s="13">
        <v>46185.524942129632</v>
      </c>
      <c r="O9275" s="14" t="str">
        <f>HYPERLINK("https://otsuka-europe-crm.veevavault.com/ui/#object/email_activity__v/V8C00000003V318", "EN-002095425")</f>
        <v>EN-002095425</v>
      </c>
    </row>
    <row r="9276" spans="1:15" ht="16" x14ac:dyDescent="0.2">
      <c r="A9276" s="17" t="str">
        <f>HYPERLINK("https://otsuka-europe-crm.veevavault.com/ui/#object/account__v/V4TZ025E85JJGO8", "CARLO EDOARDO RUVA")</f>
        <v>CARLO EDOARDO RUVA</v>
      </c>
      <c r="B9276" s="17" t="str">
        <f>HYPERLINK("https://otsuka-europe-crm.veevavault.com/ui/#object/vcountry__v/VENZ000004SONFQ", "IT")</f>
        <v>IT</v>
      </c>
      <c r="C9276" s="20" t="s">
        <v>44</v>
      </c>
      <c r="D9276" s="21" t="str">
        <f>HYPERLINK("https://otsuka-europe-crm.veevavault.com/ui/#object/approved_document__v/V5O00000001A010", "Lupkynis_classi bioptiche_IT-LUP-2600008 v1.0 - NEPHRO")</f>
        <v>Lupkynis_classi bioptiche_IT-LUP-2600008 v1.0 - NEPHRO</v>
      </c>
      <c r="E9276" s="22" t="str">
        <f>HYPERLINK("https://otsuka-europe-crm.veevavault.com/ui/#object/sent_email__v/VBL00000002T219", "SE-001435838")</f>
        <v>SE-001435838</v>
      </c>
      <c r="F9276" s="25"/>
      <c r="G9276" s="24">
        <v>0</v>
      </c>
      <c r="H9276" s="24">
        <v>0</v>
      </c>
      <c r="I9276" s="24">
        <v>0</v>
      </c>
      <c r="J9276" s="25"/>
      <c r="K9276" s="24">
        <v>0</v>
      </c>
      <c r="L9276" s="22" t="str">
        <f>HYPERLINK("https://otsuka-europe-crm.veevavault.com/ui/#object/approved_document__v/V5O00000001A010", "Lupkynis_classi bioptiche_IT-LUP-2600008 v1.0 - NEPHRO")</f>
        <v>Lupkynis_classi bioptiche_IT-LUP-2600008 v1.0 - NEPHRO</v>
      </c>
      <c r="M9276" s="22" t="str">
        <f>HYPERLINK("mailto:marco.aldrigo@crm.otsuka-europe.com", "marco.aldrigo@crm.otsuka-europe.com")</f>
        <v>marco.aldrigo@crm.otsuka-europe.com</v>
      </c>
      <c r="N9276" s="23">
        <v>46185.526423611111</v>
      </c>
      <c r="O9276" s="14" t="str">
        <f>HYPERLINK("https://otsuka-europe-crm.veevavault.com/ui/#object/email_activity__v/V8C00000003U330", "EN-002095494")</f>
        <v>EN-002095494</v>
      </c>
    </row>
    <row r="9277" spans="1:15" ht="16" x14ac:dyDescent="0.2">
      <c r="A9277" s="19"/>
      <c r="B9277" s="19"/>
      <c r="C9277" s="19"/>
      <c r="D9277" s="19"/>
      <c r="E9277" s="19"/>
      <c r="F9277" s="19"/>
      <c r="G9277" s="19"/>
      <c r="H9277" s="19"/>
      <c r="I9277" s="19"/>
      <c r="J9277" s="19"/>
      <c r="K9277" s="19"/>
      <c r="L9277" s="19"/>
      <c r="M9277" s="19"/>
      <c r="N9277" s="19"/>
      <c r="O9277" s="14" t="str">
        <f>HYPERLINK("https://otsuka-europe-crm.veevavault.com/ui/#object/email_activity__v/V8C00000003V320", "EN-002095427")</f>
        <v>EN-002095427</v>
      </c>
    </row>
    <row r="9278" spans="1:15" ht="16" x14ac:dyDescent="0.2">
      <c r="A9278" s="17" t="str">
        <f>HYPERLINK("https://otsuka-europe-crm.veevavault.com/ui/#object/account__v/V4TZ04ASGEOJSKC", "RICHARD BORRELLI")</f>
        <v>RICHARD BORRELLI</v>
      </c>
      <c r="B9278" s="17" t="str">
        <f>HYPERLINK("https://otsuka-europe-crm.veevavault.com/ui/#object/vcountry__v/VENZ000004SONFQ", "IT")</f>
        <v>IT</v>
      </c>
      <c r="C9278" s="20" t="s">
        <v>44</v>
      </c>
      <c r="D9278" s="21" t="str">
        <f>HYPERLINK("https://otsuka-europe-crm.veevavault.com/ui/#object/approved_document__v/V5O00000001A009", "Lupkynis_classi bioptiche_IT-LUP-2600008 v1.0 - RHEUMA")</f>
        <v>Lupkynis_classi bioptiche_IT-LUP-2600008 v1.0 - RHEUMA</v>
      </c>
      <c r="E9278" s="22" t="str">
        <f>HYPERLINK("https://otsuka-europe-crm.veevavault.com/ui/#object/sent_email__v/VBL00000002U103", "SE-001435839")</f>
        <v>SE-001435839</v>
      </c>
      <c r="F9278" s="23">
        <v>46185.644826388889</v>
      </c>
      <c r="G9278" s="24">
        <v>1</v>
      </c>
      <c r="H9278" s="24">
        <v>1</v>
      </c>
      <c r="I9278" s="24">
        <v>0</v>
      </c>
      <c r="J9278" s="25"/>
      <c r="K9278" s="24">
        <v>0</v>
      </c>
      <c r="L9278" s="22" t="str">
        <f>HYPERLINK("https://otsuka-europe-crm.veevavault.com/ui/#object/approved_document__v/V5O00000001A009", "Lupkynis_classi bioptiche_IT-LUP-2600008 v1.0 - RHEUMA")</f>
        <v>Lupkynis_classi bioptiche_IT-LUP-2600008 v1.0 - RHEUMA</v>
      </c>
      <c r="M9278" s="22" t="str">
        <f>HYPERLINK("mailto:marco.aldrigo@crm.otsuka-europe.com", "marco.aldrigo@crm.otsuka-europe.com")</f>
        <v>marco.aldrigo@crm.otsuka-europe.com</v>
      </c>
      <c r="N9278" s="23">
        <v>46185.527638888889</v>
      </c>
      <c r="O9278" s="14" t="str">
        <f>HYPERLINK("https://otsuka-europe-crm.veevavault.com/ui/#object/email_activity__v/V8C00000003U292", "EN-002095428")</f>
        <v>EN-002095428</v>
      </c>
    </row>
    <row r="9279" spans="1:15" ht="16" x14ac:dyDescent="0.2">
      <c r="A9279" s="19"/>
      <c r="B9279" s="19"/>
      <c r="C9279" s="19"/>
      <c r="D9279" s="19"/>
      <c r="E9279" s="19"/>
      <c r="F9279" s="19"/>
      <c r="G9279" s="19"/>
      <c r="H9279" s="19"/>
      <c r="I9279" s="19"/>
      <c r="J9279" s="19"/>
      <c r="K9279" s="19"/>
      <c r="L9279" s="19"/>
      <c r="M9279" s="19"/>
      <c r="N9279" s="19"/>
      <c r="O9279" s="14" t="str">
        <f>HYPERLINK("https://otsuka-europe-crm.veevavault.com/ui/#object/email_activity__v/V8C00000003U337", "EN-002095514")</f>
        <v>EN-002095514</v>
      </c>
    </row>
    <row r="9280" spans="1:15" ht="48" x14ac:dyDescent="0.2">
      <c r="A9280" s="7" t="str">
        <f>HYPERLINK("https://otsuka-europe-crm.veevavault.com/ui/#object/account__v/V4TZ025E834U75T", "FRANCESCO GHELLERE")</f>
        <v>FRANCESCO GHELLERE</v>
      </c>
      <c r="B9280" s="7" t="str">
        <f t="shared" ref="B9280:B9286" si="698">HYPERLINK("https://otsuka-europe-crm.veevavault.com/ui/#object/vcountry__v/VENZ000004SONFQ", "IT")</f>
        <v>IT</v>
      </c>
      <c r="C9280" s="8" t="s">
        <v>44</v>
      </c>
      <c r="D9280" s="9" t="str">
        <f>HYPERLINK("https://otsuka-europe-crm.veevavault.com/ui/#object/approved_document__v/V5O00000001A009", "Lupkynis_classi bioptiche_IT-LUP-2600008 v1.0 - RHEUMA")</f>
        <v>Lupkynis_classi bioptiche_IT-LUP-2600008 v1.0 - RHEUMA</v>
      </c>
      <c r="E9280" s="10" t="str">
        <f>HYPERLINK("https://otsuka-europe-crm.veevavault.com/ui/#object/sent_email__v/VBL00000002U104", "SE-001435840")</f>
        <v>SE-001435840</v>
      </c>
      <c r="F9280" s="11"/>
      <c r="G9280" s="12">
        <v>0</v>
      </c>
      <c r="H9280" s="12">
        <v>0</v>
      </c>
      <c r="I9280" s="12">
        <v>0</v>
      </c>
      <c r="J9280" s="11"/>
      <c r="K9280" s="12">
        <v>0</v>
      </c>
      <c r="L9280" s="10" t="str">
        <f>HYPERLINK("https://otsuka-europe-crm.veevavault.com/ui/#object/approved_document__v/V5O00000001A009", "Lupkynis_classi bioptiche_IT-LUP-2600008 v1.0 - RHEUMA")</f>
        <v>Lupkynis_classi bioptiche_IT-LUP-2600008 v1.0 - RHEUMA</v>
      </c>
      <c r="M9280" s="10" t="str">
        <f t="shared" ref="M9280:M9285" si="699">HYPERLINK("mailto:marco.aldrigo@crm.otsuka-europe.com", "marco.aldrigo@crm.otsuka-europe.com")</f>
        <v>marco.aldrigo@crm.otsuka-europe.com</v>
      </c>
      <c r="N9280" s="13">
        <v>46185.527986111112</v>
      </c>
      <c r="O9280" s="14" t="str">
        <f>HYPERLINK("https://otsuka-europe-crm.veevavault.com/ui/#object/email_activity__v/V8C00000003V321", "EN-002095429")</f>
        <v>EN-002095429</v>
      </c>
    </row>
    <row r="9281" spans="1:15" ht="48" x14ac:dyDescent="0.2">
      <c r="A9281" s="7" t="str">
        <f>HYPERLINK("https://otsuka-europe-crm.veevavault.com/ui/#object/account__v/V4TZ025E834U22I", "GIACOMO TANTI")</f>
        <v>GIACOMO TANTI</v>
      </c>
      <c r="B9281" s="7" t="str">
        <f t="shared" si="698"/>
        <v>IT</v>
      </c>
      <c r="C9281" s="8" t="s">
        <v>44</v>
      </c>
      <c r="D9281" s="9" t="str">
        <f>HYPERLINK("https://otsuka-europe-crm.veevavault.com/ui/#object/approved_document__v/V5O00000001A009", "Lupkynis_classi bioptiche_IT-LUP-2600008 v1.0 - RHEUMA")</f>
        <v>Lupkynis_classi bioptiche_IT-LUP-2600008 v1.0 - RHEUMA</v>
      </c>
      <c r="E9281" s="10" t="str">
        <f>HYPERLINK("https://otsuka-europe-crm.veevavault.com/ui/#object/sent_email__v/VBL00000002T220", "SE-001435841")</f>
        <v>SE-001435841</v>
      </c>
      <c r="F9281" s="11"/>
      <c r="G9281" s="12">
        <v>0</v>
      </c>
      <c r="H9281" s="12">
        <v>0</v>
      </c>
      <c r="I9281" s="12">
        <v>0</v>
      </c>
      <c r="J9281" s="11"/>
      <c r="K9281" s="12">
        <v>0</v>
      </c>
      <c r="L9281" s="10" t="str">
        <f>HYPERLINK("https://otsuka-europe-crm.veevavault.com/ui/#object/approved_document__v/V5O00000001A009", "Lupkynis_classi bioptiche_IT-LUP-2600008 v1.0 - RHEUMA")</f>
        <v>Lupkynis_classi bioptiche_IT-LUP-2600008 v1.0 - RHEUMA</v>
      </c>
      <c r="M9281" s="10" t="str">
        <f t="shared" si="699"/>
        <v>marco.aldrigo@crm.otsuka-europe.com</v>
      </c>
      <c r="N9281" s="13">
        <v>46185.528020833335</v>
      </c>
      <c r="O9281" s="14" t="str">
        <f>HYPERLINK("https://otsuka-europe-crm.veevavault.com/ui/#object/email_activity__v/V8C00000003U293", "EN-002095430")</f>
        <v>EN-002095430</v>
      </c>
    </row>
    <row r="9282" spans="1:15" ht="48" x14ac:dyDescent="0.2">
      <c r="A9282" s="7" t="str">
        <f>HYPERLINK("https://otsuka-europe-crm.veevavault.com/ui/#object/account__v/V4TZ04ASGC4KYVO", "SIMONE PARISI")</f>
        <v>SIMONE PARISI</v>
      </c>
      <c r="B9282" s="7" t="str">
        <f t="shared" si="698"/>
        <v>IT</v>
      </c>
      <c r="C9282" s="8" t="s">
        <v>44</v>
      </c>
      <c r="D9282" s="9" t="str">
        <f>HYPERLINK("https://otsuka-europe-crm.veevavault.com/ui/#object/approved_document__v/V5O00000001A009", "Lupkynis_classi bioptiche_IT-LUP-2600008 v1.0 - RHEUMA")</f>
        <v>Lupkynis_classi bioptiche_IT-LUP-2600008 v1.0 - RHEUMA</v>
      </c>
      <c r="E9282" s="10" t="str">
        <f>HYPERLINK("https://otsuka-europe-crm.veevavault.com/ui/#object/sent_email__v/VBL00000002T221", "SE-001435842")</f>
        <v>SE-001435842</v>
      </c>
      <c r="F9282" s="11"/>
      <c r="G9282" s="12">
        <v>0</v>
      </c>
      <c r="H9282" s="12">
        <v>0</v>
      </c>
      <c r="I9282" s="12">
        <v>0</v>
      </c>
      <c r="J9282" s="11"/>
      <c r="K9282" s="12">
        <v>0</v>
      </c>
      <c r="L9282" s="10" t="str">
        <f>HYPERLINK("https://otsuka-europe-crm.veevavault.com/ui/#object/approved_document__v/V5O00000001A009", "Lupkynis_classi bioptiche_IT-LUP-2600008 v1.0 - RHEUMA")</f>
        <v>Lupkynis_classi bioptiche_IT-LUP-2600008 v1.0 - RHEUMA</v>
      </c>
      <c r="M9282" s="10" t="str">
        <f t="shared" si="699"/>
        <v>marco.aldrigo@crm.otsuka-europe.com</v>
      </c>
      <c r="N9282" s="13">
        <v>46185.528495370374</v>
      </c>
      <c r="O9282" s="14" t="str">
        <f>HYPERLINK("https://otsuka-europe-crm.veevavault.com/ui/#object/email_activity__v/V8C00000003V322", "EN-002095431")</f>
        <v>EN-002095431</v>
      </c>
    </row>
    <row r="9283" spans="1:15" ht="48" x14ac:dyDescent="0.2">
      <c r="A9283" s="7" t="str">
        <f>HYPERLINK("https://otsuka-europe-crm.veevavault.com/ui/#object/account__v/V4TZ04ASGC2H52D", "SILVIA BERUTTI")</f>
        <v>SILVIA BERUTTI</v>
      </c>
      <c r="B9283" s="7" t="str">
        <f t="shared" si="698"/>
        <v>IT</v>
      </c>
      <c r="C9283" s="8" t="s">
        <v>44</v>
      </c>
      <c r="D9283" s="9" t="str">
        <f>HYPERLINK("https://otsuka-europe-crm.veevavault.com/ui/#object/approved_document__v/V5O00000001A010", "Lupkynis_classi bioptiche_IT-LUP-2600008 v1.0 - NEPHRO")</f>
        <v>Lupkynis_classi bioptiche_IT-LUP-2600008 v1.0 - NEPHRO</v>
      </c>
      <c r="E9283" s="10" t="str">
        <f>HYPERLINK("https://otsuka-europe-crm.veevavault.com/ui/#object/sent_email__v/VBL00000002T222", "SE-001435843")</f>
        <v>SE-001435843</v>
      </c>
      <c r="F9283" s="11"/>
      <c r="G9283" s="12">
        <v>0</v>
      </c>
      <c r="H9283" s="12">
        <v>0</v>
      </c>
      <c r="I9283" s="12">
        <v>0</v>
      </c>
      <c r="J9283" s="11"/>
      <c r="K9283" s="12">
        <v>0</v>
      </c>
      <c r="L9283" s="10" t="str">
        <f>HYPERLINK("https://otsuka-europe-crm.veevavault.com/ui/#object/approved_document__v/V5O00000001A010", "Lupkynis_classi bioptiche_IT-LUP-2600008 v1.0 - NEPHRO")</f>
        <v>Lupkynis_classi bioptiche_IT-LUP-2600008 v1.0 - NEPHRO</v>
      </c>
      <c r="M9283" s="10" t="str">
        <f t="shared" si="699"/>
        <v>marco.aldrigo@crm.otsuka-europe.com</v>
      </c>
      <c r="N9283" s="13">
        <v>46185.52920138889</v>
      </c>
      <c r="O9283" s="14" t="str">
        <f>HYPERLINK("https://otsuka-europe-crm.veevavault.com/ui/#object/email_activity__v/V8C00000003U294", "EN-002095434")</f>
        <v>EN-002095434</v>
      </c>
    </row>
    <row r="9284" spans="1:15" ht="48" x14ac:dyDescent="0.2">
      <c r="A9284" s="7" t="str">
        <f>HYPERLINK("https://otsuka-europe-crm.veevavault.com/ui/#object/account__v/V4TZ04ASGC2H4JD", "CRISTINA MARCUCCIO")</f>
        <v>CRISTINA MARCUCCIO</v>
      </c>
      <c r="B9284" s="7" t="str">
        <f t="shared" si="698"/>
        <v>IT</v>
      </c>
      <c r="C9284" s="8" t="s">
        <v>44</v>
      </c>
      <c r="D9284" s="9" t="str">
        <f>HYPERLINK("https://otsuka-europe-crm.veevavault.com/ui/#object/approved_document__v/V5O00000001A010", "Lupkynis_classi bioptiche_IT-LUP-2600008 v1.0 - NEPHRO")</f>
        <v>Lupkynis_classi bioptiche_IT-LUP-2600008 v1.0 - NEPHRO</v>
      </c>
      <c r="E9284" s="10" t="str">
        <f>HYPERLINK("https://otsuka-europe-crm.veevavault.com/ui/#object/sent_email__v/VBL00000002T223", "SE-001435844")</f>
        <v>SE-001435844</v>
      </c>
      <c r="F9284" s="11"/>
      <c r="G9284" s="12">
        <v>0</v>
      </c>
      <c r="H9284" s="12">
        <v>0</v>
      </c>
      <c r="I9284" s="12">
        <v>0</v>
      </c>
      <c r="J9284" s="11"/>
      <c r="K9284" s="12">
        <v>0</v>
      </c>
      <c r="L9284" s="10" t="str">
        <f>HYPERLINK("https://otsuka-europe-crm.veevavault.com/ui/#object/approved_document__v/V5O00000001A010", "Lupkynis_classi bioptiche_IT-LUP-2600008 v1.0 - NEPHRO")</f>
        <v>Lupkynis_classi bioptiche_IT-LUP-2600008 v1.0 - NEPHRO</v>
      </c>
      <c r="M9284" s="10" t="str">
        <f t="shared" si="699"/>
        <v>marco.aldrigo@crm.otsuka-europe.com</v>
      </c>
      <c r="N9284" s="13">
        <v>46185.529224537036</v>
      </c>
      <c r="O9284" s="14" t="str">
        <f>HYPERLINK("https://otsuka-europe-crm.veevavault.com/ui/#object/email_activity__v/V8C00000003V324", "EN-002095433")</f>
        <v>EN-002095433</v>
      </c>
    </row>
    <row r="9285" spans="1:15" ht="48" x14ac:dyDescent="0.2">
      <c r="A9285" s="7" t="str">
        <f>HYPERLINK("https://otsuka-europe-crm.veevavault.com/ui/#object/account__v/V4TZ025E82BJ1O4", "STEFANIA NICOLA")</f>
        <v>STEFANIA NICOLA</v>
      </c>
      <c r="B9285" s="7" t="str">
        <f t="shared" si="698"/>
        <v>IT</v>
      </c>
      <c r="C9285" s="8" t="s">
        <v>44</v>
      </c>
      <c r="D9285" s="9" t="str">
        <f>HYPERLINK("https://otsuka-europe-crm.veevavault.com/ui/#object/approved_document__v/V5O00000001A011", "Lupkynis_classi bioptiche_IT-LUP-2600008 v1.0 - IMMUNO")</f>
        <v>Lupkynis_classi bioptiche_IT-LUP-2600008 v1.0 - IMMUNO</v>
      </c>
      <c r="E9285" s="10" t="str">
        <f>HYPERLINK("https://otsuka-europe-crm.veevavault.com/ui/#object/sent_email__v/VBL00000002U105", "SE-001435845")</f>
        <v>SE-001435845</v>
      </c>
      <c r="F9285" s="11"/>
      <c r="G9285" s="12">
        <v>0</v>
      </c>
      <c r="H9285" s="12">
        <v>0</v>
      </c>
      <c r="I9285" s="12">
        <v>0</v>
      </c>
      <c r="J9285" s="11"/>
      <c r="K9285" s="12">
        <v>0</v>
      </c>
      <c r="L9285" s="10" t="str">
        <f>HYPERLINK("https://otsuka-europe-crm.veevavault.com/ui/#object/approved_document__v/V5O00000001A011", "Lupkynis_classi bioptiche_IT-LUP-2600008 v1.0 - IMMUNO")</f>
        <v>Lupkynis_classi bioptiche_IT-LUP-2600008 v1.0 - IMMUNO</v>
      </c>
      <c r="M9285" s="10" t="str">
        <f t="shared" si="699"/>
        <v>marco.aldrigo@crm.otsuka-europe.com</v>
      </c>
      <c r="N9285" s="13">
        <v>46185.529930555553</v>
      </c>
      <c r="O9285" s="14" t="str">
        <f>HYPERLINK("https://otsuka-europe-crm.veevavault.com/ui/#object/email_activity__v/V8C00000003V325", "EN-002095435")</f>
        <v>EN-002095435</v>
      </c>
    </row>
    <row r="9286" spans="1:15" ht="16" x14ac:dyDescent="0.2">
      <c r="A9286" s="17" t="str">
        <f>HYPERLINK("https://otsuka-europe-crm.veevavault.com/ui/#object/account__v/V4TZ06G6O71SABU", "PAOLO DE PAOLIS")</f>
        <v>PAOLO DE PAOLIS</v>
      </c>
      <c r="B9286" s="17" t="str">
        <f t="shared" si="698"/>
        <v>IT</v>
      </c>
      <c r="C9286" s="20" t="s">
        <v>44</v>
      </c>
      <c r="D9286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9286" s="22" t="str">
        <f>HYPERLINK("https://otsuka-europe-crm.veevavault.com/ui/#object/sent_email__v/VBL00000002T224", "SE-001435846")</f>
        <v>SE-001435846</v>
      </c>
      <c r="F9286" s="25"/>
      <c r="G9286" s="24">
        <v>0</v>
      </c>
      <c r="H9286" s="24">
        <v>0</v>
      </c>
      <c r="I9286" s="24">
        <v>0</v>
      </c>
      <c r="J9286" s="25"/>
      <c r="K9286" s="24">
        <v>0</v>
      </c>
      <c r="L9286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9286" s="22" t="str">
        <f>HYPERLINK("mailto:giada.camassa@outsuka.it", "giada.camassa@outsuka.it")</f>
        <v>giada.camassa@outsuka.it</v>
      </c>
      <c r="N9286" s="23">
        <v>46185.565254629626</v>
      </c>
      <c r="O9286" s="14" t="str">
        <f>HYPERLINK("https://otsuka-europe-crm.veevavault.com/ui/#object/email_activity__v/V8C00000003U314", "EN-002095468")</f>
        <v>EN-002095468</v>
      </c>
    </row>
    <row r="9287" spans="1:15" ht="16" x14ac:dyDescent="0.2">
      <c r="A9287" s="19"/>
      <c r="B9287" s="19"/>
      <c r="C9287" s="19"/>
      <c r="D9287" s="19"/>
      <c r="E9287" s="19"/>
      <c r="F9287" s="19"/>
      <c r="G9287" s="19"/>
      <c r="H9287" s="19"/>
      <c r="I9287" s="19"/>
      <c r="J9287" s="19"/>
      <c r="K9287" s="19"/>
      <c r="L9287" s="19"/>
      <c r="M9287" s="19"/>
      <c r="N9287" s="19"/>
      <c r="O9287" s="14" t="str">
        <f>HYPERLINK("https://otsuka-europe-crm.veevavault.com/ui/#object/email_activity__v/V8C00000003V389", "EN-002095561")</f>
        <v>EN-002095561</v>
      </c>
    </row>
    <row r="9288" spans="1:15" ht="32" x14ac:dyDescent="0.2">
      <c r="A9288" s="7" t="str">
        <f>HYPERLINK("https://otsuka-europe-crm.veevavault.com/ui/#object/account__v/V4TZ0000062PJ0C", "Bo Wynn")</f>
        <v>Bo Wynn</v>
      </c>
      <c r="B9288" s="7" t="str">
        <f>HYPERLINK("https://otsuka-europe-crm.veevavault.com/ui/#object/vcountry__v/VENZ000004SONFK", "GB")</f>
        <v>GB</v>
      </c>
      <c r="C9288" s="8" t="s">
        <v>39</v>
      </c>
      <c r="D9288" s="9" t="str">
        <f>HYPERLINK("https://otsuka-europe-crm.veevavault.com/ui/#object/approved_document__v/V5O00000000D081", "UK - Consent Email 1 Aug 25")</f>
        <v>UK - Consent Email 1 Aug 25</v>
      </c>
      <c r="E9288" s="10" t="str">
        <f>HYPERLINK("https://otsuka-europe-crm.veevavault.com/ui/#object/sent_email__v/VBL00000002U106", "SE-001435847")</f>
        <v>SE-001435847</v>
      </c>
      <c r="F9288" s="11"/>
      <c r="G9288" s="12">
        <v>0</v>
      </c>
      <c r="H9288" s="12">
        <v>0</v>
      </c>
      <c r="I9288" s="12">
        <v>0</v>
      </c>
      <c r="J9288" s="11"/>
      <c r="K9288" s="12">
        <v>0</v>
      </c>
      <c r="L9288" s="10" t="str">
        <f>HYPERLINK("https://otsuka-europe-crm.veevavault.com/ui/#object/approved_document__v/V5O00000000D081", "UK - Consent Email 1 Aug 25")</f>
        <v>UK - Consent Email 1 Aug 25</v>
      </c>
      <c r="M9288" s="10" t="str">
        <f>HYPERLINK("mailto:ldimambro@crm.otsuka-europe.com", "ldimambro@crm.otsuka-europe.com")</f>
        <v>ldimambro@crm.otsuka-europe.com</v>
      </c>
      <c r="N9288" s="13">
        <v>46185.60738425926</v>
      </c>
      <c r="O9288" s="14" t="str">
        <f>HYPERLINK("https://otsuka-europe-crm.veevavault.com/ui/#object/email_activity__v/V8C00000003U327", "EN-002095488")</f>
        <v>EN-002095488</v>
      </c>
    </row>
    <row r="9289" spans="1:15" ht="16" x14ac:dyDescent="0.2">
      <c r="A9289" s="17" t="str">
        <f>HYPERLINK("https://otsuka-europe-crm.veevavault.com/ui/#object/account__v/V4T00000001W192", "Nnaemeka Igwe-Omoke")</f>
        <v>Nnaemeka Igwe-Omoke</v>
      </c>
      <c r="B9289" s="17" t="str">
        <f>HYPERLINK("https://otsuka-europe-crm.veevavault.com/ui/#object/vcountry__v/VENZ000004SONFK", "GB")</f>
        <v>GB</v>
      </c>
      <c r="C9289" s="20" t="s">
        <v>39</v>
      </c>
      <c r="D9289" s="21" t="str">
        <f>HYPERLINK("https://otsuka-europe-crm.veevavault.com/ui/#object/approved_document__v/V5O00000000D081", "UK - Consent Email 1 Aug 25")</f>
        <v>UK - Consent Email 1 Aug 25</v>
      </c>
      <c r="E9289" s="22" t="str">
        <f>HYPERLINK("https://otsuka-europe-crm.veevavault.com/ui/#object/sent_email__v/VBL00000002T225", "SE-001435848")</f>
        <v>SE-001435848</v>
      </c>
      <c r="F9289" s="23">
        <v>46185.633032407408</v>
      </c>
      <c r="G9289" s="24">
        <v>1</v>
      </c>
      <c r="H9289" s="24">
        <v>3</v>
      </c>
      <c r="I9289" s="24">
        <v>1</v>
      </c>
      <c r="J9289" s="23">
        <v>46185.633217592593</v>
      </c>
      <c r="K9289" s="24">
        <v>2</v>
      </c>
      <c r="L9289" s="22" t="str">
        <f>HYPERLINK("https://otsuka-europe-crm.veevavault.com/ui/#object/approved_document__v/V5O00000000D081", "UK - Consent Email 1 Aug 25")</f>
        <v>UK - Consent Email 1 Aug 25</v>
      </c>
      <c r="M9289" s="22" t="str">
        <f>HYPERLINK("mailto:ldimambro@crm.otsuka-europe.com", "ldimambro@crm.otsuka-europe.com")</f>
        <v>ldimambro@crm.otsuka-europe.com</v>
      </c>
      <c r="N9289" s="23">
        <v>46185.608368055553</v>
      </c>
      <c r="O9289" s="14" t="str">
        <f>HYPERLINK("https://otsuka-europe-crm.veevavault.com/ui/#object/email_activity__v/V8C00000003V346", "EN-002095491")</f>
        <v>EN-002095491</v>
      </c>
    </row>
    <row r="9290" spans="1:15" ht="16" x14ac:dyDescent="0.2">
      <c r="A9290" s="18"/>
      <c r="B9290" s="18"/>
      <c r="C9290" s="18"/>
      <c r="D9290" s="18"/>
      <c r="E9290" s="18"/>
      <c r="F9290" s="18"/>
      <c r="G9290" s="18"/>
      <c r="H9290" s="18"/>
      <c r="I9290" s="18"/>
      <c r="J9290" s="18"/>
      <c r="K9290" s="18"/>
      <c r="L9290" s="18"/>
      <c r="M9290" s="18"/>
      <c r="N9290" s="18"/>
      <c r="O9290" s="14" t="str">
        <f>HYPERLINK("https://otsuka-europe-crm.veevavault.com/ui/#object/email_activity__v/V8C00000003V347", "EN-002095492")</f>
        <v>EN-002095492</v>
      </c>
    </row>
    <row r="9291" spans="1:15" ht="16" x14ac:dyDescent="0.2">
      <c r="A9291" s="18"/>
      <c r="B9291" s="18"/>
      <c r="C9291" s="18"/>
      <c r="D9291" s="18"/>
      <c r="E9291" s="18"/>
      <c r="F9291" s="18"/>
      <c r="G9291" s="18"/>
      <c r="H9291" s="18"/>
      <c r="I9291" s="18"/>
      <c r="J9291" s="18"/>
      <c r="K9291" s="18"/>
      <c r="L9291" s="18"/>
      <c r="M9291" s="18"/>
      <c r="N9291" s="18"/>
      <c r="O9291" s="14" t="str">
        <f>HYPERLINK("https://otsuka-europe-crm.veevavault.com/ui/#object/email_activity__v/V8C00000003V353", "EN-002095502")</f>
        <v>EN-002095502</v>
      </c>
    </row>
    <row r="9292" spans="1:15" ht="16" x14ac:dyDescent="0.2">
      <c r="A9292" s="18"/>
      <c r="B9292" s="18"/>
      <c r="C9292" s="18"/>
      <c r="D9292" s="18"/>
      <c r="E9292" s="18"/>
      <c r="F9292" s="18"/>
      <c r="G9292" s="18"/>
      <c r="H9292" s="18"/>
      <c r="I9292" s="18"/>
      <c r="J9292" s="18"/>
      <c r="K9292" s="18"/>
      <c r="L9292" s="18"/>
      <c r="M9292" s="18"/>
      <c r="N9292" s="18"/>
      <c r="O9292" s="14" t="str">
        <f>HYPERLINK("https://otsuka-europe-crm.veevavault.com/ui/#object/email_activity__v/V8C00000003V354", "EN-002095503")</f>
        <v>EN-002095503</v>
      </c>
    </row>
    <row r="9293" spans="1:15" ht="16" x14ac:dyDescent="0.2">
      <c r="A9293" s="18"/>
      <c r="B9293" s="18"/>
      <c r="C9293" s="18"/>
      <c r="D9293" s="18"/>
      <c r="E9293" s="18"/>
      <c r="F9293" s="18"/>
      <c r="G9293" s="18"/>
      <c r="H9293" s="18"/>
      <c r="I9293" s="18"/>
      <c r="J9293" s="18"/>
      <c r="K9293" s="18"/>
      <c r="L9293" s="18"/>
      <c r="M9293" s="18"/>
      <c r="N9293" s="18"/>
      <c r="O9293" s="14" t="str">
        <f>HYPERLINK("https://otsuka-europe-crm.veevavault.com/ui/#object/email_activity__v/V8C00000003V355", "EN-002095504")</f>
        <v>EN-002095504</v>
      </c>
    </row>
    <row r="9294" spans="1:15" ht="16" x14ac:dyDescent="0.2">
      <c r="A9294" s="19"/>
      <c r="B9294" s="19"/>
      <c r="C9294" s="19"/>
      <c r="D9294" s="19"/>
      <c r="E9294" s="19"/>
      <c r="F9294" s="19"/>
      <c r="G9294" s="19"/>
      <c r="H9294" s="19"/>
      <c r="I9294" s="19"/>
      <c r="J9294" s="19"/>
      <c r="K9294" s="19"/>
      <c r="L9294" s="19"/>
      <c r="M9294" s="19"/>
      <c r="N9294" s="19"/>
      <c r="O9294" s="14" t="str">
        <f>HYPERLINK("https://otsuka-europe-crm.veevavault.com/ui/#object/email_activity__v/V8C00000003V356", "EN-002095505")</f>
        <v>EN-002095505</v>
      </c>
    </row>
    <row r="9295" spans="1:15" ht="32" x14ac:dyDescent="0.2">
      <c r="A9295" s="7" t="str">
        <f>HYPERLINK("https://otsuka-europe-crm.veevavault.com/ui/#object/account__v/V4TZ06G6O71YSO3", "Ellen Apaw")</f>
        <v>Ellen Apaw</v>
      </c>
      <c r="B9295" s="7" t="str">
        <f>HYPERLINK("https://otsuka-europe-crm.veevavault.com/ui/#object/vcountry__v/VENZ000004SONFK", "GB")</f>
        <v>GB</v>
      </c>
      <c r="C9295" s="8" t="s">
        <v>39</v>
      </c>
      <c r="D9295" s="9" t="str">
        <f>HYPERLINK("https://otsuka-europe-crm.veevavault.com/ui/#object/approved_document__v/V5O00000001H005", "LDM DR P2P Invite 23-Jun-26 [digital]")</f>
        <v>LDM DR P2P Invite 23-Jun-26 [digital]</v>
      </c>
      <c r="E9295" s="10" t="str">
        <f>HYPERLINK("https://otsuka-europe-crm.veevavault.com/ui/#object/sent_email__v/VBL00000002U110", "SE-001435849")</f>
        <v>SE-001435849</v>
      </c>
      <c r="F9295" s="11"/>
      <c r="G9295" s="12">
        <v>0</v>
      </c>
      <c r="H9295" s="12">
        <v>0</v>
      </c>
      <c r="I9295" s="12">
        <v>0</v>
      </c>
      <c r="J9295" s="11"/>
      <c r="K9295" s="12">
        <v>0</v>
      </c>
      <c r="L9295" s="10" t="str">
        <f>HYPERLINK("https://otsuka-europe-crm.veevavault.com/ui/#object/approved_document__v/V5O00000001H005", "LDM DR P2P Invite 23-Jun-26 [digital]")</f>
        <v>LDM DR P2P Invite 23-Jun-26 [digital]</v>
      </c>
      <c r="M9295" s="10" t="str">
        <f>HYPERLINK("mailto:draval@crm.otsuka-europe.com", "draval@crm.otsuka-europe.com")</f>
        <v>draval@crm.otsuka-europe.com</v>
      </c>
      <c r="N9295" s="13">
        <v>46185.633773148147</v>
      </c>
      <c r="O9295" s="14" t="str">
        <f>HYPERLINK("https://otsuka-europe-crm.veevavault.com/ui/#object/email_activity__v/V8C00000003V357", "EN-002095506")</f>
        <v>EN-002095506</v>
      </c>
    </row>
    <row r="9296" spans="1:15" ht="32" x14ac:dyDescent="0.2">
      <c r="A9296" s="7" t="str">
        <f>HYPERLINK("https://otsuka-europe-crm.veevavault.com/ui/#object/account__v/V4TZ0000062PP9B", "Simon Clark")</f>
        <v>Simon Clark</v>
      </c>
      <c r="B9296" s="7" t="str">
        <f>HYPERLINK("https://otsuka-europe-crm.veevavault.com/ui/#object/vcountry__v/VENZ000004SONFK", "GB")</f>
        <v>GB</v>
      </c>
      <c r="C9296" s="8" t="s">
        <v>39</v>
      </c>
      <c r="D9296" s="9" t="str">
        <f>HYPERLINK("https://otsuka-europe-crm.veevavault.com/ui/#object/approved_document__v/V5O00000001H005", "LDM DR P2P Invite 23-Jun-26 [digital]")</f>
        <v>LDM DR P2P Invite 23-Jun-26 [digital]</v>
      </c>
      <c r="E9296" s="10" t="str">
        <f>HYPERLINK("https://otsuka-europe-crm.veevavault.com/ui/#object/sent_email__v/VBL00000002U111", "SE-001435850")</f>
        <v>SE-001435850</v>
      </c>
      <c r="F9296" s="11"/>
      <c r="G9296" s="12">
        <v>0</v>
      </c>
      <c r="H9296" s="12">
        <v>0</v>
      </c>
      <c r="I9296" s="12">
        <v>0</v>
      </c>
      <c r="J9296" s="11"/>
      <c r="K9296" s="12">
        <v>0</v>
      </c>
      <c r="L9296" s="10" t="str">
        <f>HYPERLINK("https://otsuka-europe-crm.veevavault.com/ui/#object/approved_document__v/V5O00000001H005", "LDM DR P2P Invite 23-Jun-26 [digital]")</f>
        <v>LDM DR P2P Invite 23-Jun-26 [digital]</v>
      </c>
      <c r="M9296" s="10" t="str">
        <f>HYPERLINK("mailto:draval@crm.otsuka-europe.com", "draval@crm.otsuka-europe.com")</f>
        <v>draval@crm.otsuka-europe.com</v>
      </c>
      <c r="N9296" s="13">
        <v>46185.63480324074</v>
      </c>
      <c r="O9296" s="14" t="str">
        <f>HYPERLINK("https://otsuka-europe-crm.veevavault.com/ui/#object/email_activity__v/V8C00000003V358", "EN-002095507")</f>
        <v>EN-002095507</v>
      </c>
    </row>
    <row r="9297" spans="1:15" ht="16" x14ac:dyDescent="0.2">
      <c r="A9297" s="17" t="str">
        <f>HYPERLINK("https://otsuka-europe-crm.veevavault.com/ui/#object/account__v/V4TZ04ASGC7HTD7", "Ahmed El-Missiry")</f>
        <v>Ahmed El-Missiry</v>
      </c>
      <c r="B9297" s="17" t="str">
        <f>HYPERLINK("https://otsuka-europe-crm.veevavault.com/ui/#object/vcountry__v/VENZ000004SONFK", "GB")</f>
        <v>GB</v>
      </c>
      <c r="C9297" s="20" t="s">
        <v>39</v>
      </c>
      <c r="D9297" s="21" t="str">
        <f>HYPERLINK("https://otsuka-europe-crm.veevavault.com/ui/#object/approved_document__v/V5O00000001H005", "LDM DR P2P Invite 23-Jun-26 [digital]")</f>
        <v>LDM DR P2P Invite 23-Jun-26 [digital]</v>
      </c>
      <c r="E9297" s="22" t="str">
        <f>HYPERLINK("https://otsuka-europe-crm.veevavault.com/ui/#object/sent_email__v/VBL00000002U112", "SE-001435851")</f>
        <v>SE-001435851</v>
      </c>
      <c r="F9297" s="23">
        <v>46185.821493055555</v>
      </c>
      <c r="G9297" s="24">
        <v>1</v>
      </c>
      <c r="H9297" s="24">
        <v>1</v>
      </c>
      <c r="I9297" s="24">
        <v>0</v>
      </c>
      <c r="J9297" s="25"/>
      <c r="K9297" s="24">
        <v>0</v>
      </c>
      <c r="L9297" s="22" t="str">
        <f>HYPERLINK("https://otsuka-europe-crm.veevavault.com/ui/#object/approved_document__v/V5O00000001H005", "LDM DR P2P Invite 23-Jun-26 [digital]")</f>
        <v>LDM DR P2P Invite 23-Jun-26 [digital]</v>
      </c>
      <c r="M9297" s="22" t="str">
        <f>HYPERLINK("mailto:draval@crm.otsuka-europe.com", "draval@crm.otsuka-europe.com")</f>
        <v>draval@crm.otsuka-europe.com</v>
      </c>
      <c r="N9297" s="23">
        <v>46185.635138888887</v>
      </c>
      <c r="O9297" s="14" t="str">
        <f>HYPERLINK("https://otsuka-europe-crm.veevavault.com/ui/#object/email_activity__v/V8C00000003V359", "EN-002095508")</f>
        <v>EN-002095508</v>
      </c>
    </row>
    <row r="9298" spans="1:15" ht="16" x14ac:dyDescent="0.2">
      <c r="A9298" s="19"/>
      <c r="B9298" s="19"/>
      <c r="C9298" s="19"/>
      <c r="D9298" s="19"/>
      <c r="E9298" s="19"/>
      <c r="F9298" s="19"/>
      <c r="G9298" s="19"/>
      <c r="H9298" s="19"/>
      <c r="I9298" s="19"/>
      <c r="J9298" s="19"/>
      <c r="K9298" s="19"/>
      <c r="L9298" s="19"/>
      <c r="M9298" s="19"/>
      <c r="N9298" s="19"/>
      <c r="O9298" s="14" t="str">
        <f>HYPERLINK("https://otsuka-europe-crm.veevavault.com/ui/#object/email_activity__v/V8C00000003V399", "EN-002095575")</f>
        <v>EN-002095575</v>
      </c>
    </row>
    <row r="9299" spans="1:15" ht="32" x14ac:dyDescent="0.2">
      <c r="A9299" s="7" t="str">
        <f>HYPERLINK("https://otsuka-europe-crm.veevavault.com/ui/#object/account__v/V4TZ0000062PLCA", "Dhanesh Gutteea")</f>
        <v>Dhanesh Gutteea</v>
      </c>
      <c r="B9299" s="7" t="str">
        <f>HYPERLINK("https://otsuka-europe-crm.veevavault.com/ui/#object/vcountry__v/VENZ000004SONFK", "GB")</f>
        <v>GB</v>
      </c>
      <c r="C9299" s="8" t="s">
        <v>39</v>
      </c>
      <c r="D9299" s="9" t="str">
        <f>HYPERLINK("https://otsuka-europe-crm.veevavault.com/ui/#object/approved_document__v/V5O00000001H005", "LDM DR P2P Invite 23-Jun-26 [digital]")</f>
        <v>LDM DR P2P Invite 23-Jun-26 [digital]</v>
      </c>
      <c r="E9299" s="10" t="str">
        <f>HYPERLINK("https://otsuka-europe-crm.veevavault.com/ui/#object/sent_email__v/VBL00000002T249", "SE-001435852")</f>
        <v>SE-001435852</v>
      </c>
      <c r="F9299" s="11"/>
      <c r="G9299" s="12">
        <v>0</v>
      </c>
      <c r="H9299" s="12">
        <v>0</v>
      </c>
      <c r="I9299" s="12">
        <v>0</v>
      </c>
      <c r="J9299" s="11"/>
      <c r="K9299" s="12">
        <v>0</v>
      </c>
      <c r="L9299" s="10" t="str">
        <f>HYPERLINK("https://otsuka-europe-crm.veevavault.com/ui/#object/approved_document__v/V5O00000001H005", "LDM DR P2P Invite 23-Jun-26 [digital]")</f>
        <v>LDM DR P2P Invite 23-Jun-26 [digital]</v>
      </c>
      <c r="M9299" s="10" t="str">
        <f>HYPERLINK("mailto:draval@crm.otsuka-europe.com", "draval@crm.otsuka-europe.com")</f>
        <v>draval@crm.otsuka-europe.com</v>
      </c>
      <c r="N9299" s="13">
        <v>46185.635509259257</v>
      </c>
      <c r="O9299" s="14" t="str">
        <f>HYPERLINK("https://otsuka-europe-crm.veevavault.com/ui/#object/email_activity__v/V8C00000003V360", "EN-002095509")</f>
        <v>EN-002095509</v>
      </c>
    </row>
    <row r="9300" spans="1:15" ht="32" x14ac:dyDescent="0.2">
      <c r="A9300" s="7" t="str">
        <f>HYPERLINK("https://otsuka-europe-crm.veevavault.com/ui/#object/account__v/V4TZ0000062PPPW", "Reginald Musara")</f>
        <v>Reginald Musara</v>
      </c>
      <c r="B9300" s="7" t="str">
        <f>HYPERLINK("https://otsuka-europe-crm.veevavault.com/ui/#object/vcountry__v/VENZ000004SONFK", "GB")</f>
        <v>GB</v>
      </c>
      <c r="C9300" s="8" t="s">
        <v>39</v>
      </c>
      <c r="D9300" s="9" t="str">
        <f>HYPERLINK("https://otsuka-europe-crm.veevavault.com/ui/#object/approved_document__v/V5O00000001H005", "LDM DR P2P Invite 23-Jun-26 [digital]")</f>
        <v>LDM DR P2P Invite 23-Jun-26 [digital]</v>
      </c>
      <c r="E9300" s="10" t="str">
        <f>HYPERLINK("https://otsuka-europe-crm.veevavault.com/ui/#object/sent_email__v/VBL00000002T250", "SE-001435853")</f>
        <v>SE-001435853</v>
      </c>
      <c r="F9300" s="11"/>
      <c r="G9300" s="12">
        <v>0</v>
      </c>
      <c r="H9300" s="12">
        <v>0</v>
      </c>
      <c r="I9300" s="12">
        <v>0</v>
      </c>
      <c r="J9300" s="11"/>
      <c r="K9300" s="12">
        <v>0</v>
      </c>
      <c r="L9300" s="10" t="str">
        <f>HYPERLINK("https://otsuka-europe-crm.veevavault.com/ui/#object/approved_document__v/V5O00000001H005", "LDM DR P2P Invite 23-Jun-26 [digital]")</f>
        <v>LDM DR P2P Invite 23-Jun-26 [digital]</v>
      </c>
      <c r="M9300" s="10" t="str">
        <f>HYPERLINK("mailto:draval@crm.otsuka-europe.com", "draval@crm.otsuka-europe.com")</f>
        <v>draval@crm.otsuka-europe.com</v>
      </c>
      <c r="N9300" s="13">
        <v>46185.63653935185</v>
      </c>
      <c r="O9300" s="14" t="str">
        <f>HYPERLINK("https://otsuka-europe-crm.veevavault.com/ui/#object/email_activity__v/V8C00000003U334", "EN-002095510")</f>
        <v>EN-002095510</v>
      </c>
    </row>
    <row r="9301" spans="1:15" ht="16" x14ac:dyDescent="0.2">
      <c r="A9301" s="17" t="str">
        <f>HYPERLINK("https://otsuka-europe-crm.veevavault.com/ui/#object/account__v/V4TZ06G6O8SBNTW", "Ruby Osorio")</f>
        <v>Ruby Osorio</v>
      </c>
      <c r="B9301" s="17" t="str">
        <f>HYPERLINK("https://otsuka-europe-crm.veevavault.com/ui/#object/vcountry__v/VENZ000004SONFK", "GB")</f>
        <v>GB</v>
      </c>
      <c r="C9301" s="20" t="s">
        <v>39</v>
      </c>
      <c r="D9301" s="21" t="str">
        <f>HYPERLINK("https://otsuka-europe-crm.veevavault.com/ui/#object/approved_document__v/V5O00000001H005", "LDM DR P2P Invite 23-Jun-26 [digital]")</f>
        <v>LDM DR P2P Invite 23-Jun-26 [digital]</v>
      </c>
      <c r="E9301" s="22" t="str">
        <f>HYPERLINK("https://otsuka-europe-crm.veevavault.com/ui/#object/sent_email__v/VBL00000002T251", "SE-001435854")</f>
        <v>SE-001435854</v>
      </c>
      <c r="F9301" s="23">
        <v>46192.60465277778</v>
      </c>
      <c r="G9301" s="24">
        <v>1</v>
      </c>
      <c r="H9301" s="24">
        <v>1</v>
      </c>
      <c r="I9301" s="24">
        <v>0</v>
      </c>
      <c r="J9301" s="25"/>
      <c r="K9301" s="24">
        <v>0</v>
      </c>
      <c r="L9301" s="22" t="str">
        <f>HYPERLINK("https://otsuka-europe-crm.veevavault.com/ui/#object/approved_document__v/V5O00000001H005", "LDM DR P2P Invite 23-Jun-26 [digital]")</f>
        <v>LDM DR P2P Invite 23-Jun-26 [digital]</v>
      </c>
      <c r="M9301" s="22" t="str">
        <f>HYPERLINK("mailto:draval@crm.otsuka-europe.com", "draval@crm.otsuka-europe.com")</f>
        <v>draval@crm.otsuka-europe.com</v>
      </c>
      <c r="N9301" s="23">
        <v>46185.637604166666</v>
      </c>
      <c r="O9301" s="14" t="str">
        <f>HYPERLINK("https://otsuka-europe-crm.veevavault.com/ui/#object/email_activity__v/V8C00000003U335", "EN-002095511")</f>
        <v>EN-002095511</v>
      </c>
    </row>
    <row r="9302" spans="1:15" ht="16" x14ac:dyDescent="0.2">
      <c r="A9302" s="19"/>
      <c r="B9302" s="19"/>
      <c r="C9302" s="19"/>
      <c r="D9302" s="19"/>
      <c r="E9302" s="19"/>
      <c r="F9302" s="19"/>
      <c r="G9302" s="19"/>
      <c r="H9302" s="19"/>
      <c r="I9302" s="19"/>
      <c r="J9302" s="19"/>
      <c r="K9302" s="19"/>
      <c r="L9302" s="19"/>
      <c r="M9302" s="19"/>
      <c r="N9302" s="19"/>
      <c r="O9302" s="14" t="str">
        <f>HYPERLINK("https://otsuka-europe-crm.veevavault.com/ui/#object/email_activity__v/V8C000000040073", "EN-002098833")</f>
        <v>EN-002098833</v>
      </c>
    </row>
    <row r="9303" spans="1:15" ht="32" x14ac:dyDescent="0.2">
      <c r="A9303" s="7" t="str">
        <f>HYPERLINK("https://otsuka-europe-crm.veevavault.com/ui/#object/account__v/V4TZ0000062PQ96", "Reggie Stephens")</f>
        <v>Reggie Stephens</v>
      </c>
      <c r="B9303" s="7" t="str">
        <f>HYPERLINK("https://otsuka-europe-crm.veevavault.com/ui/#object/vcountry__v/VENZ000004SONFK", "GB")</f>
        <v>GB</v>
      </c>
      <c r="C9303" s="8" t="s">
        <v>39</v>
      </c>
      <c r="D9303" s="9" t="str">
        <f>HYPERLINK("https://otsuka-europe-crm.veevavault.com/ui/#object/approved_document__v/V5O00000001H005", "LDM DR P2P Invite 23-Jun-26 [digital]")</f>
        <v>LDM DR P2P Invite 23-Jun-26 [digital]</v>
      </c>
      <c r="E9303" s="10" t="str">
        <f>HYPERLINK("https://otsuka-europe-crm.veevavault.com/ui/#object/sent_email__v/VBL00000002T252", "SE-001435855")</f>
        <v>SE-001435855</v>
      </c>
      <c r="F9303" s="11"/>
      <c r="G9303" s="12">
        <v>0</v>
      </c>
      <c r="H9303" s="12">
        <v>0</v>
      </c>
      <c r="I9303" s="12">
        <v>0</v>
      </c>
      <c r="J9303" s="11"/>
      <c r="K9303" s="12">
        <v>0</v>
      </c>
      <c r="L9303" s="10" t="str">
        <f>HYPERLINK("https://otsuka-europe-crm.veevavault.com/ui/#object/approved_document__v/V5O00000001H005", "LDM DR P2P Invite 23-Jun-26 [digital]")</f>
        <v>LDM DR P2P Invite 23-Jun-26 [digital]</v>
      </c>
      <c r="M9303" s="10" t="str">
        <f>HYPERLINK("mailto:draval@crm.otsuka-europe.com", "draval@crm.otsuka-europe.com")</f>
        <v>draval@crm.otsuka-europe.com</v>
      </c>
      <c r="N9303" s="13">
        <v>46185.638622685183</v>
      </c>
      <c r="O9303" s="14" t="str">
        <f>HYPERLINK("https://otsuka-europe-crm.veevavault.com/ui/#object/email_activity__v/V8C00000003V361", "EN-002095512")</f>
        <v>EN-002095512</v>
      </c>
    </row>
    <row r="9304" spans="1:15" ht="16" x14ac:dyDescent="0.2">
      <c r="A9304" s="17" t="str">
        <f>HYPERLINK("https://otsuka-europe-crm.veevavault.com/ui/#object/account__v/V4TZ06G6O9VM8A0", "LENA DASHDORJ")</f>
        <v>LENA DASHDORJ</v>
      </c>
      <c r="B9304" s="17" t="str">
        <f>HYPERLINK("https://otsuka-europe-crm.veevavault.com/ui/#object/vcountry__v/VENZ000004SONFA", "FR")</f>
        <v>FR</v>
      </c>
      <c r="C9304" s="20" t="s">
        <v>42</v>
      </c>
      <c r="D9304" s="21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9304" s="22" t="str">
        <f>HYPERLINK("https://otsuka-europe-crm.veevavault.com/ui/#object/sent_email__v/VBL00000002T253", "SE-001435856")</f>
        <v>SE-001435856</v>
      </c>
      <c r="F9304" s="23">
        <v>46190.426724537036</v>
      </c>
      <c r="G9304" s="24">
        <v>1</v>
      </c>
      <c r="H9304" s="24">
        <v>3</v>
      </c>
      <c r="I9304" s="24">
        <v>1</v>
      </c>
      <c r="J9304" s="23">
        <v>46185.679479166669</v>
      </c>
      <c r="K9304" s="24">
        <v>1</v>
      </c>
      <c r="L9304" s="22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9304" s="22" t="str">
        <f>HYPERLINK("mailto:mperrin@crm.otsuka-europe.com", "mperrin@crm.otsuka-europe.com")</f>
        <v>mperrin@crm.otsuka-europe.com</v>
      </c>
      <c r="N9304" s="23">
        <v>46185.653437499997</v>
      </c>
      <c r="O9304" s="14" t="str">
        <f>HYPERLINK("https://otsuka-europe-crm.veevavault.com/ui/#object/email_activity__v/V8C00000003U338", "EN-002095516")</f>
        <v>EN-002095516</v>
      </c>
    </row>
    <row r="9305" spans="1:15" ht="16" x14ac:dyDescent="0.2">
      <c r="A9305" s="18"/>
      <c r="B9305" s="18"/>
      <c r="C9305" s="18"/>
      <c r="D9305" s="18"/>
      <c r="E9305" s="18"/>
      <c r="F9305" s="18"/>
      <c r="G9305" s="18"/>
      <c r="H9305" s="18"/>
      <c r="I9305" s="18"/>
      <c r="J9305" s="18"/>
      <c r="K9305" s="18"/>
      <c r="L9305" s="18"/>
      <c r="M9305" s="18"/>
      <c r="N9305" s="18"/>
      <c r="O9305" s="14" t="str">
        <f>HYPERLINK("https://otsuka-europe-crm.veevavault.com/ui/#object/email_activity__v/V8C00000003U461", "EN-002095762")</f>
        <v>EN-002095762</v>
      </c>
    </row>
    <row r="9306" spans="1:15" ht="16" x14ac:dyDescent="0.2">
      <c r="A9306" s="18"/>
      <c r="B9306" s="18"/>
      <c r="C9306" s="18"/>
      <c r="D9306" s="18"/>
      <c r="E9306" s="18"/>
      <c r="F9306" s="18"/>
      <c r="G9306" s="18"/>
      <c r="H9306" s="18"/>
      <c r="I9306" s="18"/>
      <c r="J9306" s="18"/>
      <c r="K9306" s="18"/>
      <c r="L9306" s="18"/>
      <c r="M9306" s="18"/>
      <c r="N9306" s="18"/>
      <c r="O9306" s="14" t="str">
        <f>HYPERLINK("https://otsuka-europe-crm.veevavault.com/ui/#object/email_activity__v/V8C00000003V371", "EN-002095533")</f>
        <v>EN-002095533</v>
      </c>
    </row>
    <row r="9307" spans="1:15" ht="16" x14ac:dyDescent="0.2">
      <c r="A9307" s="18"/>
      <c r="B9307" s="18"/>
      <c r="C9307" s="18"/>
      <c r="D9307" s="18"/>
      <c r="E9307" s="18"/>
      <c r="F9307" s="18"/>
      <c r="G9307" s="18"/>
      <c r="H9307" s="18"/>
      <c r="I9307" s="18"/>
      <c r="J9307" s="18"/>
      <c r="K9307" s="18"/>
      <c r="L9307" s="18"/>
      <c r="M9307" s="18"/>
      <c r="N9307" s="18"/>
      <c r="O9307" s="14" t="str">
        <f>HYPERLINK("https://otsuka-europe-crm.veevavault.com/ui/#object/email_activity__v/V8C00000003V372", "EN-002095534")</f>
        <v>EN-002095534</v>
      </c>
    </row>
    <row r="9308" spans="1:15" ht="16" x14ac:dyDescent="0.2">
      <c r="A9308" s="18"/>
      <c r="B9308" s="18"/>
      <c r="C9308" s="18"/>
      <c r="D9308" s="18"/>
      <c r="E9308" s="18"/>
      <c r="F9308" s="18"/>
      <c r="G9308" s="18"/>
      <c r="H9308" s="18"/>
      <c r="I9308" s="18"/>
      <c r="J9308" s="18"/>
      <c r="K9308" s="18"/>
      <c r="L9308" s="18"/>
      <c r="M9308" s="18"/>
      <c r="N9308" s="18"/>
      <c r="O9308" s="14" t="str">
        <f>HYPERLINK("https://otsuka-europe-crm.veevavault.com/ui/#object/email_activity__v/V8C00000003V377", "EN-002095546")</f>
        <v>EN-002095546</v>
      </c>
    </row>
    <row r="9309" spans="1:15" ht="16" x14ac:dyDescent="0.2">
      <c r="A9309" s="19"/>
      <c r="B9309" s="19"/>
      <c r="C9309" s="19"/>
      <c r="D9309" s="19"/>
      <c r="E9309" s="19"/>
      <c r="F9309" s="19"/>
      <c r="G9309" s="19"/>
      <c r="H9309" s="19"/>
      <c r="I9309" s="19"/>
      <c r="J9309" s="19"/>
      <c r="K9309" s="19"/>
      <c r="L9309" s="19"/>
      <c r="M9309" s="19"/>
      <c r="N9309" s="19"/>
      <c r="O9309" s="14" t="str">
        <f>HYPERLINK("https://otsuka-europe-crm.veevavault.com/ui/#object/email_activity__v/V8C00000003X840", "EN-002098322")</f>
        <v>EN-002098322</v>
      </c>
    </row>
    <row r="9310" spans="1:15" ht="16" x14ac:dyDescent="0.2">
      <c r="A9310" s="17" t="str">
        <f>HYPERLINK("https://otsuka-europe-crm.veevavault.com/ui/#object/account__v/V4TZ025E8676WDD", "LLAWEN RANNOU")</f>
        <v>LLAWEN RANNOU</v>
      </c>
      <c r="B9310" s="17" t="str">
        <f>HYPERLINK("https://otsuka-europe-crm.veevavault.com/ui/#object/vcountry__v/VENZ000004SONFA", "FR")</f>
        <v>FR</v>
      </c>
      <c r="C9310" s="20" t="s">
        <v>42</v>
      </c>
      <c r="D9310" s="21" t="str">
        <f>HYPERLINK("https://otsuka-europe-crm.veevavault.com/ui/#object/approved_document__v/V5O00000000K003", "France - Opt In Email Aug 25 v2")</f>
        <v>France - Opt In Email Aug 25 v2</v>
      </c>
      <c r="E9310" s="22" t="str">
        <f>HYPERLINK("https://otsuka-europe-crm.veevavault.com/ui/#object/sent_email__v/VBL00000002T254", "SE-001435857")</f>
        <v>SE-001435857</v>
      </c>
      <c r="F9310" s="23">
        <v>46185.668958333335</v>
      </c>
      <c r="G9310" s="24">
        <v>1</v>
      </c>
      <c r="H9310" s="24">
        <v>3</v>
      </c>
      <c r="I9310" s="24">
        <v>1</v>
      </c>
      <c r="J9310" s="23">
        <v>46185.65902777778</v>
      </c>
      <c r="K9310" s="24">
        <v>1</v>
      </c>
      <c r="L9310" s="22" t="str">
        <f>HYPERLINK("https://otsuka-europe-crm.veevavault.com/ui/#object/approved_document__v/V5O00000000K003", "France - Opt In Email Aug 25 v2")</f>
        <v>France - Opt In Email Aug 25 v2</v>
      </c>
      <c r="M9310" s="22" t="str">
        <f>HYPERLINK("mailto:mperrin@crm.otsuka-europe.com", "mperrin@crm.otsuka-europe.com")</f>
        <v>mperrin@crm.otsuka-europe.com</v>
      </c>
      <c r="N9310" s="23">
        <v>46185.653946759259</v>
      </c>
      <c r="O9310" s="14" t="str">
        <f>HYPERLINK("https://otsuka-europe-crm.veevavault.com/ui/#object/email_activity__v/V8C00000003U339", "EN-002095517")</f>
        <v>EN-002095517</v>
      </c>
    </row>
    <row r="9311" spans="1:15" ht="16" x14ac:dyDescent="0.2">
      <c r="A9311" s="18"/>
      <c r="B9311" s="18"/>
      <c r="C9311" s="18"/>
      <c r="D9311" s="18"/>
      <c r="E9311" s="18"/>
      <c r="F9311" s="18"/>
      <c r="G9311" s="18"/>
      <c r="H9311" s="18"/>
      <c r="I9311" s="18"/>
      <c r="J9311" s="18"/>
      <c r="K9311" s="18"/>
      <c r="L9311" s="18"/>
      <c r="M9311" s="18"/>
      <c r="N9311" s="18"/>
      <c r="O9311" s="14" t="str">
        <f>HYPERLINK("https://otsuka-europe-crm.veevavault.com/ui/#object/email_activity__v/V8C00000003U340", "EN-002095519")</f>
        <v>EN-002095519</v>
      </c>
    </row>
    <row r="9312" spans="1:15" ht="16" x14ac:dyDescent="0.2">
      <c r="A9312" s="18"/>
      <c r="B9312" s="18"/>
      <c r="C9312" s="18"/>
      <c r="D9312" s="18"/>
      <c r="E9312" s="18"/>
      <c r="F9312" s="18"/>
      <c r="G9312" s="18"/>
      <c r="H9312" s="18"/>
      <c r="I9312" s="18"/>
      <c r="J9312" s="18"/>
      <c r="K9312" s="18"/>
      <c r="L9312" s="18"/>
      <c r="M9312" s="18"/>
      <c r="N9312" s="18"/>
      <c r="O9312" s="14" t="str">
        <f>HYPERLINK("https://otsuka-europe-crm.veevavault.com/ui/#object/email_activity__v/V8C00000003U341", "EN-002095518")</f>
        <v>EN-002095518</v>
      </c>
    </row>
    <row r="9313" spans="1:15" ht="16" x14ac:dyDescent="0.2">
      <c r="A9313" s="18"/>
      <c r="B9313" s="18"/>
      <c r="C9313" s="18"/>
      <c r="D9313" s="18"/>
      <c r="E9313" s="18"/>
      <c r="F9313" s="18"/>
      <c r="G9313" s="18"/>
      <c r="H9313" s="18"/>
      <c r="I9313" s="18"/>
      <c r="J9313" s="18"/>
      <c r="K9313" s="18"/>
      <c r="L9313" s="18"/>
      <c r="M9313" s="18"/>
      <c r="N9313" s="18"/>
      <c r="O9313" s="14" t="str">
        <f>HYPERLINK("https://otsuka-europe-crm.veevavault.com/ui/#object/email_activity__v/V8C00000003V365", "EN-002095525")</f>
        <v>EN-002095525</v>
      </c>
    </row>
    <row r="9314" spans="1:15" ht="16" x14ac:dyDescent="0.2">
      <c r="A9314" s="19"/>
      <c r="B9314" s="19"/>
      <c r="C9314" s="19"/>
      <c r="D9314" s="19"/>
      <c r="E9314" s="19"/>
      <c r="F9314" s="19"/>
      <c r="G9314" s="19"/>
      <c r="H9314" s="19"/>
      <c r="I9314" s="19"/>
      <c r="J9314" s="19"/>
      <c r="K9314" s="19"/>
      <c r="L9314" s="19"/>
      <c r="M9314" s="19"/>
      <c r="N9314" s="19"/>
      <c r="O9314" s="14" t="str">
        <f>HYPERLINK("https://otsuka-europe-crm.veevavault.com/ui/#object/email_activity__v/V8C00000003V366", "EN-002095526")</f>
        <v>EN-002095526</v>
      </c>
    </row>
    <row r="9315" spans="1:15" ht="16" x14ac:dyDescent="0.2">
      <c r="A9315" s="17" t="str">
        <f>HYPERLINK("https://otsuka-europe-crm.veevavault.com/ui/#object/account__v/V4TZ06G6O8KXZYC", "MARIA VICTORIA RIVAS RUIZ")</f>
        <v>MARIA VICTORIA RIVAS RUIZ</v>
      </c>
      <c r="B9315" s="17" t="str">
        <f>HYPERLINK("https://otsuka-europe-crm.veevavault.com/ui/#object/vcountry__v/VENZ000004SONF5", "ES")</f>
        <v>ES</v>
      </c>
      <c r="C9315" s="20" t="s">
        <v>41</v>
      </c>
      <c r="D9315" s="21" t="str">
        <f>HYPERLINK("https://otsuka-europe-crm.veevavault.com/ui/#object/approved_document__v/V5OZ025E82TP0C5", "ENFERMERÍA - Guía de Manejo Psicoterapéutico")</f>
        <v>ENFERMERÍA - Guía de Manejo Psicoterapéutico</v>
      </c>
      <c r="E9315" s="22" t="str">
        <f>HYPERLINK("https://otsuka-europe-crm.veevavault.com/ui/#object/sent_email__v/VBL00000002T255", "SE-001435858")</f>
        <v>SE-001435858</v>
      </c>
      <c r="F9315" s="23">
        <v>46192.325659722221</v>
      </c>
      <c r="G9315" s="24">
        <v>1</v>
      </c>
      <c r="H9315" s="24">
        <v>6</v>
      </c>
      <c r="I9315" s="24">
        <v>1</v>
      </c>
      <c r="J9315" s="23">
        <v>46192.333333333336</v>
      </c>
      <c r="K9315" s="24">
        <v>7</v>
      </c>
      <c r="L9315" s="22" t="str">
        <f>HYPERLINK("https://otsuka-europe-crm.veevavault.com/ui/#object/approved_document__v/V5OZ025E82TP0C5", "ENFERMERÍA - Guía de Manejo Psicoterapéutico")</f>
        <v>ENFERMERÍA - Guía de Manejo Psicoterapéutico</v>
      </c>
      <c r="M9315" s="22" t="str">
        <f>HYPERLINK("mailto:mgravan@crm.otsuka-europe.com", "mgravan@crm.otsuka-europe.com")</f>
        <v>mgravan@crm.otsuka-europe.com</v>
      </c>
      <c r="N9315" s="23">
        <v>46189.379525462966</v>
      </c>
      <c r="O9315" s="14" t="str">
        <f>HYPERLINK("https://otsuka-europe-crm.veevavault.com/ui/#object/email_activity__v/V8C00000003U977", "EN-002096938")</f>
        <v>EN-002096938</v>
      </c>
    </row>
    <row r="9316" spans="1:15" ht="16" x14ac:dyDescent="0.2">
      <c r="A9316" s="18"/>
      <c r="B9316" s="18"/>
      <c r="C9316" s="18"/>
      <c r="D9316" s="18"/>
      <c r="E9316" s="18"/>
      <c r="F9316" s="18"/>
      <c r="G9316" s="18"/>
      <c r="H9316" s="18"/>
      <c r="I9316" s="18"/>
      <c r="J9316" s="18"/>
      <c r="K9316" s="18"/>
      <c r="L9316" s="18"/>
      <c r="M9316" s="18"/>
      <c r="N9316" s="18"/>
      <c r="O9316" s="14" t="str">
        <f>HYPERLINK("https://otsuka-europe-crm.veevavault.com/ui/#object/email_activity__v/V8C00000003W173", "EN-002097061")</f>
        <v>EN-002097061</v>
      </c>
    </row>
    <row r="9317" spans="1:15" ht="16" x14ac:dyDescent="0.2">
      <c r="A9317" s="18"/>
      <c r="B9317" s="18"/>
      <c r="C9317" s="18"/>
      <c r="D9317" s="18"/>
      <c r="E9317" s="18"/>
      <c r="F9317" s="18"/>
      <c r="G9317" s="18"/>
      <c r="H9317" s="18"/>
      <c r="I9317" s="18"/>
      <c r="J9317" s="18"/>
      <c r="K9317" s="18"/>
      <c r="L9317" s="18"/>
      <c r="M9317" s="18"/>
      <c r="N9317" s="18"/>
      <c r="O9317" s="14" t="str">
        <f>HYPERLINK("https://otsuka-europe-crm.veevavault.com/ui/#object/email_activity__v/V8C00000003W174", "EN-002097063")</f>
        <v>EN-002097063</v>
      </c>
    </row>
    <row r="9318" spans="1:15" ht="16" x14ac:dyDescent="0.2">
      <c r="A9318" s="18"/>
      <c r="B9318" s="18"/>
      <c r="C9318" s="18"/>
      <c r="D9318" s="18"/>
      <c r="E9318" s="18"/>
      <c r="F9318" s="18"/>
      <c r="G9318" s="18"/>
      <c r="H9318" s="18"/>
      <c r="I9318" s="18"/>
      <c r="J9318" s="18"/>
      <c r="K9318" s="18"/>
      <c r="L9318" s="18"/>
      <c r="M9318" s="18"/>
      <c r="N9318" s="18"/>
      <c r="O9318" s="14" t="str">
        <f>HYPERLINK("https://otsuka-europe-crm.veevavault.com/ui/#object/email_activity__v/V8C00000003W175", "EN-002097065")</f>
        <v>EN-002097065</v>
      </c>
    </row>
    <row r="9319" spans="1:15" ht="16" x14ac:dyDescent="0.2">
      <c r="A9319" s="18"/>
      <c r="B9319" s="18"/>
      <c r="C9319" s="18"/>
      <c r="D9319" s="18"/>
      <c r="E9319" s="18"/>
      <c r="F9319" s="18"/>
      <c r="G9319" s="18"/>
      <c r="H9319" s="18"/>
      <c r="I9319" s="18"/>
      <c r="J9319" s="18"/>
      <c r="K9319" s="18"/>
      <c r="L9319" s="18"/>
      <c r="M9319" s="18"/>
      <c r="N9319" s="18"/>
      <c r="O9319" s="14" t="str">
        <f>HYPERLINK("https://otsuka-europe-crm.veevavault.com/ui/#object/email_activity__v/V8C00000003W198", "EN-002097120")</f>
        <v>EN-002097120</v>
      </c>
    </row>
    <row r="9320" spans="1:15" ht="16" x14ac:dyDescent="0.2">
      <c r="A9320" s="18"/>
      <c r="B9320" s="18"/>
      <c r="C9320" s="18"/>
      <c r="D9320" s="18"/>
      <c r="E9320" s="18"/>
      <c r="F9320" s="18"/>
      <c r="G9320" s="18"/>
      <c r="H9320" s="18"/>
      <c r="I9320" s="18"/>
      <c r="J9320" s="18"/>
      <c r="K9320" s="18"/>
      <c r="L9320" s="18"/>
      <c r="M9320" s="18"/>
      <c r="N9320" s="18"/>
      <c r="O9320" s="14" t="str">
        <f>HYPERLINK("https://otsuka-europe-crm.veevavault.com/ui/#object/email_activity__v/V8C00000003W281", "EN-002097277")</f>
        <v>EN-002097277</v>
      </c>
    </row>
    <row r="9321" spans="1:15" ht="16" x14ac:dyDescent="0.2">
      <c r="A9321" s="18"/>
      <c r="B9321" s="18"/>
      <c r="C9321" s="18"/>
      <c r="D9321" s="18"/>
      <c r="E9321" s="18"/>
      <c r="F9321" s="18"/>
      <c r="G9321" s="18"/>
      <c r="H9321" s="18"/>
      <c r="I9321" s="18"/>
      <c r="J9321" s="18"/>
      <c r="K9321" s="18"/>
      <c r="L9321" s="18"/>
      <c r="M9321" s="18"/>
      <c r="N9321" s="18"/>
      <c r="O9321" s="14" t="str">
        <f>HYPERLINK("https://otsuka-europe-crm.veevavault.com/ui/#object/email_activity__v/V8C00000003X076", "EN-002097059")</f>
        <v>EN-002097059</v>
      </c>
    </row>
    <row r="9322" spans="1:15" ht="16" x14ac:dyDescent="0.2">
      <c r="A9322" s="18"/>
      <c r="B9322" s="18"/>
      <c r="C9322" s="18"/>
      <c r="D9322" s="18"/>
      <c r="E9322" s="18"/>
      <c r="F9322" s="18"/>
      <c r="G9322" s="18"/>
      <c r="H9322" s="18"/>
      <c r="I9322" s="18"/>
      <c r="J9322" s="18"/>
      <c r="K9322" s="18"/>
      <c r="L9322" s="18"/>
      <c r="M9322" s="18"/>
      <c r="N9322" s="18"/>
      <c r="O9322" s="14" t="str">
        <f>HYPERLINK("https://otsuka-europe-crm.veevavault.com/ui/#object/email_activity__v/V8C00000003X077", "EN-002097060")</f>
        <v>EN-002097060</v>
      </c>
    </row>
    <row r="9323" spans="1:15" ht="16" x14ac:dyDescent="0.2">
      <c r="A9323" s="18"/>
      <c r="B9323" s="18"/>
      <c r="C9323" s="18"/>
      <c r="D9323" s="18"/>
      <c r="E9323" s="18"/>
      <c r="F9323" s="18"/>
      <c r="G9323" s="18"/>
      <c r="H9323" s="18"/>
      <c r="I9323" s="18"/>
      <c r="J9323" s="18"/>
      <c r="K9323" s="18"/>
      <c r="L9323" s="18"/>
      <c r="M9323" s="18"/>
      <c r="N9323" s="18"/>
      <c r="O9323" s="14" t="str">
        <f>HYPERLINK("https://otsuka-europe-crm.veevavault.com/ui/#object/email_activity__v/V8C00000003X079", "EN-002097064")</f>
        <v>EN-002097064</v>
      </c>
    </row>
    <row r="9324" spans="1:15" ht="16" x14ac:dyDescent="0.2">
      <c r="A9324" s="18"/>
      <c r="B9324" s="18"/>
      <c r="C9324" s="18"/>
      <c r="D9324" s="18"/>
      <c r="E9324" s="18"/>
      <c r="F9324" s="18"/>
      <c r="G9324" s="18"/>
      <c r="H9324" s="18"/>
      <c r="I9324" s="18"/>
      <c r="J9324" s="18"/>
      <c r="K9324" s="18"/>
      <c r="L9324" s="18"/>
      <c r="M9324" s="18"/>
      <c r="N9324" s="18"/>
      <c r="O9324" s="14" t="str">
        <f>HYPERLINK("https://otsuka-europe-crm.veevavault.com/ui/#object/email_activity__v/V8C00000003X080", "EN-002097066")</f>
        <v>EN-002097066</v>
      </c>
    </row>
    <row r="9325" spans="1:15" ht="16" x14ac:dyDescent="0.2">
      <c r="A9325" s="18"/>
      <c r="B9325" s="18"/>
      <c r="C9325" s="18"/>
      <c r="D9325" s="18"/>
      <c r="E9325" s="18"/>
      <c r="F9325" s="18"/>
      <c r="G9325" s="18"/>
      <c r="H9325" s="18"/>
      <c r="I9325" s="18"/>
      <c r="J9325" s="18"/>
      <c r="K9325" s="18"/>
      <c r="L9325" s="18"/>
      <c r="M9325" s="18"/>
      <c r="N9325" s="18"/>
      <c r="O9325" s="14" t="str">
        <f>HYPERLINK("https://otsuka-europe-crm.veevavault.com/ui/#object/email_activity__v/V8C00000003Z040", "EN-002098710")</f>
        <v>EN-002098710</v>
      </c>
    </row>
    <row r="9326" spans="1:15" ht="16" x14ac:dyDescent="0.2">
      <c r="A9326" s="18"/>
      <c r="B9326" s="18"/>
      <c r="C9326" s="18"/>
      <c r="D9326" s="18"/>
      <c r="E9326" s="18"/>
      <c r="F9326" s="18"/>
      <c r="G9326" s="18"/>
      <c r="H9326" s="18"/>
      <c r="I9326" s="18"/>
      <c r="J9326" s="18"/>
      <c r="K9326" s="18"/>
      <c r="L9326" s="18"/>
      <c r="M9326" s="18"/>
      <c r="N9326" s="18"/>
      <c r="O9326" s="14" t="str">
        <f>HYPERLINK("https://otsuka-europe-crm.veevavault.com/ui/#object/email_activity__v/V8C00000003Z041", "EN-002098711")</f>
        <v>EN-002098711</v>
      </c>
    </row>
    <row r="9327" spans="1:15" ht="16" x14ac:dyDescent="0.2">
      <c r="A9327" s="18"/>
      <c r="B9327" s="18"/>
      <c r="C9327" s="18"/>
      <c r="D9327" s="18"/>
      <c r="E9327" s="18"/>
      <c r="F9327" s="18"/>
      <c r="G9327" s="18"/>
      <c r="H9327" s="18"/>
      <c r="I9327" s="18"/>
      <c r="J9327" s="18"/>
      <c r="K9327" s="18"/>
      <c r="L9327" s="18"/>
      <c r="M9327" s="18"/>
      <c r="N9327" s="18"/>
      <c r="O9327" s="14" t="str">
        <f>HYPERLINK("https://otsuka-europe-crm.veevavault.com/ui/#object/email_activity__v/V8C00000003Z042", "EN-002098712")</f>
        <v>EN-002098712</v>
      </c>
    </row>
    <row r="9328" spans="1:15" ht="16" x14ac:dyDescent="0.2">
      <c r="A9328" s="19"/>
      <c r="B9328" s="19"/>
      <c r="C9328" s="19"/>
      <c r="D9328" s="19"/>
      <c r="E9328" s="19"/>
      <c r="F9328" s="19"/>
      <c r="G9328" s="19"/>
      <c r="H9328" s="19"/>
      <c r="I9328" s="19"/>
      <c r="J9328" s="19"/>
      <c r="K9328" s="19"/>
      <c r="L9328" s="19"/>
      <c r="M9328" s="19"/>
      <c r="N9328" s="19"/>
      <c r="O9328" s="14" t="str">
        <f>HYPERLINK("https://otsuka-europe-crm.veevavault.com/ui/#object/email_activity__v/V8C00000003Z048", "EN-002098723")</f>
        <v>EN-002098723</v>
      </c>
    </row>
    <row r="9329" spans="1:15" ht="16" x14ac:dyDescent="0.2">
      <c r="A9329" s="17" t="str">
        <f>HYPERLINK("https://otsuka-europe-crm.veevavault.com/ui/#object/account__v/V4T00000001W192", "Nnaemeka Igwe-Omoke")</f>
        <v>Nnaemeka Igwe-Omoke</v>
      </c>
      <c r="B9329" s="17" t="str">
        <f>HYPERLINK("https://otsuka-europe-crm.veevavault.com/ui/#object/vcountry__v/VENZ000004SONFK", "GB")</f>
        <v>GB</v>
      </c>
      <c r="C9329" s="20" t="s">
        <v>39</v>
      </c>
      <c r="D9329" s="21" t="str">
        <f>HYPERLINK("https://otsuka-europe-crm.veevavault.com/ui/#object/approved_document__v/V5O00000001A008", "Aripiprazole 960mg Patient Material VAE")</f>
        <v>Aripiprazole 960mg Patient Material VAE</v>
      </c>
      <c r="E9329" s="22" t="str">
        <f>HYPERLINK("https://otsuka-europe-crm.veevavault.com/ui/#object/sent_email__v/VBL00000002U113", "SE-001435859")</f>
        <v>SE-001435859</v>
      </c>
      <c r="F9329" s="23">
        <v>46186.45616898148</v>
      </c>
      <c r="G9329" s="24">
        <v>1</v>
      </c>
      <c r="H9329" s="24">
        <v>2</v>
      </c>
      <c r="I9329" s="24">
        <v>0</v>
      </c>
      <c r="J9329" s="25"/>
      <c r="K9329" s="24">
        <v>0</v>
      </c>
      <c r="L9329" s="22" t="str">
        <f>HYPERLINK("https://otsuka-europe-crm.veevavault.com/ui/#object/approved_document__v/V5O00000001A008", "Aripiprazole 960mg Patient Material VAE")</f>
        <v>Aripiprazole 960mg Patient Material VAE</v>
      </c>
      <c r="M9329" s="22" t="str">
        <f>HYPERLINK("mailto:ldimambro@crm.otsuka-europe.com", "ldimambro@crm.otsuka-europe.com")</f>
        <v>ldimambro@crm.otsuka-europe.com</v>
      </c>
      <c r="N9329" s="23">
        <v>46185.681076388886</v>
      </c>
      <c r="O9329" s="14" t="str">
        <f>HYPERLINK("https://otsuka-europe-crm.veevavault.com/ui/#object/email_activity__v/V8C00000003U348", "EN-002095536")</f>
        <v>EN-002095536</v>
      </c>
    </row>
    <row r="9330" spans="1:15" ht="16" x14ac:dyDescent="0.2">
      <c r="A9330" s="18"/>
      <c r="B9330" s="18"/>
      <c r="C9330" s="18"/>
      <c r="D9330" s="18"/>
      <c r="E9330" s="18"/>
      <c r="F9330" s="18"/>
      <c r="G9330" s="18"/>
      <c r="H9330" s="18"/>
      <c r="I9330" s="18"/>
      <c r="J9330" s="18"/>
      <c r="K9330" s="18"/>
      <c r="L9330" s="18"/>
      <c r="M9330" s="18"/>
      <c r="N9330" s="18"/>
      <c r="O9330" s="14" t="str">
        <f>HYPERLINK("https://otsuka-europe-crm.veevavault.com/ui/#object/email_activity__v/V8C00000003U388", "EN-002095638")</f>
        <v>EN-002095638</v>
      </c>
    </row>
    <row r="9331" spans="1:15" ht="16" x14ac:dyDescent="0.2">
      <c r="A9331" s="19"/>
      <c r="B9331" s="19"/>
      <c r="C9331" s="19"/>
      <c r="D9331" s="19"/>
      <c r="E9331" s="19"/>
      <c r="F9331" s="19"/>
      <c r="G9331" s="19"/>
      <c r="H9331" s="19"/>
      <c r="I9331" s="19"/>
      <c r="J9331" s="19"/>
      <c r="K9331" s="19"/>
      <c r="L9331" s="19"/>
      <c r="M9331" s="19"/>
      <c r="N9331" s="19"/>
      <c r="O9331" s="14" t="str">
        <f>HYPERLINK("https://otsuka-europe-crm.veevavault.com/ui/#object/email_activity__v/V8C00000003V434", "EN-002095637")</f>
        <v>EN-002095637</v>
      </c>
    </row>
    <row r="9332" spans="1:15" ht="16" x14ac:dyDescent="0.2">
      <c r="A9332" s="17" t="str">
        <f>HYPERLINK("https://otsuka-europe-crm.veevavault.com/ui/#object/account__v/V4T00000001W192", "Nnaemeka Igwe-Omoke")</f>
        <v>Nnaemeka Igwe-Omoke</v>
      </c>
      <c r="B9332" s="17" t="str">
        <f>HYPERLINK("https://otsuka-europe-crm.veevavault.com/ui/#object/vcountry__v/VENZ000004SONFK", "GB")</f>
        <v>GB</v>
      </c>
      <c r="C9332" s="20" t="s">
        <v>39</v>
      </c>
      <c r="D9332" s="21" t="str">
        <f>HYPERLINK("https://otsuka-europe-crm.veevavault.com/ui/#object/approved_document__v/V5O00000000I022", "Aripiprazole 960mg FAQ VAE")</f>
        <v>Aripiprazole 960mg FAQ VAE</v>
      </c>
      <c r="E9332" s="22" t="str">
        <f>HYPERLINK("https://otsuka-europe-crm.veevavault.com/ui/#object/sent_email__v/VBL00000002U114", "SE-001435860")</f>
        <v>SE-001435860</v>
      </c>
      <c r="F9332" s="23">
        <v>46186.456030092595</v>
      </c>
      <c r="G9332" s="24">
        <v>1</v>
      </c>
      <c r="H9332" s="24">
        <v>2</v>
      </c>
      <c r="I9332" s="24">
        <v>0</v>
      </c>
      <c r="J9332" s="25"/>
      <c r="K9332" s="24">
        <v>0</v>
      </c>
      <c r="L9332" s="22" t="str">
        <f>HYPERLINK("https://otsuka-europe-crm.veevavault.com/ui/#object/approved_document__v/V5O00000000I022", "Aripiprazole 960mg FAQ VAE")</f>
        <v>Aripiprazole 960mg FAQ VAE</v>
      </c>
      <c r="M9332" s="22" t="str">
        <f>HYPERLINK("mailto:ldimambro@crm.otsuka-europe.com", "ldimambro@crm.otsuka-europe.com")</f>
        <v>ldimambro@crm.otsuka-europe.com</v>
      </c>
      <c r="N9332" s="23">
        <v>46185.681423611109</v>
      </c>
      <c r="O9332" s="14" t="str">
        <f>HYPERLINK("https://otsuka-europe-crm.veevavault.com/ui/#object/email_activity__v/V8C00000003U349", "EN-002095537")</f>
        <v>EN-002095537</v>
      </c>
    </row>
    <row r="9333" spans="1:15" ht="16" x14ac:dyDescent="0.2">
      <c r="A9333" s="18"/>
      <c r="B9333" s="18"/>
      <c r="C9333" s="18"/>
      <c r="D9333" s="18"/>
      <c r="E9333" s="18"/>
      <c r="F9333" s="18"/>
      <c r="G9333" s="18"/>
      <c r="H9333" s="18"/>
      <c r="I9333" s="18"/>
      <c r="J9333" s="18"/>
      <c r="K9333" s="18"/>
      <c r="L9333" s="18"/>
      <c r="M9333" s="18"/>
      <c r="N9333" s="18"/>
      <c r="O9333" s="14" t="str">
        <f>HYPERLINK("https://otsuka-europe-crm.veevavault.com/ui/#object/email_activity__v/V8C00000003U387", "EN-002095635")</f>
        <v>EN-002095635</v>
      </c>
    </row>
    <row r="9334" spans="1:15" ht="16" x14ac:dyDescent="0.2">
      <c r="A9334" s="19"/>
      <c r="B9334" s="19"/>
      <c r="C9334" s="19"/>
      <c r="D9334" s="19"/>
      <c r="E9334" s="19"/>
      <c r="F9334" s="19"/>
      <c r="G9334" s="19"/>
      <c r="H9334" s="19"/>
      <c r="I9334" s="19"/>
      <c r="J9334" s="19"/>
      <c r="K9334" s="19"/>
      <c r="L9334" s="19"/>
      <c r="M9334" s="19"/>
      <c r="N9334" s="19"/>
      <c r="O9334" s="14" t="str">
        <f>HYPERLINK("https://otsuka-europe-crm.veevavault.com/ui/#object/email_activity__v/V8C00000003V373", "EN-002095538")</f>
        <v>EN-002095538</v>
      </c>
    </row>
    <row r="9335" spans="1:15" ht="16" x14ac:dyDescent="0.2">
      <c r="A9335" s="17" t="str">
        <f>HYPERLINK("https://otsuka-europe-crm.veevavault.com/ui/#object/account__v/V4T00000001W192", "Nnaemeka Igwe-Omoke")</f>
        <v>Nnaemeka Igwe-Omoke</v>
      </c>
      <c r="B9335" s="17" t="str">
        <f>HYPERLINK("https://otsuka-europe-crm.veevavault.com/ui/#object/vcountry__v/VENZ000004SONFK", "GB")</f>
        <v>GB</v>
      </c>
      <c r="C9335" s="20" t="s">
        <v>39</v>
      </c>
      <c r="D9335" s="21" t="str">
        <f>HYPERLINK("https://otsuka-europe-crm.veevavault.com/ui/#object/approved_document__v/V5OZ025E82TSZBI", "Aripiprazole 960mg Fragment VAE")</f>
        <v>Aripiprazole 960mg Fragment VAE</v>
      </c>
      <c r="E9335" s="22" t="str">
        <f>HYPERLINK("https://otsuka-europe-crm.veevavault.com/ui/#object/sent_email__v/VBL00000002U115", "SE-001435861")</f>
        <v>SE-001435861</v>
      </c>
      <c r="F9335" s="23">
        <v>46186.456076388888</v>
      </c>
      <c r="G9335" s="24">
        <v>1</v>
      </c>
      <c r="H9335" s="24">
        <v>1</v>
      </c>
      <c r="I9335" s="24">
        <v>0</v>
      </c>
      <c r="J9335" s="25"/>
      <c r="K9335" s="24">
        <v>0</v>
      </c>
      <c r="L9335" s="22" t="str">
        <f>HYPERLINK("https://otsuka-europe-crm.veevavault.com/ui/#object/approved_document__v/V5OZ025E82TSZBI", "Aripiprazole 960mg Fragment VAE")</f>
        <v>Aripiprazole 960mg Fragment VAE</v>
      </c>
      <c r="M9335" s="22" t="str">
        <f>HYPERLINK("mailto:ldimambro@crm.otsuka-europe.com", "ldimambro@crm.otsuka-europe.com")</f>
        <v>ldimambro@crm.otsuka-europe.com</v>
      </c>
      <c r="N9335" s="23">
        <v>46185.682002314818</v>
      </c>
      <c r="O9335" s="14" t="str">
        <f>HYPERLINK("https://otsuka-europe-crm.veevavault.com/ui/#object/email_activity__v/V8C00000003U350", "EN-002095539")</f>
        <v>EN-002095539</v>
      </c>
    </row>
    <row r="9336" spans="1:15" ht="16" x14ac:dyDescent="0.2">
      <c r="A9336" s="19"/>
      <c r="B9336" s="19"/>
      <c r="C9336" s="19"/>
      <c r="D9336" s="19"/>
      <c r="E9336" s="19"/>
      <c r="F9336" s="19"/>
      <c r="G9336" s="19"/>
      <c r="H9336" s="19"/>
      <c r="I9336" s="19"/>
      <c r="J9336" s="19"/>
      <c r="K9336" s="19"/>
      <c r="L9336" s="19"/>
      <c r="M9336" s="19"/>
      <c r="N9336" s="19"/>
      <c r="O9336" s="14" t="str">
        <f>HYPERLINK("https://otsuka-europe-crm.veevavault.com/ui/#object/email_activity__v/V8C00000003V433", "EN-002095636")</f>
        <v>EN-002095636</v>
      </c>
    </row>
    <row r="9337" spans="1:15" ht="16" x14ac:dyDescent="0.2">
      <c r="A9337" s="17" t="str">
        <f>HYPERLINK("https://otsuka-europe-crm.veevavault.com/ui/#object/account__v/V4TZ00000633XHQ", "JORO RAMILITIANA")</f>
        <v>JORO RAMILITIANA</v>
      </c>
      <c r="B9337" s="17" t="str">
        <f>HYPERLINK("https://otsuka-europe-crm.veevavault.com/ui/#object/vcountry__v/VENZ000004SONFA", "FR")</f>
        <v>FR</v>
      </c>
      <c r="C9337" s="20" t="s">
        <v>42</v>
      </c>
      <c r="D9337" s="21" t="str">
        <f>HYPERLINK("https://otsuka-europe-crm.veevavault.com/ui/#object/approved_document__v/V5OZ04ASG4G02Y6", "INVITATION_VAD_2023")</f>
        <v>INVITATION_VAD_2023</v>
      </c>
      <c r="E9337" s="22" t="str">
        <f>HYPERLINK("https://otsuka-europe-crm.veevavault.com/ui/#object/sent_email__v/VBL00000002U116", "SE-001435862")</f>
        <v>SE-001435862</v>
      </c>
      <c r="F9337" s="23">
        <v>46185.753391203703</v>
      </c>
      <c r="G9337" s="24">
        <v>1</v>
      </c>
      <c r="H9337" s="24">
        <v>2</v>
      </c>
      <c r="I9337" s="24">
        <v>0</v>
      </c>
      <c r="J9337" s="25"/>
      <c r="K9337" s="24">
        <v>0</v>
      </c>
      <c r="L9337" s="22" t="str">
        <f>HYPERLINK("https://otsuka-europe-crm.veevavault.com/ui/#object/approved_document__v/V5OZ04ASG4G02Y6", "INVITATION_VAD_2023")</f>
        <v>INVITATION_VAD_2023</v>
      </c>
      <c r="M9337" s="22" t="str">
        <f>HYPERLINK("mailto:sblancheland@crm.otsuka-europe.com", "sblancheland@crm.otsuka-europe.com")</f>
        <v>sblancheland@crm.otsuka-europe.com</v>
      </c>
      <c r="N9337" s="23">
        <v>46185.728587962964</v>
      </c>
      <c r="O9337" s="14" t="str">
        <f>HYPERLINK("https://otsuka-europe-crm.veevavault.com/ui/#object/email_activity__v/V8C00000003U355", "EN-002095558")</f>
        <v>EN-002095558</v>
      </c>
    </row>
    <row r="9338" spans="1:15" ht="16" x14ac:dyDescent="0.2">
      <c r="A9338" s="18"/>
      <c r="B9338" s="18"/>
      <c r="C9338" s="18"/>
      <c r="D9338" s="18"/>
      <c r="E9338" s="18"/>
      <c r="F9338" s="18"/>
      <c r="G9338" s="18"/>
      <c r="H9338" s="18"/>
      <c r="I9338" s="18"/>
      <c r="J9338" s="18"/>
      <c r="K9338" s="18"/>
      <c r="L9338" s="18"/>
      <c r="M9338" s="18"/>
      <c r="N9338" s="18"/>
      <c r="O9338" s="14" t="str">
        <f>HYPERLINK("https://otsuka-europe-crm.veevavault.com/ui/#object/email_activity__v/V8C00000003V379", "EN-002095548")</f>
        <v>EN-002095548</v>
      </c>
    </row>
    <row r="9339" spans="1:15" ht="16" x14ac:dyDescent="0.2">
      <c r="A9339" s="19"/>
      <c r="B9339" s="19"/>
      <c r="C9339" s="19"/>
      <c r="D9339" s="19"/>
      <c r="E9339" s="19"/>
      <c r="F9339" s="19"/>
      <c r="G9339" s="19"/>
      <c r="H9339" s="19"/>
      <c r="I9339" s="19"/>
      <c r="J9339" s="19"/>
      <c r="K9339" s="19"/>
      <c r="L9339" s="19"/>
      <c r="M9339" s="19"/>
      <c r="N9339" s="19"/>
      <c r="O9339" s="14" t="str">
        <f>HYPERLINK("https://otsuka-europe-crm.veevavault.com/ui/#object/email_activity__v/V8C00000003V388", "EN-002095559")</f>
        <v>EN-002095559</v>
      </c>
    </row>
    <row r="9340" spans="1:15" ht="48" x14ac:dyDescent="0.2">
      <c r="A9340" s="7" t="str">
        <f>HYPERLINK("https://otsuka-europe-crm.veevavault.com/ui/#object/account__v/V4T00000001X151", "SIMONE PIERGENTILI")</f>
        <v>SIMONE PIERGENTILI</v>
      </c>
      <c r="B9340" s="7" t="str">
        <f>HYPERLINK("https://otsuka-europe-crm.veevavault.com/ui/#object/vcountry__v/VENZ000004SONFQ", "IT")</f>
        <v>IT</v>
      </c>
      <c r="C9340" s="8" t="s">
        <v>44</v>
      </c>
      <c r="D9340" s="9" t="str">
        <f>HYPERLINK("https://otsuka-europe-crm.veevavault.com/ui/#object/approved_document__v/V5OZ025E82UFNWM", "ABILIFY 960720_Branded_AE Fagiolini_IT-AM2-2500131")</f>
        <v>ABILIFY 960720_Branded_AE Fagiolini_IT-AM2-2500131</v>
      </c>
      <c r="E9340" s="10" t="str">
        <f>HYPERLINK("https://otsuka-europe-crm.veevavault.com/ui/#object/sent_email__v/VBL00000002U117", "SE-001435863")</f>
        <v>SE-001435863</v>
      </c>
      <c r="F9340" s="11"/>
      <c r="G9340" s="12">
        <v>0</v>
      </c>
      <c r="H9340" s="12">
        <v>0</v>
      </c>
      <c r="I9340" s="12">
        <v>0</v>
      </c>
      <c r="J9340" s="11"/>
      <c r="K9340" s="12">
        <v>0</v>
      </c>
      <c r="L9340" s="10" t="str">
        <f>HYPERLINK("https://otsuka-europe-crm.veevavault.com/ui/#object/approved_document__v/V5OZ025E82UFNWM", "ABILIFY 960720_Branded_AE Fagiolini_IT-AM2-2500131")</f>
        <v>ABILIFY 960720_Branded_AE Fagiolini_IT-AM2-2500131</v>
      </c>
      <c r="M9340" s="10" t="str">
        <f>HYPERLINK("mailto:tiziana.faini@crm.otsuka-europe.com", "tiziana.faini@crm.otsuka-europe.com")</f>
        <v>tiziana.faini@crm.otsuka-europe.com</v>
      </c>
      <c r="N9340" s="13">
        <v>46185.80809027778</v>
      </c>
      <c r="O9340" s="14" t="str">
        <f>HYPERLINK("https://otsuka-europe-crm.veevavault.com/ui/#object/email_activity__v/V8C00000003U359", "EN-002095571")</f>
        <v>EN-002095571</v>
      </c>
    </row>
    <row r="9341" spans="1:15" ht="48" x14ac:dyDescent="0.2">
      <c r="A9341" s="7" t="str">
        <f>HYPERLINK("https://otsuka-europe-crm.veevavault.com/ui/#object/account__v/V4T00000001X151", "SIMONE PIERGENTILI")</f>
        <v>SIMONE PIERGENTILI</v>
      </c>
      <c r="B9341" s="7" t="str">
        <f>HYPERLINK("https://otsuka-europe-crm.veevavault.com/ui/#object/vcountry__v/VENZ000004SONFQ", "IT")</f>
        <v>IT</v>
      </c>
      <c r="C9341" s="8" t="s">
        <v>44</v>
      </c>
      <c r="D9341" s="9" t="str">
        <f>HYPERLINK("https://otsuka-europe-crm.veevavault.com/ui/#object/approved_document__v/V5O00000001H009", "RXULTI_Branded_ DE FILIPPIS aggiornamento_ IT-RXU-2600020")</f>
        <v>RXULTI_Branded_ DE FILIPPIS aggiornamento_ IT-RXU-2600020</v>
      </c>
      <c r="E9341" s="10" t="str">
        <f>HYPERLINK("https://otsuka-europe-crm.veevavault.com/ui/#object/sent_email__v/VBL00000002U118", "SE-001435864")</f>
        <v>SE-001435864</v>
      </c>
      <c r="F9341" s="11"/>
      <c r="G9341" s="12">
        <v>0</v>
      </c>
      <c r="H9341" s="12">
        <v>0</v>
      </c>
      <c r="I9341" s="12">
        <v>0</v>
      </c>
      <c r="J9341" s="11"/>
      <c r="K9341" s="12">
        <v>0</v>
      </c>
      <c r="L9341" s="10" t="str">
        <f>HYPERLINK("https://otsuka-europe-crm.veevavault.com/ui/#object/approved_document__v/V5O00000001H009", "RXULTI_Branded_ DE FILIPPIS aggiornamento_ IT-RXU-2600020")</f>
        <v>RXULTI_Branded_ DE FILIPPIS aggiornamento_ IT-RXU-2600020</v>
      </c>
      <c r="M9341" s="10" t="str">
        <f>HYPERLINK("mailto:tiziana.faini@crm.otsuka-europe.com", "tiziana.faini@crm.otsuka-europe.com")</f>
        <v>tiziana.faini@crm.otsuka-europe.com</v>
      </c>
      <c r="N9341" s="13">
        <v>46185.80810185185</v>
      </c>
      <c r="O9341" s="14" t="str">
        <f>HYPERLINK("https://otsuka-europe-crm.veevavault.com/ui/#object/email_activity__v/V8C00000003V396", "EN-002095569")</f>
        <v>EN-002095569</v>
      </c>
    </row>
    <row r="9342" spans="1:15" ht="80" x14ac:dyDescent="0.2">
      <c r="A9342" s="7" t="str">
        <f>HYPERLINK("https://otsuka-europe-crm.veevavault.com/ui/#object/account__v/V4T00000001X151", "SIMONE PIERGENTILI")</f>
        <v>SIMONE PIERGENTILI</v>
      </c>
      <c r="B9342" s="7" t="str">
        <f>HYPERLINK("https://otsuka-europe-crm.veevavault.com/ui/#object/vcountry__v/VENZ000004SONFQ", "IT")</f>
        <v>IT</v>
      </c>
      <c r="C9342" s="8" t="s">
        <v>44</v>
      </c>
      <c r="D9342" s="9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E9342" s="10" t="str">
        <f>HYPERLINK("https://otsuka-europe-crm.veevavault.com/ui/#object/sent_email__v/VBL00000002U119", "SE-001435865")</f>
        <v>SE-001435865</v>
      </c>
      <c r="F9342" s="11"/>
      <c r="G9342" s="12">
        <v>0</v>
      </c>
      <c r="H9342" s="12">
        <v>0</v>
      </c>
      <c r="I9342" s="12">
        <v>0</v>
      </c>
      <c r="J9342" s="11"/>
      <c r="K9342" s="12">
        <v>0</v>
      </c>
      <c r="L9342" s="10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M9342" s="10" t="str">
        <f>HYPERLINK("mailto:tiziana.faini@crm.otsuka-europe.com", "tiziana.faini@crm.otsuka-europe.com")</f>
        <v>tiziana.faini@crm.otsuka-europe.com</v>
      </c>
      <c r="N9342" s="13">
        <v>46185.80809027778</v>
      </c>
      <c r="O9342" s="14" t="str">
        <f>HYPERLINK("https://otsuka-europe-crm.veevavault.com/ui/#object/email_activity__v/V8C00000003U358", "EN-002095570")</f>
        <v>EN-002095570</v>
      </c>
    </row>
    <row r="9343" spans="1:15" ht="16" x14ac:dyDescent="0.2">
      <c r="A9343" s="17" t="str">
        <f>HYPERLINK("https://otsuka-europe-crm.veevavault.com/ui/#object/account__v/V4T00000001X151", "SIMONE PIERGENTILI")</f>
        <v>SIMONE PIERGENTILI</v>
      </c>
      <c r="B9343" s="17" t="str">
        <f>HYPERLINK("https://otsuka-europe-crm.veevavault.com/ui/#object/vcountry__v/VENZ000004SONFQ", "IT")</f>
        <v>IT</v>
      </c>
      <c r="C9343" s="20" t="s">
        <v>44</v>
      </c>
      <c r="D9343" s="21" t="str">
        <f>HYPERLINK("https://otsuka-europe-crm.veevavault.com/ui/#object/approved_document__v/V5OZ025E82JJ7FL", "NL AE HCP Portal")</f>
        <v>NL AE HCP Portal</v>
      </c>
      <c r="E9343" s="22" t="str">
        <f>HYPERLINK("https://otsuka-europe-crm.veevavault.com/ui/#object/sent_email__v/VBL00000002U120", "SE-001435866")</f>
        <v>SE-001435866</v>
      </c>
      <c r="F9343" s="23">
        <v>46185.880706018521</v>
      </c>
      <c r="G9343" s="24">
        <v>1</v>
      </c>
      <c r="H9343" s="24">
        <v>2</v>
      </c>
      <c r="I9343" s="24">
        <v>1</v>
      </c>
      <c r="J9343" s="23">
        <v>46185.880706018521</v>
      </c>
      <c r="K9343" s="24">
        <v>2</v>
      </c>
      <c r="L9343" s="22" t="str">
        <f>HYPERLINK("https://otsuka-europe-crm.veevavault.com/ui/#object/approved_document__v/V5OZ025E82JJ7FL", "NL AE HCP Portal")</f>
        <v>NL AE HCP Portal</v>
      </c>
      <c r="M9343" s="22" t="str">
        <f>HYPERLINK("mailto:tiziana.faini@crm.otsuka-europe.com", "tiziana.faini@crm.otsuka-europe.com")</f>
        <v>tiziana.faini@crm.otsuka-europe.com</v>
      </c>
      <c r="N9343" s="23">
        <v>46185.80810185185</v>
      </c>
      <c r="O9343" s="14" t="str">
        <f>HYPERLINK("https://otsuka-europe-crm.veevavault.com/ui/#object/email_activity__v/V8C00000003V397", "EN-002095572")</f>
        <v>EN-002095572</v>
      </c>
    </row>
    <row r="9344" spans="1:15" ht="16" x14ac:dyDescent="0.2">
      <c r="A9344" s="18"/>
      <c r="B9344" s="18"/>
      <c r="C9344" s="18"/>
      <c r="D9344" s="18"/>
      <c r="E9344" s="18"/>
      <c r="F9344" s="18"/>
      <c r="G9344" s="18"/>
      <c r="H9344" s="18"/>
      <c r="I9344" s="18"/>
      <c r="J9344" s="18"/>
      <c r="K9344" s="18"/>
      <c r="L9344" s="18"/>
      <c r="M9344" s="18"/>
      <c r="N9344" s="18"/>
      <c r="O9344" s="14" t="str">
        <f>HYPERLINK("https://otsuka-europe-crm.veevavault.com/ui/#object/email_activity__v/V8C00000003V405", "EN-002095587")</f>
        <v>EN-002095587</v>
      </c>
    </row>
    <row r="9345" spans="1:15" ht="16" x14ac:dyDescent="0.2">
      <c r="A9345" s="18"/>
      <c r="B9345" s="18"/>
      <c r="C9345" s="18"/>
      <c r="D9345" s="18"/>
      <c r="E9345" s="18"/>
      <c r="F9345" s="18"/>
      <c r="G9345" s="18"/>
      <c r="H9345" s="18"/>
      <c r="I9345" s="18"/>
      <c r="J9345" s="18"/>
      <c r="K9345" s="18"/>
      <c r="L9345" s="18"/>
      <c r="M9345" s="18"/>
      <c r="N9345" s="18"/>
      <c r="O9345" s="14" t="str">
        <f>HYPERLINK("https://otsuka-europe-crm.veevavault.com/ui/#object/email_activity__v/V8C00000003V406", "EN-002095585")</f>
        <v>EN-002095585</v>
      </c>
    </row>
    <row r="9346" spans="1:15" ht="16" x14ac:dyDescent="0.2">
      <c r="A9346" s="18"/>
      <c r="B9346" s="18"/>
      <c r="C9346" s="18"/>
      <c r="D9346" s="18"/>
      <c r="E9346" s="18"/>
      <c r="F9346" s="18"/>
      <c r="G9346" s="18"/>
      <c r="H9346" s="18"/>
      <c r="I9346" s="18"/>
      <c r="J9346" s="18"/>
      <c r="K9346" s="18"/>
      <c r="L9346" s="18"/>
      <c r="M9346" s="18"/>
      <c r="N9346" s="18"/>
      <c r="O9346" s="14" t="str">
        <f>HYPERLINK("https://otsuka-europe-crm.veevavault.com/ui/#object/email_activity__v/V8C00000003V407", "EN-002095588")</f>
        <v>EN-002095588</v>
      </c>
    </row>
    <row r="9347" spans="1:15" ht="16" x14ac:dyDescent="0.2">
      <c r="A9347" s="19"/>
      <c r="B9347" s="19"/>
      <c r="C9347" s="19"/>
      <c r="D9347" s="19"/>
      <c r="E9347" s="19"/>
      <c r="F9347" s="19"/>
      <c r="G9347" s="19"/>
      <c r="H9347" s="19"/>
      <c r="I9347" s="19"/>
      <c r="J9347" s="19"/>
      <c r="K9347" s="19"/>
      <c r="L9347" s="19"/>
      <c r="M9347" s="19"/>
      <c r="N9347" s="19"/>
      <c r="O9347" s="14" t="str">
        <f>HYPERLINK("https://otsuka-europe-crm.veevavault.com/ui/#object/email_activity__v/V8C00000003V408", "EN-002095586")</f>
        <v>EN-002095586</v>
      </c>
    </row>
    <row r="9348" spans="1:15" ht="32" x14ac:dyDescent="0.2">
      <c r="A9348" s="7" t="str">
        <f>HYPERLINK("https://otsuka-europe-crm.veevavault.com/ui/#object/account__v/V4TZ00000633XHQ", "JORO RAMILITIANA")</f>
        <v>JORO RAMILITIANA</v>
      </c>
      <c r="B9348" s="7" t="str">
        <f>HYPERLINK("https://otsuka-europe-crm.veevavault.com/ui/#object/vcountry__v/VENZ000004SONFA", "FR")</f>
        <v>FR</v>
      </c>
      <c r="C9348" s="8" t="s">
        <v>42</v>
      </c>
      <c r="D9348" s="9" t="str">
        <f>HYPERLINK("https://otsuka-europe-crm.veevavault.com/ui/#object/approved_document__v/V5OZ04ASG4G02Y6", "INVITATION_VAD_2023")</f>
        <v>INVITATION_VAD_2023</v>
      </c>
      <c r="E9348" s="10" t="str">
        <f>HYPERLINK("https://otsuka-europe-crm.veevavault.com/ui/#object/sent_email__v/VBL00000002T256", "SE-001435867")</f>
        <v>SE-001435867</v>
      </c>
      <c r="F9348" s="11"/>
      <c r="G9348" s="12">
        <v>0</v>
      </c>
      <c r="H9348" s="12">
        <v>0</v>
      </c>
      <c r="I9348" s="12">
        <v>0</v>
      </c>
      <c r="J9348" s="11"/>
      <c r="K9348" s="12">
        <v>0</v>
      </c>
      <c r="L9348" s="10" t="str">
        <f>HYPERLINK("https://otsuka-europe-crm.veevavault.com/ui/#object/approved_document__v/V5OZ04ASG4G02Y6", "INVITATION_VAD_2023")</f>
        <v>INVITATION_VAD_2023</v>
      </c>
      <c r="M9348" s="10" t="str">
        <f>HYPERLINK("mailto:sblancheland@crm.otsuka-europe.com", "sblancheland@crm.otsuka-europe.com")</f>
        <v>sblancheland@crm.otsuka-europe.com</v>
      </c>
      <c r="N9348" s="13">
        <v>46188.287546296298</v>
      </c>
      <c r="O9348" s="14" t="str">
        <f>HYPERLINK("https://otsuka-europe-crm.veevavault.com/ui/#object/email_activity__v/V8C00000003V485", "EN-002095753")</f>
        <v>EN-002095753</v>
      </c>
    </row>
    <row r="9349" spans="1:15" ht="32" x14ac:dyDescent="0.2">
      <c r="A9349" s="7" t="str">
        <f>HYPERLINK("https://otsuka-europe-crm.veevavault.com/ui/#object/account__v/V4TZ025E86WQFOS", "MARIA AMICONE")</f>
        <v>MARIA AMICONE</v>
      </c>
      <c r="B9349" s="7" t="str">
        <f>HYPERLINK("https://otsuka-europe-crm.veevavault.com/ui/#object/vcountry__v/VENZ000004SONFQ", "IT")</f>
        <v>IT</v>
      </c>
      <c r="C9349" s="8" t="s">
        <v>44</v>
      </c>
      <c r="D9349" s="9" t="str">
        <f>HYPERLINK("https://otsuka-europe-crm.veevavault.com/ui/#object/approved_document__v/V5O00000001A024", "Lupkynis - rischio - IT-LUP-2600002 v1.0 -  NEPHRO")</f>
        <v>Lupkynis - rischio - IT-LUP-2600002 v1.0 -  NEPHRO</v>
      </c>
      <c r="E9349" s="10" t="str">
        <f>HYPERLINK("https://otsuka-europe-crm.veevavault.com/ui/#object/sent_email__v/VBL00000002U121", "SE-001435868")</f>
        <v>SE-001435868</v>
      </c>
      <c r="F9349" s="11"/>
      <c r="G9349" s="12">
        <v>0</v>
      </c>
      <c r="H9349" s="12">
        <v>0</v>
      </c>
      <c r="I9349" s="12">
        <v>0</v>
      </c>
      <c r="J9349" s="11"/>
      <c r="K9349" s="12">
        <v>0</v>
      </c>
      <c r="L9349" s="10" t="str">
        <f>HYPERLINK("https://otsuka-europe-crm.veevavault.com/ui/#object/approved_document__v/V5O00000001A024", "Lupkynis - rischio - IT-LUP-2600002 v1.0 -  NEPHRO")</f>
        <v>Lupkynis - rischio - IT-LUP-2600002 v1.0 -  NEPHRO</v>
      </c>
      <c r="M9349" s="10" t="str">
        <f>HYPERLINK("mailto:linda.ottavo@crm.otsuka-europe.com", "linda.ottavo@crm.otsuka-europe.com")</f>
        <v>linda.ottavo@crm.otsuka-europe.com</v>
      </c>
      <c r="N9349" s="13">
        <v>46188.315763888888</v>
      </c>
      <c r="O9349" s="14" t="str">
        <f>HYPERLINK("https://otsuka-europe-crm.veevavault.com/ui/#object/email_activity__v/V8C00000003U455", "EN-002095754")</f>
        <v>EN-002095754</v>
      </c>
    </row>
    <row r="9350" spans="1:15" ht="16" x14ac:dyDescent="0.2">
      <c r="A9350" s="17" t="str">
        <f>HYPERLINK("https://otsuka-europe-crm.veevavault.com/ui/#object/account__v/V4TZ04ASG9ZH6TY", "SEBASTIEN DUPUY")</f>
        <v>SEBASTIEN DUPUY</v>
      </c>
      <c r="B9350" s="17" t="str">
        <f>HYPERLINK("https://otsuka-europe-crm.veevavault.com/ui/#object/vcountry__v/VENZ000004SONFA", "FR")</f>
        <v>FR</v>
      </c>
      <c r="C9350" s="20" t="s">
        <v>42</v>
      </c>
      <c r="D9350" s="21" t="str">
        <f>HYPERLINK("https://otsuka-europe-crm.veevavault.com/ui/#object/approved_document__v/V5OZ04ASG4G02Y6", "INVITATION_VAD_2023")</f>
        <v>INVITATION_VAD_2023</v>
      </c>
      <c r="E9350" s="22" t="str">
        <f>HYPERLINK("https://otsuka-europe-crm.veevavault.com/ui/#object/sent_email__v/VBL00000002T263", "SE-001435869")</f>
        <v>SE-001435869</v>
      </c>
      <c r="F9350" s="23">
        <v>46188.387812499997</v>
      </c>
      <c r="G9350" s="24">
        <v>1</v>
      </c>
      <c r="H9350" s="24">
        <v>1</v>
      </c>
      <c r="I9350" s="24">
        <v>0</v>
      </c>
      <c r="J9350" s="25"/>
      <c r="K9350" s="24">
        <v>0</v>
      </c>
      <c r="L9350" s="22" t="str">
        <f>HYPERLINK("https://otsuka-europe-crm.veevavault.com/ui/#object/approved_document__v/V5OZ04ASG4G02Y6", "INVITATION_VAD_2023")</f>
        <v>INVITATION_VAD_2023</v>
      </c>
      <c r="M9350" s="22" t="str">
        <f>HYPERLINK("mailto:smauffrey@crm.otsuka-europe.com", "smauffrey@crm.otsuka-europe.com")</f>
        <v>smauffrey@crm.otsuka-europe.com</v>
      </c>
      <c r="N9350" s="23">
        <v>46188.347893518519</v>
      </c>
      <c r="O9350" s="14" t="str">
        <f>HYPERLINK("https://otsuka-europe-crm.veevavault.com/ui/#object/email_activity__v/V8C00000003U457", "EN-002095757")</f>
        <v>EN-002095757</v>
      </c>
    </row>
    <row r="9351" spans="1:15" ht="16" x14ac:dyDescent="0.2">
      <c r="A9351" s="19"/>
      <c r="B9351" s="19"/>
      <c r="C9351" s="19"/>
      <c r="D9351" s="19"/>
      <c r="E9351" s="19"/>
      <c r="F9351" s="19"/>
      <c r="G9351" s="19"/>
      <c r="H9351" s="19"/>
      <c r="I9351" s="19"/>
      <c r="J9351" s="19"/>
      <c r="K9351" s="19"/>
      <c r="L9351" s="19"/>
      <c r="M9351" s="19"/>
      <c r="N9351" s="19"/>
      <c r="O9351" s="14" t="str">
        <f>HYPERLINK("https://otsuka-europe-crm.veevavault.com/ui/#object/email_activity__v/V8C00000003U470", "EN-002095775")</f>
        <v>EN-002095775</v>
      </c>
    </row>
    <row r="9352" spans="1:15" ht="16" x14ac:dyDescent="0.2">
      <c r="A9352" s="17" t="str">
        <f>HYPERLINK("https://otsuka-europe-crm.veevavault.com/ui/#object/account__v/V4T00000001X220", "Heidrun Drolle")</f>
        <v>Heidrun Drolle</v>
      </c>
      <c r="B9352" s="17" t="str">
        <f>HYPERLINK("https://otsuka-europe-crm.veevavault.com/ui/#object/vcountry__v/VENZ000004SONFD", "AT")</f>
        <v>AT</v>
      </c>
      <c r="C9352" s="20" t="s">
        <v>40</v>
      </c>
      <c r="D9352" s="21" t="str">
        <f>HYPERLINK("https://otsuka-europe-crm.veevavault.com/ui/#object/approved_document__v/V5O00000000K004", "Austria - Consent Email - Aug25 v2")</f>
        <v>Austria - Consent Email - Aug25 v2</v>
      </c>
      <c r="E9352" s="22" t="str">
        <f>HYPERLINK("https://otsuka-europe-crm.veevavault.com/ui/#object/sent_email__v/VBL00000002T264", "SE-001435870")</f>
        <v>SE-001435870</v>
      </c>
      <c r="F9352" s="23">
        <v>46189.297777777778</v>
      </c>
      <c r="G9352" s="24">
        <v>1</v>
      </c>
      <c r="H9352" s="24">
        <v>1</v>
      </c>
      <c r="I9352" s="24">
        <v>1</v>
      </c>
      <c r="J9352" s="23">
        <v>46189.297777777778</v>
      </c>
      <c r="K9352" s="24">
        <v>1</v>
      </c>
      <c r="L9352" s="22" t="str">
        <f>HYPERLINK("https://otsuka-europe-crm.veevavault.com/ui/#object/approved_document__v/V5O00000000K004", "Austria - Consent Email - Aug25 v2")</f>
        <v>Austria - Consent Email - Aug25 v2</v>
      </c>
      <c r="M9352" s="22" t="str">
        <f>HYPERLINK("mailto:igrimaldi@crm.otsuka-europe.com", "igrimaldi@crm.otsuka-europe.com")</f>
        <v>igrimaldi@crm.otsuka-europe.com</v>
      </c>
      <c r="N9352" s="23">
        <v>46188.357708333337</v>
      </c>
      <c r="O9352" s="14" t="str">
        <f>HYPERLINK("https://otsuka-europe-crm.veevavault.com/ui/#object/email_activity__v/V8C00000003U458", "EN-002095759")</f>
        <v>EN-002095759</v>
      </c>
    </row>
    <row r="9353" spans="1:15" ht="16" x14ac:dyDescent="0.2">
      <c r="A9353" s="18"/>
      <c r="B9353" s="18"/>
      <c r="C9353" s="18"/>
      <c r="D9353" s="18"/>
      <c r="E9353" s="18"/>
      <c r="F9353" s="18"/>
      <c r="G9353" s="18"/>
      <c r="H9353" s="18"/>
      <c r="I9353" s="18"/>
      <c r="J9353" s="18"/>
      <c r="K9353" s="18"/>
      <c r="L9353" s="18"/>
      <c r="M9353" s="18"/>
      <c r="N9353" s="18"/>
      <c r="O9353" s="14" t="str">
        <f>HYPERLINK("https://otsuka-europe-crm.veevavault.com/ui/#object/email_activity__v/V8C00000003W127", "EN-002096895")</f>
        <v>EN-002096895</v>
      </c>
    </row>
    <row r="9354" spans="1:15" ht="16" x14ac:dyDescent="0.2">
      <c r="A9354" s="19"/>
      <c r="B9354" s="19"/>
      <c r="C9354" s="19"/>
      <c r="D9354" s="19"/>
      <c r="E9354" s="19"/>
      <c r="F9354" s="19"/>
      <c r="G9354" s="19"/>
      <c r="H9354" s="19"/>
      <c r="I9354" s="19"/>
      <c r="J9354" s="19"/>
      <c r="K9354" s="19"/>
      <c r="L9354" s="19"/>
      <c r="M9354" s="19"/>
      <c r="N9354" s="19"/>
      <c r="O9354" s="14" t="str">
        <f>HYPERLINK("https://otsuka-europe-crm.veevavault.com/ui/#object/email_activity__v/V8C00000003W128", "EN-002096894")</f>
        <v>EN-002096894</v>
      </c>
    </row>
    <row r="9355" spans="1:15" ht="16" x14ac:dyDescent="0.2">
      <c r="A9355" s="17" t="str">
        <f>HYPERLINK("https://otsuka-europe-crm.veevavault.com/ui/#object/account__v/V4TZ06G6O71T7UA", "EDWIN PALOMINO GUERE")</f>
        <v>EDWIN PALOMINO GUERE</v>
      </c>
      <c r="B9355" s="17" t="str">
        <f>HYPERLINK("https://otsuka-europe-crm.veevavault.com/ui/#object/vcountry__v/VENZ000004SONF5", "ES")</f>
        <v>ES</v>
      </c>
      <c r="C9355" s="20" t="s">
        <v>41</v>
      </c>
      <c r="D9355" s="21" t="str">
        <f>HYPERLINK("https://otsuka-europe-crm.veevavault.com/ui/#object/approved_document__v/V5OZ06G6O6RFL1P", "ES Veeva Privacy Notice Email")</f>
        <v>ES Veeva Privacy Notice Email</v>
      </c>
      <c r="E9355" s="22" t="str">
        <f>HYPERLINK("https://otsuka-europe-crm.veevavault.com/ui/#object/sent_email__v/VBL00000002T265", "SE-001435871")</f>
        <v>SE-001435871</v>
      </c>
      <c r="F9355" s="25"/>
      <c r="G9355" s="24">
        <v>0</v>
      </c>
      <c r="H9355" s="24">
        <v>0</v>
      </c>
      <c r="I9355" s="24">
        <v>0</v>
      </c>
      <c r="J9355" s="25"/>
      <c r="K9355" s="24">
        <v>0</v>
      </c>
      <c r="L9355" s="22" t="str">
        <f>HYPERLINK("https://otsuka-europe-crm.veevavault.com/ui/#object/approved_document__v/V5OZ06G6O6RFL1P", "ES Veeva Privacy Notice Email")</f>
        <v>ES Veeva Privacy Notice Email</v>
      </c>
      <c r="M9355" s="22" t="str">
        <f>HYPERLINK("mailto:sruizlemos@crm.otsuka-europe.com", "sruizlemos@crm.otsuka-europe.com")</f>
        <v>sruizlemos@crm.otsuka-europe.com</v>
      </c>
      <c r="N9355" s="23">
        <v>46188.383553240739</v>
      </c>
      <c r="O9355" s="14" t="str">
        <f>HYPERLINK("https://otsuka-europe-crm.veevavault.com/ui/#object/email_activity__v/V8C00000003U466", "EN-002095771")</f>
        <v>EN-002095771</v>
      </c>
    </row>
    <row r="9356" spans="1:15" ht="16" x14ac:dyDescent="0.2">
      <c r="A9356" s="18"/>
      <c r="B9356" s="18"/>
      <c r="C9356" s="18"/>
      <c r="D9356" s="18"/>
      <c r="E9356" s="18"/>
      <c r="F9356" s="18"/>
      <c r="G9356" s="18"/>
      <c r="H9356" s="18"/>
      <c r="I9356" s="18"/>
      <c r="J9356" s="18"/>
      <c r="K9356" s="18"/>
      <c r="L9356" s="18"/>
      <c r="M9356" s="18"/>
      <c r="N9356" s="18"/>
      <c r="O9356" s="14" t="str">
        <f>HYPERLINK("https://otsuka-europe-crm.veevavault.com/ui/#object/email_activity__v/V8C00000003V492", "EN-002095783")</f>
        <v>EN-002095783</v>
      </c>
    </row>
    <row r="9357" spans="1:15" ht="16" x14ac:dyDescent="0.2">
      <c r="A9357" s="19"/>
      <c r="B9357" s="19"/>
      <c r="C9357" s="19"/>
      <c r="D9357" s="19"/>
      <c r="E9357" s="19"/>
      <c r="F9357" s="19"/>
      <c r="G9357" s="19"/>
      <c r="H9357" s="19"/>
      <c r="I9357" s="19"/>
      <c r="J9357" s="19"/>
      <c r="K9357" s="19"/>
      <c r="L9357" s="19"/>
      <c r="M9357" s="19"/>
      <c r="N9357" s="19"/>
      <c r="O9357" s="14" t="str">
        <f>HYPERLINK("https://otsuka-europe-crm.veevavault.com/ui/#object/email_activity__v/V8C00000003W323", "EN-002097365")</f>
        <v>EN-002097365</v>
      </c>
    </row>
    <row r="9358" spans="1:15" ht="32" x14ac:dyDescent="0.2">
      <c r="A9358" s="7" t="str">
        <f>HYPERLINK("https://otsuka-europe-crm.veevavault.com/ui/#object/account__v/V4T000000025027", "SARA GARCIA-CONSUEGRA PIORNO")</f>
        <v>SARA GARCIA-CONSUEGRA PIORNO</v>
      </c>
      <c r="B9358" s="7" t="str">
        <f>HYPERLINK("https://otsuka-europe-crm.veevavault.com/ui/#object/vcountry__v/VENZ000004SONF5", "ES")</f>
        <v>ES</v>
      </c>
      <c r="C9358" s="8" t="s">
        <v>41</v>
      </c>
      <c r="D9358" s="9" t="str">
        <f>HYPERLINK("https://otsuka-europe-crm.veevavault.com/ui/#object/approved_document__v/V5OZ06G6O6RFL1P", "ES Veeva Privacy Notice Email")</f>
        <v>ES Veeva Privacy Notice Email</v>
      </c>
      <c r="E9358" s="10" t="str">
        <f>HYPERLINK("https://otsuka-europe-crm.veevavault.com/ui/#object/sent_email__v/VBL00000002U129", "SE-001435872")</f>
        <v>SE-001435872</v>
      </c>
      <c r="F9358" s="11"/>
      <c r="G9358" s="12">
        <v>0</v>
      </c>
      <c r="H9358" s="12">
        <v>0</v>
      </c>
      <c r="I9358" s="12">
        <v>0</v>
      </c>
      <c r="J9358" s="11"/>
      <c r="K9358" s="12">
        <v>0</v>
      </c>
      <c r="L9358" s="10" t="str">
        <f>HYPERLINK("https://otsuka-europe-crm.veevavault.com/ui/#object/approved_document__v/V5OZ06G6O6RFL1P", "ES Veeva Privacy Notice Email")</f>
        <v>ES Veeva Privacy Notice Email</v>
      </c>
      <c r="M9358" s="10" t="str">
        <f>HYPERLINK("mailto:sruizlemos@crm.otsuka-europe.com", "sruizlemos@crm.otsuka-europe.com")</f>
        <v>sruizlemos@crm.otsuka-europe.com</v>
      </c>
      <c r="N9358" s="13">
        <v>46188.386724537035</v>
      </c>
      <c r="O9358" s="14" t="str">
        <f>HYPERLINK("https://otsuka-europe-crm.veevavault.com/ui/#object/email_activity__v/V8C00000003U467", "EN-002095772")</f>
        <v>EN-002095772</v>
      </c>
    </row>
    <row r="9359" spans="1:15" ht="32" x14ac:dyDescent="0.2">
      <c r="A9359" s="7" t="str">
        <f>HYPERLINK("https://otsuka-europe-crm.veevavault.com/ui/#object/account__v/V4TZ00000633UK5", "VERONIQUE LAVISSE")</f>
        <v>VERONIQUE LAVISSE</v>
      </c>
      <c r="B9359" s="7" t="str">
        <f>HYPERLINK("https://otsuka-europe-crm.veevavault.com/ui/#object/vcountry__v/VENZ000004SONFA", "FR")</f>
        <v>FR</v>
      </c>
      <c r="C9359" s="8" t="s">
        <v>42</v>
      </c>
      <c r="D9359" s="9" t="str">
        <f>HYPERLINK("https://otsuka-europe-crm.veevavault.com/ui/#object/approved_document__v/V5OZ04ASG4G02Y6", "INVITATION_VAD_2023")</f>
        <v>INVITATION_VAD_2023</v>
      </c>
      <c r="E9359" s="10" t="str">
        <f>HYPERLINK("https://otsuka-europe-crm.veevavault.com/ui/#object/sent_email__v/VBL00000002T266", "SE-001435873")</f>
        <v>SE-001435873</v>
      </c>
      <c r="F9359" s="11"/>
      <c r="G9359" s="12">
        <v>0</v>
      </c>
      <c r="H9359" s="12">
        <v>0</v>
      </c>
      <c r="I9359" s="12">
        <v>0</v>
      </c>
      <c r="J9359" s="11"/>
      <c r="K9359" s="12">
        <v>0</v>
      </c>
      <c r="L9359" s="10" t="str">
        <f>HYPERLINK("https://otsuka-europe-crm.veevavault.com/ui/#object/approved_document__v/V5OZ04ASG4G02Y6", "INVITATION_VAD_2023")</f>
        <v>INVITATION_VAD_2023</v>
      </c>
      <c r="M9359" s="10" t="str">
        <f>HYPERLINK("mailto:cchevalliermiserole@crm.otsuka-europe.com", "cchevalliermiserole@crm.otsuka-europe.com")</f>
        <v>cchevalliermiserole@crm.otsuka-europe.com</v>
      </c>
      <c r="N9359" s="13">
        <v>46188.38826388889</v>
      </c>
      <c r="O9359" s="14" t="str">
        <f>HYPERLINK("https://otsuka-europe-crm.veevavault.com/ui/#object/email_activity__v/V8C00000003U471", "EN-002095776")</f>
        <v>EN-002095776</v>
      </c>
    </row>
    <row r="9360" spans="1:15" ht="16" x14ac:dyDescent="0.2">
      <c r="A9360" s="17" t="str">
        <f>HYPERLINK("https://otsuka-europe-crm.veevavault.com/ui/#object/account__v/V4T000000025028", "OMAR REYNALDO LAFUENTE COVARRUBIAS")</f>
        <v>OMAR REYNALDO LAFUENTE COVARRUBIAS</v>
      </c>
      <c r="B9360" s="17" t="str">
        <f>HYPERLINK("https://otsuka-europe-crm.veevavault.com/ui/#object/vcountry__v/VENZ000004SONF5", "ES")</f>
        <v>ES</v>
      </c>
      <c r="C9360" s="20" t="s">
        <v>41</v>
      </c>
      <c r="D9360" s="21" t="str">
        <f>HYPERLINK("https://otsuka-europe-crm.veevavault.com/ui/#object/approved_document__v/V5OZ06G6O6RFL1P", "ES Veeva Privacy Notice Email")</f>
        <v>ES Veeva Privacy Notice Email</v>
      </c>
      <c r="E9360" s="22" t="str">
        <f>HYPERLINK("https://otsuka-europe-crm.veevavault.com/ui/#object/sent_email__v/VBL00000002U130", "SE-001435874")</f>
        <v>SE-001435874</v>
      </c>
      <c r="F9360" s="25"/>
      <c r="G9360" s="24">
        <v>0</v>
      </c>
      <c r="H9360" s="24">
        <v>0</v>
      </c>
      <c r="I9360" s="24">
        <v>0</v>
      </c>
      <c r="J9360" s="25"/>
      <c r="K9360" s="24">
        <v>0</v>
      </c>
      <c r="L9360" s="22" t="str">
        <f>HYPERLINK("https://otsuka-europe-crm.veevavault.com/ui/#object/approved_document__v/V5OZ06G6O6RFL1P", "ES Veeva Privacy Notice Email")</f>
        <v>ES Veeva Privacy Notice Email</v>
      </c>
      <c r="M9360" s="22" t="str">
        <f>HYPERLINK("mailto:sruizlemos@crm.otsuka-europe.com", "sruizlemos@crm.otsuka-europe.com")</f>
        <v>sruizlemos@crm.otsuka-europe.com</v>
      </c>
      <c r="N9360" s="23">
        <v>46188.390694444446</v>
      </c>
      <c r="O9360" s="14" t="str">
        <f>HYPERLINK("https://otsuka-europe-crm.veevavault.com/ui/#object/email_activity__v/V8C00000003U473", "EN-002095778")</f>
        <v>EN-002095778</v>
      </c>
    </row>
    <row r="9361" spans="1:15" ht="16" x14ac:dyDescent="0.2">
      <c r="A9361" s="19"/>
      <c r="B9361" s="19"/>
      <c r="C9361" s="19"/>
      <c r="D9361" s="19"/>
      <c r="E9361" s="19"/>
      <c r="F9361" s="19"/>
      <c r="G9361" s="19"/>
      <c r="H9361" s="19"/>
      <c r="I9361" s="19"/>
      <c r="J9361" s="19"/>
      <c r="K9361" s="19"/>
      <c r="L9361" s="19"/>
      <c r="M9361" s="19"/>
      <c r="N9361" s="19"/>
      <c r="O9361" s="14" t="str">
        <f>HYPERLINK("https://otsuka-europe-crm.veevavault.com/ui/#object/email_activity__v/V8C00000003V580", "EN-002095970")</f>
        <v>EN-002095970</v>
      </c>
    </row>
    <row r="9362" spans="1:15" ht="16" x14ac:dyDescent="0.2">
      <c r="A9362" s="17" t="str">
        <f>HYPERLINK("https://otsuka-europe-crm.veevavault.com/ui/#object/account__v/V4TZ0000062PKTI", "Kirsty Williamson")</f>
        <v>Kirsty Williamson</v>
      </c>
      <c r="B9362" s="17" t="str">
        <f>HYPERLINK("https://otsuka-europe-crm.veevavault.com/ui/#object/vcountry__v/VENZ000004SONFK", "GB")</f>
        <v>GB</v>
      </c>
      <c r="C9362" s="20" t="s">
        <v>39</v>
      </c>
      <c r="D9362" s="21" t="str">
        <f>HYPERLINK("https://otsuka-europe-crm.veevavault.com/ui/#object/approved_document__v/V5O00000000D081", "UK - Consent Email 1 Aug 25")</f>
        <v>UK - Consent Email 1 Aug 25</v>
      </c>
      <c r="E9362" s="22" t="str">
        <f>HYPERLINK("https://otsuka-europe-crm.veevavault.com/ui/#object/sent_email__v/VBL00000002T267", "SE-001435875")</f>
        <v>SE-001435875</v>
      </c>
      <c r="F9362" s="23">
        <v>46188.400949074072</v>
      </c>
      <c r="G9362" s="24">
        <v>1</v>
      </c>
      <c r="H9362" s="24">
        <v>1</v>
      </c>
      <c r="I9362" s="24">
        <v>1</v>
      </c>
      <c r="J9362" s="23">
        <v>46188.401562500003</v>
      </c>
      <c r="K9362" s="24">
        <v>1</v>
      </c>
      <c r="L9362" s="22" t="str">
        <f>HYPERLINK("https://otsuka-europe-crm.veevavault.com/ui/#object/approved_document__v/V5O00000000D081", "UK - Consent Email 1 Aug 25")</f>
        <v>UK - Consent Email 1 Aug 25</v>
      </c>
      <c r="M9362" s="22" t="str">
        <f>HYPERLINK("mailto:ldimambro@crm.otsuka-europe.com", "ldimambro@crm.otsuka-europe.com")</f>
        <v>ldimambro@crm.otsuka-europe.com</v>
      </c>
      <c r="N9362" s="23">
        <v>46188.399756944447</v>
      </c>
      <c r="O9362" s="14" t="str">
        <f>HYPERLINK("https://otsuka-europe-crm.veevavault.com/ui/#object/email_activity__v/V8C00000003U478", "EN-002095784")</f>
        <v>EN-002095784</v>
      </c>
    </row>
    <row r="9363" spans="1:15" ht="16" x14ac:dyDescent="0.2">
      <c r="A9363" s="18"/>
      <c r="B9363" s="18"/>
      <c r="C9363" s="18"/>
      <c r="D9363" s="18"/>
      <c r="E9363" s="18"/>
      <c r="F9363" s="18"/>
      <c r="G9363" s="18"/>
      <c r="H9363" s="18"/>
      <c r="I9363" s="18"/>
      <c r="J9363" s="18"/>
      <c r="K9363" s="18"/>
      <c r="L9363" s="18"/>
      <c r="M9363" s="18"/>
      <c r="N9363" s="18"/>
      <c r="O9363" s="14" t="str">
        <f>HYPERLINK("https://otsuka-europe-crm.veevavault.com/ui/#object/email_activity__v/V8C00000003V493", "EN-002095785")</f>
        <v>EN-002095785</v>
      </c>
    </row>
    <row r="9364" spans="1:15" ht="16" x14ac:dyDescent="0.2">
      <c r="A9364" s="19"/>
      <c r="B9364" s="19"/>
      <c r="C9364" s="19"/>
      <c r="D9364" s="19"/>
      <c r="E9364" s="19"/>
      <c r="F9364" s="19"/>
      <c r="G9364" s="19"/>
      <c r="H9364" s="19"/>
      <c r="I9364" s="19"/>
      <c r="J9364" s="19"/>
      <c r="K9364" s="19"/>
      <c r="L9364" s="19"/>
      <c r="M9364" s="19"/>
      <c r="N9364" s="19"/>
      <c r="O9364" s="14" t="str">
        <f>HYPERLINK("https://otsuka-europe-crm.veevavault.com/ui/#object/email_activity__v/V8C00000003V494", "EN-002095786")</f>
        <v>EN-002095786</v>
      </c>
    </row>
    <row r="9365" spans="1:15" ht="32" x14ac:dyDescent="0.2">
      <c r="A9365" s="7" t="str">
        <f>HYPERLINK("https://otsuka-europe-crm.veevavault.com/ui/#object/account__v/V4TZ0000062PKTI", "Kirsty Williamson")</f>
        <v>Kirsty Williamson</v>
      </c>
      <c r="B9365" s="7" t="str">
        <f>HYPERLINK("https://otsuka-europe-crm.veevavault.com/ui/#object/vcountry__v/VENZ000004SONFK", "GB")</f>
        <v>GB</v>
      </c>
      <c r="C9365" s="8" t="s">
        <v>39</v>
      </c>
      <c r="D9365" s="9" t="str">
        <f>HYPERLINK("https://otsuka-europe-crm.veevavault.com/ui/#object/approved_document__v/V5OZ025E82UYOBH", "Aripiprazole 300mg PFS Available VAE")</f>
        <v>Aripiprazole 300mg PFS Available VAE</v>
      </c>
      <c r="E9365" s="10" t="str">
        <f>HYPERLINK("https://otsuka-europe-crm.veevavault.com/ui/#object/sent_email__v/VBL00000002T268", "SE-001435876")</f>
        <v>SE-001435876</v>
      </c>
      <c r="F9365" s="11"/>
      <c r="G9365" s="12">
        <v>0</v>
      </c>
      <c r="H9365" s="12">
        <v>0</v>
      </c>
      <c r="I9365" s="12">
        <v>0</v>
      </c>
      <c r="J9365" s="11"/>
      <c r="K9365" s="12">
        <v>0</v>
      </c>
      <c r="L9365" s="10" t="str">
        <f>HYPERLINK("https://otsuka-europe-crm.veevavault.com/ui/#object/approved_document__v/V5OZ025E82UYOBH", "Aripiprazole 300mg PFS Available VAE")</f>
        <v>Aripiprazole 300mg PFS Available VAE</v>
      </c>
      <c r="M9365" s="10" t="str">
        <f>HYPERLINK("mailto:ldimambro@crm.otsuka-europe.com", "ldimambro@crm.otsuka-europe.com")</f>
        <v>ldimambro@crm.otsuka-europe.com</v>
      </c>
      <c r="N9365" s="13">
        <v>46188.403368055559</v>
      </c>
      <c r="O9365" s="14" t="str">
        <f>HYPERLINK("https://otsuka-europe-crm.veevavault.com/ui/#object/email_activity__v/V8C00000003U479", "EN-002095787")</f>
        <v>EN-002095787</v>
      </c>
    </row>
    <row r="9366" spans="1:15" ht="16" x14ac:dyDescent="0.2">
      <c r="A9366" s="17" t="str">
        <f>HYPERLINK("https://otsuka-europe-crm.veevavault.com/ui/#object/account__v/V4TZ0000062PKTI", "Kirsty Williamson")</f>
        <v>Kirsty Williamson</v>
      </c>
      <c r="B9366" s="17" t="str">
        <f>HYPERLINK("https://otsuka-europe-crm.veevavault.com/ui/#object/vcountry__v/VENZ000004SONFK", "GB")</f>
        <v>GB</v>
      </c>
      <c r="C9366" s="20" t="s">
        <v>39</v>
      </c>
      <c r="D9366" s="21" t="str">
        <f>HYPERLINK("https://otsuka-europe-crm.veevavault.com/ui/#object/approved_document__v/V5OZ025E82TSZBI", "Aripiprazole 960mg Fragment VAE")</f>
        <v>Aripiprazole 960mg Fragment VAE</v>
      </c>
      <c r="E9366" s="22" t="str">
        <f>HYPERLINK("https://otsuka-europe-crm.veevavault.com/ui/#object/sent_email__v/VBL00000002T269", "SE-001435877")</f>
        <v>SE-001435877</v>
      </c>
      <c r="F9366" s="23">
        <v>46188.458136574074</v>
      </c>
      <c r="G9366" s="24">
        <v>1</v>
      </c>
      <c r="H9366" s="24">
        <v>1</v>
      </c>
      <c r="I9366" s="24">
        <v>0</v>
      </c>
      <c r="J9366" s="25"/>
      <c r="K9366" s="24">
        <v>0</v>
      </c>
      <c r="L9366" s="22" t="str">
        <f>HYPERLINK("https://otsuka-europe-crm.veevavault.com/ui/#object/approved_document__v/V5OZ025E82TSZBI", "Aripiprazole 960mg Fragment VAE")</f>
        <v>Aripiprazole 960mg Fragment VAE</v>
      </c>
      <c r="M9366" s="22" t="str">
        <f>HYPERLINK("mailto:ldimambro@crm.otsuka-europe.com", "ldimambro@crm.otsuka-europe.com")</f>
        <v>ldimambro@crm.otsuka-europe.com</v>
      </c>
      <c r="N9366" s="23">
        <v>46188.403726851851</v>
      </c>
      <c r="O9366" s="14" t="str">
        <f>HYPERLINK("https://otsuka-europe-crm.veevavault.com/ui/#object/email_activity__v/V8C00000003U480", "EN-002095788")</f>
        <v>EN-002095788</v>
      </c>
    </row>
    <row r="9367" spans="1:15" ht="16" x14ac:dyDescent="0.2">
      <c r="A9367" s="19"/>
      <c r="B9367" s="19"/>
      <c r="C9367" s="19"/>
      <c r="D9367" s="19"/>
      <c r="E9367" s="19"/>
      <c r="F9367" s="19"/>
      <c r="G9367" s="19"/>
      <c r="H9367" s="19"/>
      <c r="I9367" s="19"/>
      <c r="J9367" s="19"/>
      <c r="K9367" s="19"/>
      <c r="L9367" s="19"/>
      <c r="M9367" s="19"/>
      <c r="N9367" s="19"/>
      <c r="O9367" s="14" t="str">
        <f>HYPERLINK("https://otsuka-europe-crm.veevavault.com/ui/#object/email_activity__v/V8C00000003V548", "EN-002095920")</f>
        <v>EN-002095920</v>
      </c>
    </row>
    <row r="9368" spans="1:15" ht="16" x14ac:dyDescent="0.2">
      <c r="A9368" s="17" t="str">
        <f>HYPERLINK("https://otsuka-europe-crm.veevavault.com/ui/#object/account__v/V4TZ0000062PKTI", "Kirsty Williamson")</f>
        <v>Kirsty Williamson</v>
      </c>
      <c r="B9368" s="17" t="str">
        <f>HYPERLINK("https://otsuka-europe-crm.veevavault.com/ui/#object/vcountry__v/VENZ000004SONFK", "GB")</f>
        <v>GB</v>
      </c>
      <c r="C9368" s="20" t="s">
        <v>39</v>
      </c>
      <c r="D9368" s="21" t="str">
        <f>HYPERLINK("https://otsuka-europe-crm.veevavault.com/ui/#object/approved_document__v/V5OZ06G6O6RH9XL", "UK Veeva Double Opt-In Remote Meetings Email Receipt v4")</f>
        <v>UK Veeva Double Opt-In Remote Meetings Email Receipt v4</v>
      </c>
      <c r="E9368" s="22" t="str">
        <f>HYPERLINK("https://otsuka-europe-crm.veevavault.com/ui/#object/sent_email__v/VBL00000002T270", "SE-001435878")</f>
        <v>SE-001435878</v>
      </c>
      <c r="F9368" s="23">
        <v>46188.40865740741</v>
      </c>
      <c r="G9368" s="24">
        <v>1</v>
      </c>
      <c r="H9368" s="24">
        <v>1</v>
      </c>
      <c r="I9368" s="24">
        <v>1</v>
      </c>
      <c r="J9368" s="23">
        <v>46188.408726851849</v>
      </c>
      <c r="K9368" s="24">
        <v>1</v>
      </c>
      <c r="L9368" s="22" t="str">
        <f>HYPERLINK("https://otsuka-europe-crm.veevavault.com/ui/#object/approved_document__v/V5OZ06G6O6RH9XL", "UK Veeva Double Opt-In Remote Meetings Email Receipt v4")</f>
        <v>UK Veeva Double Opt-In Remote Meetings Email Receipt v4</v>
      </c>
      <c r="M9368" s="22" t="str">
        <f>HYPERLINK("mailto:ldimambro@crm.otsuka-europe.com", "ldimambro@crm.otsuka-europe.com")</f>
        <v>ldimambro@crm.otsuka-europe.com</v>
      </c>
      <c r="N9368" s="23">
        <v>46188.405810185184</v>
      </c>
      <c r="O9368" s="14" t="str">
        <f>HYPERLINK("https://otsuka-europe-crm.veevavault.com/ui/#object/email_activity__v/V8C00000003U481", "EN-002095789")</f>
        <v>EN-002095789</v>
      </c>
    </row>
    <row r="9369" spans="1:15" ht="16" x14ac:dyDescent="0.2">
      <c r="A9369" s="18"/>
      <c r="B9369" s="18"/>
      <c r="C9369" s="18"/>
      <c r="D9369" s="18"/>
      <c r="E9369" s="18"/>
      <c r="F9369" s="18"/>
      <c r="G9369" s="18"/>
      <c r="H9369" s="18"/>
      <c r="I9369" s="18"/>
      <c r="J9369" s="18"/>
      <c r="K9369" s="18"/>
      <c r="L9369" s="18"/>
      <c r="M9369" s="18"/>
      <c r="N9369" s="18"/>
      <c r="O9369" s="14" t="str">
        <f>HYPERLINK("https://otsuka-europe-crm.veevavault.com/ui/#object/email_activity__v/V8C00000003U482", "EN-002095790")</f>
        <v>EN-002095790</v>
      </c>
    </row>
    <row r="9370" spans="1:15" ht="16" x14ac:dyDescent="0.2">
      <c r="A9370" s="19"/>
      <c r="B9370" s="19"/>
      <c r="C9370" s="19"/>
      <c r="D9370" s="19"/>
      <c r="E9370" s="19"/>
      <c r="F9370" s="19"/>
      <c r="G9370" s="19"/>
      <c r="H9370" s="19"/>
      <c r="I9370" s="19"/>
      <c r="J9370" s="19"/>
      <c r="K9370" s="19"/>
      <c r="L9370" s="19"/>
      <c r="M9370" s="19"/>
      <c r="N9370" s="19"/>
      <c r="O9370" s="14" t="str">
        <f>HYPERLINK("https://otsuka-europe-crm.veevavault.com/ui/#object/email_activity__v/V8C00000003U483", "EN-002095791")</f>
        <v>EN-002095791</v>
      </c>
    </row>
    <row r="9371" spans="1:15" ht="32" x14ac:dyDescent="0.2">
      <c r="A9371" s="7" t="str">
        <f>HYPERLINK("https://otsuka-europe-crm.veevavault.com/ui/#object/account__v/V4T000000023098", "ANTONELA SCIARROTTA")</f>
        <v>ANTONELA SCIARROTTA</v>
      </c>
      <c r="B9371" s="7" t="str">
        <f>HYPERLINK("https://otsuka-europe-crm.veevavault.com/ui/#object/vcountry__v/VENZ000004SONF5", "ES")</f>
        <v>ES</v>
      </c>
      <c r="C9371" s="8" t="s">
        <v>41</v>
      </c>
      <c r="D9371" s="9" t="str">
        <f>HYPERLINK("https://otsuka-europe-crm.veevavault.com/ui/#object/approved_document__v/V5OZ06G6O6RFL1P", "ES Veeva Privacy Notice Email")</f>
        <v>ES Veeva Privacy Notice Email</v>
      </c>
      <c r="E9371" s="10" t="str">
        <f>HYPERLINK("https://otsuka-europe-crm.veevavault.com/ui/#object/sent_email__v/VBL00000002U131", "SE-001435879")</f>
        <v>SE-001435879</v>
      </c>
      <c r="F9371" s="11"/>
      <c r="G9371" s="12">
        <v>0</v>
      </c>
      <c r="H9371" s="12">
        <v>0</v>
      </c>
      <c r="I9371" s="12">
        <v>0</v>
      </c>
      <c r="J9371" s="11"/>
      <c r="K9371" s="12">
        <v>0</v>
      </c>
      <c r="L9371" s="10" t="str">
        <f>HYPERLINK("https://otsuka-europe-crm.veevavault.com/ui/#object/approved_document__v/V5OZ06G6O6RFL1P", "ES Veeva Privacy Notice Email")</f>
        <v>ES Veeva Privacy Notice Email</v>
      </c>
      <c r="M9371" s="10" t="str">
        <f>HYPERLINK("mailto:jllombart@crm.otsuka-europe.com", "jllombart@crm.otsuka-europe.com")</f>
        <v>jllombart@crm.otsuka-europe.com</v>
      </c>
      <c r="N9371" s="13">
        <v>46188.411736111113</v>
      </c>
      <c r="O9371" s="14" t="str">
        <f>HYPERLINK("https://otsuka-europe-crm.veevavault.com/ui/#object/email_activity__v/V8C00000003U484", "EN-002095792")</f>
        <v>EN-002095792</v>
      </c>
    </row>
    <row r="9372" spans="1:15" ht="32" x14ac:dyDescent="0.2">
      <c r="A9372" s="7" t="str">
        <f>HYPERLINK("https://otsuka-europe-crm.veevavault.com/ui/#object/account__v/V4T000000025031", "Antony Coleman")</f>
        <v>Antony Coleman</v>
      </c>
      <c r="B9372" s="7" t="str">
        <f t="shared" ref="B9372:B9378" si="700">HYPERLINK("https://otsuka-europe-crm.veevavault.com/ui/#object/vcountry__v/VENZ000004SONFK", "GB")</f>
        <v>GB</v>
      </c>
      <c r="C9372" s="8" t="s">
        <v>39</v>
      </c>
      <c r="D9372" s="9" t="str">
        <f>HYPERLINK("https://otsuka-europe-crm.veevavault.com/ui/#object/approved_document__v/V5O00000000D081", "UK - Consent Email 1 Aug 25")</f>
        <v>UK - Consent Email 1 Aug 25</v>
      </c>
      <c r="E9372" s="10" t="str">
        <f>HYPERLINK("https://otsuka-europe-crm.veevavault.com/ui/#object/sent_email__v/VBL00000002U132", "SE-001435880")</f>
        <v>SE-001435880</v>
      </c>
      <c r="F9372" s="11"/>
      <c r="G9372" s="12">
        <v>0</v>
      </c>
      <c r="H9372" s="12">
        <v>0</v>
      </c>
      <c r="I9372" s="12">
        <v>0</v>
      </c>
      <c r="J9372" s="11"/>
      <c r="K9372" s="12">
        <v>0</v>
      </c>
      <c r="L9372" s="10" t="str">
        <f>HYPERLINK("https://otsuka-europe-crm.veevavault.com/ui/#object/approved_document__v/V5O00000000D081", "UK - Consent Email 1 Aug 25")</f>
        <v>UK - Consent Email 1 Aug 25</v>
      </c>
      <c r="M9372" s="10" t="str">
        <f t="shared" ref="M9372:M9378" si="701">HYPERLINK("mailto:ldimambro@crm.otsuka-europe.com", "ldimambro@crm.otsuka-europe.com")</f>
        <v>ldimambro@crm.otsuka-europe.com</v>
      </c>
      <c r="N9372" s="13">
        <v>46188.413819444446</v>
      </c>
      <c r="O9372" s="14" t="str">
        <f>HYPERLINK("https://otsuka-europe-crm.veevavault.com/ui/#object/email_activity__v/V8C00000003U485", "EN-002095793")</f>
        <v>EN-002095793</v>
      </c>
    </row>
    <row r="9373" spans="1:15" ht="32" x14ac:dyDescent="0.2">
      <c r="A9373" s="7" t="str">
        <f>HYPERLINK("https://otsuka-europe-crm.veevavault.com/ui/#object/account__v/V4T000000025032", "Ravinder Sangha")</f>
        <v>Ravinder Sangha</v>
      </c>
      <c r="B9373" s="7" t="str">
        <f t="shared" si="700"/>
        <v>GB</v>
      </c>
      <c r="C9373" s="8" t="s">
        <v>39</v>
      </c>
      <c r="D9373" s="9" t="str">
        <f>HYPERLINK("https://otsuka-europe-crm.veevavault.com/ui/#object/approved_document__v/V5OZ025E82PXJSL", "Otsuka Privacy Notice - UK (v2)")</f>
        <v>Otsuka Privacy Notice - UK (v2)</v>
      </c>
      <c r="E9373" s="10" t="str">
        <f>HYPERLINK("https://otsuka-europe-crm.veevavault.com/ui/#object/sent_email__v/VBL00000002T271", "SE-001435881")</f>
        <v>SE-001435881</v>
      </c>
      <c r="F9373" s="11"/>
      <c r="G9373" s="12">
        <v>0</v>
      </c>
      <c r="H9373" s="12">
        <v>0</v>
      </c>
      <c r="I9373" s="12">
        <v>0</v>
      </c>
      <c r="J9373" s="11"/>
      <c r="K9373" s="12">
        <v>0</v>
      </c>
      <c r="L9373" s="10" t="str">
        <f>HYPERLINK("https://otsuka-europe-crm.veevavault.com/ui/#object/approved_document__v/V5OZ025E82PXJSL", "Otsuka Privacy Notice - UK (v2)")</f>
        <v>Otsuka Privacy Notice - UK (v2)</v>
      </c>
      <c r="M9373" s="10" t="str">
        <f t="shared" si="701"/>
        <v>ldimambro@crm.otsuka-europe.com</v>
      </c>
      <c r="N9373" s="13">
        <v>46188.422696759262</v>
      </c>
      <c r="O9373" s="14" t="str">
        <f>HYPERLINK("https://otsuka-europe-crm.veevavault.com/ui/#object/email_activity__v/V8C00000003V912", "EN-002096536")</f>
        <v>EN-002096536</v>
      </c>
    </row>
    <row r="9374" spans="1:15" ht="32" x14ac:dyDescent="0.2">
      <c r="A9374" s="7" t="str">
        <f>HYPERLINK("https://otsuka-europe-crm.veevavault.com/ui/#object/account__v/V4T000000025032", "Ravinder Sangha")</f>
        <v>Ravinder Sangha</v>
      </c>
      <c r="B9374" s="7" t="str">
        <f t="shared" si="700"/>
        <v>GB</v>
      </c>
      <c r="C9374" s="8" t="s">
        <v>39</v>
      </c>
      <c r="D9374" s="9" t="str">
        <f>HYPERLINK("https://otsuka-europe-crm.veevavault.com/ui/#object/approved_document__v/V5O00000000D081", "UK - Consent Email 1 Aug 25")</f>
        <v>UK - Consent Email 1 Aug 25</v>
      </c>
      <c r="E9374" s="10" t="str">
        <f>HYPERLINK("https://otsuka-europe-crm.veevavault.com/ui/#object/sent_email__v/VBL00000002T272", "SE-001435882")</f>
        <v>SE-001435882</v>
      </c>
      <c r="F9374" s="11"/>
      <c r="G9374" s="12">
        <v>0</v>
      </c>
      <c r="H9374" s="12">
        <v>0</v>
      </c>
      <c r="I9374" s="12">
        <v>0</v>
      </c>
      <c r="J9374" s="11"/>
      <c r="K9374" s="12">
        <v>0</v>
      </c>
      <c r="L9374" s="10" t="str">
        <f>HYPERLINK("https://otsuka-europe-crm.veevavault.com/ui/#object/approved_document__v/V5O00000000D081", "UK - Consent Email 1 Aug 25")</f>
        <v>UK - Consent Email 1 Aug 25</v>
      </c>
      <c r="M9374" s="10" t="str">
        <f t="shared" si="701"/>
        <v>ldimambro@crm.otsuka-europe.com</v>
      </c>
      <c r="N9374" s="13">
        <v>46188.423750000002</v>
      </c>
      <c r="O9374" s="14" t="str">
        <f>HYPERLINK("https://otsuka-europe-crm.veevavault.com/ui/#object/email_activity__v/V8C00000003U812", "EN-002096538")</f>
        <v>EN-002096538</v>
      </c>
    </row>
    <row r="9375" spans="1:15" ht="32" x14ac:dyDescent="0.2">
      <c r="A9375" s="7" t="str">
        <f>HYPERLINK("https://otsuka-europe-crm.veevavault.com/ui/#object/account__v/V4T000000025034", "Parmjit Raizada")</f>
        <v>Parmjit Raizada</v>
      </c>
      <c r="B9375" s="7" t="str">
        <f t="shared" si="700"/>
        <v>GB</v>
      </c>
      <c r="C9375" s="8" t="s">
        <v>39</v>
      </c>
      <c r="D9375" s="9" t="str">
        <f>HYPERLINK("https://otsuka-europe-crm.veevavault.com/ui/#object/approved_document__v/V5OZ025E82PXJSL", "Otsuka Privacy Notice - UK (v2)")</f>
        <v>Otsuka Privacy Notice - UK (v2)</v>
      </c>
      <c r="E9375" s="10" t="str">
        <f>HYPERLINK("https://otsuka-europe-crm.veevavault.com/ui/#object/sent_email__v/VBL00000002T273", "SE-001435883")</f>
        <v>SE-001435883</v>
      </c>
      <c r="F9375" s="11"/>
      <c r="G9375" s="12">
        <v>0</v>
      </c>
      <c r="H9375" s="12">
        <v>0</v>
      </c>
      <c r="I9375" s="12">
        <v>0</v>
      </c>
      <c r="J9375" s="11"/>
      <c r="K9375" s="12">
        <v>0</v>
      </c>
      <c r="L9375" s="10" t="str">
        <f>HYPERLINK("https://otsuka-europe-crm.veevavault.com/ui/#object/approved_document__v/V5OZ025E82PXJSL", "Otsuka Privacy Notice - UK (v2)")</f>
        <v>Otsuka Privacy Notice - UK (v2)</v>
      </c>
      <c r="M9375" s="10" t="str">
        <f t="shared" si="701"/>
        <v>ldimambro@crm.otsuka-europe.com</v>
      </c>
      <c r="N9375" s="13">
        <v>46188.425300925926</v>
      </c>
      <c r="O9375" s="14" t="str">
        <f>HYPERLINK("https://otsuka-europe-crm.veevavault.com/ui/#object/email_activity__v/V8C00000003U486", "EN-002095796")</f>
        <v>EN-002095796</v>
      </c>
    </row>
    <row r="9376" spans="1:15" ht="32" x14ac:dyDescent="0.2">
      <c r="A9376" s="7" t="str">
        <f>HYPERLINK("https://otsuka-europe-crm.veevavault.com/ui/#object/account__v/V4T000000025034", "Parmjit Raizada")</f>
        <v>Parmjit Raizada</v>
      </c>
      <c r="B9376" s="7" t="str">
        <f t="shared" si="700"/>
        <v>GB</v>
      </c>
      <c r="C9376" s="8" t="s">
        <v>39</v>
      </c>
      <c r="D9376" s="9" t="str">
        <f>HYPERLINK("https://otsuka-europe-crm.veevavault.com/ui/#object/approved_document__v/V5O00000000D081", "UK - Consent Email 1 Aug 25")</f>
        <v>UK - Consent Email 1 Aug 25</v>
      </c>
      <c r="E9376" s="10" t="str">
        <f>HYPERLINK("https://otsuka-europe-crm.veevavault.com/ui/#object/sent_email__v/VBL00000002T274", "SE-001435884")</f>
        <v>SE-001435884</v>
      </c>
      <c r="F9376" s="11"/>
      <c r="G9376" s="12">
        <v>0</v>
      </c>
      <c r="H9376" s="12">
        <v>0</v>
      </c>
      <c r="I9376" s="12">
        <v>0</v>
      </c>
      <c r="J9376" s="11"/>
      <c r="K9376" s="12">
        <v>0</v>
      </c>
      <c r="L9376" s="10" t="str">
        <f>HYPERLINK("https://otsuka-europe-crm.veevavault.com/ui/#object/approved_document__v/V5O00000000D081", "UK - Consent Email 1 Aug 25")</f>
        <v>UK - Consent Email 1 Aug 25</v>
      </c>
      <c r="M9376" s="10" t="str">
        <f t="shared" si="701"/>
        <v>ldimambro@crm.otsuka-europe.com</v>
      </c>
      <c r="N9376" s="13">
        <v>46188.426342592589</v>
      </c>
      <c r="O9376" s="14" t="str">
        <f>HYPERLINK("https://otsuka-europe-crm.veevavault.com/ui/#object/email_activity__v/V8C00000003V497", "EN-002095797")</f>
        <v>EN-002095797</v>
      </c>
    </row>
    <row r="9377" spans="1:15" ht="32" x14ac:dyDescent="0.2">
      <c r="A9377" s="7" t="str">
        <f>HYPERLINK("https://otsuka-europe-crm.veevavault.com/ui/#object/account__v/V4T000000025018", "Kirstin Grady")</f>
        <v>Kirstin Grady</v>
      </c>
      <c r="B9377" s="7" t="str">
        <f t="shared" si="700"/>
        <v>GB</v>
      </c>
      <c r="C9377" s="8" t="s">
        <v>39</v>
      </c>
      <c r="D9377" s="9" t="str">
        <f>HYPERLINK("https://otsuka-europe-crm.veevavault.com/ui/#object/approved_document__v/V5OZ025E82PXJSL", "Otsuka Privacy Notice - UK (v2)")</f>
        <v>Otsuka Privacy Notice - UK (v2)</v>
      </c>
      <c r="E9377" s="10" t="str">
        <f>HYPERLINK("https://otsuka-europe-crm.veevavault.com/ui/#object/sent_email__v/VBL00000002T275", "SE-001435885")</f>
        <v>SE-001435885</v>
      </c>
      <c r="F9377" s="11"/>
      <c r="G9377" s="12">
        <v>0</v>
      </c>
      <c r="H9377" s="12">
        <v>0</v>
      </c>
      <c r="I9377" s="12">
        <v>0</v>
      </c>
      <c r="J9377" s="11"/>
      <c r="K9377" s="12">
        <v>0</v>
      </c>
      <c r="L9377" s="10" t="str">
        <f>HYPERLINK("https://otsuka-europe-crm.veevavault.com/ui/#object/approved_document__v/V5OZ025E82PXJSL", "Otsuka Privacy Notice - UK (v2)")</f>
        <v>Otsuka Privacy Notice - UK (v2)</v>
      </c>
      <c r="M9377" s="10" t="str">
        <f t="shared" si="701"/>
        <v>ldimambro@crm.otsuka-europe.com</v>
      </c>
      <c r="N9377" s="13">
        <v>46188.431087962963</v>
      </c>
      <c r="O9377" s="14" t="str">
        <f>HYPERLINK("https://otsuka-europe-crm.veevavault.com/ui/#object/email_activity__v/V8C00000003U488", "EN-002095802")</f>
        <v>EN-002095802</v>
      </c>
    </row>
    <row r="9378" spans="1:15" ht="16" x14ac:dyDescent="0.2">
      <c r="A9378" s="17" t="str">
        <f>HYPERLINK("https://otsuka-europe-crm.veevavault.com/ui/#object/account__v/V4T000000025018", "Kirstin Grady")</f>
        <v>Kirstin Grady</v>
      </c>
      <c r="B9378" s="17" t="str">
        <f t="shared" si="700"/>
        <v>GB</v>
      </c>
      <c r="C9378" s="20" t="s">
        <v>39</v>
      </c>
      <c r="D9378" s="21" t="str">
        <f>HYPERLINK("https://otsuka-europe-crm.veevavault.com/ui/#object/approved_document__v/V5O00000000D081", "UK - Consent Email 1 Aug 25")</f>
        <v>UK - Consent Email 1 Aug 25</v>
      </c>
      <c r="E9378" s="22" t="str">
        <f>HYPERLINK("https://otsuka-europe-crm.veevavault.com/ui/#object/sent_email__v/VBL00000002T276", "SE-001435886")</f>
        <v>SE-001435886</v>
      </c>
      <c r="F9378" s="23">
        <v>46196.602650462963</v>
      </c>
      <c r="G9378" s="24">
        <v>1</v>
      </c>
      <c r="H9378" s="24">
        <v>1</v>
      </c>
      <c r="I9378" s="24">
        <v>1</v>
      </c>
      <c r="J9378" s="23">
        <v>46196.602650462963</v>
      </c>
      <c r="K9378" s="24">
        <v>1</v>
      </c>
      <c r="L9378" s="22" t="str">
        <f>HYPERLINK("https://otsuka-europe-crm.veevavault.com/ui/#object/approved_document__v/V5O00000000D081", "UK - Consent Email 1 Aug 25")</f>
        <v>UK - Consent Email 1 Aug 25</v>
      </c>
      <c r="M9378" s="22" t="str">
        <f t="shared" si="701"/>
        <v>ldimambro@crm.otsuka-europe.com</v>
      </c>
      <c r="N9378" s="23">
        <v>46188.432129629633</v>
      </c>
      <c r="O9378" s="14" t="str">
        <f>HYPERLINK("https://otsuka-europe-crm.veevavault.com/ui/#object/email_activity__v/V8C00000003V501", "EN-002095803")</f>
        <v>EN-002095803</v>
      </c>
    </row>
    <row r="9379" spans="1:15" ht="16" x14ac:dyDescent="0.2">
      <c r="A9379" s="18"/>
      <c r="B9379" s="18"/>
      <c r="C9379" s="18"/>
      <c r="D9379" s="18"/>
      <c r="E9379" s="18"/>
      <c r="F9379" s="18"/>
      <c r="G9379" s="18"/>
      <c r="H9379" s="18"/>
      <c r="I9379" s="18"/>
      <c r="J9379" s="18"/>
      <c r="K9379" s="18"/>
      <c r="L9379" s="18"/>
      <c r="M9379" s="18"/>
      <c r="N9379" s="18"/>
      <c r="O9379" s="14" t="str">
        <f>HYPERLINK("https://otsuka-europe-crm.veevavault.com/ui/#object/email_activity__v/V8C00000003Z374", "EN-002099417")</f>
        <v>EN-002099417</v>
      </c>
    </row>
    <row r="9380" spans="1:15" ht="16" x14ac:dyDescent="0.2">
      <c r="A9380" s="19"/>
      <c r="B9380" s="19"/>
      <c r="C9380" s="19"/>
      <c r="D9380" s="19"/>
      <c r="E9380" s="19"/>
      <c r="F9380" s="19"/>
      <c r="G9380" s="19"/>
      <c r="H9380" s="19"/>
      <c r="I9380" s="19"/>
      <c r="J9380" s="19"/>
      <c r="K9380" s="19"/>
      <c r="L9380" s="19"/>
      <c r="M9380" s="19"/>
      <c r="N9380" s="19"/>
      <c r="O9380" s="14" t="str">
        <f>HYPERLINK("https://otsuka-europe-crm.veevavault.com/ui/#object/email_activity__v/V8C00000003Z375", "EN-002099416")</f>
        <v>EN-002099416</v>
      </c>
    </row>
    <row r="9381" spans="1:15" ht="16" x14ac:dyDescent="0.2">
      <c r="A9381" s="17" t="str">
        <f>HYPERLINK("https://otsuka-europe-crm.veevavault.com/ui/#object/account__v/V4TZ04ASG9ZH6TY", "SEBASTIEN DUPUY")</f>
        <v>SEBASTIEN DUPUY</v>
      </c>
      <c r="B9381" s="17" t="str">
        <f>HYPERLINK("https://otsuka-europe-crm.veevavault.com/ui/#object/vcountry__v/VENZ000004SONFA", "FR")</f>
        <v>FR</v>
      </c>
      <c r="C9381" s="20" t="s">
        <v>42</v>
      </c>
      <c r="D9381" s="21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E9381" s="22" t="str">
        <f>HYPERLINK("https://otsuka-europe-crm.veevavault.com/ui/#object/sent_email__v/VBL00000002T277", "SE-001435887")</f>
        <v>SE-001435887</v>
      </c>
      <c r="F9381" s="23">
        <v>46190.537997685184</v>
      </c>
      <c r="G9381" s="24">
        <v>1</v>
      </c>
      <c r="H9381" s="24">
        <v>1</v>
      </c>
      <c r="I9381" s="24">
        <v>0</v>
      </c>
      <c r="J9381" s="25"/>
      <c r="K9381" s="24">
        <v>0</v>
      </c>
      <c r="L9381" s="22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M9381" s="22" t="str">
        <f>HYPERLINK("mailto:smauffrey@crm.otsuka-europe.com", "smauffrey@crm.otsuka-europe.com")</f>
        <v>smauffrey@crm.otsuka-europe.com</v>
      </c>
      <c r="N9381" s="23">
        <v>46190.508935185186</v>
      </c>
      <c r="O9381" s="14" t="str">
        <f>HYPERLINK("https://otsuka-europe-crm.veevavault.com/ui/#object/email_activity__v/V8C00000003W705", "EN-002098394")</f>
        <v>EN-002098394</v>
      </c>
    </row>
    <row r="9382" spans="1:15" ht="16" x14ac:dyDescent="0.2">
      <c r="A9382" s="19"/>
      <c r="B9382" s="19"/>
      <c r="C9382" s="19"/>
      <c r="D9382" s="19"/>
      <c r="E9382" s="19"/>
      <c r="F9382" s="19"/>
      <c r="G9382" s="19"/>
      <c r="H9382" s="19"/>
      <c r="I9382" s="19"/>
      <c r="J9382" s="19"/>
      <c r="K9382" s="19"/>
      <c r="L9382" s="19"/>
      <c r="M9382" s="19"/>
      <c r="N9382" s="19"/>
      <c r="O9382" s="14" t="str">
        <f>HYPERLINK("https://otsuka-europe-crm.veevavault.com/ui/#object/email_activity__v/V8C00000003X857", "EN-002098353")</f>
        <v>EN-002098353</v>
      </c>
    </row>
    <row r="9383" spans="1:15" ht="16" x14ac:dyDescent="0.2">
      <c r="A9383" s="17" t="str">
        <f>HYPERLINK("https://otsuka-europe-crm.veevavault.com/ui/#object/account__v/V4TZ04ASG9ZH6TY", "SEBASTIEN DUPUY")</f>
        <v>SEBASTIEN DUPUY</v>
      </c>
      <c r="B9383" s="17" t="str">
        <f>HYPERLINK("https://otsuka-europe-crm.veevavault.com/ui/#object/vcountry__v/VENZ000004SONFA", "FR")</f>
        <v>FR</v>
      </c>
      <c r="C9383" s="20" t="s">
        <v>42</v>
      </c>
      <c r="D9383" s="21" t="str">
        <f>HYPERLINK("https://otsuka-europe-crm.veevavault.com/ui/#object/approved_document__v/V5OZ04ASG4G02Y7", "REMERCIEMENTS_VAD_2023")</f>
        <v>REMERCIEMENTS_VAD_2023</v>
      </c>
      <c r="E9383" s="22" t="str">
        <f>HYPERLINK("https://otsuka-europe-crm.veevavault.com/ui/#object/sent_email__v/VBL00000002U133", "SE-001435888")</f>
        <v>SE-001435888</v>
      </c>
      <c r="F9383" s="23">
        <v>46188.530150462961</v>
      </c>
      <c r="G9383" s="24">
        <v>1</v>
      </c>
      <c r="H9383" s="24">
        <v>1</v>
      </c>
      <c r="I9383" s="24">
        <v>0</v>
      </c>
      <c r="J9383" s="25"/>
      <c r="K9383" s="24">
        <v>0</v>
      </c>
      <c r="L9383" s="22" t="str">
        <f>HYPERLINK("https://otsuka-europe-crm.veevavault.com/ui/#object/approved_document__v/V5OZ04ASG4G02Y7", "REMERCIEMENTS_VAD_2023")</f>
        <v>REMERCIEMENTS_VAD_2023</v>
      </c>
      <c r="M9383" s="22" t="str">
        <f>HYPERLINK("mailto:smauffrey@crm.otsuka-europe.com", "smauffrey@crm.otsuka-europe.com")</f>
        <v>smauffrey@crm.otsuka-europe.com</v>
      </c>
      <c r="N9383" s="23">
        <v>46188.434687499997</v>
      </c>
      <c r="O9383" s="14" t="str">
        <f>HYPERLINK("https://otsuka-europe-crm.veevavault.com/ui/#object/email_activity__v/V8C00000003U489", "EN-002095806")</f>
        <v>EN-002095806</v>
      </c>
    </row>
    <row r="9384" spans="1:15" ht="16" x14ac:dyDescent="0.2">
      <c r="A9384" s="19"/>
      <c r="B9384" s="19"/>
      <c r="C9384" s="19"/>
      <c r="D9384" s="19"/>
      <c r="E9384" s="19"/>
      <c r="F9384" s="19"/>
      <c r="G9384" s="19"/>
      <c r="H9384" s="19"/>
      <c r="I9384" s="19"/>
      <c r="J9384" s="19"/>
      <c r="K9384" s="19"/>
      <c r="L9384" s="19"/>
      <c r="M9384" s="19"/>
      <c r="N9384" s="19"/>
      <c r="O9384" s="14" t="str">
        <f>HYPERLINK("https://otsuka-europe-crm.veevavault.com/ui/#object/email_activity__v/V8C00000003U671", "EN-002096170")</f>
        <v>EN-002096170</v>
      </c>
    </row>
    <row r="9385" spans="1:15" ht="16" x14ac:dyDescent="0.2">
      <c r="A9385" s="17" t="str">
        <f>HYPERLINK("https://otsuka-europe-crm.veevavault.com/ui/#object/account__v/V4TZ0000062R4FA", "Mircea Bancila")</f>
        <v>Mircea Bancila</v>
      </c>
      <c r="B9385" s="17" t="str">
        <f>HYPERLINK("https://otsuka-europe-crm.veevavault.com/ui/#object/vcountry__v/VENZ000004SONFN", "CH")</f>
        <v>CH</v>
      </c>
      <c r="C9385" s="20" t="s">
        <v>45</v>
      </c>
      <c r="D9385" s="21" t="str">
        <f>HYPERLINK("https://otsuka-europe-crm.veevavault.com/ui/#object/approved_document__v/V5O00000001L017", "ALL_Flexibilität_Ferienplanung_2026_AA_fr")</f>
        <v>ALL_Flexibilität_Ferienplanung_2026_AA_fr</v>
      </c>
      <c r="E9385" s="22" t="str">
        <f>HYPERLINK("https://otsuka-europe-crm.veevavault.com/ui/#object/sent_email__v/VBL00000002U134", "SE-001435889")</f>
        <v>SE-001435889</v>
      </c>
      <c r="F9385" s="25"/>
      <c r="G9385" s="24">
        <v>0</v>
      </c>
      <c r="H9385" s="24">
        <v>0</v>
      </c>
      <c r="I9385" s="24">
        <v>0</v>
      </c>
      <c r="J9385" s="25"/>
      <c r="K9385" s="24">
        <v>0</v>
      </c>
      <c r="L9385" s="22" t="str">
        <f>HYPERLINK("https://otsuka-europe-crm.veevavault.com/ui/#object/approved_document__v/V5O00000001L017", "ALL_Flexibilität_Ferienplanung_2026_AA_fr")</f>
        <v>ALL_Flexibilität_Ferienplanung_2026_AA_fr</v>
      </c>
      <c r="M9385" s="22" t="str">
        <f>HYPERLINK("mailto:yvergari@crm.otsuka-europe.com", "yvergari@crm.otsuka-europe.com")</f>
        <v>yvergari@crm.otsuka-europe.com</v>
      </c>
      <c r="N9385" s="23">
        <v>46188.445081018515</v>
      </c>
      <c r="O9385" s="14" t="str">
        <f>HYPERLINK("https://otsuka-europe-crm.veevavault.com/ui/#object/email_activity__v/V8C00000003U573", "EN-002095966")</f>
        <v>EN-002095966</v>
      </c>
    </row>
    <row r="9386" spans="1:15" ht="16" x14ac:dyDescent="0.2">
      <c r="A9386" s="19"/>
      <c r="B9386" s="19"/>
      <c r="C9386" s="19"/>
      <c r="D9386" s="19"/>
      <c r="E9386" s="19"/>
      <c r="F9386" s="19"/>
      <c r="G9386" s="19"/>
      <c r="H9386" s="19"/>
      <c r="I9386" s="19"/>
      <c r="J9386" s="19"/>
      <c r="K9386" s="19"/>
      <c r="L9386" s="19"/>
      <c r="M9386" s="19"/>
      <c r="N9386" s="19"/>
      <c r="O9386" s="14" t="str">
        <f>HYPERLINK("https://otsuka-europe-crm.veevavault.com/ui/#object/email_activity__v/V8C00000003V542", "EN-002095903")</f>
        <v>EN-002095903</v>
      </c>
    </row>
    <row r="9387" spans="1:15" ht="32" x14ac:dyDescent="0.2">
      <c r="A9387" s="7" t="str">
        <f>HYPERLINK("https://otsuka-europe-crm.veevavault.com/ui/#object/account__v/V4TZ025E846IOF1", "Nadia Elouni")</f>
        <v>Nadia Elouni</v>
      </c>
      <c r="B9387" s="7" t="str">
        <f>HYPERLINK("https://otsuka-europe-crm.veevavault.com/ui/#object/vcountry__v/VENZ000004SONFN", "CH")</f>
        <v>CH</v>
      </c>
      <c r="C9387" s="8" t="s">
        <v>45</v>
      </c>
      <c r="D9387" s="9" t="str">
        <f>HYPERLINK("https://otsuka-europe-crm.veevavault.com/ui/#object/approved_document__v/V5O00000001L017", "ALL_Flexibilität_Ferienplanung_2026_AA_fr")</f>
        <v>ALL_Flexibilität_Ferienplanung_2026_AA_fr</v>
      </c>
      <c r="E9387" s="10" t="str">
        <f>HYPERLINK("https://otsuka-europe-crm.veevavault.com/ui/#object/sent_email__v/VBL00000002U135", "SE-001435890")</f>
        <v>SE-001435890</v>
      </c>
      <c r="F9387" s="11"/>
      <c r="G9387" s="12">
        <v>0</v>
      </c>
      <c r="H9387" s="12">
        <v>0</v>
      </c>
      <c r="I9387" s="12">
        <v>0</v>
      </c>
      <c r="J9387" s="11"/>
      <c r="K9387" s="12">
        <v>0</v>
      </c>
      <c r="L9387" s="10" t="str">
        <f>HYPERLINK("https://otsuka-europe-crm.veevavault.com/ui/#object/approved_document__v/V5O00000001L017", "ALL_Flexibilität_Ferienplanung_2026_AA_fr")</f>
        <v>ALL_Flexibilität_Ferienplanung_2026_AA_fr</v>
      </c>
      <c r="M9387" s="10" t="str">
        <f>HYPERLINK("mailto:yvergari@crm.otsuka-europe.com", "yvergari@crm.otsuka-europe.com")</f>
        <v>yvergari@crm.otsuka-europe.com</v>
      </c>
      <c r="N9387" s="13">
        <v>46188.438113425924</v>
      </c>
      <c r="O9387" s="14" t="str">
        <f>HYPERLINK("https://otsuka-europe-crm.veevavault.com/ui/#object/email_activity__v/V8C00000003U527", "EN-002095870")</f>
        <v>EN-002095870</v>
      </c>
    </row>
    <row r="9388" spans="1:15" ht="16" x14ac:dyDescent="0.2">
      <c r="A9388" s="17" t="str">
        <f>HYPERLINK("https://otsuka-europe-crm.veevavault.com/ui/#object/account__v/V4TZ0000062R6ZZ", "Christine Davidson")</f>
        <v>Christine Davidson</v>
      </c>
      <c r="B9388" s="17" t="str">
        <f>HYPERLINK("https://otsuka-europe-crm.veevavault.com/ui/#object/vcountry__v/VENZ000004SONFN", "CH")</f>
        <v>CH</v>
      </c>
      <c r="C9388" s="20" t="s">
        <v>45</v>
      </c>
      <c r="D9388" s="21" t="str">
        <f>HYPERLINK("https://otsuka-europe-crm.veevavault.com/ui/#object/approved_document__v/V5O00000001L017", "ALL_Flexibilität_Ferienplanung_2026_AA_fr")</f>
        <v>ALL_Flexibilität_Ferienplanung_2026_AA_fr</v>
      </c>
      <c r="E9388" s="22" t="str">
        <f>HYPERLINK("https://otsuka-europe-crm.veevavault.com/ui/#object/sent_email__v/VBL00000002U136", "SE-001435891")</f>
        <v>SE-001435891</v>
      </c>
      <c r="F9388" s="23">
        <v>46188.675335648149</v>
      </c>
      <c r="G9388" s="24">
        <v>1</v>
      </c>
      <c r="H9388" s="24">
        <v>1</v>
      </c>
      <c r="I9388" s="24">
        <v>0</v>
      </c>
      <c r="J9388" s="25"/>
      <c r="K9388" s="24">
        <v>0</v>
      </c>
      <c r="L9388" s="22" t="str">
        <f>HYPERLINK("https://otsuka-europe-crm.veevavault.com/ui/#object/approved_document__v/V5O00000001L017", "ALL_Flexibilität_Ferienplanung_2026_AA_fr")</f>
        <v>ALL_Flexibilität_Ferienplanung_2026_AA_fr</v>
      </c>
      <c r="M9388" s="22" t="str">
        <f>HYPERLINK("mailto:yvergari@crm.otsuka-europe.com", "yvergari@crm.otsuka-europe.com")</f>
        <v>yvergari@crm.otsuka-europe.com</v>
      </c>
      <c r="N9388" s="23">
        <v>46188.438125000001</v>
      </c>
      <c r="O9388" s="14" t="str">
        <f>HYPERLINK("https://otsuka-europe-crm.veevavault.com/ui/#object/email_activity__v/V8C00000003U520", "EN-002095852")</f>
        <v>EN-002095852</v>
      </c>
    </row>
    <row r="9389" spans="1:15" ht="16" x14ac:dyDescent="0.2">
      <c r="A9389" s="19"/>
      <c r="B9389" s="19"/>
      <c r="C9389" s="19"/>
      <c r="D9389" s="19"/>
      <c r="E9389" s="19"/>
      <c r="F9389" s="19"/>
      <c r="G9389" s="19"/>
      <c r="H9389" s="19"/>
      <c r="I9389" s="19"/>
      <c r="J9389" s="19"/>
      <c r="K9389" s="19"/>
      <c r="L9389" s="19"/>
      <c r="M9389" s="19"/>
      <c r="N9389" s="19"/>
      <c r="O9389" s="14" t="str">
        <f>HYPERLINK("https://otsuka-europe-crm.veevavault.com/ui/#object/email_activity__v/V8C00000003U777", "EN-002096466")</f>
        <v>EN-002096466</v>
      </c>
    </row>
    <row r="9390" spans="1:15" ht="32" x14ac:dyDescent="0.2">
      <c r="A9390" s="7" t="str">
        <f>HYPERLINK("https://otsuka-europe-crm.veevavault.com/ui/#object/account__v/V4TZ025E85Z9W3W", "Jean-Charles Allart")</f>
        <v>Jean-Charles Allart</v>
      </c>
      <c r="B9390" s="7" t="str">
        <f>HYPERLINK("https://otsuka-europe-crm.veevavault.com/ui/#object/vcountry__v/VENZ000004SONFN", "CH")</f>
        <v>CH</v>
      </c>
      <c r="C9390" s="8" t="s">
        <v>45</v>
      </c>
      <c r="D9390" s="9" t="str">
        <f>HYPERLINK("https://otsuka-europe-crm.veevavault.com/ui/#object/approved_document__v/V5O00000001L017", "ALL_Flexibilität_Ferienplanung_2026_AA_fr")</f>
        <v>ALL_Flexibilität_Ferienplanung_2026_AA_fr</v>
      </c>
      <c r="E9390" s="10" t="str">
        <f>HYPERLINK("https://otsuka-europe-crm.veevavault.com/ui/#object/sent_email__v/VBL00000002U137", "SE-001435892")</f>
        <v>SE-001435892</v>
      </c>
      <c r="F9390" s="11"/>
      <c r="G9390" s="12">
        <v>0</v>
      </c>
      <c r="H9390" s="12">
        <v>0</v>
      </c>
      <c r="I9390" s="12">
        <v>0</v>
      </c>
      <c r="J9390" s="11"/>
      <c r="K9390" s="12">
        <v>0</v>
      </c>
      <c r="L9390" s="10" t="str">
        <f>HYPERLINK("https://otsuka-europe-crm.veevavault.com/ui/#object/approved_document__v/V5O00000001L017", "ALL_Flexibilität_Ferienplanung_2026_AA_fr")</f>
        <v>ALL_Flexibilität_Ferienplanung_2026_AA_fr</v>
      </c>
      <c r="M9390" s="10" t="str">
        <f>HYPERLINK("mailto:yvergari@crm.otsuka-europe.com", "yvergari@crm.otsuka-europe.com")</f>
        <v>yvergari@crm.otsuka-europe.com</v>
      </c>
      <c r="N9390" s="13">
        <v>46188.438125000001</v>
      </c>
      <c r="O9390" s="14" t="str">
        <f>HYPERLINK("https://otsuka-europe-crm.veevavault.com/ui/#object/email_activity__v/V8C00000003U492", "EN-002095814")</f>
        <v>EN-002095814</v>
      </c>
    </row>
    <row r="9391" spans="1:15" ht="16" x14ac:dyDescent="0.2">
      <c r="A9391" s="17" t="str">
        <f>HYPERLINK("https://otsuka-europe-crm.veevavault.com/ui/#object/account__v/V4TZ06G6OA5SES0", "Richard Best")</f>
        <v>Richard Best</v>
      </c>
      <c r="B9391" s="17" t="str">
        <f>HYPERLINK("https://otsuka-europe-crm.veevavault.com/ui/#object/vcountry__v/VENZ000004SONFN", "CH")</f>
        <v>CH</v>
      </c>
      <c r="C9391" s="20" t="s">
        <v>45</v>
      </c>
      <c r="D9391" s="21" t="str">
        <f>HYPERLINK("https://otsuka-europe-crm.veevavault.com/ui/#object/approved_document__v/V5O00000001L017", "ALL_Flexibilität_Ferienplanung_2026_AA_fr")</f>
        <v>ALL_Flexibilität_Ferienplanung_2026_AA_fr</v>
      </c>
      <c r="E9391" s="22" t="str">
        <f>HYPERLINK("https://otsuka-europe-crm.veevavault.com/ui/#object/sent_email__v/VBL00000002U138", "SE-001435893")</f>
        <v>SE-001435893</v>
      </c>
      <c r="F9391" s="25"/>
      <c r="G9391" s="24">
        <v>0</v>
      </c>
      <c r="H9391" s="24">
        <v>0</v>
      </c>
      <c r="I9391" s="24">
        <v>0</v>
      </c>
      <c r="J9391" s="25"/>
      <c r="K9391" s="24">
        <v>0</v>
      </c>
      <c r="L9391" s="22" t="str">
        <f>HYPERLINK("https://otsuka-europe-crm.veevavault.com/ui/#object/approved_document__v/V5O00000001L017", "ALL_Flexibilität_Ferienplanung_2026_AA_fr")</f>
        <v>ALL_Flexibilität_Ferienplanung_2026_AA_fr</v>
      </c>
      <c r="M9391" s="22" t="str">
        <f>HYPERLINK("mailto:yvergari@crm.otsuka-europe.com", "yvergari@crm.otsuka-europe.com")</f>
        <v>yvergari@crm.otsuka-europe.com</v>
      </c>
      <c r="N9391" s="23">
        <v>46188.438125000001</v>
      </c>
      <c r="O9391" s="14" t="str">
        <f>HYPERLINK("https://otsuka-europe-crm.veevavault.com/ui/#object/email_activity__v/V8C00000003U509", "EN-002095831")</f>
        <v>EN-002095831</v>
      </c>
    </row>
    <row r="9392" spans="1:15" ht="16" x14ac:dyDescent="0.2">
      <c r="A9392" s="18"/>
      <c r="B9392" s="18"/>
      <c r="C9392" s="18"/>
      <c r="D9392" s="18"/>
      <c r="E9392" s="18"/>
      <c r="F9392" s="18"/>
      <c r="G9392" s="18"/>
      <c r="H9392" s="18"/>
      <c r="I9392" s="18"/>
      <c r="J9392" s="18"/>
      <c r="K9392" s="18"/>
      <c r="L9392" s="18"/>
      <c r="M9392" s="18"/>
      <c r="N9392" s="18"/>
      <c r="O9392" s="14" t="str">
        <f>HYPERLINK("https://otsuka-europe-crm.veevavault.com/ui/#object/email_activity__v/V8C00000003V541", "EN-002095900")</f>
        <v>EN-002095900</v>
      </c>
    </row>
    <row r="9393" spans="1:15" ht="16" x14ac:dyDescent="0.2">
      <c r="A9393" s="19"/>
      <c r="B9393" s="19"/>
      <c r="C9393" s="19"/>
      <c r="D9393" s="19"/>
      <c r="E9393" s="19"/>
      <c r="F9393" s="19"/>
      <c r="G9393" s="19"/>
      <c r="H9393" s="19"/>
      <c r="I9393" s="19"/>
      <c r="J9393" s="19"/>
      <c r="K9393" s="19"/>
      <c r="L9393" s="19"/>
      <c r="M9393" s="19"/>
      <c r="N9393" s="19"/>
      <c r="O9393" s="14" t="str">
        <f>HYPERLINK("https://otsuka-europe-crm.veevavault.com/ui/#object/email_activity__v/V8C00000003V554", "EN-002095928")</f>
        <v>EN-002095928</v>
      </c>
    </row>
    <row r="9394" spans="1:15" ht="16" x14ac:dyDescent="0.2">
      <c r="A9394" s="17" t="str">
        <f>HYPERLINK("https://otsuka-europe-crm.veevavault.com/ui/#object/account__v/V4TZ0000062R748", "Frouzan Farahbod Zadeh")</f>
        <v>Frouzan Farahbod Zadeh</v>
      </c>
      <c r="B9394" s="17" t="str">
        <f>HYPERLINK("https://otsuka-europe-crm.veevavault.com/ui/#object/vcountry__v/VENZ000004SONFN", "CH")</f>
        <v>CH</v>
      </c>
      <c r="C9394" s="20" t="s">
        <v>45</v>
      </c>
      <c r="D9394" s="21" t="str">
        <f>HYPERLINK("https://otsuka-europe-crm.veevavault.com/ui/#object/approved_document__v/V5O00000001L017", "ALL_Flexibilität_Ferienplanung_2026_AA_fr")</f>
        <v>ALL_Flexibilität_Ferienplanung_2026_AA_fr</v>
      </c>
      <c r="E9394" s="22" t="str">
        <f>HYPERLINK("https://otsuka-europe-crm.veevavault.com/ui/#object/sent_email__v/VBL00000002U139", "SE-001435894")</f>
        <v>SE-001435894</v>
      </c>
      <c r="F9394" s="25"/>
      <c r="G9394" s="24">
        <v>0</v>
      </c>
      <c r="H9394" s="24">
        <v>0</v>
      </c>
      <c r="I9394" s="24">
        <v>0</v>
      </c>
      <c r="J9394" s="25"/>
      <c r="K9394" s="24">
        <v>0</v>
      </c>
      <c r="L9394" s="22" t="str">
        <f>HYPERLINK("https://otsuka-europe-crm.veevavault.com/ui/#object/approved_document__v/V5O00000001L017", "ALL_Flexibilität_Ferienplanung_2026_AA_fr")</f>
        <v>ALL_Flexibilität_Ferienplanung_2026_AA_fr</v>
      </c>
      <c r="M9394" s="22" t="str">
        <f>HYPERLINK("mailto:yvergari@crm.otsuka-europe.com", "yvergari@crm.otsuka-europe.com")</f>
        <v>yvergari@crm.otsuka-europe.com</v>
      </c>
      <c r="N9394" s="23">
        <v>46188.438125000001</v>
      </c>
      <c r="O9394" s="14" t="str">
        <f>HYPERLINK("https://otsuka-europe-crm.veevavault.com/ui/#object/email_activity__v/V8C00000003V511", "EN-002095834")</f>
        <v>EN-002095834</v>
      </c>
    </row>
    <row r="9395" spans="1:15" ht="16" x14ac:dyDescent="0.2">
      <c r="A9395" s="19"/>
      <c r="B9395" s="19"/>
      <c r="C9395" s="19"/>
      <c r="D9395" s="19"/>
      <c r="E9395" s="19"/>
      <c r="F9395" s="19"/>
      <c r="G9395" s="19"/>
      <c r="H9395" s="19"/>
      <c r="I9395" s="19"/>
      <c r="J9395" s="19"/>
      <c r="K9395" s="19"/>
      <c r="L9395" s="19"/>
      <c r="M9395" s="19"/>
      <c r="N9395" s="19"/>
      <c r="O9395" s="14" t="str">
        <f>HYPERLINK("https://otsuka-europe-crm.veevavault.com/ui/#object/email_activity__v/V8C00000003X987", "EN-002098586")</f>
        <v>EN-002098586</v>
      </c>
    </row>
    <row r="9396" spans="1:15" ht="16" x14ac:dyDescent="0.2">
      <c r="A9396" s="17" t="str">
        <f>HYPERLINK("https://otsuka-europe-crm.veevavault.com/ui/#object/account__v/V4TZ0000062R6K3", "Abderrahmane Bougherab")</f>
        <v>Abderrahmane Bougherab</v>
      </c>
      <c r="B9396" s="17" t="str">
        <f>HYPERLINK("https://otsuka-europe-crm.veevavault.com/ui/#object/vcountry__v/VENZ000004SONFN", "CH")</f>
        <v>CH</v>
      </c>
      <c r="C9396" s="20" t="s">
        <v>45</v>
      </c>
      <c r="D9396" s="21" t="str">
        <f>HYPERLINK("https://otsuka-europe-crm.veevavault.com/ui/#object/approved_document__v/V5O00000001L017", "ALL_Flexibilität_Ferienplanung_2026_AA_fr")</f>
        <v>ALL_Flexibilität_Ferienplanung_2026_AA_fr</v>
      </c>
      <c r="E9396" s="22" t="str">
        <f>HYPERLINK("https://otsuka-europe-crm.veevavault.com/ui/#object/sent_email__v/VBL00000002U140", "SE-001435895")</f>
        <v>SE-001435895</v>
      </c>
      <c r="F9396" s="23">
        <v>46188.537615740737</v>
      </c>
      <c r="G9396" s="24">
        <v>1</v>
      </c>
      <c r="H9396" s="24">
        <v>2</v>
      </c>
      <c r="I9396" s="24">
        <v>0</v>
      </c>
      <c r="J9396" s="25"/>
      <c r="K9396" s="24">
        <v>0</v>
      </c>
      <c r="L9396" s="22" t="str">
        <f>HYPERLINK("https://otsuka-europe-crm.veevavault.com/ui/#object/approved_document__v/V5O00000001L017", "ALL_Flexibilität_Ferienplanung_2026_AA_fr")</f>
        <v>ALL_Flexibilität_Ferienplanung_2026_AA_fr</v>
      </c>
      <c r="M9396" s="22" t="str">
        <f>HYPERLINK("mailto:yvergari@crm.otsuka-europe.com", "yvergari@crm.otsuka-europe.com")</f>
        <v>yvergari@crm.otsuka-europe.com</v>
      </c>
      <c r="N9396" s="23">
        <v>46188.438136574077</v>
      </c>
      <c r="O9396" s="14" t="str">
        <f>HYPERLINK("https://otsuka-europe-crm.veevavault.com/ui/#object/email_activity__v/V8C00000003U682", "EN-002096189")</f>
        <v>EN-002096189</v>
      </c>
    </row>
    <row r="9397" spans="1:15" ht="16" x14ac:dyDescent="0.2">
      <c r="A9397" s="18"/>
      <c r="B9397" s="18"/>
      <c r="C9397" s="18"/>
      <c r="D9397" s="18"/>
      <c r="E9397" s="18"/>
      <c r="F9397" s="18"/>
      <c r="G9397" s="18"/>
      <c r="H9397" s="18"/>
      <c r="I9397" s="18"/>
      <c r="J9397" s="18"/>
      <c r="K9397" s="18"/>
      <c r="L9397" s="18"/>
      <c r="M9397" s="18"/>
      <c r="N9397" s="18"/>
      <c r="O9397" s="14" t="str">
        <f>HYPERLINK("https://otsuka-europe-crm.veevavault.com/ui/#object/email_activity__v/V8C00000003U683", "EN-002096190")</f>
        <v>EN-002096190</v>
      </c>
    </row>
    <row r="9398" spans="1:15" ht="16" x14ac:dyDescent="0.2">
      <c r="A9398" s="19"/>
      <c r="B9398" s="19"/>
      <c r="C9398" s="19"/>
      <c r="D9398" s="19"/>
      <c r="E9398" s="19"/>
      <c r="F9398" s="19"/>
      <c r="G9398" s="19"/>
      <c r="H9398" s="19"/>
      <c r="I9398" s="19"/>
      <c r="J9398" s="19"/>
      <c r="K9398" s="19"/>
      <c r="L9398" s="19"/>
      <c r="M9398" s="19"/>
      <c r="N9398" s="19"/>
      <c r="O9398" s="14" t="str">
        <f>HYPERLINK("https://otsuka-europe-crm.veevavault.com/ui/#object/email_activity__v/V8C00000003V514", "EN-002095837")</f>
        <v>EN-002095837</v>
      </c>
    </row>
    <row r="9399" spans="1:15" ht="32" x14ac:dyDescent="0.2">
      <c r="A9399" s="7" t="str">
        <f>HYPERLINK("https://otsuka-europe-crm.veevavault.com/ui/#object/account__v/V4TZ04ASG8F35WB", "Marc Beucler")</f>
        <v>Marc Beucler</v>
      </c>
      <c r="B9399" s="7" t="str">
        <f>HYPERLINK("https://otsuka-europe-crm.veevavault.com/ui/#object/vcountry__v/VENZ000004SONFN", "CH")</f>
        <v>CH</v>
      </c>
      <c r="C9399" s="8" t="s">
        <v>45</v>
      </c>
      <c r="D9399" s="9" t="str">
        <f>HYPERLINK("https://otsuka-europe-crm.veevavault.com/ui/#object/approved_document__v/V5O00000001L017", "ALL_Flexibilität_Ferienplanung_2026_AA_fr")</f>
        <v>ALL_Flexibilität_Ferienplanung_2026_AA_fr</v>
      </c>
      <c r="E9399" s="10" t="str">
        <f>HYPERLINK("https://otsuka-europe-crm.veevavault.com/ui/#object/sent_email__v/VBL00000002U141", "SE-001435896")</f>
        <v>SE-001435896</v>
      </c>
      <c r="F9399" s="11"/>
      <c r="G9399" s="12">
        <v>0</v>
      </c>
      <c r="H9399" s="12">
        <v>0</v>
      </c>
      <c r="I9399" s="12">
        <v>0</v>
      </c>
      <c r="J9399" s="11"/>
      <c r="K9399" s="12">
        <v>0</v>
      </c>
      <c r="L9399" s="10" t="str">
        <f>HYPERLINK("https://otsuka-europe-crm.veevavault.com/ui/#object/approved_document__v/V5O00000001L017", "ALL_Flexibilität_Ferienplanung_2026_AA_fr")</f>
        <v>ALL_Flexibilität_Ferienplanung_2026_AA_fr</v>
      </c>
      <c r="M9399" s="10" t="str">
        <f>HYPERLINK("mailto:yvergari@crm.otsuka-europe.com", "yvergari@crm.otsuka-europe.com")</f>
        <v>yvergari@crm.otsuka-europe.com</v>
      </c>
      <c r="N9399" s="13">
        <v>46188.452164351853</v>
      </c>
      <c r="O9399" s="14" t="str">
        <f>HYPERLINK("https://otsuka-europe-crm.veevavault.com/ui/#object/email_activity__v/V8C00000003U554", "EN-002095913")</f>
        <v>EN-002095913</v>
      </c>
    </row>
    <row r="9400" spans="1:15" ht="32" x14ac:dyDescent="0.2">
      <c r="A9400" s="7" t="str">
        <f>HYPERLINK("https://otsuka-europe-crm.veevavault.com/ui/#object/account__v/V4TZ0000062R7DO", "Hélène Chappuis")</f>
        <v>Hélène Chappuis</v>
      </c>
      <c r="B9400" s="7" t="str">
        <f>HYPERLINK("https://otsuka-europe-crm.veevavault.com/ui/#object/vcountry__v/VENZ000004SONFN", "CH")</f>
        <v>CH</v>
      </c>
      <c r="C9400" s="8" t="s">
        <v>45</v>
      </c>
      <c r="D9400" s="9" t="str">
        <f>HYPERLINK("https://otsuka-europe-crm.veevavault.com/ui/#object/approved_document__v/V5O00000001L017", "ALL_Flexibilität_Ferienplanung_2026_AA_fr")</f>
        <v>ALL_Flexibilität_Ferienplanung_2026_AA_fr</v>
      </c>
      <c r="E9400" s="10" t="str">
        <f>HYPERLINK("https://otsuka-europe-crm.veevavault.com/ui/#object/sent_email__v/VBL00000002U142", "SE-001435897")</f>
        <v>SE-001435897</v>
      </c>
      <c r="F9400" s="11"/>
      <c r="G9400" s="12">
        <v>0</v>
      </c>
      <c r="H9400" s="12">
        <v>0</v>
      </c>
      <c r="I9400" s="12">
        <v>0</v>
      </c>
      <c r="J9400" s="11"/>
      <c r="K9400" s="12">
        <v>0</v>
      </c>
      <c r="L9400" s="10" t="str">
        <f>HYPERLINK("https://otsuka-europe-crm.veevavault.com/ui/#object/approved_document__v/V5O00000001L017", "ALL_Flexibilität_Ferienplanung_2026_AA_fr")</f>
        <v>ALL_Flexibilität_Ferienplanung_2026_AA_fr</v>
      </c>
      <c r="M9400" s="10" t="str">
        <f>HYPERLINK("mailto:yvergari@crm.otsuka-europe.com", "yvergari@crm.otsuka-europe.com")</f>
        <v>yvergari@crm.otsuka-europe.com</v>
      </c>
      <c r="N9400" s="13">
        <v>46188.438148148147</v>
      </c>
      <c r="O9400" s="14" t="str">
        <f>HYPERLINK("https://otsuka-europe-crm.veevavault.com/ui/#object/email_activity__v/V8C00000003U535", "EN-002095878")</f>
        <v>EN-002095878</v>
      </c>
    </row>
    <row r="9401" spans="1:15" ht="32" x14ac:dyDescent="0.2">
      <c r="A9401" s="7" t="str">
        <f>HYPERLINK("https://otsuka-europe-crm.veevavault.com/ui/#object/account__v/V4TZ0000062R4G7", "Cédric Devillé")</f>
        <v>Cédric Devillé</v>
      </c>
      <c r="B9401" s="7" t="str">
        <f>HYPERLINK("https://otsuka-europe-crm.veevavault.com/ui/#object/vcountry__v/VENZ000004SONFN", "CH")</f>
        <v>CH</v>
      </c>
      <c r="C9401" s="8" t="s">
        <v>45</v>
      </c>
      <c r="D9401" s="9" t="str">
        <f>HYPERLINK("https://otsuka-europe-crm.veevavault.com/ui/#object/approved_document__v/V5O00000001L017", "ALL_Flexibilität_Ferienplanung_2026_AA_fr")</f>
        <v>ALL_Flexibilität_Ferienplanung_2026_AA_fr</v>
      </c>
      <c r="E9401" s="10" t="str">
        <f>HYPERLINK("https://otsuka-europe-crm.veevavault.com/ui/#object/sent_email__v/VBL00000002U143", "SE-001435898")</f>
        <v>SE-001435898</v>
      </c>
      <c r="F9401" s="11"/>
      <c r="G9401" s="12">
        <v>0</v>
      </c>
      <c r="H9401" s="12">
        <v>0</v>
      </c>
      <c r="I9401" s="12">
        <v>0</v>
      </c>
      <c r="J9401" s="11"/>
      <c r="K9401" s="12">
        <v>0</v>
      </c>
      <c r="L9401" s="10" t="str">
        <f>HYPERLINK("https://otsuka-europe-crm.veevavault.com/ui/#object/approved_document__v/V5O00000001L017", "ALL_Flexibilität_Ferienplanung_2026_AA_fr")</f>
        <v>ALL_Flexibilität_Ferienplanung_2026_AA_fr</v>
      </c>
      <c r="M9401" s="10" t="str">
        <f>HYPERLINK("mailto:yvergari@crm.otsuka-europe.com", "yvergari@crm.otsuka-europe.com")</f>
        <v>yvergari@crm.otsuka-europe.com</v>
      </c>
      <c r="N9401" s="13">
        <v>46188.438136574077</v>
      </c>
      <c r="O9401" s="14" t="str">
        <f>HYPERLINK("https://otsuka-europe-crm.veevavault.com/ui/#object/email_activity__v/V8C00000003V513", "EN-002095836")</f>
        <v>EN-002095836</v>
      </c>
    </row>
    <row r="9402" spans="1:15" ht="32" x14ac:dyDescent="0.2">
      <c r="A9402" s="7" t="str">
        <f>HYPERLINK("https://otsuka-europe-crm.veevavault.com/ui/#object/account__v/V4TZ025E86KQTEZ", "Arnaud Bossi")</f>
        <v>Arnaud Bossi</v>
      </c>
      <c r="B9402" s="7" t="str">
        <f>HYPERLINK("https://otsuka-europe-crm.veevavault.com/ui/#object/vcountry__v/VENZ000004SONFN", "CH")</f>
        <v>CH</v>
      </c>
      <c r="C9402" s="8" t="s">
        <v>45</v>
      </c>
      <c r="D9402" s="9" t="str">
        <f>HYPERLINK("https://otsuka-europe-crm.veevavault.com/ui/#object/approved_document__v/V5O00000001L017", "ALL_Flexibilität_Ferienplanung_2026_AA_fr")</f>
        <v>ALL_Flexibilität_Ferienplanung_2026_AA_fr</v>
      </c>
      <c r="E9402" s="10" t="str">
        <f>HYPERLINK("https://otsuka-europe-crm.veevavault.com/ui/#object/sent_email__v/VBL00000002U144", "SE-001435899")</f>
        <v>SE-001435899</v>
      </c>
      <c r="F9402" s="11"/>
      <c r="G9402" s="12">
        <v>0</v>
      </c>
      <c r="H9402" s="12">
        <v>0</v>
      </c>
      <c r="I9402" s="12">
        <v>0</v>
      </c>
      <c r="J9402" s="11"/>
      <c r="K9402" s="12">
        <v>0</v>
      </c>
      <c r="L9402" s="10" t="str">
        <f>HYPERLINK("https://otsuka-europe-crm.veevavault.com/ui/#object/approved_document__v/V5O00000001L017", "ALL_Flexibilität_Ferienplanung_2026_AA_fr")</f>
        <v>ALL_Flexibilität_Ferienplanung_2026_AA_fr</v>
      </c>
      <c r="M9402" s="10" t="str">
        <f>HYPERLINK("mailto:yvergari@crm.otsuka-europe.com", "yvergari@crm.otsuka-europe.com")</f>
        <v>yvergari@crm.otsuka-europe.com</v>
      </c>
      <c r="N9402" s="13">
        <v>46188.438252314816</v>
      </c>
      <c r="O9402" s="14" t="str">
        <f>HYPERLINK("https://otsuka-europe-crm.veevavault.com/ui/#object/email_activity__v/V8C00000003U540", "EN-002095889")</f>
        <v>EN-002095889</v>
      </c>
    </row>
    <row r="9403" spans="1:15" ht="16" x14ac:dyDescent="0.2">
      <c r="A9403" s="17" t="str">
        <f>HYPERLINK("https://otsuka-europe-crm.veevavault.com/ui/#object/account__v/V4TZ0000062R6C3", "Corinne Dauvé")</f>
        <v>Corinne Dauvé</v>
      </c>
      <c r="B9403" s="17" t="str">
        <f>HYPERLINK("https://otsuka-europe-crm.veevavault.com/ui/#object/vcountry__v/VENZ000004SONFN", "CH")</f>
        <v>CH</v>
      </c>
      <c r="C9403" s="20" t="s">
        <v>45</v>
      </c>
      <c r="D9403" s="21" t="str">
        <f>HYPERLINK("https://otsuka-europe-crm.veevavault.com/ui/#object/approved_document__v/V5O00000001L017", "ALL_Flexibilität_Ferienplanung_2026_AA_fr")</f>
        <v>ALL_Flexibilität_Ferienplanung_2026_AA_fr</v>
      </c>
      <c r="E9403" s="22" t="str">
        <f>HYPERLINK("https://otsuka-europe-crm.veevavault.com/ui/#object/sent_email__v/VBL00000002U145", "SE-001435900")</f>
        <v>SE-001435900</v>
      </c>
      <c r="F9403" s="23">
        <v>46188.463622685187</v>
      </c>
      <c r="G9403" s="24">
        <v>1</v>
      </c>
      <c r="H9403" s="24">
        <v>2</v>
      </c>
      <c r="I9403" s="24">
        <v>0</v>
      </c>
      <c r="J9403" s="25"/>
      <c r="K9403" s="24">
        <v>0</v>
      </c>
      <c r="L9403" s="22" t="str">
        <f>HYPERLINK("https://otsuka-europe-crm.veevavault.com/ui/#object/approved_document__v/V5O00000001L017", "ALL_Flexibilität_Ferienplanung_2026_AA_fr")</f>
        <v>ALL_Flexibilität_Ferienplanung_2026_AA_fr</v>
      </c>
      <c r="M9403" s="22" t="str">
        <f>HYPERLINK("mailto:yvergari@crm.otsuka-europe.com", "yvergari@crm.otsuka-europe.com")</f>
        <v>yvergari@crm.otsuka-europe.com</v>
      </c>
      <c r="N9403" s="23">
        <v>46188.438240740739</v>
      </c>
      <c r="O9403" s="14" t="str">
        <f>HYPERLINK("https://otsuka-europe-crm.veevavault.com/ui/#object/email_activity__v/V8C00000003U538", "EN-002095886")</f>
        <v>EN-002095886</v>
      </c>
    </row>
    <row r="9404" spans="1:15" ht="16" x14ac:dyDescent="0.2">
      <c r="A9404" s="18"/>
      <c r="B9404" s="18"/>
      <c r="C9404" s="18"/>
      <c r="D9404" s="18"/>
      <c r="E9404" s="18"/>
      <c r="F9404" s="18"/>
      <c r="G9404" s="18"/>
      <c r="H9404" s="18"/>
      <c r="I9404" s="18"/>
      <c r="J9404" s="18"/>
      <c r="K9404" s="18"/>
      <c r="L9404" s="18"/>
      <c r="M9404" s="18"/>
      <c r="N9404" s="18"/>
      <c r="O9404" s="14" t="str">
        <f>HYPERLINK("https://otsuka-europe-crm.veevavault.com/ui/#object/email_activity__v/V8C00000003U561", "EN-002095931")</f>
        <v>EN-002095931</v>
      </c>
    </row>
    <row r="9405" spans="1:15" ht="16" x14ac:dyDescent="0.2">
      <c r="A9405" s="19"/>
      <c r="B9405" s="19"/>
      <c r="C9405" s="19"/>
      <c r="D9405" s="19"/>
      <c r="E9405" s="19"/>
      <c r="F9405" s="19"/>
      <c r="G9405" s="19"/>
      <c r="H9405" s="19"/>
      <c r="I9405" s="19"/>
      <c r="J9405" s="19"/>
      <c r="K9405" s="19"/>
      <c r="L9405" s="19"/>
      <c r="M9405" s="19"/>
      <c r="N9405" s="19"/>
      <c r="O9405" s="14" t="str">
        <f>HYPERLINK("https://otsuka-europe-crm.veevavault.com/ui/#object/email_activity__v/V8C00000003V555", "EN-002095929")</f>
        <v>EN-002095929</v>
      </c>
    </row>
    <row r="9406" spans="1:15" ht="32" x14ac:dyDescent="0.2">
      <c r="A9406" s="7" t="str">
        <f>HYPERLINK("https://otsuka-europe-crm.veevavault.com/ui/#object/account__v/V4TZ04ASG8EY3XC", "Enrico Bisaz")</f>
        <v>Enrico Bisaz</v>
      </c>
      <c r="B9406" s="7" t="str">
        <f>HYPERLINK("https://otsuka-europe-crm.veevavault.com/ui/#object/vcountry__v/VENZ000004SONFN", "CH")</f>
        <v>CH</v>
      </c>
      <c r="C9406" s="8" t="s">
        <v>45</v>
      </c>
      <c r="D9406" s="9" t="str">
        <f>HYPERLINK("https://otsuka-europe-crm.veevavault.com/ui/#object/approved_document__v/V5O00000001L017", "ALL_Flexibilität_Ferienplanung_2026_AA_fr")</f>
        <v>ALL_Flexibilität_Ferienplanung_2026_AA_fr</v>
      </c>
      <c r="E9406" s="10" t="str">
        <f>HYPERLINK("https://otsuka-europe-crm.veevavault.com/ui/#object/sent_email__v/VBL00000002U146", "SE-001435901")</f>
        <v>SE-001435901</v>
      </c>
      <c r="F9406" s="11"/>
      <c r="G9406" s="12">
        <v>0</v>
      </c>
      <c r="H9406" s="12">
        <v>0</v>
      </c>
      <c r="I9406" s="12">
        <v>0</v>
      </c>
      <c r="J9406" s="11"/>
      <c r="K9406" s="12">
        <v>0</v>
      </c>
      <c r="L9406" s="10" t="str">
        <f>HYPERLINK("https://otsuka-europe-crm.veevavault.com/ui/#object/approved_document__v/V5O00000001L017", "ALL_Flexibilität_Ferienplanung_2026_AA_fr")</f>
        <v>ALL_Flexibilität_Ferienplanung_2026_AA_fr</v>
      </c>
      <c r="M9406" s="10" t="str">
        <f>HYPERLINK("mailto:yvergari@crm.otsuka-europe.com", "yvergari@crm.otsuka-europe.com")</f>
        <v>yvergari@crm.otsuka-europe.com</v>
      </c>
      <c r="N9406" s="13">
        <v>46188.438136574077</v>
      </c>
      <c r="O9406" s="14" t="str">
        <f>HYPERLINK("https://otsuka-europe-crm.veevavault.com/ui/#object/email_activity__v/V8C00000003U532", "EN-002095875")</f>
        <v>EN-002095875</v>
      </c>
    </row>
    <row r="9407" spans="1:15" ht="16" x14ac:dyDescent="0.2">
      <c r="A9407" s="17" t="str">
        <f>HYPERLINK("https://otsuka-europe-crm.veevavault.com/ui/#object/account__v/V4TZ0000062R84I", "Didier Cuénod")</f>
        <v>Didier Cuénod</v>
      </c>
      <c r="B9407" s="17" t="str">
        <f>HYPERLINK("https://otsuka-europe-crm.veevavault.com/ui/#object/vcountry__v/VENZ000004SONFN", "CH")</f>
        <v>CH</v>
      </c>
      <c r="C9407" s="20" t="s">
        <v>45</v>
      </c>
      <c r="D9407" s="21" t="str">
        <f>HYPERLINK("https://otsuka-europe-crm.veevavault.com/ui/#object/approved_document__v/V5O00000001L017", "ALL_Flexibilität_Ferienplanung_2026_AA_fr")</f>
        <v>ALL_Flexibilität_Ferienplanung_2026_AA_fr</v>
      </c>
      <c r="E9407" s="22" t="str">
        <f>HYPERLINK("https://otsuka-europe-crm.veevavault.com/ui/#object/sent_email__v/VBL00000002U147", "SE-001435902")</f>
        <v>SE-001435902</v>
      </c>
      <c r="F9407" s="23">
        <v>46189.46665509259</v>
      </c>
      <c r="G9407" s="24">
        <v>1</v>
      </c>
      <c r="H9407" s="24">
        <v>2</v>
      </c>
      <c r="I9407" s="24">
        <v>0</v>
      </c>
      <c r="J9407" s="25"/>
      <c r="K9407" s="24">
        <v>0</v>
      </c>
      <c r="L9407" s="22" t="str">
        <f>HYPERLINK("https://otsuka-europe-crm.veevavault.com/ui/#object/approved_document__v/V5O00000001L017", "ALL_Flexibilität_Ferienplanung_2026_AA_fr")</f>
        <v>ALL_Flexibilität_Ferienplanung_2026_AA_fr</v>
      </c>
      <c r="M9407" s="22" t="str">
        <f>HYPERLINK("mailto:yvergari@crm.otsuka-europe.com", "yvergari@crm.otsuka-europe.com")</f>
        <v>yvergari@crm.otsuka-europe.com</v>
      </c>
      <c r="N9407" s="23">
        <v>46188.438136574077</v>
      </c>
      <c r="O9407" s="14" t="str">
        <f>HYPERLINK("https://otsuka-europe-crm.veevavault.com/ui/#object/email_activity__v/V8C00000003U515", "EN-002095847")</f>
        <v>EN-002095847</v>
      </c>
    </row>
    <row r="9408" spans="1:15" ht="16" x14ac:dyDescent="0.2">
      <c r="A9408" s="18"/>
      <c r="B9408" s="18"/>
      <c r="C9408" s="18"/>
      <c r="D9408" s="18"/>
      <c r="E9408" s="18"/>
      <c r="F9408" s="18"/>
      <c r="G9408" s="18"/>
      <c r="H9408" s="18"/>
      <c r="I9408" s="18"/>
      <c r="J9408" s="18"/>
      <c r="K9408" s="18"/>
      <c r="L9408" s="18"/>
      <c r="M9408" s="18"/>
      <c r="N9408" s="18"/>
      <c r="O9408" s="14" t="str">
        <f>HYPERLINK("https://otsuka-europe-crm.veevavault.com/ui/#object/email_activity__v/V8C00000003U581", "EN-002095988")</f>
        <v>EN-002095988</v>
      </c>
    </row>
    <row r="9409" spans="1:15" ht="16" x14ac:dyDescent="0.2">
      <c r="A9409" s="19"/>
      <c r="B9409" s="19"/>
      <c r="C9409" s="19"/>
      <c r="D9409" s="19"/>
      <c r="E9409" s="19"/>
      <c r="F9409" s="19"/>
      <c r="G9409" s="19"/>
      <c r="H9409" s="19"/>
      <c r="I9409" s="19"/>
      <c r="J9409" s="19"/>
      <c r="K9409" s="19"/>
      <c r="L9409" s="19"/>
      <c r="M9409" s="19"/>
      <c r="N9409" s="19"/>
      <c r="O9409" s="14" t="str">
        <f>HYPERLINK("https://otsuka-europe-crm.veevavault.com/ui/#object/email_activity__v/V8C00000003X115", "EN-002097130")</f>
        <v>EN-002097130</v>
      </c>
    </row>
    <row r="9410" spans="1:15" ht="16" x14ac:dyDescent="0.2">
      <c r="A9410" s="17" t="str">
        <f>HYPERLINK("https://otsuka-europe-crm.veevavault.com/ui/#object/account__v/V4TZ0000062R60H", "Hamid-Reza Eslam")</f>
        <v>Hamid-Reza Eslam</v>
      </c>
      <c r="B9410" s="17" t="str">
        <f>HYPERLINK("https://otsuka-europe-crm.veevavault.com/ui/#object/vcountry__v/VENZ000004SONFN", "CH")</f>
        <v>CH</v>
      </c>
      <c r="C9410" s="20" t="s">
        <v>45</v>
      </c>
      <c r="D9410" s="21" t="str">
        <f>HYPERLINK("https://otsuka-europe-crm.veevavault.com/ui/#object/approved_document__v/V5O00000001L017", "ALL_Flexibilität_Ferienplanung_2026_AA_fr")</f>
        <v>ALL_Flexibilität_Ferienplanung_2026_AA_fr</v>
      </c>
      <c r="E9410" s="22" t="str">
        <f>HYPERLINK("https://otsuka-europe-crm.veevavault.com/ui/#object/sent_email__v/VBL00000002U148", "SE-001435903")</f>
        <v>SE-001435903</v>
      </c>
      <c r="F9410" s="25"/>
      <c r="G9410" s="24">
        <v>0</v>
      </c>
      <c r="H9410" s="24">
        <v>0</v>
      </c>
      <c r="I9410" s="24">
        <v>0</v>
      </c>
      <c r="J9410" s="25"/>
      <c r="K9410" s="24">
        <v>0</v>
      </c>
      <c r="L9410" s="22" t="str">
        <f>HYPERLINK("https://otsuka-europe-crm.veevavault.com/ui/#object/approved_document__v/V5O00000001L017", "ALL_Flexibilität_Ferienplanung_2026_AA_fr")</f>
        <v>ALL_Flexibilität_Ferienplanung_2026_AA_fr</v>
      </c>
      <c r="M9410" s="22" t="str">
        <f>HYPERLINK("mailto:yvergari@crm.otsuka-europe.com", "yvergari@crm.otsuka-europe.com")</f>
        <v>yvergari@crm.otsuka-europe.com</v>
      </c>
      <c r="N9410" s="23">
        <v>46188.438136574077</v>
      </c>
      <c r="O9410" s="14" t="str">
        <f>HYPERLINK("https://otsuka-europe-crm.veevavault.com/ui/#object/email_activity__v/V8C00000003U576", "EN-002095969")</f>
        <v>EN-002095969</v>
      </c>
    </row>
    <row r="9411" spans="1:15" ht="16" x14ac:dyDescent="0.2">
      <c r="A9411" s="18"/>
      <c r="B9411" s="18"/>
      <c r="C9411" s="18"/>
      <c r="D9411" s="18"/>
      <c r="E9411" s="18"/>
      <c r="F9411" s="18"/>
      <c r="G9411" s="18"/>
      <c r="H9411" s="18"/>
      <c r="I9411" s="18"/>
      <c r="J9411" s="18"/>
      <c r="K9411" s="18"/>
      <c r="L9411" s="18"/>
      <c r="M9411" s="18"/>
      <c r="N9411" s="18"/>
      <c r="O9411" s="14" t="str">
        <f>HYPERLINK("https://otsuka-europe-crm.veevavault.com/ui/#object/email_activity__v/V8C00000003V525", "EN-002095865")</f>
        <v>EN-002095865</v>
      </c>
    </row>
    <row r="9412" spans="1:15" ht="16" x14ac:dyDescent="0.2">
      <c r="A9412" s="19"/>
      <c r="B9412" s="19"/>
      <c r="C9412" s="19"/>
      <c r="D9412" s="19"/>
      <c r="E9412" s="19"/>
      <c r="F9412" s="19"/>
      <c r="G9412" s="19"/>
      <c r="H9412" s="19"/>
      <c r="I9412" s="19"/>
      <c r="J9412" s="19"/>
      <c r="K9412" s="19"/>
      <c r="L9412" s="19"/>
      <c r="M9412" s="19"/>
      <c r="N9412" s="19"/>
      <c r="O9412" s="14" t="str">
        <f>HYPERLINK("https://otsuka-europe-crm.veevavault.com/ui/#object/email_activity__v/V8C00000003W088", "EN-002096821")</f>
        <v>EN-002096821</v>
      </c>
    </row>
    <row r="9413" spans="1:15" ht="32" x14ac:dyDescent="0.2">
      <c r="A9413" s="7" t="str">
        <f>HYPERLINK("https://otsuka-europe-crm.veevavault.com/ui/#object/account__v/V4TZ0000062R6IB", "Mazen Almesber")</f>
        <v>Mazen Almesber</v>
      </c>
      <c r="B9413" s="7" t="str">
        <f>HYPERLINK("https://otsuka-europe-crm.veevavault.com/ui/#object/vcountry__v/VENZ000004SONFN", "CH")</f>
        <v>CH</v>
      </c>
      <c r="C9413" s="8" t="s">
        <v>45</v>
      </c>
      <c r="D9413" s="9" t="str">
        <f>HYPERLINK("https://otsuka-europe-crm.veevavault.com/ui/#object/approved_document__v/V5O00000001L017", "ALL_Flexibilität_Ferienplanung_2026_AA_fr")</f>
        <v>ALL_Flexibilität_Ferienplanung_2026_AA_fr</v>
      </c>
      <c r="E9413" s="10" t="str">
        <f>HYPERLINK("https://otsuka-europe-crm.veevavault.com/ui/#object/sent_email__v/VBL00000002U149", "SE-001435904")</f>
        <v>SE-001435904</v>
      </c>
      <c r="F9413" s="11"/>
      <c r="G9413" s="12">
        <v>0</v>
      </c>
      <c r="H9413" s="12">
        <v>0</v>
      </c>
      <c r="I9413" s="12">
        <v>0</v>
      </c>
      <c r="J9413" s="11"/>
      <c r="K9413" s="12">
        <v>0</v>
      </c>
      <c r="L9413" s="10" t="str">
        <f>HYPERLINK("https://otsuka-europe-crm.veevavault.com/ui/#object/approved_document__v/V5O00000001L017", "ALL_Flexibilität_Ferienplanung_2026_AA_fr")</f>
        <v>ALL_Flexibilität_Ferienplanung_2026_AA_fr</v>
      </c>
      <c r="M9413" s="10" t="str">
        <f>HYPERLINK("mailto:yvergari@crm.otsuka-europe.com", "yvergari@crm.otsuka-europe.com")</f>
        <v>yvergari@crm.otsuka-europe.com</v>
      </c>
      <c r="N9413" s="13">
        <v>46188.43818287037</v>
      </c>
      <c r="O9413" s="14" t="str">
        <f>HYPERLINK("https://otsuka-europe-crm.veevavault.com/ui/#object/email_activity__v/V8C00000003V528", "EN-002095868")</f>
        <v>EN-002095868</v>
      </c>
    </row>
    <row r="9414" spans="1:15" ht="16" x14ac:dyDescent="0.2">
      <c r="A9414" s="17" t="str">
        <f>HYPERLINK("https://otsuka-europe-crm.veevavault.com/ui/#object/account__v/V4TZ06G6O8S6O28", "Daniel Antonioli")</f>
        <v>Daniel Antonioli</v>
      </c>
      <c r="B9414" s="17" t="str">
        <f>HYPERLINK("https://otsuka-europe-crm.veevavault.com/ui/#object/vcountry__v/VENZ000004SONFN", "CH")</f>
        <v>CH</v>
      </c>
      <c r="C9414" s="20" t="s">
        <v>45</v>
      </c>
      <c r="D9414" s="21" t="str">
        <f>HYPERLINK("https://otsuka-europe-crm.veevavault.com/ui/#object/approved_document__v/V5O00000001L017", "ALL_Flexibilität_Ferienplanung_2026_AA_fr")</f>
        <v>ALL_Flexibilität_Ferienplanung_2026_AA_fr</v>
      </c>
      <c r="E9414" s="22" t="str">
        <f>HYPERLINK("https://otsuka-europe-crm.veevavault.com/ui/#object/sent_email__v/VBL00000002U150", "SE-001435905")</f>
        <v>SE-001435905</v>
      </c>
      <c r="F9414" s="25"/>
      <c r="G9414" s="24">
        <v>0</v>
      </c>
      <c r="H9414" s="24">
        <v>0</v>
      </c>
      <c r="I9414" s="24">
        <v>0</v>
      </c>
      <c r="J9414" s="25"/>
      <c r="K9414" s="24">
        <v>0</v>
      </c>
      <c r="L9414" s="22" t="str">
        <f>HYPERLINK("https://otsuka-europe-crm.veevavault.com/ui/#object/approved_document__v/V5O00000001L017", "ALL_Flexibilität_Ferienplanung_2026_AA_fr")</f>
        <v>ALL_Flexibilität_Ferienplanung_2026_AA_fr</v>
      </c>
      <c r="M9414" s="22" t="str">
        <f>HYPERLINK("mailto:yvergari@crm.otsuka-europe.com", "yvergari@crm.otsuka-europe.com")</f>
        <v>yvergari@crm.otsuka-europe.com</v>
      </c>
      <c r="N9414" s="23">
        <v>46188.438136574077</v>
      </c>
      <c r="O9414" s="14" t="str">
        <f>HYPERLINK("https://otsuka-europe-crm.veevavault.com/ui/#object/email_activity__v/V8C00000003U514", "EN-002095846")</f>
        <v>EN-002095846</v>
      </c>
    </row>
    <row r="9415" spans="1:15" ht="16" x14ac:dyDescent="0.2">
      <c r="A9415" s="19"/>
      <c r="B9415" s="19"/>
      <c r="C9415" s="19"/>
      <c r="D9415" s="19"/>
      <c r="E9415" s="19"/>
      <c r="F9415" s="19"/>
      <c r="G9415" s="19"/>
      <c r="H9415" s="19"/>
      <c r="I9415" s="19"/>
      <c r="J9415" s="19"/>
      <c r="K9415" s="19"/>
      <c r="L9415" s="19"/>
      <c r="M9415" s="19"/>
      <c r="N9415" s="19"/>
      <c r="O9415" s="14" t="str">
        <f>HYPERLINK("https://otsuka-europe-crm.veevavault.com/ui/#object/email_activity__v/V8C00000003U919", "EN-002096818")</f>
        <v>EN-002096818</v>
      </c>
    </row>
    <row r="9416" spans="1:15" ht="32" x14ac:dyDescent="0.2">
      <c r="A9416" s="7" t="str">
        <f>HYPERLINK("https://otsuka-europe-crm.veevavault.com/ui/#object/account__v/V4TZ0000062R6YW", "Corinne Devaud Cornaz")</f>
        <v>Corinne Devaud Cornaz</v>
      </c>
      <c r="B9416" s="7" t="str">
        <f>HYPERLINK("https://otsuka-europe-crm.veevavault.com/ui/#object/vcountry__v/VENZ000004SONFN", "CH")</f>
        <v>CH</v>
      </c>
      <c r="C9416" s="8" t="s">
        <v>45</v>
      </c>
      <c r="D9416" s="9" t="str">
        <f>HYPERLINK("https://otsuka-europe-crm.veevavault.com/ui/#object/approved_document__v/V5O00000001L017", "ALL_Flexibilität_Ferienplanung_2026_AA_fr")</f>
        <v>ALL_Flexibilität_Ferienplanung_2026_AA_fr</v>
      </c>
      <c r="E9416" s="10" t="str">
        <f>HYPERLINK("https://otsuka-europe-crm.veevavault.com/ui/#object/sent_email__v/VBL00000002U151", "SE-001435906")</f>
        <v>SE-001435906</v>
      </c>
      <c r="F9416" s="11"/>
      <c r="G9416" s="12">
        <v>0</v>
      </c>
      <c r="H9416" s="12">
        <v>0</v>
      </c>
      <c r="I9416" s="12">
        <v>0</v>
      </c>
      <c r="J9416" s="11"/>
      <c r="K9416" s="12">
        <v>0</v>
      </c>
      <c r="L9416" s="10" t="str">
        <f>HYPERLINK("https://otsuka-europe-crm.veevavault.com/ui/#object/approved_document__v/V5O00000001L017", "ALL_Flexibilität_Ferienplanung_2026_AA_fr")</f>
        <v>ALL_Flexibilität_Ferienplanung_2026_AA_fr</v>
      </c>
      <c r="M9416" s="10" t="str">
        <f>HYPERLINK("mailto:yvergari@crm.otsuka-europe.com", "yvergari@crm.otsuka-europe.com")</f>
        <v>yvergari@crm.otsuka-europe.com</v>
      </c>
      <c r="N9416" s="13">
        <v>46188.438136574077</v>
      </c>
      <c r="O9416" s="14" t="str">
        <f>HYPERLINK("https://otsuka-europe-crm.veevavault.com/ui/#object/email_activity__v/V8C00000003V517", "EN-002095840")</f>
        <v>EN-002095840</v>
      </c>
    </row>
    <row r="9417" spans="1:15" ht="16" x14ac:dyDescent="0.2">
      <c r="A9417" s="17" t="str">
        <f>HYPERLINK("https://otsuka-europe-crm.veevavault.com/ui/#object/account__v/V4TZ0000062R6IL", "Khadija Ammar Boukadida")</f>
        <v>Khadija Ammar Boukadida</v>
      </c>
      <c r="B9417" s="17" t="str">
        <f>HYPERLINK("https://otsuka-europe-crm.veevavault.com/ui/#object/vcountry__v/VENZ000004SONFN", "CH")</f>
        <v>CH</v>
      </c>
      <c r="C9417" s="20" t="s">
        <v>45</v>
      </c>
      <c r="D9417" s="21" t="str">
        <f>HYPERLINK("https://otsuka-europe-crm.veevavault.com/ui/#object/approved_document__v/V5O00000001L017", "ALL_Flexibilität_Ferienplanung_2026_AA_fr")</f>
        <v>ALL_Flexibilität_Ferienplanung_2026_AA_fr</v>
      </c>
      <c r="E9417" s="22" t="str">
        <f>HYPERLINK("https://otsuka-europe-crm.veevavault.com/ui/#object/sent_email__v/VBL00000002U152", "SE-001435907")</f>
        <v>SE-001435907</v>
      </c>
      <c r="F9417" s="23">
        <v>46188.461018518516</v>
      </c>
      <c r="G9417" s="24">
        <v>1</v>
      </c>
      <c r="H9417" s="24">
        <v>2</v>
      </c>
      <c r="I9417" s="24">
        <v>0</v>
      </c>
      <c r="J9417" s="25"/>
      <c r="K9417" s="24">
        <v>0</v>
      </c>
      <c r="L9417" s="22" t="str">
        <f>HYPERLINK("https://otsuka-europe-crm.veevavault.com/ui/#object/approved_document__v/V5O00000001L017", "ALL_Flexibilität_Ferienplanung_2026_AA_fr")</f>
        <v>ALL_Flexibilität_Ferienplanung_2026_AA_fr</v>
      </c>
      <c r="M9417" s="22" t="str">
        <f>HYPERLINK("mailto:yvergari@crm.otsuka-europe.com", "yvergari@crm.otsuka-europe.com")</f>
        <v>yvergari@crm.otsuka-europe.com</v>
      </c>
      <c r="N9417" s="23">
        <v>46188.438148148147</v>
      </c>
      <c r="O9417" s="14" t="str">
        <f>HYPERLINK("https://otsuka-europe-crm.veevavault.com/ui/#object/email_activity__v/V8C00000003U533", "EN-002095876")</f>
        <v>EN-002095876</v>
      </c>
    </row>
    <row r="9418" spans="1:15" ht="16" x14ac:dyDescent="0.2">
      <c r="A9418" s="18"/>
      <c r="B9418" s="18"/>
      <c r="C9418" s="18"/>
      <c r="D9418" s="18"/>
      <c r="E9418" s="18"/>
      <c r="F9418" s="18"/>
      <c r="G9418" s="18"/>
      <c r="H9418" s="18"/>
      <c r="I9418" s="18"/>
      <c r="J9418" s="18"/>
      <c r="K9418" s="18"/>
      <c r="L9418" s="18"/>
      <c r="M9418" s="18"/>
      <c r="N9418" s="18"/>
      <c r="O9418" s="14" t="str">
        <f>HYPERLINK("https://otsuka-europe-crm.veevavault.com/ui/#object/email_activity__v/V8C00000003V552", "EN-002095926")</f>
        <v>EN-002095926</v>
      </c>
    </row>
    <row r="9419" spans="1:15" ht="16" x14ac:dyDescent="0.2">
      <c r="A9419" s="19"/>
      <c r="B9419" s="19"/>
      <c r="C9419" s="19"/>
      <c r="D9419" s="19"/>
      <c r="E9419" s="19"/>
      <c r="F9419" s="19"/>
      <c r="G9419" s="19"/>
      <c r="H9419" s="19"/>
      <c r="I9419" s="19"/>
      <c r="J9419" s="19"/>
      <c r="K9419" s="19"/>
      <c r="L9419" s="19"/>
      <c r="M9419" s="19"/>
      <c r="N9419" s="19"/>
      <c r="O9419" s="14" t="str">
        <f>HYPERLINK("https://otsuka-europe-crm.veevavault.com/ui/#object/email_activity__v/V8C00000003V553", "EN-002095927")</f>
        <v>EN-002095927</v>
      </c>
    </row>
    <row r="9420" spans="1:15" ht="32" x14ac:dyDescent="0.2">
      <c r="A9420" s="7" t="str">
        <f>HYPERLINK("https://otsuka-europe-crm.veevavault.com/ui/#object/account__v/V4TZ0000062R6IM", "Malek Ammar")</f>
        <v>Malek Ammar</v>
      </c>
      <c r="B9420" s="7" t="str">
        <f>HYPERLINK("https://otsuka-europe-crm.veevavault.com/ui/#object/vcountry__v/VENZ000004SONFN", "CH")</f>
        <v>CH</v>
      </c>
      <c r="C9420" s="8" t="s">
        <v>45</v>
      </c>
      <c r="D9420" s="9" t="str">
        <f>HYPERLINK("https://otsuka-europe-crm.veevavault.com/ui/#object/approved_document__v/V5O00000001L017", "ALL_Flexibilität_Ferienplanung_2026_AA_fr")</f>
        <v>ALL_Flexibilität_Ferienplanung_2026_AA_fr</v>
      </c>
      <c r="E9420" s="10" t="str">
        <f>HYPERLINK("https://otsuka-europe-crm.veevavault.com/ui/#object/sent_email__v/VBL00000002U153", "SE-001435908")</f>
        <v>SE-001435908</v>
      </c>
      <c r="F9420" s="11"/>
      <c r="G9420" s="12">
        <v>0</v>
      </c>
      <c r="H9420" s="12">
        <v>0</v>
      </c>
      <c r="I9420" s="12">
        <v>0</v>
      </c>
      <c r="J9420" s="11"/>
      <c r="K9420" s="12">
        <v>0</v>
      </c>
      <c r="L9420" s="10" t="str">
        <f>HYPERLINK("https://otsuka-europe-crm.veevavault.com/ui/#object/approved_document__v/V5O00000001L017", "ALL_Flexibilität_Ferienplanung_2026_AA_fr")</f>
        <v>ALL_Flexibilität_Ferienplanung_2026_AA_fr</v>
      </c>
      <c r="M9420" s="10" t="str">
        <f>HYPERLINK("mailto:yvergari@crm.otsuka-europe.com", "yvergari@crm.otsuka-europe.com")</f>
        <v>yvergari@crm.otsuka-europe.com</v>
      </c>
      <c r="N9420" s="13">
        <v>46188.445127314815</v>
      </c>
      <c r="O9420" s="14" t="str">
        <f>HYPERLINK("https://otsuka-europe-crm.veevavault.com/ui/#object/email_activity__v/V8C00000003V544", "EN-002095908")</f>
        <v>EN-002095908</v>
      </c>
    </row>
    <row r="9421" spans="1:15" ht="16" x14ac:dyDescent="0.2">
      <c r="A9421" s="17" t="str">
        <f>HYPERLINK("https://otsuka-europe-crm.veevavault.com/ui/#object/account__v/V4TZ04ASGCHU5AO", "Giulia Curletto")</f>
        <v>Giulia Curletto</v>
      </c>
      <c r="B9421" s="17" t="str">
        <f>HYPERLINK("https://otsuka-europe-crm.veevavault.com/ui/#object/vcountry__v/VENZ000004SONFN", "CH")</f>
        <v>CH</v>
      </c>
      <c r="C9421" s="20" t="s">
        <v>45</v>
      </c>
      <c r="D9421" s="21" t="str">
        <f>HYPERLINK("https://otsuka-europe-crm.veevavault.com/ui/#object/approved_document__v/V5O00000001L017", "ALL_Flexibilität_Ferienplanung_2026_AA_fr")</f>
        <v>ALL_Flexibilität_Ferienplanung_2026_AA_fr</v>
      </c>
      <c r="E9421" s="22" t="str">
        <f>HYPERLINK("https://otsuka-europe-crm.veevavault.com/ui/#object/sent_email__v/VBL00000002U154", "SE-001435909")</f>
        <v>SE-001435909</v>
      </c>
      <c r="F9421" s="23">
        <v>46188.699965277781</v>
      </c>
      <c r="G9421" s="24">
        <v>1</v>
      </c>
      <c r="H9421" s="24">
        <v>5</v>
      </c>
      <c r="I9421" s="24">
        <v>0</v>
      </c>
      <c r="J9421" s="25"/>
      <c r="K9421" s="24">
        <v>0</v>
      </c>
      <c r="L9421" s="22" t="str">
        <f>HYPERLINK("https://otsuka-europe-crm.veevavault.com/ui/#object/approved_document__v/V5O00000001L017", "ALL_Flexibilität_Ferienplanung_2026_AA_fr")</f>
        <v>ALL_Flexibilität_Ferienplanung_2026_AA_fr</v>
      </c>
      <c r="M9421" s="22" t="str">
        <f>HYPERLINK("mailto:yvergari@crm.otsuka-europe.com", "yvergari@crm.otsuka-europe.com")</f>
        <v>yvergari@crm.otsuka-europe.com</v>
      </c>
      <c r="N9421" s="23">
        <v>46188.438240740739</v>
      </c>
      <c r="O9421" s="14" t="str">
        <f>HYPERLINK("https://otsuka-europe-crm.veevavault.com/ui/#object/email_activity__v/V8C00000003U539", "EN-002095888")</f>
        <v>EN-002095888</v>
      </c>
    </row>
    <row r="9422" spans="1:15" ht="16" x14ac:dyDescent="0.2">
      <c r="A9422" s="18"/>
      <c r="B9422" s="18"/>
      <c r="C9422" s="18"/>
      <c r="D9422" s="18"/>
      <c r="E9422" s="18"/>
      <c r="F9422" s="18"/>
      <c r="G9422" s="18"/>
      <c r="H9422" s="18"/>
      <c r="I9422" s="18"/>
      <c r="J9422" s="18"/>
      <c r="K9422" s="18"/>
      <c r="L9422" s="18"/>
      <c r="M9422" s="18"/>
      <c r="N9422" s="18"/>
      <c r="O9422" s="14" t="str">
        <f>HYPERLINK("https://otsuka-europe-crm.veevavault.com/ui/#object/email_activity__v/V8C00000003U543", "EN-002095894")</f>
        <v>EN-002095894</v>
      </c>
    </row>
    <row r="9423" spans="1:15" ht="16" x14ac:dyDescent="0.2">
      <c r="A9423" s="18"/>
      <c r="B9423" s="18"/>
      <c r="C9423" s="18"/>
      <c r="D9423" s="18"/>
      <c r="E9423" s="18"/>
      <c r="F9423" s="18"/>
      <c r="G9423" s="18"/>
      <c r="H9423" s="18"/>
      <c r="I9423" s="18"/>
      <c r="J9423" s="18"/>
      <c r="K9423" s="18"/>
      <c r="L9423" s="18"/>
      <c r="M9423" s="18"/>
      <c r="N9423" s="18"/>
      <c r="O9423" s="14" t="str">
        <f>HYPERLINK("https://otsuka-europe-crm.veevavault.com/ui/#object/email_activity__v/V8C00000003U545", "EN-002095897")</f>
        <v>EN-002095897</v>
      </c>
    </row>
    <row r="9424" spans="1:15" ht="16" x14ac:dyDescent="0.2">
      <c r="A9424" s="18"/>
      <c r="B9424" s="18"/>
      <c r="C9424" s="18"/>
      <c r="D9424" s="18"/>
      <c r="E9424" s="18"/>
      <c r="F9424" s="18"/>
      <c r="G9424" s="18"/>
      <c r="H9424" s="18"/>
      <c r="I9424" s="18"/>
      <c r="J9424" s="18"/>
      <c r="K9424" s="18"/>
      <c r="L9424" s="18"/>
      <c r="M9424" s="18"/>
      <c r="N9424" s="18"/>
      <c r="O9424" s="14" t="str">
        <f>HYPERLINK("https://otsuka-europe-crm.veevavault.com/ui/#object/email_activity__v/V8C00000003U783", "EN-002096482")</f>
        <v>EN-002096482</v>
      </c>
    </row>
    <row r="9425" spans="1:15" ht="16" x14ac:dyDescent="0.2">
      <c r="A9425" s="18"/>
      <c r="B9425" s="18"/>
      <c r="C9425" s="18"/>
      <c r="D9425" s="18"/>
      <c r="E9425" s="18"/>
      <c r="F9425" s="18"/>
      <c r="G9425" s="18"/>
      <c r="H9425" s="18"/>
      <c r="I9425" s="18"/>
      <c r="J9425" s="18"/>
      <c r="K9425" s="18"/>
      <c r="L9425" s="18"/>
      <c r="M9425" s="18"/>
      <c r="N9425" s="18"/>
      <c r="O9425" s="14" t="str">
        <f>HYPERLINK("https://otsuka-europe-crm.veevavault.com/ui/#object/email_activity__v/V8C00000003U784", "EN-002096483")</f>
        <v>EN-002096483</v>
      </c>
    </row>
    <row r="9426" spans="1:15" ht="16" x14ac:dyDescent="0.2">
      <c r="A9426" s="18"/>
      <c r="B9426" s="18"/>
      <c r="C9426" s="18"/>
      <c r="D9426" s="18"/>
      <c r="E9426" s="18"/>
      <c r="F9426" s="18"/>
      <c r="G9426" s="18"/>
      <c r="H9426" s="18"/>
      <c r="I9426" s="18"/>
      <c r="J9426" s="18"/>
      <c r="K9426" s="18"/>
      <c r="L9426" s="18"/>
      <c r="M9426" s="18"/>
      <c r="N9426" s="18"/>
      <c r="O9426" s="14" t="str">
        <f>HYPERLINK("https://otsuka-europe-crm.veevavault.com/ui/#object/email_activity__v/V8C00000003V538", "EN-002095895")</f>
        <v>EN-002095895</v>
      </c>
    </row>
    <row r="9427" spans="1:15" ht="16" x14ac:dyDescent="0.2">
      <c r="A9427" s="19"/>
      <c r="B9427" s="19"/>
      <c r="C9427" s="19"/>
      <c r="D9427" s="19"/>
      <c r="E9427" s="19"/>
      <c r="F9427" s="19"/>
      <c r="G9427" s="19"/>
      <c r="H9427" s="19"/>
      <c r="I9427" s="19"/>
      <c r="J9427" s="19"/>
      <c r="K9427" s="19"/>
      <c r="L9427" s="19"/>
      <c r="M9427" s="19"/>
      <c r="N9427" s="19"/>
      <c r="O9427" s="14" t="str">
        <f>HYPERLINK("https://otsuka-europe-crm.veevavault.com/ui/#object/email_activity__v/V8C00000003V840", "EN-002096410")</f>
        <v>EN-002096410</v>
      </c>
    </row>
    <row r="9428" spans="1:15" ht="16" x14ac:dyDescent="0.2">
      <c r="A9428" s="17" t="str">
        <f>HYPERLINK("https://otsuka-europe-crm.veevavault.com/ui/#object/account__v/V4TZ06G6OA5SERW", "Corinne Eigenheer Walker")</f>
        <v>Corinne Eigenheer Walker</v>
      </c>
      <c r="B9428" s="17" t="str">
        <f>HYPERLINK("https://otsuka-europe-crm.veevavault.com/ui/#object/vcountry__v/VENZ000004SONFN", "CH")</f>
        <v>CH</v>
      </c>
      <c r="C9428" s="20" t="s">
        <v>45</v>
      </c>
      <c r="D9428" s="21" t="str">
        <f>HYPERLINK("https://otsuka-europe-crm.veevavault.com/ui/#object/approved_document__v/V5O00000001L017", "ALL_Flexibilität_Ferienplanung_2026_AA_fr")</f>
        <v>ALL_Flexibilität_Ferienplanung_2026_AA_fr</v>
      </c>
      <c r="E9428" s="22" t="str">
        <f>HYPERLINK("https://otsuka-europe-crm.veevavault.com/ui/#object/sent_email__v/VBL00000002U155", "SE-001435910")</f>
        <v>SE-001435910</v>
      </c>
      <c r="F9428" s="25"/>
      <c r="G9428" s="24">
        <v>0</v>
      </c>
      <c r="H9428" s="24">
        <v>0</v>
      </c>
      <c r="I9428" s="24">
        <v>0</v>
      </c>
      <c r="J9428" s="25"/>
      <c r="K9428" s="24">
        <v>0</v>
      </c>
      <c r="L9428" s="22" t="str">
        <f>HYPERLINK("https://otsuka-europe-crm.veevavault.com/ui/#object/approved_document__v/V5O00000001L017", "ALL_Flexibilität_Ferienplanung_2026_AA_fr")</f>
        <v>ALL_Flexibilität_Ferienplanung_2026_AA_fr</v>
      </c>
      <c r="M9428" s="22" t="str">
        <f>HYPERLINK("mailto:yvergari@crm.otsuka-europe.com", "yvergari@crm.otsuka-europe.com")</f>
        <v>yvergari@crm.otsuka-europe.com</v>
      </c>
      <c r="N9428" s="23">
        <v>46188.438136574077</v>
      </c>
      <c r="O9428" s="14" t="str">
        <f>HYPERLINK("https://otsuka-europe-crm.veevavault.com/ui/#object/email_activity__v/V8C00000003V515", "EN-002095838")</f>
        <v>EN-002095838</v>
      </c>
    </row>
    <row r="9429" spans="1:15" ht="16" x14ac:dyDescent="0.2">
      <c r="A9429" s="19"/>
      <c r="B9429" s="19"/>
      <c r="C9429" s="19"/>
      <c r="D9429" s="19"/>
      <c r="E9429" s="19"/>
      <c r="F9429" s="19"/>
      <c r="G9429" s="19"/>
      <c r="H9429" s="19"/>
      <c r="I9429" s="19"/>
      <c r="J9429" s="19"/>
      <c r="K9429" s="19"/>
      <c r="L9429" s="19"/>
      <c r="M9429" s="19"/>
      <c r="N9429" s="19"/>
      <c r="O9429" s="14" t="str">
        <f>HYPERLINK("https://otsuka-europe-crm.veevavault.com/ui/#object/email_activity__v/V8C00000003V550", "EN-002095922")</f>
        <v>EN-002095922</v>
      </c>
    </row>
    <row r="9430" spans="1:15" ht="16" x14ac:dyDescent="0.2">
      <c r="A9430" s="17" t="str">
        <f>HYPERLINK("https://otsuka-europe-crm.veevavault.com/ui/#object/account__v/V4TZ0000062R7D4", "Fabrice Chantraine")</f>
        <v>Fabrice Chantraine</v>
      </c>
      <c r="B9430" s="17" t="str">
        <f>HYPERLINK("https://otsuka-europe-crm.veevavault.com/ui/#object/vcountry__v/VENZ000004SONFN", "CH")</f>
        <v>CH</v>
      </c>
      <c r="C9430" s="20" t="s">
        <v>45</v>
      </c>
      <c r="D9430" s="21" t="str">
        <f>HYPERLINK("https://otsuka-europe-crm.veevavault.com/ui/#object/approved_document__v/V5O00000001L017", "ALL_Flexibilität_Ferienplanung_2026_AA_fr")</f>
        <v>ALL_Flexibilität_Ferienplanung_2026_AA_fr</v>
      </c>
      <c r="E9430" s="22" t="str">
        <f>HYPERLINK("https://otsuka-europe-crm.veevavault.com/ui/#object/sent_email__v/VBL00000002U156", "SE-001435911")</f>
        <v>SE-001435911</v>
      </c>
      <c r="F9430" s="25"/>
      <c r="G9430" s="24">
        <v>0</v>
      </c>
      <c r="H9430" s="24">
        <v>0</v>
      </c>
      <c r="I9430" s="24">
        <v>0</v>
      </c>
      <c r="J9430" s="25"/>
      <c r="K9430" s="24">
        <v>0</v>
      </c>
      <c r="L9430" s="22" t="str">
        <f>HYPERLINK("https://otsuka-europe-crm.veevavault.com/ui/#object/approved_document__v/V5O00000001L017", "ALL_Flexibilität_Ferienplanung_2026_AA_fr")</f>
        <v>ALL_Flexibilität_Ferienplanung_2026_AA_fr</v>
      </c>
      <c r="M9430" s="22" t="str">
        <f>HYPERLINK("mailto:yvergari@crm.otsuka-europe.com", "yvergari@crm.otsuka-europe.com")</f>
        <v>yvergari@crm.otsuka-europe.com</v>
      </c>
      <c r="N9430" s="23">
        <v>46188.438217592593</v>
      </c>
      <c r="O9430" s="14" t="str">
        <f>HYPERLINK("https://otsuka-europe-crm.veevavault.com/ui/#object/email_activity__v/V8C00000003U537", "EN-002095880")</f>
        <v>EN-002095880</v>
      </c>
    </row>
    <row r="9431" spans="1:15" ht="16" x14ac:dyDescent="0.2">
      <c r="A9431" s="18"/>
      <c r="B9431" s="18"/>
      <c r="C9431" s="18"/>
      <c r="D9431" s="18"/>
      <c r="E9431" s="18"/>
      <c r="F9431" s="18"/>
      <c r="G9431" s="18"/>
      <c r="H9431" s="18"/>
      <c r="I9431" s="18"/>
      <c r="J9431" s="18"/>
      <c r="K9431" s="18"/>
      <c r="L9431" s="18"/>
      <c r="M9431" s="18"/>
      <c r="N9431" s="18"/>
      <c r="O9431" s="14" t="str">
        <f>HYPERLINK("https://otsuka-europe-crm.veevavault.com/ui/#object/email_activity__v/V8C00000003U582", "EN-002095993")</f>
        <v>EN-002095993</v>
      </c>
    </row>
    <row r="9432" spans="1:15" ht="16" x14ac:dyDescent="0.2">
      <c r="A9432" s="19"/>
      <c r="B9432" s="19"/>
      <c r="C9432" s="19"/>
      <c r="D9432" s="19"/>
      <c r="E9432" s="19"/>
      <c r="F9432" s="19"/>
      <c r="G9432" s="19"/>
      <c r="H9432" s="19"/>
      <c r="I9432" s="19"/>
      <c r="J9432" s="19"/>
      <c r="K9432" s="19"/>
      <c r="L9432" s="19"/>
      <c r="M9432" s="19"/>
      <c r="N9432" s="19"/>
      <c r="O9432" s="14" t="str">
        <f>HYPERLINK("https://otsuka-europe-crm.veevavault.com/ui/#object/email_activity__v/V8C00000003W093", "EN-002096830")</f>
        <v>EN-002096830</v>
      </c>
    </row>
    <row r="9433" spans="1:15" ht="32" x14ac:dyDescent="0.2">
      <c r="A9433" s="7" t="str">
        <f>HYPERLINK("https://otsuka-europe-crm.veevavault.com/ui/#object/account__v/V4TZ0000062R7TD", "Diana Canovas")</f>
        <v>Diana Canovas</v>
      </c>
      <c r="B9433" s="7" t="str">
        <f>HYPERLINK("https://otsuka-europe-crm.veevavault.com/ui/#object/vcountry__v/VENZ000004SONFN", "CH")</f>
        <v>CH</v>
      </c>
      <c r="C9433" s="8" t="s">
        <v>45</v>
      </c>
      <c r="D9433" s="9" t="str">
        <f>HYPERLINK("https://otsuka-europe-crm.veevavault.com/ui/#object/approved_document__v/V5O00000001L017", "ALL_Flexibilität_Ferienplanung_2026_AA_fr")</f>
        <v>ALL_Flexibilität_Ferienplanung_2026_AA_fr</v>
      </c>
      <c r="E9433" s="10" t="str">
        <f>HYPERLINK("https://otsuka-europe-crm.veevavault.com/ui/#object/sent_email__v/VBL00000002U157", "SE-001435912")</f>
        <v>SE-001435912</v>
      </c>
      <c r="F9433" s="11"/>
      <c r="G9433" s="12">
        <v>0</v>
      </c>
      <c r="H9433" s="12">
        <v>0</v>
      </c>
      <c r="I9433" s="12">
        <v>0</v>
      </c>
      <c r="J9433" s="11"/>
      <c r="K9433" s="12">
        <v>0</v>
      </c>
      <c r="L9433" s="10" t="str">
        <f>HYPERLINK("https://otsuka-europe-crm.veevavault.com/ui/#object/approved_document__v/V5O00000001L017", "ALL_Flexibilität_Ferienplanung_2026_AA_fr")</f>
        <v>ALL_Flexibilität_Ferienplanung_2026_AA_fr</v>
      </c>
      <c r="M9433" s="10" t="str">
        <f>HYPERLINK("mailto:yvergari@crm.otsuka-europe.com", "yvergari@crm.otsuka-europe.com")</f>
        <v>yvergari@crm.otsuka-europe.com</v>
      </c>
      <c r="N9433" s="13">
        <v>46188.438125000001</v>
      </c>
      <c r="O9433" s="14" t="str">
        <f>HYPERLINK("https://otsuka-europe-crm.veevavault.com/ui/#object/email_activity__v/V8C00000003U531", "EN-002095874")</f>
        <v>EN-002095874</v>
      </c>
    </row>
    <row r="9434" spans="1:15" ht="32" x14ac:dyDescent="0.2">
      <c r="A9434" s="7" t="str">
        <f>HYPERLINK("https://otsuka-europe-crm.veevavault.com/ui/#object/account__v/V4TZ025E87YOJGZ", "Joana Castro Ribeiro")</f>
        <v>Joana Castro Ribeiro</v>
      </c>
      <c r="B9434" s="7" t="str">
        <f>HYPERLINK("https://otsuka-europe-crm.veevavault.com/ui/#object/vcountry__v/VENZ000004SONFN", "CH")</f>
        <v>CH</v>
      </c>
      <c r="C9434" s="8" t="s">
        <v>45</v>
      </c>
      <c r="D9434" s="9" t="str">
        <f>HYPERLINK("https://otsuka-europe-crm.veevavault.com/ui/#object/approved_document__v/V5O00000001L017", "ALL_Flexibilität_Ferienplanung_2026_AA_fr")</f>
        <v>ALL_Flexibilität_Ferienplanung_2026_AA_fr</v>
      </c>
      <c r="E9434" s="10" t="str">
        <f>HYPERLINK("https://otsuka-europe-crm.veevavault.com/ui/#object/sent_email__v/VBL00000002U158", "SE-001435913")</f>
        <v>SE-001435913</v>
      </c>
      <c r="F9434" s="11"/>
      <c r="G9434" s="12">
        <v>0</v>
      </c>
      <c r="H9434" s="12">
        <v>0</v>
      </c>
      <c r="I9434" s="12">
        <v>0</v>
      </c>
      <c r="J9434" s="11"/>
      <c r="K9434" s="12">
        <v>0</v>
      </c>
      <c r="L9434" s="10" t="str">
        <f>HYPERLINK("https://otsuka-europe-crm.veevavault.com/ui/#object/approved_document__v/V5O00000001L017", "ALL_Flexibilität_Ferienplanung_2026_AA_fr")</f>
        <v>ALL_Flexibilität_Ferienplanung_2026_AA_fr</v>
      </c>
      <c r="M9434" s="10" t="str">
        <f>HYPERLINK("mailto:yvergari@crm.otsuka-europe.com", "yvergari@crm.otsuka-europe.com")</f>
        <v>yvergari@crm.otsuka-europe.com</v>
      </c>
      <c r="N9434" s="13">
        <v>46188.438125000001</v>
      </c>
      <c r="O9434" s="14" t="str">
        <f>HYPERLINK("https://otsuka-europe-crm.veevavault.com/ui/#object/email_activity__v/V8C00000003U493", "EN-002095815")</f>
        <v>EN-002095815</v>
      </c>
    </row>
    <row r="9435" spans="1:15" ht="16" x14ac:dyDescent="0.2">
      <c r="A9435" s="17" t="str">
        <f>HYPERLINK("https://otsuka-europe-crm.veevavault.com/ui/#object/account__v/V4TZ0000062R5RI", "Christian Bourbon")</f>
        <v>Christian Bourbon</v>
      </c>
      <c r="B9435" s="17" t="str">
        <f>HYPERLINK("https://otsuka-europe-crm.veevavault.com/ui/#object/vcountry__v/VENZ000004SONFN", "CH")</f>
        <v>CH</v>
      </c>
      <c r="C9435" s="20" t="s">
        <v>45</v>
      </c>
      <c r="D9435" s="21" t="str">
        <f>HYPERLINK("https://otsuka-europe-crm.veevavault.com/ui/#object/approved_document__v/V5O00000001L017", "ALL_Flexibilität_Ferienplanung_2026_AA_fr")</f>
        <v>ALL_Flexibilität_Ferienplanung_2026_AA_fr</v>
      </c>
      <c r="E9435" s="22" t="str">
        <f>HYPERLINK("https://otsuka-europe-crm.veevavault.com/ui/#object/sent_email__v/VBL00000002U159", "SE-001435914")</f>
        <v>SE-001435914</v>
      </c>
      <c r="F9435" s="25"/>
      <c r="G9435" s="24">
        <v>0</v>
      </c>
      <c r="H9435" s="24">
        <v>0</v>
      </c>
      <c r="I9435" s="24">
        <v>0</v>
      </c>
      <c r="J9435" s="25"/>
      <c r="K9435" s="24">
        <v>0</v>
      </c>
      <c r="L9435" s="22" t="str">
        <f>HYPERLINK("https://otsuka-europe-crm.veevavault.com/ui/#object/approved_document__v/V5O00000001L017", "ALL_Flexibilität_Ferienplanung_2026_AA_fr")</f>
        <v>ALL_Flexibilität_Ferienplanung_2026_AA_fr</v>
      </c>
      <c r="M9435" s="22" t="str">
        <f>HYPERLINK("mailto:yvergari@crm.otsuka-europe.com", "yvergari@crm.otsuka-europe.com")</f>
        <v>yvergari@crm.otsuka-europe.com</v>
      </c>
      <c r="N9435" s="23">
        <v>46188.438113425924</v>
      </c>
      <c r="O9435" s="14" t="str">
        <f>HYPERLINK("https://otsuka-europe-crm.veevavault.com/ui/#object/email_activity__v/V8C00000003U925", "EN-002096832")</f>
        <v>EN-002096832</v>
      </c>
    </row>
    <row r="9436" spans="1:15" ht="16" x14ac:dyDescent="0.2">
      <c r="A9436" s="18"/>
      <c r="B9436" s="18"/>
      <c r="C9436" s="18"/>
      <c r="D9436" s="18"/>
      <c r="E9436" s="18"/>
      <c r="F9436" s="18"/>
      <c r="G9436" s="18"/>
      <c r="H9436" s="18"/>
      <c r="I9436" s="18"/>
      <c r="J9436" s="18"/>
      <c r="K9436" s="18"/>
      <c r="L9436" s="18"/>
      <c r="M9436" s="18"/>
      <c r="N9436" s="18"/>
      <c r="O9436" s="14" t="str">
        <f>HYPERLINK("https://otsuka-europe-crm.veevavault.com/ui/#object/email_activity__v/V8C00000003V504", "EN-002095807")</f>
        <v>EN-002095807</v>
      </c>
    </row>
    <row r="9437" spans="1:15" ht="16" x14ac:dyDescent="0.2">
      <c r="A9437" s="19"/>
      <c r="B9437" s="19"/>
      <c r="C9437" s="19"/>
      <c r="D9437" s="19"/>
      <c r="E9437" s="19"/>
      <c r="F9437" s="19"/>
      <c r="G9437" s="19"/>
      <c r="H9437" s="19"/>
      <c r="I9437" s="19"/>
      <c r="J9437" s="19"/>
      <c r="K9437" s="19"/>
      <c r="L9437" s="19"/>
      <c r="M9437" s="19"/>
      <c r="N9437" s="19"/>
      <c r="O9437" s="14" t="str">
        <f>HYPERLINK("https://otsuka-europe-crm.veevavault.com/ui/#object/email_activity__v/V8C00000003Z119", "EN-002098883")</f>
        <v>EN-002098883</v>
      </c>
    </row>
    <row r="9438" spans="1:15" ht="32" x14ac:dyDescent="0.2">
      <c r="A9438" s="7" t="str">
        <f>HYPERLINK("https://otsuka-europe-crm.veevavault.com/ui/#object/account__v/V4TZ0000062R7VQ", "Emanuel Henri-Raoul Clivaz")</f>
        <v>Emanuel Henri-Raoul Clivaz</v>
      </c>
      <c r="B9438" s="7" t="str">
        <f>HYPERLINK("https://otsuka-europe-crm.veevavault.com/ui/#object/vcountry__v/VENZ000004SONFN", "CH")</f>
        <v>CH</v>
      </c>
      <c r="C9438" s="8" t="s">
        <v>45</v>
      </c>
      <c r="D9438" s="9" t="str">
        <f>HYPERLINK("https://otsuka-europe-crm.veevavault.com/ui/#object/approved_document__v/V5O00000001L017", "ALL_Flexibilität_Ferienplanung_2026_AA_fr")</f>
        <v>ALL_Flexibilität_Ferienplanung_2026_AA_fr</v>
      </c>
      <c r="E9438" s="10" t="str">
        <f>HYPERLINK("https://otsuka-europe-crm.veevavault.com/ui/#object/sent_email__v/VBL00000002U160", "SE-001435915")</f>
        <v>SE-001435915</v>
      </c>
      <c r="F9438" s="11"/>
      <c r="G9438" s="12">
        <v>0</v>
      </c>
      <c r="H9438" s="12">
        <v>0</v>
      </c>
      <c r="I9438" s="12">
        <v>0</v>
      </c>
      <c r="J9438" s="11"/>
      <c r="K9438" s="12">
        <v>0</v>
      </c>
      <c r="L9438" s="10" t="str">
        <f>HYPERLINK("https://otsuka-europe-crm.veevavault.com/ui/#object/approved_document__v/V5O00000001L017", "ALL_Flexibilität_Ferienplanung_2026_AA_fr")</f>
        <v>ALL_Flexibilität_Ferienplanung_2026_AA_fr</v>
      </c>
      <c r="M9438" s="10" t="str">
        <f>HYPERLINK("mailto:yvergari@crm.otsuka-europe.com", "yvergari@crm.otsuka-europe.com")</f>
        <v>yvergari@crm.otsuka-europe.com</v>
      </c>
      <c r="N9438" s="13">
        <v>46188.445057870369</v>
      </c>
      <c r="O9438" s="14" t="str">
        <f>HYPERLINK("https://otsuka-europe-crm.veevavault.com/ui/#object/email_activity__v/V8C00000003U546", "EN-002095901")</f>
        <v>EN-002095901</v>
      </c>
    </row>
    <row r="9439" spans="1:15" ht="32" x14ac:dyDescent="0.2">
      <c r="A9439" s="7" t="str">
        <f>HYPERLINK("https://otsuka-europe-crm.veevavault.com/ui/#object/account__v/V4TZ025E87BVGLS", "Jean-Sébastien Bureau")</f>
        <v>Jean-Sébastien Bureau</v>
      </c>
      <c r="B9439" s="7" t="str">
        <f>HYPERLINK("https://otsuka-europe-crm.veevavault.com/ui/#object/vcountry__v/VENZ000004SONFN", "CH")</f>
        <v>CH</v>
      </c>
      <c r="C9439" s="8" t="s">
        <v>45</v>
      </c>
      <c r="D9439" s="9" t="str">
        <f>HYPERLINK("https://otsuka-europe-crm.veevavault.com/ui/#object/approved_document__v/V5O00000001L017", "ALL_Flexibilität_Ferienplanung_2026_AA_fr")</f>
        <v>ALL_Flexibilität_Ferienplanung_2026_AA_fr</v>
      </c>
      <c r="E9439" s="10" t="str">
        <f>HYPERLINK("https://otsuka-europe-crm.veevavault.com/ui/#object/sent_email__v/VBL00000002U161", "SE-001435916")</f>
        <v>SE-001435916</v>
      </c>
      <c r="F9439" s="11"/>
      <c r="G9439" s="12">
        <v>0</v>
      </c>
      <c r="H9439" s="12">
        <v>0</v>
      </c>
      <c r="I9439" s="12">
        <v>0</v>
      </c>
      <c r="J9439" s="11"/>
      <c r="K9439" s="12">
        <v>0</v>
      </c>
      <c r="L9439" s="10" t="str">
        <f>HYPERLINK("https://otsuka-europe-crm.veevavault.com/ui/#object/approved_document__v/V5O00000001L017", "ALL_Flexibilität_Ferienplanung_2026_AA_fr")</f>
        <v>ALL_Flexibilität_Ferienplanung_2026_AA_fr</v>
      </c>
      <c r="M9439" s="10" t="str">
        <f>HYPERLINK("mailto:yvergari@crm.otsuka-europe.com", "yvergari@crm.otsuka-europe.com")</f>
        <v>yvergari@crm.otsuka-europe.com</v>
      </c>
      <c r="N9439" s="13">
        <v>46188.438136574077</v>
      </c>
      <c r="O9439" s="14" t="str">
        <f>HYPERLINK("https://otsuka-europe-crm.veevavault.com/ui/#object/email_activity__v/V8C00000003V512", "EN-002095835")</f>
        <v>EN-002095835</v>
      </c>
    </row>
    <row r="9440" spans="1:15" ht="32" x14ac:dyDescent="0.2">
      <c r="A9440" s="7" t="str">
        <f>HYPERLINK("https://otsuka-europe-crm.veevavault.com/ui/#object/account__v/V4TZ06G6OBI6G1W", "Ilunga Cimbela")</f>
        <v>Ilunga Cimbela</v>
      </c>
      <c r="B9440" s="7" t="str">
        <f>HYPERLINK("https://otsuka-europe-crm.veevavault.com/ui/#object/vcountry__v/VENZ000004SONFN", "CH")</f>
        <v>CH</v>
      </c>
      <c r="C9440" s="8" t="s">
        <v>45</v>
      </c>
      <c r="D9440" s="9" t="str">
        <f>HYPERLINK("https://otsuka-europe-crm.veevavault.com/ui/#object/approved_document__v/V5O00000001L017", "ALL_Flexibilität_Ferienplanung_2026_AA_fr")</f>
        <v>ALL_Flexibilität_Ferienplanung_2026_AA_fr</v>
      </c>
      <c r="E9440" s="10" t="str">
        <f>HYPERLINK("https://otsuka-europe-crm.veevavault.com/ui/#object/sent_email__v/VBL00000002U162", "SE-001435917")</f>
        <v>SE-001435917</v>
      </c>
      <c r="F9440" s="11"/>
      <c r="G9440" s="12">
        <v>0</v>
      </c>
      <c r="H9440" s="12">
        <v>0</v>
      </c>
      <c r="I9440" s="12">
        <v>0</v>
      </c>
      <c r="J9440" s="11"/>
      <c r="K9440" s="12">
        <v>0</v>
      </c>
      <c r="L9440" s="10" t="str">
        <f>HYPERLINK("https://otsuka-europe-crm.veevavault.com/ui/#object/approved_document__v/V5O00000001L017", "ALL_Flexibilität_Ferienplanung_2026_AA_fr")</f>
        <v>ALL_Flexibilität_Ferienplanung_2026_AA_fr</v>
      </c>
      <c r="M9440" s="10" t="str">
        <f>HYPERLINK("mailto:yvergari@crm.otsuka-europe.com", "yvergari@crm.otsuka-europe.com")</f>
        <v>yvergari@crm.otsuka-europe.com</v>
      </c>
      <c r="N9440" s="13">
        <v>46188.438101851854</v>
      </c>
      <c r="O9440" s="14" t="str">
        <f>HYPERLINK("https://otsuka-europe-crm.veevavault.com/ui/#object/email_activity__v/V8C00000003U511", "EN-002095843")</f>
        <v>EN-002095843</v>
      </c>
    </row>
    <row r="9441" spans="1:15" ht="32" x14ac:dyDescent="0.2">
      <c r="A9441" s="7" t="str">
        <f>HYPERLINK("https://otsuka-europe-crm.veevavault.com/ui/#object/account__v/V4TZ04ASGBUD5PW", "Mélanie De Neris")</f>
        <v>Mélanie De Neris</v>
      </c>
      <c r="B9441" s="7" t="str">
        <f>HYPERLINK("https://otsuka-europe-crm.veevavault.com/ui/#object/vcountry__v/VENZ000004SONFN", "CH")</f>
        <v>CH</v>
      </c>
      <c r="C9441" s="8" t="s">
        <v>45</v>
      </c>
      <c r="D9441" s="9" t="str">
        <f>HYPERLINK("https://otsuka-europe-crm.veevavault.com/ui/#object/approved_document__v/V5O00000001L017", "ALL_Flexibilität_Ferienplanung_2026_AA_fr")</f>
        <v>ALL_Flexibilität_Ferienplanung_2026_AA_fr</v>
      </c>
      <c r="E9441" s="10" t="str">
        <f>HYPERLINK("https://otsuka-europe-crm.veevavault.com/ui/#object/sent_email__v/VBL00000002U163", "SE-001435918")</f>
        <v>SE-001435918</v>
      </c>
      <c r="F9441" s="11"/>
      <c r="G9441" s="12">
        <v>0</v>
      </c>
      <c r="H9441" s="12">
        <v>0</v>
      </c>
      <c r="I9441" s="12">
        <v>0</v>
      </c>
      <c r="J9441" s="11"/>
      <c r="K9441" s="12">
        <v>0</v>
      </c>
      <c r="L9441" s="10" t="str">
        <f>HYPERLINK("https://otsuka-europe-crm.veevavault.com/ui/#object/approved_document__v/V5O00000001L017", "ALL_Flexibilität_Ferienplanung_2026_AA_fr")</f>
        <v>ALL_Flexibilität_Ferienplanung_2026_AA_fr</v>
      </c>
      <c r="M9441" s="10" t="str">
        <f>HYPERLINK("mailto:yvergari@crm.otsuka-europe.com", "yvergari@crm.otsuka-europe.com")</f>
        <v>yvergari@crm.otsuka-europe.com</v>
      </c>
      <c r="N9441" s="13">
        <v>46188.438101851854</v>
      </c>
      <c r="O9441" s="14" t="str">
        <f>HYPERLINK("https://otsuka-europe-crm.veevavault.com/ui/#object/email_activity__v/V8C00000003U510", "EN-002095842")</f>
        <v>EN-002095842</v>
      </c>
    </row>
    <row r="9442" spans="1:15" ht="16" x14ac:dyDescent="0.2">
      <c r="A9442" s="17" t="str">
        <f>HYPERLINK("https://otsuka-europe-crm.veevavault.com/ui/#object/account__v/V4TZ04ASGGDMC5H", "Sara Camporesi")</f>
        <v>Sara Camporesi</v>
      </c>
      <c r="B9442" s="17" t="str">
        <f>HYPERLINK("https://otsuka-europe-crm.veevavault.com/ui/#object/vcountry__v/VENZ000004SONFN", "CH")</f>
        <v>CH</v>
      </c>
      <c r="C9442" s="20" t="s">
        <v>45</v>
      </c>
      <c r="D9442" s="21" t="str">
        <f>HYPERLINK("https://otsuka-europe-crm.veevavault.com/ui/#object/approved_document__v/V5O00000001L017", "ALL_Flexibilität_Ferienplanung_2026_AA_fr")</f>
        <v>ALL_Flexibilität_Ferienplanung_2026_AA_fr</v>
      </c>
      <c r="E9442" s="22" t="str">
        <f>HYPERLINK("https://otsuka-europe-crm.veevavault.com/ui/#object/sent_email__v/VBL00000002U164", "SE-001435919")</f>
        <v>SE-001435919</v>
      </c>
      <c r="F9442" s="25"/>
      <c r="G9442" s="24">
        <v>0</v>
      </c>
      <c r="H9442" s="24">
        <v>0</v>
      </c>
      <c r="I9442" s="24">
        <v>0</v>
      </c>
      <c r="J9442" s="25"/>
      <c r="K9442" s="24">
        <v>0</v>
      </c>
      <c r="L9442" s="22" t="str">
        <f>HYPERLINK("https://otsuka-europe-crm.veevavault.com/ui/#object/approved_document__v/V5O00000001L017", "ALL_Flexibilität_Ferienplanung_2026_AA_fr")</f>
        <v>ALL_Flexibilität_Ferienplanung_2026_AA_fr</v>
      </c>
      <c r="M9442" s="22" t="str">
        <f>HYPERLINK("mailto:yvergari@crm.otsuka-europe.com", "yvergari@crm.otsuka-europe.com")</f>
        <v>yvergari@crm.otsuka-europe.com</v>
      </c>
      <c r="N9442" s="23">
        <v>46188.438113425924</v>
      </c>
      <c r="O9442" s="14" t="str">
        <f>HYPERLINK("https://otsuka-europe-crm.veevavault.com/ui/#object/email_activity__v/V8C00000003U512", "EN-002095844")</f>
        <v>EN-002095844</v>
      </c>
    </row>
    <row r="9443" spans="1:15" ht="16" x14ac:dyDescent="0.2">
      <c r="A9443" s="19"/>
      <c r="B9443" s="19"/>
      <c r="C9443" s="19"/>
      <c r="D9443" s="19"/>
      <c r="E9443" s="19"/>
      <c r="F9443" s="19"/>
      <c r="G9443" s="19"/>
      <c r="H9443" s="19"/>
      <c r="I9443" s="19"/>
      <c r="J9443" s="19"/>
      <c r="K9443" s="19"/>
      <c r="L9443" s="19"/>
      <c r="M9443" s="19"/>
      <c r="N9443" s="19"/>
      <c r="O9443" s="14" t="str">
        <f>HYPERLINK("https://otsuka-europe-crm.veevavault.com/ui/#object/email_activity__v/V8C00000003Z266", "EN-002099123")</f>
        <v>EN-002099123</v>
      </c>
    </row>
    <row r="9444" spans="1:15" ht="32" x14ac:dyDescent="0.2">
      <c r="A9444" s="7" t="str">
        <f>HYPERLINK("https://otsuka-europe-crm.veevavault.com/ui/#object/account__v/V4TZ0000062R6DO", "Nader Attalla")</f>
        <v>Nader Attalla</v>
      </c>
      <c r="B9444" s="7" t="str">
        <f>HYPERLINK("https://otsuka-europe-crm.veevavault.com/ui/#object/vcountry__v/VENZ000004SONFN", "CH")</f>
        <v>CH</v>
      </c>
      <c r="C9444" s="8" t="s">
        <v>45</v>
      </c>
      <c r="D9444" s="9" t="str">
        <f>HYPERLINK("https://otsuka-europe-crm.veevavault.com/ui/#object/approved_document__v/V5O00000001L017", "ALL_Flexibilität_Ferienplanung_2026_AA_fr")</f>
        <v>ALL_Flexibilität_Ferienplanung_2026_AA_fr</v>
      </c>
      <c r="E9444" s="10" t="str">
        <f>HYPERLINK("https://otsuka-europe-crm.veevavault.com/ui/#object/sent_email__v/VBL00000002U165", "SE-001435920")</f>
        <v>SE-001435920</v>
      </c>
      <c r="F9444" s="11"/>
      <c r="G9444" s="12">
        <v>0</v>
      </c>
      <c r="H9444" s="12">
        <v>0</v>
      </c>
      <c r="I9444" s="12">
        <v>0</v>
      </c>
      <c r="J9444" s="11"/>
      <c r="K9444" s="12">
        <v>0</v>
      </c>
      <c r="L9444" s="10" t="str">
        <f>HYPERLINK("https://otsuka-europe-crm.veevavault.com/ui/#object/approved_document__v/V5O00000001L017", "ALL_Flexibilität_Ferienplanung_2026_AA_fr")</f>
        <v>ALL_Flexibilität_Ferienplanung_2026_AA_fr</v>
      </c>
      <c r="M9444" s="10" t="str">
        <f>HYPERLINK("mailto:yvergari@crm.otsuka-europe.com", "yvergari@crm.otsuka-europe.com")</f>
        <v>yvergari@crm.otsuka-europe.com</v>
      </c>
      <c r="N9444" s="13">
        <v>46188.438125000001</v>
      </c>
      <c r="O9444" s="14" t="str">
        <f>HYPERLINK("https://otsuka-europe-crm.veevavault.com/ui/#object/email_activity__v/V8C00000003U495", "EN-002095817")</f>
        <v>EN-002095817</v>
      </c>
    </row>
    <row r="9445" spans="1:15" ht="32" x14ac:dyDescent="0.2">
      <c r="A9445" s="7" t="str">
        <f>HYPERLINK("https://otsuka-europe-crm.veevavault.com/ui/#object/account__v/V4TZ025E87BD7KC", "Ekaterina Bavykina")</f>
        <v>Ekaterina Bavykina</v>
      </c>
      <c r="B9445" s="7" t="str">
        <f>HYPERLINK("https://otsuka-europe-crm.veevavault.com/ui/#object/vcountry__v/VENZ000004SONFN", "CH")</f>
        <v>CH</v>
      </c>
      <c r="C9445" s="8" t="s">
        <v>45</v>
      </c>
      <c r="D9445" s="9" t="str">
        <f>HYPERLINK("https://otsuka-europe-crm.veevavault.com/ui/#object/approved_document__v/V5O00000001L017", "ALL_Flexibilität_Ferienplanung_2026_AA_fr")</f>
        <v>ALL_Flexibilität_Ferienplanung_2026_AA_fr</v>
      </c>
      <c r="E9445" s="10" t="str">
        <f>HYPERLINK("https://otsuka-europe-crm.veevavault.com/ui/#object/sent_email__v/VBL00000002U166", "SE-001435921")</f>
        <v>SE-001435921</v>
      </c>
      <c r="F9445" s="11"/>
      <c r="G9445" s="12">
        <v>0</v>
      </c>
      <c r="H9445" s="12">
        <v>0</v>
      </c>
      <c r="I9445" s="12">
        <v>0</v>
      </c>
      <c r="J9445" s="11"/>
      <c r="K9445" s="12">
        <v>0</v>
      </c>
      <c r="L9445" s="10" t="str">
        <f>HYPERLINK("https://otsuka-europe-crm.veevavault.com/ui/#object/approved_document__v/V5O00000001L017", "ALL_Flexibilität_Ferienplanung_2026_AA_fr")</f>
        <v>ALL_Flexibilität_Ferienplanung_2026_AA_fr</v>
      </c>
      <c r="M9445" s="10" t="str">
        <f>HYPERLINK("mailto:yvergari@crm.otsuka-europe.com", "yvergari@crm.otsuka-europe.com")</f>
        <v>yvergari@crm.otsuka-europe.com</v>
      </c>
      <c r="N9445" s="13">
        <v>46188.462650462963</v>
      </c>
      <c r="O9445" s="14" t="str">
        <f>HYPERLINK("https://otsuka-europe-crm.veevavault.com/ui/#object/email_activity__v/V8C00000003V556", "EN-002095930")</f>
        <v>EN-002095930</v>
      </c>
    </row>
    <row r="9446" spans="1:15" ht="16" x14ac:dyDescent="0.2">
      <c r="A9446" s="17" t="str">
        <f>HYPERLINK("https://otsuka-europe-crm.veevavault.com/ui/#object/account__v/V4TZ025E877HMF5", "Astrid Allegre")</f>
        <v>Astrid Allegre</v>
      </c>
      <c r="B9446" s="17" t="str">
        <f>HYPERLINK("https://otsuka-europe-crm.veevavault.com/ui/#object/vcountry__v/VENZ000004SONFN", "CH")</f>
        <v>CH</v>
      </c>
      <c r="C9446" s="20" t="s">
        <v>45</v>
      </c>
      <c r="D9446" s="21" t="str">
        <f>HYPERLINK("https://otsuka-europe-crm.veevavault.com/ui/#object/approved_document__v/V5O00000001L017", "ALL_Flexibilität_Ferienplanung_2026_AA_fr")</f>
        <v>ALL_Flexibilität_Ferienplanung_2026_AA_fr</v>
      </c>
      <c r="E9446" s="22" t="str">
        <f>HYPERLINK("https://otsuka-europe-crm.veevavault.com/ui/#object/sent_email__v/VBL00000002U167", "SE-001435922")</f>
        <v>SE-001435922</v>
      </c>
      <c r="F9446" s="23">
        <v>46188.763287037036</v>
      </c>
      <c r="G9446" s="24">
        <v>1</v>
      </c>
      <c r="H9446" s="24">
        <v>4</v>
      </c>
      <c r="I9446" s="24">
        <v>0</v>
      </c>
      <c r="J9446" s="25"/>
      <c r="K9446" s="24">
        <v>0</v>
      </c>
      <c r="L9446" s="22" t="str">
        <f>HYPERLINK("https://otsuka-europe-crm.veevavault.com/ui/#object/approved_document__v/V5O00000001L017", "ALL_Flexibilität_Ferienplanung_2026_AA_fr")</f>
        <v>ALL_Flexibilität_Ferienplanung_2026_AA_fr</v>
      </c>
      <c r="M9446" s="22" t="str">
        <f>HYPERLINK("mailto:yvergari@crm.otsuka-europe.com", "yvergari@crm.otsuka-europe.com")</f>
        <v>yvergari@crm.otsuka-europe.com</v>
      </c>
      <c r="N9446" s="23">
        <v>46188.438148148147</v>
      </c>
      <c r="O9446" s="14" t="str">
        <f>HYPERLINK("https://otsuka-europe-crm.veevavault.com/ui/#object/email_activity__v/V8C00000003U499", "EN-002095821")</f>
        <v>EN-002095821</v>
      </c>
    </row>
    <row r="9447" spans="1:15" ht="16" x14ac:dyDescent="0.2">
      <c r="A9447" s="18"/>
      <c r="B9447" s="18"/>
      <c r="C9447" s="18"/>
      <c r="D9447" s="18"/>
      <c r="E9447" s="18"/>
      <c r="F9447" s="18"/>
      <c r="G9447" s="18"/>
      <c r="H9447" s="18"/>
      <c r="I9447" s="18"/>
      <c r="J9447" s="18"/>
      <c r="K9447" s="18"/>
      <c r="L9447" s="18"/>
      <c r="M9447" s="18"/>
      <c r="N9447" s="18"/>
      <c r="O9447" s="14" t="str">
        <f>HYPERLINK("https://otsuka-europe-crm.veevavault.com/ui/#object/email_activity__v/V8C00000003U699", "EN-002096239")</f>
        <v>EN-002096239</v>
      </c>
    </row>
    <row r="9448" spans="1:15" ht="16" x14ac:dyDescent="0.2">
      <c r="A9448" s="18"/>
      <c r="B9448" s="18"/>
      <c r="C9448" s="18"/>
      <c r="D9448" s="18"/>
      <c r="E9448" s="18"/>
      <c r="F9448" s="18"/>
      <c r="G9448" s="18"/>
      <c r="H9448" s="18"/>
      <c r="I9448" s="18"/>
      <c r="J9448" s="18"/>
      <c r="K9448" s="18"/>
      <c r="L9448" s="18"/>
      <c r="M9448" s="18"/>
      <c r="N9448" s="18"/>
      <c r="O9448" s="14" t="str">
        <f>HYPERLINK("https://otsuka-europe-crm.veevavault.com/ui/#object/email_activity__v/V8C00000003U811", "EN-002096537")</f>
        <v>EN-002096537</v>
      </c>
    </row>
    <row r="9449" spans="1:15" ht="16" x14ac:dyDescent="0.2">
      <c r="A9449" s="18"/>
      <c r="B9449" s="18"/>
      <c r="C9449" s="18"/>
      <c r="D9449" s="18"/>
      <c r="E9449" s="18"/>
      <c r="F9449" s="18"/>
      <c r="G9449" s="18"/>
      <c r="H9449" s="18"/>
      <c r="I9449" s="18"/>
      <c r="J9449" s="18"/>
      <c r="K9449" s="18"/>
      <c r="L9449" s="18"/>
      <c r="M9449" s="18"/>
      <c r="N9449" s="18"/>
      <c r="O9449" s="14" t="str">
        <f>HYPERLINK("https://otsuka-europe-crm.veevavault.com/ui/#object/email_activity__v/V8C00000003V579", "EN-002095963")</f>
        <v>EN-002095963</v>
      </c>
    </row>
    <row r="9450" spans="1:15" ht="16" x14ac:dyDescent="0.2">
      <c r="A9450" s="18"/>
      <c r="B9450" s="18"/>
      <c r="C9450" s="18"/>
      <c r="D9450" s="18"/>
      <c r="E9450" s="18"/>
      <c r="F9450" s="18"/>
      <c r="G9450" s="18"/>
      <c r="H9450" s="18"/>
      <c r="I9450" s="18"/>
      <c r="J9450" s="18"/>
      <c r="K9450" s="18"/>
      <c r="L9450" s="18"/>
      <c r="M9450" s="18"/>
      <c r="N9450" s="18"/>
      <c r="O9450" s="14" t="str">
        <f>HYPERLINK("https://otsuka-europe-crm.veevavault.com/ui/#object/email_activity__v/V8C00000003V727", "EN-002096240")</f>
        <v>EN-002096240</v>
      </c>
    </row>
    <row r="9451" spans="1:15" ht="16" x14ac:dyDescent="0.2">
      <c r="A9451" s="19"/>
      <c r="B9451" s="19"/>
      <c r="C9451" s="19"/>
      <c r="D9451" s="19"/>
      <c r="E9451" s="19"/>
      <c r="F9451" s="19"/>
      <c r="G9451" s="19"/>
      <c r="H9451" s="19"/>
      <c r="I9451" s="19"/>
      <c r="J9451" s="19"/>
      <c r="K9451" s="19"/>
      <c r="L9451" s="19"/>
      <c r="M9451" s="19"/>
      <c r="N9451" s="19"/>
      <c r="O9451" s="14" t="str">
        <f>HYPERLINK("https://otsuka-europe-crm.veevavault.com/ui/#object/email_activity__v/V8C00000003V914", "EN-002096540")</f>
        <v>EN-002096540</v>
      </c>
    </row>
    <row r="9452" spans="1:15" ht="32" x14ac:dyDescent="0.2">
      <c r="A9452" s="7" t="str">
        <f>HYPERLINK("https://otsuka-europe-crm.veevavault.com/ui/#object/account__v/V4TZ025E86LBADH", "Hakim Benkara")</f>
        <v>Hakim Benkara</v>
      </c>
      <c r="B9452" s="7" t="str">
        <f>HYPERLINK("https://otsuka-europe-crm.veevavault.com/ui/#object/vcountry__v/VENZ000004SONFN", "CH")</f>
        <v>CH</v>
      </c>
      <c r="C9452" s="8" t="s">
        <v>45</v>
      </c>
      <c r="D9452" s="9" t="str">
        <f>HYPERLINK("https://otsuka-europe-crm.veevavault.com/ui/#object/approved_document__v/V5O00000001L017", "ALL_Flexibilität_Ferienplanung_2026_AA_fr")</f>
        <v>ALL_Flexibilität_Ferienplanung_2026_AA_fr</v>
      </c>
      <c r="E9452" s="10" t="str">
        <f>HYPERLINK("https://otsuka-europe-crm.veevavault.com/ui/#object/sent_email__v/VBL00000002U168", "SE-001435923")</f>
        <v>SE-001435923</v>
      </c>
      <c r="F9452" s="11"/>
      <c r="G9452" s="12">
        <v>0</v>
      </c>
      <c r="H9452" s="12">
        <v>0</v>
      </c>
      <c r="I9452" s="12">
        <v>0</v>
      </c>
      <c r="J9452" s="11"/>
      <c r="K9452" s="12">
        <v>0</v>
      </c>
      <c r="L9452" s="10" t="str">
        <f>HYPERLINK("https://otsuka-europe-crm.veevavault.com/ui/#object/approved_document__v/V5O00000001L017", "ALL_Flexibilität_Ferienplanung_2026_AA_fr")</f>
        <v>ALL_Flexibilität_Ferienplanung_2026_AA_fr</v>
      </c>
      <c r="M9452" s="10" t="str">
        <f>HYPERLINK("mailto:yvergari@crm.otsuka-europe.com", "yvergari@crm.otsuka-europe.com")</f>
        <v>yvergari@crm.otsuka-europe.com</v>
      </c>
      <c r="N9452" s="13">
        <v>46188.438125000001</v>
      </c>
      <c r="O9452" s="14" t="str">
        <f>HYPERLINK("https://otsuka-europe-crm.veevavault.com/ui/#object/email_activity__v/V8C00000003V521", "EN-002095861")</f>
        <v>EN-002095861</v>
      </c>
    </row>
    <row r="9453" spans="1:15" ht="32" x14ac:dyDescent="0.2">
      <c r="A9453" s="7" t="str">
        <f>HYPERLINK("https://otsuka-europe-crm.veevavault.com/ui/#object/account__v/V4TZ025E83YYQ52", "Flavia De Godoy")</f>
        <v>Flavia De Godoy</v>
      </c>
      <c r="B9453" s="7" t="str">
        <f>HYPERLINK("https://otsuka-europe-crm.veevavault.com/ui/#object/vcountry__v/VENZ000004SONFN", "CH")</f>
        <v>CH</v>
      </c>
      <c r="C9453" s="8" t="s">
        <v>45</v>
      </c>
      <c r="D9453" s="9" t="str">
        <f>HYPERLINK("https://otsuka-europe-crm.veevavault.com/ui/#object/approved_document__v/V5O00000001L017", "ALL_Flexibilität_Ferienplanung_2026_AA_fr")</f>
        <v>ALL_Flexibilität_Ferienplanung_2026_AA_fr</v>
      </c>
      <c r="E9453" s="10" t="str">
        <f>HYPERLINK("https://otsuka-europe-crm.veevavault.com/ui/#object/sent_email__v/VBL00000002U169", "SE-001435924")</f>
        <v>SE-001435924</v>
      </c>
      <c r="F9453" s="11"/>
      <c r="G9453" s="12">
        <v>0</v>
      </c>
      <c r="H9453" s="12">
        <v>0</v>
      </c>
      <c r="I9453" s="12">
        <v>0</v>
      </c>
      <c r="J9453" s="11"/>
      <c r="K9453" s="12">
        <v>0</v>
      </c>
      <c r="L9453" s="10" t="str">
        <f>HYPERLINK("https://otsuka-europe-crm.veevavault.com/ui/#object/approved_document__v/V5O00000001L017", "ALL_Flexibilität_Ferienplanung_2026_AA_fr")</f>
        <v>ALL_Flexibilität_Ferienplanung_2026_AA_fr</v>
      </c>
      <c r="M9453" s="10" t="str">
        <f>HYPERLINK("mailto:yvergari@crm.otsuka-europe.com", "yvergari@crm.otsuka-europe.com")</f>
        <v>yvergari@crm.otsuka-europe.com</v>
      </c>
      <c r="N9453" s="13">
        <v>46188.438125000001</v>
      </c>
      <c r="O9453" s="14" t="str">
        <f>HYPERLINK("https://otsuka-europe-crm.veevavault.com/ui/#object/email_activity__v/V8C00000003V522", "EN-002095862")</f>
        <v>EN-002095862</v>
      </c>
    </row>
    <row r="9454" spans="1:15" ht="16" x14ac:dyDescent="0.2">
      <c r="A9454" s="17" t="str">
        <f>HYPERLINK("https://otsuka-europe-crm.veevavault.com/ui/#object/account__v/V4TZ04ASG8F35Y4", "Doris Calamand")</f>
        <v>Doris Calamand</v>
      </c>
      <c r="B9454" s="17" t="str">
        <f>HYPERLINK("https://otsuka-europe-crm.veevavault.com/ui/#object/vcountry__v/VENZ000004SONFN", "CH")</f>
        <v>CH</v>
      </c>
      <c r="C9454" s="20" t="s">
        <v>45</v>
      </c>
      <c r="D9454" s="21" t="str">
        <f>HYPERLINK("https://otsuka-europe-crm.veevavault.com/ui/#object/approved_document__v/V5O00000001L017", "ALL_Flexibilität_Ferienplanung_2026_AA_fr")</f>
        <v>ALL_Flexibilität_Ferienplanung_2026_AA_fr</v>
      </c>
      <c r="E9454" s="22" t="str">
        <f>HYPERLINK("https://otsuka-europe-crm.veevavault.com/ui/#object/sent_email__v/VBL00000002U170", "SE-001435925")</f>
        <v>SE-001435925</v>
      </c>
      <c r="F9454" s="25"/>
      <c r="G9454" s="24">
        <v>0</v>
      </c>
      <c r="H9454" s="24">
        <v>0</v>
      </c>
      <c r="I9454" s="24">
        <v>0</v>
      </c>
      <c r="J9454" s="25"/>
      <c r="K9454" s="24">
        <v>0</v>
      </c>
      <c r="L9454" s="22" t="str">
        <f>HYPERLINK("https://otsuka-europe-crm.veevavault.com/ui/#object/approved_document__v/V5O00000001L017", "ALL_Flexibilität_Ferienplanung_2026_AA_fr")</f>
        <v>ALL_Flexibilität_Ferienplanung_2026_AA_fr</v>
      </c>
      <c r="M9454" s="22" t="str">
        <f>HYPERLINK("mailto:yvergari@crm.otsuka-europe.com", "yvergari@crm.otsuka-europe.com")</f>
        <v>yvergari@crm.otsuka-europe.com</v>
      </c>
      <c r="N9454" s="23">
        <v>46188.445081018515</v>
      </c>
      <c r="O9454" s="14" t="str">
        <f>HYPERLINK("https://otsuka-europe-crm.veevavault.com/ui/#object/email_activity__v/V8C00000003U548", "EN-002095904")</f>
        <v>EN-002095904</v>
      </c>
    </row>
    <row r="9455" spans="1:15" ht="16" x14ac:dyDescent="0.2">
      <c r="A9455" s="18"/>
      <c r="B9455" s="18"/>
      <c r="C9455" s="18"/>
      <c r="D9455" s="18"/>
      <c r="E9455" s="18"/>
      <c r="F9455" s="18"/>
      <c r="G9455" s="18"/>
      <c r="H9455" s="18"/>
      <c r="I9455" s="18"/>
      <c r="J9455" s="18"/>
      <c r="K9455" s="18"/>
      <c r="L9455" s="18"/>
      <c r="M9455" s="18"/>
      <c r="N9455" s="18"/>
      <c r="O9455" s="14" t="str">
        <f>HYPERLINK("https://otsuka-europe-crm.veevavault.com/ui/#object/email_activity__v/V8C00000003U569", "EN-002095949")</f>
        <v>EN-002095949</v>
      </c>
    </row>
    <row r="9456" spans="1:15" ht="16" x14ac:dyDescent="0.2">
      <c r="A9456" s="18"/>
      <c r="B9456" s="18"/>
      <c r="C9456" s="18"/>
      <c r="D9456" s="18"/>
      <c r="E9456" s="18"/>
      <c r="F9456" s="18"/>
      <c r="G9456" s="18"/>
      <c r="H9456" s="18"/>
      <c r="I9456" s="18"/>
      <c r="J9456" s="18"/>
      <c r="K9456" s="18"/>
      <c r="L9456" s="18"/>
      <c r="M9456" s="18"/>
      <c r="N9456" s="18"/>
      <c r="O9456" s="14" t="str">
        <f>HYPERLINK("https://otsuka-europe-crm.veevavault.com/ui/#object/email_activity__v/V8C00000003V691", "EN-002096181")</f>
        <v>EN-002096181</v>
      </c>
    </row>
    <row r="9457" spans="1:15" ht="16" x14ac:dyDescent="0.2">
      <c r="A9457" s="19"/>
      <c r="B9457" s="19"/>
      <c r="C9457" s="19"/>
      <c r="D9457" s="19"/>
      <c r="E9457" s="19"/>
      <c r="F9457" s="19"/>
      <c r="G9457" s="19"/>
      <c r="H9457" s="19"/>
      <c r="I9457" s="19"/>
      <c r="J9457" s="19"/>
      <c r="K9457" s="19"/>
      <c r="L9457" s="19"/>
      <c r="M9457" s="19"/>
      <c r="N9457" s="19"/>
      <c r="O9457" s="14" t="str">
        <f>HYPERLINK("https://otsuka-europe-crm.veevavault.com/ui/#object/email_activity__v/V8C000000040540", "EN-002099641")</f>
        <v>EN-002099641</v>
      </c>
    </row>
    <row r="9458" spans="1:15" ht="32" x14ac:dyDescent="0.2">
      <c r="A9458" s="7" t="str">
        <f>HYPERLINK("https://otsuka-europe-crm.veevavault.com/ui/#object/account__v/V4TZ0000062R6T1", "Jean-Luc Boss")</f>
        <v>Jean-Luc Boss</v>
      </c>
      <c r="B9458" s="7" t="str">
        <f>HYPERLINK("https://otsuka-europe-crm.veevavault.com/ui/#object/vcountry__v/VENZ000004SONFN", "CH")</f>
        <v>CH</v>
      </c>
      <c r="C9458" s="8" t="s">
        <v>45</v>
      </c>
      <c r="D9458" s="9" t="str">
        <f>HYPERLINK("https://otsuka-europe-crm.veevavault.com/ui/#object/approved_document__v/V5O00000001L017", "ALL_Flexibilität_Ferienplanung_2026_AA_fr")</f>
        <v>ALL_Flexibilität_Ferienplanung_2026_AA_fr</v>
      </c>
      <c r="E9458" s="10" t="str">
        <f>HYPERLINK("https://otsuka-europe-crm.veevavault.com/ui/#object/sent_email__v/VBL00000002U171", "SE-001435926")</f>
        <v>SE-001435926</v>
      </c>
      <c r="F9458" s="11"/>
      <c r="G9458" s="12">
        <v>0</v>
      </c>
      <c r="H9458" s="12">
        <v>0</v>
      </c>
      <c r="I9458" s="12">
        <v>0</v>
      </c>
      <c r="J9458" s="11"/>
      <c r="K9458" s="12">
        <v>0</v>
      </c>
      <c r="L9458" s="10" t="str">
        <f>HYPERLINK("https://otsuka-europe-crm.veevavault.com/ui/#object/approved_document__v/V5O00000001L017", "ALL_Flexibilität_Ferienplanung_2026_AA_fr")</f>
        <v>ALL_Flexibilität_Ferienplanung_2026_AA_fr</v>
      </c>
      <c r="M9458" s="10" t="str">
        <f>HYPERLINK("mailto:yvergari@crm.otsuka-europe.com", "yvergari@crm.otsuka-europe.com")</f>
        <v>yvergari@crm.otsuka-europe.com</v>
      </c>
      <c r="N9458" s="13">
        <v>46188.438113425924</v>
      </c>
      <c r="O9458" s="14" t="str">
        <f>HYPERLINK("https://otsuka-europe-crm.veevavault.com/ui/#object/email_activity__v/V8C00000003U528", "EN-002095871")</f>
        <v>EN-002095871</v>
      </c>
    </row>
    <row r="9459" spans="1:15" ht="16" x14ac:dyDescent="0.2">
      <c r="A9459" s="17" t="str">
        <f>HYPERLINK("https://otsuka-europe-crm.veevavault.com/ui/#object/account__v/V4TZ06G6OB4G2EF", "Galina Beck Bykova")</f>
        <v>Galina Beck Bykova</v>
      </c>
      <c r="B9459" s="17" t="str">
        <f>HYPERLINK("https://otsuka-europe-crm.veevavault.com/ui/#object/vcountry__v/VENZ000004SONFN", "CH")</f>
        <v>CH</v>
      </c>
      <c r="C9459" s="20" t="s">
        <v>45</v>
      </c>
      <c r="D9459" s="21" t="str">
        <f>HYPERLINK("https://otsuka-europe-crm.veevavault.com/ui/#object/approved_document__v/V5O00000001L017", "ALL_Flexibilität_Ferienplanung_2026_AA_fr")</f>
        <v>ALL_Flexibilität_Ferienplanung_2026_AA_fr</v>
      </c>
      <c r="E9459" s="22" t="str">
        <f>HYPERLINK("https://otsuka-europe-crm.veevavault.com/ui/#object/sent_email__v/VBL00000002U172", "SE-001435927")</f>
        <v>SE-001435927</v>
      </c>
      <c r="F9459" s="23">
        <v>46189.450798611113</v>
      </c>
      <c r="G9459" s="24">
        <v>1</v>
      </c>
      <c r="H9459" s="24">
        <v>2</v>
      </c>
      <c r="I9459" s="24">
        <v>0</v>
      </c>
      <c r="J9459" s="25"/>
      <c r="K9459" s="24">
        <v>0</v>
      </c>
      <c r="L9459" s="22" t="str">
        <f>HYPERLINK("https://otsuka-europe-crm.veevavault.com/ui/#object/approved_document__v/V5O00000001L017", "ALL_Flexibilität_Ferienplanung_2026_AA_fr")</f>
        <v>ALL_Flexibilität_Ferienplanung_2026_AA_fr</v>
      </c>
      <c r="M9459" s="22" t="str">
        <f>HYPERLINK("mailto:yvergari@crm.otsuka-europe.com", "yvergari@crm.otsuka-europe.com")</f>
        <v>yvergari@crm.otsuka-europe.com</v>
      </c>
      <c r="N9459" s="23">
        <v>46188.438125000001</v>
      </c>
      <c r="O9459" s="14" t="str">
        <f>HYPERLINK("https://otsuka-europe-crm.veevavault.com/ui/#object/email_activity__v/V8C00000003V519", "EN-002095859")</f>
        <v>EN-002095859</v>
      </c>
    </row>
    <row r="9460" spans="1:15" ht="16" x14ac:dyDescent="0.2">
      <c r="A9460" s="18"/>
      <c r="B9460" s="18"/>
      <c r="C9460" s="18"/>
      <c r="D9460" s="18"/>
      <c r="E9460" s="18"/>
      <c r="F9460" s="18"/>
      <c r="G9460" s="18"/>
      <c r="H9460" s="18"/>
      <c r="I9460" s="18"/>
      <c r="J9460" s="18"/>
      <c r="K9460" s="18"/>
      <c r="L9460" s="18"/>
      <c r="M9460" s="18"/>
      <c r="N9460" s="18"/>
      <c r="O9460" s="14" t="str">
        <f>HYPERLINK("https://otsuka-europe-crm.veevavault.com/ui/#object/email_activity__v/V8C00000003X110", "EN-002097118")</f>
        <v>EN-002097118</v>
      </c>
    </row>
    <row r="9461" spans="1:15" ht="16" x14ac:dyDescent="0.2">
      <c r="A9461" s="19"/>
      <c r="B9461" s="19"/>
      <c r="C9461" s="19"/>
      <c r="D9461" s="19"/>
      <c r="E9461" s="19"/>
      <c r="F9461" s="19"/>
      <c r="G9461" s="19"/>
      <c r="H9461" s="19"/>
      <c r="I9461" s="19"/>
      <c r="J9461" s="19"/>
      <c r="K9461" s="19"/>
      <c r="L9461" s="19"/>
      <c r="M9461" s="19"/>
      <c r="N9461" s="19"/>
      <c r="O9461" s="14" t="str">
        <f>HYPERLINK("https://otsuka-europe-crm.veevavault.com/ui/#object/email_activity__v/V8C00000003X111", "EN-002097119")</f>
        <v>EN-002097119</v>
      </c>
    </row>
    <row r="9462" spans="1:15" ht="16" x14ac:dyDescent="0.2">
      <c r="A9462" s="17" t="str">
        <f>HYPERLINK("https://otsuka-europe-crm.veevavault.com/ui/#object/account__v/V4TZ0000062R6T7", "Lyliam Bozin-Cheneval Pallud")</f>
        <v>Lyliam Bozin-Cheneval Pallud</v>
      </c>
      <c r="B9462" s="17" t="str">
        <f>HYPERLINK("https://otsuka-europe-crm.veevavault.com/ui/#object/vcountry__v/VENZ000004SONFN", "CH")</f>
        <v>CH</v>
      </c>
      <c r="C9462" s="20" t="s">
        <v>45</v>
      </c>
      <c r="D9462" s="21" t="str">
        <f>HYPERLINK("https://otsuka-europe-crm.veevavault.com/ui/#object/approved_document__v/V5O00000001L017", "ALL_Flexibilität_Ferienplanung_2026_AA_fr")</f>
        <v>ALL_Flexibilität_Ferienplanung_2026_AA_fr</v>
      </c>
      <c r="E9462" s="22" t="str">
        <f>HYPERLINK("https://otsuka-europe-crm.veevavault.com/ui/#object/sent_email__v/VBL00000002U173", "SE-001435928")</f>
        <v>SE-001435928</v>
      </c>
      <c r="F9462" s="25"/>
      <c r="G9462" s="24">
        <v>0</v>
      </c>
      <c r="H9462" s="24">
        <v>0</v>
      </c>
      <c r="I9462" s="24">
        <v>0</v>
      </c>
      <c r="J9462" s="25"/>
      <c r="K9462" s="24">
        <v>0</v>
      </c>
      <c r="L9462" s="22" t="str">
        <f>HYPERLINK("https://otsuka-europe-crm.veevavault.com/ui/#object/approved_document__v/V5O00000001L017", "ALL_Flexibilität_Ferienplanung_2026_AA_fr")</f>
        <v>ALL_Flexibilität_Ferienplanung_2026_AA_fr</v>
      </c>
      <c r="M9462" s="22" t="str">
        <f>HYPERLINK("mailto:yvergari@crm.otsuka-europe.com", "yvergari@crm.otsuka-europe.com")</f>
        <v>yvergari@crm.otsuka-europe.com</v>
      </c>
      <c r="N9462" s="23">
        <v>46188.445092592592</v>
      </c>
      <c r="O9462" s="14" t="str">
        <f>HYPERLINK("https://otsuka-europe-crm.veevavault.com/ui/#object/email_activity__v/V8C00000003U550", "EN-002095907")</f>
        <v>EN-002095907</v>
      </c>
    </row>
    <row r="9463" spans="1:15" ht="16" x14ac:dyDescent="0.2">
      <c r="A9463" s="19"/>
      <c r="B9463" s="19"/>
      <c r="C9463" s="19"/>
      <c r="D9463" s="19"/>
      <c r="E9463" s="19"/>
      <c r="F9463" s="19"/>
      <c r="G9463" s="19"/>
      <c r="H9463" s="19"/>
      <c r="I9463" s="19"/>
      <c r="J9463" s="19"/>
      <c r="K9463" s="19"/>
      <c r="L9463" s="19"/>
      <c r="M9463" s="19"/>
      <c r="N9463" s="19"/>
      <c r="O9463" s="14" t="str">
        <f>HYPERLINK("https://otsuka-europe-crm.veevavault.com/ui/#object/email_activity__v/V8C00000003U563", "EN-002095935")</f>
        <v>EN-002095935</v>
      </c>
    </row>
    <row r="9464" spans="1:15" ht="32" x14ac:dyDescent="0.2">
      <c r="A9464" s="7" t="str">
        <f>HYPERLINK("https://otsuka-europe-crm.veevavault.com/ui/#object/account__v/V4TZ0000062R5J2", "Oana Diringer")</f>
        <v>Oana Diringer</v>
      </c>
      <c r="B9464" s="7" t="str">
        <f>HYPERLINK("https://otsuka-europe-crm.veevavault.com/ui/#object/vcountry__v/VENZ000004SONFN", "CH")</f>
        <v>CH</v>
      </c>
      <c r="C9464" s="8" t="s">
        <v>45</v>
      </c>
      <c r="D9464" s="9" t="str">
        <f>HYPERLINK("https://otsuka-europe-crm.veevavault.com/ui/#object/approved_document__v/V5O00000001L017", "ALL_Flexibilität_Ferienplanung_2026_AA_fr")</f>
        <v>ALL_Flexibilität_Ferienplanung_2026_AA_fr</v>
      </c>
      <c r="E9464" s="10" t="str">
        <f>HYPERLINK("https://otsuka-europe-crm.veevavault.com/ui/#object/sent_email__v/VBL00000002U174", "SE-001435929")</f>
        <v>SE-001435929</v>
      </c>
      <c r="F9464" s="11"/>
      <c r="G9464" s="12">
        <v>0</v>
      </c>
      <c r="H9464" s="12">
        <v>0</v>
      </c>
      <c r="I9464" s="12">
        <v>0</v>
      </c>
      <c r="J9464" s="11"/>
      <c r="K9464" s="12">
        <v>0</v>
      </c>
      <c r="L9464" s="10" t="str">
        <f>HYPERLINK("https://otsuka-europe-crm.veevavault.com/ui/#object/approved_document__v/V5O00000001L017", "ALL_Flexibilität_Ferienplanung_2026_AA_fr")</f>
        <v>ALL_Flexibilität_Ferienplanung_2026_AA_fr</v>
      </c>
      <c r="M9464" s="10" t="str">
        <f>HYPERLINK("mailto:yvergari@crm.otsuka-europe.com", "yvergari@crm.otsuka-europe.com")</f>
        <v>yvergari@crm.otsuka-europe.com</v>
      </c>
      <c r="N9464" s="13">
        <v>46188.438125000001</v>
      </c>
      <c r="O9464" s="14" t="str">
        <f>HYPERLINK("https://otsuka-europe-crm.veevavault.com/ui/#object/email_activity__v/V8C00000003V506", "EN-002095809")</f>
        <v>EN-002095809</v>
      </c>
    </row>
    <row r="9465" spans="1:15" ht="32" x14ac:dyDescent="0.2">
      <c r="A9465" s="7" t="str">
        <f>HYPERLINK("https://otsuka-europe-crm.veevavault.com/ui/#object/account__v/V4TZ0000062R6L4", "Nicolas Belleux")</f>
        <v>Nicolas Belleux</v>
      </c>
      <c r="B9465" s="7" t="str">
        <f>HYPERLINK("https://otsuka-europe-crm.veevavault.com/ui/#object/vcountry__v/VENZ000004SONFN", "CH")</f>
        <v>CH</v>
      </c>
      <c r="C9465" s="8" t="s">
        <v>45</v>
      </c>
      <c r="D9465" s="9" t="str">
        <f>HYPERLINK("https://otsuka-europe-crm.veevavault.com/ui/#object/approved_document__v/V5O00000001L017", "ALL_Flexibilität_Ferienplanung_2026_AA_fr")</f>
        <v>ALL_Flexibilität_Ferienplanung_2026_AA_fr</v>
      </c>
      <c r="E9465" s="10" t="str">
        <f>HYPERLINK("https://otsuka-europe-crm.veevavault.com/ui/#object/sent_email__v/VBL00000002U175", "SE-001435930")</f>
        <v>SE-001435930</v>
      </c>
      <c r="F9465" s="11"/>
      <c r="G9465" s="12">
        <v>0</v>
      </c>
      <c r="H9465" s="12">
        <v>0</v>
      </c>
      <c r="I9465" s="12">
        <v>0</v>
      </c>
      <c r="J9465" s="11"/>
      <c r="K9465" s="12">
        <v>0</v>
      </c>
      <c r="L9465" s="10" t="str">
        <f>HYPERLINK("https://otsuka-europe-crm.veevavault.com/ui/#object/approved_document__v/V5O00000001L017", "ALL_Flexibilität_Ferienplanung_2026_AA_fr")</f>
        <v>ALL_Flexibilität_Ferienplanung_2026_AA_fr</v>
      </c>
      <c r="M9465" s="10" t="str">
        <f>HYPERLINK("mailto:yvergari@crm.otsuka-europe.com", "yvergari@crm.otsuka-europe.com")</f>
        <v>yvergari@crm.otsuka-europe.com</v>
      </c>
      <c r="N9465" s="13">
        <v>46188.438113425924</v>
      </c>
      <c r="O9465" s="14" t="str">
        <f>HYPERLINK("https://otsuka-europe-crm.veevavault.com/ui/#object/email_activity__v/V8C00000003U529", "EN-002095872")</f>
        <v>EN-002095872</v>
      </c>
    </row>
    <row r="9466" spans="1:15" ht="32" x14ac:dyDescent="0.2">
      <c r="A9466" s="7" t="str">
        <f>HYPERLINK("https://otsuka-europe-crm.veevavault.com/ui/#object/account__v/V4TZ0000062RZEA", "Jean-Michel Aubry")</f>
        <v>Jean-Michel Aubry</v>
      </c>
      <c r="B9466" s="7" t="str">
        <f>HYPERLINK("https://otsuka-europe-crm.veevavault.com/ui/#object/vcountry__v/VENZ000004SONFN", "CH")</f>
        <v>CH</v>
      </c>
      <c r="C9466" s="8" t="s">
        <v>45</v>
      </c>
      <c r="D9466" s="9" t="str">
        <f>HYPERLINK("https://otsuka-europe-crm.veevavault.com/ui/#object/approved_document__v/V5O00000001L017", "ALL_Flexibilität_Ferienplanung_2026_AA_fr")</f>
        <v>ALL_Flexibilität_Ferienplanung_2026_AA_fr</v>
      </c>
      <c r="E9466" s="10" t="str">
        <f>HYPERLINK("https://otsuka-europe-crm.veevavault.com/ui/#object/sent_email__v/VBL00000002U176", "SE-001435931")</f>
        <v>SE-001435931</v>
      </c>
      <c r="F9466" s="11"/>
      <c r="G9466" s="12">
        <v>0</v>
      </c>
      <c r="H9466" s="12">
        <v>0</v>
      </c>
      <c r="I9466" s="12">
        <v>0</v>
      </c>
      <c r="J9466" s="11"/>
      <c r="K9466" s="12">
        <v>0</v>
      </c>
      <c r="L9466" s="10" t="str">
        <f>HYPERLINK("https://otsuka-europe-crm.veevavault.com/ui/#object/approved_document__v/V5O00000001L017", "ALL_Flexibilität_Ferienplanung_2026_AA_fr")</f>
        <v>ALL_Flexibilität_Ferienplanung_2026_AA_fr</v>
      </c>
      <c r="M9466" s="10" t="str">
        <f>HYPERLINK("mailto:yvergari@crm.otsuka-europe.com", "yvergari@crm.otsuka-europe.com")</f>
        <v>yvergari@crm.otsuka-europe.com</v>
      </c>
      <c r="N9466" s="13">
        <v>46188.438148148147</v>
      </c>
      <c r="O9466" s="14" t="str">
        <f>HYPERLINK("https://otsuka-europe-crm.veevavault.com/ui/#object/email_activity__v/V8C00000003U500", "EN-002095822")</f>
        <v>EN-002095822</v>
      </c>
    </row>
    <row r="9467" spans="1:15" ht="32" x14ac:dyDescent="0.2">
      <c r="A9467" s="7" t="str">
        <f>HYPERLINK("https://otsuka-europe-crm.veevavault.com/ui/#object/account__v/V4TZ0000062R824", "Ioan Cromec")</f>
        <v>Ioan Cromec</v>
      </c>
      <c r="B9467" s="7" t="str">
        <f>HYPERLINK("https://otsuka-europe-crm.veevavault.com/ui/#object/vcountry__v/VENZ000004SONFN", "CH")</f>
        <v>CH</v>
      </c>
      <c r="C9467" s="8" t="s">
        <v>45</v>
      </c>
      <c r="D9467" s="9" t="str">
        <f>HYPERLINK("https://otsuka-europe-crm.veevavault.com/ui/#object/approved_document__v/V5O00000001L017", "ALL_Flexibilität_Ferienplanung_2026_AA_fr")</f>
        <v>ALL_Flexibilität_Ferienplanung_2026_AA_fr</v>
      </c>
      <c r="E9467" s="10" t="str">
        <f>HYPERLINK("https://otsuka-europe-crm.veevavault.com/ui/#object/sent_email__v/VBL00000002U177", "SE-001435932")</f>
        <v>SE-001435932</v>
      </c>
      <c r="F9467" s="11"/>
      <c r="G9467" s="12">
        <v>0</v>
      </c>
      <c r="H9467" s="12">
        <v>0</v>
      </c>
      <c r="I9467" s="12">
        <v>0</v>
      </c>
      <c r="J9467" s="11"/>
      <c r="K9467" s="12">
        <v>0</v>
      </c>
      <c r="L9467" s="10" t="str">
        <f>HYPERLINK("https://otsuka-europe-crm.veevavault.com/ui/#object/approved_document__v/V5O00000001L017", "ALL_Flexibilität_Ferienplanung_2026_AA_fr")</f>
        <v>ALL_Flexibilität_Ferienplanung_2026_AA_fr</v>
      </c>
      <c r="M9467" s="10" t="str">
        <f>HYPERLINK("mailto:yvergari@crm.otsuka-europe.com", "yvergari@crm.otsuka-europe.com")</f>
        <v>yvergari@crm.otsuka-europe.com</v>
      </c>
      <c r="N9467" s="13">
        <v>46188.438206018516</v>
      </c>
      <c r="O9467" s="14" t="str">
        <f>HYPERLINK("https://otsuka-europe-crm.veevavault.com/ui/#object/email_activity__v/V8C00000003V529", "EN-002095869")</f>
        <v>EN-002095869</v>
      </c>
    </row>
    <row r="9468" spans="1:15" ht="16" x14ac:dyDescent="0.2">
      <c r="A9468" s="17" t="str">
        <f>HYPERLINK("https://otsuka-europe-crm.veevavault.com/ui/#object/account__v/V4TZ04ASG6OTSTG", "Michèle Batou")</f>
        <v>Michèle Batou</v>
      </c>
      <c r="B9468" s="17" t="str">
        <f>HYPERLINK("https://otsuka-europe-crm.veevavault.com/ui/#object/vcountry__v/VENZ000004SONFN", "CH")</f>
        <v>CH</v>
      </c>
      <c r="C9468" s="20" t="s">
        <v>45</v>
      </c>
      <c r="D9468" s="21" t="str">
        <f>HYPERLINK("https://otsuka-europe-crm.veevavault.com/ui/#object/approved_document__v/V5O00000001L017", "ALL_Flexibilität_Ferienplanung_2026_AA_fr")</f>
        <v>ALL_Flexibilität_Ferienplanung_2026_AA_fr</v>
      </c>
      <c r="E9468" s="22" t="str">
        <f>HYPERLINK("https://otsuka-europe-crm.veevavault.com/ui/#object/sent_email__v/VBL00000002U178", "SE-001435933")</f>
        <v>SE-001435933</v>
      </c>
      <c r="F9468" s="23">
        <v>46188.833877314813</v>
      </c>
      <c r="G9468" s="24">
        <v>1</v>
      </c>
      <c r="H9468" s="24">
        <v>2</v>
      </c>
      <c r="I9468" s="24">
        <v>0</v>
      </c>
      <c r="J9468" s="25"/>
      <c r="K9468" s="24">
        <v>0</v>
      </c>
      <c r="L9468" s="22" t="str">
        <f>HYPERLINK("https://otsuka-europe-crm.veevavault.com/ui/#object/approved_document__v/V5O00000001L017", "ALL_Flexibilität_Ferienplanung_2026_AA_fr")</f>
        <v>ALL_Flexibilität_Ferienplanung_2026_AA_fr</v>
      </c>
      <c r="M9468" s="22" t="str">
        <f>HYPERLINK("mailto:yvergari@crm.otsuka-europe.com", "yvergari@crm.otsuka-europe.com")</f>
        <v>yvergari@crm.otsuka-europe.com</v>
      </c>
      <c r="N9468" s="23">
        <v>46188.438101851854</v>
      </c>
      <c r="O9468" s="14" t="str">
        <f>HYPERLINK("https://otsuka-europe-crm.veevavault.com/ui/#object/email_activity__v/V8C00000003U490", "EN-002095810")</f>
        <v>EN-002095810</v>
      </c>
    </row>
    <row r="9469" spans="1:15" ht="16" x14ac:dyDescent="0.2">
      <c r="A9469" s="18"/>
      <c r="B9469" s="18"/>
      <c r="C9469" s="18"/>
      <c r="D9469" s="18"/>
      <c r="E9469" s="18"/>
      <c r="F9469" s="18"/>
      <c r="G9469" s="18"/>
      <c r="H9469" s="18"/>
      <c r="I9469" s="18"/>
      <c r="J9469" s="18"/>
      <c r="K9469" s="18"/>
      <c r="L9469" s="18"/>
      <c r="M9469" s="18"/>
      <c r="N9469" s="18"/>
      <c r="O9469" s="14" t="str">
        <f>HYPERLINK("https://otsuka-europe-crm.veevavault.com/ui/#object/email_activity__v/V8C00000003V551", "EN-002095924")</f>
        <v>EN-002095924</v>
      </c>
    </row>
    <row r="9470" spans="1:15" ht="16" x14ac:dyDescent="0.2">
      <c r="A9470" s="19"/>
      <c r="B9470" s="19"/>
      <c r="C9470" s="19"/>
      <c r="D9470" s="19"/>
      <c r="E9470" s="19"/>
      <c r="F9470" s="19"/>
      <c r="G9470" s="19"/>
      <c r="H9470" s="19"/>
      <c r="I9470" s="19"/>
      <c r="J9470" s="19"/>
      <c r="K9470" s="19"/>
      <c r="L9470" s="19"/>
      <c r="M9470" s="19"/>
      <c r="N9470" s="19"/>
      <c r="O9470" s="14" t="str">
        <f>HYPERLINK("https://otsuka-europe-crm.veevavault.com/ui/#object/email_activity__v/V8C00000003W071", "EN-002096782")</f>
        <v>EN-002096782</v>
      </c>
    </row>
    <row r="9471" spans="1:15" ht="32" x14ac:dyDescent="0.2">
      <c r="A9471" s="7" t="str">
        <f>HYPERLINK("https://otsuka-europe-crm.veevavault.com/ui/#object/account__v/V4TZ04ASG9UHH59", "Sanae Chemlal")</f>
        <v>Sanae Chemlal</v>
      </c>
      <c r="B9471" s="7" t="str">
        <f t="shared" ref="B9471:B9478" si="702">HYPERLINK("https://otsuka-europe-crm.veevavault.com/ui/#object/vcountry__v/VENZ000004SONFN", "CH")</f>
        <v>CH</v>
      </c>
      <c r="C9471" s="8" t="s">
        <v>45</v>
      </c>
      <c r="D9471" s="9" t="str">
        <f t="shared" ref="D9471:D9478" si="703">HYPERLINK("https://otsuka-europe-crm.veevavault.com/ui/#object/approved_document__v/V5O00000001L017", "ALL_Flexibilität_Ferienplanung_2026_AA_fr")</f>
        <v>ALL_Flexibilität_Ferienplanung_2026_AA_fr</v>
      </c>
      <c r="E9471" s="10" t="str">
        <f>HYPERLINK("https://otsuka-europe-crm.veevavault.com/ui/#object/sent_email__v/VBL00000002U179", "SE-001435934")</f>
        <v>SE-001435934</v>
      </c>
      <c r="F9471" s="11"/>
      <c r="G9471" s="12">
        <v>0</v>
      </c>
      <c r="H9471" s="12">
        <v>0</v>
      </c>
      <c r="I9471" s="12">
        <v>0</v>
      </c>
      <c r="J9471" s="11"/>
      <c r="K9471" s="12">
        <v>0</v>
      </c>
      <c r="L9471" s="10" t="str">
        <f t="shared" ref="L9471:L9478" si="704">HYPERLINK("https://otsuka-europe-crm.veevavault.com/ui/#object/approved_document__v/V5O00000001L017", "ALL_Flexibilität_Ferienplanung_2026_AA_fr")</f>
        <v>ALL_Flexibilität_Ferienplanung_2026_AA_fr</v>
      </c>
      <c r="M9471" s="10" t="str">
        <f t="shared" ref="M9471:M9478" si="705">HYPERLINK("mailto:yvergari@crm.otsuka-europe.com", "yvergari@crm.otsuka-europe.com")</f>
        <v>yvergari@crm.otsuka-europe.com</v>
      </c>
      <c r="N9471" s="13">
        <v>46188.438113425924</v>
      </c>
      <c r="O9471" s="14" t="str">
        <f>HYPERLINK("https://otsuka-europe-crm.veevavault.com/ui/#object/email_activity__v/V8C00000003V505", "EN-002095808")</f>
        <v>EN-002095808</v>
      </c>
    </row>
    <row r="9472" spans="1:15" ht="32" x14ac:dyDescent="0.2">
      <c r="A9472" s="7" t="str">
        <f>HYPERLINK("https://otsuka-europe-crm.veevavault.com/ui/#object/account__v/V4TZ025E871A6LG", "Miroslav Balas")</f>
        <v>Miroslav Balas</v>
      </c>
      <c r="B9472" s="7" t="str">
        <f t="shared" si="702"/>
        <v>CH</v>
      </c>
      <c r="C9472" s="8" t="s">
        <v>45</v>
      </c>
      <c r="D9472" s="9" t="str">
        <f t="shared" si="703"/>
        <v>ALL_Flexibilität_Ferienplanung_2026_AA_fr</v>
      </c>
      <c r="E9472" s="10" t="str">
        <f>HYPERLINK("https://otsuka-europe-crm.veevavault.com/ui/#object/sent_email__v/VBL00000002U180", "SE-001435935")</f>
        <v>SE-001435935</v>
      </c>
      <c r="F9472" s="11"/>
      <c r="G9472" s="12">
        <v>0</v>
      </c>
      <c r="H9472" s="12">
        <v>0</v>
      </c>
      <c r="I9472" s="12">
        <v>0</v>
      </c>
      <c r="J9472" s="11"/>
      <c r="K9472" s="12">
        <v>0</v>
      </c>
      <c r="L9472" s="10" t="str">
        <f t="shared" si="704"/>
        <v>ALL_Flexibilität_Ferienplanung_2026_AA_fr</v>
      </c>
      <c r="M9472" s="10" t="str">
        <f t="shared" si="705"/>
        <v>yvergari@crm.otsuka-europe.com</v>
      </c>
      <c r="N9472" s="13">
        <v>46188.438136574077</v>
      </c>
      <c r="O9472" s="14" t="str">
        <f>HYPERLINK("https://otsuka-europe-crm.veevavault.com/ui/#object/email_activity__v/V8C00000003V526", "EN-002095866")</f>
        <v>EN-002095866</v>
      </c>
    </row>
    <row r="9473" spans="1:15" ht="32" x14ac:dyDescent="0.2">
      <c r="A9473" s="7" t="str">
        <f>HYPERLINK("https://otsuka-europe-crm.veevavault.com/ui/#object/account__v/V4TZ04ASG8MTCDB", "Brice Fabo Kwemi")</f>
        <v>Brice Fabo Kwemi</v>
      </c>
      <c r="B9473" s="7" t="str">
        <f t="shared" si="702"/>
        <v>CH</v>
      </c>
      <c r="C9473" s="8" t="s">
        <v>45</v>
      </c>
      <c r="D9473" s="9" t="str">
        <f t="shared" si="703"/>
        <v>ALL_Flexibilität_Ferienplanung_2026_AA_fr</v>
      </c>
      <c r="E9473" s="10" t="str">
        <f>HYPERLINK("https://otsuka-europe-crm.veevavault.com/ui/#object/sent_email__v/VBL00000002U181", "SE-001435936")</f>
        <v>SE-001435936</v>
      </c>
      <c r="F9473" s="11"/>
      <c r="G9473" s="12">
        <v>0</v>
      </c>
      <c r="H9473" s="12">
        <v>0</v>
      </c>
      <c r="I9473" s="12">
        <v>0</v>
      </c>
      <c r="J9473" s="11"/>
      <c r="K9473" s="12">
        <v>0</v>
      </c>
      <c r="L9473" s="10" t="str">
        <f t="shared" si="704"/>
        <v>ALL_Flexibilität_Ferienplanung_2026_AA_fr</v>
      </c>
      <c r="M9473" s="10" t="str">
        <f t="shared" si="705"/>
        <v>yvergari@crm.otsuka-europe.com</v>
      </c>
      <c r="N9473" s="13">
        <v>46188.438125000001</v>
      </c>
      <c r="O9473" s="14" t="str">
        <f>HYPERLINK("https://otsuka-europe-crm.veevavault.com/ui/#object/email_activity__v/V8C00000003V523", "EN-002095863")</f>
        <v>EN-002095863</v>
      </c>
    </row>
    <row r="9474" spans="1:15" ht="32" x14ac:dyDescent="0.2">
      <c r="A9474" s="7" t="str">
        <f>HYPERLINK("https://otsuka-europe-crm.veevavault.com/ui/#object/account__v/V4TZ025E85JBUTU", "Ermeline Bachelard")</f>
        <v>Ermeline Bachelard</v>
      </c>
      <c r="B9474" s="7" t="str">
        <f t="shared" si="702"/>
        <v>CH</v>
      </c>
      <c r="C9474" s="8" t="s">
        <v>45</v>
      </c>
      <c r="D9474" s="9" t="str">
        <f t="shared" si="703"/>
        <v>ALL_Flexibilität_Ferienplanung_2026_AA_fr</v>
      </c>
      <c r="E9474" s="10" t="str">
        <f>HYPERLINK("https://otsuka-europe-crm.veevavault.com/ui/#object/sent_email__v/VBL00000002U182", "SE-001435937")</f>
        <v>SE-001435937</v>
      </c>
      <c r="F9474" s="11"/>
      <c r="G9474" s="12">
        <v>0</v>
      </c>
      <c r="H9474" s="12">
        <v>0</v>
      </c>
      <c r="I9474" s="12">
        <v>0</v>
      </c>
      <c r="J9474" s="11"/>
      <c r="K9474" s="12">
        <v>0</v>
      </c>
      <c r="L9474" s="10" t="str">
        <f t="shared" si="704"/>
        <v>ALL_Flexibilität_Ferienplanung_2026_AA_fr</v>
      </c>
      <c r="M9474" s="10" t="str">
        <f t="shared" si="705"/>
        <v>yvergari@crm.otsuka-europe.com</v>
      </c>
      <c r="N9474" s="13">
        <v>46188.438159722224</v>
      </c>
      <c r="O9474" s="14" t="str">
        <f>HYPERLINK("https://otsuka-europe-crm.veevavault.com/ui/#object/email_activity__v/V8C00000003U503", "EN-002095825")</f>
        <v>EN-002095825</v>
      </c>
    </row>
    <row r="9475" spans="1:15" ht="32" x14ac:dyDescent="0.2">
      <c r="A9475" s="7" t="str">
        <f>HYPERLINK("https://otsuka-europe-crm.veevavault.com/ui/#object/account__v/V4TZ025E871A1CJ", "Maeve Baechler")</f>
        <v>Maeve Baechler</v>
      </c>
      <c r="B9475" s="7" t="str">
        <f t="shared" si="702"/>
        <v>CH</v>
      </c>
      <c r="C9475" s="8" t="s">
        <v>45</v>
      </c>
      <c r="D9475" s="9" t="str">
        <f t="shared" si="703"/>
        <v>ALL_Flexibilität_Ferienplanung_2026_AA_fr</v>
      </c>
      <c r="E9475" s="10" t="str">
        <f>HYPERLINK("https://otsuka-europe-crm.veevavault.com/ui/#object/sent_email__v/VBL00000002U183", "SE-001435938")</f>
        <v>SE-001435938</v>
      </c>
      <c r="F9475" s="11"/>
      <c r="G9475" s="12">
        <v>0</v>
      </c>
      <c r="H9475" s="12">
        <v>0</v>
      </c>
      <c r="I9475" s="12">
        <v>0</v>
      </c>
      <c r="J9475" s="11"/>
      <c r="K9475" s="12">
        <v>0</v>
      </c>
      <c r="L9475" s="10" t="str">
        <f t="shared" si="704"/>
        <v>ALL_Flexibilität_Ferienplanung_2026_AA_fr</v>
      </c>
      <c r="M9475" s="10" t="str">
        <f t="shared" si="705"/>
        <v>yvergari@crm.otsuka-europe.com</v>
      </c>
      <c r="N9475" s="13">
        <v>46188.438136574077</v>
      </c>
      <c r="O9475" s="14" t="str">
        <f>HYPERLINK("https://otsuka-europe-crm.veevavault.com/ui/#object/email_activity__v/V8C00000003U518", "EN-002095850")</f>
        <v>EN-002095850</v>
      </c>
    </row>
    <row r="9476" spans="1:15" ht="32" x14ac:dyDescent="0.2">
      <c r="A9476" s="7" t="str">
        <f>HYPERLINK("https://otsuka-europe-crm.veevavault.com/ui/#object/account__v/V4TZ0000062R6MC", "Nicolas Baertschi")</f>
        <v>Nicolas Baertschi</v>
      </c>
      <c r="B9476" s="7" t="str">
        <f t="shared" si="702"/>
        <v>CH</v>
      </c>
      <c r="C9476" s="8" t="s">
        <v>45</v>
      </c>
      <c r="D9476" s="9" t="str">
        <f t="shared" si="703"/>
        <v>ALL_Flexibilität_Ferienplanung_2026_AA_fr</v>
      </c>
      <c r="E9476" s="10" t="str">
        <f>HYPERLINK("https://otsuka-europe-crm.veevavault.com/ui/#object/sent_email__v/VBL00000002U184", "SE-001435939")</f>
        <v>SE-001435939</v>
      </c>
      <c r="F9476" s="11"/>
      <c r="G9476" s="12">
        <v>0</v>
      </c>
      <c r="H9476" s="12">
        <v>0</v>
      </c>
      <c r="I9476" s="12">
        <v>0</v>
      </c>
      <c r="J9476" s="11"/>
      <c r="K9476" s="12">
        <v>0</v>
      </c>
      <c r="L9476" s="10" t="str">
        <f t="shared" si="704"/>
        <v>ALL_Flexibilität_Ferienplanung_2026_AA_fr</v>
      </c>
      <c r="M9476" s="10" t="str">
        <f t="shared" si="705"/>
        <v>yvergari@crm.otsuka-europe.com</v>
      </c>
      <c r="N9476" s="13">
        <v>46188.445104166669</v>
      </c>
      <c r="O9476" s="14" t="str">
        <f>HYPERLINK("https://otsuka-europe-crm.veevavault.com/ui/#object/email_activity__v/V8C00000003U549", "EN-002095906")</f>
        <v>EN-002095906</v>
      </c>
    </row>
    <row r="9477" spans="1:15" ht="32" x14ac:dyDescent="0.2">
      <c r="A9477" s="7" t="str">
        <f>HYPERLINK("https://otsuka-europe-crm.veevavault.com/ui/#object/account__v/V4TZ025E87ZONPJ", "Dominika Chuda")</f>
        <v>Dominika Chuda</v>
      </c>
      <c r="B9477" s="7" t="str">
        <f t="shared" si="702"/>
        <v>CH</v>
      </c>
      <c r="C9477" s="8" t="s">
        <v>45</v>
      </c>
      <c r="D9477" s="9" t="str">
        <f t="shared" si="703"/>
        <v>ALL_Flexibilität_Ferienplanung_2026_AA_fr</v>
      </c>
      <c r="E9477" s="10" t="str">
        <f>HYPERLINK("https://otsuka-europe-crm.veevavault.com/ui/#object/sent_email__v/VBL00000002U185", "SE-001435940")</f>
        <v>SE-001435940</v>
      </c>
      <c r="F9477" s="11"/>
      <c r="G9477" s="12">
        <v>0</v>
      </c>
      <c r="H9477" s="12">
        <v>0</v>
      </c>
      <c r="I9477" s="12">
        <v>0</v>
      </c>
      <c r="J9477" s="11"/>
      <c r="K9477" s="12">
        <v>0</v>
      </c>
      <c r="L9477" s="10" t="str">
        <f t="shared" si="704"/>
        <v>ALL_Flexibilität_Ferienplanung_2026_AA_fr</v>
      </c>
      <c r="M9477" s="10" t="str">
        <f t="shared" si="705"/>
        <v>yvergari@crm.otsuka-europe.com</v>
      </c>
      <c r="N9477" s="13">
        <v>46188.438136574077</v>
      </c>
      <c r="O9477" s="14" t="str">
        <f>HYPERLINK("https://otsuka-europe-crm.veevavault.com/ui/#object/email_activity__v/V8C00000003V518", "EN-002095841")</f>
        <v>EN-002095841</v>
      </c>
    </row>
    <row r="9478" spans="1:15" ht="16" x14ac:dyDescent="0.2">
      <c r="A9478" s="17" t="str">
        <f>HYPERLINK("https://otsuka-europe-crm.veevavault.com/ui/#object/account__v/V4TZ025E87ZOS0X", "Marco Caprioli")</f>
        <v>Marco Caprioli</v>
      </c>
      <c r="B9478" s="17" t="str">
        <f t="shared" si="702"/>
        <v>CH</v>
      </c>
      <c r="C9478" s="20" t="s">
        <v>45</v>
      </c>
      <c r="D9478" s="21" t="str">
        <f t="shared" si="703"/>
        <v>ALL_Flexibilität_Ferienplanung_2026_AA_fr</v>
      </c>
      <c r="E9478" s="22" t="str">
        <f>HYPERLINK("https://otsuka-europe-crm.veevavault.com/ui/#object/sent_email__v/VBL00000002U186", "SE-001435941")</f>
        <v>SE-001435941</v>
      </c>
      <c r="F9478" s="23">
        <v>46190.266030092593</v>
      </c>
      <c r="G9478" s="24">
        <v>1</v>
      </c>
      <c r="H9478" s="24">
        <v>1</v>
      </c>
      <c r="I9478" s="24">
        <v>0</v>
      </c>
      <c r="J9478" s="25"/>
      <c r="K9478" s="24">
        <v>0</v>
      </c>
      <c r="L9478" s="22" t="str">
        <f t="shared" si="704"/>
        <v>ALL_Flexibilität_Ferienplanung_2026_AA_fr</v>
      </c>
      <c r="M9478" s="22" t="str">
        <f t="shared" si="705"/>
        <v>yvergari@crm.otsuka-europe.com</v>
      </c>
      <c r="N9478" s="23">
        <v>46188.438148148147</v>
      </c>
      <c r="O9478" s="14" t="str">
        <f>HYPERLINK("https://otsuka-europe-crm.veevavault.com/ui/#object/email_activity__v/V8C00000003U497", "EN-002095819")</f>
        <v>EN-002095819</v>
      </c>
    </row>
    <row r="9479" spans="1:15" ht="16" x14ac:dyDescent="0.2">
      <c r="A9479" s="19"/>
      <c r="B9479" s="19"/>
      <c r="C9479" s="19"/>
      <c r="D9479" s="19"/>
      <c r="E9479" s="19"/>
      <c r="F9479" s="19"/>
      <c r="G9479" s="19"/>
      <c r="H9479" s="19"/>
      <c r="I9479" s="19"/>
      <c r="J9479" s="19"/>
      <c r="K9479" s="19"/>
      <c r="L9479" s="19"/>
      <c r="M9479" s="19"/>
      <c r="N9479" s="19"/>
      <c r="O9479" s="14" t="str">
        <f>HYPERLINK("https://otsuka-europe-crm.veevavault.com/ui/#object/email_activity__v/V8C00000003W320", "EN-002097361")</f>
        <v>EN-002097361</v>
      </c>
    </row>
    <row r="9480" spans="1:15" ht="16" x14ac:dyDescent="0.2">
      <c r="A9480" s="17" t="str">
        <f>HYPERLINK("https://otsuka-europe-crm.veevavault.com/ui/#object/account__v/V4TZ0000062R6UW", "Jens Brinken")</f>
        <v>Jens Brinken</v>
      </c>
      <c r="B9480" s="17" t="str">
        <f>HYPERLINK("https://otsuka-europe-crm.veevavault.com/ui/#object/vcountry__v/VENZ000004SONFN", "CH")</f>
        <v>CH</v>
      </c>
      <c r="C9480" s="20" t="s">
        <v>45</v>
      </c>
      <c r="D9480" s="21" t="str">
        <f>HYPERLINK("https://otsuka-europe-crm.veevavault.com/ui/#object/approved_document__v/V5O00000001L017", "ALL_Flexibilität_Ferienplanung_2026_AA_fr")</f>
        <v>ALL_Flexibilität_Ferienplanung_2026_AA_fr</v>
      </c>
      <c r="E9480" s="22" t="str">
        <f>HYPERLINK("https://otsuka-europe-crm.veevavault.com/ui/#object/sent_email__v/VBL00000002U187", "SE-001435942")</f>
        <v>SE-001435942</v>
      </c>
      <c r="F9480" s="23">
        <v>46188.438599537039</v>
      </c>
      <c r="G9480" s="24">
        <v>1</v>
      </c>
      <c r="H9480" s="24">
        <v>2</v>
      </c>
      <c r="I9480" s="24">
        <v>0</v>
      </c>
      <c r="J9480" s="25"/>
      <c r="K9480" s="24">
        <v>0</v>
      </c>
      <c r="L9480" s="22" t="str">
        <f>HYPERLINK("https://otsuka-europe-crm.veevavault.com/ui/#object/approved_document__v/V5O00000001L017", "ALL_Flexibilität_Ferienplanung_2026_AA_fr")</f>
        <v>ALL_Flexibilität_Ferienplanung_2026_AA_fr</v>
      </c>
      <c r="M9480" s="22" t="str">
        <f>HYPERLINK("mailto:yvergari@crm.otsuka-europe.com", "yvergari@crm.otsuka-europe.com")</f>
        <v>yvergari@crm.otsuka-europe.com</v>
      </c>
      <c r="N9480" s="23">
        <v>46188.438136574077</v>
      </c>
      <c r="O9480" s="14" t="str">
        <f>HYPERLINK("https://otsuka-europe-crm.veevavault.com/ui/#object/email_activity__v/V8C00000003U516", "EN-002095848")</f>
        <v>EN-002095848</v>
      </c>
    </row>
    <row r="9481" spans="1:15" ht="16" x14ac:dyDescent="0.2">
      <c r="A9481" s="18"/>
      <c r="B9481" s="18"/>
      <c r="C9481" s="18"/>
      <c r="D9481" s="18"/>
      <c r="E9481" s="18"/>
      <c r="F9481" s="18"/>
      <c r="G9481" s="18"/>
      <c r="H9481" s="18"/>
      <c r="I9481" s="18"/>
      <c r="J9481" s="18"/>
      <c r="K9481" s="18"/>
      <c r="L9481" s="18"/>
      <c r="M9481" s="18"/>
      <c r="N9481" s="18"/>
      <c r="O9481" s="14" t="str">
        <f>HYPERLINK("https://otsuka-europe-crm.veevavault.com/ui/#object/email_activity__v/V8C00000003U524", "EN-002095856")</f>
        <v>EN-002095856</v>
      </c>
    </row>
    <row r="9482" spans="1:15" ht="16" x14ac:dyDescent="0.2">
      <c r="A9482" s="19"/>
      <c r="B9482" s="19"/>
      <c r="C9482" s="19"/>
      <c r="D9482" s="19"/>
      <c r="E9482" s="19"/>
      <c r="F9482" s="19"/>
      <c r="G9482" s="19"/>
      <c r="H9482" s="19"/>
      <c r="I9482" s="19"/>
      <c r="J9482" s="19"/>
      <c r="K9482" s="19"/>
      <c r="L9482" s="19"/>
      <c r="M9482" s="19"/>
      <c r="N9482" s="19"/>
      <c r="O9482" s="14" t="str">
        <f>HYPERLINK("https://otsuka-europe-crm.veevavault.com/ui/#object/email_activity__v/V8C00000003U542", "EN-002095892")</f>
        <v>EN-002095892</v>
      </c>
    </row>
    <row r="9483" spans="1:15" ht="32" x14ac:dyDescent="0.2">
      <c r="A9483" s="7" t="str">
        <f>HYPERLINK("https://otsuka-europe-crm.veevavault.com/ui/#object/account__v/V4TZ025E85DF0K7", "Linda Belabbas Hedjal")</f>
        <v>Linda Belabbas Hedjal</v>
      </c>
      <c r="B9483" s="7" t="str">
        <f>HYPERLINK("https://otsuka-europe-crm.veevavault.com/ui/#object/vcountry__v/VENZ000004SONFN", "CH")</f>
        <v>CH</v>
      </c>
      <c r="C9483" s="8" t="s">
        <v>45</v>
      </c>
      <c r="D9483" s="9" t="str">
        <f>HYPERLINK("https://otsuka-europe-crm.veevavault.com/ui/#object/approved_document__v/V5O00000001L017", "ALL_Flexibilität_Ferienplanung_2026_AA_fr")</f>
        <v>ALL_Flexibilität_Ferienplanung_2026_AA_fr</v>
      </c>
      <c r="E9483" s="10" t="str">
        <f>HYPERLINK("https://otsuka-europe-crm.veevavault.com/ui/#object/sent_email__v/VBL00000002U188", "SE-001435943")</f>
        <v>SE-001435943</v>
      </c>
      <c r="F9483" s="11"/>
      <c r="G9483" s="12">
        <v>0</v>
      </c>
      <c r="H9483" s="12">
        <v>0</v>
      </c>
      <c r="I9483" s="12">
        <v>0</v>
      </c>
      <c r="J9483" s="11"/>
      <c r="K9483" s="12">
        <v>0</v>
      </c>
      <c r="L9483" s="10" t="str">
        <f>HYPERLINK("https://otsuka-europe-crm.veevavault.com/ui/#object/approved_document__v/V5O00000001L017", "ALL_Flexibilität_Ferienplanung_2026_AA_fr")</f>
        <v>ALL_Flexibilität_Ferienplanung_2026_AA_fr</v>
      </c>
      <c r="M9483" s="10" t="str">
        <f>HYPERLINK("mailto:yvergari@crm.otsuka-europe.com", "yvergari@crm.otsuka-europe.com")</f>
        <v>yvergari@crm.otsuka-europe.com</v>
      </c>
      <c r="N9483" s="13">
        <v>46188.438136574077</v>
      </c>
      <c r="O9483" s="14" t="str">
        <f>HYPERLINK("https://otsuka-europe-crm.veevavault.com/ui/#object/email_activity__v/V8C00000003U521", "EN-002095853")</f>
        <v>EN-002095853</v>
      </c>
    </row>
    <row r="9484" spans="1:15" ht="16" x14ac:dyDescent="0.2">
      <c r="A9484" s="17" t="str">
        <f>HYPERLINK("https://otsuka-europe-crm.veevavault.com/ui/#object/account__v/V4TZ025E83MZG53", "Lola De Marcos Fuentes")</f>
        <v>Lola De Marcos Fuentes</v>
      </c>
      <c r="B9484" s="17" t="str">
        <f>HYPERLINK("https://otsuka-europe-crm.veevavault.com/ui/#object/vcountry__v/VENZ000004SONFN", "CH")</f>
        <v>CH</v>
      </c>
      <c r="C9484" s="20" t="s">
        <v>45</v>
      </c>
      <c r="D9484" s="21" t="str">
        <f>HYPERLINK("https://otsuka-europe-crm.veevavault.com/ui/#object/approved_document__v/V5O00000001L017", "ALL_Flexibilität_Ferienplanung_2026_AA_fr")</f>
        <v>ALL_Flexibilität_Ferienplanung_2026_AA_fr</v>
      </c>
      <c r="E9484" s="22" t="str">
        <f>HYPERLINK("https://otsuka-europe-crm.veevavault.com/ui/#object/sent_email__v/VBL00000002U189", "SE-001435944")</f>
        <v>SE-001435944</v>
      </c>
      <c r="F9484" s="25"/>
      <c r="G9484" s="24">
        <v>0</v>
      </c>
      <c r="H9484" s="24">
        <v>0</v>
      </c>
      <c r="I9484" s="24">
        <v>0</v>
      </c>
      <c r="J9484" s="25"/>
      <c r="K9484" s="24">
        <v>0</v>
      </c>
      <c r="L9484" s="22" t="str">
        <f>HYPERLINK("https://otsuka-europe-crm.veevavault.com/ui/#object/approved_document__v/V5O00000001L017", "ALL_Flexibilität_Ferienplanung_2026_AA_fr")</f>
        <v>ALL_Flexibilität_Ferienplanung_2026_AA_fr</v>
      </c>
      <c r="M9484" s="22" t="str">
        <f>HYPERLINK("mailto:yvergari@crm.otsuka-europe.com", "yvergari@crm.otsuka-europe.com")</f>
        <v>yvergari@crm.otsuka-europe.com</v>
      </c>
      <c r="N9484" s="23">
        <v>46188.438148148147</v>
      </c>
      <c r="O9484" s="14" t="str">
        <f>HYPERLINK("https://otsuka-europe-crm.veevavault.com/ui/#object/email_activity__v/V8C00000003V531", "EN-002095882")</f>
        <v>EN-002095882</v>
      </c>
    </row>
    <row r="9485" spans="1:15" ht="16" x14ac:dyDescent="0.2">
      <c r="A9485" s="19"/>
      <c r="B9485" s="19"/>
      <c r="C9485" s="19"/>
      <c r="D9485" s="19"/>
      <c r="E9485" s="19"/>
      <c r="F9485" s="19"/>
      <c r="G9485" s="19"/>
      <c r="H9485" s="19"/>
      <c r="I9485" s="19"/>
      <c r="J9485" s="19"/>
      <c r="K9485" s="19"/>
      <c r="L9485" s="19"/>
      <c r="M9485" s="19"/>
      <c r="N9485" s="19"/>
      <c r="O9485" s="14" t="str">
        <f>HYPERLINK("https://otsuka-europe-crm.veevavault.com/ui/#object/email_activity__v/V8C000000042278", "EN-002100266")</f>
        <v>EN-002100266</v>
      </c>
    </row>
    <row r="9486" spans="1:15" ht="32" x14ac:dyDescent="0.2">
      <c r="A9486" s="7" t="str">
        <f>HYPERLINK("https://otsuka-europe-crm.veevavault.com/ui/#object/account__v/V4TZ025E87ZOS10", "Stephanie Donohue")</f>
        <v>Stephanie Donohue</v>
      </c>
      <c r="B9486" s="7" t="str">
        <f>HYPERLINK("https://otsuka-europe-crm.veevavault.com/ui/#object/vcountry__v/VENZ000004SONFN", "CH")</f>
        <v>CH</v>
      </c>
      <c r="C9486" s="8" t="s">
        <v>45</v>
      </c>
      <c r="D9486" s="9" t="str">
        <f>HYPERLINK("https://otsuka-europe-crm.veevavault.com/ui/#object/approved_document__v/V5O00000001L017", "ALL_Flexibilität_Ferienplanung_2026_AA_fr")</f>
        <v>ALL_Flexibilität_Ferienplanung_2026_AA_fr</v>
      </c>
      <c r="E9486" s="10" t="str">
        <f>HYPERLINK("https://otsuka-europe-crm.veevavault.com/ui/#object/sent_email__v/VBL00000002U190", "SE-001435945")</f>
        <v>SE-001435945</v>
      </c>
      <c r="F9486" s="11"/>
      <c r="G9486" s="12">
        <v>0</v>
      </c>
      <c r="H9486" s="12">
        <v>0</v>
      </c>
      <c r="I9486" s="12">
        <v>0</v>
      </c>
      <c r="J9486" s="11"/>
      <c r="K9486" s="12">
        <v>0</v>
      </c>
      <c r="L9486" s="10" t="str">
        <f>HYPERLINK("https://otsuka-europe-crm.veevavault.com/ui/#object/approved_document__v/V5O00000001L017", "ALL_Flexibilität_Ferienplanung_2026_AA_fr")</f>
        <v>ALL_Flexibilität_Ferienplanung_2026_AA_fr</v>
      </c>
      <c r="M9486" s="10" t="str">
        <f>HYPERLINK("mailto:yvergari@crm.otsuka-europe.com", "yvergari@crm.otsuka-europe.com")</f>
        <v>yvergari@crm.otsuka-europe.com</v>
      </c>
      <c r="N9486" s="13">
        <v>46188.438125000001</v>
      </c>
      <c r="O9486" s="14" t="str">
        <f>HYPERLINK("https://otsuka-europe-crm.veevavault.com/ui/#object/email_activity__v/V8C00000003V520", "EN-002095860")</f>
        <v>EN-002095860</v>
      </c>
    </row>
    <row r="9487" spans="1:15" ht="32" x14ac:dyDescent="0.2">
      <c r="A9487" s="7" t="str">
        <f>HYPERLINK("https://otsuka-europe-crm.veevavault.com/ui/#object/account__v/V4TZ04ASGBO0BER", "Jacques Alexander")</f>
        <v>Jacques Alexander</v>
      </c>
      <c r="B9487" s="7" t="str">
        <f>HYPERLINK("https://otsuka-europe-crm.veevavault.com/ui/#object/vcountry__v/VENZ000004SONFN", "CH")</f>
        <v>CH</v>
      </c>
      <c r="C9487" s="8" t="s">
        <v>45</v>
      </c>
      <c r="D9487" s="9" t="str">
        <f>HYPERLINK("https://otsuka-europe-crm.veevavault.com/ui/#object/approved_document__v/V5O00000001L017", "ALL_Flexibilität_Ferienplanung_2026_AA_fr")</f>
        <v>ALL_Flexibilität_Ferienplanung_2026_AA_fr</v>
      </c>
      <c r="E9487" s="10" t="str">
        <f>HYPERLINK("https://otsuka-europe-crm.veevavault.com/ui/#object/sent_email__v/VBL00000002U191", "SE-001435946")</f>
        <v>SE-001435946</v>
      </c>
      <c r="F9487" s="11"/>
      <c r="G9487" s="12">
        <v>0</v>
      </c>
      <c r="H9487" s="12">
        <v>0</v>
      </c>
      <c r="I9487" s="12">
        <v>0</v>
      </c>
      <c r="J9487" s="11"/>
      <c r="K9487" s="12">
        <v>0</v>
      </c>
      <c r="L9487" s="10" t="str">
        <f>HYPERLINK("https://otsuka-europe-crm.veevavault.com/ui/#object/approved_document__v/V5O00000001L017", "ALL_Flexibilität_Ferienplanung_2026_AA_fr")</f>
        <v>ALL_Flexibilität_Ferienplanung_2026_AA_fr</v>
      </c>
      <c r="M9487" s="10" t="str">
        <f>HYPERLINK("mailto:yvergari@crm.otsuka-europe.com", "yvergari@crm.otsuka-europe.com")</f>
        <v>yvergari@crm.otsuka-europe.com</v>
      </c>
      <c r="N9487" s="13">
        <v>46188.438148148147</v>
      </c>
      <c r="O9487" s="14" t="str">
        <f>HYPERLINK("https://otsuka-europe-crm.veevavault.com/ui/#object/email_activity__v/V8C00000003V530", "EN-002095881")</f>
        <v>EN-002095881</v>
      </c>
    </row>
    <row r="9488" spans="1:15" ht="16" x14ac:dyDescent="0.2">
      <c r="A9488" s="17" t="str">
        <f>HYPERLINK("https://otsuka-europe-crm.veevavault.com/ui/#object/account__v/V4TZ06G6OBI6F6W", "Marc Descombes")</f>
        <v>Marc Descombes</v>
      </c>
      <c r="B9488" s="17" t="str">
        <f>HYPERLINK("https://otsuka-europe-crm.veevavault.com/ui/#object/vcountry__v/VENZ000004SONFN", "CH")</f>
        <v>CH</v>
      </c>
      <c r="C9488" s="20" t="s">
        <v>45</v>
      </c>
      <c r="D9488" s="21" t="str">
        <f>HYPERLINK("https://otsuka-europe-crm.veevavault.com/ui/#object/approved_document__v/V5O00000001L017", "ALL_Flexibilität_Ferienplanung_2026_AA_fr")</f>
        <v>ALL_Flexibilität_Ferienplanung_2026_AA_fr</v>
      </c>
      <c r="E9488" s="22" t="str">
        <f>HYPERLINK("https://otsuka-europe-crm.veevavault.com/ui/#object/sent_email__v/VBL00000002U192", "SE-001435947")</f>
        <v>SE-001435947</v>
      </c>
      <c r="F9488" s="25"/>
      <c r="G9488" s="24">
        <v>0</v>
      </c>
      <c r="H9488" s="24">
        <v>0</v>
      </c>
      <c r="I9488" s="24">
        <v>0</v>
      </c>
      <c r="J9488" s="25"/>
      <c r="K9488" s="24">
        <v>0</v>
      </c>
      <c r="L9488" s="22" t="str">
        <f>HYPERLINK("https://otsuka-europe-crm.veevavault.com/ui/#object/approved_document__v/V5O00000001L017", "ALL_Flexibilität_Ferienplanung_2026_AA_fr")</f>
        <v>ALL_Flexibilität_Ferienplanung_2026_AA_fr</v>
      </c>
      <c r="M9488" s="22" t="str">
        <f>HYPERLINK("mailto:yvergari@crm.otsuka-europe.com", "yvergari@crm.otsuka-europe.com")</f>
        <v>yvergari@crm.otsuka-europe.com</v>
      </c>
      <c r="N9488" s="23">
        <v>46188.438217592593</v>
      </c>
      <c r="O9488" s="14" t="str">
        <f>HYPERLINK("https://otsuka-europe-crm.veevavault.com/ui/#object/email_activity__v/V8C00000003U525", "EN-002095857")</f>
        <v>EN-002095857</v>
      </c>
    </row>
    <row r="9489" spans="1:15" ht="16" x14ac:dyDescent="0.2">
      <c r="A9489" s="19"/>
      <c r="B9489" s="19"/>
      <c r="C9489" s="19"/>
      <c r="D9489" s="19"/>
      <c r="E9489" s="19"/>
      <c r="F9489" s="19"/>
      <c r="G9489" s="19"/>
      <c r="H9489" s="19"/>
      <c r="I9489" s="19"/>
      <c r="J9489" s="19"/>
      <c r="K9489" s="19"/>
      <c r="L9489" s="19"/>
      <c r="M9489" s="19"/>
      <c r="N9489" s="19"/>
      <c r="O9489" s="14" t="str">
        <f>HYPERLINK("https://otsuka-europe-crm.veevavault.com/ui/#object/email_activity__v/V8C00000003V557", "EN-002095933")</f>
        <v>EN-002095933</v>
      </c>
    </row>
    <row r="9490" spans="1:15" ht="32" x14ac:dyDescent="0.2">
      <c r="A9490" s="7" t="str">
        <f>HYPERLINK("https://otsuka-europe-crm.veevavault.com/ui/#object/account__v/V4TZ025E87BL95Y", "Ayla Ergani")</f>
        <v>Ayla Ergani</v>
      </c>
      <c r="B9490" s="7" t="str">
        <f>HYPERLINK("https://otsuka-europe-crm.veevavault.com/ui/#object/vcountry__v/VENZ000004SONFN", "CH")</f>
        <v>CH</v>
      </c>
      <c r="C9490" s="8" t="s">
        <v>45</v>
      </c>
      <c r="D9490" s="9" t="str">
        <f>HYPERLINK("https://otsuka-europe-crm.veevavault.com/ui/#object/approved_document__v/V5O00000001L017", "ALL_Flexibilität_Ferienplanung_2026_AA_fr")</f>
        <v>ALL_Flexibilität_Ferienplanung_2026_AA_fr</v>
      </c>
      <c r="E9490" s="10" t="str">
        <f>HYPERLINK("https://otsuka-europe-crm.veevavault.com/ui/#object/sent_email__v/VBL00000002U193", "SE-001435948")</f>
        <v>SE-001435948</v>
      </c>
      <c r="F9490" s="11"/>
      <c r="G9490" s="12">
        <v>0</v>
      </c>
      <c r="H9490" s="12">
        <v>0</v>
      </c>
      <c r="I9490" s="12">
        <v>0</v>
      </c>
      <c r="J9490" s="11"/>
      <c r="K9490" s="12">
        <v>0</v>
      </c>
      <c r="L9490" s="10" t="str">
        <f>HYPERLINK("https://otsuka-europe-crm.veevavault.com/ui/#object/approved_document__v/V5O00000001L017", "ALL_Flexibilität_Ferienplanung_2026_AA_fr")</f>
        <v>ALL_Flexibilität_Ferienplanung_2026_AA_fr</v>
      </c>
      <c r="M9490" s="10" t="str">
        <f>HYPERLINK("mailto:yvergari@crm.otsuka-europe.com", "yvergari@crm.otsuka-europe.com")</f>
        <v>yvergari@crm.otsuka-europe.com</v>
      </c>
      <c r="N9490" s="13">
        <v>46188.438148148147</v>
      </c>
      <c r="O9490" s="14" t="str">
        <f>HYPERLINK("https://otsuka-europe-crm.veevavault.com/ui/#object/email_activity__v/V8C00000003V532", "EN-002095883")</f>
        <v>EN-002095883</v>
      </c>
    </row>
    <row r="9491" spans="1:15" ht="16" x14ac:dyDescent="0.2">
      <c r="A9491" s="17" t="str">
        <f>HYPERLINK("https://otsuka-europe-crm.veevavault.com/ui/#object/account__v/V4TZ0000062R4B2", "Rashad Chichakly")</f>
        <v>Rashad Chichakly</v>
      </c>
      <c r="B9491" s="17" t="str">
        <f>HYPERLINK("https://otsuka-europe-crm.veevavault.com/ui/#object/vcountry__v/VENZ000004SONFN", "CH")</f>
        <v>CH</v>
      </c>
      <c r="C9491" s="20" t="s">
        <v>45</v>
      </c>
      <c r="D9491" s="21" t="str">
        <f>HYPERLINK("https://otsuka-europe-crm.veevavault.com/ui/#object/approved_document__v/V5O00000001L017", "ALL_Flexibilität_Ferienplanung_2026_AA_fr")</f>
        <v>ALL_Flexibilität_Ferienplanung_2026_AA_fr</v>
      </c>
      <c r="E9491" s="22" t="str">
        <f>HYPERLINK("https://otsuka-europe-crm.veevavault.com/ui/#object/sent_email__v/VBL00000002U194", "SE-001435949")</f>
        <v>SE-001435949</v>
      </c>
      <c r="F9491" s="25"/>
      <c r="G9491" s="24">
        <v>0</v>
      </c>
      <c r="H9491" s="24">
        <v>0</v>
      </c>
      <c r="I9491" s="24">
        <v>0</v>
      </c>
      <c r="J9491" s="25"/>
      <c r="K9491" s="24">
        <v>0</v>
      </c>
      <c r="L9491" s="22" t="str">
        <f>HYPERLINK("https://otsuka-europe-crm.veevavault.com/ui/#object/approved_document__v/V5O00000001L017", "ALL_Flexibilität_Ferienplanung_2026_AA_fr")</f>
        <v>ALL_Flexibilität_Ferienplanung_2026_AA_fr</v>
      </c>
      <c r="M9491" s="22" t="str">
        <f>HYPERLINK("mailto:yvergari@crm.otsuka-europe.com", "yvergari@crm.otsuka-europe.com")</f>
        <v>yvergari@crm.otsuka-europe.com</v>
      </c>
      <c r="N9491" s="23">
        <v>46188.438217592593</v>
      </c>
      <c r="O9491" s="14" t="str">
        <f>HYPERLINK("https://otsuka-europe-crm.veevavault.com/ui/#object/email_activity__v/V8C00000003U526", "EN-002095858")</f>
        <v>EN-002095858</v>
      </c>
    </row>
    <row r="9492" spans="1:15" ht="16" x14ac:dyDescent="0.2">
      <c r="A9492" s="18"/>
      <c r="B9492" s="18"/>
      <c r="C9492" s="18"/>
      <c r="D9492" s="18"/>
      <c r="E9492" s="18"/>
      <c r="F9492" s="18"/>
      <c r="G9492" s="18"/>
      <c r="H9492" s="18"/>
      <c r="I9492" s="18"/>
      <c r="J9492" s="18"/>
      <c r="K9492" s="18"/>
      <c r="L9492" s="18"/>
      <c r="M9492" s="18"/>
      <c r="N9492" s="18"/>
      <c r="O9492" s="14" t="str">
        <f>HYPERLINK("https://otsuka-europe-crm.veevavault.com/ui/#object/email_activity__v/V8C00000003V540", "EN-002095899")</f>
        <v>EN-002095899</v>
      </c>
    </row>
    <row r="9493" spans="1:15" ht="16" x14ac:dyDescent="0.2">
      <c r="A9493" s="19"/>
      <c r="B9493" s="19"/>
      <c r="C9493" s="19"/>
      <c r="D9493" s="19"/>
      <c r="E9493" s="19"/>
      <c r="F9493" s="19"/>
      <c r="G9493" s="19"/>
      <c r="H9493" s="19"/>
      <c r="I9493" s="19"/>
      <c r="J9493" s="19"/>
      <c r="K9493" s="19"/>
      <c r="L9493" s="19"/>
      <c r="M9493" s="19"/>
      <c r="N9493" s="19"/>
      <c r="O9493" s="14" t="str">
        <f>HYPERLINK("https://otsuka-europe-crm.veevavault.com/ui/#object/email_activity__v/V8C00000003V558", "EN-002095934")</f>
        <v>EN-002095934</v>
      </c>
    </row>
    <row r="9494" spans="1:15" ht="32" x14ac:dyDescent="0.2">
      <c r="A9494" s="7" t="str">
        <f>HYPERLINK("https://otsuka-europe-crm.veevavault.com/ui/#object/account__v/V4TZ04ASGEHXK2V", "Carmelo Chillemi")</f>
        <v>Carmelo Chillemi</v>
      </c>
      <c r="B9494" s="7" t="str">
        <f>HYPERLINK("https://otsuka-europe-crm.veevavault.com/ui/#object/vcountry__v/VENZ000004SONFN", "CH")</f>
        <v>CH</v>
      </c>
      <c r="C9494" s="8" t="s">
        <v>45</v>
      </c>
      <c r="D9494" s="9" t="str">
        <f>HYPERLINK("https://otsuka-europe-crm.veevavault.com/ui/#object/approved_document__v/V5O00000001L017", "ALL_Flexibilität_Ferienplanung_2026_AA_fr")</f>
        <v>ALL_Flexibilität_Ferienplanung_2026_AA_fr</v>
      </c>
      <c r="E9494" s="10" t="str">
        <f>HYPERLINK("https://otsuka-europe-crm.veevavault.com/ui/#object/sent_email__v/VBL00000002U195", "SE-001435950")</f>
        <v>SE-001435950</v>
      </c>
      <c r="F9494" s="11"/>
      <c r="G9494" s="12">
        <v>0</v>
      </c>
      <c r="H9494" s="12">
        <v>0</v>
      </c>
      <c r="I9494" s="12">
        <v>0</v>
      </c>
      <c r="J9494" s="11"/>
      <c r="K9494" s="12">
        <v>0</v>
      </c>
      <c r="L9494" s="10" t="str">
        <f>HYPERLINK("https://otsuka-europe-crm.veevavault.com/ui/#object/approved_document__v/V5O00000001L017", "ALL_Flexibilität_Ferienplanung_2026_AA_fr")</f>
        <v>ALL_Flexibilität_Ferienplanung_2026_AA_fr</v>
      </c>
      <c r="M9494" s="10" t="str">
        <f>HYPERLINK("mailto:yvergari@crm.otsuka-europe.com", "yvergari@crm.otsuka-europe.com")</f>
        <v>yvergari@crm.otsuka-europe.com</v>
      </c>
      <c r="N9494" s="13">
        <v>46188.438148148147</v>
      </c>
      <c r="O9494" s="14" t="str">
        <f>HYPERLINK("https://otsuka-europe-crm.veevavault.com/ui/#object/email_activity__v/V8C00000003U534", "EN-002095877")</f>
        <v>EN-002095877</v>
      </c>
    </row>
    <row r="9495" spans="1:15" ht="32" x14ac:dyDescent="0.2">
      <c r="A9495" s="7" t="str">
        <f>HYPERLINK("https://otsuka-europe-crm.veevavault.com/ui/#object/account__v/V4TZ025E87BL95U", "Aouatef Bengramez")</f>
        <v>Aouatef Bengramez</v>
      </c>
      <c r="B9495" s="7" t="str">
        <f>HYPERLINK("https://otsuka-europe-crm.veevavault.com/ui/#object/vcountry__v/VENZ000004SONFN", "CH")</f>
        <v>CH</v>
      </c>
      <c r="C9495" s="8" t="s">
        <v>45</v>
      </c>
      <c r="D9495" s="9" t="str">
        <f>HYPERLINK("https://otsuka-europe-crm.veevavault.com/ui/#object/approved_document__v/V5O00000001L017", "ALL_Flexibilität_Ferienplanung_2026_AA_fr")</f>
        <v>ALL_Flexibilität_Ferienplanung_2026_AA_fr</v>
      </c>
      <c r="E9495" s="10" t="str">
        <f>HYPERLINK("https://otsuka-europe-crm.veevavault.com/ui/#object/sent_email__v/VBL00000002U196", "SE-001435951")</f>
        <v>SE-001435951</v>
      </c>
      <c r="F9495" s="11"/>
      <c r="G9495" s="12">
        <v>0</v>
      </c>
      <c r="H9495" s="12">
        <v>0</v>
      </c>
      <c r="I9495" s="12">
        <v>0</v>
      </c>
      <c r="J9495" s="11"/>
      <c r="K9495" s="12">
        <v>0</v>
      </c>
      <c r="L9495" s="10" t="str">
        <f>HYPERLINK("https://otsuka-europe-crm.veevavault.com/ui/#object/approved_document__v/V5O00000001L017", "ALL_Flexibilität_Ferienplanung_2026_AA_fr")</f>
        <v>ALL_Flexibilität_Ferienplanung_2026_AA_fr</v>
      </c>
      <c r="M9495" s="10" t="str">
        <f>HYPERLINK("mailto:yvergari@crm.otsuka-europe.com", "yvergari@crm.otsuka-europe.com")</f>
        <v>yvergari@crm.otsuka-europe.com</v>
      </c>
      <c r="N9495" s="13">
        <v>46188.438148148147</v>
      </c>
      <c r="O9495" s="14" t="str">
        <f>HYPERLINK("https://otsuka-europe-crm.veevavault.com/ui/#object/email_activity__v/V8C00000003U536", "EN-002095879")</f>
        <v>EN-002095879</v>
      </c>
    </row>
    <row r="9496" spans="1:15" ht="32" x14ac:dyDescent="0.2">
      <c r="A9496" s="7" t="str">
        <f>HYPERLINK("https://otsuka-europe-crm.veevavault.com/ui/#object/account__v/V4TZ0000062R5NC", "Julien Elowe")</f>
        <v>Julien Elowe</v>
      </c>
      <c r="B9496" s="7" t="str">
        <f>HYPERLINK("https://otsuka-europe-crm.veevavault.com/ui/#object/vcountry__v/VENZ000004SONFN", "CH")</f>
        <v>CH</v>
      </c>
      <c r="C9496" s="8" t="s">
        <v>45</v>
      </c>
      <c r="D9496" s="9" t="str">
        <f>HYPERLINK("https://otsuka-europe-crm.veevavault.com/ui/#object/approved_document__v/V5O00000001L017", "ALL_Flexibilität_Ferienplanung_2026_AA_fr")</f>
        <v>ALL_Flexibilität_Ferienplanung_2026_AA_fr</v>
      </c>
      <c r="E9496" s="10" t="str">
        <f>HYPERLINK("https://otsuka-europe-crm.veevavault.com/ui/#object/sent_email__v/VBL00000002U197", "SE-001435952")</f>
        <v>SE-001435952</v>
      </c>
      <c r="F9496" s="11"/>
      <c r="G9496" s="12">
        <v>0</v>
      </c>
      <c r="H9496" s="12">
        <v>0</v>
      </c>
      <c r="I9496" s="12">
        <v>0</v>
      </c>
      <c r="J9496" s="11"/>
      <c r="K9496" s="12">
        <v>0</v>
      </c>
      <c r="L9496" s="10" t="str">
        <f>HYPERLINK("https://otsuka-europe-crm.veevavault.com/ui/#object/approved_document__v/V5O00000001L017", "ALL_Flexibilität_Ferienplanung_2026_AA_fr")</f>
        <v>ALL_Flexibilität_Ferienplanung_2026_AA_fr</v>
      </c>
      <c r="M9496" s="10" t="str">
        <f>HYPERLINK("mailto:yvergari@crm.otsuka-europe.com", "yvergari@crm.otsuka-europe.com")</f>
        <v>yvergari@crm.otsuka-europe.com</v>
      </c>
      <c r="N9496" s="13">
        <v>46188.438136574077</v>
      </c>
      <c r="O9496" s="14" t="str">
        <f>HYPERLINK("https://otsuka-europe-crm.veevavault.com/ui/#object/email_activity__v/V8C00000003U517", "EN-002095849")</f>
        <v>EN-002095849</v>
      </c>
    </row>
    <row r="9497" spans="1:15" ht="16" x14ac:dyDescent="0.2">
      <c r="A9497" s="17" t="str">
        <f>HYPERLINK("https://otsuka-europe-crm.veevavault.com/ui/#object/account__v/V4TZ025E83965QU", "Marcus Dannhäuser")</f>
        <v>Marcus Dannhäuser</v>
      </c>
      <c r="B9497" s="17" t="str">
        <f>HYPERLINK("https://otsuka-europe-crm.veevavault.com/ui/#object/vcountry__v/VENZ000004SONFN", "CH")</f>
        <v>CH</v>
      </c>
      <c r="C9497" s="20" t="s">
        <v>45</v>
      </c>
      <c r="D9497" s="21" t="str">
        <f>HYPERLINK("https://otsuka-europe-crm.veevavault.com/ui/#object/approved_document__v/V5O00000001L017", "ALL_Flexibilität_Ferienplanung_2026_AA_fr")</f>
        <v>ALL_Flexibilität_Ferienplanung_2026_AA_fr</v>
      </c>
      <c r="E9497" s="22" t="str">
        <f>HYPERLINK("https://otsuka-europe-crm.veevavault.com/ui/#object/sent_email__v/VBL00000002U198", "SE-001435953")</f>
        <v>SE-001435953</v>
      </c>
      <c r="F9497" s="23">
        <v>46188.516365740739</v>
      </c>
      <c r="G9497" s="24">
        <v>1</v>
      </c>
      <c r="H9497" s="24">
        <v>2</v>
      </c>
      <c r="I9497" s="24">
        <v>1</v>
      </c>
      <c r="J9497" s="23">
        <v>46188.516365740739</v>
      </c>
      <c r="K9497" s="24">
        <v>2</v>
      </c>
      <c r="L9497" s="22" t="str">
        <f>HYPERLINK("https://otsuka-europe-crm.veevavault.com/ui/#object/approved_document__v/V5O00000001L017", "ALL_Flexibilität_Ferienplanung_2026_AA_fr")</f>
        <v>ALL_Flexibilität_Ferienplanung_2026_AA_fr</v>
      </c>
      <c r="M9497" s="22" t="str">
        <f>HYPERLINK("mailto:yvergari@crm.otsuka-europe.com", "yvergari@crm.otsuka-europe.com")</f>
        <v>yvergari@crm.otsuka-europe.com</v>
      </c>
      <c r="N9497" s="23">
        <v>46188.438136574077</v>
      </c>
      <c r="O9497" s="14" t="str">
        <f>HYPERLINK("https://otsuka-europe-crm.veevavault.com/ui/#object/email_activity__v/V8C00000003V516", "EN-002095839")</f>
        <v>EN-002095839</v>
      </c>
    </row>
    <row r="9498" spans="1:15" ht="16" x14ac:dyDescent="0.2">
      <c r="A9498" s="18"/>
      <c r="B9498" s="18"/>
      <c r="C9498" s="18"/>
      <c r="D9498" s="18"/>
      <c r="E9498" s="18"/>
      <c r="F9498" s="18"/>
      <c r="G9498" s="18"/>
      <c r="H9498" s="18"/>
      <c r="I9498" s="18"/>
      <c r="J9498" s="18"/>
      <c r="K9498" s="18"/>
      <c r="L9498" s="18"/>
      <c r="M9498" s="18"/>
      <c r="N9498" s="18"/>
      <c r="O9498" s="14" t="str">
        <f>HYPERLINK("https://otsuka-europe-crm.veevavault.com/ui/#object/email_activity__v/V8C00000003V599", "EN-002095996")</f>
        <v>EN-002095996</v>
      </c>
    </row>
    <row r="9499" spans="1:15" ht="16" x14ac:dyDescent="0.2">
      <c r="A9499" s="18"/>
      <c r="B9499" s="18"/>
      <c r="C9499" s="18"/>
      <c r="D9499" s="18"/>
      <c r="E9499" s="18"/>
      <c r="F9499" s="18"/>
      <c r="G9499" s="18"/>
      <c r="H9499" s="18"/>
      <c r="I9499" s="18"/>
      <c r="J9499" s="18"/>
      <c r="K9499" s="18"/>
      <c r="L9499" s="18"/>
      <c r="M9499" s="18"/>
      <c r="N9499" s="18"/>
      <c r="O9499" s="14" t="str">
        <f>HYPERLINK("https://otsuka-europe-crm.veevavault.com/ui/#object/email_activity__v/V8C00000003V600", "EN-002095995")</f>
        <v>EN-002095995</v>
      </c>
    </row>
    <row r="9500" spans="1:15" ht="16" x14ac:dyDescent="0.2">
      <c r="A9500" s="18"/>
      <c r="B9500" s="18"/>
      <c r="C9500" s="18"/>
      <c r="D9500" s="18"/>
      <c r="E9500" s="18"/>
      <c r="F9500" s="18"/>
      <c r="G9500" s="18"/>
      <c r="H9500" s="18"/>
      <c r="I9500" s="18"/>
      <c r="J9500" s="18"/>
      <c r="K9500" s="18"/>
      <c r="L9500" s="18"/>
      <c r="M9500" s="18"/>
      <c r="N9500" s="18"/>
      <c r="O9500" s="14" t="str">
        <f>HYPERLINK("https://otsuka-europe-crm.veevavault.com/ui/#object/email_activity__v/V8C00000003V601", "EN-002095998")</f>
        <v>EN-002095998</v>
      </c>
    </row>
    <row r="9501" spans="1:15" ht="16" x14ac:dyDescent="0.2">
      <c r="A9501" s="19"/>
      <c r="B9501" s="19"/>
      <c r="C9501" s="19"/>
      <c r="D9501" s="19"/>
      <c r="E9501" s="19"/>
      <c r="F9501" s="19"/>
      <c r="G9501" s="19"/>
      <c r="H9501" s="19"/>
      <c r="I9501" s="19"/>
      <c r="J9501" s="19"/>
      <c r="K9501" s="19"/>
      <c r="L9501" s="19"/>
      <c r="M9501" s="19"/>
      <c r="N9501" s="19"/>
      <c r="O9501" s="14" t="str">
        <f>HYPERLINK("https://otsuka-europe-crm.veevavault.com/ui/#object/email_activity__v/V8C00000003V602", "EN-002095997")</f>
        <v>EN-002095997</v>
      </c>
    </row>
    <row r="9502" spans="1:15" ht="32" x14ac:dyDescent="0.2">
      <c r="A9502" s="7" t="str">
        <f>HYPERLINK("https://otsuka-europe-crm.veevavault.com/ui/#object/account__v/V4TZ025E8969MFP", "Amani Abbassi")</f>
        <v>Amani Abbassi</v>
      </c>
      <c r="B9502" s="7" t="str">
        <f t="shared" ref="B9502:B9507" si="706">HYPERLINK("https://otsuka-europe-crm.veevavault.com/ui/#object/vcountry__v/VENZ000004SONFN", "CH")</f>
        <v>CH</v>
      </c>
      <c r="C9502" s="8" t="s">
        <v>45</v>
      </c>
      <c r="D9502" s="9" t="str">
        <f t="shared" ref="D9502:D9507" si="707">HYPERLINK("https://otsuka-europe-crm.veevavault.com/ui/#object/approved_document__v/V5O00000001L017", "ALL_Flexibilität_Ferienplanung_2026_AA_fr")</f>
        <v>ALL_Flexibilität_Ferienplanung_2026_AA_fr</v>
      </c>
      <c r="E9502" s="10" t="str">
        <f>HYPERLINK("https://otsuka-europe-crm.veevavault.com/ui/#object/sent_email__v/VBL00000002U199", "SE-001435954")</f>
        <v>SE-001435954</v>
      </c>
      <c r="F9502" s="11"/>
      <c r="G9502" s="12">
        <v>0</v>
      </c>
      <c r="H9502" s="12">
        <v>0</v>
      </c>
      <c r="I9502" s="12">
        <v>0</v>
      </c>
      <c r="J9502" s="11"/>
      <c r="K9502" s="12">
        <v>0</v>
      </c>
      <c r="L9502" s="10" t="str">
        <f t="shared" ref="L9502:L9507" si="708">HYPERLINK("https://otsuka-europe-crm.veevavault.com/ui/#object/approved_document__v/V5O00000001L017", "ALL_Flexibilität_Ferienplanung_2026_AA_fr")</f>
        <v>ALL_Flexibilität_Ferienplanung_2026_AA_fr</v>
      </c>
      <c r="M9502" s="10" t="str">
        <f t="shared" ref="M9502:M9507" si="709">HYPERLINK("mailto:yvergari@crm.otsuka-europe.com", "yvergari@crm.otsuka-europe.com")</f>
        <v>yvergari@crm.otsuka-europe.com</v>
      </c>
      <c r="N9502" s="13">
        <v>46188.438136574077</v>
      </c>
      <c r="O9502" s="14" t="str">
        <f>HYPERLINK("https://otsuka-europe-crm.veevavault.com/ui/#object/email_activity__v/V8C00000003V524", "EN-002095864")</f>
        <v>EN-002095864</v>
      </c>
    </row>
    <row r="9503" spans="1:15" ht="32" x14ac:dyDescent="0.2">
      <c r="A9503" s="7" t="str">
        <f>HYPERLINK("https://otsuka-europe-crm.veevavault.com/ui/#object/account__v/V4TZ025E86LBC2L", "Antoine Abhamon")</f>
        <v>Antoine Abhamon</v>
      </c>
      <c r="B9503" s="7" t="str">
        <f t="shared" si="706"/>
        <v>CH</v>
      </c>
      <c r="C9503" s="8" t="s">
        <v>45</v>
      </c>
      <c r="D9503" s="9" t="str">
        <f t="shared" si="707"/>
        <v>ALL_Flexibilität_Ferienplanung_2026_AA_fr</v>
      </c>
      <c r="E9503" s="10" t="str">
        <f>HYPERLINK("https://otsuka-europe-crm.veevavault.com/ui/#object/sent_email__v/VBL00000002U200", "SE-001435955")</f>
        <v>SE-001435955</v>
      </c>
      <c r="F9503" s="11"/>
      <c r="G9503" s="12">
        <v>0</v>
      </c>
      <c r="H9503" s="12">
        <v>0</v>
      </c>
      <c r="I9503" s="12">
        <v>0</v>
      </c>
      <c r="J9503" s="11"/>
      <c r="K9503" s="12">
        <v>0</v>
      </c>
      <c r="L9503" s="10" t="str">
        <f t="shared" si="708"/>
        <v>ALL_Flexibilität_Ferienplanung_2026_AA_fr</v>
      </c>
      <c r="M9503" s="10" t="str">
        <f t="shared" si="709"/>
        <v>yvergari@crm.otsuka-europe.com</v>
      </c>
      <c r="N9503" s="13">
        <v>46188.438125000001</v>
      </c>
      <c r="O9503" s="14" t="str">
        <f>HYPERLINK("https://otsuka-europe-crm.veevavault.com/ui/#object/email_activity__v/V8C00000003U519", "EN-002095851")</f>
        <v>EN-002095851</v>
      </c>
    </row>
    <row r="9504" spans="1:15" ht="32" x14ac:dyDescent="0.2">
      <c r="A9504" s="7" t="str">
        <f>HYPERLINK("https://otsuka-europe-crm.veevavault.com/ui/#object/account__v/V4TZ0000062R83N", "Dino Constantinidis")</f>
        <v>Dino Constantinidis</v>
      </c>
      <c r="B9504" s="7" t="str">
        <f t="shared" si="706"/>
        <v>CH</v>
      </c>
      <c r="C9504" s="8" t="s">
        <v>45</v>
      </c>
      <c r="D9504" s="9" t="str">
        <f t="shared" si="707"/>
        <v>ALL_Flexibilität_Ferienplanung_2026_AA_fr</v>
      </c>
      <c r="E9504" s="10" t="str">
        <f>HYPERLINK("https://otsuka-europe-crm.veevavault.com/ui/#object/sent_email__v/VBL00000002U201", "SE-001435956")</f>
        <v>SE-001435956</v>
      </c>
      <c r="F9504" s="11"/>
      <c r="G9504" s="12">
        <v>0</v>
      </c>
      <c r="H9504" s="12">
        <v>0</v>
      </c>
      <c r="I9504" s="12">
        <v>0</v>
      </c>
      <c r="J9504" s="11"/>
      <c r="K9504" s="12">
        <v>0</v>
      </c>
      <c r="L9504" s="10" t="str">
        <f t="shared" si="708"/>
        <v>ALL_Flexibilität_Ferienplanung_2026_AA_fr</v>
      </c>
      <c r="M9504" s="10" t="str">
        <f t="shared" si="709"/>
        <v>yvergari@crm.otsuka-europe.com</v>
      </c>
      <c r="N9504" s="13">
        <v>46188.438101851854</v>
      </c>
      <c r="O9504" s="14" t="str">
        <f>HYPERLINK("https://otsuka-europe-crm.veevavault.com/ui/#object/email_activity__v/V8C00000003U513", "EN-002095845")</f>
        <v>EN-002095845</v>
      </c>
    </row>
    <row r="9505" spans="1:15" ht="32" x14ac:dyDescent="0.2">
      <c r="A9505" s="7" t="str">
        <f>HYPERLINK("https://otsuka-europe-crm.veevavault.com/ui/#object/account__v/V4TZ0000062R6XW", "Rafik Bouzegaou")</f>
        <v>Rafik Bouzegaou</v>
      </c>
      <c r="B9505" s="7" t="str">
        <f t="shared" si="706"/>
        <v>CH</v>
      </c>
      <c r="C9505" s="8" t="s">
        <v>45</v>
      </c>
      <c r="D9505" s="9" t="str">
        <f t="shared" si="707"/>
        <v>ALL_Flexibilität_Ferienplanung_2026_AA_fr</v>
      </c>
      <c r="E9505" s="10" t="str">
        <f>HYPERLINK("https://otsuka-europe-crm.veevavault.com/ui/#object/sent_email__v/VBL00000002U202", "SE-001435957")</f>
        <v>SE-001435957</v>
      </c>
      <c r="F9505" s="11"/>
      <c r="G9505" s="12">
        <v>0</v>
      </c>
      <c r="H9505" s="12">
        <v>0</v>
      </c>
      <c r="I9505" s="12">
        <v>0</v>
      </c>
      <c r="J9505" s="11"/>
      <c r="K9505" s="12">
        <v>0</v>
      </c>
      <c r="L9505" s="10" t="str">
        <f t="shared" si="708"/>
        <v>ALL_Flexibilität_Ferienplanung_2026_AA_fr</v>
      </c>
      <c r="M9505" s="10" t="str">
        <f t="shared" si="709"/>
        <v>yvergari@crm.otsuka-europe.com</v>
      </c>
      <c r="N9505" s="13">
        <v>46188.438113425924</v>
      </c>
      <c r="O9505" s="14" t="str">
        <f>HYPERLINK("https://otsuka-europe-crm.veevavault.com/ui/#object/email_activity__v/V8C00000003U505", "EN-002095827")</f>
        <v>EN-002095827</v>
      </c>
    </row>
    <row r="9506" spans="1:15" ht="32" x14ac:dyDescent="0.2">
      <c r="A9506" s="7" t="str">
        <f>HYPERLINK("https://otsuka-europe-crm.veevavault.com/ui/#object/account__v/V4TZ025E86LAU0N", "Guilaine Engoue")</f>
        <v>Guilaine Engoue</v>
      </c>
      <c r="B9506" s="7" t="str">
        <f t="shared" si="706"/>
        <v>CH</v>
      </c>
      <c r="C9506" s="8" t="s">
        <v>45</v>
      </c>
      <c r="D9506" s="9" t="str">
        <f t="shared" si="707"/>
        <v>ALL_Flexibilität_Ferienplanung_2026_AA_fr</v>
      </c>
      <c r="E9506" s="10" t="str">
        <f>HYPERLINK("https://otsuka-europe-crm.veevavault.com/ui/#object/sent_email__v/VBL00000002U203", "SE-001435958")</f>
        <v>SE-001435958</v>
      </c>
      <c r="F9506" s="11"/>
      <c r="G9506" s="12">
        <v>0</v>
      </c>
      <c r="H9506" s="12">
        <v>0</v>
      </c>
      <c r="I9506" s="12">
        <v>0</v>
      </c>
      <c r="J9506" s="11"/>
      <c r="K9506" s="12">
        <v>0</v>
      </c>
      <c r="L9506" s="10" t="str">
        <f t="shared" si="708"/>
        <v>ALL_Flexibilität_Ferienplanung_2026_AA_fr</v>
      </c>
      <c r="M9506" s="10" t="str">
        <f t="shared" si="709"/>
        <v>yvergari@crm.otsuka-europe.com</v>
      </c>
      <c r="N9506" s="13">
        <v>46188.438125000001</v>
      </c>
      <c r="O9506" s="14" t="str">
        <f>HYPERLINK("https://otsuka-europe-crm.veevavault.com/ui/#object/email_activity__v/V8C00000003V510", "EN-002095833")</f>
        <v>EN-002095833</v>
      </c>
    </row>
    <row r="9507" spans="1:15" ht="16" x14ac:dyDescent="0.2">
      <c r="A9507" s="17" t="str">
        <f>HYPERLINK("https://otsuka-europe-crm.veevavault.com/ui/#object/account__v/V4TZ0000062R71W", "Alexandre Dupont-Willemin")</f>
        <v>Alexandre Dupont-Willemin</v>
      </c>
      <c r="B9507" s="17" t="str">
        <f t="shared" si="706"/>
        <v>CH</v>
      </c>
      <c r="C9507" s="20" t="s">
        <v>45</v>
      </c>
      <c r="D9507" s="21" t="str">
        <f t="shared" si="707"/>
        <v>ALL_Flexibilität_Ferienplanung_2026_AA_fr</v>
      </c>
      <c r="E9507" s="22" t="str">
        <f>HYPERLINK("https://otsuka-europe-crm.veevavault.com/ui/#object/sent_email__v/VBL00000002U204", "SE-001435959")</f>
        <v>SE-001435959</v>
      </c>
      <c r="F9507" s="23">
        <v>46188.580833333333</v>
      </c>
      <c r="G9507" s="24">
        <v>1</v>
      </c>
      <c r="H9507" s="24">
        <v>3</v>
      </c>
      <c r="I9507" s="24">
        <v>0</v>
      </c>
      <c r="J9507" s="25"/>
      <c r="K9507" s="24">
        <v>0</v>
      </c>
      <c r="L9507" s="22" t="str">
        <f t="shared" si="708"/>
        <v>ALL_Flexibilität_Ferienplanung_2026_AA_fr</v>
      </c>
      <c r="M9507" s="22" t="str">
        <f t="shared" si="709"/>
        <v>yvergari@crm.otsuka-europe.com</v>
      </c>
      <c r="N9507" s="23">
        <v>46188.445069444446</v>
      </c>
      <c r="O9507" s="14" t="str">
        <f>HYPERLINK("https://otsuka-europe-crm.veevavault.com/ui/#object/email_activity__v/V8C00000003U547", "EN-002095902")</f>
        <v>EN-002095902</v>
      </c>
    </row>
    <row r="9508" spans="1:15" ht="16" x14ac:dyDescent="0.2">
      <c r="A9508" s="18"/>
      <c r="B9508" s="18"/>
      <c r="C9508" s="18"/>
      <c r="D9508" s="18"/>
      <c r="E9508" s="18"/>
      <c r="F9508" s="18"/>
      <c r="G9508" s="18"/>
      <c r="H9508" s="18"/>
      <c r="I9508" s="18"/>
      <c r="J9508" s="18"/>
      <c r="K9508" s="18"/>
      <c r="L9508" s="18"/>
      <c r="M9508" s="18"/>
      <c r="N9508" s="18"/>
      <c r="O9508" s="14" t="str">
        <f>HYPERLINK("https://otsuka-europe-crm.veevavault.com/ui/#object/email_activity__v/V8C00000003U700", "EN-002096242")</f>
        <v>EN-002096242</v>
      </c>
    </row>
    <row r="9509" spans="1:15" ht="16" x14ac:dyDescent="0.2">
      <c r="A9509" s="18"/>
      <c r="B9509" s="18"/>
      <c r="C9509" s="18"/>
      <c r="D9509" s="18"/>
      <c r="E9509" s="18"/>
      <c r="F9509" s="18"/>
      <c r="G9509" s="18"/>
      <c r="H9509" s="18"/>
      <c r="I9509" s="18"/>
      <c r="J9509" s="18"/>
      <c r="K9509" s="18"/>
      <c r="L9509" s="18"/>
      <c r="M9509" s="18"/>
      <c r="N9509" s="18"/>
      <c r="O9509" s="14" t="str">
        <f>HYPERLINK("https://otsuka-europe-crm.veevavault.com/ui/#object/email_activity__v/V8C00000003U701", "EN-002096243")</f>
        <v>EN-002096243</v>
      </c>
    </row>
    <row r="9510" spans="1:15" ht="16" x14ac:dyDescent="0.2">
      <c r="A9510" s="19"/>
      <c r="B9510" s="19"/>
      <c r="C9510" s="19"/>
      <c r="D9510" s="19"/>
      <c r="E9510" s="19"/>
      <c r="F9510" s="19"/>
      <c r="G9510" s="19"/>
      <c r="H9510" s="19"/>
      <c r="I9510" s="19"/>
      <c r="J9510" s="19"/>
      <c r="K9510" s="19"/>
      <c r="L9510" s="19"/>
      <c r="M9510" s="19"/>
      <c r="N9510" s="19"/>
      <c r="O9510" s="14" t="str">
        <f>HYPERLINK("https://otsuka-europe-crm.veevavault.com/ui/#object/email_activity__v/V8C00000003V685", "EN-002096124")</f>
        <v>EN-002096124</v>
      </c>
    </row>
    <row r="9511" spans="1:15" ht="32" x14ac:dyDescent="0.2">
      <c r="A9511" s="7" t="str">
        <f>HYPERLINK("https://otsuka-europe-crm.veevavault.com/ui/#object/account__v/V4TZ0000062R7RX", "Anton Camprubi")</f>
        <v>Anton Camprubi</v>
      </c>
      <c r="B9511" s="7" t="str">
        <f>HYPERLINK("https://otsuka-europe-crm.veevavault.com/ui/#object/vcountry__v/VENZ000004SONFN", "CH")</f>
        <v>CH</v>
      </c>
      <c r="C9511" s="8" t="s">
        <v>45</v>
      </c>
      <c r="D9511" s="9" t="str">
        <f>HYPERLINK("https://otsuka-europe-crm.veevavault.com/ui/#object/approved_document__v/V5O00000001L017", "ALL_Flexibilität_Ferienplanung_2026_AA_fr")</f>
        <v>ALL_Flexibilität_Ferienplanung_2026_AA_fr</v>
      </c>
      <c r="E9511" s="10" t="str">
        <f>HYPERLINK("https://otsuka-europe-crm.veevavault.com/ui/#object/sent_email__v/VBL00000002U205", "SE-001435960")</f>
        <v>SE-001435960</v>
      </c>
      <c r="F9511" s="11"/>
      <c r="G9511" s="12">
        <v>0</v>
      </c>
      <c r="H9511" s="12">
        <v>0</v>
      </c>
      <c r="I9511" s="12">
        <v>0</v>
      </c>
      <c r="J9511" s="11"/>
      <c r="K9511" s="12">
        <v>0</v>
      </c>
      <c r="L9511" s="10" t="str">
        <f>HYPERLINK("https://otsuka-europe-crm.veevavault.com/ui/#object/approved_document__v/V5O00000001L017", "ALL_Flexibilität_Ferienplanung_2026_AA_fr")</f>
        <v>ALL_Flexibilität_Ferienplanung_2026_AA_fr</v>
      </c>
      <c r="M9511" s="10" t="str">
        <f>HYPERLINK("mailto:yvergari@crm.otsuka-europe.com", "yvergari@crm.otsuka-europe.com")</f>
        <v>yvergari@crm.otsuka-europe.com</v>
      </c>
      <c r="N9511" s="13">
        <v>46188.438206018516</v>
      </c>
      <c r="O9511" s="14" t="str">
        <f>HYPERLINK("https://otsuka-europe-crm.veevavault.com/ui/#object/email_activity__v/V8C00000003U523", "EN-002095855")</f>
        <v>EN-002095855</v>
      </c>
    </row>
    <row r="9512" spans="1:15" ht="32" x14ac:dyDescent="0.2">
      <c r="A9512" s="7" t="str">
        <f>HYPERLINK("https://otsuka-europe-crm.veevavault.com/ui/#object/account__v/V4TZ04ASG9UGMPF", "Marina Christou")</f>
        <v>Marina Christou</v>
      </c>
      <c r="B9512" s="7" t="str">
        <f>HYPERLINK("https://otsuka-europe-crm.veevavault.com/ui/#object/vcountry__v/VENZ000004SONFN", "CH")</f>
        <v>CH</v>
      </c>
      <c r="C9512" s="8" t="s">
        <v>45</v>
      </c>
      <c r="D9512" s="9" t="str">
        <f>HYPERLINK("https://otsuka-europe-crm.veevavault.com/ui/#object/approved_document__v/V5O00000001L017", "ALL_Flexibilität_Ferienplanung_2026_AA_fr")</f>
        <v>ALL_Flexibilität_Ferienplanung_2026_AA_fr</v>
      </c>
      <c r="E9512" s="10" t="str">
        <f>HYPERLINK("https://otsuka-europe-crm.veevavault.com/ui/#object/sent_email__v/VBL00000002U206", "SE-001435961")</f>
        <v>SE-001435961</v>
      </c>
      <c r="F9512" s="11"/>
      <c r="G9512" s="12">
        <v>0</v>
      </c>
      <c r="H9512" s="12">
        <v>0</v>
      </c>
      <c r="I9512" s="12">
        <v>0</v>
      </c>
      <c r="J9512" s="11"/>
      <c r="K9512" s="12">
        <v>0</v>
      </c>
      <c r="L9512" s="10" t="str">
        <f>HYPERLINK("https://otsuka-europe-crm.veevavault.com/ui/#object/approved_document__v/V5O00000001L017", "ALL_Flexibilität_Ferienplanung_2026_AA_fr")</f>
        <v>ALL_Flexibilität_Ferienplanung_2026_AA_fr</v>
      </c>
      <c r="M9512" s="10" t="str">
        <f>HYPERLINK("mailto:yvergari@crm.otsuka-europe.com", "yvergari@crm.otsuka-europe.com")</f>
        <v>yvergari@crm.otsuka-europe.com</v>
      </c>
      <c r="N9512" s="13">
        <v>46188.438113425924</v>
      </c>
      <c r="O9512" s="14" t="str">
        <f>HYPERLINK("https://otsuka-europe-crm.veevavault.com/ui/#object/email_activity__v/V8C00000003U530", "EN-002095873")</f>
        <v>EN-002095873</v>
      </c>
    </row>
    <row r="9513" spans="1:15" ht="16" x14ac:dyDescent="0.2">
      <c r="A9513" s="17" t="str">
        <f>HYPERLINK("https://otsuka-europe-crm.veevavault.com/ui/#object/account__v/V4TZ0000062R6HQ", "Omar Al-Abaechy")</f>
        <v>Omar Al-Abaechy</v>
      </c>
      <c r="B9513" s="17" t="str">
        <f>HYPERLINK("https://otsuka-europe-crm.veevavault.com/ui/#object/vcountry__v/VENZ000004SONFN", "CH")</f>
        <v>CH</v>
      </c>
      <c r="C9513" s="20" t="s">
        <v>45</v>
      </c>
      <c r="D9513" s="21" t="str">
        <f>HYPERLINK("https://otsuka-europe-crm.veevavault.com/ui/#object/approved_document__v/V5O00000001L017", "ALL_Flexibilität_Ferienplanung_2026_AA_fr")</f>
        <v>ALL_Flexibilität_Ferienplanung_2026_AA_fr</v>
      </c>
      <c r="E9513" s="22" t="str">
        <f>HYPERLINK("https://otsuka-europe-crm.veevavault.com/ui/#object/sent_email__v/VBL00000002U207", "SE-001435962")</f>
        <v>SE-001435962</v>
      </c>
      <c r="F9513" s="25"/>
      <c r="G9513" s="24">
        <v>0</v>
      </c>
      <c r="H9513" s="24">
        <v>0</v>
      </c>
      <c r="I9513" s="24">
        <v>0</v>
      </c>
      <c r="J9513" s="25"/>
      <c r="K9513" s="24">
        <v>0</v>
      </c>
      <c r="L9513" s="22" t="str">
        <f>HYPERLINK("https://otsuka-europe-crm.veevavault.com/ui/#object/approved_document__v/V5O00000001L017", "ALL_Flexibilität_Ferienplanung_2026_AA_fr")</f>
        <v>ALL_Flexibilität_Ferienplanung_2026_AA_fr</v>
      </c>
      <c r="M9513" s="22" t="str">
        <f>HYPERLINK("mailto:yvergari@crm.otsuka-europe.com", "yvergari@crm.otsuka-europe.com")</f>
        <v>yvergari@crm.otsuka-europe.com</v>
      </c>
      <c r="N9513" s="23">
        <v>46188.438125000001</v>
      </c>
      <c r="O9513" s="14" t="str">
        <f>HYPERLINK("https://otsuka-europe-crm.veevavault.com/ui/#object/email_activity__v/V8C00000003U494", "EN-002095816")</f>
        <v>EN-002095816</v>
      </c>
    </row>
    <row r="9514" spans="1:15" ht="16" x14ac:dyDescent="0.2">
      <c r="A9514" s="18"/>
      <c r="B9514" s="18"/>
      <c r="C9514" s="18"/>
      <c r="D9514" s="18"/>
      <c r="E9514" s="18"/>
      <c r="F9514" s="18"/>
      <c r="G9514" s="18"/>
      <c r="H9514" s="18"/>
      <c r="I9514" s="18"/>
      <c r="J9514" s="18"/>
      <c r="K9514" s="18"/>
      <c r="L9514" s="18"/>
      <c r="M9514" s="18"/>
      <c r="N9514" s="18"/>
      <c r="O9514" s="14" t="str">
        <f>HYPERLINK("https://otsuka-europe-crm.veevavault.com/ui/#object/email_activity__v/V8C00000003U559", "EN-002095923")</f>
        <v>EN-002095923</v>
      </c>
    </row>
    <row r="9515" spans="1:15" ht="16" x14ac:dyDescent="0.2">
      <c r="A9515" s="19"/>
      <c r="B9515" s="19"/>
      <c r="C9515" s="19"/>
      <c r="D9515" s="19"/>
      <c r="E9515" s="19"/>
      <c r="F9515" s="19"/>
      <c r="G9515" s="19"/>
      <c r="H9515" s="19"/>
      <c r="I9515" s="19"/>
      <c r="J9515" s="19"/>
      <c r="K9515" s="19"/>
      <c r="L9515" s="19"/>
      <c r="M9515" s="19"/>
      <c r="N9515" s="19"/>
      <c r="O9515" s="14" t="str">
        <f>HYPERLINK("https://otsuka-europe-crm.veevavault.com/ui/#object/email_activity__v/V8C00000003V539", "EN-002095898")</f>
        <v>EN-002095898</v>
      </c>
    </row>
    <row r="9516" spans="1:15" ht="32" x14ac:dyDescent="0.2">
      <c r="A9516" s="7" t="str">
        <f>HYPERLINK("https://otsuka-europe-crm.veevavault.com/ui/#object/account__v/V4TZ0000062R6HR", "Christel Alberque")</f>
        <v>Christel Alberque</v>
      </c>
      <c r="B9516" s="7" t="str">
        <f>HYPERLINK("https://otsuka-europe-crm.veevavault.com/ui/#object/vcountry__v/VENZ000004SONFN", "CH")</f>
        <v>CH</v>
      </c>
      <c r="C9516" s="8" t="s">
        <v>45</v>
      </c>
      <c r="D9516" s="9" t="str">
        <f>HYPERLINK("https://otsuka-europe-crm.veevavault.com/ui/#object/approved_document__v/V5O00000001L017", "ALL_Flexibilität_Ferienplanung_2026_AA_fr")</f>
        <v>ALL_Flexibilität_Ferienplanung_2026_AA_fr</v>
      </c>
      <c r="E9516" s="10" t="str">
        <f>HYPERLINK("https://otsuka-europe-crm.veevavault.com/ui/#object/sent_email__v/VBL00000002U208", "SE-001435963")</f>
        <v>SE-001435963</v>
      </c>
      <c r="F9516" s="11"/>
      <c r="G9516" s="12">
        <v>0</v>
      </c>
      <c r="H9516" s="12">
        <v>0</v>
      </c>
      <c r="I9516" s="12">
        <v>0</v>
      </c>
      <c r="J9516" s="11"/>
      <c r="K9516" s="12">
        <v>0</v>
      </c>
      <c r="L9516" s="10" t="str">
        <f>HYPERLINK("https://otsuka-europe-crm.veevavault.com/ui/#object/approved_document__v/V5O00000001L017", "ALL_Flexibilität_Ferienplanung_2026_AA_fr")</f>
        <v>ALL_Flexibilität_Ferienplanung_2026_AA_fr</v>
      </c>
      <c r="M9516" s="10" t="str">
        <f>HYPERLINK("mailto:yvergari@crm.otsuka-europe.com", "yvergari@crm.otsuka-europe.com")</f>
        <v>yvergari@crm.otsuka-europe.com</v>
      </c>
      <c r="N9516" s="13">
        <v>46188.438125000001</v>
      </c>
      <c r="O9516" s="14" t="str">
        <f>HYPERLINK("https://otsuka-europe-crm.veevavault.com/ui/#object/email_activity__v/V8C00000003U507", "EN-002095829")</f>
        <v>EN-002095829</v>
      </c>
    </row>
    <row r="9517" spans="1:15" ht="16" x14ac:dyDescent="0.2">
      <c r="A9517" s="17" t="str">
        <f>HYPERLINK("https://otsuka-europe-crm.veevavault.com/ui/#object/account__v/V4TZ0000062R72D", "Ioana Dougoud")</f>
        <v>Ioana Dougoud</v>
      </c>
      <c r="B9517" s="17" t="str">
        <f>HYPERLINK("https://otsuka-europe-crm.veevavault.com/ui/#object/vcountry__v/VENZ000004SONFN", "CH")</f>
        <v>CH</v>
      </c>
      <c r="C9517" s="20" t="s">
        <v>45</v>
      </c>
      <c r="D9517" s="21" t="str">
        <f>HYPERLINK("https://otsuka-europe-crm.veevavault.com/ui/#object/approved_document__v/V5O00000001L017", "ALL_Flexibilität_Ferienplanung_2026_AA_fr")</f>
        <v>ALL_Flexibilität_Ferienplanung_2026_AA_fr</v>
      </c>
      <c r="E9517" s="22" t="str">
        <f>HYPERLINK("https://otsuka-europe-crm.veevavault.com/ui/#object/sent_email__v/VBL00000002U209", "SE-001435964")</f>
        <v>SE-001435964</v>
      </c>
      <c r="F9517" s="25"/>
      <c r="G9517" s="24">
        <v>0</v>
      </c>
      <c r="H9517" s="24">
        <v>0</v>
      </c>
      <c r="I9517" s="24">
        <v>0</v>
      </c>
      <c r="J9517" s="25"/>
      <c r="K9517" s="24">
        <v>0</v>
      </c>
      <c r="L9517" s="22" t="str">
        <f>HYPERLINK("https://otsuka-europe-crm.veevavault.com/ui/#object/approved_document__v/V5O00000001L017", "ALL_Flexibilität_Ferienplanung_2026_AA_fr")</f>
        <v>ALL_Flexibilität_Ferienplanung_2026_AA_fr</v>
      </c>
      <c r="M9517" s="22" t="str">
        <f>HYPERLINK("mailto:yvergari@crm.otsuka-europe.com", "yvergari@crm.otsuka-europe.com")</f>
        <v>yvergari@crm.otsuka-europe.com</v>
      </c>
      <c r="N9517" s="23">
        <v>46188.438113425924</v>
      </c>
      <c r="O9517" s="14" t="str">
        <f>HYPERLINK("https://otsuka-europe-crm.veevavault.com/ui/#object/email_activity__v/V8C00000003U491", "EN-002095811")</f>
        <v>EN-002095811</v>
      </c>
    </row>
    <row r="9518" spans="1:15" ht="16" x14ac:dyDescent="0.2">
      <c r="A9518" s="19"/>
      <c r="B9518" s="19"/>
      <c r="C9518" s="19"/>
      <c r="D9518" s="19"/>
      <c r="E9518" s="19"/>
      <c r="F9518" s="19"/>
      <c r="G9518" s="19"/>
      <c r="H9518" s="19"/>
      <c r="I9518" s="19"/>
      <c r="J9518" s="19"/>
      <c r="K9518" s="19"/>
      <c r="L9518" s="19"/>
      <c r="M9518" s="19"/>
      <c r="N9518" s="19"/>
      <c r="O9518" s="14" t="str">
        <f>HYPERLINK("https://otsuka-europe-crm.veevavault.com/ui/#object/email_activity__v/V8C00000003U955", "EN-002096893")</f>
        <v>EN-002096893</v>
      </c>
    </row>
    <row r="9519" spans="1:15" ht="32" x14ac:dyDescent="0.2">
      <c r="A9519" s="7" t="str">
        <f>HYPERLINK("https://otsuka-europe-crm.veevavault.com/ui/#object/account__v/V4TZ0000062R6OE", "Javier Bartolomei")</f>
        <v>Javier Bartolomei</v>
      </c>
      <c r="B9519" s="7" t="str">
        <f>HYPERLINK("https://otsuka-europe-crm.veevavault.com/ui/#object/vcountry__v/VENZ000004SONFN", "CH")</f>
        <v>CH</v>
      </c>
      <c r="C9519" s="8" t="s">
        <v>45</v>
      </c>
      <c r="D9519" s="9" t="str">
        <f>HYPERLINK("https://otsuka-europe-crm.veevavault.com/ui/#object/approved_document__v/V5O00000001L017", "ALL_Flexibilität_Ferienplanung_2026_AA_fr")</f>
        <v>ALL_Flexibilität_Ferienplanung_2026_AA_fr</v>
      </c>
      <c r="E9519" s="10" t="str">
        <f>HYPERLINK("https://otsuka-europe-crm.veevavault.com/ui/#object/sent_email__v/VBL00000002U210", "SE-001435965")</f>
        <v>SE-001435965</v>
      </c>
      <c r="F9519" s="11"/>
      <c r="G9519" s="12">
        <v>0</v>
      </c>
      <c r="H9519" s="12">
        <v>0</v>
      </c>
      <c r="I9519" s="12">
        <v>0</v>
      </c>
      <c r="J9519" s="11"/>
      <c r="K9519" s="12">
        <v>0</v>
      </c>
      <c r="L9519" s="10" t="str">
        <f>HYPERLINK("https://otsuka-europe-crm.veevavault.com/ui/#object/approved_document__v/V5O00000001L017", "ALL_Flexibilität_Ferienplanung_2026_AA_fr")</f>
        <v>ALL_Flexibilität_Ferienplanung_2026_AA_fr</v>
      </c>
      <c r="M9519" s="10" t="str">
        <f>HYPERLINK("mailto:yvergari@crm.otsuka-europe.com", "yvergari@crm.otsuka-europe.com")</f>
        <v>yvergari@crm.otsuka-europe.com</v>
      </c>
      <c r="N9519" s="13">
        <v>46188.438125000001</v>
      </c>
      <c r="O9519" s="14" t="str">
        <f>HYPERLINK("https://otsuka-europe-crm.veevavault.com/ui/#object/email_activity__v/V8C00000003U508", "EN-002095830")</f>
        <v>EN-002095830</v>
      </c>
    </row>
    <row r="9520" spans="1:15" ht="32" x14ac:dyDescent="0.2">
      <c r="A9520" s="7" t="str">
        <f>HYPERLINK("https://otsuka-europe-crm.veevavault.com/ui/#object/account__v/V4TZ0000062R66M", "Radwan El Kamash")</f>
        <v>Radwan El Kamash</v>
      </c>
      <c r="B9520" s="7" t="str">
        <f>HYPERLINK("https://otsuka-europe-crm.veevavault.com/ui/#object/vcountry__v/VENZ000004SONFN", "CH")</f>
        <v>CH</v>
      </c>
      <c r="C9520" s="8" t="s">
        <v>45</v>
      </c>
      <c r="D9520" s="9" t="str">
        <f>HYPERLINK("https://otsuka-europe-crm.veevavault.com/ui/#object/approved_document__v/V5O00000001L017", "ALL_Flexibilität_Ferienplanung_2026_AA_fr")</f>
        <v>ALL_Flexibilität_Ferienplanung_2026_AA_fr</v>
      </c>
      <c r="E9520" s="10" t="str">
        <f>HYPERLINK("https://otsuka-europe-crm.veevavault.com/ui/#object/sent_email__v/VBL00000002U211", "SE-001435966")</f>
        <v>SE-001435966</v>
      </c>
      <c r="F9520" s="11"/>
      <c r="G9520" s="12">
        <v>0</v>
      </c>
      <c r="H9520" s="12">
        <v>0</v>
      </c>
      <c r="I9520" s="12">
        <v>0</v>
      </c>
      <c r="J9520" s="11"/>
      <c r="K9520" s="12">
        <v>0</v>
      </c>
      <c r="L9520" s="10" t="str">
        <f>HYPERLINK("https://otsuka-europe-crm.veevavault.com/ui/#object/approved_document__v/V5O00000001L017", "ALL_Flexibilität_Ferienplanung_2026_AA_fr")</f>
        <v>ALL_Flexibilität_Ferienplanung_2026_AA_fr</v>
      </c>
      <c r="M9520" s="10" t="str">
        <f>HYPERLINK("mailto:yvergari@crm.otsuka-europe.com", "yvergari@crm.otsuka-europe.com")</f>
        <v>yvergari@crm.otsuka-europe.com</v>
      </c>
      <c r="N9520" s="13">
        <v>46188.438125000001</v>
      </c>
      <c r="O9520" s="14" t="str">
        <f>HYPERLINK("https://otsuka-europe-crm.veevavault.com/ui/#object/email_activity__v/V8C00000003V509", "EN-002095832")</f>
        <v>EN-002095832</v>
      </c>
    </row>
    <row r="9521" spans="1:15" ht="16" x14ac:dyDescent="0.2">
      <c r="A9521" s="17" t="str">
        <f>HYPERLINK("https://otsuka-europe-crm.veevavault.com/ui/#object/account__v/V4TZ0000062R70I", "Thierry Di Clemente")</f>
        <v>Thierry Di Clemente</v>
      </c>
      <c r="B9521" s="17" t="str">
        <f>HYPERLINK("https://otsuka-europe-crm.veevavault.com/ui/#object/vcountry__v/VENZ000004SONFN", "CH")</f>
        <v>CH</v>
      </c>
      <c r="C9521" s="20" t="s">
        <v>45</v>
      </c>
      <c r="D9521" s="21" t="str">
        <f>HYPERLINK("https://otsuka-europe-crm.veevavault.com/ui/#object/approved_document__v/V5O00000001L017", "ALL_Flexibilität_Ferienplanung_2026_AA_fr")</f>
        <v>ALL_Flexibilität_Ferienplanung_2026_AA_fr</v>
      </c>
      <c r="E9521" s="22" t="str">
        <f>HYPERLINK("https://otsuka-europe-crm.veevavault.com/ui/#object/sent_email__v/VBL00000002U212", "SE-001435967")</f>
        <v>SE-001435967</v>
      </c>
      <c r="F9521" s="25"/>
      <c r="G9521" s="24">
        <v>0</v>
      </c>
      <c r="H9521" s="24">
        <v>0</v>
      </c>
      <c r="I9521" s="24">
        <v>0</v>
      </c>
      <c r="J9521" s="25"/>
      <c r="K9521" s="24">
        <v>0</v>
      </c>
      <c r="L9521" s="22" t="str">
        <f>HYPERLINK("https://otsuka-europe-crm.veevavault.com/ui/#object/approved_document__v/V5O00000001L017", "ALL_Flexibilität_Ferienplanung_2026_AA_fr")</f>
        <v>ALL_Flexibilität_Ferienplanung_2026_AA_fr</v>
      </c>
      <c r="M9521" s="22" t="str">
        <f>HYPERLINK("mailto:yvergari@crm.otsuka-europe.com", "yvergari@crm.otsuka-europe.com")</f>
        <v>yvergari@crm.otsuka-europe.com</v>
      </c>
      <c r="N9521" s="23">
        <v>46188.438159722224</v>
      </c>
      <c r="O9521" s="14" t="str">
        <f>HYPERLINK("https://otsuka-europe-crm.veevavault.com/ui/#object/email_activity__v/V8C00000003U580", "EN-002095987")</f>
        <v>EN-002095987</v>
      </c>
    </row>
    <row r="9522" spans="1:15" ht="16" x14ac:dyDescent="0.2">
      <c r="A9522" s="19"/>
      <c r="B9522" s="19"/>
      <c r="C9522" s="19"/>
      <c r="D9522" s="19"/>
      <c r="E9522" s="19"/>
      <c r="F9522" s="19"/>
      <c r="G9522" s="19"/>
      <c r="H9522" s="19"/>
      <c r="I9522" s="19"/>
      <c r="J9522" s="19"/>
      <c r="K9522" s="19"/>
      <c r="L9522" s="19"/>
      <c r="M9522" s="19"/>
      <c r="N9522" s="19"/>
      <c r="O9522" s="14" t="str">
        <f>HYPERLINK("https://otsuka-europe-crm.veevavault.com/ui/#object/email_activity__v/V8C00000003V507", "EN-002095812")</f>
        <v>EN-002095812</v>
      </c>
    </row>
    <row r="9523" spans="1:15" ht="32" x14ac:dyDescent="0.2">
      <c r="A9523" s="7" t="str">
        <f>HYPERLINK("https://otsuka-europe-crm.veevavault.com/ui/#object/account__v/V4TZ0000062R3Z8", "Lore Barbier")</f>
        <v>Lore Barbier</v>
      </c>
      <c r="B9523" s="7" t="str">
        <f>HYPERLINK("https://otsuka-europe-crm.veevavault.com/ui/#object/vcountry__v/VENZ000004SONFN", "CH")</f>
        <v>CH</v>
      </c>
      <c r="C9523" s="8" t="s">
        <v>45</v>
      </c>
      <c r="D9523" s="9" t="str">
        <f>HYPERLINK("https://otsuka-europe-crm.veevavault.com/ui/#object/approved_document__v/V5O00000001L017", "ALL_Flexibilität_Ferienplanung_2026_AA_fr")</f>
        <v>ALL_Flexibilität_Ferienplanung_2026_AA_fr</v>
      </c>
      <c r="E9523" s="10" t="str">
        <f>HYPERLINK("https://otsuka-europe-crm.veevavault.com/ui/#object/sent_email__v/VBL00000002U213", "SE-001435968")</f>
        <v>SE-001435968</v>
      </c>
      <c r="F9523" s="11"/>
      <c r="G9523" s="12">
        <v>0</v>
      </c>
      <c r="H9523" s="12">
        <v>0</v>
      </c>
      <c r="I9523" s="12">
        <v>0</v>
      </c>
      <c r="J9523" s="11"/>
      <c r="K9523" s="12">
        <v>0</v>
      </c>
      <c r="L9523" s="10" t="str">
        <f>HYPERLINK("https://otsuka-europe-crm.veevavault.com/ui/#object/approved_document__v/V5O00000001L017", "ALL_Flexibilität_Ferienplanung_2026_AA_fr")</f>
        <v>ALL_Flexibilität_Ferienplanung_2026_AA_fr</v>
      </c>
      <c r="M9523" s="10" t="str">
        <f>HYPERLINK("mailto:yvergari@crm.otsuka-europe.com", "yvergari@crm.otsuka-europe.com")</f>
        <v>yvergari@crm.otsuka-europe.com</v>
      </c>
      <c r="N9523" s="13">
        <v>46188.438148148147</v>
      </c>
      <c r="O9523" s="14" t="str">
        <f>HYPERLINK("https://otsuka-europe-crm.veevavault.com/ui/#object/email_activity__v/V8C00000003V533", "EN-002095884")</f>
        <v>EN-002095884</v>
      </c>
    </row>
    <row r="9524" spans="1:15" ht="32" x14ac:dyDescent="0.2">
      <c r="A9524" s="7" t="str">
        <f>HYPERLINK("https://otsuka-europe-crm.veevavault.com/ui/#object/account__v/V4TZ0000062R5V2", "Christophe Coste")</f>
        <v>Christophe Coste</v>
      </c>
      <c r="B9524" s="7" t="str">
        <f>HYPERLINK("https://otsuka-europe-crm.veevavault.com/ui/#object/vcountry__v/VENZ000004SONFN", "CH")</f>
        <v>CH</v>
      </c>
      <c r="C9524" s="8" t="s">
        <v>45</v>
      </c>
      <c r="D9524" s="9" t="str">
        <f>HYPERLINK("https://otsuka-europe-crm.veevavault.com/ui/#object/approved_document__v/V5O00000001L017", "ALL_Flexibilität_Ferienplanung_2026_AA_fr")</f>
        <v>ALL_Flexibilität_Ferienplanung_2026_AA_fr</v>
      </c>
      <c r="E9524" s="10" t="str">
        <f>HYPERLINK("https://otsuka-europe-crm.veevavault.com/ui/#object/sent_email__v/VBL00000002U214", "SE-001435969")</f>
        <v>SE-001435969</v>
      </c>
      <c r="F9524" s="11"/>
      <c r="G9524" s="12">
        <v>0</v>
      </c>
      <c r="H9524" s="12">
        <v>0</v>
      </c>
      <c r="I9524" s="12">
        <v>0</v>
      </c>
      <c r="J9524" s="11"/>
      <c r="K9524" s="12">
        <v>0</v>
      </c>
      <c r="L9524" s="10" t="str">
        <f>HYPERLINK("https://otsuka-europe-crm.veevavault.com/ui/#object/approved_document__v/V5O00000001L017", "ALL_Flexibilität_Ferienplanung_2026_AA_fr")</f>
        <v>ALL_Flexibilität_Ferienplanung_2026_AA_fr</v>
      </c>
      <c r="M9524" s="10" t="str">
        <f>HYPERLINK("mailto:yvergari@crm.otsuka-europe.com", "yvergari@crm.otsuka-europe.com")</f>
        <v>yvergari@crm.otsuka-europe.com</v>
      </c>
      <c r="N9524" s="13">
        <v>46188.445150462961</v>
      </c>
      <c r="O9524" s="14" t="str">
        <f>HYPERLINK("https://otsuka-europe-crm.veevavault.com/ui/#object/email_activity__v/V8C00000003V543", "EN-002095905")</f>
        <v>EN-002095905</v>
      </c>
    </row>
    <row r="9525" spans="1:15" ht="16" x14ac:dyDescent="0.2">
      <c r="A9525" s="17" t="str">
        <f>HYPERLINK("https://otsuka-europe-crm.veevavault.com/ui/#object/account__v/V4TZ0000062R82L", "Gianni Cucchia")</f>
        <v>Gianni Cucchia</v>
      </c>
      <c r="B9525" s="17" t="str">
        <f>HYPERLINK("https://otsuka-europe-crm.veevavault.com/ui/#object/vcountry__v/VENZ000004SONFN", "CH")</f>
        <v>CH</v>
      </c>
      <c r="C9525" s="20" t="s">
        <v>45</v>
      </c>
      <c r="D9525" s="21" t="str">
        <f>HYPERLINK("https://otsuka-europe-crm.veevavault.com/ui/#object/approved_document__v/V5O00000001L017", "ALL_Flexibilität_Ferienplanung_2026_AA_fr")</f>
        <v>ALL_Flexibilität_Ferienplanung_2026_AA_fr</v>
      </c>
      <c r="E9525" s="22" t="str">
        <f>HYPERLINK("https://otsuka-europe-crm.veevavault.com/ui/#object/sent_email__v/VBL00000002U215", "SE-001435970")</f>
        <v>SE-001435970</v>
      </c>
      <c r="F9525" s="23">
        <v>46188.43917824074</v>
      </c>
      <c r="G9525" s="24">
        <v>1</v>
      </c>
      <c r="H9525" s="24">
        <v>2</v>
      </c>
      <c r="I9525" s="24">
        <v>0</v>
      </c>
      <c r="J9525" s="25"/>
      <c r="K9525" s="24">
        <v>0</v>
      </c>
      <c r="L9525" s="22" t="str">
        <f>HYPERLINK("https://otsuka-europe-crm.veevavault.com/ui/#object/approved_document__v/V5O00000001L017", "ALL_Flexibilität_Ferienplanung_2026_AA_fr")</f>
        <v>ALL_Flexibilität_Ferienplanung_2026_AA_fr</v>
      </c>
      <c r="M9525" s="22" t="str">
        <f>HYPERLINK("mailto:yvergari@crm.otsuka-europe.com", "yvergari@crm.otsuka-europe.com")</f>
        <v>yvergari@crm.otsuka-europe.com</v>
      </c>
      <c r="N9525" s="23">
        <v>46188.438148148147</v>
      </c>
      <c r="O9525" s="14" t="str">
        <f>HYPERLINK("https://otsuka-europe-crm.veevavault.com/ui/#object/email_activity__v/V8C00000003U501", "EN-002095823")</f>
        <v>EN-002095823</v>
      </c>
    </row>
    <row r="9526" spans="1:15" ht="16" x14ac:dyDescent="0.2">
      <c r="A9526" s="18"/>
      <c r="B9526" s="18"/>
      <c r="C9526" s="18"/>
      <c r="D9526" s="18"/>
      <c r="E9526" s="18"/>
      <c r="F9526" s="18"/>
      <c r="G9526" s="18"/>
      <c r="H9526" s="18"/>
      <c r="I9526" s="18"/>
      <c r="J9526" s="18"/>
      <c r="K9526" s="18"/>
      <c r="L9526" s="18"/>
      <c r="M9526" s="18"/>
      <c r="N9526" s="18"/>
      <c r="O9526" s="14" t="str">
        <f>HYPERLINK("https://otsuka-europe-crm.veevavault.com/ui/#object/email_activity__v/V8C00000003U541", "EN-002095890")</f>
        <v>EN-002095890</v>
      </c>
    </row>
    <row r="9527" spans="1:15" ht="16" x14ac:dyDescent="0.2">
      <c r="A9527" s="19"/>
      <c r="B9527" s="19"/>
      <c r="C9527" s="19"/>
      <c r="D9527" s="19"/>
      <c r="E9527" s="19"/>
      <c r="F9527" s="19"/>
      <c r="G9527" s="19"/>
      <c r="H9527" s="19"/>
      <c r="I9527" s="19"/>
      <c r="J9527" s="19"/>
      <c r="K9527" s="19"/>
      <c r="L9527" s="19"/>
      <c r="M9527" s="19"/>
      <c r="N9527" s="19"/>
      <c r="O9527" s="14" t="str">
        <f>HYPERLINK("https://otsuka-europe-crm.veevavault.com/ui/#object/email_activity__v/V8C00000003U544", "EN-002095896")</f>
        <v>EN-002095896</v>
      </c>
    </row>
    <row r="9528" spans="1:15" ht="16" x14ac:dyDescent="0.2">
      <c r="A9528" s="17" t="str">
        <f>HYPERLINK("https://otsuka-europe-crm.veevavault.com/ui/#object/account__v/V4TZ0000062R82M", "Anne-Thérèse Cucchia")</f>
        <v>Anne-Thérèse Cucchia</v>
      </c>
      <c r="B9528" s="17" t="str">
        <f>HYPERLINK("https://otsuka-europe-crm.veevavault.com/ui/#object/vcountry__v/VENZ000004SONFN", "CH")</f>
        <v>CH</v>
      </c>
      <c r="C9528" s="20" t="s">
        <v>45</v>
      </c>
      <c r="D9528" s="21" t="str">
        <f>HYPERLINK("https://otsuka-europe-crm.veevavault.com/ui/#object/approved_document__v/V5O00000001L017", "ALL_Flexibilität_Ferienplanung_2026_AA_fr")</f>
        <v>ALL_Flexibilität_Ferienplanung_2026_AA_fr</v>
      </c>
      <c r="E9528" s="22" t="str">
        <f>HYPERLINK("https://otsuka-europe-crm.veevavault.com/ui/#object/sent_email__v/VBL00000002U216", "SE-001435971")</f>
        <v>SE-001435971</v>
      </c>
      <c r="F9528" s="23">
        <v>46188.438576388886</v>
      </c>
      <c r="G9528" s="24">
        <v>1</v>
      </c>
      <c r="H9528" s="24">
        <v>2</v>
      </c>
      <c r="I9528" s="24">
        <v>0</v>
      </c>
      <c r="J9528" s="25"/>
      <c r="K9528" s="24">
        <v>0</v>
      </c>
      <c r="L9528" s="22" t="str">
        <f>HYPERLINK("https://otsuka-europe-crm.veevavault.com/ui/#object/approved_document__v/V5O00000001L017", "ALL_Flexibilität_Ferienplanung_2026_AA_fr")</f>
        <v>ALL_Flexibilität_Ferienplanung_2026_AA_fr</v>
      </c>
      <c r="M9528" s="22" t="str">
        <f>HYPERLINK("mailto:yvergari@crm.otsuka-europe.com", "yvergari@crm.otsuka-europe.com")</f>
        <v>yvergari@crm.otsuka-europe.com</v>
      </c>
      <c r="N9528" s="23">
        <v>46188.438136574077</v>
      </c>
      <c r="O9528" s="14" t="str">
        <f>HYPERLINK("https://otsuka-europe-crm.veevavault.com/ui/#object/email_activity__v/V8C00000003U504", "EN-002095826")</f>
        <v>EN-002095826</v>
      </c>
    </row>
    <row r="9529" spans="1:15" ht="16" x14ac:dyDescent="0.2">
      <c r="A9529" s="18"/>
      <c r="B9529" s="18"/>
      <c r="C9529" s="18"/>
      <c r="D9529" s="18"/>
      <c r="E9529" s="18"/>
      <c r="F9529" s="18"/>
      <c r="G9529" s="18"/>
      <c r="H9529" s="18"/>
      <c r="I9529" s="18"/>
      <c r="J9529" s="18"/>
      <c r="K9529" s="18"/>
      <c r="L9529" s="18"/>
      <c r="M9529" s="18"/>
      <c r="N9529" s="18"/>
      <c r="O9529" s="14" t="str">
        <f>HYPERLINK("https://otsuka-europe-crm.veevavault.com/ui/#object/email_activity__v/V8C00000003U522", "EN-002095854")</f>
        <v>EN-002095854</v>
      </c>
    </row>
    <row r="9530" spans="1:15" ht="16" x14ac:dyDescent="0.2">
      <c r="A9530" s="19"/>
      <c r="B9530" s="19"/>
      <c r="C9530" s="19"/>
      <c r="D9530" s="19"/>
      <c r="E9530" s="19"/>
      <c r="F9530" s="19"/>
      <c r="G9530" s="19"/>
      <c r="H9530" s="19"/>
      <c r="I9530" s="19"/>
      <c r="J9530" s="19"/>
      <c r="K9530" s="19"/>
      <c r="L9530" s="19"/>
      <c r="M9530" s="19"/>
      <c r="N9530" s="19"/>
      <c r="O9530" s="14" t="str">
        <f>HYPERLINK("https://otsuka-europe-crm.veevavault.com/ui/#object/email_activity__v/V8C00000003V537", "EN-002095893")</f>
        <v>EN-002095893</v>
      </c>
    </row>
    <row r="9531" spans="1:15" ht="16" x14ac:dyDescent="0.2">
      <c r="A9531" s="17" t="str">
        <f>HYPERLINK("https://otsuka-europe-crm.veevavault.com/ui/#object/account__v/V4TZ0000062R711", "Marius Dragos")</f>
        <v>Marius Dragos</v>
      </c>
      <c r="B9531" s="17" t="str">
        <f>HYPERLINK("https://otsuka-europe-crm.veevavault.com/ui/#object/vcountry__v/VENZ000004SONFN", "CH")</f>
        <v>CH</v>
      </c>
      <c r="C9531" s="20" t="s">
        <v>45</v>
      </c>
      <c r="D9531" s="21" t="str">
        <f>HYPERLINK("https://otsuka-europe-crm.veevavault.com/ui/#object/approved_document__v/V5O00000001L017", "ALL_Flexibilität_Ferienplanung_2026_AA_fr")</f>
        <v>ALL_Flexibilität_Ferienplanung_2026_AA_fr</v>
      </c>
      <c r="E9531" s="22" t="str">
        <f>HYPERLINK("https://otsuka-europe-crm.veevavault.com/ui/#object/sent_email__v/VBL00000002U217", "SE-001435972")</f>
        <v>SE-001435972</v>
      </c>
      <c r="F9531" s="25"/>
      <c r="G9531" s="24">
        <v>0</v>
      </c>
      <c r="H9531" s="24">
        <v>0</v>
      </c>
      <c r="I9531" s="24">
        <v>0</v>
      </c>
      <c r="J9531" s="25"/>
      <c r="K9531" s="24">
        <v>0</v>
      </c>
      <c r="L9531" s="22" t="str">
        <f>HYPERLINK("https://otsuka-europe-crm.veevavault.com/ui/#object/approved_document__v/V5O00000001L017", "ALL_Flexibilität_Ferienplanung_2026_AA_fr")</f>
        <v>ALL_Flexibilität_Ferienplanung_2026_AA_fr</v>
      </c>
      <c r="M9531" s="22" t="str">
        <f>HYPERLINK("mailto:yvergari@crm.otsuka-europe.com", "yvergari@crm.otsuka-europe.com")</f>
        <v>yvergari@crm.otsuka-europe.com</v>
      </c>
      <c r="N9531" s="23">
        <v>46188.438159722224</v>
      </c>
      <c r="O9531" s="14" t="str">
        <f>HYPERLINK("https://otsuka-europe-crm.veevavault.com/ui/#object/email_activity__v/V8C00000003U791", "EN-002096504")</f>
        <v>EN-002096504</v>
      </c>
    </row>
    <row r="9532" spans="1:15" ht="16" x14ac:dyDescent="0.2">
      <c r="A9532" s="18"/>
      <c r="B9532" s="18"/>
      <c r="C9532" s="18"/>
      <c r="D9532" s="18"/>
      <c r="E9532" s="18"/>
      <c r="F9532" s="18"/>
      <c r="G9532" s="18"/>
      <c r="H9532" s="18"/>
      <c r="I9532" s="18"/>
      <c r="J9532" s="18"/>
      <c r="K9532" s="18"/>
      <c r="L9532" s="18"/>
      <c r="M9532" s="18"/>
      <c r="N9532" s="18"/>
      <c r="O9532" s="14" t="str">
        <f>HYPERLINK("https://otsuka-europe-crm.veevavault.com/ui/#object/email_activity__v/V8C00000003V534", "EN-002095885")</f>
        <v>EN-002095885</v>
      </c>
    </row>
    <row r="9533" spans="1:15" ht="16" x14ac:dyDescent="0.2">
      <c r="A9533" s="19"/>
      <c r="B9533" s="19"/>
      <c r="C9533" s="19"/>
      <c r="D9533" s="19"/>
      <c r="E9533" s="19"/>
      <c r="F9533" s="19"/>
      <c r="G9533" s="19"/>
      <c r="H9533" s="19"/>
      <c r="I9533" s="19"/>
      <c r="J9533" s="19"/>
      <c r="K9533" s="19"/>
      <c r="L9533" s="19"/>
      <c r="M9533" s="19"/>
      <c r="N9533" s="19"/>
      <c r="O9533" s="14" t="str">
        <f>HYPERLINK("https://otsuka-europe-crm.veevavault.com/ui/#object/email_activity__v/V8C00000003X967", "EN-002098535")</f>
        <v>EN-002098535</v>
      </c>
    </row>
    <row r="9534" spans="1:15" ht="32" x14ac:dyDescent="0.2">
      <c r="A9534" s="7" t="str">
        <f>HYPERLINK("https://otsuka-europe-crm.veevavault.com/ui/#object/account__v/V4TZ0000062R838", "Thierry Currat")</f>
        <v>Thierry Currat</v>
      </c>
      <c r="B9534" s="7" t="str">
        <f>HYPERLINK("https://otsuka-europe-crm.veevavault.com/ui/#object/vcountry__v/VENZ000004SONFN", "CH")</f>
        <v>CH</v>
      </c>
      <c r="C9534" s="8" t="s">
        <v>45</v>
      </c>
      <c r="D9534" s="9" t="str">
        <f>HYPERLINK("https://otsuka-europe-crm.veevavault.com/ui/#object/approved_document__v/V5O00000001L017", "ALL_Flexibilität_Ferienplanung_2026_AA_fr")</f>
        <v>ALL_Flexibilität_Ferienplanung_2026_AA_fr</v>
      </c>
      <c r="E9534" s="10" t="str">
        <f>HYPERLINK("https://otsuka-europe-crm.veevavault.com/ui/#object/sent_email__v/VBL00000002U218", "SE-001435973")</f>
        <v>SE-001435973</v>
      </c>
      <c r="F9534" s="11"/>
      <c r="G9534" s="12">
        <v>0</v>
      </c>
      <c r="H9534" s="12">
        <v>0</v>
      </c>
      <c r="I9534" s="12">
        <v>0</v>
      </c>
      <c r="J9534" s="11"/>
      <c r="K9534" s="12">
        <v>0</v>
      </c>
      <c r="L9534" s="10" t="str">
        <f>HYPERLINK("https://otsuka-europe-crm.veevavault.com/ui/#object/approved_document__v/V5O00000001L017", "ALL_Flexibilität_Ferienplanung_2026_AA_fr")</f>
        <v>ALL_Flexibilität_Ferienplanung_2026_AA_fr</v>
      </c>
      <c r="M9534" s="10" t="str">
        <f>HYPERLINK("mailto:yvergari@crm.otsuka-europe.com", "yvergari@crm.otsuka-europe.com")</f>
        <v>yvergari@crm.otsuka-europe.com</v>
      </c>
      <c r="N9534" s="13">
        <v>46188.438159722224</v>
      </c>
      <c r="O9534" s="14" t="str">
        <f>HYPERLINK("https://otsuka-europe-crm.veevavault.com/ui/#object/email_activity__v/V8C00000003U502", "EN-002095824")</f>
        <v>EN-002095824</v>
      </c>
    </row>
    <row r="9535" spans="1:15" ht="16" x14ac:dyDescent="0.2">
      <c r="A9535" s="17" t="str">
        <f>HYPERLINK("https://otsuka-europe-crm.veevavault.com/ui/#object/account__v/V4TZ0000062R70X", "Orianne Dorsaz")</f>
        <v>Orianne Dorsaz</v>
      </c>
      <c r="B9535" s="17" t="str">
        <f>HYPERLINK("https://otsuka-europe-crm.veevavault.com/ui/#object/vcountry__v/VENZ000004SONFN", "CH")</f>
        <v>CH</v>
      </c>
      <c r="C9535" s="20" t="s">
        <v>45</v>
      </c>
      <c r="D9535" s="21" t="str">
        <f>HYPERLINK("https://otsuka-europe-crm.veevavault.com/ui/#object/approved_document__v/V5O00000001L017", "ALL_Flexibilität_Ferienplanung_2026_AA_fr")</f>
        <v>ALL_Flexibilität_Ferienplanung_2026_AA_fr</v>
      </c>
      <c r="E9535" s="22" t="str">
        <f>HYPERLINK("https://otsuka-europe-crm.veevavault.com/ui/#object/sent_email__v/VBL00000002U219", "SE-001435974")</f>
        <v>SE-001435974</v>
      </c>
      <c r="F9535" s="25"/>
      <c r="G9535" s="24">
        <v>0</v>
      </c>
      <c r="H9535" s="24">
        <v>0</v>
      </c>
      <c r="I9535" s="24">
        <v>0</v>
      </c>
      <c r="J9535" s="25"/>
      <c r="K9535" s="24">
        <v>0</v>
      </c>
      <c r="L9535" s="22" t="str">
        <f>HYPERLINK("https://otsuka-europe-crm.veevavault.com/ui/#object/approved_document__v/V5O00000001L017", "ALL_Flexibilität_Ferienplanung_2026_AA_fr")</f>
        <v>ALL_Flexibilität_Ferienplanung_2026_AA_fr</v>
      </c>
      <c r="M9535" s="22" t="str">
        <f>HYPERLINK("mailto:yvergari@crm.otsuka-europe.com", "yvergari@crm.otsuka-europe.com")</f>
        <v>yvergari@crm.otsuka-europe.com</v>
      </c>
      <c r="N9535" s="23">
        <v>46188.43818287037</v>
      </c>
      <c r="O9535" s="14" t="str">
        <f>HYPERLINK("https://otsuka-europe-crm.veevavault.com/ui/#object/email_activity__v/V8C00000003U936", "EN-002096847")</f>
        <v>EN-002096847</v>
      </c>
    </row>
    <row r="9536" spans="1:15" ht="16" x14ac:dyDescent="0.2">
      <c r="A9536" s="19"/>
      <c r="B9536" s="19"/>
      <c r="C9536" s="19"/>
      <c r="D9536" s="19"/>
      <c r="E9536" s="19"/>
      <c r="F9536" s="19"/>
      <c r="G9536" s="19"/>
      <c r="H9536" s="19"/>
      <c r="I9536" s="19"/>
      <c r="J9536" s="19"/>
      <c r="K9536" s="19"/>
      <c r="L9536" s="19"/>
      <c r="M9536" s="19"/>
      <c r="N9536" s="19"/>
      <c r="O9536" s="14" t="str">
        <f>HYPERLINK("https://otsuka-europe-crm.veevavault.com/ui/#object/email_activity__v/V8C00000003V508", "EN-002095813")</f>
        <v>EN-002095813</v>
      </c>
    </row>
    <row r="9537" spans="1:15" ht="16" x14ac:dyDescent="0.2">
      <c r="A9537" s="17" t="str">
        <f>HYPERLINK("https://otsuka-europe-crm.veevavault.com/ui/#object/account__v/V4TZ0000062R83A", "Logos Simian Curtis")</f>
        <v>Logos Simian Curtis</v>
      </c>
      <c r="B9537" s="17" t="str">
        <f>HYPERLINK("https://otsuka-europe-crm.veevavault.com/ui/#object/vcountry__v/VENZ000004SONFN", "CH")</f>
        <v>CH</v>
      </c>
      <c r="C9537" s="20" t="s">
        <v>45</v>
      </c>
      <c r="D9537" s="21" t="str">
        <f>HYPERLINK("https://otsuka-europe-crm.veevavault.com/ui/#object/approved_document__v/V5O00000001L017", "ALL_Flexibilität_Ferienplanung_2026_AA_fr")</f>
        <v>ALL_Flexibilität_Ferienplanung_2026_AA_fr</v>
      </c>
      <c r="E9537" s="22" t="str">
        <f>HYPERLINK("https://otsuka-europe-crm.veevavault.com/ui/#object/sent_email__v/VBL00000002U220", "SE-001435975")</f>
        <v>SE-001435975</v>
      </c>
      <c r="F9537" s="25"/>
      <c r="G9537" s="24">
        <v>0</v>
      </c>
      <c r="H9537" s="24">
        <v>0</v>
      </c>
      <c r="I9537" s="24">
        <v>0</v>
      </c>
      <c r="J9537" s="25"/>
      <c r="K9537" s="24">
        <v>0</v>
      </c>
      <c r="L9537" s="22" t="str">
        <f>HYPERLINK("https://otsuka-europe-crm.veevavault.com/ui/#object/approved_document__v/V5O00000001L017", "ALL_Flexibilität_Ferienplanung_2026_AA_fr")</f>
        <v>ALL_Flexibilität_Ferienplanung_2026_AA_fr</v>
      </c>
      <c r="M9537" s="22" t="str">
        <f>HYPERLINK("mailto:yvergari@crm.otsuka-europe.com", "yvergari@crm.otsuka-europe.com")</f>
        <v>yvergari@crm.otsuka-europe.com</v>
      </c>
      <c r="N9537" s="23">
        <v>46188.438136574077</v>
      </c>
      <c r="O9537" s="14" t="str">
        <f>HYPERLINK("https://otsuka-europe-crm.veevavault.com/ui/#object/email_activity__v/V8C00000003V527", "EN-002095867")</f>
        <v>EN-002095867</v>
      </c>
    </row>
    <row r="9538" spans="1:15" ht="16" x14ac:dyDescent="0.2">
      <c r="A9538" s="19"/>
      <c r="B9538" s="19"/>
      <c r="C9538" s="19"/>
      <c r="D9538" s="19"/>
      <c r="E9538" s="19"/>
      <c r="F9538" s="19"/>
      <c r="G9538" s="19"/>
      <c r="H9538" s="19"/>
      <c r="I9538" s="19"/>
      <c r="J9538" s="19"/>
      <c r="K9538" s="19"/>
      <c r="L9538" s="19"/>
      <c r="M9538" s="19"/>
      <c r="N9538" s="19"/>
      <c r="O9538" s="14" t="str">
        <f>HYPERLINK("https://otsuka-europe-crm.veevavault.com/ui/#object/email_activity__v/V8C00000003V697", "EN-002096199")</f>
        <v>EN-002096199</v>
      </c>
    </row>
    <row r="9539" spans="1:15" ht="16" x14ac:dyDescent="0.2">
      <c r="A9539" s="17" t="str">
        <f>HYPERLINK("https://otsuka-europe-crm.veevavault.com/ui/#object/account__v/V4TZ0000062R71A", "Annick Duboc")</f>
        <v>Annick Duboc</v>
      </c>
      <c r="B9539" s="17" t="str">
        <f>HYPERLINK("https://otsuka-europe-crm.veevavault.com/ui/#object/vcountry__v/VENZ000004SONFN", "CH")</f>
        <v>CH</v>
      </c>
      <c r="C9539" s="20" t="s">
        <v>45</v>
      </c>
      <c r="D9539" s="21" t="str">
        <f>HYPERLINK("https://otsuka-europe-crm.veevavault.com/ui/#object/approved_document__v/V5O00000001L017", "ALL_Flexibilität_Ferienplanung_2026_AA_fr")</f>
        <v>ALL_Flexibilität_Ferienplanung_2026_AA_fr</v>
      </c>
      <c r="E9539" s="22" t="str">
        <f>HYPERLINK("https://otsuka-europe-crm.veevavault.com/ui/#object/sent_email__v/VBL00000002U221", "SE-001435976")</f>
        <v>SE-001435976</v>
      </c>
      <c r="F9539" s="23">
        <v>46189.425798611112</v>
      </c>
      <c r="G9539" s="24">
        <v>1</v>
      </c>
      <c r="H9539" s="24">
        <v>3</v>
      </c>
      <c r="I9539" s="24">
        <v>0</v>
      </c>
      <c r="J9539" s="25"/>
      <c r="K9539" s="24">
        <v>0</v>
      </c>
      <c r="L9539" s="22" t="str">
        <f>HYPERLINK("https://otsuka-europe-crm.veevavault.com/ui/#object/approved_document__v/V5O00000001L017", "ALL_Flexibilität_Ferienplanung_2026_AA_fr")</f>
        <v>ALL_Flexibilität_Ferienplanung_2026_AA_fr</v>
      </c>
      <c r="M9539" s="22" t="str">
        <f>HYPERLINK("mailto:yvergari@crm.otsuka-europe.com", "yvergari@crm.otsuka-europe.com")</f>
        <v>yvergari@crm.otsuka-europe.com</v>
      </c>
      <c r="N9539" s="23">
        <v>46188.438113425924</v>
      </c>
      <c r="O9539" s="14" t="str">
        <f>HYPERLINK("https://otsuka-europe-crm.veevavault.com/ui/#object/email_activity__v/V8C00000003U506", "EN-002095828")</f>
        <v>EN-002095828</v>
      </c>
    </row>
    <row r="9540" spans="1:15" ht="16" x14ac:dyDescent="0.2">
      <c r="A9540" s="18"/>
      <c r="B9540" s="18"/>
      <c r="C9540" s="18"/>
      <c r="D9540" s="18"/>
      <c r="E9540" s="18"/>
      <c r="F9540" s="18"/>
      <c r="G9540" s="18"/>
      <c r="H9540" s="18"/>
      <c r="I9540" s="18"/>
      <c r="J9540" s="18"/>
      <c r="K9540" s="18"/>
      <c r="L9540" s="18"/>
      <c r="M9540" s="18"/>
      <c r="N9540" s="18"/>
      <c r="O9540" s="14" t="str">
        <f>HYPERLINK("https://otsuka-europe-crm.veevavault.com/ui/#object/email_activity__v/V8C00000003V902", "EN-002096508")</f>
        <v>EN-002096508</v>
      </c>
    </row>
    <row r="9541" spans="1:15" ht="16" x14ac:dyDescent="0.2">
      <c r="A9541" s="18"/>
      <c r="B9541" s="18"/>
      <c r="C9541" s="18"/>
      <c r="D9541" s="18"/>
      <c r="E9541" s="18"/>
      <c r="F9541" s="18"/>
      <c r="G9541" s="18"/>
      <c r="H9541" s="18"/>
      <c r="I9541" s="18"/>
      <c r="J9541" s="18"/>
      <c r="K9541" s="18"/>
      <c r="L9541" s="18"/>
      <c r="M9541" s="18"/>
      <c r="N9541" s="18"/>
      <c r="O9541" s="14" t="str">
        <f>HYPERLINK("https://otsuka-europe-crm.veevavault.com/ui/#object/email_activity__v/V8C00000003V908", "EN-002096520")</f>
        <v>EN-002096520</v>
      </c>
    </row>
    <row r="9542" spans="1:15" ht="16" x14ac:dyDescent="0.2">
      <c r="A9542" s="19"/>
      <c r="B9542" s="19"/>
      <c r="C9542" s="19"/>
      <c r="D9542" s="19"/>
      <c r="E9542" s="19"/>
      <c r="F9542" s="19"/>
      <c r="G9542" s="19"/>
      <c r="H9542" s="19"/>
      <c r="I9542" s="19"/>
      <c r="J9542" s="19"/>
      <c r="K9542" s="19"/>
      <c r="L9542" s="19"/>
      <c r="M9542" s="19"/>
      <c r="N9542" s="19"/>
      <c r="O9542" s="14" t="str">
        <f>HYPERLINK("https://otsuka-europe-crm.veevavault.com/ui/#object/email_activity__v/V8C00000003W172", "EN-002097056")</f>
        <v>EN-002097056</v>
      </c>
    </row>
    <row r="9543" spans="1:15" ht="32" x14ac:dyDescent="0.2">
      <c r="A9543" s="7" t="str">
        <f>HYPERLINK("https://otsuka-europe-crm.veevavault.com/ui/#object/account__v/V4TZ0000062R71B", "Vesselin Dubuis")</f>
        <v>Vesselin Dubuis</v>
      </c>
      <c r="B9543" s="7" t="str">
        <f>HYPERLINK("https://otsuka-europe-crm.veevavault.com/ui/#object/vcountry__v/VENZ000004SONFN", "CH")</f>
        <v>CH</v>
      </c>
      <c r="C9543" s="8" t="s">
        <v>45</v>
      </c>
      <c r="D9543" s="9" t="str">
        <f>HYPERLINK("https://otsuka-europe-crm.veevavault.com/ui/#object/approved_document__v/V5O00000001L017", "ALL_Flexibilität_Ferienplanung_2026_AA_fr")</f>
        <v>ALL_Flexibilität_Ferienplanung_2026_AA_fr</v>
      </c>
      <c r="E9543" s="10" t="str">
        <f>HYPERLINK("https://otsuka-europe-crm.veevavault.com/ui/#object/sent_email__v/VBL00000002U222", "SE-001435977")</f>
        <v>SE-001435977</v>
      </c>
      <c r="F9543" s="11"/>
      <c r="G9543" s="12">
        <v>0</v>
      </c>
      <c r="H9543" s="12">
        <v>0</v>
      </c>
      <c r="I9543" s="12">
        <v>0</v>
      </c>
      <c r="J9543" s="11"/>
      <c r="K9543" s="12">
        <v>0</v>
      </c>
      <c r="L9543" s="10" t="str">
        <f>HYPERLINK("https://otsuka-europe-crm.veevavault.com/ui/#object/approved_document__v/V5O00000001L017", "ALL_Flexibilität_Ferienplanung_2026_AA_fr")</f>
        <v>ALL_Flexibilität_Ferienplanung_2026_AA_fr</v>
      </c>
      <c r="M9543" s="10" t="str">
        <f>HYPERLINK("mailto:yvergari@crm.otsuka-europe.com", "yvergari@crm.otsuka-europe.com")</f>
        <v>yvergari@crm.otsuka-europe.com</v>
      </c>
      <c r="N9543" s="13">
        <v>46188.438148148147</v>
      </c>
      <c r="O9543" s="14" t="str">
        <f>HYPERLINK("https://otsuka-europe-crm.veevavault.com/ui/#object/email_activity__v/V8C00000003U498", "EN-002095820")</f>
        <v>EN-002095820</v>
      </c>
    </row>
    <row r="9544" spans="1:15" ht="16" x14ac:dyDescent="0.2">
      <c r="A9544" s="17" t="str">
        <f>HYPERLINK("https://otsuka-europe-crm.veevavault.com/ui/#object/account__v/V4TZ0000062SGFI", "Elizabeth Cicotti")</f>
        <v>Elizabeth Cicotti</v>
      </c>
      <c r="B9544" s="17" t="str">
        <f>HYPERLINK("https://otsuka-europe-crm.veevavault.com/ui/#object/vcountry__v/VENZ000004SONFN", "CH")</f>
        <v>CH</v>
      </c>
      <c r="C9544" s="20" t="s">
        <v>45</v>
      </c>
      <c r="D9544" s="21" t="str">
        <f>HYPERLINK("https://otsuka-europe-crm.veevavault.com/ui/#object/approved_document__v/V5O00000001L017", "ALL_Flexibilität_Ferienplanung_2026_AA_fr")</f>
        <v>ALL_Flexibilität_Ferienplanung_2026_AA_fr</v>
      </c>
      <c r="E9544" s="22" t="str">
        <f>HYPERLINK("https://otsuka-europe-crm.veevavault.com/ui/#object/sent_email__v/VBL00000002U223", "SE-001435978")</f>
        <v>SE-001435978</v>
      </c>
      <c r="F9544" s="25"/>
      <c r="G9544" s="24">
        <v>0</v>
      </c>
      <c r="H9544" s="24">
        <v>0</v>
      </c>
      <c r="I9544" s="24">
        <v>0</v>
      </c>
      <c r="J9544" s="25"/>
      <c r="K9544" s="24">
        <v>0</v>
      </c>
      <c r="L9544" s="22" t="str">
        <f>HYPERLINK("https://otsuka-europe-crm.veevavault.com/ui/#object/approved_document__v/V5O00000001L017", "ALL_Flexibilität_Ferienplanung_2026_AA_fr")</f>
        <v>ALL_Flexibilität_Ferienplanung_2026_AA_fr</v>
      </c>
      <c r="M9544" s="22" t="str">
        <f>HYPERLINK("mailto:yvergari@crm.otsuka-europe.com", "yvergari@crm.otsuka-europe.com")</f>
        <v>yvergari@crm.otsuka-europe.com</v>
      </c>
      <c r="N9544" s="23">
        <v>46188.438125000001</v>
      </c>
      <c r="O9544" s="14" t="str">
        <f>HYPERLINK("https://otsuka-europe-crm.veevavault.com/ui/#object/email_activity__v/V8C00000003U496", "EN-002095818")</f>
        <v>EN-002095818</v>
      </c>
    </row>
    <row r="9545" spans="1:15" ht="16" x14ac:dyDescent="0.2">
      <c r="A9545" s="18"/>
      <c r="B9545" s="18"/>
      <c r="C9545" s="18"/>
      <c r="D9545" s="18"/>
      <c r="E9545" s="18"/>
      <c r="F9545" s="18"/>
      <c r="G9545" s="18"/>
      <c r="H9545" s="18"/>
      <c r="I9545" s="18"/>
      <c r="J9545" s="18"/>
      <c r="K9545" s="18"/>
      <c r="L9545" s="18"/>
      <c r="M9545" s="18"/>
      <c r="N9545" s="18"/>
      <c r="O9545" s="14" t="str">
        <f>HYPERLINK("https://otsuka-europe-crm.veevavault.com/ui/#object/email_activity__v/V8C00000003W747", "EN-002098485")</f>
        <v>EN-002098485</v>
      </c>
    </row>
    <row r="9546" spans="1:15" ht="16" x14ac:dyDescent="0.2">
      <c r="A9546" s="19"/>
      <c r="B9546" s="19"/>
      <c r="C9546" s="19"/>
      <c r="D9546" s="19"/>
      <c r="E9546" s="19"/>
      <c r="F9546" s="19"/>
      <c r="G9546" s="19"/>
      <c r="H9546" s="19"/>
      <c r="I9546" s="19"/>
      <c r="J9546" s="19"/>
      <c r="K9546" s="19"/>
      <c r="L9546" s="19"/>
      <c r="M9546" s="19"/>
      <c r="N9546" s="19"/>
      <c r="O9546" s="14" t="str">
        <f>HYPERLINK("https://otsuka-europe-crm.veevavault.com/ui/#object/email_activity__v/V8C00000003Z209", "EN-002099011")</f>
        <v>EN-002099011</v>
      </c>
    </row>
    <row r="9547" spans="1:15" ht="64" x14ac:dyDescent="0.2">
      <c r="A9547" s="7" t="str">
        <f>HYPERLINK("https://otsuka-europe-crm.veevavault.com/ui/#object/account__v/V4TZ025E85NSC56", "MATIAS DIAZ SANCHEZ")</f>
        <v>MATIAS DIAZ SANCHEZ</v>
      </c>
      <c r="B9547" s="7" t="str">
        <f>HYPERLINK("https://otsuka-europe-crm.veevavault.com/ui/#object/vcountry__v/VENZ000004SONF5", "ES")</f>
        <v>ES</v>
      </c>
      <c r="C9547" s="8" t="s">
        <v>41</v>
      </c>
      <c r="D9547" s="9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9547" s="10" t="str">
        <f>HYPERLINK("https://otsuka-europe-crm.veevavault.com/ui/#object/sent_email__v/VBL00000002T278", "SE-001435979")</f>
        <v>SE-001435979</v>
      </c>
      <c r="F9547" s="11"/>
      <c r="G9547" s="12">
        <v>0</v>
      </c>
      <c r="H9547" s="12">
        <v>0</v>
      </c>
      <c r="I9547" s="12">
        <v>0</v>
      </c>
      <c r="J9547" s="11"/>
      <c r="K9547" s="12">
        <v>0</v>
      </c>
      <c r="L9547" s="10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9547" s="10" t="str">
        <f>HYPERLINK("mailto:idiez@crm.otsuka-europe.com", "idiez@crm.otsuka-europe.com")</f>
        <v>idiez@crm.otsuka-europe.com</v>
      </c>
      <c r="N9547" s="13">
        <v>46188.468611111108</v>
      </c>
      <c r="O9547" s="14" t="str">
        <f>HYPERLINK("https://otsuka-europe-crm.veevavault.com/ui/#object/email_activity__v/V8C00000003U567", "EN-002095940")</f>
        <v>EN-002095940</v>
      </c>
    </row>
    <row r="9548" spans="1:15" ht="16" x14ac:dyDescent="0.2">
      <c r="A9548" s="17" t="str">
        <f>HYPERLINK("https://otsuka-europe-crm.veevavault.com/ui/#object/account__v/V4TZ06G6O71TBYF", "GABRIELA RODRIGUEZ MACIAS")</f>
        <v>GABRIELA RODRIGUEZ MACIAS</v>
      </c>
      <c r="B9548" s="17" t="str">
        <f>HYPERLINK("https://otsuka-europe-crm.veevavault.com/ui/#object/vcountry__v/VENZ000004SONF5", "ES")</f>
        <v>ES</v>
      </c>
      <c r="C9548" s="20" t="s">
        <v>41</v>
      </c>
      <c r="D9548" s="21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9548" s="22" t="str">
        <f>HYPERLINK("https://otsuka-europe-crm.veevavault.com/ui/#object/sent_email__v/VBL00000002T279", "SE-001435980")</f>
        <v>SE-001435980</v>
      </c>
      <c r="F9548" s="23">
        <v>46192.651909722219</v>
      </c>
      <c r="G9548" s="24">
        <v>1</v>
      </c>
      <c r="H9548" s="24">
        <v>17</v>
      </c>
      <c r="I9548" s="24">
        <v>1</v>
      </c>
      <c r="J9548" s="23">
        <v>46188.707384259258</v>
      </c>
      <c r="K9548" s="24">
        <v>2</v>
      </c>
      <c r="L9548" s="22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9548" s="22" t="str">
        <f>HYPERLINK("mailto:idiez@crm.otsuka-europe.com", "idiez@crm.otsuka-europe.com")</f>
        <v>idiez@crm.otsuka-europe.com</v>
      </c>
      <c r="N9548" s="23">
        <v>46188.468611111108</v>
      </c>
      <c r="O9548" s="14" t="str">
        <f>HYPERLINK("https://otsuka-europe-crm.veevavault.com/ui/#object/email_activity__v/V8C00000003U568", "EN-002095941")</f>
        <v>EN-002095941</v>
      </c>
    </row>
    <row r="9549" spans="1:15" ht="16" x14ac:dyDescent="0.2">
      <c r="A9549" s="18"/>
      <c r="B9549" s="18"/>
      <c r="C9549" s="18"/>
      <c r="D9549" s="18"/>
      <c r="E9549" s="18"/>
      <c r="F9549" s="18"/>
      <c r="G9549" s="18"/>
      <c r="H9549" s="18"/>
      <c r="I9549" s="18"/>
      <c r="J9549" s="18"/>
      <c r="K9549" s="18"/>
      <c r="L9549" s="18"/>
      <c r="M9549" s="18"/>
      <c r="N9549" s="18"/>
      <c r="O9549" s="14" t="str">
        <f>HYPERLINK("https://otsuka-europe-crm.veevavault.com/ui/#object/email_activity__v/V8C00000003U571", "EN-002095964")</f>
        <v>EN-002095964</v>
      </c>
    </row>
    <row r="9550" spans="1:15" ht="16" x14ac:dyDescent="0.2">
      <c r="A9550" s="18"/>
      <c r="B9550" s="18"/>
      <c r="C9550" s="18"/>
      <c r="D9550" s="18"/>
      <c r="E9550" s="18"/>
      <c r="F9550" s="18"/>
      <c r="G9550" s="18"/>
      <c r="H9550" s="18"/>
      <c r="I9550" s="18"/>
      <c r="J9550" s="18"/>
      <c r="K9550" s="18"/>
      <c r="L9550" s="18"/>
      <c r="M9550" s="18"/>
      <c r="N9550" s="18"/>
      <c r="O9550" s="14" t="str">
        <f>HYPERLINK("https://otsuka-europe-crm.veevavault.com/ui/#object/email_activity__v/V8C00000003U786", "EN-002096489")</f>
        <v>EN-002096489</v>
      </c>
    </row>
    <row r="9551" spans="1:15" ht="16" x14ac:dyDescent="0.2">
      <c r="A9551" s="18"/>
      <c r="B9551" s="18"/>
      <c r="C9551" s="18"/>
      <c r="D9551" s="18"/>
      <c r="E9551" s="18"/>
      <c r="F9551" s="18"/>
      <c r="G9551" s="18"/>
      <c r="H9551" s="18"/>
      <c r="I9551" s="18"/>
      <c r="J9551" s="18"/>
      <c r="K9551" s="18"/>
      <c r="L9551" s="18"/>
      <c r="M9551" s="18"/>
      <c r="N9551" s="18"/>
      <c r="O9551" s="14" t="str">
        <f>HYPERLINK("https://otsuka-europe-crm.veevavault.com/ui/#object/email_activity__v/V8C00000003U885", "EN-002096753")</f>
        <v>EN-002096753</v>
      </c>
    </row>
    <row r="9552" spans="1:15" ht="16" x14ac:dyDescent="0.2">
      <c r="A9552" s="18"/>
      <c r="B9552" s="18"/>
      <c r="C9552" s="18"/>
      <c r="D9552" s="18"/>
      <c r="E9552" s="18"/>
      <c r="F9552" s="18"/>
      <c r="G9552" s="18"/>
      <c r="H9552" s="18"/>
      <c r="I9552" s="18"/>
      <c r="J9552" s="18"/>
      <c r="K9552" s="18"/>
      <c r="L9552" s="18"/>
      <c r="M9552" s="18"/>
      <c r="N9552" s="18"/>
      <c r="O9552" s="14" t="str">
        <f>HYPERLINK("https://otsuka-europe-crm.veevavault.com/ui/#object/email_activity__v/V8C00000003V598", "EN-002095994")</f>
        <v>EN-002095994</v>
      </c>
    </row>
    <row r="9553" spans="1:15" ht="16" x14ac:dyDescent="0.2">
      <c r="A9553" s="18"/>
      <c r="B9553" s="18"/>
      <c r="C9553" s="18"/>
      <c r="D9553" s="18"/>
      <c r="E9553" s="18"/>
      <c r="F9553" s="18"/>
      <c r="G9553" s="18"/>
      <c r="H9553" s="18"/>
      <c r="I9553" s="18"/>
      <c r="J9553" s="18"/>
      <c r="K9553" s="18"/>
      <c r="L9553" s="18"/>
      <c r="M9553" s="18"/>
      <c r="N9553" s="18"/>
      <c r="O9553" s="14" t="str">
        <f>HYPERLINK("https://otsuka-europe-crm.veevavault.com/ui/#object/email_activity__v/V8C00000003V687", "EN-002096174")</f>
        <v>EN-002096174</v>
      </c>
    </row>
    <row r="9554" spans="1:15" ht="16" x14ac:dyDescent="0.2">
      <c r="A9554" s="18"/>
      <c r="B9554" s="18"/>
      <c r="C9554" s="18"/>
      <c r="D9554" s="18"/>
      <c r="E9554" s="18"/>
      <c r="F9554" s="18"/>
      <c r="G9554" s="18"/>
      <c r="H9554" s="18"/>
      <c r="I9554" s="18"/>
      <c r="J9554" s="18"/>
      <c r="K9554" s="18"/>
      <c r="L9554" s="18"/>
      <c r="M9554" s="18"/>
      <c r="N9554" s="18"/>
      <c r="O9554" s="14" t="str">
        <f>HYPERLINK("https://otsuka-europe-crm.veevavault.com/ui/#object/email_activity__v/V8C00000003V852", "EN-002096423")</f>
        <v>EN-002096423</v>
      </c>
    </row>
    <row r="9555" spans="1:15" ht="16" x14ac:dyDescent="0.2">
      <c r="A9555" s="18"/>
      <c r="B9555" s="18"/>
      <c r="C9555" s="18"/>
      <c r="D9555" s="18"/>
      <c r="E9555" s="18"/>
      <c r="F9555" s="18"/>
      <c r="G9555" s="18"/>
      <c r="H9555" s="18"/>
      <c r="I9555" s="18"/>
      <c r="J9555" s="18"/>
      <c r="K9555" s="18"/>
      <c r="L9555" s="18"/>
      <c r="M9555" s="18"/>
      <c r="N9555" s="18"/>
      <c r="O9555" s="14" t="str">
        <f>HYPERLINK("https://otsuka-europe-crm.veevavault.com/ui/#object/email_activity__v/V8C00000003V853", "EN-002096424")</f>
        <v>EN-002096424</v>
      </c>
    </row>
    <row r="9556" spans="1:15" ht="16" x14ac:dyDescent="0.2">
      <c r="A9556" s="18"/>
      <c r="B9556" s="18"/>
      <c r="C9556" s="18"/>
      <c r="D9556" s="18"/>
      <c r="E9556" s="18"/>
      <c r="F9556" s="18"/>
      <c r="G9556" s="18"/>
      <c r="H9556" s="18"/>
      <c r="I9556" s="18"/>
      <c r="J9556" s="18"/>
      <c r="K9556" s="18"/>
      <c r="L9556" s="18"/>
      <c r="M9556" s="18"/>
      <c r="N9556" s="18"/>
      <c r="O9556" s="14" t="str">
        <f>HYPERLINK("https://otsuka-europe-crm.veevavault.com/ui/#object/email_activity__v/V8C00000003V854", "EN-002096425")</f>
        <v>EN-002096425</v>
      </c>
    </row>
    <row r="9557" spans="1:15" ht="16" x14ac:dyDescent="0.2">
      <c r="A9557" s="18"/>
      <c r="B9557" s="18"/>
      <c r="C9557" s="18"/>
      <c r="D9557" s="18"/>
      <c r="E9557" s="18"/>
      <c r="F9557" s="18"/>
      <c r="G9557" s="18"/>
      <c r="H9557" s="18"/>
      <c r="I9557" s="18"/>
      <c r="J9557" s="18"/>
      <c r="K9557" s="18"/>
      <c r="L9557" s="18"/>
      <c r="M9557" s="18"/>
      <c r="N9557" s="18"/>
      <c r="O9557" s="14" t="str">
        <f>HYPERLINK("https://otsuka-europe-crm.veevavault.com/ui/#object/email_activity__v/V8C00000003V887", "EN-002096485")</f>
        <v>EN-002096485</v>
      </c>
    </row>
    <row r="9558" spans="1:15" ht="16" x14ac:dyDescent="0.2">
      <c r="A9558" s="18"/>
      <c r="B9558" s="18"/>
      <c r="C9558" s="18"/>
      <c r="D9558" s="18"/>
      <c r="E9558" s="18"/>
      <c r="F9558" s="18"/>
      <c r="G9558" s="18"/>
      <c r="H9558" s="18"/>
      <c r="I9558" s="18"/>
      <c r="J9558" s="18"/>
      <c r="K9558" s="18"/>
      <c r="L9558" s="18"/>
      <c r="M9558" s="18"/>
      <c r="N9558" s="18"/>
      <c r="O9558" s="14" t="str">
        <f>HYPERLINK("https://otsuka-europe-crm.veevavault.com/ui/#object/email_activity__v/V8C00000003V890", "EN-002096490")</f>
        <v>EN-002096490</v>
      </c>
    </row>
    <row r="9559" spans="1:15" ht="16" x14ac:dyDescent="0.2">
      <c r="A9559" s="18"/>
      <c r="B9559" s="18"/>
      <c r="C9559" s="18"/>
      <c r="D9559" s="18"/>
      <c r="E9559" s="18"/>
      <c r="F9559" s="18"/>
      <c r="G9559" s="18"/>
      <c r="H9559" s="18"/>
      <c r="I9559" s="18"/>
      <c r="J9559" s="18"/>
      <c r="K9559" s="18"/>
      <c r="L9559" s="18"/>
      <c r="M9559" s="18"/>
      <c r="N9559" s="18"/>
      <c r="O9559" s="14" t="str">
        <f>HYPERLINK("https://otsuka-europe-crm.veevavault.com/ui/#object/email_activity__v/V8C00000003W216", "EN-002097171")</f>
        <v>EN-002097171</v>
      </c>
    </row>
    <row r="9560" spans="1:15" ht="16" x14ac:dyDescent="0.2">
      <c r="A9560" s="18"/>
      <c r="B9560" s="18"/>
      <c r="C9560" s="18"/>
      <c r="D9560" s="18"/>
      <c r="E9560" s="18"/>
      <c r="F9560" s="18"/>
      <c r="G9560" s="18"/>
      <c r="H9560" s="18"/>
      <c r="I9560" s="18"/>
      <c r="J9560" s="18"/>
      <c r="K9560" s="18"/>
      <c r="L9560" s="18"/>
      <c r="M9560" s="18"/>
      <c r="N9560" s="18"/>
      <c r="O9560" s="14" t="str">
        <f>HYPERLINK("https://otsuka-europe-crm.veevavault.com/ui/#object/email_activity__v/V8C00000003W288", "EN-002097295")</f>
        <v>EN-002097295</v>
      </c>
    </row>
    <row r="9561" spans="1:15" ht="16" x14ac:dyDescent="0.2">
      <c r="A9561" s="18"/>
      <c r="B9561" s="18"/>
      <c r="C9561" s="18"/>
      <c r="D9561" s="18"/>
      <c r="E9561" s="18"/>
      <c r="F9561" s="18"/>
      <c r="G9561" s="18"/>
      <c r="H9561" s="18"/>
      <c r="I9561" s="18"/>
      <c r="J9561" s="18"/>
      <c r="K9561" s="18"/>
      <c r="L9561" s="18"/>
      <c r="M9561" s="18"/>
      <c r="N9561" s="18"/>
      <c r="O9561" s="14" t="str">
        <f>HYPERLINK("https://otsuka-europe-crm.veevavault.com/ui/#object/email_activity__v/V8C00000003W290", "EN-002097298")</f>
        <v>EN-002097298</v>
      </c>
    </row>
    <row r="9562" spans="1:15" ht="16" x14ac:dyDescent="0.2">
      <c r="A9562" s="18"/>
      <c r="B9562" s="18"/>
      <c r="C9562" s="18"/>
      <c r="D9562" s="18"/>
      <c r="E9562" s="18"/>
      <c r="F9562" s="18"/>
      <c r="G9562" s="18"/>
      <c r="H9562" s="18"/>
      <c r="I9562" s="18"/>
      <c r="J9562" s="18"/>
      <c r="K9562" s="18"/>
      <c r="L9562" s="18"/>
      <c r="M9562" s="18"/>
      <c r="N9562" s="18"/>
      <c r="O9562" s="14" t="str">
        <f>HYPERLINK("https://otsuka-europe-crm.veevavault.com/ui/#object/email_activity__v/V8C00000003X078", "EN-002097062")</f>
        <v>EN-002097062</v>
      </c>
    </row>
    <row r="9563" spans="1:15" ht="16" x14ac:dyDescent="0.2">
      <c r="A9563" s="18"/>
      <c r="B9563" s="18"/>
      <c r="C9563" s="18"/>
      <c r="D9563" s="18"/>
      <c r="E9563" s="18"/>
      <c r="F9563" s="18"/>
      <c r="G9563" s="18"/>
      <c r="H9563" s="18"/>
      <c r="I9563" s="18"/>
      <c r="J9563" s="18"/>
      <c r="K9563" s="18"/>
      <c r="L9563" s="18"/>
      <c r="M9563" s="18"/>
      <c r="N9563" s="18"/>
      <c r="O9563" s="14" t="str">
        <f>HYPERLINK("https://otsuka-europe-crm.veevavault.com/ui/#object/email_activity__v/V8C00000003X081", "EN-002097067")</f>
        <v>EN-002097067</v>
      </c>
    </row>
    <row r="9564" spans="1:15" ht="16" x14ac:dyDescent="0.2">
      <c r="A9564" s="18"/>
      <c r="B9564" s="18"/>
      <c r="C9564" s="18"/>
      <c r="D9564" s="18"/>
      <c r="E9564" s="18"/>
      <c r="F9564" s="18"/>
      <c r="G9564" s="18"/>
      <c r="H9564" s="18"/>
      <c r="I9564" s="18"/>
      <c r="J9564" s="18"/>
      <c r="K9564" s="18"/>
      <c r="L9564" s="18"/>
      <c r="M9564" s="18"/>
      <c r="N9564" s="18"/>
      <c r="O9564" s="14" t="str">
        <f>HYPERLINK("https://otsuka-europe-crm.veevavault.com/ui/#object/email_activity__v/V8C00000003X082", "EN-002097068")</f>
        <v>EN-002097068</v>
      </c>
    </row>
    <row r="9565" spans="1:15" ht="16" x14ac:dyDescent="0.2">
      <c r="A9565" s="18"/>
      <c r="B9565" s="18"/>
      <c r="C9565" s="18"/>
      <c r="D9565" s="18"/>
      <c r="E9565" s="18"/>
      <c r="F9565" s="18"/>
      <c r="G9565" s="18"/>
      <c r="H9565" s="18"/>
      <c r="I9565" s="18"/>
      <c r="J9565" s="18"/>
      <c r="K9565" s="18"/>
      <c r="L9565" s="18"/>
      <c r="M9565" s="18"/>
      <c r="N9565" s="18"/>
      <c r="O9565" s="14" t="str">
        <f>HYPERLINK("https://otsuka-europe-crm.veevavault.com/ui/#object/email_activity__v/V8C00000003X084", "EN-002097070")</f>
        <v>EN-002097070</v>
      </c>
    </row>
    <row r="9566" spans="1:15" ht="16" x14ac:dyDescent="0.2">
      <c r="A9566" s="18"/>
      <c r="B9566" s="18"/>
      <c r="C9566" s="18"/>
      <c r="D9566" s="18"/>
      <c r="E9566" s="18"/>
      <c r="F9566" s="18"/>
      <c r="G9566" s="18"/>
      <c r="H9566" s="18"/>
      <c r="I9566" s="18"/>
      <c r="J9566" s="18"/>
      <c r="K9566" s="18"/>
      <c r="L9566" s="18"/>
      <c r="M9566" s="18"/>
      <c r="N9566" s="18"/>
      <c r="O9566" s="14" t="str">
        <f>HYPERLINK("https://otsuka-europe-crm.veevavault.com/ui/#object/email_activity__v/V8C00000003X172", "EN-002097244")</f>
        <v>EN-002097244</v>
      </c>
    </row>
    <row r="9567" spans="1:15" ht="16" x14ac:dyDescent="0.2">
      <c r="A9567" s="19"/>
      <c r="B9567" s="19"/>
      <c r="C9567" s="19"/>
      <c r="D9567" s="19"/>
      <c r="E9567" s="19"/>
      <c r="F9567" s="19"/>
      <c r="G9567" s="19"/>
      <c r="H9567" s="19"/>
      <c r="I9567" s="19"/>
      <c r="J9567" s="19"/>
      <c r="K9567" s="19"/>
      <c r="L9567" s="19"/>
      <c r="M9567" s="19"/>
      <c r="N9567" s="19"/>
      <c r="O9567" s="14" t="str">
        <f>HYPERLINK("https://otsuka-europe-crm.veevavault.com/ui/#object/email_activity__v/V8C000000040080", "EN-002098844")</f>
        <v>EN-002098844</v>
      </c>
    </row>
    <row r="9568" spans="1:15" ht="64" x14ac:dyDescent="0.2">
      <c r="A9568" s="7" t="str">
        <f>HYPERLINK("https://otsuka-europe-crm.veevavault.com/ui/#object/account__v/V4TZ025E85NHUDA", "BEATRIZ GONZALEZ MENA")</f>
        <v>BEATRIZ GONZALEZ MENA</v>
      </c>
      <c r="B9568" s="7" t="str">
        <f>HYPERLINK("https://otsuka-europe-crm.veevavault.com/ui/#object/vcountry__v/VENZ000004SONF5", "ES")</f>
        <v>ES</v>
      </c>
      <c r="C9568" s="8" t="s">
        <v>41</v>
      </c>
      <c r="D9568" s="9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9568" s="10" t="str">
        <f>HYPERLINK("https://otsuka-europe-crm.veevavault.com/ui/#object/sent_email__v/VBL00000002T280", "SE-001435981")</f>
        <v>SE-001435981</v>
      </c>
      <c r="F9568" s="11"/>
      <c r="G9568" s="12">
        <v>0</v>
      </c>
      <c r="H9568" s="12">
        <v>0</v>
      </c>
      <c r="I9568" s="12">
        <v>0</v>
      </c>
      <c r="J9568" s="11"/>
      <c r="K9568" s="12">
        <v>0</v>
      </c>
      <c r="L9568" s="10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9568" s="10" t="str">
        <f>HYPERLINK("mailto:idiez@crm.otsuka-europe.com", "idiez@crm.otsuka-europe.com")</f>
        <v>idiez@crm.otsuka-europe.com</v>
      </c>
      <c r="N9568" s="13">
        <v>46188.468657407408</v>
      </c>
      <c r="O9568" s="14" t="str">
        <f>HYPERLINK("https://otsuka-europe-crm.veevavault.com/ui/#object/email_activity__v/V8C00000003U566", "EN-002095939")</f>
        <v>EN-002095939</v>
      </c>
    </row>
    <row r="9569" spans="1:15" ht="64" x14ac:dyDescent="0.2">
      <c r="A9569" s="7" t="str">
        <f>HYPERLINK("https://otsuka-europe-crm.veevavault.com/ui/#object/account__v/V4TZ025E85WDCU5", "LUCIA PEREZ LAMAS")</f>
        <v>LUCIA PEREZ LAMAS</v>
      </c>
      <c r="B9569" s="7" t="str">
        <f>HYPERLINK("https://otsuka-europe-crm.veevavault.com/ui/#object/vcountry__v/VENZ000004SONF5", "ES")</f>
        <v>ES</v>
      </c>
      <c r="C9569" s="8" t="s">
        <v>41</v>
      </c>
      <c r="D9569" s="9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9569" s="10" t="str">
        <f>HYPERLINK("https://otsuka-europe-crm.veevavault.com/ui/#object/sent_email__v/VBL00000002T281", "SE-001435982")</f>
        <v>SE-001435982</v>
      </c>
      <c r="F9569" s="11"/>
      <c r="G9569" s="12">
        <v>0</v>
      </c>
      <c r="H9569" s="12">
        <v>0</v>
      </c>
      <c r="I9569" s="12">
        <v>0</v>
      </c>
      <c r="J9569" s="11"/>
      <c r="K9569" s="12">
        <v>0</v>
      </c>
      <c r="L9569" s="10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9569" s="10" t="str">
        <f>HYPERLINK("mailto:idiez@crm.otsuka-europe.com", "idiez@crm.otsuka-europe.com")</f>
        <v>idiez@crm.otsuka-europe.com</v>
      </c>
      <c r="N9569" s="13">
        <v>46188.468657407408</v>
      </c>
      <c r="O9569" s="14" t="str">
        <f>HYPERLINK("https://otsuka-europe-crm.veevavault.com/ui/#object/email_activity__v/V8C00000003U564", "EN-002095937")</f>
        <v>EN-002095937</v>
      </c>
    </row>
    <row r="9570" spans="1:15" ht="16" x14ac:dyDescent="0.2">
      <c r="A9570" s="17" t="str">
        <f>HYPERLINK("https://otsuka-europe-crm.veevavault.com/ui/#object/account__v/V4TZ025E83BB46Z", "REGINA HERRAEZ GARCIA")</f>
        <v>REGINA HERRAEZ GARCIA</v>
      </c>
      <c r="B9570" s="17" t="str">
        <f>HYPERLINK("https://otsuka-europe-crm.veevavault.com/ui/#object/vcountry__v/VENZ000004SONF5", "ES")</f>
        <v>ES</v>
      </c>
      <c r="C9570" s="20" t="s">
        <v>41</v>
      </c>
      <c r="D9570" s="21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9570" s="22" t="str">
        <f>HYPERLINK("https://otsuka-europe-crm.veevavault.com/ui/#object/sent_email__v/VBL00000002T282", "SE-001435983")</f>
        <v>SE-001435983</v>
      </c>
      <c r="F9570" s="23">
        <v>46188.579664351855</v>
      </c>
      <c r="G9570" s="24">
        <v>1</v>
      </c>
      <c r="H9570" s="24">
        <v>1</v>
      </c>
      <c r="I9570" s="24">
        <v>0</v>
      </c>
      <c r="J9570" s="25"/>
      <c r="K9570" s="24">
        <v>0</v>
      </c>
      <c r="L9570" s="22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9570" s="22" t="str">
        <f>HYPERLINK("mailto:idiez@crm.otsuka-europe.com", "idiez@crm.otsuka-europe.com")</f>
        <v>idiez@crm.otsuka-europe.com</v>
      </c>
      <c r="N9570" s="23">
        <v>46188.468645833331</v>
      </c>
      <c r="O9570" s="14" t="str">
        <f>HYPERLINK("https://otsuka-europe-crm.veevavault.com/ui/#object/email_activity__v/V8C00000003V573", "EN-002095956")</f>
        <v>EN-002095956</v>
      </c>
    </row>
    <row r="9571" spans="1:15" ht="16" x14ac:dyDescent="0.2">
      <c r="A9571" s="19"/>
      <c r="B9571" s="19"/>
      <c r="C9571" s="19"/>
      <c r="D9571" s="19"/>
      <c r="E9571" s="19"/>
      <c r="F9571" s="19"/>
      <c r="G9571" s="19"/>
      <c r="H9571" s="19"/>
      <c r="I9571" s="19"/>
      <c r="J9571" s="19"/>
      <c r="K9571" s="19"/>
      <c r="L9571" s="19"/>
      <c r="M9571" s="19"/>
      <c r="N9571" s="19"/>
      <c r="O9571" s="14" t="str">
        <f>HYPERLINK("https://otsuka-europe-crm.veevavault.com/ui/#object/email_activity__v/V8C00000003V728", "EN-002096241")</f>
        <v>EN-002096241</v>
      </c>
    </row>
    <row r="9572" spans="1:15" ht="16" x14ac:dyDescent="0.2">
      <c r="A9572" s="17" t="str">
        <f>HYPERLINK("https://otsuka-europe-crm.veevavault.com/ui/#object/account__v/V4T00000001X104", "JACKELINE SOLANO TOVAR")</f>
        <v>JACKELINE SOLANO TOVAR</v>
      </c>
      <c r="B9572" s="17" t="str">
        <f>HYPERLINK("https://otsuka-europe-crm.veevavault.com/ui/#object/vcountry__v/VENZ000004SONF5", "ES")</f>
        <v>ES</v>
      </c>
      <c r="C9572" s="20" t="s">
        <v>41</v>
      </c>
      <c r="D9572" s="21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9572" s="22" t="str">
        <f>HYPERLINK("https://otsuka-europe-crm.veevavault.com/ui/#object/sent_email__v/VBL00000002T283", "SE-001435984")</f>
        <v>SE-001435984</v>
      </c>
      <c r="F9572" s="23">
        <v>46189.361643518518</v>
      </c>
      <c r="G9572" s="24">
        <v>1</v>
      </c>
      <c r="H9572" s="24">
        <v>2</v>
      </c>
      <c r="I9572" s="24">
        <v>0</v>
      </c>
      <c r="J9572" s="25"/>
      <c r="K9572" s="24">
        <v>0</v>
      </c>
      <c r="L9572" s="22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9572" s="22" t="str">
        <f>HYPERLINK("mailto:idiez@crm.otsuka-europe.com", "idiez@crm.otsuka-europe.com")</f>
        <v>idiez@crm.otsuka-europe.com</v>
      </c>
      <c r="N9572" s="23">
        <v>46188.468645833331</v>
      </c>
      <c r="O9572" s="14" t="str">
        <f>HYPERLINK("https://otsuka-europe-crm.veevavault.com/ui/#object/email_activity__v/V8C00000003U972", "EN-002096932")</f>
        <v>EN-002096932</v>
      </c>
    </row>
    <row r="9573" spans="1:15" ht="16" x14ac:dyDescent="0.2">
      <c r="A9573" s="18"/>
      <c r="B9573" s="18"/>
      <c r="C9573" s="18"/>
      <c r="D9573" s="18"/>
      <c r="E9573" s="18"/>
      <c r="F9573" s="18"/>
      <c r="G9573" s="18"/>
      <c r="H9573" s="18"/>
      <c r="I9573" s="18"/>
      <c r="J9573" s="18"/>
      <c r="K9573" s="18"/>
      <c r="L9573" s="18"/>
      <c r="M9573" s="18"/>
      <c r="N9573" s="18"/>
      <c r="O9573" s="14" t="str">
        <f>HYPERLINK("https://otsuka-europe-crm.veevavault.com/ui/#object/email_activity__v/V8C00000003U973", "EN-002096933")</f>
        <v>EN-002096933</v>
      </c>
    </row>
    <row r="9574" spans="1:15" ht="16" x14ac:dyDescent="0.2">
      <c r="A9574" s="19"/>
      <c r="B9574" s="19"/>
      <c r="C9574" s="19"/>
      <c r="D9574" s="19"/>
      <c r="E9574" s="19"/>
      <c r="F9574" s="19"/>
      <c r="G9574" s="19"/>
      <c r="H9574" s="19"/>
      <c r="I9574" s="19"/>
      <c r="J9574" s="19"/>
      <c r="K9574" s="19"/>
      <c r="L9574" s="19"/>
      <c r="M9574" s="19"/>
      <c r="N9574" s="19"/>
      <c r="O9574" s="14" t="str">
        <f>HYPERLINK("https://otsuka-europe-crm.veevavault.com/ui/#object/email_activity__v/V8C00000003V575", "EN-002095958")</f>
        <v>EN-002095958</v>
      </c>
    </row>
    <row r="9575" spans="1:15" ht="16" x14ac:dyDescent="0.2">
      <c r="A9575" s="17" t="str">
        <f>HYPERLINK("https://otsuka-europe-crm.veevavault.com/ui/#object/account__v/V4TZ025E85V7Z3I", "GUIOMAR BAUTISTA CARRASCOSA")</f>
        <v>GUIOMAR BAUTISTA CARRASCOSA</v>
      </c>
      <c r="B9575" s="17" t="str">
        <f>HYPERLINK("https://otsuka-europe-crm.veevavault.com/ui/#object/vcountry__v/VENZ000004SONF5", "ES")</f>
        <v>ES</v>
      </c>
      <c r="C9575" s="20" t="s">
        <v>41</v>
      </c>
      <c r="D9575" s="21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9575" s="22" t="str">
        <f>HYPERLINK("https://otsuka-europe-crm.veevavault.com/ui/#object/sent_email__v/VBL00000002T284", "SE-001435985")</f>
        <v>SE-001435985</v>
      </c>
      <c r="F9575" s="23">
        <v>46196.737511574072</v>
      </c>
      <c r="G9575" s="24">
        <v>1</v>
      </c>
      <c r="H9575" s="24">
        <v>2</v>
      </c>
      <c r="I9575" s="24">
        <v>0</v>
      </c>
      <c r="J9575" s="25"/>
      <c r="K9575" s="24">
        <v>0</v>
      </c>
      <c r="L9575" s="22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9575" s="22" t="str">
        <f>HYPERLINK("mailto:idiez@crm.otsuka-europe.com", "idiez@crm.otsuka-europe.com")</f>
        <v>idiez@crm.otsuka-europe.com</v>
      </c>
      <c r="N9575" s="23">
        <v>46188.468645833331</v>
      </c>
      <c r="O9575" s="14" t="str">
        <f>HYPERLINK("https://otsuka-europe-crm.veevavault.com/ui/#object/email_activity__v/V8C00000003V578", "EN-002095962")</f>
        <v>EN-002095962</v>
      </c>
    </row>
    <row r="9576" spans="1:15" ht="16" x14ac:dyDescent="0.2">
      <c r="A9576" s="18"/>
      <c r="B9576" s="18"/>
      <c r="C9576" s="18"/>
      <c r="D9576" s="18"/>
      <c r="E9576" s="18"/>
      <c r="F9576" s="18"/>
      <c r="G9576" s="18"/>
      <c r="H9576" s="18"/>
      <c r="I9576" s="18"/>
      <c r="J9576" s="18"/>
      <c r="K9576" s="18"/>
      <c r="L9576" s="18"/>
      <c r="M9576" s="18"/>
      <c r="N9576" s="18"/>
      <c r="O9576" s="14" t="str">
        <f>HYPERLINK("https://otsuka-europe-crm.veevavault.com/ui/#object/email_activity__v/V8C00000003W059", "EN-002096760")</f>
        <v>EN-002096760</v>
      </c>
    </row>
    <row r="9577" spans="1:15" ht="16" x14ac:dyDescent="0.2">
      <c r="A9577" s="19"/>
      <c r="B9577" s="19"/>
      <c r="C9577" s="19"/>
      <c r="D9577" s="19"/>
      <c r="E9577" s="19"/>
      <c r="F9577" s="19"/>
      <c r="G9577" s="19"/>
      <c r="H9577" s="19"/>
      <c r="I9577" s="19"/>
      <c r="J9577" s="19"/>
      <c r="K9577" s="19"/>
      <c r="L9577" s="19"/>
      <c r="M9577" s="19"/>
      <c r="N9577" s="19"/>
      <c r="O9577" s="14" t="str">
        <f>HYPERLINK("https://otsuka-europe-crm.veevavault.com/ui/#object/email_activity__v/V8C00000003Z393", "EN-002099457")</f>
        <v>EN-002099457</v>
      </c>
    </row>
    <row r="9578" spans="1:15" ht="64" x14ac:dyDescent="0.2">
      <c r="A9578" s="7" t="str">
        <f>HYPERLINK("https://otsuka-europe-crm.veevavault.com/ui/#object/account__v/V4TZ025E83Z3GA2", "MARIA ANGELES FONCILLAS GARCIA")</f>
        <v>MARIA ANGELES FONCILLAS GARCIA</v>
      </c>
      <c r="B9578" s="7" t="str">
        <f t="shared" ref="B9578:B9583" si="710">HYPERLINK("https://otsuka-europe-crm.veevavault.com/ui/#object/vcountry__v/VENZ000004SONF5", "ES")</f>
        <v>ES</v>
      </c>
      <c r="C9578" s="8" t="s">
        <v>41</v>
      </c>
      <c r="D9578" s="9" t="str">
        <f t="shared" ref="D9578:D9583" si="711"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9578" s="10" t="str">
        <f>HYPERLINK("https://otsuka-europe-crm.veevavault.com/ui/#object/sent_email__v/VBL00000002T285", "SE-001435986")</f>
        <v>SE-001435986</v>
      </c>
      <c r="F9578" s="11"/>
      <c r="G9578" s="12">
        <v>0</v>
      </c>
      <c r="H9578" s="12">
        <v>0</v>
      </c>
      <c r="I9578" s="12">
        <v>0</v>
      </c>
      <c r="J9578" s="11"/>
      <c r="K9578" s="12">
        <v>0</v>
      </c>
      <c r="L9578" s="10" t="str">
        <f t="shared" ref="L9578:L9583" si="712"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9578" s="10" t="str">
        <f t="shared" ref="M9578:M9583" si="713">HYPERLINK("mailto:idiez@crm.otsuka-europe.com", "idiez@crm.otsuka-europe.com")</f>
        <v>idiez@crm.otsuka-europe.com</v>
      </c>
      <c r="N9578" s="13">
        <v>46188.468645833331</v>
      </c>
      <c r="O9578" s="14" t="str">
        <f>HYPERLINK("https://otsuka-europe-crm.veevavault.com/ui/#object/email_activity__v/V8C00000003V568", "EN-002095951")</f>
        <v>EN-002095951</v>
      </c>
    </row>
    <row r="9579" spans="1:15" ht="64" x14ac:dyDescent="0.2">
      <c r="A9579" s="7" t="str">
        <f>HYPERLINK("https://otsuka-europe-crm.veevavault.com/ui/#object/account__v/V4T00000000L031", "MARIA MAR DIAZ GOIZUETA")</f>
        <v>MARIA MAR DIAZ GOIZUETA</v>
      </c>
      <c r="B9579" s="7" t="str">
        <f t="shared" si="710"/>
        <v>ES</v>
      </c>
      <c r="C9579" s="8" t="s">
        <v>41</v>
      </c>
      <c r="D9579" s="9" t="str">
        <f t="shared" si="711"/>
        <v>INA -  Webinar "30 minutos en casa" con la Dra. Irene Sánchez - 15 junio</v>
      </c>
      <c r="E9579" s="10" t="str">
        <f>HYPERLINK("https://otsuka-europe-crm.veevavault.com/ui/#object/sent_email__v/VBL00000002T286", "SE-001435987")</f>
        <v>SE-001435987</v>
      </c>
      <c r="F9579" s="11"/>
      <c r="G9579" s="12">
        <v>0</v>
      </c>
      <c r="H9579" s="12">
        <v>0</v>
      </c>
      <c r="I9579" s="12">
        <v>0</v>
      </c>
      <c r="J9579" s="11"/>
      <c r="K9579" s="12">
        <v>0</v>
      </c>
      <c r="L9579" s="10" t="str">
        <f t="shared" si="712"/>
        <v>INA -  Webinar "30 minutos en casa" con la Dra. Irene Sánchez - 15 junio</v>
      </c>
      <c r="M9579" s="10" t="str">
        <f t="shared" si="713"/>
        <v>idiez@crm.otsuka-europe.com</v>
      </c>
      <c r="N9579" s="13">
        <v>46188.468645833331</v>
      </c>
      <c r="O9579" s="14" t="str">
        <f>HYPERLINK("https://otsuka-europe-crm.veevavault.com/ui/#object/email_activity__v/V8C00000003V574", "EN-002095957")</f>
        <v>EN-002095957</v>
      </c>
    </row>
    <row r="9580" spans="1:15" ht="64" x14ac:dyDescent="0.2">
      <c r="A9580" s="7" t="str">
        <f>HYPERLINK("https://otsuka-europe-crm.veevavault.com/ui/#object/account__v/V4TZ025E836BMMC", "ALICIA ROLDAN PEREZ")</f>
        <v>ALICIA ROLDAN PEREZ</v>
      </c>
      <c r="B9580" s="7" t="str">
        <f t="shared" si="710"/>
        <v>ES</v>
      </c>
      <c r="C9580" s="8" t="s">
        <v>41</v>
      </c>
      <c r="D9580" s="9" t="str">
        <f t="shared" si="711"/>
        <v>INA -  Webinar "30 minutos en casa" con la Dra. Irene Sánchez - 15 junio</v>
      </c>
      <c r="E9580" s="10" t="str">
        <f>HYPERLINK("https://otsuka-europe-crm.veevavault.com/ui/#object/sent_email__v/VBL00000002T287", "SE-001435988")</f>
        <v>SE-001435988</v>
      </c>
      <c r="F9580" s="11"/>
      <c r="G9580" s="12">
        <v>0</v>
      </c>
      <c r="H9580" s="12">
        <v>0</v>
      </c>
      <c r="I9580" s="12">
        <v>0</v>
      </c>
      <c r="J9580" s="11"/>
      <c r="K9580" s="12">
        <v>0</v>
      </c>
      <c r="L9580" s="10" t="str">
        <f t="shared" si="712"/>
        <v>INA -  Webinar "30 minutos en casa" con la Dra. Irene Sánchez - 15 junio</v>
      </c>
      <c r="M9580" s="10" t="str">
        <f t="shared" si="713"/>
        <v>idiez@crm.otsuka-europe.com</v>
      </c>
      <c r="N9580" s="13">
        <v>46188.468645833331</v>
      </c>
      <c r="O9580" s="14" t="str">
        <f>HYPERLINK("https://otsuka-europe-crm.veevavault.com/ui/#object/email_activity__v/V8C00000003V577", "EN-002095961")</f>
        <v>EN-002095961</v>
      </c>
    </row>
    <row r="9581" spans="1:15" ht="64" x14ac:dyDescent="0.2">
      <c r="A9581" s="7" t="str">
        <f>HYPERLINK("https://otsuka-europe-crm.veevavault.com/ui/#object/account__v/V4TZ025E83QX4R5", "MARTA MARIA MEGIDO LAHERA")</f>
        <v>MARTA MARIA MEGIDO LAHERA</v>
      </c>
      <c r="B9581" s="7" t="str">
        <f t="shared" si="710"/>
        <v>ES</v>
      </c>
      <c r="C9581" s="8" t="s">
        <v>41</v>
      </c>
      <c r="D9581" s="9" t="str">
        <f t="shared" si="711"/>
        <v>INA -  Webinar "30 minutos en casa" con la Dra. Irene Sánchez - 15 junio</v>
      </c>
      <c r="E9581" s="10" t="str">
        <f>HYPERLINK("https://otsuka-europe-crm.veevavault.com/ui/#object/sent_email__v/VBL00000002T288", "SE-001435989")</f>
        <v>SE-001435989</v>
      </c>
      <c r="F9581" s="11"/>
      <c r="G9581" s="12">
        <v>0</v>
      </c>
      <c r="H9581" s="12">
        <v>0</v>
      </c>
      <c r="I9581" s="12">
        <v>0</v>
      </c>
      <c r="J9581" s="11"/>
      <c r="K9581" s="12">
        <v>0</v>
      </c>
      <c r="L9581" s="10" t="str">
        <f t="shared" si="712"/>
        <v>INA -  Webinar "30 minutos en casa" con la Dra. Irene Sánchez - 15 junio</v>
      </c>
      <c r="M9581" s="10" t="str">
        <f t="shared" si="713"/>
        <v>idiez@crm.otsuka-europe.com</v>
      </c>
      <c r="N9581" s="13">
        <v>46188.468645833331</v>
      </c>
      <c r="O9581" s="14" t="str">
        <f>HYPERLINK("https://otsuka-europe-crm.veevavault.com/ui/#object/email_activity__v/V8C00000003V571", "EN-002095954")</f>
        <v>EN-002095954</v>
      </c>
    </row>
    <row r="9582" spans="1:15" ht="64" x14ac:dyDescent="0.2">
      <c r="A9582" s="7" t="str">
        <f>HYPERLINK("https://otsuka-europe-crm.veevavault.com/ui/#object/account__v/V4TZ025E891VZQT", "ELENA GONZALEZ ARIAS")</f>
        <v>ELENA GONZALEZ ARIAS</v>
      </c>
      <c r="B9582" s="7" t="str">
        <f t="shared" si="710"/>
        <v>ES</v>
      </c>
      <c r="C9582" s="8" t="s">
        <v>41</v>
      </c>
      <c r="D9582" s="9" t="str">
        <f t="shared" si="711"/>
        <v>INA -  Webinar "30 minutos en casa" con la Dra. Irene Sánchez - 15 junio</v>
      </c>
      <c r="E9582" s="10" t="str">
        <f>HYPERLINK("https://otsuka-europe-crm.veevavault.com/ui/#object/sent_email__v/VBL00000002T289", "SE-001435990")</f>
        <v>SE-001435990</v>
      </c>
      <c r="F9582" s="11"/>
      <c r="G9582" s="12">
        <v>0</v>
      </c>
      <c r="H9582" s="12">
        <v>0</v>
      </c>
      <c r="I9582" s="12">
        <v>0</v>
      </c>
      <c r="J9582" s="11"/>
      <c r="K9582" s="12">
        <v>0</v>
      </c>
      <c r="L9582" s="10" t="str">
        <f t="shared" si="712"/>
        <v>INA -  Webinar "30 minutos en casa" con la Dra. Irene Sánchez - 15 junio</v>
      </c>
      <c r="M9582" s="10" t="str">
        <f t="shared" si="713"/>
        <v>idiez@crm.otsuka-europe.com</v>
      </c>
      <c r="N9582" s="13">
        <v>46188.468611111108</v>
      </c>
      <c r="O9582" s="14" t="str">
        <f>HYPERLINK("https://otsuka-europe-crm.veevavault.com/ui/#object/email_activity__v/V8C00000003V561", "EN-002095943")</f>
        <v>EN-002095943</v>
      </c>
    </row>
    <row r="9583" spans="1:15" ht="16" x14ac:dyDescent="0.2">
      <c r="A9583" s="17" t="str">
        <f>HYPERLINK("https://otsuka-europe-crm.veevavault.com/ui/#object/account__v/V4TZ025E898JQZO", "MARIA JOSE REQUENA RODRIGUEZ")</f>
        <v>MARIA JOSE REQUENA RODRIGUEZ</v>
      </c>
      <c r="B9583" s="17" t="str">
        <f t="shared" si="710"/>
        <v>ES</v>
      </c>
      <c r="C9583" s="20" t="s">
        <v>41</v>
      </c>
      <c r="D9583" s="21" t="str">
        <f t="shared" si="711"/>
        <v>INA -  Webinar "30 minutos en casa" con la Dra. Irene Sánchez - 15 junio</v>
      </c>
      <c r="E9583" s="22" t="str">
        <f>HYPERLINK("https://otsuka-europe-crm.veevavault.com/ui/#object/sent_email__v/VBL00000002T290", "SE-001435991")</f>
        <v>SE-001435991</v>
      </c>
      <c r="F9583" s="25"/>
      <c r="G9583" s="24">
        <v>0</v>
      </c>
      <c r="H9583" s="24">
        <v>0</v>
      </c>
      <c r="I9583" s="24">
        <v>0</v>
      </c>
      <c r="J9583" s="25"/>
      <c r="K9583" s="24">
        <v>0</v>
      </c>
      <c r="L9583" s="22" t="str">
        <f t="shared" si="712"/>
        <v>INA -  Webinar "30 minutos en casa" con la Dra. Irene Sánchez - 15 junio</v>
      </c>
      <c r="M9583" s="22" t="str">
        <f t="shared" si="713"/>
        <v>idiez@crm.otsuka-europe.com</v>
      </c>
      <c r="N9583" s="23">
        <v>46188.468680555554</v>
      </c>
      <c r="O9583" s="14" t="str">
        <f>HYPERLINK("https://otsuka-europe-crm.veevavault.com/ui/#object/email_activity__v/V8C00000003U575", "EN-002095968")</f>
        <v>EN-002095968</v>
      </c>
    </row>
    <row r="9584" spans="1:15" ht="16" x14ac:dyDescent="0.2">
      <c r="A9584" s="18"/>
      <c r="B9584" s="18"/>
      <c r="C9584" s="18"/>
      <c r="D9584" s="18"/>
      <c r="E9584" s="18"/>
      <c r="F9584" s="18"/>
      <c r="G9584" s="18"/>
      <c r="H9584" s="18"/>
      <c r="I9584" s="18"/>
      <c r="J9584" s="18"/>
      <c r="K9584" s="18"/>
      <c r="L9584" s="18"/>
      <c r="M9584" s="18"/>
      <c r="N9584" s="18"/>
      <c r="O9584" s="14" t="str">
        <f>HYPERLINK("https://otsuka-europe-crm.veevavault.com/ui/#object/email_activity__v/V8C00000003V564", "EN-002095946")</f>
        <v>EN-002095946</v>
      </c>
    </row>
    <row r="9585" spans="1:15" ht="16" x14ac:dyDescent="0.2">
      <c r="A9585" s="19"/>
      <c r="B9585" s="19"/>
      <c r="C9585" s="19"/>
      <c r="D9585" s="19"/>
      <c r="E9585" s="19"/>
      <c r="F9585" s="19"/>
      <c r="G9585" s="19"/>
      <c r="H9585" s="19"/>
      <c r="I9585" s="19"/>
      <c r="J9585" s="19"/>
      <c r="K9585" s="19"/>
      <c r="L9585" s="19"/>
      <c r="M9585" s="19"/>
      <c r="N9585" s="19"/>
      <c r="O9585" s="14" t="str">
        <f>HYPERLINK("https://otsuka-europe-crm.veevavault.com/ui/#object/email_activity__v/V8C00000003V567", "EN-002095950")</f>
        <v>EN-002095950</v>
      </c>
    </row>
    <row r="9586" spans="1:15" ht="64" x14ac:dyDescent="0.2">
      <c r="A9586" s="7" t="str">
        <f>HYPERLINK("https://otsuka-europe-crm.veevavault.com/ui/#object/account__v/V4TZ025E87QF7OT", "JUAN CARLOS CABALLERO BERROCAL")</f>
        <v>JUAN CARLOS CABALLERO BERROCAL</v>
      </c>
      <c r="B9586" s="7" t="str">
        <f t="shared" ref="B9586:B9592" si="714">HYPERLINK("https://otsuka-europe-crm.veevavault.com/ui/#object/vcountry__v/VENZ000004SONF5", "ES")</f>
        <v>ES</v>
      </c>
      <c r="C9586" s="8" t="s">
        <v>41</v>
      </c>
      <c r="D9586" s="9" t="str">
        <f t="shared" ref="D9586:D9592" si="715"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9586" s="10" t="str">
        <f>HYPERLINK("https://otsuka-europe-crm.veevavault.com/ui/#object/sent_email__v/VBL00000002T291", "SE-001435992")</f>
        <v>SE-001435992</v>
      </c>
      <c r="F9586" s="11"/>
      <c r="G9586" s="12">
        <v>0</v>
      </c>
      <c r="H9586" s="12">
        <v>0</v>
      </c>
      <c r="I9586" s="12">
        <v>0</v>
      </c>
      <c r="J9586" s="11"/>
      <c r="K9586" s="12">
        <v>0</v>
      </c>
      <c r="L9586" s="10" t="str">
        <f t="shared" ref="L9586:L9592" si="716"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9586" s="10" t="str">
        <f t="shared" ref="M9586:M9592" si="717">HYPERLINK("mailto:idiez@crm.otsuka-europe.com", "idiez@crm.otsuka-europe.com")</f>
        <v>idiez@crm.otsuka-europe.com</v>
      </c>
      <c r="N9586" s="13">
        <v>46188.468657407408</v>
      </c>
      <c r="O9586" s="14" t="str">
        <f>HYPERLINK("https://otsuka-europe-crm.veevavault.com/ui/#object/email_activity__v/V8C00000003V565", "EN-002095947")</f>
        <v>EN-002095947</v>
      </c>
    </row>
    <row r="9587" spans="1:15" ht="64" x14ac:dyDescent="0.2">
      <c r="A9587" s="7" t="str">
        <f>HYPERLINK("https://otsuka-europe-crm.veevavault.com/ui/#object/account__v/V4TZ025E860F0CS", "LAURA BERMEJO MARTINEZ")</f>
        <v>LAURA BERMEJO MARTINEZ</v>
      </c>
      <c r="B9587" s="7" t="str">
        <f t="shared" si="714"/>
        <v>ES</v>
      </c>
      <c r="C9587" s="8" t="s">
        <v>41</v>
      </c>
      <c r="D9587" s="9" t="str">
        <f t="shared" si="715"/>
        <v>INA -  Webinar "30 minutos en casa" con la Dra. Irene Sánchez - 15 junio</v>
      </c>
      <c r="E9587" s="10" t="str">
        <f>HYPERLINK("https://otsuka-europe-crm.veevavault.com/ui/#object/sent_email__v/VBL00000002T292", "SE-001435993")</f>
        <v>SE-001435993</v>
      </c>
      <c r="F9587" s="11"/>
      <c r="G9587" s="12">
        <v>0</v>
      </c>
      <c r="H9587" s="12">
        <v>0</v>
      </c>
      <c r="I9587" s="12">
        <v>0</v>
      </c>
      <c r="J9587" s="11"/>
      <c r="K9587" s="12">
        <v>0</v>
      </c>
      <c r="L9587" s="10" t="str">
        <f t="shared" si="716"/>
        <v>INA -  Webinar "30 minutos en casa" con la Dra. Irene Sánchez - 15 junio</v>
      </c>
      <c r="M9587" s="10" t="str">
        <f t="shared" si="717"/>
        <v>idiez@crm.otsuka-europe.com</v>
      </c>
      <c r="N9587" s="13">
        <v>46188.468657407408</v>
      </c>
      <c r="O9587" s="14" t="str">
        <f>HYPERLINK("https://otsuka-europe-crm.veevavault.com/ui/#object/email_activity__v/V8C00000003U565", "EN-002095938")</f>
        <v>EN-002095938</v>
      </c>
    </row>
    <row r="9588" spans="1:15" ht="64" x14ac:dyDescent="0.2">
      <c r="A9588" s="7" t="str">
        <f>HYPERLINK("https://otsuka-europe-crm.veevavault.com/ui/#object/account__v/V4T000000004022", "LUCIA GUERRERO FERNANDEZ")</f>
        <v>LUCIA GUERRERO FERNANDEZ</v>
      </c>
      <c r="B9588" s="7" t="str">
        <f t="shared" si="714"/>
        <v>ES</v>
      </c>
      <c r="C9588" s="8" t="s">
        <v>41</v>
      </c>
      <c r="D9588" s="9" t="str">
        <f t="shared" si="715"/>
        <v>INA -  Webinar "30 minutos en casa" con la Dra. Irene Sánchez - 15 junio</v>
      </c>
      <c r="E9588" s="10" t="str">
        <f>HYPERLINK("https://otsuka-europe-crm.veevavault.com/ui/#object/sent_email__v/VBL00000002T293", "SE-001435994")</f>
        <v>SE-001435994</v>
      </c>
      <c r="F9588" s="11"/>
      <c r="G9588" s="12">
        <v>0</v>
      </c>
      <c r="H9588" s="12">
        <v>0</v>
      </c>
      <c r="I9588" s="12">
        <v>0</v>
      </c>
      <c r="J9588" s="11"/>
      <c r="K9588" s="12">
        <v>0</v>
      </c>
      <c r="L9588" s="10" t="str">
        <f t="shared" si="716"/>
        <v>INA -  Webinar "30 minutos en casa" con la Dra. Irene Sánchez - 15 junio</v>
      </c>
      <c r="M9588" s="10" t="str">
        <f t="shared" si="717"/>
        <v>idiez@crm.otsuka-europe.com</v>
      </c>
      <c r="N9588" s="13">
        <v>46188.468645833331</v>
      </c>
      <c r="O9588" s="14" t="str">
        <f>HYPERLINK("https://otsuka-europe-crm.veevavault.com/ui/#object/email_activity__v/V8C00000003V569", "EN-002095952")</f>
        <v>EN-002095952</v>
      </c>
    </row>
    <row r="9589" spans="1:15" ht="64" x14ac:dyDescent="0.2">
      <c r="A9589" s="7" t="str">
        <f>HYPERLINK("https://otsuka-europe-crm.veevavault.com/ui/#object/account__v/V4TZ025E861Z8I9", "ROSALIA BUSTELOS RODRIGUEZ")</f>
        <v>ROSALIA BUSTELOS RODRIGUEZ</v>
      </c>
      <c r="B9589" s="7" t="str">
        <f t="shared" si="714"/>
        <v>ES</v>
      </c>
      <c r="C9589" s="8" t="s">
        <v>41</v>
      </c>
      <c r="D9589" s="9" t="str">
        <f t="shared" si="715"/>
        <v>INA -  Webinar "30 minutos en casa" con la Dra. Irene Sánchez - 15 junio</v>
      </c>
      <c r="E9589" s="10" t="str">
        <f>HYPERLINK("https://otsuka-europe-crm.veevavault.com/ui/#object/sent_email__v/VBL00000002T294", "SE-001435995")</f>
        <v>SE-001435995</v>
      </c>
      <c r="F9589" s="11"/>
      <c r="G9589" s="12">
        <v>0</v>
      </c>
      <c r="H9589" s="12">
        <v>0</v>
      </c>
      <c r="I9589" s="12">
        <v>0</v>
      </c>
      <c r="J9589" s="11"/>
      <c r="K9589" s="12">
        <v>0</v>
      </c>
      <c r="L9589" s="10" t="str">
        <f t="shared" si="716"/>
        <v>INA -  Webinar "30 minutos en casa" con la Dra. Irene Sánchez - 15 junio</v>
      </c>
      <c r="M9589" s="10" t="str">
        <f t="shared" si="717"/>
        <v>idiez@crm.otsuka-europe.com</v>
      </c>
      <c r="N9589" s="13">
        <v>46188.468645833331</v>
      </c>
      <c r="O9589" s="14" t="str">
        <f>HYPERLINK("https://otsuka-europe-crm.veevavault.com/ui/#object/email_activity__v/V8C00000003V570", "EN-002095953")</f>
        <v>EN-002095953</v>
      </c>
    </row>
    <row r="9590" spans="1:15" ht="64" x14ac:dyDescent="0.2">
      <c r="A9590" s="7" t="str">
        <f>HYPERLINK("https://otsuka-europe-crm.veevavault.com/ui/#object/account__v/V4T00000000V068", "MARIA GARCIA BERNAL")</f>
        <v>MARIA GARCIA BERNAL</v>
      </c>
      <c r="B9590" s="7" t="str">
        <f t="shared" si="714"/>
        <v>ES</v>
      </c>
      <c r="C9590" s="8" t="s">
        <v>41</v>
      </c>
      <c r="D9590" s="9" t="str">
        <f t="shared" si="715"/>
        <v>INA -  Webinar "30 minutos en casa" con la Dra. Irene Sánchez - 15 junio</v>
      </c>
      <c r="E9590" s="10" t="str">
        <f>HYPERLINK("https://otsuka-europe-crm.veevavault.com/ui/#object/sent_email__v/VBL00000002T295", "SE-001435996")</f>
        <v>SE-001435996</v>
      </c>
      <c r="F9590" s="11"/>
      <c r="G9590" s="12">
        <v>0</v>
      </c>
      <c r="H9590" s="12">
        <v>0</v>
      </c>
      <c r="I9590" s="12">
        <v>0</v>
      </c>
      <c r="J9590" s="11"/>
      <c r="K9590" s="12">
        <v>0</v>
      </c>
      <c r="L9590" s="10" t="str">
        <f t="shared" si="716"/>
        <v>INA -  Webinar "30 minutos en casa" con la Dra. Irene Sánchez - 15 junio</v>
      </c>
      <c r="M9590" s="10" t="str">
        <f t="shared" si="717"/>
        <v>idiez@crm.otsuka-europe.com</v>
      </c>
      <c r="N9590" s="13">
        <v>46188.468680555554</v>
      </c>
      <c r="O9590" s="14" t="str">
        <f>HYPERLINK("https://otsuka-europe-crm.veevavault.com/ui/#object/email_activity__v/V8C00000003V563", "EN-002095945")</f>
        <v>EN-002095945</v>
      </c>
    </row>
    <row r="9591" spans="1:15" ht="64" x14ac:dyDescent="0.2">
      <c r="A9591" s="7" t="str">
        <f>HYPERLINK("https://otsuka-europe-crm.veevavault.com/ui/#object/account__v/V4T00000001B073", "SONIA MARIA GARCIA FERNANDEZ")</f>
        <v>SONIA MARIA GARCIA FERNANDEZ</v>
      </c>
      <c r="B9591" s="7" t="str">
        <f t="shared" si="714"/>
        <v>ES</v>
      </c>
      <c r="C9591" s="8" t="s">
        <v>41</v>
      </c>
      <c r="D9591" s="9" t="str">
        <f t="shared" si="715"/>
        <v>INA -  Webinar "30 minutos en casa" con la Dra. Irene Sánchez - 15 junio</v>
      </c>
      <c r="E9591" s="10" t="str">
        <f>HYPERLINK("https://otsuka-europe-crm.veevavault.com/ui/#object/sent_email__v/VBL00000002T296", "SE-001435997")</f>
        <v>SE-001435997</v>
      </c>
      <c r="F9591" s="11"/>
      <c r="G9591" s="12">
        <v>0</v>
      </c>
      <c r="H9591" s="12">
        <v>0</v>
      </c>
      <c r="I9591" s="12">
        <v>0</v>
      </c>
      <c r="J9591" s="11"/>
      <c r="K9591" s="12">
        <v>0</v>
      </c>
      <c r="L9591" s="10" t="str">
        <f t="shared" si="716"/>
        <v>INA -  Webinar "30 minutos en casa" con la Dra. Irene Sánchez - 15 junio</v>
      </c>
      <c r="M9591" s="10" t="str">
        <f t="shared" si="717"/>
        <v>idiez@crm.otsuka-europe.com</v>
      </c>
      <c r="N9591" s="13">
        <v>46188.468645833331</v>
      </c>
      <c r="O9591" s="14" t="str">
        <f>HYPERLINK("https://otsuka-europe-crm.veevavault.com/ui/#object/email_activity__v/V8C00000003U570", "EN-002095960")</f>
        <v>EN-002095960</v>
      </c>
    </row>
    <row r="9592" spans="1:15" ht="16" x14ac:dyDescent="0.2">
      <c r="A9592" s="17" t="str">
        <f>HYPERLINK("https://otsuka-europe-crm.veevavault.com/ui/#object/account__v/V4TZ025E85V7LIM", "LUCIA SALAFRANCA LE TOULOUZAN")</f>
        <v>LUCIA SALAFRANCA LE TOULOUZAN</v>
      </c>
      <c r="B9592" s="17" t="str">
        <f t="shared" si="714"/>
        <v>ES</v>
      </c>
      <c r="C9592" s="20" t="s">
        <v>41</v>
      </c>
      <c r="D9592" s="21" t="str">
        <f t="shared" si="715"/>
        <v>INA -  Webinar "30 minutos en casa" con la Dra. Irene Sánchez - 15 junio</v>
      </c>
      <c r="E9592" s="22" t="str">
        <f>HYPERLINK("https://otsuka-europe-crm.veevavault.com/ui/#object/sent_email__v/VBL00000002T297", "SE-001435998")</f>
        <v>SE-001435998</v>
      </c>
      <c r="F9592" s="23">
        <v>46189.656377314815</v>
      </c>
      <c r="G9592" s="24">
        <v>1</v>
      </c>
      <c r="H9592" s="24">
        <v>2</v>
      </c>
      <c r="I9592" s="24">
        <v>0</v>
      </c>
      <c r="J9592" s="25"/>
      <c r="K9592" s="24">
        <v>0</v>
      </c>
      <c r="L9592" s="22" t="str">
        <f t="shared" si="716"/>
        <v>INA -  Webinar "30 minutos en casa" con la Dra. Irene Sánchez - 15 junio</v>
      </c>
      <c r="M9592" s="22" t="str">
        <f t="shared" si="717"/>
        <v>idiez@crm.otsuka-europe.com</v>
      </c>
      <c r="N9592" s="23">
        <v>46188.468645833331</v>
      </c>
      <c r="O9592" s="14" t="str">
        <f>HYPERLINK("https://otsuka-europe-crm.veevavault.com/ui/#object/email_activity__v/V8C00000003V560", "EN-002095942")</f>
        <v>EN-002095942</v>
      </c>
    </row>
    <row r="9593" spans="1:15" ht="16" x14ac:dyDescent="0.2">
      <c r="A9593" s="18"/>
      <c r="B9593" s="18"/>
      <c r="C9593" s="18"/>
      <c r="D9593" s="18"/>
      <c r="E9593" s="18"/>
      <c r="F9593" s="18"/>
      <c r="G9593" s="18"/>
      <c r="H9593" s="18"/>
      <c r="I9593" s="18"/>
      <c r="J9593" s="18"/>
      <c r="K9593" s="18"/>
      <c r="L9593" s="18"/>
      <c r="M9593" s="18"/>
      <c r="N9593" s="18"/>
      <c r="O9593" s="14" t="str">
        <f>HYPERLINK("https://otsuka-europe-crm.veevavault.com/ui/#object/email_activity__v/V8C00000003V572", "EN-002095955")</f>
        <v>EN-002095955</v>
      </c>
    </row>
    <row r="9594" spans="1:15" ht="16" x14ac:dyDescent="0.2">
      <c r="A9594" s="19"/>
      <c r="B9594" s="19"/>
      <c r="C9594" s="19"/>
      <c r="D9594" s="19"/>
      <c r="E9594" s="19"/>
      <c r="F9594" s="19"/>
      <c r="G9594" s="19"/>
      <c r="H9594" s="19"/>
      <c r="I9594" s="19"/>
      <c r="J9594" s="19"/>
      <c r="K9594" s="19"/>
      <c r="L9594" s="19"/>
      <c r="M9594" s="19"/>
      <c r="N9594" s="19"/>
      <c r="O9594" s="14" t="str">
        <f>HYPERLINK("https://otsuka-europe-crm.veevavault.com/ui/#object/email_activity__v/V8C00000003W280", "EN-002097274")</f>
        <v>EN-002097274</v>
      </c>
    </row>
    <row r="9595" spans="1:15" ht="16" x14ac:dyDescent="0.2">
      <c r="A9595" s="17" t="str">
        <f>HYPERLINK("https://otsuka-europe-crm.veevavault.com/ui/#object/account__v/V4TZ025E85V82C5", "ANA BELEN BOCANEGRA PEREZ-VIZCAINO")</f>
        <v>ANA BELEN BOCANEGRA PEREZ-VIZCAINO</v>
      </c>
      <c r="B9595" s="17" t="str">
        <f>HYPERLINK("https://otsuka-europe-crm.veevavault.com/ui/#object/vcountry__v/VENZ000004SONF5", "ES")</f>
        <v>ES</v>
      </c>
      <c r="C9595" s="20" t="s">
        <v>41</v>
      </c>
      <c r="D9595" s="21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9595" s="22" t="str">
        <f>HYPERLINK("https://otsuka-europe-crm.veevavault.com/ui/#object/sent_email__v/VBL00000002T298", "SE-001435999")</f>
        <v>SE-001435999</v>
      </c>
      <c r="F9595" s="23">
        <v>46188.497986111113</v>
      </c>
      <c r="G9595" s="24">
        <v>1</v>
      </c>
      <c r="H9595" s="24">
        <v>1</v>
      </c>
      <c r="I9595" s="24">
        <v>0</v>
      </c>
      <c r="J9595" s="25"/>
      <c r="K9595" s="24">
        <v>0</v>
      </c>
      <c r="L9595" s="22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9595" s="22" t="str">
        <f>HYPERLINK("mailto:idiez@crm.otsuka-europe.com", "idiez@crm.otsuka-europe.com")</f>
        <v>idiez@crm.otsuka-europe.com</v>
      </c>
      <c r="N9595" s="23">
        <v>46188.468645833331</v>
      </c>
      <c r="O9595" s="14" t="str">
        <f>HYPERLINK("https://otsuka-europe-crm.veevavault.com/ui/#object/email_activity__v/V8C00000003V576", "EN-002095959")</f>
        <v>EN-002095959</v>
      </c>
    </row>
    <row r="9596" spans="1:15" ht="16" x14ac:dyDescent="0.2">
      <c r="A9596" s="19"/>
      <c r="B9596" s="19"/>
      <c r="C9596" s="19"/>
      <c r="D9596" s="19"/>
      <c r="E9596" s="19"/>
      <c r="F9596" s="19"/>
      <c r="G9596" s="19"/>
      <c r="H9596" s="19"/>
      <c r="I9596" s="19"/>
      <c r="J9596" s="19"/>
      <c r="K9596" s="19"/>
      <c r="L9596" s="19"/>
      <c r="M9596" s="19"/>
      <c r="N9596" s="19"/>
      <c r="O9596" s="14" t="str">
        <f>HYPERLINK("https://otsuka-europe-crm.veevavault.com/ui/#object/email_activity__v/V8C00000003V595", "EN-002095990")</f>
        <v>EN-002095990</v>
      </c>
    </row>
    <row r="9597" spans="1:15" ht="16" x14ac:dyDescent="0.2">
      <c r="A9597" s="17" t="str">
        <f>HYPERLINK("https://otsuka-europe-crm.veevavault.com/ui/#object/account__v/V4TZ025E85N817B", "CLAUDIA LARA LOPEZ PRIETO")</f>
        <v>CLAUDIA LARA LOPEZ PRIETO</v>
      </c>
      <c r="B9597" s="17" t="str">
        <f>HYPERLINK("https://otsuka-europe-crm.veevavault.com/ui/#object/vcountry__v/VENZ000004SONF5", "ES")</f>
        <v>ES</v>
      </c>
      <c r="C9597" s="20" t="s">
        <v>41</v>
      </c>
      <c r="D9597" s="21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E9597" s="22" t="str">
        <f>HYPERLINK("https://otsuka-europe-crm.veevavault.com/ui/#object/sent_email__v/VBL00000002T299", "SE-001436000")</f>
        <v>SE-001436000</v>
      </c>
      <c r="F9597" s="23">
        <v>46188.563020833331</v>
      </c>
      <c r="G9597" s="24">
        <v>1</v>
      </c>
      <c r="H9597" s="24">
        <v>2</v>
      </c>
      <c r="I9597" s="24">
        <v>0</v>
      </c>
      <c r="J9597" s="25"/>
      <c r="K9597" s="24">
        <v>0</v>
      </c>
      <c r="L9597" s="22" t="str">
        <f>HYPERLINK("https://otsuka-europe-crm.veevavault.com/ui/#object/approved_document__v/V5O00000001F007", "INA -  Webinar ""30 minutos en casa"" con la Dra. Irene Sánchez - 15 junio")</f>
        <v>INA -  Webinar "30 minutos en casa" con la Dra. Irene Sánchez - 15 junio</v>
      </c>
      <c r="M9597" s="22" t="str">
        <f>HYPERLINK("mailto:idiez@crm.otsuka-europe.com", "idiez@crm.otsuka-europe.com")</f>
        <v>idiez@crm.otsuka-europe.com</v>
      </c>
      <c r="N9597" s="23">
        <v>46188.468668981484</v>
      </c>
      <c r="O9597" s="14" t="str">
        <f>HYPERLINK("https://otsuka-europe-crm.veevavault.com/ui/#object/email_activity__v/V8C00000003U695", "EN-002096215")</f>
        <v>EN-002096215</v>
      </c>
    </row>
    <row r="9598" spans="1:15" ht="16" x14ac:dyDescent="0.2">
      <c r="A9598" s="18"/>
      <c r="B9598" s="18"/>
      <c r="C9598" s="18"/>
      <c r="D9598" s="18"/>
      <c r="E9598" s="18"/>
      <c r="F9598" s="18"/>
      <c r="G9598" s="18"/>
      <c r="H9598" s="18"/>
      <c r="I9598" s="18"/>
      <c r="J9598" s="18"/>
      <c r="K9598" s="18"/>
      <c r="L9598" s="18"/>
      <c r="M9598" s="18"/>
      <c r="N9598" s="18"/>
      <c r="O9598" s="14" t="str">
        <f>HYPERLINK("https://otsuka-europe-crm.veevavault.com/ui/#object/email_activity__v/V8C00000003V562", "EN-002095944")</f>
        <v>EN-002095944</v>
      </c>
    </row>
    <row r="9599" spans="1:15" ht="16" x14ac:dyDescent="0.2">
      <c r="A9599" s="19"/>
      <c r="B9599" s="19"/>
      <c r="C9599" s="19"/>
      <c r="D9599" s="19"/>
      <c r="E9599" s="19"/>
      <c r="F9599" s="19"/>
      <c r="G9599" s="19"/>
      <c r="H9599" s="19"/>
      <c r="I9599" s="19"/>
      <c r="J9599" s="19"/>
      <c r="K9599" s="19"/>
      <c r="L9599" s="19"/>
      <c r="M9599" s="19"/>
      <c r="N9599" s="19"/>
      <c r="O9599" s="14" t="str">
        <f>HYPERLINK("https://otsuka-europe-crm.veevavault.com/ui/#object/email_activity__v/V8C00000003V566", "EN-002095948")</f>
        <v>EN-002095948</v>
      </c>
    </row>
    <row r="9600" spans="1:15" ht="16" x14ac:dyDescent="0.2">
      <c r="A9600" s="17" t="str">
        <f>HYPERLINK("https://otsuka-europe-crm.veevavault.com/ui/#object/account__v/V4TZ04ASGFPYQG1", "SILVIA BELLAGAMBA")</f>
        <v>SILVIA BELLAGAMBA</v>
      </c>
      <c r="B9600" s="17" t="str">
        <f>HYPERLINK("https://otsuka-europe-crm.veevavault.com/ui/#object/vcountry__v/VENZ000004SONFQ", "IT")</f>
        <v>IT</v>
      </c>
      <c r="C9600" s="20" t="s">
        <v>44</v>
      </c>
      <c r="D9600" s="21" t="str">
        <f>HYPERLINK("https://otsuka-europe-crm.veevavault.com/ui/#object/approved_document__v/V5OZ025E82JJ7FL", "NL AE HCP Portal")</f>
        <v>NL AE HCP Portal</v>
      </c>
      <c r="E9600" s="22" t="str">
        <f>HYPERLINK("https://otsuka-europe-crm.veevavault.com/ui/#object/sent_email__v/VBL00000002T300", "SE-001436001")</f>
        <v>SE-001436001</v>
      </c>
      <c r="F9600" s="23">
        <v>46188.485821759263</v>
      </c>
      <c r="G9600" s="24">
        <v>1</v>
      </c>
      <c r="H9600" s="24">
        <v>1</v>
      </c>
      <c r="I9600" s="24">
        <v>0</v>
      </c>
      <c r="J9600" s="25"/>
      <c r="K9600" s="24">
        <v>0</v>
      </c>
      <c r="L9600" s="22" t="str">
        <f>HYPERLINK("https://otsuka-europe-crm.veevavault.com/ui/#object/approved_document__v/V5OZ025E82JJ7FL", "NL AE HCP Portal")</f>
        <v>NL AE HCP Portal</v>
      </c>
      <c r="M9600" s="22" t="str">
        <f>HYPERLINK("mailto:tiziana.faini@crm.otsuka-europe.com", "tiziana.faini@crm.otsuka-europe.com")</f>
        <v>tiziana.faini@crm.otsuka-europe.com</v>
      </c>
      <c r="N9600" s="23">
        <v>46188.485694444447</v>
      </c>
      <c r="O9600" s="14" t="str">
        <f>HYPERLINK("https://otsuka-europe-crm.veevavault.com/ui/#object/email_activity__v/V8C00000003V581", "EN-002095971")</f>
        <v>EN-002095971</v>
      </c>
    </row>
    <row r="9601" spans="1:15" ht="16" x14ac:dyDescent="0.2">
      <c r="A9601" s="19"/>
      <c r="B9601" s="19"/>
      <c r="C9601" s="19"/>
      <c r="D9601" s="19"/>
      <c r="E9601" s="19"/>
      <c r="F9601" s="19"/>
      <c r="G9601" s="19"/>
      <c r="H9601" s="19"/>
      <c r="I9601" s="19"/>
      <c r="J9601" s="19"/>
      <c r="K9601" s="19"/>
      <c r="L9601" s="19"/>
      <c r="M9601" s="19"/>
      <c r="N9601" s="19"/>
      <c r="O9601" s="14" t="str">
        <f>HYPERLINK("https://otsuka-europe-crm.veevavault.com/ui/#object/email_activity__v/V8C00000003V584", "EN-002095974")</f>
        <v>EN-002095974</v>
      </c>
    </row>
    <row r="9602" spans="1:15" ht="16" x14ac:dyDescent="0.2">
      <c r="A9602" s="17" t="str">
        <f>HYPERLINK("https://otsuka-europe-crm.veevavault.com/ui/#object/account__v/V4TZ04ASGFPYQG1", "SILVIA BELLAGAMBA")</f>
        <v>SILVIA BELLAGAMBA</v>
      </c>
      <c r="B9602" s="17" t="str">
        <f>HYPERLINK("https://otsuka-europe-crm.veevavault.com/ui/#object/vcountry__v/VENZ000004SONFQ", "IT")</f>
        <v>IT</v>
      </c>
      <c r="C9602" s="20" t="s">
        <v>44</v>
      </c>
      <c r="D9602" s="21" t="str">
        <f>HYPERLINK("https://otsuka-europe-crm.veevavault.com/ui/#object/approved_document__v/V5O00000001G004", "Branded_RXULTI_AE Ansia_IT-RXU-2500035")</f>
        <v>Branded_RXULTI_AE Ansia_IT-RXU-2500035</v>
      </c>
      <c r="E9602" s="22" t="str">
        <f>HYPERLINK("https://otsuka-europe-crm.veevavault.com/ui/#object/sent_email__v/VBL00000002T301", "SE-001436002")</f>
        <v>SE-001436002</v>
      </c>
      <c r="F9602" s="23">
        <v>46188.486134259256</v>
      </c>
      <c r="G9602" s="24">
        <v>1</v>
      </c>
      <c r="H9602" s="24">
        <v>2</v>
      </c>
      <c r="I9602" s="24">
        <v>0</v>
      </c>
      <c r="J9602" s="25"/>
      <c r="K9602" s="24">
        <v>0</v>
      </c>
      <c r="L9602" s="22" t="str">
        <f>HYPERLINK("https://otsuka-europe-crm.veevavault.com/ui/#object/approved_document__v/V5O00000001G004", "Branded_RXULTI_AE Ansia_IT-RXU-2500035")</f>
        <v>Branded_RXULTI_AE Ansia_IT-RXU-2500035</v>
      </c>
      <c r="M9602" s="22" t="str">
        <f>HYPERLINK("mailto:tiziana.faini@crm.otsuka-europe.com", "tiziana.faini@crm.otsuka-europe.com")</f>
        <v>tiziana.faini@crm.otsuka-europe.com</v>
      </c>
      <c r="N9602" s="23">
        <v>46188.485798611109</v>
      </c>
      <c r="O9602" s="14" t="str">
        <f>HYPERLINK("https://otsuka-europe-crm.veevavault.com/ui/#object/email_activity__v/V8C00000003V582", "EN-002095972")</f>
        <v>EN-002095972</v>
      </c>
    </row>
    <row r="9603" spans="1:15" ht="16" x14ac:dyDescent="0.2">
      <c r="A9603" s="18"/>
      <c r="B9603" s="18"/>
      <c r="C9603" s="18"/>
      <c r="D9603" s="18"/>
      <c r="E9603" s="18"/>
      <c r="F9603" s="18"/>
      <c r="G9603" s="18"/>
      <c r="H9603" s="18"/>
      <c r="I9603" s="18"/>
      <c r="J9603" s="18"/>
      <c r="K9603" s="18"/>
      <c r="L9603" s="18"/>
      <c r="M9603" s="18"/>
      <c r="N9603" s="18"/>
      <c r="O9603" s="14" t="str">
        <f>HYPERLINK("https://otsuka-europe-crm.veevavault.com/ui/#object/email_activity__v/V8C00000003V588", "EN-002095978")</f>
        <v>EN-002095978</v>
      </c>
    </row>
    <row r="9604" spans="1:15" ht="16" x14ac:dyDescent="0.2">
      <c r="A9604" s="19"/>
      <c r="B9604" s="19"/>
      <c r="C9604" s="19"/>
      <c r="D9604" s="19"/>
      <c r="E9604" s="19"/>
      <c r="F9604" s="19"/>
      <c r="G9604" s="19"/>
      <c r="H9604" s="19"/>
      <c r="I9604" s="19"/>
      <c r="J9604" s="19"/>
      <c r="K9604" s="19"/>
      <c r="L9604" s="19"/>
      <c r="M9604" s="19"/>
      <c r="N9604" s="19"/>
      <c r="O9604" s="14" t="str">
        <f>HYPERLINK("https://otsuka-europe-crm.veevavault.com/ui/#object/email_activity__v/V8C00000003V592", "EN-002095982")</f>
        <v>EN-002095982</v>
      </c>
    </row>
    <row r="9605" spans="1:15" ht="16" x14ac:dyDescent="0.2">
      <c r="A9605" s="17" t="str">
        <f>HYPERLINK("https://otsuka-europe-crm.veevavault.com/ui/#object/account__v/V4TZ04ASGFPYQG1", "SILVIA BELLAGAMBA")</f>
        <v>SILVIA BELLAGAMBA</v>
      </c>
      <c r="B9605" s="17" t="str">
        <f>HYPERLINK("https://otsuka-europe-crm.veevavault.com/ui/#object/vcountry__v/VENZ000004SONFQ", "IT")</f>
        <v>IT</v>
      </c>
      <c r="C9605" s="20" t="s">
        <v>44</v>
      </c>
      <c r="D9605" s="21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E9605" s="22" t="str">
        <f>HYPERLINK("https://otsuka-europe-crm.veevavault.com/ui/#object/sent_email__v/VBL00000002T302", "SE-001436003")</f>
        <v>SE-001436003</v>
      </c>
      <c r="F9605" s="23">
        <v>46188.486122685186</v>
      </c>
      <c r="G9605" s="24">
        <v>1</v>
      </c>
      <c r="H9605" s="24">
        <v>3</v>
      </c>
      <c r="I9605" s="24">
        <v>0</v>
      </c>
      <c r="J9605" s="25"/>
      <c r="K9605" s="24">
        <v>0</v>
      </c>
      <c r="L9605" s="22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M9605" s="22" t="str">
        <f>HYPERLINK("mailto:tiziana.faini@crm.otsuka-europe.com", "tiziana.faini@crm.otsuka-europe.com")</f>
        <v>tiziana.faini@crm.otsuka-europe.com</v>
      </c>
      <c r="N9605" s="23">
        <v>46188.485810185186</v>
      </c>
      <c r="O9605" s="14" t="str">
        <f>HYPERLINK("https://otsuka-europe-crm.veevavault.com/ui/#object/email_activity__v/V8C00000003V583", "EN-002095973")</f>
        <v>EN-002095973</v>
      </c>
    </row>
    <row r="9606" spans="1:15" ht="16" x14ac:dyDescent="0.2">
      <c r="A9606" s="18"/>
      <c r="B9606" s="18"/>
      <c r="C9606" s="18"/>
      <c r="D9606" s="18"/>
      <c r="E9606" s="18"/>
      <c r="F9606" s="18"/>
      <c r="G9606" s="18"/>
      <c r="H9606" s="18"/>
      <c r="I9606" s="18"/>
      <c r="J9606" s="18"/>
      <c r="K9606" s="18"/>
      <c r="L9606" s="18"/>
      <c r="M9606" s="18"/>
      <c r="N9606" s="18"/>
      <c r="O9606" s="14" t="str">
        <f>HYPERLINK("https://otsuka-europe-crm.veevavault.com/ui/#object/email_activity__v/V8C00000003V586", "EN-002095976")</f>
        <v>EN-002095976</v>
      </c>
    </row>
    <row r="9607" spans="1:15" ht="16" x14ac:dyDescent="0.2">
      <c r="A9607" s="18"/>
      <c r="B9607" s="18"/>
      <c r="C9607" s="18"/>
      <c r="D9607" s="18"/>
      <c r="E9607" s="18"/>
      <c r="F9607" s="18"/>
      <c r="G9607" s="18"/>
      <c r="H9607" s="18"/>
      <c r="I9607" s="18"/>
      <c r="J9607" s="18"/>
      <c r="K9607" s="18"/>
      <c r="L9607" s="18"/>
      <c r="M9607" s="18"/>
      <c r="N9607" s="18"/>
      <c r="O9607" s="14" t="str">
        <f>HYPERLINK("https://otsuka-europe-crm.veevavault.com/ui/#object/email_activity__v/V8C00000003V589", "EN-002095979")</f>
        <v>EN-002095979</v>
      </c>
    </row>
    <row r="9608" spans="1:15" ht="16" x14ac:dyDescent="0.2">
      <c r="A9608" s="19"/>
      <c r="B9608" s="19"/>
      <c r="C9608" s="19"/>
      <c r="D9608" s="19"/>
      <c r="E9608" s="19"/>
      <c r="F9608" s="19"/>
      <c r="G9608" s="19"/>
      <c r="H9608" s="19"/>
      <c r="I9608" s="19"/>
      <c r="J9608" s="19"/>
      <c r="K9608" s="19"/>
      <c r="L9608" s="19"/>
      <c r="M9608" s="19"/>
      <c r="N9608" s="19"/>
      <c r="O9608" s="14" t="str">
        <f>HYPERLINK("https://otsuka-europe-crm.veevavault.com/ui/#object/email_activity__v/V8C00000003V591", "EN-002095981")</f>
        <v>EN-002095981</v>
      </c>
    </row>
    <row r="9609" spans="1:15" ht="16" x14ac:dyDescent="0.2">
      <c r="A9609" s="17" t="str">
        <f>HYPERLINK("https://otsuka-europe-crm.veevavault.com/ui/#object/account__v/V4TZ04ASGFPYQG1", "SILVIA BELLAGAMBA")</f>
        <v>SILVIA BELLAGAMBA</v>
      </c>
      <c r="B9609" s="17" t="str">
        <f>HYPERLINK("https://otsuka-europe-crm.veevavault.com/ui/#object/vcountry__v/VENZ000004SONFQ", "IT")</f>
        <v>IT</v>
      </c>
      <c r="C9609" s="20" t="s">
        <v>44</v>
      </c>
      <c r="D9609" s="21" t="str">
        <f>HYPERLINK("https://otsuka-europe-crm.veevavault.com/ui/#object/approved_document__v/V5O00000001H009", "RXULTI_Branded_ DE FILIPPIS aggiornamento_ IT-RXU-2600020")</f>
        <v>RXULTI_Branded_ DE FILIPPIS aggiornamento_ IT-RXU-2600020</v>
      </c>
      <c r="E9609" s="22" t="str">
        <f>HYPERLINK("https://otsuka-europe-crm.veevavault.com/ui/#object/sent_email__v/VBL00000002U224", "SE-001436004")</f>
        <v>SE-001436004</v>
      </c>
      <c r="F9609" s="23">
        <v>46188.48609953704</v>
      </c>
      <c r="G9609" s="24">
        <v>1</v>
      </c>
      <c r="H9609" s="24">
        <v>2</v>
      </c>
      <c r="I9609" s="24">
        <v>0</v>
      </c>
      <c r="J9609" s="25"/>
      <c r="K9609" s="24">
        <v>0</v>
      </c>
      <c r="L9609" s="22" t="str">
        <f>HYPERLINK("https://otsuka-europe-crm.veevavault.com/ui/#object/approved_document__v/V5O00000001H009", "RXULTI_Branded_ DE FILIPPIS aggiornamento_ IT-RXU-2600020")</f>
        <v>RXULTI_Branded_ DE FILIPPIS aggiornamento_ IT-RXU-2600020</v>
      </c>
      <c r="M9609" s="22" t="str">
        <f>HYPERLINK("mailto:tiziana.faini@crm.otsuka-europe.com", "tiziana.faini@crm.otsuka-europe.com")</f>
        <v>tiziana.faini@crm.otsuka-europe.com</v>
      </c>
      <c r="N9609" s="23">
        <v>46188.485914351855</v>
      </c>
      <c r="O9609" s="14" t="str">
        <f>HYPERLINK("https://otsuka-europe-crm.veevavault.com/ui/#object/email_activity__v/V8C00000003V585", "EN-002095975")</f>
        <v>EN-002095975</v>
      </c>
    </row>
    <row r="9610" spans="1:15" ht="16" x14ac:dyDescent="0.2">
      <c r="A9610" s="18"/>
      <c r="B9610" s="18"/>
      <c r="C9610" s="18"/>
      <c r="D9610" s="18"/>
      <c r="E9610" s="18"/>
      <c r="F9610" s="18"/>
      <c r="G9610" s="18"/>
      <c r="H9610" s="18"/>
      <c r="I9610" s="18"/>
      <c r="J9610" s="18"/>
      <c r="K9610" s="18"/>
      <c r="L9610" s="18"/>
      <c r="M9610" s="18"/>
      <c r="N9610" s="18"/>
      <c r="O9610" s="14" t="str">
        <f>HYPERLINK("https://otsuka-europe-crm.veevavault.com/ui/#object/email_activity__v/V8C00000003V587", "EN-002095977")</f>
        <v>EN-002095977</v>
      </c>
    </row>
    <row r="9611" spans="1:15" ht="16" x14ac:dyDescent="0.2">
      <c r="A9611" s="19"/>
      <c r="B9611" s="19"/>
      <c r="C9611" s="19"/>
      <c r="D9611" s="19"/>
      <c r="E9611" s="19"/>
      <c r="F9611" s="19"/>
      <c r="G9611" s="19"/>
      <c r="H9611" s="19"/>
      <c r="I9611" s="19"/>
      <c r="J9611" s="19"/>
      <c r="K9611" s="19"/>
      <c r="L9611" s="19"/>
      <c r="M9611" s="19"/>
      <c r="N9611" s="19"/>
      <c r="O9611" s="14" t="str">
        <f>HYPERLINK("https://otsuka-europe-crm.veevavault.com/ui/#object/email_activity__v/V8C00000003V590", "EN-002095980")</f>
        <v>EN-002095980</v>
      </c>
    </row>
    <row r="9612" spans="1:15" ht="32" x14ac:dyDescent="0.2">
      <c r="A9612" s="7" t="str">
        <f>HYPERLINK("https://otsuka-europe-crm.veevavault.com/ui/#object/account__v/V4TZ025E859Y2SQ", "Prakash Arumugam")</f>
        <v>Prakash Arumugam</v>
      </c>
      <c r="B9612" s="7" t="str">
        <f>HYPERLINK("https://otsuka-europe-crm.veevavault.com/ui/#object/vcountry__v/VENZ000004SONFN", "CH")</f>
        <v>CH</v>
      </c>
      <c r="C9612" s="8" t="s">
        <v>45</v>
      </c>
      <c r="D9612" s="9" t="str">
        <f>HYPERLINK("https://otsuka-europe-crm.veevavault.com/ui/#object/approved_document__v/V5O00000001L016", "ALL_Flexibilität_Ferienplanung_2026_AA_de")</f>
        <v>ALL_Flexibilität_Ferienplanung_2026_AA_de</v>
      </c>
      <c r="E9612" s="10" t="str">
        <f>HYPERLINK("https://otsuka-europe-crm.veevavault.com/ui/#object/sent_email__v/VBL00000002U225", "SE-001436005")</f>
        <v>SE-001436005</v>
      </c>
      <c r="F9612" s="11"/>
      <c r="G9612" s="12">
        <v>0</v>
      </c>
      <c r="H9612" s="12">
        <v>0</v>
      </c>
      <c r="I9612" s="12">
        <v>0</v>
      </c>
      <c r="J9612" s="11"/>
      <c r="K9612" s="12">
        <v>0</v>
      </c>
      <c r="L9612" s="10" t="str">
        <f>HYPERLINK("https://otsuka-europe-crm.veevavault.com/ui/#object/approved_document__v/V5O00000001L016", "ALL_Flexibilität_Ferienplanung_2026_AA_de")</f>
        <v>ALL_Flexibilität_Ferienplanung_2026_AA_de</v>
      </c>
      <c r="M9612" s="10" t="str">
        <f>HYPERLINK("mailto:dharder@crm.otsuka-europe.com", "dharder@crm.otsuka-europe.com")</f>
        <v>dharder@crm.otsuka-europe.com</v>
      </c>
      <c r="N9612" s="13">
        <v>46188.495787037034</v>
      </c>
      <c r="O9612" s="14" t="str">
        <f>HYPERLINK("https://otsuka-europe-crm.veevavault.com/ui/#object/email_activity__v/V8C00000003U579", "EN-002095986")</f>
        <v>EN-002095986</v>
      </c>
    </row>
    <row r="9613" spans="1:15" ht="16" x14ac:dyDescent="0.2">
      <c r="A9613" s="17" t="str">
        <f>HYPERLINK("https://otsuka-europe-crm.veevavault.com/ui/#object/account__v/V4TZ0000062R6PY", "Jörg Bitter")</f>
        <v>Jörg Bitter</v>
      </c>
      <c r="B9613" s="17" t="str">
        <f>HYPERLINK("https://otsuka-europe-crm.veevavault.com/ui/#object/vcountry__v/VENZ000004SONFN", "CH")</f>
        <v>CH</v>
      </c>
      <c r="C9613" s="20" t="s">
        <v>45</v>
      </c>
      <c r="D9613" s="21" t="str">
        <f>HYPERLINK("https://otsuka-europe-crm.veevavault.com/ui/#object/approved_document__v/V5O00000001L016", "ALL_Flexibilität_Ferienplanung_2026_AA_de")</f>
        <v>ALL_Flexibilität_Ferienplanung_2026_AA_de</v>
      </c>
      <c r="E9613" s="22" t="str">
        <f>HYPERLINK("https://otsuka-europe-crm.veevavault.com/ui/#object/sent_email__v/VBL00000002U226", "SE-001436006")</f>
        <v>SE-001436006</v>
      </c>
      <c r="F9613" s="23">
        <v>46189.599641203706</v>
      </c>
      <c r="G9613" s="24">
        <v>1</v>
      </c>
      <c r="H9613" s="24">
        <v>5</v>
      </c>
      <c r="I9613" s="24">
        <v>1</v>
      </c>
      <c r="J9613" s="23">
        <v>46188.498460648145</v>
      </c>
      <c r="K9613" s="24">
        <v>1</v>
      </c>
      <c r="L9613" s="22" t="str">
        <f>HYPERLINK("https://otsuka-europe-crm.veevavault.com/ui/#object/approved_document__v/V5O00000001L016", "ALL_Flexibilität_Ferienplanung_2026_AA_de")</f>
        <v>ALL_Flexibilität_Ferienplanung_2026_AA_de</v>
      </c>
      <c r="M9613" s="22" t="str">
        <f>HYPERLINK("mailto:dharder@crm.otsuka-europe.com", "dharder@crm.otsuka-europe.com")</f>
        <v>dharder@crm.otsuka-europe.com</v>
      </c>
      <c r="N9613" s="23">
        <v>46188.497476851851</v>
      </c>
      <c r="O9613" s="14" t="str">
        <f>HYPERLINK("https://otsuka-europe-crm.veevavault.com/ui/#object/email_activity__v/V8C00000003V594", "EN-002095989")</f>
        <v>EN-002095989</v>
      </c>
    </row>
    <row r="9614" spans="1:15" ht="16" x14ac:dyDescent="0.2">
      <c r="A9614" s="18"/>
      <c r="B9614" s="18"/>
      <c r="C9614" s="18"/>
      <c r="D9614" s="18"/>
      <c r="E9614" s="18"/>
      <c r="F9614" s="18"/>
      <c r="G9614" s="18"/>
      <c r="H9614" s="18"/>
      <c r="I9614" s="18"/>
      <c r="J9614" s="18"/>
      <c r="K9614" s="18"/>
      <c r="L9614" s="18"/>
      <c r="M9614" s="18"/>
      <c r="N9614" s="18"/>
      <c r="O9614" s="14" t="str">
        <f>HYPERLINK("https://otsuka-europe-crm.veevavault.com/ui/#object/email_activity__v/V8C00000003V596", "EN-002095992")</f>
        <v>EN-002095992</v>
      </c>
    </row>
    <row r="9615" spans="1:15" ht="16" x14ac:dyDescent="0.2">
      <c r="A9615" s="18"/>
      <c r="B9615" s="18"/>
      <c r="C9615" s="18"/>
      <c r="D9615" s="18"/>
      <c r="E9615" s="18"/>
      <c r="F9615" s="18"/>
      <c r="G9615" s="18"/>
      <c r="H9615" s="18"/>
      <c r="I9615" s="18"/>
      <c r="J9615" s="18"/>
      <c r="K9615" s="18"/>
      <c r="L9615" s="18"/>
      <c r="M9615" s="18"/>
      <c r="N9615" s="18"/>
      <c r="O9615" s="14" t="str">
        <f>HYPERLINK("https://otsuka-europe-crm.veevavault.com/ui/#object/email_activity__v/V8C00000003V597", "EN-002095991")</f>
        <v>EN-002095991</v>
      </c>
    </row>
    <row r="9616" spans="1:15" ht="16" x14ac:dyDescent="0.2">
      <c r="A9616" s="18"/>
      <c r="B9616" s="18"/>
      <c r="C9616" s="18"/>
      <c r="D9616" s="18"/>
      <c r="E9616" s="18"/>
      <c r="F9616" s="18"/>
      <c r="G9616" s="18"/>
      <c r="H9616" s="18"/>
      <c r="I9616" s="18"/>
      <c r="J9616" s="18"/>
      <c r="K9616" s="18"/>
      <c r="L9616" s="18"/>
      <c r="M9616" s="18"/>
      <c r="N9616" s="18"/>
      <c r="O9616" s="14" t="str">
        <f>HYPERLINK("https://otsuka-europe-crm.veevavault.com/ui/#object/email_activity__v/V8C00000003V708", "EN-002096217")</f>
        <v>EN-002096217</v>
      </c>
    </row>
    <row r="9617" spans="1:15" ht="16" x14ac:dyDescent="0.2">
      <c r="A9617" s="18"/>
      <c r="B9617" s="18"/>
      <c r="C9617" s="18"/>
      <c r="D9617" s="18"/>
      <c r="E9617" s="18"/>
      <c r="F9617" s="18"/>
      <c r="G9617" s="18"/>
      <c r="H9617" s="18"/>
      <c r="I9617" s="18"/>
      <c r="J9617" s="18"/>
      <c r="K9617" s="18"/>
      <c r="L9617" s="18"/>
      <c r="M9617" s="18"/>
      <c r="N9617" s="18"/>
      <c r="O9617" s="14" t="str">
        <f>HYPERLINK("https://otsuka-europe-crm.veevavault.com/ui/#object/email_activity__v/V8C00000003V709", "EN-002096218")</f>
        <v>EN-002096218</v>
      </c>
    </row>
    <row r="9618" spans="1:15" ht="16" x14ac:dyDescent="0.2">
      <c r="A9618" s="18"/>
      <c r="B9618" s="18"/>
      <c r="C9618" s="18"/>
      <c r="D9618" s="18"/>
      <c r="E9618" s="18"/>
      <c r="F9618" s="18"/>
      <c r="G9618" s="18"/>
      <c r="H9618" s="18"/>
      <c r="I9618" s="18"/>
      <c r="J9618" s="18"/>
      <c r="K9618" s="18"/>
      <c r="L9618" s="18"/>
      <c r="M9618" s="18"/>
      <c r="N9618" s="18"/>
      <c r="O9618" s="14" t="str">
        <f>HYPERLINK("https://otsuka-europe-crm.veevavault.com/ui/#object/email_activity__v/V8C00000003V710", "EN-002096219")</f>
        <v>EN-002096219</v>
      </c>
    </row>
    <row r="9619" spans="1:15" ht="16" x14ac:dyDescent="0.2">
      <c r="A9619" s="18"/>
      <c r="B9619" s="18"/>
      <c r="C9619" s="18"/>
      <c r="D9619" s="18"/>
      <c r="E9619" s="18"/>
      <c r="F9619" s="18"/>
      <c r="G9619" s="18"/>
      <c r="H9619" s="18"/>
      <c r="I9619" s="18"/>
      <c r="J9619" s="18"/>
      <c r="K9619" s="18"/>
      <c r="L9619" s="18"/>
      <c r="M9619" s="18"/>
      <c r="N9619" s="18"/>
      <c r="O9619" s="14" t="str">
        <f>HYPERLINK("https://otsuka-europe-crm.veevavault.com/ui/#object/email_activity__v/V8C00000003X165", "EN-002097212")</f>
        <v>EN-002097212</v>
      </c>
    </row>
    <row r="9620" spans="1:15" ht="16" x14ac:dyDescent="0.2">
      <c r="A9620" s="19"/>
      <c r="B9620" s="19"/>
      <c r="C9620" s="19"/>
      <c r="D9620" s="19"/>
      <c r="E9620" s="19"/>
      <c r="F9620" s="19"/>
      <c r="G9620" s="19"/>
      <c r="H9620" s="19"/>
      <c r="I9620" s="19"/>
      <c r="J9620" s="19"/>
      <c r="K9620" s="19"/>
      <c r="L9620" s="19"/>
      <c r="M9620" s="19"/>
      <c r="N9620" s="19"/>
      <c r="O9620" s="14" t="str">
        <f>HYPERLINK("https://otsuka-europe-crm.veevavault.com/ui/#object/email_activity__v/V8C00000003X166", "EN-002097213")</f>
        <v>EN-002097213</v>
      </c>
    </row>
    <row r="9621" spans="1:15" ht="16" x14ac:dyDescent="0.2">
      <c r="A9621" s="17" t="str">
        <f>HYPERLINK("https://otsuka-europe-crm.veevavault.com/ui/#object/account__v/V4TZ0000062PEGG", "Ahmed Shoka")</f>
        <v>Ahmed Shoka</v>
      </c>
      <c r="B9621" s="17" t="str">
        <f>HYPERLINK("https://otsuka-europe-crm.veevavault.com/ui/#object/vcountry__v/VENZ000004SONFK", "GB")</f>
        <v>GB</v>
      </c>
      <c r="C9621" s="20" t="s">
        <v>39</v>
      </c>
      <c r="D9621" s="21" t="str">
        <f>HYPERLINK("https://otsuka-europe-crm.veevavault.com/ui/#object/approved_document__v/V5O00000001H005", "LDM DR P2P Invite 23-Jun-26 [digital]")</f>
        <v>LDM DR P2P Invite 23-Jun-26 [digital]</v>
      </c>
      <c r="E9621" s="22" t="str">
        <f>HYPERLINK("https://otsuka-europe-crm.veevavault.com/ui/#object/sent_email__v/VBL00000002U227", "SE-001436007")</f>
        <v>SE-001436007</v>
      </c>
      <c r="F9621" s="25"/>
      <c r="G9621" s="24">
        <v>0</v>
      </c>
      <c r="H9621" s="24">
        <v>0</v>
      </c>
      <c r="I9621" s="24">
        <v>0</v>
      </c>
      <c r="J9621" s="25"/>
      <c r="K9621" s="24">
        <v>0</v>
      </c>
      <c r="L9621" s="22" t="str">
        <f>HYPERLINK("https://otsuka-europe-crm.veevavault.com/ui/#object/approved_document__v/V5O00000001H005", "LDM DR P2P Invite 23-Jun-26 [digital]")</f>
        <v>LDM DR P2P Invite 23-Jun-26 [digital]</v>
      </c>
      <c r="M9621" s="22" t="str">
        <f>HYPERLINK("mailto:ldimambro@crm.otsuka-europe.com", "ldimambro@crm.otsuka-europe.com")</f>
        <v>ldimambro@crm.otsuka-europe.com</v>
      </c>
      <c r="N9621" s="23">
        <v>46188.517881944441</v>
      </c>
      <c r="O9621" s="14" t="str">
        <f>HYPERLINK("https://otsuka-europe-crm.veevavault.com/ui/#object/email_activity__v/V8C00000003V605", "EN-002096001")</f>
        <v>EN-002096001</v>
      </c>
    </row>
    <row r="9622" spans="1:15" ht="16" x14ac:dyDescent="0.2">
      <c r="A9622" s="18"/>
      <c r="B9622" s="18"/>
      <c r="C9622" s="18"/>
      <c r="D9622" s="18"/>
      <c r="E9622" s="18"/>
      <c r="F9622" s="18"/>
      <c r="G9622" s="18"/>
      <c r="H9622" s="18"/>
      <c r="I9622" s="18"/>
      <c r="J9622" s="18"/>
      <c r="K9622" s="18"/>
      <c r="L9622" s="18"/>
      <c r="M9622" s="18"/>
      <c r="N9622" s="18"/>
      <c r="O9622" s="14" t="str">
        <f>HYPERLINK("https://otsuka-europe-crm.veevavault.com/ui/#object/email_activity__v/V8C00000003V641", "EN-002096037")</f>
        <v>EN-002096037</v>
      </c>
    </row>
    <row r="9623" spans="1:15" ht="16" x14ac:dyDescent="0.2">
      <c r="A9623" s="19"/>
      <c r="B9623" s="19"/>
      <c r="C9623" s="19"/>
      <c r="D9623" s="19"/>
      <c r="E9623" s="19"/>
      <c r="F9623" s="19"/>
      <c r="G9623" s="19"/>
      <c r="H9623" s="19"/>
      <c r="I9623" s="19"/>
      <c r="J9623" s="19"/>
      <c r="K9623" s="19"/>
      <c r="L9623" s="19"/>
      <c r="M9623" s="19"/>
      <c r="N9623" s="19"/>
      <c r="O9623" s="14" t="str">
        <f>HYPERLINK("https://otsuka-europe-crm.veevavault.com/ui/#object/email_activity__v/V8C00000003W148", "EN-002096930")</f>
        <v>EN-002096930</v>
      </c>
    </row>
    <row r="9624" spans="1:15" ht="32" x14ac:dyDescent="0.2">
      <c r="A9624" s="7" t="str">
        <f>HYPERLINK("https://otsuka-europe-crm.veevavault.com/ui/#object/account__v/V4TZ06G6OB4E0BD", "Adebimpe Fagbenro")</f>
        <v>Adebimpe Fagbenro</v>
      </c>
      <c r="B9624" s="7" t="str">
        <f>HYPERLINK("https://otsuka-europe-crm.veevavault.com/ui/#object/vcountry__v/VENZ000004SONFK", "GB")</f>
        <v>GB</v>
      </c>
      <c r="C9624" s="8" t="s">
        <v>39</v>
      </c>
      <c r="D9624" s="9" t="str">
        <f>HYPERLINK("https://otsuka-europe-crm.veevavault.com/ui/#object/approved_document__v/V5O00000001H005", "LDM DR P2P Invite 23-Jun-26 [digital]")</f>
        <v>LDM DR P2P Invite 23-Jun-26 [digital]</v>
      </c>
      <c r="E9624" s="10" t="str">
        <f>HYPERLINK("https://otsuka-europe-crm.veevavault.com/ui/#object/sent_email__v/VBL00000002U228", "SE-001436008")</f>
        <v>SE-001436008</v>
      </c>
      <c r="F9624" s="11"/>
      <c r="G9624" s="12">
        <v>0</v>
      </c>
      <c r="H9624" s="12">
        <v>0</v>
      </c>
      <c r="I9624" s="12">
        <v>0</v>
      </c>
      <c r="J9624" s="11"/>
      <c r="K9624" s="12">
        <v>0</v>
      </c>
      <c r="L9624" s="10" t="str">
        <f>HYPERLINK("https://otsuka-europe-crm.veevavault.com/ui/#object/approved_document__v/V5O00000001H005", "LDM DR P2P Invite 23-Jun-26 [digital]")</f>
        <v>LDM DR P2P Invite 23-Jun-26 [digital]</v>
      </c>
      <c r="M9624" s="10" t="str">
        <f>HYPERLINK("mailto:ldimambro@crm.otsuka-europe.com", "ldimambro@crm.otsuka-europe.com")</f>
        <v>ldimambro@crm.otsuka-europe.com</v>
      </c>
      <c r="N9624" s="13">
        <v>46188.517881944441</v>
      </c>
      <c r="O9624" s="14" t="str">
        <f>HYPERLINK("https://otsuka-europe-crm.veevavault.com/ui/#object/email_activity__v/V8C00000003V630", "EN-002096026")</f>
        <v>EN-002096026</v>
      </c>
    </row>
    <row r="9625" spans="1:15" ht="16" x14ac:dyDescent="0.2">
      <c r="A9625" s="17" t="str">
        <f>HYPERLINK("https://otsuka-europe-crm.veevavault.com/ui/#object/account__v/V4TZ0000062PDAA", "Anirban Bhowmick")</f>
        <v>Anirban Bhowmick</v>
      </c>
      <c r="B9625" s="17" t="str">
        <f>HYPERLINK("https://otsuka-europe-crm.veevavault.com/ui/#object/vcountry__v/VENZ000004SONFK", "GB")</f>
        <v>GB</v>
      </c>
      <c r="C9625" s="20" t="s">
        <v>39</v>
      </c>
      <c r="D9625" s="21" t="str">
        <f>HYPERLINK("https://otsuka-europe-crm.veevavault.com/ui/#object/approved_document__v/V5O00000001H005", "LDM DR P2P Invite 23-Jun-26 [digital]")</f>
        <v>LDM DR P2P Invite 23-Jun-26 [digital]</v>
      </c>
      <c r="E9625" s="22" t="str">
        <f>HYPERLINK("https://otsuka-europe-crm.veevavault.com/ui/#object/sent_email__v/VBL00000002U229", "SE-001436009")</f>
        <v>SE-001436009</v>
      </c>
      <c r="F9625" s="23">
        <v>46191.586597222224</v>
      </c>
      <c r="G9625" s="24">
        <v>1</v>
      </c>
      <c r="H9625" s="24">
        <v>2</v>
      </c>
      <c r="I9625" s="24">
        <v>0</v>
      </c>
      <c r="J9625" s="25"/>
      <c r="K9625" s="24">
        <v>0</v>
      </c>
      <c r="L9625" s="22" t="str">
        <f>HYPERLINK("https://otsuka-europe-crm.veevavault.com/ui/#object/approved_document__v/V5O00000001H005", "LDM DR P2P Invite 23-Jun-26 [digital]")</f>
        <v>LDM DR P2P Invite 23-Jun-26 [digital]</v>
      </c>
      <c r="M9625" s="22" t="str">
        <f>HYPERLINK("mailto:ldimambro@crm.otsuka-europe.com", "ldimambro@crm.otsuka-europe.com")</f>
        <v>ldimambro@crm.otsuka-europe.com</v>
      </c>
      <c r="N9625" s="23">
        <v>46188.517881944441</v>
      </c>
      <c r="O9625" s="14" t="str">
        <f>HYPERLINK("https://otsuka-europe-crm.veevavault.com/ui/#object/email_activity__v/V8C00000003V618", "EN-002096014")</f>
        <v>EN-002096014</v>
      </c>
    </row>
    <row r="9626" spans="1:15" ht="16" x14ac:dyDescent="0.2">
      <c r="A9626" s="18"/>
      <c r="B9626" s="18"/>
      <c r="C9626" s="18"/>
      <c r="D9626" s="18"/>
      <c r="E9626" s="18"/>
      <c r="F9626" s="18"/>
      <c r="G9626" s="18"/>
      <c r="H9626" s="18"/>
      <c r="I9626" s="18"/>
      <c r="J9626" s="18"/>
      <c r="K9626" s="18"/>
      <c r="L9626" s="18"/>
      <c r="M9626" s="18"/>
      <c r="N9626" s="18"/>
      <c r="O9626" s="14" t="str">
        <f>HYPERLINK("https://otsuka-europe-crm.veevavault.com/ui/#object/email_activity__v/V8C00000003W800", "EN-002098610")</f>
        <v>EN-002098610</v>
      </c>
    </row>
    <row r="9627" spans="1:15" ht="16" x14ac:dyDescent="0.2">
      <c r="A9627" s="18"/>
      <c r="B9627" s="18"/>
      <c r="C9627" s="18"/>
      <c r="D9627" s="18"/>
      <c r="E9627" s="18"/>
      <c r="F9627" s="18"/>
      <c r="G9627" s="18"/>
      <c r="H9627" s="18"/>
      <c r="I9627" s="18"/>
      <c r="J9627" s="18"/>
      <c r="K9627" s="18"/>
      <c r="L9627" s="18"/>
      <c r="M9627" s="18"/>
      <c r="N9627" s="18"/>
      <c r="O9627" s="14" t="str">
        <f>HYPERLINK("https://otsuka-europe-crm.veevavault.com/ui/#object/email_activity__v/V8C00000003W801", "EN-002098611")</f>
        <v>EN-002098611</v>
      </c>
    </row>
    <row r="9628" spans="1:15" ht="16" x14ac:dyDescent="0.2">
      <c r="A9628" s="19"/>
      <c r="B9628" s="19"/>
      <c r="C9628" s="19"/>
      <c r="D9628" s="19"/>
      <c r="E9628" s="19"/>
      <c r="F9628" s="19"/>
      <c r="G9628" s="19"/>
      <c r="H9628" s="19"/>
      <c r="I9628" s="19"/>
      <c r="J9628" s="19"/>
      <c r="K9628" s="19"/>
      <c r="L9628" s="19"/>
      <c r="M9628" s="19"/>
      <c r="N9628" s="19"/>
      <c r="O9628" s="14" t="str">
        <f>HYPERLINK("https://otsuka-europe-crm.veevavault.com/ui/#object/email_activity__v/V8C000000040363", "EN-002099323")</f>
        <v>EN-002099323</v>
      </c>
    </row>
    <row r="9629" spans="1:15" ht="32" x14ac:dyDescent="0.2">
      <c r="A9629" s="7" t="str">
        <f>HYPERLINK("https://otsuka-europe-crm.veevavault.com/ui/#object/account__v/V4TZ0000062PH6R", "Anthonia Olayinka")</f>
        <v>Anthonia Olayinka</v>
      </c>
      <c r="B9629" s="7" t="str">
        <f>HYPERLINK("https://otsuka-europe-crm.veevavault.com/ui/#object/vcountry__v/VENZ000004SONFK", "GB")</f>
        <v>GB</v>
      </c>
      <c r="C9629" s="8" t="s">
        <v>39</v>
      </c>
      <c r="D9629" s="9" t="str">
        <f>HYPERLINK("https://otsuka-europe-crm.veevavault.com/ui/#object/approved_document__v/V5O00000001H005", "LDM DR P2P Invite 23-Jun-26 [digital]")</f>
        <v>LDM DR P2P Invite 23-Jun-26 [digital]</v>
      </c>
      <c r="E9629" s="10" t="str">
        <f>HYPERLINK("https://otsuka-europe-crm.veevavault.com/ui/#object/sent_email__v/VBL00000002U230", "SE-001436010")</f>
        <v>SE-001436010</v>
      </c>
      <c r="F9629" s="11"/>
      <c r="G9629" s="12">
        <v>0</v>
      </c>
      <c r="H9629" s="12">
        <v>0</v>
      </c>
      <c r="I9629" s="12">
        <v>0</v>
      </c>
      <c r="J9629" s="11"/>
      <c r="K9629" s="12">
        <v>0</v>
      </c>
      <c r="L9629" s="10" t="str">
        <f>HYPERLINK("https://otsuka-europe-crm.veevavault.com/ui/#object/approved_document__v/V5O00000001H005", "LDM DR P2P Invite 23-Jun-26 [digital]")</f>
        <v>LDM DR P2P Invite 23-Jun-26 [digital]</v>
      </c>
      <c r="M9629" s="10" t="str">
        <f>HYPERLINK("mailto:ldimambro@crm.otsuka-europe.com", "ldimambro@crm.otsuka-europe.com")</f>
        <v>ldimambro@crm.otsuka-europe.com</v>
      </c>
      <c r="N9629" s="13">
        <v>46188.517881944441</v>
      </c>
      <c r="O9629" s="14" t="str">
        <f>HYPERLINK("https://otsuka-europe-crm.veevavault.com/ui/#object/email_activity__v/V8C00000003V624", "EN-002096020")</f>
        <v>EN-002096020</v>
      </c>
    </row>
    <row r="9630" spans="1:15" ht="32" x14ac:dyDescent="0.2">
      <c r="A9630" s="7" t="str">
        <f>HYPERLINK("https://otsuka-europe-crm.veevavault.com/ui/#object/account__v/V4TZ04ASG7A5VH2", "Bernard Adubofour")</f>
        <v>Bernard Adubofour</v>
      </c>
      <c r="B9630" s="7" t="str">
        <f>HYPERLINK("https://otsuka-europe-crm.veevavault.com/ui/#object/vcountry__v/VENZ000004SONFK", "GB")</f>
        <v>GB</v>
      </c>
      <c r="C9630" s="8" t="s">
        <v>39</v>
      </c>
      <c r="D9630" s="9" t="str">
        <f>HYPERLINK("https://otsuka-europe-crm.veevavault.com/ui/#object/approved_document__v/V5O00000001H005", "LDM DR P2P Invite 23-Jun-26 [digital]")</f>
        <v>LDM DR P2P Invite 23-Jun-26 [digital]</v>
      </c>
      <c r="E9630" s="10" t="str">
        <f>HYPERLINK("https://otsuka-europe-crm.veevavault.com/ui/#object/sent_email__v/VBL00000002U231", "SE-001436011")</f>
        <v>SE-001436011</v>
      </c>
      <c r="F9630" s="11"/>
      <c r="G9630" s="12">
        <v>0</v>
      </c>
      <c r="H9630" s="12">
        <v>0</v>
      </c>
      <c r="I9630" s="12">
        <v>0</v>
      </c>
      <c r="J9630" s="11"/>
      <c r="K9630" s="12">
        <v>0</v>
      </c>
      <c r="L9630" s="10" t="str">
        <f>HYPERLINK("https://otsuka-europe-crm.veevavault.com/ui/#object/approved_document__v/V5O00000001H005", "LDM DR P2P Invite 23-Jun-26 [digital]")</f>
        <v>LDM DR P2P Invite 23-Jun-26 [digital]</v>
      </c>
      <c r="M9630" s="10" t="str">
        <f>HYPERLINK("mailto:ldimambro@crm.otsuka-europe.com", "ldimambro@crm.otsuka-europe.com")</f>
        <v>ldimambro@crm.otsuka-europe.com</v>
      </c>
      <c r="N9630" s="13">
        <v>46188.517881944441</v>
      </c>
      <c r="O9630" s="14" t="str">
        <f>HYPERLINK("https://otsuka-europe-crm.veevavault.com/ui/#object/email_activity__v/V8C00000003V626", "EN-002096022")</f>
        <v>EN-002096022</v>
      </c>
    </row>
    <row r="9631" spans="1:15" ht="32" x14ac:dyDescent="0.2">
      <c r="A9631" s="7" t="str">
        <f>HYPERLINK("https://otsuka-europe-crm.veevavault.com/ui/#object/account__v/V4TZ04ASGBZXVTA", "Bose Kadiri")</f>
        <v>Bose Kadiri</v>
      </c>
      <c r="B9631" s="7" t="str">
        <f>HYPERLINK("https://otsuka-europe-crm.veevavault.com/ui/#object/vcountry__v/VENZ000004SONFK", "GB")</f>
        <v>GB</v>
      </c>
      <c r="C9631" s="8" t="s">
        <v>39</v>
      </c>
      <c r="D9631" s="9" t="str">
        <f>HYPERLINK("https://otsuka-europe-crm.veevavault.com/ui/#object/approved_document__v/V5O00000001H005", "LDM DR P2P Invite 23-Jun-26 [digital]")</f>
        <v>LDM DR P2P Invite 23-Jun-26 [digital]</v>
      </c>
      <c r="E9631" s="10" t="str">
        <f>HYPERLINK("https://otsuka-europe-crm.veevavault.com/ui/#object/sent_email__v/VBL00000002U232", "SE-001436012")</f>
        <v>SE-001436012</v>
      </c>
      <c r="F9631" s="11"/>
      <c r="G9631" s="12">
        <v>0</v>
      </c>
      <c r="H9631" s="12">
        <v>0</v>
      </c>
      <c r="I9631" s="12">
        <v>0</v>
      </c>
      <c r="J9631" s="11"/>
      <c r="K9631" s="12">
        <v>0</v>
      </c>
      <c r="L9631" s="10" t="str">
        <f>HYPERLINK("https://otsuka-europe-crm.veevavault.com/ui/#object/approved_document__v/V5O00000001H005", "LDM DR P2P Invite 23-Jun-26 [digital]")</f>
        <v>LDM DR P2P Invite 23-Jun-26 [digital]</v>
      </c>
      <c r="M9631" s="10" t="str">
        <f>HYPERLINK("mailto:ldimambro@crm.otsuka-europe.com", "ldimambro@crm.otsuka-europe.com")</f>
        <v>ldimambro@crm.otsuka-europe.com</v>
      </c>
      <c r="N9631" s="13">
        <v>46188.517881944441</v>
      </c>
      <c r="O9631" s="14" t="str">
        <f>HYPERLINK("https://otsuka-europe-crm.veevavault.com/ui/#object/email_activity__v/V8C00000003V629", "EN-002096025")</f>
        <v>EN-002096025</v>
      </c>
    </row>
    <row r="9632" spans="1:15" ht="32" x14ac:dyDescent="0.2">
      <c r="A9632" s="7" t="str">
        <f>HYPERLINK("https://otsuka-europe-crm.veevavault.com/ui/#object/account__v/V4TZ0000062PL6C", "Alan Lundy")</f>
        <v>Alan Lundy</v>
      </c>
      <c r="B9632" s="7" t="str">
        <f>HYPERLINK("https://otsuka-europe-crm.veevavault.com/ui/#object/vcountry__v/VENZ000004SONFK", "GB")</f>
        <v>GB</v>
      </c>
      <c r="C9632" s="8" t="s">
        <v>39</v>
      </c>
      <c r="D9632" s="9" t="str">
        <f>HYPERLINK("https://otsuka-europe-crm.veevavault.com/ui/#object/approved_document__v/V5O00000001H005", "LDM DR P2P Invite 23-Jun-26 [digital]")</f>
        <v>LDM DR P2P Invite 23-Jun-26 [digital]</v>
      </c>
      <c r="E9632" s="10" t="str">
        <f>HYPERLINK("https://otsuka-europe-crm.veevavault.com/ui/#object/sent_email__v/VBL00000002U233", "SE-001436013")</f>
        <v>SE-001436013</v>
      </c>
      <c r="F9632" s="11"/>
      <c r="G9632" s="12">
        <v>0</v>
      </c>
      <c r="H9632" s="12">
        <v>0</v>
      </c>
      <c r="I9632" s="12">
        <v>0</v>
      </c>
      <c r="J9632" s="11"/>
      <c r="K9632" s="12">
        <v>0</v>
      </c>
      <c r="L9632" s="10" t="str">
        <f>HYPERLINK("https://otsuka-europe-crm.veevavault.com/ui/#object/approved_document__v/V5O00000001H005", "LDM DR P2P Invite 23-Jun-26 [digital]")</f>
        <v>LDM DR P2P Invite 23-Jun-26 [digital]</v>
      </c>
      <c r="M9632" s="10" t="str">
        <f>HYPERLINK("mailto:ldimambro@crm.otsuka-europe.com", "ldimambro@crm.otsuka-europe.com")</f>
        <v>ldimambro@crm.otsuka-europe.com</v>
      </c>
      <c r="N9632" s="13">
        <v>46188.517881944441</v>
      </c>
      <c r="O9632" s="14" t="str">
        <f>HYPERLINK("https://otsuka-europe-crm.veevavault.com/ui/#object/email_activity__v/V8C00000003V634", "EN-002096030")</f>
        <v>EN-002096030</v>
      </c>
    </row>
    <row r="9633" spans="1:15" ht="16" x14ac:dyDescent="0.2">
      <c r="A9633" s="17" t="str">
        <f>HYPERLINK("https://otsuka-europe-crm.veevavault.com/ui/#object/account__v/V4TZ025E83HK2VP", "Alistair Grandison")</f>
        <v>Alistair Grandison</v>
      </c>
      <c r="B9633" s="17" t="str">
        <f>HYPERLINK("https://otsuka-europe-crm.veevavault.com/ui/#object/vcountry__v/VENZ000004SONFK", "GB")</f>
        <v>GB</v>
      </c>
      <c r="C9633" s="20" t="s">
        <v>39</v>
      </c>
      <c r="D9633" s="21" t="str">
        <f>HYPERLINK("https://otsuka-europe-crm.veevavault.com/ui/#object/approved_document__v/V5O00000001H005", "LDM DR P2P Invite 23-Jun-26 [digital]")</f>
        <v>LDM DR P2P Invite 23-Jun-26 [digital]</v>
      </c>
      <c r="E9633" s="22" t="str">
        <f>HYPERLINK("https://otsuka-europe-crm.veevavault.com/ui/#object/sent_email__v/VBL00000002U234", "SE-001436014")</f>
        <v>SE-001436014</v>
      </c>
      <c r="F9633" s="23">
        <v>46188.529224537036</v>
      </c>
      <c r="G9633" s="24">
        <v>1</v>
      </c>
      <c r="H9633" s="24">
        <v>1</v>
      </c>
      <c r="I9633" s="24">
        <v>0</v>
      </c>
      <c r="J9633" s="25"/>
      <c r="K9633" s="24">
        <v>0</v>
      </c>
      <c r="L9633" s="22" t="str">
        <f>HYPERLINK("https://otsuka-europe-crm.veevavault.com/ui/#object/approved_document__v/V5O00000001H005", "LDM DR P2P Invite 23-Jun-26 [digital]")</f>
        <v>LDM DR P2P Invite 23-Jun-26 [digital]</v>
      </c>
      <c r="M9633" s="22" t="str">
        <f>HYPERLINK("mailto:ldimambro@crm.otsuka-europe.com", "ldimambro@crm.otsuka-europe.com")</f>
        <v>ldimambro@crm.otsuka-europe.com</v>
      </c>
      <c r="N9633" s="23">
        <v>46188.517870370371</v>
      </c>
      <c r="O9633" s="14" t="str">
        <f>HYPERLINK("https://otsuka-europe-crm.veevavault.com/ui/#object/email_activity__v/V8C00000003U628", "EN-002096127")</f>
        <v>EN-002096127</v>
      </c>
    </row>
    <row r="9634" spans="1:15" ht="16" x14ac:dyDescent="0.2">
      <c r="A9634" s="19"/>
      <c r="B9634" s="19"/>
      <c r="C9634" s="19"/>
      <c r="D9634" s="19"/>
      <c r="E9634" s="19"/>
      <c r="F9634" s="19"/>
      <c r="G9634" s="19"/>
      <c r="H9634" s="19"/>
      <c r="I9634" s="19"/>
      <c r="J9634" s="19"/>
      <c r="K9634" s="19"/>
      <c r="L9634" s="19"/>
      <c r="M9634" s="19"/>
      <c r="N9634" s="19"/>
      <c r="O9634" s="14" t="str">
        <f>HYPERLINK("https://otsuka-europe-crm.veevavault.com/ui/#object/email_activity__v/V8C00000003V609", "EN-002096005")</f>
        <v>EN-002096005</v>
      </c>
    </row>
    <row r="9635" spans="1:15" ht="32" x14ac:dyDescent="0.2">
      <c r="A9635" s="7" t="str">
        <f>HYPERLINK("https://otsuka-europe-crm.veevavault.com/ui/#object/account__v/V4TZ06G6OB48Z4P", "Bini Thomas")</f>
        <v>Bini Thomas</v>
      </c>
      <c r="B9635" s="7" t="str">
        <f t="shared" ref="B9635:B9640" si="718">HYPERLINK("https://otsuka-europe-crm.veevavault.com/ui/#object/vcountry__v/VENZ000004SONFK", "GB")</f>
        <v>GB</v>
      </c>
      <c r="C9635" s="8" t="s">
        <v>39</v>
      </c>
      <c r="D9635" s="9" t="str">
        <f t="shared" ref="D9635:D9640" si="719">HYPERLINK("https://otsuka-europe-crm.veevavault.com/ui/#object/approved_document__v/V5O00000001H005", "LDM DR P2P Invite 23-Jun-26 [digital]")</f>
        <v>LDM DR P2P Invite 23-Jun-26 [digital]</v>
      </c>
      <c r="E9635" s="10" t="str">
        <f>HYPERLINK("https://otsuka-europe-crm.veevavault.com/ui/#object/sent_email__v/VBL00000002U235", "SE-001436015")</f>
        <v>SE-001436015</v>
      </c>
      <c r="F9635" s="11"/>
      <c r="G9635" s="12">
        <v>0</v>
      </c>
      <c r="H9635" s="12">
        <v>0</v>
      </c>
      <c r="I9635" s="12">
        <v>0</v>
      </c>
      <c r="J9635" s="11"/>
      <c r="K9635" s="12">
        <v>0</v>
      </c>
      <c r="L9635" s="10" t="str">
        <f t="shared" ref="L9635:L9640" si="720">HYPERLINK("https://otsuka-europe-crm.veevavault.com/ui/#object/approved_document__v/V5O00000001H005", "LDM DR P2P Invite 23-Jun-26 [digital]")</f>
        <v>LDM DR P2P Invite 23-Jun-26 [digital]</v>
      </c>
      <c r="M9635" s="10" t="str">
        <f t="shared" ref="M9635:M9640" si="721">HYPERLINK("mailto:ldimambro@crm.otsuka-europe.com", "ldimambro@crm.otsuka-europe.com")</f>
        <v>ldimambro@crm.otsuka-europe.com</v>
      </c>
      <c r="N9635" s="13">
        <v>46188.517870370371</v>
      </c>
      <c r="O9635" s="14" t="str">
        <f>HYPERLINK("https://otsuka-europe-crm.veevavault.com/ui/#object/email_activity__v/V8C00000003V608", "EN-002096004")</f>
        <v>EN-002096004</v>
      </c>
    </row>
    <row r="9636" spans="1:15" ht="32" x14ac:dyDescent="0.2">
      <c r="A9636" s="7" t="str">
        <f>HYPERLINK("https://otsuka-europe-crm.veevavault.com/ui/#object/account__v/V4TZ0000062PBJX", "Amit Sharma")</f>
        <v>Amit Sharma</v>
      </c>
      <c r="B9636" s="7" t="str">
        <f t="shared" si="718"/>
        <v>GB</v>
      </c>
      <c r="C9636" s="8" t="s">
        <v>39</v>
      </c>
      <c r="D9636" s="9" t="str">
        <f t="shared" si="719"/>
        <v>LDM DR P2P Invite 23-Jun-26 [digital]</v>
      </c>
      <c r="E9636" s="10" t="str">
        <f>HYPERLINK("https://otsuka-europe-crm.veevavault.com/ui/#object/sent_email__v/VBL00000002U236", "SE-001436016")</f>
        <v>SE-001436016</v>
      </c>
      <c r="F9636" s="11"/>
      <c r="G9636" s="12">
        <v>0</v>
      </c>
      <c r="H9636" s="12">
        <v>0</v>
      </c>
      <c r="I9636" s="12">
        <v>0</v>
      </c>
      <c r="J9636" s="11"/>
      <c r="K9636" s="12">
        <v>0</v>
      </c>
      <c r="L9636" s="10" t="str">
        <f t="shared" si="720"/>
        <v>LDM DR P2P Invite 23-Jun-26 [digital]</v>
      </c>
      <c r="M9636" s="10" t="str">
        <f t="shared" si="721"/>
        <v>ldimambro@crm.otsuka-europe.com</v>
      </c>
      <c r="N9636" s="13">
        <v>46188.517881944441</v>
      </c>
      <c r="O9636" s="14" t="str">
        <f>HYPERLINK("https://otsuka-europe-crm.veevavault.com/ui/#object/email_activity__v/V8C00000003V623", "EN-002096019")</f>
        <v>EN-002096019</v>
      </c>
    </row>
    <row r="9637" spans="1:15" ht="32" x14ac:dyDescent="0.2">
      <c r="A9637" s="7" t="str">
        <f>HYPERLINK("https://otsuka-europe-crm.veevavault.com/ui/#object/account__v/V4TZ04ASG95MM2P", "Akinkunmi Odutola")</f>
        <v>Akinkunmi Odutola</v>
      </c>
      <c r="B9637" s="7" t="str">
        <f t="shared" si="718"/>
        <v>GB</v>
      </c>
      <c r="C9637" s="8" t="s">
        <v>39</v>
      </c>
      <c r="D9637" s="9" t="str">
        <f t="shared" si="719"/>
        <v>LDM DR P2P Invite 23-Jun-26 [digital]</v>
      </c>
      <c r="E9637" s="10" t="str">
        <f>HYPERLINK("https://otsuka-europe-crm.veevavault.com/ui/#object/sent_email__v/VBL00000002U237", "SE-001436017")</f>
        <v>SE-001436017</v>
      </c>
      <c r="F9637" s="11"/>
      <c r="G9637" s="12">
        <v>0</v>
      </c>
      <c r="H9637" s="12">
        <v>0</v>
      </c>
      <c r="I9637" s="12">
        <v>0</v>
      </c>
      <c r="J9637" s="11"/>
      <c r="K9637" s="12">
        <v>0</v>
      </c>
      <c r="L9637" s="10" t="str">
        <f t="shared" si="720"/>
        <v>LDM DR P2P Invite 23-Jun-26 [digital]</v>
      </c>
      <c r="M9637" s="10" t="str">
        <f t="shared" si="721"/>
        <v>ldimambro@crm.otsuka-europe.com</v>
      </c>
      <c r="N9637" s="13">
        <v>46188.517881944441</v>
      </c>
      <c r="O9637" s="14" t="str">
        <f>HYPERLINK("https://otsuka-europe-crm.veevavault.com/ui/#object/email_activity__v/V8C00000003V619", "EN-002096015")</f>
        <v>EN-002096015</v>
      </c>
    </row>
    <row r="9638" spans="1:15" ht="32" x14ac:dyDescent="0.2">
      <c r="A9638" s="7" t="str">
        <f>HYPERLINK("https://otsuka-europe-crm.veevavault.com/ui/#object/account__v/V4TZ06G6OB4B9PR", "Beryl Mbuntum Navti")</f>
        <v>Beryl Mbuntum Navti</v>
      </c>
      <c r="B9638" s="7" t="str">
        <f t="shared" si="718"/>
        <v>GB</v>
      </c>
      <c r="C9638" s="8" t="s">
        <v>39</v>
      </c>
      <c r="D9638" s="9" t="str">
        <f t="shared" si="719"/>
        <v>LDM DR P2P Invite 23-Jun-26 [digital]</v>
      </c>
      <c r="E9638" s="10" t="str">
        <f>HYPERLINK("https://otsuka-europe-crm.veevavault.com/ui/#object/sent_email__v/VBL00000002U238", "SE-001436018")</f>
        <v>SE-001436018</v>
      </c>
      <c r="F9638" s="11"/>
      <c r="G9638" s="12">
        <v>0</v>
      </c>
      <c r="H9638" s="12">
        <v>0</v>
      </c>
      <c r="I9638" s="12">
        <v>0</v>
      </c>
      <c r="J9638" s="11"/>
      <c r="K9638" s="12">
        <v>0</v>
      </c>
      <c r="L9638" s="10" t="str">
        <f t="shared" si="720"/>
        <v>LDM DR P2P Invite 23-Jun-26 [digital]</v>
      </c>
      <c r="M9638" s="10" t="str">
        <f t="shared" si="721"/>
        <v>ldimambro@crm.otsuka-europe.com</v>
      </c>
      <c r="N9638" s="13">
        <v>46188.517916666664</v>
      </c>
      <c r="O9638" s="14" t="str">
        <f>HYPERLINK("https://otsuka-europe-crm.veevavault.com/ui/#object/email_activity__v/V8C00000003V603", "EN-002095999")</f>
        <v>EN-002095999</v>
      </c>
    </row>
    <row r="9639" spans="1:15" ht="32" x14ac:dyDescent="0.2">
      <c r="A9639" s="7" t="str">
        <f>HYPERLINK("https://otsuka-europe-crm.veevavault.com/ui/#object/account__v/V4TZ04ASG79ZOAY", "Alfred Katokpa")</f>
        <v>Alfred Katokpa</v>
      </c>
      <c r="B9639" s="7" t="str">
        <f t="shared" si="718"/>
        <v>GB</v>
      </c>
      <c r="C9639" s="8" t="s">
        <v>39</v>
      </c>
      <c r="D9639" s="9" t="str">
        <f t="shared" si="719"/>
        <v>LDM DR P2P Invite 23-Jun-26 [digital]</v>
      </c>
      <c r="E9639" s="10" t="str">
        <f>HYPERLINK("https://otsuka-europe-crm.veevavault.com/ui/#object/sent_email__v/VBL00000002U239", "SE-001436019")</f>
        <v>SE-001436019</v>
      </c>
      <c r="F9639" s="11"/>
      <c r="G9639" s="12">
        <v>0</v>
      </c>
      <c r="H9639" s="12">
        <v>0</v>
      </c>
      <c r="I9639" s="12">
        <v>0</v>
      </c>
      <c r="J9639" s="11"/>
      <c r="K9639" s="12">
        <v>0</v>
      </c>
      <c r="L9639" s="10" t="str">
        <f t="shared" si="720"/>
        <v>LDM DR P2P Invite 23-Jun-26 [digital]</v>
      </c>
      <c r="M9639" s="10" t="str">
        <f t="shared" si="721"/>
        <v>ldimambro@crm.otsuka-europe.com</v>
      </c>
      <c r="N9639" s="13">
        <v>46188.517881944441</v>
      </c>
      <c r="O9639" s="14" t="str">
        <f>HYPERLINK("https://otsuka-europe-crm.veevavault.com/ui/#object/email_activity__v/V8C00000003V620", "EN-002096016")</f>
        <v>EN-002096016</v>
      </c>
    </row>
    <row r="9640" spans="1:15" ht="16" x14ac:dyDescent="0.2">
      <c r="A9640" s="17" t="str">
        <f>HYPERLINK("https://otsuka-europe-crm.veevavault.com/ui/#object/account__v/V4TZ0000062PE08", "Bomo Francis")</f>
        <v>Bomo Francis</v>
      </c>
      <c r="B9640" s="17" t="str">
        <f t="shared" si="718"/>
        <v>GB</v>
      </c>
      <c r="C9640" s="20" t="s">
        <v>39</v>
      </c>
      <c r="D9640" s="21" t="str">
        <f t="shared" si="719"/>
        <v>LDM DR P2P Invite 23-Jun-26 [digital]</v>
      </c>
      <c r="E9640" s="22" t="str">
        <f>HYPERLINK("https://otsuka-europe-crm.veevavault.com/ui/#object/sent_email__v/VBL00000002U240", "SE-001436020")</f>
        <v>SE-001436020</v>
      </c>
      <c r="F9640" s="23">
        <v>46188.522870370369</v>
      </c>
      <c r="G9640" s="24">
        <v>1</v>
      </c>
      <c r="H9640" s="24">
        <v>1</v>
      </c>
      <c r="I9640" s="24">
        <v>0</v>
      </c>
      <c r="J9640" s="25"/>
      <c r="K9640" s="24">
        <v>0</v>
      </c>
      <c r="L9640" s="22" t="str">
        <f t="shared" si="720"/>
        <v>LDM DR P2P Invite 23-Jun-26 [digital]</v>
      </c>
      <c r="M9640" s="22" t="str">
        <f t="shared" si="721"/>
        <v>ldimambro@crm.otsuka-europe.com</v>
      </c>
      <c r="N9640" s="23">
        <v>46188.517881944441</v>
      </c>
      <c r="O9640" s="14" t="str">
        <f>HYPERLINK("https://otsuka-europe-crm.veevavault.com/ui/#object/email_activity__v/V8C00000003U604", "EN-002096077")</f>
        <v>EN-002096077</v>
      </c>
    </row>
    <row r="9641" spans="1:15" ht="16" x14ac:dyDescent="0.2">
      <c r="A9641" s="19"/>
      <c r="B9641" s="19"/>
      <c r="C9641" s="19"/>
      <c r="D9641" s="19"/>
      <c r="E9641" s="19"/>
      <c r="F9641" s="19"/>
      <c r="G9641" s="19"/>
      <c r="H9641" s="19"/>
      <c r="I9641" s="19"/>
      <c r="J9641" s="19"/>
      <c r="K9641" s="19"/>
      <c r="L9641" s="19"/>
      <c r="M9641" s="19"/>
      <c r="N9641" s="19"/>
      <c r="O9641" s="14" t="str">
        <f>HYPERLINK("https://otsuka-europe-crm.veevavault.com/ui/#object/email_activity__v/V8C00000003V625", "EN-002096021")</f>
        <v>EN-002096021</v>
      </c>
    </row>
    <row r="9642" spans="1:15" ht="32" x14ac:dyDescent="0.2">
      <c r="A9642" s="7" t="str">
        <f>HYPERLINK("https://otsuka-europe-crm.veevavault.com/ui/#object/account__v/V4TZ06G6O9VFMKQ", "Bindu Gurung")</f>
        <v>Bindu Gurung</v>
      </c>
      <c r="B9642" s="7" t="str">
        <f>HYPERLINK("https://otsuka-europe-crm.veevavault.com/ui/#object/vcountry__v/VENZ000004SONFK", "GB")</f>
        <v>GB</v>
      </c>
      <c r="C9642" s="8" t="s">
        <v>39</v>
      </c>
      <c r="D9642" s="9" t="str">
        <f>HYPERLINK("https://otsuka-europe-crm.veevavault.com/ui/#object/approved_document__v/V5O00000001H005", "LDM DR P2P Invite 23-Jun-26 [digital]")</f>
        <v>LDM DR P2P Invite 23-Jun-26 [digital]</v>
      </c>
      <c r="E9642" s="10" t="str">
        <f>HYPERLINK("https://otsuka-europe-crm.veevavault.com/ui/#object/sent_email__v/VBL00000002U241", "SE-001436021")</f>
        <v>SE-001436021</v>
      </c>
      <c r="F9642" s="11"/>
      <c r="G9642" s="12">
        <v>0</v>
      </c>
      <c r="H9642" s="12">
        <v>0</v>
      </c>
      <c r="I9642" s="12">
        <v>0</v>
      </c>
      <c r="J9642" s="11"/>
      <c r="K9642" s="12">
        <v>0</v>
      </c>
      <c r="L9642" s="10" t="str">
        <f>HYPERLINK("https://otsuka-europe-crm.veevavault.com/ui/#object/approved_document__v/V5O00000001H005", "LDM DR P2P Invite 23-Jun-26 [digital]")</f>
        <v>LDM DR P2P Invite 23-Jun-26 [digital]</v>
      </c>
      <c r="M9642" s="10" t="str">
        <f>HYPERLINK("mailto:ldimambro@crm.otsuka-europe.com", "ldimambro@crm.otsuka-europe.com")</f>
        <v>ldimambro@crm.otsuka-europe.com</v>
      </c>
      <c r="N9642" s="13">
        <v>46188.517881944441</v>
      </c>
      <c r="O9642" s="14" t="str">
        <f>HYPERLINK("https://otsuka-europe-crm.veevavault.com/ui/#object/email_activity__v/V8C00000003V617", "EN-002096013")</f>
        <v>EN-002096013</v>
      </c>
    </row>
    <row r="9643" spans="1:15" ht="16" x14ac:dyDescent="0.2">
      <c r="A9643" s="17" t="str">
        <f>HYPERLINK("https://otsuka-europe-crm.veevavault.com/ui/#object/account__v/V4TZ0000062PHQ3", "Abdul Raoof")</f>
        <v>Abdul Raoof</v>
      </c>
      <c r="B9643" s="17" t="str">
        <f>HYPERLINK("https://otsuka-europe-crm.veevavault.com/ui/#object/vcountry__v/VENZ000004SONFK", "GB")</f>
        <v>GB</v>
      </c>
      <c r="C9643" s="20" t="s">
        <v>39</v>
      </c>
      <c r="D9643" s="21" t="str">
        <f>HYPERLINK("https://otsuka-europe-crm.veevavault.com/ui/#object/approved_document__v/V5O00000001H005", "LDM DR P2P Invite 23-Jun-26 [digital]")</f>
        <v>LDM DR P2P Invite 23-Jun-26 [digital]</v>
      </c>
      <c r="E9643" s="22" t="str">
        <f>HYPERLINK("https://otsuka-europe-crm.veevavault.com/ui/#object/sent_email__v/VBL00000002U242", "SE-001436022")</f>
        <v>SE-001436022</v>
      </c>
      <c r="F9643" s="25"/>
      <c r="G9643" s="24">
        <v>0</v>
      </c>
      <c r="H9643" s="24">
        <v>0</v>
      </c>
      <c r="I9643" s="24">
        <v>0</v>
      </c>
      <c r="J9643" s="25"/>
      <c r="K9643" s="24">
        <v>0</v>
      </c>
      <c r="L9643" s="22" t="str">
        <f>HYPERLINK("https://otsuka-europe-crm.veevavault.com/ui/#object/approved_document__v/V5O00000001H005", "LDM DR P2P Invite 23-Jun-26 [digital]")</f>
        <v>LDM DR P2P Invite 23-Jun-26 [digital]</v>
      </c>
      <c r="M9643" s="22" t="str">
        <f>HYPERLINK("mailto:ldimambro@crm.otsuka-europe.com", "ldimambro@crm.otsuka-europe.com")</f>
        <v>ldimambro@crm.otsuka-europe.com</v>
      </c>
      <c r="N9643" s="23">
        <v>46188.517881944441</v>
      </c>
      <c r="O9643" s="14" t="str">
        <f>HYPERLINK("https://otsuka-europe-crm.veevavault.com/ui/#object/email_activity__v/V8C00000003V612", "EN-002096008")</f>
        <v>EN-002096008</v>
      </c>
    </row>
    <row r="9644" spans="1:15" ht="16" x14ac:dyDescent="0.2">
      <c r="A9644" s="19"/>
      <c r="B9644" s="19"/>
      <c r="C9644" s="19"/>
      <c r="D9644" s="19"/>
      <c r="E9644" s="19"/>
      <c r="F9644" s="19"/>
      <c r="G9644" s="19"/>
      <c r="H9644" s="19"/>
      <c r="I9644" s="19"/>
      <c r="J9644" s="19"/>
      <c r="K9644" s="19"/>
      <c r="L9644" s="19"/>
      <c r="M9644" s="19"/>
      <c r="N9644" s="19"/>
      <c r="O9644" s="14" t="str">
        <f>HYPERLINK("https://otsuka-europe-crm.veevavault.com/ui/#object/email_activity__v/V8C00000003X106", "EN-002097110")</f>
        <v>EN-002097110</v>
      </c>
    </row>
    <row r="9645" spans="1:15" ht="32" x14ac:dyDescent="0.2">
      <c r="A9645" s="7" t="str">
        <f>HYPERLINK("https://otsuka-europe-crm.veevavault.com/ui/#object/account__v/V4TZ06G6O9VB9FB", "Ashinedu Ifeneziuche")</f>
        <v>Ashinedu Ifeneziuche</v>
      </c>
      <c r="B9645" s="7" t="str">
        <f>HYPERLINK("https://otsuka-europe-crm.veevavault.com/ui/#object/vcountry__v/VENZ000004SONFK", "GB")</f>
        <v>GB</v>
      </c>
      <c r="C9645" s="8" t="s">
        <v>39</v>
      </c>
      <c r="D9645" s="9" t="str">
        <f>HYPERLINK("https://otsuka-europe-crm.veevavault.com/ui/#object/approved_document__v/V5O00000001H005", "LDM DR P2P Invite 23-Jun-26 [digital]")</f>
        <v>LDM DR P2P Invite 23-Jun-26 [digital]</v>
      </c>
      <c r="E9645" s="10" t="str">
        <f>HYPERLINK("https://otsuka-europe-crm.veevavault.com/ui/#object/sent_email__v/VBL00000002U243", "SE-001436023")</f>
        <v>SE-001436023</v>
      </c>
      <c r="F9645" s="11"/>
      <c r="G9645" s="12">
        <v>0</v>
      </c>
      <c r="H9645" s="12">
        <v>0</v>
      </c>
      <c r="I9645" s="12">
        <v>0</v>
      </c>
      <c r="J9645" s="11"/>
      <c r="K9645" s="12">
        <v>0</v>
      </c>
      <c r="L9645" s="10" t="str">
        <f>HYPERLINK("https://otsuka-europe-crm.veevavault.com/ui/#object/approved_document__v/V5O00000001H005", "LDM DR P2P Invite 23-Jun-26 [digital]")</f>
        <v>LDM DR P2P Invite 23-Jun-26 [digital]</v>
      </c>
      <c r="M9645" s="10" t="str">
        <f>HYPERLINK("mailto:ldimambro@crm.otsuka-europe.com", "ldimambro@crm.otsuka-europe.com")</f>
        <v>ldimambro@crm.otsuka-europe.com</v>
      </c>
      <c r="N9645" s="13">
        <v>46188.517881944441</v>
      </c>
      <c r="O9645" s="14" t="str">
        <f>HYPERLINK("https://otsuka-europe-crm.veevavault.com/ui/#object/email_activity__v/V8C00000003V621", "EN-002096017")</f>
        <v>EN-002096017</v>
      </c>
    </row>
    <row r="9646" spans="1:15" ht="16" x14ac:dyDescent="0.2">
      <c r="A9646" s="17" t="str">
        <f>HYPERLINK("https://otsuka-europe-crm.veevavault.com/ui/#object/account__v/V4TZ06G6OCEUBEC", "Anthony Hunwick")</f>
        <v>Anthony Hunwick</v>
      </c>
      <c r="B9646" s="17" t="str">
        <f>HYPERLINK("https://otsuka-europe-crm.veevavault.com/ui/#object/vcountry__v/VENZ000004SONFK", "GB")</f>
        <v>GB</v>
      </c>
      <c r="C9646" s="20" t="s">
        <v>39</v>
      </c>
      <c r="D9646" s="21" t="str">
        <f>HYPERLINK("https://otsuka-europe-crm.veevavault.com/ui/#object/approved_document__v/V5O00000001H005", "LDM DR P2P Invite 23-Jun-26 [digital]")</f>
        <v>LDM DR P2P Invite 23-Jun-26 [digital]</v>
      </c>
      <c r="E9646" s="22" t="str">
        <f>HYPERLINK("https://otsuka-europe-crm.veevavault.com/ui/#object/sent_email__v/VBL00000002U244", "SE-001436024")</f>
        <v>SE-001436024</v>
      </c>
      <c r="F9646" s="25"/>
      <c r="G9646" s="24">
        <v>0</v>
      </c>
      <c r="H9646" s="24">
        <v>0</v>
      </c>
      <c r="I9646" s="24">
        <v>0</v>
      </c>
      <c r="J9646" s="25"/>
      <c r="K9646" s="24">
        <v>0</v>
      </c>
      <c r="L9646" s="22" t="str">
        <f>HYPERLINK("https://otsuka-europe-crm.veevavault.com/ui/#object/approved_document__v/V5O00000001H005", "LDM DR P2P Invite 23-Jun-26 [digital]")</f>
        <v>LDM DR P2P Invite 23-Jun-26 [digital]</v>
      </c>
      <c r="M9646" s="22" t="str">
        <f>HYPERLINK("mailto:ldimambro@crm.otsuka-europe.com", "ldimambro@crm.otsuka-europe.com")</f>
        <v>ldimambro@crm.otsuka-europe.com</v>
      </c>
      <c r="N9646" s="23">
        <v>46188.517881944441</v>
      </c>
      <c r="O9646" s="14" t="str">
        <f>HYPERLINK("https://otsuka-europe-crm.veevavault.com/ui/#object/email_activity__v/V8C00000003V622", "EN-002096018")</f>
        <v>EN-002096018</v>
      </c>
    </row>
    <row r="9647" spans="1:15" ht="16" x14ac:dyDescent="0.2">
      <c r="A9647" s="19"/>
      <c r="B9647" s="19"/>
      <c r="C9647" s="19"/>
      <c r="D9647" s="19"/>
      <c r="E9647" s="19"/>
      <c r="F9647" s="19"/>
      <c r="G9647" s="19"/>
      <c r="H9647" s="19"/>
      <c r="I9647" s="19"/>
      <c r="J9647" s="19"/>
      <c r="K9647" s="19"/>
      <c r="L9647" s="19"/>
      <c r="M9647" s="19"/>
      <c r="N9647" s="19"/>
      <c r="O9647" s="14" t="str">
        <f>HYPERLINK("https://otsuka-europe-crm.veevavault.com/ui/#object/email_activity__v/V8C00000003V905", "EN-002096513")</f>
        <v>EN-002096513</v>
      </c>
    </row>
    <row r="9648" spans="1:15" ht="16" x14ac:dyDescent="0.2">
      <c r="A9648" s="17" t="str">
        <f>HYPERLINK("https://otsuka-europe-crm.veevavault.com/ui/#object/account__v/V4TZ0000062PAS7", "Alexandru Lita")</f>
        <v>Alexandru Lita</v>
      </c>
      <c r="B9648" s="17" t="str">
        <f>HYPERLINK("https://otsuka-europe-crm.veevavault.com/ui/#object/vcountry__v/VENZ000004SONFK", "GB")</f>
        <v>GB</v>
      </c>
      <c r="C9648" s="20" t="s">
        <v>39</v>
      </c>
      <c r="D9648" s="21" t="str">
        <f>HYPERLINK("https://otsuka-europe-crm.veevavault.com/ui/#object/approved_document__v/V5O00000001H005", "LDM DR P2P Invite 23-Jun-26 [digital]")</f>
        <v>LDM DR P2P Invite 23-Jun-26 [digital]</v>
      </c>
      <c r="E9648" s="22" t="str">
        <f>HYPERLINK("https://otsuka-europe-crm.veevavault.com/ui/#object/sent_email__v/VBL00000002U245", "SE-001436025")</f>
        <v>SE-001436025</v>
      </c>
      <c r="F9648" s="23">
        <v>46188.572083333333</v>
      </c>
      <c r="G9648" s="24">
        <v>1</v>
      </c>
      <c r="H9648" s="24">
        <v>12</v>
      </c>
      <c r="I9648" s="24">
        <v>0</v>
      </c>
      <c r="J9648" s="25"/>
      <c r="K9648" s="24">
        <v>0</v>
      </c>
      <c r="L9648" s="22" t="str">
        <f>HYPERLINK("https://otsuka-europe-crm.veevavault.com/ui/#object/approved_document__v/V5O00000001H005", "LDM DR P2P Invite 23-Jun-26 [digital]")</f>
        <v>LDM DR P2P Invite 23-Jun-26 [digital]</v>
      </c>
      <c r="M9648" s="22" t="str">
        <f>HYPERLINK("mailto:ldimambro@crm.otsuka-europe.com", "ldimambro@crm.otsuka-europe.com")</f>
        <v>ldimambro@crm.otsuka-europe.com</v>
      </c>
      <c r="N9648" s="23">
        <v>46188.517881944441</v>
      </c>
      <c r="O9648" s="14" t="str">
        <f>HYPERLINK("https://otsuka-europe-crm.veevavault.com/ui/#object/email_activity__v/V8C00000003U606", "EN-002096079")</f>
        <v>EN-002096079</v>
      </c>
    </row>
    <row r="9649" spans="1:15" ht="16" x14ac:dyDescent="0.2">
      <c r="A9649" s="18"/>
      <c r="B9649" s="18"/>
      <c r="C9649" s="18"/>
      <c r="D9649" s="18"/>
      <c r="E9649" s="18"/>
      <c r="F9649" s="18"/>
      <c r="G9649" s="18"/>
      <c r="H9649" s="18"/>
      <c r="I9649" s="18"/>
      <c r="J9649" s="18"/>
      <c r="K9649" s="18"/>
      <c r="L9649" s="18"/>
      <c r="M9649" s="18"/>
      <c r="N9649" s="18"/>
      <c r="O9649" s="14" t="str">
        <f>HYPERLINK("https://otsuka-europe-crm.veevavault.com/ui/#object/email_activity__v/V8C00000003U607", "EN-002096080")</f>
        <v>EN-002096080</v>
      </c>
    </row>
    <row r="9650" spans="1:15" ht="16" x14ac:dyDescent="0.2">
      <c r="A9650" s="18"/>
      <c r="B9650" s="18"/>
      <c r="C9650" s="18"/>
      <c r="D9650" s="18"/>
      <c r="E9650" s="18"/>
      <c r="F9650" s="18"/>
      <c r="G9650" s="18"/>
      <c r="H9650" s="18"/>
      <c r="I9650" s="18"/>
      <c r="J9650" s="18"/>
      <c r="K9650" s="18"/>
      <c r="L9650" s="18"/>
      <c r="M9650" s="18"/>
      <c r="N9650" s="18"/>
      <c r="O9650" s="14" t="str">
        <f>HYPERLINK("https://otsuka-europe-crm.veevavault.com/ui/#object/email_activity__v/V8C00000003U608", "EN-002096081")</f>
        <v>EN-002096081</v>
      </c>
    </row>
    <row r="9651" spans="1:15" ht="16" x14ac:dyDescent="0.2">
      <c r="A9651" s="18"/>
      <c r="B9651" s="18"/>
      <c r="C9651" s="18"/>
      <c r="D9651" s="18"/>
      <c r="E9651" s="18"/>
      <c r="F9651" s="18"/>
      <c r="G9651" s="18"/>
      <c r="H9651" s="18"/>
      <c r="I9651" s="18"/>
      <c r="J9651" s="18"/>
      <c r="K9651" s="18"/>
      <c r="L9651" s="18"/>
      <c r="M9651" s="18"/>
      <c r="N9651" s="18"/>
      <c r="O9651" s="14" t="str">
        <f>HYPERLINK("https://otsuka-europe-crm.veevavault.com/ui/#object/email_activity__v/V8C00000003U627", "EN-002096126")</f>
        <v>EN-002096126</v>
      </c>
    </row>
    <row r="9652" spans="1:15" ht="16" x14ac:dyDescent="0.2">
      <c r="A9652" s="18"/>
      <c r="B9652" s="18"/>
      <c r="C9652" s="18"/>
      <c r="D9652" s="18"/>
      <c r="E9652" s="18"/>
      <c r="F9652" s="18"/>
      <c r="G9652" s="18"/>
      <c r="H9652" s="18"/>
      <c r="I9652" s="18"/>
      <c r="J9652" s="18"/>
      <c r="K9652" s="18"/>
      <c r="L9652" s="18"/>
      <c r="M9652" s="18"/>
      <c r="N9652" s="18"/>
      <c r="O9652" s="14" t="str">
        <f>HYPERLINK("https://otsuka-europe-crm.veevavault.com/ui/#object/email_activity__v/V8C00000003U678", "EN-002096183")</f>
        <v>EN-002096183</v>
      </c>
    </row>
    <row r="9653" spans="1:15" ht="16" x14ac:dyDescent="0.2">
      <c r="A9653" s="18"/>
      <c r="B9653" s="18"/>
      <c r="C9653" s="18"/>
      <c r="D9653" s="18"/>
      <c r="E9653" s="18"/>
      <c r="F9653" s="18"/>
      <c r="G9653" s="18"/>
      <c r="H9653" s="18"/>
      <c r="I9653" s="18"/>
      <c r="J9653" s="18"/>
      <c r="K9653" s="18"/>
      <c r="L9653" s="18"/>
      <c r="M9653" s="18"/>
      <c r="N9653" s="18"/>
      <c r="O9653" s="14" t="str">
        <f>HYPERLINK("https://otsuka-europe-crm.veevavault.com/ui/#object/email_activity__v/V8C00000003V631", "EN-002096027")</f>
        <v>EN-002096027</v>
      </c>
    </row>
    <row r="9654" spans="1:15" ht="16" x14ac:dyDescent="0.2">
      <c r="A9654" s="18"/>
      <c r="B9654" s="18"/>
      <c r="C9654" s="18"/>
      <c r="D9654" s="18"/>
      <c r="E9654" s="18"/>
      <c r="F9654" s="18"/>
      <c r="G9654" s="18"/>
      <c r="H9654" s="18"/>
      <c r="I9654" s="18"/>
      <c r="J9654" s="18"/>
      <c r="K9654" s="18"/>
      <c r="L9654" s="18"/>
      <c r="M9654" s="18"/>
      <c r="N9654" s="18"/>
      <c r="O9654" s="14" t="str">
        <f>HYPERLINK("https://otsuka-europe-crm.veevavault.com/ui/#object/email_activity__v/V8C00000003V639", "EN-002096035")</f>
        <v>EN-002096035</v>
      </c>
    </row>
    <row r="9655" spans="1:15" ht="16" x14ac:dyDescent="0.2">
      <c r="A9655" s="18"/>
      <c r="B9655" s="18"/>
      <c r="C9655" s="18"/>
      <c r="D9655" s="18"/>
      <c r="E9655" s="18"/>
      <c r="F9655" s="18"/>
      <c r="G9655" s="18"/>
      <c r="H9655" s="18"/>
      <c r="I9655" s="18"/>
      <c r="J9655" s="18"/>
      <c r="K9655" s="18"/>
      <c r="L9655" s="18"/>
      <c r="M9655" s="18"/>
      <c r="N9655" s="18"/>
      <c r="O9655" s="14" t="str">
        <f>HYPERLINK("https://otsuka-europe-crm.veevavault.com/ui/#object/email_activity__v/V8C00000003V693", "EN-002096187")</f>
        <v>EN-002096187</v>
      </c>
    </row>
    <row r="9656" spans="1:15" ht="16" x14ac:dyDescent="0.2">
      <c r="A9656" s="18"/>
      <c r="B9656" s="18"/>
      <c r="C9656" s="18"/>
      <c r="D9656" s="18"/>
      <c r="E9656" s="18"/>
      <c r="F9656" s="18"/>
      <c r="G9656" s="18"/>
      <c r="H9656" s="18"/>
      <c r="I9656" s="18"/>
      <c r="J9656" s="18"/>
      <c r="K9656" s="18"/>
      <c r="L9656" s="18"/>
      <c r="M9656" s="18"/>
      <c r="N9656" s="18"/>
      <c r="O9656" s="14" t="str">
        <f>HYPERLINK("https://otsuka-europe-crm.veevavault.com/ui/#object/email_activity__v/V8C00000003V707", "EN-002096216")</f>
        <v>EN-002096216</v>
      </c>
    </row>
    <row r="9657" spans="1:15" ht="16" x14ac:dyDescent="0.2">
      <c r="A9657" s="18"/>
      <c r="B9657" s="18"/>
      <c r="C9657" s="18"/>
      <c r="D9657" s="18"/>
      <c r="E9657" s="18"/>
      <c r="F9657" s="18"/>
      <c r="G9657" s="18"/>
      <c r="H9657" s="18"/>
      <c r="I9657" s="18"/>
      <c r="J9657" s="18"/>
      <c r="K9657" s="18"/>
      <c r="L9657" s="18"/>
      <c r="M9657" s="18"/>
      <c r="N9657" s="18"/>
      <c r="O9657" s="14" t="str">
        <f>HYPERLINK("https://otsuka-europe-crm.veevavault.com/ui/#object/email_activity__v/V8C00000003V711", "EN-002096220")</f>
        <v>EN-002096220</v>
      </c>
    </row>
    <row r="9658" spans="1:15" ht="16" x14ac:dyDescent="0.2">
      <c r="A9658" s="18"/>
      <c r="B9658" s="18"/>
      <c r="C9658" s="18"/>
      <c r="D9658" s="18"/>
      <c r="E9658" s="18"/>
      <c r="F9658" s="18"/>
      <c r="G9658" s="18"/>
      <c r="H9658" s="18"/>
      <c r="I9658" s="18"/>
      <c r="J9658" s="18"/>
      <c r="K9658" s="18"/>
      <c r="L9658" s="18"/>
      <c r="M9658" s="18"/>
      <c r="N9658" s="18"/>
      <c r="O9658" s="14" t="str">
        <f>HYPERLINK("https://otsuka-europe-crm.veevavault.com/ui/#object/email_activity__v/V8C00000003V712", "EN-002096221")</f>
        <v>EN-002096221</v>
      </c>
    </row>
    <row r="9659" spans="1:15" ht="16" x14ac:dyDescent="0.2">
      <c r="A9659" s="18"/>
      <c r="B9659" s="18"/>
      <c r="C9659" s="18"/>
      <c r="D9659" s="18"/>
      <c r="E9659" s="18"/>
      <c r="F9659" s="18"/>
      <c r="G9659" s="18"/>
      <c r="H9659" s="18"/>
      <c r="I9659" s="18"/>
      <c r="J9659" s="18"/>
      <c r="K9659" s="18"/>
      <c r="L9659" s="18"/>
      <c r="M9659" s="18"/>
      <c r="N9659" s="18"/>
      <c r="O9659" s="14" t="str">
        <f>HYPERLINK("https://otsuka-europe-crm.veevavault.com/ui/#object/email_activity__v/V8C00000003V713", "EN-002096222")</f>
        <v>EN-002096222</v>
      </c>
    </row>
    <row r="9660" spans="1:15" ht="16" x14ac:dyDescent="0.2">
      <c r="A9660" s="18"/>
      <c r="B9660" s="18"/>
      <c r="C9660" s="18"/>
      <c r="D9660" s="18"/>
      <c r="E9660" s="18"/>
      <c r="F9660" s="18"/>
      <c r="G9660" s="18"/>
      <c r="H9660" s="18"/>
      <c r="I9660" s="18"/>
      <c r="J9660" s="18"/>
      <c r="K9660" s="18"/>
      <c r="L9660" s="18"/>
      <c r="M9660" s="18"/>
      <c r="N9660" s="18"/>
      <c r="O9660" s="14" t="str">
        <f>HYPERLINK("https://otsuka-europe-crm.veevavault.com/ui/#object/email_activity__v/V8C00000003V725", "EN-002096236")</f>
        <v>EN-002096236</v>
      </c>
    </row>
    <row r="9661" spans="1:15" ht="16" x14ac:dyDescent="0.2">
      <c r="A9661" s="19"/>
      <c r="B9661" s="19"/>
      <c r="C9661" s="19"/>
      <c r="D9661" s="19"/>
      <c r="E9661" s="19"/>
      <c r="F9661" s="19"/>
      <c r="G9661" s="19"/>
      <c r="H9661" s="19"/>
      <c r="I9661" s="19"/>
      <c r="J9661" s="19"/>
      <c r="K9661" s="19"/>
      <c r="L9661" s="19"/>
      <c r="M9661" s="19"/>
      <c r="N9661" s="19"/>
      <c r="O9661" s="14" t="str">
        <f>HYPERLINK("https://otsuka-europe-crm.veevavault.com/ui/#object/email_activity__v/V8C00000003W766", "EN-002098542")</f>
        <v>EN-002098542</v>
      </c>
    </row>
    <row r="9662" spans="1:15" ht="32" x14ac:dyDescent="0.2">
      <c r="A9662" s="7" t="str">
        <f>HYPERLINK("https://otsuka-europe-crm.veevavault.com/ui/#object/account__v/V4TZ0000062PB1R", "Adebayo Emmanuel")</f>
        <v>Adebayo Emmanuel</v>
      </c>
      <c r="B9662" s="7" t="str">
        <f>HYPERLINK("https://otsuka-europe-crm.veevavault.com/ui/#object/vcountry__v/VENZ000004SONFK", "GB")</f>
        <v>GB</v>
      </c>
      <c r="C9662" s="8" t="s">
        <v>39</v>
      </c>
      <c r="D9662" s="9" t="str">
        <f>HYPERLINK("https://otsuka-europe-crm.veevavault.com/ui/#object/approved_document__v/V5O00000001H005", "LDM DR P2P Invite 23-Jun-26 [digital]")</f>
        <v>LDM DR P2P Invite 23-Jun-26 [digital]</v>
      </c>
      <c r="E9662" s="10" t="str">
        <f>HYPERLINK("https://otsuka-europe-crm.veevavault.com/ui/#object/sent_email__v/VBL00000002U246", "SE-001436026")</f>
        <v>SE-001436026</v>
      </c>
      <c r="F9662" s="11"/>
      <c r="G9662" s="12">
        <v>0</v>
      </c>
      <c r="H9662" s="12">
        <v>0</v>
      </c>
      <c r="I9662" s="12">
        <v>0</v>
      </c>
      <c r="J9662" s="11"/>
      <c r="K9662" s="12">
        <v>0</v>
      </c>
      <c r="L9662" s="10" t="str">
        <f>HYPERLINK("https://otsuka-europe-crm.veevavault.com/ui/#object/approved_document__v/V5O00000001H005", "LDM DR P2P Invite 23-Jun-26 [digital]")</f>
        <v>LDM DR P2P Invite 23-Jun-26 [digital]</v>
      </c>
      <c r="M9662" s="10" t="str">
        <f>HYPERLINK("mailto:ldimambro@crm.otsuka-europe.com", "ldimambro@crm.otsuka-europe.com")</f>
        <v>ldimambro@crm.otsuka-europe.com</v>
      </c>
      <c r="N9662" s="13">
        <v>46188.517881944441</v>
      </c>
      <c r="O9662" s="14" t="str">
        <f>HYPERLINK("https://otsuka-europe-crm.veevavault.com/ui/#object/email_activity__v/V8C00000003V610", "EN-002096006")</f>
        <v>EN-002096006</v>
      </c>
    </row>
    <row r="9663" spans="1:15" ht="32" x14ac:dyDescent="0.2">
      <c r="A9663" s="7" t="str">
        <f>HYPERLINK("https://otsuka-europe-crm.veevavault.com/ui/#object/account__v/V4TZ06G6OB4F4I1", "Andrew Smith")</f>
        <v>Andrew Smith</v>
      </c>
      <c r="B9663" s="7" t="str">
        <f>HYPERLINK("https://otsuka-europe-crm.veevavault.com/ui/#object/vcountry__v/VENZ000004SONFK", "GB")</f>
        <v>GB</v>
      </c>
      <c r="C9663" s="8" t="s">
        <v>39</v>
      </c>
      <c r="D9663" s="9" t="str">
        <f>HYPERLINK("https://otsuka-europe-crm.veevavault.com/ui/#object/approved_document__v/V5O00000001H005", "LDM DR P2P Invite 23-Jun-26 [digital]")</f>
        <v>LDM DR P2P Invite 23-Jun-26 [digital]</v>
      </c>
      <c r="E9663" s="10" t="str">
        <f>HYPERLINK("https://otsuka-europe-crm.veevavault.com/ui/#object/sent_email__v/VBL00000002U247", "SE-001436027")</f>
        <v>SE-001436027</v>
      </c>
      <c r="F9663" s="11"/>
      <c r="G9663" s="12">
        <v>0</v>
      </c>
      <c r="H9663" s="12">
        <v>0</v>
      </c>
      <c r="I9663" s="12">
        <v>0</v>
      </c>
      <c r="J9663" s="11"/>
      <c r="K9663" s="12">
        <v>0</v>
      </c>
      <c r="L9663" s="10" t="str">
        <f>HYPERLINK("https://otsuka-europe-crm.veevavault.com/ui/#object/approved_document__v/V5O00000001H005", "LDM DR P2P Invite 23-Jun-26 [digital]")</f>
        <v>LDM DR P2P Invite 23-Jun-26 [digital]</v>
      </c>
      <c r="M9663" s="10" t="str">
        <f>HYPERLINK("mailto:ldimambro@crm.otsuka-europe.com", "ldimambro@crm.otsuka-europe.com")</f>
        <v>ldimambro@crm.otsuka-europe.com</v>
      </c>
      <c r="N9663" s="13">
        <v>46188.517928240741</v>
      </c>
      <c r="O9663" s="14" t="str">
        <f>HYPERLINK("https://otsuka-europe-crm.veevavault.com/ui/#object/email_activity__v/V8C00000003V604", "EN-002096000")</f>
        <v>EN-002096000</v>
      </c>
    </row>
    <row r="9664" spans="1:15" ht="16" x14ac:dyDescent="0.2">
      <c r="A9664" s="17" t="str">
        <f>HYPERLINK("https://otsuka-europe-crm.veevavault.com/ui/#object/account__v/V4TZ0000062PIB7", "Akeem Sule")</f>
        <v>Akeem Sule</v>
      </c>
      <c r="B9664" s="17" t="str">
        <f>HYPERLINK("https://otsuka-europe-crm.veevavault.com/ui/#object/vcountry__v/VENZ000004SONFK", "GB")</f>
        <v>GB</v>
      </c>
      <c r="C9664" s="20" t="s">
        <v>39</v>
      </c>
      <c r="D9664" s="21" t="str">
        <f>HYPERLINK("https://otsuka-europe-crm.veevavault.com/ui/#object/approved_document__v/V5O00000001H005", "LDM DR P2P Invite 23-Jun-26 [digital]")</f>
        <v>LDM DR P2P Invite 23-Jun-26 [digital]</v>
      </c>
      <c r="E9664" s="22" t="str">
        <f>HYPERLINK("https://otsuka-europe-crm.veevavault.com/ui/#object/sent_email__v/VBL00000002U248", "SE-001436028")</f>
        <v>SE-001436028</v>
      </c>
      <c r="F9664" s="25"/>
      <c r="G9664" s="24">
        <v>0</v>
      </c>
      <c r="H9664" s="24">
        <v>0</v>
      </c>
      <c r="I9664" s="24">
        <v>0</v>
      </c>
      <c r="J9664" s="25"/>
      <c r="K9664" s="24">
        <v>0</v>
      </c>
      <c r="L9664" s="22" t="str">
        <f>HYPERLINK("https://otsuka-europe-crm.veevavault.com/ui/#object/approved_document__v/V5O00000001H005", "LDM DR P2P Invite 23-Jun-26 [digital]")</f>
        <v>LDM DR P2P Invite 23-Jun-26 [digital]</v>
      </c>
      <c r="M9664" s="22" t="str">
        <f>HYPERLINK("mailto:ldimambro@crm.otsuka-europe.com", "ldimambro@crm.otsuka-europe.com")</f>
        <v>ldimambro@crm.otsuka-europe.com</v>
      </c>
      <c r="N9664" s="23">
        <v>46188.517881944441</v>
      </c>
      <c r="O9664" s="14" t="str">
        <f>HYPERLINK("https://otsuka-europe-crm.veevavault.com/ui/#object/email_activity__v/V8C00000003U776", "EN-002096465")</f>
        <v>EN-002096465</v>
      </c>
    </row>
    <row r="9665" spans="1:15" ht="16" x14ac:dyDescent="0.2">
      <c r="A9665" s="19"/>
      <c r="B9665" s="19"/>
      <c r="C9665" s="19"/>
      <c r="D9665" s="19"/>
      <c r="E9665" s="19"/>
      <c r="F9665" s="19"/>
      <c r="G9665" s="19"/>
      <c r="H9665" s="19"/>
      <c r="I9665" s="19"/>
      <c r="J9665" s="19"/>
      <c r="K9665" s="19"/>
      <c r="L9665" s="19"/>
      <c r="M9665" s="19"/>
      <c r="N9665" s="19"/>
      <c r="O9665" s="14" t="str">
        <f>HYPERLINK("https://otsuka-europe-crm.veevavault.com/ui/#object/email_activity__v/V8C00000003V637", "EN-002096033")</f>
        <v>EN-002096033</v>
      </c>
    </row>
    <row r="9666" spans="1:15" ht="32" x14ac:dyDescent="0.2">
      <c r="A9666" s="7" t="str">
        <f>HYPERLINK("https://otsuka-europe-crm.veevavault.com/ui/#object/account__v/V4TZ04ASG6LCZOP", "Boulos Tadros")</f>
        <v>Boulos Tadros</v>
      </c>
      <c r="B9666" s="7" t="str">
        <f>HYPERLINK("https://otsuka-europe-crm.veevavault.com/ui/#object/vcountry__v/VENZ000004SONFK", "GB")</f>
        <v>GB</v>
      </c>
      <c r="C9666" s="8" t="s">
        <v>39</v>
      </c>
      <c r="D9666" s="9" t="str">
        <f>HYPERLINK("https://otsuka-europe-crm.veevavault.com/ui/#object/approved_document__v/V5O00000001H005", "LDM DR P2P Invite 23-Jun-26 [digital]")</f>
        <v>LDM DR P2P Invite 23-Jun-26 [digital]</v>
      </c>
      <c r="E9666" s="10" t="str">
        <f>HYPERLINK("https://otsuka-europe-crm.veevavault.com/ui/#object/sent_email__v/VBL00000002U249", "SE-001436029")</f>
        <v>SE-001436029</v>
      </c>
      <c r="F9666" s="11"/>
      <c r="G9666" s="12">
        <v>0</v>
      </c>
      <c r="H9666" s="12">
        <v>0</v>
      </c>
      <c r="I9666" s="12">
        <v>0</v>
      </c>
      <c r="J9666" s="11"/>
      <c r="K9666" s="12">
        <v>0</v>
      </c>
      <c r="L9666" s="10" t="str">
        <f>HYPERLINK("https://otsuka-europe-crm.veevavault.com/ui/#object/approved_document__v/V5O00000001H005", "LDM DR P2P Invite 23-Jun-26 [digital]")</f>
        <v>LDM DR P2P Invite 23-Jun-26 [digital]</v>
      </c>
      <c r="M9666" s="10" t="str">
        <f>HYPERLINK("mailto:ldimambro@crm.otsuka-europe.com", "ldimambro@crm.otsuka-europe.com")</f>
        <v>ldimambro@crm.otsuka-europe.com</v>
      </c>
      <c r="N9666" s="13">
        <v>46188.517881944441</v>
      </c>
      <c r="O9666" s="14" t="str">
        <f>HYPERLINK("https://otsuka-europe-crm.veevavault.com/ui/#object/email_activity__v/V8C00000003V632", "EN-002096028")</f>
        <v>EN-002096028</v>
      </c>
    </row>
    <row r="9667" spans="1:15" ht="16" x14ac:dyDescent="0.2">
      <c r="A9667" s="17" t="str">
        <f>HYPERLINK("https://otsuka-europe-crm.veevavault.com/ui/#object/account__v/V4TZ0000062PHD9", "Ashish Pathak")</f>
        <v>Ashish Pathak</v>
      </c>
      <c r="B9667" s="17" t="str">
        <f>HYPERLINK("https://otsuka-europe-crm.veevavault.com/ui/#object/vcountry__v/VENZ000004SONFK", "GB")</f>
        <v>GB</v>
      </c>
      <c r="C9667" s="20" t="s">
        <v>39</v>
      </c>
      <c r="D9667" s="21" t="str">
        <f>HYPERLINK("https://otsuka-europe-crm.veevavault.com/ui/#object/approved_document__v/V5O00000001H005", "LDM DR P2P Invite 23-Jun-26 [digital]")</f>
        <v>LDM DR P2P Invite 23-Jun-26 [digital]</v>
      </c>
      <c r="E9667" s="22" t="str">
        <f>HYPERLINK("https://otsuka-europe-crm.veevavault.com/ui/#object/sent_email__v/VBL00000002U250", "SE-001436030")</f>
        <v>SE-001436030</v>
      </c>
      <c r="F9667" s="23">
        <v>46188.545659722222</v>
      </c>
      <c r="G9667" s="24">
        <v>1</v>
      </c>
      <c r="H9667" s="24">
        <v>1</v>
      </c>
      <c r="I9667" s="24">
        <v>0</v>
      </c>
      <c r="J9667" s="25"/>
      <c r="K9667" s="24">
        <v>0</v>
      </c>
      <c r="L9667" s="22" t="str">
        <f>HYPERLINK("https://otsuka-europe-crm.veevavault.com/ui/#object/approved_document__v/V5O00000001H005", "LDM DR P2P Invite 23-Jun-26 [digital]")</f>
        <v>LDM DR P2P Invite 23-Jun-26 [digital]</v>
      </c>
      <c r="M9667" s="22" t="str">
        <f>HYPERLINK("mailto:ldimambro@crm.otsuka-europe.com", "ldimambro@crm.otsuka-europe.com")</f>
        <v>ldimambro@crm.otsuka-europe.com</v>
      </c>
      <c r="N9667" s="23">
        <v>46188.517881944441</v>
      </c>
      <c r="O9667" s="14" t="str">
        <f>HYPERLINK("https://otsuka-europe-crm.veevavault.com/ui/#object/email_activity__v/V8C00000003V635", "EN-002096031")</f>
        <v>EN-002096031</v>
      </c>
    </row>
    <row r="9668" spans="1:15" ht="16" x14ac:dyDescent="0.2">
      <c r="A9668" s="19"/>
      <c r="B9668" s="19"/>
      <c r="C9668" s="19"/>
      <c r="D9668" s="19"/>
      <c r="E9668" s="19"/>
      <c r="F9668" s="19"/>
      <c r="G9668" s="19"/>
      <c r="H9668" s="19"/>
      <c r="I9668" s="19"/>
      <c r="J9668" s="19"/>
      <c r="K9668" s="19"/>
      <c r="L9668" s="19"/>
      <c r="M9668" s="19"/>
      <c r="N9668" s="19"/>
      <c r="O9668" s="14" t="str">
        <f>HYPERLINK("https://otsuka-europe-crm.veevavault.com/ui/#object/email_activity__v/V8C00000003V698", "EN-002096201")</f>
        <v>EN-002096201</v>
      </c>
    </row>
    <row r="9669" spans="1:15" ht="16" x14ac:dyDescent="0.2">
      <c r="A9669" s="17" t="str">
        <f>HYPERLINK("https://otsuka-europe-crm.veevavault.com/ui/#object/account__v/V4TZ025E82CDG1B", "Bayan Abdul-Hadi")</f>
        <v>Bayan Abdul-Hadi</v>
      </c>
      <c r="B9669" s="17" t="str">
        <f>HYPERLINK("https://otsuka-europe-crm.veevavault.com/ui/#object/vcountry__v/VENZ000004SONFK", "GB")</f>
        <v>GB</v>
      </c>
      <c r="C9669" s="20" t="s">
        <v>39</v>
      </c>
      <c r="D9669" s="21" t="str">
        <f>HYPERLINK("https://otsuka-europe-crm.veevavault.com/ui/#object/approved_document__v/V5O00000001H005", "LDM DR P2P Invite 23-Jun-26 [digital]")</f>
        <v>LDM DR P2P Invite 23-Jun-26 [digital]</v>
      </c>
      <c r="E9669" s="22" t="str">
        <f>HYPERLINK("https://otsuka-europe-crm.veevavault.com/ui/#object/sent_email__v/VBL00000002U251", "SE-001436031")</f>
        <v>SE-001436031</v>
      </c>
      <c r="F9669" s="23">
        <v>46188.588148148148</v>
      </c>
      <c r="G9669" s="24">
        <v>1</v>
      </c>
      <c r="H9669" s="24">
        <v>2</v>
      </c>
      <c r="I9669" s="24">
        <v>0</v>
      </c>
      <c r="J9669" s="25"/>
      <c r="K9669" s="24">
        <v>0</v>
      </c>
      <c r="L9669" s="22" t="str">
        <f>HYPERLINK("https://otsuka-europe-crm.veevavault.com/ui/#object/approved_document__v/V5O00000001H005", "LDM DR P2P Invite 23-Jun-26 [digital]")</f>
        <v>LDM DR P2P Invite 23-Jun-26 [digital]</v>
      </c>
      <c r="M9669" s="22" t="str">
        <f>HYPERLINK("mailto:ldimambro@crm.otsuka-europe.com", "ldimambro@crm.otsuka-europe.com")</f>
        <v>ldimambro@crm.otsuka-europe.com</v>
      </c>
      <c r="N9669" s="23">
        <v>46188.517881944441</v>
      </c>
      <c r="O9669" s="14" t="str">
        <f>HYPERLINK("https://otsuka-europe-crm.veevavault.com/ui/#object/email_activity__v/V8C00000003V607", "EN-002096003")</f>
        <v>EN-002096003</v>
      </c>
    </row>
    <row r="9670" spans="1:15" ht="16" x14ac:dyDescent="0.2">
      <c r="A9670" s="18"/>
      <c r="B9670" s="18"/>
      <c r="C9670" s="18"/>
      <c r="D9670" s="18"/>
      <c r="E9670" s="18"/>
      <c r="F9670" s="18"/>
      <c r="G9670" s="18"/>
      <c r="H9670" s="18"/>
      <c r="I9670" s="18"/>
      <c r="J9670" s="18"/>
      <c r="K9670" s="18"/>
      <c r="L9670" s="18"/>
      <c r="M9670" s="18"/>
      <c r="N9670" s="18"/>
      <c r="O9670" s="14" t="str">
        <f>HYPERLINK("https://otsuka-europe-crm.veevavault.com/ui/#object/email_activity__v/V8C00000003V640", "EN-002096036")</f>
        <v>EN-002096036</v>
      </c>
    </row>
    <row r="9671" spans="1:15" ht="16" x14ac:dyDescent="0.2">
      <c r="A9671" s="19"/>
      <c r="B9671" s="19"/>
      <c r="C9671" s="19"/>
      <c r="D9671" s="19"/>
      <c r="E9671" s="19"/>
      <c r="F9671" s="19"/>
      <c r="G9671" s="19"/>
      <c r="H9671" s="19"/>
      <c r="I9671" s="19"/>
      <c r="J9671" s="19"/>
      <c r="K9671" s="19"/>
      <c r="L9671" s="19"/>
      <c r="M9671" s="19"/>
      <c r="N9671" s="19"/>
      <c r="O9671" s="14" t="str">
        <f>HYPERLINK("https://otsuka-europe-crm.veevavault.com/ui/#object/email_activity__v/V8C00000003V729", "EN-002096247")</f>
        <v>EN-002096247</v>
      </c>
    </row>
    <row r="9672" spans="1:15" ht="16" x14ac:dyDescent="0.2">
      <c r="A9672" s="17" t="str">
        <f>HYPERLINK("https://otsuka-europe-crm.veevavault.com/ui/#object/account__v/V4TZ04ASG8VE59E", "Aritetseoma Ikomi")</f>
        <v>Aritetseoma Ikomi</v>
      </c>
      <c r="B9672" s="17" t="str">
        <f>HYPERLINK("https://otsuka-europe-crm.veevavault.com/ui/#object/vcountry__v/VENZ000004SONFK", "GB")</f>
        <v>GB</v>
      </c>
      <c r="C9672" s="20" t="s">
        <v>39</v>
      </c>
      <c r="D9672" s="21" t="str">
        <f>HYPERLINK("https://otsuka-europe-crm.veevavault.com/ui/#object/approved_document__v/V5O00000001H005", "LDM DR P2P Invite 23-Jun-26 [digital]")</f>
        <v>LDM DR P2P Invite 23-Jun-26 [digital]</v>
      </c>
      <c r="E9672" s="22" t="str">
        <f>HYPERLINK("https://otsuka-europe-crm.veevavault.com/ui/#object/sent_email__v/VBL00000002U252", "SE-001436032")</f>
        <v>SE-001436032</v>
      </c>
      <c r="F9672" s="23">
        <v>46188.546597222223</v>
      </c>
      <c r="G9672" s="24">
        <v>1</v>
      </c>
      <c r="H9672" s="24">
        <v>4</v>
      </c>
      <c r="I9672" s="24">
        <v>0</v>
      </c>
      <c r="J9672" s="25"/>
      <c r="K9672" s="24">
        <v>0</v>
      </c>
      <c r="L9672" s="22" t="str">
        <f>HYPERLINK("https://otsuka-europe-crm.veevavault.com/ui/#object/approved_document__v/V5O00000001H005", "LDM DR P2P Invite 23-Jun-26 [digital]")</f>
        <v>LDM DR P2P Invite 23-Jun-26 [digital]</v>
      </c>
      <c r="M9672" s="22" t="str">
        <f>HYPERLINK("mailto:ldimambro@crm.otsuka-europe.com", "ldimambro@crm.otsuka-europe.com")</f>
        <v>ldimambro@crm.otsuka-europe.com</v>
      </c>
      <c r="N9672" s="23">
        <v>46188.517881944441</v>
      </c>
      <c r="O9672" s="14" t="str">
        <f>HYPERLINK("https://otsuka-europe-crm.veevavault.com/ui/#object/email_activity__v/V8C00000003U676", "EN-002096179")</f>
        <v>EN-002096179</v>
      </c>
    </row>
    <row r="9673" spans="1:15" ht="16" x14ac:dyDescent="0.2">
      <c r="A9673" s="18"/>
      <c r="B9673" s="18"/>
      <c r="C9673" s="18"/>
      <c r="D9673" s="18"/>
      <c r="E9673" s="18"/>
      <c r="F9673" s="18"/>
      <c r="G9673" s="18"/>
      <c r="H9673" s="18"/>
      <c r="I9673" s="18"/>
      <c r="J9673" s="18"/>
      <c r="K9673" s="18"/>
      <c r="L9673" s="18"/>
      <c r="M9673" s="18"/>
      <c r="N9673" s="18"/>
      <c r="O9673" s="14" t="str">
        <f>HYPERLINK("https://otsuka-europe-crm.veevavault.com/ui/#object/email_activity__v/V8C00000003V636", "EN-002096032")</f>
        <v>EN-002096032</v>
      </c>
    </row>
    <row r="9674" spans="1:15" ht="16" x14ac:dyDescent="0.2">
      <c r="A9674" s="18"/>
      <c r="B9674" s="18"/>
      <c r="C9674" s="18"/>
      <c r="D9674" s="18"/>
      <c r="E9674" s="18"/>
      <c r="F9674" s="18"/>
      <c r="G9674" s="18"/>
      <c r="H9674" s="18"/>
      <c r="I9674" s="18"/>
      <c r="J9674" s="18"/>
      <c r="K9674" s="18"/>
      <c r="L9674" s="18"/>
      <c r="M9674" s="18"/>
      <c r="N9674" s="18"/>
      <c r="O9674" s="14" t="str">
        <f>HYPERLINK("https://otsuka-europe-crm.veevavault.com/ui/#object/email_activity__v/V8C00000003V690", "EN-002096180")</f>
        <v>EN-002096180</v>
      </c>
    </row>
    <row r="9675" spans="1:15" ht="16" x14ac:dyDescent="0.2">
      <c r="A9675" s="18"/>
      <c r="B9675" s="18"/>
      <c r="C9675" s="18"/>
      <c r="D9675" s="18"/>
      <c r="E9675" s="18"/>
      <c r="F9675" s="18"/>
      <c r="G9675" s="18"/>
      <c r="H9675" s="18"/>
      <c r="I9675" s="18"/>
      <c r="J9675" s="18"/>
      <c r="K9675" s="18"/>
      <c r="L9675" s="18"/>
      <c r="M9675" s="18"/>
      <c r="N9675" s="18"/>
      <c r="O9675" s="14" t="str">
        <f>HYPERLINK("https://otsuka-europe-crm.veevavault.com/ui/#object/email_activity__v/V8C00000003V700", "EN-002096203")</f>
        <v>EN-002096203</v>
      </c>
    </row>
    <row r="9676" spans="1:15" ht="16" x14ac:dyDescent="0.2">
      <c r="A9676" s="19"/>
      <c r="B9676" s="19"/>
      <c r="C9676" s="19"/>
      <c r="D9676" s="19"/>
      <c r="E9676" s="19"/>
      <c r="F9676" s="19"/>
      <c r="G9676" s="19"/>
      <c r="H9676" s="19"/>
      <c r="I9676" s="19"/>
      <c r="J9676" s="19"/>
      <c r="K9676" s="19"/>
      <c r="L9676" s="19"/>
      <c r="M9676" s="19"/>
      <c r="N9676" s="19"/>
      <c r="O9676" s="14" t="str">
        <f>HYPERLINK("https://otsuka-europe-crm.veevavault.com/ui/#object/email_activity__v/V8C00000003V701", "EN-002096204")</f>
        <v>EN-002096204</v>
      </c>
    </row>
    <row r="9677" spans="1:15" ht="32" x14ac:dyDescent="0.2">
      <c r="A9677" s="7" t="str">
        <f>HYPERLINK("https://otsuka-europe-crm.veevavault.com/ui/#object/account__v/V4TZ06G6O80VSKY", "Adnan Bashier")</f>
        <v>Adnan Bashier</v>
      </c>
      <c r="B9677" s="7" t="str">
        <f>HYPERLINK("https://otsuka-europe-crm.veevavault.com/ui/#object/vcountry__v/VENZ000004SONFK", "GB")</f>
        <v>GB</v>
      </c>
      <c r="C9677" s="8" t="s">
        <v>39</v>
      </c>
      <c r="D9677" s="9" t="str">
        <f>HYPERLINK("https://otsuka-europe-crm.veevavault.com/ui/#object/approved_document__v/V5O00000001H005", "LDM DR P2P Invite 23-Jun-26 [digital]")</f>
        <v>LDM DR P2P Invite 23-Jun-26 [digital]</v>
      </c>
      <c r="E9677" s="10" t="str">
        <f>HYPERLINK("https://otsuka-europe-crm.veevavault.com/ui/#object/sent_email__v/VBL00000002U253", "SE-001436033")</f>
        <v>SE-001436033</v>
      </c>
      <c r="F9677" s="11"/>
      <c r="G9677" s="12">
        <v>0</v>
      </c>
      <c r="H9677" s="12">
        <v>0</v>
      </c>
      <c r="I9677" s="12">
        <v>0</v>
      </c>
      <c r="J9677" s="11"/>
      <c r="K9677" s="12">
        <v>0</v>
      </c>
      <c r="L9677" s="10" t="str">
        <f>HYPERLINK("https://otsuka-europe-crm.veevavault.com/ui/#object/approved_document__v/V5O00000001H005", "LDM DR P2P Invite 23-Jun-26 [digital]")</f>
        <v>LDM DR P2P Invite 23-Jun-26 [digital]</v>
      </c>
      <c r="M9677" s="10" t="str">
        <f>HYPERLINK("mailto:ldimambro@crm.otsuka-europe.com", "ldimambro@crm.otsuka-europe.com")</f>
        <v>ldimambro@crm.otsuka-europe.com</v>
      </c>
      <c r="N9677" s="13">
        <v>46188.517881944441</v>
      </c>
      <c r="O9677" s="14" t="str">
        <f>HYPERLINK("https://otsuka-europe-crm.veevavault.com/ui/#object/email_activity__v/V8C00000003V606", "EN-002096002")</f>
        <v>EN-002096002</v>
      </c>
    </row>
    <row r="9678" spans="1:15" ht="32" x14ac:dyDescent="0.2">
      <c r="A9678" s="7" t="str">
        <f>HYPERLINK("https://otsuka-europe-crm.veevavault.com/ui/#object/account__v/V4TZ0000062PH5C", "Adewunni Ogunseye")</f>
        <v>Adewunni Ogunseye</v>
      </c>
      <c r="B9678" s="7" t="str">
        <f>HYPERLINK("https://otsuka-europe-crm.veevavault.com/ui/#object/vcountry__v/VENZ000004SONFK", "GB")</f>
        <v>GB</v>
      </c>
      <c r="C9678" s="8" t="s">
        <v>39</v>
      </c>
      <c r="D9678" s="9" t="str">
        <f>HYPERLINK("https://otsuka-europe-crm.veevavault.com/ui/#object/approved_document__v/V5O00000001H005", "LDM DR P2P Invite 23-Jun-26 [digital]")</f>
        <v>LDM DR P2P Invite 23-Jun-26 [digital]</v>
      </c>
      <c r="E9678" s="10" t="str">
        <f>HYPERLINK("https://otsuka-europe-crm.veevavault.com/ui/#object/sent_email__v/VBL00000002U254", "SE-001436034")</f>
        <v>SE-001436034</v>
      </c>
      <c r="F9678" s="11"/>
      <c r="G9678" s="12">
        <v>0</v>
      </c>
      <c r="H9678" s="12">
        <v>0</v>
      </c>
      <c r="I9678" s="12">
        <v>0</v>
      </c>
      <c r="J9678" s="11"/>
      <c r="K9678" s="12">
        <v>0</v>
      </c>
      <c r="L9678" s="10" t="str">
        <f>HYPERLINK("https://otsuka-europe-crm.veevavault.com/ui/#object/approved_document__v/V5O00000001H005", "LDM DR P2P Invite 23-Jun-26 [digital]")</f>
        <v>LDM DR P2P Invite 23-Jun-26 [digital]</v>
      </c>
      <c r="M9678" s="10" t="str">
        <f>HYPERLINK("mailto:ldimambro@crm.otsuka-europe.com", "ldimambro@crm.otsuka-europe.com")</f>
        <v>ldimambro@crm.otsuka-europe.com</v>
      </c>
      <c r="N9678" s="13">
        <v>46188.517881944441</v>
      </c>
      <c r="O9678" s="14" t="str">
        <f>HYPERLINK("https://otsuka-europe-crm.veevavault.com/ui/#object/email_activity__v/V8C00000003V638", "EN-002096034")</f>
        <v>EN-002096034</v>
      </c>
    </row>
    <row r="9679" spans="1:15" ht="16" x14ac:dyDescent="0.2">
      <c r="A9679" s="17" t="str">
        <f>HYPERLINK("https://otsuka-europe-crm.veevavault.com/ui/#object/account__v/V4TZ06G6OBU97M8", "Benson Benjamin")</f>
        <v>Benson Benjamin</v>
      </c>
      <c r="B9679" s="17" t="str">
        <f>HYPERLINK("https://otsuka-europe-crm.veevavault.com/ui/#object/vcountry__v/VENZ000004SONFK", "GB")</f>
        <v>GB</v>
      </c>
      <c r="C9679" s="20" t="s">
        <v>39</v>
      </c>
      <c r="D9679" s="21" t="str">
        <f>HYPERLINK("https://otsuka-europe-crm.veevavault.com/ui/#object/approved_document__v/V5O00000001H005", "LDM DR P2P Invite 23-Jun-26 [digital]")</f>
        <v>LDM DR P2P Invite 23-Jun-26 [digital]</v>
      </c>
      <c r="E9679" s="22" t="str">
        <f>HYPERLINK("https://otsuka-europe-crm.veevavault.com/ui/#object/sent_email__v/VBL00000002U255", "SE-001436035")</f>
        <v>SE-001436035</v>
      </c>
      <c r="F9679" s="23">
        <v>46197.897013888891</v>
      </c>
      <c r="G9679" s="24">
        <v>1</v>
      </c>
      <c r="H9679" s="24">
        <v>1</v>
      </c>
      <c r="I9679" s="24">
        <v>0</v>
      </c>
      <c r="J9679" s="25"/>
      <c r="K9679" s="24">
        <v>0</v>
      </c>
      <c r="L9679" s="22" t="str">
        <f>HYPERLINK("https://otsuka-europe-crm.veevavault.com/ui/#object/approved_document__v/V5O00000001H005", "LDM DR P2P Invite 23-Jun-26 [digital]")</f>
        <v>LDM DR P2P Invite 23-Jun-26 [digital]</v>
      </c>
      <c r="M9679" s="22" t="str">
        <f>HYPERLINK("mailto:ldimambro@crm.otsuka-europe.com", "ldimambro@crm.otsuka-europe.com")</f>
        <v>ldimambro@crm.otsuka-europe.com</v>
      </c>
      <c r="N9679" s="23">
        <v>46188.517881944441</v>
      </c>
      <c r="O9679" s="14" t="str">
        <f>HYPERLINK("https://otsuka-europe-crm.veevavault.com/ui/#object/email_activity__v/V8C00000003V628", "EN-002096024")</f>
        <v>EN-002096024</v>
      </c>
    </row>
    <row r="9680" spans="1:15" ht="16" x14ac:dyDescent="0.2">
      <c r="A9680" s="19"/>
      <c r="B9680" s="19"/>
      <c r="C9680" s="19"/>
      <c r="D9680" s="19"/>
      <c r="E9680" s="19"/>
      <c r="F9680" s="19"/>
      <c r="G9680" s="19"/>
      <c r="H9680" s="19"/>
      <c r="I9680" s="19"/>
      <c r="J9680" s="19"/>
      <c r="K9680" s="19"/>
      <c r="L9680" s="19"/>
      <c r="M9680" s="19"/>
      <c r="N9680" s="19"/>
      <c r="O9680" s="14" t="str">
        <f>HYPERLINK("https://otsuka-europe-crm.veevavault.com/ui/#object/email_activity__v/V8C00000003Z462", "EN-002099608")</f>
        <v>EN-002099608</v>
      </c>
    </row>
    <row r="9681" spans="1:15" ht="32" x14ac:dyDescent="0.2">
      <c r="A9681" s="7" t="str">
        <f>HYPERLINK("https://otsuka-europe-crm.veevavault.com/ui/#object/account__v/V4TZ025E87BKZLE", "Ansar Miah")</f>
        <v>Ansar Miah</v>
      </c>
      <c r="B9681" s="7" t="str">
        <f>HYPERLINK("https://otsuka-europe-crm.veevavault.com/ui/#object/vcountry__v/VENZ000004SONFK", "GB")</f>
        <v>GB</v>
      </c>
      <c r="C9681" s="8" t="s">
        <v>39</v>
      </c>
      <c r="D9681" s="9" t="str">
        <f>HYPERLINK("https://otsuka-europe-crm.veevavault.com/ui/#object/approved_document__v/V5O00000001H005", "LDM DR P2P Invite 23-Jun-26 [digital]")</f>
        <v>LDM DR P2P Invite 23-Jun-26 [digital]</v>
      </c>
      <c r="E9681" s="10" t="str">
        <f>HYPERLINK("https://otsuka-europe-crm.veevavault.com/ui/#object/sent_email__v/VBL00000002U256", "SE-001436036")</f>
        <v>SE-001436036</v>
      </c>
      <c r="F9681" s="11"/>
      <c r="G9681" s="12">
        <v>0</v>
      </c>
      <c r="H9681" s="12">
        <v>0</v>
      </c>
      <c r="I9681" s="12">
        <v>0</v>
      </c>
      <c r="J9681" s="11"/>
      <c r="K9681" s="12">
        <v>0</v>
      </c>
      <c r="L9681" s="10" t="str">
        <f>HYPERLINK("https://otsuka-europe-crm.veevavault.com/ui/#object/approved_document__v/V5O00000001H005", "LDM DR P2P Invite 23-Jun-26 [digital]")</f>
        <v>LDM DR P2P Invite 23-Jun-26 [digital]</v>
      </c>
      <c r="M9681" s="10" t="str">
        <f>HYPERLINK("mailto:ldimambro@crm.otsuka-europe.com", "ldimambro@crm.otsuka-europe.com")</f>
        <v>ldimambro@crm.otsuka-europe.com</v>
      </c>
      <c r="N9681" s="13">
        <v>46188.517870370371</v>
      </c>
      <c r="O9681" s="14" t="str">
        <f>HYPERLINK("https://otsuka-europe-crm.veevavault.com/ui/#object/email_activity__v/V8C00000003V614", "EN-002096010")</f>
        <v>EN-002096010</v>
      </c>
    </row>
    <row r="9682" spans="1:15" ht="32" x14ac:dyDescent="0.2">
      <c r="A9682" s="7" t="str">
        <f>HYPERLINK("https://otsuka-europe-crm.veevavault.com/ui/#object/account__v/V4TZ0000062PBXH", "Ahaoma Agunwamba")</f>
        <v>Ahaoma Agunwamba</v>
      </c>
      <c r="B9682" s="7" t="str">
        <f>HYPERLINK("https://otsuka-europe-crm.veevavault.com/ui/#object/vcountry__v/VENZ000004SONFK", "GB")</f>
        <v>GB</v>
      </c>
      <c r="C9682" s="8" t="s">
        <v>39</v>
      </c>
      <c r="D9682" s="9" t="str">
        <f>HYPERLINK("https://otsuka-europe-crm.veevavault.com/ui/#object/approved_document__v/V5O00000001H005", "LDM DR P2P Invite 23-Jun-26 [digital]")</f>
        <v>LDM DR P2P Invite 23-Jun-26 [digital]</v>
      </c>
      <c r="E9682" s="10" t="str">
        <f>HYPERLINK("https://otsuka-europe-crm.veevavault.com/ui/#object/sent_email__v/VBL00000002U257", "SE-001436037")</f>
        <v>SE-001436037</v>
      </c>
      <c r="F9682" s="11"/>
      <c r="G9682" s="12">
        <v>0</v>
      </c>
      <c r="H9682" s="12">
        <v>0</v>
      </c>
      <c r="I9682" s="12">
        <v>0</v>
      </c>
      <c r="J9682" s="11"/>
      <c r="K9682" s="12">
        <v>0</v>
      </c>
      <c r="L9682" s="10" t="str">
        <f>HYPERLINK("https://otsuka-europe-crm.veevavault.com/ui/#object/approved_document__v/V5O00000001H005", "LDM DR P2P Invite 23-Jun-26 [digital]")</f>
        <v>LDM DR P2P Invite 23-Jun-26 [digital]</v>
      </c>
      <c r="M9682" s="10" t="str">
        <f>HYPERLINK("mailto:ldimambro@crm.otsuka-europe.com", "ldimambro@crm.otsuka-europe.com")</f>
        <v>ldimambro@crm.otsuka-europe.com</v>
      </c>
      <c r="N9682" s="13">
        <v>46188.517870370371</v>
      </c>
      <c r="O9682" s="14" t="str">
        <f>HYPERLINK("https://otsuka-europe-crm.veevavault.com/ui/#object/email_activity__v/V8C00000003V613", "EN-002096009")</f>
        <v>EN-002096009</v>
      </c>
    </row>
    <row r="9683" spans="1:15" ht="32" x14ac:dyDescent="0.2">
      <c r="A9683" s="7" t="str">
        <f>HYPERLINK("https://otsuka-europe-crm.veevavault.com/ui/#object/account__v/V4TZ0000062PNSV", "Albert Hushie")</f>
        <v>Albert Hushie</v>
      </c>
      <c r="B9683" s="7" t="str">
        <f>HYPERLINK("https://otsuka-europe-crm.veevavault.com/ui/#object/vcountry__v/VENZ000004SONFK", "GB")</f>
        <v>GB</v>
      </c>
      <c r="C9683" s="8" t="s">
        <v>39</v>
      </c>
      <c r="D9683" s="9" t="str">
        <f>HYPERLINK("https://otsuka-europe-crm.veevavault.com/ui/#object/approved_document__v/V5O00000001H005", "LDM DR P2P Invite 23-Jun-26 [digital]")</f>
        <v>LDM DR P2P Invite 23-Jun-26 [digital]</v>
      </c>
      <c r="E9683" s="10" t="str">
        <f>HYPERLINK("https://otsuka-europe-crm.veevavault.com/ui/#object/sent_email__v/VBL00000002U258", "SE-001436038")</f>
        <v>SE-001436038</v>
      </c>
      <c r="F9683" s="11"/>
      <c r="G9683" s="12">
        <v>0</v>
      </c>
      <c r="H9683" s="12">
        <v>0</v>
      </c>
      <c r="I9683" s="12">
        <v>0</v>
      </c>
      <c r="J9683" s="11"/>
      <c r="K9683" s="12">
        <v>0</v>
      </c>
      <c r="L9683" s="10" t="str">
        <f>HYPERLINK("https://otsuka-europe-crm.veevavault.com/ui/#object/approved_document__v/V5O00000001H005", "LDM DR P2P Invite 23-Jun-26 [digital]")</f>
        <v>LDM DR P2P Invite 23-Jun-26 [digital]</v>
      </c>
      <c r="M9683" s="10" t="str">
        <f>HYPERLINK("mailto:ldimambro@crm.otsuka-europe.com", "ldimambro@crm.otsuka-europe.com")</f>
        <v>ldimambro@crm.otsuka-europe.com</v>
      </c>
      <c r="N9683" s="13">
        <v>46188.517881944441</v>
      </c>
      <c r="O9683" s="14" t="str">
        <f>HYPERLINK("https://otsuka-europe-crm.veevavault.com/ui/#object/email_activity__v/V8C00000003V615", "EN-002096011")</f>
        <v>EN-002096011</v>
      </c>
    </row>
    <row r="9684" spans="1:15" ht="16" x14ac:dyDescent="0.2">
      <c r="A9684" s="17" t="str">
        <f>HYPERLINK("https://otsuka-europe-crm.veevavault.com/ui/#object/account__v/V4TZ0000062PCJ2", "Abu Abraham")</f>
        <v>Abu Abraham</v>
      </c>
      <c r="B9684" s="17" t="str">
        <f>HYPERLINK("https://otsuka-europe-crm.veevavault.com/ui/#object/vcountry__v/VENZ000004SONFK", "GB")</f>
        <v>GB</v>
      </c>
      <c r="C9684" s="20" t="s">
        <v>39</v>
      </c>
      <c r="D9684" s="21" t="str">
        <f>HYPERLINK("https://otsuka-europe-crm.veevavault.com/ui/#object/approved_document__v/V5O00000001H005", "LDM DR P2P Invite 23-Jun-26 [digital]")</f>
        <v>LDM DR P2P Invite 23-Jun-26 [digital]</v>
      </c>
      <c r="E9684" s="22" t="str">
        <f>HYPERLINK("https://otsuka-europe-crm.veevavault.com/ui/#object/sent_email__v/VBL00000002U259", "SE-001436039")</f>
        <v>SE-001436039</v>
      </c>
      <c r="F9684" s="23">
        <v>46190.013657407406</v>
      </c>
      <c r="G9684" s="24">
        <v>1</v>
      </c>
      <c r="H9684" s="24">
        <v>1</v>
      </c>
      <c r="I9684" s="24">
        <v>0</v>
      </c>
      <c r="J9684" s="25"/>
      <c r="K9684" s="24">
        <v>0</v>
      </c>
      <c r="L9684" s="22" t="str">
        <f>HYPERLINK("https://otsuka-europe-crm.veevavault.com/ui/#object/approved_document__v/V5O00000001H005", "LDM DR P2P Invite 23-Jun-26 [digital]")</f>
        <v>LDM DR P2P Invite 23-Jun-26 [digital]</v>
      </c>
      <c r="M9684" s="22" t="str">
        <f>HYPERLINK("mailto:ldimambro@crm.otsuka-europe.com", "ldimambro@crm.otsuka-europe.com")</f>
        <v>ldimambro@crm.otsuka-europe.com</v>
      </c>
      <c r="N9684" s="23">
        <v>46188.517881944441</v>
      </c>
      <c r="O9684" s="14" t="str">
        <f>HYPERLINK("https://otsuka-europe-crm.veevavault.com/ui/#object/email_activity__v/V8C00000003V611", "EN-002096007")</f>
        <v>EN-002096007</v>
      </c>
    </row>
    <row r="9685" spans="1:15" ht="16" x14ac:dyDescent="0.2">
      <c r="A9685" s="19"/>
      <c r="B9685" s="19"/>
      <c r="C9685" s="19"/>
      <c r="D9685" s="19"/>
      <c r="E9685" s="19"/>
      <c r="F9685" s="19"/>
      <c r="G9685" s="19"/>
      <c r="H9685" s="19"/>
      <c r="I9685" s="19"/>
      <c r="J9685" s="19"/>
      <c r="K9685" s="19"/>
      <c r="L9685" s="19"/>
      <c r="M9685" s="19"/>
      <c r="N9685" s="19"/>
      <c r="O9685" s="14" t="str">
        <f>HYPERLINK("https://otsuka-europe-crm.veevavault.com/ui/#object/email_activity__v/V8C00000003X228", "EN-002097355")</f>
        <v>EN-002097355</v>
      </c>
    </row>
    <row r="9686" spans="1:15" ht="32" x14ac:dyDescent="0.2">
      <c r="A9686" s="7" t="str">
        <f>HYPERLINK("https://otsuka-europe-crm.veevavault.com/ui/#object/account__v/V4TZ0000062PAXA", "Andrea Pathak")</f>
        <v>Andrea Pathak</v>
      </c>
      <c r="B9686" s="7" t="str">
        <f>HYPERLINK("https://otsuka-europe-crm.veevavault.com/ui/#object/vcountry__v/VENZ000004SONFK", "GB")</f>
        <v>GB</v>
      </c>
      <c r="C9686" s="8" t="s">
        <v>39</v>
      </c>
      <c r="D9686" s="9" t="str">
        <f>HYPERLINK("https://otsuka-europe-crm.veevavault.com/ui/#object/approved_document__v/V5O00000001H005", "LDM DR P2P Invite 23-Jun-26 [digital]")</f>
        <v>LDM DR P2P Invite 23-Jun-26 [digital]</v>
      </c>
      <c r="E9686" s="10" t="str">
        <f>HYPERLINK("https://otsuka-europe-crm.veevavault.com/ui/#object/sent_email__v/VBL00000002U260", "SE-001436040")</f>
        <v>SE-001436040</v>
      </c>
      <c r="F9686" s="11"/>
      <c r="G9686" s="12">
        <v>0</v>
      </c>
      <c r="H9686" s="12">
        <v>0</v>
      </c>
      <c r="I9686" s="12">
        <v>0</v>
      </c>
      <c r="J9686" s="11"/>
      <c r="K9686" s="12">
        <v>0</v>
      </c>
      <c r="L9686" s="10" t="str">
        <f>HYPERLINK("https://otsuka-europe-crm.veevavault.com/ui/#object/approved_document__v/V5O00000001H005", "LDM DR P2P Invite 23-Jun-26 [digital]")</f>
        <v>LDM DR P2P Invite 23-Jun-26 [digital]</v>
      </c>
      <c r="M9686" s="10" t="str">
        <f>HYPERLINK("mailto:ldimambro@crm.otsuka-europe.com", "ldimambro@crm.otsuka-europe.com")</f>
        <v>ldimambro@crm.otsuka-europe.com</v>
      </c>
      <c r="N9686" s="13">
        <v>46188.517881944441</v>
      </c>
      <c r="O9686" s="14" t="str">
        <f>HYPERLINK("https://otsuka-europe-crm.veevavault.com/ui/#object/email_activity__v/V8C00000003V627", "EN-002096023")</f>
        <v>EN-002096023</v>
      </c>
    </row>
    <row r="9687" spans="1:15" ht="32" x14ac:dyDescent="0.2">
      <c r="A9687" s="7" t="str">
        <f>HYPERLINK("https://otsuka-europe-crm.veevavault.com/ui/#object/account__v/V4TZ04ASGCIAX7U", "Bhavin Karania")</f>
        <v>Bhavin Karania</v>
      </c>
      <c r="B9687" s="7" t="str">
        <f>HYPERLINK("https://otsuka-europe-crm.veevavault.com/ui/#object/vcountry__v/VENZ000004SONFK", "GB")</f>
        <v>GB</v>
      </c>
      <c r="C9687" s="8" t="s">
        <v>39</v>
      </c>
      <c r="D9687" s="9" t="str">
        <f>HYPERLINK("https://otsuka-europe-crm.veevavault.com/ui/#object/approved_document__v/V5O00000001H005", "LDM DR P2P Invite 23-Jun-26 [digital]")</f>
        <v>LDM DR P2P Invite 23-Jun-26 [digital]</v>
      </c>
      <c r="E9687" s="10" t="str">
        <f>HYPERLINK("https://otsuka-europe-crm.veevavault.com/ui/#object/sent_email__v/VBL00000002U261", "SE-001436041")</f>
        <v>SE-001436041</v>
      </c>
      <c r="F9687" s="11"/>
      <c r="G9687" s="12">
        <v>0</v>
      </c>
      <c r="H9687" s="12">
        <v>0</v>
      </c>
      <c r="I9687" s="12">
        <v>0</v>
      </c>
      <c r="J9687" s="11"/>
      <c r="K9687" s="12">
        <v>0</v>
      </c>
      <c r="L9687" s="10" t="str">
        <f>HYPERLINK("https://otsuka-europe-crm.veevavault.com/ui/#object/approved_document__v/V5O00000001H005", "LDM DR P2P Invite 23-Jun-26 [digital]")</f>
        <v>LDM DR P2P Invite 23-Jun-26 [digital]</v>
      </c>
      <c r="M9687" s="10" t="str">
        <f>HYPERLINK("mailto:ldimambro@crm.otsuka-europe.com", "ldimambro@crm.otsuka-europe.com")</f>
        <v>ldimambro@crm.otsuka-europe.com</v>
      </c>
      <c r="N9687" s="13">
        <v>46188.517881944441</v>
      </c>
      <c r="O9687" s="14" t="str">
        <f>HYPERLINK("https://otsuka-europe-crm.veevavault.com/ui/#object/email_activity__v/V8C00000003V616", "EN-002096012")</f>
        <v>EN-002096012</v>
      </c>
    </row>
    <row r="9688" spans="1:15" ht="32" x14ac:dyDescent="0.2">
      <c r="A9688" s="7" t="str">
        <f>HYPERLINK("https://otsuka-europe-crm.veevavault.com/ui/#object/account__v/V4TZ0000062PFSV", "Ayyamkulam Louis")</f>
        <v>Ayyamkulam Louis</v>
      </c>
      <c r="B9688" s="7" t="str">
        <f>HYPERLINK("https://otsuka-europe-crm.veevavault.com/ui/#object/vcountry__v/VENZ000004SONFK", "GB")</f>
        <v>GB</v>
      </c>
      <c r="C9688" s="8" t="s">
        <v>39</v>
      </c>
      <c r="D9688" s="9" t="str">
        <f>HYPERLINK("https://otsuka-europe-crm.veevavault.com/ui/#object/approved_document__v/V5O00000001H005", "LDM DR P2P Invite 23-Jun-26 [digital]")</f>
        <v>LDM DR P2P Invite 23-Jun-26 [digital]</v>
      </c>
      <c r="E9688" s="10" t="str">
        <f>HYPERLINK("https://otsuka-europe-crm.veevavault.com/ui/#object/sent_email__v/VBL00000002U262", "SE-001436042")</f>
        <v>SE-001436042</v>
      </c>
      <c r="F9688" s="11"/>
      <c r="G9688" s="12">
        <v>0</v>
      </c>
      <c r="H9688" s="12">
        <v>0</v>
      </c>
      <c r="I9688" s="12">
        <v>0</v>
      </c>
      <c r="J9688" s="11"/>
      <c r="K9688" s="12">
        <v>0</v>
      </c>
      <c r="L9688" s="10" t="str">
        <f>HYPERLINK("https://otsuka-europe-crm.veevavault.com/ui/#object/approved_document__v/V5O00000001H005", "LDM DR P2P Invite 23-Jun-26 [digital]")</f>
        <v>LDM DR P2P Invite 23-Jun-26 [digital]</v>
      </c>
      <c r="M9688" s="10" t="str">
        <f>HYPERLINK("mailto:ldimambro@crm.otsuka-europe.com", "ldimambro@crm.otsuka-europe.com")</f>
        <v>ldimambro@crm.otsuka-europe.com</v>
      </c>
      <c r="N9688" s="13">
        <v>46188.517881944441</v>
      </c>
      <c r="O9688" s="14" t="str">
        <f>HYPERLINK("https://otsuka-europe-crm.veevavault.com/ui/#object/email_activity__v/V8C00000003V633", "EN-002096029")</f>
        <v>EN-002096029</v>
      </c>
    </row>
    <row r="9689" spans="1:15" ht="16" x14ac:dyDescent="0.2">
      <c r="A9689" s="17" t="str">
        <f>HYPERLINK("https://otsuka-europe-crm.veevavault.com/ui/#object/account__v/V4TZ06G6ODNL9CI", "Jennifer Tanner")</f>
        <v>Jennifer Tanner</v>
      </c>
      <c r="B9689" s="17" t="str">
        <f>HYPERLINK("https://otsuka-europe-crm.veevavault.com/ui/#object/vcountry__v/VENZ000004SONFK", "GB")</f>
        <v>GB</v>
      </c>
      <c r="C9689" s="20" t="s">
        <v>39</v>
      </c>
      <c r="D9689" s="21" t="str">
        <f>HYPERLINK("https://otsuka-europe-crm.veevavault.com/ui/#object/approved_document__v/V5O00000001H005", "LDM DR P2P Invite 23-Jun-26 [digital]")</f>
        <v>LDM DR P2P Invite 23-Jun-26 [digital]</v>
      </c>
      <c r="E9689" s="22" t="str">
        <f>HYPERLINK("https://otsuka-europe-crm.veevavault.com/ui/#object/sent_email__v/VBL00000002T303", "SE-001436043")</f>
        <v>SE-001436043</v>
      </c>
      <c r="F9689" s="23">
        <v>46188.748495370368</v>
      </c>
      <c r="G9689" s="24">
        <v>1</v>
      </c>
      <c r="H9689" s="24">
        <v>2</v>
      </c>
      <c r="I9689" s="24">
        <v>0</v>
      </c>
      <c r="J9689" s="25"/>
      <c r="K9689" s="24">
        <v>0</v>
      </c>
      <c r="L9689" s="22" t="str">
        <f>HYPERLINK("https://otsuka-europe-crm.veevavault.com/ui/#object/approved_document__v/V5O00000001H005", "LDM DR P2P Invite 23-Jun-26 [digital]")</f>
        <v>LDM DR P2P Invite 23-Jun-26 [digital]</v>
      </c>
      <c r="M9689" s="22" t="str">
        <f>HYPERLINK("mailto:ldimambro@crm.otsuka-europe.com", "ldimambro@crm.otsuka-europe.com")</f>
        <v>ldimambro@crm.otsuka-europe.com</v>
      </c>
      <c r="N9689" s="23">
        <v>46188.521898148145</v>
      </c>
      <c r="O9689" s="14" t="str">
        <f>HYPERLINK("https://otsuka-europe-crm.veevavault.com/ui/#object/email_activity__v/V8C00000003U689", "EN-002096200")</f>
        <v>EN-002096200</v>
      </c>
    </row>
    <row r="9690" spans="1:15" ht="16" x14ac:dyDescent="0.2">
      <c r="A9690" s="18"/>
      <c r="B9690" s="18"/>
      <c r="C9690" s="18"/>
      <c r="D9690" s="18"/>
      <c r="E9690" s="18"/>
      <c r="F9690" s="18"/>
      <c r="G9690" s="18"/>
      <c r="H9690" s="18"/>
      <c r="I9690" s="18"/>
      <c r="J9690" s="18"/>
      <c r="K9690" s="18"/>
      <c r="L9690" s="18"/>
      <c r="M9690" s="18"/>
      <c r="N9690" s="18"/>
      <c r="O9690" s="14" t="str">
        <f>HYPERLINK("https://otsuka-europe-crm.veevavault.com/ui/#object/email_activity__v/V8C00000003U806", "EN-002096529")</f>
        <v>EN-002096529</v>
      </c>
    </row>
    <row r="9691" spans="1:15" ht="16" x14ac:dyDescent="0.2">
      <c r="A9691" s="19"/>
      <c r="B9691" s="19"/>
      <c r="C9691" s="19"/>
      <c r="D9691" s="19"/>
      <c r="E9691" s="19"/>
      <c r="F9691" s="19"/>
      <c r="G9691" s="19"/>
      <c r="H9691" s="19"/>
      <c r="I9691" s="19"/>
      <c r="J9691" s="19"/>
      <c r="K9691" s="19"/>
      <c r="L9691" s="19"/>
      <c r="M9691" s="19"/>
      <c r="N9691" s="19"/>
      <c r="O9691" s="14" t="str">
        <f>HYPERLINK("https://otsuka-europe-crm.veevavault.com/ui/#object/email_activity__v/V8C00000003V655", "EN-002096063")</f>
        <v>EN-002096063</v>
      </c>
    </row>
    <row r="9692" spans="1:15" ht="32" x14ac:dyDescent="0.2">
      <c r="A9692" s="7" t="str">
        <f>HYPERLINK("https://otsuka-europe-crm.veevavault.com/ui/#object/account__v/V4TZ04ASG79ZOGJ", "Damilola Ojo")</f>
        <v>Damilola Ojo</v>
      </c>
      <c r="B9692" s="7" t="str">
        <f>HYPERLINK("https://otsuka-europe-crm.veevavault.com/ui/#object/vcountry__v/VENZ000004SONFK", "GB")</f>
        <v>GB</v>
      </c>
      <c r="C9692" s="8" t="s">
        <v>39</v>
      </c>
      <c r="D9692" s="9" t="str">
        <f>HYPERLINK("https://otsuka-europe-crm.veevavault.com/ui/#object/approved_document__v/V5O00000001H005", "LDM DR P2P Invite 23-Jun-26 [digital]")</f>
        <v>LDM DR P2P Invite 23-Jun-26 [digital]</v>
      </c>
      <c r="E9692" s="10" t="str">
        <f>HYPERLINK("https://otsuka-europe-crm.veevavault.com/ui/#object/sent_email__v/VBL00000002T304", "SE-001436044")</f>
        <v>SE-001436044</v>
      </c>
      <c r="F9692" s="11"/>
      <c r="G9692" s="12">
        <v>0</v>
      </c>
      <c r="H9692" s="12">
        <v>0</v>
      </c>
      <c r="I9692" s="12">
        <v>0</v>
      </c>
      <c r="J9692" s="11"/>
      <c r="K9692" s="12">
        <v>0</v>
      </c>
      <c r="L9692" s="10" t="str">
        <f>HYPERLINK("https://otsuka-europe-crm.veevavault.com/ui/#object/approved_document__v/V5O00000001H005", "LDM DR P2P Invite 23-Jun-26 [digital]")</f>
        <v>LDM DR P2P Invite 23-Jun-26 [digital]</v>
      </c>
      <c r="M9692" s="10" t="str">
        <f>HYPERLINK("mailto:ldimambro@crm.otsuka-europe.com", "ldimambro@crm.otsuka-europe.com")</f>
        <v>ldimambro@crm.otsuka-europe.com</v>
      </c>
      <c r="N9692" s="13">
        <v>46188.521898148145</v>
      </c>
      <c r="O9692" s="14" t="str">
        <f>HYPERLINK("https://otsuka-europe-crm.veevavault.com/ui/#object/email_activity__v/V8C00000003V649", "EN-002096049")</f>
        <v>EN-002096049</v>
      </c>
    </row>
    <row r="9693" spans="1:15" ht="16" x14ac:dyDescent="0.2">
      <c r="A9693" s="17" t="str">
        <f>HYPERLINK("https://otsuka-europe-crm.veevavault.com/ui/#object/account__v/V4TZ0000062PIV1", "Carla Villa")</f>
        <v>Carla Villa</v>
      </c>
      <c r="B9693" s="17" t="str">
        <f>HYPERLINK("https://otsuka-europe-crm.veevavault.com/ui/#object/vcountry__v/VENZ000004SONFK", "GB")</f>
        <v>GB</v>
      </c>
      <c r="C9693" s="20" t="s">
        <v>39</v>
      </c>
      <c r="D9693" s="21" t="str">
        <f>HYPERLINK("https://otsuka-europe-crm.veevavault.com/ui/#object/approved_document__v/V5O00000001H005", "LDM DR P2P Invite 23-Jun-26 [digital]")</f>
        <v>LDM DR P2P Invite 23-Jun-26 [digital]</v>
      </c>
      <c r="E9693" s="22" t="str">
        <f>HYPERLINK("https://otsuka-europe-crm.veevavault.com/ui/#object/sent_email__v/VBL00000002T305", "SE-001436045")</f>
        <v>SE-001436045</v>
      </c>
      <c r="F9693" s="25"/>
      <c r="G9693" s="24">
        <v>0</v>
      </c>
      <c r="H9693" s="24">
        <v>0</v>
      </c>
      <c r="I9693" s="24">
        <v>0</v>
      </c>
      <c r="J9693" s="25"/>
      <c r="K9693" s="24">
        <v>0</v>
      </c>
      <c r="L9693" s="22" t="str">
        <f>HYPERLINK("https://otsuka-europe-crm.veevavault.com/ui/#object/approved_document__v/V5O00000001H005", "LDM DR P2P Invite 23-Jun-26 [digital]")</f>
        <v>LDM DR P2P Invite 23-Jun-26 [digital]</v>
      </c>
      <c r="M9693" s="22" t="str">
        <f>HYPERLINK("mailto:ldimambro@crm.otsuka-europe.com", "ldimambro@crm.otsuka-europe.com")</f>
        <v>ldimambro@crm.otsuka-europe.com</v>
      </c>
      <c r="N9693" s="23">
        <v>46188.521921296298</v>
      </c>
      <c r="O9693" s="14" t="str">
        <f>HYPERLINK("https://otsuka-europe-crm.veevavault.com/ui/#object/email_activity__v/V8C00000003V656", "EN-002096068")</f>
        <v>EN-002096068</v>
      </c>
    </row>
    <row r="9694" spans="1:15" ht="16" x14ac:dyDescent="0.2">
      <c r="A9694" s="19"/>
      <c r="B9694" s="19"/>
      <c r="C9694" s="19"/>
      <c r="D9694" s="19"/>
      <c r="E9694" s="19"/>
      <c r="F9694" s="19"/>
      <c r="G9694" s="19"/>
      <c r="H9694" s="19"/>
      <c r="I9694" s="19"/>
      <c r="J9694" s="19"/>
      <c r="K9694" s="19"/>
      <c r="L9694" s="19"/>
      <c r="M9694" s="19"/>
      <c r="N9694" s="19"/>
      <c r="O9694" s="14" t="str">
        <f>HYPERLINK("https://otsuka-europe-crm.veevavault.com/ui/#object/email_activity__v/V8C00000003X892", "EN-002098414")</f>
        <v>EN-002098414</v>
      </c>
    </row>
    <row r="9695" spans="1:15" ht="32" x14ac:dyDescent="0.2">
      <c r="A9695" s="7" t="str">
        <f>HYPERLINK("https://otsuka-europe-crm.veevavault.com/ui/#object/account__v/V4TZ025E87H3059", "Busola Olugosi")</f>
        <v>Busola Olugosi</v>
      </c>
      <c r="B9695" s="7" t="str">
        <f>HYPERLINK("https://otsuka-europe-crm.veevavault.com/ui/#object/vcountry__v/VENZ000004SONFK", "GB")</f>
        <v>GB</v>
      </c>
      <c r="C9695" s="8" t="s">
        <v>39</v>
      </c>
      <c r="D9695" s="9" t="str">
        <f>HYPERLINK("https://otsuka-europe-crm.veevavault.com/ui/#object/approved_document__v/V5O00000001H005", "LDM DR P2P Invite 23-Jun-26 [digital]")</f>
        <v>LDM DR P2P Invite 23-Jun-26 [digital]</v>
      </c>
      <c r="E9695" s="10" t="str">
        <f>HYPERLINK("https://otsuka-europe-crm.veevavault.com/ui/#object/sent_email__v/VBL00000002T306", "SE-001436046")</f>
        <v>SE-001436046</v>
      </c>
      <c r="F9695" s="11"/>
      <c r="G9695" s="12">
        <v>0</v>
      </c>
      <c r="H9695" s="12">
        <v>0</v>
      </c>
      <c r="I9695" s="12">
        <v>0</v>
      </c>
      <c r="J9695" s="11"/>
      <c r="K9695" s="12">
        <v>0</v>
      </c>
      <c r="L9695" s="10" t="str">
        <f>HYPERLINK("https://otsuka-europe-crm.veevavault.com/ui/#object/approved_document__v/V5O00000001H005", "LDM DR P2P Invite 23-Jun-26 [digital]")</f>
        <v>LDM DR P2P Invite 23-Jun-26 [digital]</v>
      </c>
      <c r="M9695" s="10" t="str">
        <f>HYPERLINK("mailto:ldimambro@crm.otsuka-europe.com", "ldimambro@crm.otsuka-europe.com")</f>
        <v>ldimambro@crm.otsuka-europe.com</v>
      </c>
      <c r="N9695" s="13">
        <v>46188.521886574075</v>
      </c>
      <c r="O9695" s="14" t="str">
        <f>HYPERLINK("https://otsuka-europe-crm.veevavault.com/ui/#object/email_activity__v/V8C00000003U585", "EN-002096043")</f>
        <v>EN-002096043</v>
      </c>
    </row>
    <row r="9696" spans="1:15" ht="16" x14ac:dyDescent="0.2">
      <c r="A9696" s="17" t="str">
        <f>HYPERLINK("https://otsuka-europe-crm.veevavault.com/ui/#object/account__v/V4TZ0000062PAX7", "David Ho")</f>
        <v>David Ho</v>
      </c>
      <c r="B9696" s="17" t="str">
        <f>HYPERLINK("https://otsuka-europe-crm.veevavault.com/ui/#object/vcountry__v/VENZ000004SONFK", "GB")</f>
        <v>GB</v>
      </c>
      <c r="C9696" s="20" t="s">
        <v>39</v>
      </c>
      <c r="D9696" s="21" t="str">
        <f>HYPERLINK("https://otsuka-europe-crm.veevavault.com/ui/#object/approved_document__v/V5O00000001H005", "LDM DR P2P Invite 23-Jun-26 [digital]")</f>
        <v>LDM DR P2P Invite 23-Jun-26 [digital]</v>
      </c>
      <c r="E9696" s="22" t="str">
        <f>HYPERLINK("https://otsuka-europe-crm.veevavault.com/ui/#object/sent_email__v/VBL00000002T307", "SE-001436047")</f>
        <v>SE-001436047</v>
      </c>
      <c r="F9696" s="25"/>
      <c r="G9696" s="24">
        <v>0</v>
      </c>
      <c r="H9696" s="24">
        <v>0</v>
      </c>
      <c r="I9696" s="24">
        <v>0</v>
      </c>
      <c r="J9696" s="25"/>
      <c r="K9696" s="24">
        <v>0</v>
      </c>
      <c r="L9696" s="22" t="str">
        <f>HYPERLINK("https://otsuka-europe-crm.veevavault.com/ui/#object/approved_document__v/V5O00000001H005", "LDM DR P2P Invite 23-Jun-26 [digital]")</f>
        <v>LDM DR P2P Invite 23-Jun-26 [digital]</v>
      </c>
      <c r="M9696" s="22" t="str">
        <f>HYPERLINK("mailto:ldimambro@crm.otsuka-europe.com", "ldimambro@crm.otsuka-europe.com")</f>
        <v>ldimambro@crm.otsuka-europe.com</v>
      </c>
      <c r="N9696" s="23">
        <v>46188.521898148145</v>
      </c>
      <c r="O9696" s="14" t="str">
        <f>HYPERLINK("https://otsuka-europe-crm.veevavault.com/ui/#object/email_activity__v/V8C00000003U814", "EN-002096543")</f>
        <v>EN-002096543</v>
      </c>
    </row>
    <row r="9697" spans="1:15" ht="16" x14ac:dyDescent="0.2">
      <c r="A9697" s="19"/>
      <c r="B9697" s="19"/>
      <c r="C9697" s="19"/>
      <c r="D9697" s="19"/>
      <c r="E9697" s="19"/>
      <c r="F9697" s="19"/>
      <c r="G9697" s="19"/>
      <c r="H9697" s="19"/>
      <c r="I9697" s="19"/>
      <c r="J9697" s="19"/>
      <c r="K9697" s="19"/>
      <c r="L9697" s="19"/>
      <c r="M9697" s="19"/>
      <c r="N9697" s="19"/>
      <c r="O9697" s="14" t="str">
        <f>HYPERLINK("https://otsuka-europe-crm.veevavault.com/ui/#object/email_activity__v/V8C00000003V651", "EN-002096052")</f>
        <v>EN-002096052</v>
      </c>
    </row>
    <row r="9698" spans="1:15" ht="16" x14ac:dyDescent="0.2">
      <c r="A9698" s="17" t="str">
        <f>HYPERLINK("https://otsuka-europe-crm.veevavault.com/ui/#object/account__v/V4TZ06G6O8A3YNZ", "Jasminka Cindori")</f>
        <v>Jasminka Cindori</v>
      </c>
      <c r="B9698" s="17" t="str">
        <f>HYPERLINK("https://otsuka-europe-crm.veevavault.com/ui/#object/vcountry__v/VENZ000004SONFK", "GB")</f>
        <v>GB</v>
      </c>
      <c r="C9698" s="20" t="s">
        <v>39</v>
      </c>
      <c r="D9698" s="21" t="str">
        <f>HYPERLINK("https://otsuka-europe-crm.veevavault.com/ui/#object/approved_document__v/V5O00000001H005", "LDM DR P2P Invite 23-Jun-26 [digital]")</f>
        <v>LDM DR P2P Invite 23-Jun-26 [digital]</v>
      </c>
      <c r="E9698" s="22" t="str">
        <f>HYPERLINK("https://otsuka-europe-crm.veevavault.com/ui/#object/sent_email__v/VBL00000002T308", "SE-001436048")</f>
        <v>SE-001436048</v>
      </c>
      <c r="F9698" s="25"/>
      <c r="G9698" s="24">
        <v>0</v>
      </c>
      <c r="H9698" s="24">
        <v>0</v>
      </c>
      <c r="I9698" s="24">
        <v>0</v>
      </c>
      <c r="J9698" s="25"/>
      <c r="K9698" s="24">
        <v>0</v>
      </c>
      <c r="L9698" s="22" t="str">
        <f>HYPERLINK("https://otsuka-europe-crm.veevavault.com/ui/#object/approved_document__v/V5O00000001H005", "LDM DR P2P Invite 23-Jun-26 [digital]")</f>
        <v>LDM DR P2P Invite 23-Jun-26 [digital]</v>
      </c>
      <c r="M9698" s="22" t="str">
        <f>HYPERLINK("mailto:ldimambro@crm.otsuka-europe.com", "ldimambro@crm.otsuka-europe.com")</f>
        <v>ldimambro@crm.otsuka-europe.com</v>
      </c>
      <c r="N9698" s="23">
        <v>46188.521898148145</v>
      </c>
      <c r="O9698" s="14" t="str">
        <f>HYPERLINK("https://otsuka-europe-crm.veevavault.com/ui/#object/email_activity__v/V8C00000003U597", "EN-002096066")</f>
        <v>EN-002096066</v>
      </c>
    </row>
    <row r="9699" spans="1:15" ht="16" x14ac:dyDescent="0.2">
      <c r="A9699" s="19"/>
      <c r="B9699" s="19"/>
      <c r="C9699" s="19"/>
      <c r="D9699" s="19"/>
      <c r="E9699" s="19"/>
      <c r="F9699" s="19"/>
      <c r="G9699" s="19"/>
      <c r="H9699" s="19"/>
      <c r="I9699" s="19"/>
      <c r="J9699" s="19"/>
      <c r="K9699" s="19"/>
      <c r="L9699" s="19"/>
      <c r="M9699" s="19"/>
      <c r="N9699" s="19"/>
      <c r="O9699" s="14" t="str">
        <f>HYPERLINK("https://otsuka-europe-crm.veevavault.com/ui/#object/email_activity__v/V8C00000003U605", "EN-002096078")</f>
        <v>EN-002096078</v>
      </c>
    </row>
    <row r="9700" spans="1:15" ht="32" x14ac:dyDescent="0.2">
      <c r="A9700" s="7" t="str">
        <f>HYPERLINK("https://otsuka-europe-crm.veevavault.com/ui/#object/account__v/V4TZ0000062PDQL", "Elvin D'Cruz")</f>
        <v>Elvin D'Cruz</v>
      </c>
      <c r="B9700" s="7" t="str">
        <f>HYPERLINK("https://otsuka-europe-crm.veevavault.com/ui/#object/vcountry__v/VENZ000004SONFK", "GB")</f>
        <v>GB</v>
      </c>
      <c r="C9700" s="8" t="s">
        <v>39</v>
      </c>
      <c r="D9700" s="9" t="str">
        <f>HYPERLINK("https://otsuka-europe-crm.veevavault.com/ui/#object/approved_document__v/V5O00000001H005", "LDM DR P2P Invite 23-Jun-26 [digital]")</f>
        <v>LDM DR P2P Invite 23-Jun-26 [digital]</v>
      </c>
      <c r="E9700" s="10" t="str">
        <f>HYPERLINK("https://otsuka-europe-crm.veevavault.com/ui/#object/sent_email__v/VBL00000002T309", "SE-001436049")</f>
        <v>SE-001436049</v>
      </c>
      <c r="F9700" s="11"/>
      <c r="G9700" s="12">
        <v>0</v>
      </c>
      <c r="H9700" s="12">
        <v>0</v>
      </c>
      <c r="I9700" s="12">
        <v>0</v>
      </c>
      <c r="J9700" s="11"/>
      <c r="K9700" s="12">
        <v>0</v>
      </c>
      <c r="L9700" s="10" t="str">
        <f>HYPERLINK("https://otsuka-europe-crm.veevavault.com/ui/#object/approved_document__v/V5O00000001H005", "LDM DR P2P Invite 23-Jun-26 [digital]")</f>
        <v>LDM DR P2P Invite 23-Jun-26 [digital]</v>
      </c>
      <c r="M9700" s="10" t="str">
        <f>HYPERLINK("mailto:ldimambro@crm.otsuka-europe.com", "ldimambro@crm.otsuka-europe.com")</f>
        <v>ldimambro@crm.otsuka-europe.com</v>
      </c>
      <c r="N9700" s="13">
        <v>46188.521898148145</v>
      </c>
      <c r="O9700" s="14" t="str">
        <f>HYPERLINK("https://otsuka-europe-crm.veevavault.com/ui/#object/email_activity__v/V8C00000003U600", "EN-002096073")</f>
        <v>EN-002096073</v>
      </c>
    </row>
    <row r="9701" spans="1:15" ht="32" x14ac:dyDescent="0.2">
      <c r="A9701" s="7" t="str">
        <f>HYPERLINK("https://otsuka-europe-crm.veevavault.com/ui/#object/account__v/V4TZ0000062PGYM", "Gaurish Naik Gaunekar")</f>
        <v>Gaurish Naik Gaunekar</v>
      </c>
      <c r="B9701" s="7" t="str">
        <f>HYPERLINK("https://otsuka-europe-crm.veevavault.com/ui/#object/vcountry__v/VENZ000004SONFK", "GB")</f>
        <v>GB</v>
      </c>
      <c r="C9701" s="8" t="s">
        <v>39</v>
      </c>
      <c r="D9701" s="9" t="str">
        <f>HYPERLINK("https://otsuka-europe-crm.veevavault.com/ui/#object/approved_document__v/V5O00000001H005", "LDM DR P2P Invite 23-Jun-26 [digital]")</f>
        <v>LDM DR P2P Invite 23-Jun-26 [digital]</v>
      </c>
      <c r="E9701" s="10" t="str">
        <f>HYPERLINK("https://otsuka-europe-crm.veevavault.com/ui/#object/sent_email__v/VBL00000002T310", "SE-001436050")</f>
        <v>SE-001436050</v>
      </c>
      <c r="F9701" s="11"/>
      <c r="G9701" s="12">
        <v>0</v>
      </c>
      <c r="H9701" s="12">
        <v>0</v>
      </c>
      <c r="I9701" s="12">
        <v>0</v>
      </c>
      <c r="J9701" s="11"/>
      <c r="K9701" s="12">
        <v>0</v>
      </c>
      <c r="L9701" s="10" t="str">
        <f>HYPERLINK("https://otsuka-europe-crm.veevavault.com/ui/#object/approved_document__v/V5O00000001H005", "LDM DR P2P Invite 23-Jun-26 [digital]")</f>
        <v>LDM DR P2P Invite 23-Jun-26 [digital]</v>
      </c>
      <c r="M9701" s="10" t="str">
        <f>HYPERLINK("mailto:ldimambro@crm.otsuka-europe.com", "ldimambro@crm.otsuka-europe.com")</f>
        <v>ldimambro@crm.otsuka-europe.com</v>
      </c>
      <c r="N9701" s="13">
        <v>46188.521909722222</v>
      </c>
      <c r="O9701" s="14" t="str">
        <f>HYPERLINK("https://otsuka-europe-crm.veevavault.com/ui/#object/email_activity__v/V8C00000003U590", "EN-002096058")</f>
        <v>EN-002096058</v>
      </c>
    </row>
    <row r="9702" spans="1:15" ht="16" x14ac:dyDescent="0.2">
      <c r="A9702" s="17" t="str">
        <f>HYPERLINK("https://otsuka-europe-crm.veevavault.com/ui/#object/account__v/V4TZ025E87HBZJ3", "Hamida Rahman")</f>
        <v>Hamida Rahman</v>
      </c>
      <c r="B9702" s="17" t="str">
        <f>HYPERLINK("https://otsuka-europe-crm.veevavault.com/ui/#object/vcountry__v/VENZ000004SONFK", "GB")</f>
        <v>GB</v>
      </c>
      <c r="C9702" s="20" t="s">
        <v>39</v>
      </c>
      <c r="D9702" s="21" t="str">
        <f>HYPERLINK("https://otsuka-europe-crm.veevavault.com/ui/#object/approved_document__v/V5O00000001H005", "LDM DR P2P Invite 23-Jun-26 [digital]")</f>
        <v>LDM DR P2P Invite 23-Jun-26 [digital]</v>
      </c>
      <c r="E9702" s="22" t="str">
        <f>HYPERLINK("https://otsuka-europe-crm.veevavault.com/ui/#object/sent_email__v/VBL00000002T311", "SE-001436051")</f>
        <v>SE-001436051</v>
      </c>
      <c r="F9702" s="23">
        <v>46190.956666666665</v>
      </c>
      <c r="G9702" s="24">
        <v>1</v>
      </c>
      <c r="H9702" s="24">
        <v>1</v>
      </c>
      <c r="I9702" s="24">
        <v>0</v>
      </c>
      <c r="J9702" s="25"/>
      <c r="K9702" s="24">
        <v>0</v>
      </c>
      <c r="L9702" s="22" t="str">
        <f>HYPERLINK("https://otsuka-europe-crm.veevavault.com/ui/#object/approved_document__v/V5O00000001H005", "LDM DR P2P Invite 23-Jun-26 [digital]")</f>
        <v>LDM DR P2P Invite 23-Jun-26 [digital]</v>
      </c>
      <c r="M9702" s="22" t="str">
        <f>HYPERLINK("mailto:ldimambro@crm.otsuka-europe.com", "ldimambro@crm.otsuka-europe.com")</f>
        <v>ldimambro@crm.otsuka-europe.com</v>
      </c>
      <c r="N9702" s="23">
        <v>46188.521909722222</v>
      </c>
      <c r="O9702" s="14" t="str">
        <f>HYPERLINK("https://otsuka-europe-crm.veevavault.com/ui/#object/email_activity__v/V8C00000003V653", "EN-002096054")</f>
        <v>EN-002096054</v>
      </c>
    </row>
    <row r="9703" spans="1:15" ht="16" x14ac:dyDescent="0.2">
      <c r="A9703" s="19"/>
      <c r="B9703" s="19"/>
      <c r="C9703" s="19"/>
      <c r="D9703" s="19"/>
      <c r="E9703" s="19"/>
      <c r="F9703" s="19"/>
      <c r="G9703" s="19"/>
      <c r="H9703" s="19"/>
      <c r="I9703" s="19"/>
      <c r="J9703" s="19"/>
      <c r="K9703" s="19"/>
      <c r="L9703" s="19"/>
      <c r="M9703" s="19"/>
      <c r="N9703" s="19"/>
      <c r="O9703" s="14" t="str">
        <f>HYPERLINK("https://otsuka-europe-crm.veevavault.com/ui/#object/email_activity__v/V8C00000003X946", "EN-002098503")</f>
        <v>EN-002098503</v>
      </c>
    </row>
    <row r="9704" spans="1:15" ht="32" x14ac:dyDescent="0.2">
      <c r="A9704" s="7" t="str">
        <f>HYPERLINK("https://otsuka-europe-crm.veevavault.com/ui/#object/account__v/V4TZ06G6ODNLVYL", "Emma Roberts")</f>
        <v>Emma Roberts</v>
      </c>
      <c r="B9704" s="7" t="str">
        <f t="shared" ref="B9704:B9710" si="722">HYPERLINK("https://otsuka-europe-crm.veevavault.com/ui/#object/vcountry__v/VENZ000004SONFK", "GB")</f>
        <v>GB</v>
      </c>
      <c r="C9704" s="8" t="s">
        <v>39</v>
      </c>
      <c r="D9704" s="9" t="str">
        <f t="shared" ref="D9704:D9710" si="723">HYPERLINK("https://otsuka-europe-crm.veevavault.com/ui/#object/approved_document__v/V5O00000001H005", "LDM DR P2P Invite 23-Jun-26 [digital]")</f>
        <v>LDM DR P2P Invite 23-Jun-26 [digital]</v>
      </c>
      <c r="E9704" s="10" t="str">
        <f>HYPERLINK("https://otsuka-europe-crm.veevavault.com/ui/#object/sent_email__v/VBL00000002T312", "SE-001436052")</f>
        <v>SE-001436052</v>
      </c>
      <c r="F9704" s="11"/>
      <c r="G9704" s="12">
        <v>0</v>
      </c>
      <c r="H9704" s="12">
        <v>0</v>
      </c>
      <c r="I9704" s="12">
        <v>0</v>
      </c>
      <c r="J9704" s="11"/>
      <c r="K9704" s="12">
        <v>0</v>
      </c>
      <c r="L9704" s="10" t="str">
        <f t="shared" ref="L9704:L9710" si="724">HYPERLINK("https://otsuka-europe-crm.veevavault.com/ui/#object/approved_document__v/V5O00000001H005", "LDM DR P2P Invite 23-Jun-26 [digital]")</f>
        <v>LDM DR P2P Invite 23-Jun-26 [digital]</v>
      </c>
      <c r="M9704" s="10" t="str">
        <f t="shared" ref="M9704:M9710" si="725">HYPERLINK("mailto:ldimambro@crm.otsuka-europe.com", "ldimambro@crm.otsuka-europe.com")</f>
        <v>ldimambro@crm.otsuka-europe.com</v>
      </c>
      <c r="N9704" s="13">
        <v>46188.521909722222</v>
      </c>
      <c r="O9704" s="14" t="str">
        <f>HYPERLINK("https://otsuka-europe-crm.veevavault.com/ui/#object/email_activity__v/V8C00000003U588", "EN-002096056")</f>
        <v>EN-002096056</v>
      </c>
    </row>
    <row r="9705" spans="1:15" ht="32" x14ac:dyDescent="0.2">
      <c r="A9705" s="7" t="str">
        <f>HYPERLINK("https://otsuka-europe-crm.veevavault.com/ui/#object/account__v/V4TZ0000062PDYM", "Dina Farraj")</f>
        <v>Dina Farraj</v>
      </c>
      <c r="B9705" s="7" t="str">
        <f t="shared" si="722"/>
        <v>GB</v>
      </c>
      <c r="C9705" s="8" t="s">
        <v>39</v>
      </c>
      <c r="D9705" s="9" t="str">
        <f t="shared" si="723"/>
        <v>LDM DR P2P Invite 23-Jun-26 [digital]</v>
      </c>
      <c r="E9705" s="10" t="str">
        <f>HYPERLINK("https://otsuka-europe-crm.veevavault.com/ui/#object/sent_email__v/VBL00000002T313", "SE-001436053")</f>
        <v>SE-001436053</v>
      </c>
      <c r="F9705" s="11"/>
      <c r="G9705" s="12">
        <v>0</v>
      </c>
      <c r="H9705" s="12">
        <v>0</v>
      </c>
      <c r="I9705" s="12">
        <v>0</v>
      </c>
      <c r="J9705" s="11"/>
      <c r="K9705" s="12">
        <v>0</v>
      </c>
      <c r="L9705" s="10" t="str">
        <f t="shared" si="724"/>
        <v>LDM DR P2P Invite 23-Jun-26 [digital]</v>
      </c>
      <c r="M9705" s="10" t="str">
        <f t="shared" si="725"/>
        <v>ldimambro@crm.otsuka-europe.com</v>
      </c>
      <c r="N9705" s="13">
        <v>46188.521956018521</v>
      </c>
      <c r="O9705" s="14" t="str">
        <f>HYPERLINK("https://otsuka-europe-crm.veevavault.com/ui/#object/email_activity__v/V8C00000003V657", "EN-002096069")</f>
        <v>EN-002096069</v>
      </c>
    </row>
    <row r="9706" spans="1:15" ht="32" x14ac:dyDescent="0.2">
      <c r="A9706" s="7" t="str">
        <f>HYPERLINK("https://otsuka-europe-crm.veevavault.com/ui/#object/account__v/V4TZ04ASG6T66NQ", "Georgios Mattas")</f>
        <v>Georgios Mattas</v>
      </c>
      <c r="B9706" s="7" t="str">
        <f t="shared" si="722"/>
        <v>GB</v>
      </c>
      <c r="C9706" s="8" t="s">
        <v>39</v>
      </c>
      <c r="D9706" s="9" t="str">
        <f t="shared" si="723"/>
        <v>LDM DR P2P Invite 23-Jun-26 [digital]</v>
      </c>
      <c r="E9706" s="10" t="str">
        <f>HYPERLINK("https://otsuka-europe-crm.veevavault.com/ui/#object/sent_email__v/VBL00000002T314", "SE-001436054")</f>
        <v>SE-001436054</v>
      </c>
      <c r="F9706" s="11"/>
      <c r="G9706" s="12">
        <v>0</v>
      </c>
      <c r="H9706" s="12">
        <v>0</v>
      </c>
      <c r="I9706" s="12">
        <v>0</v>
      </c>
      <c r="J9706" s="11"/>
      <c r="K9706" s="12">
        <v>0</v>
      </c>
      <c r="L9706" s="10" t="str">
        <f t="shared" si="724"/>
        <v>LDM DR P2P Invite 23-Jun-26 [digital]</v>
      </c>
      <c r="M9706" s="10" t="str">
        <f t="shared" si="725"/>
        <v>ldimambro@crm.otsuka-europe.com</v>
      </c>
      <c r="N9706" s="13">
        <v>46188.521909722222</v>
      </c>
      <c r="O9706" s="14" t="str">
        <f>HYPERLINK("https://otsuka-europe-crm.veevavault.com/ui/#object/email_activity__v/V8C00000003U596", "EN-002096065")</f>
        <v>EN-002096065</v>
      </c>
    </row>
    <row r="9707" spans="1:15" ht="32" x14ac:dyDescent="0.2">
      <c r="A9707" s="7" t="str">
        <f>HYPERLINK("https://otsuka-europe-crm.veevavault.com/ui/#object/account__v/V4TZ04ASG9HE675", "Edward Da Costa")</f>
        <v>Edward Da Costa</v>
      </c>
      <c r="B9707" s="7" t="str">
        <f t="shared" si="722"/>
        <v>GB</v>
      </c>
      <c r="C9707" s="8" t="s">
        <v>39</v>
      </c>
      <c r="D9707" s="9" t="str">
        <f t="shared" si="723"/>
        <v>LDM DR P2P Invite 23-Jun-26 [digital]</v>
      </c>
      <c r="E9707" s="10" t="str">
        <f>HYPERLINK("https://otsuka-europe-crm.veevavault.com/ui/#object/sent_email__v/VBL00000002T315", "SE-001436055")</f>
        <v>SE-001436055</v>
      </c>
      <c r="F9707" s="11"/>
      <c r="G9707" s="12">
        <v>0</v>
      </c>
      <c r="H9707" s="12">
        <v>0</v>
      </c>
      <c r="I9707" s="12">
        <v>0</v>
      </c>
      <c r="J9707" s="11"/>
      <c r="K9707" s="12">
        <v>0</v>
      </c>
      <c r="L9707" s="10" t="str">
        <f t="shared" si="724"/>
        <v>LDM DR P2P Invite 23-Jun-26 [digital]</v>
      </c>
      <c r="M9707" s="10" t="str">
        <f t="shared" si="725"/>
        <v>ldimambro@crm.otsuka-europe.com</v>
      </c>
      <c r="N9707" s="13">
        <v>46188.521909722222</v>
      </c>
      <c r="O9707" s="14" t="str">
        <f>HYPERLINK("https://otsuka-europe-crm.veevavault.com/ui/#object/email_activity__v/V8C00000003V643", "EN-002096040")</f>
        <v>EN-002096040</v>
      </c>
    </row>
    <row r="9708" spans="1:15" ht="32" x14ac:dyDescent="0.2">
      <c r="A9708" s="7" t="str">
        <f>HYPERLINK("https://otsuka-europe-crm.veevavault.com/ui/#object/account__v/V4TZ04ASG7A5UZV", "Emmanuella Afori-Aboagye")</f>
        <v>Emmanuella Afori-Aboagye</v>
      </c>
      <c r="B9708" s="7" t="str">
        <f t="shared" si="722"/>
        <v>GB</v>
      </c>
      <c r="C9708" s="8" t="s">
        <v>39</v>
      </c>
      <c r="D9708" s="9" t="str">
        <f t="shared" si="723"/>
        <v>LDM DR P2P Invite 23-Jun-26 [digital]</v>
      </c>
      <c r="E9708" s="10" t="str">
        <f>HYPERLINK("https://otsuka-europe-crm.veevavault.com/ui/#object/sent_email__v/VBL00000002T316", "SE-001436056")</f>
        <v>SE-001436056</v>
      </c>
      <c r="F9708" s="11"/>
      <c r="G9708" s="12">
        <v>0</v>
      </c>
      <c r="H9708" s="12">
        <v>0</v>
      </c>
      <c r="I9708" s="12">
        <v>0</v>
      </c>
      <c r="J9708" s="11"/>
      <c r="K9708" s="12">
        <v>0</v>
      </c>
      <c r="L9708" s="10" t="str">
        <f t="shared" si="724"/>
        <v>LDM DR P2P Invite 23-Jun-26 [digital]</v>
      </c>
      <c r="M9708" s="10" t="str">
        <f t="shared" si="725"/>
        <v>ldimambro@crm.otsuka-europe.com</v>
      </c>
      <c r="N9708" s="13">
        <v>46188.521909722222</v>
      </c>
      <c r="O9708" s="14" t="str">
        <f>HYPERLINK("https://otsuka-europe-crm.veevavault.com/ui/#object/email_activity__v/V8C00000003V648", "EN-002096047")</f>
        <v>EN-002096047</v>
      </c>
    </row>
    <row r="9709" spans="1:15" ht="32" x14ac:dyDescent="0.2">
      <c r="A9709" s="7" t="str">
        <f>HYPERLINK("https://otsuka-europe-crm.veevavault.com/ui/#object/account__v/V4TZ0000062PGYB", "Gladvine Mundempilly")</f>
        <v>Gladvine Mundempilly</v>
      </c>
      <c r="B9709" s="7" t="str">
        <f t="shared" si="722"/>
        <v>GB</v>
      </c>
      <c r="C9709" s="8" t="s">
        <v>39</v>
      </c>
      <c r="D9709" s="9" t="str">
        <f t="shared" si="723"/>
        <v>LDM DR P2P Invite 23-Jun-26 [digital]</v>
      </c>
      <c r="E9709" s="10" t="str">
        <f>HYPERLINK("https://otsuka-europe-crm.veevavault.com/ui/#object/sent_email__v/VBL00000002T317", "SE-001436057")</f>
        <v>SE-001436057</v>
      </c>
      <c r="F9709" s="11"/>
      <c r="G9709" s="12">
        <v>0</v>
      </c>
      <c r="H9709" s="12">
        <v>0</v>
      </c>
      <c r="I9709" s="12">
        <v>0</v>
      </c>
      <c r="J9709" s="11"/>
      <c r="K9709" s="12">
        <v>0</v>
      </c>
      <c r="L9709" s="10" t="str">
        <f t="shared" si="724"/>
        <v>LDM DR P2P Invite 23-Jun-26 [digital]</v>
      </c>
      <c r="M9709" s="10" t="str">
        <f t="shared" si="725"/>
        <v>ldimambro@crm.otsuka-europe.com</v>
      </c>
      <c r="N9709" s="13">
        <v>46188.521909722222</v>
      </c>
      <c r="O9709" s="14" t="str">
        <f>HYPERLINK("https://otsuka-europe-crm.veevavault.com/ui/#object/email_activity__v/V8C00000003U593", "EN-002096061")</f>
        <v>EN-002096061</v>
      </c>
    </row>
    <row r="9710" spans="1:15" ht="16" x14ac:dyDescent="0.2">
      <c r="A9710" s="17" t="str">
        <f>HYPERLINK("https://otsuka-europe-crm.veevavault.com/ui/#object/account__v/V4TZ0000062PHYA", "Feena Sebastian")</f>
        <v>Feena Sebastian</v>
      </c>
      <c r="B9710" s="17" t="str">
        <f t="shared" si="722"/>
        <v>GB</v>
      </c>
      <c r="C9710" s="20" t="s">
        <v>39</v>
      </c>
      <c r="D9710" s="21" t="str">
        <f t="shared" si="723"/>
        <v>LDM DR P2P Invite 23-Jun-26 [digital]</v>
      </c>
      <c r="E9710" s="22" t="str">
        <f>HYPERLINK("https://otsuka-europe-crm.veevavault.com/ui/#object/sent_email__v/VBL00000002T318", "SE-001436058")</f>
        <v>SE-001436058</v>
      </c>
      <c r="F9710" s="23">
        <v>46190.708553240744</v>
      </c>
      <c r="G9710" s="24">
        <v>1</v>
      </c>
      <c r="H9710" s="24">
        <v>5</v>
      </c>
      <c r="I9710" s="24">
        <v>0</v>
      </c>
      <c r="J9710" s="25"/>
      <c r="K9710" s="24">
        <v>0</v>
      </c>
      <c r="L9710" s="22" t="str">
        <f t="shared" si="724"/>
        <v>LDM DR P2P Invite 23-Jun-26 [digital]</v>
      </c>
      <c r="M9710" s="22" t="str">
        <f t="shared" si="725"/>
        <v>ldimambro@crm.otsuka-europe.com</v>
      </c>
      <c r="N9710" s="23">
        <v>46188.521909722222</v>
      </c>
      <c r="O9710" s="14" t="str">
        <f>HYPERLINK("https://otsuka-europe-crm.veevavault.com/ui/#object/email_activity__v/V8C00000003V646", "EN-002096045")</f>
        <v>EN-002096045</v>
      </c>
    </row>
    <row r="9711" spans="1:15" ht="16" x14ac:dyDescent="0.2">
      <c r="A9711" s="18"/>
      <c r="B9711" s="18"/>
      <c r="C9711" s="18"/>
      <c r="D9711" s="18"/>
      <c r="E9711" s="18"/>
      <c r="F9711" s="18"/>
      <c r="G9711" s="18"/>
      <c r="H9711" s="18"/>
      <c r="I9711" s="18"/>
      <c r="J9711" s="18"/>
      <c r="K9711" s="18"/>
      <c r="L9711" s="18"/>
      <c r="M9711" s="18"/>
      <c r="N9711" s="18"/>
      <c r="O9711" s="14" t="str">
        <f>HYPERLINK("https://otsuka-europe-crm.veevavault.com/ui/#object/email_activity__v/V8C00000003V855", "EN-002096426")</f>
        <v>EN-002096426</v>
      </c>
    </row>
    <row r="9712" spans="1:15" ht="16" x14ac:dyDescent="0.2">
      <c r="A9712" s="18"/>
      <c r="B9712" s="18"/>
      <c r="C9712" s="18"/>
      <c r="D9712" s="18"/>
      <c r="E9712" s="18"/>
      <c r="F9712" s="18"/>
      <c r="G9712" s="18"/>
      <c r="H9712" s="18"/>
      <c r="I9712" s="18"/>
      <c r="J9712" s="18"/>
      <c r="K9712" s="18"/>
      <c r="L9712" s="18"/>
      <c r="M9712" s="18"/>
      <c r="N9712" s="18"/>
      <c r="O9712" s="14" t="str">
        <f>HYPERLINK("https://otsuka-europe-crm.veevavault.com/ui/#object/email_activity__v/V8C00000003V856", "EN-002096427")</f>
        <v>EN-002096427</v>
      </c>
    </row>
    <row r="9713" spans="1:15" ht="16" x14ac:dyDescent="0.2">
      <c r="A9713" s="18"/>
      <c r="B9713" s="18"/>
      <c r="C9713" s="18"/>
      <c r="D9713" s="18"/>
      <c r="E9713" s="18"/>
      <c r="F9713" s="18"/>
      <c r="G9713" s="18"/>
      <c r="H9713" s="18"/>
      <c r="I9713" s="18"/>
      <c r="J9713" s="18"/>
      <c r="K9713" s="18"/>
      <c r="L9713" s="18"/>
      <c r="M9713" s="18"/>
      <c r="N9713" s="18"/>
      <c r="O9713" s="14" t="str">
        <f>HYPERLINK("https://otsuka-europe-crm.veevavault.com/ui/#object/email_activity__v/V8C00000003X918", "EN-002098458")</f>
        <v>EN-002098458</v>
      </c>
    </row>
    <row r="9714" spans="1:15" ht="16" x14ac:dyDescent="0.2">
      <c r="A9714" s="18"/>
      <c r="B9714" s="18"/>
      <c r="C9714" s="18"/>
      <c r="D9714" s="18"/>
      <c r="E9714" s="18"/>
      <c r="F9714" s="18"/>
      <c r="G9714" s="18"/>
      <c r="H9714" s="18"/>
      <c r="I9714" s="18"/>
      <c r="J9714" s="18"/>
      <c r="K9714" s="18"/>
      <c r="L9714" s="18"/>
      <c r="M9714" s="18"/>
      <c r="N9714" s="18"/>
      <c r="O9714" s="14" t="str">
        <f>HYPERLINK("https://otsuka-europe-crm.veevavault.com/ui/#object/email_activity__v/V8C00000003X919", "EN-002098459")</f>
        <v>EN-002098459</v>
      </c>
    </row>
    <row r="9715" spans="1:15" ht="16" x14ac:dyDescent="0.2">
      <c r="A9715" s="19"/>
      <c r="B9715" s="19"/>
      <c r="C9715" s="19"/>
      <c r="D9715" s="19"/>
      <c r="E9715" s="19"/>
      <c r="F9715" s="19"/>
      <c r="G9715" s="19"/>
      <c r="H9715" s="19"/>
      <c r="I9715" s="19"/>
      <c r="J9715" s="19"/>
      <c r="K9715" s="19"/>
      <c r="L9715" s="19"/>
      <c r="M9715" s="19"/>
      <c r="N9715" s="19"/>
      <c r="O9715" s="14" t="str">
        <f>HYPERLINK("https://otsuka-europe-crm.veevavault.com/ui/#object/email_activity__v/V8C00000003X920", "EN-002098460")</f>
        <v>EN-002098460</v>
      </c>
    </row>
    <row r="9716" spans="1:15" ht="32" x14ac:dyDescent="0.2">
      <c r="A9716" s="7" t="str">
        <f>HYPERLINK("https://otsuka-europe-crm.veevavault.com/ui/#object/account__v/V4TZ04ASG7NW2D8", "Dilshana Nafisa Bapakunhi")</f>
        <v>Dilshana Nafisa Bapakunhi</v>
      </c>
      <c r="B9716" s="7" t="str">
        <f>HYPERLINK("https://otsuka-europe-crm.veevavault.com/ui/#object/vcountry__v/VENZ000004SONFK", "GB")</f>
        <v>GB</v>
      </c>
      <c r="C9716" s="8" t="s">
        <v>39</v>
      </c>
      <c r="D9716" s="9" t="str">
        <f>HYPERLINK("https://otsuka-europe-crm.veevavault.com/ui/#object/approved_document__v/V5O00000001H005", "LDM DR P2P Invite 23-Jun-26 [digital]")</f>
        <v>LDM DR P2P Invite 23-Jun-26 [digital]</v>
      </c>
      <c r="E9716" s="10" t="str">
        <f>HYPERLINK("https://otsuka-europe-crm.veevavault.com/ui/#object/sent_email__v/VBL00000002T319", "SE-001436059")</f>
        <v>SE-001436059</v>
      </c>
      <c r="F9716" s="11"/>
      <c r="G9716" s="12">
        <v>0</v>
      </c>
      <c r="H9716" s="12">
        <v>0</v>
      </c>
      <c r="I9716" s="12">
        <v>0</v>
      </c>
      <c r="J9716" s="11"/>
      <c r="K9716" s="12">
        <v>0</v>
      </c>
      <c r="L9716" s="10" t="str">
        <f>HYPERLINK("https://otsuka-europe-crm.veevavault.com/ui/#object/approved_document__v/V5O00000001H005", "LDM DR P2P Invite 23-Jun-26 [digital]")</f>
        <v>LDM DR P2P Invite 23-Jun-26 [digital]</v>
      </c>
      <c r="M9716" s="10" t="str">
        <f>HYPERLINK("mailto:ldimambro@crm.otsuka-europe.com", "ldimambro@crm.otsuka-europe.com")</f>
        <v>ldimambro@crm.otsuka-europe.com</v>
      </c>
      <c r="N9716" s="13">
        <v>46188.521909722222</v>
      </c>
      <c r="O9716" s="14" t="str">
        <f>HYPERLINK("https://otsuka-europe-crm.veevavault.com/ui/#object/email_activity__v/V8C00000003U589", "EN-002096057")</f>
        <v>EN-002096057</v>
      </c>
    </row>
    <row r="9717" spans="1:15" ht="32" x14ac:dyDescent="0.2">
      <c r="A9717" s="7" t="str">
        <f>HYPERLINK("https://otsuka-europe-crm.veevavault.com/ui/#object/account__v/V4TZ0000062PJLP", "Fatimat Aigbekaen")</f>
        <v>Fatimat Aigbekaen</v>
      </c>
      <c r="B9717" s="7" t="str">
        <f>HYPERLINK("https://otsuka-europe-crm.veevavault.com/ui/#object/vcountry__v/VENZ000004SONFK", "GB")</f>
        <v>GB</v>
      </c>
      <c r="C9717" s="8" t="s">
        <v>39</v>
      </c>
      <c r="D9717" s="9" t="str">
        <f>HYPERLINK("https://otsuka-europe-crm.veevavault.com/ui/#object/approved_document__v/V5O00000001H005", "LDM DR P2P Invite 23-Jun-26 [digital]")</f>
        <v>LDM DR P2P Invite 23-Jun-26 [digital]</v>
      </c>
      <c r="E9717" s="10" t="str">
        <f>HYPERLINK("https://otsuka-europe-crm.veevavault.com/ui/#object/sent_email__v/VBL00000002T320", "SE-001436060")</f>
        <v>SE-001436060</v>
      </c>
      <c r="F9717" s="11"/>
      <c r="G9717" s="12">
        <v>0</v>
      </c>
      <c r="H9717" s="12">
        <v>0</v>
      </c>
      <c r="I9717" s="12">
        <v>0</v>
      </c>
      <c r="J9717" s="11"/>
      <c r="K9717" s="12">
        <v>0</v>
      </c>
      <c r="L9717" s="10" t="str">
        <f>HYPERLINK("https://otsuka-europe-crm.veevavault.com/ui/#object/approved_document__v/V5O00000001H005", "LDM DR P2P Invite 23-Jun-26 [digital]")</f>
        <v>LDM DR P2P Invite 23-Jun-26 [digital]</v>
      </c>
      <c r="M9717" s="10" t="str">
        <f>HYPERLINK("mailto:ldimambro@crm.otsuka-europe.com", "ldimambro@crm.otsuka-europe.com")</f>
        <v>ldimambro@crm.otsuka-europe.com</v>
      </c>
      <c r="N9717" s="13">
        <v>46188.521909722222</v>
      </c>
      <c r="O9717" s="14" t="str">
        <f>HYPERLINK("https://otsuka-europe-crm.veevavault.com/ui/#object/email_activity__v/V8C00000003U594", "EN-002096062")</f>
        <v>EN-002096062</v>
      </c>
    </row>
    <row r="9718" spans="1:15" ht="32" x14ac:dyDescent="0.2">
      <c r="A9718" s="7" t="str">
        <f>HYPERLINK("https://otsuka-europe-crm.veevavault.com/ui/#object/account__v/V4TZ025E82K2KQH", "Francis Ansu-Damoah")</f>
        <v>Francis Ansu-Damoah</v>
      </c>
      <c r="B9718" s="7" t="str">
        <f>HYPERLINK("https://otsuka-europe-crm.veevavault.com/ui/#object/vcountry__v/VENZ000004SONFK", "GB")</f>
        <v>GB</v>
      </c>
      <c r="C9718" s="8" t="s">
        <v>39</v>
      </c>
      <c r="D9718" s="9" t="str">
        <f>HYPERLINK("https://otsuka-europe-crm.veevavault.com/ui/#object/approved_document__v/V5O00000001H005", "LDM DR P2P Invite 23-Jun-26 [digital]")</f>
        <v>LDM DR P2P Invite 23-Jun-26 [digital]</v>
      </c>
      <c r="E9718" s="10" t="str">
        <f>HYPERLINK("https://otsuka-europe-crm.veevavault.com/ui/#object/sent_email__v/VBL00000002T321", "SE-001436061")</f>
        <v>SE-001436061</v>
      </c>
      <c r="F9718" s="11"/>
      <c r="G9718" s="12">
        <v>0</v>
      </c>
      <c r="H9718" s="12">
        <v>0</v>
      </c>
      <c r="I9718" s="12">
        <v>0</v>
      </c>
      <c r="J9718" s="11"/>
      <c r="K9718" s="12">
        <v>0</v>
      </c>
      <c r="L9718" s="10" t="str">
        <f>HYPERLINK("https://otsuka-europe-crm.veevavault.com/ui/#object/approved_document__v/V5O00000001H005", "LDM DR P2P Invite 23-Jun-26 [digital]")</f>
        <v>LDM DR P2P Invite 23-Jun-26 [digital]</v>
      </c>
      <c r="M9718" s="10" t="str">
        <f>HYPERLINK("mailto:ldimambro@crm.otsuka-europe.com", "ldimambro@crm.otsuka-europe.com")</f>
        <v>ldimambro@crm.otsuka-europe.com</v>
      </c>
      <c r="N9718" s="13">
        <v>46188.521898148145</v>
      </c>
      <c r="O9718" s="14" t="str">
        <f>HYPERLINK("https://otsuka-europe-crm.veevavault.com/ui/#object/email_activity__v/V8C00000003V652", "EN-002096053")</f>
        <v>EN-002096053</v>
      </c>
    </row>
    <row r="9719" spans="1:15" ht="32" x14ac:dyDescent="0.2">
      <c r="A9719" s="7" t="str">
        <f>HYPERLINK("https://otsuka-europe-crm.veevavault.com/ui/#object/account__v/V4TZ04ASGBNZV0F", "Emily Tlou")</f>
        <v>Emily Tlou</v>
      </c>
      <c r="B9719" s="7" t="str">
        <f>HYPERLINK("https://otsuka-europe-crm.veevavault.com/ui/#object/vcountry__v/VENZ000004SONFK", "GB")</f>
        <v>GB</v>
      </c>
      <c r="C9719" s="8" t="s">
        <v>39</v>
      </c>
      <c r="D9719" s="9" t="str">
        <f>HYPERLINK("https://otsuka-europe-crm.veevavault.com/ui/#object/approved_document__v/V5O00000001H005", "LDM DR P2P Invite 23-Jun-26 [digital]")</f>
        <v>LDM DR P2P Invite 23-Jun-26 [digital]</v>
      </c>
      <c r="E9719" s="10" t="str">
        <f>HYPERLINK("https://otsuka-europe-crm.veevavault.com/ui/#object/sent_email__v/VBL00000002T322", "SE-001436062")</f>
        <v>SE-001436062</v>
      </c>
      <c r="F9719" s="11"/>
      <c r="G9719" s="12">
        <v>0</v>
      </c>
      <c r="H9719" s="12">
        <v>0</v>
      </c>
      <c r="I9719" s="12">
        <v>0</v>
      </c>
      <c r="J9719" s="11"/>
      <c r="K9719" s="12">
        <v>0</v>
      </c>
      <c r="L9719" s="10" t="str">
        <f>HYPERLINK("https://otsuka-europe-crm.veevavault.com/ui/#object/approved_document__v/V5O00000001H005", "LDM DR P2P Invite 23-Jun-26 [digital]")</f>
        <v>LDM DR P2P Invite 23-Jun-26 [digital]</v>
      </c>
      <c r="M9719" s="10" t="str">
        <f>HYPERLINK("mailto:ldimambro@crm.otsuka-europe.com", "ldimambro@crm.otsuka-europe.com")</f>
        <v>ldimambro@crm.otsuka-europe.com</v>
      </c>
      <c r="N9719" s="13">
        <v>46188.521898148145</v>
      </c>
      <c r="O9719" s="14" t="str">
        <f>HYPERLINK("https://otsuka-europe-crm.veevavault.com/ui/#object/email_activity__v/V8C00000003V654", "EN-002096055")</f>
        <v>EN-002096055</v>
      </c>
    </row>
    <row r="9720" spans="1:15" ht="16" x14ac:dyDescent="0.2">
      <c r="A9720" s="17" t="str">
        <f>HYPERLINK("https://otsuka-europe-crm.veevavault.com/ui/#object/account__v/V4TZ04ASGB9NWQI", "Garvin Alleyne")</f>
        <v>Garvin Alleyne</v>
      </c>
      <c r="B9720" s="17" t="str">
        <f>HYPERLINK("https://otsuka-europe-crm.veevavault.com/ui/#object/vcountry__v/VENZ000004SONFK", "GB")</f>
        <v>GB</v>
      </c>
      <c r="C9720" s="20" t="s">
        <v>39</v>
      </c>
      <c r="D9720" s="21" t="str">
        <f>HYPERLINK("https://otsuka-europe-crm.veevavault.com/ui/#object/approved_document__v/V5O00000001H005", "LDM DR P2P Invite 23-Jun-26 [digital]")</f>
        <v>LDM DR P2P Invite 23-Jun-26 [digital]</v>
      </c>
      <c r="E9720" s="22" t="str">
        <f>HYPERLINK("https://otsuka-europe-crm.veevavault.com/ui/#object/sent_email__v/VBL00000002T323", "SE-001436063")</f>
        <v>SE-001436063</v>
      </c>
      <c r="F9720" s="23">
        <v>46188.530798611115</v>
      </c>
      <c r="G9720" s="24">
        <v>1</v>
      </c>
      <c r="H9720" s="24">
        <v>2</v>
      </c>
      <c r="I9720" s="24">
        <v>0</v>
      </c>
      <c r="J9720" s="25"/>
      <c r="K9720" s="24">
        <v>0</v>
      </c>
      <c r="L9720" s="22" t="str">
        <f>HYPERLINK("https://otsuka-europe-crm.veevavault.com/ui/#object/approved_document__v/V5O00000001H005", "LDM DR P2P Invite 23-Jun-26 [digital]")</f>
        <v>LDM DR P2P Invite 23-Jun-26 [digital]</v>
      </c>
      <c r="M9720" s="22" t="str">
        <f>HYPERLINK("mailto:ldimambro@crm.otsuka-europe.com", "ldimambro@crm.otsuka-europe.com")</f>
        <v>ldimambro@crm.otsuka-europe.com</v>
      </c>
      <c r="N9720" s="23">
        <v>46188.521898148145</v>
      </c>
      <c r="O9720" s="14" t="str">
        <f>HYPERLINK("https://otsuka-europe-crm.veevavault.com/ui/#object/email_activity__v/V8C00000003U603", "EN-002096076")</f>
        <v>EN-002096076</v>
      </c>
    </row>
    <row r="9721" spans="1:15" ht="16" x14ac:dyDescent="0.2">
      <c r="A9721" s="18"/>
      <c r="B9721" s="18"/>
      <c r="C9721" s="18"/>
      <c r="D9721" s="18"/>
      <c r="E9721" s="18"/>
      <c r="F9721" s="18"/>
      <c r="G9721" s="18"/>
      <c r="H9721" s="18"/>
      <c r="I9721" s="18"/>
      <c r="J9721" s="18"/>
      <c r="K9721" s="18"/>
      <c r="L9721" s="18"/>
      <c r="M9721" s="18"/>
      <c r="N9721" s="18"/>
      <c r="O9721" s="14" t="str">
        <f>HYPERLINK("https://otsuka-europe-crm.veevavault.com/ui/#object/email_activity__v/V8C00000003U672", "EN-002096171")</f>
        <v>EN-002096171</v>
      </c>
    </row>
    <row r="9722" spans="1:15" ht="16" x14ac:dyDescent="0.2">
      <c r="A9722" s="19"/>
      <c r="B9722" s="19"/>
      <c r="C9722" s="19"/>
      <c r="D9722" s="19"/>
      <c r="E9722" s="19"/>
      <c r="F9722" s="19"/>
      <c r="G9722" s="19"/>
      <c r="H9722" s="19"/>
      <c r="I9722" s="19"/>
      <c r="J9722" s="19"/>
      <c r="K9722" s="19"/>
      <c r="L9722" s="19"/>
      <c r="M9722" s="19"/>
      <c r="N9722" s="19"/>
      <c r="O9722" s="14" t="str">
        <f>HYPERLINK("https://otsuka-europe-crm.veevavault.com/ui/#object/email_activity__v/V8C00000003V650", "EN-002096050")</f>
        <v>EN-002096050</v>
      </c>
    </row>
    <row r="9723" spans="1:15" ht="16" x14ac:dyDescent="0.2">
      <c r="A9723" s="17" t="str">
        <f>HYPERLINK("https://otsuka-europe-crm.veevavault.com/ui/#object/account__v/V4TZ0000062PDZZ", "Jennifer Ford")</f>
        <v>Jennifer Ford</v>
      </c>
      <c r="B9723" s="17" t="str">
        <f>HYPERLINK("https://otsuka-europe-crm.veevavault.com/ui/#object/vcountry__v/VENZ000004SONFK", "GB")</f>
        <v>GB</v>
      </c>
      <c r="C9723" s="20" t="s">
        <v>39</v>
      </c>
      <c r="D9723" s="21" t="str">
        <f>HYPERLINK("https://otsuka-europe-crm.veevavault.com/ui/#object/approved_document__v/V5O00000001H005", "LDM DR P2P Invite 23-Jun-26 [digital]")</f>
        <v>LDM DR P2P Invite 23-Jun-26 [digital]</v>
      </c>
      <c r="E9723" s="22" t="str">
        <f>HYPERLINK("https://otsuka-europe-crm.veevavault.com/ui/#object/sent_email__v/VBL00000002T324", "SE-001436064")</f>
        <v>SE-001436064</v>
      </c>
      <c r="F9723" s="25"/>
      <c r="G9723" s="24">
        <v>0</v>
      </c>
      <c r="H9723" s="24">
        <v>0</v>
      </c>
      <c r="I9723" s="24">
        <v>0</v>
      </c>
      <c r="J9723" s="25"/>
      <c r="K9723" s="24">
        <v>0</v>
      </c>
      <c r="L9723" s="22" t="str">
        <f>HYPERLINK("https://otsuka-europe-crm.veevavault.com/ui/#object/approved_document__v/V5O00000001H005", "LDM DR P2P Invite 23-Jun-26 [digital]")</f>
        <v>LDM DR P2P Invite 23-Jun-26 [digital]</v>
      </c>
      <c r="M9723" s="22" t="str">
        <f>HYPERLINK("mailto:ldimambro@crm.otsuka-europe.com", "ldimambro@crm.otsuka-europe.com")</f>
        <v>ldimambro@crm.otsuka-europe.com</v>
      </c>
      <c r="N9723" s="23">
        <v>46188.521898148145</v>
      </c>
      <c r="O9723" s="14" t="str">
        <f>HYPERLINK("https://otsuka-europe-crm.veevavault.com/ui/#object/email_activity__v/V8C00000003V642", "EN-002096039")</f>
        <v>EN-002096039</v>
      </c>
    </row>
    <row r="9724" spans="1:15" ht="16" x14ac:dyDescent="0.2">
      <c r="A9724" s="19"/>
      <c r="B9724" s="19"/>
      <c r="C9724" s="19"/>
      <c r="D9724" s="19"/>
      <c r="E9724" s="19"/>
      <c r="F9724" s="19"/>
      <c r="G9724" s="19"/>
      <c r="H9724" s="19"/>
      <c r="I9724" s="19"/>
      <c r="J9724" s="19"/>
      <c r="K9724" s="19"/>
      <c r="L9724" s="19"/>
      <c r="M9724" s="19"/>
      <c r="N9724" s="19"/>
      <c r="O9724" s="14" t="str">
        <f>HYPERLINK("https://otsuka-europe-crm.veevavault.com/ui/#object/email_activity__v/V8C00000003W086", "EN-002096817")</f>
        <v>EN-002096817</v>
      </c>
    </row>
    <row r="9725" spans="1:15" ht="16" x14ac:dyDescent="0.2">
      <c r="A9725" s="17" t="str">
        <f>HYPERLINK("https://otsuka-europe-crm.veevavault.com/ui/#object/account__v/V4TZ0000062PB3S", "Chike Onyechere")</f>
        <v>Chike Onyechere</v>
      </c>
      <c r="B9725" s="17" t="str">
        <f>HYPERLINK("https://otsuka-europe-crm.veevavault.com/ui/#object/vcountry__v/VENZ000004SONFK", "GB")</f>
        <v>GB</v>
      </c>
      <c r="C9725" s="20" t="s">
        <v>39</v>
      </c>
      <c r="D9725" s="21" t="str">
        <f>HYPERLINK("https://otsuka-europe-crm.veevavault.com/ui/#object/approved_document__v/V5O00000001H005", "LDM DR P2P Invite 23-Jun-26 [digital]")</f>
        <v>LDM DR P2P Invite 23-Jun-26 [digital]</v>
      </c>
      <c r="E9725" s="22" t="str">
        <f>HYPERLINK("https://otsuka-europe-crm.veevavault.com/ui/#object/sent_email__v/VBL00000002T325", "SE-001436065")</f>
        <v>SE-001436065</v>
      </c>
      <c r="F9725" s="25"/>
      <c r="G9725" s="24">
        <v>0</v>
      </c>
      <c r="H9725" s="24">
        <v>0</v>
      </c>
      <c r="I9725" s="24">
        <v>0</v>
      </c>
      <c r="J9725" s="25"/>
      <c r="K9725" s="24">
        <v>0</v>
      </c>
      <c r="L9725" s="22" t="str">
        <f>HYPERLINK("https://otsuka-europe-crm.veevavault.com/ui/#object/approved_document__v/V5O00000001H005", "LDM DR P2P Invite 23-Jun-26 [digital]")</f>
        <v>LDM DR P2P Invite 23-Jun-26 [digital]</v>
      </c>
      <c r="M9725" s="22" t="str">
        <f>HYPERLINK("mailto:ldimambro@crm.otsuka-europe.com", "ldimambro@crm.otsuka-europe.com")</f>
        <v>ldimambro@crm.otsuka-europe.com</v>
      </c>
      <c r="N9725" s="23">
        <v>46188.521898148145</v>
      </c>
      <c r="O9725" s="14" t="str">
        <f>HYPERLINK("https://otsuka-europe-crm.veevavault.com/ui/#object/email_activity__v/V8C00000003U591", "EN-002096059")</f>
        <v>EN-002096059</v>
      </c>
    </row>
    <row r="9726" spans="1:15" ht="16" x14ac:dyDescent="0.2">
      <c r="A9726" s="19"/>
      <c r="B9726" s="19"/>
      <c r="C9726" s="19"/>
      <c r="D9726" s="19"/>
      <c r="E9726" s="19"/>
      <c r="F9726" s="19"/>
      <c r="G9726" s="19"/>
      <c r="H9726" s="19"/>
      <c r="I9726" s="19"/>
      <c r="J9726" s="19"/>
      <c r="K9726" s="19"/>
      <c r="L9726" s="19"/>
      <c r="M9726" s="19"/>
      <c r="N9726" s="19"/>
      <c r="O9726" s="14" t="str">
        <f>HYPERLINK("https://otsuka-europe-crm.veevavault.com/ui/#object/email_activity__v/V8C00000003W129", "EN-002096896")</f>
        <v>EN-002096896</v>
      </c>
    </row>
    <row r="9727" spans="1:15" ht="32" x14ac:dyDescent="0.2">
      <c r="A9727" s="7" t="str">
        <f>HYPERLINK("https://otsuka-europe-crm.veevavault.com/ui/#object/account__v/V4TZ06G6OBUDI0P", "Fatma Ghoneim")</f>
        <v>Fatma Ghoneim</v>
      </c>
      <c r="B9727" s="7" t="str">
        <f>HYPERLINK("https://otsuka-europe-crm.veevavault.com/ui/#object/vcountry__v/VENZ000004SONFK", "GB")</f>
        <v>GB</v>
      </c>
      <c r="C9727" s="8" t="s">
        <v>39</v>
      </c>
      <c r="D9727" s="9" t="str">
        <f>HYPERLINK("https://otsuka-europe-crm.veevavault.com/ui/#object/approved_document__v/V5O00000001H005", "LDM DR P2P Invite 23-Jun-26 [digital]")</f>
        <v>LDM DR P2P Invite 23-Jun-26 [digital]</v>
      </c>
      <c r="E9727" s="10" t="str">
        <f>HYPERLINK("https://otsuka-europe-crm.veevavault.com/ui/#object/sent_email__v/VBL00000002T326", "SE-001436066")</f>
        <v>SE-001436066</v>
      </c>
      <c r="F9727" s="11"/>
      <c r="G9727" s="12">
        <v>0</v>
      </c>
      <c r="H9727" s="12">
        <v>0</v>
      </c>
      <c r="I9727" s="12">
        <v>0</v>
      </c>
      <c r="J9727" s="11"/>
      <c r="K9727" s="12">
        <v>0</v>
      </c>
      <c r="L9727" s="10" t="str">
        <f>HYPERLINK("https://otsuka-europe-crm.veevavault.com/ui/#object/approved_document__v/V5O00000001H005", "LDM DR P2P Invite 23-Jun-26 [digital]")</f>
        <v>LDM DR P2P Invite 23-Jun-26 [digital]</v>
      </c>
      <c r="M9727" s="10" t="str">
        <f>HYPERLINK("mailto:ldimambro@crm.otsuka-europe.com", "ldimambro@crm.otsuka-europe.com")</f>
        <v>ldimambro@crm.otsuka-europe.com</v>
      </c>
      <c r="N9727" s="13">
        <v>46188.521898148145</v>
      </c>
      <c r="O9727" s="14" t="str">
        <f>HYPERLINK("https://otsuka-europe-crm.veevavault.com/ui/#object/email_activity__v/V8C00000003U584", "EN-002096044")</f>
        <v>EN-002096044</v>
      </c>
    </row>
    <row r="9728" spans="1:15" ht="32" x14ac:dyDescent="0.2">
      <c r="A9728" s="7" t="str">
        <f>HYPERLINK("https://otsuka-europe-crm.veevavault.com/ui/#object/account__v/V4TZ0000062PBDB", "Jaweria Faheem")</f>
        <v>Jaweria Faheem</v>
      </c>
      <c r="B9728" s="7" t="str">
        <f>HYPERLINK("https://otsuka-europe-crm.veevavault.com/ui/#object/vcountry__v/VENZ000004SONFK", "GB")</f>
        <v>GB</v>
      </c>
      <c r="C9728" s="8" t="s">
        <v>39</v>
      </c>
      <c r="D9728" s="9" t="str">
        <f>HYPERLINK("https://otsuka-europe-crm.veevavault.com/ui/#object/approved_document__v/V5O00000001H005", "LDM DR P2P Invite 23-Jun-26 [digital]")</f>
        <v>LDM DR P2P Invite 23-Jun-26 [digital]</v>
      </c>
      <c r="E9728" s="10" t="str">
        <f>HYPERLINK("https://otsuka-europe-crm.veevavault.com/ui/#object/sent_email__v/VBL00000002T327", "SE-001436067")</f>
        <v>SE-001436067</v>
      </c>
      <c r="F9728" s="11"/>
      <c r="G9728" s="12">
        <v>0</v>
      </c>
      <c r="H9728" s="12">
        <v>0</v>
      </c>
      <c r="I9728" s="12">
        <v>0</v>
      </c>
      <c r="J9728" s="11"/>
      <c r="K9728" s="12">
        <v>0</v>
      </c>
      <c r="L9728" s="10" t="str">
        <f>HYPERLINK("https://otsuka-europe-crm.veevavault.com/ui/#object/approved_document__v/V5O00000001H005", "LDM DR P2P Invite 23-Jun-26 [digital]")</f>
        <v>LDM DR P2P Invite 23-Jun-26 [digital]</v>
      </c>
      <c r="M9728" s="10" t="str">
        <f>HYPERLINK("mailto:ldimambro@crm.otsuka-europe.com", "ldimambro@crm.otsuka-europe.com")</f>
        <v>ldimambro@crm.otsuka-europe.com</v>
      </c>
      <c r="N9728" s="13">
        <v>46188.521886574075</v>
      </c>
      <c r="O9728" s="14" t="str">
        <f>HYPERLINK("https://otsuka-europe-crm.veevavault.com/ui/#object/email_activity__v/V8C00000003V645", "EN-002096042")</f>
        <v>EN-002096042</v>
      </c>
    </row>
    <row r="9729" spans="1:15" ht="16" x14ac:dyDescent="0.2">
      <c r="A9729" s="17" t="str">
        <f>HYPERLINK("https://otsuka-europe-crm.veevavault.com/ui/#object/account__v/V4TZ0000062PARP", "Ehireimen Aigbogun")</f>
        <v>Ehireimen Aigbogun</v>
      </c>
      <c r="B9729" s="17" t="str">
        <f>HYPERLINK("https://otsuka-europe-crm.veevavault.com/ui/#object/vcountry__v/VENZ000004SONFK", "GB")</f>
        <v>GB</v>
      </c>
      <c r="C9729" s="20" t="s">
        <v>39</v>
      </c>
      <c r="D9729" s="21" t="str">
        <f>HYPERLINK("https://otsuka-europe-crm.veevavault.com/ui/#object/approved_document__v/V5O00000001H005", "LDM DR P2P Invite 23-Jun-26 [digital]")</f>
        <v>LDM DR P2P Invite 23-Jun-26 [digital]</v>
      </c>
      <c r="E9729" s="22" t="str">
        <f>HYPERLINK("https://otsuka-europe-crm.veevavault.com/ui/#object/sent_email__v/VBL00000002T328", "SE-001436068")</f>
        <v>SE-001436068</v>
      </c>
      <c r="F9729" s="25"/>
      <c r="G9729" s="24">
        <v>0</v>
      </c>
      <c r="H9729" s="24">
        <v>0</v>
      </c>
      <c r="I9729" s="24">
        <v>0</v>
      </c>
      <c r="J9729" s="25"/>
      <c r="K9729" s="24">
        <v>0</v>
      </c>
      <c r="L9729" s="22" t="str">
        <f>HYPERLINK("https://otsuka-europe-crm.veevavault.com/ui/#object/approved_document__v/V5O00000001H005", "LDM DR P2P Invite 23-Jun-26 [digital]")</f>
        <v>LDM DR P2P Invite 23-Jun-26 [digital]</v>
      </c>
      <c r="M9729" s="22" t="str">
        <f>HYPERLINK("mailto:ldimambro@crm.otsuka-europe.com", "ldimambro@crm.otsuka-europe.com")</f>
        <v>ldimambro@crm.otsuka-europe.com</v>
      </c>
      <c r="N9729" s="23">
        <v>46188.521886574075</v>
      </c>
      <c r="O9729" s="14" t="str">
        <f>HYPERLINK("https://otsuka-europe-crm.veevavault.com/ui/#object/email_activity__v/V8C00000003U587", "EN-002096051")</f>
        <v>EN-002096051</v>
      </c>
    </row>
    <row r="9730" spans="1:15" ht="16" x14ac:dyDescent="0.2">
      <c r="A9730" s="19"/>
      <c r="B9730" s="19"/>
      <c r="C9730" s="19"/>
      <c r="D9730" s="19"/>
      <c r="E9730" s="19"/>
      <c r="F9730" s="19"/>
      <c r="G9730" s="19"/>
      <c r="H9730" s="19"/>
      <c r="I9730" s="19"/>
      <c r="J9730" s="19"/>
      <c r="K9730" s="19"/>
      <c r="L9730" s="19"/>
      <c r="M9730" s="19"/>
      <c r="N9730" s="19"/>
      <c r="O9730" s="14" t="str">
        <f>HYPERLINK("https://otsuka-europe-crm.veevavault.com/ui/#object/email_activity__v/V8C00000003U894", "EN-002096775")</f>
        <v>EN-002096775</v>
      </c>
    </row>
    <row r="9731" spans="1:15" ht="16" x14ac:dyDescent="0.2">
      <c r="A9731" s="17" t="str">
        <f>HYPERLINK("https://otsuka-europe-crm.veevavault.com/ui/#object/account__v/V4TZ04ASG6PDLNA", "Jermaine Bamfo")</f>
        <v>Jermaine Bamfo</v>
      </c>
      <c r="B9731" s="17" t="str">
        <f>HYPERLINK("https://otsuka-europe-crm.veevavault.com/ui/#object/vcountry__v/VENZ000004SONFK", "GB")</f>
        <v>GB</v>
      </c>
      <c r="C9731" s="20" t="s">
        <v>39</v>
      </c>
      <c r="D9731" s="21" t="str">
        <f>HYPERLINK("https://otsuka-europe-crm.veevavault.com/ui/#object/approved_document__v/V5O00000001H005", "LDM DR P2P Invite 23-Jun-26 [digital]")</f>
        <v>LDM DR P2P Invite 23-Jun-26 [digital]</v>
      </c>
      <c r="E9731" s="22" t="str">
        <f>HYPERLINK("https://otsuka-europe-crm.veevavault.com/ui/#object/sent_email__v/VBL00000002T329", "SE-001436069")</f>
        <v>SE-001436069</v>
      </c>
      <c r="F9731" s="23">
        <v>46188.625590277778</v>
      </c>
      <c r="G9731" s="24">
        <v>1</v>
      </c>
      <c r="H9731" s="24">
        <v>1</v>
      </c>
      <c r="I9731" s="24">
        <v>0</v>
      </c>
      <c r="J9731" s="25"/>
      <c r="K9731" s="24">
        <v>0</v>
      </c>
      <c r="L9731" s="22" t="str">
        <f>HYPERLINK("https://otsuka-europe-crm.veevavault.com/ui/#object/approved_document__v/V5O00000001H005", "LDM DR P2P Invite 23-Jun-26 [digital]")</f>
        <v>LDM DR P2P Invite 23-Jun-26 [digital]</v>
      </c>
      <c r="M9731" s="22" t="str">
        <f>HYPERLINK("mailto:ldimambro@crm.otsuka-europe.com", "ldimambro@crm.otsuka-europe.com")</f>
        <v>ldimambro@crm.otsuka-europe.com</v>
      </c>
      <c r="N9731" s="23">
        <v>46188.521898148145</v>
      </c>
      <c r="O9731" s="14" t="str">
        <f>HYPERLINK("https://otsuka-europe-crm.veevavault.com/ui/#object/email_activity__v/V8C00000003U599", "EN-002096072")</f>
        <v>EN-002096072</v>
      </c>
    </row>
    <row r="9732" spans="1:15" ht="16" x14ac:dyDescent="0.2">
      <c r="A9732" s="19"/>
      <c r="B9732" s="19"/>
      <c r="C9732" s="19"/>
      <c r="D9732" s="19"/>
      <c r="E9732" s="19"/>
      <c r="F9732" s="19"/>
      <c r="G9732" s="19"/>
      <c r="H9732" s="19"/>
      <c r="I9732" s="19"/>
      <c r="J9732" s="19"/>
      <c r="K9732" s="19"/>
      <c r="L9732" s="19"/>
      <c r="M9732" s="19"/>
      <c r="N9732" s="19"/>
      <c r="O9732" s="14" t="str">
        <f>HYPERLINK("https://otsuka-europe-crm.veevavault.com/ui/#object/email_activity__v/V8C00000003V843", "EN-002096413")</f>
        <v>EN-002096413</v>
      </c>
    </row>
    <row r="9733" spans="1:15" ht="32" x14ac:dyDescent="0.2">
      <c r="A9733" s="7" t="str">
        <f>HYPERLINK("https://otsuka-europe-crm.veevavault.com/ui/#object/account__v/V4TZ04ASGAVCIOO", "Godswill Ezeka")</f>
        <v>Godswill Ezeka</v>
      </c>
      <c r="B9733" s="7" t="str">
        <f t="shared" ref="B9733:B9738" si="726">HYPERLINK("https://otsuka-europe-crm.veevavault.com/ui/#object/vcountry__v/VENZ000004SONFK", "GB")</f>
        <v>GB</v>
      </c>
      <c r="C9733" s="8" t="s">
        <v>39</v>
      </c>
      <c r="D9733" s="9" t="str">
        <f t="shared" ref="D9733:D9738" si="727">HYPERLINK("https://otsuka-europe-crm.veevavault.com/ui/#object/approved_document__v/V5O00000001H005", "LDM DR P2P Invite 23-Jun-26 [digital]")</f>
        <v>LDM DR P2P Invite 23-Jun-26 [digital]</v>
      </c>
      <c r="E9733" s="10" t="str">
        <f>HYPERLINK("https://otsuka-europe-crm.veevavault.com/ui/#object/sent_email__v/VBL00000002T330", "SE-001436070")</f>
        <v>SE-001436070</v>
      </c>
      <c r="F9733" s="11"/>
      <c r="G9733" s="12">
        <v>0</v>
      </c>
      <c r="H9733" s="12">
        <v>0</v>
      </c>
      <c r="I9733" s="12">
        <v>0</v>
      </c>
      <c r="J9733" s="11"/>
      <c r="K9733" s="12">
        <v>0</v>
      </c>
      <c r="L9733" s="10" t="str">
        <f t="shared" ref="L9733:L9738" si="728">HYPERLINK("https://otsuka-europe-crm.veevavault.com/ui/#object/approved_document__v/V5O00000001H005", "LDM DR P2P Invite 23-Jun-26 [digital]")</f>
        <v>LDM DR P2P Invite 23-Jun-26 [digital]</v>
      </c>
      <c r="M9733" s="10" t="str">
        <f t="shared" ref="M9733:M9738" si="729">HYPERLINK("mailto:ldimambro@crm.otsuka-europe.com", "ldimambro@crm.otsuka-europe.com")</f>
        <v>ldimambro@crm.otsuka-europe.com</v>
      </c>
      <c r="N9733" s="13">
        <v>46188.521909722222</v>
      </c>
      <c r="O9733" s="14" t="str">
        <f>HYPERLINK("https://otsuka-europe-crm.veevavault.com/ui/#object/email_activity__v/V8C00000003V658", "EN-002096070")</f>
        <v>EN-002096070</v>
      </c>
    </row>
    <row r="9734" spans="1:15" ht="32" x14ac:dyDescent="0.2">
      <c r="A9734" s="7" t="str">
        <f>HYPERLINK("https://otsuka-europe-crm.veevavault.com/ui/#object/account__v/V4TZ0000062PB9P", "Inderbir Sidhu")</f>
        <v>Inderbir Sidhu</v>
      </c>
      <c r="B9734" s="7" t="str">
        <f t="shared" si="726"/>
        <v>GB</v>
      </c>
      <c r="C9734" s="8" t="s">
        <v>39</v>
      </c>
      <c r="D9734" s="9" t="str">
        <f t="shared" si="727"/>
        <v>LDM DR P2P Invite 23-Jun-26 [digital]</v>
      </c>
      <c r="E9734" s="10" t="str">
        <f>HYPERLINK("https://otsuka-europe-crm.veevavault.com/ui/#object/sent_email__v/VBL00000002T331", "SE-001436071")</f>
        <v>SE-001436071</v>
      </c>
      <c r="F9734" s="11"/>
      <c r="G9734" s="12">
        <v>0</v>
      </c>
      <c r="H9734" s="12">
        <v>0</v>
      </c>
      <c r="I9734" s="12">
        <v>0</v>
      </c>
      <c r="J9734" s="11"/>
      <c r="K9734" s="12">
        <v>0</v>
      </c>
      <c r="L9734" s="10" t="str">
        <f t="shared" si="728"/>
        <v>LDM DR P2P Invite 23-Jun-26 [digital]</v>
      </c>
      <c r="M9734" s="10" t="str">
        <f t="shared" si="729"/>
        <v>ldimambro@crm.otsuka-europe.com</v>
      </c>
      <c r="N9734" s="13">
        <v>46188.521898148145</v>
      </c>
      <c r="O9734" s="14" t="str">
        <f>HYPERLINK("https://otsuka-europe-crm.veevavault.com/ui/#object/email_activity__v/V8C00000003V644", "EN-002096041")</f>
        <v>EN-002096041</v>
      </c>
    </row>
    <row r="9735" spans="1:15" ht="32" x14ac:dyDescent="0.2">
      <c r="A9735" s="7" t="str">
        <f>HYPERLINK("https://otsuka-europe-crm.veevavault.com/ui/#object/account__v/V4TZ0000062PNKS", "Hanson Agyirifo")</f>
        <v>Hanson Agyirifo</v>
      </c>
      <c r="B9735" s="7" t="str">
        <f t="shared" si="726"/>
        <v>GB</v>
      </c>
      <c r="C9735" s="8" t="s">
        <v>39</v>
      </c>
      <c r="D9735" s="9" t="str">
        <f t="shared" si="727"/>
        <v>LDM DR P2P Invite 23-Jun-26 [digital]</v>
      </c>
      <c r="E9735" s="10" t="str">
        <f>HYPERLINK("https://otsuka-europe-crm.veevavault.com/ui/#object/sent_email__v/VBL00000002T332", "SE-001436072")</f>
        <v>SE-001436072</v>
      </c>
      <c r="F9735" s="11"/>
      <c r="G9735" s="12">
        <v>0</v>
      </c>
      <c r="H9735" s="12">
        <v>0</v>
      </c>
      <c r="I9735" s="12">
        <v>0</v>
      </c>
      <c r="J9735" s="11"/>
      <c r="K9735" s="12">
        <v>0</v>
      </c>
      <c r="L9735" s="10" t="str">
        <f t="shared" si="728"/>
        <v>LDM DR P2P Invite 23-Jun-26 [digital]</v>
      </c>
      <c r="M9735" s="10" t="str">
        <f t="shared" si="729"/>
        <v>ldimambro@crm.otsuka-europe.com</v>
      </c>
      <c r="N9735" s="13">
        <v>46188.521909722222</v>
      </c>
      <c r="O9735" s="14" t="str">
        <f>HYPERLINK("https://otsuka-europe-crm.veevavault.com/ui/#object/email_activity__v/V8C00000003V647", "EN-002096046")</f>
        <v>EN-002096046</v>
      </c>
    </row>
    <row r="9736" spans="1:15" ht="32" x14ac:dyDescent="0.2">
      <c r="A9736" s="7" t="str">
        <f>HYPERLINK("https://otsuka-europe-crm.veevavault.com/ui/#object/account__v/V4TZ04ASG6LG3VM", "Gisha George")</f>
        <v>Gisha George</v>
      </c>
      <c r="B9736" s="7" t="str">
        <f t="shared" si="726"/>
        <v>GB</v>
      </c>
      <c r="C9736" s="8" t="s">
        <v>39</v>
      </c>
      <c r="D9736" s="9" t="str">
        <f t="shared" si="727"/>
        <v>LDM DR P2P Invite 23-Jun-26 [digital]</v>
      </c>
      <c r="E9736" s="10" t="str">
        <f>HYPERLINK("https://otsuka-europe-crm.veevavault.com/ui/#object/sent_email__v/VBL00000002T333", "SE-001436073")</f>
        <v>SE-001436073</v>
      </c>
      <c r="F9736" s="11"/>
      <c r="G9736" s="12">
        <v>0</v>
      </c>
      <c r="H9736" s="12">
        <v>0</v>
      </c>
      <c r="I9736" s="12">
        <v>0</v>
      </c>
      <c r="J9736" s="11"/>
      <c r="K9736" s="12">
        <v>0</v>
      </c>
      <c r="L9736" s="10" t="str">
        <f t="shared" si="728"/>
        <v>LDM DR P2P Invite 23-Jun-26 [digital]</v>
      </c>
      <c r="M9736" s="10" t="str">
        <f t="shared" si="729"/>
        <v>ldimambro@crm.otsuka-europe.com</v>
      </c>
      <c r="N9736" s="13">
        <v>46188.521944444445</v>
      </c>
      <c r="O9736" s="14" t="str">
        <f>HYPERLINK("https://otsuka-europe-crm.veevavault.com/ui/#object/email_activity__v/V8C00000003U598", "EN-002096067")</f>
        <v>EN-002096067</v>
      </c>
    </row>
    <row r="9737" spans="1:15" ht="32" x14ac:dyDescent="0.2">
      <c r="A9737" s="7" t="str">
        <f>HYPERLINK("https://otsuka-europe-crm.veevavault.com/ui/#object/account__v/V4TZ04ASG79Y3WA", "Eseoghene Achakpo")</f>
        <v>Eseoghene Achakpo</v>
      </c>
      <c r="B9737" s="7" t="str">
        <f t="shared" si="726"/>
        <v>GB</v>
      </c>
      <c r="C9737" s="8" t="s">
        <v>39</v>
      </c>
      <c r="D9737" s="9" t="str">
        <f t="shared" si="727"/>
        <v>LDM DR P2P Invite 23-Jun-26 [digital]</v>
      </c>
      <c r="E9737" s="10" t="str">
        <f>HYPERLINK("https://otsuka-europe-crm.veevavault.com/ui/#object/sent_email__v/VBL00000002T334", "SE-001436074")</f>
        <v>SE-001436074</v>
      </c>
      <c r="F9737" s="11"/>
      <c r="G9737" s="12">
        <v>0</v>
      </c>
      <c r="H9737" s="12">
        <v>0</v>
      </c>
      <c r="I9737" s="12">
        <v>0</v>
      </c>
      <c r="J9737" s="11"/>
      <c r="K9737" s="12">
        <v>0</v>
      </c>
      <c r="L9737" s="10" t="str">
        <f t="shared" si="728"/>
        <v>LDM DR P2P Invite 23-Jun-26 [digital]</v>
      </c>
      <c r="M9737" s="10" t="str">
        <f t="shared" si="729"/>
        <v>ldimambro@crm.otsuka-europe.com</v>
      </c>
      <c r="N9737" s="13">
        <v>46188.521909722222</v>
      </c>
      <c r="O9737" s="14" t="str">
        <f>HYPERLINK("https://otsuka-europe-crm.veevavault.com/ui/#object/email_activity__v/V8C00000003U595", "EN-002096064")</f>
        <v>EN-002096064</v>
      </c>
    </row>
    <row r="9738" spans="1:15" ht="16" x14ac:dyDescent="0.2">
      <c r="A9738" s="17" t="str">
        <f>HYPERLINK("https://otsuka-europe-crm.veevavault.com/ui/#object/account__v/V4TZ04ASG6LG3VQ", "Evelyn Nyarko")</f>
        <v>Evelyn Nyarko</v>
      </c>
      <c r="B9738" s="17" t="str">
        <f t="shared" si="726"/>
        <v>GB</v>
      </c>
      <c r="C9738" s="20" t="s">
        <v>39</v>
      </c>
      <c r="D9738" s="21" t="str">
        <f t="shared" si="727"/>
        <v>LDM DR P2P Invite 23-Jun-26 [digital]</v>
      </c>
      <c r="E9738" s="22" t="str">
        <f>HYPERLINK("https://otsuka-europe-crm.veevavault.com/ui/#object/sent_email__v/VBL00000002T335", "SE-001436075")</f>
        <v>SE-001436075</v>
      </c>
      <c r="F9738" s="25"/>
      <c r="G9738" s="24">
        <v>0</v>
      </c>
      <c r="H9738" s="24">
        <v>0</v>
      </c>
      <c r="I9738" s="24">
        <v>0</v>
      </c>
      <c r="J9738" s="25"/>
      <c r="K9738" s="24">
        <v>0</v>
      </c>
      <c r="L9738" s="22" t="str">
        <f t="shared" si="728"/>
        <v>LDM DR P2P Invite 23-Jun-26 [digital]</v>
      </c>
      <c r="M9738" s="22" t="str">
        <f t="shared" si="729"/>
        <v>ldimambro@crm.otsuka-europe.com</v>
      </c>
      <c r="N9738" s="23">
        <v>46188.521909722222</v>
      </c>
      <c r="O9738" s="14" t="str">
        <f>HYPERLINK("https://otsuka-europe-crm.veevavault.com/ui/#object/email_activity__v/V8C00000003U592", "EN-002096060")</f>
        <v>EN-002096060</v>
      </c>
    </row>
    <row r="9739" spans="1:15" ht="16" x14ac:dyDescent="0.2">
      <c r="A9739" s="19"/>
      <c r="B9739" s="19"/>
      <c r="C9739" s="19"/>
      <c r="D9739" s="19"/>
      <c r="E9739" s="19"/>
      <c r="F9739" s="19"/>
      <c r="G9739" s="19"/>
      <c r="H9739" s="19"/>
      <c r="I9739" s="19"/>
      <c r="J9739" s="19"/>
      <c r="K9739" s="19"/>
      <c r="L9739" s="19"/>
      <c r="M9739" s="19"/>
      <c r="N9739" s="19"/>
      <c r="O9739" s="14" t="str">
        <f>HYPERLINK("https://otsuka-europe-crm.veevavault.com/ui/#object/email_activity__v/V8C00000003V829", "EN-002096395")</f>
        <v>EN-002096395</v>
      </c>
    </row>
    <row r="9740" spans="1:15" ht="16" x14ac:dyDescent="0.2">
      <c r="A9740" s="17" t="str">
        <f>HYPERLINK("https://otsuka-europe-crm.veevavault.com/ui/#object/account__v/V4TZ04ASG6PCUWQ", "Ehab Khattab")</f>
        <v>Ehab Khattab</v>
      </c>
      <c r="B9740" s="17" t="str">
        <f>HYPERLINK("https://otsuka-europe-crm.veevavault.com/ui/#object/vcountry__v/VENZ000004SONFK", "GB")</f>
        <v>GB</v>
      </c>
      <c r="C9740" s="20" t="s">
        <v>39</v>
      </c>
      <c r="D9740" s="21" t="str">
        <f>HYPERLINK("https://otsuka-europe-crm.veevavault.com/ui/#object/approved_document__v/V5O00000001H005", "LDM DR P2P Invite 23-Jun-26 [digital]")</f>
        <v>LDM DR P2P Invite 23-Jun-26 [digital]</v>
      </c>
      <c r="E9740" s="22" t="str">
        <f>HYPERLINK("https://otsuka-europe-crm.veevavault.com/ui/#object/sent_email__v/VBL00000002T336", "SE-001436076")</f>
        <v>SE-001436076</v>
      </c>
      <c r="F9740" s="23">
        <v>46188.522199074076</v>
      </c>
      <c r="G9740" s="24">
        <v>1</v>
      </c>
      <c r="H9740" s="24">
        <v>1</v>
      </c>
      <c r="I9740" s="24">
        <v>0</v>
      </c>
      <c r="J9740" s="25"/>
      <c r="K9740" s="24">
        <v>0</v>
      </c>
      <c r="L9740" s="22" t="str">
        <f>HYPERLINK("https://otsuka-europe-crm.veevavault.com/ui/#object/approved_document__v/V5O00000001H005", "LDM DR P2P Invite 23-Jun-26 [digital]")</f>
        <v>LDM DR P2P Invite 23-Jun-26 [digital]</v>
      </c>
      <c r="M9740" s="22" t="str">
        <f>HYPERLINK("mailto:ldimambro@crm.otsuka-europe.com", "ldimambro@crm.otsuka-europe.com")</f>
        <v>ldimambro@crm.otsuka-europe.com</v>
      </c>
      <c r="N9740" s="23">
        <v>46188.521909722222</v>
      </c>
      <c r="O9740" s="14" t="str">
        <f>HYPERLINK("https://otsuka-europe-crm.veevavault.com/ui/#object/email_activity__v/V8C00000003U601", "EN-002096074")</f>
        <v>EN-002096074</v>
      </c>
    </row>
    <row r="9741" spans="1:15" ht="16" x14ac:dyDescent="0.2">
      <c r="A9741" s="19"/>
      <c r="B9741" s="19"/>
      <c r="C9741" s="19"/>
      <c r="D9741" s="19"/>
      <c r="E9741" s="19"/>
      <c r="F9741" s="19"/>
      <c r="G9741" s="19"/>
      <c r="H9741" s="19"/>
      <c r="I9741" s="19"/>
      <c r="J9741" s="19"/>
      <c r="K9741" s="19"/>
      <c r="L9741" s="19"/>
      <c r="M9741" s="19"/>
      <c r="N9741" s="19"/>
      <c r="O9741" s="14" t="str">
        <f>HYPERLINK("https://otsuka-europe-crm.veevavault.com/ui/#object/email_activity__v/V8C00000003U602", "EN-002096075")</f>
        <v>EN-002096075</v>
      </c>
    </row>
    <row r="9742" spans="1:15" ht="32" x14ac:dyDescent="0.2">
      <c r="A9742" s="7" t="str">
        <f>HYPERLINK("https://otsuka-europe-crm.veevavault.com/ui/#object/account__v/V4TZ0000062PDUY", "Francis Dunne")</f>
        <v>Francis Dunne</v>
      </c>
      <c r="B9742" s="7" t="str">
        <f>HYPERLINK("https://otsuka-europe-crm.veevavault.com/ui/#object/vcountry__v/VENZ000004SONFK", "GB")</f>
        <v>GB</v>
      </c>
      <c r="C9742" s="8" t="s">
        <v>39</v>
      </c>
      <c r="D9742" s="9" t="str">
        <f>HYPERLINK("https://otsuka-europe-crm.veevavault.com/ui/#object/approved_document__v/V5O00000001H005", "LDM DR P2P Invite 23-Jun-26 [digital]")</f>
        <v>LDM DR P2P Invite 23-Jun-26 [digital]</v>
      </c>
      <c r="E9742" s="10" t="str">
        <f>HYPERLINK("https://otsuka-europe-crm.veevavault.com/ui/#object/sent_email__v/VBL00000002T337", "SE-001436077")</f>
        <v>SE-001436077</v>
      </c>
      <c r="F9742" s="11"/>
      <c r="G9742" s="12">
        <v>0</v>
      </c>
      <c r="H9742" s="12">
        <v>0</v>
      </c>
      <c r="I9742" s="12">
        <v>0</v>
      </c>
      <c r="J9742" s="11"/>
      <c r="K9742" s="12">
        <v>0</v>
      </c>
      <c r="L9742" s="10" t="str">
        <f>HYPERLINK("https://otsuka-europe-crm.veevavault.com/ui/#object/approved_document__v/V5O00000001H005", "LDM DR P2P Invite 23-Jun-26 [digital]")</f>
        <v>LDM DR P2P Invite 23-Jun-26 [digital]</v>
      </c>
      <c r="M9742" s="10" t="str">
        <f>HYPERLINK("mailto:ldimambro@crm.otsuka-europe.com", "ldimambro@crm.otsuka-europe.com")</f>
        <v>ldimambro@crm.otsuka-europe.com</v>
      </c>
      <c r="N9742" s="13">
        <v>46188.521909722222</v>
      </c>
      <c r="O9742" s="14" t="str">
        <f>HYPERLINK("https://otsuka-europe-crm.veevavault.com/ui/#object/email_activity__v/V8C00000003U586", "EN-002096048")</f>
        <v>EN-002096048</v>
      </c>
    </row>
    <row r="9743" spans="1:15" ht="16" x14ac:dyDescent="0.2">
      <c r="A9743" s="17" t="str">
        <f>HYPERLINK("https://otsuka-europe-crm.veevavault.com/ui/#object/account__v/V4TZ0000062PI0K", "Karwan Saddik")</f>
        <v>Karwan Saddik</v>
      </c>
      <c r="B9743" s="17" t="str">
        <f>HYPERLINK("https://otsuka-europe-crm.veevavault.com/ui/#object/vcountry__v/VENZ000004SONFK", "GB")</f>
        <v>GB</v>
      </c>
      <c r="C9743" s="20" t="s">
        <v>39</v>
      </c>
      <c r="D9743" s="21" t="str">
        <f>HYPERLINK("https://otsuka-europe-crm.veevavault.com/ui/#object/approved_document__v/V5O00000001H005", "LDM DR P2P Invite 23-Jun-26 [digital]")</f>
        <v>LDM DR P2P Invite 23-Jun-26 [digital]</v>
      </c>
      <c r="E9743" s="22" t="str">
        <f>HYPERLINK("https://otsuka-europe-crm.veevavault.com/ui/#object/sent_email__v/VBL00000002U263", "SE-001436078")</f>
        <v>SE-001436078</v>
      </c>
      <c r="F9743" s="23">
        <v>46196.359756944446</v>
      </c>
      <c r="G9743" s="24">
        <v>1</v>
      </c>
      <c r="H9743" s="24">
        <v>25</v>
      </c>
      <c r="I9743" s="24">
        <v>0</v>
      </c>
      <c r="J9743" s="25"/>
      <c r="K9743" s="24">
        <v>0</v>
      </c>
      <c r="L9743" s="22" t="str">
        <f>HYPERLINK("https://otsuka-europe-crm.veevavault.com/ui/#object/approved_document__v/V5O00000001H005", "LDM DR P2P Invite 23-Jun-26 [digital]")</f>
        <v>LDM DR P2P Invite 23-Jun-26 [digital]</v>
      </c>
      <c r="M9743" s="22" t="str">
        <f>HYPERLINK("mailto:ldimambro@crm.otsuka-europe.com", "ldimambro@crm.otsuka-europe.com")</f>
        <v>ldimambro@crm.otsuka-europe.com</v>
      </c>
      <c r="N9743" s="23">
        <v>46188.526724537034</v>
      </c>
      <c r="O9743" s="14" t="str">
        <f>HYPERLINK("https://otsuka-europe-crm.veevavault.com/ui/#object/email_activity__v/V8C00000003U610", "EN-002096083")</f>
        <v>EN-002096083</v>
      </c>
    </row>
    <row r="9744" spans="1:15" ht="16" x14ac:dyDescent="0.2">
      <c r="A9744" s="18"/>
      <c r="B9744" s="18"/>
      <c r="C9744" s="18"/>
      <c r="D9744" s="18"/>
      <c r="E9744" s="18"/>
      <c r="F9744" s="18"/>
      <c r="G9744" s="18"/>
      <c r="H9744" s="18"/>
      <c r="I9744" s="18"/>
      <c r="J9744" s="18"/>
      <c r="K9744" s="18"/>
      <c r="L9744" s="18"/>
      <c r="M9744" s="18"/>
      <c r="N9744" s="18"/>
      <c r="O9744" s="14" t="str">
        <f>HYPERLINK("https://otsuka-europe-crm.veevavault.com/ui/#object/email_activity__v/V8C00000003U626", "EN-002096125")</f>
        <v>EN-002096125</v>
      </c>
    </row>
    <row r="9745" spans="1:15" ht="16" x14ac:dyDescent="0.2">
      <c r="A9745" s="18"/>
      <c r="B9745" s="18"/>
      <c r="C9745" s="18"/>
      <c r="D9745" s="18"/>
      <c r="E9745" s="18"/>
      <c r="F9745" s="18"/>
      <c r="G9745" s="18"/>
      <c r="H9745" s="18"/>
      <c r="I9745" s="18"/>
      <c r="J9745" s="18"/>
      <c r="K9745" s="18"/>
      <c r="L9745" s="18"/>
      <c r="M9745" s="18"/>
      <c r="N9745" s="18"/>
      <c r="O9745" s="14" t="str">
        <f>HYPERLINK("https://otsuka-europe-crm.veevavault.com/ui/#object/email_activity__v/V8C00000003U673", "EN-002096173")</f>
        <v>EN-002096173</v>
      </c>
    </row>
    <row r="9746" spans="1:15" ht="16" x14ac:dyDescent="0.2">
      <c r="A9746" s="18"/>
      <c r="B9746" s="18"/>
      <c r="C9746" s="18"/>
      <c r="D9746" s="18"/>
      <c r="E9746" s="18"/>
      <c r="F9746" s="18"/>
      <c r="G9746" s="18"/>
      <c r="H9746" s="18"/>
      <c r="I9746" s="18"/>
      <c r="J9746" s="18"/>
      <c r="K9746" s="18"/>
      <c r="L9746" s="18"/>
      <c r="M9746" s="18"/>
      <c r="N9746" s="18"/>
      <c r="O9746" s="14" t="str">
        <f>HYPERLINK("https://otsuka-europe-crm.veevavault.com/ui/#object/email_activity__v/V8C00000003U788", "EN-002096500")</f>
        <v>EN-002096500</v>
      </c>
    </row>
    <row r="9747" spans="1:15" ht="16" x14ac:dyDescent="0.2">
      <c r="A9747" s="18"/>
      <c r="B9747" s="18"/>
      <c r="C9747" s="18"/>
      <c r="D9747" s="18"/>
      <c r="E9747" s="18"/>
      <c r="F9747" s="18"/>
      <c r="G9747" s="18"/>
      <c r="H9747" s="18"/>
      <c r="I9747" s="18"/>
      <c r="J9747" s="18"/>
      <c r="K9747" s="18"/>
      <c r="L9747" s="18"/>
      <c r="M9747" s="18"/>
      <c r="N9747" s="18"/>
      <c r="O9747" s="14" t="str">
        <f>HYPERLINK("https://otsuka-europe-crm.veevavault.com/ui/#object/email_activity__v/V8C00000003U789", "EN-002096502")</f>
        <v>EN-002096502</v>
      </c>
    </row>
    <row r="9748" spans="1:15" ht="16" x14ac:dyDescent="0.2">
      <c r="A9748" s="18"/>
      <c r="B9748" s="18"/>
      <c r="C9748" s="18"/>
      <c r="D9748" s="18"/>
      <c r="E9748" s="18"/>
      <c r="F9748" s="18"/>
      <c r="G9748" s="18"/>
      <c r="H9748" s="18"/>
      <c r="I9748" s="18"/>
      <c r="J9748" s="18"/>
      <c r="K9748" s="18"/>
      <c r="L9748" s="18"/>
      <c r="M9748" s="18"/>
      <c r="N9748" s="18"/>
      <c r="O9748" s="14" t="str">
        <f>HYPERLINK("https://otsuka-europe-crm.veevavault.com/ui/#object/email_activity__v/V8C00000003U912", "EN-002096803")</f>
        <v>EN-002096803</v>
      </c>
    </row>
    <row r="9749" spans="1:15" ht="16" x14ac:dyDescent="0.2">
      <c r="A9749" s="18"/>
      <c r="B9749" s="18"/>
      <c r="C9749" s="18"/>
      <c r="D9749" s="18"/>
      <c r="E9749" s="18"/>
      <c r="F9749" s="18"/>
      <c r="G9749" s="18"/>
      <c r="H9749" s="18"/>
      <c r="I9749" s="18"/>
      <c r="J9749" s="18"/>
      <c r="K9749" s="18"/>
      <c r="L9749" s="18"/>
      <c r="M9749" s="18"/>
      <c r="N9749" s="18"/>
      <c r="O9749" s="14" t="str">
        <f>HYPERLINK("https://otsuka-europe-crm.veevavault.com/ui/#object/email_activity__v/V8C00000003U921", "EN-002096824")</f>
        <v>EN-002096824</v>
      </c>
    </row>
    <row r="9750" spans="1:15" ht="16" x14ac:dyDescent="0.2">
      <c r="A9750" s="18"/>
      <c r="B9750" s="18"/>
      <c r="C9750" s="18"/>
      <c r="D9750" s="18"/>
      <c r="E9750" s="18"/>
      <c r="F9750" s="18"/>
      <c r="G9750" s="18"/>
      <c r="H9750" s="18"/>
      <c r="I9750" s="18"/>
      <c r="J9750" s="18"/>
      <c r="K9750" s="18"/>
      <c r="L9750" s="18"/>
      <c r="M9750" s="18"/>
      <c r="N9750" s="18"/>
      <c r="O9750" s="14" t="str">
        <f>HYPERLINK("https://otsuka-europe-crm.veevavault.com/ui/#object/email_activity__v/V8C00000003U922", "EN-002096825")</f>
        <v>EN-002096825</v>
      </c>
    </row>
    <row r="9751" spans="1:15" ht="16" x14ac:dyDescent="0.2">
      <c r="A9751" s="18"/>
      <c r="B9751" s="18"/>
      <c r="C9751" s="18"/>
      <c r="D9751" s="18"/>
      <c r="E9751" s="18"/>
      <c r="F9751" s="18"/>
      <c r="G9751" s="18"/>
      <c r="H9751" s="18"/>
      <c r="I9751" s="18"/>
      <c r="J9751" s="18"/>
      <c r="K9751" s="18"/>
      <c r="L9751" s="18"/>
      <c r="M9751" s="18"/>
      <c r="N9751" s="18"/>
      <c r="O9751" s="14" t="str">
        <f>HYPERLINK("https://otsuka-europe-crm.veevavault.com/ui/#object/email_activity__v/V8C00000003U926", "EN-002096833")</f>
        <v>EN-002096833</v>
      </c>
    </row>
    <row r="9752" spans="1:15" ht="16" x14ac:dyDescent="0.2">
      <c r="A9752" s="18"/>
      <c r="B9752" s="18"/>
      <c r="C9752" s="18"/>
      <c r="D9752" s="18"/>
      <c r="E9752" s="18"/>
      <c r="F9752" s="18"/>
      <c r="G9752" s="18"/>
      <c r="H9752" s="18"/>
      <c r="I9752" s="18"/>
      <c r="J9752" s="18"/>
      <c r="K9752" s="18"/>
      <c r="L9752" s="18"/>
      <c r="M9752" s="18"/>
      <c r="N9752" s="18"/>
      <c r="O9752" s="14" t="str">
        <f>HYPERLINK("https://otsuka-europe-crm.veevavault.com/ui/#object/email_activity__v/V8C00000003V686", "EN-002096172")</f>
        <v>EN-002096172</v>
      </c>
    </row>
    <row r="9753" spans="1:15" ht="16" x14ac:dyDescent="0.2">
      <c r="A9753" s="18"/>
      <c r="B9753" s="18"/>
      <c r="C9753" s="18"/>
      <c r="D9753" s="18"/>
      <c r="E9753" s="18"/>
      <c r="F9753" s="18"/>
      <c r="G9753" s="18"/>
      <c r="H9753" s="18"/>
      <c r="I9753" s="18"/>
      <c r="J9753" s="18"/>
      <c r="K9753" s="18"/>
      <c r="L9753" s="18"/>
      <c r="M9753" s="18"/>
      <c r="N9753" s="18"/>
      <c r="O9753" s="14" t="str">
        <f>HYPERLINK("https://otsuka-europe-crm.veevavault.com/ui/#object/email_activity__v/V8C00000003V692", "EN-002096186")</f>
        <v>EN-002096186</v>
      </c>
    </row>
    <row r="9754" spans="1:15" ht="16" x14ac:dyDescent="0.2">
      <c r="A9754" s="18"/>
      <c r="B9754" s="18"/>
      <c r="C9754" s="18"/>
      <c r="D9754" s="18"/>
      <c r="E9754" s="18"/>
      <c r="F9754" s="18"/>
      <c r="G9754" s="18"/>
      <c r="H9754" s="18"/>
      <c r="I9754" s="18"/>
      <c r="J9754" s="18"/>
      <c r="K9754" s="18"/>
      <c r="L9754" s="18"/>
      <c r="M9754" s="18"/>
      <c r="N9754" s="18"/>
      <c r="O9754" s="14" t="str">
        <f>HYPERLINK("https://otsuka-europe-crm.veevavault.com/ui/#object/email_activity__v/V8C00000003V899", "EN-002096501")</f>
        <v>EN-002096501</v>
      </c>
    </row>
    <row r="9755" spans="1:15" ht="16" x14ac:dyDescent="0.2">
      <c r="A9755" s="18"/>
      <c r="B9755" s="18"/>
      <c r="C9755" s="18"/>
      <c r="D9755" s="18"/>
      <c r="E9755" s="18"/>
      <c r="F9755" s="18"/>
      <c r="G9755" s="18"/>
      <c r="H9755" s="18"/>
      <c r="I9755" s="18"/>
      <c r="J9755" s="18"/>
      <c r="K9755" s="18"/>
      <c r="L9755" s="18"/>
      <c r="M9755" s="18"/>
      <c r="N9755" s="18"/>
      <c r="O9755" s="14" t="str">
        <f>HYPERLINK("https://otsuka-europe-crm.veevavault.com/ui/#object/email_activity__v/V8C00000003W084", "EN-002096815")</f>
        <v>EN-002096815</v>
      </c>
    </row>
    <row r="9756" spans="1:15" ht="16" x14ac:dyDescent="0.2">
      <c r="A9756" s="18"/>
      <c r="B9756" s="18"/>
      <c r="C9756" s="18"/>
      <c r="D9756" s="18"/>
      <c r="E9756" s="18"/>
      <c r="F9756" s="18"/>
      <c r="G9756" s="18"/>
      <c r="H9756" s="18"/>
      <c r="I9756" s="18"/>
      <c r="J9756" s="18"/>
      <c r="K9756" s="18"/>
      <c r="L9756" s="18"/>
      <c r="M9756" s="18"/>
      <c r="N9756" s="18"/>
      <c r="O9756" s="14" t="str">
        <f>HYPERLINK("https://otsuka-europe-crm.veevavault.com/ui/#object/email_activity__v/V8C00000003W085", "EN-002096816")</f>
        <v>EN-002096816</v>
      </c>
    </row>
    <row r="9757" spans="1:15" ht="16" x14ac:dyDescent="0.2">
      <c r="A9757" s="18"/>
      <c r="B9757" s="18"/>
      <c r="C9757" s="18"/>
      <c r="D9757" s="18"/>
      <c r="E9757" s="18"/>
      <c r="F9757" s="18"/>
      <c r="G9757" s="18"/>
      <c r="H9757" s="18"/>
      <c r="I9757" s="18"/>
      <c r="J9757" s="18"/>
      <c r="K9757" s="18"/>
      <c r="L9757" s="18"/>
      <c r="M9757" s="18"/>
      <c r="N9757" s="18"/>
      <c r="O9757" s="14" t="str">
        <f>HYPERLINK("https://otsuka-europe-crm.veevavault.com/ui/#object/email_activity__v/V8C00000003W089", "EN-002096822")</f>
        <v>EN-002096822</v>
      </c>
    </row>
    <row r="9758" spans="1:15" ht="16" x14ac:dyDescent="0.2">
      <c r="A9758" s="18"/>
      <c r="B9758" s="18"/>
      <c r="C9758" s="18"/>
      <c r="D9758" s="18"/>
      <c r="E9758" s="18"/>
      <c r="F9758" s="18"/>
      <c r="G9758" s="18"/>
      <c r="H9758" s="18"/>
      <c r="I9758" s="18"/>
      <c r="J9758" s="18"/>
      <c r="K9758" s="18"/>
      <c r="L9758" s="18"/>
      <c r="M9758" s="18"/>
      <c r="N9758" s="18"/>
      <c r="O9758" s="14" t="str">
        <f>HYPERLINK("https://otsuka-europe-crm.veevavault.com/ui/#object/email_activity__v/V8C00000003W090", "EN-002096823")</f>
        <v>EN-002096823</v>
      </c>
    </row>
    <row r="9759" spans="1:15" ht="16" x14ac:dyDescent="0.2">
      <c r="A9759" s="18"/>
      <c r="B9759" s="18"/>
      <c r="C9759" s="18"/>
      <c r="D9759" s="18"/>
      <c r="E9759" s="18"/>
      <c r="F9759" s="18"/>
      <c r="G9759" s="18"/>
      <c r="H9759" s="18"/>
      <c r="I9759" s="18"/>
      <c r="J9759" s="18"/>
      <c r="K9759" s="18"/>
      <c r="L9759" s="18"/>
      <c r="M9759" s="18"/>
      <c r="N9759" s="18"/>
      <c r="O9759" s="14" t="str">
        <f>HYPERLINK("https://otsuka-europe-crm.veevavault.com/ui/#object/email_activity__v/V8C00000003W091", "EN-002096828")</f>
        <v>EN-002096828</v>
      </c>
    </row>
    <row r="9760" spans="1:15" ht="16" x14ac:dyDescent="0.2">
      <c r="A9760" s="18"/>
      <c r="B9760" s="18"/>
      <c r="C9760" s="18"/>
      <c r="D9760" s="18"/>
      <c r="E9760" s="18"/>
      <c r="F9760" s="18"/>
      <c r="G9760" s="18"/>
      <c r="H9760" s="18"/>
      <c r="I9760" s="18"/>
      <c r="J9760" s="18"/>
      <c r="K9760" s="18"/>
      <c r="L9760" s="18"/>
      <c r="M9760" s="18"/>
      <c r="N9760" s="18"/>
      <c r="O9760" s="14" t="str">
        <f>HYPERLINK("https://otsuka-europe-crm.veevavault.com/ui/#object/email_activity__v/V8C00000003W097", "EN-002096843")</f>
        <v>EN-002096843</v>
      </c>
    </row>
    <row r="9761" spans="1:15" ht="16" x14ac:dyDescent="0.2">
      <c r="A9761" s="18"/>
      <c r="B9761" s="18"/>
      <c r="C9761" s="18"/>
      <c r="D9761" s="18"/>
      <c r="E9761" s="18"/>
      <c r="F9761" s="18"/>
      <c r="G9761" s="18"/>
      <c r="H9761" s="18"/>
      <c r="I9761" s="18"/>
      <c r="J9761" s="18"/>
      <c r="K9761" s="18"/>
      <c r="L9761" s="18"/>
      <c r="M9761" s="18"/>
      <c r="N9761" s="18"/>
      <c r="O9761" s="14" t="str">
        <f>HYPERLINK("https://otsuka-europe-crm.veevavault.com/ui/#object/email_activity__v/V8C00000003W098", "EN-002096844")</f>
        <v>EN-002096844</v>
      </c>
    </row>
    <row r="9762" spans="1:15" ht="16" x14ac:dyDescent="0.2">
      <c r="A9762" s="18"/>
      <c r="B9762" s="18"/>
      <c r="C9762" s="18"/>
      <c r="D9762" s="18"/>
      <c r="E9762" s="18"/>
      <c r="F9762" s="18"/>
      <c r="G9762" s="18"/>
      <c r="H9762" s="18"/>
      <c r="I9762" s="18"/>
      <c r="J9762" s="18"/>
      <c r="K9762" s="18"/>
      <c r="L9762" s="18"/>
      <c r="M9762" s="18"/>
      <c r="N9762" s="18"/>
      <c r="O9762" s="14" t="str">
        <f>HYPERLINK("https://otsuka-europe-crm.veevavault.com/ui/#object/email_activity__v/V8C00000003W177", "EN-002097078")</f>
        <v>EN-002097078</v>
      </c>
    </row>
    <row r="9763" spans="1:15" ht="16" x14ac:dyDescent="0.2">
      <c r="A9763" s="18"/>
      <c r="B9763" s="18"/>
      <c r="C9763" s="18"/>
      <c r="D9763" s="18"/>
      <c r="E9763" s="18"/>
      <c r="F9763" s="18"/>
      <c r="G9763" s="18"/>
      <c r="H9763" s="18"/>
      <c r="I9763" s="18"/>
      <c r="J9763" s="18"/>
      <c r="K9763" s="18"/>
      <c r="L9763" s="18"/>
      <c r="M9763" s="18"/>
      <c r="N9763" s="18"/>
      <c r="O9763" s="14" t="str">
        <f>HYPERLINK("https://otsuka-europe-crm.veevavault.com/ui/#object/email_activity__v/V8C00000003W178", "EN-002097079")</f>
        <v>EN-002097079</v>
      </c>
    </row>
    <row r="9764" spans="1:15" ht="16" x14ac:dyDescent="0.2">
      <c r="A9764" s="18"/>
      <c r="B9764" s="18"/>
      <c r="C9764" s="18"/>
      <c r="D9764" s="18"/>
      <c r="E9764" s="18"/>
      <c r="F9764" s="18"/>
      <c r="G9764" s="18"/>
      <c r="H9764" s="18"/>
      <c r="I9764" s="18"/>
      <c r="J9764" s="18"/>
      <c r="K9764" s="18"/>
      <c r="L9764" s="18"/>
      <c r="M9764" s="18"/>
      <c r="N9764" s="18"/>
      <c r="O9764" s="14" t="str">
        <f>HYPERLINK("https://otsuka-europe-crm.veevavault.com/ui/#object/email_activity__v/V8C00000003W179", "EN-002097082")</f>
        <v>EN-002097082</v>
      </c>
    </row>
    <row r="9765" spans="1:15" ht="16" x14ac:dyDescent="0.2">
      <c r="A9765" s="18"/>
      <c r="B9765" s="18"/>
      <c r="C9765" s="18"/>
      <c r="D9765" s="18"/>
      <c r="E9765" s="18"/>
      <c r="F9765" s="18"/>
      <c r="G9765" s="18"/>
      <c r="H9765" s="18"/>
      <c r="I9765" s="18"/>
      <c r="J9765" s="18"/>
      <c r="K9765" s="18"/>
      <c r="L9765" s="18"/>
      <c r="M9765" s="18"/>
      <c r="N9765" s="18"/>
      <c r="O9765" s="14" t="str">
        <f>HYPERLINK("https://otsuka-europe-crm.veevavault.com/ui/#object/email_activity__v/V8C00000003W180", "EN-002097083")</f>
        <v>EN-002097083</v>
      </c>
    </row>
    <row r="9766" spans="1:15" ht="16" x14ac:dyDescent="0.2">
      <c r="A9766" s="18"/>
      <c r="B9766" s="18"/>
      <c r="C9766" s="18"/>
      <c r="D9766" s="18"/>
      <c r="E9766" s="18"/>
      <c r="F9766" s="18"/>
      <c r="G9766" s="18"/>
      <c r="H9766" s="18"/>
      <c r="I9766" s="18"/>
      <c r="J9766" s="18"/>
      <c r="K9766" s="18"/>
      <c r="L9766" s="18"/>
      <c r="M9766" s="18"/>
      <c r="N9766" s="18"/>
      <c r="O9766" s="14" t="str">
        <f>HYPERLINK("https://otsuka-europe-crm.veevavault.com/ui/#object/email_activity__v/V8C00000003X091", "EN-002097080")</f>
        <v>EN-002097080</v>
      </c>
    </row>
    <row r="9767" spans="1:15" ht="16" x14ac:dyDescent="0.2">
      <c r="A9767" s="18"/>
      <c r="B9767" s="18"/>
      <c r="C9767" s="18"/>
      <c r="D9767" s="18"/>
      <c r="E9767" s="18"/>
      <c r="F9767" s="18"/>
      <c r="G9767" s="18"/>
      <c r="H9767" s="18"/>
      <c r="I9767" s="18"/>
      <c r="J9767" s="18"/>
      <c r="K9767" s="18"/>
      <c r="L9767" s="18"/>
      <c r="M9767" s="18"/>
      <c r="N9767" s="18"/>
      <c r="O9767" s="14" t="str">
        <f>HYPERLINK("https://otsuka-europe-crm.veevavault.com/ui/#object/email_activity__v/V8C00000003Z025", "EN-002098688")</f>
        <v>EN-002098688</v>
      </c>
    </row>
    <row r="9768" spans="1:15" ht="16" x14ac:dyDescent="0.2">
      <c r="A9768" s="18"/>
      <c r="B9768" s="18"/>
      <c r="C9768" s="18"/>
      <c r="D9768" s="18"/>
      <c r="E9768" s="18"/>
      <c r="F9768" s="18"/>
      <c r="G9768" s="18"/>
      <c r="H9768" s="18"/>
      <c r="I9768" s="18"/>
      <c r="J9768" s="18"/>
      <c r="K9768" s="18"/>
      <c r="L9768" s="18"/>
      <c r="M9768" s="18"/>
      <c r="N9768" s="18"/>
      <c r="O9768" s="14" t="str">
        <f>HYPERLINK("https://otsuka-europe-crm.veevavault.com/ui/#object/email_activity__v/V8C00000003Z288", "EN-002099161")</f>
        <v>EN-002099161</v>
      </c>
    </row>
    <row r="9769" spans="1:15" ht="16" x14ac:dyDescent="0.2">
      <c r="A9769" s="19"/>
      <c r="B9769" s="19"/>
      <c r="C9769" s="19"/>
      <c r="D9769" s="19"/>
      <c r="E9769" s="19"/>
      <c r="F9769" s="19"/>
      <c r="G9769" s="19"/>
      <c r="H9769" s="19"/>
      <c r="I9769" s="19"/>
      <c r="J9769" s="19"/>
      <c r="K9769" s="19"/>
      <c r="L9769" s="19"/>
      <c r="M9769" s="19"/>
      <c r="N9769" s="19"/>
      <c r="O9769" s="14" t="str">
        <f>HYPERLINK("https://otsuka-europe-crm.veevavault.com/ui/#object/email_activity__v/V8C000000042012", "EN-002099714")</f>
        <v>EN-002099714</v>
      </c>
    </row>
    <row r="9770" spans="1:15" ht="32" x14ac:dyDescent="0.2">
      <c r="A9770" s="7" t="str">
        <f>HYPERLINK("https://otsuka-europe-crm.veevavault.com/ui/#object/account__v/V4TZ04ASG79ZO4R", "Joyce Akoh")</f>
        <v>Joyce Akoh</v>
      </c>
      <c r="B9770" s="7" t="str">
        <f t="shared" ref="B9770:B9776" si="730">HYPERLINK("https://otsuka-europe-crm.veevavault.com/ui/#object/vcountry__v/VENZ000004SONFK", "GB")</f>
        <v>GB</v>
      </c>
      <c r="C9770" s="8" t="s">
        <v>39</v>
      </c>
      <c r="D9770" s="9" t="str">
        <f t="shared" ref="D9770:D9776" si="731">HYPERLINK("https://otsuka-europe-crm.veevavault.com/ui/#object/approved_document__v/V5O00000001H005", "LDM DR P2P Invite 23-Jun-26 [digital]")</f>
        <v>LDM DR P2P Invite 23-Jun-26 [digital]</v>
      </c>
      <c r="E9770" s="10" t="str">
        <f>HYPERLINK("https://otsuka-europe-crm.veevavault.com/ui/#object/sent_email__v/VBL00000002U264", "SE-001436079")</f>
        <v>SE-001436079</v>
      </c>
      <c r="F9770" s="11"/>
      <c r="G9770" s="12">
        <v>0</v>
      </c>
      <c r="H9770" s="12">
        <v>0</v>
      </c>
      <c r="I9770" s="12">
        <v>0</v>
      </c>
      <c r="J9770" s="11"/>
      <c r="K9770" s="12">
        <v>0</v>
      </c>
      <c r="L9770" s="10" t="str">
        <f t="shared" ref="L9770:L9776" si="732">HYPERLINK("https://otsuka-europe-crm.veevavault.com/ui/#object/approved_document__v/V5O00000001H005", "LDM DR P2P Invite 23-Jun-26 [digital]")</f>
        <v>LDM DR P2P Invite 23-Jun-26 [digital]</v>
      </c>
      <c r="M9770" s="10" t="str">
        <f t="shared" ref="M9770:M9776" si="733">HYPERLINK("mailto:ldimambro@crm.otsuka-europe.com", "ldimambro@crm.otsuka-europe.com")</f>
        <v>ldimambro@crm.otsuka-europe.com</v>
      </c>
      <c r="N9770" s="13">
        <v>46188.526724537034</v>
      </c>
      <c r="O9770" s="14" t="str">
        <f>HYPERLINK("https://otsuka-europe-crm.veevavault.com/ui/#object/email_activity__v/V8C00000003V672", "EN-002096097")</f>
        <v>EN-002096097</v>
      </c>
    </row>
    <row r="9771" spans="1:15" ht="32" x14ac:dyDescent="0.2">
      <c r="A9771" s="7" t="str">
        <f>HYPERLINK("https://otsuka-europe-crm.veevavault.com/ui/#object/account__v/V4TZ025E82D8BGD", "Omonefe Seb-Akahomen")</f>
        <v>Omonefe Seb-Akahomen</v>
      </c>
      <c r="B9771" s="7" t="str">
        <f t="shared" si="730"/>
        <v>GB</v>
      </c>
      <c r="C9771" s="8" t="s">
        <v>39</v>
      </c>
      <c r="D9771" s="9" t="str">
        <f t="shared" si="731"/>
        <v>LDM DR P2P Invite 23-Jun-26 [digital]</v>
      </c>
      <c r="E9771" s="10" t="str">
        <f>HYPERLINK("https://otsuka-europe-crm.veevavault.com/ui/#object/sent_email__v/VBL00000002U265", "SE-001436080")</f>
        <v>SE-001436080</v>
      </c>
      <c r="F9771" s="11"/>
      <c r="G9771" s="12">
        <v>0</v>
      </c>
      <c r="H9771" s="12">
        <v>0</v>
      </c>
      <c r="I9771" s="12">
        <v>0</v>
      </c>
      <c r="J9771" s="11"/>
      <c r="K9771" s="12">
        <v>0</v>
      </c>
      <c r="L9771" s="10" t="str">
        <f t="shared" si="732"/>
        <v>LDM DR P2P Invite 23-Jun-26 [digital]</v>
      </c>
      <c r="M9771" s="10" t="str">
        <f t="shared" si="733"/>
        <v>ldimambro@crm.otsuka-europe.com</v>
      </c>
      <c r="N9771" s="13">
        <v>46188.526747685188</v>
      </c>
      <c r="O9771" s="14" t="str">
        <f>HYPERLINK("https://otsuka-europe-crm.veevavault.com/ui/#object/email_activity__v/V8C00000003V677", "EN-002096109")</f>
        <v>EN-002096109</v>
      </c>
    </row>
    <row r="9772" spans="1:15" ht="32" x14ac:dyDescent="0.2">
      <c r="A9772" s="7" t="str">
        <f>HYPERLINK("https://otsuka-europe-crm.veevavault.com/ui/#object/account__v/V4TZ06G6OCENTG2", "Otonye Juojuonegim-Hart")</f>
        <v>Otonye Juojuonegim-Hart</v>
      </c>
      <c r="B9772" s="7" t="str">
        <f t="shared" si="730"/>
        <v>GB</v>
      </c>
      <c r="C9772" s="8" t="s">
        <v>39</v>
      </c>
      <c r="D9772" s="9" t="str">
        <f t="shared" si="731"/>
        <v>LDM DR P2P Invite 23-Jun-26 [digital]</v>
      </c>
      <c r="E9772" s="10" t="str">
        <f>HYPERLINK("https://otsuka-europe-crm.veevavault.com/ui/#object/sent_email__v/VBL00000002U266", "SE-001436081")</f>
        <v>SE-001436081</v>
      </c>
      <c r="F9772" s="11"/>
      <c r="G9772" s="12">
        <v>0</v>
      </c>
      <c r="H9772" s="12">
        <v>0</v>
      </c>
      <c r="I9772" s="12">
        <v>0</v>
      </c>
      <c r="J9772" s="11"/>
      <c r="K9772" s="12">
        <v>0</v>
      </c>
      <c r="L9772" s="10" t="str">
        <f t="shared" si="732"/>
        <v>LDM DR P2P Invite 23-Jun-26 [digital]</v>
      </c>
      <c r="M9772" s="10" t="str">
        <f t="shared" si="733"/>
        <v>ldimambro@crm.otsuka-europe.com</v>
      </c>
      <c r="N9772" s="13">
        <v>46188.526747685188</v>
      </c>
      <c r="O9772" s="14" t="str">
        <f>HYPERLINK("https://otsuka-europe-crm.veevavault.com/ui/#object/email_activity__v/V8C00000003V663", "EN-002096087")</f>
        <v>EN-002096087</v>
      </c>
    </row>
    <row r="9773" spans="1:15" ht="32" x14ac:dyDescent="0.2">
      <c r="A9773" s="7" t="str">
        <f>HYPERLINK("https://otsuka-europe-crm.veevavault.com/ui/#object/account__v/V4TZ04ASGECAM0Q", "Mamun Rahman")</f>
        <v>Mamun Rahman</v>
      </c>
      <c r="B9773" s="7" t="str">
        <f t="shared" si="730"/>
        <v>GB</v>
      </c>
      <c r="C9773" s="8" t="s">
        <v>39</v>
      </c>
      <c r="D9773" s="9" t="str">
        <f t="shared" si="731"/>
        <v>LDM DR P2P Invite 23-Jun-26 [digital]</v>
      </c>
      <c r="E9773" s="10" t="str">
        <f>HYPERLINK("https://otsuka-europe-crm.veevavault.com/ui/#object/sent_email__v/VBL00000002U267", "SE-001436082")</f>
        <v>SE-001436082</v>
      </c>
      <c r="F9773" s="11"/>
      <c r="G9773" s="12">
        <v>0</v>
      </c>
      <c r="H9773" s="12">
        <v>0</v>
      </c>
      <c r="I9773" s="12">
        <v>0</v>
      </c>
      <c r="J9773" s="11"/>
      <c r="K9773" s="12">
        <v>0</v>
      </c>
      <c r="L9773" s="10" t="str">
        <f t="shared" si="732"/>
        <v>LDM DR P2P Invite 23-Jun-26 [digital]</v>
      </c>
      <c r="M9773" s="10" t="str">
        <f t="shared" si="733"/>
        <v>ldimambro@crm.otsuka-europe.com</v>
      </c>
      <c r="N9773" s="13">
        <v>46188.526747685188</v>
      </c>
      <c r="O9773" s="14" t="str">
        <f>HYPERLINK("https://otsuka-europe-crm.veevavault.com/ui/#object/email_activity__v/V8C00000003U616", "EN-002096104")</f>
        <v>EN-002096104</v>
      </c>
    </row>
    <row r="9774" spans="1:15" ht="32" x14ac:dyDescent="0.2">
      <c r="A9774" s="7" t="str">
        <f>HYPERLINK("https://otsuka-europe-crm.veevavault.com/ui/#object/account__v/V4TZ0000062PIPR", "Mohammad Hussain")</f>
        <v>Mohammad Hussain</v>
      </c>
      <c r="B9774" s="7" t="str">
        <f t="shared" si="730"/>
        <v>GB</v>
      </c>
      <c r="C9774" s="8" t="s">
        <v>39</v>
      </c>
      <c r="D9774" s="9" t="str">
        <f t="shared" si="731"/>
        <v>LDM DR P2P Invite 23-Jun-26 [digital]</v>
      </c>
      <c r="E9774" s="10" t="str">
        <f>HYPERLINK("https://otsuka-europe-crm.veevavault.com/ui/#object/sent_email__v/VBL00000002U268", "SE-001436083")</f>
        <v>SE-001436083</v>
      </c>
      <c r="F9774" s="11"/>
      <c r="G9774" s="12">
        <v>0</v>
      </c>
      <c r="H9774" s="12">
        <v>0</v>
      </c>
      <c r="I9774" s="12">
        <v>0</v>
      </c>
      <c r="J9774" s="11"/>
      <c r="K9774" s="12">
        <v>0</v>
      </c>
      <c r="L9774" s="10" t="str">
        <f t="shared" si="732"/>
        <v>LDM DR P2P Invite 23-Jun-26 [digital]</v>
      </c>
      <c r="M9774" s="10" t="str">
        <f t="shared" si="733"/>
        <v>ldimambro@crm.otsuka-europe.com</v>
      </c>
      <c r="N9774" s="13">
        <v>46188.526747685188</v>
      </c>
      <c r="O9774" s="14" t="str">
        <f>HYPERLINK("https://otsuka-europe-crm.veevavault.com/ui/#object/email_activity__v/V8C00000003V682", "EN-002096121")</f>
        <v>EN-002096121</v>
      </c>
    </row>
    <row r="9775" spans="1:15" ht="32" x14ac:dyDescent="0.2">
      <c r="A9775" s="7" t="str">
        <f>HYPERLINK("https://otsuka-europe-crm.veevavault.com/ui/#object/account__v/V4TZ0000062PI00", "Prabhavathy Sethi")</f>
        <v>Prabhavathy Sethi</v>
      </c>
      <c r="B9775" s="7" t="str">
        <f t="shared" si="730"/>
        <v>GB</v>
      </c>
      <c r="C9775" s="8" t="s">
        <v>39</v>
      </c>
      <c r="D9775" s="9" t="str">
        <f t="shared" si="731"/>
        <v>LDM DR P2P Invite 23-Jun-26 [digital]</v>
      </c>
      <c r="E9775" s="10" t="str">
        <f>HYPERLINK("https://otsuka-europe-crm.veevavault.com/ui/#object/sent_email__v/VBL00000002U269", "SE-001436084")</f>
        <v>SE-001436084</v>
      </c>
      <c r="F9775" s="11"/>
      <c r="G9775" s="12">
        <v>0</v>
      </c>
      <c r="H9775" s="12">
        <v>0</v>
      </c>
      <c r="I9775" s="12">
        <v>0</v>
      </c>
      <c r="J9775" s="11"/>
      <c r="K9775" s="12">
        <v>0</v>
      </c>
      <c r="L9775" s="10" t="str">
        <f t="shared" si="732"/>
        <v>LDM DR P2P Invite 23-Jun-26 [digital]</v>
      </c>
      <c r="M9775" s="10" t="str">
        <f t="shared" si="733"/>
        <v>ldimambro@crm.otsuka-europe.com</v>
      </c>
      <c r="N9775" s="13">
        <v>46188.526747685188</v>
      </c>
      <c r="O9775" s="14" t="str">
        <f>HYPERLINK("https://otsuka-europe-crm.veevavault.com/ui/#object/email_activity__v/V8C00000003V666", "EN-002096091")</f>
        <v>EN-002096091</v>
      </c>
    </row>
    <row r="9776" spans="1:15" ht="16" x14ac:dyDescent="0.2">
      <c r="A9776" s="17" t="str">
        <f>HYPERLINK("https://otsuka-europe-crm.veevavault.com/ui/#object/account__v/V4TZ0000062PCDI", "Manal El-Maraghy")</f>
        <v>Manal El-Maraghy</v>
      </c>
      <c r="B9776" s="17" t="str">
        <f t="shared" si="730"/>
        <v>GB</v>
      </c>
      <c r="C9776" s="20" t="s">
        <v>39</v>
      </c>
      <c r="D9776" s="21" t="str">
        <f t="shared" si="731"/>
        <v>LDM DR P2P Invite 23-Jun-26 [digital]</v>
      </c>
      <c r="E9776" s="22" t="str">
        <f>HYPERLINK("https://otsuka-europe-crm.veevavault.com/ui/#object/sent_email__v/VBL00000002U270", "SE-001436085")</f>
        <v>SE-001436085</v>
      </c>
      <c r="F9776" s="23">
        <v>46190.548020833332</v>
      </c>
      <c r="G9776" s="24">
        <v>1</v>
      </c>
      <c r="H9776" s="24">
        <v>5</v>
      </c>
      <c r="I9776" s="24">
        <v>0</v>
      </c>
      <c r="J9776" s="25"/>
      <c r="K9776" s="24">
        <v>0</v>
      </c>
      <c r="L9776" s="22" t="str">
        <f t="shared" si="732"/>
        <v>LDM DR P2P Invite 23-Jun-26 [digital]</v>
      </c>
      <c r="M9776" s="22" t="str">
        <f t="shared" si="733"/>
        <v>ldimambro@crm.otsuka-europe.com</v>
      </c>
      <c r="N9776" s="23">
        <v>46188.526747685188</v>
      </c>
      <c r="O9776" s="14" t="str">
        <f>HYPERLINK("https://otsuka-europe-crm.veevavault.com/ui/#object/email_activity__v/V8C00000003U697", "EN-002096235")</f>
        <v>EN-002096235</v>
      </c>
    </row>
    <row r="9777" spans="1:15" ht="16" x14ac:dyDescent="0.2">
      <c r="A9777" s="18"/>
      <c r="B9777" s="18"/>
      <c r="C9777" s="18"/>
      <c r="D9777" s="18"/>
      <c r="E9777" s="18"/>
      <c r="F9777" s="18"/>
      <c r="G9777" s="18"/>
      <c r="H9777" s="18"/>
      <c r="I9777" s="18"/>
      <c r="J9777" s="18"/>
      <c r="K9777" s="18"/>
      <c r="L9777" s="18"/>
      <c r="M9777" s="18"/>
      <c r="N9777" s="18"/>
      <c r="O9777" s="14" t="str">
        <f>HYPERLINK("https://otsuka-europe-crm.veevavault.com/ui/#object/email_activity__v/V8C00000003U702", "EN-002096244")</f>
        <v>EN-002096244</v>
      </c>
    </row>
    <row r="9778" spans="1:15" ht="16" x14ac:dyDescent="0.2">
      <c r="A9778" s="18"/>
      <c r="B9778" s="18"/>
      <c r="C9778" s="18"/>
      <c r="D9778" s="18"/>
      <c r="E9778" s="18"/>
      <c r="F9778" s="18"/>
      <c r="G9778" s="18"/>
      <c r="H9778" s="18"/>
      <c r="I9778" s="18"/>
      <c r="J9778" s="18"/>
      <c r="K9778" s="18"/>
      <c r="L9778" s="18"/>
      <c r="M9778" s="18"/>
      <c r="N9778" s="18"/>
      <c r="O9778" s="14" t="str">
        <f>HYPERLINK("https://otsuka-europe-crm.veevavault.com/ui/#object/email_activity__v/V8C00000003V662", "EN-002096086")</f>
        <v>EN-002096086</v>
      </c>
    </row>
    <row r="9779" spans="1:15" ht="16" x14ac:dyDescent="0.2">
      <c r="A9779" s="18"/>
      <c r="B9779" s="18"/>
      <c r="C9779" s="18"/>
      <c r="D9779" s="18"/>
      <c r="E9779" s="18"/>
      <c r="F9779" s="18"/>
      <c r="G9779" s="18"/>
      <c r="H9779" s="18"/>
      <c r="I9779" s="18"/>
      <c r="J9779" s="18"/>
      <c r="K9779" s="18"/>
      <c r="L9779" s="18"/>
      <c r="M9779" s="18"/>
      <c r="N9779" s="18"/>
      <c r="O9779" s="14" t="str">
        <f>HYPERLINK("https://otsuka-europe-crm.veevavault.com/ui/#object/email_activity__v/V8C00000003V718", "EN-002096227")</f>
        <v>EN-002096227</v>
      </c>
    </row>
    <row r="9780" spans="1:15" ht="16" x14ac:dyDescent="0.2">
      <c r="A9780" s="18"/>
      <c r="B9780" s="18"/>
      <c r="C9780" s="18"/>
      <c r="D9780" s="18"/>
      <c r="E9780" s="18"/>
      <c r="F9780" s="18"/>
      <c r="G9780" s="18"/>
      <c r="H9780" s="18"/>
      <c r="I9780" s="18"/>
      <c r="J9780" s="18"/>
      <c r="K9780" s="18"/>
      <c r="L9780" s="18"/>
      <c r="M9780" s="18"/>
      <c r="N9780" s="18"/>
      <c r="O9780" s="14" t="str">
        <f>HYPERLINK("https://otsuka-europe-crm.veevavault.com/ui/#object/email_activity__v/V8C00000003V721", "EN-002096230")</f>
        <v>EN-002096230</v>
      </c>
    </row>
    <row r="9781" spans="1:15" ht="16" x14ac:dyDescent="0.2">
      <c r="A9781" s="19"/>
      <c r="B9781" s="19"/>
      <c r="C9781" s="19"/>
      <c r="D9781" s="19"/>
      <c r="E9781" s="19"/>
      <c r="F9781" s="19"/>
      <c r="G9781" s="19"/>
      <c r="H9781" s="19"/>
      <c r="I9781" s="19"/>
      <c r="J9781" s="19"/>
      <c r="K9781" s="19"/>
      <c r="L9781" s="19"/>
      <c r="M9781" s="19"/>
      <c r="N9781" s="19"/>
      <c r="O9781" s="14" t="str">
        <f>HYPERLINK("https://otsuka-europe-crm.veevavault.com/ui/#object/email_activity__v/V8C00000003W708", "EN-002098398")</f>
        <v>EN-002098398</v>
      </c>
    </row>
    <row r="9782" spans="1:15" ht="32" x14ac:dyDescent="0.2">
      <c r="A9782" s="7" t="str">
        <f>HYPERLINK("https://otsuka-europe-crm.veevavault.com/ui/#object/account__v/V4TZ0000062PNPE", "Kevin Mugadzaweta")</f>
        <v>Kevin Mugadzaweta</v>
      </c>
      <c r="B9782" s="7" t="str">
        <f>HYPERLINK("https://otsuka-europe-crm.veevavault.com/ui/#object/vcountry__v/VENZ000004SONFK", "GB")</f>
        <v>GB</v>
      </c>
      <c r="C9782" s="8" t="s">
        <v>39</v>
      </c>
      <c r="D9782" s="9" t="str">
        <f>HYPERLINK("https://otsuka-europe-crm.veevavault.com/ui/#object/approved_document__v/V5O00000001H005", "LDM DR P2P Invite 23-Jun-26 [digital]")</f>
        <v>LDM DR P2P Invite 23-Jun-26 [digital]</v>
      </c>
      <c r="E9782" s="10" t="str">
        <f>HYPERLINK("https://otsuka-europe-crm.veevavault.com/ui/#object/sent_email__v/VBL00000002U271", "SE-001436086")</f>
        <v>SE-001436086</v>
      </c>
      <c r="F9782" s="11"/>
      <c r="G9782" s="12">
        <v>0</v>
      </c>
      <c r="H9782" s="12">
        <v>0</v>
      </c>
      <c r="I9782" s="12">
        <v>0</v>
      </c>
      <c r="J9782" s="11"/>
      <c r="K9782" s="12">
        <v>0</v>
      </c>
      <c r="L9782" s="10" t="str">
        <f>HYPERLINK("https://otsuka-europe-crm.veevavault.com/ui/#object/approved_document__v/V5O00000001H005", "LDM DR P2P Invite 23-Jun-26 [digital]")</f>
        <v>LDM DR P2P Invite 23-Jun-26 [digital]</v>
      </c>
      <c r="M9782" s="10" t="str">
        <f>HYPERLINK("mailto:ldimambro@crm.otsuka-europe.com", "ldimambro@crm.otsuka-europe.com")</f>
        <v>ldimambro@crm.otsuka-europe.com</v>
      </c>
      <c r="N9782" s="13">
        <v>46188.526747685188</v>
      </c>
      <c r="O9782" s="14" t="str">
        <f>HYPERLINK("https://otsuka-europe-crm.veevavault.com/ui/#object/email_activity__v/V8C00000003V680", "EN-002096112")</f>
        <v>EN-002096112</v>
      </c>
    </row>
    <row r="9783" spans="1:15" ht="32" x14ac:dyDescent="0.2">
      <c r="A9783" s="7" t="str">
        <f>HYPERLINK("https://otsuka-europe-crm.veevavault.com/ui/#object/account__v/V4TZ025E82EJBQQ", "Olayide Adegoke")</f>
        <v>Olayide Adegoke</v>
      </c>
      <c r="B9783" s="7" t="str">
        <f>HYPERLINK("https://otsuka-europe-crm.veevavault.com/ui/#object/vcountry__v/VENZ000004SONFK", "GB")</f>
        <v>GB</v>
      </c>
      <c r="C9783" s="8" t="s">
        <v>39</v>
      </c>
      <c r="D9783" s="9" t="str">
        <f>HYPERLINK("https://otsuka-europe-crm.veevavault.com/ui/#object/approved_document__v/V5O00000001H005", "LDM DR P2P Invite 23-Jun-26 [digital]")</f>
        <v>LDM DR P2P Invite 23-Jun-26 [digital]</v>
      </c>
      <c r="E9783" s="10" t="str">
        <f>HYPERLINK("https://otsuka-europe-crm.veevavault.com/ui/#object/sent_email__v/VBL00000002U272", "SE-001436087")</f>
        <v>SE-001436087</v>
      </c>
      <c r="F9783" s="11"/>
      <c r="G9783" s="12">
        <v>0</v>
      </c>
      <c r="H9783" s="12">
        <v>0</v>
      </c>
      <c r="I9783" s="12">
        <v>0</v>
      </c>
      <c r="J9783" s="11"/>
      <c r="K9783" s="12">
        <v>0</v>
      </c>
      <c r="L9783" s="10" t="str">
        <f>HYPERLINK("https://otsuka-europe-crm.veevavault.com/ui/#object/approved_document__v/V5O00000001H005", "LDM DR P2P Invite 23-Jun-26 [digital]")</f>
        <v>LDM DR P2P Invite 23-Jun-26 [digital]</v>
      </c>
      <c r="M9783" s="10" t="str">
        <f>HYPERLINK("mailto:ldimambro@crm.otsuka-europe.com", "ldimambro@crm.otsuka-europe.com")</f>
        <v>ldimambro@crm.otsuka-europe.com</v>
      </c>
      <c r="N9783" s="13">
        <v>46188.526747685188</v>
      </c>
      <c r="O9783" s="14" t="str">
        <f>HYPERLINK("https://otsuka-europe-crm.veevavault.com/ui/#object/email_activity__v/V8C00000003V664", "EN-002096089")</f>
        <v>EN-002096089</v>
      </c>
    </row>
    <row r="9784" spans="1:15" ht="16" x14ac:dyDescent="0.2">
      <c r="A9784" s="17" t="str">
        <f>HYPERLINK("https://otsuka-europe-crm.veevavault.com/ui/#object/account__v/V4TZ025E82K343L", "Moataz Abdelreheem")</f>
        <v>Moataz Abdelreheem</v>
      </c>
      <c r="B9784" s="17" t="str">
        <f>HYPERLINK("https://otsuka-europe-crm.veevavault.com/ui/#object/vcountry__v/VENZ000004SONFK", "GB")</f>
        <v>GB</v>
      </c>
      <c r="C9784" s="20" t="s">
        <v>39</v>
      </c>
      <c r="D9784" s="21" t="str">
        <f>HYPERLINK("https://otsuka-europe-crm.veevavault.com/ui/#object/approved_document__v/V5O00000001H005", "LDM DR P2P Invite 23-Jun-26 [digital]")</f>
        <v>LDM DR P2P Invite 23-Jun-26 [digital]</v>
      </c>
      <c r="E9784" s="22" t="str">
        <f>HYPERLINK("https://otsuka-europe-crm.veevavault.com/ui/#object/sent_email__v/VBL00000002U273", "SE-001436088")</f>
        <v>SE-001436088</v>
      </c>
      <c r="F9784" s="23">
        <v>46188.55574074074</v>
      </c>
      <c r="G9784" s="24">
        <v>1</v>
      </c>
      <c r="H9784" s="24">
        <v>2</v>
      </c>
      <c r="I9784" s="24">
        <v>0</v>
      </c>
      <c r="J9784" s="25"/>
      <c r="K9784" s="24">
        <v>0</v>
      </c>
      <c r="L9784" s="22" t="str">
        <f>HYPERLINK("https://otsuka-europe-crm.veevavault.com/ui/#object/approved_document__v/V5O00000001H005", "LDM DR P2P Invite 23-Jun-26 [digital]")</f>
        <v>LDM DR P2P Invite 23-Jun-26 [digital]</v>
      </c>
      <c r="M9784" s="22" t="str">
        <f>HYPERLINK("mailto:ldimambro@crm.otsuka-europe.com", "ldimambro@crm.otsuka-europe.com")</f>
        <v>ldimambro@crm.otsuka-europe.com</v>
      </c>
      <c r="N9784" s="23">
        <v>46188.526747685188</v>
      </c>
      <c r="O9784" s="14" t="str">
        <f>HYPERLINK("https://otsuka-europe-crm.veevavault.com/ui/#object/email_activity__v/V8C00000003V669", "EN-002096094")</f>
        <v>EN-002096094</v>
      </c>
    </row>
    <row r="9785" spans="1:15" ht="16" x14ac:dyDescent="0.2">
      <c r="A9785" s="18"/>
      <c r="B9785" s="18"/>
      <c r="C9785" s="18"/>
      <c r="D9785" s="18"/>
      <c r="E9785" s="18"/>
      <c r="F9785" s="18"/>
      <c r="G9785" s="18"/>
      <c r="H9785" s="18"/>
      <c r="I9785" s="18"/>
      <c r="J9785" s="18"/>
      <c r="K9785" s="18"/>
      <c r="L9785" s="18"/>
      <c r="M9785" s="18"/>
      <c r="N9785" s="18"/>
      <c r="O9785" s="14" t="str">
        <f>HYPERLINK("https://otsuka-europe-crm.veevavault.com/ui/#object/email_activity__v/V8C00000003V705", "EN-002096209")</f>
        <v>EN-002096209</v>
      </c>
    </row>
    <row r="9786" spans="1:15" ht="16" x14ac:dyDescent="0.2">
      <c r="A9786" s="18"/>
      <c r="B9786" s="18"/>
      <c r="C9786" s="18"/>
      <c r="D9786" s="18"/>
      <c r="E9786" s="18"/>
      <c r="F9786" s="18"/>
      <c r="G9786" s="18"/>
      <c r="H9786" s="18"/>
      <c r="I9786" s="18"/>
      <c r="J9786" s="18"/>
      <c r="K9786" s="18"/>
      <c r="L9786" s="18"/>
      <c r="M9786" s="18"/>
      <c r="N9786" s="18"/>
      <c r="O9786" s="14" t="str">
        <f>HYPERLINK("https://otsuka-europe-crm.veevavault.com/ui/#object/email_activity__v/V8C00000003V706", "EN-002096210")</f>
        <v>EN-002096210</v>
      </c>
    </row>
    <row r="9787" spans="1:15" ht="16" x14ac:dyDescent="0.2">
      <c r="A9787" s="19"/>
      <c r="B9787" s="19"/>
      <c r="C9787" s="19"/>
      <c r="D9787" s="19"/>
      <c r="E9787" s="19"/>
      <c r="F9787" s="19"/>
      <c r="G9787" s="19"/>
      <c r="H9787" s="19"/>
      <c r="I9787" s="19"/>
      <c r="J9787" s="19"/>
      <c r="K9787" s="19"/>
      <c r="L9787" s="19"/>
      <c r="M9787" s="19"/>
      <c r="N9787" s="19"/>
      <c r="O9787" s="14" t="str">
        <f>HYPERLINK("https://otsuka-europe-crm.veevavault.com/ui/#object/email_activity__v/V8C00000003W321", "EN-002097362")</f>
        <v>EN-002097362</v>
      </c>
    </row>
    <row r="9788" spans="1:15" ht="32" x14ac:dyDescent="0.2">
      <c r="A9788" s="7" t="str">
        <f>HYPERLINK("https://otsuka-europe-crm.veevavault.com/ui/#object/account__v/V4TZ04ASG7A5VHY", "Odemea Kate")</f>
        <v>Odemea Kate</v>
      </c>
      <c r="B9788" s="7" t="str">
        <f>HYPERLINK("https://otsuka-europe-crm.veevavault.com/ui/#object/vcountry__v/VENZ000004SONFK", "GB")</f>
        <v>GB</v>
      </c>
      <c r="C9788" s="8" t="s">
        <v>39</v>
      </c>
      <c r="D9788" s="9" t="str">
        <f>HYPERLINK("https://otsuka-europe-crm.veevavault.com/ui/#object/approved_document__v/V5O00000001H005", "LDM DR P2P Invite 23-Jun-26 [digital]")</f>
        <v>LDM DR P2P Invite 23-Jun-26 [digital]</v>
      </c>
      <c r="E9788" s="10" t="str">
        <f>HYPERLINK("https://otsuka-europe-crm.veevavault.com/ui/#object/sent_email__v/VBL00000002U274", "SE-001436089")</f>
        <v>SE-001436089</v>
      </c>
      <c r="F9788" s="11"/>
      <c r="G9788" s="12">
        <v>0</v>
      </c>
      <c r="H9788" s="12">
        <v>0</v>
      </c>
      <c r="I9788" s="12">
        <v>0</v>
      </c>
      <c r="J9788" s="11"/>
      <c r="K9788" s="12">
        <v>0</v>
      </c>
      <c r="L9788" s="10" t="str">
        <f>HYPERLINK("https://otsuka-europe-crm.veevavault.com/ui/#object/approved_document__v/V5O00000001H005", "LDM DR P2P Invite 23-Jun-26 [digital]")</f>
        <v>LDM DR P2P Invite 23-Jun-26 [digital]</v>
      </c>
      <c r="M9788" s="10" t="str">
        <f>HYPERLINK("mailto:ldimambro@crm.otsuka-europe.com", "ldimambro@crm.otsuka-europe.com")</f>
        <v>ldimambro@crm.otsuka-europe.com</v>
      </c>
      <c r="N9788" s="13">
        <v>46188.526747685188</v>
      </c>
      <c r="O9788" s="14" t="str">
        <f>HYPERLINK("https://otsuka-europe-crm.veevavault.com/ui/#object/email_activity__v/V8C00000003U609", "EN-002096082")</f>
        <v>EN-002096082</v>
      </c>
    </row>
    <row r="9789" spans="1:15" ht="32" x14ac:dyDescent="0.2">
      <c r="A9789" s="7" t="str">
        <f>HYPERLINK("https://otsuka-europe-crm.veevavault.com/ui/#object/account__v/V4TZ0000062PC1G", "Khurshid Tabassum")</f>
        <v>Khurshid Tabassum</v>
      </c>
      <c r="B9789" s="7" t="str">
        <f>HYPERLINK("https://otsuka-europe-crm.veevavault.com/ui/#object/vcountry__v/VENZ000004SONFK", "GB")</f>
        <v>GB</v>
      </c>
      <c r="C9789" s="8" t="s">
        <v>39</v>
      </c>
      <c r="D9789" s="9" t="str">
        <f>HYPERLINK("https://otsuka-europe-crm.veevavault.com/ui/#object/approved_document__v/V5O00000001H005", "LDM DR P2P Invite 23-Jun-26 [digital]")</f>
        <v>LDM DR P2P Invite 23-Jun-26 [digital]</v>
      </c>
      <c r="E9789" s="10" t="str">
        <f>HYPERLINK("https://otsuka-europe-crm.veevavault.com/ui/#object/sent_email__v/VBL00000002U275", "SE-001436090")</f>
        <v>SE-001436090</v>
      </c>
      <c r="F9789" s="11"/>
      <c r="G9789" s="12">
        <v>0</v>
      </c>
      <c r="H9789" s="12">
        <v>0</v>
      </c>
      <c r="I9789" s="12">
        <v>0</v>
      </c>
      <c r="J9789" s="11"/>
      <c r="K9789" s="12">
        <v>0</v>
      </c>
      <c r="L9789" s="10" t="str">
        <f>HYPERLINK("https://otsuka-europe-crm.veevavault.com/ui/#object/approved_document__v/V5O00000001H005", "LDM DR P2P Invite 23-Jun-26 [digital]")</f>
        <v>LDM DR P2P Invite 23-Jun-26 [digital]</v>
      </c>
      <c r="M9789" s="10" t="str">
        <f>HYPERLINK("mailto:ldimambro@crm.otsuka-europe.com", "ldimambro@crm.otsuka-europe.com")</f>
        <v>ldimambro@crm.otsuka-europe.com</v>
      </c>
      <c r="N9789" s="13">
        <v>46188.526747685188</v>
      </c>
      <c r="O9789" s="14" t="str">
        <f>HYPERLINK("https://otsuka-europe-crm.veevavault.com/ui/#object/email_activity__v/V8C00000003V673", "EN-002096098")</f>
        <v>EN-002096098</v>
      </c>
    </row>
    <row r="9790" spans="1:15" ht="16" x14ac:dyDescent="0.2">
      <c r="A9790" s="17" t="str">
        <f>HYPERLINK("https://otsuka-europe-crm.veevavault.com/ui/#object/account__v/V4TZ04ASGC2MGH8", "Kimberley Lobo")</f>
        <v>Kimberley Lobo</v>
      </c>
      <c r="B9790" s="17" t="str">
        <f>HYPERLINK("https://otsuka-europe-crm.veevavault.com/ui/#object/vcountry__v/VENZ000004SONFK", "GB")</f>
        <v>GB</v>
      </c>
      <c r="C9790" s="20" t="s">
        <v>39</v>
      </c>
      <c r="D9790" s="21" t="str">
        <f>HYPERLINK("https://otsuka-europe-crm.veevavault.com/ui/#object/approved_document__v/V5O00000001H005", "LDM DR P2P Invite 23-Jun-26 [digital]")</f>
        <v>LDM DR P2P Invite 23-Jun-26 [digital]</v>
      </c>
      <c r="E9790" s="22" t="str">
        <f>HYPERLINK("https://otsuka-europe-crm.veevavault.com/ui/#object/sent_email__v/VBL00000002U276", "SE-001436091")</f>
        <v>SE-001436091</v>
      </c>
      <c r="F9790" s="23">
        <v>46196.832048611112</v>
      </c>
      <c r="G9790" s="24">
        <v>1</v>
      </c>
      <c r="H9790" s="24">
        <v>13</v>
      </c>
      <c r="I9790" s="24">
        <v>0</v>
      </c>
      <c r="J9790" s="25"/>
      <c r="K9790" s="24">
        <v>0</v>
      </c>
      <c r="L9790" s="22" t="str">
        <f>HYPERLINK("https://otsuka-europe-crm.veevavault.com/ui/#object/approved_document__v/V5O00000001H005", "LDM DR P2P Invite 23-Jun-26 [digital]")</f>
        <v>LDM DR P2P Invite 23-Jun-26 [digital]</v>
      </c>
      <c r="M9790" s="22" t="str">
        <f>HYPERLINK("mailto:ldimambro@crm.otsuka-europe.com", "ldimambro@crm.otsuka-europe.com")</f>
        <v>ldimambro@crm.otsuka-europe.com</v>
      </c>
      <c r="N9790" s="23">
        <v>46188.526747685188</v>
      </c>
      <c r="O9790" s="14" t="str">
        <f>HYPERLINK("https://otsuka-europe-crm.veevavault.com/ui/#object/email_activity__v/V8C00000003U617", "EN-002096105")</f>
        <v>EN-002096105</v>
      </c>
    </row>
    <row r="9791" spans="1:15" ht="16" x14ac:dyDescent="0.2">
      <c r="A9791" s="18"/>
      <c r="B9791" s="18"/>
      <c r="C9791" s="18"/>
      <c r="D9791" s="18"/>
      <c r="E9791" s="18"/>
      <c r="F9791" s="18"/>
      <c r="G9791" s="18"/>
      <c r="H9791" s="18"/>
      <c r="I9791" s="18"/>
      <c r="J9791" s="18"/>
      <c r="K9791" s="18"/>
      <c r="L9791" s="18"/>
      <c r="M9791" s="18"/>
      <c r="N9791" s="18"/>
      <c r="O9791" s="14" t="str">
        <f>HYPERLINK("https://otsuka-europe-crm.veevavault.com/ui/#object/email_activity__v/V8C00000003U694", "EN-002096214")</f>
        <v>EN-002096214</v>
      </c>
    </row>
    <row r="9792" spans="1:15" ht="16" x14ac:dyDescent="0.2">
      <c r="A9792" s="18"/>
      <c r="B9792" s="18"/>
      <c r="C9792" s="18"/>
      <c r="D9792" s="18"/>
      <c r="E9792" s="18"/>
      <c r="F9792" s="18"/>
      <c r="G9792" s="18"/>
      <c r="H9792" s="18"/>
      <c r="I9792" s="18"/>
      <c r="J9792" s="18"/>
      <c r="K9792" s="18"/>
      <c r="L9792" s="18"/>
      <c r="M9792" s="18"/>
      <c r="N9792" s="18"/>
      <c r="O9792" s="14" t="str">
        <f>HYPERLINK("https://otsuka-europe-crm.veevavault.com/ui/#object/email_activity__v/V8C00000003Z218", "EN-002099035")</f>
        <v>EN-002099035</v>
      </c>
    </row>
    <row r="9793" spans="1:15" ht="16" x14ac:dyDescent="0.2">
      <c r="A9793" s="18"/>
      <c r="B9793" s="18"/>
      <c r="C9793" s="18"/>
      <c r="D9793" s="18"/>
      <c r="E9793" s="18"/>
      <c r="F9793" s="18"/>
      <c r="G9793" s="18"/>
      <c r="H9793" s="18"/>
      <c r="I9793" s="18"/>
      <c r="J9793" s="18"/>
      <c r="K9793" s="18"/>
      <c r="L9793" s="18"/>
      <c r="M9793" s="18"/>
      <c r="N9793" s="18"/>
      <c r="O9793" s="14" t="str">
        <f>HYPERLINK("https://otsuka-europe-crm.veevavault.com/ui/#object/email_activity__v/V8C00000003Z219", "EN-002099037")</f>
        <v>EN-002099037</v>
      </c>
    </row>
    <row r="9794" spans="1:15" ht="16" x14ac:dyDescent="0.2">
      <c r="A9794" s="18"/>
      <c r="B9794" s="18"/>
      <c r="C9794" s="18"/>
      <c r="D9794" s="18"/>
      <c r="E9794" s="18"/>
      <c r="F9794" s="18"/>
      <c r="G9794" s="18"/>
      <c r="H9794" s="18"/>
      <c r="I9794" s="18"/>
      <c r="J9794" s="18"/>
      <c r="K9794" s="18"/>
      <c r="L9794" s="18"/>
      <c r="M9794" s="18"/>
      <c r="N9794" s="18"/>
      <c r="O9794" s="14" t="str">
        <f>HYPERLINK("https://otsuka-europe-crm.veevavault.com/ui/#object/email_activity__v/V8C00000003Z220", "EN-002099038")</f>
        <v>EN-002099038</v>
      </c>
    </row>
    <row r="9795" spans="1:15" ht="16" x14ac:dyDescent="0.2">
      <c r="A9795" s="18"/>
      <c r="B9795" s="18"/>
      <c r="C9795" s="18"/>
      <c r="D9795" s="18"/>
      <c r="E9795" s="18"/>
      <c r="F9795" s="18"/>
      <c r="G9795" s="18"/>
      <c r="H9795" s="18"/>
      <c r="I9795" s="18"/>
      <c r="J9795" s="18"/>
      <c r="K9795" s="18"/>
      <c r="L9795" s="18"/>
      <c r="M9795" s="18"/>
      <c r="N9795" s="18"/>
      <c r="O9795" s="14" t="str">
        <f>HYPERLINK("https://otsuka-europe-crm.veevavault.com/ui/#object/email_activity__v/V8C00000003Z221", "EN-002099039")</f>
        <v>EN-002099039</v>
      </c>
    </row>
    <row r="9796" spans="1:15" ht="16" x14ac:dyDescent="0.2">
      <c r="A9796" s="18"/>
      <c r="B9796" s="18"/>
      <c r="C9796" s="18"/>
      <c r="D9796" s="18"/>
      <c r="E9796" s="18"/>
      <c r="F9796" s="18"/>
      <c r="G9796" s="18"/>
      <c r="H9796" s="18"/>
      <c r="I9796" s="18"/>
      <c r="J9796" s="18"/>
      <c r="K9796" s="18"/>
      <c r="L9796" s="18"/>
      <c r="M9796" s="18"/>
      <c r="N9796" s="18"/>
      <c r="O9796" s="14" t="str">
        <f>HYPERLINK("https://otsuka-europe-crm.veevavault.com/ui/#object/email_activity__v/V8C00000003Z277", "EN-002099149")</f>
        <v>EN-002099149</v>
      </c>
    </row>
    <row r="9797" spans="1:15" ht="16" x14ac:dyDescent="0.2">
      <c r="A9797" s="18"/>
      <c r="B9797" s="18"/>
      <c r="C9797" s="18"/>
      <c r="D9797" s="18"/>
      <c r="E9797" s="18"/>
      <c r="F9797" s="18"/>
      <c r="G9797" s="18"/>
      <c r="H9797" s="18"/>
      <c r="I9797" s="18"/>
      <c r="J9797" s="18"/>
      <c r="K9797" s="18"/>
      <c r="L9797" s="18"/>
      <c r="M9797" s="18"/>
      <c r="N9797" s="18"/>
      <c r="O9797" s="14" t="str">
        <f>HYPERLINK("https://otsuka-europe-crm.veevavault.com/ui/#object/email_activity__v/V8C00000003Z404", "EN-002099478")</f>
        <v>EN-002099478</v>
      </c>
    </row>
    <row r="9798" spans="1:15" ht="16" x14ac:dyDescent="0.2">
      <c r="A9798" s="18"/>
      <c r="B9798" s="18"/>
      <c r="C9798" s="18"/>
      <c r="D9798" s="18"/>
      <c r="E9798" s="18"/>
      <c r="F9798" s="18"/>
      <c r="G9798" s="18"/>
      <c r="H9798" s="18"/>
      <c r="I9798" s="18"/>
      <c r="J9798" s="18"/>
      <c r="K9798" s="18"/>
      <c r="L9798" s="18"/>
      <c r="M9798" s="18"/>
      <c r="N9798" s="18"/>
      <c r="O9798" s="14" t="str">
        <f>HYPERLINK("https://otsuka-europe-crm.veevavault.com/ui/#object/email_activity__v/V8C000000040191", "EN-002099034")</f>
        <v>EN-002099034</v>
      </c>
    </row>
    <row r="9799" spans="1:15" ht="16" x14ac:dyDescent="0.2">
      <c r="A9799" s="18"/>
      <c r="B9799" s="18"/>
      <c r="C9799" s="18"/>
      <c r="D9799" s="18"/>
      <c r="E9799" s="18"/>
      <c r="F9799" s="18"/>
      <c r="G9799" s="18"/>
      <c r="H9799" s="18"/>
      <c r="I9799" s="18"/>
      <c r="J9799" s="18"/>
      <c r="K9799" s="18"/>
      <c r="L9799" s="18"/>
      <c r="M9799" s="18"/>
      <c r="N9799" s="18"/>
      <c r="O9799" s="14" t="str">
        <f>HYPERLINK("https://otsuka-europe-crm.veevavault.com/ui/#object/email_activity__v/V8C000000040192", "EN-002099036")</f>
        <v>EN-002099036</v>
      </c>
    </row>
    <row r="9800" spans="1:15" ht="16" x14ac:dyDescent="0.2">
      <c r="A9800" s="18"/>
      <c r="B9800" s="18"/>
      <c r="C9800" s="18"/>
      <c r="D9800" s="18"/>
      <c r="E9800" s="18"/>
      <c r="F9800" s="18"/>
      <c r="G9800" s="18"/>
      <c r="H9800" s="18"/>
      <c r="I9800" s="18"/>
      <c r="J9800" s="18"/>
      <c r="K9800" s="18"/>
      <c r="L9800" s="18"/>
      <c r="M9800" s="18"/>
      <c r="N9800" s="18"/>
      <c r="O9800" s="14" t="str">
        <f>HYPERLINK("https://otsuka-europe-crm.veevavault.com/ui/#object/email_activity__v/V8C000000040252", "EN-002099170")</f>
        <v>EN-002099170</v>
      </c>
    </row>
    <row r="9801" spans="1:15" ht="16" x14ac:dyDescent="0.2">
      <c r="A9801" s="18"/>
      <c r="B9801" s="18"/>
      <c r="C9801" s="18"/>
      <c r="D9801" s="18"/>
      <c r="E9801" s="18"/>
      <c r="F9801" s="18"/>
      <c r="G9801" s="18"/>
      <c r="H9801" s="18"/>
      <c r="I9801" s="18"/>
      <c r="J9801" s="18"/>
      <c r="K9801" s="18"/>
      <c r="L9801" s="18"/>
      <c r="M9801" s="18"/>
      <c r="N9801" s="18"/>
      <c r="O9801" s="14" t="str">
        <f>HYPERLINK("https://otsuka-europe-crm.veevavault.com/ui/#object/email_activity__v/V8C000000040424", "EN-002099435")</f>
        <v>EN-002099435</v>
      </c>
    </row>
    <row r="9802" spans="1:15" ht="16" x14ac:dyDescent="0.2">
      <c r="A9802" s="18"/>
      <c r="B9802" s="18"/>
      <c r="C9802" s="18"/>
      <c r="D9802" s="18"/>
      <c r="E9802" s="18"/>
      <c r="F9802" s="18"/>
      <c r="G9802" s="18"/>
      <c r="H9802" s="18"/>
      <c r="I9802" s="18"/>
      <c r="J9802" s="18"/>
      <c r="K9802" s="18"/>
      <c r="L9802" s="18"/>
      <c r="M9802" s="18"/>
      <c r="N9802" s="18"/>
      <c r="O9802" s="14" t="str">
        <f>HYPERLINK("https://otsuka-europe-crm.veevavault.com/ui/#object/email_activity__v/V8C000000040442", "EN-002099463")</f>
        <v>EN-002099463</v>
      </c>
    </row>
    <row r="9803" spans="1:15" ht="16" x14ac:dyDescent="0.2">
      <c r="A9803" s="19"/>
      <c r="B9803" s="19"/>
      <c r="C9803" s="19"/>
      <c r="D9803" s="19"/>
      <c r="E9803" s="19"/>
      <c r="F9803" s="19"/>
      <c r="G9803" s="19"/>
      <c r="H9803" s="19"/>
      <c r="I9803" s="19"/>
      <c r="J9803" s="19"/>
      <c r="K9803" s="19"/>
      <c r="L9803" s="19"/>
      <c r="M9803" s="19"/>
      <c r="N9803" s="19"/>
      <c r="O9803" s="14" t="str">
        <f>HYPERLINK("https://otsuka-europe-crm.veevavault.com/ui/#object/email_activity__v/V8C000000040444", "EN-002099465")</f>
        <v>EN-002099465</v>
      </c>
    </row>
    <row r="9804" spans="1:15" ht="32" x14ac:dyDescent="0.2">
      <c r="A9804" s="7" t="str">
        <f>HYPERLINK("https://otsuka-europe-crm.veevavault.com/ui/#object/account__v/V4TZ04ASGF6HGED", "Olayinka Adepoju")</f>
        <v>Olayinka Adepoju</v>
      </c>
      <c r="B9804" s="7" t="str">
        <f>HYPERLINK("https://otsuka-europe-crm.veevavault.com/ui/#object/vcountry__v/VENZ000004SONFK", "GB")</f>
        <v>GB</v>
      </c>
      <c r="C9804" s="8" t="s">
        <v>39</v>
      </c>
      <c r="D9804" s="9" t="str">
        <f>HYPERLINK("https://otsuka-europe-crm.veevavault.com/ui/#object/approved_document__v/V5O00000001H005", "LDM DR P2P Invite 23-Jun-26 [digital]")</f>
        <v>LDM DR P2P Invite 23-Jun-26 [digital]</v>
      </c>
      <c r="E9804" s="10" t="str">
        <f>HYPERLINK("https://otsuka-europe-crm.veevavault.com/ui/#object/sent_email__v/VBL00000002U277", "SE-001436092")</f>
        <v>SE-001436092</v>
      </c>
      <c r="F9804" s="11"/>
      <c r="G9804" s="12">
        <v>0</v>
      </c>
      <c r="H9804" s="12">
        <v>0</v>
      </c>
      <c r="I9804" s="12">
        <v>0</v>
      </c>
      <c r="J9804" s="11"/>
      <c r="K9804" s="12">
        <v>0</v>
      </c>
      <c r="L9804" s="10" t="str">
        <f>HYPERLINK("https://otsuka-europe-crm.veevavault.com/ui/#object/approved_document__v/V5O00000001H005", "LDM DR P2P Invite 23-Jun-26 [digital]")</f>
        <v>LDM DR P2P Invite 23-Jun-26 [digital]</v>
      </c>
      <c r="M9804" s="10" t="str">
        <f>HYPERLINK("mailto:ldimambro@crm.otsuka-europe.com", "ldimambro@crm.otsuka-europe.com")</f>
        <v>ldimambro@crm.otsuka-europe.com</v>
      </c>
      <c r="N9804" s="13">
        <v>46188.526747685188</v>
      </c>
      <c r="O9804" s="14" t="str">
        <f>HYPERLINK("https://otsuka-europe-crm.veevavault.com/ui/#object/email_activity__v/V8C00000003V675", "EN-002096107")</f>
        <v>EN-002096107</v>
      </c>
    </row>
    <row r="9805" spans="1:15" ht="16" x14ac:dyDescent="0.2">
      <c r="A9805" s="17" t="str">
        <f>HYPERLINK("https://otsuka-europe-crm.veevavault.com/ui/#object/account__v/V4TZ0000062PBXG", "Katharina Adu")</f>
        <v>Katharina Adu</v>
      </c>
      <c r="B9805" s="17" t="str">
        <f>HYPERLINK("https://otsuka-europe-crm.veevavault.com/ui/#object/vcountry__v/VENZ000004SONFK", "GB")</f>
        <v>GB</v>
      </c>
      <c r="C9805" s="20" t="s">
        <v>39</v>
      </c>
      <c r="D9805" s="21" t="str">
        <f>HYPERLINK("https://otsuka-europe-crm.veevavault.com/ui/#object/approved_document__v/V5O00000001H005", "LDM DR P2P Invite 23-Jun-26 [digital]")</f>
        <v>LDM DR P2P Invite 23-Jun-26 [digital]</v>
      </c>
      <c r="E9805" s="22" t="str">
        <f>HYPERLINK("https://otsuka-europe-crm.veevavault.com/ui/#object/sent_email__v/VBL00000002U278", "SE-001436093")</f>
        <v>SE-001436093</v>
      </c>
      <c r="F9805" s="25"/>
      <c r="G9805" s="24">
        <v>0</v>
      </c>
      <c r="H9805" s="24">
        <v>0</v>
      </c>
      <c r="I9805" s="24">
        <v>0</v>
      </c>
      <c r="J9805" s="25"/>
      <c r="K9805" s="24">
        <v>0</v>
      </c>
      <c r="L9805" s="22" t="str">
        <f>HYPERLINK("https://otsuka-europe-crm.veevavault.com/ui/#object/approved_document__v/V5O00000001H005", "LDM DR P2P Invite 23-Jun-26 [digital]")</f>
        <v>LDM DR P2P Invite 23-Jun-26 [digital]</v>
      </c>
      <c r="M9805" s="22" t="str">
        <f>HYPERLINK("mailto:ldimambro@crm.otsuka-europe.com", "ldimambro@crm.otsuka-europe.com")</f>
        <v>ldimambro@crm.otsuka-europe.com</v>
      </c>
      <c r="N9805" s="23">
        <v>46188.526724537034</v>
      </c>
      <c r="O9805" s="14" t="str">
        <f>HYPERLINK("https://otsuka-europe-crm.veevavault.com/ui/#object/email_activity__v/V8C00000003U618", "EN-002096106")</f>
        <v>EN-002096106</v>
      </c>
    </row>
    <row r="9806" spans="1:15" ht="16" x14ac:dyDescent="0.2">
      <c r="A9806" s="19"/>
      <c r="B9806" s="19"/>
      <c r="C9806" s="19"/>
      <c r="D9806" s="19"/>
      <c r="E9806" s="19"/>
      <c r="F9806" s="19"/>
      <c r="G9806" s="19"/>
      <c r="H9806" s="19"/>
      <c r="I9806" s="19"/>
      <c r="J9806" s="19"/>
      <c r="K9806" s="19"/>
      <c r="L9806" s="19"/>
      <c r="M9806" s="19"/>
      <c r="N9806" s="19"/>
      <c r="O9806" s="14" t="str">
        <f>HYPERLINK("https://otsuka-europe-crm.veevavault.com/ui/#object/email_activity__v/V8C00000003V883", "EN-002096478")</f>
        <v>EN-002096478</v>
      </c>
    </row>
    <row r="9807" spans="1:15" ht="32" x14ac:dyDescent="0.2">
      <c r="A9807" s="7" t="str">
        <f>HYPERLINK("https://otsuka-europe-crm.veevavault.com/ui/#object/account__v/V4TZ0000062PBXE", "Praneeth Dara")</f>
        <v>Praneeth Dara</v>
      </c>
      <c r="B9807" s="7" t="str">
        <f>HYPERLINK("https://otsuka-europe-crm.veevavault.com/ui/#object/vcountry__v/VENZ000004SONFK", "GB")</f>
        <v>GB</v>
      </c>
      <c r="C9807" s="8" t="s">
        <v>39</v>
      </c>
      <c r="D9807" s="9" t="str">
        <f>HYPERLINK("https://otsuka-europe-crm.veevavault.com/ui/#object/approved_document__v/V5O00000001H005", "LDM DR P2P Invite 23-Jun-26 [digital]")</f>
        <v>LDM DR P2P Invite 23-Jun-26 [digital]</v>
      </c>
      <c r="E9807" s="10" t="str">
        <f>HYPERLINK("https://otsuka-europe-crm.veevavault.com/ui/#object/sent_email__v/VBL00000002U279", "SE-001436094")</f>
        <v>SE-001436094</v>
      </c>
      <c r="F9807" s="11"/>
      <c r="G9807" s="12">
        <v>0</v>
      </c>
      <c r="H9807" s="12">
        <v>0</v>
      </c>
      <c r="I9807" s="12">
        <v>0</v>
      </c>
      <c r="J9807" s="11"/>
      <c r="K9807" s="12">
        <v>0</v>
      </c>
      <c r="L9807" s="10" t="str">
        <f>HYPERLINK("https://otsuka-europe-crm.veevavault.com/ui/#object/approved_document__v/V5O00000001H005", "LDM DR P2P Invite 23-Jun-26 [digital]")</f>
        <v>LDM DR P2P Invite 23-Jun-26 [digital]</v>
      </c>
      <c r="M9807" s="10" t="str">
        <f>HYPERLINK("mailto:ldimambro@crm.otsuka-europe.com", "ldimambro@crm.otsuka-europe.com")</f>
        <v>ldimambro@crm.otsuka-europe.com</v>
      </c>
      <c r="N9807" s="13">
        <v>46188.526724537034</v>
      </c>
      <c r="O9807" s="14" t="str">
        <f>HYPERLINK("https://otsuka-europe-crm.veevavault.com/ui/#object/email_activity__v/V8C00000003U625", "EN-002096120")</f>
        <v>EN-002096120</v>
      </c>
    </row>
    <row r="9808" spans="1:15" ht="32" x14ac:dyDescent="0.2">
      <c r="A9808" s="7" t="str">
        <f>HYPERLINK("https://otsuka-europe-crm.veevavault.com/ui/#object/account__v/V4TZ04ASG84P4IM", "Flavia Napoletano")</f>
        <v>Flavia Napoletano</v>
      </c>
      <c r="B9808" s="7" t="str">
        <f>HYPERLINK("https://otsuka-europe-crm.veevavault.com/ui/#object/vcountry__v/VENZ000004SONFK", "GB")</f>
        <v>GB</v>
      </c>
      <c r="C9808" s="8" t="s">
        <v>39</v>
      </c>
      <c r="D9808" s="9" t="str">
        <f>HYPERLINK("https://otsuka-europe-crm.veevavault.com/ui/#object/approved_document__v/V5O00000001H005", "LDM DR P2P Invite 23-Jun-26 [digital]")</f>
        <v>LDM DR P2P Invite 23-Jun-26 [digital]</v>
      </c>
      <c r="E9808" s="10" t="str">
        <f>HYPERLINK("https://otsuka-europe-crm.veevavault.com/ui/#object/sent_email__v/VBL00000002U280", "SE-001436095")</f>
        <v>SE-001436095</v>
      </c>
      <c r="F9808" s="11"/>
      <c r="G9808" s="12">
        <v>0</v>
      </c>
      <c r="H9808" s="12">
        <v>0</v>
      </c>
      <c r="I9808" s="12">
        <v>0</v>
      </c>
      <c r="J9808" s="11"/>
      <c r="K9808" s="12">
        <v>0</v>
      </c>
      <c r="L9808" s="10" t="str">
        <f>HYPERLINK("https://otsuka-europe-crm.veevavault.com/ui/#object/approved_document__v/V5O00000001H005", "LDM DR P2P Invite 23-Jun-26 [digital]")</f>
        <v>LDM DR P2P Invite 23-Jun-26 [digital]</v>
      </c>
      <c r="M9808" s="10" t="str">
        <f>HYPERLINK("mailto:ldimambro@crm.otsuka-europe.com", "ldimambro@crm.otsuka-europe.com")</f>
        <v>ldimambro@crm.otsuka-europe.com</v>
      </c>
      <c r="N9808" s="13">
        <v>46188.526770833334</v>
      </c>
      <c r="O9808" s="14" t="str">
        <f>HYPERLINK("https://otsuka-europe-crm.veevavault.com/ui/#object/email_activity__v/V8C00000003U620", "EN-002096115")</f>
        <v>EN-002096115</v>
      </c>
    </row>
    <row r="9809" spans="1:15" ht="32" x14ac:dyDescent="0.2">
      <c r="A9809" s="7" t="str">
        <f>HYPERLINK("https://otsuka-europe-crm.veevavault.com/ui/#object/account__v/V4TZ06G6OBU7LFE", "Philip Tarima")</f>
        <v>Philip Tarima</v>
      </c>
      <c r="B9809" s="7" t="str">
        <f>HYPERLINK("https://otsuka-europe-crm.veevavault.com/ui/#object/vcountry__v/VENZ000004SONFK", "GB")</f>
        <v>GB</v>
      </c>
      <c r="C9809" s="8" t="s">
        <v>39</v>
      </c>
      <c r="D9809" s="9" t="str">
        <f>HYPERLINK("https://otsuka-europe-crm.veevavault.com/ui/#object/approved_document__v/V5O00000001H005", "LDM DR P2P Invite 23-Jun-26 [digital]")</f>
        <v>LDM DR P2P Invite 23-Jun-26 [digital]</v>
      </c>
      <c r="E9809" s="10" t="str">
        <f>HYPERLINK("https://otsuka-europe-crm.veevavault.com/ui/#object/sent_email__v/VBL00000002U281", "SE-001436096")</f>
        <v>SE-001436096</v>
      </c>
      <c r="F9809" s="11"/>
      <c r="G9809" s="12">
        <v>0</v>
      </c>
      <c r="H9809" s="12">
        <v>0</v>
      </c>
      <c r="I9809" s="12">
        <v>0</v>
      </c>
      <c r="J9809" s="11"/>
      <c r="K9809" s="12">
        <v>0</v>
      </c>
      <c r="L9809" s="10" t="str">
        <f>HYPERLINK("https://otsuka-europe-crm.veevavault.com/ui/#object/approved_document__v/V5O00000001H005", "LDM DR P2P Invite 23-Jun-26 [digital]")</f>
        <v>LDM DR P2P Invite 23-Jun-26 [digital]</v>
      </c>
      <c r="M9809" s="10" t="str">
        <f>HYPERLINK("mailto:ldimambro@crm.otsuka-europe.com", "ldimambro@crm.otsuka-europe.com")</f>
        <v>ldimambro@crm.otsuka-europe.com</v>
      </c>
      <c r="N9809" s="13">
        <v>46188.526724537034</v>
      </c>
      <c r="O9809" s="14" t="str">
        <f>HYPERLINK("https://otsuka-europe-crm.veevavault.com/ui/#object/email_activity__v/V8C00000003U621", "EN-002096116")</f>
        <v>EN-002096116</v>
      </c>
    </row>
    <row r="9810" spans="1:15" ht="16" x14ac:dyDescent="0.2">
      <c r="A9810" s="17" t="str">
        <f>HYPERLINK("https://otsuka-europe-crm.veevavault.com/ui/#object/account__v/V4TZ06G6OBS5KEL", "Raj Bangaroo")</f>
        <v>Raj Bangaroo</v>
      </c>
      <c r="B9810" s="17" t="str">
        <f>HYPERLINK("https://otsuka-europe-crm.veevavault.com/ui/#object/vcountry__v/VENZ000004SONFK", "GB")</f>
        <v>GB</v>
      </c>
      <c r="C9810" s="20" t="s">
        <v>39</v>
      </c>
      <c r="D9810" s="21" t="str">
        <f>HYPERLINK("https://otsuka-europe-crm.veevavault.com/ui/#object/approved_document__v/V5O00000001H005", "LDM DR P2P Invite 23-Jun-26 [digital]")</f>
        <v>LDM DR P2P Invite 23-Jun-26 [digital]</v>
      </c>
      <c r="E9810" s="22" t="str">
        <f>HYPERLINK("https://otsuka-europe-crm.veevavault.com/ui/#object/sent_email__v/VBL00000002U282", "SE-001436097")</f>
        <v>SE-001436097</v>
      </c>
      <c r="F9810" s="23">
        <v>46188.546435185184</v>
      </c>
      <c r="G9810" s="24">
        <v>1</v>
      </c>
      <c r="H9810" s="24">
        <v>1</v>
      </c>
      <c r="I9810" s="24">
        <v>0</v>
      </c>
      <c r="J9810" s="25"/>
      <c r="K9810" s="24">
        <v>0</v>
      </c>
      <c r="L9810" s="22" t="str">
        <f>HYPERLINK("https://otsuka-europe-crm.veevavault.com/ui/#object/approved_document__v/V5O00000001H005", "LDM DR P2P Invite 23-Jun-26 [digital]")</f>
        <v>LDM DR P2P Invite 23-Jun-26 [digital]</v>
      </c>
      <c r="M9810" s="22" t="str">
        <f>HYPERLINK("mailto:ldimambro@crm.otsuka-europe.com", "ldimambro@crm.otsuka-europe.com")</f>
        <v>ldimambro@crm.otsuka-europe.com</v>
      </c>
      <c r="N9810" s="23">
        <v>46188.526724537034</v>
      </c>
      <c r="O9810" s="14" t="str">
        <f>HYPERLINK("https://otsuka-europe-crm.veevavault.com/ui/#object/email_activity__v/V8C00000003U613", "EN-002096101")</f>
        <v>EN-002096101</v>
      </c>
    </row>
    <row r="9811" spans="1:15" ht="16" x14ac:dyDescent="0.2">
      <c r="A9811" s="19"/>
      <c r="B9811" s="19"/>
      <c r="C9811" s="19"/>
      <c r="D9811" s="19"/>
      <c r="E9811" s="19"/>
      <c r="F9811" s="19"/>
      <c r="G9811" s="19"/>
      <c r="H9811" s="19"/>
      <c r="I9811" s="19"/>
      <c r="J9811" s="19"/>
      <c r="K9811" s="19"/>
      <c r="L9811" s="19"/>
      <c r="M9811" s="19"/>
      <c r="N9811" s="19"/>
      <c r="O9811" s="14" t="str">
        <f>HYPERLINK("https://otsuka-europe-crm.veevavault.com/ui/#object/email_activity__v/V8C00000003V699", "EN-002096202")</f>
        <v>EN-002096202</v>
      </c>
    </row>
    <row r="9812" spans="1:15" ht="32" x14ac:dyDescent="0.2">
      <c r="A9812" s="7" t="str">
        <f>HYPERLINK("https://otsuka-europe-crm.veevavault.com/ui/#object/account__v/V4TZ0000062PCT3", "Kenneth Anakwue")</f>
        <v>Kenneth Anakwue</v>
      </c>
      <c r="B9812" s="7" t="str">
        <f>HYPERLINK("https://otsuka-europe-crm.veevavault.com/ui/#object/vcountry__v/VENZ000004SONFK", "GB")</f>
        <v>GB</v>
      </c>
      <c r="C9812" s="8" t="s">
        <v>39</v>
      </c>
      <c r="D9812" s="9" t="str">
        <f>HYPERLINK("https://otsuka-europe-crm.veevavault.com/ui/#object/approved_document__v/V5O00000001H005", "LDM DR P2P Invite 23-Jun-26 [digital]")</f>
        <v>LDM DR P2P Invite 23-Jun-26 [digital]</v>
      </c>
      <c r="E9812" s="10" t="str">
        <f>HYPERLINK("https://otsuka-europe-crm.veevavault.com/ui/#object/sent_email__v/VBL00000002U283", "SE-001436098")</f>
        <v>SE-001436098</v>
      </c>
      <c r="F9812" s="11"/>
      <c r="G9812" s="12">
        <v>0</v>
      </c>
      <c r="H9812" s="12">
        <v>0</v>
      </c>
      <c r="I9812" s="12">
        <v>0</v>
      </c>
      <c r="J9812" s="11"/>
      <c r="K9812" s="12">
        <v>0</v>
      </c>
      <c r="L9812" s="10" t="str">
        <f>HYPERLINK("https://otsuka-europe-crm.veevavault.com/ui/#object/approved_document__v/V5O00000001H005", "LDM DR P2P Invite 23-Jun-26 [digital]")</f>
        <v>LDM DR P2P Invite 23-Jun-26 [digital]</v>
      </c>
      <c r="M9812" s="10" t="str">
        <f>HYPERLINK("mailto:ldimambro@crm.otsuka-europe.com", "ldimambro@crm.otsuka-europe.com")</f>
        <v>ldimambro@crm.otsuka-europe.com</v>
      </c>
      <c r="N9812" s="13">
        <v>46188.526724537034</v>
      </c>
      <c r="O9812" s="14" t="str">
        <f>HYPERLINK("https://otsuka-europe-crm.veevavault.com/ui/#object/email_activity__v/V8C00000003U611", "EN-002096088")</f>
        <v>EN-002096088</v>
      </c>
    </row>
    <row r="9813" spans="1:15" ht="16" x14ac:dyDescent="0.2">
      <c r="A9813" s="17" t="str">
        <f>HYPERLINK("https://otsuka-europe-crm.veevavault.com/ui/#object/account__v/V4TZ0000062PAX8", "Najam Chaudry")</f>
        <v>Najam Chaudry</v>
      </c>
      <c r="B9813" s="17" t="str">
        <f>HYPERLINK("https://otsuka-europe-crm.veevavault.com/ui/#object/vcountry__v/VENZ000004SONFK", "GB")</f>
        <v>GB</v>
      </c>
      <c r="C9813" s="20" t="s">
        <v>39</v>
      </c>
      <c r="D9813" s="21" t="str">
        <f>HYPERLINK("https://otsuka-europe-crm.veevavault.com/ui/#object/approved_document__v/V5O00000001H005", "LDM DR P2P Invite 23-Jun-26 [digital]")</f>
        <v>LDM DR P2P Invite 23-Jun-26 [digital]</v>
      </c>
      <c r="E9813" s="22" t="str">
        <f>HYPERLINK("https://otsuka-europe-crm.veevavault.com/ui/#object/sent_email__v/VBL00000002U284", "SE-001436099")</f>
        <v>SE-001436099</v>
      </c>
      <c r="F9813" s="23">
        <v>46196.660891203705</v>
      </c>
      <c r="G9813" s="24">
        <v>1</v>
      </c>
      <c r="H9813" s="24">
        <v>5</v>
      </c>
      <c r="I9813" s="24">
        <v>0</v>
      </c>
      <c r="J9813" s="25"/>
      <c r="K9813" s="24">
        <v>0</v>
      </c>
      <c r="L9813" s="22" t="str">
        <f>HYPERLINK("https://otsuka-europe-crm.veevavault.com/ui/#object/approved_document__v/V5O00000001H005", "LDM DR P2P Invite 23-Jun-26 [digital]")</f>
        <v>LDM DR P2P Invite 23-Jun-26 [digital]</v>
      </c>
      <c r="M9813" s="22" t="str">
        <f>HYPERLINK("mailto:ldimambro@crm.otsuka-europe.com", "ldimambro@crm.otsuka-europe.com")</f>
        <v>ldimambro@crm.otsuka-europe.com</v>
      </c>
      <c r="N9813" s="23">
        <v>46188.526724537034</v>
      </c>
      <c r="O9813" s="14" t="str">
        <f>HYPERLINK("https://otsuka-europe-crm.veevavault.com/ui/#object/email_activity__v/V8C00000003U677", "EN-002096182")</f>
        <v>EN-002096182</v>
      </c>
    </row>
    <row r="9814" spans="1:15" ht="16" x14ac:dyDescent="0.2">
      <c r="A9814" s="18"/>
      <c r="B9814" s="18"/>
      <c r="C9814" s="18"/>
      <c r="D9814" s="18"/>
      <c r="E9814" s="18"/>
      <c r="F9814" s="18"/>
      <c r="G9814" s="18"/>
      <c r="H9814" s="18"/>
      <c r="I9814" s="18"/>
      <c r="J9814" s="18"/>
      <c r="K9814" s="18"/>
      <c r="L9814" s="18"/>
      <c r="M9814" s="18"/>
      <c r="N9814" s="18"/>
      <c r="O9814" s="14" t="str">
        <f>HYPERLINK("https://otsuka-europe-crm.veevavault.com/ui/#object/email_activity__v/V8C00000003U681", "EN-002096188")</f>
        <v>EN-002096188</v>
      </c>
    </row>
    <row r="9815" spans="1:15" ht="16" x14ac:dyDescent="0.2">
      <c r="A9815" s="18"/>
      <c r="B9815" s="18"/>
      <c r="C9815" s="18"/>
      <c r="D9815" s="18"/>
      <c r="E9815" s="18"/>
      <c r="F9815" s="18"/>
      <c r="G9815" s="18"/>
      <c r="H9815" s="18"/>
      <c r="I9815" s="18"/>
      <c r="J9815" s="18"/>
      <c r="K9815" s="18"/>
      <c r="L9815" s="18"/>
      <c r="M9815" s="18"/>
      <c r="N9815" s="18"/>
      <c r="O9815" s="14" t="str">
        <f>HYPERLINK("https://otsuka-europe-crm.veevavault.com/ui/#object/email_activity__v/V8C00000003U685", "EN-002096192")</f>
        <v>EN-002096192</v>
      </c>
    </row>
    <row r="9816" spans="1:15" ht="16" x14ac:dyDescent="0.2">
      <c r="A9816" s="18"/>
      <c r="B9816" s="18"/>
      <c r="C9816" s="18"/>
      <c r="D9816" s="18"/>
      <c r="E9816" s="18"/>
      <c r="F9816" s="18"/>
      <c r="G9816" s="18"/>
      <c r="H9816" s="18"/>
      <c r="I9816" s="18"/>
      <c r="J9816" s="18"/>
      <c r="K9816" s="18"/>
      <c r="L9816" s="18"/>
      <c r="M9816" s="18"/>
      <c r="N9816" s="18"/>
      <c r="O9816" s="14" t="str">
        <f>HYPERLINK("https://otsuka-europe-crm.veevavault.com/ui/#object/email_activity__v/V8C00000003V667", "EN-002096092")</f>
        <v>EN-002096092</v>
      </c>
    </row>
    <row r="9817" spans="1:15" ht="16" x14ac:dyDescent="0.2">
      <c r="A9817" s="18"/>
      <c r="B9817" s="18"/>
      <c r="C9817" s="18"/>
      <c r="D9817" s="18"/>
      <c r="E9817" s="18"/>
      <c r="F9817" s="18"/>
      <c r="G9817" s="18"/>
      <c r="H9817" s="18"/>
      <c r="I9817" s="18"/>
      <c r="J9817" s="18"/>
      <c r="K9817" s="18"/>
      <c r="L9817" s="18"/>
      <c r="M9817" s="18"/>
      <c r="N9817" s="18"/>
      <c r="O9817" s="14" t="str">
        <f>HYPERLINK("https://otsuka-europe-crm.veevavault.com/ui/#object/email_activity__v/V8C00000003V696", "EN-002096197")</f>
        <v>EN-002096197</v>
      </c>
    </row>
    <row r="9818" spans="1:15" ht="16" x14ac:dyDescent="0.2">
      <c r="A9818" s="19"/>
      <c r="B9818" s="19"/>
      <c r="C9818" s="19"/>
      <c r="D9818" s="19"/>
      <c r="E9818" s="19"/>
      <c r="F9818" s="19"/>
      <c r="G9818" s="19"/>
      <c r="H9818" s="19"/>
      <c r="I9818" s="19"/>
      <c r="J9818" s="19"/>
      <c r="K9818" s="19"/>
      <c r="L9818" s="19"/>
      <c r="M9818" s="19"/>
      <c r="N9818" s="19"/>
      <c r="O9818" s="14" t="str">
        <f>HYPERLINK("https://otsuka-europe-crm.veevavault.com/ui/#object/email_activity__v/V8C00000003Z385", "EN-002099434")</f>
        <v>EN-002099434</v>
      </c>
    </row>
    <row r="9819" spans="1:15" ht="32" x14ac:dyDescent="0.2">
      <c r="A9819" s="7" t="str">
        <f>HYPERLINK("https://otsuka-europe-crm.veevavault.com/ui/#object/account__v/V4TZ06G6OBUDI23", "Prashant Misra")</f>
        <v>Prashant Misra</v>
      </c>
      <c r="B9819" s="7" t="str">
        <f>HYPERLINK("https://otsuka-europe-crm.veevavault.com/ui/#object/vcountry__v/VENZ000004SONFK", "GB")</f>
        <v>GB</v>
      </c>
      <c r="C9819" s="8" t="s">
        <v>39</v>
      </c>
      <c r="D9819" s="9" t="str">
        <f>HYPERLINK("https://otsuka-europe-crm.veevavault.com/ui/#object/approved_document__v/V5O00000001H005", "LDM DR P2P Invite 23-Jun-26 [digital]")</f>
        <v>LDM DR P2P Invite 23-Jun-26 [digital]</v>
      </c>
      <c r="E9819" s="10" t="str">
        <f>HYPERLINK("https://otsuka-europe-crm.veevavault.com/ui/#object/sent_email__v/VBL00000002U285", "SE-001436100")</f>
        <v>SE-001436100</v>
      </c>
      <c r="F9819" s="11"/>
      <c r="G9819" s="12">
        <v>0</v>
      </c>
      <c r="H9819" s="12">
        <v>0</v>
      </c>
      <c r="I9819" s="12">
        <v>0</v>
      </c>
      <c r="J9819" s="11"/>
      <c r="K9819" s="12">
        <v>0</v>
      </c>
      <c r="L9819" s="10" t="str">
        <f>HYPERLINK("https://otsuka-europe-crm.veevavault.com/ui/#object/approved_document__v/V5O00000001H005", "LDM DR P2P Invite 23-Jun-26 [digital]")</f>
        <v>LDM DR P2P Invite 23-Jun-26 [digital]</v>
      </c>
      <c r="M9819" s="10" t="str">
        <f>HYPERLINK("mailto:ldimambro@crm.otsuka-europe.com", "ldimambro@crm.otsuka-europe.com")</f>
        <v>ldimambro@crm.otsuka-europe.com</v>
      </c>
      <c r="N9819" s="13">
        <v>46188.526759259257</v>
      </c>
      <c r="O9819" s="14" t="str">
        <f>HYPERLINK("https://otsuka-europe-crm.veevavault.com/ui/#object/email_activity__v/V8C00000003U619", "EN-002096114")</f>
        <v>EN-002096114</v>
      </c>
    </row>
    <row r="9820" spans="1:15" ht="32" x14ac:dyDescent="0.2">
      <c r="A9820" s="7" t="str">
        <f>HYPERLINK("https://otsuka-europe-crm.veevavault.com/ui/#object/account__v/V4TZ0000062PB51", "Lesya Lavrenchuk")</f>
        <v>Lesya Lavrenchuk</v>
      </c>
      <c r="B9820" s="7" t="str">
        <f>HYPERLINK("https://otsuka-europe-crm.veevavault.com/ui/#object/vcountry__v/VENZ000004SONFK", "GB")</f>
        <v>GB</v>
      </c>
      <c r="C9820" s="8" t="s">
        <v>39</v>
      </c>
      <c r="D9820" s="9" t="str">
        <f>HYPERLINK("https://otsuka-europe-crm.veevavault.com/ui/#object/approved_document__v/V5O00000001H005", "LDM DR P2P Invite 23-Jun-26 [digital]")</f>
        <v>LDM DR P2P Invite 23-Jun-26 [digital]</v>
      </c>
      <c r="E9820" s="10" t="str">
        <f>HYPERLINK("https://otsuka-europe-crm.veevavault.com/ui/#object/sent_email__v/VBL00000002U286", "SE-001436101")</f>
        <v>SE-001436101</v>
      </c>
      <c r="F9820" s="11"/>
      <c r="G9820" s="12">
        <v>0</v>
      </c>
      <c r="H9820" s="12">
        <v>0</v>
      </c>
      <c r="I9820" s="12">
        <v>0</v>
      </c>
      <c r="J9820" s="11"/>
      <c r="K9820" s="12">
        <v>0</v>
      </c>
      <c r="L9820" s="10" t="str">
        <f>HYPERLINK("https://otsuka-europe-crm.veevavault.com/ui/#object/approved_document__v/V5O00000001H005", "LDM DR P2P Invite 23-Jun-26 [digital]")</f>
        <v>LDM DR P2P Invite 23-Jun-26 [digital]</v>
      </c>
      <c r="M9820" s="10" t="str">
        <f>HYPERLINK("mailto:ldimambro@crm.otsuka-europe.com", "ldimambro@crm.otsuka-europe.com")</f>
        <v>ldimambro@crm.otsuka-europe.com</v>
      </c>
      <c r="N9820" s="13">
        <v>46188.526747685188</v>
      </c>
      <c r="O9820" s="14" t="str">
        <f>HYPERLINK("https://otsuka-europe-crm.veevavault.com/ui/#object/email_activity__v/V8C00000003V668", "EN-002096093")</f>
        <v>EN-002096093</v>
      </c>
    </row>
    <row r="9821" spans="1:15" ht="32" x14ac:dyDescent="0.2">
      <c r="A9821" s="7" t="str">
        <f>HYPERLINK("https://otsuka-europe-crm.veevavault.com/ui/#object/account__v/V4TZ0000062PM2B", "Olusina Olubowale")</f>
        <v>Olusina Olubowale</v>
      </c>
      <c r="B9821" s="7" t="str">
        <f>HYPERLINK("https://otsuka-europe-crm.veevavault.com/ui/#object/vcountry__v/VENZ000004SONFK", "GB")</f>
        <v>GB</v>
      </c>
      <c r="C9821" s="8" t="s">
        <v>39</v>
      </c>
      <c r="D9821" s="9" t="str">
        <f>HYPERLINK("https://otsuka-europe-crm.veevavault.com/ui/#object/approved_document__v/V5O00000001H005", "LDM DR P2P Invite 23-Jun-26 [digital]")</f>
        <v>LDM DR P2P Invite 23-Jun-26 [digital]</v>
      </c>
      <c r="E9821" s="10" t="str">
        <f>HYPERLINK("https://otsuka-europe-crm.veevavault.com/ui/#object/sent_email__v/VBL00000002U287", "SE-001436102")</f>
        <v>SE-001436102</v>
      </c>
      <c r="F9821" s="11"/>
      <c r="G9821" s="12">
        <v>0</v>
      </c>
      <c r="H9821" s="12">
        <v>0</v>
      </c>
      <c r="I9821" s="12">
        <v>0</v>
      </c>
      <c r="J9821" s="11"/>
      <c r="K9821" s="12">
        <v>0</v>
      </c>
      <c r="L9821" s="10" t="str">
        <f>HYPERLINK("https://otsuka-europe-crm.veevavault.com/ui/#object/approved_document__v/V5O00000001H005", "LDM DR P2P Invite 23-Jun-26 [digital]")</f>
        <v>LDM DR P2P Invite 23-Jun-26 [digital]</v>
      </c>
      <c r="M9821" s="10" t="str">
        <f>HYPERLINK("mailto:ldimambro@crm.otsuka-europe.com", "ldimambro@crm.otsuka-europe.com")</f>
        <v>ldimambro@crm.otsuka-europe.com</v>
      </c>
      <c r="N9821" s="13">
        <v>46188.526782407411</v>
      </c>
      <c r="O9821" s="14" t="str">
        <f>HYPERLINK("https://otsuka-europe-crm.veevavault.com/ui/#object/email_activity__v/V8C00000003U624", "EN-002096119")</f>
        <v>EN-002096119</v>
      </c>
    </row>
    <row r="9822" spans="1:15" ht="32" x14ac:dyDescent="0.2">
      <c r="A9822" s="7" t="str">
        <f>HYPERLINK("https://otsuka-europe-crm.veevavault.com/ui/#object/account__v/V4TZ0000062PNHS", "Juliana Darkwah")</f>
        <v>Juliana Darkwah</v>
      </c>
      <c r="B9822" s="7" t="str">
        <f>HYPERLINK("https://otsuka-europe-crm.veevavault.com/ui/#object/vcountry__v/VENZ000004SONFK", "GB")</f>
        <v>GB</v>
      </c>
      <c r="C9822" s="8" t="s">
        <v>39</v>
      </c>
      <c r="D9822" s="9" t="str">
        <f>HYPERLINK("https://otsuka-europe-crm.veevavault.com/ui/#object/approved_document__v/V5O00000001H005", "LDM DR P2P Invite 23-Jun-26 [digital]")</f>
        <v>LDM DR P2P Invite 23-Jun-26 [digital]</v>
      </c>
      <c r="E9822" s="10" t="str">
        <f>HYPERLINK("https://otsuka-europe-crm.veevavault.com/ui/#object/sent_email__v/VBL00000002U288", "SE-001436103")</f>
        <v>SE-001436103</v>
      </c>
      <c r="F9822" s="11"/>
      <c r="G9822" s="12">
        <v>0</v>
      </c>
      <c r="H9822" s="12">
        <v>0</v>
      </c>
      <c r="I9822" s="12">
        <v>0</v>
      </c>
      <c r="J9822" s="11"/>
      <c r="K9822" s="12">
        <v>0</v>
      </c>
      <c r="L9822" s="10" t="str">
        <f>HYPERLINK("https://otsuka-europe-crm.veevavault.com/ui/#object/approved_document__v/V5O00000001H005", "LDM DR P2P Invite 23-Jun-26 [digital]")</f>
        <v>LDM DR P2P Invite 23-Jun-26 [digital]</v>
      </c>
      <c r="M9822" s="10" t="str">
        <f>HYPERLINK("mailto:ldimambro@crm.otsuka-europe.com", "ldimambro@crm.otsuka-europe.com")</f>
        <v>ldimambro@crm.otsuka-europe.com</v>
      </c>
      <c r="N9822" s="13">
        <v>46188.526747685188</v>
      </c>
      <c r="O9822" s="14" t="str">
        <f>HYPERLINK("https://otsuka-europe-crm.veevavault.com/ui/#object/email_activity__v/V8C00000003V681", "EN-002096113")</f>
        <v>EN-002096113</v>
      </c>
    </row>
    <row r="9823" spans="1:15" ht="16" x14ac:dyDescent="0.2">
      <c r="A9823" s="17" t="str">
        <f>HYPERLINK("https://otsuka-europe-crm.veevavault.com/ui/#object/account__v/V4TZ0000062PIG6", "Pranveer Singh")</f>
        <v>Pranveer Singh</v>
      </c>
      <c r="B9823" s="17" t="str">
        <f>HYPERLINK("https://otsuka-europe-crm.veevavault.com/ui/#object/vcountry__v/VENZ000004SONFK", "GB")</f>
        <v>GB</v>
      </c>
      <c r="C9823" s="20" t="s">
        <v>39</v>
      </c>
      <c r="D9823" s="21" t="str">
        <f>HYPERLINK("https://otsuka-europe-crm.veevavault.com/ui/#object/approved_document__v/V5O00000001H005", "LDM DR P2P Invite 23-Jun-26 [digital]")</f>
        <v>LDM DR P2P Invite 23-Jun-26 [digital]</v>
      </c>
      <c r="E9823" s="22" t="str">
        <f>HYPERLINK("https://otsuka-europe-crm.veevavault.com/ui/#object/sent_email__v/VBL00000002U289", "SE-001436104")</f>
        <v>SE-001436104</v>
      </c>
      <c r="F9823" s="25"/>
      <c r="G9823" s="24">
        <v>0</v>
      </c>
      <c r="H9823" s="24">
        <v>0</v>
      </c>
      <c r="I9823" s="24">
        <v>0</v>
      </c>
      <c r="J9823" s="25"/>
      <c r="K9823" s="24">
        <v>0</v>
      </c>
      <c r="L9823" s="22" t="str">
        <f>HYPERLINK("https://otsuka-europe-crm.veevavault.com/ui/#object/approved_document__v/V5O00000001H005", "LDM DR P2P Invite 23-Jun-26 [digital]")</f>
        <v>LDM DR P2P Invite 23-Jun-26 [digital]</v>
      </c>
      <c r="M9823" s="22" t="str">
        <f>HYPERLINK("mailto:ldimambro@crm.otsuka-europe.com", "ldimambro@crm.otsuka-europe.com")</f>
        <v>ldimambro@crm.otsuka-europe.com</v>
      </c>
      <c r="N9823" s="23">
        <v>46188.526747685188</v>
      </c>
      <c r="O9823" s="14" t="str">
        <f>HYPERLINK("https://otsuka-europe-crm.veevavault.com/ui/#object/email_activity__v/V8C00000003V671", "EN-002096096")</f>
        <v>EN-002096096</v>
      </c>
    </row>
    <row r="9824" spans="1:15" ht="16" x14ac:dyDescent="0.2">
      <c r="A9824" s="19"/>
      <c r="B9824" s="19"/>
      <c r="C9824" s="19"/>
      <c r="D9824" s="19"/>
      <c r="E9824" s="19"/>
      <c r="F9824" s="19"/>
      <c r="G9824" s="19"/>
      <c r="H9824" s="19"/>
      <c r="I9824" s="19"/>
      <c r="J9824" s="19"/>
      <c r="K9824" s="19"/>
      <c r="L9824" s="19"/>
      <c r="M9824" s="19"/>
      <c r="N9824" s="19"/>
      <c r="O9824" s="14" t="str">
        <f>HYPERLINK("https://otsuka-europe-crm.veevavault.com/ui/#object/email_activity__v/V8C00000003X915", "EN-002098455")</f>
        <v>EN-002098455</v>
      </c>
    </row>
    <row r="9825" spans="1:15" ht="16" x14ac:dyDescent="0.2">
      <c r="A9825" s="17" t="str">
        <f>HYPERLINK("https://otsuka-europe-crm.veevavault.com/ui/#object/account__v/V4TZ04ASG79ZOD4", "Oliver Osei Appiah")</f>
        <v>Oliver Osei Appiah</v>
      </c>
      <c r="B9825" s="17" t="str">
        <f>HYPERLINK("https://otsuka-europe-crm.veevavault.com/ui/#object/vcountry__v/VENZ000004SONFK", "GB")</f>
        <v>GB</v>
      </c>
      <c r="C9825" s="20" t="s">
        <v>39</v>
      </c>
      <c r="D9825" s="21" t="str">
        <f>HYPERLINK("https://otsuka-europe-crm.veevavault.com/ui/#object/approved_document__v/V5O00000001H005", "LDM DR P2P Invite 23-Jun-26 [digital]")</f>
        <v>LDM DR P2P Invite 23-Jun-26 [digital]</v>
      </c>
      <c r="E9825" s="22" t="str">
        <f>HYPERLINK("https://otsuka-europe-crm.veevavault.com/ui/#object/sent_email__v/VBL00000002U290", "SE-001436105")</f>
        <v>SE-001436105</v>
      </c>
      <c r="F9825" s="23">
        <v>46188.623310185183</v>
      </c>
      <c r="G9825" s="24">
        <v>1</v>
      </c>
      <c r="H9825" s="24">
        <v>2</v>
      </c>
      <c r="I9825" s="24">
        <v>0</v>
      </c>
      <c r="J9825" s="25"/>
      <c r="K9825" s="24">
        <v>0</v>
      </c>
      <c r="L9825" s="22" t="str">
        <f>HYPERLINK("https://otsuka-europe-crm.veevavault.com/ui/#object/approved_document__v/V5O00000001H005", "LDM DR P2P Invite 23-Jun-26 [digital]")</f>
        <v>LDM DR P2P Invite 23-Jun-26 [digital]</v>
      </c>
      <c r="M9825" s="22" t="str">
        <f>HYPERLINK("mailto:ldimambro@crm.otsuka-europe.com", "ldimambro@crm.otsuka-europe.com")</f>
        <v>ldimambro@crm.otsuka-europe.com</v>
      </c>
      <c r="N9825" s="23">
        <v>46188.526747685188</v>
      </c>
      <c r="O9825" s="14" t="str">
        <f>HYPERLINK("https://otsuka-europe-crm.veevavault.com/ui/#object/email_activity__v/V8C00000003V661", "EN-002096085")</f>
        <v>EN-002096085</v>
      </c>
    </row>
    <row r="9826" spans="1:15" ht="16" x14ac:dyDescent="0.2">
      <c r="A9826" s="18"/>
      <c r="B9826" s="18"/>
      <c r="C9826" s="18"/>
      <c r="D9826" s="18"/>
      <c r="E9826" s="18"/>
      <c r="F9826" s="18"/>
      <c r="G9826" s="18"/>
      <c r="H9826" s="18"/>
      <c r="I9826" s="18"/>
      <c r="J9826" s="18"/>
      <c r="K9826" s="18"/>
      <c r="L9826" s="18"/>
      <c r="M9826" s="18"/>
      <c r="N9826" s="18"/>
      <c r="O9826" s="14" t="str">
        <f>HYPERLINK("https://otsuka-europe-crm.veevavault.com/ui/#object/email_activity__v/V8C00000003V838", "EN-002096408")</f>
        <v>EN-002096408</v>
      </c>
    </row>
    <row r="9827" spans="1:15" ht="16" x14ac:dyDescent="0.2">
      <c r="A9827" s="19"/>
      <c r="B9827" s="19"/>
      <c r="C9827" s="19"/>
      <c r="D9827" s="19"/>
      <c r="E9827" s="19"/>
      <c r="F9827" s="19"/>
      <c r="G9827" s="19"/>
      <c r="H9827" s="19"/>
      <c r="I9827" s="19"/>
      <c r="J9827" s="19"/>
      <c r="K9827" s="19"/>
      <c r="L9827" s="19"/>
      <c r="M9827" s="19"/>
      <c r="N9827" s="19"/>
      <c r="O9827" s="14" t="str">
        <f>HYPERLINK("https://otsuka-europe-crm.veevavault.com/ui/#object/email_activity__v/V8C00000003V839", "EN-002096409")</f>
        <v>EN-002096409</v>
      </c>
    </row>
    <row r="9828" spans="1:15" ht="16" x14ac:dyDescent="0.2">
      <c r="A9828" s="17" t="str">
        <f>HYPERLINK("https://otsuka-europe-crm.veevavault.com/ui/#object/account__v/V4TZ0000062PCG3", "Jude-Malachy Ezeonwuka")</f>
        <v>Jude-Malachy Ezeonwuka</v>
      </c>
      <c r="B9828" s="17" t="str">
        <f>HYPERLINK("https://otsuka-europe-crm.veevavault.com/ui/#object/vcountry__v/VENZ000004SONFK", "GB")</f>
        <v>GB</v>
      </c>
      <c r="C9828" s="20" t="s">
        <v>39</v>
      </c>
      <c r="D9828" s="21" t="str">
        <f>HYPERLINK("https://otsuka-europe-crm.veevavault.com/ui/#object/approved_document__v/V5O00000001H005", "LDM DR P2P Invite 23-Jun-26 [digital]")</f>
        <v>LDM DR P2P Invite 23-Jun-26 [digital]</v>
      </c>
      <c r="E9828" s="22" t="str">
        <f>HYPERLINK("https://otsuka-europe-crm.veevavault.com/ui/#object/sent_email__v/VBL00000002U291", "SE-001436106")</f>
        <v>SE-001436106</v>
      </c>
      <c r="F9828" s="23">
        <v>46188.849212962959</v>
      </c>
      <c r="G9828" s="24">
        <v>1</v>
      </c>
      <c r="H9828" s="24">
        <v>1</v>
      </c>
      <c r="I9828" s="24">
        <v>0</v>
      </c>
      <c r="J9828" s="25"/>
      <c r="K9828" s="24">
        <v>0</v>
      </c>
      <c r="L9828" s="22" t="str">
        <f>HYPERLINK("https://otsuka-europe-crm.veevavault.com/ui/#object/approved_document__v/V5O00000001H005", "LDM DR P2P Invite 23-Jun-26 [digital]")</f>
        <v>LDM DR P2P Invite 23-Jun-26 [digital]</v>
      </c>
      <c r="M9828" s="22" t="str">
        <f>HYPERLINK("mailto:ldimambro@crm.otsuka-europe.com", "ldimambro@crm.otsuka-europe.com")</f>
        <v>ldimambro@crm.otsuka-europe.com</v>
      </c>
      <c r="N9828" s="23">
        <v>46188.526747685188</v>
      </c>
      <c r="O9828" s="14" t="str">
        <f>HYPERLINK("https://otsuka-europe-crm.veevavault.com/ui/#object/email_activity__v/V8C00000003U905", "EN-002096793")</f>
        <v>EN-002096793</v>
      </c>
    </row>
    <row r="9829" spans="1:15" ht="16" x14ac:dyDescent="0.2">
      <c r="A9829" s="19"/>
      <c r="B9829" s="19"/>
      <c r="C9829" s="19"/>
      <c r="D9829" s="19"/>
      <c r="E9829" s="19"/>
      <c r="F9829" s="19"/>
      <c r="G9829" s="19"/>
      <c r="H9829" s="19"/>
      <c r="I9829" s="19"/>
      <c r="J9829" s="19"/>
      <c r="K9829" s="19"/>
      <c r="L9829" s="19"/>
      <c r="M9829" s="19"/>
      <c r="N9829" s="19"/>
      <c r="O9829" s="14" t="str">
        <f>HYPERLINK("https://otsuka-europe-crm.veevavault.com/ui/#object/email_activity__v/V8C00000003V683", "EN-002096122")</f>
        <v>EN-002096122</v>
      </c>
    </row>
    <row r="9830" spans="1:15" ht="16" x14ac:dyDescent="0.2">
      <c r="A9830" s="17" t="str">
        <f>HYPERLINK("https://otsuka-europe-crm.veevavault.com/ui/#object/account__v/V4TZ0000062PD3X", "Rajesh Balasubramanian")</f>
        <v>Rajesh Balasubramanian</v>
      </c>
      <c r="B9830" s="17" t="str">
        <f>HYPERLINK("https://otsuka-europe-crm.veevavault.com/ui/#object/vcountry__v/VENZ000004SONFK", "GB")</f>
        <v>GB</v>
      </c>
      <c r="C9830" s="20" t="s">
        <v>39</v>
      </c>
      <c r="D9830" s="21" t="str">
        <f>HYPERLINK("https://otsuka-europe-crm.veevavault.com/ui/#object/approved_document__v/V5O00000001H005", "LDM DR P2P Invite 23-Jun-26 [digital]")</f>
        <v>LDM DR P2P Invite 23-Jun-26 [digital]</v>
      </c>
      <c r="E9830" s="22" t="str">
        <f>HYPERLINK("https://otsuka-europe-crm.veevavault.com/ui/#object/sent_email__v/VBL00000002U292", "SE-001436107")</f>
        <v>SE-001436107</v>
      </c>
      <c r="F9830" s="23">
        <v>46188.939108796294</v>
      </c>
      <c r="G9830" s="24">
        <v>1</v>
      </c>
      <c r="H9830" s="24">
        <v>1</v>
      </c>
      <c r="I9830" s="24">
        <v>0</v>
      </c>
      <c r="J9830" s="25"/>
      <c r="K9830" s="24">
        <v>0</v>
      </c>
      <c r="L9830" s="22" t="str">
        <f>HYPERLINK("https://otsuka-europe-crm.veevavault.com/ui/#object/approved_document__v/V5O00000001H005", "LDM DR P2P Invite 23-Jun-26 [digital]")</f>
        <v>LDM DR P2P Invite 23-Jun-26 [digital]</v>
      </c>
      <c r="M9830" s="22" t="str">
        <f>HYPERLINK("mailto:ldimambro@crm.otsuka-europe.com", "ldimambro@crm.otsuka-europe.com")</f>
        <v>ldimambro@crm.otsuka-europe.com</v>
      </c>
      <c r="N9830" s="23">
        <v>46188.526747685188</v>
      </c>
      <c r="O9830" s="14" t="str">
        <f>HYPERLINK("https://otsuka-europe-crm.veevavault.com/ui/#object/email_activity__v/V8C00000003U932", "EN-002096841")</f>
        <v>EN-002096841</v>
      </c>
    </row>
    <row r="9831" spans="1:15" ht="16" x14ac:dyDescent="0.2">
      <c r="A9831" s="19"/>
      <c r="B9831" s="19"/>
      <c r="C9831" s="19"/>
      <c r="D9831" s="19"/>
      <c r="E9831" s="19"/>
      <c r="F9831" s="19"/>
      <c r="G9831" s="19"/>
      <c r="H9831" s="19"/>
      <c r="I9831" s="19"/>
      <c r="J9831" s="19"/>
      <c r="K9831" s="19"/>
      <c r="L9831" s="19"/>
      <c r="M9831" s="19"/>
      <c r="N9831" s="19"/>
      <c r="O9831" s="14" t="str">
        <f>HYPERLINK("https://otsuka-europe-crm.veevavault.com/ui/#object/email_activity__v/V8C00000003V674", "EN-002096099")</f>
        <v>EN-002096099</v>
      </c>
    </row>
    <row r="9832" spans="1:15" ht="16" x14ac:dyDescent="0.2">
      <c r="A9832" s="17" t="str">
        <f>HYPERLINK("https://otsuka-europe-crm.veevavault.com/ui/#object/account__v/V4TZ06G6O9VFSEA", "Kishore Seewoonarain")</f>
        <v>Kishore Seewoonarain</v>
      </c>
      <c r="B9832" s="17" t="str">
        <f>HYPERLINK("https://otsuka-europe-crm.veevavault.com/ui/#object/vcountry__v/VENZ000004SONFK", "GB")</f>
        <v>GB</v>
      </c>
      <c r="C9832" s="20" t="s">
        <v>39</v>
      </c>
      <c r="D9832" s="21" t="str">
        <f>HYPERLINK("https://otsuka-europe-crm.veevavault.com/ui/#object/approved_document__v/V5O00000001H005", "LDM DR P2P Invite 23-Jun-26 [digital]")</f>
        <v>LDM DR P2P Invite 23-Jun-26 [digital]</v>
      </c>
      <c r="E9832" s="22" t="str">
        <f>HYPERLINK("https://otsuka-europe-crm.veevavault.com/ui/#object/sent_email__v/VBL00000002U293", "SE-001436108")</f>
        <v>SE-001436108</v>
      </c>
      <c r="F9832" s="23">
        <v>46189.475925925923</v>
      </c>
      <c r="G9832" s="24">
        <v>1</v>
      </c>
      <c r="H9832" s="24">
        <v>2</v>
      </c>
      <c r="I9832" s="24">
        <v>0</v>
      </c>
      <c r="J9832" s="25"/>
      <c r="K9832" s="24">
        <v>0</v>
      </c>
      <c r="L9832" s="22" t="str">
        <f>HYPERLINK("https://otsuka-europe-crm.veevavault.com/ui/#object/approved_document__v/V5O00000001H005", "LDM DR P2P Invite 23-Jun-26 [digital]")</f>
        <v>LDM DR P2P Invite 23-Jun-26 [digital]</v>
      </c>
      <c r="M9832" s="22" t="str">
        <f>HYPERLINK("mailto:ldimambro@crm.otsuka-europe.com", "ldimambro@crm.otsuka-europe.com")</f>
        <v>ldimambro@crm.otsuka-europe.com</v>
      </c>
      <c r="N9832" s="23">
        <v>46188.526747685188</v>
      </c>
      <c r="O9832" s="14" t="str">
        <f>HYPERLINK("https://otsuka-europe-crm.veevavault.com/ui/#object/email_activity__v/V8C00000003V665", "EN-002096090")</f>
        <v>EN-002096090</v>
      </c>
    </row>
    <row r="9833" spans="1:15" ht="16" x14ac:dyDescent="0.2">
      <c r="A9833" s="18"/>
      <c r="B9833" s="18"/>
      <c r="C9833" s="18"/>
      <c r="D9833" s="18"/>
      <c r="E9833" s="18"/>
      <c r="F9833" s="18"/>
      <c r="G9833" s="18"/>
      <c r="H9833" s="18"/>
      <c r="I9833" s="18"/>
      <c r="J9833" s="18"/>
      <c r="K9833" s="18"/>
      <c r="L9833" s="18"/>
      <c r="M9833" s="18"/>
      <c r="N9833" s="18"/>
      <c r="O9833" s="14" t="str">
        <f>HYPERLINK("https://otsuka-europe-crm.veevavault.com/ui/#object/email_activity__v/V8C00000003V893", "EN-002096493")</f>
        <v>EN-002096493</v>
      </c>
    </row>
    <row r="9834" spans="1:15" ht="16" x14ac:dyDescent="0.2">
      <c r="A9834" s="19"/>
      <c r="B9834" s="19"/>
      <c r="C9834" s="19"/>
      <c r="D9834" s="19"/>
      <c r="E9834" s="19"/>
      <c r="F9834" s="19"/>
      <c r="G9834" s="19"/>
      <c r="H9834" s="19"/>
      <c r="I9834" s="19"/>
      <c r="J9834" s="19"/>
      <c r="K9834" s="19"/>
      <c r="L9834" s="19"/>
      <c r="M9834" s="19"/>
      <c r="N9834" s="19"/>
      <c r="O9834" s="14" t="str">
        <f>HYPERLINK("https://otsuka-europe-crm.veevavault.com/ui/#object/email_activity__v/V8C00000003X137", "EN-002097153")</f>
        <v>EN-002097153</v>
      </c>
    </row>
    <row r="9835" spans="1:15" ht="32" x14ac:dyDescent="0.2">
      <c r="A9835" s="7" t="str">
        <f>HYPERLINK("https://otsuka-europe-crm.veevavault.com/ui/#object/account__v/V4TZ025E82RNWS7", "Mihaela Bragaru")</f>
        <v>Mihaela Bragaru</v>
      </c>
      <c r="B9835" s="7" t="str">
        <f>HYPERLINK("https://otsuka-europe-crm.veevavault.com/ui/#object/vcountry__v/VENZ000004SONFK", "GB")</f>
        <v>GB</v>
      </c>
      <c r="C9835" s="8" t="s">
        <v>39</v>
      </c>
      <c r="D9835" s="9" t="str">
        <f>HYPERLINK("https://otsuka-europe-crm.veevavault.com/ui/#object/approved_document__v/V5O00000001H005", "LDM DR P2P Invite 23-Jun-26 [digital]")</f>
        <v>LDM DR P2P Invite 23-Jun-26 [digital]</v>
      </c>
      <c r="E9835" s="10" t="str">
        <f>HYPERLINK("https://otsuka-europe-crm.veevavault.com/ui/#object/sent_email__v/VBL00000002U294", "SE-001436109")</f>
        <v>SE-001436109</v>
      </c>
      <c r="F9835" s="11"/>
      <c r="G9835" s="12">
        <v>0</v>
      </c>
      <c r="H9835" s="12">
        <v>0</v>
      </c>
      <c r="I9835" s="12">
        <v>0</v>
      </c>
      <c r="J9835" s="11"/>
      <c r="K9835" s="12">
        <v>0</v>
      </c>
      <c r="L9835" s="10" t="str">
        <f>HYPERLINK("https://otsuka-europe-crm.veevavault.com/ui/#object/approved_document__v/V5O00000001H005", "LDM DR P2P Invite 23-Jun-26 [digital]")</f>
        <v>LDM DR P2P Invite 23-Jun-26 [digital]</v>
      </c>
      <c r="M9835" s="10" t="str">
        <f>HYPERLINK("mailto:ldimambro@crm.otsuka-europe.com", "ldimambro@crm.otsuka-europe.com")</f>
        <v>ldimambro@crm.otsuka-europe.com</v>
      </c>
      <c r="N9835" s="13">
        <v>46188.526747685188</v>
      </c>
      <c r="O9835" s="14" t="str">
        <f>HYPERLINK("https://otsuka-europe-crm.veevavault.com/ui/#object/email_activity__v/V8C00000003V670", "EN-002096095")</f>
        <v>EN-002096095</v>
      </c>
    </row>
    <row r="9836" spans="1:15" ht="32" x14ac:dyDescent="0.2">
      <c r="A9836" s="7" t="str">
        <f>HYPERLINK("https://otsuka-europe-crm.veevavault.com/ui/#object/account__v/V4TZ0000062PD1F", "Jonny Babalola")</f>
        <v>Jonny Babalola</v>
      </c>
      <c r="B9836" s="7" t="str">
        <f>HYPERLINK("https://otsuka-europe-crm.veevavault.com/ui/#object/vcountry__v/VENZ000004SONFK", "GB")</f>
        <v>GB</v>
      </c>
      <c r="C9836" s="8" t="s">
        <v>39</v>
      </c>
      <c r="D9836" s="9" t="str">
        <f>HYPERLINK("https://otsuka-europe-crm.veevavault.com/ui/#object/approved_document__v/V5O00000001H005", "LDM DR P2P Invite 23-Jun-26 [digital]")</f>
        <v>LDM DR P2P Invite 23-Jun-26 [digital]</v>
      </c>
      <c r="E9836" s="10" t="str">
        <f>HYPERLINK("https://otsuka-europe-crm.veevavault.com/ui/#object/sent_email__v/VBL00000002U295", "SE-001436110")</f>
        <v>SE-001436110</v>
      </c>
      <c r="F9836" s="11"/>
      <c r="G9836" s="12">
        <v>0</v>
      </c>
      <c r="H9836" s="12">
        <v>0</v>
      </c>
      <c r="I9836" s="12">
        <v>0</v>
      </c>
      <c r="J9836" s="11"/>
      <c r="K9836" s="12">
        <v>0</v>
      </c>
      <c r="L9836" s="10" t="str">
        <f>HYPERLINK("https://otsuka-europe-crm.veevavault.com/ui/#object/approved_document__v/V5O00000001H005", "LDM DR P2P Invite 23-Jun-26 [digital]")</f>
        <v>LDM DR P2P Invite 23-Jun-26 [digital]</v>
      </c>
      <c r="M9836" s="10" t="str">
        <f>HYPERLINK("mailto:ldimambro@crm.otsuka-europe.com", "ldimambro@crm.otsuka-europe.com")</f>
        <v>ldimambro@crm.otsuka-europe.com</v>
      </c>
      <c r="N9836" s="13">
        <v>46188.526747685188</v>
      </c>
      <c r="O9836" s="14" t="str">
        <f>HYPERLINK("https://otsuka-europe-crm.veevavault.com/ui/#object/email_activity__v/V8C00000003V660", "EN-002096084")</f>
        <v>EN-002096084</v>
      </c>
    </row>
    <row r="9837" spans="1:15" ht="16" x14ac:dyDescent="0.2">
      <c r="A9837" s="17" t="str">
        <f>HYPERLINK("https://otsuka-europe-crm.veevavault.com/ui/#object/account__v/V4TZ06G6OBS6ZOL", "Paul Carton")</f>
        <v>Paul Carton</v>
      </c>
      <c r="B9837" s="17" t="str">
        <f>HYPERLINK("https://otsuka-europe-crm.veevavault.com/ui/#object/vcountry__v/VENZ000004SONFK", "GB")</f>
        <v>GB</v>
      </c>
      <c r="C9837" s="20" t="s">
        <v>39</v>
      </c>
      <c r="D9837" s="21" t="str">
        <f>HYPERLINK("https://otsuka-europe-crm.veevavault.com/ui/#object/approved_document__v/V5O00000001H005", "LDM DR P2P Invite 23-Jun-26 [digital]")</f>
        <v>LDM DR P2P Invite 23-Jun-26 [digital]</v>
      </c>
      <c r="E9837" s="22" t="str">
        <f>HYPERLINK("https://otsuka-europe-crm.veevavault.com/ui/#object/sent_email__v/VBL00000002U296", "SE-001436111")</f>
        <v>SE-001436111</v>
      </c>
      <c r="F9837" s="25"/>
      <c r="G9837" s="24">
        <v>0</v>
      </c>
      <c r="H9837" s="24">
        <v>0</v>
      </c>
      <c r="I9837" s="24">
        <v>0</v>
      </c>
      <c r="J9837" s="25"/>
      <c r="K9837" s="24">
        <v>0</v>
      </c>
      <c r="L9837" s="22" t="str">
        <f>HYPERLINK("https://otsuka-europe-crm.veevavault.com/ui/#object/approved_document__v/V5O00000001H005", "LDM DR P2P Invite 23-Jun-26 [digital]")</f>
        <v>LDM DR P2P Invite 23-Jun-26 [digital]</v>
      </c>
      <c r="M9837" s="22" t="str">
        <f>HYPERLINK("mailto:ldimambro@crm.otsuka-europe.com", "ldimambro@crm.otsuka-europe.com")</f>
        <v>ldimambro@crm.otsuka-europe.com</v>
      </c>
      <c r="N9837" s="23">
        <v>46188.526747685188</v>
      </c>
      <c r="O9837" s="14" t="str">
        <f>HYPERLINK("https://otsuka-europe-crm.veevavault.com/ui/#object/email_activity__v/V8C00000003U612", "EN-002096100")</f>
        <v>EN-002096100</v>
      </c>
    </row>
    <row r="9838" spans="1:15" ht="16" x14ac:dyDescent="0.2">
      <c r="A9838" s="18"/>
      <c r="B9838" s="18"/>
      <c r="C9838" s="18"/>
      <c r="D9838" s="18"/>
      <c r="E9838" s="18"/>
      <c r="F9838" s="18"/>
      <c r="G9838" s="18"/>
      <c r="H9838" s="18"/>
      <c r="I9838" s="18"/>
      <c r="J9838" s="18"/>
      <c r="K9838" s="18"/>
      <c r="L9838" s="18"/>
      <c r="M9838" s="18"/>
      <c r="N9838" s="18"/>
      <c r="O9838" s="14" t="str">
        <f>HYPERLINK("https://otsuka-europe-crm.veevavault.com/ui/#object/email_activity__v/V8C000000040089", "EN-002098863")</f>
        <v>EN-002098863</v>
      </c>
    </row>
    <row r="9839" spans="1:15" ht="16" x14ac:dyDescent="0.2">
      <c r="A9839" s="19"/>
      <c r="B9839" s="19"/>
      <c r="C9839" s="19"/>
      <c r="D9839" s="19"/>
      <c r="E9839" s="19"/>
      <c r="F9839" s="19"/>
      <c r="G9839" s="19"/>
      <c r="H9839" s="19"/>
      <c r="I9839" s="19"/>
      <c r="J9839" s="19"/>
      <c r="K9839" s="19"/>
      <c r="L9839" s="19"/>
      <c r="M9839" s="19"/>
      <c r="N9839" s="19"/>
      <c r="O9839" s="14" t="str">
        <f>HYPERLINK("https://otsuka-europe-crm.veevavault.com/ui/#object/email_activity__v/V8C000000041261", "EN-002100190")</f>
        <v>EN-002100190</v>
      </c>
    </row>
    <row r="9840" spans="1:15" ht="32" x14ac:dyDescent="0.2">
      <c r="A9840" s="7" t="str">
        <f>HYPERLINK("https://otsuka-europe-crm.veevavault.com/ui/#object/account__v/V4T00000000P081", "Josephine Agyeman")</f>
        <v>Josephine Agyeman</v>
      </c>
      <c r="B9840" s="7" t="str">
        <f t="shared" ref="B9840:B9845" si="734">HYPERLINK("https://otsuka-europe-crm.veevavault.com/ui/#object/vcountry__v/VENZ000004SONFK", "GB")</f>
        <v>GB</v>
      </c>
      <c r="C9840" s="8" t="s">
        <v>39</v>
      </c>
      <c r="D9840" s="9" t="str">
        <f t="shared" ref="D9840:D9845" si="735">HYPERLINK("https://otsuka-europe-crm.veevavault.com/ui/#object/approved_document__v/V5O00000001H005", "LDM DR P2P Invite 23-Jun-26 [digital]")</f>
        <v>LDM DR P2P Invite 23-Jun-26 [digital]</v>
      </c>
      <c r="E9840" s="10" t="str">
        <f>HYPERLINK("https://otsuka-europe-crm.veevavault.com/ui/#object/sent_email__v/VBL00000002U297", "SE-001436112")</f>
        <v>SE-001436112</v>
      </c>
      <c r="F9840" s="11"/>
      <c r="G9840" s="12">
        <v>0</v>
      </c>
      <c r="H9840" s="12">
        <v>0</v>
      </c>
      <c r="I9840" s="12">
        <v>0</v>
      </c>
      <c r="J9840" s="11"/>
      <c r="K9840" s="12">
        <v>0</v>
      </c>
      <c r="L9840" s="10" t="str">
        <f t="shared" ref="L9840:L9845" si="736">HYPERLINK("https://otsuka-europe-crm.veevavault.com/ui/#object/approved_document__v/V5O00000001H005", "LDM DR P2P Invite 23-Jun-26 [digital]")</f>
        <v>LDM DR P2P Invite 23-Jun-26 [digital]</v>
      </c>
      <c r="M9840" s="10" t="str">
        <f t="shared" ref="M9840:M9845" si="737">HYPERLINK("mailto:ldimambro@crm.otsuka-europe.com", "ldimambro@crm.otsuka-europe.com")</f>
        <v>ldimambro@crm.otsuka-europe.com</v>
      </c>
      <c r="N9840" s="13">
        <v>46188.526782407411</v>
      </c>
      <c r="O9840" s="14" t="str">
        <f>HYPERLINK("https://otsuka-europe-crm.veevavault.com/ui/#object/email_activity__v/V8C00000003U622", "EN-002096117")</f>
        <v>EN-002096117</v>
      </c>
    </row>
    <row r="9841" spans="1:15" ht="32" x14ac:dyDescent="0.2">
      <c r="A9841" s="7" t="str">
        <f>HYPERLINK("https://otsuka-europe-crm.veevavault.com/ui/#object/account__v/V4TZ06G6OCBHU11", "Pedro Fernandes")</f>
        <v>Pedro Fernandes</v>
      </c>
      <c r="B9841" s="7" t="str">
        <f t="shared" si="734"/>
        <v>GB</v>
      </c>
      <c r="C9841" s="8" t="s">
        <v>39</v>
      </c>
      <c r="D9841" s="9" t="str">
        <f t="shared" si="735"/>
        <v>LDM DR P2P Invite 23-Jun-26 [digital]</v>
      </c>
      <c r="E9841" s="10" t="str">
        <f>HYPERLINK("https://otsuka-europe-crm.veevavault.com/ui/#object/sent_email__v/VBL00000002U298", "SE-001436113")</f>
        <v>SE-001436113</v>
      </c>
      <c r="F9841" s="11"/>
      <c r="G9841" s="12">
        <v>0</v>
      </c>
      <c r="H9841" s="12">
        <v>0</v>
      </c>
      <c r="I9841" s="12">
        <v>0</v>
      </c>
      <c r="J9841" s="11"/>
      <c r="K9841" s="12">
        <v>0</v>
      </c>
      <c r="L9841" s="10" t="str">
        <f t="shared" si="736"/>
        <v>LDM DR P2P Invite 23-Jun-26 [digital]</v>
      </c>
      <c r="M9841" s="10" t="str">
        <f t="shared" si="737"/>
        <v>ldimambro@crm.otsuka-europe.com</v>
      </c>
      <c r="N9841" s="13">
        <v>46188.526747685188</v>
      </c>
      <c r="O9841" s="14" t="str">
        <f>HYPERLINK("https://otsuka-europe-crm.veevavault.com/ui/#object/email_activity__v/V8C00000003V684", "EN-002096123")</f>
        <v>EN-002096123</v>
      </c>
    </row>
    <row r="9842" spans="1:15" ht="32" x14ac:dyDescent="0.2">
      <c r="A9842" s="7" t="str">
        <f>HYPERLINK("https://otsuka-europe-crm.veevavault.com/ui/#object/account__v/V4TZ025E83K0I56", "Minal Patel")</f>
        <v>Minal Patel</v>
      </c>
      <c r="B9842" s="7" t="str">
        <f t="shared" si="734"/>
        <v>GB</v>
      </c>
      <c r="C9842" s="8" t="s">
        <v>39</v>
      </c>
      <c r="D9842" s="9" t="str">
        <f t="shared" si="735"/>
        <v>LDM DR P2P Invite 23-Jun-26 [digital]</v>
      </c>
      <c r="E9842" s="10" t="str">
        <f>HYPERLINK("https://otsuka-europe-crm.veevavault.com/ui/#object/sent_email__v/VBL00000002U299", "SE-001436114")</f>
        <v>SE-001436114</v>
      </c>
      <c r="F9842" s="11"/>
      <c r="G9842" s="12">
        <v>0</v>
      </c>
      <c r="H9842" s="12">
        <v>0</v>
      </c>
      <c r="I9842" s="12">
        <v>0</v>
      </c>
      <c r="J9842" s="11"/>
      <c r="K9842" s="12">
        <v>0</v>
      </c>
      <c r="L9842" s="10" t="str">
        <f t="shared" si="736"/>
        <v>LDM DR P2P Invite 23-Jun-26 [digital]</v>
      </c>
      <c r="M9842" s="10" t="str">
        <f t="shared" si="737"/>
        <v>ldimambro@crm.otsuka-europe.com</v>
      </c>
      <c r="N9842" s="13">
        <v>46188.526747685188</v>
      </c>
      <c r="O9842" s="14" t="str">
        <f>HYPERLINK("https://otsuka-europe-crm.veevavault.com/ui/#object/email_activity__v/V8C00000003U615", "EN-002096103")</f>
        <v>EN-002096103</v>
      </c>
    </row>
    <row r="9843" spans="1:15" ht="32" x14ac:dyDescent="0.2">
      <c r="A9843" s="7" t="str">
        <f>HYPERLINK("https://otsuka-europe-crm.veevavault.com/ui/#object/account__v/V4TZ0000062PIOZ", "Okon Umoh")</f>
        <v>Okon Umoh</v>
      </c>
      <c r="B9843" s="7" t="str">
        <f t="shared" si="734"/>
        <v>GB</v>
      </c>
      <c r="C9843" s="8" t="s">
        <v>39</v>
      </c>
      <c r="D9843" s="9" t="str">
        <f t="shared" si="735"/>
        <v>LDM DR P2P Invite 23-Jun-26 [digital]</v>
      </c>
      <c r="E9843" s="10" t="str">
        <f>HYPERLINK("https://otsuka-europe-crm.veevavault.com/ui/#object/sent_email__v/VBL00000002U300", "SE-001436115")</f>
        <v>SE-001436115</v>
      </c>
      <c r="F9843" s="11"/>
      <c r="G9843" s="12">
        <v>0</v>
      </c>
      <c r="H9843" s="12">
        <v>0</v>
      </c>
      <c r="I9843" s="12">
        <v>0</v>
      </c>
      <c r="J9843" s="11"/>
      <c r="K9843" s="12">
        <v>0</v>
      </c>
      <c r="L9843" s="10" t="str">
        <f t="shared" si="736"/>
        <v>LDM DR P2P Invite 23-Jun-26 [digital]</v>
      </c>
      <c r="M9843" s="10" t="str">
        <f t="shared" si="737"/>
        <v>ldimambro@crm.otsuka-europe.com</v>
      </c>
      <c r="N9843" s="13">
        <v>46188.526747685188</v>
      </c>
      <c r="O9843" s="14" t="str">
        <f>HYPERLINK("https://otsuka-europe-crm.veevavault.com/ui/#object/email_activity__v/V8C00000003U614", "EN-002096102")</f>
        <v>EN-002096102</v>
      </c>
    </row>
    <row r="9844" spans="1:15" ht="32" x14ac:dyDescent="0.2">
      <c r="A9844" s="7" t="str">
        <f>HYPERLINK("https://otsuka-europe-crm.veevavault.com/ui/#object/account__v/V4TZ04ASG6LG3VL", "Jojo John")</f>
        <v>Jojo John</v>
      </c>
      <c r="B9844" s="7" t="str">
        <f t="shared" si="734"/>
        <v>GB</v>
      </c>
      <c r="C9844" s="8" t="s">
        <v>39</v>
      </c>
      <c r="D9844" s="9" t="str">
        <f t="shared" si="735"/>
        <v>LDM DR P2P Invite 23-Jun-26 [digital]</v>
      </c>
      <c r="E9844" s="10" t="str">
        <f>HYPERLINK("https://otsuka-europe-crm.veevavault.com/ui/#object/sent_email__v/VBL00000002U301", "SE-001436116")</f>
        <v>SE-001436116</v>
      </c>
      <c r="F9844" s="11"/>
      <c r="G9844" s="12">
        <v>0</v>
      </c>
      <c r="H9844" s="12">
        <v>0</v>
      </c>
      <c r="I9844" s="12">
        <v>0</v>
      </c>
      <c r="J9844" s="11"/>
      <c r="K9844" s="12">
        <v>0</v>
      </c>
      <c r="L9844" s="10" t="str">
        <f t="shared" si="736"/>
        <v>LDM DR P2P Invite 23-Jun-26 [digital]</v>
      </c>
      <c r="M9844" s="10" t="str">
        <f t="shared" si="737"/>
        <v>ldimambro@crm.otsuka-europe.com</v>
      </c>
      <c r="N9844" s="13">
        <v>46188.526747685188</v>
      </c>
      <c r="O9844" s="14" t="str">
        <f>HYPERLINK("https://otsuka-europe-crm.veevavault.com/ui/#object/email_activity__v/V8C00000003V676", "EN-002096108")</f>
        <v>EN-002096108</v>
      </c>
    </row>
    <row r="9845" spans="1:15" ht="16" x14ac:dyDescent="0.2">
      <c r="A9845" s="17" t="str">
        <f>HYPERLINK("https://otsuka-europe-crm.veevavault.com/ui/#object/account__v/V4TZ06G6OCEL5MS", "Olukemi Kolawole Sule-Akintokun")</f>
        <v>Olukemi Kolawole Sule-Akintokun</v>
      </c>
      <c r="B9845" s="17" t="str">
        <f t="shared" si="734"/>
        <v>GB</v>
      </c>
      <c r="C9845" s="20" t="s">
        <v>39</v>
      </c>
      <c r="D9845" s="21" t="str">
        <f t="shared" si="735"/>
        <v>LDM DR P2P Invite 23-Jun-26 [digital]</v>
      </c>
      <c r="E9845" s="22" t="str">
        <f>HYPERLINK("https://otsuka-europe-crm.veevavault.com/ui/#object/sent_email__v/VBL00000002U302", "SE-001436117")</f>
        <v>SE-001436117</v>
      </c>
      <c r="F9845" s="23">
        <v>46188.77076388889</v>
      </c>
      <c r="G9845" s="24">
        <v>1</v>
      </c>
      <c r="H9845" s="24">
        <v>2</v>
      </c>
      <c r="I9845" s="24">
        <v>0</v>
      </c>
      <c r="J9845" s="25"/>
      <c r="K9845" s="24">
        <v>0</v>
      </c>
      <c r="L9845" s="22" t="str">
        <f t="shared" si="736"/>
        <v>LDM DR P2P Invite 23-Jun-26 [digital]</v>
      </c>
      <c r="M9845" s="22" t="str">
        <f t="shared" si="737"/>
        <v>ldimambro@crm.otsuka-europe.com</v>
      </c>
      <c r="N9845" s="23">
        <v>46188.526782407411</v>
      </c>
      <c r="O9845" s="14" t="str">
        <f>HYPERLINK("https://otsuka-europe-crm.veevavault.com/ui/#object/email_activity__v/V8C00000003U623", "EN-002096118")</f>
        <v>EN-002096118</v>
      </c>
    </row>
    <row r="9846" spans="1:15" ht="16" x14ac:dyDescent="0.2">
      <c r="A9846" s="18"/>
      <c r="B9846" s="18"/>
      <c r="C9846" s="18"/>
      <c r="D9846" s="18"/>
      <c r="E9846" s="18"/>
      <c r="F9846" s="18"/>
      <c r="G9846" s="18"/>
      <c r="H9846" s="18"/>
      <c r="I9846" s="18"/>
      <c r="J9846" s="18"/>
      <c r="K9846" s="18"/>
      <c r="L9846" s="18"/>
      <c r="M9846" s="18"/>
      <c r="N9846" s="18"/>
      <c r="O9846" s="14" t="str">
        <f>HYPERLINK("https://otsuka-europe-crm.veevavault.com/ui/#object/email_activity__v/V8C00000003U686", "EN-002096193")</f>
        <v>EN-002096193</v>
      </c>
    </row>
    <row r="9847" spans="1:15" ht="16" x14ac:dyDescent="0.2">
      <c r="A9847" s="19"/>
      <c r="B9847" s="19"/>
      <c r="C9847" s="19"/>
      <c r="D9847" s="19"/>
      <c r="E9847" s="19"/>
      <c r="F9847" s="19"/>
      <c r="G9847" s="19"/>
      <c r="H9847" s="19"/>
      <c r="I9847" s="19"/>
      <c r="J9847" s="19"/>
      <c r="K9847" s="19"/>
      <c r="L9847" s="19"/>
      <c r="M9847" s="19"/>
      <c r="N9847" s="19"/>
      <c r="O9847" s="14" t="str">
        <f>HYPERLINK("https://otsuka-europe-crm.veevavault.com/ui/#object/email_activity__v/V8C00000003U813", "EN-002096541")</f>
        <v>EN-002096541</v>
      </c>
    </row>
    <row r="9848" spans="1:15" ht="16" x14ac:dyDescent="0.2">
      <c r="A9848" s="17" t="str">
        <f>HYPERLINK("https://otsuka-europe-crm.veevavault.com/ui/#object/account__v/V4TZ04ASG6TATUV", "Osagbai Eriki")</f>
        <v>Osagbai Eriki</v>
      </c>
      <c r="B9848" s="17" t="str">
        <f>HYPERLINK("https://otsuka-europe-crm.veevavault.com/ui/#object/vcountry__v/VENZ000004SONFK", "GB")</f>
        <v>GB</v>
      </c>
      <c r="C9848" s="20" t="s">
        <v>39</v>
      </c>
      <c r="D9848" s="21" t="str">
        <f>HYPERLINK("https://otsuka-europe-crm.veevavault.com/ui/#object/approved_document__v/V5O00000001H005", "LDM DR P2P Invite 23-Jun-26 [digital]")</f>
        <v>LDM DR P2P Invite 23-Jun-26 [digital]</v>
      </c>
      <c r="E9848" s="22" t="str">
        <f>HYPERLINK("https://otsuka-europe-crm.veevavault.com/ui/#object/sent_email__v/VBL00000002U303", "SE-001436118")</f>
        <v>SE-001436118</v>
      </c>
      <c r="F9848" s="23">
        <v>46190.475729166668</v>
      </c>
      <c r="G9848" s="24">
        <v>1</v>
      </c>
      <c r="H9848" s="24">
        <v>4</v>
      </c>
      <c r="I9848" s="24">
        <v>0</v>
      </c>
      <c r="J9848" s="25"/>
      <c r="K9848" s="24">
        <v>0</v>
      </c>
      <c r="L9848" s="22" t="str">
        <f>HYPERLINK("https://otsuka-europe-crm.veevavault.com/ui/#object/approved_document__v/V5O00000001H005", "LDM DR P2P Invite 23-Jun-26 [digital]")</f>
        <v>LDM DR P2P Invite 23-Jun-26 [digital]</v>
      </c>
      <c r="M9848" s="22" t="str">
        <f>HYPERLINK("mailto:ldimambro@crm.otsuka-europe.com", "ldimambro@crm.otsuka-europe.com")</f>
        <v>ldimambro@crm.otsuka-europe.com</v>
      </c>
      <c r="N9848" s="23">
        <v>46188.526747685188</v>
      </c>
      <c r="O9848" s="14" t="str">
        <f>HYPERLINK("https://otsuka-europe-crm.veevavault.com/ui/#object/email_activity__v/V8C00000003U629", "EN-002096128")</f>
        <v>EN-002096128</v>
      </c>
    </row>
    <row r="9849" spans="1:15" ht="16" x14ac:dyDescent="0.2">
      <c r="A9849" s="18"/>
      <c r="B9849" s="18"/>
      <c r="C9849" s="18"/>
      <c r="D9849" s="18"/>
      <c r="E9849" s="18"/>
      <c r="F9849" s="18"/>
      <c r="G9849" s="18"/>
      <c r="H9849" s="18"/>
      <c r="I9849" s="18"/>
      <c r="J9849" s="18"/>
      <c r="K9849" s="18"/>
      <c r="L9849" s="18"/>
      <c r="M9849" s="18"/>
      <c r="N9849" s="18"/>
      <c r="O9849" s="14" t="str">
        <f>HYPERLINK("https://otsuka-europe-crm.veevavault.com/ui/#object/email_activity__v/V8C00000003U630", "EN-002096129")</f>
        <v>EN-002096129</v>
      </c>
    </row>
    <row r="9850" spans="1:15" ht="16" x14ac:dyDescent="0.2">
      <c r="A9850" s="18"/>
      <c r="B9850" s="18"/>
      <c r="C9850" s="18"/>
      <c r="D9850" s="18"/>
      <c r="E9850" s="18"/>
      <c r="F9850" s="18"/>
      <c r="G9850" s="18"/>
      <c r="H9850" s="18"/>
      <c r="I9850" s="18"/>
      <c r="J9850" s="18"/>
      <c r="K9850" s="18"/>
      <c r="L9850" s="18"/>
      <c r="M9850" s="18"/>
      <c r="N9850" s="18"/>
      <c r="O9850" s="14" t="str">
        <f>HYPERLINK("https://otsuka-europe-crm.veevavault.com/ui/#object/email_activity__v/V8C00000003V678", "EN-002096110")</f>
        <v>EN-002096110</v>
      </c>
    </row>
    <row r="9851" spans="1:15" ht="16" x14ac:dyDescent="0.2">
      <c r="A9851" s="18"/>
      <c r="B9851" s="18"/>
      <c r="C9851" s="18"/>
      <c r="D9851" s="18"/>
      <c r="E9851" s="18"/>
      <c r="F9851" s="18"/>
      <c r="G9851" s="18"/>
      <c r="H9851" s="18"/>
      <c r="I9851" s="18"/>
      <c r="J9851" s="18"/>
      <c r="K9851" s="18"/>
      <c r="L9851" s="18"/>
      <c r="M9851" s="18"/>
      <c r="N9851" s="18"/>
      <c r="O9851" s="14" t="str">
        <f>HYPERLINK("https://otsuka-europe-crm.veevavault.com/ui/#object/email_activity__v/V8C00000003X850", "EN-002098343")</f>
        <v>EN-002098343</v>
      </c>
    </row>
    <row r="9852" spans="1:15" ht="16" x14ac:dyDescent="0.2">
      <c r="A9852" s="19"/>
      <c r="B9852" s="19"/>
      <c r="C9852" s="19"/>
      <c r="D9852" s="19"/>
      <c r="E9852" s="19"/>
      <c r="F9852" s="19"/>
      <c r="G9852" s="19"/>
      <c r="H9852" s="19"/>
      <c r="I9852" s="19"/>
      <c r="J9852" s="19"/>
      <c r="K9852" s="19"/>
      <c r="L9852" s="19"/>
      <c r="M9852" s="19"/>
      <c r="N9852" s="19"/>
      <c r="O9852" s="14" t="str">
        <f>HYPERLINK("https://otsuka-europe-crm.veevavault.com/ui/#object/email_activity__v/V8C00000003X851", "EN-002098344")</f>
        <v>EN-002098344</v>
      </c>
    </row>
    <row r="9853" spans="1:15" ht="32" x14ac:dyDescent="0.2">
      <c r="A9853" s="7" t="str">
        <f>HYPERLINK("https://otsuka-europe-crm.veevavault.com/ui/#object/account__v/V4TZ06G6OB4BTSA", "Nicola Greenhalgh")</f>
        <v>Nicola Greenhalgh</v>
      </c>
      <c r="B9853" s="7" t="str">
        <f>HYPERLINK("https://otsuka-europe-crm.veevavault.com/ui/#object/vcountry__v/VENZ000004SONFK", "GB")</f>
        <v>GB</v>
      </c>
      <c r="C9853" s="8" t="s">
        <v>39</v>
      </c>
      <c r="D9853" s="9" t="str">
        <f>HYPERLINK("https://otsuka-europe-crm.veevavault.com/ui/#object/approved_document__v/V5O00000001H005", "LDM DR P2P Invite 23-Jun-26 [digital]")</f>
        <v>LDM DR P2P Invite 23-Jun-26 [digital]</v>
      </c>
      <c r="E9853" s="10" t="str">
        <f>HYPERLINK("https://otsuka-europe-crm.veevavault.com/ui/#object/sent_email__v/VBL00000002U304", "SE-001436119")</f>
        <v>SE-001436119</v>
      </c>
      <c r="F9853" s="11"/>
      <c r="G9853" s="12">
        <v>0</v>
      </c>
      <c r="H9853" s="12">
        <v>0</v>
      </c>
      <c r="I9853" s="12">
        <v>0</v>
      </c>
      <c r="J9853" s="11"/>
      <c r="K9853" s="12">
        <v>0</v>
      </c>
      <c r="L9853" s="10" t="str">
        <f>HYPERLINK("https://otsuka-europe-crm.veevavault.com/ui/#object/approved_document__v/V5O00000001H005", "LDM DR P2P Invite 23-Jun-26 [digital]")</f>
        <v>LDM DR P2P Invite 23-Jun-26 [digital]</v>
      </c>
      <c r="M9853" s="10" t="str">
        <f>HYPERLINK("mailto:ldimambro@crm.otsuka-europe.com", "ldimambro@crm.otsuka-europe.com")</f>
        <v>ldimambro@crm.otsuka-europe.com</v>
      </c>
      <c r="N9853" s="13">
        <v>46188.526747685188</v>
      </c>
      <c r="O9853" s="14" t="str">
        <f>HYPERLINK("https://otsuka-europe-crm.veevavault.com/ui/#object/email_activity__v/V8C00000003V679", "EN-002096111")</f>
        <v>EN-002096111</v>
      </c>
    </row>
    <row r="9854" spans="1:15" ht="16" x14ac:dyDescent="0.2">
      <c r="A9854" s="17" t="str">
        <f>HYPERLINK("https://otsuka-europe-crm.veevavault.com/ui/#object/account__v/V4T000000024031", "INMACULADA BENITO MARIN")</f>
        <v>INMACULADA BENITO MARIN</v>
      </c>
      <c r="B9854" s="17" t="str">
        <f>HYPERLINK("https://otsuka-europe-crm.veevavault.com/ui/#object/vcountry__v/VENZ000004SONF5", "ES")</f>
        <v>ES</v>
      </c>
      <c r="C9854" s="20" t="s">
        <v>41</v>
      </c>
      <c r="D9854" s="21" t="str">
        <f>HYPERLINK("https://otsuka-europe-crm.veevavault.com/ui/#object/approved_document__v/V5O00000000D100", "Spain - Consent Email 1 Aug 25")</f>
        <v>Spain - Consent Email 1 Aug 25</v>
      </c>
      <c r="E9854" s="22" t="str">
        <f>HYPERLINK("https://otsuka-europe-crm.veevavault.com/ui/#object/sent_email__v/VBL00000002U305", "SE-001436120")</f>
        <v>SE-001436120</v>
      </c>
      <c r="F9854" s="23">
        <v>46188.938437500001</v>
      </c>
      <c r="G9854" s="24">
        <v>1</v>
      </c>
      <c r="H9854" s="24">
        <v>3</v>
      </c>
      <c r="I9854" s="24">
        <v>1</v>
      </c>
      <c r="J9854" s="23">
        <v>46188.665185185186</v>
      </c>
      <c r="K9854" s="24">
        <v>1</v>
      </c>
      <c r="L9854" s="22" t="str">
        <f>HYPERLINK("https://otsuka-europe-crm.veevavault.com/ui/#object/approved_document__v/V5O00000000D100", "Spain - Consent Email 1 Aug 25")</f>
        <v>Spain - Consent Email 1 Aug 25</v>
      </c>
      <c r="M9854" s="22" t="str">
        <f>HYPERLINK("mailto:jcastro@crm.otsuka-europe.com", "jcastro@crm.otsuka-europe.com")</f>
        <v>jcastro@crm.otsuka-europe.com</v>
      </c>
      <c r="N9854" s="23">
        <v>46188.529710648145</v>
      </c>
      <c r="O9854" s="14" t="str">
        <f>HYPERLINK("https://otsuka-europe-crm.veevavault.com/ui/#object/email_activity__v/V8C00000003U633", "EN-002096132")</f>
        <v>EN-002096132</v>
      </c>
    </row>
    <row r="9855" spans="1:15" ht="16" x14ac:dyDescent="0.2">
      <c r="A9855" s="18"/>
      <c r="B9855" s="18"/>
      <c r="C9855" s="18"/>
      <c r="D9855" s="18"/>
      <c r="E9855" s="18"/>
      <c r="F9855" s="18"/>
      <c r="G9855" s="18"/>
      <c r="H9855" s="18"/>
      <c r="I9855" s="18"/>
      <c r="J9855" s="18"/>
      <c r="K9855" s="18"/>
      <c r="L9855" s="18"/>
      <c r="M9855" s="18"/>
      <c r="N9855" s="18"/>
      <c r="O9855" s="14" t="str">
        <f>HYPERLINK("https://otsuka-europe-crm.veevavault.com/ui/#object/email_activity__v/V8C00000003U772", "EN-002096456")</f>
        <v>EN-002096456</v>
      </c>
    </row>
    <row r="9856" spans="1:15" ht="16" x14ac:dyDescent="0.2">
      <c r="A9856" s="18"/>
      <c r="B9856" s="18"/>
      <c r="C9856" s="18"/>
      <c r="D9856" s="18"/>
      <c r="E9856" s="18"/>
      <c r="F9856" s="18"/>
      <c r="G9856" s="18"/>
      <c r="H9856" s="18"/>
      <c r="I9856" s="18"/>
      <c r="J9856" s="18"/>
      <c r="K9856" s="18"/>
      <c r="L9856" s="18"/>
      <c r="M9856" s="18"/>
      <c r="N9856" s="18"/>
      <c r="O9856" s="14" t="str">
        <f>HYPERLINK("https://otsuka-europe-crm.veevavault.com/ui/#object/email_activity__v/V8C00000003U773", "EN-002096455")</f>
        <v>EN-002096455</v>
      </c>
    </row>
    <row r="9857" spans="1:15" ht="16" x14ac:dyDescent="0.2">
      <c r="A9857" s="18"/>
      <c r="B9857" s="18"/>
      <c r="C9857" s="18"/>
      <c r="D9857" s="18"/>
      <c r="E9857" s="18"/>
      <c r="F9857" s="18"/>
      <c r="G9857" s="18"/>
      <c r="H9857" s="18"/>
      <c r="I9857" s="18"/>
      <c r="J9857" s="18"/>
      <c r="K9857" s="18"/>
      <c r="L9857" s="18"/>
      <c r="M9857" s="18"/>
      <c r="N9857" s="18"/>
      <c r="O9857" s="14" t="str">
        <f>HYPERLINK("https://otsuka-europe-crm.veevavault.com/ui/#object/email_activity__v/V8C00000003U928", "EN-002096837")</f>
        <v>EN-002096837</v>
      </c>
    </row>
    <row r="9858" spans="1:15" ht="16" x14ac:dyDescent="0.2">
      <c r="A9858" s="19"/>
      <c r="B9858" s="19"/>
      <c r="C9858" s="19"/>
      <c r="D9858" s="19"/>
      <c r="E9858" s="19"/>
      <c r="F9858" s="19"/>
      <c r="G9858" s="19"/>
      <c r="H9858" s="19"/>
      <c r="I9858" s="19"/>
      <c r="J9858" s="19"/>
      <c r="K9858" s="19"/>
      <c r="L9858" s="19"/>
      <c r="M9858" s="19"/>
      <c r="N9858" s="19"/>
      <c r="O9858" s="14" t="str">
        <f>HYPERLINK("https://otsuka-europe-crm.veevavault.com/ui/#object/email_activity__v/V8C00000003V870", "EN-002096457")</f>
        <v>EN-002096457</v>
      </c>
    </row>
    <row r="9859" spans="1:15" ht="16" x14ac:dyDescent="0.2">
      <c r="A9859" s="17" t="str">
        <f>HYPERLINK("https://otsuka-europe-crm.veevavault.com/ui/#object/account__v/V4T000000024031", "INMACULADA BENITO MARIN")</f>
        <v>INMACULADA BENITO MARIN</v>
      </c>
      <c r="B9859" s="17" t="str">
        <f>HYPERLINK("https://otsuka-europe-crm.veevavault.com/ui/#object/vcountry__v/VENZ000004SONF5", "ES")</f>
        <v>ES</v>
      </c>
      <c r="C9859" s="20" t="s">
        <v>41</v>
      </c>
      <c r="D9859" s="21" t="str">
        <f>HYPERLINK("https://otsuka-europe-crm.veevavault.com/ui/#object/approved_document__v/V5OZ04ASG4FWKA7", "Reuniones Online Consent - 2")</f>
        <v>Reuniones Online Consent - 2</v>
      </c>
      <c r="E9859" s="22" t="str">
        <f>HYPERLINK("https://otsuka-europe-crm.veevavault.com/ui/#object/sent_email__v/VBL00000002U306", "SE-001436121")</f>
        <v>SE-001436121</v>
      </c>
      <c r="F9859" s="23">
        <v>46188.938437500001</v>
      </c>
      <c r="G9859" s="24">
        <v>1</v>
      </c>
      <c r="H9859" s="24">
        <v>3</v>
      </c>
      <c r="I9859" s="24">
        <v>1</v>
      </c>
      <c r="J9859" s="23">
        <v>46188.66542824074</v>
      </c>
      <c r="K9859" s="24">
        <v>1</v>
      </c>
      <c r="L9859" s="22" t="str">
        <f>HYPERLINK("https://otsuka-europe-crm.veevavault.com/ui/#object/approved_document__v/V5OZ04ASG4FWKA7", "Reuniones Online Consent - 2")</f>
        <v>Reuniones Online Consent - 2</v>
      </c>
      <c r="M9859" s="22" t="str">
        <f>HYPERLINK("mailto:jcastro@crm.otsuka-europe.com", "jcastro@crm.otsuka-europe.com")</f>
        <v>jcastro@crm.otsuka-europe.com</v>
      </c>
      <c r="N9859" s="23">
        <v>46188.529722222222</v>
      </c>
      <c r="O9859" s="14" t="str">
        <f>HYPERLINK("https://otsuka-europe-crm.veevavault.com/ui/#object/email_activity__v/V8C00000003U658", "EN-002096157")</f>
        <v>EN-002096157</v>
      </c>
    </row>
    <row r="9860" spans="1:15" ht="16" x14ac:dyDescent="0.2">
      <c r="A9860" s="18"/>
      <c r="B9860" s="18"/>
      <c r="C9860" s="18"/>
      <c r="D9860" s="18"/>
      <c r="E9860" s="18"/>
      <c r="F9860" s="18"/>
      <c r="G9860" s="18"/>
      <c r="H9860" s="18"/>
      <c r="I9860" s="18"/>
      <c r="J9860" s="18"/>
      <c r="K9860" s="18"/>
      <c r="L9860" s="18"/>
      <c r="M9860" s="18"/>
      <c r="N9860" s="18"/>
      <c r="O9860" s="14" t="str">
        <f>HYPERLINK("https://otsuka-europe-crm.veevavault.com/ui/#object/email_activity__v/V8C00000003U930", "EN-002096839")</f>
        <v>EN-002096839</v>
      </c>
    </row>
    <row r="9861" spans="1:15" ht="16" x14ac:dyDescent="0.2">
      <c r="A9861" s="18"/>
      <c r="B9861" s="18"/>
      <c r="C9861" s="18"/>
      <c r="D9861" s="18"/>
      <c r="E9861" s="18"/>
      <c r="F9861" s="18"/>
      <c r="G9861" s="18"/>
      <c r="H9861" s="18"/>
      <c r="I9861" s="18"/>
      <c r="J9861" s="18"/>
      <c r="K9861" s="18"/>
      <c r="L9861" s="18"/>
      <c r="M9861" s="18"/>
      <c r="N9861" s="18"/>
      <c r="O9861" s="14" t="str">
        <f>HYPERLINK("https://otsuka-europe-crm.veevavault.com/ui/#object/email_activity__v/V8C00000003V871", "EN-002096459")</f>
        <v>EN-002096459</v>
      </c>
    </row>
    <row r="9862" spans="1:15" ht="16" x14ac:dyDescent="0.2">
      <c r="A9862" s="18"/>
      <c r="B9862" s="18"/>
      <c r="C9862" s="18"/>
      <c r="D9862" s="18"/>
      <c r="E9862" s="18"/>
      <c r="F9862" s="18"/>
      <c r="G9862" s="18"/>
      <c r="H9862" s="18"/>
      <c r="I9862" s="18"/>
      <c r="J9862" s="18"/>
      <c r="K9862" s="18"/>
      <c r="L9862" s="18"/>
      <c r="M9862" s="18"/>
      <c r="N9862" s="18"/>
      <c r="O9862" s="14" t="str">
        <f>HYPERLINK("https://otsuka-europe-crm.veevavault.com/ui/#object/email_activity__v/V8C00000003V872", "EN-002096458")</f>
        <v>EN-002096458</v>
      </c>
    </row>
    <row r="9863" spans="1:15" ht="16" x14ac:dyDescent="0.2">
      <c r="A9863" s="19"/>
      <c r="B9863" s="19"/>
      <c r="C9863" s="19"/>
      <c r="D9863" s="19"/>
      <c r="E9863" s="19"/>
      <c r="F9863" s="19"/>
      <c r="G9863" s="19"/>
      <c r="H9863" s="19"/>
      <c r="I9863" s="19"/>
      <c r="J9863" s="19"/>
      <c r="K9863" s="19"/>
      <c r="L9863" s="19"/>
      <c r="M9863" s="19"/>
      <c r="N9863" s="19"/>
      <c r="O9863" s="14" t="str">
        <f>HYPERLINK("https://otsuka-europe-crm.veevavault.com/ui/#object/email_activity__v/V8C00000003V873", "EN-002096460")</f>
        <v>EN-002096460</v>
      </c>
    </row>
    <row r="9864" spans="1:15" ht="16" x14ac:dyDescent="0.2">
      <c r="A9864" s="17" t="str">
        <f>HYPERLINK("https://otsuka-europe-crm.veevavault.com/ui/#object/account__v/V4T000000024031", "INMACULADA BENITO MARIN")</f>
        <v>INMACULADA BENITO MARIN</v>
      </c>
      <c r="B9864" s="17" t="str">
        <f>HYPERLINK("https://otsuka-europe-crm.veevavault.com/ui/#object/vcountry__v/VENZ000004SONF5", "ES")</f>
        <v>ES</v>
      </c>
      <c r="C9864" s="20" t="s">
        <v>41</v>
      </c>
      <c r="D9864" s="21" t="str">
        <f>HYPERLINK("https://otsuka-europe-crm.veevavault.com/ui/#object/approved_document__v/V5OZ04ASG4FWKA9", "Documento Autorizaciขn Centro Empleador")</f>
        <v>Documento Autorizaciขn Centro Empleador</v>
      </c>
      <c r="E9864" s="22" t="str">
        <f>HYPERLINK("https://otsuka-europe-crm.veevavault.com/ui/#object/sent_email__v/VBL00000002U307", "SE-001436122")</f>
        <v>SE-001436122</v>
      </c>
      <c r="F9864" s="23">
        <v>46198.709004629629</v>
      </c>
      <c r="G9864" s="24">
        <v>1</v>
      </c>
      <c r="H9864" s="24">
        <v>4</v>
      </c>
      <c r="I9864" s="24">
        <v>1</v>
      </c>
      <c r="J9864" s="23">
        <v>46188.664976851855</v>
      </c>
      <c r="K9864" s="24">
        <v>1</v>
      </c>
      <c r="L9864" s="22" t="str">
        <f>HYPERLINK("https://otsuka-europe-crm.veevavault.com/ui/#object/approved_document__v/V5OZ04ASG4FWKA9", "Documento Autorizaciขn Centro Empleador")</f>
        <v>Documento Autorizaciขn Centro Empleador</v>
      </c>
      <c r="M9864" s="22" t="str">
        <f>HYPERLINK("mailto:jcastro@crm.otsuka-europe.com", "jcastro@crm.otsuka-europe.com")</f>
        <v>jcastro@crm.otsuka-europe.com</v>
      </c>
      <c r="N9864" s="23">
        <v>46188.529687499999</v>
      </c>
      <c r="O9864" s="14" t="str">
        <f>HYPERLINK("https://otsuka-europe-crm.veevavault.com/ui/#object/email_activity__v/V8C00000003U653", "EN-002096152")</f>
        <v>EN-002096152</v>
      </c>
    </row>
    <row r="9865" spans="1:15" ht="16" x14ac:dyDescent="0.2">
      <c r="A9865" s="18"/>
      <c r="B9865" s="18"/>
      <c r="C9865" s="18"/>
      <c r="D9865" s="18"/>
      <c r="E9865" s="18"/>
      <c r="F9865" s="18"/>
      <c r="G9865" s="18"/>
      <c r="H9865" s="18"/>
      <c r="I9865" s="18"/>
      <c r="J9865" s="18"/>
      <c r="K9865" s="18"/>
      <c r="L9865" s="18"/>
      <c r="M9865" s="18"/>
      <c r="N9865" s="18"/>
      <c r="O9865" s="14" t="str">
        <f>HYPERLINK("https://otsuka-europe-crm.veevavault.com/ui/#object/email_activity__v/V8C00000003U929", "EN-002096838")</f>
        <v>EN-002096838</v>
      </c>
    </row>
    <row r="9866" spans="1:15" ht="16" x14ac:dyDescent="0.2">
      <c r="A9866" s="18"/>
      <c r="B9866" s="18"/>
      <c r="C9866" s="18"/>
      <c r="D9866" s="18"/>
      <c r="E9866" s="18"/>
      <c r="F9866" s="18"/>
      <c r="G9866" s="18"/>
      <c r="H9866" s="18"/>
      <c r="I9866" s="18"/>
      <c r="J9866" s="18"/>
      <c r="K9866" s="18"/>
      <c r="L9866" s="18"/>
      <c r="M9866" s="18"/>
      <c r="N9866" s="18"/>
      <c r="O9866" s="14" t="str">
        <f>HYPERLINK("https://otsuka-europe-crm.veevavault.com/ui/#object/email_activity__v/V8C00000003V867", "EN-002096451")</f>
        <v>EN-002096451</v>
      </c>
    </row>
    <row r="9867" spans="1:15" ht="16" x14ac:dyDescent="0.2">
      <c r="A9867" s="18"/>
      <c r="B9867" s="18"/>
      <c r="C9867" s="18"/>
      <c r="D9867" s="18"/>
      <c r="E9867" s="18"/>
      <c r="F9867" s="18"/>
      <c r="G9867" s="18"/>
      <c r="H9867" s="18"/>
      <c r="I9867" s="18"/>
      <c r="J9867" s="18"/>
      <c r="K9867" s="18"/>
      <c r="L9867" s="18"/>
      <c r="M9867" s="18"/>
      <c r="N9867" s="18"/>
      <c r="O9867" s="14" t="str">
        <f>HYPERLINK("https://otsuka-europe-crm.veevavault.com/ui/#object/email_activity__v/V8C00000003V868", "EN-002096454")</f>
        <v>EN-002096454</v>
      </c>
    </row>
    <row r="9868" spans="1:15" ht="16" x14ac:dyDescent="0.2">
      <c r="A9868" s="18"/>
      <c r="B9868" s="18"/>
      <c r="C9868" s="18"/>
      <c r="D9868" s="18"/>
      <c r="E9868" s="18"/>
      <c r="F9868" s="18"/>
      <c r="G9868" s="18"/>
      <c r="H9868" s="18"/>
      <c r="I9868" s="18"/>
      <c r="J9868" s="18"/>
      <c r="K9868" s="18"/>
      <c r="L9868" s="18"/>
      <c r="M9868" s="18"/>
      <c r="N9868" s="18"/>
      <c r="O9868" s="14" t="str">
        <f>HYPERLINK("https://otsuka-europe-crm.veevavault.com/ui/#object/email_activity__v/V8C00000003V869", "EN-002096453")</f>
        <v>EN-002096453</v>
      </c>
    </row>
    <row r="9869" spans="1:15" ht="16" x14ac:dyDescent="0.2">
      <c r="A9869" s="19"/>
      <c r="B9869" s="19"/>
      <c r="C9869" s="19"/>
      <c r="D9869" s="19"/>
      <c r="E9869" s="19"/>
      <c r="F9869" s="19"/>
      <c r="G9869" s="19"/>
      <c r="H9869" s="19"/>
      <c r="I9869" s="19"/>
      <c r="J9869" s="19"/>
      <c r="K9869" s="19"/>
      <c r="L9869" s="19"/>
      <c r="M9869" s="19"/>
      <c r="N9869" s="19"/>
      <c r="O9869" s="14" t="str">
        <f>HYPERLINK("https://otsuka-europe-crm.veevavault.com/ui/#object/email_activity__v/V8C00000003Z503", "EN-002099689")</f>
        <v>EN-002099689</v>
      </c>
    </row>
    <row r="9870" spans="1:15" ht="16" x14ac:dyDescent="0.2">
      <c r="A9870" s="17" t="str">
        <f>HYPERLINK("https://otsuka-europe-crm.veevavault.com/ui/#object/account__v/V4TZ04ASG6T5XQA", "Su Hein")</f>
        <v>Su Hein</v>
      </c>
      <c r="B9870" s="17" t="str">
        <f>HYPERLINK("https://otsuka-europe-crm.veevavault.com/ui/#object/vcountry__v/VENZ000004SONFK", "GB")</f>
        <v>GB</v>
      </c>
      <c r="C9870" s="20" t="s">
        <v>39</v>
      </c>
      <c r="D9870" s="21" t="str">
        <f>HYPERLINK("https://otsuka-europe-crm.veevavault.com/ui/#object/approved_document__v/V5O00000001H005", "LDM DR P2P Invite 23-Jun-26 [digital]")</f>
        <v>LDM DR P2P Invite 23-Jun-26 [digital]</v>
      </c>
      <c r="E9870" s="22" t="str">
        <f>HYPERLINK("https://otsuka-europe-crm.veevavault.com/ui/#object/sent_email__v/VBL00000002U308", "SE-001436123")</f>
        <v>SE-001436123</v>
      </c>
      <c r="F9870" s="23">
        <v>46188.568148148152</v>
      </c>
      <c r="G9870" s="24">
        <v>1</v>
      </c>
      <c r="H9870" s="24">
        <v>2</v>
      </c>
      <c r="I9870" s="24">
        <v>0</v>
      </c>
      <c r="J9870" s="25"/>
      <c r="K9870" s="24">
        <v>0</v>
      </c>
      <c r="L9870" s="22" t="str">
        <f>HYPERLINK("https://otsuka-europe-crm.veevavault.com/ui/#object/approved_document__v/V5O00000001H005", "LDM DR P2P Invite 23-Jun-26 [digital]")</f>
        <v>LDM DR P2P Invite 23-Jun-26 [digital]</v>
      </c>
      <c r="M9870" s="22" t="str">
        <f>HYPERLINK("mailto:ldimambro@crm.otsuka-europe.com", "ldimambro@crm.otsuka-europe.com")</f>
        <v>ldimambro@crm.otsuka-europe.com</v>
      </c>
      <c r="N9870" s="23">
        <v>46188.529745370368</v>
      </c>
      <c r="O9870" s="14" t="str">
        <f>HYPERLINK("https://otsuka-europe-crm.veevavault.com/ui/#object/email_activity__v/V8C00000003U660", "EN-002096159")</f>
        <v>EN-002096159</v>
      </c>
    </row>
    <row r="9871" spans="1:15" ht="16" x14ac:dyDescent="0.2">
      <c r="A9871" s="18"/>
      <c r="B9871" s="18"/>
      <c r="C9871" s="18"/>
      <c r="D9871" s="18"/>
      <c r="E9871" s="18"/>
      <c r="F9871" s="18"/>
      <c r="G9871" s="18"/>
      <c r="H9871" s="18"/>
      <c r="I9871" s="18"/>
      <c r="J9871" s="18"/>
      <c r="K9871" s="18"/>
      <c r="L9871" s="18"/>
      <c r="M9871" s="18"/>
      <c r="N9871" s="18"/>
      <c r="O9871" s="14" t="str">
        <f>HYPERLINK("https://otsuka-europe-crm.veevavault.com/ui/#object/email_activity__v/V8C00000003U690", "EN-002096205")</f>
        <v>EN-002096205</v>
      </c>
    </row>
    <row r="9872" spans="1:15" ht="16" x14ac:dyDescent="0.2">
      <c r="A9872" s="19"/>
      <c r="B9872" s="19"/>
      <c r="C9872" s="19"/>
      <c r="D9872" s="19"/>
      <c r="E9872" s="19"/>
      <c r="F9872" s="19"/>
      <c r="G9872" s="19"/>
      <c r="H9872" s="19"/>
      <c r="I9872" s="19"/>
      <c r="J9872" s="19"/>
      <c r="K9872" s="19"/>
      <c r="L9872" s="19"/>
      <c r="M9872" s="19"/>
      <c r="N9872" s="19"/>
      <c r="O9872" s="14" t="str">
        <f>HYPERLINK("https://otsuka-europe-crm.veevavault.com/ui/#object/email_activity__v/V8C00000003V715", "EN-002096224")</f>
        <v>EN-002096224</v>
      </c>
    </row>
    <row r="9873" spans="1:15" ht="32" x14ac:dyDescent="0.2">
      <c r="A9873" s="7" t="str">
        <f>HYPERLINK("https://otsuka-europe-crm.veevavault.com/ui/#object/account__v/V4TZ025E85YI3EY", "Talisa McWilliams")</f>
        <v>Talisa McWilliams</v>
      </c>
      <c r="B9873" s="7" t="str">
        <f>HYPERLINK("https://otsuka-europe-crm.veevavault.com/ui/#object/vcountry__v/VENZ000004SONFK", "GB")</f>
        <v>GB</v>
      </c>
      <c r="C9873" s="8" t="s">
        <v>39</v>
      </c>
      <c r="D9873" s="9" t="str">
        <f>HYPERLINK("https://otsuka-europe-crm.veevavault.com/ui/#object/approved_document__v/V5O00000001H005", "LDM DR P2P Invite 23-Jun-26 [digital]")</f>
        <v>LDM DR P2P Invite 23-Jun-26 [digital]</v>
      </c>
      <c r="E9873" s="10" t="str">
        <f>HYPERLINK("https://otsuka-europe-crm.veevavault.com/ui/#object/sent_email__v/VBL00000002U309", "SE-001436124")</f>
        <v>SE-001436124</v>
      </c>
      <c r="F9873" s="11"/>
      <c r="G9873" s="12">
        <v>0</v>
      </c>
      <c r="H9873" s="12">
        <v>0</v>
      </c>
      <c r="I9873" s="12">
        <v>0</v>
      </c>
      <c r="J9873" s="11"/>
      <c r="K9873" s="12">
        <v>0</v>
      </c>
      <c r="L9873" s="10" t="str">
        <f>HYPERLINK("https://otsuka-europe-crm.veevavault.com/ui/#object/approved_document__v/V5O00000001H005", "LDM DR P2P Invite 23-Jun-26 [digital]")</f>
        <v>LDM DR P2P Invite 23-Jun-26 [digital]</v>
      </c>
      <c r="M9873" s="10" t="str">
        <f>HYPERLINK("mailto:ldimambro@crm.otsuka-europe.com", "ldimambro@crm.otsuka-europe.com")</f>
        <v>ldimambro@crm.otsuka-europe.com</v>
      </c>
      <c r="N9873" s="13">
        <v>46188.529745370368</v>
      </c>
      <c r="O9873" s="14" t="str">
        <f>HYPERLINK("https://otsuka-europe-crm.veevavault.com/ui/#object/email_activity__v/V8C00000003U662", "EN-002096161")</f>
        <v>EN-002096161</v>
      </c>
    </row>
    <row r="9874" spans="1:15" ht="16" x14ac:dyDescent="0.2">
      <c r="A9874" s="17" t="str">
        <f>HYPERLINK("https://otsuka-europe-crm.veevavault.com/ui/#object/account__v/V4TZ0000062PI2K", "Tanushree Sarma")</f>
        <v>Tanushree Sarma</v>
      </c>
      <c r="B9874" s="17" t="str">
        <f>HYPERLINK("https://otsuka-europe-crm.veevavault.com/ui/#object/vcountry__v/VENZ000004SONFK", "GB")</f>
        <v>GB</v>
      </c>
      <c r="C9874" s="20" t="s">
        <v>39</v>
      </c>
      <c r="D9874" s="21" t="str">
        <f>HYPERLINK("https://otsuka-europe-crm.veevavault.com/ui/#object/approved_document__v/V5O00000001H005", "LDM DR P2P Invite 23-Jun-26 [digital]")</f>
        <v>LDM DR P2P Invite 23-Jun-26 [digital]</v>
      </c>
      <c r="E9874" s="22" t="str">
        <f>HYPERLINK("https://otsuka-europe-crm.veevavault.com/ui/#object/sent_email__v/VBL00000002U310", "SE-001436125")</f>
        <v>SE-001436125</v>
      </c>
      <c r="F9874" s="23">
        <v>46188.541006944448</v>
      </c>
      <c r="G9874" s="24">
        <v>1</v>
      </c>
      <c r="H9874" s="24">
        <v>4</v>
      </c>
      <c r="I9874" s="24">
        <v>0</v>
      </c>
      <c r="J9874" s="25"/>
      <c r="K9874" s="24">
        <v>0</v>
      </c>
      <c r="L9874" s="22" t="str">
        <f>HYPERLINK("https://otsuka-europe-crm.veevavault.com/ui/#object/approved_document__v/V5O00000001H005", "LDM DR P2P Invite 23-Jun-26 [digital]")</f>
        <v>LDM DR P2P Invite 23-Jun-26 [digital]</v>
      </c>
      <c r="M9874" s="22" t="str">
        <f>HYPERLINK("mailto:ldimambro@crm.otsuka-europe.com", "ldimambro@crm.otsuka-europe.com")</f>
        <v>ldimambro@crm.otsuka-europe.com</v>
      </c>
      <c r="N9874" s="23">
        <v>46188.529745370368</v>
      </c>
      <c r="O9874" s="14" t="str">
        <f>HYPERLINK("https://otsuka-europe-crm.veevavault.com/ui/#object/email_activity__v/V8C00000003U636", "EN-002096135")</f>
        <v>EN-002096135</v>
      </c>
    </row>
    <row r="9875" spans="1:15" ht="16" x14ac:dyDescent="0.2">
      <c r="A9875" s="18"/>
      <c r="B9875" s="18"/>
      <c r="C9875" s="18"/>
      <c r="D9875" s="18"/>
      <c r="E9875" s="18"/>
      <c r="F9875" s="18"/>
      <c r="G9875" s="18"/>
      <c r="H9875" s="18"/>
      <c r="I9875" s="18"/>
      <c r="J9875" s="18"/>
      <c r="K9875" s="18"/>
      <c r="L9875" s="18"/>
      <c r="M9875" s="18"/>
      <c r="N9875" s="18"/>
      <c r="O9875" s="14" t="str">
        <f>HYPERLINK("https://otsuka-europe-crm.veevavault.com/ui/#object/email_activity__v/V8C00000003U654", "EN-002096153")</f>
        <v>EN-002096153</v>
      </c>
    </row>
    <row r="9876" spans="1:15" ht="16" x14ac:dyDescent="0.2">
      <c r="A9876" s="18"/>
      <c r="B9876" s="18"/>
      <c r="C9876" s="18"/>
      <c r="D9876" s="18"/>
      <c r="E9876" s="18"/>
      <c r="F9876" s="18"/>
      <c r="G9876" s="18"/>
      <c r="H9876" s="18"/>
      <c r="I9876" s="18"/>
      <c r="J9876" s="18"/>
      <c r="K9876" s="18"/>
      <c r="L9876" s="18"/>
      <c r="M9876" s="18"/>
      <c r="N9876" s="18"/>
      <c r="O9876" s="14" t="str">
        <f>HYPERLINK("https://otsuka-europe-crm.veevavault.com/ui/#object/email_activity__v/V8C00000003U670", "EN-002096169")</f>
        <v>EN-002096169</v>
      </c>
    </row>
    <row r="9877" spans="1:15" ht="16" x14ac:dyDescent="0.2">
      <c r="A9877" s="18"/>
      <c r="B9877" s="18"/>
      <c r="C9877" s="18"/>
      <c r="D9877" s="18"/>
      <c r="E9877" s="18"/>
      <c r="F9877" s="18"/>
      <c r="G9877" s="18"/>
      <c r="H9877" s="18"/>
      <c r="I9877" s="18"/>
      <c r="J9877" s="18"/>
      <c r="K9877" s="18"/>
      <c r="L9877" s="18"/>
      <c r="M9877" s="18"/>
      <c r="N9877" s="18"/>
      <c r="O9877" s="14" t="str">
        <f>HYPERLINK("https://otsuka-europe-crm.veevavault.com/ui/#object/email_activity__v/V8C00000003U684", "EN-002096191")</f>
        <v>EN-002096191</v>
      </c>
    </row>
    <row r="9878" spans="1:15" ht="16" x14ac:dyDescent="0.2">
      <c r="A9878" s="18"/>
      <c r="B9878" s="18"/>
      <c r="C9878" s="18"/>
      <c r="D9878" s="18"/>
      <c r="E9878" s="18"/>
      <c r="F9878" s="18"/>
      <c r="G9878" s="18"/>
      <c r="H9878" s="18"/>
      <c r="I9878" s="18"/>
      <c r="J9878" s="18"/>
      <c r="K9878" s="18"/>
      <c r="L9878" s="18"/>
      <c r="M9878" s="18"/>
      <c r="N9878" s="18"/>
      <c r="O9878" s="14" t="str">
        <f>HYPERLINK("https://otsuka-europe-crm.veevavault.com/ui/#object/email_activity__v/V8C00000003U687", "EN-002096194")</f>
        <v>EN-002096194</v>
      </c>
    </row>
    <row r="9879" spans="1:15" ht="16" x14ac:dyDescent="0.2">
      <c r="A9879" s="19"/>
      <c r="B9879" s="19"/>
      <c r="C9879" s="19"/>
      <c r="D9879" s="19"/>
      <c r="E9879" s="19"/>
      <c r="F9879" s="19"/>
      <c r="G9879" s="19"/>
      <c r="H9879" s="19"/>
      <c r="I9879" s="19"/>
      <c r="J9879" s="19"/>
      <c r="K9879" s="19"/>
      <c r="L9879" s="19"/>
      <c r="M9879" s="19"/>
      <c r="N9879" s="19"/>
      <c r="O9879" s="14" t="str">
        <f>HYPERLINK("https://otsuka-europe-crm.veevavault.com/ui/#object/email_activity__v/V8C00000003U937", "EN-002096848")</f>
        <v>EN-002096848</v>
      </c>
    </row>
    <row r="9880" spans="1:15" ht="32" x14ac:dyDescent="0.2">
      <c r="A9880" s="7" t="str">
        <f>HYPERLINK("https://otsuka-europe-crm.veevavault.com/ui/#object/account__v/V4TZ0000062PE8T", "Rina Gupta")</f>
        <v>Rina Gupta</v>
      </c>
      <c r="B9880" s="7" t="str">
        <f t="shared" ref="B9880:B9887" si="738">HYPERLINK("https://otsuka-europe-crm.veevavault.com/ui/#object/vcountry__v/VENZ000004SONFK", "GB")</f>
        <v>GB</v>
      </c>
      <c r="C9880" s="8" t="s">
        <v>39</v>
      </c>
      <c r="D9880" s="9" t="str">
        <f t="shared" ref="D9880:D9887" si="739">HYPERLINK("https://otsuka-europe-crm.veevavault.com/ui/#object/approved_document__v/V5O00000001H005", "LDM DR P2P Invite 23-Jun-26 [digital]")</f>
        <v>LDM DR P2P Invite 23-Jun-26 [digital]</v>
      </c>
      <c r="E9880" s="10" t="str">
        <f>HYPERLINK("https://otsuka-europe-crm.veevavault.com/ui/#object/sent_email__v/VBL00000002U311", "SE-001436126")</f>
        <v>SE-001436126</v>
      </c>
      <c r="F9880" s="11"/>
      <c r="G9880" s="12">
        <v>0</v>
      </c>
      <c r="H9880" s="12">
        <v>0</v>
      </c>
      <c r="I9880" s="12">
        <v>0</v>
      </c>
      <c r="J9880" s="11"/>
      <c r="K9880" s="12">
        <v>0</v>
      </c>
      <c r="L9880" s="10" t="str">
        <f t="shared" ref="L9880:L9887" si="740">HYPERLINK("https://otsuka-europe-crm.veevavault.com/ui/#object/approved_document__v/V5O00000001H005", "LDM DR P2P Invite 23-Jun-26 [digital]")</f>
        <v>LDM DR P2P Invite 23-Jun-26 [digital]</v>
      </c>
      <c r="M9880" s="10" t="str">
        <f t="shared" ref="M9880:M9887" si="741">HYPERLINK("mailto:ldimambro@crm.otsuka-europe.com", "ldimambro@crm.otsuka-europe.com")</f>
        <v>ldimambro@crm.otsuka-europe.com</v>
      </c>
      <c r="N9880" s="13">
        <v>46188.529733796298</v>
      </c>
      <c r="O9880" s="14" t="str">
        <f>HYPERLINK("https://otsuka-europe-crm.veevavault.com/ui/#object/email_activity__v/V8C00000003U646", "EN-002096145")</f>
        <v>EN-002096145</v>
      </c>
    </row>
    <row r="9881" spans="1:15" ht="32" x14ac:dyDescent="0.2">
      <c r="A9881" s="7" t="str">
        <f>HYPERLINK("https://otsuka-europe-crm.veevavault.com/ui/#object/account__v/V4TZ0000062PFQK", "Shaheen Ansari")</f>
        <v>Shaheen Ansari</v>
      </c>
      <c r="B9881" s="7" t="str">
        <f t="shared" si="738"/>
        <v>GB</v>
      </c>
      <c r="C9881" s="8" t="s">
        <v>39</v>
      </c>
      <c r="D9881" s="9" t="str">
        <f t="shared" si="739"/>
        <v>LDM DR P2P Invite 23-Jun-26 [digital]</v>
      </c>
      <c r="E9881" s="10" t="str">
        <f>HYPERLINK("https://otsuka-europe-crm.veevavault.com/ui/#object/sent_email__v/VBL00000002U312", "SE-001436127")</f>
        <v>SE-001436127</v>
      </c>
      <c r="F9881" s="11"/>
      <c r="G9881" s="12">
        <v>0</v>
      </c>
      <c r="H9881" s="12">
        <v>0</v>
      </c>
      <c r="I9881" s="12">
        <v>0</v>
      </c>
      <c r="J9881" s="11"/>
      <c r="K9881" s="12">
        <v>0</v>
      </c>
      <c r="L9881" s="10" t="str">
        <f t="shared" si="740"/>
        <v>LDM DR P2P Invite 23-Jun-26 [digital]</v>
      </c>
      <c r="M9881" s="10" t="str">
        <f t="shared" si="741"/>
        <v>ldimambro@crm.otsuka-europe.com</v>
      </c>
      <c r="N9881" s="13">
        <v>46188.529733796298</v>
      </c>
      <c r="O9881" s="14" t="str">
        <f>HYPERLINK("https://otsuka-europe-crm.veevavault.com/ui/#object/email_activity__v/V8C00000003U640", "EN-002096139")</f>
        <v>EN-002096139</v>
      </c>
    </row>
    <row r="9882" spans="1:15" ht="32" x14ac:dyDescent="0.2">
      <c r="A9882" s="7" t="str">
        <f>HYPERLINK("https://otsuka-europe-crm.veevavault.com/ui/#object/account__v/V4TZ04ASGG578Q7", "Silvia Astefanei")</f>
        <v>Silvia Astefanei</v>
      </c>
      <c r="B9882" s="7" t="str">
        <f t="shared" si="738"/>
        <v>GB</v>
      </c>
      <c r="C9882" s="8" t="s">
        <v>39</v>
      </c>
      <c r="D9882" s="9" t="str">
        <f t="shared" si="739"/>
        <v>LDM DR P2P Invite 23-Jun-26 [digital]</v>
      </c>
      <c r="E9882" s="10" t="str">
        <f>HYPERLINK("https://otsuka-europe-crm.veevavault.com/ui/#object/sent_email__v/VBL00000002U313", "SE-001436128")</f>
        <v>SE-001436128</v>
      </c>
      <c r="F9882" s="11"/>
      <c r="G9882" s="12">
        <v>0</v>
      </c>
      <c r="H9882" s="12">
        <v>0</v>
      </c>
      <c r="I9882" s="12">
        <v>0</v>
      </c>
      <c r="J9882" s="11"/>
      <c r="K9882" s="12">
        <v>0</v>
      </c>
      <c r="L9882" s="10" t="str">
        <f t="shared" si="740"/>
        <v>LDM DR P2P Invite 23-Jun-26 [digital]</v>
      </c>
      <c r="M9882" s="10" t="str">
        <f t="shared" si="741"/>
        <v>ldimambro@crm.otsuka-europe.com</v>
      </c>
      <c r="N9882" s="13">
        <v>46188.529733796298</v>
      </c>
      <c r="O9882" s="14" t="str">
        <f>HYPERLINK("https://otsuka-europe-crm.veevavault.com/ui/#object/email_activity__v/V8C00000003U632", "EN-002096131")</f>
        <v>EN-002096131</v>
      </c>
    </row>
    <row r="9883" spans="1:15" ht="32" x14ac:dyDescent="0.2">
      <c r="A9883" s="7" t="str">
        <f>HYPERLINK("https://otsuka-europe-crm.veevavault.com/ui/#object/account__v/V4TZ0000062PIOD", "Victor Udu")</f>
        <v>Victor Udu</v>
      </c>
      <c r="B9883" s="7" t="str">
        <f t="shared" si="738"/>
        <v>GB</v>
      </c>
      <c r="C9883" s="8" t="s">
        <v>39</v>
      </c>
      <c r="D9883" s="9" t="str">
        <f t="shared" si="739"/>
        <v>LDM DR P2P Invite 23-Jun-26 [digital]</v>
      </c>
      <c r="E9883" s="10" t="str">
        <f>HYPERLINK("https://otsuka-europe-crm.veevavault.com/ui/#object/sent_email__v/VBL00000002U314", "SE-001436129")</f>
        <v>SE-001436129</v>
      </c>
      <c r="F9883" s="11"/>
      <c r="G9883" s="12">
        <v>0</v>
      </c>
      <c r="H9883" s="12">
        <v>0</v>
      </c>
      <c r="I9883" s="12">
        <v>0</v>
      </c>
      <c r="J9883" s="11"/>
      <c r="K9883" s="12">
        <v>0</v>
      </c>
      <c r="L9883" s="10" t="str">
        <f t="shared" si="740"/>
        <v>LDM DR P2P Invite 23-Jun-26 [digital]</v>
      </c>
      <c r="M9883" s="10" t="str">
        <f t="shared" si="741"/>
        <v>ldimambro@crm.otsuka-europe.com</v>
      </c>
      <c r="N9883" s="13">
        <v>46188.529733796298</v>
      </c>
      <c r="O9883" s="14" t="str">
        <f>HYPERLINK("https://otsuka-europe-crm.veevavault.com/ui/#object/email_activity__v/V8C00000003U638", "EN-002096137")</f>
        <v>EN-002096137</v>
      </c>
    </row>
    <row r="9884" spans="1:15" ht="32" x14ac:dyDescent="0.2">
      <c r="A9884" s="7" t="str">
        <f>HYPERLINK("https://otsuka-europe-crm.veevavault.com/ui/#object/account__v/V4TZ0000062PB70", "Sangeetha Kolli")</f>
        <v>Sangeetha Kolli</v>
      </c>
      <c r="B9884" s="7" t="str">
        <f t="shared" si="738"/>
        <v>GB</v>
      </c>
      <c r="C9884" s="8" t="s">
        <v>39</v>
      </c>
      <c r="D9884" s="9" t="str">
        <f t="shared" si="739"/>
        <v>LDM DR P2P Invite 23-Jun-26 [digital]</v>
      </c>
      <c r="E9884" s="10" t="str">
        <f>HYPERLINK("https://otsuka-europe-crm.veevavault.com/ui/#object/sent_email__v/VBL00000002U315", "SE-001436130")</f>
        <v>SE-001436130</v>
      </c>
      <c r="F9884" s="11"/>
      <c r="G9884" s="12">
        <v>0</v>
      </c>
      <c r="H9884" s="12">
        <v>0</v>
      </c>
      <c r="I9884" s="12">
        <v>0</v>
      </c>
      <c r="J9884" s="11"/>
      <c r="K9884" s="12">
        <v>0</v>
      </c>
      <c r="L9884" s="10" t="str">
        <f t="shared" si="740"/>
        <v>LDM DR P2P Invite 23-Jun-26 [digital]</v>
      </c>
      <c r="M9884" s="10" t="str">
        <f t="shared" si="741"/>
        <v>ldimambro@crm.otsuka-europe.com</v>
      </c>
      <c r="N9884" s="13">
        <v>46188.529733796298</v>
      </c>
      <c r="O9884" s="14" t="str">
        <f>HYPERLINK("https://otsuka-europe-crm.veevavault.com/ui/#object/email_activity__v/V8C00000003U637", "EN-002096136")</f>
        <v>EN-002096136</v>
      </c>
    </row>
    <row r="9885" spans="1:15" ht="32" x14ac:dyDescent="0.2">
      <c r="A9885" s="7" t="str">
        <f>HYPERLINK("https://otsuka-europe-crm.veevavault.com/ui/#object/account__v/V4TZ0000062PFBV", "Sander Kooij")</f>
        <v>Sander Kooij</v>
      </c>
      <c r="B9885" s="7" t="str">
        <f t="shared" si="738"/>
        <v>GB</v>
      </c>
      <c r="C9885" s="8" t="s">
        <v>39</v>
      </c>
      <c r="D9885" s="9" t="str">
        <f t="shared" si="739"/>
        <v>LDM DR P2P Invite 23-Jun-26 [digital]</v>
      </c>
      <c r="E9885" s="10" t="str">
        <f>HYPERLINK("https://otsuka-europe-crm.veevavault.com/ui/#object/sent_email__v/VBL00000002U316", "SE-001436131")</f>
        <v>SE-001436131</v>
      </c>
      <c r="F9885" s="11"/>
      <c r="G9885" s="12">
        <v>0</v>
      </c>
      <c r="H9885" s="12">
        <v>0</v>
      </c>
      <c r="I9885" s="12">
        <v>0</v>
      </c>
      <c r="J9885" s="11"/>
      <c r="K9885" s="12">
        <v>0</v>
      </c>
      <c r="L9885" s="10" t="str">
        <f t="shared" si="740"/>
        <v>LDM DR P2P Invite 23-Jun-26 [digital]</v>
      </c>
      <c r="M9885" s="10" t="str">
        <f t="shared" si="741"/>
        <v>ldimambro@crm.otsuka-europe.com</v>
      </c>
      <c r="N9885" s="13">
        <v>46188.529745370368</v>
      </c>
      <c r="O9885" s="14" t="str">
        <f>HYPERLINK("https://otsuka-europe-crm.veevavault.com/ui/#object/email_activity__v/V8C00000003U665", "EN-002096164")</f>
        <v>EN-002096164</v>
      </c>
    </row>
    <row r="9886" spans="1:15" ht="32" x14ac:dyDescent="0.2">
      <c r="A9886" s="7" t="str">
        <f>HYPERLINK("https://otsuka-europe-crm.veevavault.com/ui/#object/account__v/V4TZ04ASGEI8CRK", "Rose Akinnola")</f>
        <v>Rose Akinnola</v>
      </c>
      <c r="B9886" s="7" t="str">
        <f t="shared" si="738"/>
        <v>GB</v>
      </c>
      <c r="C9886" s="8" t="s">
        <v>39</v>
      </c>
      <c r="D9886" s="9" t="str">
        <f t="shared" si="739"/>
        <v>LDM DR P2P Invite 23-Jun-26 [digital]</v>
      </c>
      <c r="E9886" s="10" t="str">
        <f>HYPERLINK("https://otsuka-europe-crm.veevavault.com/ui/#object/sent_email__v/VBL00000002U317", "SE-001436132")</f>
        <v>SE-001436132</v>
      </c>
      <c r="F9886" s="11"/>
      <c r="G9886" s="12">
        <v>0</v>
      </c>
      <c r="H9886" s="12">
        <v>0</v>
      </c>
      <c r="I9886" s="12">
        <v>0</v>
      </c>
      <c r="J9886" s="11"/>
      <c r="K9886" s="12">
        <v>0</v>
      </c>
      <c r="L9886" s="10" t="str">
        <f t="shared" si="740"/>
        <v>LDM DR P2P Invite 23-Jun-26 [digital]</v>
      </c>
      <c r="M9886" s="10" t="str">
        <f t="shared" si="741"/>
        <v>ldimambro@crm.otsuka-europe.com</v>
      </c>
      <c r="N9886" s="13">
        <v>46188.529791666668</v>
      </c>
      <c r="O9886" s="14" t="str">
        <f>HYPERLINK("https://otsuka-europe-crm.veevavault.com/ui/#object/email_activity__v/V8C00000003U664", "EN-002096163")</f>
        <v>EN-002096163</v>
      </c>
    </row>
    <row r="9887" spans="1:15" ht="16" x14ac:dyDescent="0.2">
      <c r="A9887" s="17" t="str">
        <f>HYPERLINK("https://otsuka-europe-crm.veevavault.com/ui/#object/account__v/V4TZ0000062PHLZ", "Subbalekshmi Reddy")</f>
        <v>Subbalekshmi Reddy</v>
      </c>
      <c r="B9887" s="17" t="str">
        <f t="shared" si="738"/>
        <v>GB</v>
      </c>
      <c r="C9887" s="20" t="s">
        <v>39</v>
      </c>
      <c r="D9887" s="21" t="str">
        <f t="shared" si="739"/>
        <v>LDM DR P2P Invite 23-Jun-26 [digital]</v>
      </c>
      <c r="E9887" s="22" t="str">
        <f>HYPERLINK("https://otsuka-europe-crm.veevavault.com/ui/#object/sent_email__v/VBL00000002U318", "SE-001436133")</f>
        <v>SE-001436133</v>
      </c>
      <c r="F9887" s="23">
        <v>46195.249282407407</v>
      </c>
      <c r="G9887" s="24">
        <v>1</v>
      </c>
      <c r="H9887" s="24">
        <v>2</v>
      </c>
      <c r="I9887" s="24">
        <v>0</v>
      </c>
      <c r="J9887" s="25"/>
      <c r="K9887" s="24">
        <v>0</v>
      </c>
      <c r="L9887" s="22" t="str">
        <f t="shared" si="740"/>
        <v>LDM DR P2P Invite 23-Jun-26 [digital]</v>
      </c>
      <c r="M9887" s="22" t="str">
        <f t="shared" si="741"/>
        <v>ldimambro@crm.otsuka-europe.com</v>
      </c>
      <c r="N9887" s="23">
        <v>46188.529745370368</v>
      </c>
      <c r="O9887" s="14" t="str">
        <f>HYPERLINK("https://otsuka-europe-crm.veevavault.com/ui/#object/email_activity__v/V8C00000003U643", "EN-002096142")</f>
        <v>EN-002096142</v>
      </c>
    </row>
    <row r="9888" spans="1:15" ht="16" x14ac:dyDescent="0.2">
      <c r="A9888" s="18"/>
      <c r="B9888" s="18"/>
      <c r="C9888" s="18"/>
      <c r="D9888" s="18"/>
      <c r="E9888" s="18"/>
      <c r="F9888" s="18"/>
      <c r="G9888" s="18"/>
      <c r="H9888" s="18"/>
      <c r="I9888" s="18"/>
      <c r="J9888" s="18"/>
      <c r="K9888" s="18"/>
      <c r="L9888" s="18"/>
      <c r="M9888" s="18"/>
      <c r="N9888" s="18"/>
      <c r="O9888" s="14" t="str">
        <f>HYPERLINK("https://otsuka-europe-crm.veevavault.com/ui/#object/email_activity__v/V8C00000003U790", "EN-002096503")</f>
        <v>EN-002096503</v>
      </c>
    </row>
    <row r="9889" spans="1:15" ht="16" x14ac:dyDescent="0.2">
      <c r="A9889" s="18"/>
      <c r="B9889" s="18"/>
      <c r="C9889" s="18"/>
      <c r="D9889" s="18"/>
      <c r="E9889" s="18"/>
      <c r="F9889" s="18"/>
      <c r="G9889" s="18"/>
      <c r="H9889" s="18"/>
      <c r="I9889" s="18"/>
      <c r="J9889" s="18"/>
      <c r="K9889" s="18"/>
      <c r="L9889" s="18"/>
      <c r="M9889" s="18"/>
      <c r="N9889" s="18"/>
      <c r="O9889" s="14" t="str">
        <f>HYPERLINK("https://otsuka-europe-crm.veevavault.com/ui/#object/email_activity__v/V8C00000003V878", "EN-002096471")</f>
        <v>EN-002096471</v>
      </c>
    </row>
    <row r="9890" spans="1:15" ht="16" x14ac:dyDescent="0.2">
      <c r="A9890" s="18"/>
      <c r="B9890" s="18"/>
      <c r="C9890" s="18"/>
      <c r="D9890" s="18"/>
      <c r="E9890" s="18"/>
      <c r="F9890" s="18"/>
      <c r="G9890" s="18"/>
      <c r="H9890" s="18"/>
      <c r="I9890" s="18"/>
      <c r="J9890" s="18"/>
      <c r="K9890" s="18"/>
      <c r="L9890" s="18"/>
      <c r="M9890" s="18"/>
      <c r="N9890" s="18"/>
      <c r="O9890" s="14" t="str">
        <f>HYPERLINK("https://otsuka-europe-crm.veevavault.com/ui/#object/email_activity__v/V8C00000003Z114", "EN-002098867")</f>
        <v>EN-002098867</v>
      </c>
    </row>
    <row r="9891" spans="1:15" ht="16" x14ac:dyDescent="0.2">
      <c r="A9891" s="18"/>
      <c r="B9891" s="18"/>
      <c r="C9891" s="18"/>
      <c r="D9891" s="18"/>
      <c r="E9891" s="18"/>
      <c r="F9891" s="18"/>
      <c r="G9891" s="18"/>
      <c r="H9891" s="18"/>
      <c r="I9891" s="18"/>
      <c r="J9891" s="18"/>
      <c r="K9891" s="18"/>
      <c r="L9891" s="18"/>
      <c r="M9891" s="18"/>
      <c r="N9891" s="18"/>
      <c r="O9891" s="14" t="str">
        <f>HYPERLINK("https://otsuka-europe-crm.veevavault.com/ui/#object/email_activity__v/V8C000000040172", "EN-002098994")</f>
        <v>EN-002098994</v>
      </c>
    </row>
    <row r="9892" spans="1:15" ht="16" x14ac:dyDescent="0.2">
      <c r="A9892" s="19"/>
      <c r="B9892" s="19"/>
      <c r="C9892" s="19"/>
      <c r="D9892" s="19"/>
      <c r="E9892" s="19"/>
      <c r="F9892" s="19"/>
      <c r="G9892" s="19"/>
      <c r="H9892" s="19"/>
      <c r="I9892" s="19"/>
      <c r="J9892" s="19"/>
      <c r="K9892" s="19"/>
      <c r="L9892" s="19"/>
      <c r="M9892" s="19"/>
      <c r="N9892" s="19"/>
      <c r="O9892" s="14" t="str">
        <f>HYPERLINK("https://otsuka-europe-crm.veevavault.com/ui/#object/email_activity__v/V8C000000040537", "EN-002099635")</f>
        <v>EN-002099635</v>
      </c>
    </row>
    <row r="9893" spans="1:15" ht="16" x14ac:dyDescent="0.2">
      <c r="A9893" s="17" t="str">
        <f>HYPERLINK("https://otsuka-europe-crm.veevavault.com/ui/#object/account__v/V4TZ0000062PIM9", "Suresh Thurairatnam")</f>
        <v>Suresh Thurairatnam</v>
      </c>
      <c r="B9893" s="17" t="str">
        <f>HYPERLINK("https://otsuka-europe-crm.veevavault.com/ui/#object/vcountry__v/VENZ000004SONFK", "GB")</f>
        <v>GB</v>
      </c>
      <c r="C9893" s="20" t="s">
        <v>39</v>
      </c>
      <c r="D9893" s="21" t="str">
        <f>HYPERLINK("https://otsuka-europe-crm.veevavault.com/ui/#object/approved_document__v/V5O00000001H005", "LDM DR P2P Invite 23-Jun-26 [digital]")</f>
        <v>LDM DR P2P Invite 23-Jun-26 [digital]</v>
      </c>
      <c r="E9893" s="22" t="str">
        <f>HYPERLINK("https://otsuka-europe-crm.veevavault.com/ui/#object/sent_email__v/VBL00000002U319", "SE-001436134")</f>
        <v>SE-001436134</v>
      </c>
      <c r="F9893" s="25"/>
      <c r="G9893" s="24">
        <v>0</v>
      </c>
      <c r="H9893" s="24">
        <v>0</v>
      </c>
      <c r="I9893" s="24">
        <v>0</v>
      </c>
      <c r="J9893" s="25"/>
      <c r="K9893" s="24">
        <v>0</v>
      </c>
      <c r="L9893" s="22" t="str">
        <f>HYPERLINK("https://otsuka-europe-crm.veevavault.com/ui/#object/approved_document__v/V5O00000001H005", "LDM DR P2P Invite 23-Jun-26 [digital]")</f>
        <v>LDM DR P2P Invite 23-Jun-26 [digital]</v>
      </c>
      <c r="M9893" s="22" t="str">
        <f>HYPERLINK("mailto:ldimambro@crm.otsuka-europe.com", "ldimambro@crm.otsuka-europe.com")</f>
        <v>ldimambro@crm.otsuka-europe.com</v>
      </c>
      <c r="N9893" s="23">
        <v>46188.529733796298</v>
      </c>
      <c r="O9893" s="14" t="str">
        <f>HYPERLINK("https://otsuka-europe-crm.veevavault.com/ui/#object/email_activity__v/V8C00000003U631", "EN-002096130")</f>
        <v>EN-002096130</v>
      </c>
    </row>
    <row r="9894" spans="1:15" ht="16" x14ac:dyDescent="0.2">
      <c r="A9894" s="19"/>
      <c r="B9894" s="19"/>
      <c r="C9894" s="19"/>
      <c r="D9894" s="19"/>
      <c r="E9894" s="19"/>
      <c r="F9894" s="19"/>
      <c r="G9894" s="19"/>
      <c r="H9894" s="19"/>
      <c r="I9894" s="19"/>
      <c r="J9894" s="19"/>
      <c r="K9894" s="19"/>
      <c r="L9894" s="19"/>
      <c r="M9894" s="19"/>
      <c r="N9894" s="19"/>
      <c r="O9894" s="14" t="str">
        <f>HYPERLINK("https://otsuka-europe-crm.veevavault.com/ui/#object/email_activity__v/V8C00000003W111", "EN-002096862")</f>
        <v>EN-002096862</v>
      </c>
    </row>
    <row r="9895" spans="1:15" ht="32" x14ac:dyDescent="0.2">
      <c r="A9895" s="7" t="str">
        <f>HYPERLINK("https://otsuka-europe-crm.veevavault.com/ui/#object/account__v/V4TZ06G6OB4B9M0", "Susham Gupta")</f>
        <v>Susham Gupta</v>
      </c>
      <c r="B9895" s="7" t="str">
        <f>HYPERLINK("https://otsuka-europe-crm.veevavault.com/ui/#object/vcountry__v/VENZ000004SONFK", "GB")</f>
        <v>GB</v>
      </c>
      <c r="C9895" s="8" t="s">
        <v>39</v>
      </c>
      <c r="D9895" s="9" t="str">
        <f>HYPERLINK("https://otsuka-europe-crm.veevavault.com/ui/#object/approved_document__v/V5O00000001H005", "LDM DR P2P Invite 23-Jun-26 [digital]")</f>
        <v>LDM DR P2P Invite 23-Jun-26 [digital]</v>
      </c>
      <c r="E9895" s="10" t="str">
        <f>HYPERLINK("https://otsuka-europe-crm.veevavault.com/ui/#object/sent_email__v/VBL00000002U320", "SE-001436135")</f>
        <v>SE-001436135</v>
      </c>
      <c r="F9895" s="11"/>
      <c r="G9895" s="12">
        <v>0</v>
      </c>
      <c r="H9895" s="12">
        <v>0</v>
      </c>
      <c r="I9895" s="12">
        <v>0</v>
      </c>
      <c r="J9895" s="11"/>
      <c r="K9895" s="12">
        <v>0</v>
      </c>
      <c r="L9895" s="10" t="str">
        <f>HYPERLINK("https://otsuka-europe-crm.veevavault.com/ui/#object/approved_document__v/V5O00000001H005", "LDM DR P2P Invite 23-Jun-26 [digital]")</f>
        <v>LDM DR P2P Invite 23-Jun-26 [digital]</v>
      </c>
      <c r="M9895" s="10" t="str">
        <f>HYPERLINK("mailto:ldimambro@crm.otsuka-europe.com", "ldimambro@crm.otsuka-europe.com")</f>
        <v>ldimambro@crm.otsuka-europe.com</v>
      </c>
      <c r="N9895" s="13">
        <v>46188.529745370368</v>
      </c>
      <c r="O9895" s="14" t="str">
        <f>HYPERLINK("https://otsuka-europe-crm.veevavault.com/ui/#object/email_activity__v/V8C00000003U661", "EN-002096160")</f>
        <v>EN-002096160</v>
      </c>
    </row>
    <row r="9896" spans="1:15" ht="32" x14ac:dyDescent="0.2">
      <c r="A9896" s="7" t="str">
        <f>HYPERLINK("https://otsuka-europe-crm.veevavault.com/ui/#object/account__v/V4TZ0000062PCC2", "Salah Abou-El-Fadl")</f>
        <v>Salah Abou-El-Fadl</v>
      </c>
      <c r="B9896" s="7" t="str">
        <f>HYPERLINK("https://otsuka-europe-crm.veevavault.com/ui/#object/vcountry__v/VENZ000004SONFK", "GB")</f>
        <v>GB</v>
      </c>
      <c r="C9896" s="8" t="s">
        <v>39</v>
      </c>
      <c r="D9896" s="9" t="str">
        <f>HYPERLINK("https://otsuka-europe-crm.veevavault.com/ui/#object/approved_document__v/V5O00000001H005", "LDM DR P2P Invite 23-Jun-26 [digital]")</f>
        <v>LDM DR P2P Invite 23-Jun-26 [digital]</v>
      </c>
      <c r="E9896" s="10" t="str">
        <f>HYPERLINK("https://otsuka-europe-crm.veevavault.com/ui/#object/sent_email__v/VBL00000002U321", "SE-001436136")</f>
        <v>SE-001436136</v>
      </c>
      <c r="F9896" s="11"/>
      <c r="G9896" s="12">
        <v>0</v>
      </c>
      <c r="H9896" s="12">
        <v>0</v>
      </c>
      <c r="I9896" s="12">
        <v>0</v>
      </c>
      <c r="J9896" s="11"/>
      <c r="K9896" s="12">
        <v>0</v>
      </c>
      <c r="L9896" s="10" t="str">
        <f>HYPERLINK("https://otsuka-europe-crm.veevavault.com/ui/#object/approved_document__v/V5O00000001H005", "LDM DR P2P Invite 23-Jun-26 [digital]")</f>
        <v>LDM DR P2P Invite 23-Jun-26 [digital]</v>
      </c>
      <c r="M9896" s="10" t="str">
        <f>HYPERLINK("mailto:ldimambro@crm.otsuka-europe.com", "ldimambro@crm.otsuka-europe.com")</f>
        <v>ldimambro@crm.otsuka-europe.com</v>
      </c>
      <c r="N9896" s="13">
        <v>46188.529745370368</v>
      </c>
      <c r="O9896" s="14" t="str">
        <f>HYPERLINK("https://otsuka-europe-crm.veevavault.com/ui/#object/email_activity__v/V8C00000003U649", "EN-002096148")</f>
        <v>EN-002096148</v>
      </c>
    </row>
    <row r="9897" spans="1:15" ht="16" x14ac:dyDescent="0.2">
      <c r="A9897" s="17" t="str">
        <f>HYPERLINK("https://otsuka-europe-crm.veevavault.com/ui/#object/account__v/V4TZ025E82G9G06", "Shayanti Chaudhuri")</f>
        <v>Shayanti Chaudhuri</v>
      </c>
      <c r="B9897" s="17" t="str">
        <f>HYPERLINK("https://otsuka-europe-crm.veevavault.com/ui/#object/vcountry__v/VENZ000004SONFK", "GB")</f>
        <v>GB</v>
      </c>
      <c r="C9897" s="20" t="s">
        <v>39</v>
      </c>
      <c r="D9897" s="21" t="str">
        <f>HYPERLINK("https://otsuka-europe-crm.veevavault.com/ui/#object/approved_document__v/V5O00000001H005", "LDM DR P2P Invite 23-Jun-26 [digital]")</f>
        <v>LDM DR P2P Invite 23-Jun-26 [digital]</v>
      </c>
      <c r="E9897" s="22" t="str">
        <f>HYPERLINK("https://otsuka-europe-crm.veevavault.com/ui/#object/sent_email__v/VBL00000002U322", "SE-001436137")</f>
        <v>SE-001436137</v>
      </c>
      <c r="F9897" s="23">
        <v>46196.737696759257</v>
      </c>
      <c r="G9897" s="24">
        <v>1</v>
      </c>
      <c r="H9897" s="24">
        <v>1</v>
      </c>
      <c r="I9897" s="24">
        <v>0</v>
      </c>
      <c r="J9897" s="25"/>
      <c r="K9897" s="24">
        <v>0</v>
      </c>
      <c r="L9897" s="22" t="str">
        <f>HYPERLINK("https://otsuka-europe-crm.veevavault.com/ui/#object/approved_document__v/V5O00000001H005", "LDM DR P2P Invite 23-Jun-26 [digital]")</f>
        <v>LDM DR P2P Invite 23-Jun-26 [digital]</v>
      </c>
      <c r="M9897" s="22" t="str">
        <f>HYPERLINK("mailto:ldimambro@crm.otsuka-europe.com", "ldimambro@crm.otsuka-europe.com")</f>
        <v>ldimambro@crm.otsuka-europe.com</v>
      </c>
      <c r="N9897" s="23">
        <v>46188.529745370368</v>
      </c>
      <c r="O9897" s="14" t="str">
        <f>HYPERLINK("https://otsuka-europe-crm.veevavault.com/ui/#object/email_activity__v/V8C00000003U655", "EN-002096154")</f>
        <v>EN-002096154</v>
      </c>
    </row>
    <row r="9898" spans="1:15" ht="16" x14ac:dyDescent="0.2">
      <c r="A9898" s="19"/>
      <c r="B9898" s="19"/>
      <c r="C9898" s="19"/>
      <c r="D9898" s="19"/>
      <c r="E9898" s="19"/>
      <c r="F9898" s="19"/>
      <c r="G9898" s="19"/>
      <c r="H9898" s="19"/>
      <c r="I9898" s="19"/>
      <c r="J9898" s="19"/>
      <c r="K9898" s="19"/>
      <c r="L9898" s="19"/>
      <c r="M9898" s="19"/>
      <c r="N9898" s="19"/>
      <c r="O9898" s="14" t="str">
        <f>HYPERLINK("https://otsuka-europe-crm.veevavault.com/ui/#object/email_activity__v/V8C000000040439", "EN-002099458")</f>
        <v>EN-002099458</v>
      </c>
    </row>
    <row r="9899" spans="1:15" ht="32" x14ac:dyDescent="0.2">
      <c r="A9899" s="7" t="str">
        <f>HYPERLINK("https://otsuka-europe-crm.veevavault.com/ui/#object/account__v/V4TZ0000062PC1V", "Shaimaa Aboelenien")</f>
        <v>Shaimaa Aboelenien</v>
      </c>
      <c r="B9899" s="7" t="str">
        <f>HYPERLINK("https://otsuka-europe-crm.veevavault.com/ui/#object/vcountry__v/VENZ000004SONFK", "GB")</f>
        <v>GB</v>
      </c>
      <c r="C9899" s="8" t="s">
        <v>39</v>
      </c>
      <c r="D9899" s="9" t="str">
        <f>HYPERLINK("https://otsuka-europe-crm.veevavault.com/ui/#object/approved_document__v/V5O00000001H005", "LDM DR P2P Invite 23-Jun-26 [digital]")</f>
        <v>LDM DR P2P Invite 23-Jun-26 [digital]</v>
      </c>
      <c r="E9899" s="10" t="str">
        <f>HYPERLINK("https://otsuka-europe-crm.veevavault.com/ui/#object/sent_email__v/VBL00000002U323", "SE-001436138")</f>
        <v>SE-001436138</v>
      </c>
      <c r="F9899" s="11"/>
      <c r="G9899" s="12">
        <v>0</v>
      </c>
      <c r="H9899" s="12">
        <v>0</v>
      </c>
      <c r="I9899" s="12">
        <v>0</v>
      </c>
      <c r="J9899" s="11"/>
      <c r="K9899" s="12">
        <v>0</v>
      </c>
      <c r="L9899" s="10" t="str">
        <f>HYPERLINK("https://otsuka-europe-crm.veevavault.com/ui/#object/approved_document__v/V5O00000001H005", "LDM DR P2P Invite 23-Jun-26 [digital]")</f>
        <v>LDM DR P2P Invite 23-Jun-26 [digital]</v>
      </c>
      <c r="M9899" s="10" t="str">
        <f>HYPERLINK("mailto:ldimambro@crm.otsuka-europe.com", "ldimambro@crm.otsuka-europe.com")</f>
        <v>ldimambro@crm.otsuka-europe.com</v>
      </c>
      <c r="N9899" s="13">
        <v>46188.529745370368</v>
      </c>
      <c r="O9899" s="14" t="str">
        <f>HYPERLINK("https://otsuka-europe-crm.veevavault.com/ui/#object/email_activity__v/V8C00000003U641", "EN-002096140")</f>
        <v>EN-002096140</v>
      </c>
    </row>
    <row r="9900" spans="1:15" ht="32" x14ac:dyDescent="0.2">
      <c r="A9900" s="7" t="str">
        <f>HYPERLINK("https://otsuka-europe-crm.veevavault.com/ui/#object/account__v/V4TZ06G6O9C2WVV", "Sophie Rudnicki")</f>
        <v>Sophie Rudnicki</v>
      </c>
      <c r="B9900" s="7" t="str">
        <f>HYPERLINK("https://otsuka-europe-crm.veevavault.com/ui/#object/vcountry__v/VENZ000004SONFK", "GB")</f>
        <v>GB</v>
      </c>
      <c r="C9900" s="8" t="s">
        <v>39</v>
      </c>
      <c r="D9900" s="9" t="str">
        <f>HYPERLINK("https://otsuka-europe-crm.veevavault.com/ui/#object/approved_document__v/V5O00000001H005", "LDM DR P2P Invite 23-Jun-26 [digital]")</f>
        <v>LDM DR P2P Invite 23-Jun-26 [digital]</v>
      </c>
      <c r="E9900" s="10" t="str">
        <f>HYPERLINK("https://otsuka-europe-crm.veevavault.com/ui/#object/sent_email__v/VBL00000002U324", "SE-001436139")</f>
        <v>SE-001436139</v>
      </c>
      <c r="F9900" s="11"/>
      <c r="G9900" s="12">
        <v>0</v>
      </c>
      <c r="H9900" s="12">
        <v>0</v>
      </c>
      <c r="I9900" s="12">
        <v>0</v>
      </c>
      <c r="J9900" s="11"/>
      <c r="K9900" s="12">
        <v>0</v>
      </c>
      <c r="L9900" s="10" t="str">
        <f>HYPERLINK("https://otsuka-europe-crm.veevavault.com/ui/#object/approved_document__v/V5O00000001H005", "LDM DR P2P Invite 23-Jun-26 [digital]")</f>
        <v>LDM DR P2P Invite 23-Jun-26 [digital]</v>
      </c>
      <c r="M9900" s="10" t="str">
        <f>HYPERLINK("mailto:ldimambro@crm.otsuka-europe.com", "ldimambro@crm.otsuka-europe.com")</f>
        <v>ldimambro@crm.otsuka-europe.com</v>
      </c>
      <c r="N9900" s="13">
        <v>46188.529745370368</v>
      </c>
      <c r="O9900" s="14" t="str">
        <f>HYPERLINK("https://otsuka-europe-crm.veevavault.com/ui/#object/email_activity__v/V8C00000003U634", "EN-002096133")</f>
        <v>EN-002096133</v>
      </c>
    </row>
    <row r="9901" spans="1:15" ht="32" x14ac:dyDescent="0.2">
      <c r="A9901" s="7" t="str">
        <f>HYPERLINK("https://otsuka-europe-crm.veevavault.com/ui/#object/account__v/V4TZ06G6OBS5CBP", "Sadaf Uzair")</f>
        <v>Sadaf Uzair</v>
      </c>
      <c r="B9901" s="7" t="str">
        <f>HYPERLINK("https://otsuka-europe-crm.veevavault.com/ui/#object/vcountry__v/VENZ000004SONFK", "GB")</f>
        <v>GB</v>
      </c>
      <c r="C9901" s="8" t="s">
        <v>39</v>
      </c>
      <c r="D9901" s="9" t="str">
        <f>HYPERLINK("https://otsuka-europe-crm.veevavault.com/ui/#object/approved_document__v/V5O00000001H005", "LDM DR P2P Invite 23-Jun-26 [digital]")</f>
        <v>LDM DR P2P Invite 23-Jun-26 [digital]</v>
      </c>
      <c r="E9901" s="10" t="str">
        <f>HYPERLINK("https://otsuka-europe-crm.veevavault.com/ui/#object/sent_email__v/VBL00000002U325", "SE-001436140")</f>
        <v>SE-001436140</v>
      </c>
      <c r="F9901" s="11"/>
      <c r="G9901" s="12">
        <v>0</v>
      </c>
      <c r="H9901" s="12">
        <v>0</v>
      </c>
      <c r="I9901" s="12">
        <v>0</v>
      </c>
      <c r="J9901" s="11"/>
      <c r="K9901" s="12">
        <v>0</v>
      </c>
      <c r="L9901" s="10" t="str">
        <f>HYPERLINK("https://otsuka-europe-crm.veevavault.com/ui/#object/approved_document__v/V5O00000001H005", "LDM DR P2P Invite 23-Jun-26 [digital]")</f>
        <v>LDM DR P2P Invite 23-Jun-26 [digital]</v>
      </c>
      <c r="M9901" s="10" t="str">
        <f>HYPERLINK("mailto:ldimambro@crm.otsuka-europe.com", "ldimambro@crm.otsuka-europe.com")</f>
        <v>ldimambro@crm.otsuka-europe.com</v>
      </c>
      <c r="N9901" s="13">
        <v>46188.529745370368</v>
      </c>
      <c r="O9901" s="14" t="str">
        <f>HYPERLINK("https://otsuka-europe-crm.veevavault.com/ui/#object/email_activity__v/V8C00000003U657", "EN-002096156")</f>
        <v>EN-002096156</v>
      </c>
    </row>
    <row r="9902" spans="1:15" ht="16" x14ac:dyDescent="0.2">
      <c r="A9902" s="17" t="str">
        <f>HYPERLINK("https://otsuka-europe-crm.veevavault.com/ui/#object/account__v/V4TZ06G6O852V3F", "Rajesh Jethwa")</f>
        <v>Rajesh Jethwa</v>
      </c>
      <c r="B9902" s="17" t="str">
        <f>HYPERLINK("https://otsuka-europe-crm.veevavault.com/ui/#object/vcountry__v/VENZ000004SONFK", "GB")</f>
        <v>GB</v>
      </c>
      <c r="C9902" s="20" t="s">
        <v>39</v>
      </c>
      <c r="D9902" s="21" t="str">
        <f>HYPERLINK("https://otsuka-europe-crm.veevavault.com/ui/#object/approved_document__v/V5O00000001H005", "LDM DR P2P Invite 23-Jun-26 [digital]")</f>
        <v>LDM DR P2P Invite 23-Jun-26 [digital]</v>
      </c>
      <c r="E9902" s="22" t="str">
        <f>HYPERLINK("https://otsuka-europe-crm.veevavault.com/ui/#object/sent_email__v/VBL00000002U326", "SE-001436141")</f>
        <v>SE-001436141</v>
      </c>
      <c r="F9902" s="25"/>
      <c r="G9902" s="24">
        <v>0</v>
      </c>
      <c r="H9902" s="24">
        <v>0</v>
      </c>
      <c r="I9902" s="24">
        <v>0</v>
      </c>
      <c r="J9902" s="25"/>
      <c r="K9902" s="24">
        <v>0</v>
      </c>
      <c r="L9902" s="22" t="str">
        <f>HYPERLINK("https://otsuka-europe-crm.veevavault.com/ui/#object/approved_document__v/V5O00000001H005", "LDM DR P2P Invite 23-Jun-26 [digital]")</f>
        <v>LDM DR P2P Invite 23-Jun-26 [digital]</v>
      </c>
      <c r="M9902" s="22" t="str">
        <f>HYPERLINK("mailto:ldimambro@crm.otsuka-europe.com", "ldimambro@crm.otsuka-europe.com")</f>
        <v>ldimambro@crm.otsuka-europe.com</v>
      </c>
      <c r="N9902" s="23">
        <v>46188.529745370368</v>
      </c>
      <c r="O9902" s="14" t="str">
        <f>HYPERLINK("https://otsuka-europe-crm.veevavault.com/ui/#object/email_activity__v/V8C00000003U668", "EN-002096167")</f>
        <v>EN-002096167</v>
      </c>
    </row>
    <row r="9903" spans="1:15" ht="16" x14ac:dyDescent="0.2">
      <c r="A9903" s="19"/>
      <c r="B9903" s="19"/>
      <c r="C9903" s="19"/>
      <c r="D9903" s="19"/>
      <c r="E9903" s="19"/>
      <c r="F9903" s="19"/>
      <c r="G9903" s="19"/>
      <c r="H9903" s="19"/>
      <c r="I9903" s="19"/>
      <c r="J9903" s="19"/>
      <c r="K9903" s="19"/>
      <c r="L9903" s="19"/>
      <c r="M9903" s="19"/>
      <c r="N9903" s="19"/>
      <c r="O9903" s="14" t="str">
        <f>HYPERLINK("https://otsuka-europe-crm.veevavault.com/ui/#object/email_activity__v/V8C00000003W061", "EN-002096763")</f>
        <v>EN-002096763</v>
      </c>
    </row>
    <row r="9904" spans="1:15" ht="32" x14ac:dyDescent="0.2">
      <c r="A9904" s="7" t="str">
        <f>HYPERLINK("https://otsuka-europe-crm.veevavault.com/ui/#object/account__v/V4TZ025E84UKC89", "Sakil Patel")</f>
        <v>Sakil Patel</v>
      </c>
      <c r="B9904" s="7" t="str">
        <f t="shared" ref="B9904:B9911" si="742">HYPERLINK("https://otsuka-europe-crm.veevavault.com/ui/#object/vcountry__v/VENZ000004SONFK", "GB")</f>
        <v>GB</v>
      </c>
      <c r="C9904" s="8" t="s">
        <v>39</v>
      </c>
      <c r="D9904" s="9" t="str">
        <f t="shared" ref="D9904:D9911" si="743">HYPERLINK("https://otsuka-europe-crm.veevavault.com/ui/#object/approved_document__v/V5O00000001H005", "LDM DR P2P Invite 23-Jun-26 [digital]")</f>
        <v>LDM DR P2P Invite 23-Jun-26 [digital]</v>
      </c>
      <c r="E9904" s="10" t="str">
        <f>HYPERLINK("https://otsuka-europe-crm.veevavault.com/ui/#object/sent_email__v/VBL00000002U327", "SE-001436142")</f>
        <v>SE-001436142</v>
      </c>
      <c r="F9904" s="11"/>
      <c r="G9904" s="12">
        <v>0</v>
      </c>
      <c r="H9904" s="12">
        <v>0</v>
      </c>
      <c r="I9904" s="12">
        <v>0</v>
      </c>
      <c r="J9904" s="11"/>
      <c r="K9904" s="12">
        <v>0</v>
      </c>
      <c r="L9904" s="10" t="str">
        <f t="shared" ref="L9904:L9911" si="744">HYPERLINK("https://otsuka-europe-crm.veevavault.com/ui/#object/approved_document__v/V5O00000001H005", "LDM DR P2P Invite 23-Jun-26 [digital]")</f>
        <v>LDM DR P2P Invite 23-Jun-26 [digital]</v>
      </c>
      <c r="M9904" s="10" t="str">
        <f t="shared" ref="M9904:M9911" si="745">HYPERLINK("mailto:ldimambro@crm.otsuka-europe.com", "ldimambro@crm.otsuka-europe.com")</f>
        <v>ldimambro@crm.otsuka-europe.com</v>
      </c>
      <c r="N9904" s="13">
        <v>46188.529745370368</v>
      </c>
      <c r="O9904" s="14" t="str">
        <f>HYPERLINK("https://otsuka-europe-crm.veevavault.com/ui/#object/email_activity__v/V8C00000003U650", "EN-002096149")</f>
        <v>EN-002096149</v>
      </c>
    </row>
    <row r="9905" spans="1:15" ht="32" x14ac:dyDescent="0.2">
      <c r="A9905" s="7" t="str">
        <f>HYPERLINK("https://otsuka-europe-crm.veevavault.com/ui/#object/account__v/V4TZ0000062PB7S", "Suresh Wadhwani")</f>
        <v>Suresh Wadhwani</v>
      </c>
      <c r="B9905" s="7" t="str">
        <f t="shared" si="742"/>
        <v>GB</v>
      </c>
      <c r="C9905" s="8" t="s">
        <v>39</v>
      </c>
      <c r="D9905" s="9" t="str">
        <f t="shared" si="743"/>
        <v>LDM DR P2P Invite 23-Jun-26 [digital]</v>
      </c>
      <c r="E9905" s="10" t="str">
        <f>HYPERLINK("https://otsuka-europe-crm.veevavault.com/ui/#object/sent_email__v/VBL00000002U328", "SE-001436143")</f>
        <v>SE-001436143</v>
      </c>
      <c r="F9905" s="11"/>
      <c r="G9905" s="12">
        <v>0</v>
      </c>
      <c r="H9905" s="12">
        <v>0</v>
      </c>
      <c r="I9905" s="12">
        <v>0</v>
      </c>
      <c r="J9905" s="11"/>
      <c r="K9905" s="12">
        <v>0</v>
      </c>
      <c r="L9905" s="10" t="str">
        <f t="shared" si="744"/>
        <v>LDM DR P2P Invite 23-Jun-26 [digital]</v>
      </c>
      <c r="M9905" s="10" t="str">
        <f t="shared" si="745"/>
        <v>ldimambro@crm.otsuka-europe.com</v>
      </c>
      <c r="N9905" s="13">
        <v>46188.529745370368</v>
      </c>
      <c r="O9905" s="14" t="str">
        <f>HYPERLINK("https://otsuka-europe-crm.veevavault.com/ui/#object/email_activity__v/V8C00000003U651", "EN-002096150")</f>
        <v>EN-002096150</v>
      </c>
    </row>
    <row r="9906" spans="1:15" ht="32" x14ac:dyDescent="0.2">
      <c r="A9906" s="7" t="str">
        <f>HYPERLINK("https://otsuka-europe-crm.veevavault.com/ui/#object/account__v/V4TZ0000062PC5P", "Shereen Ali")</f>
        <v>Shereen Ali</v>
      </c>
      <c r="B9906" s="7" t="str">
        <f t="shared" si="742"/>
        <v>GB</v>
      </c>
      <c r="C9906" s="8" t="s">
        <v>39</v>
      </c>
      <c r="D9906" s="9" t="str">
        <f t="shared" si="743"/>
        <v>LDM DR P2P Invite 23-Jun-26 [digital]</v>
      </c>
      <c r="E9906" s="10" t="str">
        <f>HYPERLINK("https://otsuka-europe-crm.veevavault.com/ui/#object/sent_email__v/VBL00000002U329", "SE-001436144")</f>
        <v>SE-001436144</v>
      </c>
      <c r="F9906" s="11"/>
      <c r="G9906" s="12">
        <v>0</v>
      </c>
      <c r="H9906" s="12">
        <v>0</v>
      </c>
      <c r="I9906" s="12">
        <v>0</v>
      </c>
      <c r="J9906" s="11"/>
      <c r="K9906" s="12">
        <v>0</v>
      </c>
      <c r="L9906" s="10" t="str">
        <f t="shared" si="744"/>
        <v>LDM DR P2P Invite 23-Jun-26 [digital]</v>
      </c>
      <c r="M9906" s="10" t="str">
        <f t="shared" si="745"/>
        <v>ldimambro@crm.otsuka-europe.com</v>
      </c>
      <c r="N9906" s="13">
        <v>46188.529745370368</v>
      </c>
      <c r="O9906" s="14" t="str">
        <f>HYPERLINK("https://otsuka-europe-crm.veevavault.com/ui/#object/email_activity__v/V8C00000003U667", "EN-002096166")</f>
        <v>EN-002096166</v>
      </c>
    </row>
    <row r="9907" spans="1:15" ht="32" x14ac:dyDescent="0.2">
      <c r="A9907" s="7" t="str">
        <f>HYPERLINK("https://otsuka-europe-crm.veevavault.com/ui/#object/account__v/V4TZ06G6O9VFMKB", "Stavroula Madenlidou")</f>
        <v>Stavroula Madenlidou</v>
      </c>
      <c r="B9907" s="7" t="str">
        <f t="shared" si="742"/>
        <v>GB</v>
      </c>
      <c r="C9907" s="8" t="s">
        <v>39</v>
      </c>
      <c r="D9907" s="9" t="str">
        <f t="shared" si="743"/>
        <v>LDM DR P2P Invite 23-Jun-26 [digital]</v>
      </c>
      <c r="E9907" s="10" t="str">
        <f>HYPERLINK("https://otsuka-europe-crm.veevavault.com/ui/#object/sent_email__v/VBL00000002U330", "SE-001436145")</f>
        <v>SE-001436145</v>
      </c>
      <c r="F9907" s="11"/>
      <c r="G9907" s="12">
        <v>0</v>
      </c>
      <c r="H9907" s="12">
        <v>0</v>
      </c>
      <c r="I9907" s="12">
        <v>0</v>
      </c>
      <c r="J9907" s="11"/>
      <c r="K9907" s="12">
        <v>0</v>
      </c>
      <c r="L9907" s="10" t="str">
        <f t="shared" si="744"/>
        <v>LDM DR P2P Invite 23-Jun-26 [digital]</v>
      </c>
      <c r="M9907" s="10" t="str">
        <f t="shared" si="745"/>
        <v>ldimambro@crm.otsuka-europe.com</v>
      </c>
      <c r="N9907" s="13">
        <v>46188.529745370368</v>
      </c>
      <c r="O9907" s="14" t="str">
        <f>HYPERLINK("https://otsuka-europe-crm.veevavault.com/ui/#object/email_activity__v/V8C00000003U635", "EN-002096134")</f>
        <v>EN-002096134</v>
      </c>
    </row>
    <row r="9908" spans="1:15" ht="32" x14ac:dyDescent="0.2">
      <c r="A9908" s="7" t="str">
        <f>HYPERLINK("https://otsuka-europe-crm.veevavault.com/ui/#object/account__v/V4TZ06G6OCBHGJN", "Ramdas Pananthattil")</f>
        <v>Ramdas Pananthattil</v>
      </c>
      <c r="B9908" s="7" t="str">
        <f t="shared" si="742"/>
        <v>GB</v>
      </c>
      <c r="C9908" s="8" t="s">
        <v>39</v>
      </c>
      <c r="D9908" s="9" t="str">
        <f t="shared" si="743"/>
        <v>LDM DR P2P Invite 23-Jun-26 [digital]</v>
      </c>
      <c r="E9908" s="10" t="str">
        <f>HYPERLINK("https://otsuka-europe-crm.veevavault.com/ui/#object/sent_email__v/VBL00000002U331", "SE-001436146")</f>
        <v>SE-001436146</v>
      </c>
      <c r="F9908" s="11"/>
      <c r="G9908" s="12">
        <v>0</v>
      </c>
      <c r="H9908" s="12">
        <v>0</v>
      </c>
      <c r="I9908" s="12">
        <v>0</v>
      </c>
      <c r="J9908" s="11"/>
      <c r="K9908" s="12">
        <v>0</v>
      </c>
      <c r="L9908" s="10" t="str">
        <f t="shared" si="744"/>
        <v>LDM DR P2P Invite 23-Jun-26 [digital]</v>
      </c>
      <c r="M9908" s="10" t="str">
        <f t="shared" si="745"/>
        <v>ldimambro@crm.otsuka-europe.com</v>
      </c>
      <c r="N9908" s="13">
        <v>46188.529745370368</v>
      </c>
      <c r="O9908" s="14" t="str">
        <f>HYPERLINK("https://otsuka-europe-crm.veevavault.com/ui/#object/email_activity__v/V8C00000003U644", "EN-002096143")</f>
        <v>EN-002096143</v>
      </c>
    </row>
    <row r="9909" spans="1:15" ht="32" x14ac:dyDescent="0.2">
      <c r="A9909" s="7" t="str">
        <f>HYPERLINK("https://otsuka-europe-crm.veevavault.com/ui/#object/account__v/V4TZ0000062PE9M", "Sonali Gupta")</f>
        <v>Sonali Gupta</v>
      </c>
      <c r="B9909" s="7" t="str">
        <f t="shared" si="742"/>
        <v>GB</v>
      </c>
      <c r="C9909" s="8" t="s">
        <v>39</v>
      </c>
      <c r="D9909" s="9" t="str">
        <f t="shared" si="743"/>
        <v>LDM DR P2P Invite 23-Jun-26 [digital]</v>
      </c>
      <c r="E9909" s="10" t="str">
        <f>HYPERLINK("https://otsuka-europe-crm.veevavault.com/ui/#object/sent_email__v/VBL00000002U332", "SE-001436147")</f>
        <v>SE-001436147</v>
      </c>
      <c r="F9909" s="11"/>
      <c r="G9909" s="12">
        <v>0</v>
      </c>
      <c r="H9909" s="12">
        <v>0</v>
      </c>
      <c r="I9909" s="12">
        <v>0</v>
      </c>
      <c r="J9909" s="11"/>
      <c r="K9909" s="12">
        <v>0</v>
      </c>
      <c r="L9909" s="10" t="str">
        <f t="shared" si="744"/>
        <v>LDM DR P2P Invite 23-Jun-26 [digital]</v>
      </c>
      <c r="M9909" s="10" t="str">
        <f t="shared" si="745"/>
        <v>ldimambro@crm.otsuka-europe.com</v>
      </c>
      <c r="N9909" s="13">
        <v>46188.529745370368</v>
      </c>
      <c r="O9909" s="14" t="str">
        <f>HYPERLINK("https://otsuka-europe-crm.veevavault.com/ui/#object/email_activity__v/V8C00000003U642", "EN-002096141")</f>
        <v>EN-002096141</v>
      </c>
    </row>
    <row r="9910" spans="1:15" ht="32" x14ac:dyDescent="0.2">
      <c r="A9910" s="7" t="str">
        <f>HYPERLINK("https://otsuka-europe-crm.veevavault.com/ui/#object/account__v/V4TZ04ASG6LG3VN", "Soy Cheriyan")</f>
        <v>Soy Cheriyan</v>
      </c>
      <c r="B9910" s="7" t="str">
        <f t="shared" si="742"/>
        <v>GB</v>
      </c>
      <c r="C9910" s="8" t="s">
        <v>39</v>
      </c>
      <c r="D9910" s="9" t="str">
        <f t="shared" si="743"/>
        <v>LDM DR P2P Invite 23-Jun-26 [digital]</v>
      </c>
      <c r="E9910" s="10" t="str">
        <f>HYPERLINK("https://otsuka-europe-crm.veevavault.com/ui/#object/sent_email__v/VBL00000002U333", "SE-001436148")</f>
        <v>SE-001436148</v>
      </c>
      <c r="F9910" s="11"/>
      <c r="G9910" s="12">
        <v>0</v>
      </c>
      <c r="H9910" s="12">
        <v>0</v>
      </c>
      <c r="I9910" s="12">
        <v>0</v>
      </c>
      <c r="J9910" s="11"/>
      <c r="K9910" s="12">
        <v>0</v>
      </c>
      <c r="L9910" s="10" t="str">
        <f t="shared" si="744"/>
        <v>LDM DR P2P Invite 23-Jun-26 [digital]</v>
      </c>
      <c r="M9910" s="10" t="str">
        <f t="shared" si="745"/>
        <v>ldimambro@crm.otsuka-europe.com</v>
      </c>
      <c r="N9910" s="13">
        <v>46188.529733796298</v>
      </c>
      <c r="O9910" s="14" t="str">
        <f>HYPERLINK("https://otsuka-europe-crm.veevavault.com/ui/#object/email_activity__v/V8C00000003U639", "EN-002096138")</f>
        <v>EN-002096138</v>
      </c>
    </row>
    <row r="9911" spans="1:15" ht="16" x14ac:dyDescent="0.2">
      <c r="A9911" s="17" t="str">
        <f>HYPERLINK("https://otsuka-europe-crm.veevavault.com/ui/#object/account__v/V4TZ04ASG700351", "Shyaam Teli")</f>
        <v>Shyaam Teli</v>
      </c>
      <c r="B9911" s="17" t="str">
        <f t="shared" si="742"/>
        <v>GB</v>
      </c>
      <c r="C9911" s="20" t="s">
        <v>39</v>
      </c>
      <c r="D9911" s="21" t="str">
        <f t="shared" si="743"/>
        <v>LDM DR P2P Invite 23-Jun-26 [digital]</v>
      </c>
      <c r="E9911" s="22" t="str">
        <f>HYPERLINK("https://otsuka-europe-crm.veevavault.com/ui/#object/sent_email__v/VBL00000002U334", "SE-001436149")</f>
        <v>SE-001436149</v>
      </c>
      <c r="F9911" s="25"/>
      <c r="G9911" s="24">
        <v>0</v>
      </c>
      <c r="H9911" s="24">
        <v>0</v>
      </c>
      <c r="I9911" s="24">
        <v>0</v>
      </c>
      <c r="J9911" s="25"/>
      <c r="K9911" s="24">
        <v>0</v>
      </c>
      <c r="L9911" s="22" t="str">
        <f t="shared" si="744"/>
        <v>LDM DR P2P Invite 23-Jun-26 [digital]</v>
      </c>
      <c r="M9911" s="22" t="str">
        <f t="shared" si="745"/>
        <v>ldimambro@crm.otsuka-europe.com</v>
      </c>
      <c r="N9911" s="23">
        <v>46188.529733796298</v>
      </c>
      <c r="O9911" s="14" t="str">
        <f>HYPERLINK("https://otsuka-europe-crm.veevavault.com/ui/#object/email_activity__v/V8C00000003U648", "EN-002096147")</f>
        <v>EN-002096147</v>
      </c>
    </row>
    <row r="9912" spans="1:15" ht="16" x14ac:dyDescent="0.2">
      <c r="A9912" s="19"/>
      <c r="B9912" s="19"/>
      <c r="C9912" s="19"/>
      <c r="D9912" s="19"/>
      <c r="E9912" s="19"/>
      <c r="F9912" s="19"/>
      <c r="G9912" s="19"/>
      <c r="H9912" s="19"/>
      <c r="I9912" s="19"/>
      <c r="J9912" s="19"/>
      <c r="K9912" s="19"/>
      <c r="L9912" s="19"/>
      <c r="M9912" s="19"/>
      <c r="N9912" s="19"/>
      <c r="O9912" s="14" t="str">
        <f>HYPERLINK("https://otsuka-europe-crm.veevavault.com/ui/#object/email_activity__v/V8C00000003V720", "EN-002096229")</f>
        <v>EN-002096229</v>
      </c>
    </row>
    <row r="9913" spans="1:15" ht="32" x14ac:dyDescent="0.2">
      <c r="A9913" s="7" t="str">
        <f>HYPERLINK("https://otsuka-europe-crm.veevavault.com/ui/#object/account__v/V4TZ025E87N4O96", "Simona Ionita")</f>
        <v>Simona Ionita</v>
      </c>
      <c r="B9913" s="7" t="str">
        <f>HYPERLINK("https://otsuka-europe-crm.veevavault.com/ui/#object/vcountry__v/VENZ000004SONFK", "GB")</f>
        <v>GB</v>
      </c>
      <c r="C9913" s="8" t="s">
        <v>39</v>
      </c>
      <c r="D9913" s="9" t="str">
        <f>HYPERLINK("https://otsuka-europe-crm.veevavault.com/ui/#object/approved_document__v/V5O00000001H005", "LDM DR P2P Invite 23-Jun-26 [digital]")</f>
        <v>LDM DR P2P Invite 23-Jun-26 [digital]</v>
      </c>
      <c r="E9913" s="10" t="str">
        <f>HYPERLINK("https://otsuka-europe-crm.veevavault.com/ui/#object/sent_email__v/VBL00000002U335", "SE-001436150")</f>
        <v>SE-001436150</v>
      </c>
      <c r="F9913" s="11"/>
      <c r="G9913" s="12">
        <v>0</v>
      </c>
      <c r="H9913" s="12">
        <v>0</v>
      </c>
      <c r="I9913" s="12">
        <v>0</v>
      </c>
      <c r="J9913" s="11"/>
      <c r="K9913" s="12">
        <v>0</v>
      </c>
      <c r="L9913" s="10" t="str">
        <f>HYPERLINK("https://otsuka-europe-crm.veevavault.com/ui/#object/approved_document__v/V5O00000001H005", "LDM DR P2P Invite 23-Jun-26 [digital]")</f>
        <v>LDM DR P2P Invite 23-Jun-26 [digital]</v>
      </c>
      <c r="M9913" s="10" t="str">
        <f>HYPERLINK("mailto:ldimambro@crm.otsuka-europe.com", "ldimambro@crm.otsuka-europe.com")</f>
        <v>ldimambro@crm.otsuka-europe.com</v>
      </c>
      <c r="N9913" s="13">
        <v>46188.529733796298</v>
      </c>
      <c r="O9913" s="14" t="str">
        <f>HYPERLINK("https://otsuka-europe-crm.veevavault.com/ui/#object/email_activity__v/V8C00000003U652", "EN-002096151")</f>
        <v>EN-002096151</v>
      </c>
    </row>
    <row r="9914" spans="1:15" ht="32" x14ac:dyDescent="0.2">
      <c r="A9914" s="7" t="str">
        <f>HYPERLINK("https://otsuka-europe-crm.veevavault.com/ui/#object/account__v/V4TZ04ASG6LG3VR", "Suzanne Welch")</f>
        <v>Suzanne Welch</v>
      </c>
      <c r="B9914" s="7" t="str">
        <f>HYPERLINK("https://otsuka-europe-crm.veevavault.com/ui/#object/vcountry__v/VENZ000004SONFK", "GB")</f>
        <v>GB</v>
      </c>
      <c r="C9914" s="8" t="s">
        <v>39</v>
      </c>
      <c r="D9914" s="9" t="str">
        <f>HYPERLINK("https://otsuka-europe-crm.veevavault.com/ui/#object/approved_document__v/V5O00000001H005", "LDM DR P2P Invite 23-Jun-26 [digital]")</f>
        <v>LDM DR P2P Invite 23-Jun-26 [digital]</v>
      </c>
      <c r="E9914" s="10" t="str">
        <f>HYPERLINK("https://otsuka-europe-crm.veevavault.com/ui/#object/sent_email__v/VBL00000002U336", "SE-001436151")</f>
        <v>SE-001436151</v>
      </c>
      <c r="F9914" s="11"/>
      <c r="G9914" s="12">
        <v>0</v>
      </c>
      <c r="H9914" s="12">
        <v>0</v>
      </c>
      <c r="I9914" s="12">
        <v>0</v>
      </c>
      <c r="J9914" s="11"/>
      <c r="K9914" s="12">
        <v>0</v>
      </c>
      <c r="L9914" s="10" t="str">
        <f>HYPERLINK("https://otsuka-europe-crm.veevavault.com/ui/#object/approved_document__v/V5O00000001H005", "LDM DR P2P Invite 23-Jun-26 [digital]")</f>
        <v>LDM DR P2P Invite 23-Jun-26 [digital]</v>
      </c>
      <c r="M9914" s="10" t="str">
        <f>HYPERLINK("mailto:ldimambro@crm.otsuka-europe.com", "ldimambro@crm.otsuka-europe.com")</f>
        <v>ldimambro@crm.otsuka-europe.com</v>
      </c>
      <c r="N9914" s="13">
        <v>46188.529733796298</v>
      </c>
      <c r="O9914" s="14" t="str">
        <f>HYPERLINK("https://otsuka-europe-crm.veevavault.com/ui/#object/email_activity__v/V8C00000003U659", "EN-002096158")</f>
        <v>EN-002096158</v>
      </c>
    </row>
    <row r="9915" spans="1:15" ht="32" x14ac:dyDescent="0.2">
      <c r="A9915" s="7" t="str">
        <f>HYPERLINK("https://otsuka-europe-crm.veevavault.com/ui/#object/account__v/V4TZ04ASG6LG3VP", "Sony Kondamudi")</f>
        <v>Sony Kondamudi</v>
      </c>
      <c r="B9915" s="7" t="str">
        <f>HYPERLINK("https://otsuka-europe-crm.veevavault.com/ui/#object/vcountry__v/VENZ000004SONFK", "GB")</f>
        <v>GB</v>
      </c>
      <c r="C9915" s="8" t="s">
        <v>39</v>
      </c>
      <c r="D9915" s="9" t="str">
        <f>HYPERLINK("https://otsuka-europe-crm.veevavault.com/ui/#object/approved_document__v/V5O00000001H005", "LDM DR P2P Invite 23-Jun-26 [digital]")</f>
        <v>LDM DR P2P Invite 23-Jun-26 [digital]</v>
      </c>
      <c r="E9915" s="10" t="str">
        <f>HYPERLINK("https://otsuka-europe-crm.veevavault.com/ui/#object/sent_email__v/VBL00000002U337", "SE-001436152")</f>
        <v>SE-001436152</v>
      </c>
      <c r="F9915" s="11"/>
      <c r="G9915" s="12">
        <v>0</v>
      </c>
      <c r="H9915" s="12">
        <v>0</v>
      </c>
      <c r="I9915" s="12">
        <v>0</v>
      </c>
      <c r="J9915" s="11"/>
      <c r="K9915" s="12">
        <v>0</v>
      </c>
      <c r="L9915" s="10" t="str">
        <f>HYPERLINK("https://otsuka-europe-crm.veevavault.com/ui/#object/approved_document__v/V5O00000001H005", "LDM DR P2P Invite 23-Jun-26 [digital]")</f>
        <v>LDM DR P2P Invite 23-Jun-26 [digital]</v>
      </c>
      <c r="M9915" s="10" t="str">
        <f>HYPERLINK("mailto:ldimambro@crm.otsuka-europe.com", "ldimambro@crm.otsuka-europe.com")</f>
        <v>ldimambro@crm.otsuka-europe.com</v>
      </c>
      <c r="N9915" s="13">
        <v>46188.529733796298</v>
      </c>
      <c r="O9915" s="14" t="str">
        <f>HYPERLINK("https://otsuka-europe-crm.veevavault.com/ui/#object/email_activity__v/V8C00000003U647", "EN-002096146")</f>
        <v>EN-002096146</v>
      </c>
    </row>
    <row r="9916" spans="1:15" ht="16" x14ac:dyDescent="0.2">
      <c r="A9916" s="17" t="str">
        <f>HYPERLINK("https://otsuka-europe-crm.veevavault.com/ui/#object/account__v/V4TZ0000062PF17", "Samina Karamat")</f>
        <v>Samina Karamat</v>
      </c>
      <c r="B9916" s="17" t="str">
        <f>HYPERLINK("https://otsuka-europe-crm.veevavault.com/ui/#object/vcountry__v/VENZ000004SONFK", "GB")</f>
        <v>GB</v>
      </c>
      <c r="C9916" s="20" t="s">
        <v>39</v>
      </c>
      <c r="D9916" s="21" t="str">
        <f>HYPERLINK("https://otsuka-europe-crm.veevavault.com/ui/#object/approved_document__v/V5O00000001H005", "LDM DR P2P Invite 23-Jun-26 [digital]")</f>
        <v>LDM DR P2P Invite 23-Jun-26 [digital]</v>
      </c>
      <c r="E9916" s="22" t="str">
        <f>HYPERLINK("https://otsuka-europe-crm.veevavault.com/ui/#object/sent_email__v/VBL00000002U338", "SE-001436153")</f>
        <v>SE-001436153</v>
      </c>
      <c r="F9916" s="23">
        <v>46189.4453587963</v>
      </c>
      <c r="G9916" s="24">
        <v>1</v>
      </c>
      <c r="H9916" s="24">
        <v>1</v>
      </c>
      <c r="I9916" s="24">
        <v>0</v>
      </c>
      <c r="J9916" s="25"/>
      <c r="K9916" s="24">
        <v>0</v>
      </c>
      <c r="L9916" s="22" t="str">
        <f>HYPERLINK("https://otsuka-europe-crm.veevavault.com/ui/#object/approved_document__v/V5O00000001H005", "LDM DR P2P Invite 23-Jun-26 [digital]")</f>
        <v>LDM DR P2P Invite 23-Jun-26 [digital]</v>
      </c>
      <c r="M9916" s="22" t="str">
        <f>HYPERLINK("mailto:ldimambro@crm.otsuka-europe.com", "ldimambro@crm.otsuka-europe.com")</f>
        <v>ldimambro@crm.otsuka-europe.com</v>
      </c>
      <c r="N9916" s="23">
        <v>46188.529745370368</v>
      </c>
      <c r="O9916" s="14" t="str">
        <f>HYPERLINK("https://otsuka-europe-crm.veevavault.com/ui/#object/email_activity__v/V8C00000003U656", "EN-002096155")</f>
        <v>EN-002096155</v>
      </c>
    </row>
    <row r="9917" spans="1:15" ht="16" x14ac:dyDescent="0.2">
      <c r="A9917" s="19"/>
      <c r="B9917" s="19"/>
      <c r="C9917" s="19"/>
      <c r="D9917" s="19"/>
      <c r="E9917" s="19"/>
      <c r="F9917" s="19"/>
      <c r="G9917" s="19"/>
      <c r="H9917" s="19"/>
      <c r="I9917" s="19"/>
      <c r="J9917" s="19"/>
      <c r="K9917" s="19"/>
      <c r="L9917" s="19"/>
      <c r="M9917" s="19"/>
      <c r="N9917" s="19"/>
      <c r="O9917" s="14" t="str">
        <f>HYPERLINK("https://otsuka-europe-crm.veevavault.com/ui/#object/email_activity__v/V8C00000003X107", "EN-002097111")</f>
        <v>EN-002097111</v>
      </c>
    </row>
    <row r="9918" spans="1:15" ht="32" x14ac:dyDescent="0.2">
      <c r="A9918" s="7" t="str">
        <f>HYPERLINK("https://otsuka-europe-crm.veevavault.com/ui/#object/account__v/V4T00000000O214", "Ruth Goodness Favour")</f>
        <v>Ruth Goodness Favour</v>
      </c>
      <c r="B9918" s="7" t="str">
        <f>HYPERLINK("https://otsuka-europe-crm.veevavault.com/ui/#object/vcountry__v/VENZ000004SONFK", "GB")</f>
        <v>GB</v>
      </c>
      <c r="C9918" s="8" t="s">
        <v>39</v>
      </c>
      <c r="D9918" s="9" t="str">
        <f>HYPERLINK("https://otsuka-europe-crm.veevavault.com/ui/#object/approved_document__v/V5O00000001H005", "LDM DR P2P Invite 23-Jun-26 [digital]")</f>
        <v>LDM DR P2P Invite 23-Jun-26 [digital]</v>
      </c>
      <c r="E9918" s="10" t="str">
        <f>HYPERLINK("https://otsuka-europe-crm.veevavault.com/ui/#object/sent_email__v/VBL00000002U339", "SE-001436154")</f>
        <v>SE-001436154</v>
      </c>
      <c r="F9918" s="11"/>
      <c r="G9918" s="12">
        <v>0</v>
      </c>
      <c r="H9918" s="12">
        <v>0</v>
      </c>
      <c r="I9918" s="12">
        <v>0</v>
      </c>
      <c r="J9918" s="11"/>
      <c r="K9918" s="12">
        <v>0</v>
      </c>
      <c r="L9918" s="10" t="str">
        <f>HYPERLINK("https://otsuka-europe-crm.veevavault.com/ui/#object/approved_document__v/V5O00000001H005", "LDM DR P2P Invite 23-Jun-26 [digital]")</f>
        <v>LDM DR P2P Invite 23-Jun-26 [digital]</v>
      </c>
      <c r="M9918" s="10" t="str">
        <f>HYPERLINK("mailto:ldimambro@crm.otsuka-europe.com", "ldimambro@crm.otsuka-europe.com")</f>
        <v>ldimambro@crm.otsuka-europe.com</v>
      </c>
      <c r="N9918" s="13">
        <v>46188.529745370368</v>
      </c>
      <c r="O9918" s="14" t="str">
        <f>HYPERLINK("https://otsuka-europe-crm.veevavault.com/ui/#object/email_activity__v/V8C00000003U645", "EN-002096144")</f>
        <v>EN-002096144</v>
      </c>
    </row>
    <row r="9919" spans="1:15" ht="32" x14ac:dyDescent="0.2">
      <c r="A9919" s="7" t="str">
        <f>HYPERLINK("https://otsuka-europe-crm.veevavault.com/ui/#object/account__v/V4TZ04ASGEOTPKY", "Taiwo Oladele")</f>
        <v>Taiwo Oladele</v>
      </c>
      <c r="B9919" s="7" t="str">
        <f>HYPERLINK("https://otsuka-europe-crm.veevavault.com/ui/#object/vcountry__v/VENZ000004SONFK", "GB")</f>
        <v>GB</v>
      </c>
      <c r="C9919" s="8" t="s">
        <v>39</v>
      </c>
      <c r="D9919" s="9" t="str">
        <f>HYPERLINK("https://otsuka-europe-crm.veevavault.com/ui/#object/approved_document__v/V5O00000001H005", "LDM DR P2P Invite 23-Jun-26 [digital]")</f>
        <v>LDM DR P2P Invite 23-Jun-26 [digital]</v>
      </c>
      <c r="E9919" s="10" t="str">
        <f>HYPERLINK("https://otsuka-europe-crm.veevavault.com/ui/#object/sent_email__v/VBL00000002U340", "SE-001436155")</f>
        <v>SE-001436155</v>
      </c>
      <c r="F9919" s="11"/>
      <c r="G9919" s="12">
        <v>0</v>
      </c>
      <c r="H9919" s="12">
        <v>0</v>
      </c>
      <c r="I9919" s="12">
        <v>0</v>
      </c>
      <c r="J9919" s="11"/>
      <c r="K9919" s="12">
        <v>0</v>
      </c>
      <c r="L9919" s="10" t="str">
        <f>HYPERLINK("https://otsuka-europe-crm.veevavault.com/ui/#object/approved_document__v/V5O00000001H005", "LDM DR P2P Invite 23-Jun-26 [digital]")</f>
        <v>LDM DR P2P Invite 23-Jun-26 [digital]</v>
      </c>
      <c r="M9919" s="10" t="str">
        <f>HYPERLINK("mailto:ldimambro@crm.otsuka-europe.com", "ldimambro@crm.otsuka-europe.com")</f>
        <v>ldimambro@crm.otsuka-europe.com</v>
      </c>
      <c r="N9919" s="13">
        <v>46188.529791666668</v>
      </c>
      <c r="O9919" s="14" t="str">
        <f>HYPERLINK("https://otsuka-europe-crm.veevavault.com/ui/#object/email_activity__v/V8C00000003U663", "EN-002096162")</f>
        <v>EN-002096162</v>
      </c>
    </row>
    <row r="9920" spans="1:15" ht="16" x14ac:dyDescent="0.2">
      <c r="A9920" s="17" t="str">
        <f>HYPERLINK("https://otsuka-europe-crm.veevavault.com/ui/#object/account__v/V4TZ06G6OCEV3AH", "Sophie Taylor")</f>
        <v>Sophie Taylor</v>
      </c>
      <c r="B9920" s="17" t="str">
        <f>HYPERLINK("https://otsuka-europe-crm.veevavault.com/ui/#object/vcountry__v/VENZ000004SONFK", "GB")</f>
        <v>GB</v>
      </c>
      <c r="C9920" s="20" t="s">
        <v>39</v>
      </c>
      <c r="D9920" s="21" t="str">
        <f>HYPERLINK("https://otsuka-europe-crm.veevavault.com/ui/#object/approved_document__v/V5O00000001H005", "LDM DR P2P Invite 23-Jun-26 [digital]")</f>
        <v>LDM DR P2P Invite 23-Jun-26 [digital]</v>
      </c>
      <c r="E9920" s="22" t="str">
        <f>HYPERLINK("https://otsuka-europe-crm.veevavault.com/ui/#object/sent_email__v/VBL00000002U341", "SE-001436156")</f>
        <v>SE-001436156</v>
      </c>
      <c r="F9920" s="23">
        <v>46188.529849537037</v>
      </c>
      <c r="G9920" s="24">
        <v>1</v>
      </c>
      <c r="H9920" s="24">
        <v>1</v>
      </c>
      <c r="I9920" s="24">
        <v>0</v>
      </c>
      <c r="J9920" s="25"/>
      <c r="K9920" s="24">
        <v>0</v>
      </c>
      <c r="L9920" s="22" t="str">
        <f>HYPERLINK("https://otsuka-europe-crm.veevavault.com/ui/#object/approved_document__v/V5O00000001H005", "LDM DR P2P Invite 23-Jun-26 [digital]")</f>
        <v>LDM DR P2P Invite 23-Jun-26 [digital]</v>
      </c>
      <c r="M9920" s="22" t="str">
        <f>HYPERLINK("mailto:ldimambro@crm.otsuka-europe.com", "ldimambro@crm.otsuka-europe.com")</f>
        <v>ldimambro@crm.otsuka-europe.com</v>
      </c>
      <c r="N9920" s="23">
        <v>46188.529745370368</v>
      </c>
      <c r="O9920" s="14" t="str">
        <f>HYPERLINK("https://otsuka-europe-crm.veevavault.com/ui/#object/email_activity__v/V8C00000003U666", "EN-002096165")</f>
        <v>EN-002096165</v>
      </c>
    </row>
    <row r="9921" spans="1:15" ht="16" x14ac:dyDescent="0.2">
      <c r="A9921" s="19"/>
      <c r="B9921" s="19"/>
      <c r="C9921" s="19"/>
      <c r="D9921" s="19"/>
      <c r="E9921" s="19"/>
      <c r="F9921" s="19"/>
      <c r="G9921" s="19"/>
      <c r="H9921" s="19"/>
      <c r="I9921" s="19"/>
      <c r="J9921" s="19"/>
      <c r="K9921" s="19"/>
      <c r="L9921" s="19"/>
      <c r="M9921" s="19"/>
      <c r="N9921" s="19"/>
      <c r="O9921" s="14" t="str">
        <f>HYPERLINK("https://otsuka-europe-crm.veevavault.com/ui/#object/email_activity__v/V8C00000003U669", "EN-002096168")</f>
        <v>EN-002096168</v>
      </c>
    </row>
    <row r="9922" spans="1:15" ht="32" x14ac:dyDescent="0.2">
      <c r="A9922" s="7" t="str">
        <f>HYPERLINK("https://otsuka-europe-crm.veevavault.com/ui/#object/account__v/V4T000000024014", "Debbie-Anne Marshall")</f>
        <v>Debbie-Anne Marshall</v>
      </c>
      <c r="B9922" s="7" t="str">
        <f>HYPERLINK("https://otsuka-europe-crm.veevavault.com/ui/#object/vcountry__v/VENZ000004SONFK", "GB")</f>
        <v>GB</v>
      </c>
      <c r="C9922" s="8" t="s">
        <v>39</v>
      </c>
      <c r="D9922" s="9" t="str">
        <f>HYPERLINK("https://otsuka-europe-crm.veevavault.com/ui/#object/approved_document__v/V5OZ025E82PXJSL", "Otsuka Privacy Notice - UK (v2)")</f>
        <v>Otsuka Privacy Notice - UK (v2)</v>
      </c>
      <c r="E9922" s="10" t="str">
        <f>HYPERLINK("https://otsuka-europe-crm.veevavault.com/ui/#object/sent_email__v/VBL00000002U342", "SE-001436157")</f>
        <v>SE-001436157</v>
      </c>
      <c r="F9922" s="11"/>
      <c r="G9922" s="12">
        <v>0</v>
      </c>
      <c r="H9922" s="12">
        <v>0</v>
      </c>
      <c r="I9922" s="12">
        <v>0</v>
      </c>
      <c r="J9922" s="11"/>
      <c r="K9922" s="12">
        <v>0</v>
      </c>
      <c r="L9922" s="10" t="str">
        <f>HYPERLINK("https://otsuka-europe-crm.veevavault.com/ui/#object/approved_document__v/V5OZ025E82PXJSL", "Otsuka Privacy Notice - UK (v2)")</f>
        <v>Otsuka Privacy Notice - UK (v2)</v>
      </c>
      <c r="M9922" s="10" t="str">
        <f>HYPERLINK("mailto:ldimambro@crm.otsuka-europe.com", "ldimambro@crm.otsuka-europe.com")</f>
        <v>ldimambro@crm.otsuka-europe.com</v>
      </c>
      <c r="N9922" s="13">
        <v>46188.531574074077</v>
      </c>
      <c r="O9922" s="14" t="str">
        <f>HYPERLINK("https://otsuka-europe-crm.veevavault.com/ui/#object/email_activity__v/V8C00000003U674", "EN-002096175")</f>
        <v>EN-002096175</v>
      </c>
    </row>
    <row r="9923" spans="1:15" ht="32" x14ac:dyDescent="0.2">
      <c r="A9923" s="7" t="str">
        <f>HYPERLINK("https://otsuka-europe-crm.veevavault.com/ui/#object/account__v/V4T000000024014", "Debbie-Anne Marshall")</f>
        <v>Debbie-Anne Marshall</v>
      </c>
      <c r="B9923" s="7" t="str">
        <f>HYPERLINK("https://otsuka-europe-crm.veevavault.com/ui/#object/vcountry__v/VENZ000004SONFK", "GB")</f>
        <v>GB</v>
      </c>
      <c r="C9923" s="8" t="s">
        <v>39</v>
      </c>
      <c r="D9923" s="9" t="str">
        <f>HYPERLINK("https://otsuka-europe-crm.veevavault.com/ui/#object/approved_document__v/V5O00000000D081", "UK - Consent Email 1 Aug 25")</f>
        <v>UK - Consent Email 1 Aug 25</v>
      </c>
      <c r="E9923" s="10" t="str">
        <f>HYPERLINK("https://otsuka-europe-crm.veevavault.com/ui/#object/sent_email__v/VBL00000002U343", "SE-001436158")</f>
        <v>SE-001436158</v>
      </c>
      <c r="F9923" s="11"/>
      <c r="G9923" s="12">
        <v>0</v>
      </c>
      <c r="H9923" s="12">
        <v>0</v>
      </c>
      <c r="I9923" s="12">
        <v>0</v>
      </c>
      <c r="J9923" s="11"/>
      <c r="K9923" s="12">
        <v>0</v>
      </c>
      <c r="L9923" s="10" t="str">
        <f>HYPERLINK("https://otsuka-europe-crm.veevavault.com/ui/#object/approved_document__v/V5O00000000D081", "UK - Consent Email 1 Aug 25")</f>
        <v>UK - Consent Email 1 Aug 25</v>
      </c>
      <c r="M9923" s="10" t="str">
        <f>HYPERLINK("mailto:ldimambro@crm.otsuka-europe.com", "ldimambro@crm.otsuka-europe.com")</f>
        <v>ldimambro@crm.otsuka-europe.com</v>
      </c>
      <c r="N9923" s="13">
        <v>46188.532511574071</v>
      </c>
      <c r="O9923" s="14" t="str">
        <f>HYPERLINK("https://otsuka-europe-crm.veevavault.com/ui/#object/email_activity__v/V8C00000003V688", "EN-002096177")</f>
        <v>EN-002096177</v>
      </c>
    </row>
    <row r="9924" spans="1:15" ht="16" x14ac:dyDescent="0.2">
      <c r="A9924" s="17" t="str">
        <f>HYPERLINK("https://otsuka-europe-crm.veevavault.com/ui/#object/account__v/V4T000000024031", "INMACULADA BENITO MARIN")</f>
        <v>INMACULADA BENITO MARIN</v>
      </c>
      <c r="B9924" s="17" t="str">
        <f>HYPERLINK("https://otsuka-europe-crm.veevavault.com/ui/#object/vcountry__v/VENZ000004SONF5", "ES")</f>
        <v>ES</v>
      </c>
      <c r="C9924" s="20" t="s">
        <v>41</v>
      </c>
      <c r="D9924" s="21" t="str">
        <f>HYPERLINK("https://otsuka-europe-crm.veevavault.com/ui/#object/approved_document__v/V5OZ06G6O6RFL1P", "ES Veeva Privacy Notice Email")</f>
        <v>ES Veeva Privacy Notice Email</v>
      </c>
      <c r="E9924" s="22" t="str">
        <f>HYPERLINK("https://otsuka-europe-crm.veevavault.com/ui/#object/sent_email__v/VBL00000002U344", "SE-001436159")</f>
        <v>SE-001436159</v>
      </c>
      <c r="F9924" s="23">
        <v>46188.938437500001</v>
      </c>
      <c r="G9924" s="24">
        <v>1</v>
      </c>
      <c r="H9924" s="24">
        <v>2</v>
      </c>
      <c r="I9924" s="24">
        <v>0</v>
      </c>
      <c r="J9924" s="25"/>
      <c r="K9924" s="24">
        <v>0</v>
      </c>
      <c r="L9924" s="22" t="str">
        <f>HYPERLINK("https://otsuka-europe-crm.veevavault.com/ui/#object/approved_document__v/V5OZ06G6O6RFL1P", "ES Veeva Privacy Notice Email")</f>
        <v>ES Veeva Privacy Notice Email</v>
      </c>
      <c r="M9924" s="22" t="str">
        <f>HYPERLINK("mailto:jcastro@crm.otsuka-europe.com", "jcastro@crm.otsuka-europe.com")</f>
        <v>jcastro@crm.otsuka-europe.com</v>
      </c>
      <c r="N9924" s="23">
        <v>46188.533020833333</v>
      </c>
      <c r="O9924" s="14" t="str">
        <f>HYPERLINK("https://otsuka-europe-crm.veevavault.com/ui/#object/email_activity__v/V8C00000003U774", "EN-002096461")</f>
        <v>EN-002096461</v>
      </c>
    </row>
    <row r="9925" spans="1:15" ht="16" x14ac:dyDescent="0.2">
      <c r="A9925" s="18"/>
      <c r="B9925" s="18"/>
      <c r="C9925" s="18"/>
      <c r="D9925" s="18"/>
      <c r="E9925" s="18"/>
      <c r="F9925" s="18"/>
      <c r="G9925" s="18"/>
      <c r="H9925" s="18"/>
      <c r="I9925" s="18"/>
      <c r="J9925" s="18"/>
      <c r="K9925" s="18"/>
      <c r="L9925" s="18"/>
      <c r="M9925" s="18"/>
      <c r="N9925" s="18"/>
      <c r="O9925" s="14" t="str">
        <f>HYPERLINK("https://otsuka-europe-crm.veevavault.com/ui/#object/email_activity__v/V8C00000003U931", "EN-002096840")</f>
        <v>EN-002096840</v>
      </c>
    </row>
    <row r="9926" spans="1:15" ht="16" x14ac:dyDescent="0.2">
      <c r="A9926" s="19"/>
      <c r="B9926" s="19"/>
      <c r="C9926" s="19"/>
      <c r="D9926" s="19"/>
      <c r="E9926" s="19"/>
      <c r="F9926" s="19"/>
      <c r="G9926" s="19"/>
      <c r="H9926" s="19"/>
      <c r="I9926" s="19"/>
      <c r="J9926" s="19"/>
      <c r="K9926" s="19"/>
      <c r="L9926" s="19"/>
      <c r="M9926" s="19"/>
      <c r="N9926" s="19"/>
      <c r="O9926" s="14" t="str">
        <f>HYPERLINK("https://otsuka-europe-crm.veevavault.com/ui/#object/email_activity__v/V8C00000003V689", "EN-002096178")</f>
        <v>EN-002096178</v>
      </c>
    </row>
    <row r="9927" spans="1:15" ht="32" x14ac:dyDescent="0.2">
      <c r="A9927" s="7" t="str">
        <f>HYPERLINK("https://otsuka-europe-crm.veevavault.com/ui/#object/account__v/V4T000000023060", "Antonio Licata")</f>
        <v>Antonio Licata</v>
      </c>
      <c r="B9927" s="7" t="str">
        <f>HYPERLINK("https://otsuka-europe-crm.veevavault.com/ui/#object/vcountry__v/VENZ000004SONFK", "GB")</f>
        <v>GB</v>
      </c>
      <c r="C9927" s="8" t="s">
        <v>39</v>
      </c>
      <c r="D9927" s="9" t="str">
        <f>HYPERLINK("https://otsuka-europe-crm.veevavault.com/ui/#object/approved_document__v/V5O00000000D081", "UK - Consent Email 1 Aug 25")</f>
        <v>UK - Consent Email 1 Aug 25</v>
      </c>
      <c r="E9927" s="10" t="str">
        <f>HYPERLINK("https://otsuka-europe-crm.veevavault.com/ui/#object/sent_email__v/VBL00000002U345", "SE-001436160")</f>
        <v>SE-001436160</v>
      </c>
      <c r="F9927" s="11"/>
      <c r="G9927" s="12">
        <v>0</v>
      </c>
      <c r="H9927" s="12">
        <v>0</v>
      </c>
      <c r="I9927" s="12">
        <v>0</v>
      </c>
      <c r="J9927" s="11"/>
      <c r="K9927" s="12">
        <v>0</v>
      </c>
      <c r="L9927" s="10" t="str">
        <f>HYPERLINK("https://otsuka-europe-crm.veevavault.com/ui/#object/approved_document__v/V5O00000000D081", "UK - Consent Email 1 Aug 25")</f>
        <v>UK - Consent Email 1 Aug 25</v>
      </c>
      <c r="M9927" s="10" t="str">
        <f>HYPERLINK("mailto:ldimambro@crm.otsuka-europe.com", "ldimambro@crm.otsuka-europe.com")</f>
        <v>ldimambro@crm.otsuka-europe.com</v>
      </c>
      <c r="N9927" s="13">
        <v>46188.542928240742</v>
      </c>
      <c r="O9927" s="14" t="str">
        <f>HYPERLINK("https://otsuka-europe-crm.veevavault.com/ui/#object/email_activity__v/V8C00000003U688", "EN-002096198")</f>
        <v>EN-002096198</v>
      </c>
    </row>
    <row r="9928" spans="1:15" ht="16" x14ac:dyDescent="0.2">
      <c r="A9928" s="17" t="str">
        <f>HYPERLINK("https://otsuka-europe-crm.veevavault.com/ui/#object/account__v/V4TZ025E835QXHA", "AURELIEN PIERRE KARCH")</f>
        <v>AURELIEN PIERRE KARCH</v>
      </c>
      <c r="B9928" s="17" t="str">
        <f>HYPERLINK("https://otsuka-europe-crm.veevavault.com/ui/#object/vcountry__v/VENZ000004SONFA", "FR")</f>
        <v>FR</v>
      </c>
      <c r="C9928" s="20" t="s">
        <v>42</v>
      </c>
      <c r="D9928" s="21" t="str">
        <f>HYPERLINK("https://otsuka-europe-crm.veevavault.com/ui/#object/approved_document__v/V5OZ04ASG4G02Y6", "INVITATION_VAD_2023")</f>
        <v>INVITATION_VAD_2023</v>
      </c>
      <c r="E9928" s="22" t="str">
        <f>HYPERLINK("https://otsuka-europe-crm.veevavault.com/ui/#object/sent_email__v/VBL00000002T338", "SE-001436161")</f>
        <v>SE-001436161</v>
      </c>
      <c r="F9928" s="23">
        <v>46188.611273148148</v>
      </c>
      <c r="G9928" s="24">
        <v>1</v>
      </c>
      <c r="H9928" s="24">
        <v>4</v>
      </c>
      <c r="I9928" s="24">
        <v>0</v>
      </c>
      <c r="J9928" s="25"/>
      <c r="K9928" s="24">
        <v>0</v>
      </c>
      <c r="L9928" s="22" t="str">
        <f>HYPERLINK("https://otsuka-europe-crm.veevavault.com/ui/#object/approved_document__v/V5OZ04ASG4G02Y6", "INVITATION_VAD_2023")</f>
        <v>INVITATION_VAD_2023</v>
      </c>
      <c r="M9928" s="22" t="str">
        <f>HYPERLINK("mailto:smauffrey@crm.otsuka-europe.com", "smauffrey@crm.otsuka-europe.com")</f>
        <v>smauffrey@crm.otsuka-europe.com</v>
      </c>
      <c r="N9928" s="23">
        <v>46188.560300925928</v>
      </c>
      <c r="O9928" s="14" t="str">
        <f>HYPERLINK("https://otsuka-europe-crm.veevavault.com/ui/#object/email_activity__v/V8C00000003U693", "EN-002096213")</f>
        <v>EN-002096213</v>
      </c>
    </row>
    <row r="9929" spans="1:15" ht="16" x14ac:dyDescent="0.2">
      <c r="A9929" s="18"/>
      <c r="B9929" s="18"/>
      <c r="C9929" s="18"/>
      <c r="D9929" s="18"/>
      <c r="E9929" s="18"/>
      <c r="F9929" s="18"/>
      <c r="G9929" s="18"/>
      <c r="H9929" s="18"/>
      <c r="I9929" s="18"/>
      <c r="J9929" s="18"/>
      <c r="K9929" s="18"/>
      <c r="L9929" s="18"/>
      <c r="M9929" s="18"/>
      <c r="N9929" s="18"/>
      <c r="O9929" s="14" t="str">
        <f>HYPERLINK("https://otsuka-europe-crm.veevavault.com/ui/#object/email_activity__v/V8C00000003U746", "EN-002096309")</f>
        <v>EN-002096309</v>
      </c>
    </row>
    <row r="9930" spans="1:15" ht="16" x14ac:dyDescent="0.2">
      <c r="A9930" s="18"/>
      <c r="B9930" s="18"/>
      <c r="C9930" s="18"/>
      <c r="D9930" s="18"/>
      <c r="E9930" s="18"/>
      <c r="F9930" s="18"/>
      <c r="G9930" s="18"/>
      <c r="H9930" s="18"/>
      <c r="I9930" s="18"/>
      <c r="J9930" s="18"/>
      <c r="K9930" s="18"/>
      <c r="L9930" s="18"/>
      <c r="M9930" s="18"/>
      <c r="N9930" s="18"/>
      <c r="O9930" s="14" t="str">
        <f>HYPERLINK("https://otsuka-europe-crm.veevavault.com/ui/#object/email_activity__v/V8C00000003V716", "EN-002096225")</f>
        <v>EN-002096225</v>
      </c>
    </row>
    <row r="9931" spans="1:15" ht="16" x14ac:dyDescent="0.2">
      <c r="A9931" s="18"/>
      <c r="B9931" s="18"/>
      <c r="C9931" s="18"/>
      <c r="D9931" s="18"/>
      <c r="E9931" s="18"/>
      <c r="F9931" s="18"/>
      <c r="G9931" s="18"/>
      <c r="H9931" s="18"/>
      <c r="I9931" s="18"/>
      <c r="J9931" s="18"/>
      <c r="K9931" s="18"/>
      <c r="L9931" s="18"/>
      <c r="M9931" s="18"/>
      <c r="N9931" s="18"/>
      <c r="O9931" s="14" t="str">
        <f>HYPERLINK("https://otsuka-europe-crm.veevavault.com/ui/#object/email_activity__v/V8C00000003V730", "EN-002096248")</f>
        <v>EN-002096248</v>
      </c>
    </row>
    <row r="9932" spans="1:15" ht="16" x14ac:dyDescent="0.2">
      <c r="A9932" s="19"/>
      <c r="B9932" s="19"/>
      <c r="C9932" s="19"/>
      <c r="D9932" s="19"/>
      <c r="E9932" s="19"/>
      <c r="F9932" s="19"/>
      <c r="G9932" s="19"/>
      <c r="H9932" s="19"/>
      <c r="I9932" s="19"/>
      <c r="J9932" s="19"/>
      <c r="K9932" s="19"/>
      <c r="L9932" s="19"/>
      <c r="M9932" s="19"/>
      <c r="N9932" s="19"/>
      <c r="O9932" s="14" t="str">
        <f>HYPERLINK("https://otsuka-europe-crm.veevavault.com/ui/#object/email_activity__v/V8C00000003V826", "EN-002096391")</f>
        <v>EN-002096391</v>
      </c>
    </row>
    <row r="9933" spans="1:15" ht="16" x14ac:dyDescent="0.2">
      <c r="A9933" s="17" t="str">
        <f>HYPERLINK("https://otsuka-europe-crm.veevavault.com/ui/#object/account__v/V4TZ06G6O71T80B", "MARTA FERNANDEZ MONGE")</f>
        <v>MARTA FERNANDEZ MONGE</v>
      </c>
      <c r="B9933" s="17" t="str">
        <f>HYPERLINK("https://otsuka-europe-crm.veevavault.com/ui/#object/vcountry__v/VENZ000004SONF5", "ES")</f>
        <v>ES</v>
      </c>
      <c r="C9933" s="20" t="s">
        <v>41</v>
      </c>
      <c r="D9933" s="21" t="str">
        <f>HYPERLINK("https://otsuka-europe-crm.veevavault.com/ui/#object/approved_document__v/V5OZ04ASG4FWKA9", "Documento Autorizaciขn Centro Empleador")</f>
        <v>Documento Autorizaciขn Centro Empleador</v>
      </c>
      <c r="E9933" s="22" t="str">
        <f>HYPERLINK("https://otsuka-europe-crm.veevavault.com/ui/#object/sent_email__v/VBL00000002T339", "SE-001436162")</f>
        <v>SE-001436162</v>
      </c>
      <c r="F9933" s="25"/>
      <c r="G9933" s="24">
        <v>0</v>
      </c>
      <c r="H9933" s="24">
        <v>0</v>
      </c>
      <c r="I9933" s="24">
        <v>1</v>
      </c>
      <c r="J9933" s="23">
        <v>46188.588761574072</v>
      </c>
      <c r="K9933" s="24">
        <v>1</v>
      </c>
      <c r="L9933" s="22" t="str">
        <f>HYPERLINK("https://otsuka-europe-crm.veevavault.com/ui/#object/approved_document__v/V5OZ04ASG4FWKA9", "Documento Autorizaciขn Centro Empleador")</f>
        <v>Documento Autorizaciขn Centro Empleador</v>
      </c>
      <c r="M9933" s="22" t="str">
        <f>HYPERLINK("mailto:mgravan@crm.otsuka-europe.com", "mgravan@crm.otsuka-europe.com")</f>
        <v>mgravan@crm.otsuka-europe.com</v>
      </c>
      <c r="N9933" s="23">
        <v>46188.568854166668</v>
      </c>
      <c r="O9933" s="14" t="str">
        <f>HYPERLINK("https://otsuka-europe-crm.veevavault.com/ui/#object/email_activity__v/V8C00000003U696", "EN-002096234")</f>
        <v>EN-002096234</v>
      </c>
    </row>
    <row r="9934" spans="1:15" ht="16" x14ac:dyDescent="0.2">
      <c r="A9934" s="18"/>
      <c r="B9934" s="18"/>
      <c r="C9934" s="18"/>
      <c r="D9934" s="18"/>
      <c r="E9934" s="18"/>
      <c r="F9934" s="18"/>
      <c r="G9934" s="18"/>
      <c r="H9934" s="18"/>
      <c r="I9934" s="18"/>
      <c r="J9934" s="18"/>
      <c r="K9934" s="18"/>
      <c r="L9934" s="18"/>
      <c r="M9934" s="18"/>
      <c r="N9934" s="18"/>
      <c r="O9934" s="14" t="str">
        <f>HYPERLINK("https://otsuka-europe-crm.veevavault.com/ui/#object/email_activity__v/V8C00000003V717", "EN-002096226")</f>
        <v>EN-002096226</v>
      </c>
    </row>
    <row r="9935" spans="1:15" ht="16" x14ac:dyDescent="0.2">
      <c r="A9935" s="19"/>
      <c r="B9935" s="19"/>
      <c r="C9935" s="19"/>
      <c r="D9935" s="19"/>
      <c r="E9935" s="19"/>
      <c r="F9935" s="19"/>
      <c r="G9935" s="19"/>
      <c r="H9935" s="19"/>
      <c r="I9935" s="19"/>
      <c r="J9935" s="19"/>
      <c r="K9935" s="19"/>
      <c r="L9935" s="19"/>
      <c r="M9935" s="19"/>
      <c r="N9935" s="19"/>
      <c r="O9935" s="14" t="str">
        <f>HYPERLINK("https://otsuka-europe-crm.veevavault.com/ui/#object/email_activity__v/V8C00000003V731", "EN-002096249")</f>
        <v>EN-002096249</v>
      </c>
    </row>
    <row r="9936" spans="1:15" ht="16" x14ac:dyDescent="0.2">
      <c r="A9936" s="17" t="str">
        <f>HYPERLINK("https://otsuka-europe-crm.veevavault.com/ui/#object/account__v/V4TZ06G6O71T7O2", "ROCIO TORRECILLA OLAVARRIETA")</f>
        <v>ROCIO TORRECILLA OLAVARRIETA</v>
      </c>
      <c r="B9936" s="17" t="str">
        <f>HYPERLINK("https://otsuka-europe-crm.veevavault.com/ui/#object/vcountry__v/VENZ000004SONF5", "ES")</f>
        <v>ES</v>
      </c>
      <c r="C9936" s="20" t="s">
        <v>41</v>
      </c>
      <c r="D9936" s="21" t="str">
        <f>HYPERLINK("https://otsuka-europe-crm.veevavault.com/ui/#object/approved_document__v/V5OZ04ASG4FWKA9", "Documento Autorizaciขn Centro Empleador")</f>
        <v>Documento Autorizaciขn Centro Empleador</v>
      </c>
      <c r="E9936" s="22" t="str">
        <f>HYPERLINK("https://otsuka-europe-crm.veevavault.com/ui/#object/sent_email__v/VBL00000002U346", "SE-001436163")</f>
        <v>SE-001436163</v>
      </c>
      <c r="F9936" s="23">
        <v>46188.67460648148</v>
      </c>
      <c r="G9936" s="24">
        <v>1</v>
      </c>
      <c r="H9936" s="24">
        <v>2</v>
      </c>
      <c r="I9936" s="24">
        <v>1</v>
      </c>
      <c r="J9936" s="23">
        <v>46188.674710648149</v>
      </c>
      <c r="K9936" s="24">
        <v>2</v>
      </c>
      <c r="L9936" s="22" t="str">
        <f>HYPERLINK("https://otsuka-europe-crm.veevavault.com/ui/#object/approved_document__v/V5OZ04ASG4FWKA9", "Documento Autorizaciขn Centro Empleador")</f>
        <v>Documento Autorizaciขn Centro Empleador</v>
      </c>
      <c r="M9936" s="22" t="str">
        <f>HYPERLINK("mailto:mgravan@crm.otsuka-europe.com", "mgravan@crm.otsuka-europe.com")</f>
        <v>mgravan@crm.otsuka-europe.com</v>
      </c>
      <c r="N9936" s="23">
        <v>46188.568958333337</v>
      </c>
      <c r="O9936" s="14" t="str">
        <f>HYPERLINK("https://otsuka-europe-crm.veevavault.com/ui/#object/email_activity__v/V8C00000003U703", "EN-002096245")</f>
        <v>EN-002096245</v>
      </c>
    </row>
    <row r="9937" spans="1:15" ht="16" x14ac:dyDescent="0.2">
      <c r="A9937" s="18"/>
      <c r="B9937" s="18"/>
      <c r="C9937" s="18"/>
      <c r="D9937" s="18"/>
      <c r="E9937" s="18"/>
      <c r="F9937" s="18"/>
      <c r="G9937" s="18"/>
      <c r="H9937" s="18"/>
      <c r="I9937" s="18"/>
      <c r="J9937" s="18"/>
      <c r="K9937" s="18"/>
      <c r="L9937" s="18"/>
      <c r="M9937" s="18"/>
      <c r="N9937" s="18"/>
      <c r="O9937" s="14" t="str">
        <f>HYPERLINK("https://otsuka-europe-crm.veevavault.com/ui/#object/email_activity__v/V8C00000003U704", "EN-002096246")</f>
        <v>EN-002096246</v>
      </c>
    </row>
    <row r="9938" spans="1:15" ht="16" x14ac:dyDescent="0.2">
      <c r="A9938" s="18"/>
      <c r="B9938" s="18"/>
      <c r="C9938" s="18"/>
      <c r="D9938" s="18"/>
      <c r="E9938" s="18"/>
      <c r="F9938" s="18"/>
      <c r="G9938" s="18"/>
      <c r="H9938" s="18"/>
      <c r="I9938" s="18"/>
      <c r="J9938" s="18"/>
      <c r="K9938" s="18"/>
      <c r="L9938" s="18"/>
      <c r="M9938" s="18"/>
      <c r="N9938" s="18"/>
      <c r="O9938" s="14" t="str">
        <f>HYPERLINK("https://otsuka-europe-crm.veevavault.com/ui/#object/email_activity__v/V8C00000003U775", "EN-002096463")</f>
        <v>EN-002096463</v>
      </c>
    </row>
    <row r="9939" spans="1:15" ht="16" x14ac:dyDescent="0.2">
      <c r="A9939" s="18"/>
      <c r="B9939" s="18"/>
      <c r="C9939" s="18"/>
      <c r="D9939" s="18"/>
      <c r="E9939" s="18"/>
      <c r="F9939" s="18"/>
      <c r="G9939" s="18"/>
      <c r="H9939" s="18"/>
      <c r="I9939" s="18"/>
      <c r="J9939" s="18"/>
      <c r="K9939" s="18"/>
      <c r="L9939" s="18"/>
      <c r="M9939" s="18"/>
      <c r="N9939" s="18"/>
      <c r="O9939" s="14" t="str">
        <f>HYPERLINK("https://otsuka-europe-crm.veevavault.com/ui/#object/email_activity__v/V8C00000003V719", "EN-002096228")</f>
        <v>EN-002096228</v>
      </c>
    </row>
    <row r="9940" spans="1:15" ht="16" x14ac:dyDescent="0.2">
      <c r="A9940" s="19"/>
      <c r="B9940" s="19"/>
      <c r="C9940" s="19"/>
      <c r="D9940" s="19"/>
      <c r="E9940" s="19"/>
      <c r="F9940" s="19"/>
      <c r="G9940" s="19"/>
      <c r="H9940" s="19"/>
      <c r="I9940" s="19"/>
      <c r="J9940" s="19"/>
      <c r="K9940" s="19"/>
      <c r="L9940" s="19"/>
      <c r="M9940" s="19"/>
      <c r="N9940" s="19"/>
      <c r="O9940" s="14" t="str">
        <f>HYPERLINK("https://otsuka-europe-crm.veevavault.com/ui/#object/email_activity__v/V8C00000003V875", "EN-002096464")</f>
        <v>EN-002096464</v>
      </c>
    </row>
    <row r="9941" spans="1:15" ht="16" x14ac:dyDescent="0.2">
      <c r="A9941" s="17" t="str">
        <f>HYPERLINK("https://otsuka-europe-crm.veevavault.com/ui/#object/account__v/V4T00000001P073", "JUAN PABLO GONZALEZ BRICEÑO")</f>
        <v>JUAN PABLO GONZALEZ BRICEÑO</v>
      </c>
      <c r="B9941" s="17" t="str">
        <f>HYPERLINK("https://otsuka-europe-crm.veevavault.com/ui/#object/vcountry__v/VENZ000004SONF5", "ES")</f>
        <v>ES</v>
      </c>
      <c r="C9941" s="20" t="s">
        <v>41</v>
      </c>
      <c r="D9941" s="21" t="str">
        <f>HYPERLINK("https://otsuka-europe-crm.veevavault.com/ui/#object/approved_document__v/V5OZ04ASG4FWKA9", "Documento Autorizaciขn Centro Empleador")</f>
        <v>Documento Autorizaciขn Centro Empleador</v>
      </c>
      <c r="E9941" s="22" t="str">
        <f>HYPERLINK("https://otsuka-europe-crm.veevavault.com/ui/#object/sent_email__v/VBL00000002U347", "SE-001436164")</f>
        <v>SE-001436164</v>
      </c>
      <c r="F9941" s="23">
        <v>46189.437268518515</v>
      </c>
      <c r="G9941" s="24">
        <v>1</v>
      </c>
      <c r="H9941" s="24">
        <v>1</v>
      </c>
      <c r="I9941" s="24">
        <v>1</v>
      </c>
      <c r="J9941" s="23">
        <v>46189.437268518515</v>
      </c>
      <c r="K9941" s="24">
        <v>1</v>
      </c>
      <c r="L9941" s="22" t="str">
        <f>HYPERLINK("https://otsuka-europe-crm.veevavault.com/ui/#object/approved_document__v/V5OZ04ASG4FWKA9", "Documento Autorizaciขn Centro Empleador")</f>
        <v>Documento Autorizaciขn Centro Empleador</v>
      </c>
      <c r="M9941" s="22" t="str">
        <f>HYPERLINK("mailto:mgravan@crm.otsuka-europe.com", "mgravan@crm.otsuka-europe.com")</f>
        <v>mgravan@crm.otsuka-europe.com</v>
      </c>
      <c r="N9941" s="23">
        <v>46188.569432870368</v>
      </c>
      <c r="O9941" s="14" t="str">
        <f>HYPERLINK("https://otsuka-europe-crm.veevavault.com/ui/#object/email_activity__v/V8C00000003V722", "EN-002096231")</f>
        <v>EN-002096231</v>
      </c>
    </row>
    <row r="9942" spans="1:15" ht="16" x14ac:dyDescent="0.2">
      <c r="A9942" s="18"/>
      <c r="B9942" s="18"/>
      <c r="C9942" s="18"/>
      <c r="D9942" s="18"/>
      <c r="E9942" s="18"/>
      <c r="F9942" s="18"/>
      <c r="G9942" s="18"/>
      <c r="H9942" s="18"/>
      <c r="I9942" s="18"/>
      <c r="J9942" s="18"/>
      <c r="K9942" s="18"/>
      <c r="L9942" s="18"/>
      <c r="M9942" s="18"/>
      <c r="N9942" s="18"/>
      <c r="O9942" s="14" t="str">
        <f>HYPERLINK("https://otsuka-europe-crm.veevavault.com/ui/#object/email_activity__v/V8C00000003X089", "EN-002097076")</f>
        <v>EN-002097076</v>
      </c>
    </row>
    <row r="9943" spans="1:15" ht="16" x14ac:dyDescent="0.2">
      <c r="A9943" s="19"/>
      <c r="B9943" s="19"/>
      <c r="C9943" s="19"/>
      <c r="D9943" s="19"/>
      <c r="E9943" s="19"/>
      <c r="F9943" s="19"/>
      <c r="G9943" s="19"/>
      <c r="H9943" s="19"/>
      <c r="I9943" s="19"/>
      <c r="J9943" s="19"/>
      <c r="K9943" s="19"/>
      <c r="L9943" s="19"/>
      <c r="M9943" s="19"/>
      <c r="N9943" s="19"/>
      <c r="O9943" s="14" t="str">
        <f>HYPERLINK("https://otsuka-europe-crm.veevavault.com/ui/#object/email_activity__v/V8C00000003X090", "EN-002097075")</f>
        <v>EN-002097075</v>
      </c>
    </row>
    <row r="9944" spans="1:15" ht="16" x14ac:dyDescent="0.2">
      <c r="A9944" s="17" t="str">
        <f>HYPERLINK("https://otsuka-europe-crm.veevavault.com/ui/#object/account__v/V4T00000001P073", "JUAN PABLO GONZALEZ BRICEÑO")</f>
        <v>JUAN PABLO GONZALEZ BRICEÑO</v>
      </c>
      <c r="B9944" s="17" t="str">
        <f>HYPERLINK("https://otsuka-europe-crm.veevavault.com/ui/#object/vcountry__v/VENZ000004SONF5", "ES")</f>
        <v>ES</v>
      </c>
      <c r="C9944" s="20" t="s">
        <v>41</v>
      </c>
      <c r="D9944" s="21" t="str">
        <f>HYPERLINK("https://otsuka-europe-crm.veevavault.com/ui/#object/approved_document__v/V5O00000000D100", "Spain - Consent Email 1 Aug 25")</f>
        <v>Spain - Consent Email 1 Aug 25</v>
      </c>
      <c r="E9944" s="22" t="str">
        <f>HYPERLINK("https://otsuka-europe-crm.veevavault.com/ui/#object/sent_email__v/VBL00000002U348", "SE-001436165")</f>
        <v>SE-001436165</v>
      </c>
      <c r="F9944" s="23">
        <v>46189.437071759261</v>
      </c>
      <c r="G9944" s="24">
        <v>1</v>
      </c>
      <c r="H9944" s="24">
        <v>1</v>
      </c>
      <c r="I9944" s="24">
        <v>1</v>
      </c>
      <c r="J9944" s="23">
        <v>46189.437071759261</v>
      </c>
      <c r="K9944" s="24">
        <v>1</v>
      </c>
      <c r="L9944" s="22" t="str">
        <f>HYPERLINK("https://otsuka-europe-crm.veevavault.com/ui/#object/approved_document__v/V5O00000000D100", "Spain - Consent Email 1 Aug 25")</f>
        <v>Spain - Consent Email 1 Aug 25</v>
      </c>
      <c r="M9944" s="22" t="str">
        <f>HYPERLINK("mailto:mgravan@crm.otsuka-europe.com", "mgravan@crm.otsuka-europe.com")</f>
        <v>mgravan@crm.otsuka-europe.com</v>
      </c>
      <c r="N9944" s="23">
        <v>46188.569432870368</v>
      </c>
      <c r="O9944" s="14" t="str">
        <f>HYPERLINK("https://otsuka-europe-crm.veevavault.com/ui/#object/email_activity__v/V8C00000003V724", "EN-002096233")</f>
        <v>EN-002096233</v>
      </c>
    </row>
    <row r="9945" spans="1:15" ht="16" x14ac:dyDescent="0.2">
      <c r="A9945" s="18"/>
      <c r="B9945" s="18"/>
      <c r="C9945" s="18"/>
      <c r="D9945" s="18"/>
      <c r="E9945" s="18"/>
      <c r="F9945" s="18"/>
      <c r="G9945" s="18"/>
      <c r="H9945" s="18"/>
      <c r="I9945" s="18"/>
      <c r="J9945" s="18"/>
      <c r="K9945" s="18"/>
      <c r="L9945" s="18"/>
      <c r="M9945" s="18"/>
      <c r="N9945" s="18"/>
      <c r="O9945" s="14" t="str">
        <f>HYPERLINK("https://otsuka-europe-crm.veevavault.com/ui/#object/email_activity__v/V8C00000003X087", "EN-002097074")</f>
        <v>EN-002097074</v>
      </c>
    </row>
    <row r="9946" spans="1:15" ht="16" x14ac:dyDescent="0.2">
      <c r="A9946" s="19"/>
      <c r="B9946" s="19"/>
      <c r="C9946" s="19"/>
      <c r="D9946" s="19"/>
      <c r="E9946" s="19"/>
      <c r="F9946" s="19"/>
      <c r="G9946" s="19"/>
      <c r="H9946" s="19"/>
      <c r="I9946" s="19"/>
      <c r="J9946" s="19"/>
      <c r="K9946" s="19"/>
      <c r="L9946" s="19"/>
      <c r="M9946" s="19"/>
      <c r="N9946" s="19"/>
      <c r="O9946" s="14" t="str">
        <f>HYPERLINK("https://otsuka-europe-crm.veevavault.com/ui/#object/email_activity__v/V8C00000003X088", "EN-002097073")</f>
        <v>EN-002097073</v>
      </c>
    </row>
    <row r="9947" spans="1:15" ht="16" x14ac:dyDescent="0.2">
      <c r="A9947" s="17" t="str">
        <f>HYPERLINK("https://otsuka-europe-crm.veevavault.com/ui/#object/account__v/V4T00000001P073", "JUAN PABLO GONZALEZ BRICEÑO")</f>
        <v>JUAN PABLO GONZALEZ BRICEÑO</v>
      </c>
      <c r="B9947" s="17" t="str">
        <f>HYPERLINK("https://otsuka-europe-crm.veevavault.com/ui/#object/vcountry__v/VENZ000004SONF5", "ES")</f>
        <v>ES</v>
      </c>
      <c r="C9947" s="20" t="s">
        <v>41</v>
      </c>
      <c r="D9947" s="21" t="str">
        <f>HYPERLINK("https://otsuka-europe-crm.veevavault.com/ui/#object/approved_document__v/V5OZ04ASG4FWKA7", "Reuniones Online Consent - 2")</f>
        <v>Reuniones Online Consent - 2</v>
      </c>
      <c r="E9947" s="22" t="str">
        <f>HYPERLINK("https://otsuka-europe-crm.veevavault.com/ui/#object/sent_email__v/VBL00000002U349", "SE-001436166")</f>
        <v>SE-001436166</v>
      </c>
      <c r="F9947" s="23">
        <v>46189.436307870368</v>
      </c>
      <c r="G9947" s="24">
        <v>1</v>
      </c>
      <c r="H9947" s="24">
        <v>1</v>
      </c>
      <c r="I9947" s="24">
        <v>1</v>
      </c>
      <c r="J9947" s="23">
        <v>46189.436307870368</v>
      </c>
      <c r="K9947" s="24">
        <v>1</v>
      </c>
      <c r="L9947" s="22" t="str">
        <f>HYPERLINK("https://otsuka-europe-crm.veevavault.com/ui/#object/approved_document__v/V5OZ04ASG4FWKA7", "Reuniones Online Consent - 2")</f>
        <v>Reuniones Online Consent - 2</v>
      </c>
      <c r="M9947" s="22" t="str">
        <f>HYPERLINK("mailto:mgravan@crm.otsuka-europe.com", "mgravan@crm.otsuka-europe.com")</f>
        <v>mgravan@crm.otsuka-europe.com</v>
      </c>
      <c r="N9947" s="23">
        <v>46188.569432870368</v>
      </c>
      <c r="O9947" s="14" t="str">
        <f>HYPERLINK("https://otsuka-europe-crm.veevavault.com/ui/#object/email_activity__v/V8C00000003V723", "EN-002096232")</f>
        <v>EN-002096232</v>
      </c>
    </row>
    <row r="9948" spans="1:15" ht="16" x14ac:dyDescent="0.2">
      <c r="A9948" s="18"/>
      <c r="B9948" s="18"/>
      <c r="C9948" s="18"/>
      <c r="D9948" s="18"/>
      <c r="E9948" s="18"/>
      <c r="F9948" s="18"/>
      <c r="G9948" s="18"/>
      <c r="H9948" s="18"/>
      <c r="I9948" s="18"/>
      <c r="J9948" s="18"/>
      <c r="K9948" s="18"/>
      <c r="L9948" s="18"/>
      <c r="M9948" s="18"/>
      <c r="N9948" s="18"/>
      <c r="O9948" s="14" t="str">
        <f>HYPERLINK("https://otsuka-europe-crm.veevavault.com/ui/#object/email_activity__v/V8C00000003X085", "EN-002097072")</f>
        <v>EN-002097072</v>
      </c>
    </row>
    <row r="9949" spans="1:15" ht="16" x14ac:dyDescent="0.2">
      <c r="A9949" s="19"/>
      <c r="B9949" s="19"/>
      <c r="C9949" s="19"/>
      <c r="D9949" s="19"/>
      <c r="E9949" s="19"/>
      <c r="F9949" s="19"/>
      <c r="G9949" s="19"/>
      <c r="H9949" s="19"/>
      <c r="I9949" s="19"/>
      <c r="J9949" s="19"/>
      <c r="K9949" s="19"/>
      <c r="L9949" s="19"/>
      <c r="M9949" s="19"/>
      <c r="N9949" s="19"/>
      <c r="O9949" s="14" t="str">
        <f>HYPERLINK("https://otsuka-europe-crm.veevavault.com/ui/#object/email_activity__v/V8C00000003X086", "EN-002097071")</f>
        <v>EN-002097071</v>
      </c>
    </row>
    <row r="9950" spans="1:15" ht="32" x14ac:dyDescent="0.2">
      <c r="A9950" s="7" t="str">
        <f>HYPERLINK("https://otsuka-europe-crm.veevavault.com/ui/#object/account__v/V4TZ00000633XHQ", "JORO RAMILITIANA")</f>
        <v>JORO RAMILITIANA</v>
      </c>
      <c r="B9950" s="7" t="str">
        <f>HYPERLINK("https://otsuka-europe-crm.veevavault.com/ui/#object/vcountry__v/VENZ000004SONFA", "FR")</f>
        <v>FR</v>
      </c>
      <c r="C9950" s="8" t="s">
        <v>42</v>
      </c>
      <c r="D9950" s="9" t="str">
        <f>HYPERLINK("https://otsuka-europe-crm.veevavault.com/ui/#object/approved_document__v/V5OZ04ASG4G02Y6", "INVITATION_VAD_2023")</f>
        <v>INVITATION_VAD_2023</v>
      </c>
      <c r="E9950" s="10" t="str">
        <f>HYPERLINK("https://otsuka-europe-crm.veevavault.com/ui/#object/sent_email__v/VBL00000002T340", "SE-001436167")</f>
        <v>SE-001436167</v>
      </c>
      <c r="F9950" s="11"/>
      <c r="G9950" s="12">
        <v>0</v>
      </c>
      <c r="H9950" s="12">
        <v>0</v>
      </c>
      <c r="I9950" s="12">
        <v>0</v>
      </c>
      <c r="J9950" s="11"/>
      <c r="K9950" s="12">
        <v>0</v>
      </c>
      <c r="L9950" s="10" t="str">
        <f>HYPERLINK("https://otsuka-europe-crm.veevavault.com/ui/#object/approved_document__v/V5OZ04ASG4G02Y6", "INVITATION_VAD_2023")</f>
        <v>INVITATION_VAD_2023</v>
      </c>
      <c r="M9950" s="10" t="str">
        <f>HYPERLINK("mailto:sblancheland@crm.otsuka-europe.com", "sblancheland@crm.otsuka-europe.com")</f>
        <v>sblancheland@crm.otsuka-europe.com</v>
      </c>
      <c r="N9950" s="13">
        <v>46188.574560185189</v>
      </c>
      <c r="O9950" s="14" t="str">
        <f>HYPERLINK("https://otsuka-europe-crm.veevavault.com/ui/#object/email_activity__v/V8C00000003U698", "EN-002096237")</f>
        <v>EN-002096237</v>
      </c>
    </row>
    <row r="9951" spans="1:15" ht="32" x14ac:dyDescent="0.2">
      <c r="A9951" s="7" t="str">
        <f>HYPERLINK("https://otsuka-europe-crm.veevavault.com/ui/#object/account__v/V4T000000022068", "JESUS ANGEL HERNANDEZ VAQUERO")</f>
        <v>JESUS ANGEL HERNANDEZ VAQUERO</v>
      </c>
      <c r="B9951" s="7" t="str">
        <f>HYPERLINK("https://otsuka-europe-crm.veevavault.com/ui/#object/vcountry__v/VENZ000004SONF5", "ES")</f>
        <v>ES</v>
      </c>
      <c r="C9951" s="8" t="s">
        <v>41</v>
      </c>
      <c r="D9951" s="9" t="str">
        <f>HYPERLINK("https://otsuka-europe-crm.veevavault.com/ui/#object/approved_document__v/V5OZ06G6O6RFL1P", "ES Veeva Privacy Notice Email")</f>
        <v>ES Veeva Privacy Notice Email</v>
      </c>
      <c r="E9951" s="10" t="str">
        <f>HYPERLINK("https://otsuka-europe-crm.veevavault.com/ui/#object/sent_email__v/VBL00000002T341", "SE-001436168")</f>
        <v>SE-001436168</v>
      </c>
      <c r="F9951" s="11"/>
      <c r="G9951" s="12">
        <v>0</v>
      </c>
      <c r="H9951" s="12">
        <v>0</v>
      </c>
      <c r="I9951" s="12">
        <v>0</v>
      </c>
      <c r="J9951" s="11"/>
      <c r="K9951" s="12">
        <v>0</v>
      </c>
      <c r="L9951" s="10" t="str">
        <f>HYPERLINK("https://otsuka-europe-crm.veevavault.com/ui/#object/approved_document__v/V5OZ06G6O6RFL1P", "ES Veeva Privacy Notice Email")</f>
        <v>ES Veeva Privacy Notice Email</v>
      </c>
      <c r="M9951" s="10" t="str">
        <f>HYPERLINK("mailto:cmaroto@crm.otsuka-europe.com", "cmaroto@crm.otsuka-europe.com")</f>
        <v>cmaroto@crm.otsuka-europe.com</v>
      </c>
      <c r="N9951" s="13">
        <v>46188.578414351854</v>
      </c>
      <c r="O9951" s="14" t="str">
        <f>HYPERLINK("https://otsuka-europe-crm.veevavault.com/ui/#object/email_activity__v/V8C00000003V726", "EN-002096238")</f>
        <v>EN-002096238</v>
      </c>
    </row>
    <row r="9952" spans="1:15" ht="32" x14ac:dyDescent="0.2">
      <c r="A9952" s="7" t="str">
        <f>HYPERLINK("https://otsuka-europe-crm.veevavault.com/ui/#object/account__v/V4TZ0000062R6JA", "Gregor Hasler")</f>
        <v>Gregor Hasler</v>
      </c>
      <c r="B9952" s="7" t="str">
        <f>HYPERLINK("https://otsuka-europe-crm.veevavault.com/ui/#object/vcountry__v/VENZ000004SONFN", "CH")</f>
        <v>CH</v>
      </c>
      <c r="C9952" s="8" t="s">
        <v>45</v>
      </c>
      <c r="D9952" s="9" t="str">
        <f>HYPERLINK("https://otsuka-europe-crm.veevavault.com/ui/#object/approved_document__v/V5O00000001L017", "ALL_Flexibilität_Ferienplanung_2026_AA_fr")</f>
        <v>ALL_Flexibilität_Ferienplanung_2026_AA_fr</v>
      </c>
      <c r="E9952" s="10" t="str">
        <f>HYPERLINK("https://otsuka-europe-crm.veevavault.com/ui/#object/sent_email__v/VBL00000002T342", "SE-001436169")</f>
        <v>SE-001436169</v>
      </c>
      <c r="F9952" s="11"/>
      <c r="G9952" s="12">
        <v>0</v>
      </c>
      <c r="H9952" s="12">
        <v>0</v>
      </c>
      <c r="I9952" s="12">
        <v>0</v>
      </c>
      <c r="J9952" s="11"/>
      <c r="K9952" s="12">
        <v>0</v>
      </c>
      <c r="L9952" s="10" t="str">
        <f>HYPERLINK("https://otsuka-europe-crm.veevavault.com/ui/#object/approved_document__v/V5O00000001L017", "ALL_Flexibilität_Ferienplanung_2026_AA_fr")</f>
        <v>ALL_Flexibilität_Ferienplanung_2026_AA_fr</v>
      </c>
      <c r="M9952" s="10" t="str">
        <f>HYPERLINK("mailto:yvergari@crm.otsuka-europe.com", "yvergari@crm.otsuka-europe.com")</f>
        <v>yvergari@crm.otsuka-europe.com</v>
      </c>
      <c r="N9952" s="13">
        <v>46188.590104166666</v>
      </c>
      <c r="O9952" s="14" t="str">
        <f>HYPERLINK("https://otsuka-europe-crm.veevavault.com/ui/#object/email_activity__v/V8C00000003V743", "EN-002096298")</f>
        <v>EN-002096298</v>
      </c>
    </row>
    <row r="9953" spans="1:15" ht="32" x14ac:dyDescent="0.2">
      <c r="A9953" s="7" t="str">
        <f>HYPERLINK("https://otsuka-europe-crm.veevavault.com/ui/#object/account__v/V4TZ06G6O9VFP9T", "Ariana Hoxha")</f>
        <v>Ariana Hoxha</v>
      </c>
      <c r="B9953" s="7" t="str">
        <f>HYPERLINK("https://otsuka-europe-crm.veevavault.com/ui/#object/vcountry__v/VENZ000004SONFN", "CH")</f>
        <v>CH</v>
      </c>
      <c r="C9953" s="8" t="s">
        <v>45</v>
      </c>
      <c r="D9953" s="9" t="str">
        <f>HYPERLINK("https://otsuka-europe-crm.veevavault.com/ui/#object/approved_document__v/V5O00000001L017", "ALL_Flexibilität_Ferienplanung_2026_AA_fr")</f>
        <v>ALL_Flexibilität_Ferienplanung_2026_AA_fr</v>
      </c>
      <c r="E9953" s="10" t="str">
        <f>HYPERLINK("https://otsuka-europe-crm.veevavault.com/ui/#object/sent_email__v/VBL00000002T343", "SE-001436170")</f>
        <v>SE-001436170</v>
      </c>
      <c r="F9953" s="11"/>
      <c r="G9953" s="12">
        <v>0</v>
      </c>
      <c r="H9953" s="12">
        <v>0</v>
      </c>
      <c r="I9953" s="12">
        <v>0</v>
      </c>
      <c r="J9953" s="11"/>
      <c r="K9953" s="12">
        <v>0</v>
      </c>
      <c r="L9953" s="10" t="str">
        <f>HYPERLINK("https://otsuka-europe-crm.veevavault.com/ui/#object/approved_document__v/V5O00000001L017", "ALL_Flexibilität_Ferienplanung_2026_AA_fr")</f>
        <v>ALL_Flexibilität_Ferienplanung_2026_AA_fr</v>
      </c>
      <c r="M9953" s="10" t="str">
        <f>HYPERLINK("mailto:yvergari@crm.otsuka-europe.com", "yvergari@crm.otsuka-europe.com")</f>
        <v>yvergari@crm.otsuka-europe.com</v>
      </c>
      <c r="N9953" s="13">
        <v>46188.590092592596</v>
      </c>
      <c r="O9953" s="14" t="str">
        <f>HYPERLINK("https://otsuka-europe-crm.veevavault.com/ui/#object/email_activity__v/V8C00000003U720", "EN-002096272")</f>
        <v>EN-002096272</v>
      </c>
    </row>
    <row r="9954" spans="1:15" ht="32" x14ac:dyDescent="0.2">
      <c r="A9954" s="7" t="str">
        <f>HYPERLINK("https://otsuka-europe-crm.veevavault.com/ui/#object/account__v/V4TZ0000062R77N", "Sylvie Gallaz")</f>
        <v>Sylvie Gallaz</v>
      </c>
      <c r="B9954" s="7" t="str">
        <f>HYPERLINK("https://otsuka-europe-crm.veevavault.com/ui/#object/vcountry__v/VENZ000004SONFN", "CH")</f>
        <v>CH</v>
      </c>
      <c r="C9954" s="8" t="s">
        <v>45</v>
      </c>
      <c r="D9954" s="9" t="str">
        <f>HYPERLINK("https://otsuka-europe-crm.veevavault.com/ui/#object/approved_document__v/V5O00000001L017", "ALL_Flexibilität_Ferienplanung_2026_AA_fr")</f>
        <v>ALL_Flexibilität_Ferienplanung_2026_AA_fr</v>
      </c>
      <c r="E9954" s="10" t="str">
        <f>HYPERLINK("https://otsuka-europe-crm.veevavault.com/ui/#object/sent_email__v/VBL00000002T344", "SE-001436171")</f>
        <v>SE-001436171</v>
      </c>
      <c r="F9954" s="11"/>
      <c r="G9954" s="12">
        <v>0</v>
      </c>
      <c r="H9954" s="12">
        <v>0</v>
      </c>
      <c r="I9954" s="12">
        <v>0</v>
      </c>
      <c r="J9954" s="11"/>
      <c r="K9954" s="12">
        <v>0</v>
      </c>
      <c r="L9954" s="10" t="str">
        <f>HYPERLINK("https://otsuka-europe-crm.veevavault.com/ui/#object/approved_document__v/V5O00000001L017", "ALL_Flexibilität_Ferienplanung_2026_AA_fr")</f>
        <v>ALL_Flexibilität_Ferienplanung_2026_AA_fr</v>
      </c>
      <c r="M9954" s="10" t="str">
        <f>HYPERLINK("mailto:yvergari@crm.otsuka-europe.com", "yvergari@crm.otsuka-europe.com")</f>
        <v>yvergari@crm.otsuka-europe.com</v>
      </c>
      <c r="N9954" s="13">
        <v>46188.590092592596</v>
      </c>
      <c r="O9954" s="14" t="str">
        <f>HYPERLINK("https://otsuka-europe-crm.veevavault.com/ui/#object/email_activity__v/V8C00000003U722", "EN-002096274")</f>
        <v>EN-002096274</v>
      </c>
    </row>
    <row r="9955" spans="1:15" ht="16" x14ac:dyDescent="0.2">
      <c r="A9955" s="17" t="str">
        <f>HYPERLINK("https://otsuka-europe-crm.veevavault.com/ui/#object/account__v/V4TZ0000062R780", "Ermira Gasser-Hoti")</f>
        <v>Ermira Gasser-Hoti</v>
      </c>
      <c r="B9955" s="17" t="str">
        <f>HYPERLINK("https://otsuka-europe-crm.veevavault.com/ui/#object/vcountry__v/VENZ000004SONFN", "CH")</f>
        <v>CH</v>
      </c>
      <c r="C9955" s="20" t="s">
        <v>45</v>
      </c>
      <c r="D9955" s="21" t="str">
        <f>HYPERLINK("https://otsuka-europe-crm.veevavault.com/ui/#object/approved_document__v/V5O00000001L017", "ALL_Flexibilität_Ferienplanung_2026_AA_fr")</f>
        <v>ALL_Flexibilität_Ferienplanung_2026_AA_fr</v>
      </c>
      <c r="E9955" s="22" t="str">
        <f>HYPERLINK("https://otsuka-europe-crm.veevavault.com/ui/#object/sent_email__v/VBL00000002T345", "SE-001436172")</f>
        <v>SE-001436172</v>
      </c>
      <c r="F9955" s="25"/>
      <c r="G9955" s="24">
        <v>0</v>
      </c>
      <c r="H9955" s="24">
        <v>0</v>
      </c>
      <c r="I9955" s="24">
        <v>0</v>
      </c>
      <c r="J9955" s="25"/>
      <c r="K9955" s="24">
        <v>0</v>
      </c>
      <c r="L9955" s="22" t="str">
        <f>HYPERLINK("https://otsuka-europe-crm.veevavault.com/ui/#object/approved_document__v/V5O00000001L017", "ALL_Flexibilität_Ferienplanung_2026_AA_fr")</f>
        <v>ALL_Flexibilität_Ferienplanung_2026_AA_fr</v>
      </c>
      <c r="M9955" s="22" t="str">
        <f>HYPERLINK("mailto:yvergari@crm.otsuka-europe.com", "yvergari@crm.otsuka-europe.com")</f>
        <v>yvergari@crm.otsuka-europe.com</v>
      </c>
      <c r="N9955" s="23">
        <v>46188.590081018519</v>
      </c>
      <c r="O9955" s="14" t="str">
        <f>HYPERLINK("https://otsuka-europe-crm.veevavault.com/ui/#object/email_activity__v/V8C00000003V737", "EN-002096258")</f>
        <v>EN-002096258</v>
      </c>
    </row>
    <row r="9956" spans="1:15" ht="16" x14ac:dyDescent="0.2">
      <c r="A9956" s="19"/>
      <c r="B9956" s="19"/>
      <c r="C9956" s="19"/>
      <c r="D9956" s="19"/>
      <c r="E9956" s="19"/>
      <c r="F9956" s="19"/>
      <c r="G9956" s="19"/>
      <c r="H9956" s="19"/>
      <c r="I9956" s="19"/>
      <c r="J9956" s="19"/>
      <c r="K9956" s="19"/>
      <c r="L9956" s="19"/>
      <c r="M9956" s="19"/>
      <c r="N9956" s="19"/>
      <c r="O9956" s="14" t="str">
        <f>HYPERLINK("https://otsuka-europe-crm.veevavault.com/ui/#object/email_activity__v/V8C00000003W069", "EN-002096780")</f>
        <v>EN-002096780</v>
      </c>
    </row>
    <row r="9957" spans="1:15" ht="32" x14ac:dyDescent="0.2">
      <c r="A9957" s="7" t="str">
        <f>HYPERLINK("https://otsuka-europe-crm.veevavault.com/ui/#object/account__v/V4TZ025E87YOQ3W", "Albertina Johanna Frick")</f>
        <v>Albertina Johanna Frick</v>
      </c>
      <c r="B9957" s="7" t="str">
        <f>HYPERLINK("https://otsuka-europe-crm.veevavault.com/ui/#object/vcountry__v/VENZ000004SONFN", "CH")</f>
        <v>CH</v>
      </c>
      <c r="C9957" s="8" t="s">
        <v>45</v>
      </c>
      <c r="D9957" s="9" t="str">
        <f>HYPERLINK("https://otsuka-europe-crm.veevavault.com/ui/#object/approved_document__v/V5O00000001L017", "ALL_Flexibilität_Ferienplanung_2026_AA_fr")</f>
        <v>ALL_Flexibilität_Ferienplanung_2026_AA_fr</v>
      </c>
      <c r="E9957" s="10" t="str">
        <f>HYPERLINK("https://otsuka-europe-crm.veevavault.com/ui/#object/sent_email__v/VBL00000002T346", "SE-001436173")</f>
        <v>SE-001436173</v>
      </c>
      <c r="F9957" s="11"/>
      <c r="G9957" s="12">
        <v>0</v>
      </c>
      <c r="H9957" s="12">
        <v>0</v>
      </c>
      <c r="I9957" s="12">
        <v>0</v>
      </c>
      <c r="J9957" s="11"/>
      <c r="K9957" s="12">
        <v>0</v>
      </c>
      <c r="L9957" s="10" t="str">
        <f>HYPERLINK("https://otsuka-europe-crm.veevavault.com/ui/#object/approved_document__v/V5O00000001L017", "ALL_Flexibilität_Ferienplanung_2026_AA_fr")</f>
        <v>ALL_Flexibilität_Ferienplanung_2026_AA_fr</v>
      </c>
      <c r="M9957" s="10" t="str">
        <f>HYPERLINK("mailto:yvergari@crm.otsuka-europe.com", "yvergari@crm.otsuka-europe.com")</f>
        <v>yvergari@crm.otsuka-europe.com</v>
      </c>
      <c r="N9957" s="13">
        <v>46188.590081018519</v>
      </c>
      <c r="O9957" s="14" t="str">
        <f>HYPERLINK("https://otsuka-europe-crm.veevavault.com/ui/#object/email_activity__v/V8C00000003U723", "EN-002096275")</f>
        <v>EN-002096275</v>
      </c>
    </row>
    <row r="9958" spans="1:15" ht="32" x14ac:dyDescent="0.2">
      <c r="A9958" s="7" t="str">
        <f>HYPERLINK("https://otsuka-europe-crm.veevavault.com/ui/#object/account__v/V4TZ025E881BXQA", "Nadia Isabelle Gold")</f>
        <v>Nadia Isabelle Gold</v>
      </c>
      <c r="B9958" s="7" t="str">
        <f>HYPERLINK("https://otsuka-europe-crm.veevavault.com/ui/#object/vcountry__v/VENZ000004SONFN", "CH")</f>
        <v>CH</v>
      </c>
      <c r="C9958" s="8" t="s">
        <v>45</v>
      </c>
      <c r="D9958" s="9" t="str">
        <f>HYPERLINK("https://otsuka-europe-crm.veevavault.com/ui/#object/approved_document__v/V5O00000001L017", "ALL_Flexibilität_Ferienplanung_2026_AA_fr")</f>
        <v>ALL_Flexibilität_Ferienplanung_2026_AA_fr</v>
      </c>
      <c r="E9958" s="10" t="str">
        <f>HYPERLINK("https://otsuka-europe-crm.veevavault.com/ui/#object/sent_email__v/VBL00000002T347", "SE-001436174")</f>
        <v>SE-001436174</v>
      </c>
      <c r="F9958" s="11"/>
      <c r="G9958" s="12">
        <v>0</v>
      </c>
      <c r="H9958" s="12">
        <v>0</v>
      </c>
      <c r="I9958" s="12">
        <v>0</v>
      </c>
      <c r="J9958" s="11"/>
      <c r="K9958" s="12">
        <v>0</v>
      </c>
      <c r="L9958" s="10" t="str">
        <f>HYPERLINK("https://otsuka-europe-crm.veevavault.com/ui/#object/approved_document__v/V5O00000001L017", "ALL_Flexibilität_Ferienplanung_2026_AA_fr")</f>
        <v>ALL_Flexibilität_Ferienplanung_2026_AA_fr</v>
      </c>
      <c r="M9958" s="10" t="str">
        <f>HYPERLINK("mailto:yvergari@crm.otsuka-europe.com", "yvergari@crm.otsuka-europe.com")</f>
        <v>yvergari@crm.otsuka-europe.com</v>
      </c>
      <c r="N9958" s="13">
        <v>46188.590081018519</v>
      </c>
      <c r="O9958" s="14" t="str">
        <f>HYPERLINK("https://otsuka-europe-crm.veevavault.com/ui/#object/email_activity__v/V8C00000003U706", "EN-002096251")</f>
        <v>EN-002096251</v>
      </c>
    </row>
    <row r="9959" spans="1:15" ht="32" x14ac:dyDescent="0.2">
      <c r="A9959" s="7" t="str">
        <f>HYPERLINK("https://otsuka-europe-crm.veevavault.com/ui/#object/account__v/V4TZ0000062R5YE", "Ahmed Hedjal")</f>
        <v>Ahmed Hedjal</v>
      </c>
      <c r="B9959" s="7" t="str">
        <f>HYPERLINK("https://otsuka-europe-crm.veevavault.com/ui/#object/vcountry__v/VENZ000004SONFN", "CH")</f>
        <v>CH</v>
      </c>
      <c r="C9959" s="8" t="s">
        <v>45</v>
      </c>
      <c r="D9959" s="9" t="str">
        <f>HYPERLINK("https://otsuka-europe-crm.veevavault.com/ui/#object/approved_document__v/V5O00000001L017", "ALL_Flexibilität_Ferienplanung_2026_AA_fr")</f>
        <v>ALL_Flexibilität_Ferienplanung_2026_AA_fr</v>
      </c>
      <c r="E9959" s="10" t="str">
        <f>HYPERLINK("https://otsuka-europe-crm.veevavault.com/ui/#object/sent_email__v/VBL00000002T348", "SE-001436175")</f>
        <v>SE-001436175</v>
      </c>
      <c r="F9959" s="11"/>
      <c r="G9959" s="12">
        <v>0</v>
      </c>
      <c r="H9959" s="12">
        <v>0</v>
      </c>
      <c r="I9959" s="12">
        <v>0</v>
      </c>
      <c r="J9959" s="11"/>
      <c r="K9959" s="12">
        <v>0</v>
      </c>
      <c r="L9959" s="10" t="str">
        <f>HYPERLINK("https://otsuka-europe-crm.veevavault.com/ui/#object/approved_document__v/V5O00000001L017", "ALL_Flexibilität_Ferienplanung_2026_AA_fr")</f>
        <v>ALL_Flexibilität_Ferienplanung_2026_AA_fr</v>
      </c>
      <c r="M9959" s="10" t="str">
        <f>HYPERLINK("mailto:yvergari@crm.otsuka-europe.com", "yvergari@crm.otsuka-europe.com")</f>
        <v>yvergari@crm.otsuka-europe.com</v>
      </c>
      <c r="N9959" s="13">
        <v>46188.590081018519</v>
      </c>
      <c r="O9959" s="14" t="str">
        <f>HYPERLINK("https://otsuka-europe-crm.veevavault.com/ui/#object/email_activity__v/V8C00000003V732", "EN-002096253")</f>
        <v>EN-002096253</v>
      </c>
    </row>
    <row r="9960" spans="1:15" ht="16" x14ac:dyDescent="0.2">
      <c r="A9960" s="17" t="str">
        <f>HYPERLINK("https://otsuka-europe-crm.veevavault.com/ui/#object/account__v/V4TZ0000062R7M9", "Ghazi Kardous")</f>
        <v>Ghazi Kardous</v>
      </c>
      <c r="B9960" s="17" t="str">
        <f>HYPERLINK("https://otsuka-europe-crm.veevavault.com/ui/#object/vcountry__v/VENZ000004SONFN", "CH")</f>
        <v>CH</v>
      </c>
      <c r="C9960" s="20" t="s">
        <v>45</v>
      </c>
      <c r="D9960" s="21" t="str">
        <f>HYPERLINK("https://otsuka-europe-crm.veevavault.com/ui/#object/approved_document__v/V5O00000001L017", "ALL_Flexibilität_Ferienplanung_2026_AA_fr")</f>
        <v>ALL_Flexibilität_Ferienplanung_2026_AA_fr</v>
      </c>
      <c r="E9960" s="22" t="str">
        <f>HYPERLINK("https://otsuka-europe-crm.veevavault.com/ui/#object/sent_email__v/VBL00000002T349", "SE-001436176")</f>
        <v>SE-001436176</v>
      </c>
      <c r="F9960" s="25"/>
      <c r="G9960" s="24">
        <v>0</v>
      </c>
      <c r="H9960" s="24">
        <v>0</v>
      </c>
      <c r="I9960" s="24">
        <v>0</v>
      </c>
      <c r="J9960" s="25"/>
      <c r="K9960" s="24">
        <v>0</v>
      </c>
      <c r="L9960" s="22" t="str">
        <f>HYPERLINK("https://otsuka-europe-crm.veevavault.com/ui/#object/approved_document__v/V5O00000001L017", "ALL_Flexibilität_Ferienplanung_2026_AA_fr")</f>
        <v>ALL_Flexibilität_Ferienplanung_2026_AA_fr</v>
      </c>
      <c r="M9960" s="22" t="str">
        <f>HYPERLINK("mailto:yvergari@crm.otsuka-europe.com", "yvergari@crm.otsuka-europe.com")</f>
        <v>yvergari@crm.otsuka-europe.com</v>
      </c>
      <c r="N9960" s="23">
        <v>46188.590081018519</v>
      </c>
      <c r="O9960" s="14" t="str">
        <f>HYPERLINK("https://otsuka-europe-crm.veevavault.com/ui/#object/email_activity__v/V8C00000003U736", "EN-002096289")</f>
        <v>EN-002096289</v>
      </c>
    </row>
    <row r="9961" spans="1:15" ht="16" x14ac:dyDescent="0.2">
      <c r="A9961" s="19"/>
      <c r="B9961" s="19"/>
      <c r="C9961" s="19"/>
      <c r="D9961" s="19"/>
      <c r="E9961" s="19"/>
      <c r="F9961" s="19"/>
      <c r="G9961" s="19"/>
      <c r="H9961" s="19"/>
      <c r="I9961" s="19"/>
      <c r="J9961" s="19"/>
      <c r="K9961" s="19"/>
      <c r="L9961" s="19"/>
      <c r="M9961" s="19"/>
      <c r="N9961" s="19"/>
      <c r="O9961" s="14" t="str">
        <f>HYPERLINK("https://otsuka-europe-crm.veevavault.com/ui/#object/email_activity__v/V8C00000003U753", "EN-002096396")</f>
        <v>EN-002096396</v>
      </c>
    </row>
    <row r="9962" spans="1:15" ht="32" x14ac:dyDescent="0.2">
      <c r="A9962" s="7" t="str">
        <f>HYPERLINK("https://otsuka-europe-crm.veevavault.com/ui/#object/account__v/V4TZ025E83UON2L", "Emma Guth")</f>
        <v>Emma Guth</v>
      </c>
      <c r="B9962" s="7" t="str">
        <f>HYPERLINK("https://otsuka-europe-crm.veevavault.com/ui/#object/vcountry__v/VENZ000004SONFN", "CH")</f>
        <v>CH</v>
      </c>
      <c r="C9962" s="8" t="s">
        <v>45</v>
      </c>
      <c r="D9962" s="9" t="str">
        <f>HYPERLINK("https://otsuka-europe-crm.veevavault.com/ui/#object/approved_document__v/V5O00000001L017", "ALL_Flexibilität_Ferienplanung_2026_AA_fr")</f>
        <v>ALL_Flexibilität_Ferienplanung_2026_AA_fr</v>
      </c>
      <c r="E9962" s="10" t="str">
        <f>HYPERLINK("https://otsuka-europe-crm.veevavault.com/ui/#object/sent_email__v/VBL00000002T350", "SE-001436177")</f>
        <v>SE-001436177</v>
      </c>
      <c r="F9962" s="11"/>
      <c r="G9962" s="12">
        <v>0</v>
      </c>
      <c r="H9962" s="12">
        <v>0</v>
      </c>
      <c r="I9962" s="12">
        <v>0</v>
      </c>
      <c r="J9962" s="11"/>
      <c r="K9962" s="12">
        <v>0</v>
      </c>
      <c r="L9962" s="10" t="str">
        <f>HYPERLINK("https://otsuka-europe-crm.veevavault.com/ui/#object/approved_document__v/V5O00000001L017", "ALL_Flexibilität_Ferienplanung_2026_AA_fr")</f>
        <v>ALL_Flexibilität_Ferienplanung_2026_AA_fr</v>
      </c>
      <c r="M9962" s="10" t="str">
        <f>HYPERLINK("mailto:yvergari@crm.otsuka-europe.com", "yvergari@crm.otsuka-europe.com")</f>
        <v>yvergari@crm.otsuka-europe.com</v>
      </c>
      <c r="N9962" s="13">
        <v>46188.590104166666</v>
      </c>
      <c r="O9962" s="14" t="str">
        <f>HYPERLINK("https://otsuka-europe-crm.veevavault.com/ui/#object/email_activity__v/V8C00000003U726", "EN-002096278")</f>
        <v>EN-002096278</v>
      </c>
    </row>
    <row r="9963" spans="1:15" ht="16" x14ac:dyDescent="0.2">
      <c r="A9963" s="17" t="str">
        <f>HYPERLINK("https://otsuka-europe-crm.veevavault.com/ui/#object/account__v/V4TZ0000062R6FW", "Gérald Hentsch")</f>
        <v>Gérald Hentsch</v>
      </c>
      <c r="B9963" s="17" t="str">
        <f>HYPERLINK("https://otsuka-europe-crm.veevavault.com/ui/#object/vcountry__v/VENZ000004SONFN", "CH")</f>
        <v>CH</v>
      </c>
      <c r="C9963" s="20" t="s">
        <v>45</v>
      </c>
      <c r="D9963" s="21" t="str">
        <f>HYPERLINK("https://otsuka-europe-crm.veevavault.com/ui/#object/approved_document__v/V5O00000001L017", "ALL_Flexibilität_Ferienplanung_2026_AA_fr")</f>
        <v>ALL_Flexibilität_Ferienplanung_2026_AA_fr</v>
      </c>
      <c r="E9963" s="22" t="str">
        <f>HYPERLINK("https://otsuka-europe-crm.veevavault.com/ui/#object/sent_email__v/VBL00000002T351", "SE-001436178")</f>
        <v>SE-001436178</v>
      </c>
      <c r="F9963" s="23">
        <v>46196.491412037038</v>
      </c>
      <c r="G9963" s="24">
        <v>1</v>
      </c>
      <c r="H9963" s="24">
        <v>3</v>
      </c>
      <c r="I9963" s="24">
        <v>0</v>
      </c>
      <c r="J9963" s="25"/>
      <c r="K9963" s="24">
        <v>0</v>
      </c>
      <c r="L9963" s="22" t="str">
        <f>HYPERLINK("https://otsuka-europe-crm.veevavault.com/ui/#object/approved_document__v/V5O00000001L017", "ALL_Flexibilität_Ferienplanung_2026_AA_fr")</f>
        <v>ALL_Flexibilität_Ferienplanung_2026_AA_fr</v>
      </c>
      <c r="M9963" s="22" t="str">
        <f>HYPERLINK("mailto:yvergari@crm.otsuka-europe.com", "yvergari@crm.otsuka-europe.com")</f>
        <v>yvergari@crm.otsuka-europe.com</v>
      </c>
      <c r="N9963" s="23">
        <v>46188.590104166666</v>
      </c>
      <c r="O9963" s="14" t="str">
        <f>HYPERLINK("https://otsuka-europe-crm.veevavault.com/ui/#object/email_activity__v/V8C00000003U709", "EN-002096261")</f>
        <v>EN-002096261</v>
      </c>
    </row>
    <row r="9964" spans="1:15" ht="16" x14ac:dyDescent="0.2">
      <c r="A9964" s="18"/>
      <c r="B9964" s="18"/>
      <c r="C9964" s="18"/>
      <c r="D9964" s="18"/>
      <c r="E9964" s="18"/>
      <c r="F9964" s="18"/>
      <c r="G9964" s="18"/>
      <c r="H9964" s="18"/>
      <c r="I9964" s="18"/>
      <c r="J9964" s="18"/>
      <c r="K9964" s="18"/>
      <c r="L9964" s="18"/>
      <c r="M9964" s="18"/>
      <c r="N9964" s="18"/>
      <c r="O9964" s="14" t="str">
        <f>HYPERLINK("https://otsuka-europe-crm.veevavault.com/ui/#object/email_activity__v/V8C00000003W736", "EN-002098462")</f>
        <v>EN-002098462</v>
      </c>
    </row>
    <row r="9965" spans="1:15" ht="16" x14ac:dyDescent="0.2">
      <c r="A9965" s="18"/>
      <c r="B9965" s="18"/>
      <c r="C9965" s="18"/>
      <c r="D9965" s="18"/>
      <c r="E9965" s="18"/>
      <c r="F9965" s="18"/>
      <c r="G9965" s="18"/>
      <c r="H9965" s="18"/>
      <c r="I9965" s="18"/>
      <c r="J9965" s="18"/>
      <c r="K9965" s="18"/>
      <c r="L9965" s="18"/>
      <c r="M9965" s="18"/>
      <c r="N9965" s="18"/>
      <c r="O9965" s="14" t="str">
        <f>HYPERLINK("https://otsuka-europe-crm.veevavault.com/ui/#object/email_activity__v/V8C00000003Z349", "EN-002099367")</f>
        <v>EN-002099367</v>
      </c>
    </row>
    <row r="9966" spans="1:15" ht="16" x14ac:dyDescent="0.2">
      <c r="A9966" s="19"/>
      <c r="B9966" s="19"/>
      <c r="C9966" s="19"/>
      <c r="D9966" s="19"/>
      <c r="E9966" s="19"/>
      <c r="F9966" s="19"/>
      <c r="G9966" s="19"/>
      <c r="H9966" s="19"/>
      <c r="I9966" s="19"/>
      <c r="J9966" s="19"/>
      <c r="K9966" s="19"/>
      <c r="L9966" s="19"/>
      <c r="M9966" s="19"/>
      <c r="N9966" s="19"/>
      <c r="O9966" s="14" t="str">
        <f>HYPERLINK("https://otsuka-europe-crm.veevavault.com/ui/#object/email_activity__v/V8C000000040393", "EN-002099368")</f>
        <v>EN-002099368</v>
      </c>
    </row>
    <row r="9967" spans="1:15" ht="16" x14ac:dyDescent="0.2">
      <c r="A9967" s="17" t="str">
        <f>HYPERLINK("https://otsuka-europe-crm.veevavault.com/ui/#object/account__v/V4TZ025E87U8JAD", "Carole Kattan")</f>
        <v>Carole Kattan</v>
      </c>
      <c r="B9967" s="17" t="str">
        <f>HYPERLINK("https://otsuka-europe-crm.veevavault.com/ui/#object/vcountry__v/VENZ000004SONFN", "CH")</f>
        <v>CH</v>
      </c>
      <c r="C9967" s="20" t="s">
        <v>45</v>
      </c>
      <c r="D9967" s="21" t="str">
        <f>HYPERLINK("https://otsuka-europe-crm.veevavault.com/ui/#object/approved_document__v/V5O00000001L017", "ALL_Flexibilität_Ferienplanung_2026_AA_fr")</f>
        <v>ALL_Flexibilität_Ferienplanung_2026_AA_fr</v>
      </c>
      <c r="E9967" s="22" t="str">
        <f>HYPERLINK("https://otsuka-europe-crm.veevavault.com/ui/#object/sent_email__v/VBL00000002T352", "SE-001436179")</f>
        <v>SE-001436179</v>
      </c>
      <c r="F9967" s="25"/>
      <c r="G9967" s="24">
        <v>0</v>
      </c>
      <c r="H9967" s="24">
        <v>0</v>
      </c>
      <c r="I9967" s="24">
        <v>0</v>
      </c>
      <c r="J9967" s="25"/>
      <c r="K9967" s="24">
        <v>0</v>
      </c>
      <c r="L9967" s="22" t="str">
        <f>HYPERLINK("https://otsuka-europe-crm.veevavault.com/ui/#object/approved_document__v/V5O00000001L017", "ALL_Flexibilität_Ferienplanung_2026_AA_fr")</f>
        <v>ALL_Flexibilität_Ferienplanung_2026_AA_fr</v>
      </c>
      <c r="M9967" s="22" t="str">
        <f>HYPERLINK("mailto:yvergari@crm.otsuka-europe.com", "yvergari@crm.otsuka-europe.com")</f>
        <v>yvergari@crm.otsuka-europe.com</v>
      </c>
      <c r="N9967" s="23">
        <v>46188.590104166666</v>
      </c>
      <c r="O9967" s="14" t="str">
        <f>HYPERLINK("https://otsuka-europe-crm.veevavault.com/ui/#object/email_activity__v/V8C00000003U708", "EN-002096260")</f>
        <v>EN-002096260</v>
      </c>
    </row>
    <row r="9968" spans="1:15" ht="16" x14ac:dyDescent="0.2">
      <c r="A9968" s="19"/>
      <c r="B9968" s="19"/>
      <c r="C9968" s="19"/>
      <c r="D9968" s="19"/>
      <c r="E9968" s="19"/>
      <c r="F9968" s="19"/>
      <c r="G9968" s="19"/>
      <c r="H9968" s="19"/>
      <c r="I9968" s="19"/>
      <c r="J9968" s="19"/>
      <c r="K9968" s="19"/>
      <c r="L9968" s="19"/>
      <c r="M9968" s="19"/>
      <c r="N9968" s="19"/>
      <c r="O9968" s="14" t="str">
        <f>HYPERLINK("https://otsuka-europe-crm.veevavault.com/ui/#object/email_activity__v/V8C00000003U875", "EN-002096728")</f>
        <v>EN-002096728</v>
      </c>
    </row>
    <row r="9969" spans="1:15" ht="16" x14ac:dyDescent="0.2">
      <c r="A9969" s="17" t="str">
        <f>HYPERLINK("https://otsuka-europe-crm.veevavault.com/ui/#object/account__v/V4TZ025E87ZONPK", "Harun Gültekin")</f>
        <v>Harun Gültekin</v>
      </c>
      <c r="B9969" s="17" t="str">
        <f>HYPERLINK("https://otsuka-europe-crm.veevavault.com/ui/#object/vcountry__v/VENZ000004SONFN", "CH")</f>
        <v>CH</v>
      </c>
      <c r="C9969" s="20" t="s">
        <v>45</v>
      </c>
      <c r="D9969" s="21" t="str">
        <f>HYPERLINK("https://otsuka-europe-crm.veevavault.com/ui/#object/approved_document__v/V5O00000001L017", "ALL_Flexibilität_Ferienplanung_2026_AA_fr")</f>
        <v>ALL_Flexibilität_Ferienplanung_2026_AA_fr</v>
      </c>
      <c r="E9969" s="22" t="str">
        <f>HYPERLINK("https://otsuka-europe-crm.veevavault.com/ui/#object/sent_email__v/VBL00000002T353", "SE-001436180")</f>
        <v>SE-001436180</v>
      </c>
      <c r="F9969" s="25"/>
      <c r="G9969" s="24">
        <v>0</v>
      </c>
      <c r="H9969" s="24">
        <v>0</v>
      </c>
      <c r="I9969" s="24">
        <v>0</v>
      </c>
      <c r="J9969" s="25"/>
      <c r="K9969" s="24">
        <v>0</v>
      </c>
      <c r="L9969" s="22" t="str">
        <f>HYPERLINK("https://otsuka-europe-crm.veevavault.com/ui/#object/approved_document__v/V5O00000001L017", "ALL_Flexibilität_Ferienplanung_2026_AA_fr")</f>
        <v>ALL_Flexibilität_Ferienplanung_2026_AA_fr</v>
      </c>
      <c r="M9969" s="22" t="str">
        <f>HYPERLINK("mailto:yvergari@crm.otsuka-europe.com", "yvergari@crm.otsuka-europe.com")</f>
        <v>yvergari@crm.otsuka-europe.com</v>
      </c>
      <c r="N9969" s="23">
        <v>46188.590104166666</v>
      </c>
      <c r="O9969" s="14" t="str">
        <f>HYPERLINK("https://otsuka-europe-crm.veevavault.com/ui/#object/email_activity__v/V8C00000003U737", "EN-002096290")</f>
        <v>EN-002096290</v>
      </c>
    </row>
    <row r="9970" spans="1:15" ht="16" x14ac:dyDescent="0.2">
      <c r="A9970" s="19"/>
      <c r="B9970" s="19"/>
      <c r="C9970" s="19"/>
      <c r="D9970" s="19"/>
      <c r="E9970" s="19"/>
      <c r="F9970" s="19"/>
      <c r="G9970" s="19"/>
      <c r="H9970" s="19"/>
      <c r="I9970" s="19"/>
      <c r="J9970" s="19"/>
      <c r="K9970" s="19"/>
      <c r="L9970" s="19"/>
      <c r="M9970" s="19"/>
      <c r="N9970" s="19"/>
      <c r="O9970" s="14" t="str">
        <f>HYPERLINK("https://otsuka-europe-crm.veevavault.com/ui/#object/email_activity__v/V8C00000003W118", "EN-002096874")</f>
        <v>EN-002096874</v>
      </c>
    </row>
    <row r="9971" spans="1:15" ht="32" x14ac:dyDescent="0.2">
      <c r="A9971" s="7" t="str">
        <f>HYPERLINK("https://otsuka-europe-crm.veevavault.com/ui/#object/account__v/V4TZ025E871A1CK", "Patrick Haddad")</f>
        <v>Patrick Haddad</v>
      </c>
      <c r="B9971" s="7" t="str">
        <f t="shared" ref="B9971:B9979" si="746">HYPERLINK("https://otsuka-europe-crm.veevavault.com/ui/#object/vcountry__v/VENZ000004SONFN", "CH")</f>
        <v>CH</v>
      </c>
      <c r="C9971" s="8" t="s">
        <v>45</v>
      </c>
      <c r="D9971" s="9" t="str">
        <f t="shared" ref="D9971:D9979" si="747">HYPERLINK("https://otsuka-europe-crm.veevavault.com/ui/#object/approved_document__v/V5O00000001L017", "ALL_Flexibilität_Ferienplanung_2026_AA_fr")</f>
        <v>ALL_Flexibilität_Ferienplanung_2026_AA_fr</v>
      </c>
      <c r="E9971" s="10" t="str">
        <f>HYPERLINK("https://otsuka-europe-crm.veevavault.com/ui/#object/sent_email__v/VBL00000002T354", "SE-001436181")</f>
        <v>SE-001436181</v>
      </c>
      <c r="F9971" s="11"/>
      <c r="G9971" s="12">
        <v>0</v>
      </c>
      <c r="H9971" s="12">
        <v>0</v>
      </c>
      <c r="I9971" s="12">
        <v>0</v>
      </c>
      <c r="J9971" s="11"/>
      <c r="K9971" s="12">
        <v>0</v>
      </c>
      <c r="L9971" s="10" t="str">
        <f t="shared" ref="L9971:L9979" si="748">HYPERLINK("https://otsuka-europe-crm.veevavault.com/ui/#object/approved_document__v/V5O00000001L017", "ALL_Flexibilität_Ferienplanung_2026_AA_fr")</f>
        <v>ALL_Flexibilität_Ferienplanung_2026_AA_fr</v>
      </c>
      <c r="M9971" s="10" t="str">
        <f t="shared" ref="M9971:M9979" si="749">HYPERLINK("mailto:yvergari@crm.otsuka-europe.com", "yvergari@crm.otsuka-europe.com")</f>
        <v>yvergari@crm.otsuka-europe.com</v>
      </c>
      <c r="N9971" s="13">
        <v>46188.590104166666</v>
      </c>
      <c r="O9971" s="14" t="str">
        <f>HYPERLINK("https://otsuka-europe-crm.veevavault.com/ui/#object/email_activity__v/V8C00000003U738", "EN-002096291")</f>
        <v>EN-002096291</v>
      </c>
    </row>
    <row r="9972" spans="1:15" ht="32" x14ac:dyDescent="0.2">
      <c r="A9972" s="7" t="str">
        <f>HYPERLINK("https://otsuka-europe-crm.veevavault.com/ui/#object/account__v/V4TZ025E87ZONPI", "Caroline Juliette Feltz")</f>
        <v>Caroline Juliette Feltz</v>
      </c>
      <c r="B9972" s="7" t="str">
        <f t="shared" si="746"/>
        <v>CH</v>
      </c>
      <c r="C9972" s="8" t="s">
        <v>45</v>
      </c>
      <c r="D9972" s="9" t="str">
        <f t="shared" si="747"/>
        <v>ALL_Flexibilität_Ferienplanung_2026_AA_fr</v>
      </c>
      <c r="E9972" s="10" t="str">
        <f>HYPERLINK("https://otsuka-europe-crm.veevavault.com/ui/#object/sent_email__v/VBL00000002T355", "SE-001436182")</f>
        <v>SE-001436182</v>
      </c>
      <c r="F9972" s="11"/>
      <c r="G9972" s="12">
        <v>0</v>
      </c>
      <c r="H9972" s="12">
        <v>0</v>
      </c>
      <c r="I9972" s="12">
        <v>0</v>
      </c>
      <c r="J9972" s="11"/>
      <c r="K9972" s="12">
        <v>0</v>
      </c>
      <c r="L9972" s="10" t="str">
        <f t="shared" si="748"/>
        <v>ALL_Flexibilität_Ferienplanung_2026_AA_fr</v>
      </c>
      <c r="M9972" s="10" t="str">
        <f t="shared" si="749"/>
        <v>yvergari@crm.otsuka-europe.com</v>
      </c>
      <c r="N9972" s="13">
        <v>46188.590104166666</v>
      </c>
      <c r="O9972" s="14" t="str">
        <f>HYPERLINK("https://otsuka-europe-crm.veevavault.com/ui/#object/email_activity__v/V8C00000003U731", "EN-002096283")</f>
        <v>EN-002096283</v>
      </c>
    </row>
    <row r="9973" spans="1:15" ht="32" x14ac:dyDescent="0.2">
      <c r="A9973" s="7" t="str">
        <f>HYPERLINK("https://otsuka-europe-crm.veevavault.com/ui/#object/account__v/V4TZ06G6O8SAHLF", "Grégoire Favre")</f>
        <v>Grégoire Favre</v>
      </c>
      <c r="B9973" s="7" t="str">
        <f t="shared" si="746"/>
        <v>CH</v>
      </c>
      <c r="C9973" s="8" t="s">
        <v>45</v>
      </c>
      <c r="D9973" s="9" t="str">
        <f t="shared" si="747"/>
        <v>ALL_Flexibilität_Ferienplanung_2026_AA_fr</v>
      </c>
      <c r="E9973" s="10" t="str">
        <f>HYPERLINK("https://otsuka-europe-crm.veevavault.com/ui/#object/sent_email__v/VBL00000002T356", "SE-001436183")</f>
        <v>SE-001436183</v>
      </c>
      <c r="F9973" s="11"/>
      <c r="G9973" s="12">
        <v>0</v>
      </c>
      <c r="H9973" s="12">
        <v>0</v>
      </c>
      <c r="I9973" s="12">
        <v>0</v>
      </c>
      <c r="J9973" s="11"/>
      <c r="K9973" s="12">
        <v>0</v>
      </c>
      <c r="L9973" s="10" t="str">
        <f t="shared" si="748"/>
        <v>ALL_Flexibilität_Ferienplanung_2026_AA_fr</v>
      </c>
      <c r="M9973" s="10" t="str">
        <f t="shared" si="749"/>
        <v>yvergari@crm.otsuka-europe.com</v>
      </c>
      <c r="N9973" s="13">
        <v>46188.590104166666</v>
      </c>
      <c r="O9973" s="14" t="str">
        <f>HYPERLINK("https://otsuka-europe-crm.veevavault.com/ui/#object/email_activity__v/V8C00000003U710", "EN-002096262")</f>
        <v>EN-002096262</v>
      </c>
    </row>
    <row r="9974" spans="1:15" ht="32" x14ac:dyDescent="0.2">
      <c r="A9974" s="7" t="str">
        <f>HYPERLINK("https://otsuka-europe-crm.veevavault.com/ui/#object/account__v/V4TZ025E87ZOS0Y", "Nicolas Galissard de Marignac")</f>
        <v>Nicolas Galissard de Marignac</v>
      </c>
      <c r="B9974" s="7" t="str">
        <f t="shared" si="746"/>
        <v>CH</v>
      </c>
      <c r="C9974" s="8" t="s">
        <v>45</v>
      </c>
      <c r="D9974" s="9" t="str">
        <f t="shared" si="747"/>
        <v>ALL_Flexibilität_Ferienplanung_2026_AA_fr</v>
      </c>
      <c r="E9974" s="10" t="str">
        <f>HYPERLINK("https://otsuka-europe-crm.veevavault.com/ui/#object/sent_email__v/VBL00000002T357", "SE-001436184")</f>
        <v>SE-001436184</v>
      </c>
      <c r="F9974" s="11"/>
      <c r="G9974" s="12">
        <v>0</v>
      </c>
      <c r="H9974" s="12">
        <v>0</v>
      </c>
      <c r="I9974" s="12">
        <v>0</v>
      </c>
      <c r="J9974" s="11"/>
      <c r="K9974" s="12">
        <v>0</v>
      </c>
      <c r="L9974" s="10" t="str">
        <f t="shared" si="748"/>
        <v>ALL_Flexibilität_Ferienplanung_2026_AA_fr</v>
      </c>
      <c r="M9974" s="10" t="str">
        <f t="shared" si="749"/>
        <v>yvergari@crm.otsuka-europe.com</v>
      </c>
      <c r="N9974" s="13">
        <v>46188.590104166666</v>
      </c>
      <c r="O9974" s="14" t="str">
        <f>HYPERLINK("https://otsuka-europe-crm.veevavault.com/ui/#object/email_activity__v/V8C00000003U732", "EN-002096284")</f>
        <v>EN-002096284</v>
      </c>
    </row>
    <row r="9975" spans="1:15" ht="32" x14ac:dyDescent="0.2">
      <c r="A9975" s="7" t="str">
        <f>HYPERLINK("https://otsuka-europe-crm.veevavault.com/ui/#object/account__v/V4TZ0000062R777", "Andréanne Galley-Savary")</f>
        <v>Andréanne Galley-Savary</v>
      </c>
      <c r="B9975" s="7" t="str">
        <f t="shared" si="746"/>
        <v>CH</v>
      </c>
      <c r="C9975" s="8" t="s">
        <v>45</v>
      </c>
      <c r="D9975" s="9" t="str">
        <f t="shared" si="747"/>
        <v>ALL_Flexibilität_Ferienplanung_2026_AA_fr</v>
      </c>
      <c r="E9975" s="10" t="str">
        <f>HYPERLINK("https://otsuka-europe-crm.veevavault.com/ui/#object/sent_email__v/VBL00000002T358", "SE-001436185")</f>
        <v>SE-001436185</v>
      </c>
      <c r="F9975" s="11"/>
      <c r="G9975" s="12">
        <v>0</v>
      </c>
      <c r="H9975" s="12">
        <v>0</v>
      </c>
      <c r="I9975" s="12">
        <v>0</v>
      </c>
      <c r="J9975" s="11"/>
      <c r="K9975" s="12">
        <v>0</v>
      </c>
      <c r="L9975" s="10" t="str">
        <f t="shared" si="748"/>
        <v>ALL_Flexibilität_Ferienplanung_2026_AA_fr</v>
      </c>
      <c r="M9975" s="10" t="str">
        <f t="shared" si="749"/>
        <v>yvergari@crm.otsuka-europe.com</v>
      </c>
      <c r="N9975" s="13">
        <v>46188.590104166666</v>
      </c>
      <c r="O9975" s="14" t="str">
        <f>HYPERLINK("https://otsuka-europe-crm.veevavault.com/ui/#object/email_activity__v/V8C00000003U725", "EN-002096277")</f>
        <v>EN-002096277</v>
      </c>
    </row>
    <row r="9976" spans="1:15" ht="32" x14ac:dyDescent="0.2">
      <c r="A9976" s="7" t="str">
        <f>HYPERLINK("https://otsuka-europe-crm.veevavault.com/ui/#object/account__v/V4TZ0000062R7OS", "Emmanuelle Gimenez Lemoine")</f>
        <v>Emmanuelle Gimenez Lemoine</v>
      </c>
      <c r="B9976" s="7" t="str">
        <f t="shared" si="746"/>
        <v>CH</v>
      </c>
      <c r="C9976" s="8" t="s">
        <v>45</v>
      </c>
      <c r="D9976" s="9" t="str">
        <f t="shared" si="747"/>
        <v>ALL_Flexibilität_Ferienplanung_2026_AA_fr</v>
      </c>
      <c r="E9976" s="10" t="str">
        <f>HYPERLINK("https://otsuka-europe-crm.veevavault.com/ui/#object/sent_email__v/VBL00000002T359", "SE-001436186")</f>
        <v>SE-001436186</v>
      </c>
      <c r="F9976" s="11"/>
      <c r="G9976" s="12">
        <v>0</v>
      </c>
      <c r="H9976" s="12">
        <v>0</v>
      </c>
      <c r="I9976" s="12">
        <v>0</v>
      </c>
      <c r="J9976" s="11"/>
      <c r="K9976" s="12">
        <v>0</v>
      </c>
      <c r="L9976" s="10" t="str">
        <f t="shared" si="748"/>
        <v>ALL_Flexibilität_Ferienplanung_2026_AA_fr</v>
      </c>
      <c r="M9976" s="10" t="str">
        <f t="shared" si="749"/>
        <v>yvergari@crm.otsuka-europe.com</v>
      </c>
      <c r="N9976" s="13">
        <v>46188.590104166666</v>
      </c>
      <c r="O9976" s="14" t="str">
        <f>HYPERLINK("https://otsuka-europe-crm.veevavault.com/ui/#object/email_activity__v/V8C00000003U740", "EN-002096293")</f>
        <v>EN-002096293</v>
      </c>
    </row>
    <row r="9977" spans="1:15" ht="32" x14ac:dyDescent="0.2">
      <c r="A9977" s="7" t="str">
        <f>HYPERLINK("https://otsuka-europe-crm.veevavault.com/ui/#object/account__v/V4TZ04ASGE02KTN", "Myriam Jegham")</f>
        <v>Myriam Jegham</v>
      </c>
      <c r="B9977" s="7" t="str">
        <f t="shared" si="746"/>
        <v>CH</v>
      </c>
      <c r="C9977" s="8" t="s">
        <v>45</v>
      </c>
      <c r="D9977" s="9" t="str">
        <f t="shared" si="747"/>
        <v>ALL_Flexibilität_Ferienplanung_2026_AA_fr</v>
      </c>
      <c r="E9977" s="10" t="str">
        <f>HYPERLINK("https://otsuka-europe-crm.veevavault.com/ui/#object/sent_email__v/VBL00000002T360", "SE-001436187")</f>
        <v>SE-001436187</v>
      </c>
      <c r="F9977" s="11"/>
      <c r="G9977" s="12">
        <v>0</v>
      </c>
      <c r="H9977" s="12">
        <v>0</v>
      </c>
      <c r="I9977" s="12">
        <v>0</v>
      </c>
      <c r="J9977" s="11"/>
      <c r="K9977" s="12">
        <v>0</v>
      </c>
      <c r="L9977" s="10" t="str">
        <f t="shared" si="748"/>
        <v>ALL_Flexibilität_Ferienplanung_2026_AA_fr</v>
      </c>
      <c r="M9977" s="10" t="str">
        <f t="shared" si="749"/>
        <v>yvergari@crm.otsuka-europe.com</v>
      </c>
      <c r="N9977" s="13">
        <v>46188.590104166666</v>
      </c>
      <c r="O9977" s="14" t="str">
        <f>HYPERLINK("https://otsuka-europe-crm.veevavault.com/ui/#object/email_activity__v/V8C00000003U727", "EN-002096279")</f>
        <v>EN-002096279</v>
      </c>
    </row>
    <row r="9978" spans="1:15" ht="32" x14ac:dyDescent="0.2">
      <c r="A9978" s="7" t="str">
        <f>HYPERLINK("https://otsuka-europe-crm.veevavault.com/ui/#object/account__v/V4TZ04ASG6OXCT6", "Michel Hofmann")</f>
        <v>Michel Hofmann</v>
      </c>
      <c r="B9978" s="7" t="str">
        <f t="shared" si="746"/>
        <v>CH</v>
      </c>
      <c r="C9978" s="8" t="s">
        <v>45</v>
      </c>
      <c r="D9978" s="9" t="str">
        <f t="shared" si="747"/>
        <v>ALL_Flexibilität_Ferienplanung_2026_AA_fr</v>
      </c>
      <c r="E9978" s="10" t="str">
        <f>HYPERLINK("https://otsuka-europe-crm.veevavault.com/ui/#object/sent_email__v/VBL00000002T361", "SE-001436188")</f>
        <v>SE-001436188</v>
      </c>
      <c r="F9978" s="11"/>
      <c r="G9978" s="12">
        <v>0</v>
      </c>
      <c r="H9978" s="12">
        <v>0</v>
      </c>
      <c r="I9978" s="12">
        <v>0</v>
      </c>
      <c r="J9978" s="11"/>
      <c r="K9978" s="12">
        <v>0</v>
      </c>
      <c r="L9978" s="10" t="str">
        <f t="shared" si="748"/>
        <v>ALL_Flexibilität_Ferienplanung_2026_AA_fr</v>
      </c>
      <c r="M9978" s="10" t="str">
        <f t="shared" si="749"/>
        <v>yvergari@crm.otsuka-europe.com</v>
      </c>
      <c r="N9978" s="13">
        <v>46188.590104166666</v>
      </c>
      <c r="O9978" s="14" t="str">
        <f>HYPERLINK("https://otsuka-europe-crm.veevavault.com/ui/#object/email_activity__v/V8C00000003U719", "EN-002096271")</f>
        <v>EN-002096271</v>
      </c>
    </row>
    <row r="9979" spans="1:15" ht="16" x14ac:dyDescent="0.2">
      <c r="A9979" s="17" t="str">
        <f>HYPERLINK("https://otsuka-europe-crm.veevavault.com/ui/#object/account__v/V4TZ0000062R3TC", "Giovanni Greco")</f>
        <v>Giovanni Greco</v>
      </c>
      <c r="B9979" s="17" t="str">
        <f t="shared" si="746"/>
        <v>CH</v>
      </c>
      <c r="C9979" s="20" t="s">
        <v>45</v>
      </c>
      <c r="D9979" s="21" t="str">
        <f t="shared" si="747"/>
        <v>ALL_Flexibilität_Ferienplanung_2026_AA_fr</v>
      </c>
      <c r="E9979" s="22" t="str">
        <f>HYPERLINK("https://otsuka-europe-crm.veevavault.com/ui/#object/sent_email__v/VBL00000002T362", "SE-001436189")</f>
        <v>SE-001436189</v>
      </c>
      <c r="F9979" s="25"/>
      <c r="G9979" s="24">
        <v>0</v>
      </c>
      <c r="H9979" s="24">
        <v>0</v>
      </c>
      <c r="I9979" s="24">
        <v>0</v>
      </c>
      <c r="J9979" s="25"/>
      <c r="K9979" s="24">
        <v>0</v>
      </c>
      <c r="L9979" s="22" t="str">
        <f t="shared" si="748"/>
        <v>ALL_Flexibilität_Ferienplanung_2026_AA_fr</v>
      </c>
      <c r="M9979" s="22" t="str">
        <f t="shared" si="749"/>
        <v>yvergari@crm.otsuka-europe.com</v>
      </c>
      <c r="N9979" s="23">
        <v>46188.590104166666</v>
      </c>
      <c r="O9979" s="14" t="str">
        <f>HYPERLINK("https://otsuka-europe-crm.veevavault.com/ui/#object/email_activity__v/V8C00000003V736", "EN-002096257")</f>
        <v>EN-002096257</v>
      </c>
    </row>
    <row r="9980" spans="1:15" ht="16" x14ac:dyDescent="0.2">
      <c r="A9980" s="19"/>
      <c r="B9980" s="19"/>
      <c r="C9980" s="19"/>
      <c r="D9980" s="19"/>
      <c r="E9980" s="19"/>
      <c r="F9980" s="19"/>
      <c r="G9980" s="19"/>
      <c r="H9980" s="19"/>
      <c r="I9980" s="19"/>
      <c r="J9980" s="19"/>
      <c r="K9980" s="19"/>
      <c r="L9980" s="19"/>
      <c r="M9980" s="19"/>
      <c r="N9980" s="19"/>
      <c r="O9980" s="14" t="str">
        <f>HYPERLINK("https://otsuka-europe-crm.veevavault.com/ui/#object/email_activity__v/V8C00000003V754", "EN-002096317")</f>
        <v>EN-002096317</v>
      </c>
    </row>
    <row r="9981" spans="1:15" ht="32" x14ac:dyDescent="0.2">
      <c r="A9981" s="7" t="str">
        <f>HYPERLINK("https://otsuka-europe-crm.veevavault.com/ui/#object/account__v/V4TZ04ASG91YDDU", "Hamdi Gzara")</f>
        <v>Hamdi Gzara</v>
      </c>
      <c r="B9981" s="7" t="str">
        <f>HYPERLINK("https://otsuka-europe-crm.veevavault.com/ui/#object/vcountry__v/VENZ000004SONFN", "CH")</f>
        <v>CH</v>
      </c>
      <c r="C9981" s="8" t="s">
        <v>45</v>
      </c>
      <c r="D9981" s="9" t="str">
        <f>HYPERLINK("https://otsuka-europe-crm.veevavault.com/ui/#object/approved_document__v/V5O00000001L017", "ALL_Flexibilität_Ferienplanung_2026_AA_fr")</f>
        <v>ALL_Flexibilität_Ferienplanung_2026_AA_fr</v>
      </c>
      <c r="E9981" s="10" t="str">
        <f>HYPERLINK("https://otsuka-europe-crm.veevavault.com/ui/#object/sent_email__v/VBL00000002T363", "SE-001436190")</f>
        <v>SE-001436190</v>
      </c>
      <c r="F9981" s="11"/>
      <c r="G9981" s="12">
        <v>0</v>
      </c>
      <c r="H9981" s="12">
        <v>0</v>
      </c>
      <c r="I9981" s="12">
        <v>0</v>
      </c>
      <c r="J9981" s="11"/>
      <c r="K9981" s="12">
        <v>0</v>
      </c>
      <c r="L9981" s="10" t="str">
        <f>HYPERLINK("https://otsuka-europe-crm.veevavault.com/ui/#object/approved_document__v/V5O00000001L017", "ALL_Flexibilität_Ferienplanung_2026_AA_fr")</f>
        <v>ALL_Flexibilität_Ferienplanung_2026_AA_fr</v>
      </c>
      <c r="M9981" s="10" t="str">
        <f>HYPERLINK("mailto:yvergari@crm.otsuka-europe.com", "yvergari@crm.otsuka-europe.com")</f>
        <v>yvergari@crm.otsuka-europe.com</v>
      </c>
      <c r="N9981" s="13">
        <v>46188.590104166666</v>
      </c>
      <c r="O9981" s="14" t="str">
        <f>HYPERLINK("https://otsuka-europe-crm.veevavault.com/ui/#object/email_activity__v/V8C00000003U712", "EN-002096264")</f>
        <v>EN-002096264</v>
      </c>
    </row>
    <row r="9982" spans="1:15" ht="16" x14ac:dyDescent="0.2">
      <c r="A9982" s="17" t="str">
        <f>HYPERLINK("https://otsuka-europe-crm.veevavault.com/ui/#object/account__v/V4TZ06G6O9BXSVR", "Marianne Farahmand")</f>
        <v>Marianne Farahmand</v>
      </c>
      <c r="B9982" s="17" t="str">
        <f>HYPERLINK("https://otsuka-europe-crm.veevavault.com/ui/#object/vcountry__v/VENZ000004SONFN", "CH")</f>
        <v>CH</v>
      </c>
      <c r="C9982" s="20" t="s">
        <v>45</v>
      </c>
      <c r="D9982" s="21" t="str">
        <f>HYPERLINK("https://otsuka-europe-crm.veevavault.com/ui/#object/approved_document__v/V5O00000001L017", "ALL_Flexibilität_Ferienplanung_2026_AA_fr")</f>
        <v>ALL_Flexibilität_Ferienplanung_2026_AA_fr</v>
      </c>
      <c r="E9982" s="22" t="str">
        <f>HYPERLINK("https://otsuka-europe-crm.veevavault.com/ui/#object/sent_email__v/VBL00000002T364", "SE-001436191")</f>
        <v>SE-001436191</v>
      </c>
      <c r="F9982" s="23">
        <v>46188.591145833336</v>
      </c>
      <c r="G9982" s="24">
        <v>1</v>
      </c>
      <c r="H9982" s="24">
        <v>2</v>
      </c>
      <c r="I9982" s="24">
        <v>0</v>
      </c>
      <c r="J9982" s="25"/>
      <c r="K9982" s="24">
        <v>0</v>
      </c>
      <c r="L9982" s="22" t="str">
        <f>HYPERLINK("https://otsuka-europe-crm.veevavault.com/ui/#object/approved_document__v/V5O00000001L017", "ALL_Flexibilität_Ferienplanung_2026_AA_fr")</f>
        <v>ALL_Flexibilität_Ferienplanung_2026_AA_fr</v>
      </c>
      <c r="M9982" s="22" t="str">
        <f>HYPERLINK("mailto:yvergari@crm.otsuka-europe.com", "yvergari@crm.otsuka-europe.com")</f>
        <v>yvergari@crm.otsuka-europe.com</v>
      </c>
      <c r="N9982" s="23">
        <v>46188.590104166666</v>
      </c>
      <c r="O9982" s="14" t="str">
        <f>HYPERLINK("https://otsuka-europe-crm.veevavault.com/ui/#object/email_activity__v/V8C00000003U711", "EN-002096263")</f>
        <v>EN-002096263</v>
      </c>
    </row>
    <row r="9983" spans="1:15" ht="16" x14ac:dyDescent="0.2">
      <c r="A9983" s="18"/>
      <c r="B9983" s="18"/>
      <c r="C9983" s="18"/>
      <c r="D9983" s="18"/>
      <c r="E9983" s="18"/>
      <c r="F9983" s="18"/>
      <c r="G9983" s="18"/>
      <c r="H9983" s="18"/>
      <c r="I9983" s="18"/>
      <c r="J9983" s="18"/>
      <c r="K9983" s="18"/>
      <c r="L9983" s="18"/>
      <c r="M9983" s="18"/>
      <c r="N9983" s="18"/>
      <c r="O9983" s="14" t="str">
        <f>HYPERLINK("https://otsuka-europe-crm.veevavault.com/ui/#object/email_activity__v/V8C00000003U743", "EN-002096302")</f>
        <v>EN-002096302</v>
      </c>
    </row>
    <row r="9984" spans="1:15" ht="16" x14ac:dyDescent="0.2">
      <c r="A9984" s="19"/>
      <c r="B9984" s="19"/>
      <c r="C9984" s="19"/>
      <c r="D9984" s="19"/>
      <c r="E9984" s="19"/>
      <c r="F9984" s="19"/>
      <c r="G9984" s="19"/>
      <c r="H9984" s="19"/>
      <c r="I9984" s="19"/>
      <c r="J9984" s="19"/>
      <c r="K9984" s="19"/>
      <c r="L9984" s="19"/>
      <c r="M9984" s="19"/>
      <c r="N9984" s="19"/>
      <c r="O9984" s="14" t="str">
        <f>HYPERLINK("https://otsuka-europe-crm.veevavault.com/ui/#object/email_activity__v/V8C00000003U745", "EN-002096304")</f>
        <v>EN-002096304</v>
      </c>
    </row>
    <row r="9985" spans="1:15" ht="16" x14ac:dyDescent="0.2">
      <c r="A9985" s="17" t="str">
        <f>HYPERLINK("https://otsuka-europe-crm.veevavault.com/ui/#object/account__v/V4TZ0000062R4EX", "Mohamed Hachaichi")</f>
        <v>Mohamed Hachaichi</v>
      </c>
      <c r="B9985" s="17" t="str">
        <f>HYPERLINK("https://otsuka-europe-crm.veevavault.com/ui/#object/vcountry__v/VENZ000004SONFN", "CH")</f>
        <v>CH</v>
      </c>
      <c r="C9985" s="20" t="s">
        <v>45</v>
      </c>
      <c r="D9985" s="21" t="str">
        <f>HYPERLINK("https://otsuka-europe-crm.veevavault.com/ui/#object/approved_document__v/V5O00000001L017", "ALL_Flexibilität_Ferienplanung_2026_AA_fr")</f>
        <v>ALL_Flexibilität_Ferienplanung_2026_AA_fr</v>
      </c>
      <c r="E9985" s="22" t="str">
        <f>HYPERLINK("https://otsuka-europe-crm.veevavault.com/ui/#object/sent_email__v/VBL00000002T365", "SE-001436192")</f>
        <v>SE-001436192</v>
      </c>
      <c r="F9985" s="25"/>
      <c r="G9985" s="24">
        <v>0</v>
      </c>
      <c r="H9985" s="24">
        <v>0</v>
      </c>
      <c r="I9985" s="24">
        <v>0</v>
      </c>
      <c r="J9985" s="25"/>
      <c r="K9985" s="24">
        <v>0</v>
      </c>
      <c r="L9985" s="22" t="str">
        <f>HYPERLINK("https://otsuka-europe-crm.veevavault.com/ui/#object/approved_document__v/V5O00000001L017", "ALL_Flexibilität_Ferienplanung_2026_AA_fr")</f>
        <v>ALL_Flexibilität_Ferienplanung_2026_AA_fr</v>
      </c>
      <c r="M9985" s="22" t="str">
        <f>HYPERLINK("mailto:yvergari@crm.otsuka-europe.com", "yvergari@crm.otsuka-europe.com")</f>
        <v>yvergari@crm.otsuka-europe.com</v>
      </c>
      <c r="N9985" s="23">
        <v>46188.590104166666</v>
      </c>
      <c r="O9985" s="14" t="str">
        <f>HYPERLINK("https://otsuka-europe-crm.veevavault.com/ui/#object/email_activity__v/V8C00000003U729", "EN-002096281")</f>
        <v>EN-002096281</v>
      </c>
    </row>
    <row r="9986" spans="1:15" ht="16" x14ac:dyDescent="0.2">
      <c r="A9986" s="18"/>
      <c r="B9986" s="18"/>
      <c r="C9986" s="18"/>
      <c r="D9986" s="18"/>
      <c r="E9986" s="18"/>
      <c r="F9986" s="18"/>
      <c r="G9986" s="18"/>
      <c r="H9986" s="18"/>
      <c r="I9986" s="18"/>
      <c r="J9986" s="18"/>
      <c r="K9986" s="18"/>
      <c r="L9986" s="18"/>
      <c r="M9986" s="18"/>
      <c r="N9986" s="18"/>
      <c r="O9986" s="14" t="str">
        <f>HYPERLINK("https://otsuka-europe-crm.veevavault.com/ui/#object/email_activity__v/V8C00000003V858", "EN-002096431")</f>
        <v>EN-002096431</v>
      </c>
    </row>
    <row r="9987" spans="1:15" ht="16" x14ac:dyDescent="0.2">
      <c r="A9987" s="19"/>
      <c r="B9987" s="19"/>
      <c r="C9987" s="19"/>
      <c r="D9987" s="19"/>
      <c r="E9987" s="19"/>
      <c r="F9987" s="19"/>
      <c r="G9987" s="19"/>
      <c r="H9987" s="19"/>
      <c r="I9987" s="19"/>
      <c r="J9987" s="19"/>
      <c r="K9987" s="19"/>
      <c r="L9987" s="19"/>
      <c r="M9987" s="19"/>
      <c r="N9987" s="19"/>
      <c r="O9987" s="14" t="str">
        <f>HYPERLINK("https://otsuka-europe-crm.veevavault.com/ui/#object/email_activity__v/V8C00000003V864", "EN-002096445")</f>
        <v>EN-002096445</v>
      </c>
    </row>
    <row r="9988" spans="1:15" ht="32" x14ac:dyDescent="0.2">
      <c r="A9988" s="7" t="str">
        <f>HYPERLINK("https://otsuka-europe-crm.veevavault.com/ui/#object/account__v/V4TZ0000062SGQ1", "Marilena Hutanu")</f>
        <v>Marilena Hutanu</v>
      </c>
      <c r="B9988" s="7" t="str">
        <f>HYPERLINK("https://otsuka-europe-crm.veevavault.com/ui/#object/vcountry__v/VENZ000004SONFN", "CH")</f>
        <v>CH</v>
      </c>
      <c r="C9988" s="8" t="s">
        <v>45</v>
      </c>
      <c r="D9988" s="9" t="str">
        <f>HYPERLINK("https://otsuka-europe-crm.veevavault.com/ui/#object/approved_document__v/V5O00000001L017", "ALL_Flexibilität_Ferienplanung_2026_AA_fr")</f>
        <v>ALL_Flexibilität_Ferienplanung_2026_AA_fr</v>
      </c>
      <c r="E9988" s="10" t="str">
        <f>HYPERLINK("https://otsuka-europe-crm.veevavault.com/ui/#object/sent_email__v/VBL00000002T366", "SE-001436193")</f>
        <v>SE-001436193</v>
      </c>
      <c r="F9988" s="11"/>
      <c r="G9988" s="12">
        <v>0</v>
      </c>
      <c r="H9988" s="12">
        <v>0</v>
      </c>
      <c r="I9988" s="12">
        <v>0</v>
      </c>
      <c r="J9988" s="11"/>
      <c r="K9988" s="12">
        <v>0</v>
      </c>
      <c r="L9988" s="10" t="str">
        <f>HYPERLINK("https://otsuka-europe-crm.veevavault.com/ui/#object/approved_document__v/V5O00000001L017", "ALL_Flexibilität_Ferienplanung_2026_AA_fr")</f>
        <v>ALL_Flexibilität_Ferienplanung_2026_AA_fr</v>
      </c>
      <c r="M9988" s="10" t="str">
        <f>HYPERLINK("mailto:yvergari@crm.otsuka-europe.com", "yvergari@crm.otsuka-europe.com")</f>
        <v>yvergari@crm.otsuka-europe.com</v>
      </c>
      <c r="N9988" s="13">
        <v>46188.590104166666</v>
      </c>
      <c r="O9988" s="14" t="str">
        <f>HYPERLINK("https://otsuka-europe-crm.veevavault.com/ui/#object/email_activity__v/V8C00000003V735", "EN-002096256")</f>
        <v>EN-002096256</v>
      </c>
    </row>
    <row r="9989" spans="1:15" ht="32" x14ac:dyDescent="0.2">
      <c r="A9989" s="7" t="str">
        <f>HYPERLINK("https://otsuka-europe-crm.veevavault.com/ui/#object/account__v/V4TZ025E83MZG54", "Julie Emmanuelle Hegi")</f>
        <v>Julie Emmanuelle Hegi</v>
      </c>
      <c r="B9989" s="7" t="str">
        <f>HYPERLINK("https://otsuka-europe-crm.veevavault.com/ui/#object/vcountry__v/VENZ000004SONFN", "CH")</f>
        <v>CH</v>
      </c>
      <c r="C9989" s="8" t="s">
        <v>45</v>
      </c>
      <c r="D9989" s="9" t="str">
        <f>HYPERLINK("https://otsuka-europe-crm.veevavault.com/ui/#object/approved_document__v/V5O00000001L017", "ALL_Flexibilität_Ferienplanung_2026_AA_fr")</f>
        <v>ALL_Flexibilität_Ferienplanung_2026_AA_fr</v>
      </c>
      <c r="E9989" s="10" t="str">
        <f>HYPERLINK("https://otsuka-europe-crm.veevavault.com/ui/#object/sent_email__v/VBL00000002T367", "SE-001436194")</f>
        <v>SE-001436194</v>
      </c>
      <c r="F9989" s="11"/>
      <c r="G9989" s="12">
        <v>0</v>
      </c>
      <c r="H9989" s="12">
        <v>0</v>
      </c>
      <c r="I9989" s="12">
        <v>0</v>
      </c>
      <c r="J9989" s="11"/>
      <c r="K9989" s="12">
        <v>0</v>
      </c>
      <c r="L9989" s="10" t="str">
        <f>HYPERLINK("https://otsuka-europe-crm.veevavault.com/ui/#object/approved_document__v/V5O00000001L017", "ALL_Flexibilität_Ferienplanung_2026_AA_fr")</f>
        <v>ALL_Flexibilität_Ferienplanung_2026_AA_fr</v>
      </c>
      <c r="M9989" s="10" t="str">
        <f>HYPERLINK("mailto:yvergari@crm.otsuka-europe.com", "yvergari@crm.otsuka-europe.com")</f>
        <v>yvergari@crm.otsuka-europe.com</v>
      </c>
      <c r="N9989" s="13">
        <v>46188.590104166666</v>
      </c>
      <c r="O9989" s="14" t="str">
        <f>HYPERLINK("https://otsuka-europe-crm.veevavault.com/ui/#object/email_activity__v/V8C00000003V741", "EN-002096296")</f>
        <v>EN-002096296</v>
      </c>
    </row>
    <row r="9990" spans="1:15" ht="32" x14ac:dyDescent="0.2">
      <c r="A9990" s="7" t="str">
        <f>HYPERLINK("https://otsuka-europe-crm.veevavault.com/ui/#object/account__v/V4TZ025E86LARH2", "Abir Fekak")</f>
        <v>Abir Fekak</v>
      </c>
      <c r="B9990" s="7" t="str">
        <f>HYPERLINK("https://otsuka-europe-crm.veevavault.com/ui/#object/vcountry__v/VENZ000004SONFN", "CH")</f>
        <v>CH</v>
      </c>
      <c r="C9990" s="8" t="s">
        <v>45</v>
      </c>
      <c r="D9990" s="9" t="str">
        <f>HYPERLINK("https://otsuka-europe-crm.veevavault.com/ui/#object/approved_document__v/V5O00000001L017", "ALL_Flexibilität_Ferienplanung_2026_AA_fr")</f>
        <v>ALL_Flexibilität_Ferienplanung_2026_AA_fr</v>
      </c>
      <c r="E9990" s="10" t="str">
        <f>HYPERLINK("https://otsuka-europe-crm.veevavault.com/ui/#object/sent_email__v/VBL00000002T368", "SE-001436195")</f>
        <v>SE-001436195</v>
      </c>
      <c r="F9990" s="11"/>
      <c r="G9990" s="12">
        <v>0</v>
      </c>
      <c r="H9990" s="12">
        <v>0</v>
      </c>
      <c r="I9990" s="12">
        <v>0</v>
      </c>
      <c r="J9990" s="11"/>
      <c r="K9990" s="12">
        <v>0</v>
      </c>
      <c r="L9990" s="10" t="str">
        <f>HYPERLINK("https://otsuka-europe-crm.veevavault.com/ui/#object/approved_document__v/V5O00000001L017", "ALL_Flexibilität_Ferienplanung_2026_AA_fr")</f>
        <v>ALL_Flexibilität_Ferienplanung_2026_AA_fr</v>
      </c>
      <c r="M9990" s="10" t="str">
        <f>HYPERLINK("mailto:yvergari@crm.otsuka-europe.com", "yvergari@crm.otsuka-europe.com")</f>
        <v>yvergari@crm.otsuka-europe.com</v>
      </c>
      <c r="N9990" s="13">
        <v>46188.590104166666</v>
      </c>
      <c r="O9990" s="14" t="str">
        <f>HYPERLINK("https://otsuka-europe-crm.veevavault.com/ui/#object/email_activity__v/V8C00000003U739", "EN-002096292")</f>
        <v>EN-002096292</v>
      </c>
    </row>
    <row r="9991" spans="1:15" ht="16" x14ac:dyDescent="0.2">
      <c r="A9991" s="17" t="str">
        <f>HYPERLINK("https://otsuka-europe-crm.veevavault.com/ui/#object/account__v/V4TZ0000062R6LI", "Isabelle Gothuey-Gysin")</f>
        <v>Isabelle Gothuey-Gysin</v>
      </c>
      <c r="B9991" s="17" t="str">
        <f>HYPERLINK("https://otsuka-europe-crm.veevavault.com/ui/#object/vcountry__v/VENZ000004SONFN", "CH")</f>
        <v>CH</v>
      </c>
      <c r="C9991" s="20" t="s">
        <v>45</v>
      </c>
      <c r="D9991" s="21" t="str">
        <f>HYPERLINK("https://otsuka-europe-crm.veevavault.com/ui/#object/approved_document__v/V5O00000001L017", "ALL_Flexibilität_Ferienplanung_2026_AA_fr")</f>
        <v>ALL_Flexibilität_Ferienplanung_2026_AA_fr</v>
      </c>
      <c r="E9991" s="22" t="str">
        <f>HYPERLINK("https://otsuka-europe-crm.veevavault.com/ui/#object/sent_email__v/VBL00000002T369", "SE-001436196")</f>
        <v>SE-001436196</v>
      </c>
      <c r="F9991" s="23">
        <v>46188.631516203706</v>
      </c>
      <c r="G9991" s="24">
        <v>1</v>
      </c>
      <c r="H9991" s="24">
        <v>2</v>
      </c>
      <c r="I9991" s="24">
        <v>0</v>
      </c>
      <c r="J9991" s="25"/>
      <c r="K9991" s="24">
        <v>0</v>
      </c>
      <c r="L9991" s="22" t="str">
        <f>HYPERLINK("https://otsuka-europe-crm.veevavault.com/ui/#object/approved_document__v/V5O00000001L017", "ALL_Flexibilität_Ferienplanung_2026_AA_fr")</f>
        <v>ALL_Flexibilität_Ferienplanung_2026_AA_fr</v>
      </c>
      <c r="M9991" s="22" t="str">
        <f>HYPERLINK("mailto:yvergari@crm.otsuka-europe.com", "yvergari@crm.otsuka-europe.com")</f>
        <v>yvergari@crm.otsuka-europe.com</v>
      </c>
      <c r="N9991" s="23">
        <v>46188.590104166666</v>
      </c>
      <c r="O9991" s="14" t="str">
        <f>HYPERLINK("https://otsuka-europe-crm.veevavault.com/ui/#object/email_activity__v/V8C00000003U724", "EN-002096276")</f>
        <v>EN-002096276</v>
      </c>
    </row>
    <row r="9992" spans="1:15" ht="16" x14ac:dyDescent="0.2">
      <c r="A9992" s="18"/>
      <c r="B9992" s="18"/>
      <c r="C9992" s="18"/>
      <c r="D9992" s="18"/>
      <c r="E9992" s="18"/>
      <c r="F9992" s="18"/>
      <c r="G9992" s="18"/>
      <c r="H9992" s="18"/>
      <c r="I9992" s="18"/>
      <c r="J9992" s="18"/>
      <c r="K9992" s="18"/>
      <c r="L9992" s="18"/>
      <c r="M9992" s="18"/>
      <c r="N9992" s="18"/>
      <c r="O9992" s="14" t="str">
        <f>HYPERLINK("https://otsuka-europe-crm.veevavault.com/ui/#object/email_activity__v/V8C00000003U757", "EN-002096421")</f>
        <v>EN-002096421</v>
      </c>
    </row>
    <row r="9993" spans="1:15" ht="16" x14ac:dyDescent="0.2">
      <c r="A9993" s="19"/>
      <c r="B9993" s="19"/>
      <c r="C9993" s="19"/>
      <c r="D9993" s="19"/>
      <c r="E9993" s="19"/>
      <c r="F9993" s="19"/>
      <c r="G9993" s="19"/>
      <c r="H9993" s="19"/>
      <c r="I9993" s="19"/>
      <c r="J9993" s="19"/>
      <c r="K9993" s="19"/>
      <c r="L9993" s="19"/>
      <c r="M9993" s="19"/>
      <c r="N9993" s="19"/>
      <c r="O9993" s="14" t="str">
        <f>HYPERLINK("https://otsuka-europe-crm.veevavault.com/ui/#object/email_activity__v/V8C00000003V851", "EN-002096422")</f>
        <v>EN-002096422</v>
      </c>
    </row>
    <row r="9994" spans="1:15" ht="32" x14ac:dyDescent="0.2">
      <c r="A9994" s="7" t="str">
        <f>HYPERLINK("https://otsuka-europe-crm.veevavault.com/ui/#object/account__v/V4TZ025E859UFE8", "Islem Jouou")</f>
        <v>Islem Jouou</v>
      </c>
      <c r="B9994" s="7" t="str">
        <f>HYPERLINK("https://otsuka-europe-crm.veevavault.com/ui/#object/vcountry__v/VENZ000004SONFN", "CH")</f>
        <v>CH</v>
      </c>
      <c r="C9994" s="8" t="s">
        <v>45</v>
      </c>
      <c r="D9994" s="9" t="str">
        <f>HYPERLINK("https://otsuka-europe-crm.veevavault.com/ui/#object/approved_document__v/V5O00000001L017", "ALL_Flexibilität_Ferienplanung_2026_AA_fr")</f>
        <v>ALL_Flexibilität_Ferienplanung_2026_AA_fr</v>
      </c>
      <c r="E9994" s="10" t="str">
        <f>HYPERLINK("https://otsuka-europe-crm.veevavault.com/ui/#object/sent_email__v/VBL00000002T370", "SE-001436197")</f>
        <v>SE-001436197</v>
      </c>
      <c r="F9994" s="11"/>
      <c r="G9994" s="12">
        <v>0</v>
      </c>
      <c r="H9994" s="12">
        <v>0</v>
      </c>
      <c r="I9994" s="12">
        <v>0</v>
      </c>
      <c r="J9994" s="11"/>
      <c r="K9994" s="12">
        <v>0</v>
      </c>
      <c r="L9994" s="10" t="str">
        <f>HYPERLINK("https://otsuka-europe-crm.veevavault.com/ui/#object/approved_document__v/V5O00000001L017", "ALL_Flexibilität_Ferienplanung_2026_AA_fr")</f>
        <v>ALL_Flexibilität_Ferienplanung_2026_AA_fr</v>
      </c>
      <c r="M9994" s="10" t="str">
        <f>HYPERLINK("mailto:yvergari@crm.otsuka-europe.com", "yvergari@crm.otsuka-europe.com")</f>
        <v>yvergari@crm.otsuka-europe.com</v>
      </c>
      <c r="N9994" s="13">
        <v>46188.590104166666</v>
      </c>
      <c r="O9994" s="14" t="str">
        <f>HYPERLINK("https://otsuka-europe-crm.veevavault.com/ui/#object/email_activity__v/V8C00000003U718", "EN-002096270")</f>
        <v>EN-002096270</v>
      </c>
    </row>
    <row r="9995" spans="1:15" ht="16" x14ac:dyDescent="0.2">
      <c r="A9995" s="17" t="str">
        <f>HYPERLINK("https://otsuka-europe-crm.veevavault.com/ui/#object/account__v/V4TZ0000062R7NN", "Anwar Raphael Gern")</f>
        <v>Anwar Raphael Gern</v>
      </c>
      <c r="B9995" s="17" t="str">
        <f>HYPERLINK("https://otsuka-europe-crm.veevavault.com/ui/#object/vcountry__v/VENZ000004SONFN", "CH")</f>
        <v>CH</v>
      </c>
      <c r="C9995" s="20" t="s">
        <v>45</v>
      </c>
      <c r="D9995" s="21" t="str">
        <f>HYPERLINK("https://otsuka-europe-crm.veevavault.com/ui/#object/approved_document__v/V5O00000001L017", "ALL_Flexibilität_Ferienplanung_2026_AA_fr")</f>
        <v>ALL_Flexibilität_Ferienplanung_2026_AA_fr</v>
      </c>
      <c r="E9995" s="22" t="str">
        <f>HYPERLINK("https://otsuka-europe-crm.veevavault.com/ui/#object/sent_email__v/VBL00000002T371", "SE-001436198")</f>
        <v>SE-001436198</v>
      </c>
      <c r="F9995" s="23">
        <v>46188.604479166665</v>
      </c>
      <c r="G9995" s="24">
        <v>1</v>
      </c>
      <c r="H9995" s="24">
        <v>1</v>
      </c>
      <c r="I9995" s="24">
        <v>0</v>
      </c>
      <c r="J9995" s="25"/>
      <c r="K9995" s="24">
        <v>0</v>
      </c>
      <c r="L9995" s="22" t="str">
        <f>HYPERLINK("https://otsuka-europe-crm.veevavault.com/ui/#object/approved_document__v/V5O00000001L017", "ALL_Flexibilität_Ferienplanung_2026_AA_fr")</f>
        <v>ALL_Flexibilität_Ferienplanung_2026_AA_fr</v>
      </c>
      <c r="M9995" s="22" t="str">
        <f>HYPERLINK("mailto:yvergari@crm.otsuka-europe.com", "yvergari@crm.otsuka-europe.com")</f>
        <v>yvergari@crm.otsuka-europe.com</v>
      </c>
      <c r="N9995" s="23">
        <v>46188.590104166666</v>
      </c>
      <c r="O9995" s="14" t="str">
        <f>HYPERLINK("https://otsuka-europe-crm.veevavault.com/ui/#object/email_activity__v/V8C00000003U733", "EN-002096285")</f>
        <v>EN-002096285</v>
      </c>
    </row>
    <row r="9996" spans="1:15" ht="16" x14ac:dyDescent="0.2">
      <c r="A9996" s="18"/>
      <c r="B9996" s="18"/>
      <c r="C9996" s="18"/>
      <c r="D9996" s="18"/>
      <c r="E9996" s="18"/>
      <c r="F9996" s="18"/>
      <c r="G9996" s="18"/>
      <c r="H9996" s="18"/>
      <c r="I9996" s="18"/>
      <c r="J9996" s="18"/>
      <c r="K9996" s="18"/>
      <c r="L9996" s="18"/>
      <c r="M9996" s="18"/>
      <c r="N9996" s="18"/>
      <c r="O9996" s="14" t="str">
        <f>HYPERLINK("https://otsuka-europe-crm.veevavault.com/ui/#object/email_activity__v/V8C00000003U750", "EN-002096318")</f>
        <v>EN-002096318</v>
      </c>
    </row>
    <row r="9997" spans="1:15" ht="16" x14ac:dyDescent="0.2">
      <c r="A9997" s="19"/>
      <c r="B9997" s="19"/>
      <c r="C9997" s="19"/>
      <c r="D9997" s="19"/>
      <c r="E9997" s="19"/>
      <c r="F9997" s="19"/>
      <c r="G9997" s="19"/>
      <c r="H9997" s="19"/>
      <c r="I9997" s="19"/>
      <c r="J9997" s="19"/>
      <c r="K9997" s="19"/>
      <c r="L9997" s="19"/>
      <c r="M9997" s="19"/>
      <c r="N9997" s="19"/>
      <c r="O9997" s="14" t="str">
        <f>HYPERLINK("https://otsuka-europe-crm.veevavault.com/ui/#object/email_activity__v/V8C00000003V877", "EN-002096468")</f>
        <v>EN-002096468</v>
      </c>
    </row>
    <row r="9998" spans="1:15" ht="32" x14ac:dyDescent="0.2">
      <c r="A9998" s="7" t="str">
        <f>HYPERLINK("https://otsuka-europe-crm.veevavault.com/ui/#object/account__v/V4TZ025E85QVRC0", "Sophie Kamel")</f>
        <v>Sophie Kamel</v>
      </c>
      <c r="B9998" s="7" t="str">
        <f>HYPERLINK("https://otsuka-europe-crm.veevavault.com/ui/#object/vcountry__v/VENZ000004SONFN", "CH")</f>
        <v>CH</v>
      </c>
      <c r="C9998" s="8" t="s">
        <v>45</v>
      </c>
      <c r="D9998" s="9" t="str">
        <f>HYPERLINK("https://otsuka-europe-crm.veevavault.com/ui/#object/approved_document__v/V5O00000001L017", "ALL_Flexibilität_Ferienplanung_2026_AA_fr")</f>
        <v>ALL_Flexibilität_Ferienplanung_2026_AA_fr</v>
      </c>
      <c r="E9998" s="10" t="str">
        <f>HYPERLINK("https://otsuka-europe-crm.veevavault.com/ui/#object/sent_email__v/VBL00000002T372", "SE-001436199")</f>
        <v>SE-001436199</v>
      </c>
      <c r="F9998" s="11"/>
      <c r="G9998" s="12">
        <v>0</v>
      </c>
      <c r="H9998" s="12">
        <v>0</v>
      </c>
      <c r="I9998" s="12">
        <v>0</v>
      </c>
      <c r="J9998" s="11"/>
      <c r="K9998" s="12">
        <v>0</v>
      </c>
      <c r="L9998" s="10" t="str">
        <f>HYPERLINK("https://otsuka-europe-crm.veevavault.com/ui/#object/approved_document__v/V5O00000001L017", "ALL_Flexibilität_Ferienplanung_2026_AA_fr")</f>
        <v>ALL_Flexibilität_Ferienplanung_2026_AA_fr</v>
      </c>
      <c r="M9998" s="10" t="str">
        <f>HYPERLINK("mailto:yvergari@crm.otsuka-europe.com", "yvergari@crm.otsuka-europe.com")</f>
        <v>yvergari@crm.otsuka-europe.com</v>
      </c>
      <c r="N9998" s="13">
        <v>46188.590104166666</v>
      </c>
      <c r="O9998" s="14" t="str">
        <f>HYPERLINK("https://otsuka-europe-crm.veevavault.com/ui/#object/email_activity__v/V8C00000003U715", "EN-002096267")</f>
        <v>EN-002096267</v>
      </c>
    </row>
    <row r="9999" spans="1:15" ht="16" x14ac:dyDescent="0.2">
      <c r="A9999" s="17" t="str">
        <f>HYPERLINK("https://otsuka-europe-crm.veevavault.com/ui/#object/account__v/V4TZ0000062R7NT", "Jean-Luc Gerber")</f>
        <v>Jean-Luc Gerber</v>
      </c>
      <c r="B9999" s="17" t="str">
        <f>HYPERLINK("https://otsuka-europe-crm.veevavault.com/ui/#object/vcountry__v/VENZ000004SONFN", "CH")</f>
        <v>CH</v>
      </c>
      <c r="C9999" s="20" t="s">
        <v>45</v>
      </c>
      <c r="D9999" s="21" t="str">
        <f>HYPERLINK("https://otsuka-europe-crm.veevavault.com/ui/#object/approved_document__v/V5O00000001L017", "ALL_Flexibilität_Ferienplanung_2026_AA_fr")</f>
        <v>ALL_Flexibilität_Ferienplanung_2026_AA_fr</v>
      </c>
      <c r="E9999" s="22" t="str">
        <f>HYPERLINK("https://otsuka-europe-crm.veevavault.com/ui/#object/sent_email__v/VBL00000002T373", "SE-001436200")</f>
        <v>SE-001436200</v>
      </c>
      <c r="F9999" s="25"/>
      <c r="G9999" s="24">
        <v>0</v>
      </c>
      <c r="H9999" s="24">
        <v>0</v>
      </c>
      <c r="I9999" s="24">
        <v>0</v>
      </c>
      <c r="J9999" s="25"/>
      <c r="K9999" s="24">
        <v>0</v>
      </c>
      <c r="L9999" s="22" t="str">
        <f>HYPERLINK("https://otsuka-europe-crm.veevavault.com/ui/#object/approved_document__v/V5O00000001L017", "ALL_Flexibilität_Ferienplanung_2026_AA_fr")</f>
        <v>ALL_Flexibilität_Ferienplanung_2026_AA_fr</v>
      </c>
      <c r="M9999" s="22" t="str">
        <f>HYPERLINK("mailto:yvergari@crm.otsuka-europe.com", "yvergari@crm.otsuka-europe.com")</f>
        <v>yvergari@crm.otsuka-europe.com</v>
      </c>
      <c r="N9999" s="23">
        <v>46188.590104166666</v>
      </c>
      <c r="O9999" s="14" t="str">
        <f>HYPERLINK("https://otsuka-europe-crm.veevavault.com/ui/#object/email_activity__v/V8C00000003U730", "EN-002096282")</f>
        <v>EN-002096282</v>
      </c>
    </row>
    <row r="10000" spans="1:15" ht="16" x14ac:dyDescent="0.2">
      <c r="A10000" s="19"/>
      <c r="B10000" s="19"/>
      <c r="C10000" s="19"/>
      <c r="D10000" s="19"/>
      <c r="E10000" s="19"/>
      <c r="F10000" s="19"/>
      <c r="G10000" s="19"/>
      <c r="H10000" s="19"/>
      <c r="I10000" s="19"/>
      <c r="J10000" s="19"/>
      <c r="K10000" s="19"/>
      <c r="L10000" s="19"/>
      <c r="M10000" s="19"/>
      <c r="N10000" s="19"/>
      <c r="O10000" s="14" t="str">
        <f>HYPERLINK("https://otsuka-europe-crm.veevavault.com/ui/#object/email_activity__v/V8C00000003W628", "EN-002098252")</f>
        <v>EN-002098252</v>
      </c>
    </row>
    <row r="10001" spans="1:15" ht="32" x14ac:dyDescent="0.2">
      <c r="A10001" s="7" t="str">
        <f>HYPERLINK("https://otsuka-europe-crm.veevavault.com/ui/#object/account__v/V4TZ06G6O9VFC1I", "Albena Ivanova")</f>
        <v>Albena Ivanova</v>
      </c>
      <c r="B10001" s="7" t="str">
        <f>HYPERLINK("https://otsuka-europe-crm.veevavault.com/ui/#object/vcountry__v/VENZ000004SONFN", "CH")</f>
        <v>CH</v>
      </c>
      <c r="C10001" s="8" t="s">
        <v>45</v>
      </c>
      <c r="D10001" s="9" t="str">
        <f>HYPERLINK("https://otsuka-europe-crm.veevavault.com/ui/#object/approved_document__v/V5O00000001L017", "ALL_Flexibilität_Ferienplanung_2026_AA_fr")</f>
        <v>ALL_Flexibilität_Ferienplanung_2026_AA_fr</v>
      </c>
      <c r="E10001" s="10" t="str">
        <f>HYPERLINK("https://otsuka-europe-crm.veevavault.com/ui/#object/sent_email__v/VBL00000002T374", "SE-001436201")</f>
        <v>SE-001436201</v>
      </c>
      <c r="F10001" s="11"/>
      <c r="G10001" s="12">
        <v>0</v>
      </c>
      <c r="H10001" s="12">
        <v>0</v>
      </c>
      <c r="I10001" s="12">
        <v>0</v>
      </c>
      <c r="J10001" s="11"/>
      <c r="K10001" s="12">
        <v>0</v>
      </c>
      <c r="L10001" s="10" t="str">
        <f>HYPERLINK("https://otsuka-europe-crm.veevavault.com/ui/#object/approved_document__v/V5O00000001L017", "ALL_Flexibilität_Ferienplanung_2026_AA_fr")</f>
        <v>ALL_Flexibilität_Ferienplanung_2026_AA_fr</v>
      </c>
      <c r="M10001" s="10" t="str">
        <f>HYPERLINK("mailto:yvergari@crm.otsuka-europe.com", "yvergari@crm.otsuka-europe.com")</f>
        <v>yvergari@crm.otsuka-europe.com</v>
      </c>
      <c r="N10001" s="13">
        <v>46188.590104166666</v>
      </c>
      <c r="O10001" s="14" t="str">
        <f>HYPERLINK("https://otsuka-europe-crm.veevavault.com/ui/#object/email_activity__v/V8C00000003U717", "EN-002096269")</f>
        <v>EN-002096269</v>
      </c>
    </row>
    <row r="10002" spans="1:15" ht="32" x14ac:dyDescent="0.2">
      <c r="A10002" s="7" t="str">
        <f>HYPERLINK("https://otsuka-europe-crm.veevavault.com/ui/#object/account__v/V4TZ04ASGGA30P2", "Meriem Jeoual")</f>
        <v>Meriem Jeoual</v>
      </c>
      <c r="B10002" s="7" t="str">
        <f>HYPERLINK("https://otsuka-europe-crm.veevavault.com/ui/#object/vcountry__v/VENZ000004SONFN", "CH")</f>
        <v>CH</v>
      </c>
      <c r="C10002" s="8" t="s">
        <v>45</v>
      </c>
      <c r="D10002" s="9" t="str">
        <f>HYPERLINK("https://otsuka-europe-crm.veevavault.com/ui/#object/approved_document__v/V5O00000001L017", "ALL_Flexibilität_Ferienplanung_2026_AA_fr")</f>
        <v>ALL_Flexibilität_Ferienplanung_2026_AA_fr</v>
      </c>
      <c r="E10002" s="10" t="str">
        <f>HYPERLINK("https://otsuka-europe-crm.veevavault.com/ui/#object/sent_email__v/VBL00000002T375", "SE-001436202")</f>
        <v>SE-001436202</v>
      </c>
      <c r="F10002" s="11"/>
      <c r="G10002" s="12">
        <v>0</v>
      </c>
      <c r="H10002" s="12">
        <v>0</v>
      </c>
      <c r="I10002" s="12">
        <v>0</v>
      </c>
      <c r="J10002" s="11"/>
      <c r="K10002" s="12">
        <v>0</v>
      </c>
      <c r="L10002" s="10" t="str">
        <f>HYPERLINK("https://otsuka-europe-crm.veevavault.com/ui/#object/approved_document__v/V5O00000001L017", "ALL_Flexibilität_Ferienplanung_2026_AA_fr")</f>
        <v>ALL_Flexibilität_Ferienplanung_2026_AA_fr</v>
      </c>
      <c r="M10002" s="10" t="str">
        <f>HYPERLINK("mailto:yvergari@crm.otsuka-europe.com", "yvergari@crm.otsuka-europe.com")</f>
        <v>yvergari@crm.otsuka-europe.com</v>
      </c>
      <c r="N10002" s="13">
        <v>46188.590104166666</v>
      </c>
      <c r="O10002" s="14" t="str">
        <f>HYPERLINK("https://otsuka-europe-crm.veevavault.com/ui/#object/email_activity__v/V8C00000003U728", "EN-002096280")</f>
        <v>EN-002096280</v>
      </c>
    </row>
    <row r="10003" spans="1:15" ht="32" x14ac:dyDescent="0.2">
      <c r="A10003" s="7" t="str">
        <f>HYPERLINK("https://otsuka-europe-crm.veevavault.com/ui/#object/account__v/V4TZ04ASGBUD5Q0", "Lauriane Giraudier")</f>
        <v>Lauriane Giraudier</v>
      </c>
      <c r="B10003" s="7" t="str">
        <f>HYPERLINK("https://otsuka-europe-crm.veevavault.com/ui/#object/vcountry__v/VENZ000004SONFN", "CH")</f>
        <v>CH</v>
      </c>
      <c r="C10003" s="8" t="s">
        <v>45</v>
      </c>
      <c r="D10003" s="9" t="str">
        <f>HYPERLINK("https://otsuka-europe-crm.veevavault.com/ui/#object/approved_document__v/V5O00000001L017", "ALL_Flexibilität_Ferienplanung_2026_AA_fr")</f>
        <v>ALL_Flexibilität_Ferienplanung_2026_AA_fr</v>
      </c>
      <c r="E10003" s="10" t="str">
        <f>HYPERLINK("https://otsuka-europe-crm.veevavault.com/ui/#object/sent_email__v/VBL00000002T376", "SE-001436203")</f>
        <v>SE-001436203</v>
      </c>
      <c r="F10003" s="11"/>
      <c r="G10003" s="12">
        <v>0</v>
      </c>
      <c r="H10003" s="12">
        <v>0</v>
      </c>
      <c r="I10003" s="12">
        <v>0</v>
      </c>
      <c r="J10003" s="11"/>
      <c r="K10003" s="12">
        <v>0</v>
      </c>
      <c r="L10003" s="10" t="str">
        <f>HYPERLINK("https://otsuka-europe-crm.veevavault.com/ui/#object/approved_document__v/V5O00000001L017", "ALL_Flexibilität_Ferienplanung_2026_AA_fr")</f>
        <v>ALL_Flexibilität_Ferienplanung_2026_AA_fr</v>
      </c>
      <c r="M10003" s="10" t="str">
        <f>HYPERLINK("mailto:yvergari@crm.otsuka-europe.com", "yvergari@crm.otsuka-europe.com")</f>
        <v>yvergari@crm.otsuka-europe.com</v>
      </c>
      <c r="N10003" s="13">
        <v>46188.590104166666</v>
      </c>
      <c r="O10003" s="14" t="str">
        <f>HYPERLINK("https://otsuka-europe-crm.veevavault.com/ui/#object/email_activity__v/V8C00000003U713", "EN-002096265")</f>
        <v>EN-002096265</v>
      </c>
    </row>
    <row r="10004" spans="1:15" ht="32" x14ac:dyDescent="0.2">
      <c r="A10004" s="7" t="str">
        <f>HYPERLINK("https://otsuka-europe-crm.veevavault.com/ui/#object/account__v/V4TZ025E87ZONPL", "Daniel Ferreiro Couto")</f>
        <v>Daniel Ferreiro Couto</v>
      </c>
      <c r="B10004" s="7" t="str">
        <f>HYPERLINK("https://otsuka-europe-crm.veevavault.com/ui/#object/vcountry__v/VENZ000004SONFN", "CH")</f>
        <v>CH</v>
      </c>
      <c r="C10004" s="8" t="s">
        <v>45</v>
      </c>
      <c r="D10004" s="9" t="str">
        <f>HYPERLINK("https://otsuka-europe-crm.veevavault.com/ui/#object/approved_document__v/V5O00000001L017", "ALL_Flexibilität_Ferienplanung_2026_AA_fr")</f>
        <v>ALL_Flexibilität_Ferienplanung_2026_AA_fr</v>
      </c>
      <c r="E10004" s="10" t="str">
        <f>HYPERLINK("https://otsuka-europe-crm.veevavault.com/ui/#object/sent_email__v/VBL00000002T377", "SE-001436204")</f>
        <v>SE-001436204</v>
      </c>
      <c r="F10004" s="11"/>
      <c r="G10004" s="12">
        <v>0</v>
      </c>
      <c r="H10004" s="12">
        <v>0</v>
      </c>
      <c r="I10004" s="12">
        <v>0</v>
      </c>
      <c r="J10004" s="11"/>
      <c r="K10004" s="12">
        <v>0</v>
      </c>
      <c r="L10004" s="10" t="str">
        <f>HYPERLINK("https://otsuka-europe-crm.veevavault.com/ui/#object/approved_document__v/V5O00000001L017", "ALL_Flexibilität_Ferienplanung_2026_AA_fr")</f>
        <v>ALL_Flexibilität_Ferienplanung_2026_AA_fr</v>
      </c>
      <c r="M10004" s="10" t="str">
        <f>HYPERLINK("mailto:yvergari@crm.otsuka-europe.com", "yvergari@crm.otsuka-europe.com")</f>
        <v>yvergari@crm.otsuka-europe.com</v>
      </c>
      <c r="N10004" s="13">
        <v>46188.590104166666</v>
      </c>
      <c r="O10004" s="14" t="str">
        <f>HYPERLINK("https://otsuka-europe-crm.veevavault.com/ui/#object/email_activity__v/V8C00000003V740", "EN-002096295")</f>
        <v>EN-002096295</v>
      </c>
    </row>
    <row r="10005" spans="1:15" ht="16" x14ac:dyDescent="0.2">
      <c r="A10005" s="17" t="str">
        <f>HYPERLINK("https://otsuka-europe-crm.veevavault.com/ui/#object/account__v/V4TZ025E85QVRC1", "Jacqueline Juffa Köstenbaum")</f>
        <v>Jacqueline Juffa Köstenbaum</v>
      </c>
      <c r="B10005" s="17" t="str">
        <f>HYPERLINK("https://otsuka-europe-crm.veevavault.com/ui/#object/vcountry__v/VENZ000004SONFN", "CH")</f>
        <v>CH</v>
      </c>
      <c r="C10005" s="20" t="s">
        <v>45</v>
      </c>
      <c r="D10005" s="21" t="str">
        <f>HYPERLINK("https://otsuka-europe-crm.veevavault.com/ui/#object/approved_document__v/V5O00000001L017", "ALL_Flexibilität_Ferienplanung_2026_AA_fr")</f>
        <v>ALL_Flexibilität_Ferienplanung_2026_AA_fr</v>
      </c>
      <c r="E10005" s="22" t="str">
        <f>HYPERLINK("https://otsuka-europe-crm.veevavault.com/ui/#object/sent_email__v/VBL00000002T378", "SE-001436205")</f>
        <v>SE-001436205</v>
      </c>
      <c r="F10005" s="25"/>
      <c r="G10005" s="24">
        <v>0</v>
      </c>
      <c r="H10005" s="24">
        <v>0</v>
      </c>
      <c r="I10005" s="24">
        <v>0</v>
      </c>
      <c r="J10005" s="25"/>
      <c r="K10005" s="24">
        <v>0</v>
      </c>
      <c r="L10005" s="22" t="str">
        <f>HYPERLINK("https://otsuka-europe-crm.veevavault.com/ui/#object/approved_document__v/V5O00000001L017", "ALL_Flexibilität_Ferienplanung_2026_AA_fr")</f>
        <v>ALL_Flexibilität_Ferienplanung_2026_AA_fr</v>
      </c>
      <c r="M10005" s="22" t="str">
        <f>HYPERLINK("mailto:yvergari@crm.otsuka-europe.com", "yvergari@crm.otsuka-europe.com")</f>
        <v>yvergari@crm.otsuka-europe.com</v>
      </c>
      <c r="N10005" s="23">
        <v>46188.590104166666</v>
      </c>
      <c r="O10005" s="14" t="str">
        <f>HYPERLINK("https://otsuka-europe-crm.veevavault.com/ui/#object/email_activity__v/V8C00000003V733", "EN-002096254")</f>
        <v>EN-002096254</v>
      </c>
    </row>
    <row r="10006" spans="1:15" ht="16" x14ac:dyDescent="0.2">
      <c r="A10006" s="18"/>
      <c r="B10006" s="18"/>
      <c r="C10006" s="18"/>
      <c r="D10006" s="18"/>
      <c r="E10006" s="18"/>
      <c r="F10006" s="18"/>
      <c r="G10006" s="18"/>
      <c r="H10006" s="18"/>
      <c r="I10006" s="18"/>
      <c r="J10006" s="18"/>
      <c r="K10006" s="18"/>
      <c r="L10006" s="18"/>
      <c r="M10006" s="18"/>
      <c r="N10006" s="18"/>
      <c r="O10006" s="14" t="str">
        <f>HYPERLINK("https://otsuka-europe-crm.veevavault.com/ui/#object/email_activity__v/V8C00000003V755", "EN-002096320")</f>
        <v>EN-002096320</v>
      </c>
    </row>
    <row r="10007" spans="1:15" ht="16" x14ac:dyDescent="0.2">
      <c r="A10007" s="19"/>
      <c r="B10007" s="19"/>
      <c r="C10007" s="19"/>
      <c r="D10007" s="19"/>
      <c r="E10007" s="19"/>
      <c r="F10007" s="19"/>
      <c r="G10007" s="19"/>
      <c r="H10007" s="19"/>
      <c r="I10007" s="19"/>
      <c r="J10007" s="19"/>
      <c r="K10007" s="19"/>
      <c r="L10007" s="19"/>
      <c r="M10007" s="19"/>
      <c r="N10007" s="19"/>
      <c r="O10007" s="14" t="str">
        <f>HYPERLINK("https://otsuka-europe-crm.veevavault.com/ui/#object/email_activity__v/V8C00000003V827", "EN-002096392")</f>
        <v>EN-002096392</v>
      </c>
    </row>
    <row r="10008" spans="1:15" ht="16" x14ac:dyDescent="0.2">
      <c r="A10008" s="17" t="str">
        <f>HYPERLINK("https://otsuka-europe-crm.veevavault.com/ui/#object/account__v/V4TZ06G6O71TFGT", "Anne-Marie Ioset")</f>
        <v>Anne-Marie Ioset</v>
      </c>
      <c r="B10008" s="17" t="str">
        <f>HYPERLINK("https://otsuka-europe-crm.veevavault.com/ui/#object/vcountry__v/VENZ000004SONFN", "CH")</f>
        <v>CH</v>
      </c>
      <c r="C10008" s="20" t="s">
        <v>45</v>
      </c>
      <c r="D10008" s="21" t="str">
        <f>HYPERLINK("https://otsuka-europe-crm.veevavault.com/ui/#object/approved_document__v/V5O00000001L017", "ALL_Flexibilität_Ferienplanung_2026_AA_fr")</f>
        <v>ALL_Flexibilität_Ferienplanung_2026_AA_fr</v>
      </c>
      <c r="E10008" s="22" t="str">
        <f>HYPERLINK("https://otsuka-europe-crm.veevavault.com/ui/#object/sent_email__v/VBL00000002T379", "SE-001436206")</f>
        <v>SE-001436206</v>
      </c>
      <c r="F10008" s="23">
        <v>46189.306608796294</v>
      </c>
      <c r="G10008" s="24">
        <v>1</v>
      </c>
      <c r="H10008" s="24">
        <v>1</v>
      </c>
      <c r="I10008" s="24">
        <v>0</v>
      </c>
      <c r="J10008" s="25"/>
      <c r="K10008" s="24">
        <v>0</v>
      </c>
      <c r="L10008" s="22" t="str">
        <f>HYPERLINK("https://otsuka-europe-crm.veevavault.com/ui/#object/approved_document__v/V5O00000001L017", "ALL_Flexibilität_Ferienplanung_2026_AA_fr")</f>
        <v>ALL_Flexibilität_Ferienplanung_2026_AA_fr</v>
      </c>
      <c r="M10008" s="22" t="str">
        <f>HYPERLINK("mailto:yvergari@crm.otsuka-europe.com", "yvergari@crm.otsuka-europe.com")</f>
        <v>yvergari@crm.otsuka-europe.com</v>
      </c>
      <c r="N10008" s="23">
        <v>46188.590104166666</v>
      </c>
      <c r="O10008" s="14" t="str">
        <f>HYPERLINK("https://otsuka-europe-crm.veevavault.com/ui/#object/email_activity__v/V8C00000003V739", "EN-002096287")</f>
        <v>EN-002096287</v>
      </c>
    </row>
    <row r="10009" spans="1:15" ht="16" x14ac:dyDescent="0.2">
      <c r="A10009" s="19"/>
      <c r="B10009" s="19"/>
      <c r="C10009" s="19"/>
      <c r="D10009" s="19"/>
      <c r="E10009" s="19"/>
      <c r="F10009" s="19"/>
      <c r="G10009" s="19"/>
      <c r="H10009" s="19"/>
      <c r="I10009" s="19"/>
      <c r="J10009" s="19"/>
      <c r="K10009" s="19"/>
      <c r="L10009" s="19"/>
      <c r="M10009" s="19"/>
      <c r="N10009" s="19"/>
      <c r="O10009" s="14" t="str">
        <f>HYPERLINK("https://otsuka-europe-crm.veevavault.com/ui/#object/email_activity__v/V8C00000003W136", "EN-002096906")</f>
        <v>EN-002096906</v>
      </c>
    </row>
    <row r="10010" spans="1:15" ht="32" x14ac:dyDescent="0.2">
      <c r="A10010" s="7" t="str">
        <f>HYPERLINK("https://otsuka-europe-crm.veevavault.com/ui/#object/account__v/V4TZ06G6O9C24P4", "Amel Ghenaiet")</f>
        <v>Amel Ghenaiet</v>
      </c>
      <c r="B10010" s="7" t="str">
        <f t="shared" ref="B10010:B10015" si="750">HYPERLINK("https://otsuka-europe-crm.veevavault.com/ui/#object/vcountry__v/VENZ000004SONFN", "CH")</f>
        <v>CH</v>
      </c>
      <c r="C10010" s="8" t="s">
        <v>45</v>
      </c>
      <c r="D10010" s="9" t="str">
        <f t="shared" ref="D10010:D10015" si="751">HYPERLINK("https://otsuka-europe-crm.veevavault.com/ui/#object/approved_document__v/V5O00000001L017", "ALL_Flexibilität_Ferienplanung_2026_AA_fr")</f>
        <v>ALL_Flexibilität_Ferienplanung_2026_AA_fr</v>
      </c>
      <c r="E10010" s="10" t="str">
        <f>HYPERLINK("https://otsuka-europe-crm.veevavault.com/ui/#object/sent_email__v/VBL00000002T380", "SE-001436207")</f>
        <v>SE-001436207</v>
      </c>
      <c r="F10010" s="11"/>
      <c r="G10010" s="12">
        <v>0</v>
      </c>
      <c r="H10010" s="12">
        <v>0</v>
      </c>
      <c r="I10010" s="12">
        <v>0</v>
      </c>
      <c r="J10010" s="11"/>
      <c r="K10010" s="12">
        <v>0</v>
      </c>
      <c r="L10010" s="10" t="str">
        <f t="shared" ref="L10010:L10015" si="752">HYPERLINK("https://otsuka-europe-crm.veevavault.com/ui/#object/approved_document__v/V5O00000001L017", "ALL_Flexibilität_Ferienplanung_2026_AA_fr")</f>
        <v>ALL_Flexibilität_Ferienplanung_2026_AA_fr</v>
      </c>
      <c r="M10010" s="10" t="str">
        <f t="shared" ref="M10010:M10015" si="753">HYPERLINK("mailto:yvergari@crm.otsuka-europe.com", "yvergari@crm.otsuka-europe.com")</f>
        <v>yvergari@crm.otsuka-europe.com</v>
      </c>
      <c r="N10010" s="13">
        <v>46188.590104166666</v>
      </c>
      <c r="O10010" s="14" t="str">
        <f>HYPERLINK("https://otsuka-europe-crm.veevavault.com/ui/#object/email_activity__v/V8C00000003U734", "EN-002096286")</f>
        <v>EN-002096286</v>
      </c>
    </row>
    <row r="10011" spans="1:15" ht="32" x14ac:dyDescent="0.2">
      <c r="A10011" s="7" t="str">
        <f>HYPERLINK("https://otsuka-europe-crm.veevavault.com/ui/#object/account__v/V4TZ06G6O8S4339", "François Maxime Foatelli")</f>
        <v>François Maxime Foatelli</v>
      </c>
      <c r="B10011" s="7" t="str">
        <f t="shared" si="750"/>
        <v>CH</v>
      </c>
      <c r="C10011" s="8" t="s">
        <v>45</v>
      </c>
      <c r="D10011" s="9" t="str">
        <f t="shared" si="751"/>
        <v>ALL_Flexibilität_Ferienplanung_2026_AA_fr</v>
      </c>
      <c r="E10011" s="10" t="str">
        <f>HYPERLINK("https://otsuka-europe-crm.veevavault.com/ui/#object/sent_email__v/VBL00000002T381", "SE-001436208")</f>
        <v>SE-001436208</v>
      </c>
      <c r="F10011" s="11"/>
      <c r="G10011" s="12">
        <v>0</v>
      </c>
      <c r="H10011" s="12">
        <v>0</v>
      </c>
      <c r="I10011" s="12">
        <v>0</v>
      </c>
      <c r="J10011" s="11"/>
      <c r="K10011" s="12">
        <v>0</v>
      </c>
      <c r="L10011" s="10" t="str">
        <f t="shared" si="752"/>
        <v>ALL_Flexibilität_Ferienplanung_2026_AA_fr</v>
      </c>
      <c r="M10011" s="10" t="str">
        <f t="shared" si="753"/>
        <v>yvergari@crm.otsuka-europe.com</v>
      </c>
      <c r="N10011" s="13">
        <v>46188.590104166666</v>
      </c>
      <c r="O10011" s="14" t="str">
        <f>HYPERLINK("https://otsuka-europe-crm.veevavault.com/ui/#object/email_activity__v/V8C00000003V734", "EN-002096255")</f>
        <v>EN-002096255</v>
      </c>
    </row>
    <row r="10012" spans="1:15" ht="32" x14ac:dyDescent="0.2">
      <c r="A10012" s="7" t="str">
        <f>HYPERLINK("https://otsuka-europe-crm.veevavault.com/ui/#object/account__v/V4TZ0000062R7QG", "Umberto Giardini")</f>
        <v>Umberto Giardini</v>
      </c>
      <c r="B10012" s="7" t="str">
        <f t="shared" si="750"/>
        <v>CH</v>
      </c>
      <c r="C10012" s="8" t="s">
        <v>45</v>
      </c>
      <c r="D10012" s="9" t="str">
        <f t="shared" si="751"/>
        <v>ALL_Flexibilität_Ferienplanung_2026_AA_fr</v>
      </c>
      <c r="E10012" s="10" t="str">
        <f>HYPERLINK("https://otsuka-europe-crm.veevavault.com/ui/#object/sent_email__v/VBL00000002T382", "SE-001436209")</f>
        <v>SE-001436209</v>
      </c>
      <c r="F10012" s="11"/>
      <c r="G10012" s="12">
        <v>0</v>
      </c>
      <c r="H10012" s="12">
        <v>0</v>
      </c>
      <c r="I10012" s="12">
        <v>0</v>
      </c>
      <c r="J10012" s="11"/>
      <c r="K10012" s="12">
        <v>0</v>
      </c>
      <c r="L10012" s="10" t="str">
        <f t="shared" si="752"/>
        <v>ALL_Flexibilität_Ferienplanung_2026_AA_fr</v>
      </c>
      <c r="M10012" s="10" t="str">
        <f t="shared" si="753"/>
        <v>yvergari@crm.otsuka-europe.com</v>
      </c>
      <c r="N10012" s="13">
        <v>46188.590104166666</v>
      </c>
      <c r="O10012" s="14" t="str">
        <f>HYPERLINK("https://otsuka-europe-crm.veevavault.com/ui/#object/email_activity__v/V8C00000003V742", "EN-002096297")</f>
        <v>EN-002096297</v>
      </c>
    </row>
    <row r="10013" spans="1:15" ht="32" x14ac:dyDescent="0.2">
      <c r="A10013" s="7" t="str">
        <f>HYPERLINK("https://otsuka-europe-crm.veevavault.com/ui/#object/account__v/V4TZ04ASG6ZQO5D", "Véronique Jeanneret Ramos")</f>
        <v>Véronique Jeanneret Ramos</v>
      </c>
      <c r="B10013" s="7" t="str">
        <f t="shared" si="750"/>
        <v>CH</v>
      </c>
      <c r="C10013" s="8" t="s">
        <v>45</v>
      </c>
      <c r="D10013" s="9" t="str">
        <f t="shared" si="751"/>
        <v>ALL_Flexibilität_Ferienplanung_2026_AA_fr</v>
      </c>
      <c r="E10013" s="10" t="str">
        <f>HYPERLINK("https://otsuka-europe-crm.veevavault.com/ui/#object/sent_email__v/VBL00000002T383", "SE-001436210")</f>
        <v>SE-001436210</v>
      </c>
      <c r="F10013" s="11"/>
      <c r="G10013" s="12">
        <v>0</v>
      </c>
      <c r="H10013" s="12">
        <v>0</v>
      </c>
      <c r="I10013" s="12">
        <v>0</v>
      </c>
      <c r="J10013" s="11"/>
      <c r="K10013" s="12">
        <v>0</v>
      </c>
      <c r="L10013" s="10" t="str">
        <f t="shared" si="752"/>
        <v>ALL_Flexibilität_Ferienplanung_2026_AA_fr</v>
      </c>
      <c r="M10013" s="10" t="str">
        <f t="shared" si="753"/>
        <v>yvergari@crm.otsuka-europe.com</v>
      </c>
      <c r="N10013" s="13">
        <v>46188.590104166666</v>
      </c>
      <c r="O10013" s="14" t="str">
        <f>HYPERLINK("https://otsuka-europe-crm.veevavault.com/ui/#object/email_activity__v/V8C00000003U742", "EN-002096300")</f>
        <v>EN-002096300</v>
      </c>
    </row>
    <row r="10014" spans="1:15" ht="32" x14ac:dyDescent="0.2">
      <c r="A10014" s="7" t="str">
        <f>HYPERLINK("https://otsuka-europe-crm.veevavault.com/ui/#object/account__v/V4TZ06G6OBI6FVE", "Maria de los Angeles Guerrero Bratschi")</f>
        <v>Maria de los Angeles Guerrero Bratschi</v>
      </c>
      <c r="B10014" s="7" t="str">
        <f t="shared" si="750"/>
        <v>CH</v>
      </c>
      <c r="C10014" s="8" t="s">
        <v>45</v>
      </c>
      <c r="D10014" s="9" t="str">
        <f t="shared" si="751"/>
        <v>ALL_Flexibilität_Ferienplanung_2026_AA_fr</v>
      </c>
      <c r="E10014" s="10" t="str">
        <f>HYPERLINK("https://otsuka-europe-crm.veevavault.com/ui/#object/sent_email__v/VBL00000002T384", "SE-001436211")</f>
        <v>SE-001436211</v>
      </c>
      <c r="F10014" s="11"/>
      <c r="G10014" s="12">
        <v>0</v>
      </c>
      <c r="H10014" s="12">
        <v>0</v>
      </c>
      <c r="I10014" s="12">
        <v>0</v>
      </c>
      <c r="J10014" s="11"/>
      <c r="K10014" s="12">
        <v>0</v>
      </c>
      <c r="L10014" s="10" t="str">
        <f t="shared" si="752"/>
        <v>ALL_Flexibilität_Ferienplanung_2026_AA_fr</v>
      </c>
      <c r="M10014" s="10" t="str">
        <f t="shared" si="753"/>
        <v>yvergari@crm.otsuka-europe.com</v>
      </c>
      <c r="N10014" s="13">
        <v>46188.590104166666</v>
      </c>
      <c r="O10014" s="14" t="str">
        <f>HYPERLINK("https://otsuka-europe-crm.veevavault.com/ui/#object/email_activity__v/V8C00000003U714", "EN-002096266")</f>
        <v>EN-002096266</v>
      </c>
    </row>
    <row r="10015" spans="1:15" ht="16" x14ac:dyDescent="0.2">
      <c r="A10015" s="17" t="str">
        <f>HYPERLINK("https://otsuka-europe-crm.veevavault.com/ui/#object/account__v/V4TZ06G6O8TN4G7", "Samia Hamadene")</f>
        <v>Samia Hamadene</v>
      </c>
      <c r="B10015" s="17" t="str">
        <f t="shared" si="750"/>
        <v>CH</v>
      </c>
      <c r="C10015" s="20" t="s">
        <v>45</v>
      </c>
      <c r="D10015" s="21" t="str">
        <f t="shared" si="751"/>
        <v>ALL_Flexibilität_Ferienplanung_2026_AA_fr</v>
      </c>
      <c r="E10015" s="22" t="str">
        <f>HYPERLINK("https://otsuka-europe-crm.veevavault.com/ui/#object/sent_email__v/VBL00000002T385", "SE-001436212")</f>
        <v>SE-001436212</v>
      </c>
      <c r="F10015" s="23">
        <v>46188.590451388889</v>
      </c>
      <c r="G10015" s="24">
        <v>1</v>
      </c>
      <c r="H10015" s="24">
        <v>2</v>
      </c>
      <c r="I10015" s="24">
        <v>0</v>
      </c>
      <c r="J10015" s="25"/>
      <c r="K10015" s="24">
        <v>0</v>
      </c>
      <c r="L10015" s="22" t="str">
        <f t="shared" si="752"/>
        <v>ALL_Flexibilität_Ferienplanung_2026_AA_fr</v>
      </c>
      <c r="M10015" s="22" t="str">
        <f t="shared" si="753"/>
        <v>yvergari@crm.otsuka-europe.com</v>
      </c>
      <c r="N10015" s="23">
        <v>46188.590104166666</v>
      </c>
      <c r="O10015" s="14" t="str">
        <f>HYPERLINK("https://otsuka-europe-crm.veevavault.com/ui/#object/email_activity__v/V8C00000003U716", "EN-002096268")</f>
        <v>EN-002096268</v>
      </c>
    </row>
    <row r="10016" spans="1:15" ht="16" x14ac:dyDescent="0.2">
      <c r="A10016" s="18"/>
      <c r="B10016" s="18"/>
      <c r="C10016" s="18"/>
      <c r="D10016" s="18"/>
      <c r="E10016" s="18"/>
      <c r="F10016" s="18"/>
      <c r="G10016" s="18"/>
      <c r="H10016" s="18"/>
      <c r="I10016" s="18"/>
      <c r="J10016" s="18"/>
      <c r="K10016" s="18"/>
      <c r="L10016" s="18"/>
      <c r="M10016" s="18"/>
      <c r="N10016" s="18"/>
      <c r="O10016" s="14" t="str">
        <f>HYPERLINK("https://otsuka-europe-crm.veevavault.com/ui/#object/email_activity__v/V8C00000003U741", "EN-002096294")</f>
        <v>EN-002096294</v>
      </c>
    </row>
    <row r="10017" spans="1:15" ht="16" x14ac:dyDescent="0.2">
      <c r="A10017" s="19"/>
      <c r="B10017" s="19"/>
      <c r="C10017" s="19"/>
      <c r="D10017" s="19"/>
      <c r="E10017" s="19"/>
      <c r="F10017" s="19"/>
      <c r="G10017" s="19"/>
      <c r="H10017" s="19"/>
      <c r="I10017" s="19"/>
      <c r="J10017" s="19"/>
      <c r="K10017" s="19"/>
      <c r="L10017" s="19"/>
      <c r="M10017" s="19"/>
      <c r="N10017" s="19"/>
      <c r="O10017" s="14" t="str">
        <f>HYPERLINK("https://otsuka-europe-crm.veevavault.com/ui/#object/email_activity__v/V8C00000003V745", "EN-002096301")</f>
        <v>EN-002096301</v>
      </c>
    </row>
    <row r="10018" spans="1:15" ht="16" x14ac:dyDescent="0.2">
      <c r="A10018" s="17" t="str">
        <f>HYPERLINK("https://otsuka-europe-crm.veevavault.com/ui/#object/account__v/V4TZ0000062R5J3", "Ana-Maria Jeanmonod-Tirado")</f>
        <v>Ana-Maria Jeanmonod-Tirado</v>
      </c>
      <c r="B10018" s="17" t="str">
        <f>HYPERLINK("https://otsuka-europe-crm.veevavault.com/ui/#object/vcountry__v/VENZ000004SONFN", "CH")</f>
        <v>CH</v>
      </c>
      <c r="C10018" s="20" t="s">
        <v>45</v>
      </c>
      <c r="D10018" s="21" t="str">
        <f>HYPERLINK("https://otsuka-europe-crm.veevavault.com/ui/#object/approved_document__v/V5O00000001L017", "ALL_Flexibilität_Ferienplanung_2026_AA_fr")</f>
        <v>ALL_Flexibilität_Ferienplanung_2026_AA_fr</v>
      </c>
      <c r="E10018" s="22" t="str">
        <f>HYPERLINK("https://otsuka-europe-crm.veevavault.com/ui/#object/sent_email__v/VBL00000002T386", "SE-001436213")</f>
        <v>SE-001436213</v>
      </c>
      <c r="F10018" s="23">
        <v>46188.622939814813</v>
      </c>
      <c r="G10018" s="24">
        <v>1</v>
      </c>
      <c r="H10018" s="24">
        <v>1</v>
      </c>
      <c r="I10018" s="24">
        <v>0</v>
      </c>
      <c r="J10018" s="25"/>
      <c r="K10018" s="24">
        <v>0</v>
      </c>
      <c r="L10018" s="22" t="str">
        <f>HYPERLINK("https://otsuka-europe-crm.veevavault.com/ui/#object/approved_document__v/V5O00000001L017", "ALL_Flexibilität_Ferienplanung_2026_AA_fr")</f>
        <v>ALL_Flexibilität_Ferienplanung_2026_AA_fr</v>
      </c>
      <c r="M10018" s="22" t="str">
        <f>HYPERLINK("mailto:yvergari@crm.otsuka-europe.com", "yvergari@crm.otsuka-europe.com")</f>
        <v>yvergari@crm.otsuka-europe.com</v>
      </c>
      <c r="N10018" s="23">
        <v>46188.590104166666</v>
      </c>
      <c r="O10018" s="14" t="str">
        <f>HYPERLINK("https://otsuka-europe-crm.veevavault.com/ui/#object/email_activity__v/V8C00000003U721", "EN-002096273")</f>
        <v>EN-002096273</v>
      </c>
    </row>
    <row r="10019" spans="1:15" ht="16" x14ac:dyDescent="0.2">
      <c r="A10019" s="19"/>
      <c r="B10019" s="19"/>
      <c r="C10019" s="19"/>
      <c r="D10019" s="19"/>
      <c r="E10019" s="19"/>
      <c r="F10019" s="19"/>
      <c r="G10019" s="19"/>
      <c r="H10019" s="19"/>
      <c r="I10019" s="19"/>
      <c r="J10019" s="19"/>
      <c r="K10019" s="19"/>
      <c r="L10019" s="19"/>
      <c r="M10019" s="19"/>
      <c r="N10019" s="19"/>
      <c r="O10019" s="14" t="str">
        <f>HYPERLINK("https://otsuka-europe-crm.veevavault.com/ui/#object/email_activity__v/V8C00000003V837", "EN-002096407")</f>
        <v>EN-002096407</v>
      </c>
    </row>
    <row r="10020" spans="1:15" ht="32" x14ac:dyDescent="0.2">
      <c r="A10020" s="7" t="str">
        <f>HYPERLINK("https://otsuka-europe-crm.veevavault.com/ui/#object/account__v/V4TZ0000062R7AJ", "Bruno Gravier")</f>
        <v>Bruno Gravier</v>
      </c>
      <c r="B10020" s="7" t="str">
        <f>HYPERLINK("https://otsuka-europe-crm.veevavault.com/ui/#object/vcountry__v/VENZ000004SONFN", "CH")</f>
        <v>CH</v>
      </c>
      <c r="C10020" s="8" t="s">
        <v>45</v>
      </c>
      <c r="D10020" s="9" t="str">
        <f>HYPERLINK("https://otsuka-europe-crm.veevavault.com/ui/#object/approved_document__v/V5O00000001L017", "ALL_Flexibilität_Ferienplanung_2026_AA_fr")</f>
        <v>ALL_Flexibilität_Ferienplanung_2026_AA_fr</v>
      </c>
      <c r="E10020" s="10" t="str">
        <f>HYPERLINK("https://otsuka-europe-crm.veevavault.com/ui/#object/sent_email__v/VBL00000002T387", "SE-001436214")</f>
        <v>SE-001436214</v>
      </c>
      <c r="F10020" s="11"/>
      <c r="G10020" s="12">
        <v>0</v>
      </c>
      <c r="H10020" s="12">
        <v>0</v>
      </c>
      <c r="I10020" s="12">
        <v>0</v>
      </c>
      <c r="J10020" s="11"/>
      <c r="K10020" s="12">
        <v>0</v>
      </c>
      <c r="L10020" s="10" t="str">
        <f>HYPERLINK("https://otsuka-europe-crm.veevavault.com/ui/#object/approved_document__v/V5O00000001L017", "ALL_Flexibilität_Ferienplanung_2026_AA_fr")</f>
        <v>ALL_Flexibilität_Ferienplanung_2026_AA_fr</v>
      </c>
      <c r="M10020" s="10" t="str">
        <f>HYPERLINK("mailto:yvergari@crm.otsuka-europe.com", "yvergari@crm.otsuka-europe.com")</f>
        <v>yvergari@crm.otsuka-europe.com</v>
      </c>
      <c r="N10020" s="13">
        <v>46188.590092592596</v>
      </c>
      <c r="O10020" s="14" t="str">
        <f>HYPERLINK("https://otsuka-europe-crm.veevavault.com/ui/#object/email_activity__v/V8C00000003U735", "EN-002096288")</f>
        <v>EN-002096288</v>
      </c>
    </row>
    <row r="10021" spans="1:15" ht="32" x14ac:dyDescent="0.2">
      <c r="A10021" s="7" t="str">
        <f>HYPERLINK("https://otsuka-europe-crm.veevavault.com/ui/#object/account__v/V4TZ025E84680XJ", "Régis Honoré-Beaudoin")</f>
        <v>Régis Honoré-Beaudoin</v>
      </c>
      <c r="B10021" s="7" t="str">
        <f>HYPERLINK("https://otsuka-europe-crm.veevavault.com/ui/#object/vcountry__v/VENZ000004SONFN", "CH")</f>
        <v>CH</v>
      </c>
      <c r="C10021" s="8" t="s">
        <v>45</v>
      </c>
      <c r="D10021" s="9" t="str">
        <f>HYPERLINK("https://otsuka-europe-crm.veevavault.com/ui/#object/approved_document__v/V5O00000001L017", "ALL_Flexibilität_Ferienplanung_2026_AA_fr")</f>
        <v>ALL_Flexibilität_Ferienplanung_2026_AA_fr</v>
      </c>
      <c r="E10021" s="10" t="str">
        <f>HYPERLINK("https://otsuka-europe-crm.veevavault.com/ui/#object/sent_email__v/VBL00000002T388", "SE-001436215")</f>
        <v>SE-001436215</v>
      </c>
      <c r="F10021" s="11"/>
      <c r="G10021" s="12">
        <v>0</v>
      </c>
      <c r="H10021" s="12">
        <v>0</v>
      </c>
      <c r="I10021" s="12">
        <v>0</v>
      </c>
      <c r="J10021" s="11"/>
      <c r="K10021" s="12">
        <v>0</v>
      </c>
      <c r="L10021" s="10" t="str">
        <f>HYPERLINK("https://otsuka-europe-crm.veevavault.com/ui/#object/approved_document__v/V5O00000001L017", "ALL_Flexibilität_Ferienplanung_2026_AA_fr")</f>
        <v>ALL_Flexibilität_Ferienplanung_2026_AA_fr</v>
      </c>
      <c r="M10021" s="10" t="str">
        <f>HYPERLINK("mailto:yvergari@crm.otsuka-europe.com", "yvergari@crm.otsuka-europe.com")</f>
        <v>yvergari@crm.otsuka-europe.com</v>
      </c>
      <c r="N10021" s="13">
        <v>46188.590092592596</v>
      </c>
      <c r="O10021" s="14" t="str">
        <f>HYPERLINK("https://otsuka-europe-crm.veevavault.com/ui/#object/email_activity__v/V8C00000003V738", "EN-002096259")</f>
        <v>EN-002096259</v>
      </c>
    </row>
    <row r="10022" spans="1:15" ht="32" x14ac:dyDescent="0.2">
      <c r="A10022" s="7" t="str">
        <f>HYPERLINK("https://otsuka-europe-crm.veevavault.com/ui/#object/account__v/V4TZ06G6O9BUUQG", "Emilia Bianca Iossi")</f>
        <v>Emilia Bianca Iossi</v>
      </c>
      <c r="B10022" s="7" t="str">
        <f>HYPERLINK("https://otsuka-europe-crm.veevavault.com/ui/#object/vcountry__v/VENZ000004SONFN", "CH")</f>
        <v>CH</v>
      </c>
      <c r="C10022" s="8" t="s">
        <v>45</v>
      </c>
      <c r="D10022" s="9" t="str">
        <f>HYPERLINK("https://otsuka-europe-crm.veevavault.com/ui/#object/approved_document__v/V5O00000001L017", "ALL_Flexibilität_Ferienplanung_2026_AA_fr")</f>
        <v>ALL_Flexibilität_Ferienplanung_2026_AA_fr</v>
      </c>
      <c r="E10022" s="10" t="str">
        <f>HYPERLINK("https://otsuka-europe-crm.veevavault.com/ui/#object/sent_email__v/VBL00000002T389", "SE-001436216")</f>
        <v>SE-001436216</v>
      </c>
      <c r="F10022" s="11"/>
      <c r="G10022" s="12">
        <v>0</v>
      </c>
      <c r="H10022" s="12">
        <v>0</v>
      </c>
      <c r="I10022" s="12">
        <v>0</v>
      </c>
      <c r="J10022" s="11"/>
      <c r="K10022" s="12">
        <v>0</v>
      </c>
      <c r="L10022" s="10" t="str">
        <f>HYPERLINK("https://otsuka-europe-crm.veevavault.com/ui/#object/approved_document__v/V5O00000001L017", "ALL_Flexibilität_Ferienplanung_2026_AA_fr")</f>
        <v>ALL_Flexibilität_Ferienplanung_2026_AA_fr</v>
      </c>
      <c r="M10022" s="10" t="str">
        <f>HYPERLINK("mailto:yvergari@crm.otsuka-europe.com", "yvergari@crm.otsuka-europe.com")</f>
        <v>yvergari@crm.otsuka-europe.com</v>
      </c>
      <c r="N10022" s="13">
        <v>46188.590081018519</v>
      </c>
      <c r="O10022" s="14" t="str">
        <f>HYPERLINK("https://otsuka-europe-crm.veevavault.com/ui/#object/email_activity__v/V8C00000003U705", "EN-002096250")</f>
        <v>EN-002096250</v>
      </c>
    </row>
    <row r="10023" spans="1:15" ht="16" x14ac:dyDescent="0.2">
      <c r="A10023" s="17" t="str">
        <f>HYPERLINK("https://otsuka-europe-crm.veevavault.com/ui/#object/account__v/V4TZ0000062R7AR", "Daniela Grigore")</f>
        <v>Daniela Grigore</v>
      </c>
      <c r="B10023" s="17" t="str">
        <f>HYPERLINK("https://otsuka-europe-crm.veevavault.com/ui/#object/vcountry__v/VENZ000004SONFN", "CH")</f>
        <v>CH</v>
      </c>
      <c r="C10023" s="20" t="s">
        <v>45</v>
      </c>
      <c r="D10023" s="21" t="str">
        <f>HYPERLINK("https://otsuka-europe-crm.veevavault.com/ui/#object/approved_document__v/V5O00000001L017", "ALL_Flexibilität_Ferienplanung_2026_AA_fr")</f>
        <v>ALL_Flexibilität_Ferienplanung_2026_AA_fr</v>
      </c>
      <c r="E10023" s="22" t="str">
        <f>HYPERLINK("https://otsuka-europe-crm.veevavault.com/ui/#object/sent_email__v/VBL00000002T390", "SE-001436217")</f>
        <v>SE-001436217</v>
      </c>
      <c r="F10023" s="23">
        <v>46188.59065972222</v>
      </c>
      <c r="G10023" s="24">
        <v>1</v>
      </c>
      <c r="H10023" s="24">
        <v>2</v>
      </c>
      <c r="I10023" s="24">
        <v>0</v>
      </c>
      <c r="J10023" s="25"/>
      <c r="K10023" s="24">
        <v>0</v>
      </c>
      <c r="L10023" s="22" t="str">
        <f>HYPERLINK("https://otsuka-europe-crm.veevavault.com/ui/#object/approved_document__v/V5O00000001L017", "ALL_Flexibilität_Ferienplanung_2026_AA_fr")</f>
        <v>ALL_Flexibilität_Ferienplanung_2026_AA_fr</v>
      </c>
      <c r="M10023" s="22" t="str">
        <f>HYPERLINK("mailto:yvergari@crm.otsuka-europe.com", "yvergari@crm.otsuka-europe.com")</f>
        <v>yvergari@crm.otsuka-europe.com</v>
      </c>
      <c r="N10023" s="23">
        <v>46188.590104166666</v>
      </c>
      <c r="O10023" s="14" t="str">
        <f>HYPERLINK("https://otsuka-europe-crm.veevavault.com/ui/#object/email_activity__v/V8C00000003U707", "EN-002096252")</f>
        <v>EN-002096252</v>
      </c>
    </row>
    <row r="10024" spans="1:15" ht="16" x14ac:dyDescent="0.2">
      <c r="A10024" s="18"/>
      <c r="B10024" s="18"/>
      <c r="C10024" s="18"/>
      <c r="D10024" s="18"/>
      <c r="E10024" s="18"/>
      <c r="F10024" s="18"/>
      <c r="G10024" s="18"/>
      <c r="H10024" s="18"/>
      <c r="I10024" s="18"/>
      <c r="J10024" s="18"/>
      <c r="K10024" s="18"/>
      <c r="L10024" s="18"/>
      <c r="M10024" s="18"/>
      <c r="N10024" s="18"/>
      <c r="O10024" s="14" t="str">
        <f>HYPERLINK("https://otsuka-europe-crm.veevavault.com/ui/#object/email_activity__v/V8C00000003U744", "EN-002096303")</f>
        <v>EN-002096303</v>
      </c>
    </row>
    <row r="10025" spans="1:15" ht="16" x14ac:dyDescent="0.2">
      <c r="A10025" s="19"/>
      <c r="B10025" s="19"/>
      <c r="C10025" s="19"/>
      <c r="D10025" s="19"/>
      <c r="E10025" s="19"/>
      <c r="F10025" s="19"/>
      <c r="G10025" s="19"/>
      <c r="H10025" s="19"/>
      <c r="I10025" s="19"/>
      <c r="J10025" s="19"/>
      <c r="K10025" s="19"/>
      <c r="L10025" s="19"/>
      <c r="M10025" s="19"/>
      <c r="N10025" s="19"/>
      <c r="O10025" s="14" t="str">
        <f>HYPERLINK("https://otsuka-europe-crm.veevavault.com/ui/#object/email_activity__v/V8C00000003V744", "EN-002096299")</f>
        <v>EN-002096299</v>
      </c>
    </row>
    <row r="10026" spans="1:15" ht="16" x14ac:dyDescent="0.2">
      <c r="A10026" s="17" t="str">
        <f>HYPERLINK("https://otsuka-europe-crm.veevavault.com/ui/#object/account__v/V4TZ00000633YX6", "ALEKSANDRA MADEJSKA SOLTANI")</f>
        <v>ALEKSANDRA MADEJSKA SOLTANI</v>
      </c>
      <c r="B10026" s="17" t="str">
        <f>HYPERLINK("https://otsuka-europe-crm.veevavault.com/ui/#object/vcountry__v/VENZ000004SONFA", "FR")</f>
        <v>FR</v>
      </c>
      <c r="C10026" s="20" t="s">
        <v>42</v>
      </c>
      <c r="D10026" s="21" t="str">
        <f>HYPERLINK("https://otsuka-europe-crm.veevavault.com/ui/#object/approved_document__v/V5OZ04ASG4G02Y6", "INVITATION_VAD_2023")</f>
        <v>INVITATION_VAD_2023</v>
      </c>
      <c r="E10026" s="22" t="str">
        <f>HYPERLINK("https://otsuka-europe-crm.veevavault.com/ui/#object/sent_email__v/VBL00000002T391", "SE-001436218")</f>
        <v>SE-001436218</v>
      </c>
      <c r="F10026" s="23">
        <v>46189.318310185183</v>
      </c>
      <c r="G10026" s="24">
        <v>1</v>
      </c>
      <c r="H10026" s="24">
        <v>1</v>
      </c>
      <c r="I10026" s="24">
        <v>0</v>
      </c>
      <c r="J10026" s="25"/>
      <c r="K10026" s="24">
        <v>0</v>
      </c>
      <c r="L10026" s="22" t="str">
        <f>HYPERLINK("https://otsuka-europe-crm.veevavault.com/ui/#object/approved_document__v/V5OZ04ASG4G02Y6", "INVITATION_VAD_2023")</f>
        <v>INVITATION_VAD_2023</v>
      </c>
      <c r="M10026" s="22" t="str">
        <f>HYPERLINK("mailto:cchevalliermiserole@crm.otsuka-europe.com", "cchevalliermiserole@crm.otsuka-europe.com")</f>
        <v>cchevalliermiserole@crm.otsuka-europe.com</v>
      </c>
      <c r="N10026" s="23">
        <v>46188.593055555553</v>
      </c>
      <c r="O10026" s="14" t="str">
        <f>HYPERLINK("https://otsuka-europe-crm.veevavault.com/ui/#object/email_activity__v/V8C00000003V746", "EN-002096305")</f>
        <v>EN-002096305</v>
      </c>
    </row>
    <row r="10027" spans="1:15" ht="16" x14ac:dyDescent="0.2">
      <c r="A10027" s="19"/>
      <c r="B10027" s="19"/>
      <c r="C10027" s="19"/>
      <c r="D10027" s="19"/>
      <c r="E10027" s="19"/>
      <c r="F10027" s="19"/>
      <c r="G10027" s="19"/>
      <c r="H10027" s="19"/>
      <c r="I10027" s="19"/>
      <c r="J10027" s="19"/>
      <c r="K10027" s="19"/>
      <c r="L10027" s="19"/>
      <c r="M10027" s="19"/>
      <c r="N10027" s="19"/>
      <c r="O10027" s="14" t="str">
        <f>HYPERLINK("https://otsuka-europe-crm.veevavault.com/ui/#object/email_activity__v/V8C00000003W145", "EN-002096918")</f>
        <v>EN-002096918</v>
      </c>
    </row>
    <row r="10028" spans="1:15" ht="16" x14ac:dyDescent="0.2">
      <c r="A10028" s="17" t="str">
        <f>HYPERLINK("https://otsuka-europe-crm.veevavault.com/ui/#object/account__v/V4TZ00000633MLJ", "VALERIE BELVA")</f>
        <v>VALERIE BELVA</v>
      </c>
      <c r="B10028" s="17" t="str">
        <f>HYPERLINK("https://otsuka-europe-crm.veevavault.com/ui/#object/vcountry__v/VENZ000004SONFA", "FR")</f>
        <v>FR</v>
      </c>
      <c r="C10028" s="20" t="s">
        <v>42</v>
      </c>
      <c r="D10028" s="21" t="str">
        <f>HYPERLINK("https://otsuka-europe-crm.veevavault.com/ui/#object/approved_document__v/V5OZ04ASG4G02Y6", "INVITATION_VAD_2023")</f>
        <v>INVITATION_VAD_2023</v>
      </c>
      <c r="E10028" s="22" t="str">
        <f>HYPERLINK("https://otsuka-europe-crm.veevavault.com/ui/#object/sent_email__v/VBL00000002T392", "SE-001436219")</f>
        <v>SE-001436219</v>
      </c>
      <c r="F10028" s="23">
        <v>46188.720312500001</v>
      </c>
      <c r="G10028" s="24">
        <v>1</v>
      </c>
      <c r="H10028" s="24">
        <v>1</v>
      </c>
      <c r="I10028" s="24">
        <v>0</v>
      </c>
      <c r="J10028" s="25"/>
      <c r="K10028" s="24">
        <v>0</v>
      </c>
      <c r="L10028" s="22" t="str">
        <f>HYPERLINK("https://otsuka-europe-crm.veevavault.com/ui/#object/approved_document__v/V5OZ04ASG4G02Y6", "INVITATION_VAD_2023")</f>
        <v>INVITATION_VAD_2023</v>
      </c>
      <c r="M10028" s="22" t="str">
        <f>HYPERLINK("mailto:cchevalliermiserole@crm.otsuka-europe.com", "cchevalliermiserole@crm.otsuka-europe.com")</f>
        <v>cchevalliermiserole@crm.otsuka-europe.com</v>
      </c>
      <c r="N10028" s="23">
        <v>46188.593171296299</v>
      </c>
      <c r="O10028" s="14" t="str">
        <f>HYPERLINK("https://otsuka-europe-crm.veevavault.com/ui/#object/email_activity__v/V8C00000003V747", "EN-002096306")</f>
        <v>EN-002096306</v>
      </c>
    </row>
    <row r="10029" spans="1:15" ht="16" x14ac:dyDescent="0.2">
      <c r="A10029" s="19"/>
      <c r="B10029" s="19"/>
      <c r="C10029" s="19"/>
      <c r="D10029" s="19"/>
      <c r="E10029" s="19"/>
      <c r="F10029" s="19"/>
      <c r="G10029" s="19"/>
      <c r="H10029" s="19"/>
      <c r="I10029" s="19"/>
      <c r="J10029" s="19"/>
      <c r="K10029" s="19"/>
      <c r="L10029" s="19"/>
      <c r="M10029" s="19"/>
      <c r="N10029" s="19"/>
      <c r="O10029" s="14" t="str">
        <f>HYPERLINK("https://otsuka-europe-crm.veevavault.com/ui/#object/email_activity__v/V8C00000003V898", "EN-002096499")</f>
        <v>EN-002096499</v>
      </c>
    </row>
    <row r="10030" spans="1:15" ht="32" x14ac:dyDescent="0.2">
      <c r="A10030" s="7" t="str">
        <f>HYPERLINK("https://otsuka-europe-crm.veevavault.com/ui/#object/account__v/V4TZ000006345EP", "GENEVIEVE WOLFCARIUS")</f>
        <v>GENEVIEVE WOLFCARIUS</v>
      </c>
      <c r="B10030" s="7" t="str">
        <f>HYPERLINK("https://otsuka-europe-crm.veevavault.com/ui/#object/vcountry__v/VENZ000004SONFA", "FR")</f>
        <v>FR</v>
      </c>
      <c r="C10030" s="8" t="s">
        <v>42</v>
      </c>
      <c r="D10030" s="9" t="str">
        <f>HYPERLINK("https://otsuka-europe-crm.veevavault.com/ui/#object/approved_document__v/V5OZ04ASG4G02Y6", "INVITATION_VAD_2023")</f>
        <v>INVITATION_VAD_2023</v>
      </c>
      <c r="E10030" s="10" t="str">
        <f>HYPERLINK("https://otsuka-europe-crm.veevavault.com/ui/#object/sent_email__v/VBL00000002T393", "SE-001436220")</f>
        <v>SE-001436220</v>
      </c>
      <c r="F10030" s="11"/>
      <c r="G10030" s="12">
        <v>0</v>
      </c>
      <c r="H10030" s="12">
        <v>0</v>
      </c>
      <c r="I10030" s="12">
        <v>0</v>
      </c>
      <c r="J10030" s="11"/>
      <c r="K10030" s="12">
        <v>0</v>
      </c>
      <c r="L10030" s="10" t="str">
        <f>HYPERLINK("https://otsuka-europe-crm.veevavault.com/ui/#object/approved_document__v/V5OZ04ASG4G02Y6", "INVITATION_VAD_2023")</f>
        <v>INVITATION_VAD_2023</v>
      </c>
      <c r="M10030" s="10" t="str">
        <f>HYPERLINK("mailto:cchevalliermiserole@crm.otsuka-europe.com", "cchevalliermiserole@crm.otsuka-europe.com")</f>
        <v>cchevalliermiserole@crm.otsuka-europe.com</v>
      </c>
      <c r="N10030" s="13">
        <v>46188.593321759261</v>
      </c>
      <c r="O10030" s="14" t="str">
        <f>HYPERLINK("https://otsuka-europe-crm.veevavault.com/ui/#object/email_activity__v/V8C00000003V748", "EN-002096307")</f>
        <v>EN-002096307</v>
      </c>
    </row>
    <row r="10031" spans="1:15" ht="16" x14ac:dyDescent="0.2">
      <c r="A10031" s="17" t="str">
        <f>HYPERLINK("https://otsuka-europe-crm.veevavault.com/ui/#object/account__v/V4TZ00000633KVS", "ROBIN RYCKEBUSCH")</f>
        <v>ROBIN RYCKEBUSCH</v>
      </c>
      <c r="B10031" s="17" t="str">
        <f>HYPERLINK("https://otsuka-europe-crm.veevavault.com/ui/#object/vcountry__v/VENZ000004SONFA", "FR")</f>
        <v>FR</v>
      </c>
      <c r="C10031" s="20" t="s">
        <v>42</v>
      </c>
      <c r="D10031" s="21" t="str">
        <f>HYPERLINK("https://otsuka-europe-crm.veevavault.com/ui/#object/approved_document__v/V5OZ04ASG4G02Y6", "INVITATION_VAD_2023")</f>
        <v>INVITATION_VAD_2023</v>
      </c>
      <c r="E10031" s="22" t="str">
        <f>HYPERLINK("https://otsuka-europe-crm.veevavault.com/ui/#object/sent_email__v/VBL00000002T394", "SE-001436221")</f>
        <v>SE-001436221</v>
      </c>
      <c r="F10031" s="23">
        <v>46189.434305555558</v>
      </c>
      <c r="G10031" s="24">
        <v>1</v>
      </c>
      <c r="H10031" s="24">
        <v>3</v>
      </c>
      <c r="I10031" s="24">
        <v>0</v>
      </c>
      <c r="J10031" s="25"/>
      <c r="K10031" s="24">
        <v>0</v>
      </c>
      <c r="L10031" s="22" t="str">
        <f>HYPERLINK("https://otsuka-europe-crm.veevavault.com/ui/#object/approved_document__v/V5OZ04ASG4G02Y6", "INVITATION_VAD_2023")</f>
        <v>INVITATION_VAD_2023</v>
      </c>
      <c r="M10031" s="22" t="str">
        <f>HYPERLINK("mailto:cchevalliermiserole@crm.otsuka-europe.com", "cchevalliermiserole@crm.otsuka-europe.com")</f>
        <v>cchevalliermiserole@crm.otsuka-europe.com</v>
      </c>
      <c r="N10031" s="23">
        <v>46188.593611111108</v>
      </c>
      <c r="O10031" s="14" t="str">
        <f>HYPERLINK("https://otsuka-europe-crm.veevavault.com/ui/#object/email_activity__v/V8C00000003V749", "EN-002096308")</f>
        <v>EN-002096308</v>
      </c>
    </row>
    <row r="10032" spans="1:15" ht="16" x14ac:dyDescent="0.2">
      <c r="A10032" s="18"/>
      <c r="B10032" s="18"/>
      <c r="C10032" s="18"/>
      <c r="D10032" s="18"/>
      <c r="E10032" s="18"/>
      <c r="F10032" s="18"/>
      <c r="G10032" s="18"/>
      <c r="H10032" s="18"/>
      <c r="I10032" s="18"/>
      <c r="J10032" s="18"/>
      <c r="K10032" s="18"/>
      <c r="L10032" s="18"/>
      <c r="M10032" s="18"/>
      <c r="N10032" s="18"/>
      <c r="O10032" s="14" t="str">
        <f>HYPERLINK("https://otsuka-europe-crm.veevavault.com/ui/#object/email_activity__v/V8C00000003V751", "EN-002096311")</f>
        <v>EN-002096311</v>
      </c>
    </row>
    <row r="10033" spans="1:15" ht="16" x14ac:dyDescent="0.2">
      <c r="A10033" s="18"/>
      <c r="B10033" s="18"/>
      <c r="C10033" s="18"/>
      <c r="D10033" s="18"/>
      <c r="E10033" s="18"/>
      <c r="F10033" s="18"/>
      <c r="G10033" s="18"/>
      <c r="H10033" s="18"/>
      <c r="I10033" s="18"/>
      <c r="J10033" s="18"/>
      <c r="K10033" s="18"/>
      <c r="L10033" s="18"/>
      <c r="M10033" s="18"/>
      <c r="N10033" s="18"/>
      <c r="O10033" s="14" t="str">
        <f>HYPERLINK("https://otsuka-europe-crm.veevavault.com/ui/#object/email_activity__v/V8C00000003W150", "EN-002097021")</f>
        <v>EN-002097021</v>
      </c>
    </row>
    <row r="10034" spans="1:15" ht="16" x14ac:dyDescent="0.2">
      <c r="A10034" s="19"/>
      <c r="B10034" s="19"/>
      <c r="C10034" s="19"/>
      <c r="D10034" s="19"/>
      <c r="E10034" s="19"/>
      <c r="F10034" s="19"/>
      <c r="G10034" s="19"/>
      <c r="H10034" s="19"/>
      <c r="I10034" s="19"/>
      <c r="J10034" s="19"/>
      <c r="K10034" s="19"/>
      <c r="L10034" s="19"/>
      <c r="M10034" s="19"/>
      <c r="N10034" s="19"/>
      <c r="O10034" s="14" t="str">
        <f>HYPERLINK("https://otsuka-europe-crm.veevavault.com/ui/#object/email_activity__v/V8C00000003X083", "EN-002097069")</f>
        <v>EN-002097069</v>
      </c>
    </row>
    <row r="10035" spans="1:15" ht="16" x14ac:dyDescent="0.2">
      <c r="A10035" s="17" t="str">
        <f>HYPERLINK("https://otsuka-europe-crm.veevavault.com/ui/#object/account__v/V4TZ00000633IIE", "CATHERINE ADINS AVINEE")</f>
        <v>CATHERINE ADINS AVINEE</v>
      </c>
      <c r="B10035" s="17" t="str">
        <f>HYPERLINK("https://otsuka-europe-crm.veevavault.com/ui/#object/vcountry__v/VENZ000004SONFA", "FR")</f>
        <v>FR</v>
      </c>
      <c r="C10035" s="20" t="s">
        <v>42</v>
      </c>
      <c r="D10035" s="21" t="str">
        <f>HYPERLINK("https://otsuka-europe-crm.veevavault.com/ui/#object/approved_document__v/V5OZ04ASG4G02Y6", "INVITATION_VAD_2023")</f>
        <v>INVITATION_VAD_2023</v>
      </c>
      <c r="E10035" s="22" t="str">
        <f>HYPERLINK("https://otsuka-europe-crm.veevavault.com/ui/#object/sent_email__v/VBL00000002T395", "SE-001436222")</f>
        <v>SE-001436222</v>
      </c>
      <c r="F10035" s="23">
        <v>46188.593935185185</v>
      </c>
      <c r="G10035" s="24">
        <v>1</v>
      </c>
      <c r="H10035" s="24">
        <v>1</v>
      </c>
      <c r="I10035" s="24">
        <v>0</v>
      </c>
      <c r="J10035" s="25"/>
      <c r="K10035" s="24">
        <v>0</v>
      </c>
      <c r="L10035" s="22" t="str">
        <f>HYPERLINK("https://otsuka-europe-crm.veevavault.com/ui/#object/approved_document__v/V5OZ04ASG4G02Y6", "INVITATION_VAD_2023")</f>
        <v>INVITATION_VAD_2023</v>
      </c>
      <c r="M10035" s="22" t="str">
        <f>HYPERLINK("mailto:cchevalliermiserole@crm.otsuka-europe.com", "cchevalliermiserole@crm.otsuka-europe.com")</f>
        <v>cchevalliermiserole@crm.otsuka-europe.com</v>
      </c>
      <c r="N10035" s="23">
        <v>46188.593622685185</v>
      </c>
      <c r="O10035" s="14" t="str">
        <f>HYPERLINK("https://otsuka-europe-crm.veevavault.com/ui/#object/email_activity__v/V8C00000003U747", "EN-002096312")</f>
        <v>EN-002096312</v>
      </c>
    </row>
    <row r="10036" spans="1:15" ht="16" x14ac:dyDescent="0.2">
      <c r="A10036" s="19"/>
      <c r="B10036" s="19"/>
      <c r="C10036" s="19"/>
      <c r="D10036" s="19"/>
      <c r="E10036" s="19"/>
      <c r="F10036" s="19"/>
      <c r="G10036" s="19"/>
      <c r="H10036" s="19"/>
      <c r="I10036" s="19"/>
      <c r="J10036" s="19"/>
      <c r="K10036" s="19"/>
      <c r="L10036" s="19"/>
      <c r="M10036" s="19"/>
      <c r="N10036" s="19"/>
      <c r="O10036" s="14" t="str">
        <f>HYPERLINK("https://otsuka-europe-crm.veevavault.com/ui/#object/email_activity__v/V8C00000003V750", "EN-002096310")</f>
        <v>EN-002096310</v>
      </c>
    </row>
    <row r="10037" spans="1:15" ht="16" x14ac:dyDescent="0.2">
      <c r="A10037" s="17" t="str">
        <f>HYPERLINK("https://otsuka-europe-crm.veevavault.com/ui/#object/account__v/V4TZ00000633HA4", "PIERRE MESSENDE")</f>
        <v>PIERRE MESSENDE</v>
      </c>
      <c r="B10037" s="17" t="str">
        <f>HYPERLINK("https://otsuka-europe-crm.veevavault.com/ui/#object/vcountry__v/VENZ000004SONFA", "FR")</f>
        <v>FR</v>
      </c>
      <c r="C10037" s="20" t="s">
        <v>42</v>
      </c>
      <c r="D10037" s="21" t="str">
        <f>HYPERLINK("https://otsuka-europe-crm.veevavault.com/ui/#object/approved_document__v/V5OZ04ASG4G02Y6", "INVITATION_VAD_2023")</f>
        <v>INVITATION_VAD_2023</v>
      </c>
      <c r="E10037" s="22" t="str">
        <f>HYPERLINK("https://otsuka-europe-crm.veevavault.com/ui/#object/sent_email__v/VBL00000002T396", "SE-001436223")</f>
        <v>SE-001436223</v>
      </c>
      <c r="F10037" s="23">
        <v>46189.501863425925</v>
      </c>
      <c r="G10037" s="24">
        <v>1</v>
      </c>
      <c r="H10037" s="24">
        <v>3</v>
      </c>
      <c r="I10037" s="24">
        <v>0</v>
      </c>
      <c r="J10037" s="25"/>
      <c r="K10037" s="24">
        <v>0</v>
      </c>
      <c r="L10037" s="22" t="str">
        <f>HYPERLINK("https://otsuka-europe-crm.veevavault.com/ui/#object/approved_document__v/V5OZ04ASG4G02Y6", "INVITATION_VAD_2023")</f>
        <v>INVITATION_VAD_2023</v>
      </c>
      <c r="M10037" s="22" t="str">
        <f>HYPERLINK("mailto:cchevalliermiserole@crm.otsuka-europe.com", "cchevalliermiserole@crm.otsuka-europe.com")</f>
        <v>cchevalliermiserole@crm.otsuka-europe.com</v>
      </c>
      <c r="N10037" s="23">
        <v>46188.593877314815</v>
      </c>
      <c r="O10037" s="14" t="str">
        <f>HYPERLINK("https://otsuka-europe-crm.veevavault.com/ui/#object/email_activity__v/V8C00000003U748", "EN-002096313")</f>
        <v>EN-002096313</v>
      </c>
    </row>
    <row r="10038" spans="1:15" ht="16" x14ac:dyDescent="0.2">
      <c r="A10038" s="18"/>
      <c r="B10038" s="18"/>
      <c r="C10038" s="18"/>
      <c r="D10038" s="18"/>
      <c r="E10038" s="18"/>
      <c r="F10038" s="18"/>
      <c r="G10038" s="18"/>
      <c r="H10038" s="18"/>
      <c r="I10038" s="18"/>
      <c r="J10038" s="18"/>
      <c r="K10038" s="18"/>
      <c r="L10038" s="18"/>
      <c r="M10038" s="18"/>
      <c r="N10038" s="18"/>
      <c r="O10038" s="14" t="str">
        <f>HYPERLINK("https://otsuka-europe-crm.veevavault.com/ui/#object/email_activity__v/V8C00000003U800", "EN-002096523")</f>
        <v>EN-002096523</v>
      </c>
    </row>
    <row r="10039" spans="1:15" ht="16" x14ac:dyDescent="0.2">
      <c r="A10039" s="18"/>
      <c r="B10039" s="18"/>
      <c r="C10039" s="18"/>
      <c r="D10039" s="18"/>
      <c r="E10039" s="18"/>
      <c r="F10039" s="18"/>
      <c r="G10039" s="18"/>
      <c r="H10039" s="18"/>
      <c r="I10039" s="18"/>
      <c r="J10039" s="18"/>
      <c r="K10039" s="18"/>
      <c r="L10039" s="18"/>
      <c r="M10039" s="18"/>
      <c r="N10039" s="18"/>
      <c r="O10039" s="14" t="str">
        <f>HYPERLINK("https://otsuka-europe-crm.veevavault.com/ui/#object/email_activity__v/V8C00000003V753", "EN-002096315")</f>
        <v>EN-002096315</v>
      </c>
    </row>
    <row r="10040" spans="1:15" ht="16" x14ac:dyDescent="0.2">
      <c r="A10040" s="19"/>
      <c r="B10040" s="19"/>
      <c r="C10040" s="19"/>
      <c r="D10040" s="19"/>
      <c r="E10040" s="19"/>
      <c r="F10040" s="19"/>
      <c r="G10040" s="19"/>
      <c r="H10040" s="19"/>
      <c r="I10040" s="19"/>
      <c r="J10040" s="19"/>
      <c r="K10040" s="19"/>
      <c r="L10040" s="19"/>
      <c r="M10040" s="19"/>
      <c r="N10040" s="19"/>
      <c r="O10040" s="14" t="str">
        <f>HYPERLINK("https://otsuka-europe-crm.veevavault.com/ui/#object/email_activity__v/V8C00000003W212", "EN-002097163")</f>
        <v>EN-002097163</v>
      </c>
    </row>
    <row r="10041" spans="1:15" ht="64" x14ac:dyDescent="0.2">
      <c r="A10041" s="7" t="str">
        <f>HYPERLINK("https://otsuka-europe-crm.veevavault.com/ui/#object/account__v/V4TZ04ASGDUBXFJ", "ADRIANA SEVERINO")</f>
        <v>ADRIANA SEVERINO</v>
      </c>
      <c r="B10041" s="7" t="str">
        <f>HYPERLINK("https://otsuka-europe-crm.veevavault.com/ui/#object/vcountry__v/VENZ000004SONFQ", "IT")</f>
        <v>IT</v>
      </c>
      <c r="C10041" s="8" t="s">
        <v>44</v>
      </c>
      <c r="D10041" s="9" t="str">
        <f>HYPERLINK("https://otsuka-europe-crm.veevavault.com/ui/#object/approved_document__v/V5O00000000G060", "AE - AGGIORNAMENTI SEZIONE APPROFONDIMENTI IMMUNO IT-NPR-2500150")</f>
        <v>AE - AGGIORNAMENTI SEZIONE APPROFONDIMENTI IMMUNO IT-NPR-2500150</v>
      </c>
      <c r="E10041" s="10" t="str">
        <f>HYPERLINK("https://otsuka-europe-crm.veevavault.com/ui/#object/sent_email__v/VBL00000002T397", "SE-001436224")</f>
        <v>SE-001436224</v>
      </c>
      <c r="F10041" s="11"/>
      <c r="G10041" s="12">
        <v>0</v>
      </c>
      <c r="H10041" s="12">
        <v>0</v>
      </c>
      <c r="I10041" s="12">
        <v>0</v>
      </c>
      <c r="J10041" s="11"/>
      <c r="K10041" s="12">
        <v>0</v>
      </c>
      <c r="L10041" s="10" t="str">
        <f>HYPERLINK("https://otsuka-europe-crm.veevavault.com/ui/#object/approved_document__v/V5O00000000G060", "AE - AGGIORNAMENTI SEZIONE APPROFONDIMENTI IMMUNO IT-NPR-2500150")</f>
        <v>AE - AGGIORNAMENTI SEZIONE APPROFONDIMENTI IMMUNO IT-NPR-2500150</v>
      </c>
      <c r="M10041" s="10" t="str">
        <f>HYPERLINK("mailto:giada.camassa@outsuka.it", "giada.camassa@outsuka.it")</f>
        <v>giada.camassa@outsuka.it</v>
      </c>
      <c r="N10041" s="13">
        <v>46190.337939814817</v>
      </c>
      <c r="O10041" s="14" t="str">
        <f>HYPERLINK("https://otsuka-europe-crm.veevavault.com/ui/#object/email_activity__v/V8C00000003X315", "EN-002097506")</f>
        <v>EN-002097506</v>
      </c>
    </row>
    <row r="10042" spans="1:15" ht="64" x14ac:dyDescent="0.2">
      <c r="A10042" s="7" t="str">
        <f>HYPERLINK("https://otsuka-europe-crm.veevavault.com/ui/#object/account__v/V4TZ04ASGB4W1W6", "ALESSANDRO SANTANIELLO")</f>
        <v>ALESSANDRO SANTANIELLO</v>
      </c>
      <c r="B10042" s="7" t="str">
        <f>HYPERLINK("https://otsuka-europe-crm.veevavault.com/ui/#object/vcountry__v/VENZ000004SONFQ", "IT")</f>
        <v>IT</v>
      </c>
      <c r="C10042" s="8" t="s">
        <v>44</v>
      </c>
      <c r="D10042" s="9" t="str">
        <f>HYPERLINK("https://otsuka-europe-crm.veevavault.com/ui/#object/approved_document__v/V5O00000000G060", "AE - AGGIORNAMENTI SEZIONE APPROFONDIMENTI IMMUNO IT-NPR-2500150")</f>
        <v>AE - AGGIORNAMENTI SEZIONE APPROFONDIMENTI IMMUNO IT-NPR-2500150</v>
      </c>
      <c r="E10042" s="10" t="str">
        <f>HYPERLINK("https://otsuka-europe-crm.veevavault.com/ui/#object/sent_email__v/VBL00000002T398", "SE-001436225")</f>
        <v>SE-001436225</v>
      </c>
      <c r="F10042" s="11"/>
      <c r="G10042" s="12">
        <v>0</v>
      </c>
      <c r="H10042" s="12">
        <v>0</v>
      </c>
      <c r="I10042" s="12">
        <v>0</v>
      </c>
      <c r="J10042" s="11"/>
      <c r="K10042" s="12">
        <v>0</v>
      </c>
      <c r="L10042" s="10" t="str">
        <f>HYPERLINK("https://otsuka-europe-crm.veevavault.com/ui/#object/approved_document__v/V5O00000000G060", "AE - AGGIORNAMENTI SEZIONE APPROFONDIMENTI IMMUNO IT-NPR-2500150")</f>
        <v>AE - AGGIORNAMENTI SEZIONE APPROFONDIMENTI IMMUNO IT-NPR-2500150</v>
      </c>
      <c r="M10042" s="10" t="str">
        <f>HYPERLINK("mailto:giada.camassa@outsuka.it", "giada.camassa@outsuka.it")</f>
        <v>giada.camassa@outsuka.it</v>
      </c>
      <c r="N10042" s="13">
        <v>46190.338148148148</v>
      </c>
      <c r="O10042" s="14" t="str">
        <f>HYPERLINK("https://otsuka-europe-crm.veevavault.com/ui/#object/email_activity__v/V8C00000003X581", "EN-002097877")</f>
        <v>EN-002097877</v>
      </c>
    </row>
    <row r="10043" spans="1:15" ht="16" x14ac:dyDescent="0.2">
      <c r="A10043" s="17" t="str">
        <f>HYPERLINK("https://otsuka-europe-crm.veevavault.com/ui/#object/account__v/V4TZ04ASGBNVSN6", "AMATO DE PAULIS")</f>
        <v>AMATO DE PAULIS</v>
      </c>
      <c r="B10043" s="17" t="str">
        <f>HYPERLINK("https://otsuka-europe-crm.veevavault.com/ui/#object/vcountry__v/VENZ000004SONFQ", "IT")</f>
        <v>IT</v>
      </c>
      <c r="C10043" s="20" t="s">
        <v>44</v>
      </c>
      <c r="D10043" s="21" t="str">
        <f>HYPERLINK("https://otsuka-europe-crm.veevavault.com/ui/#object/approved_document__v/V5O00000000G060", "AE - AGGIORNAMENTI SEZIONE APPROFONDIMENTI IMMUNO IT-NPR-2500150")</f>
        <v>AE - AGGIORNAMENTI SEZIONE APPROFONDIMENTI IMMUNO IT-NPR-2500150</v>
      </c>
      <c r="E10043" s="22" t="str">
        <f>HYPERLINK("https://otsuka-europe-crm.veevavault.com/ui/#object/sent_email__v/VBL00000002T399", "SE-001436226")</f>
        <v>SE-001436226</v>
      </c>
      <c r="F10043" s="23">
        <v>46190.33935185185</v>
      </c>
      <c r="G10043" s="24">
        <v>1</v>
      </c>
      <c r="H10043" s="24">
        <v>1</v>
      </c>
      <c r="I10043" s="24">
        <v>0</v>
      </c>
      <c r="J10043" s="25"/>
      <c r="K10043" s="24">
        <v>0</v>
      </c>
      <c r="L10043" s="22" t="str">
        <f>HYPERLINK("https://otsuka-europe-crm.veevavault.com/ui/#object/approved_document__v/V5O00000000G060", "AE - AGGIORNAMENTI SEZIONE APPROFONDIMENTI IMMUNO IT-NPR-2500150")</f>
        <v>AE - AGGIORNAMENTI SEZIONE APPROFONDIMENTI IMMUNO IT-NPR-2500150</v>
      </c>
      <c r="M10043" s="22" t="str">
        <f>HYPERLINK("mailto:giada.camassa@outsuka.it", "giada.camassa@outsuka.it")</f>
        <v>giada.camassa@outsuka.it</v>
      </c>
      <c r="N10043" s="23">
        <v>46190.338101851848</v>
      </c>
      <c r="O10043" s="14" t="str">
        <f>HYPERLINK("https://otsuka-europe-crm.veevavault.com/ui/#object/email_activity__v/V8C00000003W486", "EN-002097848")</f>
        <v>EN-002097848</v>
      </c>
    </row>
    <row r="10044" spans="1:15" ht="16" x14ac:dyDescent="0.2">
      <c r="A10044" s="19"/>
      <c r="B10044" s="19"/>
      <c r="C10044" s="19"/>
      <c r="D10044" s="19"/>
      <c r="E10044" s="19"/>
      <c r="F10044" s="19"/>
      <c r="G10044" s="19"/>
      <c r="H10044" s="19"/>
      <c r="I10044" s="19"/>
      <c r="J10044" s="19"/>
      <c r="K10044" s="19"/>
      <c r="L10044" s="19"/>
      <c r="M10044" s="19"/>
      <c r="N10044" s="19"/>
      <c r="O10044" s="14" t="str">
        <f>HYPERLINK("https://otsuka-europe-crm.veevavault.com/ui/#object/email_activity__v/V8C00000003W567", "EN-002098088")</f>
        <v>EN-002098088</v>
      </c>
    </row>
    <row r="10045" spans="1:15" ht="64" x14ac:dyDescent="0.2">
      <c r="A10045" s="7" t="str">
        <f>HYPERLINK("https://otsuka-europe-crm.veevavault.com/ui/#object/account__v/V4TZ04ASGF6HZ9K", "BARBARA VIGONE")</f>
        <v>BARBARA VIGONE</v>
      </c>
      <c r="B10045" s="7" t="str">
        <f>HYPERLINK("https://otsuka-europe-crm.veevavault.com/ui/#object/vcountry__v/VENZ000004SONFQ", "IT")</f>
        <v>IT</v>
      </c>
      <c r="C10045" s="8" t="s">
        <v>44</v>
      </c>
      <c r="D10045" s="9" t="str">
        <f>HYPERLINK("https://otsuka-europe-crm.veevavault.com/ui/#object/approved_document__v/V5O00000000G060", "AE - AGGIORNAMENTI SEZIONE APPROFONDIMENTI IMMUNO IT-NPR-2500150")</f>
        <v>AE - AGGIORNAMENTI SEZIONE APPROFONDIMENTI IMMUNO IT-NPR-2500150</v>
      </c>
      <c r="E10045" s="10" t="str">
        <f>HYPERLINK("https://otsuka-europe-crm.veevavault.com/ui/#object/sent_email__v/VBL00000002T400", "SE-001436227")</f>
        <v>SE-001436227</v>
      </c>
      <c r="F10045" s="11"/>
      <c r="G10045" s="12">
        <v>0</v>
      </c>
      <c r="H10045" s="12">
        <v>0</v>
      </c>
      <c r="I10045" s="12">
        <v>0</v>
      </c>
      <c r="J10045" s="11"/>
      <c r="K10045" s="12">
        <v>0</v>
      </c>
      <c r="L10045" s="10" t="str">
        <f>HYPERLINK("https://otsuka-europe-crm.veevavault.com/ui/#object/approved_document__v/V5O00000000G060", "AE - AGGIORNAMENTI SEZIONE APPROFONDIMENTI IMMUNO IT-NPR-2500150")</f>
        <v>AE - AGGIORNAMENTI SEZIONE APPROFONDIMENTI IMMUNO IT-NPR-2500150</v>
      </c>
      <c r="M10045" s="10" t="str">
        <f>HYPERLINK("mailto:giada.camassa@outsuka.it", "giada.camassa@outsuka.it")</f>
        <v>giada.camassa@outsuka.it</v>
      </c>
      <c r="N10045" s="13">
        <v>46190.338055555556</v>
      </c>
      <c r="O10045" s="14" t="str">
        <f>HYPERLINK("https://otsuka-europe-crm.veevavault.com/ui/#object/email_activity__v/V8C00000003W476", "EN-002097831")</f>
        <v>EN-002097831</v>
      </c>
    </row>
    <row r="10046" spans="1:15" ht="16" x14ac:dyDescent="0.2">
      <c r="A10046" s="17" t="str">
        <f>HYPERLINK("https://otsuka-europe-crm.veevavault.com/ui/#object/account__v/V4TZ025E85JSDNW", "CHIARA CARDAMONE")</f>
        <v>CHIARA CARDAMONE</v>
      </c>
      <c r="B10046" s="17" t="str">
        <f>HYPERLINK("https://otsuka-europe-crm.veevavault.com/ui/#object/vcountry__v/VENZ000004SONFQ", "IT")</f>
        <v>IT</v>
      </c>
      <c r="C10046" s="20" t="s">
        <v>44</v>
      </c>
      <c r="D10046" s="21" t="str">
        <f>HYPERLINK("https://otsuka-europe-crm.veevavault.com/ui/#object/approved_document__v/V5O00000000G060", "AE - AGGIORNAMENTI SEZIONE APPROFONDIMENTI IMMUNO IT-NPR-2500150")</f>
        <v>AE - AGGIORNAMENTI SEZIONE APPROFONDIMENTI IMMUNO IT-NPR-2500150</v>
      </c>
      <c r="E10046" s="22" t="str">
        <f>HYPERLINK("https://otsuka-europe-crm.veevavault.com/ui/#object/sent_email__v/VBL00000002T401", "SE-001436228")</f>
        <v>SE-001436228</v>
      </c>
      <c r="F10046" s="23">
        <v>46190.339270833334</v>
      </c>
      <c r="G10046" s="24">
        <v>1</v>
      </c>
      <c r="H10046" s="24">
        <v>3</v>
      </c>
      <c r="I10046" s="24">
        <v>0</v>
      </c>
      <c r="J10046" s="25"/>
      <c r="K10046" s="24">
        <v>0</v>
      </c>
      <c r="L10046" s="22" t="str">
        <f>HYPERLINK("https://otsuka-europe-crm.veevavault.com/ui/#object/approved_document__v/V5O00000000G060", "AE - AGGIORNAMENTI SEZIONE APPROFONDIMENTI IMMUNO IT-NPR-2500150")</f>
        <v>AE - AGGIORNAMENTI SEZIONE APPROFONDIMENTI IMMUNO IT-NPR-2500150</v>
      </c>
      <c r="M10046" s="22" t="str">
        <f>HYPERLINK("mailto:giada.camassa@outsuka.it", "giada.camassa@outsuka.it")</f>
        <v>giada.camassa@outsuka.it</v>
      </c>
      <c r="N10046" s="23">
        <v>46190.337893518517</v>
      </c>
      <c r="O10046" s="14" t="str">
        <f>HYPERLINK("https://otsuka-europe-crm.veevavault.com/ui/#object/email_activity__v/V8C00000003W543", "EN-002098032")</f>
        <v>EN-002098032</v>
      </c>
    </row>
    <row r="10047" spans="1:15" ht="16" x14ac:dyDescent="0.2">
      <c r="A10047" s="18"/>
      <c r="B10047" s="18"/>
      <c r="C10047" s="18"/>
      <c r="D10047" s="18"/>
      <c r="E10047" s="18"/>
      <c r="F10047" s="18"/>
      <c r="G10047" s="18"/>
      <c r="H10047" s="18"/>
      <c r="I10047" s="18"/>
      <c r="J10047" s="18"/>
      <c r="K10047" s="18"/>
      <c r="L10047" s="18"/>
      <c r="M10047" s="18"/>
      <c r="N10047" s="18"/>
      <c r="O10047" s="14" t="str">
        <f>HYPERLINK("https://otsuka-europe-crm.veevavault.com/ui/#object/email_activity__v/V8C00000003X447", "EN-002097661")</f>
        <v>EN-002097661</v>
      </c>
    </row>
    <row r="10048" spans="1:15" ht="16" x14ac:dyDescent="0.2">
      <c r="A10048" s="18"/>
      <c r="B10048" s="18"/>
      <c r="C10048" s="18"/>
      <c r="D10048" s="18"/>
      <c r="E10048" s="18"/>
      <c r="F10048" s="18"/>
      <c r="G10048" s="18"/>
      <c r="H10048" s="18"/>
      <c r="I10048" s="18"/>
      <c r="J10048" s="18"/>
      <c r="K10048" s="18"/>
      <c r="L10048" s="18"/>
      <c r="M10048" s="18"/>
      <c r="N10048" s="18"/>
      <c r="O10048" s="14" t="str">
        <f>HYPERLINK("https://otsuka-europe-crm.veevavault.com/ui/#object/email_activity__v/V8C00000003X529", "EN-002097772")</f>
        <v>EN-002097772</v>
      </c>
    </row>
    <row r="10049" spans="1:15" ht="16" x14ac:dyDescent="0.2">
      <c r="A10049" s="19"/>
      <c r="B10049" s="19"/>
      <c r="C10049" s="19"/>
      <c r="D10049" s="19"/>
      <c r="E10049" s="19"/>
      <c r="F10049" s="19"/>
      <c r="G10049" s="19"/>
      <c r="H10049" s="19"/>
      <c r="I10049" s="19"/>
      <c r="J10049" s="19"/>
      <c r="K10049" s="19"/>
      <c r="L10049" s="19"/>
      <c r="M10049" s="19"/>
      <c r="N10049" s="19"/>
      <c r="O10049" s="14" t="str">
        <f>HYPERLINK("https://otsuka-europe-crm.veevavault.com/ui/#object/email_activity__v/V8C00000003X629", "EN-002097951")</f>
        <v>EN-002097951</v>
      </c>
    </row>
    <row r="10050" spans="1:15" ht="16" x14ac:dyDescent="0.2">
      <c r="A10050" s="17" t="str">
        <f>HYPERLINK("https://otsuka-europe-crm.veevavault.com/ui/#object/account__v/V4TZ025E82V93XW", "CIRO PASQUALE ROMANO")</f>
        <v>CIRO PASQUALE ROMANO</v>
      </c>
      <c r="B10050" s="17" t="str">
        <f>HYPERLINK("https://otsuka-europe-crm.veevavault.com/ui/#object/vcountry__v/VENZ000004SONFQ", "IT")</f>
        <v>IT</v>
      </c>
      <c r="C10050" s="20" t="s">
        <v>44</v>
      </c>
      <c r="D10050" s="21" t="str">
        <f>HYPERLINK("https://otsuka-europe-crm.veevavault.com/ui/#object/approved_document__v/V5O00000000G060", "AE - AGGIORNAMENTI SEZIONE APPROFONDIMENTI IMMUNO IT-NPR-2500150")</f>
        <v>AE - AGGIORNAMENTI SEZIONE APPROFONDIMENTI IMMUNO IT-NPR-2500150</v>
      </c>
      <c r="E10050" s="22" t="str">
        <f>HYPERLINK("https://otsuka-europe-crm.veevavault.com/ui/#object/sent_email__v/VBL00000002T402", "SE-001436229")</f>
        <v>SE-001436229</v>
      </c>
      <c r="F10050" s="23">
        <v>46190.348113425927</v>
      </c>
      <c r="G10050" s="24">
        <v>1</v>
      </c>
      <c r="H10050" s="24">
        <v>2</v>
      </c>
      <c r="I10050" s="24">
        <v>0</v>
      </c>
      <c r="J10050" s="25"/>
      <c r="K10050" s="24">
        <v>0</v>
      </c>
      <c r="L10050" s="22" t="str">
        <f>HYPERLINK("https://otsuka-europe-crm.veevavault.com/ui/#object/approved_document__v/V5O00000000G060", "AE - AGGIORNAMENTI SEZIONE APPROFONDIMENTI IMMUNO IT-NPR-2500150")</f>
        <v>AE - AGGIORNAMENTI SEZIONE APPROFONDIMENTI IMMUNO IT-NPR-2500150</v>
      </c>
      <c r="M10050" s="22" t="str">
        <f>HYPERLINK("mailto:giada.camassa@outsuka.it", "giada.camassa@outsuka.it")</f>
        <v>giada.camassa@outsuka.it</v>
      </c>
      <c r="N10050" s="23">
        <v>46190.338391203702</v>
      </c>
      <c r="O10050" s="14" t="str">
        <f>HYPERLINK("https://otsuka-europe-crm.veevavault.com/ui/#object/email_activity__v/V8C00000003W626", "EN-002098249")</f>
        <v>EN-002098249</v>
      </c>
    </row>
    <row r="10051" spans="1:15" ht="16" x14ac:dyDescent="0.2">
      <c r="A10051" s="18"/>
      <c r="B10051" s="18"/>
      <c r="C10051" s="18"/>
      <c r="D10051" s="18"/>
      <c r="E10051" s="18"/>
      <c r="F10051" s="18"/>
      <c r="G10051" s="18"/>
      <c r="H10051" s="18"/>
      <c r="I10051" s="18"/>
      <c r="J10051" s="18"/>
      <c r="K10051" s="18"/>
      <c r="L10051" s="18"/>
      <c r="M10051" s="18"/>
      <c r="N10051" s="18"/>
      <c r="O10051" s="14" t="str">
        <f>HYPERLINK("https://otsuka-europe-crm.veevavault.com/ui/#object/email_activity__v/V8C00000003X597", "EN-002097906")</f>
        <v>EN-002097906</v>
      </c>
    </row>
    <row r="10052" spans="1:15" ht="16" x14ac:dyDescent="0.2">
      <c r="A10052" s="19"/>
      <c r="B10052" s="19"/>
      <c r="C10052" s="19"/>
      <c r="D10052" s="19"/>
      <c r="E10052" s="19"/>
      <c r="F10052" s="19"/>
      <c r="G10052" s="19"/>
      <c r="H10052" s="19"/>
      <c r="I10052" s="19"/>
      <c r="J10052" s="19"/>
      <c r="K10052" s="19"/>
      <c r="L10052" s="19"/>
      <c r="M10052" s="19"/>
      <c r="N10052" s="19"/>
      <c r="O10052" s="14" t="str">
        <f>HYPERLINK("https://otsuka-europe-crm.veevavault.com/ui/#object/email_activity__v/V8C00000003X601", "EN-002097916")</f>
        <v>EN-002097916</v>
      </c>
    </row>
    <row r="10053" spans="1:15" ht="16" x14ac:dyDescent="0.2">
      <c r="A10053" s="17" t="str">
        <f>HYPERLINK("https://otsuka-europe-crm.veevavault.com/ui/#object/account__v/V4TZ025E83AFL8M", "ELENA SILVESTRI")</f>
        <v>ELENA SILVESTRI</v>
      </c>
      <c r="B10053" s="17" t="str">
        <f>HYPERLINK("https://otsuka-europe-crm.veevavault.com/ui/#object/vcountry__v/VENZ000004SONFQ", "IT")</f>
        <v>IT</v>
      </c>
      <c r="C10053" s="20" t="s">
        <v>44</v>
      </c>
      <c r="D10053" s="21" t="str">
        <f>HYPERLINK("https://otsuka-europe-crm.veevavault.com/ui/#object/approved_document__v/V5O00000000G060", "AE - AGGIORNAMENTI SEZIONE APPROFONDIMENTI IMMUNO IT-NPR-2500150")</f>
        <v>AE - AGGIORNAMENTI SEZIONE APPROFONDIMENTI IMMUNO IT-NPR-2500150</v>
      </c>
      <c r="E10053" s="22" t="str">
        <f>HYPERLINK("https://otsuka-europe-crm.veevavault.com/ui/#object/sent_email__v/VBL00000002T403", "SE-001436230")</f>
        <v>SE-001436230</v>
      </c>
      <c r="F10053" s="25"/>
      <c r="G10053" s="24">
        <v>0</v>
      </c>
      <c r="H10053" s="24">
        <v>0</v>
      </c>
      <c r="I10053" s="24">
        <v>0</v>
      </c>
      <c r="J10053" s="25"/>
      <c r="K10053" s="24">
        <v>0</v>
      </c>
      <c r="L10053" s="22" t="str">
        <f>HYPERLINK("https://otsuka-europe-crm.veevavault.com/ui/#object/approved_document__v/V5O00000000G060", "AE - AGGIORNAMENTI SEZIONE APPROFONDIMENTI IMMUNO IT-NPR-2500150")</f>
        <v>AE - AGGIORNAMENTI SEZIONE APPROFONDIMENTI IMMUNO IT-NPR-2500150</v>
      </c>
      <c r="M10053" s="22" t="str">
        <f>HYPERLINK("mailto:giada.camassa@outsuka.it", "giada.camassa@outsuka.it")</f>
        <v>giada.camassa@outsuka.it</v>
      </c>
      <c r="N10053" s="23">
        <v>46190.337824074071</v>
      </c>
      <c r="O10053" s="14" t="str">
        <f>HYPERLINK("https://otsuka-europe-crm.veevavault.com/ui/#object/email_activity__v/V8C00000003X468", "EN-002097667")</f>
        <v>EN-002097667</v>
      </c>
    </row>
    <row r="10054" spans="1:15" ht="16" x14ac:dyDescent="0.2">
      <c r="A10054" s="19"/>
      <c r="B10054" s="19"/>
      <c r="C10054" s="19"/>
      <c r="D10054" s="19"/>
      <c r="E10054" s="19"/>
      <c r="F10054" s="19"/>
      <c r="G10054" s="19"/>
      <c r="H10054" s="19"/>
      <c r="I10054" s="19"/>
      <c r="J10054" s="19"/>
      <c r="K10054" s="19"/>
      <c r="L10054" s="19"/>
      <c r="M10054" s="19"/>
      <c r="N10054" s="19"/>
      <c r="O10054" s="14" t="str">
        <f>HYPERLINK("https://otsuka-europe-crm.veevavault.com/ui/#object/email_activity__v/V8C00000003X842", "EN-002098328")</f>
        <v>EN-002098328</v>
      </c>
    </row>
    <row r="10055" spans="1:15" ht="16" x14ac:dyDescent="0.2">
      <c r="A10055" s="17" t="str">
        <f>HYPERLINK("https://otsuka-europe-crm.veevavault.com/ui/#object/account__v/V4TZ04ASGC2BX9Y", "ELISA TINAZZI")</f>
        <v>ELISA TINAZZI</v>
      </c>
      <c r="B10055" s="17" t="str">
        <f>HYPERLINK("https://otsuka-europe-crm.veevavault.com/ui/#object/vcountry__v/VENZ000004SONFQ", "IT")</f>
        <v>IT</v>
      </c>
      <c r="C10055" s="20" t="s">
        <v>44</v>
      </c>
      <c r="D10055" s="21" t="str">
        <f>HYPERLINK("https://otsuka-europe-crm.veevavault.com/ui/#object/approved_document__v/V5O00000000G060", "AE - AGGIORNAMENTI SEZIONE APPROFONDIMENTI IMMUNO IT-NPR-2500150")</f>
        <v>AE - AGGIORNAMENTI SEZIONE APPROFONDIMENTI IMMUNO IT-NPR-2500150</v>
      </c>
      <c r="E10055" s="22" t="str">
        <f>HYPERLINK("https://otsuka-europe-crm.veevavault.com/ui/#object/sent_email__v/VBL00000002T404", "SE-001436231")</f>
        <v>SE-001436231</v>
      </c>
      <c r="F10055" s="23">
        <v>46190.338090277779</v>
      </c>
      <c r="G10055" s="24">
        <v>1</v>
      </c>
      <c r="H10055" s="24">
        <v>1</v>
      </c>
      <c r="I10055" s="24">
        <v>0</v>
      </c>
      <c r="J10055" s="25"/>
      <c r="K10055" s="24">
        <v>0</v>
      </c>
      <c r="L10055" s="22" t="str">
        <f>HYPERLINK("https://otsuka-europe-crm.veevavault.com/ui/#object/approved_document__v/V5O00000000G060", "AE - AGGIORNAMENTI SEZIONE APPROFONDIMENTI IMMUNO IT-NPR-2500150")</f>
        <v>AE - AGGIORNAMENTI SEZIONE APPROFONDIMENTI IMMUNO IT-NPR-2500150</v>
      </c>
      <c r="M10055" s="22" t="str">
        <f>HYPERLINK("mailto:giada.camassa@outsuka.it", "giada.camassa@outsuka.it")</f>
        <v>giada.camassa@outsuka.it</v>
      </c>
      <c r="N10055" s="23">
        <v>46190.337835648148</v>
      </c>
      <c r="O10055" s="14" t="str">
        <f>HYPERLINK("https://otsuka-europe-crm.veevavault.com/ui/#object/email_activity__v/V8C00000003W469", "EN-002097807")</f>
        <v>EN-002097807</v>
      </c>
    </row>
    <row r="10056" spans="1:15" ht="16" x14ac:dyDescent="0.2">
      <c r="A10056" s="19"/>
      <c r="B10056" s="19"/>
      <c r="C10056" s="19"/>
      <c r="D10056" s="19"/>
      <c r="E10056" s="19"/>
      <c r="F10056" s="19"/>
      <c r="G10056" s="19"/>
      <c r="H10056" s="19"/>
      <c r="I10056" s="19"/>
      <c r="J10056" s="19"/>
      <c r="K10056" s="19"/>
      <c r="L10056" s="19"/>
      <c r="M10056" s="19"/>
      <c r="N10056" s="19"/>
      <c r="O10056" s="14" t="str">
        <f>HYPERLINK("https://otsuka-europe-crm.veevavault.com/ui/#object/email_activity__v/V8C00000003X470", "EN-002097669")</f>
        <v>EN-002097669</v>
      </c>
    </row>
    <row r="10057" spans="1:15" ht="64" x14ac:dyDescent="0.2">
      <c r="A10057" s="7" t="str">
        <f>HYPERLINK("https://otsuka-europe-crm.veevavault.com/ui/#object/account__v/V4TZ025E8397QUE", "FEDERICA CORRADI")</f>
        <v>FEDERICA CORRADI</v>
      </c>
      <c r="B10057" s="7" t="str">
        <f>HYPERLINK("https://otsuka-europe-crm.veevavault.com/ui/#object/vcountry__v/VENZ000004SONFQ", "IT")</f>
        <v>IT</v>
      </c>
      <c r="C10057" s="8" t="s">
        <v>44</v>
      </c>
      <c r="D10057" s="9" t="str">
        <f>HYPERLINK("https://otsuka-europe-crm.veevavault.com/ui/#object/approved_document__v/V5O00000000G060", "AE - AGGIORNAMENTI SEZIONE APPROFONDIMENTI IMMUNO IT-NPR-2500150")</f>
        <v>AE - AGGIORNAMENTI SEZIONE APPROFONDIMENTI IMMUNO IT-NPR-2500150</v>
      </c>
      <c r="E10057" s="10" t="str">
        <f>HYPERLINK("https://otsuka-europe-crm.veevavault.com/ui/#object/sent_email__v/VBL00000002T405", "SE-001436232")</f>
        <v>SE-001436232</v>
      </c>
      <c r="F10057" s="11"/>
      <c r="G10057" s="12">
        <v>0</v>
      </c>
      <c r="H10057" s="12">
        <v>0</v>
      </c>
      <c r="I10057" s="12">
        <v>0</v>
      </c>
      <c r="J10057" s="11"/>
      <c r="K10057" s="12">
        <v>0</v>
      </c>
      <c r="L10057" s="10" t="str">
        <f>HYPERLINK("https://otsuka-europe-crm.veevavault.com/ui/#object/approved_document__v/V5O00000000G060", "AE - AGGIORNAMENTI SEZIONE APPROFONDIMENTI IMMUNO IT-NPR-2500150")</f>
        <v>AE - AGGIORNAMENTI SEZIONE APPROFONDIMENTI IMMUNO IT-NPR-2500150</v>
      </c>
      <c r="M10057" s="10" t="str">
        <f>HYPERLINK("mailto:giada.camassa@outsuka.it", "giada.camassa@outsuka.it")</f>
        <v>giada.camassa@outsuka.it</v>
      </c>
      <c r="N10057" s="13">
        <v>46190.33829861111</v>
      </c>
      <c r="O10057" s="14" t="str">
        <f>HYPERLINK("https://otsuka-europe-crm.veevavault.com/ui/#object/email_activity__v/V8C00000003W490", "EN-002097879")</f>
        <v>EN-002097879</v>
      </c>
    </row>
    <row r="10058" spans="1:15" ht="16" x14ac:dyDescent="0.2">
      <c r="A10058" s="17" t="str">
        <f>HYPERLINK("https://otsuka-europe-crm.veevavault.com/ui/#object/account__v/V4TZ04ASGBNVSQK", "FRANCESCA WANDA ROSSI")</f>
        <v>FRANCESCA WANDA ROSSI</v>
      </c>
      <c r="B10058" s="17" t="str">
        <f>HYPERLINK("https://otsuka-europe-crm.veevavault.com/ui/#object/vcountry__v/VENZ000004SONFQ", "IT")</f>
        <v>IT</v>
      </c>
      <c r="C10058" s="20" t="s">
        <v>44</v>
      </c>
      <c r="D10058" s="21" t="str">
        <f>HYPERLINK("https://otsuka-europe-crm.veevavault.com/ui/#object/approved_document__v/V5O00000000G060", "AE - AGGIORNAMENTI SEZIONE APPROFONDIMENTI IMMUNO IT-NPR-2500150")</f>
        <v>AE - AGGIORNAMENTI SEZIONE APPROFONDIMENTI IMMUNO IT-NPR-2500150</v>
      </c>
      <c r="E10058" s="22" t="str">
        <f>HYPERLINK("https://otsuka-europe-crm.veevavault.com/ui/#object/sent_email__v/VBL00000002T406", "SE-001436233")</f>
        <v>SE-001436233</v>
      </c>
      <c r="F10058" s="23">
        <v>46190.338425925926</v>
      </c>
      <c r="G10058" s="24">
        <v>1</v>
      </c>
      <c r="H10058" s="24">
        <v>1</v>
      </c>
      <c r="I10058" s="24">
        <v>0</v>
      </c>
      <c r="J10058" s="25"/>
      <c r="K10058" s="24">
        <v>0</v>
      </c>
      <c r="L10058" s="22" t="str">
        <f>HYPERLINK("https://otsuka-europe-crm.veevavault.com/ui/#object/approved_document__v/V5O00000000G060", "AE - AGGIORNAMENTI SEZIONE APPROFONDIMENTI IMMUNO IT-NPR-2500150")</f>
        <v>AE - AGGIORNAMENTI SEZIONE APPROFONDIMENTI IMMUNO IT-NPR-2500150</v>
      </c>
      <c r="M10058" s="22" t="str">
        <f>HYPERLINK("mailto:giada.camassa@outsuka.it", "giada.camassa@outsuka.it")</f>
        <v>giada.camassa@outsuka.it</v>
      </c>
      <c r="N10058" s="23">
        <v>46190.337835648148</v>
      </c>
      <c r="O10058" s="14" t="str">
        <f>HYPERLINK("https://otsuka-europe-crm.veevavault.com/ui/#object/email_activity__v/V8C00000003W509", "EN-002097918")</f>
        <v>EN-002097918</v>
      </c>
    </row>
    <row r="10059" spans="1:15" ht="16" x14ac:dyDescent="0.2">
      <c r="A10059" s="19"/>
      <c r="B10059" s="19"/>
      <c r="C10059" s="19"/>
      <c r="D10059" s="19"/>
      <c r="E10059" s="19"/>
      <c r="F10059" s="19"/>
      <c r="G10059" s="19"/>
      <c r="H10059" s="19"/>
      <c r="I10059" s="19"/>
      <c r="J10059" s="19"/>
      <c r="K10059" s="19"/>
      <c r="L10059" s="19"/>
      <c r="M10059" s="19"/>
      <c r="N10059" s="19"/>
      <c r="O10059" s="14" t="str">
        <f>HYPERLINK("https://otsuka-europe-crm.veevavault.com/ui/#object/email_activity__v/V8C00000003X451", "EN-002097788")</f>
        <v>EN-002097788</v>
      </c>
    </row>
    <row r="10060" spans="1:15" ht="64" x14ac:dyDescent="0.2">
      <c r="A10060" s="7" t="str">
        <f>HYPERLINK("https://otsuka-europe-crm.veevavault.com/ui/#object/account__v/V4TZ04ASGB4W2C7", "LORENZO BERETTA")</f>
        <v>LORENZO BERETTA</v>
      </c>
      <c r="B10060" s="7" t="str">
        <f>HYPERLINK("https://otsuka-europe-crm.veevavault.com/ui/#object/vcountry__v/VENZ000004SONFQ", "IT")</f>
        <v>IT</v>
      </c>
      <c r="C10060" s="8" t="s">
        <v>44</v>
      </c>
      <c r="D10060" s="9" t="str">
        <f>HYPERLINK("https://otsuka-europe-crm.veevavault.com/ui/#object/approved_document__v/V5O00000000G060", "AE - AGGIORNAMENTI SEZIONE APPROFONDIMENTI IMMUNO IT-NPR-2500150")</f>
        <v>AE - AGGIORNAMENTI SEZIONE APPROFONDIMENTI IMMUNO IT-NPR-2500150</v>
      </c>
      <c r="E10060" s="10" t="str">
        <f>HYPERLINK("https://otsuka-europe-crm.veevavault.com/ui/#object/sent_email__v/VBL00000002T407", "SE-001436234")</f>
        <v>SE-001436234</v>
      </c>
      <c r="F10060" s="11"/>
      <c r="G10060" s="12">
        <v>0</v>
      </c>
      <c r="H10060" s="12">
        <v>0</v>
      </c>
      <c r="I10060" s="12">
        <v>0</v>
      </c>
      <c r="J10060" s="11"/>
      <c r="K10060" s="12">
        <v>0</v>
      </c>
      <c r="L10060" s="10" t="str">
        <f>HYPERLINK("https://otsuka-europe-crm.veevavault.com/ui/#object/approved_document__v/V5O00000000G060", "AE - AGGIORNAMENTI SEZIONE APPROFONDIMENTI IMMUNO IT-NPR-2500150")</f>
        <v>AE - AGGIORNAMENTI SEZIONE APPROFONDIMENTI IMMUNO IT-NPR-2500150</v>
      </c>
      <c r="M10060" s="10" t="str">
        <f>HYPERLINK("mailto:giada.camassa@outsuka.it", "giada.camassa@outsuka.it")</f>
        <v>giada.camassa@outsuka.it</v>
      </c>
      <c r="N10060" s="13">
        <v>46190.337870370371</v>
      </c>
      <c r="O10060" s="14" t="str">
        <f>HYPERLINK("https://otsuka-europe-crm.veevavault.com/ui/#object/email_activity__v/V8C00000003X311", "EN-002097502")</f>
        <v>EN-002097502</v>
      </c>
    </row>
    <row r="10061" spans="1:15" ht="64" x14ac:dyDescent="0.2">
      <c r="A10061" s="7" t="str">
        <f>HYPERLINK("https://otsuka-europe-crm.veevavault.com/ui/#object/account__v/V4TZ04ASGEOJSKC", "RICHARD BORRELLI")</f>
        <v>RICHARD BORRELLI</v>
      </c>
      <c r="B10061" s="7" t="str">
        <f>HYPERLINK("https://otsuka-europe-crm.veevavault.com/ui/#object/vcountry__v/VENZ000004SONFQ", "IT")</f>
        <v>IT</v>
      </c>
      <c r="C10061" s="8" t="s">
        <v>44</v>
      </c>
      <c r="D10061" s="9" t="str">
        <f>HYPERLINK("https://otsuka-europe-crm.veevavault.com/ui/#object/approved_document__v/V5O00000000G060", "AE - AGGIORNAMENTI SEZIONE APPROFONDIMENTI IMMUNO IT-NPR-2500150")</f>
        <v>AE - AGGIORNAMENTI SEZIONE APPROFONDIMENTI IMMUNO IT-NPR-2500150</v>
      </c>
      <c r="E10061" s="10" t="str">
        <f>HYPERLINK("https://otsuka-europe-crm.veevavault.com/ui/#object/sent_email__v/VBL00000002T409", "SE-001436236")</f>
        <v>SE-001436236</v>
      </c>
      <c r="F10061" s="11"/>
      <c r="G10061" s="12">
        <v>0</v>
      </c>
      <c r="H10061" s="12">
        <v>0</v>
      </c>
      <c r="I10061" s="12">
        <v>0</v>
      </c>
      <c r="J10061" s="11"/>
      <c r="K10061" s="12">
        <v>0</v>
      </c>
      <c r="L10061" s="10" t="str">
        <f>HYPERLINK("https://otsuka-europe-crm.veevavault.com/ui/#object/approved_document__v/V5O00000000G060", "AE - AGGIORNAMENTI SEZIONE APPROFONDIMENTI IMMUNO IT-NPR-2500150")</f>
        <v>AE - AGGIORNAMENTI SEZIONE APPROFONDIMENTI IMMUNO IT-NPR-2500150</v>
      </c>
      <c r="M10061" s="10" t="str">
        <f>HYPERLINK("mailto:giada.camassa@outsuka.it", "giada.camassa@outsuka.it")</f>
        <v>giada.camassa@outsuka.it</v>
      </c>
      <c r="N10061" s="13">
        <v>46190.338136574072</v>
      </c>
      <c r="O10061" s="14" t="str">
        <f>HYPERLINK("https://otsuka-europe-crm.veevavault.com/ui/#object/email_activity__v/V8C00000003X561", "EN-002097857")</f>
        <v>EN-002097857</v>
      </c>
    </row>
    <row r="10062" spans="1:15" ht="16" x14ac:dyDescent="0.2">
      <c r="A10062" s="17" t="str">
        <f>HYPERLINK("https://otsuka-europe-crm.veevavault.com/ui/#object/account__v/V4TZ04ASGB9PRZW", "SIMONE NEGRINI")</f>
        <v>SIMONE NEGRINI</v>
      </c>
      <c r="B10062" s="17" t="str">
        <f>HYPERLINK("https://otsuka-europe-crm.veevavault.com/ui/#object/vcountry__v/VENZ000004SONFQ", "IT")</f>
        <v>IT</v>
      </c>
      <c r="C10062" s="20" t="s">
        <v>44</v>
      </c>
      <c r="D10062" s="21" t="str">
        <f>HYPERLINK("https://otsuka-europe-crm.veevavault.com/ui/#object/approved_document__v/V5O00000000G060", "AE - AGGIORNAMENTI SEZIONE APPROFONDIMENTI IMMUNO IT-NPR-2500150")</f>
        <v>AE - AGGIORNAMENTI SEZIONE APPROFONDIMENTI IMMUNO IT-NPR-2500150</v>
      </c>
      <c r="E10062" s="22" t="str">
        <f>HYPERLINK("https://otsuka-europe-crm.veevavault.com/ui/#object/sent_email__v/VBL00000002T410", "SE-001436237")</f>
        <v>SE-001436237</v>
      </c>
      <c r="F10062" s="23">
        <v>46190.338576388887</v>
      </c>
      <c r="G10062" s="24">
        <v>1</v>
      </c>
      <c r="H10062" s="24">
        <v>2</v>
      </c>
      <c r="I10062" s="24">
        <v>0</v>
      </c>
      <c r="J10062" s="25"/>
      <c r="K10062" s="24">
        <v>0</v>
      </c>
      <c r="L10062" s="22" t="str">
        <f>HYPERLINK("https://otsuka-europe-crm.veevavault.com/ui/#object/approved_document__v/V5O00000000G060", "AE - AGGIORNAMENTI SEZIONE APPROFONDIMENTI IMMUNO IT-NPR-2500150")</f>
        <v>AE - AGGIORNAMENTI SEZIONE APPROFONDIMENTI IMMUNO IT-NPR-2500150</v>
      </c>
      <c r="M10062" s="22" t="str">
        <f>HYPERLINK("mailto:giada.camassa@outsuka.it", "giada.camassa@outsuka.it")</f>
        <v>giada.camassa@outsuka.it</v>
      </c>
      <c r="N10062" s="23">
        <v>46190.33803240741</v>
      </c>
      <c r="O10062" s="14" t="str">
        <f>HYPERLINK("https://otsuka-europe-crm.veevavault.com/ui/#object/email_activity__v/V8C00000003X513", "EN-002097756")</f>
        <v>EN-002097756</v>
      </c>
    </row>
    <row r="10063" spans="1:15" ht="16" x14ac:dyDescent="0.2">
      <c r="A10063" s="18"/>
      <c r="B10063" s="18"/>
      <c r="C10063" s="18"/>
      <c r="D10063" s="18"/>
      <c r="E10063" s="18"/>
      <c r="F10063" s="18"/>
      <c r="G10063" s="18"/>
      <c r="H10063" s="18"/>
      <c r="I10063" s="18"/>
      <c r="J10063" s="18"/>
      <c r="K10063" s="18"/>
      <c r="L10063" s="18"/>
      <c r="M10063" s="18"/>
      <c r="N10063" s="18"/>
      <c r="O10063" s="14" t="str">
        <f>HYPERLINK("https://otsuka-europe-crm.veevavault.com/ui/#object/email_activity__v/V8C00000003X540", "EN-002097823")</f>
        <v>EN-002097823</v>
      </c>
    </row>
    <row r="10064" spans="1:15" ht="16" x14ac:dyDescent="0.2">
      <c r="A10064" s="19"/>
      <c r="B10064" s="19"/>
      <c r="C10064" s="19"/>
      <c r="D10064" s="19"/>
      <c r="E10064" s="19"/>
      <c r="F10064" s="19"/>
      <c r="G10064" s="19"/>
      <c r="H10064" s="19"/>
      <c r="I10064" s="19"/>
      <c r="J10064" s="19"/>
      <c r="K10064" s="19"/>
      <c r="L10064" s="19"/>
      <c r="M10064" s="19"/>
      <c r="N10064" s="19"/>
      <c r="O10064" s="14" t="str">
        <f>HYPERLINK("https://otsuka-europe-crm.veevavault.com/ui/#object/email_activity__v/V8C00000003X609", "EN-002097930")</f>
        <v>EN-002097930</v>
      </c>
    </row>
    <row r="10065" spans="1:15" ht="64" x14ac:dyDescent="0.2">
      <c r="A10065" s="7" t="str">
        <f>HYPERLINK("https://otsuka-europe-crm.veevavault.com/ui/#object/account__v/V4TZ04ASGC4LKU1", "ADDOLORATA CORRADO")</f>
        <v>ADDOLORATA CORRADO</v>
      </c>
      <c r="B10065" s="7" t="str">
        <f>HYPERLINK("https://otsuka-europe-crm.veevavault.com/ui/#object/vcountry__v/VENZ000004SONFQ", "IT")</f>
        <v>IT</v>
      </c>
      <c r="C10065" s="8" t="s">
        <v>44</v>
      </c>
      <c r="D10065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065" s="10" t="str">
        <f>HYPERLINK("https://otsuka-europe-crm.veevavault.com/ui/#object/sent_email__v/VBL00000002U350", "SE-001436238")</f>
        <v>SE-001436238</v>
      </c>
      <c r="F10065" s="11"/>
      <c r="G10065" s="12">
        <v>0</v>
      </c>
      <c r="H10065" s="12">
        <v>0</v>
      </c>
      <c r="I10065" s="12">
        <v>0</v>
      </c>
      <c r="J10065" s="11"/>
      <c r="K10065" s="12">
        <v>0</v>
      </c>
      <c r="L10065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065" s="10" t="str">
        <f>HYPERLINK("mailto:giada.camassa@outsuka.it", "giada.camassa@outsuka.it")</f>
        <v>giada.camassa@outsuka.it</v>
      </c>
      <c r="N10065" s="13">
        <v>46190.337905092594</v>
      </c>
      <c r="O10065" s="14" t="str">
        <f>HYPERLINK("https://otsuka-europe-crm.veevavault.com/ui/#object/email_activity__v/V8C00000003W400", "EN-002097562")</f>
        <v>EN-002097562</v>
      </c>
    </row>
    <row r="10066" spans="1:15" ht="64" x14ac:dyDescent="0.2">
      <c r="A10066" s="7" t="str">
        <f>HYPERLINK("https://otsuka-europe-crm.veevavault.com/ui/#object/account__v/V4TZ04ASGBUJPIP", "ALBERTO BATTICCIOTTO")</f>
        <v>ALBERTO BATTICCIOTTO</v>
      </c>
      <c r="B10066" s="7" t="str">
        <f>HYPERLINK("https://otsuka-europe-crm.veevavault.com/ui/#object/vcountry__v/VENZ000004SONFQ", "IT")</f>
        <v>IT</v>
      </c>
      <c r="C10066" s="8" t="s">
        <v>44</v>
      </c>
      <c r="D10066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066" s="10" t="str">
        <f>HYPERLINK("https://otsuka-europe-crm.veevavault.com/ui/#object/sent_email__v/VBL00000002U351", "SE-001436239")</f>
        <v>SE-001436239</v>
      </c>
      <c r="F10066" s="11"/>
      <c r="G10066" s="12">
        <v>0</v>
      </c>
      <c r="H10066" s="12">
        <v>0</v>
      </c>
      <c r="I10066" s="12">
        <v>0</v>
      </c>
      <c r="J10066" s="11"/>
      <c r="K10066" s="12">
        <v>0</v>
      </c>
      <c r="L10066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066" s="10" t="str">
        <f>HYPERLINK("mailto:giada.camassa@outsuka.it", "giada.camassa@outsuka.it")</f>
        <v>giada.camassa@outsuka.it</v>
      </c>
      <c r="N10066" s="13">
        <v>46190.33898148148</v>
      </c>
      <c r="O10066" s="14" t="str">
        <f>HYPERLINK("https://otsuka-europe-crm.veevavault.com/ui/#object/email_activity__v/V8C00000003W529", "EN-002097996")</f>
        <v>EN-002097996</v>
      </c>
    </row>
    <row r="10067" spans="1:15" ht="64" x14ac:dyDescent="0.2">
      <c r="A10067" s="7" t="str">
        <f>HYPERLINK("https://otsuka-europe-crm.veevavault.com/ui/#object/account__v/V4TZ04ASGC004XJ", "ALDO BIAGIO MOLICA COLELLA")</f>
        <v>ALDO BIAGIO MOLICA COLELLA</v>
      </c>
      <c r="B10067" s="7" t="str">
        <f>HYPERLINK("https://otsuka-europe-crm.veevavault.com/ui/#object/vcountry__v/VENZ000004SONFQ", "IT")</f>
        <v>IT</v>
      </c>
      <c r="C10067" s="8" t="s">
        <v>44</v>
      </c>
      <c r="D10067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067" s="10" t="str">
        <f>HYPERLINK("https://otsuka-europe-crm.veevavault.com/ui/#object/sent_email__v/VBL00000002U353", "SE-001436241")</f>
        <v>SE-001436241</v>
      </c>
      <c r="F10067" s="11"/>
      <c r="G10067" s="12">
        <v>0</v>
      </c>
      <c r="H10067" s="12">
        <v>0</v>
      </c>
      <c r="I10067" s="12">
        <v>0</v>
      </c>
      <c r="J10067" s="11"/>
      <c r="K10067" s="12">
        <v>0</v>
      </c>
      <c r="L10067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067" s="10" t="str">
        <f>HYPERLINK("mailto:giada.camassa@outsuka.it", "giada.camassa@outsuka.it")</f>
        <v>giada.camassa@outsuka.it</v>
      </c>
      <c r="N10067" s="13">
        <v>46190.33898148148</v>
      </c>
      <c r="O10067" s="14" t="str">
        <f>HYPERLINK("https://otsuka-europe-crm.veevavault.com/ui/#object/email_activity__v/V8C00000003X670", "EN-002098011")</f>
        <v>EN-002098011</v>
      </c>
    </row>
    <row r="10068" spans="1:15" ht="16" x14ac:dyDescent="0.2">
      <c r="A10068" s="17" t="str">
        <f>HYPERLINK("https://otsuka-europe-crm.veevavault.com/ui/#object/account__v/V4TZ04ASGBJLNZZ", "ALESSANDRA BORTOLUZZI")</f>
        <v>ALESSANDRA BORTOLUZZI</v>
      </c>
      <c r="B10068" s="17" t="str">
        <f>HYPERLINK("https://otsuka-europe-crm.veevavault.com/ui/#object/vcountry__v/VENZ000004SONFQ", "IT")</f>
        <v>IT</v>
      </c>
      <c r="C10068" s="20" t="s">
        <v>44</v>
      </c>
      <c r="D10068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068" s="22" t="str">
        <f>HYPERLINK("https://otsuka-europe-crm.veevavault.com/ui/#object/sent_email__v/VBL00000002U354", "SE-001436242")</f>
        <v>SE-001436242</v>
      </c>
      <c r="F10068" s="23">
        <v>46190.380879629629</v>
      </c>
      <c r="G10068" s="24">
        <v>1</v>
      </c>
      <c r="H10068" s="24">
        <v>1</v>
      </c>
      <c r="I10068" s="24">
        <v>0</v>
      </c>
      <c r="J10068" s="25"/>
      <c r="K10068" s="24">
        <v>0</v>
      </c>
      <c r="L10068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068" s="22" t="str">
        <f>HYPERLINK("mailto:giada.camassa@outsuka.it", "giada.camassa@outsuka.it")</f>
        <v>giada.camassa@outsuka.it</v>
      </c>
      <c r="N10068" s="23">
        <v>46190.337939814817</v>
      </c>
      <c r="O10068" s="14" t="str">
        <f>HYPERLINK("https://otsuka-europe-crm.veevavault.com/ui/#object/email_activity__v/V8C00000003X411", "EN-002097606")</f>
        <v>EN-002097606</v>
      </c>
    </row>
    <row r="10069" spans="1:15" ht="16" x14ac:dyDescent="0.2">
      <c r="A10069" s="19"/>
      <c r="B10069" s="19"/>
      <c r="C10069" s="19"/>
      <c r="D10069" s="19"/>
      <c r="E10069" s="19"/>
      <c r="F10069" s="19"/>
      <c r="G10069" s="19"/>
      <c r="H10069" s="19"/>
      <c r="I10069" s="19"/>
      <c r="J10069" s="19"/>
      <c r="K10069" s="19"/>
      <c r="L10069" s="19"/>
      <c r="M10069" s="19"/>
      <c r="N10069" s="19"/>
      <c r="O10069" s="14" t="str">
        <f>HYPERLINK("https://otsuka-europe-crm.veevavault.com/ui/#object/email_activity__v/V8C00000003X827", "EN-002098284")</f>
        <v>EN-002098284</v>
      </c>
    </row>
    <row r="10070" spans="1:15" ht="64" x14ac:dyDescent="0.2">
      <c r="A10070" s="7" t="str">
        <f>HYPERLINK("https://otsuka-europe-crm.veevavault.com/ui/#object/account__v/V4TZ025E83BB74H", "ALESSANDRA MUTTI")</f>
        <v>ALESSANDRA MUTTI</v>
      </c>
      <c r="B10070" s="7" t="str">
        <f>HYPERLINK("https://otsuka-europe-crm.veevavault.com/ui/#object/vcountry__v/VENZ000004SONFQ", "IT")</f>
        <v>IT</v>
      </c>
      <c r="C10070" s="8" t="s">
        <v>44</v>
      </c>
      <c r="D10070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070" s="10" t="str">
        <f>HYPERLINK("https://otsuka-europe-crm.veevavault.com/ui/#object/sent_email__v/VBL00000002U355", "SE-001436243")</f>
        <v>SE-001436243</v>
      </c>
      <c r="F10070" s="11"/>
      <c r="G10070" s="12">
        <v>0</v>
      </c>
      <c r="H10070" s="12">
        <v>0</v>
      </c>
      <c r="I10070" s="12">
        <v>0</v>
      </c>
      <c r="J10070" s="11"/>
      <c r="K10070" s="12">
        <v>0</v>
      </c>
      <c r="L10070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070" s="10" t="str">
        <f>HYPERLINK("mailto:giada.camassa@outsuka.it", "giada.camassa@outsuka.it")</f>
        <v>giada.camassa@outsuka.it</v>
      </c>
      <c r="N10070" s="13">
        <v>46190.337962962964</v>
      </c>
      <c r="O10070" s="14" t="str">
        <f>HYPERLINK("https://otsuka-europe-crm.veevavault.com/ui/#object/email_activity__v/V8C00000003W415", "EN-002097694")</f>
        <v>EN-002097694</v>
      </c>
    </row>
    <row r="10071" spans="1:15" ht="64" x14ac:dyDescent="0.2">
      <c r="A10071" s="7" t="str">
        <f>HYPERLINK("https://otsuka-europe-crm.veevavault.com/ui/#object/account__v/V4TZ04ASGBNL7LI", "ALESSANDRA POMPA")</f>
        <v>ALESSANDRA POMPA</v>
      </c>
      <c r="B10071" s="7" t="str">
        <f>HYPERLINK("https://otsuka-europe-crm.veevavault.com/ui/#object/vcountry__v/VENZ000004SONFQ", "IT")</f>
        <v>IT</v>
      </c>
      <c r="C10071" s="8" t="s">
        <v>44</v>
      </c>
      <c r="D10071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071" s="10" t="str">
        <f>HYPERLINK("https://otsuka-europe-crm.veevavault.com/ui/#object/sent_email__v/VBL00000002U356", "SE-001436244")</f>
        <v>SE-001436244</v>
      </c>
      <c r="F10071" s="11"/>
      <c r="G10071" s="12">
        <v>0</v>
      </c>
      <c r="H10071" s="12">
        <v>0</v>
      </c>
      <c r="I10071" s="12">
        <v>0</v>
      </c>
      <c r="J10071" s="11"/>
      <c r="K10071" s="12">
        <v>0</v>
      </c>
      <c r="L10071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071" s="10" t="str">
        <f>HYPERLINK("mailto:giada.camassa@outsuka.it", "giada.camassa@outsuka.it")</f>
        <v>giada.camassa@outsuka.it</v>
      </c>
      <c r="N10071" s="13">
        <v>46190.337893518517</v>
      </c>
      <c r="O10071" s="14" t="str">
        <f>HYPERLINK("https://otsuka-europe-crm.veevavault.com/ui/#object/email_activity__v/V8C00000003X254", "EN-002097429")</f>
        <v>EN-002097429</v>
      </c>
    </row>
    <row r="10072" spans="1:15" ht="16" x14ac:dyDescent="0.2">
      <c r="A10072" s="17" t="str">
        <f>HYPERLINK("https://otsuka-europe-crm.veevavault.com/ui/#object/account__v/V4TZ04ASGBJAKFI", "ALFONSO ORIENTE")</f>
        <v>ALFONSO ORIENTE</v>
      </c>
      <c r="B10072" s="17" t="str">
        <f>HYPERLINK("https://otsuka-europe-crm.veevavault.com/ui/#object/vcountry__v/VENZ000004SONFQ", "IT")</f>
        <v>IT</v>
      </c>
      <c r="C10072" s="20" t="s">
        <v>44</v>
      </c>
      <c r="D10072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072" s="22" t="str">
        <f>HYPERLINK("https://otsuka-europe-crm.veevavault.com/ui/#object/sent_email__v/VBL00000002U357", "SE-001436245")</f>
        <v>SE-001436245</v>
      </c>
      <c r="F10072" s="23">
        <v>46190.338194444441</v>
      </c>
      <c r="G10072" s="24">
        <v>1</v>
      </c>
      <c r="H10072" s="24">
        <v>1</v>
      </c>
      <c r="I10072" s="24">
        <v>0</v>
      </c>
      <c r="J10072" s="25"/>
      <c r="K10072" s="24">
        <v>0</v>
      </c>
      <c r="L10072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072" s="22" t="str">
        <f>HYPERLINK("mailto:giada.camassa@outsuka.it", "giada.camassa@outsuka.it")</f>
        <v>giada.camassa@outsuka.it</v>
      </c>
      <c r="N10072" s="23">
        <v>46190.337939814817</v>
      </c>
      <c r="O10072" s="14" t="str">
        <f>HYPERLINK("https://otsuka-europe-crm.veevavault.com/ui/#object/email_activity__v/V8C00000003X510", "EN-002097753")</f>
        <v>EN-002097753</v>
      </c>
    </row>
    <row r="10073" spans="1:15" ht="16" x14ac:dyDescent="0.2">
      <c r="A10073" s="19"/>
      <c r="B10073" s="19"/>
      <c r="C10073" s="19"/>
      <c r="D10073" s="19"/>
      <c r="E10073" s="19"/>
      <c r="F10073" s="19"/>
      <c r="G10073" s="19"/>
      <c r="H10073" s="19"/>
      <c r="I10073" s="19"/>
      <c r="J10073" s="19"/>
      <c r="K10073" s="19"/>
      <c r="L10073" s="19"/>
      <c r="M10073" s="19"/>
      <c r="N10073" s="19"/>
      <c r="O10073" s="14" t="str">
        <f>HYPERLINK("https://otsuka-europe-crm.veevavault.com/ui/#object/email_activity__v/V8C00000003X580", "EN-002097876")</f>
        <v>EN-002097876</v>
      </c>
    </row>
    <row r="10074" spans="1:15" ht="64" x14ac:dyDescent="0.2">
      <c r="A10074" s="7" t="str">
        <f>HYPERLINK("https://otsuka-europe-crm.veevavault.com/ui/#object/account__v/V4TZ04ASGBU2CBG", "ALVISE BERTI")</f>
        <v>ALVISE BERTI</v>
      </c>
      <c r="B10074" s="7" t="str">
        <f>HYPERLINK("https://otsuka-europe-crm.veevavault.com/ui/#object/vcountry__v/VENZ000004SONFQ", "IT")</f>
        <v>IT</v>
      </c>
      <c r="C10074" s="8" t="s">
        <v>44</v>
      </c>
      <c r="D10074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074" s="10" t="str">
        <f>HYPERLINK("https://otsuka-europe-crm.veevavault.com/ui/#object/sent_email__v/VBL00000002U358", "SE-001436246")</f>
        <v>SE-001436246</v>
      </c>
      <c r="F10074" s="11"/>
      <c r="G10074" s="12">
        <v>0</v>
      </c>
      <c r="H10074" s="12">
        <v>0</v>
      </c>
      <c r="I10074" s="12">
        <v>0</v>
      </c>
      <c r="J10074" s="11"/>
      <c r="K10074" s="12">
        <v>0</v>
      </c>
      <c r="L10074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074" s="10" t="str">
        <f>HYPERLINK("mailto:giada.camassa@outsuka.it", "giada.camassa@outsuka.it")</f>
        <v>giada.camassa@outsuka.it</v>
      </c>
      <c r="N10074" s="13">
        <v>46190.337951388887</v>
      </c>
      <c r="O10074" s="14" t="str">
        <f>HYPERLINK("https://otsuka-europe-crm.veevavault.com/ui/#object/email_activity__v/V8C00000003X394", "EN-002097589")</f>
        <v>EN-002097589</v>
      </c>
    </row>
    <row r="10075" spans="1:15" ht="64" x14ac:dyDescent="0.2">
      <c r="A10075" s="7" t="str">
        <f>HYPERLINK("https://otsuka-europe-crm.veevavault.com/ui/#object/account__v/V4TZ06G6O8S4SM4", "ANDREA DORIA")</f>
        <v>ANDREA DORIA</v>
      </c>
      <c r="B10075" s="7" t="str">
        <f>HYPERLINK("https://otsuka-europe-crm.veevavault.com/ui/#object/vcountry__v/VENZ000004SONFQ", "IT")</f>
        <v>IT</v>
      </c>
      <c r="C10075" s="8" t="s">
        <v>44</v>
      </c>
      <c r="D10075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075" s="10" t="str">
        <f>HYPERLINK("https://otsuka-europe-crm.veevavault.com/ui/#object/sent_email__v/VBL00000002U359", "SE-001436247")</f>
        <v>SE-001436247</v>
      </c>
      <c r="F10075" s="11"/>
      <c r="G10075" s="12">
        <v>0</v>
      </c>
      <c r="H10075" s="12">
        <v>0</v>
      </c>
      <c r="I10075" s="12">
        <v>0</v>
      </c>
      <c r="J10075" s="11"/>
      <c r="K10075" s="12">
        <v>0</v>
      </c>
      <c r="L10075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075" s="10" t="str">
        <f>HYPERLINK("mailto:giada.camassa@outsuka.it", "giada.camassa@outsuka.it")</f>
        <v>giada.camassa@outsuka.it</v>
      </c>
      <c r="N10075" s="13">
        <v>46190.337916666664</v>
      </c>
      <c r="O10075" s="14" t="str">
        <f>HYPERLINK("https://otsuka-europe-crm.veevavault.com/ui/#object/email_activity__v/V8C00000003X416", "EN-002097611")</f>
        <v>EN-002097611</v>
      </c>
    </row>
    <row r="10076" spans="1:15" ht="64" x14ac:dyDescent="0.2">
      <c r="A10076" s="7" t="str">
        <f>HYPERLINK("https://otsuka-europe-crm.veevavault.com/ui/#object/account__v/V4TZ04ASGBUJPKN", "ANDREA PICCHIANTI DIAMANTI")</f>
        <v>ANDREA PICCHIANTI DIAMANTI</v>
      </c>
      <c r="B10076" s="7" t="str">
        <f>HYPERLINK("https://otsuka-europe-crm.veevavault.com/ui/#object/vcountry__v/VENZ000004SONFQ", "IT")</f>
        <v>IT</v>
      </c>
      <c r="C10076" s="8" t="s">
        <v>44</v>
      </c>
      <c r="D10076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076" s="10" t="str">
        <f>HYPERLINK("https://otsuka-europe-crm.veevavault.com/ui/#object/sent_email__v/VBL00000002U360", "SE-001436248")</f>
        <v>SE-001436248</v>
      </c>
      <c r="F10076" s="11"/>
      <c r="G10076" s="12">
        <v>0</v>
      </c>
      <c r="H10076" s="12">
        <v>0</v>
      </c>
      <c r="I10076" s="12">
        <v>0</v>
      </c>
      <c r="J10076" s="11"/>
      <c r="K10076" s="12">
        <v>0</v>
      </c>
      <c r="L10076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076" s="10" t="str">
        <f>HYPERLINK("mailto:giada.camassa@outsuka.it", "giada.camassa@outsuka.it")</f>
        <v>giada.camassa@outsuka.it</v>
      </c>
      <c r="N10076" s="13">
        <v>46190.337835648148</v>
      </c>
      <c r="O10076" s="14" t="str">
        <f>HYPERLINK("https://otsuka-europe-crm.veevavault.com/ui/#object/email_activity__v/V8C00000003X455", "EN-002097792")</f>
        <v>EN-002097792</v>
      </c>
    </row>
    <row r="10077" spans="1:15" ht="16" x14ac:dyDescent="0.2">
      <c r="A10077" s="17" t="str">
        <f>HYPERLINK("https://otsuka-europe-crm.veevavault.com/ui/#object/account__v/V4TZ04ASGDU5CQD", "ANGELA ANNA PADULA")</f>
        <v>ANGELA ANNA PADULA</v>
      </c>
      <c r="B10077" s="17" t="str">
        <f>HYPERLINK("https://otsuka-europe-crm.veevavault.com/ui/#object/vcountry__v/VENZ000004SONFQ", "IT")</f>
        <v>IT</v>
      </c>
      <c r="C10077" s="20" t="s">
        <v>44</v>
      </c>
      <c r="D10077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077" s="22" t="str">
        <f>HYPERLINK("https://otsuka-europe-crm.veevavault.com/ui/#object/sent_email__v/VBL00000002U361", "SE-001436249")</f>
        <v>SE-001436249</v>
      </c>
      <c r="F10077" s="23">
        <v>46190.875601851854</v>
      </c>
      <c r="G10077" s="24">
        <v>1</v>
      </c>
      <c r="H10077" s="24">
        <v>1</v>
      </c>
      <c r="I10077" s="24">
        <v>0</v>
      </c>
      <c r="J10077" s="25"/>
      <c r="K10077" s="24">
        <v>0</v>
      </c>
      <c r="L10077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077" s="22" t="str">
        <f>HYPERLINK("mailto:giada.camassa@outsuka.it", "giada.camassa@outsuka.it")</f>
        <v>giada.camassa@outsuka.it</v>
      </c>
      <c r="N10077" s="23">
        <v>46190.339849537035</v>
      </c>
      <c r="O10077" s="14" t="str">
        <f>HYPERLINK("https://otsuka-europe-crm.veevavault.com/ui/#object/email_activity__v/V8C00000003X758", "EN-002098161")</f>
        <v>EN-002098161</v>
      </c>
    </row>
    <row r="10078" spans="1:15" ht="16" x14ac:dyDescent="0.2">
      <c r="A10078" s="19"/>
      <c r="B10078" s="19"/>
      <c r="C10078" s="19"/>
      <c r="D10078" s="19"/>
      <c r="E10078" s="19"/>
      <c r="F10078" s="19"/>
      <c r="G10078" s="19"/>
      <c r="H10078" s="19"/>
      <c r="I10078" s="19"/>
      <c r="J10078" s="19"/>
      <c r="K10078" s="19"/>
      <c r="L10078" s="19"/>
      <c r="M10078" s="19"/>
      <c r="N10078" s="19"/>
      <c r="O10078" s="14" t="str">
        <f>HYPERLINK("https://otsuka-europe-crm.veevavault.com/ui/#object/email_activity__v/V8C00000003X937", "EN-002098490")</f>
        <v>EN-002098490</v>
      </c>
    </row>
    <row r="10079" spans="1:15" ht="64" x14ac:dyDescent="0.2">
      <c r="A10079" s="7" t="str">
        <f>HYPERLINK("https://otsuka-europe-crm.veevavault.com/ui/#object/account__v/V4TZ025E83DC7O9", "ANGELO DE CATA")</f>
        <v>ANGELO DE CATA</v>
      </c>
      <c r="B10079" s="7" t="str">
        <f>HYPERLINK("https://otsuka-europe-crm.veevavault.com/ui/#object/vcountry__v/VENZ000004SONFQ", "IT")</f>
        <v>IT</v>
      </c>
      <c r="C10079" s="8" t="s">
        <v>44</v>
      </c>
      <c r="D10079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079" s="10" t="str">
        <f>HYPERLINK("https://otsuka-europe-crm.veevavault.com/ui/#object/sent_email__v/VBL00000002U363", "SE-001436251")</f>
        <v>SE-001436251</v>
      </c>
      <c r="F10079" s="11"/>
      <c r="G10079" s="12">
        <v>0</v>
      </c>
      <c r="H10079" s="12">
        <v>0</v>
      </c>
      <c r="I10079" s="12">
        <v>0</v>
      </c>
      <c r="J10079" s="11"/>
      <c r="K10079" s="12">
        <v>0</v>
      </c>
      <c r="L10079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079" s="10" t="str">
        <f>HYPERLINK("mailto:giada.camassa@outsuka.it", "giada.camassa@outsuka.it")</f>
        <v>giada.camassa@outsuka.it</v>
      </c>
      <c r="N10079" s="13">
        <v>46190.339606481481</v>
      </c>
      <c r="O10079" s="14" t="str">
        <f>HYPERLINK("https://otsuka-europe-crm.veevavault.com/ui/#object/email_activity__v/V8C00000003W589", "EN-002098131")</f>
        <v>EN-002098131</v>
      </c>
    </row>
    <row r="10080" spans="1:15" ht="64" x14ac:dyDescent="0.2">
      <c r="A10080" s="7" t="str">
        <f>HYPERLINK("https://otsuka-europe-crm.veevavault.com/ui/#object/account__v/V4TZ04ASGCDEYDM", "ANGELO NIGRO")</f>
        <v>ANGELO NIGRO</v>
      </c>
      <c r="B10080" s="7" t="str">
        <f>HYPERLINK("https://otsuka-europe-crm.veevavault.com/ui/#object/vcountry__v/VENZ000004SONFQ", "IT")</f>
        <v>IT</v>
      </c>
      <c r="C10080" s="8" t="s">
        <v>44</v>
      </c>
      <c r="D10080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080" s="10" t="str">
        <f>HYPERLINK("https://otsuka-europe-crm.veevavault.com/ui/#object/sent_email__v/VBL00000002U364", "SE-001436252")</f>
        <v>SE-001436252</v>
      </c>
      <c r="F10080" s="11"/>
      <c r="G10080" s="12">
        <v>0</v>
      </c>
      <c r="H10080" s="12">
        <v>0</v>
      </c>
      <c r="I10080" s="12">
        <v>0</v>
      </c>
      <c r="J10080" s="11"/>
      <c r="K10080" s="12">
        <v>0</v>
      </c>
      <c r="L10080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080" s="10" t="str">
        <f>HYPERLINK("mailto:giada.camassa@outsuka.it", "giada.camassa@outsuka.it")</f>
        <v>giada.camassa@outsuka.it</v>
      </c>
      <c r="N10080" s="13">
        <v>46190.337916666664</v>
      </c>
      <c r="O10080" s="14" t="str">
        <f>HYPERLINK("https://otsuka-europe-crm.veevavault.com/ui/#object/email_activity__v/V8C00000003W455", "EN-002097778")</f>
        <v>EN-002097778</v>
      </c>
    </row>
    <row r="10081" spans="1:15" ht="64" x14ac:dyDescent="0.2">
      <c r="A10081" s="7" t="str">
        <f>HYPERLINK("https://otsuka-europe-crm.veevavault.com/ui/#object/account__v/V4TZ04ASGBCE9K6", "ANNA MERCHIONDA")</f>
        <v>ANNA MERCHIONDA</v>
      </c>
      <c r="B10081" s="7" t="str">
        <f>HYPERLINK("https://otsuka-europe-crm.veevavault.com/ui/#object/vcountry__v/VENZ000004SONFQ", "IT")</f>
        <v>IT</v>
      </c>
      <c r="C10081" s="8" t="s">
        <v>44</v>
      </c>
      <c r="D10081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081" s="10" t="str">
        <f>HYPERLINK("https://otsuka-europe-crm.veevavault.com/ui/#object/sent_email__v/VBL00000002U365", "SE-001436253")</f>
        <v>SE-001436253</v>
      </c>
      <c r="F10081" s="11"/>
      <c r="G10081" s="12">
        <v>0</v>
      </c>
      <c r="H10081" s="12">
        <v>0</v>
      </c>
      <c r="I10081" s="12">
        <v>0</v>
      </c>
      <c r="J10081" s="11"/>
      <c r="K10081" s="12">
        <v>0</v>
      </c>
      <c r="L10081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081" s="10" t="str">
        <f>HYPERLINK("mailto:giada.camassa@outsuka.it", "giada.camassa@outsuka.it")</f>
        <v>giada.camassa@outsuka.it</v>
      </c>
      <c r="N10081" s="13">
        <v>46190.337905092594</v>
      </c>
      <c r="O10081" s="14" t="str">
        <f>HYPERLINK("https://otsuka-europe-crm.veevavault.com/ui/#object/email_activity__v/V8C00000003X621", "EN-002097943")</f>
        <v>EN-002097943</v>
      </c>
    </row>
    <row r="10082" spans="1:15" ht="16" x14ac:dyDescent="0.2">
      <c r="A10082" s="17" t="str">
        <f>HYPERLINK("https://otsuka-europe-crm.veevavault.com/ui/#object/account__v/V4TZ04ASGB95YHW", "ANNA PARISI")</f>
        <v>ANNA PARISI</v>
      </c>
      <c r="B10082" s="17" t="str">
        <f>HYPERLINK("https://otsuka-europe-crm.veevavault.com/ui/#object/vcountry__v/VENZ000004SONFQ", "IT")</f>
        <v>IT</v>
      </c>
      <c r="C10082" s="20" t="s">
        <v>44</v>
      </c>
      <c r="D10082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082" s="22" t="str">
        <f>HYPERLINK("https://otsuka-europe-crm.veevavault.com/ui/#object/sent_email__v/VBL00000002U366", "SE-001436254")</f>
        <v>SE-001436254</v>
      </c>
      <c r="F10082" s="25"/>
      <c r="G10082" s="24">
        <v>0</v>
      </c>
      <c r="H10082" s="24">
        <v>0</v>
      </c>
      <c r="I10082" s="24">
        <v>0</v>
      </c>
      <c r="J10082" s="25"/>
      <c r="K10082" s="24">
        <v>0</v>
      </c>
      <c r="L10082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082" s="22" t="str">
        <f>HYPERLINK("mailto:giada.camassa@outsuka.it", "giada.camassa@outsuka.it")</f>
        <v>giada.camassa@outsuka.it</v>
      </c>
      <c r="N10082" s="23">
        <v>46190.339988425927</v>
      </c>
      <c r="O10082" s="14" t="str">
        <f>HYPERLINK("https://otsuka-europe-crm.veevavault.com/ui/#object/email_activity__v/V8C00000003W756", "EN-002098513")</f>
        <v>EN-002098513</v>
      </c>
    </row>
    <row r="10083" spans="1:15" ht="16" x14ac:dyDescent="0.2">
      <c r="A10083" s="19"/>
      <c r="B10083" s="19"/>
      <c r="C10083" s="19"/>
      <c r="D10083" s="19"/>
      <c r="E10083" s="19"/>
      <c r="F10083" s="19"/>
      <c r="G10083" s="19"/>
      <c r="H10083" s="19"/>
      <c r="I10083" s="19"/>
      <c r="J10083" s="19"/>
      <c r="K10083" s="19"/>
      <c r="L10083" s="19"/>
      <c r="M10083" s="19"/>
      <c r="N10083" s="19"/>
      <c r="O10083" s="14" t="str">
        <f>HYPERLINK("https://otsuka-europe-crm.veevavault.com/ui/#object/email_activity__v/V8C00000003X765", "EN-002098168")</f>
        <v>EN-002098168</v>
      </c>
    </row>
    <row r="10084" spans="1:15" ht="64" x14ac:dyDescent="0.2">
      <c r="A10084" s="7" t="str">
        <f>HYPERLINK("https://otsuka-europe-crm.veevavault.com/ui/#object/account__v/V4TZ04ASGDP37C0", "ANNAMARIA PAGLIONICO")</f>
        <v>ANNAMARIA PAGLIONICO</v>
      </c>
      <c r="B10084" s="7" t="str">
        <f>HYPERLINK("https://otsuka-europe-crm.veevavault.com/ui/#object/vcountry__v/VENZ000004SONFQ", "IT")</f>
        <v>IT</v>
      </c>
      <c r="C10084" s="8" t="s">
        <v>44</v>
      </c>
      <c r="D10084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084" s="10" t="str">
        <f>HYPERLINK("https://otsuka-europe-crm.veevavault.com/ui/#object/sent_email__v/VBL00000002U367", "SE-001436255")</f>
        <v>SE-001436255</v>
      </c>
      <c r="F10084" s="11"/>
      <c r="G10084" s="12">
        <v>0</v>
      </c>
      <c r="H10084" s="12">
        <v>0</v>
      </c>
      <c r="I10084" s="12">
        <v>0</v>
      </c>
      <c r="J10084" s="11"/>
      <c r="K10084" s="12">
        <v>0</v>
      </c>
      <c r="L10084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084" s="10" t="str">
        <f>HYPERLINK("mailto:giada.camassa@outsuka.it", "giada.camassa@outsuka.it")</f>
        <v>giada.camassa@outsuka.it</v>
      </c>
      <c r="N10084" s="13">
        <v>46190.339375000003</v>
      </c>
      <c r="O10084" s="14" t="str">
        <f>HYPERLINK("https://otsuka-europe-crm.veevavault.com/ui/#object/email_activity__v/V8C00000003X710", "EN-002098080")</f>
        <v>EN-002098080</v>
      </c>
    </row>
    <row r="10085" spans="1:15" ht="16" x14ac:dyDescent="0.2">
      <c r="A10085" s="17" t="str">
        <f>HYPERLINK("https://otsuka-europe-crm.veevavault.com/ui/#object/account__v/V4TZ04ASGBUJPNG", "ANTONELLA CAPPELLI")</f>
        <v>ANTONELLA CAPPELLI</v>
      </c>
      <c r="B10085" s="17" t="str">
        <f>HYPERLINK("https://otsuka-europe-crm.veevavault.com/ui/#object/vcountry__v/VENZ000004SONFQ", "IT")</f>
        <v>IT</v>
      </c>
      <c r="C10085" s="20" t="s">
        <v>44</v>
      </c>
      <c r="D10085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085" s="22" t="str">
        <f>HYPERLINK("https://otsuka-europe-crm.veevavault.com/ui/#object/sent_email__v/VBL00000002U368", "SE-001436256")</f>
        <v>SE-001436256</v>
      </c>
      <c r="F10085" s="23">
        <v>46191.273009259261</v>
      </c>
      <c r="G10085" s="24">
        <v>1</v>
      </c>
      <c r="H10085" s="24">
        <v>2</v>
      </c>
      <c r="I10085" s="24">
        <v>0</v>
      </c>
      <c r="J10085" s="25"/>
      <c r="K10085" s="24">
        <v>0</v>
      </c>
      <c r="L10085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085" s="22" t="str">
        <f>HYPERLINK("mailto:giada.camassa@outsuka.it", "giada.camassa@outsuka.it")</f>
        <v>giada.camassa@outsuka.it</v>
      </c>
      <c r="N10085" s="23">
        <v>46190.337881944448</v>
      </c>
      <c r="O10085" s="14" t="str">
        <f>HYPERLINK("https://otsuka-europe-crm.veevavault.com/ui/#object/email_activity__v/V8C00000003X313", "EN-002097504")</f>
        <v>EN-002097504</v>
      </c>
    </row>
    <row r="10086" spans="1:15" ht="16" x14ac:dyDescent="0.2">
      <c r="A10086" s="18"/>
      <c r="B10086" s="18"/>
      <c r="C10086" s="18"/>
      <c r="D10086" s="18"/>
      <c r="E10086" s="18"/>
      <c r="F10086" s="18"/>
      <c r="G10086" s="18"/>
      <c r="H10086" s="18"/>
      <c r="I10086" s="18"/>
      <c r="J10086" s="18"/>
      <c r="K10086" s="18"/>
      <c r="L10086" s="18"/>
      <c r="M10086" s="18"/>
      <c r="N10086" s="18"/>
      <c r="O10086" s="14" t="str">
        <f>HYPERLINK("https://otsuka-europe-crm.veevavault.com/ui/#object/email_activity__v/V8C00000003X955", "EN-002098520")</f>
        <v>EN-002098520</v>
      </c>
    </row>
    <row r="10087" spans="1:15" ht="16" x14ac:dyDescent="0.2">
      <c r="A10087" s="19"/>
      <c r="B10087" s="19"/>
      <c r="C10087" s="19"/>
      <c r="D10087" s="19"/>
      <c r="E10087" s="19"/>
      <c r="F10087" s="19"/>
      <c r="G10087" s="19"/>
      <c r="H10087" s="19"/>
      <c r="I10087" s="19"/>
      <c r="J10087" s="19"/>
      <c r="K10087" s="19"/>
      <c r="L10087" s="19"/>
      <c r="M10087" s="19"/>
      <c r="N10087" s="19"/>
      <c r="O10087" s="14" t="str">
        <f>HYPERLINK("https://otsuka-europe-crm.veevavault.com/ui/#object/email_activity__v/V8C00000003X956", "EN-002098521")</f>
        <v>EN-002098521</v>
      </c>
    </row>
    <row r="10088" spans="1:15" ht="16" x14ac:dyDescent="0.2">
      <c r="A10088" s="17" t="str">
        <f>HYPERLINK("https://otsuka-europe-crm.veevavault.com/ui/#object/account__v/V4TZ04ASGB4URAS", "ANTONIO DEL PUENTE")</f>
        <v>ANTONIO DEL PUENTE</v>
      </c>
      <c r="B10088" s="17" t="str">
        <f>HYPERLINK("https://otsuka-europe-crm.veevavault.com/ui/#object/vcountry__v/VENZ000004SONFQ", "IT")</f>
        <v>IT</v>
      </c>
      <c r="C10088" s="20" t="s">
        <v>44</v>
      </c>
      <c r="D10088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088" s="22" t="str">
        <f>HYPERLINK("https://otsuka-europe-crm.veevavault.com/ui/#object/sent_email__v/VBL00000002U370", "SE-001436258")</f>
        <v>SE-001436258</v>
      </c>
      <c r="F10088" s="23">
        <v>46190.33902777778</v>
      </c>
      <c r="G10088" s="24">
        <v>1</v>
      </c>
      <c r="H10088" s="24">
        <v>1</v>
      </c>
      <c r="I10088" s="24">
        <v>0</v>
      </c>
      <c r="J10088" s="25"/>
      <c r="K10088" s="24">
        <v>0</v>
      </c>
      <c r="L10088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088" s="22" t="str">
        <f>HYPERLINK("mailto:giada.camassa@outsuka.it", "giada.camassa@outsuka.it")</f>
        <v>giada.camassa@outsuka.it</v>
      </c>
      <c r="N10088" s="23">
        <v>46190.338842592595</v>
      </c>
      <c r="O10088" s="14" t="str">
        <f>HYPERLINK("https://otsuka-europe-crm.veevavault.com/ui/#object/email_activity__v/V8C00000003X641", "EN-002097972")</f>
        <v>EN-002097972</v>
      </c>
    </row>
    <row r="10089" spans="1:15" ht="16" x14ac:dyDescent="0.2">
      <c r="A10089" s="19"/>
      <c r="B10089" s="19"/>
      <c r="C10089" s="19"/>
      <c r="D10089" s="19"/>
      <c r="E10089" s="19"/>
      <c r="F10089" s="19"/>
      <c r="G10089" s="19"/>
      <c r="H10089" s="19"/>
      <c r="I10089" s="19"/>
      <c r="J10089" s="19"/>
      <c r="K10089" s="19"/>
      <c r="L10089" s="19"/>
      <c r="M10089" s="19"/>
      <c r="N10089" s="19"/>
      <c r="O10089" s="14" t="str">
        <f>HYPERLINK("https://otsuka-europe-crm.veevavault.com/ui/#object/email_activity__v/V8C00000003X659", "EN-002097993")</f>
        <v>EN-002097993</v>
      </c>
    </row>
    <row r="10090" spans="1:15" ht="16" x14ac:dyDescent="0.2">
      <c r="A10090" s="17" t="str">
        <f>HYPERLINK("https://otsuka-europe-crm.veevavault.com/ui/#object/account__v/V4TZ04ASGC7DXDO", "AUGUSTA ORTOLAN")</f>
        <v>AUGUSTA ORTOLAN</v>
      </c>
      <c r="B10090" s="17" t="str">
        <f>HYPERLINK("https://otsuka-europe-crm.veevavault.com/ui/#object/vcountry__v/VENZ000004SONFQ", "IT")</f>
        <v>IT</v>
      </c>
      <c r="C10090" s="20" t="s">
        <v>44</v>
      </c>
      <c r="D10090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090" s="22" t="str">
        <f>HYPERLINK("https://otsuka-europe-crm.veevavault.com/ui/#object/sent_email__v/VBL00000002U371", "SE-001436259")</f>
        <v>SE-001436259</v>
      </c>
      <c r="F10090" s="23">
        <v>46190.338101851848</v>
      </c>
      <c r="G10090" s="24">
        <v>1</v>
      </c>
      <c r="H10090" s="24">
        <v>1</v>
      </c>
      <c r="I10090" s="24">
        <v>0</v>
      </c>
      <c r="J10090" s="25"/>
      <c r="K10090" s="24">
        <v>0</v>
      </c>
      <c r="L10090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090" s="22" t="str">
        <f>HYPERLINK("mailto:giada.camassa@outsuka.it", "giada.camassa@outsuka.it")</f>
        <v>giada.camassa@outsuka.it</v>
      </c>
      <c r="N10090" s="23">
        <v>46190.33792824074</v>
      </c>
      <c r="O10090" s="14" t="str">
        <f>HYPERLINK("https://otsuka-europe-crm.veevavault.com/ui/#object/email_activity__v/V8C00000003W463", "EN-002097786")</f>
        <v>EN-002097786</v>
      </c>
    </row>
    <row r="10091" spans="1:15" ht="16" x14ac:dyDescent="0.2">
      <c r="A10091" s="19"/>
      <c r="B10091" s="19"/>
      <c r="C10091" s="19"/>
      <c r="D10091" s="19"/>
      <c r="E10091" s="19"/>
      <c r="F10091" s="19"/>
      <c r="G10091" s="19"/>
      <c r="H10091" s="19"/>
      <c r="I10091" s="19"/>
      <c r="J10091" s="19"/>
      <c r="K10091" s="19"/>
      <c r="L10091" s="19"/>
      <c r="M10091" s="19"/>
      <c r="N10091" s="19"/>
      <c r="O10091" s="14" t="str">
        <f>HYPERLINK("https://otsuka-europe-crm.veevavault.com/ui/#object/email_activity__v/V8C00000003X507", "EN-002097750")</f>
        <v>EN-002097750</v>
      </c>
    </row>
    <row r="10092" spans="1:15" ht="16" x14ac:dyDescent="0.2">
      <c r="A10092" s="17" t="str">
        <f>HYPERLINK("https://otsuka-europe-crm.veevavault.com/ui/#object/account__v/V4TZ04ASGBCHC4Z", "BARBARA KROEGLER")</f>
        <v>BARBARA KROEGLER</v>
      </c>
      <c r="B10092" s="17" t="str">
        <f>HYPERLINK("https://otsuka-europe-crm.veevavault.com/ui/#object/vcountry__v/VENZ000004SONFQ", "IT")</f>
        <v>IT</v>
      </c>
      <c r="C10092" s="20" t="s">
        <v>44</v>
      </c>
      <c r="D10092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092" s="22" t="str">
        <f>HYPERLINK("https://otsuka-europe-crm.veevavault.com/ui/#object/sent_email__v/VBL00000002U372", "SE-001436260")</f>
        <v>SE-001436260</v>
      </c>
      <c r="F10092" s="25"/>
      <c r="G10092" s="24">
        <v>0</v>
      </c>
      <c r="H10092" s="24">
        <v>0</v>
      </c>
      <c r="I10092" s="24">
        <v>0</v>
      </c>
      <c r="J10092" s="25"/>
      <c r="K10092" s="24">
        <v>0</v>
      </c>
      <c r="L10092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092" s="22" t="str">
        <f>HYPERLINK("mailto:giada.camassa@outsuka.it", "giada.camassa@outsuka.it")</f>
        <v>giada.camassa@outsuka.it</v>
      </c>
      <c r="N10092" s="23">
        <v>46190.338240740741</v>
      </c>
      <c r="O10092" s="14" t="str">
        <f>HYPERLINK("https://otsuka-europe-crm.veevavault.com/ui/#object/email_activity__v/V8C00000003W731", "EN-002098444")</f>
        <v>EN-002098444</v>
      </c>
    </row>
    <row r="10093" spans="1:15" ht="16" x14ac:dyDescent="0.2">
      <c r="A10093" s="18"/>
      <c r="B10093" s="18"/>
      <c r="C10093" s="18"/>
      <c r="D10093" s="18"/>
      <c r="E10093" s="18"/>
      <c r="F10093" s="18"/>
      <c r="G10093" s="18"/>
      <c r="H10093" s="18"/>
      <c r="I10093" s="18"/>
      <c r="J10093" s="18"/>
      <c r="K10093" s="18"/>
      <c r="L10093" s="18"/>
      <c r="M10093" s="18"/>
      <c r="N10093" s="18"/>
      <c r="O10093" s="14" t="str">
        <f>HYPERLINK("https://otsuka-europe-crm.veevavault.com/ui/#object/email_activity__v/V8C00000003X582", "EN-002097884")</f>
        <v>EN-002097884</v>
      </c>
    </row>
    <row r="10094" spans="1:15" ht="16" x14ac:dyDescent="0.2">
      <c r="A10094" s="18"/>
      <c r="B10094" s="18"/>
      <c r="C10094" s="18"/>
      <c r="D10094" s="18"/>
      <c r="E10094" s="18"/>
      <c r="F10094" s="18"/>
      <c r="G10094" s="18"/>
      <c r="H10094" s="18"/>
      <c r="I10094" s="18"/>
      <c r="J10094" s="18"/>
      <c r="K10094" s="18"/>
      <c r="L10094" s="18"/>
      <c r="M10094" s="18"/>
      <c r="N10094" s="18"/>
      <c r="O10094" s="14" t="str">
        <f>HYPERLINK("https://otsuka-europe-crm.veevavault.com/ui/#object/email_activity__v/V8C00000003X922", "EN-002098463")</f>
        <v>EN-002098463</v>
      </c>
    </row>
    <row r="10095" spans="1:15" ht="16" x14ac:dyDescent="0.2">
      <c r="A10095" s="18"/>
      <c r="B10095" s="18"/>
      <c r="C10095" s="18"/>
      <c r="D10095" s="18"/>
      <c r="E10095" s="18"/>
      <c r="F10095" s="18"/>
      <c r="G10095" s="18"/>
      <c r="H10095" s="18"/>
      <c r="I10095" s="18"/>
      <c r="J10095" s="18"/>
      <c r="K10095" s="18"/>
      <c r="L10095" s="18"/>
      <c r="M10095" s="18"/>
      <c r="N10095" s="18"/>
      <c r="O10095" s="14" t="str">
        <f>HYPERLINK("https://otsuka-europe-crm.veevavault.com/ui/#object/email_activity__v/V8C00000003Z253", "EN-002099100")</f>
        <v>EN-002099100</v>
      </c>
    </row>
    <row r="10096" spans="1:15" ht="16" x14ac:dyDescent="0.2">
      <c r="A10096" s="19"/>
      <c r="B10096" s="19"/>
      <c r="C10096" s="19"/>
      <c r="D10096" s="19"/>
      <c r="E10096" s="19"/>
      <c r="F10096" s="19"/>
      <c r="G10096" s="19"/>
      <c r="H10096" s="19"/>
      <c r="I10096" s="19"/>
      <c r="J10096" s="19"/>
      <c r="K10096" s="19"/>
      <c r="L10096" s="19"/>
      <c r="M10096" s="19"/>
      <c r="N10096" s="19"/>
      <c r="O10096" s="14" t="str">
        <f>HYPERLINK("https://otsuka-europe-crm.veevavault.com/ui/#object/email_activity__v/V8C000000040228", "EN-002099113")</f>
        <v>EN-002099113</v>
      </c>
    </row>
    <row r="10097" spans="1:15" ht="16" x14ac:dyDescent="0.2">
      <c r="A10097" s="17" t="str">
        <f>HYPERLINK("https://otsuka-europe-crm.veevavault.com/ui/#object/account__v/V4TZ025E831YQBJ", "CARLO PERRICONE")</f>
        <v>CARLO PERRICONE</v>
      </c>
      <c r="B10097" s="17" t="str">
        <f>HYPERLINK("https://otsuka-europe-crm.veevavault.com/ui/#object/vcountry__v/VENZ000004SONFQ", "IT")</f>
        <v>IT</v>
      </c>
      <c r="C10097" s="20" t="s">
        <v>44</v>
      </c>
      <c r="D10097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097" s="22" t="str">
        <f>HYPERLINK("https://otsuka-europe-crm.veevavault.com/ui/#object/sent_email__v/VBL00000002U373", "SE-001436261")</f>
        <v>SE-001436261</v>
      </c>
      <c r="F10097" s="23">
        <v>46190.338090277779</v>
      </c>
      <c r="G10097" s="24">
        <v>1</v>
      </c>
      <c r="H10097" s="24">
        <v>1</v>
      </c>
      <c r="I10097" s="24">
        <v>0</v>
      </c>
      <c r="J10097" s="25"/>
      <c r="K10097" s="24">
        <v>0</v>
      </c>
      <c r="L10097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097" s="22" t="str">
        <f>HYPERLINK("mailto:giada.camassa@outsuka.it", "giada.camassa@outsuka.it")</f>
        <v>giada.camassa@outsuka.it</v>
      </c>
      <c r="N10097" s="23">
        <v>46190.337905092594</v>
      </c>
      <c r="O10097" s="14" t="str">
        <f>HYPERLINK("https://otsuka-europe-crm.veevavault.com/ui/#object/email_activity__v/V8C00000003W399", "EN-002097561")</f>
        <v>EN-002097561</v>
      </c>
    </row>
    <row r="10098" spans="1:15" ht="16" x14ac:dyDescent="0.2">
      <c r="A10098" s="19"/>
      <c r="B10098" s="19"/>
      <c r="C10098" s="19"/>
      <c r="D10098" s="19"/>
      <c r="E10098" s="19"/>
      <c r="F10098" s="19"/>
      <c r="G10098" s="19"/>
      <c r="H10098" s="19"/>
      <c r="I10098" s="19"/>
      <c r="J10098" s="19"/>
      <c r="K10098" s="19"/>
      <c r="L10098" s="19"/>
      <c r="M10098" s="19"/>
      <c r="N10098" s="19"/>
      <c r="O10098" s="14" t="str">
        <f>HYPERLINK("https://otsuka-europe-crm.veevavault.com/ui/#object/email_activity__v/V8C00000003W429", "EN-002097713")</f>
        <v>EN-002097713</v>
      </c>
    </row>
    <row r="10099" spans="1:15" ht="64" x14ac:dyDescent="0.2">
      <c r="A10099" s="7" t="str">
        <f>HYPERLINK("https://otsuka-europe-crm.veevavault.com/ui/#object/account__v/V4TZ025E862SIFZ", "CARMELA ESPOSITO")</f>
        <v>CARMELA ESPOSITO</v>
      </c>
      <c r="B10099" s="7" t="str">
        <f>HYPERLINK("https://otsuka-europe-crm.veevavault.com/ui/#object/vcountry__v/VENZ000004SONFQ", "IT")</f>
        <v>IT</v>
      </c>
      <c r="C10099" s="8" t="s">
        <v>44</v>
      </c>
      <c r="D10099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099" s="10" t="str">
        <f>HYPERLINK("https://otsuka-europe-crm.veevavault.com/ui/#object/sent_email__v/VBL00000002U374", "SE-001436262")</f>
        <v>SE-001436262</v>
      </c>
      <c r="F10099" s="11"/>
      <c r="G10099" s="12">
        <v>0</v>
      </c>
      <c r="H10099" s="12">
        <v>0</v>
      </c>
      <c r="I10099" s="12">
        <v>0</v>
      </c>
      <c r="J10099" s="11"/>
      <c r="K10099" s="12">
        <v>0</v>
      </c>
      <c r="L10099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099" s="10" t="str">
        <f>HYPERLINK("mailto:giada.camassa@outsuka.it", "giada.camassa@outsuka.it")</f>
        <v>giada.camassa@outsuka.it</v>
      </c>
      <c r="N10099" s="13">
        <v>46190.337939814817</v>
      </c>
      <c r="O10099" s="14" t="str">
        <f>HYPERLINK("https://otsuka-europe-crm.veevavault.com/ui/#object/email_activity__v/V8C00000003X464", "EN-002097801")</f>
        <v>EN-002097801</v>
      </c>
    </row>
    <row r="10100" spans="1:15" ht="64" x14ac:dyDescent="0.2">
      <c r="A10100" s="7" t="str">
        <f>HYPERLINK("https://otsuka-europe-crm.veevavault.com/ui/#object/account__v/V4TZ025E83IKL5X", "CARMELO DEBILIO")</f>
        <v>CARMELO DEBILIO</v>
      </c>
      <c r="B10100" s="7" t="str">
        <f>HYPERLINK("https://otsuka-europe-crm.veevavault.com/ui/#object/vcountry__v/VENZ000004SONFQ", "IT")</f>
        <v>IT</v>
      </c>
      <c r="C10100" s="8" t="s">
        <v>44</v>
      </c>
      <c r="D10100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100" s="10" t="str">
        <f>HYPERLINK("https://otsuka-europe-crm.veevavault.com/ui/#object/sent_email__v/VBL00000002U375", "SE-001436263")</f>
        <v>SE-001436263</v>
      </c>
      <c r="F10100" s="11"/>
      <c r="G10100" s="12">
        <v>0</v>
      </c>
      <c r="H10100" s="12">
        <v>0</v>
      </c>
      <c r="I10100" s="12">
        <v>0</v>
      </c>
      <c r="J10100" s="11"/>
      <c r="K10100" s="12">
        <v>0</v>
      </c>
      <c r="L10100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100" s="10" t="str">
        <f>HYPERLINK("mailto:giada.camassa@outsuka.it", "giada.camassa@outsuka.it")</f>
        <v>giada.camassa@outsuka.it</v>
      </c>
      <c r="N10100" s="13">
        <v>46190.33797453704</v>
      </c>
      <c r="O10100" s="14" t="str">
        <f>HYPERLINK("https://otsuka-europe-crm.veevavault.com/ui/#object/email_activity__v/V8C00000003X487", "EN-002097701")</f>
        <v>EN-002097701</v>
      </c>
    </row>
    <row r="10101" spans="1:15" ht="64" x14ac:dyDescent="0.2">
      <c r="A10101" s="7" t="str">
        <f>HYPERLINK("https://otsuka-europe-crm.veevavault.com/ui/#object/account__v/V4TZ04ASGC0197N", "CATERINA NACLERIO")</f>
        <v>CATERINA NACLERIO</v>
      </c>
      <c r="B10101" s="7" t="str">
        <f>HYPERLINK("https://otsuka-europe-crm.veevavault.com/ui/#object/vcountry__v/VENZ000004SONFQ", "IT")</f>
        <v>IT</v>
      </c>
      <c r="C10101" s="8" t="s">
        <v>44</v>
      </c>
      <c r="D10101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101" s="10" t="str">
        <f>HYPERLINK("https://otsuka-europe-crm.veevavault.com/ui/#object/sent_email__v/VBL00000002U376", "SE-001436264")</f>
        <v>SE-001436264</v>
      </c>
      <c r="F10101" s="11"/>
      <c r="G10101" s="12">
        <v>0</v>
      </c>
      <c r="H10101" s="12">
        <v>0</v>
      </c>
      <c r="I10101" s="12">
        <v>0</v>
      </c>
      <c r="J10101" s="11"/>
      <c r="K10101" s="12">
        <v>0</v>
      </c>
      <c r="L10101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101" s="10" t="str">
        <f>HYPERLINK("mailto:giada.camassa@outsuka.it", "giada.camassa@outsuka.it")</f>
        <v>giada.camassa@outsuka.it</v>
      </c>
      <c r="N10101" s="13">
        <v>46190.337905092594</v>
      </c>
      <c r="O10101" s="14" t="str">
        <f>HYPERLINK("https://otsuka-europe-crm.veevavault.com/ui/#object/email_activity__v/V8C00000003W366", "EN-002097423")</f>
        <v>EN-002097423</v>
      </c>
    </row>
    <row r="10102" spans="1:15" ht="16" x14ac:dyDescent="0.2">
      <c r="A10102" s="17" t="str">
        <f>HYPERLINK("https://otsuka-europe-crm.veevavault.com/ui/#object/account__v/V4TZ04ASGBJUHK4", "CHIARA SCIROCCO")</f>
        <v>CHIARA SCIROCCO</v>
      </c>
      <c r="B10102" s="17" t="str">
        <f>HYPERLINK("https://otsuka-europe-crm.veevavault.com/ui/#object/vcountry__v/VENZ000004SONFQ", "IT")</f>
        <v>IT</v>
      </c>
      <c r="C10102" s="20" t="s">
        <v>44</v>
      </c>
      <c r="D10102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102" s="22" t="str">
        <f>HYPERLINK("https://otsuka-europe-crm.veevavault.com/ui/#object/sent_email__v/VBL00000002U377", "SE-001436265")</f>
        <v>SE-001436265</v>
      </c>
      <c r="F10102" s="23">
        <v>46190.340243055558</v>
      </c>
      <c r="G10102" s="24">
        <v>1</v>
      </c>
      <c r="H10102" s="24">
        <v>1</v>
      </c>
      <c r="I10102" s="24">
        <v>0</v>
      </c>
      <c r="J10102" s="25"/>
      <c r="K10102" s="24">
        <v>0</v>
      </c>
      <c r="L10102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102" s="22" t="str">
        <f>HYPERLINK("mailto:giada.camassa@outsuka.it", "giada.camassa@outsuka.it")</f>
        <v>giada.camassa@outsuka.it</v>
      </c>
      <c r="N10102" s="23">
        <v>46190.339988425927</v>
      </c>
      <c r="O10102" s="14" t="str">
        <f>HYPERLINK("https://otsuka-europe-crm.veevavault.com/ui/#object/email_activity__v/V8C00000003W598", "EN-002098189")</f>
        <v>EN-002098189</v>
      </c>
    </row>
    <row r="10103" spans="1:15" ht="16" x14ac:dyDescent="0.2">
      <c r="A10103" s="19"/>
      <c r="B10103" s="19"/>
      <c r="C10103" s="19"/>
      <c r="D10103" s="19"/>
      <c r="E10103" s="19"/>
      <c r="F10103" s="19"/>
      <c r="G10103" s="19"/>
      <c r="H10103" s="19"/>
      <c r="I10103" s="19"/>
      <c r="J10103" s="19"/>
      <c r="K10103" s="19"/>
      <c r="L10103" s="19"/>
      <c r="M10103" s="19"/>
      <c r="N10103" s="19"/>
      <c r="O10103" s="14" t="str">
        <f>HYPERLINK("https://otsuka-europe-crm.veevavault.com/ui/#object/email_activity__v/V8C00000003X787", "EN-002098199")</f>
        <v>EN-002098199</v>
      </c>
    </row>
    <row r="10104" spans="1:15" ht="64" x14ac:dyDescent="0.2">
      <c r="A10104" s="7" t="str">
        <f>HYPERLINK("https://otsuka-europe-crm.veevavault.com/ui/#object/account__v/V4TZ04ASGH6EOB4", "CHIARA TANI")</f>
        <v>CHIARA TANI</v>
      </c>
      <c r="B10104" s="7" t="str">
        <f>HYPERLINK("https://otsuka-europe-crm.veevavault.com/ui/#object/vcountry__v/VENZ000004SONFQ", "IT")</f>
        <v>IT</v>
      </c>
      <c r="C10104" s="8" t="s">
        <v>44</v>
      </c>
      <c r="D10104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104" s="10" t="str">
        <f>HYPERLINK("https://otsuka-europe-crm.veevavault.com/ui/#object/sent_email__v/VBL00000002U378", "SE-001436266")</f>
        <v>SE-001436266</v>
      </c>
      <c r="F10104" s="11"/>
      <c r="G10104" s="12">
        <v>0</v>
      </c>
      <c r="H10104" s="12">
        <v>0</v>
      </c>
      <c r="I10104" s="12">
        <v>0</v>
      </c>
      <c r="J10104" s="11"/>
      <c r="K10104" s="12">
        <v>0</v>
      </c>
      <c r="L10104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104" s="10" t="str">
        <f>HYPERLINK("mailto:giada.camassa@outsuka.it", "giada.camassa@outsuka.it")</f>
        <v>giada.camassa@outsuka.it</v>
      </c>
      <c r="N10104" s="13">
        <v>46190.337893518517</v>
      </c>
      <c r="O10104" s="14" t="str">
        <f>HYPERLINK("https://otsuka-europe-crm.veevavault.com/ui/#object/email_activity__v/V8C00000003X303", "EN-002097494")</f>
        <v>EN-002097494</v>
      </c>
    </row>
    <row r="10105" spans="1:15" ht="64" x14ac:dyDescent="0.2">
      <c r="A10105" s="7" t="str">
        <f>HYPERLINK("https://otsuka-europe-crm.veevavault.com/ui/#object/account__v/V4TZ04ASGBTZP2P", "CINZIA ROTONDO")</f>
        <v>CINZIA ROTONDO</v>
      </c>
      <c r="B10105" s="7" t="str">
        <f>HYPERLINK("https://otsuka-europe-crm.veevavault.com/ui/#object/vcountry__v/VENZ000004SONFQ", "IT")</f>
        <v>IT</v>
      </c>
      <c r="C10105" s="8" t="s">
        <v>44</v>
      </c>
      <c r="D10105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105" s="10" t="str">
        <f>HYPERLINK("https://otsuka-europe-crm.veevavault.com/ui/#object/sent_email__v/VBL00000002U379", "SE-001436267")</f>
        <v>SE-001436267</v>
      </c>
      <c r="F10105" s="11"/>
      <c r="G10105" s="12">
        <v>0</v>
      </c>
      <c r="H10105" s="12">
        <v>0</v>
      </c>
      <c r="I10105" s="12">
        <v>0</v>
      </c>
      <c r="J10105" s="11"/>
      <c r="K10105" s="12">
        <v>0</v>
      </c>
      <c r="L10105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105" s="10" t="str">
        <f>HYPERLINK("mailto:giada.camassa@outsuka.it", "giada.camassa@outsuka.it")</f>
        <v>giada.camassa@outsuka.it</v>
      </c>
      <c r="N10105" s="13">
        <v>46190.338101851848</v>
      </c>
      <c r="O10105" s="14" t="str">
        <f>HYPERLINK("https://otsuka-europe-crm.veevavault.com/ui/#object/email_activity__v/V8C00000003W492", "EN-002097881")</f>
        <v>EN-002097881</v>
      </c>
    </row>
    <row r="10106" spans="1:15" ht="16" x14ac:dyDescent="0.2">
      <c r="A10106" s="17" t="str">
        <f>HYPERLINK("https://otsuka-europe-crm.veevavault.com/ui/#object/account__v/V4TZ04ASGBNYFQ7", "DANIELE MAURO")</f>
        <v>DANIELE MAURO</v>
      </c>
      <c r="B10106" s="17" t="str">
        <f>HYPERLINK("https://otsuka-europe-crm.veevavault.com/ui/#object/vcountry__v/VENZ000004SONFQ", "IT")</f>
        <v>IT</v>
      </c>
      <c r="C10106" s="20" t="s">
        <v>44</v>
      </c>
      <c r="D10106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106" s="22" t="str">
        <f>HYPERLINK("https://otsuka-europe-crm.veevavault.com/ui/#object/sent_email__v/VBL00000002U380", "SE-001436268")</f>
        <v>SE-001436268</v>
      </c>
      <c r="F10106" s="23">
        <v>46190.339270833334</v>
      </c>
      <c r="G10106" s="24">
        <v>1</v>
      </c>
      <c r="H10106" s="24">
        <v>1</v>
      </c>
      <c r="I10106" s="24">
        <v>0</v>
      </c>
      <c r="J10106" s="25"/>
      <c r="K10106" s="24">
        <v>0</v>
      </c>
      <c r="L10106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106" s="22" t="str">
        <f>HYPERLINK("mailto:giada.camassa@outsuka.it", "giada.camassa@outsuka.it")</f>
        <v>giada.camassa@outsuka.it</v>
      </c>
      <c r="N10106" s="23">
        <v>46190.339108796295</v>
      </c>
      <c r="O10106" s="14" t="str">
        <f>HYPERLINK("https://otsuka-europe-crm.veevavault.com/ui/#object/email_activity__v/V8C00000003W544", "EN-002098033")</f>
        <v>EN-002098033</v>
      </c>
    </row>
    <row r="10107" spans="1:15" ht="16" x14ac:dyDescent="0.2">
      <c r="A10107" s="19"/>
      <c r="B10107" s="19"/>
      <c r="C10107" s="19"/>
      <c r="D10107" s="19"/>
      <c r="E10107" s="19"/>
      <c r="F10107" s="19"/>
      <c r="G10107" s="19"/>
      <c r="H10107" s="19"/>
      <c r="I10107" s="19"/>
      <c r="J10107" s="19"/>
      <c r="K10107" s="19"/>
      <c r="L10107" s="19"/>
      <c r="M10107" s="19"/>
      <c r="N10107" s="19"/>
      <c r="O10107" s="14" t="str">
        <f>HYPERLINK("https://otsuka-europe-crm.veevavault.com/ui/#object/email_activity__v/V8C00000003X686", "EN-002098040")</f>
        <v>EN-002098040</v>
      </c>
    </row>
    <row r="10108" spans="1:15" ht="16" x14ac:dyDescent="0.2">
      <c r="A10108" s="17" t="str">
        <f>HYPERLINK("https://otsuka-europe-crm.veevavault.com/ui/#object/account__v/V4TZ04ASGE029PR", "DINA ZUCCHI")</f>
        <v>DINA ZUCCHI</v>
      </c>
      <c r="B10108" s="17" t="str">
        <f>HYPERLINK("https://otsuka-europe-crm.veevavault.com/ui/#object/vcountry__v/VENZ000004SONFQ", "IT")</f>
        <v>IT</v>
      </c>
      <c r="C10108" s="20" t="s">
        <v>44</v>
      </c>
      <c r="D10108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108" s="22" t="str">
        <f>HYPERLINK("https://otsuka-europe-crm.veevavault.com/ui/#object/sent_email__v/VBL00000002U381", "SE-001436269")</f>
        <v>SE-001436269</v>
      </c>
      <c r="F10108" s="25"/>
      <c r="G10108" s="24">
        <v>0</v>
      </c>
      <c r="H10108" s="24">
        <v>0</v>
      </c>
      <c r="I10108" s="24">
        <v>0</v>
      </c>
      <c r="J10108" s="25"/>
      <c r="K10108" s="24">
        <v>0</v>
      </c>
      <c r="L10108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108" s="22" t="str">
        <f>HYPERLINK("mailto:giada.camassa@outsuka.it", "giada.camassa@outsuka.it")</f>
        <v>giada.camassa@outsuka.it</v>
      </c>
      <c r="N10108" s="23">
        <v>46190.33797453704</v>
      </c>
      <c r="O10108" s="14" t="str">
        <f>HYPERLINK("https://otsuka-europe-crm.veevavault.com/ui/#object/email_activity__v/V8C00000003W706", "EN-002098395")</f>
        <v>EN-002098395</v>
      </c>
    </row>
    <row r="10109" spans="1:15" ht="16" x14ac:dyDescent="0.2">
      <c r="A10109" s="19"/>
      <c r="B10109" s="19"/>
      <c r="C10109" s="19"/>
      <c r="D10109" s="19"/>
      <c r="E10109" s="19"/>
      <c r="F10109" s="19"/>
      <c r="G10109" s="19"/>
      <c r="H10109" s="19"/>
      <c r="I10109" s="19"/>
      <c r="J10109" s="19"/>
      <c r="K10109" s="19"/>
      <c r="L10109" s="19"/>
      <c r="M10109" s="19"/>
      <c r="N10109" s="19"/>
      <c r="O10109" s="14" t="str">
        <f>HYPERLINK("https://otsuka-europe-crm.veevavault.com/ui/#object/email_activity__v/V8C00000003X268", "EN-002097443")</f>
        <v>EN-002097443</v>
      </c>
    </row>
    <row r="10110" spans="1:15" ht="16" x14ac:dyDescent="0.2">
      <c r="A10110" s="17" t="str">
        <f>HYPERLINK("https://otsuka-europe-crm.veevavault.com/ui/#object/account__v/V4TZ025E82G6L2L", "DOMENICO CAPOCOTTA")</f>
        <v>DOMENICO CAPOCOTTA</v>
      </c>
      <c r="B10110" s="17" t="str">
        <f>HYPERLINK("https://otsuka-europe-crm.veevavault.com/ui/#object/vcountry__v/VENZ000004SONFQ", "IT")</f>
        <v>IT</v>
      </c>
      <c r="C10110" s="20" t="s">
        <v>44</v>
      </c>
      <c r="D10110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110" s="22" t="str">
        <f>HYPERLINK("https://otsuka-europe-crm.veevavault.com/ui/#object/sent_email__v/VBL00000002U382", "SE-001436270")</f>
        <v>SE-001436270</v>
      </c>
      <c r="F10110" s="23">
        <v>46190.338819444441</v>
      </c>
      <c r="G10110" s="24">
        <v>1</v>
      </c>
      <c r="H10110" s="24">
        <v>1</v>
      </c>
      <c r="I10110" s="24">
        <v>0</v>
      </c>
      <c r="J10110" s="25"/>
      <c r="K10110" s="24">
        <v>0</v>
      </c>
      <c r="L10110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110" s="22" t="str">
        <f>HYPERLINK("mailto:giada.camassa@outsuka.it", "giada.camassa@outsuka.it")</f>
        <v>giada.camassa@outsuka.it</v>
      </c>
      <c r="N10110" s="23">
        <v>46190.337951388887</v>
      </c>
      <c r="O10110" s="14" t="str">
        <f>HYPERLINK("https://otsuka-europe-crm.veevavault.com/ui/#object/email_activity__v/V8C00000003W517", "EN-002097954")</f>
        <v>EN-002097954</v>
      </c>
    </row>
    <row r="10111" spans="1:15" ht="16" x14ac:dyDescent="0.2">
      <c r="A10111" s="19"/>
      <c r="B10111" s="19"/>
      <c r="C10111" s="19"/>
      <c r="D10111" s="19"/>
      <c r="E10111" s="19"/>
      <c r="F10111" s="19"/>
      <c r="G10111" s="19"/>
      <c r="H10111" s="19"/>
      <c r="I10111" s="19"/>
      <c r="J10111" s="19"/>
      <c r="K10111" s="19"/>
      <c r="L10111" s="19"/>
      <c r="M10111" s="19"/>
      <c r="N10111" s="19"/>
      <c r="O10111" s="14" t="str">
        <f>HYPERLINK("https://otsuka-europe-crm.veevavault.com/ui/#object/email_activity__v/V8C00000003X422", "EN-002097617")</f>
        <v>EN-002097617</v>
      </c>
    </row>
    <row r="10112" spans="1:15" ht="64" x14ac:dyDescent="0.2">
      <c r="A10112" s="7" t="str">
        <f>HYPERLINK("https://otsuka-europe-crm.veevavault.com/ui/#object/account__v/V4TZ04ASGC004XK", "DONATELLA SANGARI")</f>
        <v>DONATELLA SANGARI</v>
      </c>
      <c r="B10112" s="7" t="str">
        <f>HYPERLINK("https://otsuka-europe-crm.veevavault.com/ui/#object/vcountry__v/VENZ000004SONFQ", "IT")</f>
        <v>IT</v>
      </c>
      <c r="C10112" s="8" t="s">
        <v>44</v>
      </c>
      <c r="D10112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112" s="10" t="str">
        <f>HYPERLINK("https://otsuka-europe-crm.veevavault.com/ui/#object/sent_email__v/VBL00000002U383", "SE-001436271")</f>
        <v>SE-001436271</v>
      </c>
      <c r="F10112" s="11"/>
      <c r="G10112" s="12">
        <v>0</v>
      </c>
      <c r="H10112" s="12">
        <v>0</v>
      </c>
      <c r="I10112" s="12">
        <v>0</v>
      </c>
      <c r="J10112" s="11"/>
      <c r="K10112" s="12">
        <v>0</v>
      </c>
      <c r="L10112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112" s="10" t="str">
        <f>HYPERLINK("mailto:giada.camassa@outsuka.it", "giada.camassa@outsuka.it")</f>
        <v>giada.camassa@outsuka.it</v>
      </c>
      <c r="N10112" s="13">
        <v>46190.339849537035</v>
      </c>
      <c r="O10112" s="14" t="str">
        <f>HYPERLINK("https://otsuka-europe-crm.veevavault.com/ui/#object/email_activity__v/V8C00000003X745", "EN-002098143")</f>
        <v>EN-002098143</v>
      </c>
    </row>
    <row r="10113" spans="1:15" ht="16" x14ac:dyDescent="0.2">
      <c r="A10113" s="17" t="str">
        <f>HYPERLINK("https://otsuka-europe-crm.veevavault.com/ui/#object/account__v/V4TZ04ASGC7G77N", "ELEONORA CELLETTI")</f>
        <v>ELEONORA CELLETTI</v>
      </c>
      <c r="B10113" s="17" t="str">
        <f>HYPERLINK("https://otsuka-europe-crm.veevavault.com/ui/#object/vcountry__v/VENZ000004SONFQ", "IT")</f>
        <v>IT</v>
      </c>
      <c r="C10113" s="20" t="s">
        <v>44</v>
      </c>
      <c r="D10113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113" s="22" t="str">
        <f>HYPERLINK("https://otsuka-europe-crm.veevavault.com/ui/#object/sent_email__v/VBL00000002U384", "SE-001436272")</f>
        <v>SE-001436272</v>
      </c>
      <c r="F10113" s="25"/>
      <c r="G10113" s="24">
        <v>0</v>
      </c>
      <c r="H10113" s="24">
        <v>0</v>
      </c>
      <c r="I10113" s="24">
        <v>0</v>
      </c>
      <c r="J10113" s="25"/>
      <c r="K10113" s="24">
        <v>0</v>
      </c>
      <c r="L10113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113" s="22" t="str">
        <f>HYPERLINK("mailto:giada.camassa@outsuka.it", "giada.camassa@outsuka.it")</f>
        <v>giada.camassa@outsuka.it</v>
      </c>
      <c r="N10113" s="23">
        <v>46190.338750000003</v>
      </c>
      <c r="O10113" s="14" t="str">
        <f>HYPERLINK("https://otsuka-europe-crm.veevavault.com/ui/#object/email_activity__v/V8C00000003W759", "EN-002098517")</f>
        <v>EN-002098517</v>
      </c>
    </row>
    <row r="10114" spans="1:15" ht="16" x14ac:dyDescent="0.2">
      <c r="A10114" s="19"/>
      <c r="B10114" s="19"/>
      <c r="C10114" s="19"/>
      <c r="D10114" s="19"/>
      <c r="E10114" s="19"/>
      <c r="F10114" s="19"/>
      <c r="G10114" s="19"/>
      <c r="H10114" s="19"/>
      <c r="I10114" s="19"/>
      <c r="J10114" s="19"/>
      <c r="K10114" s="19"/>
      <c r="L10114" s="19"/>
      <c r="M10114" s="19"/>
      <c r="N10114" s="19"/>
      <c r="O10114" s="14" t="str">
        <f>HYPERLINK("https://otsuka-europe-crm.veevavault.com/ui/#object/email_activity__v/V8C00000003X643", "EN-002097976")</f>
        <v>EN-002097976</v>
      </c>
    </row>
    <row r="10115" spans="1:15" ht="16" x14ac:dyDescent="0.2">
      <c r="A10115" s="17" t="str">
        <f>HYPERLINK("https://otsuka-europe-crm.veevavault.com/ui/#object/account__v/V4TZ025E8721IP8", "ELEONORA MAURIC")</f>
        <v>ELEONORA MAURIC</v>
      </c>
      <c r="B10115" s="17" t="str">
        <f>HYPERLINK("https://otsuka-europe-crm.veevavault.com/ui/#object/vcountry__v/VENZ000004SONFQ", "IT")</f>
        <v>IT</v>
      </c>
      <c r="C10115" s="20" t="s">
        <v>44</v>
      </c>
      <c r="D10115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115" s="22" t="str">
        <f>HYPERLINK("https://otsuka-europe-crm.veevavault.com/ui/#object/sent_email__v/VBL00000002U385", "SE-001436273")</f>
        <v>SE-001436273</v>
      </c>
      <c r="F10115" s="23">
        <v>46190.338067129633</v>
      </c>
      <c r="G10115" s="24">
        <v>1</v>
      </c>
      <c r="H10115" s="24">
        <v>1</v>
      </c>
      <c r="I10115" s="24">
        <v>0</v>
      </c>
      <c r="J10115" s="25"/>
      <c r="K10115" s="24">
        <v>0</v>
      </c>
      <c r="L10115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115" s="22" t="str">
        <f>HYPERLINK("mailto:giada.camassa@outsuka.it", "giada.camassa@outsuka.it")</f>
        <v>giada.camassa@outsuka.it</v>
      </c>
      <c r="N10115" s="23">
        <v>46190.337916666664</v>
      </c>
      <c r="O10115" s="14" t="str">
        <f>HYPERLINK("https://otsuka-europe-crm.veevavault.com/ui/#object/email_activity__v/V8C00000003W405", "EN-002097567")</f>
        <v>EN-002097567</v>
      </c>
    </row>
    <row r="10116" spans="1:15" ht="16" x14ac:dyDescent="0.2">
      <c r="A10116" s="19"/>
      <c r="B10116" s="19"/>
      <c r="C10116" s="19"/>
      <c r="D10116" s="19"/>
      <c r="E10116" s="19"/>
      <c r="F10116" s="19"/>
      <c r="G10116" s="19"/>
      <c r="H10116" s="19"/>
      <c r="I10116" s="19"/>
      <c r="J10116" s="19"/>
      <c r="K10116" s="19"/>
      <c r="L10116" s="19"/>
      <c r="M10116" s="19"/>
      <c r="N10116" s="19"/>
      <c r="O10116" s="14" t="str">
        <f>HYPERLINK("https://otsuka-europe-crm.veevavault.com/ui/#object/email_activity__v/V8C00000003W412", "EN-002097691")</f>
        <v>EN-002097691</v>
      </c>
    </row>
    <row r="10117" spans="1:15" ht="16" x14ac:dyDescent="0.2">
      <c r="A10117" s="17" t="str">
        <f>HYPERLINK("https://otsuka-europe-crm.veevavault.com/ui/#object/account__v/V4TZ04ASGC7DVVD", "ELISA VISALLI")</f>
        <v>ELISA VISALLI</v>
      </c>
      <c r="B10117" s="17" t="str">
        <f>HYPERLINK("https://otsuka-europe-crm.veevavault.com/ui/#object/vcountry__v/VENZ000004SONFQ", "IT")</f>
        <v>IT</v>
      </c>
      <c r="C10117" s="20" t="s">
        <v>44</v>
      </c>
      <c r="D10117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117" s="22" t="str">
        <f>HYPERLINK("https://otsuka-europe-crm.veevavault.com/ui/#object/sent_email__v/VBL00000002U387", "SE-001436275")</f>
        <v>SE-001436275</v>
      </c>
      <c r="F10117" s="25"/>
      <c r="G10117" s="24">
        <v>0</v>
      </c>
      <c r="H10117" s="24">
        <v>0</v>
      </c>
      <c r="I10117" s="24">
        <v>0</v>
      </c>
      <c r="J10117" s="25"/>
      <c r="K10117" s="24">
        <v>0</v>
      </c>
      <c r="L10117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117" s="22" t="str">
        <f>HYPERLINK("mailto:giada.camassa@outsuka.it", "giada.camassa@outsuka.it")</f>
        <v>giada.camassa@outsuka.it</v>
      </c>
      <c r="N10117" s="23">
        <v>46190.337870370371</v>
      </c>
      <c r="O10117" s="14" t="str">
        <f>HYPERLINK("https://otsuka-europe-crm.veevavault.com/ui/#object/email_activity__v/V8C00000003W757", "EN-002098514")</f>
        <v>EN-002098514</v>
      </c>
    </row>
    <row r="10118" spans="1:15" ht="16" x14ac:dyDescent="0.2">
      <c r="A10118" s="19"/>
      <c r="B10118" s="19"/>
      <c r="C10118" s="19"/>
      <c r="D10118" s="19"/>
      <c r="E10118" s="19"/>
      <c r="F10118" s="19"/>
      <c r="G10118" s="19"/>
      <c r="H10118" s="19"/>
      <c r="I10118" s="19"/>
      <c r="J10118" s="19"/>
      <c r="K10118" s="19"/>
      <c r="L10118" s="19"/>
      <c r="M10118" s="19"/>
      <c r="N10118" s="19"/>
      <c r="O10118" s="14" t="str">
        <f>HYPERLINK("https://otsuka-europe-crm.veevavault.com/ui/#object/email_activity__v/V8C00000003X261", "EN-002097436")</f>
        <v>EN-002097436</v>
      </c>
    </row>
    <row r="10119" spans="1:15" ht="16" x14ac:dyDescent="0.2">
      <c r="A10119" s="17" t="str">
        <f>HYPERLINK("https://otsuka-europe-crm.veevavault.com/ui/#object/account__v/V4TZ025E82ZLX8G", "EMANUELA PRAINO")</f>
        <v>EMANUELA PRAINO</v>
      </c>
      <c r="B10119" s="17" t="str">
        <f>HYPERLINK("https://otsuka-europe-crm.veevavault.com/ui/#object/vcountry__v/VENZ000004SONFQ", "IT")</f>
        <v>IT</v>
      </c>
      <c r="C10119" s="20" t="s">
        <v>44</v>
      </c>
      <c r="D10119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119" s="22" t="str">
        <f>HYPERLINK("https://otsuka-europe-crm.veevavault.com/ui/#object/sent_email__v/VBL00000002U389", "SE-001436277")</f>
        <v>SE-001436277</v>
      </c>
      <c r="F10119" s="25"/>
      <c r="G10119" s="24">
        <v>0</v>
      </c>
      <c r="H10119" s="24">
        <v>0</v>
      </c>
      <c r="I10119" s="24">
        <v>0</v>
      </c>
      <c r="J10119" s="25"/>
      <c r="K10119" s="24">
        <v>0</v>
      </c>
      <c r="L10119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119" s="22" t="str">
        <f>HYPERLINK("mailto:giada.camassa@outsuka.it", "giada.camassa@outsuka.it")</f>
        <v>giada.camassa@outsuka.it</v>
      </c>
      <c r="N10119" s="23">
        <v>46190.339490740742</v>
      </c>
      <c r="O10119" s="14" t="str">
        <f>HYPERLINK("https://otsuka-europe-crm.veevavault.com/ui/#object/email_activity__v/V8C00000003X717", "EN-002098097")</f>
        <v>EN-002098097</v>
      </c>
    </row>
    <row r="10120" spans="1:15" ht="16" x14ac:dyDescent="0.2">
      <c r="A10120" s="19"/>
      <c r="B10120" s="19"/>
      <c r="C10120" s="19"/>
      <c r="D10120" s="19"/>
      <c r="E10120" s="19"/>
      <c r="F10120" s="19"/>
      <c r="G10120" s="19"/>
      <c r="H10120" s="19"/>
      <c r="I10120" s="19"/>
      <c r="J10120" s="19"/>
      <c r="K10120" s="19"/>
      <c r="L10120" s="19"/>
      <c r="M10120" s="19"/>
      <c r="N10120" s="19"/>
      <c r="O10120" s="14" t="str">
        <f>HYPERLINK("https://otsuka-europe-crm.veevavault.com/ui/#object/email_activity__v/V8C000000040143", "EN-002098955")</f>
        <v>EN-002098955</v>
      </c>
    </row>
    <row r="10121" spans="1:15" ht="64" x14ac:dyDescent="0.2">
      <c r="A10121" s="7" t="str">
        <f>HYPERLINK("https://otsuka-europe-crm.veevavault.com/ui/#object/account__v/V4TZ04ASGCDF2LX", "ENNIO LUBRANO DI SCORPANIELLO")</f>
        <v>ENNIO LUBRANO DI SCORPANIELLO</v>
      </c>
      <c r="B10121" s="7" t="str">
        <f>HYPERLINK("https://otsuka-europe-crm.veevavault.com/ui/#object/vcountry__v/VENZ000004SONFQ", "IT")</f>
        <v>IT</v>
      </c>
      <c r="C10121" s="8" t="s">
        <v>44</v>
      </c>
      <c r="D10121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121" s="10" t="str">
        <f>HYPERLINK("https://otsuka-europe-crm.veevavault.com/ui/#object/sent_email__v/VBL00000002U390", "SE-001436278")</f>
        <v>SE-001436278</v>
      </c>
      <c r="F10121" s="11"/>
      <c r="G10121" s="12">
        <v>0</v>
      </c>
      <c r="H10121" s="12">
        <v>0</v>
      </c>
      <c r="I10121" s="12">
        <v>0</v>
      </c>
      <c r="J10121" s="11"/>
      <c r="K10121" s="12">
        <v>0</v>
      </c>
      <c r="L10121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121" s="10" t="str">
        <f>HYPERLINK("mailto:giada.camassa@outsuka.it", "giada.camassa@outsuka.it")</f>
        <v>giada.camassa@outsuka.it</v>
      </c>
      <c r="N10121" s="13">
        <v>46190.337893518517</v>
      </c>
      <c r="O10121" s="14" t="str">
        <f>HYPERLINK("https://otsuka-europe-crm.veevavault.com/ui/#object/email_activity__v/V8C00000003W346", "EN-002097403")</f>
        <v>EN-002097403</v>
      </c>
    </row>
    <row r="10122" spans="1:15" ht="64" x14ac:dyDescent="0.2">
      <c r="A10122" s="7" t="str">
        <f>HYPERLINK("https://otsuka-europe-crm.veevavault.com/ui/#object/account__v/V4TZ04ASGC4KX3L", "ENRICO FUSARO")</f>
        <v>ENRICO FUSARO</v>
      </c>
      <c r="B10122" s="7" t="str">
        <f>HYPERLINK("https://otsuka-europe-crm.veevavault.com/ui/#object/vcountry__v/VENZ000004SONFQ", "IT")</f>
        <v>IT</v>
      </c>
      <c r="C10122" s="8" t="s">
        <v>44</v>
      </c>
      <c r="D10122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122" s="10" t="str">
        <f>HYPERLINK("https://otsuka-europe-crm.veevavault.com/ui/#object/sent_email__v/VBL00000002U391", "SE-001436279")</f>
        <v>SE-001436279</v>
      </c>
      <c r="F10122" s="11"/>
      <c r="G10122" s="12">
        <v>0</v>
      </c>
      <c r="H10122" s="12">
        <v>0</v>
      </c>
      <c r="I10122" s="12">
        <v>0</v>
      </c>
      <c r="J10122" s="11"/>
      <c r="K10122" s="12">
        <v>0</v>
      </c>
      <c r="L10122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122" s="10" t="str">
        <f>HYPERLINK("mailto:giada.camassa@outsuka.it", "giada.camassa@outsuka.it")</f>
        <v>giada.camassa@outsuka.it</v>
      </c>
      <c r="N10122" s="13">
        <v>46190.338287037041</v>
      </c>
      <c r="O10122" s="14" t="str">
        <f>HYPERLINK("https://otsuka-europe-crm.veevavault.com/ui/#object/email_activity__v/V8C00000003X586", "EN-002097889")</f>
        <v>EN-002097889</v>
      </c>
    </row>
    <row r="10123" spans="1:15" ht="16" x14ac:dyDescent="0.2">
      <c r="A10123" s="17" t="str">
        <f>HYPERLINK("https://otsuka-europe-crm.veevavault.com/ui/#object/account__v/V4TZ04ASGB4OGIS", "ENRICO TIRRI")</f>
        <v>ENRICO TIRRI</v>
      </c>
      <c r="B10123" s="17" t="str">
        <f>HYPERLINK("https://otsuka-europe-crm.veevavault.com/ui/#object/vcountry__v/VENZ000004SONFQ", "IT")</f>
        <v>IT</v>
      </c>
      <c r="C10123" s="20" t="s">
        <v>44</v>
      </c>
      <c r="D10123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123" s="22" t="str">
        <f>HYPERLINK("https://otsuka-europe-crm.veevavault.com/ui/#object/sent_email__v/VBL00000002U392", "SE-001436280")</f>
        <v>SE-001436280</v>
      </c>
      <c r="F10123" s="23">
        <v>46190.338321759256</v>
      </c>
      <c r="G10123" s="24">
        <v>1</v>
      </c>
      <c r="H10123" s="24">
        <v>1</v>
      </c>
      <c r="I10123" s="24">
        <v>0</v>
      </c>
      <c r="J10123" s="25"/>
      <c r="K10123" s="24">
        <v>0</v>
      </c>
      <c r="L10123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123" s="22" t="str">
        <f>HYPERLINK("mailto:giada.camassa@outsuka.it", "giada.camassa@outsuka.it")</f>
        <v>giada.camassa@outsuka.it</v>
      </c>
      <c r="N10123" s="23">
        <v>46190.337939814817</v>
      </c>
      <c r="O10123" s="14" t="str">
        <f>HYPERLINK("https://otsuka-europe-crm.veevavault.com/ui/#object/email_activity__v/V8C00000003X388", "EN-002097583")</f>
        <v>EN-002097583</v>
      </c>
    </row>
    <row r="10124" spans="1:15" ht="16" x14ac:dyDescent="0.2">
      <c r="A10124" s="19"/>
      <c r="B10124" s="19"/>
      <c r="C10124" s="19"/>
      <c r="D10124" s="19"/>
      <c r="E10124" s="19"/>
      <c r="F10124" s="19"/>
      <c r="G10124" s="19"/>
      <c r="H10124" s="19"/>
      <c r="I10124" s="19"/>
      <c r="J10124" s="19"/>
      <c r="K10124" s="19"/>
      <c r="L10124" s="19"/>
      <c r="M10124" s="19"/>
      <c r="N10124" s="19"/>
      <c r="O10124" s="14" t="str">
        <f>HYPERLINK("https://otsuka-europe-crm.veevavault.com/ui/#object/email_activity__v/V8C00000003X594", "EN-002097903")</f>
        <v>EN-002097903</v>
      </c>
    </row>
    <row r="10125" spans="1:15" ht="64" x14ac:dyDescent="0.2">
      <c r="A10125" s="7" t="str">
        <f>HYPERLINK("https://otsuka-europe-crm.veevavault.com/ui/#object/account__v/V4TZ025E845U4RY", "ESTRELLA GARCIA GONZALEZ")</f>
        <v>ESTRELLA GARCIA GONZALEZ</v>
      </c>
      <c r="B10125" s="7" t="str">
        <f t="shared" ref="B10125:B10132" si="754">HYPERLINK("https://otsuka-europe-crm.veevavault.com/ui/#object/vcountry__v/VENZ000004SONFQ", "IT")</f>
        <v>IT</v>
      </c>
      <c r="C10125" s="8" t="s">
        <v>44</v>
      </c>
      <c r="D10125" s="9" t="str">
        <f t="shared" ref="D10125:D10132" si="755">HYPERLINK("https://otsuka-europe-crm.veevavault.com/ui/#object/approved_document__v/V5O00000000G062", "AE - AGGIORNAMENTI SEZIONE APPROFONDIMENTI REUMA IT-NPR-2500150")</f>
        <v>AE - AGGIORNAMENTI SEZIONE APPROFONDIMENTI REUMA IT-NPR-2500150</v>
      </c>
      <c r="E10125" s="10" t="str">
        <f>HYPERLINK("https://otsuka-europe-crm.veevavault.com/ui/#object/sent_email__v/VBL00000002U393", "SE-001436281")</f>
        <v>SE-001436281</v>
      </c>
      <c r="F10125" s="11"/>
      <c r="G10125" s="12">
        <v>0</v>
      </c>
      <c r="H10125" s="12">
        <v>0</v>
      </c>
      <c r="I10125" s="12">
        <v>0</v>
      </c>
      <c r="J10125" s="11"/>
      <c r="K10125" s="12">
        <v>0</v>
      </c>
      <c r="L10125" s="10" t="str">
        <f t="shared" ref="L10125:L10132" si="756">HYPERLINK("https://otsuka-europe-crm.veevavault.com/ui/#object/approved_document__v/V5O00000000G062", "AE - AGGIORNAMENTI SEZIONE APPROFONDIMENTI REUMA IT-NPR-2500150")</f>
        <v>AE - AGGIORNAMENTI SEZIONE APPROFONDIMENTI REUMA IT-NPR-2500150</v>
      </c>
      <c r="M10125" s="10" t="str">
        <f t="shared" ref="M10125:M10132" si="757">HYPERLINK("mailto:giada.camassa@outsuka.it", "giada.camassa@outsuka.it")</f>
        <v>giada.camassa@outsuka.it</v>
      </c>
      <c r="N10125" s="13">
        <v>46190.339965277781</v>
      </c>
      <c r="O10125" s="14" t="str">
        <f>HYPERLINK("https://otsuka-europe-crm.veevavault.com/ui/#object/email_activity__v/V8C00000003X763", "EN-002098166")</f>
        <v>EN-002098166</v>
      </c>
    </row>
    <row r="10126" spans="1:15" ht="64" x14ac:dyDescent="0.2">
      <c r="A10126" s="7" t="str">
        <f>HYPERLINK("https://otsuka-europe-crm.veevavault.com/ui/#object/account__v/V4TZ04ASGBJM56S", "ETTORE SILVAGNI")</f>
        <v>ETTORE SILVAGNI</v>
      </c>
      <c r="B10126" s="7" t="str">
        <f t="shared" si="754"/>
        <v>IT</v>
      </c>
      <c r="C10126" s="8" t="s">
        <v>44</v>
      </c>
      <c r="D10126" s="9" t="str">
        <f t="shared" si="755"/>
        <v>AE - AGGIORNAMENTI SEZIONE APPROFONDIMENTI REUMA IT-NPR-2500150</v>
      </c>
      <c r="E10126" s="10" t="str">
        <f>HYPERLINK("https://otsuka-europe-crm.veevavault.com/ui/#object/sent_email__v/VBL00000002U394", "SE-001436282")</f>
        <v>SE-001436282</v>
      </c>
      <c r="F10126" s="11"/>
      <c r="G10126" s="12">
        <v>0</v>
      </c>
      <c r="H10126" s="12">
        <v>0</v>
      </c>
      <c r="I10126" s="12">
        <v>0</v>
      </c>
      <c r="J10126" s="11"/>
      <c r="K10126" s="12">
        <v>0</v>
      </c>
      <c r="L10126" s="10" t="str">
        <f t="shared" si="756"/>
        <v>AE - AGGIORNAMENTI SEZIONE APPROFONDIMENTI REUMA IT-NPR-2500150</v>
      </c>
      <c r="M10126" s="10" t="str">
        <f t="shared" si="757"/>
        <v>giada.camassa@outsuka.it</v>
      </c>
      <c r="N10126" s="13">
        <v>46190.338125000002</v>
      </c>
      <c r="O10126" s="14" t="str">
        <f>HYPERLINK("https://otsuka-europe-crm.veevavault.com/ui/#object/email_activity__v/V8C00000003X572", "EN-002097868")</f>
        <v>EN-002097868</v>
      </c>
    </row>
    <row r="10127" spans="1:15" ht="64" x14ac:dyDescent="0.2">
      <c r="A10127" s="7" t="str">
        <f>HYPERLINK("https://otsuka-europe-crm.veevavault.com/ui/#object/account__v/V4TZ04ASGC2HICC", "EUGENIO ARRIGONI")</f>
        <v>EUGENIO ARRIGONI</v>
      </c>
      <c r="B10127" s="7" t="str">
        <f t="shared" si="754"/>
        <v>IT</v>
      </c>
      <c r="C10127" s="8" t="s">
        <v>44</v>
      </c>
      <c r="D10127" s="9" t="str">
        <f t="shared" si="755"/>
        <v>AE - AGGIORNAMENTI SEZIONE APPROFONDIMENTI REUMA IT-NPR-2500150</v>
      </c>
      <c r="E10127" s="10" t="str">
        <f>HYPERLINK("https://otsuka-europe-crm.veevavault.com/ui/#object/sent_email__v/VBL00000002U395", "SE-001436283")</f>
        <v>SE-001436283</v>
      </c>
      <c r="F10127" s="11"/>
      <c r="G10127" s="12">
        <v>0</v>
      </c>
      <c r="H10127" s="12">
        <v>0</v>
      </c>
      <c r="I10127" s="12">
        <v>0</v>
      </c>
      <c r="J10127" s="11"/>
      <c r="K10127" s="12">
        <v>0</v>
      </c>
      <c r="L10127" s="10" t="str">
        <f t="shared" si="756"/>
        <v>AE - AGGIORNAMENTI SEZIONE APPROFONDIMENTI REUMA IT-NPR-2500150</v>
      </c>
      <c r="M10127" s="10" t="str">
        <f t="shared" si="757"/>
        <v>giada.camassa@outsuka.it</v>
      </c>
      <c r="N10127" s="13">
        <v>46190.339131944442</v>
      </c>
      <c r="O10127" s="14" t="str">
        <f>HYPERLINK("https://otsuka-europe-crm.veevavault.com/ui/#object/email_activity__v/V8C00000003X669", "EN-002098010")</f>
        <v>EN-002098010</v>
      </c>
    </row>
    <row r="10128" spans="1:15" ht="64" x14ac:dyDescent="0.2">
      <c r="A10128" s="7" t="str">
        <f>HYPERLINK("https://otsuka-europe-crm.veevavault.com/ui/#object/account__v/V4TZ04ASGCDF1W5", "EUGENIO QUARTA")</f>
        <v>EUGENIO QUARTA</v>
      </c>
      <c r="B10128" s="7" t="str">
        <f t="shared" si="754"/>
        <v>IT</v>
      </c>
      <c r="C10128" s="8" t="s">
        <v>44</v>
      </c>
      <c r="D10128" s="9" t="str">
        <f t="shared" si="755"/>
        <v>AE - AGGIORNAMENTI SEZIONE APPROFONDIMENTI REUMA IT-NPR-2500150</v>
      </c>
      <c r="E10128" s="10" t="str">
        <f>HYPERLINK("https://otsuka-europe-crm.veevavault.com/ui/#object/sent_email__v/VBL00000002U396", "SE-001436284")</f>
        <v>SE-001436284</v>
      </c>
      <c r="F10128" s="11"/>
      <c r="G10128" s="12">
        <v>0</v>
      </c>
      <c r="H10128" s="12">
        <v>0</v>
      </c>
      <c r="I10128" s="12">
        <v>0</v>
      </c>
      <c r="J10128" s="11"/>
      <c r="K10128" s="12">
        <v>0</v>
      </c>
      <c r="L10128" s="10" t="str">
        <f t="shared" si="756"/>
        <v>AE - AGGIORNAMENTI SEZIONE APPROFONDIMENTI REUMA IT-NPR-2500150</v>
      </c>
      <c r="M10128" s="10" t="str">
        <f t="shared" si="757"/>
        <v>giada.camassa@outsuka.it</v>
      </c>
      <c r="N10128" s="13">
        <v>46190.337905092594</v>
      </c>
      <c r="O10128" s="14" t="str">
        <f>HYPERLINK("https://otsuka-europe-crm.veevavault.com/ui/#object/email_activity__v/V8C00000003W605", "EN-002098204")</f>
        <v>EN-002098204</v>
      </c>
    </row>
    <row r="10129" spans="1:15" ht="64" x14ac:dyDescent="0.2">
      <c r="A10129" s="7" t="str">
        <f>HYPERLINK("https://otsuka-europe-crm.veevavault.com/ui/#object/account__v/V4TZ04ASGBWYIN9", "FABIO DE GENNARO")</f>
        <v>FABIO DE GENNARO</v>
      </c>
      <c r="B10129" s="7" t="str">
        <f t="shared" si="754"/>
        <v>IT</v>
      </c>
      <c r="C10129" s="8" t="s">
        <v>44</v>
      </c>
      <c r="D10129" s="9" t="str">
        <f t="shared" si="755"/>
        <v>AE - AGGIORNAMENTI SEZIONE APPROFONDIMENTI REUMA IT-NPR-2500150</v>
      </c>
      <c r="E10129" s="10" t="str">
        <f>HYPERLINK("https://otsuka-europe-crm.veevavault.com/ui/#object/sent_email__v/VBL00000002U397", "SE-001436285")</f>
        <v>SE-001436285</v>
      </c>
      <c r="F10129" s="11"/>
      <c r="G10129" s="12">
        <v>0</v>
      </c>
      <c r="H10129" s="12">
        <v>0</v>
      </c>
      <c r="I10129" s="12">
        <v>0</v>
      </c>
      <c r="J10129" s="11"/>
      <c r="K10129" s="12">
        <v>0</v>
      </c>
      <c r="L10129" s="10" t="str">
        <f t="shared" si="756"/>
        <v>AE - AGGIORNAMENTI SEZIONE APPROFONDIMENTI REUMA IT-NPR-2500150</v>
      </c>
      <c r="M10129" s="10" t="str">
        <f t="shared" si="757"/>
        <v>giada.camassa@outsuka.it</v>
      </c>
      <c r="N10129" s="13">
        <v>46190.339375000003</v>
      </c>
      <c r="O10129" s="14" t="str">
        <f>HYPERLINK("https://otsuka-europe-crm.veevavault.com/ui/#object/email_activity__v/V8C00000003W558", "EN-002098075")</f>
        <v>EN-002098075</v>
      </c>
    </row>
    <row r="10130" spans="1:15" ht="64" x14ac:dyDescent="0.2">
      <c r="A10130" s="7" t="str">
        <f>HYPERLINK("https://otsuka-europe-crm.veevavault.com/ui/#object/account__v/V4TZ025E82XS4PM", "FABIO MASSIMO PERROTTA")</f>
        <v>FABIO MASSIMO PERROTTA</v>
      </c>
      <c r="B10130" s="7" t="str">
        <f t="shared" si="754"/>
        <v>IT</v>
      </c>
      <c r="C10130" s="8" t="s">
        <v>44</v>
      </c>
      <c r="D10130" s="9" t="str">
        <f t="shared" si="755"/>
        <v>AE - AGGIORNAMENTI SEZIONE APPROFONDIMENTI REUMA IT-NPR-2500150</v>
      </c>
      <c r="E10130" s="10" t="str">
        <f>HYPERLINK("https://otsuka-europe-crm.veevavault.com/ui/#object/sent_email__v/VBL00000002U398", "SE-001436286")</f>
        <v>SE-001436286</v>
      </c>
      <c r="F10130" s="11"/>
      <c r="G10130" s="12">
        <v>0</v>
      </c>
      <c r="H10130" s="12">
        <v>0</v>
      </c>
      <c r="I10130" s="12">
        <v>0</v>
      </c>
      <c r="J10130" s="11"/>
      <c r="K10130" s="12">
        <v>0</v>
      </c>
      <c r="L10130" s="10" t="str">
        <f t="shared" si="756"/>
        <v>AE - AGGIORNAMENTI SEZIONE APPROFONDIMENTI REUMA IT-NPR-2500150</v>
      </c>
      <c r="M10130" s="10" t="str">
        <f t="shared" si="757"/>
        <v>giada.camassa@outsuka.it</v>
      </c>
      <c r="N10130" s="13">
        <v>46190.33966435185</v>
      </c>
      <c r="O10130" s="14" t="str">
        <f>HYPERLINK("https://otsuka-europe-crm.veevavault.com/ui/#object/email_activity__v/V8C00000003X734", "EN-002098122")</f>
        <v>EN-002098122</v>
      </c>
    </row>
    <row r="10131" spans="1:15" ht="64" x14ac:dyDescent="0.2">
      <c r="A10131" s="7" t="str">
        <f>HYPERLINK("https://otsuka-europe-crm.veevavault.com/ui/#object/account__v/V4TZ04ASGBXIQAY", "FABIOLA ATZENI")</f>
        <v>FABIOLA ATZENI</v>
      </c>
      <c r="B10131" s="7" t="str">
        <f t="shared" si="754"/>
        <v>IT</v>
      </c>
      <c r="C10131" s="8" t="s">
        <v>44</v>
      </c>
      <c r="D10131" s="9" t="str">
        <f t="shared" si="755"/>
        <v>AE - AGGIORNAMENTI SEZIONE APPROFONDIMENTI REUMA IT-NPR-2500150</v>
      </c>
      <c r="E10131" s="10" t="str">
        <f>HYPERLINK("https://otsuka-europe-crm.veevavault.com/ui/#object/sent_email__v/VBL00000002U399", "SE-001436287")</f>
        <v>SE-001436287</v>
      </c>
      <c r="F10131" s="11"/>
      <c r="G10131" s="12">
        <v>0</v>
      </c>
      <c r="H10131" s="12">
        <v>0</v>
      </c>
      <c r="I10131" s="12">
        <v>0</v>
      </c>
      <c r="J10131" s="11"/>
      <c r="K10131" s="12">
        <v>0</v>
      </c>
      <c r="L10131" s="10" t="str">
        <f t="shared" si="756"/>
        <v>AE - AGGIORNAMENTI SEZIONE APPROFONDIMENTI REUMA IT-NPR-2500150</v>
      </c>
      <c r="M10131" s="10" t="str">
        <f t="shared" si="757"/>
        <v>giada.camassa@outsuka.it</v>
      </c>
      <c r="N10131" s="13">
        <v>46190.337893518517</v>
      </c>
      <c r="O10131" s="14" t="str">
        <f>HYPERLINK("https://otsuka-europe-crm.veevavault.com/ui/#object/email_activity__v/V8C00000003X280", "EN-002097455")</f>
        <v>EN-002097455</v>
      </c>
    </row>
    <row r="10132" spans="1:15" ht="16" x14ac:dyDescent="0.2">
      <c r="A10132" s="17" t="str">
        <f>HYPERLINK("https://otsuka-europe-crm.veevavault.com/ui/#object/account__v/V4TZ04ASG7A4WW3", "FABRIZIO CONTI")</f>
        <v>FABRIZIO CONTI</v>
      </c>
      <c r="B10132" s="17" t="str">
        <f t="shared" si="754"/>
        <v>IT</v>
      </c>
      <c r="C10132" s="20" t="s">
        <v>44</v>
      </c>
      <c r="D10132" s="21" t="str">
        <f t="shared" si="755"/>
        <v>AE - AGGIORNAMENTI SEZIONE APPROFONDIMENTI REUMA IT-NPR-2500150</v>
      </c>
      <c r="E10132" s="22" t="str">
        <f>HYPERLINK("https://otsuka-europe-crm.veevavault.com/ui/#object/sent_email__v/VBL00000002U400", "SE-001436288")</f>
        <v>SE-001436288</v>
      </c>
      <c r="F10132" s="23">
        <v>46190.473634259259</v>
      </c>
      <c r="G10132" s="24">
        <v>1</v>
      </c>
      <c r="H10132" s="24">
        <v>1</v>
      </c>
      <c r="I10132" s="24">
        <v>1</v>
      </c>
      <c r="J10132" s="23">
        <v>46190.473634259259</v>
      </c>
      <c r="K10132" s="24">
        <v>1</v>
      </c>
      <c r="L10132" s="22" t="str">
        <f t="shared" si="756"/>
        <v>AE - AGGIORNAMENTI SEZIONE APPROFONDIMENTI REUMA IT-NPR-2500150</v>
      </c>
      <c r="M10132" s="22" t="str">
        <f t="shared" si="757"/>
        <v>giada.camassa@outsuka.it</v>
      </c>
      <c r="N10132" s="23">
        <v>46190.337939814817</v>
      </c>
      <c r="O10132" s="14" t="str">
        <f>HYPERLINK("https://otsuka-europe-crm.veevavault.com/ui/#object/email_activity__v/V8C00000003W435", "EN-002097719")</f>
        <v>EN-002097719</v>
      </c>
    </row>
    <row r="10133" spans="1:15" ht="16" x14ac:dyDescent="0.2">
      <c r="A10133" s="18"/>
      <c r="B10133" s="18"/>
      <c r="C10133" s="18"/>
      <c r="D10133" s="18"/>
      <c r="E10133" s="18"/>
      <c r="F10133" s="18"/>
      <c r="G10133" s="18"/>
      <c r="H10133" s="18"/>
      <c r="I10133" s="18"/>
      <c r="J10133" s="18"/>
      <c r="K10133" s="18"/>
      <c r="L10133" s="18"/>
      <c r="M10133" s="18"/>
      <c r="N10133" s="18"/>
      <c r="O10133" s="14" t="str">
        <f>HYPERLINK("https://otsuka-europe-crm.veevavault.com/ui/#object/email_activity__v/V8C00000003X848", "EN-002098342")</f>
        <v>EN-002098342</v>
      </c>
    </row>
    <row r="10134" spans="1:15" ht="16" x14ac:dyDescent="0.2">
      <c r="A10134" s="19"/>
      <c r="B10134" s="19"/>
      <c r="C10134" s="19"/>
      <c r="D10134" s="19"/>
      <c r="E10134" s="19"/>
      <c r="F10134" s="19"/>
      <c r="G10134" s="19"/>
      <c r="H10134" s="19"/>
      <c r="I10134" s="19"/>
      <c r="J10134" s="19"/>
      <c r="K10134" s="19"/>
      <c r="L10134" s="19"/>
      <c r="M10134" s="19"/>
      <c r="N10134" s="19"/>
      <c r="O10134" s="14" t="str">
        <f>HYPERLINK("https://otsuka-europe-crm.veevavault.com/ui/#object/email_activity__v/V8C00000003X849", "EN-002098341")</f>
        <v>EN-002098341</v>
      </c>
    </row>
    <row r="10135" spans="1:15" ht="64" x14ac:dyDescent="0.2">
      <c r="A10135" s="7" t="str">
        <f>HYPERLINK("https://otsuka-europe-crm.veevavault.com/ui/#object/account__v/V4TZ04ASGC4LKY8", "FLORENZO IANNONE")</f>
        <v>FLORENZO IANNONE</v>
      </c>
      <c r="B10135" s="7" t="str">
        <f>HYPERLINK("https://otsuka-europe-crm.veevavault.com/ui/#object/vcountry__v/VENZ000004SONFQ", "IT")</f>
        <v>IT</v>
      </c>
      <c r="C10135" s="8" t="s">
        <v>44</v>
      </c>
      <c r="D10135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135" s="10" t="str">
        <f>HYPERLINK("https://otsuka-europe-crm.veevavault.com/ui/#object/sent_email__v/VBL00000002U401", "SE-001436289")</f>
        <v>SE-001436289</v>
      </c>
      <c r="F10135" s="11"/>
      <c r="G10135" s="12">
        <v>0</v>
      </c>
      <c r="H10135" s="12">
        <v>0</v>
      </c>
      <c r="I10135" s="12">
        <v>0</v>
      </c>
      <c r="J10135" s="11"/>
      <c r="K10135" s="12">
        <v>0</v>
      </c>
      <c r="L10135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135" s="10" t="str">
        <f>HYPERLINK("mailto:giada.camassa@outsuka.it", "giada.camassa@outsuka.it")</f>
        <v>giada.camassa@outsuka.it</v>
      </c>
      <c r="N10135" s="13">
        <v>46190.337881944448</v>
      </c>
      <c r="O10135" s="14" t="str">
        <f>HYPERLINK("https://otsuka-europe-crm.veevavault.com/ui/#object/email_activity__v/V8C00000003X505", "EN-002097748")</f>
        <v>EN-002097748</v>
      </c>
    </row>
    <row r="10136" spans="1:15" ht="64" x14ac:dyDescent="0.2">
      <c r="A10136" s="7" t="str">
        <f>HYPERLINK("https://otsuka-europe-crm.veevavault.com/ui/#object/account__v/V4TZ025E85EWFPH", "FRANCESCA BOTTAZZI")</f>
        <v>FRANCESCA BOTTAZZI</v>
      </c>
      <c r="B10136" s="7" t="str">
        <f>HYPERLINK("https://otsuka-europe-crm.veevavault.com/ui/#object/vcountry__v/VENZ000004SONFQ", "IT")</f>
        <v>IT</v>
      </c>
      <c r="C10136" s="8" t="s">
        <v>44</v>
      </c>
      <c r="D10136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136" s="10" t="str">
        <f>HYPERLINK("https://otsuka-europe-crm.veevavault.com/ui/#object/sent_email__v/VBL00000002U403", "SE-001436291")</f>
        <v>SE-001436291</v>
      </c>
      <c r="F10136" s="11"/>
      <c r="G10136" s="12">
        <v>0</v>
      </c>
      <c r="H10136" s="12">
        <v>0</v>
      </c>
      <c r="I10136" s="12">
        <v>0</v>
      </c>
      <c r="J10136" s="11"/>
      <c r="K10136" s="12">
        <v>0</v>
      </c>
      <c r="L10136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136" s="10" t="str">
        <f>HYPERLINK("mailto:giada.camassa@outsuka.it", "giada.camassa@outsuka.it")</f>
        <v>giada.camassa@outsuka.it</v>
      </c>
      <c r="N10136" s="13">
        <v>46190.33829861111</v>
      </c>
      <c r="O10136" s="14" t="str">
        <f>HYPERLINK("https://otsuka-europe-crm.veevavault.com/ui/#object/email_activity__v/V8C00000003W494", "EN-002097883")</f>
        <v>EN-002097883</v>
      </c>
    </row>
    <row r="10137" spans="1:15" ht="64" x14ac:dyDescent="0.2">
      <c r="A10137" s="7" t="str">
        <f>HYPERLINK("https://otsuka-europe-crm.veevavault.com/ui/#object/account__v/V4TZ025E88KA5DI", "FRANCESCA FRANCIOSO")</f>
        <v>FRANCESCA FRANCIOSO</v>
      </c>
      <c r="B10137" s="7" t="str">
        <f>HYPERLINK("https://otsuka-europe-crm.veevavault.com/ui/#object/vcountry__v/VENZ000004SONFQ", "IT")</f>
        <v>IT</v>
      </c>
      <c r="C10137" s="8" t="s">
        <v>44</v>
      </c>
      <c r="D10137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137" s="10" t="str">
        <f>HYPERLINK("https://otsuka-europe-crm.veevavault.com/ui/#object/sent_email__v/VBL00000002U404", "SE-001436292")</f>
        <v>SE-001436292</v>
      </c>
      <c r="F10137" s="11"/>
      <c r="G10137" s="12">
        <v>0</v>
      </c>
      <c r="H10137" s="12">
        <v>0</v>
      </c>
      <c r="I10137" s="12">
        <v>0</v>
      </c>
      <c r="J10137" s="11"/>
      <c r="K10137" s="12">
        <v>0</v>
      </c>
      <c r="L10137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137" s="10" t="str">
        <f>HYPERLINK("mailto:giada.camassa@outsuka.it", "giada.camassa@outsuka.it")</f>
        <v>giada.camassa@outsuka.it</v>
      </c>
      <c r="N10137" s="13">
        <v>46190.337951388887</v>
      </c>
      <c r="O10137" s="14" t="str">
        <f>HYPERLINK("https://otsuka-europe-crm.veevavault.com/ui/#object/email_activity__v/V8C00000003X362", "EN-002097540")</f>
        <v>EN-002097540</v>
      </c>
    </row>
    <row r="10138" spans="1:15" ht="64" x14ac:dyDescent="0.2">
      <c r="A10138" s="7" t="str">
        <f>HYPERLINK("https://otsuka-europe-crm.veevavault.com/ui/#object/account__v/V4TZ04ASGGI7OLX", "FRANCESCA IOLANDA BELLISAI")</f>
        <v>FRANCESCA IOLANDA BELLISAI</v>
      </c>
      <c r="B10138" s="7" t="str">
        <f>HYPERLINK("https://otsuka-europe-crm.veevavault.com/ui/#object/vcountry__v/VENZ000004SONFQ", "IT")</f>
        <v>IT</v>
      </c>
      <c r="C10138" s="8" t="s">
        <v>44</v>
      </c>
      <c r="D10138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138" s="10" t="str">
        <f>HYPERLINK("https://otsuka-europe-crm.veevavault.com/ui/#object/sent_email__v/VBL00000002U405", "SE-001436293")</f>
        <v>SE-001436293</v>
      </c>
      <c r="F10138" s="11"/>
      <c r="G10138" s="12">
        <v>0</v>
      </c>
      <c r="H10138" s="12">
        <v>0</v>
      </c>
      <c r="I10138" s="12">
        <v>0</v>
      </c>
      <c r="J10138" s="11"/>
      <c r="K10138" s="12">
        <v>0</v>
      </c>
      <c r="L10138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138" s="10" t="str">
        <f>HYPERLINK("mailto:giada.camassa@outsuka.it", "giada.camassa@outsuka.it")</f>
        <v>giada.camassa@outsuka.it</v>
      </c>
      <c r="N10138" s="13">
        <v>46190.33966435185</v>
      </c>
      <c r="O10138" s="14" t="str">
        <f>HYPERLINK("https://otsuka-europe-crm.veevavault.com/ui/#object/email_activity__v/V8C00000003W618", "EN-002098237")</f>
        <v>EN-002098237</v>
      </c>
    </row>
    <row r="10139" spans="1:15" ht="16" x14ac:dyDescent="0.2">
      <c r="A10139" s="17" t="str">
        <f>HYPERLINK("https://otsuka-europe-crm.veevavault.com/ui/#object/account__v/V4TZ025E845TUO3", "FRANCESCA MARINO")</f>
        <v>FRANCESCA MARINO</v>
      </c>
      <c r="B10139" s="17" t="str">
        <f>HYPERLINK("https://otsuka-europe-crm.veevavault.com/ui/#object/vcountry__v/VENZ000004SONFQ", "IT")</f>
        <v>IT</v>
      </c>
      <c r="C10139" s="20" t="s">
        <v>44</v>
      </c>
      <c r="D10139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139" s="22" t="str">
        <f>HYPERLINK("https://otsuka-europe-crm.veevavault.com/ui/#object/sent_email__v/VBL00000002U406", "SE-001436294")</f>
        <v>SE-001436294</v>
      </c>
      <c r="F10139" s="25"/>
      <c r="G10139" s="24">
        <v>0</v>
      </c>
      <c r="H10139" s="24">
        <v>0</v>
      </c>
      <c r="I10139" s="24">
        <v>0</v>
      </c>
      <c r="J10139" s="25"/>
      <c r="K10139" s="24">
        <v>0</v>
      </c>
      <c r="L10139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139" s="22" t="str">
        <f>HYPERLINK("mailto:giada.camassa@outsuka.it", "giada.camassa@outsuka.it")</f>
        <v>giada.camassa@outsuka.it</v>
      </c>
      <c r="N10139" s="23">
        <v>46190.339988425927</v>
      </c>
      <c r="O10139" s="14" t="str">
        <f>HYPERLINK("https://otsuka-europe-crm.veevavault.com/ui/#object/email_activity__v/V8C00000003X769", "EN-002098174")</f>
        <v>EN-002098174</v>
      </c>
    </row>
    <row r="10140" spans="1:15" ht="16" x14ac:dyDescent="0.2">
      <c r="A10140" s="19"/>
      <c r="B10140" s="19"/>
      <c r="C10140" s="19"/>
      <c r="D10140" s="19"/>
      <c r="E10140" s="19"/>
      <c r="F10140" s="19"/>
      <c r="G10140" s="19"/>
      <c r="H10140" s="19"/>
      <c r="I10140" s="19"/>
      <c r="J10140" s="19"/>
      <c r="K10140" s="19"/>
      <c r="L10140" s="19"/>
      <c r="M10140" s="19"/>
      <c r="N10140" s="19"/>
      <c r="O10140" s="14" t="str">
        <f>HYPERLINK("https://otsuka-europe-crm.veevavault.com/ui/#object/email_activity__v/V8C00000003X936", "EN-002098488")</f>
        <v>EN-002098488</v>
      </c>
    </row>
    <row r="10141" spans="1:15" ht="64" x14ac:dyDescent="0.2">
      <c r="A10141" s="7" t="str">
        <f>HYPERLINK("https://otsuka-europe-crm.veevavault.com/ui/#object/account__v/V4TZ04ASGB9OKAO", "FRANCESCA ROMANA SPINELLI")</f>
        <v>FRANCESCA ROMANA SPINELLI</v>
      </c>
      <c r="B10141" s="7" t="str">
        <f>HYPERLINK("https://otsuka-europe-crm.veevavault.com/ui/#object/vcountry__v/VENZ000004SONFQ", "IT")</f>
        <v>IT</v>
      </c>
      <c r="C10141" s="8" t="s">
        <v>44</v>
      </c>
      <c r="D10141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141" s="10" t="str">
        <f>HYPERLINK("https://otsuka-europe-crm.veevavault.com/ui/#object/sent_email__v/VBL00000002U407", "SE-001436295")</f>
        <v>SE-001436295</v>
      </c>
      <c r="F10141" s="11"/>
      <c r="G10141" s="12">
        <v>0</v>
      </c>
      <c r="H10141" s="12">
        <v>0</v>
      </c>
      <c r="I10141" s="12">
        <v>0</v>
      </c>
      <c r="J10141" s="11"/>
      <c r="K10141" s="12">
        <v>0</v>
      </c>
      <c r="L10141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141" s="10" t="str">
        <f>HYPERLINK("mailto:giada.camassa@outsuka.it", "giada.camassa@outsuka.it")</f>
        <v>giada.camassa@outsuka.it</v>
      </c>
      <c r="N10141" s="13">
        <v>46190.338587962964</v>
      </c>
      <c r="O10141" s="14" t="str">
        <f>HYPERLINK("https://otsuka-europe-crm.veevavault.com/ui/#object/email_activity__v/V8C00000003X617", "EN-002097939")</f>
        <v>EN-002097939</v>
      </c>
    </row>
    <row r="10142" spans="1:15" ht="64" x14ac:dyDescent="0.2">
      <c r="A10142" s="7" t="str">
        <f>HYPERLINK("https://otsuka-europe-crm.veevavault.com/ui/#object/account__v/V4TZ025E88BZDCT", "FRANCESCA SARACINO")</f>
        <v>FRANCESCA SARACINO</v>
      </c>
      <c r="B10142" s="7" t="str">
        <f>HYPERLINK("https://otsuka-europe-crm.veevavault.com/ui/#object/vcountry__v/VENZ000004SONFQ", "IT")</f>
        <v>IT</v>
      </c>
      <c r="C10142" s="8" t="s">
        <v>44</v>
      </c>
      <c r="D10142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142" s="10" t="str">
        <f>HYPERLINK("https://otsuka-europe-crm.veevavault.com/ui/#object/sent_email__v/VBL00000002U408", "SE-001436296")</f>
        <v>SE-001436296</v>
      </c>
      <c r="F10142" s="11"/>
      <c r="G10142" s="12">
        <v>0</v>
      </c>
      <c r="H10142" s="12">
        <v>0</v>
      </c>
      <c r="I10142" s="12">
        <v>0</v>
      </c>
      <c r="J10142" s="11"/>
      <c r="K10142" s="12">
        <v>0</v>
      </c>
      <c r="L10142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142" s="10" t="str">
        <f>HYPERLINK("mailto:giada.camassa@outsuka.it", "giada.camassa@outsuka.it")</f>
        <v>giada.camassa@outsuka.it</v>
      </c>
      <c r="N10142" s="13">
        <v>46190.337905092594</v>
      </c>
      <c r="O10142" s="14" t="str">
        <f>HYPERLINK("https://otsuka-europe-crm.veevavault.com/ui/#object/email_activity__v/V8C00000003X474", "EN-002097673")</f>
        <v>EN-002097673</v>
      </c>
    </row>
    <row r="10143" spans="1:15" ht="64" x14ac:dyDescent="0.2">
      <c r="A10143" s="7" t="str">
        <f>HYPERLINK("https://otsuka-europe-crm.veevavault.com/ui/#object/account__v/V4TZ025E83BJSRR", "FRANCESCO BENVENUTI")</f>
        <v>FRANCESCO BENVENUTI</v>
      </c>
      <c r="B10143" s="7" t="str">
        <f>HYPERLINK("https://otsuka-europe-crm.veevavault.com/ui/#object/vcountry__v/VENZ000004SONFQ", "IT")</f>
        <v>IT</v>
      </c>
      <c r="C10143" s="8" t="s">
        <v>44</v>
      </c>
      <c r="D10143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143" s="10" t="str">
        <f>HYPERLINK("https://otsuka-europe-crm.veevavault.com/ui/#object/sent_email__v/VBL00000002U409", "SE-001436297")</f>
        <v>SE-001436297</v>
      </c>
      <c r="F10143" s="11"/>
      <c r="G10143" s="12">
        <v>0</v>
      </c>
      <c r="H10143" s="12">
        <v>0</v>
      </c>
      <c r="I10143" s="12">
        <v>0</v>
      </c>
      <c r="J10143" s="11"/>
      <c r="K10143" s="12">
        <v>0</v>
      </c>
      <c r="L10143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143" s="10" t="str">
        <f>HYPERLINK("mailto:giada.camassa@outsuka.it", "giada.camassa@outsuka.it")</f>
        <v>giada.camassa@outsuka.it</v>
      </c>
      <c r="N10143" s="13">
        <v>46190.337939814817</v>
      </c>
      <c r="O10143" s="14" t="str">
        <f>HYPERLINK("https://otsuka-europe-crm.veevavault.com/ui/#object/email_activity__v/V8C00000003X438", "EN-002097652")</f>
        <v>EN-002097652</v>
      </c>
    </row>
    <row r="10144" spans="1:15" ht="16" x14ac:dyDescent="0.2">
      <c r="A10144" s="17" t="str">
        <f>HYPERLINK("https://otsuka-europe-crm.veevavault.com/ui/#object/account__v/V4TZ04ASGB4UR16", "FRANCESCO CICCIA")</f>
        <v>FRANCESCO CICCIA</v>
      </c>
      <c r="B10144" s="17" t="str">
        <f>HYPERLINK("https://otsuka-europe-crm.veevavault.com/ui/#object/vcountry__v/VENZ000004SONFQ", "IT")</f>
        <v>IT</v>
      </c>
      <c r="C10144" s="20" t="s">
        <v>44</v>
      </c>
      <c r="D10144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144" s="22" t="str">
        <f>HYPERLINK("https://otsuka-europe-crm.veevavault.com/ui/#object/sent_email__v/VBL00000002U410", "SE-001436298")</f>
        <v>SE-001436298</v>
      </c>
      <c r="F10144" s="23">
        <v>46190.338136574072</v>
      </c>
      <c r="G10144" s="24">
        <v>1</v>
      </c>
      <c r="H10144" s="24">
        <v>1</v>
      </c>
      <c r="I10144" s="24">
        <v>0</v>
      </c>
      <c r="J10144" s="25"/>
      <c r="K10144" s="24">
        <v>0</v>
      </c>
      <c r="L10144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144" s="22" t="str">
        <f>HYPERLINK("mailto:giada.camassa@outsuka.it", "giada.camassa@outsuka.it")</f>
        <v>giada.camassa@outsuka.it</v>
      </c>
      <c r="N10144" s="23">
        <v>46190.337939814817</v>
      </c>
      <c r="O10144" s="14" t="str">
        <f>HYPERLINK("https://otsuka-europe-crm.veevavault.com/ui/#object/email_activity__v/V8C00000003X417", "EN-002097612")</f>
        <v>EN-002097612</v>
      </c>
    </row>
    <row r="10145" spans="1:15" ht="16" x14ac:dyDescent="0.2">
      <c r="A10145" s="19"/>
      <c r="B10145" s="19"/>
      <c r="C10145" s="19"/>
      <c r="D10145" s="19"/>
      <c r="E10145" s="19"/>
      <c r="F10145" s="19"/>
      <c r="G10145" s="19"/>
      <c r="H10145" s="19"/>
      <c r="I10145" s="19"/>
      <c r="J10145" s="19"/>
      <c r="K10145" s="19"/>
      <c r="L10145" s="19"/>
      <c r="M10145" s="19"/>
      <c r="N10145" s="19"/>
      <c r="O10145" s="14" t="str">
        <f>HYPERLINK("https://otsuka-europe-crm.veevavault.com/ui/#object/email_activity__v/V8C00000003X550", "EN-002097842")</f>
        <v>EN-002097842</v>
      </c>
    </row>
    <row r="10146" spans="1:15" ht="16" x14ac:dyDescent="0.2">
      <c r="A10146" s="17" t="str">
        <f>HYPERLINK("https://otsuka-europe-crm.veevavault.com/ui/#object/account__v/V4TZ04ASGBC5YZY", "FULVIA CECCARELLI")</f>
        <v>FULVIA CECCARELLI</v>
      </c>
      <c r="B10146" s="17" t="str">
        <f>HYPERLINK("https://otsuka-europe-crm.veevavault.com/ui/#object/vcountry__v/VENZ000004SONFQ", "IT")</f>
        <v>IT</v>
      </c>
      <c r="C10146" s="20" t="s">
        <v>44</v>
      </c>
      <c r="D10146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146" s="22" t="str">
        <f>HYPERLINK("https://otsuka-europe-crm.veevavault.com/ui/#object/sent_email__v/VBL00000002U411", "SE-001436299")</f>
        <v>SE-001436299</v>
      </c>
      <c r="F10146" s="23">
        <v>46190.343194444446</v>
      </c>
      <c r="G10146" s="24">
        <v>1</v>
      </c>
      <c r="H10146" s="24">
        <v>1</v>
      </c>
      <c r="I10146" s="24">
        <v>0</v>
      </c>
      <c r="J10146" s="25"/>
      <c r="K10146" s="24">
        <v>0</v>
      </c>
      <c r="L10146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146" s="22" t="str">
        <f>HYPERLINK("mailto:giada.camassa@outsuka.it", "giada.camassa@outsuka.it")</f>
        <v>giada.camassa@outsuka.it</v>
      </c>
      <c r="N10146" s="23">
        <v>46190.337858796294</v>
      </c>
      <c r="O10146" s="14" t="str">
        <f>HYPERLINK("https://otsuka-europe-crm.veevavault.com/ui/#object/email_activity__v/V8C00000003W617", "EN-002098236")</f>
        <v>EN-002098236</v>
      </c>
    </row>
    <row r="10147" spans="1:15" ht="16" x14ac:dyDescent="0.2">
      <c r="A10147" s="19"/>
      <c r="B10147" s="19"/>
      <c r="C10147" s="19"/>
      <c r="D10147" s="19"/>
      <c r="E10147" s="19"/>
      <c r="F10147" s="19"/>
      <c r="G10147" s="19"/>
      <c r="H10147" s="19"/>
      <c r="I10147" s="19"/>
      <c r="J10147" s="19"/>
      <c r="K10147" s="19"/>
      <c r="L10147" s="19"/>
      <c r="M10147" s="19"/>
      <c r="N10147" s="19"/>
      <c r="O10147" s="14" t="str">
        <f>HYPERLINK("https://otsuka-europe-crm.veevavault.com/ui/#object/email_activity__v/V8C00000003X335", "EN-002097631")</f>
        <v>EN-002097631</v>
      </c>
    </row>
    <row r="10148" spans="1:15" ht="64" x14ac:dyDescent="0.2">
      <c r="A10148" s="7" t="str">
        <f>HYPERLINK("https://otsuka-europe-crm.veevavault.com/ui/#object/account__v/V4TZ04ASGBCFYVY", "GABRIELLA LOI")</f>
        <v>GABRIELLA LOI</v>
      </c>
      <c r="B10148" s="7" t="str">
        <f>HYPERLINK("https://otsuka-europe-crm.veevavault.com/ui/#object/vcountry__v/VENZ000004SONFQ", "IT")</f>
        <v>IT</v>
      </c>
      <c r="C10148" s="8" t="s">
        <v>44</v>
      </c>
      <c r="D10148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148" s="10" t="str">
        <f>HYPERLINK("https://otsuka-europe-crm.veevavault.com/ui/#object/sent_email__v/VBL00000002U412", "SE-001436300")</f>
        <v>SE-001436300</v>
      </c>
      <c r="F10148" s="11"/>
      <c r="G10148" s="12">
        <v>0</v>
      </c>
      <c r="H10148" s="12">
        <v>0</v>
      </c>
      <c r="I10148" s="12">
        <v>0</v>
      </c>
      <c r="J10148" s="11"/>
      <c r="K10148" s="12">
        <v>0</v>
      </c>
      <c r="L10148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148" s="10" t="str">
        <f>HYPERLINK("mailto:giada.camassa@outsuka.it", "giada.camassa@outsuka.it")</f>
        <v>giada.camassa@outsuka.it</v>
      </c>
      <c r="N10148" s="13">
        <v>46190.337905092594</v>
      </c>
      <c r="O10148" s="14" t="str">
        <f>HYPERLINK("https://otsuka-europe-crm.veevavault.com/ui/#object/email_activity__v/V8C00000003X368", "EN-002097546")</f>
        <v>EN-002097546</v>
      </c>
    </row>
    <row r="10149" spans="1:15" ht="64" x14ac:dyDescent="0.2">
      <c r="A10149" s="7" t="str">
        <f>HYPERLINK("https://otsuka-europe-crm.veevavault.com/ui/#object/account__v/V4TZ06G6O95XFLD", "GIACOMO EMMI")</f>
        <v>GIACOMO EMMI</v>
      </c>
      <c r="B10149" s="7" t="str">
        <f>HYPERLINK("https://otsuka-europe-crm.veevavault.com/ui/#object/vcountry__v/VENZ000004SONFQ", "IT")</f>
        <v>IT</v>
      </c>
      <c r="C10149" s="8" t="s">
        <v>44</v>
      </c>
      <c r="D10149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149" s="10" t="str">
        <f>HYPERLINK("https://otsuka-europe-crm.veevavault.com/ui/#object/sent_email__v/VBL00000002U413", "SE-001436301")</f>
        <v>SE-001436301</v>
      </c>
      <c r="F10149" s="11"/>
      <c r="G10149" s="12">
        <v>0</v>
      </c>
      <c r="H10149" s="12">
        <v>0</v>
      </c>
      <c r="I10149" s="12">
        <v>0</v>
      </c>
      <c r="J10149" s="11"/>
      <c r="K10149" s="12">
        <v>0</v>
      </c>
      <c r="L10149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149" s="10" t="str">
        <f>HYPERLINK("mailto:giada.camassa@outsuka.it", "giada.camassa@outsuka.it")</f>
        <v>giada.camassa@outsuka.it</v>
      </c>
      <c r="N10149" s="13">
        <v>46190.337905092594</v>
      </c>
      <c r="O10149" s="14" t="str">
        <f>HYPERLINK("https://otsuka-europe-crm.veevavault.com/ui/#object/email_activity__v/V8C00000003W426", "EN-002097710")</f>
        <v>EN-002097710</v>
      </c>
    </row>
    <row r="10150" spans="1:15" ht="64" x14ac:dyDescent="0.2">
      <c r="A10150" s="7" t="str">
        <f>HYPERLINK("https://otsuka-europe-crm.veevavault.com/ui/#object/account__v/V4TZ025E87MT1QD", "GIANNA ANGELA MENNILLO")</f>
        <v>GIANNA ANGELA MENNILLO</v>
      </c>
      <c r="B10150" s="7" t="str">
        <f>HYPERLINK("https://otsuka-europe-crm.veevavault.com/ui/#object/vcountry__v/VENZ000004SONFQ", "IT")</f>
        <v>IT</v>
      </c>
      <c r="C10150" s="8" t="s">
        <v>44</v>
      </c>
      <c r="D10150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150" s="10" t="str">
        <f>HYPERLINK("https://otsuka-europe-crm.veevavault.com/ui/#object/sent_email__v/VBL00000002U414", "SE-001436302")</f>
        <v>SE-001436302</v>
      </c>
      <c r="F10150" s="11"/>
      <c r="G10150" s="12">
        <v>0</v>
      </c>
      <c r="H10150" s="12">
        <v>0</v>
      </c>
      <c r="I10150" s="12">
        <v>0</v>
      </c>
      <c r="J10150" s="11"/>
      <c r="K10150" s="12">
        <v>0</v>
      </c>
      <c r="L10150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150" s="10" t="str">
        <f>HYPERLINK("mailto:giada.camassa@outsuka.it", "giada.camassa@outsuka.it")</f>
        <v>giada.camassa@outsuka.it</v>
      </c>
      <c r="N10150" s="13">
        <v>46190.337835648148</v>
      </c>
      <c r="O10150" s="14" t="str">
        <f>HYPERLINK("https://otsuka-europe-crm.veevavault.com/ui/#object/email_activity__v/V8C00000003X523", "EN-002097766")</f>
        <v>EN-002097766</v>
      </c>
    </row>
    <row r="10151" spans="1:15" ht="64" x14ac:dyDescent="0.2">
      <c r="A10151" s="7" t="str">
        <f>HYPERLINK("https://otsuka-europe-crm.veevavault.com/ui/#object/account__v/V4TZ04ASGBCLLCH", "GINEVRA DE MARCHI")</f>
        <v>GINEVRA DE MARCHI</v>
      </c>
      <c r="B10151" s="7" t="str">
        <f>HYPERLINK("https://otsuka-europe-crm.veevavault.com/ui/#object/vcountry__v/VENZ000004SONFQ", "IT")</f>
        <v>IT</v>
      </c>
      <c r="C10151" s="8" t="s">
        <v>44</v>
      </c>
      <c r="D10151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151" s="10" t="str">
        <f>HYPERLINK("https://otsuka-europe-crm.veevavault.com/ui/#object/sent_email__v/VBL00000002U415", "SE-001436303")</f>
        <v>SE-001436303</v>
      </c>
      <c r="F10151" s="11"/>
      <c r="G10151" s="12">
        <v>0</v>
      </c>
      <c r="H10151" s="12">
        <v>0</v>
      </c>
      <c r="I10151" s="12">
        <v>0</v>
      </c>
      <c r="J10151" s="11"/>
      <c r="K10151" s="12">
        <v>0</v>
      </c>
      <c r="L10151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151" s="10" t="str">
        <f>HYPERLINK("mailto:giada.camassa@outsuka.it", "giada.camassa@outsuka.it")</f>
        <v>giada.camassa@outsuka.it</v>
      </c>
      <c r="N10151" s="13">
        <v>46190.339375000003</v>
      </c>
      <c r="O10151" s="14" t="str">
        <f>HYPERLINK("https://otsuka-europe-crm.veevavault.com/ui/#object/email_activity__v/V8C00000003X697", "EN-002098058")</f>
        <v>EN-002098058</v>
      </c>
    </row>
    <row r="10152" spans="1:15" ht="16" x14ac:dyDescent="0.2">
      <c r="A10152" s="17" t="str">
        <f>HYPERLINK("https://otsuka-europe-crm.veevavault.com/ui/#object/account__v/V4TZ04ASGB4OGK1", "GIOVANNA CUOMO")</f>
        <v>GIOVANNA CUOMO</v>
      </c>
      <c r="B10152" s="17" t="str">
        <f>HYPERLINK("https://otsuka-europe-crm.veevavault.com/ui/#object/vcountry__v/VENZ000004SONFQ", "IT")</f>
        <v>IT</v>
      </c>
      <c r="C10152" s="20" t="s">
        <v>44</v>
      </c>
      <c r="D10152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152" s="22" t="str">
        <f>HYPERLINK("https://otsuka-europe-crm.veevavault.com/ui/#object/sent_email__v/VBL00000002U416", "SE-001436304")</f>
        <v>SE-001436304</v>
      </c>
      <c r="F10152" s="23">
        <v>46190.33803240741</v>
      </c>
      <c r="G10152" s="24">
        <v>1</v>
      </c>
      <c r="H10152" s="24">
        <v>1</v>
      </c>
      <c r="I10152" s="24">
        <v>1</v>
      </c>
      <c r="J10152" s="23">
        <v>46190.347372685188</v>
      </c>
      <c r="K10152" s="24">
        <v>1</v>
      </c>
      <c r="L10152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152" s="22" t="str">
        <f>HYPERLINK("mailto:giada.camassa@outsuka.it", "giada.camassa@outsuka.it")</f>
        <v>giada.camassa@outsuka.it</v>
      </c>
      <c r="N10152" s="23">
        <v>46190.337905092594</v>
      </c>
      <c r="O10152" s="14" t="str">
        <f>HYPERLINK("https://otsuka-europe-crm.veevavault.com/ui/#object/email_activity__v/V8C00000003W442", "EN-002097726")</f>
        <v>EN-002097726</v>
      </c>
    </row>
    <row r="10153" spans="1:15" ht="16" x14ac:dyDescent="0.2">
      <c r="A10153" s="18"/>
      <c r="B10153" s="18"/>
      <c r="C10153" s="18"/>
      <c r="D10153" s="18"/>
      <c r="E10153" s="18"/>
      <c r="F10153" s="18"/>
      <c r="G10153" s="18"/>
      <c r="H10153" s="18"/>
      <c r="I10153" s="18"/>
      <c r="J10153" s="18"/>
      <c r="K10153" s="18"/>
      <c r="L10153" s="18"/>
      <c r="M10153" s="18"/>
      <c r="N10153" s="18"/>
      <c r="O10153" s="14" t="str">
        <f>HYPERLINK("https://otsuka-europe-crm.veevavault.com/ui/#object/email_activity__v/V8C00000003X475", "EN-002097674")</f>
        <v>EN-002097674</v>
      </c>
    </row>
    <row r="10154" spans="1:15" ht="16" x14ac:dyDescent="0.2">
      <c r="A10154" s="19"/>
      <c r="B10154" s="19"/>
      <c r="C10154" s="19"/>
      <c r="D10154" s="19"/>
      <c r="E10154" s="19"/>
      <c r="F10154" s="19"/>
      <c r="G10154" s="19"/>
      <c r="H10154" s="19"/>
      <c r="I10154" s="19"/>
      <c r="J10154" s="19"/>
      <c r="K10154" s="19"/>
      <c r="L10154" s="19"/>
      <c r="M10154" s="19"/>
      <c r="N10154" s="19"/>
      <c r="O10154" s="14" t="str">
        <f>HYPERLINK("https://otsuka-europe-crm.veevavault.com/ui/#object/email_activity__v/V8C00000003X815", "EN-002098247")</f>
        <v>EN-002098247</v>
      </c>
    </row>
    <row r="10155" spans="1:15" ht="64" x14ac:dyDescent="0.2">
      <c r="A10155" s="7" t="str">
        <f>HYPERLINK("https://otsuka-europe-crm.veevavault.com/ui/#object/account__v/V4TZ025E83BB94T", "GIOVANNA RANDISI")</f>
        <v>GIOVANNA RANDISI</v>
      </c>
      <c r="B10155" s="7" t="str">
        <f>HYPERLINK("https://otsuka-europe-crm.veevavault.com/ui/#object/vcountry__v/VENZ000004SONFQ", "IT")</f>
        <v>IT</v>
      </c>
      <c r="C10155" s="8" t="s">
        <v>44</v>
      </c>
      <c r="D10155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155" s="10" t="str">
        <f>HYPERLINK("https://otsuka-europe-crm.veevavault.com/ui/#object/sent_email__v/VBL00000002U417", "SE-001436305")</f>
        <v>SE-001436305</v>
      </c>
      <c r="F10155" s="11"/>
      <c r="G10155" s="12">
        <v>0</v>
      </c>
      <c r="H10155" s="12">
        <v>0</v>
      </c>
      <c r="I10155" s="12">
        <v>0</v>
      </c>
      <c r="J10155" s="11"/>
      <c r="K10155" s="12">
        <v>0</v>
      </c>
      <c r="L10155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155" s="10" t="str">
        <f>HYPERLINK("mailto:giada.camassa@outsuka.it", "giada.camassa@outsuka.it")</f>
        <v>giada.camassa@outsuka.it</v>
      </c>
      <c r="N10155" s="13">
        <v>46190.339456018519</v>
      </c>
      <c r="O10155" s="14" t="str">
        <f>HYPERLINK("https://otsuka-europe-crm.veevavault.com/ui/#object/email_activity__v/V8C00000003W560", "EN-002098077")</f>
        <v>EN-002098077</v>
      </c>
    </row>
    <row r="10156" spans="1:15" ht="64" x14ac:dyDescent="0.2">
      <c r="A10156" s="7" t="str">
        <f>HYPERLINK("https://otsuka-europe-crm.veevavault.com/ui/#object/account__v/V4TZ025E87MSL7Z", "GIOVANNI PERUZ")</f>
        <v>GIOVANNI PERUZ</v>
      </c>
      <c r="B10156" s="7" t="str">
        <f>HYPERLINK("https://otsuka-europe-crm.veevavault.com/ui/#object/vcountry__v/VENZ000004SONFQ", "IT")</f>
        <v>IT</v>
      </c>
      <c r="C10156" s="8" t="s">
        <v>44</v>
      </c>
      <c r="D10156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156" s="10" t="str">
        <f>HYPERLINK("https://otsuka-europe-crm.veevavault.com/ui/#object/sent_email__v/VBL00000002U419", "SE-001436307")</f>
        <v>SE-001436307</v>
      </c>
      <c r="F10156" s="11"/>
      <c r="G10156" s="12">
        <v>0</v>
      </c>
      <c r="H10156" s="12">
        <v>0</v>
      </c>
      <c r="I10156" s="12">
        <v>0</v>
      </c>
      <c r="J10156" s="11"/>
      <c r="K10156" s="12">
        <v>0</v>
      </c>
      <c r="L10156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156" s="10" t="str">
        <f>HYPERLINK("mailto:giada.camassa@outsuka.it", "giada.camassa@outsuka.it")</f>
        <v>giada.camassa@outsuka.it</v>
      </c>
      <c r="N10156" s="13">
        <v>46190.33798611111</v>
      </c>
      <c r="O10156" s="14" t="str">
        <f>HYPERLINK("https://otsuka-europe-crm.veevavault.com/ui/#object/email_activity__v/V8C00000003X423", "EN-002097618")</f>
        <v>EN-002097618</v>
      </c>
    </row>
    <row r="10157" spans="1:15" ht="64" x14ac:dyDescent="0.2">
      <c r="A10157" s="7" t="str">
        <f>HYPERLINK("https://otsuka-europe-crm.veevavault.com/ui/#object/account__v/V4TZ04ASGB4UZZE", "GIULIA PAZZOLA")</f>
        <v>GIULIA PAZZOLA</v>
      </c>
      <c r="B10157" s="7" t="str">
        <f>HYPERLINK("https://otsuka-europe-crm.veevavault.com/ui/#object/vcountry__v/VENZ000004SONFQ", "IT")</f>
        <v>IT</v>
      </c>
      <c r="C10157" s="8" t="s">
        <v>44</v>
      </c>
      <c r="D10157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157" s="10" t="str">
        <f>HYPERLINK("https://otsuka-europe-crm.veevavault.com/ui/#object/sent_email__v/VBL00000002U420", "SE-001436308")</f>
        <v>SE-001436308</v>
      </c>
      <c r="F10157" s="11"/>
      <c r="G10157" s="12">
        <v>0</v>
      </c>
      <c r="H10157" s="12">
        <v>0</v>
      </c>
      <c r="I10157" s="12">
        <v>0</v>
      </c>
      <c r="J10157" s="11"/>
      <c r="K10157" s="12">
        <v>0</v>
      </c>
      <c r="L10157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157" s="10" t="str">
        <f>HYPERLINK("mailto:giada.camassa@outsuka.it", "giada.camassa@outsuka.it")</f>
        <v>giada.camassa@outsuka.it</v>
      </c>
      <c r="N10157" s="13">
        <v>46190.337939814817</v>
      </c>
      <c r="O10157" s="14" t="str">
        <f>HYPERLINK("https://otsuka-europe-crm.veevavault.com/ui/#object/email_activity__v/V8C00000003X504", "EN-002097747")</f>
        <v>EN-002097747</v>
      </c>
    </row>
    <row r="10158" spans="1:15" ht="16" x14ac:dyDescent="0.2">
      <c r="A10158" s="17" t="str">
        <f>HYPERLINK("https://otsuka-europe-crm.veevavault.com/ui/#object/account__v/V4TZ025E82VX5RS", "GIULIA RIGHETTI")</f>
        <v>GIULIA RIGHETTI</v>
      </c>
      <c r="B10158" s="17" t="str">
        <f>HYPERLINK("https://otsuka-europe-crm.veevavault.com/ui/#object/vcountry__v/VENZ000004SONFQ", "IT")</f>
        <v>IT</v>
      </c>
      <c r="C10158" s="20" t="s">
        <v>44</v>
      </c>
      <c r="D10158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158" s="22" t="str">
        <f>HYPERLINK("https://otsuka-europe-crm.veevavault.com/ui/#object/sent_email__v/VBL00000002U421", "SE-001436309")</f>
        <v>SE-001436309</v>
      </c>
      <c r="F10158" s="23">
        <v>46191.68304398148</v>
      </c>
      <c r="G10158" s="24">
        <v>1</v>
      </c>
      <c r="H10158" s="24">
        <v>5</v>
      </c>
      <c r="I10158" s="24">
        <v>0</v>
      </c>
      <c r="J10158" s="25"/>
      <c r="K10158" s="24">
        <v>0</v>
      </c>
      <c r="L10158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158" s="22" t="str">
        <f>HYPERLINK("mailto:giada.camassa@outsuka.it", "giada.camassa@outsuka.it")</f>
        <v>giada.camassa@outsuka.it</v>
      </c>
      <c r="N10158" s="23">
        <v>46190.33792824074</v>
      </c>
      <c r="O10158" s="14" t="str">
        <f>HYPERLINK("https://otsuka-europe-crm.veevavault.com/ui/#object/email_activity__v/V8C00000003W820", "EN-002098649")</f>
        <v>EN-002098649</v>
      </c>
    </row>
    <row r="10159" spans="1:15" ht="16" x14ac:dyDescent="0.2">
      <c r="A10159" s="18"/>
      <c r="B10159" s="18"/>
      <c r="C10159" s="18"/>
      <c r="D10159" s="18"/>
      <c r="E10159" s="18"/>
      <c r="F10159" s="18"/>
      <c r="G10159" s="18"/>
      <c r="H10159" s="18"/>
      <c r="I10159" s="18"/>
      <c r="J10159" s="18"/>
      <c r="K10159" s="18"/>
      <c r="L10159" s="18"/>
      <c r="M10159" s="18"/>
      <c r="N10159" s="18"/>
      <c r="O10159" s="14" t="str">
        <f>HYPERLINK("https://otsuka-europe-crm.veevavault.com/ui/#object/email_activity__v/V8C00000003W821", "EN-002098650")</f>
        <v>EN-002098650</v>
      </c>
    </row>
    <row r="10160" spans="1:15" ht="16" x14ac:dyDescent="0.2">
      <c r="A10160" s="18"/>
      <c r="B10160" s="18"/>
      <c r="C10160" s="18"/>
      <c r="D10160" s="18"/>
      <c r="E10160" s="18"/>
      <c r="F10160" s="18"/>
      <c r="G10160" s="18"/>
      <c r="H10160" s="18"/>
      <c r="I10160" s="18"/>
      <c r="J10160" s="18"/>
      <c r="K10160" s="18"/>
      <c r="L10160" s="18"/>
      <c r="M10160" s="18"/>
      <c r="N10160" s="18"/>
      <c r="O10160" s="14" t="str">
        <f>HYPERLINK("https://otsuka-europe-crm.veevavault.com/ui/#object/email_activity__v/V8C00000003X318", "EN-002097515")</f>
        <v>EN-002097515</v>
      </c>
    </row>
    <row r="10161" spans="1:15" ht="16" x14ac:dyDescent="0.2">
      <c r="A10161" s="18"/>
      <c r="B10161" s="18"/>
      <c r="C10161" s="18"/>
      <c r="D10161" s="18"/>
      <c r="E10161" s="18"/>
      <c r="F10161" s="18"/>
      <c r="G10161" s="18"/>
      <c r="H10161" s="18"/>
      <c r="I10161" s="18"/>
      <c r="J10161" s="18"/>
      <c r="K10161" s="18"/>
      <c r="L10161" s="18"/>
      <c r="M10161" s="18"/>
      <c r="N10161" s="18"/>
      <c r="O10161" s="14" t="str">
        <f>HYPERLINK("https://otsuka-europe-crm.veevavault.com/ui/#object/email_activity__v/V8C00000003X358", "EN-002097536")</f>
        <v>EN-002097536</v>
      </c>
    </row>
    <row r="10162" spans="1:15" ht="16" x14ac:dyDescent="0.2">
      <c r="A10162" s="18"/>
      <c r="B10162" s="18"/>
      <c r="C10162" s="18"/>
      <c r="D10162" s="18"/>
      <c r="E10162" s="18"/>
      <c r="F10162" s="18"/>
      <c r="G10162" s="18"/>
      <c r="H10162" s="18"/>
      <c r="I10162" s="18"/>
      <c r="J10162" s="18"/>
      <c r="K10162" s="18"/>
      <c r="L10162" s="18"/>
      <c r="M10162" s="18"/>
      <c r="N10162" s="18"/>
      <c r="O10162" s="14" t="str">
        <f>HYPERLINK("https://otsuka-europe-crm.veevavault.com/ui/#object/email_activity__v/V8C00000003X884", "EN-002098400")</f>
        <v>EN-002098400</v>
      </c>
    </row>
    <row r="10163" spans="1:15" ht="16" x14ac:dyDescent="0.2">
      <c r="A10163" s="19"/>
      <c r="B10163" s="19"/>
      <c r="C10163" s="19"/>
      <c r="D10163" s="19"/>
      <c r="E10163" s="19"/>
      <c r="F10163" s="19"/>
      <c r="G10163" s="19"/>
      <c r="H10163" s="19"/>
      <c r="I10163" s="19"/>
      <c r="J10163" s="19"/>
      <c r="K10163" s="19"/>
      <c r="L10163" s="19"/>
      <c r="M10163" s="19"/>
      <c r="N10163" s="19"/>
      <c r="O10163" s="14" t="str">
        <f>HYPERLINK("https://otsuka-europe-crm.veevavault.com/ui/#object/email_activity__v/V8C00000003X885", "EN-002098401")</f>
        <v>EN-002098401</v>
      </c>
    </row>
    <row r="10164" spans="1:15" ht="64" x14ac:dyDescent="0.2">
      <c r="A10164" s="7" t="str">
        <f>HYPERLINK("https://otsuka-europe-crm.veevavault.com/ui/#object/account__v/V4TZ04ASGFHLCTW", "GIUSEPPA PAGANO MARIANO")</f>
        <v>GIUSEPPA PAGANO MARIANO</v>
      </c>
      <c r="B10164" s="7" t="str">
        <f t="shared" ref="B10164:B10169" si="758">HYPERLINK("https://otsuka-europe-crm.veevavault.com/ui/#object/vcountry__v/VENZ000004SONFQ", "IT")</f>
        <v>IT</v>
      </c>
      <c r="C10164" s="8" t="s">
        <v>44</v>
      </c>
      <c r="D10164" s="9" t="str">
        <f t="shared" ref="D10164:D10169" si="759">HYPERLINK("https://otsuka-europe-crm.veevavault.com/ui/#object/approved_document__v/V5O00000000G062", "AE - AGGIORNAMENTI SEZIONE APPROFONDIMENTI REUMA IT-NPR-2500150")</f>
        <v>AE - AGGIORNAMENTI SEZIONE APPROFONDIMENTI REUMA IT-NPR-2500150</v>
      </c>
      <c r="E10164" s="10" t="str">
        <f>HYPERLINK("https://otsuka-europe-crm.veevavault.com/ui/#object/sent_email__v/VBL00000002U422", "SE-001436310")</f>
        <v>SE-001436310</v>
      </c>
      <c r="F10164" s="11"/>
      <c r="G10164" s="12">
        <v>0</v>
      </c>
      <c r="H10164" s="12">
        <v>0</v>
      </c>
      <c r="I10164" s="12">
        <v>0</v>
      </c>
      <c r="J10164" s="11"/>
      <c r="K10164" s="12">
        <v>0</v>
      </c>
      <c r="L10164" s="10" t="str">
        <f t="shared" ref="L10164:L10169" si="760">HYPERLINK("https://otsuka-europe-crm.veevavault.com/ui/#object/approved_document__v/V5O00000000G062", "AE - AGGIORNAMENTI SEZIONE APPROFONDIMENTI REUMA IT-NPR-2500150")</f>
        <v>AE - AGGIORNAMENTI SEZIONE APPROFONDIMENTI REUMA IT-NPR-2500150</v>
      </c>
      <c r="M10164" s="10" t="str">
        <f t="shared" ref="M10164:M10169" si="761">HYPERLINK("mailto:giada.camassa@outsuka.it", "giada.camassa@outsuka.it")</f>
        <v>giada.camassa@outsuka.it</v>
      </c>
      <c r="N10164" s="13">
        <v>46190.337881944448</v>
      </c>
      <c r="O10164" s="14" t="str">
        <f>HYPERLINK("https://otsuka-europe-crm.veevavault.com/ui/#object/email_activity__v/V8C00000003X258", "EN-002097433")</f>
        <v>EN-002097433</v>
      </c>
    </row>
    <row r="10165" spans="1:15" ht="64" x14ac:dyDescent="0.2">
      <c r="A10165" s="7" t="str">
        <f>HYPERLINK("https://otsuka-europe-crm.veevavault.com/ui/#object/account__v/V4TZ04ASGCDEUV1", "GIUSEPPE PROVENZANO")</f>
        <v>GIUSEPPE PROVENZANO</v>
      </c>
      <c r="B10165" s="7" t="str">
        <f t="shared" si="758"/>
        <v>IT</v>
      </c>
      <c r="C10165" s="8" t="s">
        <v>44</v>
      </c>
      <c r="D10165" s="9" t="str">
        <f t="shared" si="759"/>
        <v>AE - AGGIORNAMENTI SEZIONE APPROFONDIMENTI REUMA IT-NPR-2500150</v>
      </c>
      <c r="E10165" s="10" t="str">
        <f>HYPERLINK("https://otsuka-europe-crm.veevavault.com/ui/#object/sent_email__v/VBL00000002U423", "SE-001436311")</f>
        <v>SE-001436311</v>
      </c>
      <c r="F10165" s="11"/>
      <c r="G10165" s="12">
        <v>0</v>
      </c>
      <c r="H10165" s="12">
        <v>0</v>
      </c>
      <c r="I10165" s="12">
        <v>0</v>
      </c>
      <c r="J10165" s="11"/>
      <c r="K10165" s="12">
        <v>0</v>
      </c>
      <c r="L10165" s="10" t="str">
        <f t="shared" si="760"/>
        <v>AE - AGGIORNAMENTI SEZIONE APPROFONDIMENTI REUMA IT-NPR-2500150</v>
      </c>
      <c r="M10165" s="10" t="str">
        <f t="shared" si="761"/>
        <v>giada.camassa@outsuka.it</v>
      </c>
      <c r="N10165" s="13">
        <v>46190.337939814817</v>
      </c>
      <c r="O10165" s="14" t="str">
        <f>HYPERLINK("https://otsuka-europe-crm.veevavault.com/ui/#object/email_activity__v/V8C00000003W458", "EN-002097781")</f>
        <v>EN-002097781</v>
      </c>
    </row>
    <row r="10166" spans="1:15" ht="64" x14ac:dyDescent="0.2">
      <c r="A10166" s="7" t="str">
        <f>HYPERLINK("https://otsuka-europe-crm.veevavault.com/ui/#object/account__v/V4TZ025E85UPH1Q", "ILARIA CHIAPPAROLI")</f>
        <v>ILARIA CHIAPPAROLI</v>
      </c>
      <c r="B10166" s="7" t="str">
        <f t="shared" si="758"/>
        <v>IT</v>
      </c>
      <c r="C10166" s="8" t="s">
        <v>44</v>
      </c>
      <c r="D10166" s="9" t="str">
        <f t="shared" si="759"/>
        <v>AE - AGGIORNAMENTI SEZIONE APPROFONDIMENTI REUMA IT-NPR-2500150</v>
      </c>
      <c r="E10166" s="10" t="str">
        <f>HYPERLINK("https://otsuka-europe-crm.veevavault.com/ui/#object/sent_email__v/VBL00000002U424", "SE-001436312")</f>
        <v>SE-001436312</v>
      </c>
      <c r="F10166" s="11"/>
      <c r="G10166" s="12">
        <v>0</v>
      </c>
      <c r="H10166" s="12">
        <v>0</v>
      </c>
      <c r="I10166" s="12">
        <v>0</v>
      </c>
      <c r="J10166" s="11"/>
      <c r="K10166" s="12">
        <v>0</v>
      </c>
      <c r="L10166" s="10" t="str">
        <f t="shared" si="760"/>
        <v>AE - AGGIORNAMENTI SEZIONE APPROFONDIMENTI REUMA IT-NPR-2500150</v>
      </c>
      <c r="M10166" s="10" t="str">
        <f t="shared" si="761"/>
        <v>giada.camassa@outsuka.it</v>
      </c>
      <c r="N10166" s="13">
        <v>46190.339849537035</v>
      </c>
      <c r="O10166" s="14" t="str">
        <f>HYPERLINK("https://otsuka-europe-crm.veevavault.com/ui/#object/email_activity__v/V8C00000003X772", "EN-002098177")</f>
        <v>EN-002098177</v>
      </c>
    </row>
    <row r="10167" spans="1:15" ht="64" x14ac:dyDescent="0.2">
      <c r="A10167" s="7" t="str">
        <f>HYPERLINK("https://otsuka-europe-crm.veevavault.com/ui/#object/account__v/V4TZ04ASGBNLBEH", "ILARIA LECCESE")</f>
        <v>ILARIA LECCESE</v>
      </c>
      <c r="B10167" s="7" t="str">
        <f t="shared" si="758"/>
        <v>IT</v>
      </c>
      <c r="C10167" s="8" t="s">
        <v>44</v>
      </c>
      <c r="D10167" s="9" t="str">
        <f t="shared" si="759"/>
        <v>AE - AGGIORNAMENTI SEZIONE APPROFONDIMENTI REUMA IT-NPR-2500150</v>
      </c>
      <c r="E10167" s="10" t="str">
        <f>HYPERLINK("https://otsuka-europe-crm.veevavault.com/ui/#object/sent_email__v/VBL00000002U425", "SE-001436313")</f>
        <v>SE-001436313</v>
      </c>
      <c r="F10167" s="11"/>
      <c r="G10167" s="12">
        <v>0</v>
      </c>
      <c r="H10167" s="12">
        <v>0</v>
      </c>
      <c r="I10167" s="12">
        <v>0</v>
      </c>
      <c r="J10167" s="11"/>
      <c r="K10167" s="12">
        <v>0</v>
      </c>
      <c r="L10167" s="10" t="str">
        <f t="shared" si="760"/>
        <v>AE - AGGIORNAMENTI SEZIONE APPROFONDIMENTI REUMA IT-NPR-2500150</v>
      </c>
      <c r="M10167" s="10" t="str">
        <f t="shared" si="761"/>
        <v>giada.camassa@outsuka.it</v>
      </c>
      <c r="N10167" s="13">
        <v>46190.337905092594</v>
      </c>
      <c r="O10167" s="14" t="str">
        <f>HYPERLINK("https://otsuka-europe-crm.veevavault.com/ui/#object/email_activity__v/V8C00000003X408", "EN-002097603")</f>
        <v>EN-002097603</v>
      </c>
    </row>
    <row r="10168" spans="1:15" ht="64" x14ac:dyDescent="0.2">
      <c r="A10168" s="7" t="str">
        <f>HYPERLINK("https://otsuka-europe-crm.veevavault.com/ui/#object/account__v/V4TZ025E833A1BQ", "ILARIA PUCA")</f>
        <v>ILARIA PUCA</v>
      </c>
      <c r="B10168" s="7" t="str">
        <f t="shared" si="758"/>
        <v>IT</v>
      </c>
      <c r="C10168" s="8" t="s">
        <v>44</v>
      </c>
      <c r="D10168" s="9" t="str">
        <f t="shared" si="759"/>
        <v>AE - AGGIORNAMENTI SEZIONE APPROFONDIMENTI REUMA IT-NPR-2500150</v>
      </c>
      <c r="E10168" s="10" t="str">
        <f>HYPERLINK("https://otsuka-europe-crm.veevavault.com/ui/#object/sent_email__v/VBL00000002U426", "SE-001436314")</f>
        <v>SE-001436314</v>
      </c>
      <c r="F10168" s="11"/>
      <c r="G10168" s="12">
        <v>0</v>
      </c>
      <c r="H10168" s="12">
        <v>0</v>
      </c>
      <c r="I10168" s="12">
        <v>0</v>
      </c>
      <c r="J10168" s="11"/>
      <c r="K10168" s="12">
        <v>0</v>
      </c>
      <c r="L10168" s="10" t="str">
        <f t="shared" si="760"/>
        <v>AE - AGGIORNAMENTI SEZIONE APPROFONDIMENTI REUMA IT-NPR-2500150</v>
      </c>
      <c r="M10168" s="10" t="str">
        <f t="shared" si="761"/>
        <v>giada.camassa@outsuka.it</v>
      </c>
      <c r="N10168" s="13">
        <v>46190.337939814817</v>
      </c>
      <c r="O10168" s="14" t="str">
        <f>HYPERLINK("https://otsuka-europe-crm.veevavault.com/ui/#object/email_activity__v/V8C00000003W460", "EN-002097783")</f>
        <v>EN-002097783</v>
      </c>
    </row>
    <row r="10169" spans="1:15" ht="16" x14ac:dyDescent="0.2">
      <c r="A10169" s="17" t="str">
        <f>HYPERLINK("https://otsuka-europe-crm.veevavault.com/ui/#object/account__v/V4TZ04ASGBCJYE1", "IMMACOLATA PREVETE")</f>
        <v>IMMACOLATA PREVETE</v>
      </c>
      <c r="B10169" s="17" t="str">
        <f t="shared" si="758"/>
        <v>IT</v>
      </c>
      <c r="C10169" s="20" t="s">
        <v>44</v>
      </c>
      <c r="D10169" s="21" t="str">
        <f t="shared" si="759"/>
        <v>AE - AGGIORNAMENTI SEZIONE APPROFONDIMENTI REUMA IT-NPR-2500150</v>
      </c>
      <c r="E10169" s="22" t="str">
        <f>HYPERLINK("https://otsuka-europe-crm.veevavault.com/ui/#object/sent_email__v/VBL00000002U427", "SE-001436315")</f>
        <v>SE-001436315</v>
      </c>
      <c r="F10169" s="23">
        <v>46190.338067129633</v>
      </c>
      <c r="G10169" s="24">
        <v>1</v>
      </c>
      <c r="H10169" s="24">
        <v>1</v>
      </c>
      <c r="I10169" s="24">
        <v>0</v>
      </c>
      <c r="J10169" s="25"/>
      <c r="K10169" s="24">
        <v>0</v>
      </c>
      <c r="L10169" s="22" t="str">
        <f t="shared" si="760"/>
        <v>AE - AGGIORNAMENTI SEZIONE APPROFONDIMENTI REUMA IT-NPR-2500150</v>
      </c>
      <c r="M10169" s="22" t="str">
        <f t="shared" si="761"/>
        <v>giada.camassa@outsuka.it</v>
      </c>
      <c r="N10169" s="23">
        <v>46190.337858796294</v>
      </c>
      <c r="O10169" s="14" t="str">
        <f>HYPERLINK("https://otsuka-europe-crm.veevavault.com/ui/#object/email_activity__v/V8C00000003X460", "EN-002097797")</f>
        <v>EN-002097797</v>
      </c>
    </row>
    <row r="10170" spans="1:15" ht="16" x14ac:dyDescent="0.2">
      <c r="A10170" s="19"/>
      <c r="B10170" s="19"/>
      <c r="C10170" s="19"/>
      <c r="D10170" s="19"/>
      <c r="E10170" s="19"/>
      <c r="F10170" s="19"/>
      <c r="G10170" s="19"/>
      <c r="H10170" s="19"/>
      <c r="I10170" s="19"/>
      <c r="J10170" s="19"/>
      <c r="K10170" s="19"/>
      <c r="L10170" s="19"/>
      <c r="M10170" s="19"/>
      <c r="N10170" s="19"/>
      <c r="O10170" s="14" t="str">
        <f>HYPERLINK("https://otsuka-europe-crm.veevavault.com/ui/#object/email_activity__v/V8C00000003X514", "EN-002097757")</f>
        <v>EN-002097757</v>
      </c>
    </row>
    <row r="10171" spans="1:15" ht="64" x14ac:dyDescent="0.2">
      <c r="A10171" s="7" t="str">
        <f>HYPERLINK("https://otsuka-europe-crm.veevavault.com/ui/#object/account__v/V4TZ025E884RAS3", "JELENA BLAGOJEVIC")</f>
        <v>JELENA BLAGOJEVIC</v>
      </c>
      <c r="B10171" s="7" t="str">
        <f>HYPERLINK("https://otsuka-europe-crm.veevavault.com/ui/#object/vcountry__v/VENZ000004SONFQ", "IT")</f>
        <v>IT</v>
      </c>
      <c r="C10171" s="8" t="s">
        <v>44</v>
      </c>
      <c r="D10171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171" s="10" t="str">
        <f>HYPERLINK("https://otsuka-europe-crm.veevavault.com/ui/#object/sent_email__v/VBL00000002U428", "SE-001436316")</f>
        <v>SE-001436316</v>
      </c>
      <c r="F10171" s="11"/>
      <c r="G10171" s="12">
        <v>0</v>
      </c>
      <c r="H10171" s="12">
        <v>0</v>
      </c>
      <c r="I10171" s="12">
        <v>0</v>
      </c>
      <c r="J10171" s="11"/>
      <c r="K10171" s="12">
        <v>0</v>
      </c>
      <c r="L10171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171" s="10" t="str">
        <f>HYPERLINK("mailto:giada.camassa@outsuka.it", "giada.camassa@outsuka.it")</f>
        <v>giada.camassa@outsuka.it</v>
      </c>
      <c r="N10171" s="13">
        <v>46190.338067129633</v>
      </c>
      <c r="O10171" s="14" t="str">
        <f>HYPERLINK("https://otsuka-europe-crm.veevavault.com/ui/#object/email_activity__v/V8C00000003X530", "EN-002097773")</f>
        <v>EN-002097773</v>
      </c>
    </row>
    <row r="10172" spans="1:15" ht="64" x14ac:dyDescent="0.2">
      <c r="A10172" s="7" t="str">
        <f>HYPERLINK("https://otsuka-europe-crm.veevavault.com/ui/#object/account__v/V4TZ04ASGC4LO4A", "LAURA COLADONATO")</f>
        <v>LAURA COLADONATO</v>
      </c>
      <c r="B10172" s="7" t="str">
        <f>HYPERLINK("https://otsuka-europe-crm.veevavault.com/ui/#object/vcountry__v/VENZ000004SONFQ", "IT")</f>
        <v>IT</v>
      </c>
      <c r="C10172" s="8" t="s">
        <v>44</v>
      </c>
      <c r="D10172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172" s="10" t="str">
        <f>HYPERLINK("https://otsuka-europe-crm.veevavault.com/ui/#object/sent_email__v/VBL00000002U429", "SE-001436317")</f>
        <v>SE-001436317</v>
      </c>
      <c r="F10172" s="11"/>
      <c r="G10172" s="12">
        <v>0</v>
      </c>
      <c r="H10172" s="12">
        <v>0</v>
      </c>
      <c r="I10172" s="12">
        <v>0</v>
      </c>
      <c r="J10172" s="11"/>
      <c r="K10172" s="12">
        <v>0</v>
      </c>
      <c r="L10172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172" s="10" t="str">
        <f>HYPERLINK("mailto:giada.camassa@outsuka.it", "giada.camassa@outsuka.it")</f>
        <v>giada.camassa@outsuka.it</v>
      </c>
      <c r="N10172" s="13">
        <v>46190.338159722225</v>
      </c>
      <c r="O10172" s="14" t="str">
        <f>HYPERLINK("https://otsuka-europe-crm.veevavault.com/ui/#object/email_activity__v/V8C00000003X567", "EN-002097863")</f>
        <v>EN-002097863</v>
      </c>
    </row>
    <row r="10173" spans="1:15" ht="64" x14ac:dyDescent="0.2">
      <c r="A10173" s="7" t="str">
        <f>HYPERLINK("https://otsuka-europe-crm.veevavault.com/ui/#object/account__v/V4TZ025E876N41K", "LAURA QUARTA")</f>
        <v>LAURA QUARTA</v>
      </c>
      <c r="B10173" s="7" t="str">
        <f>HYPERLINK("https://otsuka-europe-crm.veevavault.com/ui/#object/vcountry__v/VENZ000004SONFQ", "IT")</f>
        <v>IT</v>
      </c>
      <c r="C10173" s="8" t="s">
        <v>44</v>
      </c>
      <c r="D10173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173" s="10" t="str">
        <f>HYPERLINK("https://otsuka-europe-crm.veevavault.com/ui/#object/sent_email__v/VBL00000002U430", "SE-001436318")</f>
        <v>SE-001436318</v>
      </c>
      <c r="F10173" s="11"/>
      <c r="G10173" s="12">
        <v>0</v>
      </c>
      <c r="H10173" s="12">
        <v>0</v>
      </c>
      <c r="I10173" s="12">
        <v>0</v>
      </c>
      <c r="J10173" s="11"/>
      <c r="K10173" s="12">
        <v>0</v>
      </c>
      <c r="L10173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173" s="10" t="str">
        <f>HYPERLINK("mailto:giada.camassa@outsuka.it", "giada.camassa@outsuka.it")</f>
        <v>giada.camassa@outsuka.it</v>
      </c>
      <c r="N10173" s="13">
        <v>46190.339907407404</v>
      </c>
      <c r="O10173" s="14" t="str">
        <f>HYPERLINK("https://otsuka-europe-crm.veevavault.com/ui/#object/email_activity__v/V8C00000003X770", "EN-002098175")</f>
        <v>EN-002098175</v>
      </c>
    </row>
    <row r="10174" spans="1:15" ht="64" x14ac:dyDescent="0.2">
      <c r="A10174" s="7" t="str">
        <f>HYPERLINK("https://otsuka-europe-crm.veevavault.com/ui/#object/account__v/V4TZ04ASGCYWUPJ", "LEONARDO SANTO")</f>
        <v>LEONARDO SANTO</v>
      </c>
      <c r="B10174" s="7" t="str">
        <f>HYPERLINK("https://otsuka-europe-crm.veevavault.com/ui/#object/vcountry__v/VENZ000004SONFQ", "IT")</f>
        <v>IT</v>
      </c>
      <c r="C10174" s="8" t="s">
        <v>44</v>
      </c>
      <c r="D10174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174" s="10" t="str">
        <f>HYPERLINK("https://otsuka-europe-crm.veevavault.com/ui/#object/sent_email__v/VBL00000002U431", "SE-001436319")</f>
        <v>SE-001436319</v>
      </c>
      <c r="F10174" s="11"/>
      <c r="G10174" s="12">
        <v>0</v>
      </c>
      <c r="H10174" s="12">
        <v>0</v>
      </c>
      <c r="I10174" s="12">
        <v>0</v>
      </c>
      <c r="J10174" s="11"/>
      <c r="K10174" s="12">
        <v>0</v>
      </c>
      <c r="L10174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174" s="10" t="str">
        <f>HYPERLINK("mailto:giada.camassa@outsuka.it", "giada.camassa@outsuka.it")</f>
        <v>giada.camassa@outsuka.it</v>
      </c>
      <c r="N10174" s="13">
        <v>46190.337916666664</v>
      </c>
      <c r="O10174" s="14" t="str">
        <f>HYPERLINK("https://otsuka-europe-crm.veevavault.com/ui/#object/email_activity__v/V8C00000003X288", "EN-002097479")</f>
        <v>EN-002097479</v>
      </c>
    </row>
    <row r="10175" spans="1:15" ht="16" x14ac:dyDescent="0.2">
      <c r="A10175" s="17" t="str">
        <f>HYPERLINK("https://otsuka-europe-crm.veevavault.com/ui/#object/account__v/V4TZ04ASGB4W2D2", "LORENZA MARIA ARGOLINI")</f>
        <v>LORENZA MARIA ARGOLINI</v>
      </c>
      <c r="B10175" s="17" t="str">
        <f>HYPERLINK("https://otsuka-europe-crm.veevavault.com/ui/#object/vcountry__v/VENZ000004SONFQ", "IT")</f>
        <v>IT</v>
      </c>
      <c r="C10175" s="20" t="s">
        <v>44</v>
      </c>
      <c r="D10175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175" s="22" t="str">
        <f>HYPERLINK("https://otsuka-europe-crm.veevavault.com/ui/#object/sent_email__v/VBL00000002U432", "SE-001436320")</f>
        <v>SE-001436320</v>
      </c>
      <c r="F10175" s="23">
        <v>46190.517835648148</v>
      </c>
      <c r="G10175" s="24">
        <v>1</v>
      </c>
      <c r="H10175" s="24">
        <v>3</v>
      </c>
      <c r="I10175" s="24">
        <v>0</v>
      </c>
      <c r="J10175" s="25"/>
      <c r="K10175" s="24">
        <v>0</v>
      </c>
      <c r="L10175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175" s="22" t="str">
        <f>HYPERLINK("mailto:giada.camassa@outsuka.it", "giada.camassa@outsuka.it")</f>
        <v>giada.camassa@outsuka.it</v>
      </c>
      <c r="N10175" s="23">
        <v>46190.339756944442</v>
      </c>
      <c r="O10175" s="14" t="str">
        <f>HYPERLINK("https://otsuka-europe-crm.veevavault.com/ui/#object/email_activity__v/V8C00000003W703", "EN-002098387")</f>
        <v>EN-002098387</v>
      </c>
    </row>
    <row r="10176" spans="1:15" ht="16" x14ac:dyDescent="0.2">
      <c r="A10176" s="18"/>
      <c r="B10176" s="18"/>
      <c r="C10176" s="18"/>
      <c r="D10176" s="18"/>
      <c r="E10176" s="18"/>
      <c r="F10176" s="18"/>
      <c r="G10176" s="18"/>
      <c r="H10176" s="18"/>
      <c r="I10176" s="18"/>
      <c r="J10176" s="18"/>
      <c r="K10176" s="18"/>
      <c r="L10176" s="18"/>
      <c r="M10176" s="18"/>
      <c r="N10176" s="18"/>
      <c r="O10176" s="14" t="str">
        <f>HYPERLINK("https://otsuka-europe-crm.veevavault.com/ui/#object/email_activity__v/V8C00000003X748", "EN-002098146")</f>
        <v>EN-002098146</v>
      </c>
    </row>
    <row r="10177" spans="1:15" ht="16" x14ac:dyDescent="0.2">
      <c r="A10177" s="18"/>
      <c r="B10177" s="18"/>
      <c r="C10177" s="18"/>
      <c r="D10177" s="18"/>
      <c r="E10177" s="18"/>
      <c r="F10177" s="18"/>
      <c r="G10177" s="18"/>
      <c r="H10177" s="18"/>
      <c r="I10177" s="18"/>
      <c r="J10177" s="18"/>
      <c r="K10177" s="18"/>
      <c r="L10177" s="18"/>
      <c r="M10177" s="18"/>
      <c r="N10177" s="18"/>
      <c r="O10177" s="14" t="str">
        <f>HYPERLINK("https://otsuka-europe-crm.veevavault.com/ui/#object/email_activity__v/V8C00000003X760", "EN-002098163")</f>
        <v>EN-002098163</v>
      </c>
    </row>
    <row r="10178" spans="1:15" ht="16" x14ac:dyDescent="0.2">
      <c r="A10178" s="19"/>
      <c r="B10178" s="19"/>
      <c r="C10178" s="19"/>
      <c r="D10178" s="19"/>
      <c r="E10178" s="19"/>
      <c r="F10178" s="19"/>
      <c r="G10178" s="19"/>
      <c r="H10178" s="19"/>
      <c r="I10178" s="19"/>
      <c r="J10178" s="19"/>
      <c r="K10178" s="19"/>
      <c r="L10178" s="19"/>
      <c r="M10178" s="19"/>
      <c r="N10178" s="19"/>
      <c r="O10178" s="14" t="str">
        <f>HYPERLINK("https://otsuka-europe-crm.veevavault.com/ui/#object/email_activity__v/V8C00000003X877", "EN-002098388")</f>
        <v>EN-002098388</v>
      </c>
    </row>
    <row r="10179" spans="1:15" ht="64" x14ac:dyDescent="0.2">
      <c r="A10179" s="7" t="str">
        <f>HYPERLINK("https://otsuka-europe-crm.veevavault.com/ui/#object/account__v/V4TZ04ASGB4WX58", "LORENZO CAVAGNA")</f>
        <v>LORENZO CAVAGNA</v>
      </c>
      <c r="B10179" s="7" t="str">
        <f>HYPERLINK("https://otsuka-europe-crm.veevavault.com/ui/#object/vcountry__v/VENZ000004SONFQ", "IT")</f>
        <v>IT</v>
      </c>
      <c r="C10179" s="8" t="s">
        <v>44</v>
      </c>
      <c r="D10179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179" s="10" t="str">
        <f>HYPERLINK("https://otsuka-europe-crm.veevavault.com/ui/#object/sent_email__v/VBL00000002U433", "SE-001436321")</f>
        <v>SE-001436321</v>
      </c>
      <c r="F10179" s="11"/>
      <c r="G10179" s="12">
        <v>0</v>
      </c>
      <c r="H10179" s="12">
        <v>0</v>
      </c>
      <c r="I10179" s="12">
        <v>0</v>
      </c>
      <c r="J10179" s="11"/>
      <c r="K10179" s="12">
        <v>0</v>
      </c>
      <c r="L10179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179" s="10" t="str">
        <f>HYPERLINK("mailto:giada.camassa@outsuka.it", "giada.camassa@outsuka.it")</f>
        <v>giada.camassa@outsuka.it</v>
      </c>
      <c r="N10179" s="13">
        <v>46190.338090277779</v>
      </c>
      <c r="O10179" s="14" t="str">
        <f>HYPERLINK("https://otsuka-europe-crm.veevavault.com/ui/#object/email_activity__v/V8C00000003W450", "EN-002097734")</f>
        <v>EN-002097734</v>
      </c>
    </row>
    <row r="10180" spans="1:15" ht="16" x14ac:dyDescent="0.2">
      <c r="A10180" s="17" t="str">
        <f>HYPERLINK("https://otsuka-europe-crm.veevavault.com/ui/#object/account__v/V4TZ04ASGC7D26L", "LUCA PETRICCA")</f>
        <v>LUCA PETRICCA</v>
      </c>
      <c r="B10180" s="17" t="str">
        <f>HYPERLINK("https://otsuka-europe-crm.veevavault.com/ui/#object/vcountry__v/VENZ000004SONFQ", "IT")</f>
        <v>IT</v>
      </c>
      <c r="C10180" s="20" t="s">
        <v>44</v>
      </c>
      <c r="D10180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180" s="22" t="str">
        <f>HYPERLINK("https://otsuka-europe-crm.veevavault.com/ui/#object/sent_email__v/VBL00000002U434", "SE-001436322")</f>
        <v>SE-001436322</v>
      </c>
      <c r="F10180" s="23">
        <v>46190.338067129633</v>
      </c>
      <c r="G10180" s="24">
        <v>1</v>
      </c>
      <c r="H10180" s="24">
        <v>1</v>
      </c>
      <c r="I10180" s="24">
        <v>0</v>
      </c>
      <c r="J10180" s="25"/>
      <c r="K10180" s="24">
        <v>0</v>
      </c>
      <c r="L10180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180" s="22" t="str">
        <f>HYPERLINK("mailto:giada.camassa@outsuka.it", "giada.camassa@outsuka.it")</f>
        <v>giada.camassa@outsuka.it</v>
      </c>
      <c r="N10180" s="23">
        <v>46190.337835648148</v>
      </c>
      <c r="O10180" s="14" t="str">
        <f>HYPERLINK("https://otsuka-europe-crm.veevavault.com/ui/#object/email_activity__v/V8C00000003X342", "EN-002097638")</f>
        <v>EN-002097638</v>
      </c>
    </row>
    <row r="10181" spans="1:15" ht="16" x14ac:dyDescent="0.2">
      <c r="A10181" s="19"/>
      <c r="B10181" s="19"/>
      <c r="C10181" s="19"/>
      <c r="D10181" s="19"/>
      <c r="E10181" s="19"/>
      <c r="F10181" s="19"/>
      <c r="G10181" s="19"/>
      <c r="H10181" s="19"/>
      <c r="I10181" s="19"/>
      <c r="J10181" s="19"/>
      <c r="K10181" s="19"/>
      <c r="L10181" s="19"/>
      <c r="M10181" s="19"/>
      <c r="N10181" s="19"/>
      <c r="O10181" s="14" t="str">
        <f>HYPERLINK("https://otsuka-europe-crm.veevavault.com/ui/#object/email_activity__v/V8C00000003X429", "EN-002097624")</f>
        <v>EN-002097624</v>
      </c>
    </row>
    <row r="10182" spans="1:15" ht="64" x14ac:dyDescent="0.2">
      <c r="A10182" s="7" t="str">
        <f>HYPERLINK("https://otsuka-europe-crm.veevavault.com/ui/#object/account__v/V4TZ025E8430YQ4", "LUCA PICCO")</f>
        <v>LUCA PICCO</v>
      </c>
      <c r="B10182" s="7" t="str">
        <f>HYPERLINK("https://otsuka-europe-crm.veevavault.com/ui/#object/vcountry__v/VENZ000004SONFQ", "IT")</f>
        <v>IT</v>
      </c>
      <c r="C10182" s="8" t="s">
        <v>44</v>
      </c>
      <c r="D10182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182" s="10" t="str">
        <f>HYPERLINK("https://otsuka-europe-crm.veevavault.com/ui/#object/sent_email__v/VBL00000002U435", "SE-001436323")</f>
        <v>SE-001436323</v>
      </c>
      <c r="F10182" s="11"/>
      <c r="G10182" s="12">
        <v>0</v>
      </c>
      <c r="H10182" s="12">
        <v>0</v>
      </c>
      <c r="I10182" s="12">
        <v>0</v>
      </c>
      <c r="J10182" s="11"/>
      <c r="K10182" s="12">
        <v>0</v>
      </c>
      <c r="L10182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182" s="10" t="str">
        <f>HYPERLINK("mailto:giada.camassa@outsuka.it", "giada.camassa@outsuka.it")</f>
        <v>giada.camassa@outsuka.it</v>
      </c>
      <c r="N10182" s="13">
        <v>46190.338368055556</v>
      </c>
      <c r="O10182" s="14" t="str">
        <f>HYPERLINK("https://otsuka-europe-crm.veevavault.com/ui/#object/email_activity__v/V8C00000003W507", "EN-002097913")</f>
        <v>EN-002097913</v>
      </c>
    </row>
    <row r="10183" spans="1:15" ht="64" x14ac:dyDescent="0.2">
      <c r="A10183" s="7" t="str">
        <f>HYPERLINK("https://otsuka-europe-crm.veevavault.com/ui/#object/account__v/V4TZ025E87CNPCA", "LUDOVICA LAMBERTI")</f>
        <v>LUDOVICA LAMBERTI</v>
      </c>
      <c r="B10183" s="7" t="str">
        <f>HYPERLINK("https://otsuka-europe-crm.veevavault.com/ui/#object/vcountry__v/VENZ000004SONFQ", "IT")</f>
        <v>IT</v>
      </c>
      <c r="C10183" s="8" t="s">
        <v>44</v>
      </c>
      <c r="D10183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183" s="10" t="str">
        <f>HYPERLINK("https://otsuka-europe-crm.veevavault.com/ui/#object/sent_email__v/VBL00000002U436", "SE-001436324")</f>
        <v>SE-001436324</v>
      </c>
      <c r="F10183" s="11"/>
      <c r="G10183" s="12">
        <v>0</v>
      </c>
      <c r="H10183" s="12">
        <v>0</v>
      </c>
      <c r="I10183" s="12">
        <v>0</v>
      </c>
      <c r="J10183" s="11"/>
      <c r="K10183" s="12">
        <v>0</v>
      </c>
      <c r="L10183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183" s="10" t="str">
        <f>HYPERLINK("mailto:giada.camassa@outsuka.it", "giada.camassa@outsuka.it")</f>
        <v>giada.camassa@outsuka.it</v>
      </c>
      <c r="N10183" s="13">
        <v>46190.337881944448</v>
      </c>
      <c r="O10183" s="14" t="str">
        <f>HYPERLINK("https://otsuka-europe-crm.veevavault.com/ui/#object/email_activity__v/V8C00000003X307", "EN-002097498")</f>
        <v>EN-002097498</v>
      </c>
    </row>
    <row r="10184" spans="1:15" ht="64" x14ac:dyDescent="0.2">
      <c r="A10184" s="7" t="str">
        <f>HYPERLINK("https://otsuka-europe-crm.veevavault.com/ui/#object/account__v/V4TZ04ASGBCHCBW", "LUIGI DE MARCO")</f>
        <v>LUIGI DE MARCO</v>
      </c>
      <c r="B10184" s="7" t="str">
        <f>HYPERLINK("https://otsuka-europe-crm.veevavault.com/ui/#object/vcountry__v/VENZ000004SONFQ", "IT")</f>
        <v>IT</v>
      </c>
      <c r="C10184" s="8" t="s">
        <v>44</v>
      </c>
      <c r="D10184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184" s="10" t="str">
        <f>HYPERLINK("https://otsuka-europe-crm.veevavault.com/ui/#object/sent_email__v/VBL00000002U437", "SE-001436325")</f>
        <v>SE-001436325</v>
      </c>
      <c r="F10184" s="11"/>
      <c r="G10184" s="12">
        <v>0</v>
      </c>
      <c r="H10184" s="12">
        <v>0</v>
      </c>
      <c r="I10184" s="12">
        <v>0</v>
      </c>
      <c r="J10184" s="11"/>
      <c r="K10184" s="12">
        <v>0</v>
      </c>
      <c r="L10184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184" s="10" t="str">
        <f>HYPERLINK("mailto:giada.camassa@outsuka.it", "giada.camassa@outsuka.it")</f>
        <v>giada.camassa@outsuka.it</v>
      </c>
      <c r="N10184" s="13">
        <v>46190.33829861111</v>
      </c>
      <c r="O10184" s="14" t="str">
        <f>HYPERLINK("https://otsuka-europe-crm.veevavault.com/ui/#object/email_activity__v/V8C00000003W500", "EN-002097900")</f>
        <v>EN-002097900</v>
      </c>
    </row>
    <row r="10185" spans="1:15" ht="64" x14ac:dyDescent="0.2">
      <c r="A10185" s="7" t="str">
        <f>HYPERLINK("https://otsuka-europe-crm.veevavault.com/ui/#object/account__v/V4TZ04ASGB4V0EK", "MARGHERITA ZEN")</f>
        <v>MARGHERITA ZEN</v>
      </c>
      <c r="B10185" s="7" t="str">
        <f>HYPERLINK("https://otsuka-europe-crm.veevavault.com/ui/#object/vcountry__v/VENZ000004SONFQ", "IT")</f>
        <v>IT</v>
      </c>
      <c r="C10185" s="8" t="s">
        <v>44</v>
      </c>
      <c r="D10185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185" s="10" t="str">
        <f>HYPERLINK("https://otsuka-europe-crm.veevavault.com/ui/#object/sent_email__v/VBL00000002U439", "SE-001436327")</f>
        <v>SE-001436327</v>
      </c>
      <c r="F10185" s="11"/>
      <c r="G10185" s="12">
        <v>0</v>
      </c>
      <c r="H10185" s="12">
        <v>0</v>
      </c>
      <c r="I10185" s="12">
        <v>0</v>
      </c>
      <c r="J10185" s="11"/>
      <c r="K10185" s="12">
        <v>0</v>
      </c>
      <c r="L10185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185" s="10" t="str">
        <f>HYPERLINK("mailto:giada.camassa@outsuka.it", "giada.camassa@outsuka.it")</f>
        <v>giada.camassa@outsuka.it</v>
      </c>
      <c r="N10185" s="13">
        <v>46190.339456018519</v>
      </c>
      <c r="O10185" s="14" t="str">
        <f>HYPERLINK("https://otsuka-europe-crm.veevavault.com/ui/#object/email_activity__v/V8C00000003W562", "EN-002098079")</f>
        <v>EN-002098079</v>
      </c>
    </row>
    <row r="10186" spans="1:15" ht="16" x14ac:dyDescent="0.2">
      <c r="A10186" s="17" t="str">
        <f>HYPERLINK("https://otsuka-europe-crm.veevavault.com/ui/#object/account__v/V4TZ025E833S1JU", "MARIA CONCETTA MICELI")</f>
        <v>MARIA CONCETTA MICELI</v>
      </c>
      <c r="B10186" s="17" t="str">
        <f>HYPERLINK("https://otsuka-europe-crm.veevavault.com/ui/#object/vcountry__v/VENZ000004SONFQ", "IT")</f>
        <v>IT</v>
      </c>
      <c r="C10186" s="20" t="s">
        <v>44</v>
      </c>
      <c r="D10186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186" s="22" t="str">
        <f>HYPERLINK("https://otsuka-europe-crm.veevavault.com/ui/#object/sent_email__v/VBL00000002U441", "SE-001436329")</f>
        <v>SE-001436329</v>
      </c>
      <c r="F10186" s="25"/>
      <c r="G10186" s="24">
        <v>0</v>
      </c>
      <c r="H10186" s="24">
        <v>0</v>
      </c>
      <c r="I10186" s="24">
        <v>0</v>
      </c>
      <c r="J10186" s="25"/>
      <c r="K10186" s="24">
        <v>0</v>
      </c>
      <c r="L10186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186" s="22" t="str">
        <f>HYPERLINK("mailto:giada.camassa@outsuka.it", "giada.camassa@outsuka.it")</f>
        <v>giada.camassa@outsuka.it</v>
      </c>
      <c r="N10186" s="23">
        <v>46190.339456018519</v>
      </c>
      <c r="O10186" s="14" t="str">
        <f>HYPERLINK("https://otsuka-europe-crm.veevavault.com/ui/#object/email_activity__v/V8C00000003X724", "EN-002098106")</f>
        <v>EN-002098106</v>
      </c>
    </row>
    <row r="10187" spans="1:15" ht="16" x14ac:dyDescent="0.2">
      <c r="A10187" s="19"/>
      <c r="B10187" s="19"/>
      <c r="C10187" s="19"/>
      <c r="D10187" s="19"/>
      <c r="E10187" s="19"/>
      <c r="F10187" s="19"/>
      <c r="G10187" s="19"/>
      <c r="H10187" s="19"/>
      <c r="I10187" s="19"/>
      <c r="J10187" s="19"/>
      <c r="K10187" s="19"/>
      <c r="L10187" s="19"/>
      <c r="M10187" s="19"/>
      <c r="N10187" s="19"/>
      <c r="O10187" s="14" t="str">
        <f>HYPERLINK("https://otsuka-europe-crm.veevavault.com/ui/#object/email_activity__v/V8C00000003X944", "EN-002098501")</f>
        <v>EN-002098501</v>
      </c>
    </row>
    <row r="10188" spans="1:15" ht="16" x14ac:dyDescent="0.2">
      <c r="A10188" s="17" t="str">
        <f>HYPERLINK("https://otsuka-europe-crm.veevavault.com/ui/#object/account__v/V4TZ04ASGB4W2DV", "MARIA GEROSA")</f>
        <v>MARIA GEROSA</v>
      </c>
      <c r="B10188" s="17" t="str">
        <f>HYPERLINK("https://otsuka-europe-crm.veevavault.com/ui/#object/vcountry__v/VENZ000004SONFQ", "IT")</f>
        <v>IT</v>
      </c>
      <c r="C10188" s="20" t="s">
        <v>44</v>
      </c>
      <c r="D10188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188" s="22" t="str">
        <f>HYPERLINK("https://otsuka-europe-crm.veevavault.com/ui/#object/sent_email__v/VBL00000002U442", "SE-001436330")</f>
        <v>SE-001436330</v>
      </c>
      <c r="F10188" s="23">
        <v>46190.338506944441</v>
      </c>
      <c r="G10188" s="24">
        <v>1</v>
      </c>
      <c r="H10188" s="24">
        <v>1</v>
      </c>
      <c r="I10188" s="24">
        <v>0</v>
      </c>
      <c r="J10188" s="25"/>
      <c r="K10188" s="24">
        <v>0</v>
      </c>
      <c r="L10188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188" s="22" t="str">
        <f>HYPERLINK("mailto:giada.camassa@outsuka.it", "giada.camassa@outsuka.it")</f>
        <v>giada.camassa@outsuka.it</v>
      </c>
      <c r="N10188" s="23">
        <v>46190.338368055556</v>
      </c>
      <c r="O10188" s="14" t="str">
        <f>HYPERLINK("https://otsuka-europe-crm.veevavault.com/ui/#object/email_activity__v/V8C00000003W502", "EN-002097908")</f>
        <v>EN-002097908</v>
      </c>
    </row>
    <row r="10189" spans="1:15" ht="16" x14ac:dyDescent="0.2">
      <c r="A10189" s="18"/>
      <c r="B10189" s="18"/>
      <c r="C10189" s="18"/>
      <c r="D10189" s="18"/>
      <c r="E10189" s="18"/>
      <c r="F10189" s="18"/>
      <c r="G10189" s="18"/>
      <c r="H10189" s="18"/>
      <c r="I10189" s="18"/>
      <c r="J10189" s="18"/>
      <c r="K10189" s="18"/>
      <c r="L10189" s="18"/>
      <c r="M10189" s="18"/>
      <c r="N10189" s="18"/>
      <c r="O10189" s="14" t="str">
        <f>HYPERLINK("https://otsuka-europe-crm.veevavault.com/ui/#object/email_activity__v/V8C00000003W508", "EN-002097917")</f>
        <v>EN-002097917</v>
      </c>
    </row>
    <row r="10190" spans="1:15" ht="16" x14ac:dyDescent="0.2">
      <c r="A10190" s="19"/>
      <c r="B10190" s="19"/>
      <c r="C10190" s="19"/>
      <c r="D10190" s="19"/>
      <c r="E10190" s="19"/>
      <c r="F10190" s="19"/>
      <c r="G10190" s="19"/>
      <c r="H10190" s="19"/>
      <c r="I10190" s="19"/>
      <c r="J10190" s="19"/>
      <c r="K10190" s="19"/>
      <c r="L10190" s="19"/>
      <c r="M10190" s="19"/>
      <c r="N10190" s="19"/>
      <c r="O10190" s="14" t="str">
        <f>HYPERLINK("https://otsuka-europe-crm.veevavault.com/ui/#object/email_activity__v/V8C00000003W744", "EN-002098482")</f>
        <v>EN-002098482</v>
      </c>
    </row>
    <row r="10191" spans="1:15" ht="16" x14ac:dyDescent="0.2">
      <c r="A10191" s="17" t="str">
        <f>HYPERLINK("https://otsuka-europe-crm.veevavault.com/ui/#object/account__v/V4TZ025E843349T", "MARIA GRAZIA MARRAZZA")</f>
        <v>MARIA GRAZIA MARRAZZA</v>
      </c>
      <c r="B10191" s="17" t="str">
        <f>HYPERLINK("https://otsuka-europe-crm.veevavault.com/ui/#object/vcountry__v/VENZ000004SONFQ", "IT")</f>
        <v>IT</v>
      </c>
      <c r="C10191" s="20" t="s">
        <v>44</v>
      </c>
      <c r="D10191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191" s="22" t="str">
        <f>HYPERLINK("https://otsuka-europe-crm.veevavault.com/ui/#object/sent_email__v/VBL00000002U444", "SE-001436332")</f>
        <v>SE-001436332</v>
      </c>
      <c r="F10191" s="23">
        <v>46190.338368055556</v>
      </c>
      <c r="G10191" s="24">
        <v>1</v>
      </c>
      <c r="H10191" s="24">
        <v>1</v>
      </c>
      <c r="I10191" s="24">
        <v>0</v>
      </c>
      <c r="J10191" s="25"/>
      <c r="K10191" s="24">
        <v>0</v>
      </c>
      <c r="L10191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191" s="22" t="str">
        <f>HYPERLINK("mailto:giada.camassa@outsuka.it", "giada.camassa@outsuka.it")</f>
        <v>giada.camassa@outsuka.it</v>
      </c>
      <c r="N10191" s="23">
        <v>46190.338287037041</v>
      </c>
      <c r="O10191" s="14" t="str">
        <f>HYPERLINK("https://otsuka-europe-crm.veevavault.com/ui/#object/email_activity__v/V8C00000003W506", "EN-002097912")</f>
        <v>EN-002097912</v>
      </c>
    </row>
    <row r="10192" spans="1:15" ht="16" x14ac:dyDescent="0.2">
      <c r="A10192" s="19"/>
      <c r="B10192" s="19"/>
      <c r="C10192" s="19"/>
      <c r="D10192" s="19"/>
      <c r="E10192" s="19"/>
      <c r="F10192" s="19"/>
      <c r="G10192" s="19"/>
      <c r="H10192" s="19"/>
      <c r="I10192" s="19"/>
      <c r="J10192" s="19"/>
      <c r="K10192" s="19"/>
      <c r="L10192" s="19"/>
      <c r="M10192" s="19"/>
      <c r="N10192" s="19"/>
      <c r="O10192" s="14" t="str">
        <f>HYPERLINK("https://otsuka-europe-crm.veevavault.com/ui/#object/email_activity__v/V8C00000003X560", "EN-002097856")</f>
        <v>EN-002097856</v>
      </c>
    </row>
    <row r="10193" spans="1:15" ht="16" x14ac:dyDescent="0.2">
      <c r="A10193" s="17" t="str">
        <f>HYPERLINK("https://otsuka-europe-crm.veevavault.com/ui/#object/account__v/V4TZ04ASGC7D29P", "MARIA RITA GIGANTE")</f>
        <v>MARIA RITA GIGANTE</v>
      </c>
      <c r="B10193" s="17" t="str">
        <f>HYPERLINK("https://otsuka-europe-crm.veevavault.com/ui/#object/vcountry__v/VENZ000004SONFQ", "IT")</f>
        <v>IT</v>
      </c>
      <c r="C10193" s="20" t="s">
        <v>44</v>
      </c>
      <c r="D10193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193" s="22" t="str">
        <f>HYPERLINK("https://otsuka-europe-crm.veevavault.com/ui/#object/sent_email__v/VBL00000002U446", "SE-001436334")</f>
        <v>SE-001436334</v>
      </c>
      <c r="F10193" s="23">
        <v>46190.34</v>
      </c>
      <c r="G10193" s="24">
        <v>1</v>
      </c>
      <c r="H10193" s="24">
        <v>1</v>
      </c>
      <c r="I10193" s="24">
        <v>0</v>
      </c>
      <c r="J10193" s="25"/>
      <c r="K10193" s="24">
        <v>0</v>
      </c>
      <c r="L10193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193" s="22" t="str">
        <f>HYPERLINK("mailto:giada.camassa@outsuka.it", "giada.camassa@outsuka.it")</f>
        <v>giada.camassa@outsuka.it</v>
      </c>
      <c r="N10193" s="23">
        <v>46190.339849537035</v>
      </c>
      <c r="O10193" s="14" t="str">
        <f>HYPERLINK("https://otsuka-europe-crm.veevavault.com/ui/#object/email_activity__v/V8C00000003X751", "EN-002098149")</f>
        <v>EN-002098149</v>
      </c>
    </row>
    <row r="10194" spans="1:15" ht="16" x14ac:dyDescent="0.2">
      <c r="A10194" s="19"/>
      <c r="B10194" s="19"/>
      <c r="C10194" s="19"/>
      <c r="D10194" s="19"/>
      <c r="E10194" s="19"/>
      <c r="F10194" s="19"/>
      <c r="G10194" s="19"/>
      <c r="H10194" s="19"/>
      <c r="I10194" s="19"/>
      <c r="J10194" s="19"/>
      <c r="K10194" s="19"/>
      <c r="L10194" s="19"/>
      <c r="M10194" s="19"/>
      <c r="N10194" s="19"/>
      <c r="O10194" s="14" t="str">
        <f>HYPERLINK("https://otsuka-europe-crm.veevavault.com/ui/#object/email_activity__v/V8C00000003X764", "EN-002098167")</f>
        <v>EN-002098167</v>
      </c>
    </row>
    <row r="10195" spans="1:15" ht="64" x14ac:dyDescent="0.2">
      <c r="A10195" s="7" t="str">
        <f>HYPERLINK("https://otsuka-europe-crm.veevavault.com/ui/#object/account__v/V4TZ025E849FO4I", "MARIAEVA ROMANO")</f>
        <v>MARIAEVA ROMANO</v>
      </c>
      <c r="B10195" s="7" t="str">
        <f>HYPERLINK("https://otsuka-europe-crm.veevavault.com/ui/#object/vcountry__v/VENZ000004SONFQ", "IT")</f>
        <v>IT</v>
      </c>
      <c r="C10195" s="8" t="s">
        <v>44</v>
      </c>
      <c r="D10195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195" s="10" t="str">
        <f>HYPERLINK("https://otsuka-europe-crm.veevavault.com/ui/#object/sent_email__v/VBL00000002U447", "SE-001436335")</f>
        <v>SE-001436335</v>
      </c>
      <c r="F10195" s="11"/>
      <c r="G10195" s="12">
        <v>0</v>
      </c>
      <c r="H10195" s="12">
        <v>0</v>
      </c>
      <c r="I10195" s="12">
        <v>0</v>
      </c>
      <c r="J10195" s="11"/>
      <c r="K10195" s="12">
        <v>0</v>
      </c>
      <c r="L10195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195" s="10" t="str">
        <f>HYPERLINK("mailto:giada.camassa@outsuka.it", "giada.camassa@outsuka.it")</f>
        <v>giada.camassa@outsuka.it</v>
      </c>
      <c r="N10195" s="13">
        <v>46190.337939814817</v>
      </c>
      <c r="O10195" s="14" t="str">
        <f>HYPERLINK("https://otsuka-europe-crm.veevavault.com/ui/#object/email_activity__v/V8C00000003X479", "EN-002097678")</f>
        <v>EN-002097678</v>
      </c>
    </row>
    <row r="10196" spans="1:15" ht="64" x14ac:dyDescent="0.2">
      <c r="A10196" s="7" t="str">
        <f>HYPERLINK("https://otsuka-europe-crm.veevavault.com/ui/#object/account__v/V4TZ025E83OV63L", "MARIANGELA ATTENO")</f>
        <v>MARIANGELA ATTENO</v>
      </c>
      <c r="B10196" s="7" t="str">
        <f>HYPERLINK("https://otsuka-europe-crm.veevavault.com/ui/#object/vcountry__v/VENZ000004SONFQ", "IT")</f>
        <v>IT</v>
      </c>
      <c r="C10196" s="8" t="s">
        <v>44</v>
      </c>
      <c r="D10196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196" s="10" t="str">
        <f>HYPERLINK("https://otsuka-europe-crm.veevavault.com/ui/#object/sent_email__v/VBL00000002U448", "SE-001436336")</f>
        <v>SE-001436336</v>
      </c>
      <c r="F10196" s="11"/>
      <c r="G10196" s="12">
        <v>0</v>
      </c>
      <c r="H10196" s="12">
        <v>0</v>
      </c>
      <c r="I10196" s="12">
        <v>0</v>
      </c>
      <c r="J10196" s="11"/>
      <c r="K10196" s="12">
        <v>0</v>
      </c>
      <c r="L10196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196" s="10" t="str">
        <f>HYPERLINK("mailto:giada.camassa@outsuka.it", "giada.camassa@outsuka.it")</f>
        <v>giada.camassa@outsuka.it</v>
      </c>
      <c r="N10196" s="13">
        <v>46190.338842592595</v>
      </c>
      <c r="O10196" s="14" t="str">
        <f>HYPERLINK("https://otsuka-europe-crm.veevavault.com/ui/#object/email_activity__v/V8C00000003X635", "EN-002097968")</f>
        <v>EN-002097968</v>
      </c>
    </row>
    <row r="10197" spans="1:15" ht="64" x14ac:dyDescent="0.2">
      <c r="A10197" s="7" t="str">
        <f>HYPERLINK("https://otsuka-europe-crm.veevavault.com/ui/#object/account__v/V4TZ025E8329NU4", "MARIO BENTIVEGNA")</f>
        <v>MARIO BENTIVEGNA</v>
      </c>
      <c r="B10197" s="7" t="str">
        <f>HYPERLINK("https://otsuka-europe-crm.veevavault.com/ui/#object/vcountry__v/VENZ000004SONFQ", "IT")</f>
        <v>IT</v>
      </c>
      <c r="C10197" s="8" t="s">
        <v>44</v>
      </c>
      <c r="D10197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197" s="10" t="str">
        <f>HYPERLINK("https://otsuka-europe-crm.veevavault.com/ui/#object/sent_email__v/VBL00000002U449", "SE-001436337")</f>
        <v>SE-001436337</v>
      </c>
      <c r="F10197" s="11"/>
      <c r="G10197" s="12">
        <v>0</v>
      </c>
      <c r="H10197" s="12">
        <v>0</v>
      </c>
      <c r="I10197" s="12">
        <v>0</v>
      </c>
      <c r="J10197" s="11"/>
      <c r="K10197" s="12">
        <v>0</v>
      </c>
      <c r="L10197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197" s="10" t="str">
        <f>HYPERLINK("mailto:giada.camassa@outsuka.it", "giada.camassa@outsuka.it")</f>
        <v>giada.camassa@outsuka.it</v>
      </c>
      <c r="N10197" s="13">
        <v>46190.339965277781</v>
      </c>
      <c r="O10197" s="14" t="str">
        <f>HYPERLINK("https://otsuka-europe-crm.veevavault.com/ui/#object/email_activity__v/V8C00000003X767", "EN-002098172")</f>
        <v>EN-002098172</v>
      </c>
    </row>
    <row r="10198" spans="1:15" ht="16" x14ac:dyDescent="0.2">
      <c r="A10198" s="17" t="str">
        <f>HYPERLINK("https://otsuka-europe-crm.veevavault.com/ui/#object/account__v/V4TZ04ASGBC5XTF", "MARTA VADACCA")</f>
        <v>MARTA VADACCA</v>
      </c>
      <c r="B10198" s="17" t="str">
        <f>HYPERLINK("https://otsuka-europe-crm.veevavault.com/ui/#object/vcountry__v/VENZ000004SONFQ", "IT")</f>
        <v>IT</v>
      </c>
      <c r="C10198" s="20" t="s">
        <v>44</v>
      </c>
      <c r="D10198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198" s="22" t="str">
        <f>HYPERLINK("https://otsuka-europe-crm.veevavault.com/ui/#object/sent_email__v/VBL00000002U450", "SE-001436338")</f>
        <v>SE-001436338</v>
      </c>
      <c r="F10198" s="23">
        <v>46190.484930555554</v>
      </c>
      <c r="G10198" s="24">
        <v>1</v>
      </c>
      <c r="H10198" s="24">
        <v>1</v>
      </c>
      <c r="I10198" s="24">
        <v>0</v>
      </c>
      <c r="J10198" s="25"/>
      <c r="K10198" s="24">
        <v>0</v>
      </c>
      <c r="L10198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198" s="22" t="str">
        <f>HYPERLINK("mailto:giada.camassa@outsuka.it", "giada.camassa@outsuka.it")</f>
        <v>giada.camassa@outsuka.it</v>
      </c>
      <c r="N10198" s="23">
        <v>46190.337893518517</v>
      </c>
      <c r="O10198" s="14" t="str">
        <f>HYPERLINK("https://otsuka-europe-crm.veevavault.com/ui/#object/email_activity__v/V8C00000003W409", "EN-002097688")</f>
        <v>EN-002097688</v>
      </c>
    </row>
    <row r="10199" spans="1:15" ht="16" x14ac:dyDescent="0.2">
      <c r="A10199" s="19"/>
      <c r="B10199" s="19"/>
      <c r="C10199" s="19"/>
      <c r="D10199" s="19"/>
      <c r="E10199" s="19"/>
      <c r="F10199" s="19"/>
      <c r="G10199" s="19"/>
      <c r="H10199" s="19"/>
      <c r="I10199" s="19"/>
      <c r="J10199" s="19"/>
      <c r="K10199" s="19"/>
      <c r="L10199" s="19"/>
      <c r="M10199" s="19"/>
      <c r="N10199" s="19"/>
      <c r="O10199" s="14" t="str">
        <f>HYPERLINK("https://otsuka-europe-crm.veevavault.com/ui/#object/email_activity__v/V8C00000003X852", "EN-002098345")</f>
        <v>EN-002098345</v>
      </c>
    </row>
    <row r="10200" spans="1:15" ht="16" x14ac:dyDescent="0.2">
      <c r="A10200" s="17" t="str">
        <f>HYPERLINK("https://otsuka-europe-crm.veevavault.com/ui/#object/account__v/V4TZ04ASGEOMOF7", "MATTEO FILIPPINI")</f>
        <v>MATTEO FILIPPINI</v>
      </c>
      <c r="B10200" s="17" t="str">
        <f>HYPERLINK("https://otsuka-europe-crm.veevavault.com/ui/#object/vcountry__v/VENZ000004SONFQ", "IT")</f>
        <v>IT</v>
      </c>
      <c r="C10200" s="20" t="s">
        <v>44</v>
      </c>
      <c r="D10200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200" s="22" t="str">
        <f>HYPERLINK("https://otsuka-europe-crm.veevavault.com/ui/#object/sent_email__v/VBL00000002U451", "SE-001436339")</f>
        <v>SE-001436339</v>
      </c>
      <c r="F10200" s="25"/>
      <c r="G10200" s="24">
        <v>0</v>
      </c>
      <c r="H10200" s="24">
        <v>0</v>
      </c>
      <c r="I10200" s="24">
        <v>0</v>
      </c>
      <c r="J10200" s="25"/>
      <c r="K10200" s="24">
        <v>0</v>
      </c>
      <c r="L10200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200" s="22" t="str">
        <f>HYPERLINK("mailto:giada.camassa@outsuka.it", "giada.camassa@outsuka.it")</f>
        <v>giada.camassa@outsuka.it</v>
      </c>
      <c r="N10200" s="23">
        <v>46190.337939814817</v>
      </c>
      <c r="O10200" s="14" t="str">
        <f>HYPERLINK("https://otsuka-europe-crm.veevavault.com/ui/#object/email_activity__v/V8C00000003W449", "EN-002097733")</f>
        <v>EN-002097733</v>
      </c>
    </row>
    <row r="10201" spans="1:15" ht="16" x14ac:dyDescent="0.2">
      <c r="A10201" s="18"/>
      <c r="B10201" s="18"/>
      <c r="C10201" s="18"/>
      <c r="D10201" s="18"/>
      <c r="E10201" s="18"/>
      <c r="F10201" s="18"/>
      <c r="G10201" s="18"/>
      <c r="H10201" s="18"/>
      <c r="I10201" s="18"/>
      <c r="J10201" s="18"/>
      <c r="K10201" s="18"/>
      <c r="L10201" s="18"/>
      <c r="M10201" s="18"/>
      <c r="N10201" s="18"/>
      <c r="O10201" s="14" t="str">
        <f>HYPERLINK("https://otsuka-europe-crm.veevavault.com/ui/#object/email_activity__v/V8C00000003W745", "EN-002098483")</f>
        <v>EN-002098483</v>
      </c>
    </row>
    <row r="10202" spans="1:15" ht="16" x14ac:dyDescent="0.2">
      <c r="A10202" s="19"/>
      <c r="B10202" s="19"/>
      <c r="C10202" s="19"/>
      <c r="D10202" s="19"/>
      <c r="E10202" s="19"/>
      <c r="F10202" s="19"/>
      <c r="G10202" s="19"/>
      <c r="H10202" s="19"/>
      <c r="I10202" s="19"/>
      <c r="J10202" s="19"/>
      <c r="K10202" s="19"/>
      <c r="L10202" s="19"/>
      <c r="M10202" s="19"/>
      <c r="N10202" s="19"/>
      <c r="O10202" s="14" t="str">
        <f>HYPERLINK("https://otsuka-europe-crm.veevavault.com/ui/#object/email_activity__v/V8C00000003Z168", "EN-002098940")</f>
        <v>EN-002098940</v>
      </c>
    </row>
    <row r="10203" spans="1:15" ht="16" x14ac:dyDescent="0.2">
      <c r="A10203" s="17" t="str">
        <f>HYPERLINK("https://otsuka-europe-crm.veevavault.com/ui/#object/account__v/V4TZ04ASG8DS34E", "MATTEO PIGA")</f>
        <v>MATTEO PIGA</v>
      </c>
      <c r="B10203" s="17" t="str">
        <f>HYPERLINK("https://otsuka-europe-crm.veevavault.com/ui/#object/vcountry__v/VENZ000004SONFQ", "IT")</f>
        <v>IT</v>
      </c>
      <c r="C10203" s="20" t="s">
        <v>44</v>
      </c>
      <c r="D10203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203" s="22" t="str">
        <f>HYPERLINK("https://otsuka-europe-crm.veevavault.com/ui/#object/sent_email__v/VBL00000002U452", "SE-001436340")</f>
        <v>SE-001436340</v>
      </c>
      <c r="F10203" s="23">
        <v>46190.339328703703</v>
      </c>
      <c r="G10203" s="24">
        <v>1</v>
      </c>
      <c r="H10203" s="24">
        <v>1</v>
      </c>
      <c r="I10203" s="24">
        <v>0</v>
      </c>
      <c r="J10203" s="25"/>
      <c r="K10203" s="24">
        <v>0</v>
      </c>
      <c r="L10203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203" s="22" t="str">
        <f>HYPERLINK("mailto:giada.camassa@outsuka.it", "giada.camassa@outsuka.it")</f>
        <v>giada.camassa@outsuka.it</v>
      </c>
      <c r="N10203" s="23">
        <v>46190.33829861111</v>
      </c>
      <c r="O10203" s="14" t="str">
        <f>HYPERLINK("https://otsuka-europe-crm.veevavault.com/ui/#object/email_activity__v/V8C00000003W489", "EN-002097878")</f>
        <v>EN-002097878</v>
      </c>
    </row>
    <row r="10204" spans="1:15" ht="16" x14ac:dyDescent="0.2">
      <c r="A10204" s="19"/>
      <c r="B10204" s="19"/>
      <c r="C10204" s="19"/>
      <c r="D10204" s="19"/>
      <c r="E10204" s="19"/>
      <c r="F10204" s="19"/>
      <c r="G10204" s="19"/>
      <c r="H10204" s="19"/>
      <c r="I10204" s="19"/>
      <c r="J10204" s="19"/>
      <c r="K10204" s="19"/>
      <c r="L10204" s="19"/>
      <c r="M10204" s="19"/>
      <c r="N10204" s="19"/>
      <c r="O10204" s="14" t="str">
        <f>HYPERLINK("https://otsuka-europe-crm.veevavault.com/ui/#object/email_activity__v/V8C00000003X699", "EN-002098060")</f>
        <v>EN-002098060</v>
      </c>
    </row>
    <row r="10205" spans="1:15" ht="64" x14ac:dyDescent="0.2">
      <c r="A10205" s="7" t="str">
        <f>HYPERLINK("https://otsuka-europe-crm.veevavault.com/ui/#object/account__v/V4TZ04ASGBJU6PN", "MELANIA ALESSIA COSCIA")</f>
        <v>MELANIA ALESSIA COSCIA</v>
      </c>
      <c r="B10205" s="7" t="str">
        <f>HYPERLINK("https://otsuka-europe-crm.veevavault.com/ui/#object/vcountry__v/VENZ000004SONFQ", "IT")</f>
        <v>IT</v>
      </c>
      <c r="C10205" s="8" t="s">
        <v>44</v>
      </c>
      <c r="D10205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205" s="10" t="str">
        <f>HYPERLINK("https://otsuka-europe-crm.veevavault.com/ui/#object/sent_email__v/VBL00000002U453", "SE-001436341")</f>
        <v>SE-001436341</v>
      </c>
      <c r="F10205" s="11"/>
      <c r="G10205" s="12">
        <v>0</v>
      </c>
      <c r="H10205" s="12">
        <v>0</v>
      </c>
      <c r="I10205" s="12">
        <v>0</v>
      </c>
      <c r="J10205" s="11"/>
      <c r="K10205" s="12">
        <v>0</v>
      </c>
      <c r="L10205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205" s="10" t="str">
        <f>HYPERLINK("mailto:giada.camassa@outsuka.it", "giada.camassa@outsuka.it")</f>
        <v>giada.camassa@outsuka.it</v>
      </c>
      <c r="N10205" s="13">
        <v>46190.337881944448</v>
      </c>
      <c r="O10205" s="14" t="str">
        <f>HYPERLINK("https://otsuka-europe-crm.veevavault.com/ui/#object/email_activity__v/V8C00000003X322", "EN-002097519")</f>
        <v>EN-002097519</v>
      </c>
    </row>
    <row r="10206" spans="1:15" ht="64" x14ac:dyDescent="0.2">
      <c r="A10206" s="7" t="str">
        <f>HYPERLINK("https://otsuka-europe-crm.veevavault.com/ui/#object/account__v/V4TZ04ASGB95Z2E", "MICAELA FREDI")</f>
        <v>MICAELA FREDI</v>
      </c>
      <c r="B10206" s="7" t="str">
        <f>HYPERLINK("https://otsuka-europe-crm.veevavault.com/ui/#object/vcountry__v/VENZ000004SONFQ", "IT")</f>
        <v>IT</v>
      </c>
      <c r="C10206" s="8" t="s">
        <v>44</v>
      </c>
      <c r="D10206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206" s="10" t="str">
        <f>HYPERLINK("https://otsuka-europe-crm.veevavault.com/ui/#object/sent_email__v/VBL00000002U454", "SE-001436342")</f>
        <v>SE-001436342</v>
      </c>
      <c r="F10206" s="11"/>
      <c r="G10206" s="12">
        <v>0</v>
      </c>
      <c r="H10206" s="12">
        <v>0</v>
      </c>
      <c r="I10206" s="12">
        <v>0</v>
      </c>
      <c r="J10206" s="11"/>
      <c r="K10206" s="12">
        <v>0</v>
      </c>
      <c r="L10206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206" s="10" t="str">
        <f>HYPERLINK("mailto:giada.camassa@outsuka.it", "giada.camassa@outsuka.it")</f>
        <v>giada.camassa@outsuka.it</v>
      </c>
      <c r="N10206" s="13">
        <v>46190.338842592595</v>
      </c>
      <c r="O10206" s="14" t="str">
        <f>HYPERLINK("https://otsuka-europe-crm.veevavault.com/ui/#object/email_activity__v/V8C00000003X634", "EN-002097967")</f>
        <v>EN-002097967</v>
      </c>
    </row>
    <row r="10207" spans="1:15" ht="64" x14ac:dyDescent="0.2">
      <c r="A10207" s="7" t="str">
        <f>HYPERLINK("https://otsuka-europe-crm.veevavault.com/ui/#object/account__v/V4TZ025E83JQWUD", "MICHEL CHEVALLARD")</f>
        <v>MICHEL CHEVALLARD</v>
      </c>
      <c r="B10207" s="7" t="str">
        <f>HYPERLINK("https://otsuka-europe-crm.veevavault.com/ui/#object/vcountry__v/VENZ000004SONFQ", "IT")</f>
        <v>IT</v>
      </c>
      <c r="C10207" s="8" t="s">
        <v>44</v>
      </c>
      <c r="D10207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207" s="10" t="str">
        <f>HYPERLINK("https://otsuka-europe-crm.veevavault.com/ui/#object/sent_email__v/VBL00000002U455", "SE-001436343")</f>
        <v>SE-001436343</v>
      </c>
      <c r="F10207" s="11"/>
      <c r="G10207" s="12">
        <v>0</v>
      </c>
      <c r="H10207" s="12">
        <v>0</v>
      </c>
      <c r="I10207" s="12">
        <v>0</v>
      </c>
      <c r="J10207" s="11"/>
      <c r="K10207" s="12">
        <v>0</v>
      </c>
      <c r="L10207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207" s="10" t="str">
        <f>HYPERLINK("mailto:giada.camassa@outsuka.it", "giada.camassa@outsuka.it")</f>
        <v>giada.camassa@outsuka.it</v>
      </c>
      <c r="N10207" s="13">
        <v>46190.338067129633</v>
      </c>
      <c r="O10207" s="14" t="str">
        <f>HYPERLINK("https://otsuka-europe-crm.veevavault.com/ui/#object/email_activity__v/V8C00000003X814", "EN-002098241")</f>
        <v>EN-002098241</v>
      </c>
    </row>
    <row r="10208" spans="1:15" ht="64" x14ac:dyDescent="0.2">
      <c r="A10208" s="7" t="str">
        <f>HYPERLINK("https://otsuka-europe-crm.veevavault.com/ui/#object/account__v/V4TZ025E82XV7WE", "MICHELE COLACI")</f>
        <v>MICHELE COLACI</v>
      </c>
      <c r="B10208" s="7" t="str">
        <f>HYPERLINK("https://otsuka-europe-crm.veevavault.com/ui/#object/vcountry__v/VENZ000004SONFQ", "IT")</f>
        <v>IT</v>
      </c>
      <c r="C10208" s="8" t="s">
        <v>44</v>
      </c>
      <c r="D10208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208" s="10" t="str">
        <f>HYPERLINK("https://otsuka-europe-crm.veevavault.com/ui/#object/sent_email__v/VBL00000002U456", "SE-001436344")</f>
        <v>SE-001436344</v>
      </c>
      <c r="F10208" s="11"/>
      <c r="G10208" s="12">
        <v>0</v>
      </c>
      <c r="H10208" s="12">
        <v>0</v>
      </c>
      <c r="I10208" s="12">
        <v>0</v>
      </c>
      <c r="J10208" s="11"/>
      <c r="K10208" s="12">
        <v>0</v>
      </c>
      <c r="L10208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208" s="10" t="str">
        <f>HYPERLINK("mailto:giada.camassa@outsuka.it", "giada.camassa@outsuka.it")</f>
        <v>giada.camassa@outsuka.it</v>
      </c>
      <c r="N10208" s="13">
        <v>46190.337962962964</v>
      </c>
      <c r="O10208" s="14" t="str">
        <f>HYPERLINK("https://otsuka-europe-crm.veevavault.com/ui/#object/email_activity__v/V8C00000003W428", "EN-002097712")</f>
        <v>EN-002097712</v>
      </c>
    </row>
    <row r="10209" spans="1:15" ht="16" x14ac:dyDescent="0.2">
      <c r="A10209" s="17" t="str">
        <f>HYPERLINK("https://otsuka-europe-crm.veevavault.com/ui/#object/account__v/V4TZ04ASGBCFKLL", "MICOL FRASSI")</f>
        <v>MICOL FRASSI</v>
      </c>
      <c r="B10209" s="17" t="str">
        <f>HYPERLINK("https://otsuka-europe-crm.veevavault.com/ui/#object/vcountry__v/VENZ000004SONFQ", "IT")</f>
        <v>IT</v>
      </c>
      <c r="C10209" s="20" t="s">
        <v>44</v>
      </c>
      <c r="D10209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209" s="22" t="str">
        <f>HYPERLINK("https://otsuka-europe-crm.veevavault.com/ui/#object/sent_email__v/VBL00000002U457", "SE-001436345")</f>
        <v>SE-001436345</v>
      </c>
      <c r="F10209" s="25"/>
      <c r="G10209" s="24">
        <v>0</v>
      </c>
      <c r="H10209" s="24">
        <v>0</v>
      </c>
      <c r="I10209" s="24">
        <v>0</v>
      </c>
      <c r="J10209" s="25"/>
      <c r="K10209" s="24">
        <v>0</v>
      </c>
      <c r="L10209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209" s="22" t="str">
        <f>HYPERLINK("mailto:giada.camassa@outsuka.it", "giada.camassa@outsuka.it")</f>
        <v>giada.camassa@outsuka.it</v>
      </c>
      <c r="N10209" s="23">
        <v>46190.337939814817</v>
      </c>
      <c r="O10209" s="14" t="str">
        <f>HYPERLINK("https://otsuka-europe-crm.veevavault.com/ui/#object/email_activity__v/V8C00000003X290", "EN-002097481")</f>
        <v>EN-002097481</v>
      </c>
    </row>
    <row r="10210" spans="1:15" ht="16" x14ac:dyDescent="0.2">
      <c r="A10210" s="19"/>
      <c r="B10210" s="19"/>
      <c r="C10210" s="19"/>
      <c r="D10210" s="19"/>
      <c r="E10210" s="19"/>
      <c r="F10210" s="19"/>
      <c r="G10210" s="19"/>
      <c r="H10210" s="19"/>
      <c r="I10210" s="19"/>
      <c r="J10210" s="19"/>
      <c r="K10210" s="19"/>
      <c r="L10210" s="19"/>
      <c r="M10210" s="19"/>
      <c r="N10210" s="19"/>
      <c r="O10210" s="14" t="str">
        <f>HYPERLINK("https://otsuka-europe-crm.veevavault.com/ui/#object/email_activity__v/V8C00000003Z392", "EN-002099456")</f>
        <v>EN-002099456</v>
      </c>
    </row>
    <row r="10211" spans="1:15" ht="16" x14ac:dyDescent="0.2">
      <c r="A10211" s="17" t="str">
        <f>HYPERLINK("https://otsuka-europe-crm.veevavault.com/ui/#object/account__v/V4TZ025E83VZ1ZD", "PAOLA CONIGLIARO")</f>
        <v>PAOLA CONIGLIARO</v>
      </c>
      <c r="B10211" s="17" t="str">
        <f>HYPERLINK("https://otsuka-europe-crm.veevavault.com/ui/#object/vcountry__v/VENZ000004SONFQ", "IT")</f>
        <v>IT</v>
      </c>
      <c r="C10211" s="20" t="s">
        <v>44</v>
      </c>
      <c r="D10211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211" s="22" t="str">
        <f>HYPERLINK("https://otsuka-europe-crm.veevavault.com/ui/#object/sent_email__v/VBL00000002U459", "SE-001436347")</f>
        <v>SE-001436347</v>
      </c>
      <c r="F10211" s="25"/>
      <c r="G10211" s="24">
        <v>0</v>
      </c>
      <c r="H10211" s="24">
        <v>0</v>
      </c>
      <c r="I10211" s="24">
        <v>0</v>
      </c>
      <c r="J10211" s="25"/>
      <c r="K10211" s="24">
        <v>0</v>
      </c>
      <c r="L10211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211" s="22" t="str">
        <f>HYPERLINK("mailto:giada.camassa@outsuka.it", "giada.camassa@outsuka.it")</f>
        <v>giada.camassa@outsuka.it</v>
      </c>
      <c r="N10211" s="23">
        <v>46190.337881944448</v>
      </c>
      <c r="O10211" s="14" t="str">
        <f>HYPERLINK("https://otsuka-europe-crm.veevavault.com/ui/#object/email_activity__v/V8C00000003W495", "EN-002097887")</f>
        <v>EN-002097887</v>
      </c>
    </row>
    <row r="10212" spans="1:15" ht="16" x14ac:dyDescent="0.2">
      <c r="A10212" s="18"/>
      <c r="B10212" s="18"/>
      <c r="C10212" s="18"/>
      <c r="D10212" s="18"/>
      <c r="E10212" s="18"/>
      <c r="F10212" s="18"/>
      <c r="G10212" s="18"/>
      <c r="H10212" s="18"/>
      <c r="I10212" s="18"/>
      <c r="J10212" s="18"/>
      <c r="K10212" s="18"/>
      <c r="L10212" s="18"/>
      <c r="M10212" s="18"/>
      <c r="N10212" s="18"/>
      <c r="O10212" s="14" t="str">
        <f>HYPERLINK("https://otsuka-europe-crm.veevavault.com/ui/#object/email_activity__v/V8C00000003X584", "EN-002097886")</f>
        <v>EN-002097886</v>
      </c>
    </row>
    <row r="10213" spans="1:15" ht="16" x14ac:dyDescent="0.2">
      <c r="A10213" s="19"/>
      <c r="B10213" s="19"/>
      <c r="C10213" s="19"/>
      <c r="D10213" s="19"/>
      <c r="E10213" s="19"/>
      <c r="F10213" s="19"/>
      <c r="G10213" s="19"/>
      <c r="H10213" s="19"/>
      <c r="I10213" s="19"/>
      <c r="J10213" s="19"/>
      <c r="K10213" s="19"/>
      <c r="L10213" s="19"/>
      <c r="M10213" s="19"/>
      <c r="N10213" s="19"/>
      <c r="O10213" s="14" t="str">
        <f>HYPERLINK("https://otsuka-europe-crm.veevavault.com/ui/#object/email_activity__v/V8C00000003Z012", "EN-002098675")</f>
        <v>EN-002098675</v>
      </c>
    </row>
    <row r="10214" spans="1:15" ht="16" x14ac:dyDescent="0.2">
      <c r="A10214" s="17" t="str">
        <f>HYPERLINK("https://otsuka-europe-crm.veevavault.com/ui/#object/account__v/V4TZ04ASGDUDX4Y", "PAOLA MARIA FAGGIOLI")</f>
        <v>PAOLA MARIA FAGGIOLI</v>
      </c>
      <c r="B10214" s="17" t="str">
        <f>HYPERLINK("https://otsuka-europe-crm.veevavault.com/ui/#object/vcountry__v/VENZ000004SONFQ", "IT")</f>
        <v>IT</v>
      </c>
      <c r="C10214" s="20" t="s">
        <v>44</v>
      </c>
      <c r="D10214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214" s="22" t="str">
        <f>HYPERLINK("https://otsuka-europe-crm.veevavault.com/ui/#object/sent_email__v/VBL00000002U460", "SE-001436348")</f>
        <v>SE-001436348</v>
      </c>
      <c r="F10214" s="23">
        <v>46190.338067129633</v>
      </c>
      <c r="G10214" s="24">
        <v>1</v>
      </c>
      <c r="H10214" s="24">
        <v>1</v>
      </c>
      <c r="I10214" s="24">
        <v>0</v>
      </c>
      <c r="J10214" s="25"/>
      <c r="K10214" s="24">
        <v>0</v>
      </c>
      <c r="L10214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214" s="22" t="str">
        <f>HYPERLINK("mailto:giada.camassa@outsuka.it", "giada.camassa@outsuka.it")</f>
        <v>giada.camassa@outsuka.it</v>
      </c>
      <c r="N10214" s="23">
        <v>46190.337916666664</v>
      </c>
      <c r="O10214" s="14" t="str">
        <f>HYPERLINK("https://otsuka-europe-crm.veevavault.com/ui/#object/email_activity__v/V8C00000003W404", "EN-002097566")</f>
        <v>EN-002097566</v>
      </c>
    </row>
    <row r="10215" spans="1:15" ht="16" x14ac:dyDescent="0.2">
      <c r="A10215" s="19"/>
      <c r="B10215" s="19"/>
      <c r="C10215" s="19"/>
      <c r="D10215" s="19"/>
      <c r="E10215" s="19"/>
      <c r="F10215" s="19"/>
      <c r="G10215" s="19"/>
      <c r="H10215" s="19"/>
      <c r="I10215" s="19"/>
      <c r="J10215" s="19"/>
      <c r="K10215" s="19"/>
      <c r="L10215" s="19"/>
      <c r="M10215" s="19"/>
      <c r="N10215" s="19"/>
      <c r="O10215" s="14" t="str">
        <f>HYPERLINK("https://otsuka-europe-crm.veevavault.com/ui/#object/email_activity__v/V8C00000003X253", "EN-002097428")</f>
        <v>EN-002097428</v>
      </c>
    </row>
    <row r="10216" spans="1:15" ht="64" x14ac:dyDescent="0.2">
      <c r="A10216" s="7" t="str">
        <f>HYPERLINK("https://otsuka-europe-crm.veevavault.com/ui/#object/account__v/V4TZ04ASGBCE9KP", "PAOLO MOSCATO")</f>
        <v>PAOLO MOSCATO</v>
      </c>
      <c r="B10216" s="7" t="str">
        <f>HYPERLINK("https://otsuka-europe-crm.veevavault.com/ui/#object/vcountry__v/VENZ000004SONFQ", "IT")</f>
        <v>IT</v>
      </c>
      <c r="C10216" s="8" t="s">
        <v>44</v>
      </c>
      <c r="D10216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216" s="10" t="str">
        <f>HYPERLINK("https://otsuka-europe-crm.veevavault.com/ui/#object/sent_email__v/VBL00000002U461", "SE-001436349")</f>
        <v>SE-001436349</v>
      </c>
      <c r="F10216" s="11"/>
      <c r="G10216" s="12">
        <v>0</v>
      </c>
      <c r="H10216" s="12">
        <v>0</v>
      </c>
      <c r="I10216" s="12">
        <v>0</v>
      </c>
      <c r="J10216" s="11"/>
      <c r="K10216" s="12">
        <v>0</v>
      </c>
      <c r="L10216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216" s="10" t="str">
        <f>HYPERLINK("mailto:giada.camassa@outsuka.it", "giada.camassa@outsuka.it")</f>
        <v>giada.camassa@outsuka.it</v>
      </c>
      <c r="N10216" s="13">
        <v>46190.337905092594</v>
      </c>
      <c r="O10216" s="14" t="str">
        <f>HYPERLINK("https://otsuka-europe-crm.veevavault.com/ui/#object/email_activity__v/V8C00000003W411", "EN-002097690")</f>
        <v>EN-002097690</v>
      </c>
    </row>
    <row r="10217" spans="1:15" ht="64" x14ac:dyDescent="0.2">
      <c r="A10217" s="7" t="str">
        <f>HYPERLINK("https://otsuka-europe-crm.veevavault.com/ui/#object/account__v/V4TZ025E85MZHHH", "PATRIZIA BALZARINI")</f>
        <v>PATRIZIA BALZARINI</v>
      </c>
      <c r="B10217" s="7" t="str">
        <f>HYPERLINK("https://otsuka-europe-crm.veevavault.com/ui/#object/vcountry__v/VENZ000004SONFQ", "IT")</f>
        <v>IT</v>
      </c>
      <c r="C10217" s="8" t="s">
        <v>44</v>
      </c>
      <c r="D10217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217" s="10" t="str">
        <f>HYPERLINK("https://otsuka-europe-crm.veevavault.com/ui/#object/sent_email__v/VBL00000002U462", "SE-001436350")</f>
        <v>SE-001436350</v>
      </c>
      <c r="F10217" s="11"/>
      <c r="G10217" s="12">
        <v>0</v>
      </c>
      <c r="H10217" s="12">
        <v>0</v>
      </c>
      <c r="I10217" s="12">
        <v>0</v>
      </c>
      <c r="J10217" s="11"/>
      <c r="K10217" s="12">
        <v>0</v>
      </c>
      <c r="L10217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217" s="10" t="str">
        <f>HYPERLINK("mailto:giada.camassa@outsuka.it", "giada.camassa@outsuka.it")</f>
        <v>giada.camassa@outsuka.it</v>
      </c>
      <c r="N10217" s="13">
        <v>46190.338842592595</v>
      </c>
      <c r="O10217" s="14" t="str">
        <f>HYPERLINK("https://otsuka-europe-crm.veevavault.com/ui/#object/email_activity__v/V8C00000003X642", "EN-002097973")</f>
        <v>EN-002097973</v>
      </c>
    </row>
    <row r="10218" spans="1:15" ht="64" x14ac:dyDescent="0.2">
      <c r="A10218" s="7" t="str">
        <f>HYPERLINK("https://otsuka-europe-crm.veevavault.com/ui/#object/account__v/V4TZ025E83I92QM", "ROBERTO BURSI")</f>
        <v>ROBERTO BURSI</v>
      </c>
      <c r="B10218" s="7" t="str">
        <f>HYPERLINK("https://otsuka-europe-crm.veevavault.com/ui/#object/vcountry__v/VENZ000004SONFQ", "IT")</f>
        <v>IT</v>
      </c>
      <c r="C10218" s="8" t="s">
        <v>44</v>
      </c>
      <c r="D10218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218" s="10" t="str">
        <f>HYPERLINK("https://otsuka-europe-crm.veevavault.com/ui/#object/sent_email__v/VBL00000002U464", "SE-001436352")</f>
        <v>SE-001436352</v>
      </c>
      <c r="F10218" s="11"/>
      <c r="G10218" s="12">
        <v>0</v>
      </c>
      <c r="H10218" s="12">
        <v>0</v>
      </c>
      <c r="I10218" s="12">
        <v>0</v>
      </c>
      <c r="J10218" s="11"/>
      <c r="K10218" s="12">
        <v>0</v>
      </c>
      <c r="L10218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218" s="10" t="str">
        <f>HYPERLINK("mailto:giada.camassa@outsuka.it", "giada.camassa@outsuka.it")</f>
        <v>giada.camassa@outsuka.it</v>
      </c>
      <c r="N10218" s="13">
        <v>46190.339456018519</v>
      </c>
      <c r="O10218" s="14" t="str">
        <f>HYPERLINK("https://otsuka-europe-crm.veevavault.com/ui/#object/email_activity__v/V8C00000003X708", "EN-002098070")</f>
        <v>EN-002098070</v>
      </c>
    </row>
    <row r="10219" spans="1:15" ht="64" x14ac:dyDescent="0.2">
      <c r="A10219" s="7" t="str">
        <f>HYPERLINK("https://otsuka-europe-crm.veevavault.com/ui/#object/account__v/V4TZ04ASGBC5XMK", "ROBERTO GIACOMELLI")</f>
        <v>ROBERTO GIACOMELLI</v>
      </c>
      <c r="B10219" s="7" t="str">
        <f>HYPERLINK("https://otsuka-europe-crm.veevavault.com/ui/#object/vcountry__v/VENZ000004SONFQ", "IT")</f>
        <v>IT</v>
      </c>
      <c r="C10219" s="8" t="s">
        <v>44</v>
      </c>
      <c r="D10219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219" s="10" t="str">
        <f>HYPERLINK("https://otsuka-europe-crm.veevavault.com/ui/#object/sent_email__v/VBL00000002U465", "SE-001436353")</f>
        <v>SE-001436353</v>
      </c>
      <c r="F10219" s="11"/>
      <c r="G10219" s="12">
        <v>0</v>
      </c>
      <c r="H10219" s="12">
        <v>0</v>
      </c>
      <c r="I10219" s="12">
        <v>0</v>
      </c>
      <c r="J10219" s="11"/>
      <c r="K10219" s="12">
        <v>0</v>
      </c>
      <c r="L10219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219" s="10" t="str">
        <f>HYPERLINK("mailto:giada.camassa@outsuka.it", "giada.camassa@outsuka.it")</f>
        <v>giada.camassa@outsuka.it</v>
      </c>
      <c r="N10219" s="13">
        <v>46190.33792824074</v>
      </c>
      <c r="O10219" s="14" t="str">
        <f>HYPERLINK("https://otsuka-europe-crm.veevavault.com/ui/#object/email_activity__v/V8C00000003W439", "EN-002097723")</f>
        <v>EN-002097723</v>
      </c>
    </row>
    <row r="10220" spans="1:15" ht="16" x14ac:dyDescent="0.2">
      <c r="A10220" s="17" t="str">
        <f>HYPERLINK("https://otsuka-europe-crm.veevavault.com/ui/#object/account__v/V4TZ025E82ZK59I", "ROBERTO PATANE'")</f>
        <v>ROBERTO PATANE'</v>
      </c>
      <c r="B10220" s="17" t="str">
        <f>HYPERLINK("https://otsuka-europe-crm.veevavault.com/ui/#object/vcountry__v/VENZ000004SONFQ", "IT")</f>
        <v>IT</v>
      </c>
      <c r="C10220" s="20" t="s">
        <v>44</v>
      </c>
      <c r="D10220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220" s="22" t="str">
        <f>HYPERLINK("https://otsuka-europe-crm.veevavault.com/ui/#object/sent_email__v/VBL00000002U466", "SE-001436354")</f>
        <v>SE-001436354</v>
      </c>
      <c r="F10220" s="23">
        <v>46190.33902777778</v>
      </c>
      <c r="G10220" s="24">
        <v>1</v>
      </c>
      <c r="H10220" s="24">
        <v>1</v>
      </c>
      <c r="I10220" s="24">
        <v>0</v>
      </c>
      <c r="J10220" s="25"/>
      <c r="K10220" s="24">
        <v>0</v>
      </c>
      <c r="L10220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220" s="22" t="str">
        <f>HYPERLINK("mailto:giada.camassa@outsuka.it", "giada.camassa@outsuka.it")</f>
        <v>giada.camassa@outsuka.it</v>
      </c>
      <c r="N10220" s="23">
        <v>46190.338842592595</v>
      </c>
      <c r="O10220" s="14" t="str">
        <f>HYPERLINK("https://otsuka-europe-crm.veevavault.com/ui/#object/email_activity__v/V8C00000003W531", "EN-002097998")</f>
        <v>EN-002097998</v>
      </c>
    </row>
    <row r="10221" spans="1:15" ht="16" x14ac:dyDescent="0.2">
      <c r="A10221" s="19"/>
      <c r="B10221" s="19"/>
      <c r="C10221" s="19"/>
      <c r="D10221" s="19"/>
      <c r="E10221" s="19"/>
      <c r="F10221" s="19"/>
      <c r="G10221" s="19"/>
      <c r="H10221" s="19"/>
      <c r="I10221" s="19"/>
      <c r="J10221" s="19"/>
      <c r="K10221" s="19"/>
      <c r="L10221" s="19"/>
      <c r="M10221" s="19"/>
      <c r="N10221" s="19"/>
      <c r="O10221" s="14" t="str">
        <f>HYPERLINK("https://otsuka-europe-crm.veevavault.com/ui/#object/email_activity__v/V8C00000003X664", "EN-002098005")</f>
        <v>EN-002098005</v>
      </c>
    </row>
    <row r="10222" spans="1:15" ht="64" x14ac:dyDescent="0.2">
      <c r="A10222" s="7" t="str">
        <f>HYPERLINK("https://otsuka-europe-crm.veevavault.com/ui/#object/account__v/V4TZ04ASGBXCXUQ", "ROSA DANIELA GREMBIALE")</f>
        <v>ROSA DANIELA GREMBIALE</v>
      </c>
      <c r="B10222" s="7" t="str">
        <f>HYPERLINK("https://otsuka-europe-crm.veevavault.com/ui/#object/vcountry__v/VENZ000004SONFQ", "IT")</f>
        <v>IT</v>
      </c>
      <c r="C10222" s="8" t="s">
        <v>44</v>
      </c>
      <c r="D10222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222" s="10" t="str">
        <f>HYPERLINK("https://otsuka-europe-crm.veevavault.com/ui/#object/sent_email__v/VBL00000002U467", "SE-001436355")</f>
        <v>SE-001436355</v>
      </c>
      <c r="F10222" s="11"/>
      <c r="G10222" s="12">
        <v>0</v>
      </c>
      <c r="H10222" s="12">
        <v>0</v>
      </c>
      <c r="I10222" s="12">
        <v>0</v>
      </c>
      <c r="J10222" s="11"/>
      <c r="K10222" s="12">
        <v>0</v>
      </c>
      <c r="L10222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222" s="10" t="str">
        <f>HYPERLINK("mailto:giada.camassa@outsuka.it", "giada.camassa@outsuka.it")</f>
        <v>giada.camassa@outsuka.it</v>
      </c>
      <c r="N10222" s="13">
        <v>46190.339490740742</v>
      </c>
      <c r="O10222" s="14" t="str">
        <f>HYPERLINK("https://otsuka-europe-crm.veevavault.com/ui/#object/email_activity__v/V8C00000003X716", "EN-002098096")</f>
        <v>EN-002098096</v>
      </c>
    </row>
    <row r="10223" spans="1:15" ht="64" x14ac:dyDescent="0.2">
      <c r="A10223" s="7" t="str">
        <f>HYPERLINK("https://otsuka-europe-crm.veevavault.com/ui/#object/account__v/V4TZ04ASGB4UR8K", "ROSARIO BUONO")</f>
        <v>ROSARIO BUONO</v>
      </c>
      <c r="B10223" s="7" t="str">
        <f>HYPERLINK("https://otsuka-europe-crm.veevavault.com/ui/#object/vcountry__v/VENZ000004SONFQ", "IT")</f>
        <v>IT</v>
      </c>
      <c r="C10223" s="8" t="s">
        <v>44</v>
      </c>
      <c r="D10223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223" s="10" t="str">
        <f>HYPERLINK("https://otsuka-europe-crm.veevavault.com/ui/#object/sent_email__v/VBL00000002U468", "SE-001436356")</f>
        <v>SE-001436356</v>
      </c>
      <c r="F10223" s="11"/>
      <c r="G10223" s="12">
        <v>0</v>
      </c>
      <c r="H10223" s="12">
        <v>0</v>
      </c>
      <c r="I10223" s="12">
        <v>0</v>
      </c>
      <c r="J10223" s="11"/>
      <c r="K10223" s="12">
        <v>0</v>
      </c>
      <c r="L10223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223" s="10" t="str">
        <f>HYPERLINK("mailto:giada.camassa@outsuka.it", "giada.camassa@outsuka.it")</f>
        <v>giada.camassa@outsuka.it</v>
      </c>
      <c r="N10223" s="13">
        <v>46190.337835648148</v>
      </c>
      <c r="O10223" s="14" t="str">
        <f>HYPERLINK("https://otsuka-europe-crm.veevavault.com/ui/#object/email_activity__v/V8C00000003X360", "EN-002097538")</f>
        <v>EN-002097538</v>
      </c>
    </row>
    <row r="10224" spans="1:15" ht="16" x14ac:dyDescent="0.2">
      <c r="A10224" s="17" t="str">
        <f>HYPERLINK("https://otsuka-europe-crm.veevavault.com/ui/#object/account__v/V4TZ04ASGC7DC65", "ROSARIO FOTI")</f>
        <v>ROSARIO FOTI</v>
      </c>
      <c r="B10224" s="17" t="str">
        <f>HYPERLINK("https://otsuka-europe-crm.veevavault.com/ui/#object/vcountry__v/VENZ000004SONFQ", "IT")</f>
        <v>IT</v>
      </c>
      <c r="C10224" s="20" t="s">
        <v>44</v>
      </c>
      <c r="D10224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224" s="22" t="str">
        <f>HYPERLINK("https://otsuka-europe-crm.veevavault.com/ui/#object/sent_email__v/VBL00000002U469", "SE-001436357")</f>
        <v>SE-001436357</v>
      </c>
      <c r="F10224" s="25"/>
      <c r="G10224" s="24">
        <v>0</v>
      </c>
      <c r="H10224" s="24">
        <v>0</v>
      </c>
      <c r="I10224" s="24">
        <v>0</v>
      </c>
      <c r="J10224" s="25"/>
      <c r="K10224" s="24">
        <v>0</v>
      </c>
      <c r="L10224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224" s="22" t="str">
        <f>HYPERLINK("mailto:giada.camassa@outsuka.it", "giada.camassa@outsuka.it")</f>
        <v>giada.camassa@outsuka.it</v>
      </c>
      <c r="N10224" s="23">
        <v>46190.33792824074</v>
      </c>
      <c r="O10224" s="14" t="str">
        <f>HYPERLINK("https://otsuka-europe-crm.veevavault.com/ui/#object/email_activity__v/V8C00000003X345", "EN-002097641")</f>
        <v>EN-002097641</v>
      </c>
    </row>
    <row r="10225" spans="1:15" ht="16" x14ac:dyDescent="0.2">
      <c r="A10225" s="18"/>
      <c r="B10225" s="18"/>
      <c r="C10225" s="18"/>
      <c r="D10225" s="18"/>
      <c r="E10225" s="18"/>
      <c r="F10225" s="18"/>
      <c r="G10225" s="18"/>
      <c r="H10225" s="18"/>
      <c r="I10225" s="18"/>
      <c r="J10225" s="18"/>
      <c r="K10225" s="18"/>
      <c r="L10225" s="18"/>
      <c r="M10225" s="18"/>
      <c r="N10225" s="18"/>
      <c r="O10225" s="14" t="str">
        <f>HYPERLINK("https://otsuka-europe-crm.veevavault.com/ui/#object/email_activity__v/V8C00000003X934", "EN-002098486")</f>
        <v>EN-002098486</v>
      </c>
    </row>
    <row r="10226" spans="1:15" ht="16" x14ac:dyDescent="0.2">
      <c r="A10226" s="19"/>
      <c r="B10226" s="19"/>
      <c r="C10226" s="19"/>
      <c r="D10226" s="19"/>
      <c r="E10226" s="19"/>
      <c r="F10226" s="19"/>
      <c r="G10226" s="19"/>
      <c r="H10226" s="19"/>
      <c r="I10226" s="19"/>
      <c r="J10226" s="19"/>
      <c r="K10226" s="19"/>
      <c r="L10226" s="19"/>
      <c r="M10226" s="19"/>
      <c r="N10226" s="19"/>
      <c r="O10226" s="14" t="str">
        <f>HYPERLINK("https://otsuka-europe-crm.veevavault.com/ui/#object/email_activity__v/V8C00000003Z141", "EN-002098905")</f>
        <v>EN-002098905</v>
      </c>
    </row>
    <row r="10227" spans="1:15" ht="16" x14ac:dyDescent="0.2">
      <c r="A10227" s="17" t="str">
        <f>HYPERLINK("https://otsuka-europe-crm.veevavault.com/ui/#object/account__v/V4TZ04ASGCDEY2J", "SALVATORE D'ANGELO")</f>
        <v>SALVATORE D'ANGELO</v>
      </c>
      <c r="B10227" s="17" t="str">
        <f>HYPERLINK("https://otsuka-europe-crm.veevavault.com/ui/#object/vcountry__v/VENZ000004SONFQ", "IT")</f>
        <v>IT</v>
      </c>
      <c r="C10227" s="20" t="s">
        <v>44</v>
      </c>
      <c r="D10227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227" s="22" t="str">
        <f>HYPERLINK("https://otsuka-europe-crm.veevavault.com/ui/#object/sent_email__v/VBL00000002U470", "SE-001436358")</f>
        <v>SE-001436358</v>
      </c>
      <c r="F10227" s="25"/>
      <c r="G10227" s="24">
        <v>0</v>
      </c>
      <c r="H10227" s="24">
        <v>0</v>
      </c>
      <c r="I10227" s="24">
        <v>0</v>
      </c>
      <c r="J10227" s="25"/>
      <c r="K10227" s="24">
        <v>0</v>
      </c>
      <c r="L10227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227" s="22" t="str">
        <f>HYPERLINK("mailto:giada.camassa@outsuka.it", "giada.camassa@outsuka.it")</f>
        <v>giada.camassa@outsuka.it</v>
      </c>
      <c r="N10227" s="23">
        <v>46190.339814814812</v>
      </c>
      <c r="O10227" s="14" t="str">
        <f>HYPERLINK("https://otsuka-europe-crm.veevavault.com/ui/#object/email_activity__v/V8C00000003W720", "EN-002098427")</f>
        <v>EN-002098427</v>
      </c>
    </row>
    <row r="10228" spans="1:15" ht="16" x14ac:dyDescent="0.2">
      <c r="A10228" s="18"/>
      <c r="B10228" s="18"/>
      <c r="C10228" s="18"/>
      <c r="D10228" s="18"/>
      <c r="E10228" s="18"/>
      <c r="F10228" s="18"/>
      <c r="G10228" s="18"/>
      <c r="H10228" s="18"/>
      <c r="I10228" s="18"/>
      <c r="J10228" s="18"/>
      <c r="K10228" s="18"/>
      <c r="L10228" s="18"/>
      <c r="M10228" s="18"/>
      <c r="N10228" s="18"/>
      <c r="O10228" s="14" t="str">
        <f>HYPERLINK("https://otsuka-europe-crm.veevavault.com/ui/#object/email_activity__v/V8C00000003X752", "EN-002098150")</f>
        <v>EN-002098150</v>
      </c>
    </row>
    <row r="10229" spans="1:15" ht="16" x14ac:dyDescent="0.2">
      <c r="A10229" s="19"/>
      <c r="B10229" s="19"/>
      <c r="C10229" s="19"/>
      <c r="D10229" s="19"/>
      <c r="E10229" s="19"/>
      <c r="F10229" s="19"/>
      <c r="G10229" s="19"/>
      <c r="H10229" s="19"/>
      <c r="I10229" s="19"/>
      <c r="J10229" s="19"/>
      <c r="K10229" s="19"/>
      <c r="L10229" s="19"/>
      <c r="M10229" s="19"/>
      <c r="N10229" s="19"/>
      <c r="O10229" s="14" t="str">
        <f>HYPERLINK("https://otsuka-europe-crm.veevavault.com/ui/#object/email_activity__v/V8C00000003Z448", "EN-002099576")</f>
        <v>EN-002099576</v>
      </c>
    </row>
    <row r="10230" spans="1:15" ht="64" x14ac:dyDescent="0.2">
      <c r="A10230" s="7" t="str">
        <f>HYPERLINK("https://otsuka-europe-crm.veevavault.com/ui/#object/account__v/V4TZ04ASGC0194L", "SALVATORE SCARPATO")</f>
        <v>SALVATORE SCARPATO</v>
      </c>
      <c r="B10230" s="7" t="str">
        <f>HYPERLINK("https://otsuka-europe-crm.veevavault.com/ui/#object/vcountry__v/VENZ000004SONFQ", "IT")</f>
        <v>IT</v>
      </c>
      <c r="C10230" s="8" t="s">
        <v>44</v>
      </c>
      <c r="D10230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230" s="10" t="str">
        <f>HYPERLINK("https://otsuka-europe-crm.veevavault.com/ui/#object/sent_email__v/VBL00000002U471", "SE-001436359")</f>
        <v>SE-001436359</v>
      </c>
      <c r="F10230" s="11"/>
      <c r="G10230" s="12">
        <v>0</v>
      </c>
      <c r="H10230" s="12">
        <v>0</v>
      </c>
      <c r="I10230" s="12">
        <v>0</v>
      </c>
      <c r="J10230" s="11"/>
      <c r="K10230" s="12">
        <v>0</v>
      </c>
      <c r="L10230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230" s="10" t="str">
        <f>HYPERLINK("mailto:giada.camassa@outsuka.it", "giada.camassa@outsuka.it")</f>
        <v>giada.camassa@outsuka.it</v>
      </c>
      <c r="N10230" s="13">
        <v>46190.339907407404</v>
      </c>
      <c r="O10230" s="14" t="str">
        <f>HYPERLINK("https://otsuka-europe-crm.veevavault.com/ui/#object/email_activity__v/V8C00000003X759", "EN-002098162")</f>
        <v>EN-002098162</v>
      </c>
    </row>
    <row r="10231" spans="1:15" ht="64" x14ac:dyDescent="0.2">
      <c r="A10231" s="7" t="str">
        <f>HYPERLINK("https://otsuka-europe-crm.veevavault.com/ui/#object/account__v/V4TZ04ASGBCHCA3", "SARA FERRIGNO")</f>
        <v>SARA FERRIGNO</v>
      </c>
      <c r="B10231" s="7" t="str">
        <f>HYPERLINK("https://otsuka-europe-crm.veevavault.com/ui/#object/vcountry__v/VENZ000004SONFQ", "IT")</f>
        <v>IT</v>
      </c>
      <c r="C10231" s="8" t="s">
        <v>44</v>
      </c>
      <c r="D10231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231" s="10" t="str">
        <f>HYPERLINK("https://otsuka-europe-crm.veevavault.com/ui/#object/sent_email__v/VBL00000002U472", "SE-001436360")</f>
        <v>SE-001436360</v>
      </c>
      <c r="F10231" s="11"/>
      <c r="G10231" s="12">
        <v>0</v>
      </c>
      <c r="H10231" s="12">
        <v>0</v>
      </c>
      <c r="I10231" s="12">
        <v>0</v>
      </c>
      <c r="J10231" s="11"/>
      <c r="K10231" s="12">
        <v>0</v>
      </c>
      <c r="L10231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231" s="10" t="str">
        <f>HYPERLINK("mailto:giada.camassa@outsuka.it", "giada.camassa@outsuka.it")</f>
        <v>giada.camassa@outsuka.it</v>
      </c>
      <c r="N10231" s="13">
        <v>46190.337881944448</v>
      </c>
      <c r="O10231" s="14" t="str">
        <f>HYPERLINK("https://otsuka-europe-crm.veevavault.com/ui/#object/email_activity__v/V8C00000003W383", "EN-002097473")</f>
        <v>EN-002097473</v>
      </c>
    </row>
    <row r="10232" spans="1:15" ht="16" x14ac:dyDescent="0.2">
      <c r="A10232" s="17" t="str">
        <f>HYPERLINK("https://otsuka-europe-crm.veevavault.com/ui/#object/account__v/V4TZ04ASGB4UR3E", "SAVIANA GANDOLFO")</f>
        <v>SAVIANA GANDOLFO</v>
      </c>
      <c r="B10232" s="17" t="str">
        <f>HYPERLINK("https://otsuka-europe-crm.veevavault.com/ui/#object/vcountry__v/VENZ000004SONFQ", "IT")</f>
        <v>IT</v>
      </c>
      <c r="C10232" s="20" t="s">
        <v>44</v>
      </c>
      <c r="D10232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232" s="22" t="str">
        <f>HYPERLINK("https://otsuka-europe-crm.veevavault.com/ui/#object/sent_email__v/VBL00000002U473", "SE-001436361")</f>
        <v>SE-001436361</v>
      </c>
      <c r="F10232" s="23">
        <v>46190.339618055557</v>
      </c>
      <c r="G10232" s="24">
        <v>1</v>
      </c>
      <c r="H10232" s="24">
        <v>1</v>
      </c>
      <c r="I10232" s="24">
        <v>0</v>
      </c>
      <c r="J10232" s="25"/>
      <c r="K10232" s="24">
        <v>0</v>
      </c>
      <c r="L10232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232" s="22" t="str">
        <f>HYPERLINK("mailto:giada.camassa@outsuka.it", "giada.camassa@outsuka.it")</f>
        <v>giada.camassa@outsuka.it</v>
      </c>
      <c r="N10232" s="23">
        <v>46190.339456018519</v>
      </c>
      <c r="O10232" s="14" t="str">
        <f>HYPERLINK("https://otsuka-europe-crm.veevavault.com/ui/#object/email_activity__v/V8C00000003W561", "EN-002098078")</f>
        <v>EN-002098078</v>
      </c>
    </row>
    <row r="10233" spans="1:15" ht="16" x14ac:dyDescent="0.2">
      <c r="A10233" s="19"/>
      <c r="B10233" s="19"/>
      <c r="C10233" s="19"/>
      <c r="D10233" s="19"/>
      <c r="E10233" s="19"/>
      <c r="F10233" s="19"/>
      <c r="G10233" s="19"/>
      <c r="H10233" s="19"/>
      <c r="I10233" s="19"/>
      <c r="J10233" s="19"/>
      <c r="K10233" s="19"/>
      <c r="L10233" s="19"/>
      <c r="M10233" s="19"/>
      <c r="N10233" s="19"/>
      <c r="O10233" s="14" t="str">
        <f>HYPERLINK("https://otsuka-europe-crm.veevavault.com/ui/#object/email_activity__v/V8C00000003X719", "EN-002098099")</f>
        <v>EN-002098099</v>
      </c>
    </row>
    <row r="10234" spans="1:15" ht="64" x14ac:dyDescent="0.2">
      <c r="A10234" s="7" t="str">
        <f>HYPERLINK("https://otsuka-europe-crm.veevavault.com/ui/#object/account__v/V4TZ04ASGBC5XG5", "SEBASTIANO LORUSSO")</f>
        <v>SEBASTIANO LORUSSO</v>
      </c>
      <c r="B10234" s="7" t="str">
        <f>HYPERLINK("https://otsuka-europe-crm.veevavault.com/ui/#object/vcountry__v/VENZ000004SONFQ", "IT")</f>
        <v>IT</v>
      </c>
      <c r="C10234" s="8" t="s">
        <v>44</v>
      </c>
      <c r="D10234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234" s="10" t="str">
        <f>HYPERLINK("https://otsuka-europe-crm.veevavault.com/ui/#object/sent_email__v/VBL00000002U474", "SE-001436362")</f>
        <v>SE-001436362</v>
      </c>
      <c r="F10234" s="11"/>
      <c r="G10234" s="12">
        <v>0</v>
      </c>
      <c r="H10234" s="12">
        <v>0</v>
      </c>
      <c r="I10234" s="12">
        <v>0</v>
      </c>
      <c r="J10234" s="11"/>
      <c r="K10234" s="12">
        <v>0</v>
      </c>
      <c r="L10234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234" s="10" t="str">
        <f>HYPERLINK("mailto:giada.camassa@outsuka.it", "giada.camassa@outsuka.it")</f>
        <v>giada.camassa@outsuka.it</v>
      </c>
      <c r="N10234" s="13">
        <v>46190.339849537035</v>
      </c>
      <c r="O10234" s="14" t="str">
        <f>HYPERLINK("https://otsuka-europe-crm.veevavault.com/ui/#object/email_activity__v/V8C00000003X761", "EN-002098164")</f>
        <v>EN-002098164</v>
      </c>
    </row>
    <row r="10235" spans="1:15" ht="64" x14ac:dyDescent="0.2">
      <c r="A10235" s="7" t="str">
        <f>HYPERLINK("https://otsuka-europe-crm.veevavault.com/ui/#object/account__v/V4TZ025E86FK8AA", "SILVIA MANCUSO")</f>
        <v>SILVIA MANCUSO</v>
      </c>
      <c r="B10235" s="7" t="str">
        <f>HYPERLINK("https://otsuka-europe-crm.veevavault.com/ui/#object/vcountry__v/VENZ000004SONFQ", "IT")</f>
        <v>IT</v>
      </c>
      <c r="C10235" s="8" t="s">
        <v>44</v>
      </c>
      <c r="D10235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235" s="10" t="str">
        <f>HYPERLINK("https://otsuka-europe-crm.veevavault.com/ui/#object/sent_email__v/VBL00000002U475", "SE-001436363")</f>
        <v>SE-001436363</v>
      </c>
      <c r="F10235" s="11"/>
      <c r="G10235" s="12">
        <v>0</v>
      </c>
      <c r="H10235" s="12">
        <v>0</v>
      </c>
      <c r="I10235" s="12">
        <v>0</v>
      </c>
      <c r="J10235" s="11"/>
      <c r="K10235" s="12">
        <v>0</v>
      </c>
      <c r="L10235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235" s="10" t="str">
        <f>HYPERLINK("mailto:giada.camassa@outsuka.it", "giada.camassa@outsuka.it")</f>
        <v>giada.camassa@outsuka.it</v>
      </c>
      <c r="N10235" s="13">
        <v>46190.339606481481</v>
      </c>
      <c r="O10235" s="14" t="str">
        <f>HYPERLINK("https://otsuka-europe-crm.veevavault.com/ui/#object/email_activity__v/V8C00000003W573", "EN-002098103")</f>
        <v>EN-002098103</v>
      </c>
    </row>
    <row r="10236" spans="1:15" ht="64" x14ac:dyDescent="0.2">
      <c r="A10236" s="7" t="str">
        <f>HYPERLINK("https://otsuka-europe-crm.veevavault.com/ui/#object/account__v/V4TZ025E82XRWOW", "SILVIA SCRIFFIGNANO")</f>
        <v>SILVIA SCRIFFIGNANO</v>
      </c>
      <c r="B10236" s="7" t="str">
        <f>HYPERLINK("https://otsuka-europe-crm.veevavault.com/ui/#object/vcountry__v/VENZ000004SONFQ", "IT")</f>
        <v>IT</v>
      </c>
      <c r="C10236" s="8" t="s">
        <v>44</v>
      </c>
      <c r="D10236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236" s="10" t="str">
        <f>HYPERLINK("https://otsuka-europe-crm.veevavault.com/ui/#object/sent_email__v/VBL00000002U476", "SE-001436364")</f>
        <v>SE-001436364</v>
      </c>
      <c r="F10236" s="11"/>
      <c r="G10236" s="12">
        <v>0</v>
      </c>
      <c r="H10236" s="12">
        <v>0</v>
      </c>
      <c r="I10236" s="12">
        <v>0</v>
      </c>
      <c r="J10236" s="11"/>
      <c r="K10236" s="12">
        <v>0</v>
      </c>
      <c r="L10236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236" s="10" t="str">
        <f>HYPERLINK("mailto:giada.camassa@outsuka.it", "giada.camassa@outsuka.it")</f>
        <v>giada.camassa@outsuka.it</v>
      </c>
      <c r="N10236" s="13">
        <v>46190.339907407404</v>
      </c>
      <c r="O10236" s="14" t="str">
        <f>HYPERLINK("https://otsuka-europe-crm.veevavault.com/ui/#object/email_activity__v/V8C00000003X778", "EN-002098183")</f>
        <v>EN-002098183</v>
      </c>
    </row>
    <row r="10237" spans="1:15" ht="16" x14ac:dyDescent="0.2">
      <c r="A10237" s="17" t="str">
        <f>HYPERLINK("https://otsuka-europe-crm.veevavault.com/ui/#object/account__v/V4TZ025E82VOTSE", "SIMONA MONTALBANO")</f>
        <v>SIMONA MONTALBANO</v>
      </c>
      <c r="B10237" s="17" t="str">
        <f>HYPERLINK("https://otsuka-europe-crm.veevavault.com/ui/#object/vcountry__v/VENZ000004SONFQ", "IT")</f>
        <v>IT</v>
      </c>
      <c r="C10237" s="20" t="s">
        <v>44</v>
      </c>
      <c r="D10237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237" s="22" t="str">
        <f>HYPERLINK("https://otsuka-europe-crm.veevavault.com/ui/#object/sent_email__v/VBL00000002U477", "SE-001436365")</f>
        <v>SE-001436365</v>
      </c>
      <c r="F10237" s="23">
        <v>46190.340162037035</v>
      </c>
      <c r="G10237" s="24">
        <v>1</v>
      </c>
      <c r="H10237" s="24">
        <v>1</v>
      </c>
      <c r="I10237" s="24">
        <v>0</v>
      </c>
      <c r="J10237" s="25"/>
      <c r="K10237" s="24">
        <v>0</v>
      </c>
      <c r="L10237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237" s="22" t="str">
        <f>HYPERLINK("mailto:giada.camassa@outsuka.it", "giada.camassa@outsuka.it")</f>
        <v>giada.camassa@outsuka.it</v>
      </c>
      <c r="N10237" s="23">
        <v>46190.339988425927</v>
      </c>
      <c r="O10237" s="14" t="str">
        <f>HYPERLINK("https://otsuka-europe-crm.veevavault.com/ui/#object/email_activity__v/V8C00000003W601", "EN-002098192")</f>
        <v>EN-002098192</v>
      </c>
    </row>
    <row r="10238" spans="1:15" ht="16" x14ac:dyDescent="0.2">
      <c r="A10238" s="19"/>
      <c r="B10238" s="19"/>
      <c r="C10238" s="19"/>
      <c r="D10238" s="19"/>
      <c r="E10238" s="19"/>
      <c r="F10238" s="19"/>
      <c r="G10238" s="19"/>
      <c r="H10238" s="19"/>
      <c r="I10238" s="19"/>
      <c r="J10238" s="19"/>
      <c r="K10238" s="19"/>
      <c r="L10238" s="19"/>
      <c r="M10238" s="19"/>
      <c r="N10238" s="19"/>
      <c r="O10238" s="14" t="str">
        <f>HYPERLINK("https://otsuka-europe-crm.veevavault.com/ui/#object/email_activity__v/V8C00000003X783", "EN-002098188")</f>
        <v>EN-002098188</v>
      </c>
    </row>
    <row r="10239" spans="1:15" ht="64" x14ac:dyDescent="0.2">
      <c r="A10239" s="7" t="str">
        <f>HYPERLINK("https://otsuka-europe-crm.veevavault.com/ui/#object/account__v/V4TZ04ASGBC5Z54", "SIMONA TRUGLIA")</f>
        <v>SIMONA TRUGLIA</v>
      </c>
      <c r="B10239" s="7" t="str">
        <f>HYPERLINK("https://otsuka-europe-crm.veevavault.com/ui/#object/vcountry__v/VENZ000004SONFQ", "IT")</f>
        <v>IT</v>
      </c>
      <c r="C10239" s="8" t="s">
        <v>44</v>
      </c>
      <c r="D10239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239" s="10" t="str">
        <f>HYPERLINK("https://otsuka-europe-crm.veevavault.com/ui/#object/sent_email__v/VBL00000002U478", "SE-001436366")</f>
        <v>SE-001436366</v>
      </c>
      <c r="F10239" s="11"/>
      <c r="G10239" s="12">
        <v>0</v>
      </c>
      <c r="H10239" s="12">
        <v>0</v>
      </c>
      <c r="I10239" s="12">
        <v>0</v>
      </c>
      <c r="J10239" s="11"/>
      <c r="K10239" s="12">
        <v>0</v>
      </c>
      <c r="L10239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239" s="10" t="str">
        <f>HYPERLINK("mailto:giada.camassa@outsuka.it", "giada.camassa@outsuka.it")</f>
        <v>giada.camassa@outsuka.it</v>
      </c>
      <c r="N10239" s="13">
        <v>46190.338587962964</v>
      </c>
      <c r="O10239" s="14" t="str">
        <f>HYPERLINK("https://otsuka-europe-crm.veevavault.com/ui/#object/email_activity__v/V8C00000003X605", "EN-002097926")</f>
        <v>EN-002097926</v>
      </c>
    </row>
    <row r="10240" spans="1:15" ht="64" x14ac:dyDescent="0.2">
      <c r="A10240" s="7" t="str">
        <f>HYPERLINK("https://otsuka-europe-crm.veevavault.com/ui/#object/account__v/V4TZ04ASGC4KYVO", "SIMONE PARISI")</f>
        <v>SIMONE PARISI</v>
      </c>
      <c r="B10240" s="7" t="str">
        <f>HYPERLINK("https://otsuka-europe-crm.veevavault.com/ui/#object/vcountry__v/VENZ000004SONFQ", "IT")</f>
        <v>IT</v>
      </c>
      <c r="C10240" s="8" t="s">
        <v>44</v>
      </c>
      <c r="D10240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240" s="10" t="str">
        <f>HYPERLINK("https://otsuka-europe-crm.veevavault.com/ui/#object/sent_email__v/VBL00000002U479", "SE-001436367")</f>
        <v>SE-001436367</v>
      </c>
      <c r="F10240" s="11"/>
      <c r="G10240" s="12">
        <v>0</v>
      </c>
      <c r="H10240" s="12">
        <v>0</v>
      </c>
      <c r="I10240" s="12">
        <v>0</v>
      </c>
      <c r="J10240" s="11"/>
      <c r="K10240" s="12">
        <v>0</v>
      </c>
      <c r="L10240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240" s="10" t="str">
        <f>HYPERLINK("mailto:giada.camassa@outsuka.it", "giada.camassa@outsuka.it")</f>
        <v>giada.camassa@outsuka.it</v>
      </c>
      <c r="N10240" s="13">
        <v>46190.339988425927</v>
      </c>
      <c r="O10240" s="14" t="str">
        <f>HYPERLINK("https://otsuka-europe-crm.veevavault.com/ui/#object/email_activity__v/V8C00000003W600", "EN-002098191")</f>
        <v>EN-002098191</v>
      </c>
    </row>
    <row r="10241" spans="1:15" ht="16" x14ac:dyDescent="0.2">
      <c r="A10241" s="17" t="str">
        <f>HYPERLINK("https://otsuka-europe-crm.veevavault.com/ui/#object/account__v/V4TZ04ASGCYT186", "TOMMASO SCHIOPPO")</f>
        <v>TOMMASO SCHIOPPO</v>
      </c>
      <c r="B10241" s="17" t="str">
        <f>HYPERLINK("https://otsuka-europe-crm.veevavault.com/ui/#object/vcountry__v/VENZ000004SONFQ", "IT")</f>
        <v>IT</v>
      </c>
      <c r="C10241" s="20" t="s">
        <v>44</v>
      </c>
      <c r="D10241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241" s="22" t="str">
        <f>HYPERLINK("https://otsuka-europe-crm.veevavault.com/ui/#object/sent_email__v/VBL00000002U481", "SE-001436369")</f>
        <v>SE-001436369</v>
      </c>
      <c r="F10241" s="23">
        <v>46190.339942129627</v>
      </c>
      <c r="G10241" s="24">
        <v>1</v>
      </c>
      <c r="H10241" s="24">
        <v>2</v>
      </c>
      <c r="I10241" s="24">
        <v>0</v>
      </c>
      <c r="J10241" s="25"/>
      <c r="K10241" s="24">
        <v>0</v>
      </c>
      <c r="L10241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241" s="22" t="str">
        <f>HYPERLINK("mailto:giada.camassa@outsuka.it", "giada.camassa@outsuka.it")</f>
        <v>giada.camassa@outsuka.it</v>
      </c>
      <c r="N10241" s="23">
        <v>46190.337881944448</v>
      </c>
      <c r="O10241" s="14" t="str">
        <f>HYPERLINK("https://otsuka-europe-crm.veevavault.com/ui/#object/email_activity__v/V8C00000003W480", "EN-002097835")</f>
        <v>EN-002097835</v>
      </c>
    </row>
    <row r="10242" spans="1:15" ht="16" x14ac:dyDescent="0.2">
      <c r="A10242" s="18"/>
      <c r="B10242" s="18"/>
      <c r="C10242" s="18"/>
      <c r="D10242" s="18"/>
      <c r="E10242" s="18"/>
      <c r="F10242" s="18"/>
      <c r="G10242" s="18"/>
      <c r="H10242" s="18"/>
      <c r="I10242" s="18"/>
      <c r="J10242" s="18"/>
      <c r="K10242" s="18"/>
      <c r="L10242" s="18"/>
      <c r="M10242" s="18"/>
      <c r="N10242" s="18"/>
      <c r="O10242" s="14" t="str">
        <f>HYPERLINK("https://otsuka-europe-crm.veevavault.com/ui/#object/email_activity__v/V8C00000003X400", "EN-002097595")</f>
        <v>EN-002097595</v>
      </c>
    </row>
    <row r="10243" spans="1:15" ht="16" x14ac:dyDescent="0.2">
      <c r="A10243" s="19"/>
      <c r="B10243" s="19"/>
      <c r="C10243" s="19"/>
      <c r="D10243" s="19"/>
      <c r="E10243" s="19"/>
      <c r="F10243" s="19"/>
      <c r="G10243" s="19"/>
      <c r="H10243" s="19"/>
      <c r="I10243" s="19"/>
      <c r="J10243" s="19"/>
      <c r="K10243" s="19"/>
      <c r="L10243" s="19"/>
      <c r="M10243" s="19"/>
      <c r="N10243" s="19"/>
      <c r="O10243" s="14" t="str">
        <f>HYPERLINK("https://otsuka-europe-crm.veevavault.com/ui/#object/email_activity__v/V8C00000003X755", "EN-002098153")</f>
        <v>EN-002098153</v>
      </c>
    </row>
    <row r="10244" spans="1:15" ht="64" x14ac:dyDescent="0.2">
      <c r="A10244" s="7" t="str">
        <f>HYPERLINK("https://otsuka-europe-crm.veevavault.com/ui/#object/account__v/V4TZ04ASGDP37EF", "VALENTINA VARRIANO")</f>
        <v>VALENTINA VARRIANO</v>
      </c>
      <c r="B10244" s="7" t="str">
        <f>HYPERLINK("https://otsuka-europe-crm.veevavault.com/ui/#object/vcountry__v/VENZ000004SONFQ", "IT")</f>
        <v>IT</v>
      </c>
      <c r="C10244" s="8" t="s">
        <v>44</v>
      </c>
      <c r="D10244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244" s="10" t="str">
        <f>HYPERLINK("https://otsuka-europe-crm.veevavault.com/ui/#object/sent_email__v/VBL00000002U482", "SE-001436370")</f>
        <v>SE-001436370</v>
      </c>
      <c r="F10244" s="11"/>
      <c r="G10244" s="12">
        <v>0</v>
      </c>
      <c r="H10244" s="12">
        <v>0</v>
      </c>
      <c r="I10244" s="12">
        <v>0</v>
      </c>
      <c r="J10244" s="11"/>
      <c r="K10244" s="12">
        <v>0</v>
      </c>
      <c r="L10244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244" s="10" t="str">
        <f>HYPERLINK("mailto:giada.camassa@outsuka.it", "giada.camassa@outsuka.it")</f>
        <v>giada.camassa@outsuka.it</v>
      </c>
      <c r="N10244" s="13">
        <v>46190.337893518517</v>
      </c>
      <c r="O10244" s="14" t="str">
        <f>HYPERLINK("https://otsuka-europe-crm.veevavault.com/ui/#object/email_activity__v/V8C00000003X351", "EN-002097529")</f>
        <v>EN-002097529</v>
      </c>
    </row>
    <row r="10245" spans="1:15" ht="16" x14ac:dyDescent="0.2">
      <c r="A10245" s="17" t="str">
        <f>HYPERLINK("https://otsuka-europe-crm.veevavault.com/ui/#object/account__v/V4TZ025E83QZZAU", "VALERIA OREFICE")</f>
        <v>VALERIA OREFICE</v>
      </c>
      <c r="B10245" s="17" t="str">
        <f>HYPERLINK("https://otsuka-europe-crm.veevavault.com/ui/#object/vcountry__v/VENZ000004SONFQ", "IT")</f>
        <v>IT</v>
      </c>
      <c r="C10245" s="20" t="s">
        <v>44</v>
      </c>
      <c r="D10245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0245" s="22" t="str">
        <f>HYPERLINK("https://otsuka-europe-crm.veevavault.com/ui/#object/sent_email__v/VBL00000002U483", "SE-001436371")</f>
        <v>SE-001436371</v>
      </c>
      <c r="F10245" s="25"/>
      <c r="G10245" s="24">
        <v>0</v>
      </c>
      <c r="H10245" s="24">
        <v>0</v>
      </c>
      <c r="I10245" s="24">
        <v>0</v>
      </c>
      <c r="J10245" s="25"/>
      <c r="K10245" s="24">
        <v>0</v>
      </c>
      <c r="L10245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0245" s="22" t="str">
        <f>HYPERLINK("mailto:giada.camassa@outsuka.it", "giada.camassa@outsuka.it")</f>
        <v>giada.camassa@outsuka.it</v>
      </c>
      <c r="N10245" s="23">
        <v>46190.338148148148</v>
      </c>
      <c r="O10245" s="14" t="str">
        <f>HYPERLINK("https://otsuka-europe-crm.veevavault.com/ui/#object/email_activity__v/V8C00000003W710", "EN-002098404")</f>
        <v>EN-002098404</v>
      </c>
    </row>
    <row r="10246" spans="1:15" ht="16" x14ac:dyDescent="0.2">
      <c r="A10246" s="19"/>
      <c r="B10246" s="19"/>
      <c r="C10246" s="19"/>
      <c r="D10246" s="19"/>
      <c r="E10246" s="19"/>
      <c r="F10246" s="19"/>
      <c r="G10246" s="19"/>
      <c r="H10246" s="19"/>
      <c r="I10246" s="19"/>
      <c r="J10246" s="19"/>
      <c r="K10246" s="19"/>
      <c r="L10246" s="19"/>
      <c r="M10246" s="19"/>
      <c r="N10246" s="19"/>
      <c r="O10246" s="14" t="str">
        <f>HYPERLINK("https://otsuka-europe-crm.veevavault.com/ui/#object/email_activity__v/V8C00000003X563", "EN-002097859")</f>
        <v>EN-002097859</v>
      </c>
    </row>
    <row r="10247" spans="1:15" ht="64" x14ac:dyDescent="0.2">
      <c r="A10247" s="7" t="str">
        <f>HYPERLINK("https://otsuka-europe-crm.veevavault.com/ui/#object/account__v/V4TZ025E82RQ369", "ADRIANO MONTINARO")</f>
        <v>ADRIANO MONTINARO</v>
      </c>
      <c r="B10247" s="7" t="str">
        <f>HYPERLINK("https://otsuka-europe-crm.veevavault.com/ui/#object/vcountry__v/VENZ000004SONFQ", "IT")</f>
        <v>IT</v>
      </c>
      <c r="C10247" s="8" t="s">
        <v>44</v>
      </c>
      <c r="D10247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247" s="10" t="str">
        <f>HYPERLINK("https://otsuka-europe-crm.veevavault.com/ui/#object/sent_email__v/VBL00000002U485", "SE-001436373")</f>
        <v>SE-001436373</v>
      </c>
      <c r="F10247" s="11"/>
      <c r="G10247" s="12">
        <v>0</v>
      </c>
      <c r="H10247" s="12">
        <v>0</v>
      </c>
      <c r="I10247" s="12">
        <v>0</v>
      </c>
      <c r="J10247" s="11"/>
      <c r="K10247" s="12">
        <v>0</v>
      </c>
      <c r="L10247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247" s="10" t="str">
        <f>HYPERLINK("mailto:giada.camassa@outsuka.it", "giada.camassa@outsuka.it")</f>
        <v>giada.camassa@outsuka.it</v>
      </c>
      <c r="N10247" s="13">
        <v>46190.339050925926</v>
      </c>
      <c r="O10247" s="14" t="str">
        <f>HYPERLINK("https://otsuka-europe-crm.veevavault.com/ui/#object/email_activity__v/V8C00000003X662", "EN-002098003")</f>
        <v>EN-002098003</v>
      </c>
    </row>
    <row r="10248" spans="1:15" ht="64" x14ac:dyDescent="0.2">
      <c r="A10248" s="7" t="str">
        <f>HYPERLINK("https://otsuka-europe-crm.veevavault.com/ui/#object/account__v/V4TZ04ASGC2H4JF", "ALESSANDRA MESSUEROTTI")</f>
        <v>ALESSANDRA MESSUEROTTI</v>
      </c>
      <c r="B10248" s="7" t="str">
        <f>HYPERLINK("https://otsuka-europe-crm.veevavault.com/ui/#object/vcountry__v/VENZ000004SONFQ", "IT")</f>
        <v>IT</v>
      </c>
      <c r="C10248" s="8" t="s">
        <v>44</v>
      </c>
      <c r="D10248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248" s="10" t="str">
        <f>HYPERLINK("https://otsuka-europe-crm.veevavault.com/ui/#object/sent_email__v/VBL00000002U486", "SE-001436374")</f>
        <v>SE-001436374</v>
      </c>
      <c r="F10248" s="11"/>
      <c r="G10248" s="12">
        <v>0</v>
      </c>
      <c r="H10248" s="12">
        <v>0</v>
      </c>
      <c r="I10248" s="12">
        <v>0</v>
      </c>
      <c r="J10248" s="11"/>
      <c r="K10248" s="12">
        <v>0</v>
      </c>
      <c r="L10248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248" s="10" t="str">
        <f>HYPERLINK("mailto:giada.camassa@outsuka.it", "giada.camassa@outsuka.it")</f>
        <v>giada.camassa@outsuka.it</v>
      </c>
      <c r="N10248" s="13">
        <v>46190.339548611111</v>
      </c>
      <c r="O10248" s="14" t="str">
        <f>HYPERLINK("https://otsuka-europe-crm.veevavault.com/ui/#object/email_activity__v/V8C00000003X729", "EN-002098111")</f>
        <v>EN-002098111</v>
      </c>
    </row>
    <row r="10249" spans="1:15" ht="16" x14ac:dyDescent="0.2">
      <c r="A10249" s="17" t="str">
        <f>HYPERLINK("https://otsuka-europe-crm.veevavault.com/ui/#object/account__v/V4TZ06G6O71SBRH", "ALESSANDRA PERNA")</f>
        <v>ALESSANDRA PERNA</v>
      </c>
      <c r="B10249" s="17" t="str">
        <f>HYPERLINK("https://otsuka-europe-crm.veevavault.com/ui/#object/vcountry__v/VENZ000004SONFQ", "IT")</f>
        <v>IT</v>
      </c>
      <c r="C10249" s="20" t="s">
        <v>44</v>
      </c>
      <c r="D10249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249" s="22" t="str">
        <f>HYPERLINK("https://otsuka-europe-crm.veevavault.com/ui/#object/sent_email__v/VBL00000002U487", "SE-001436375")</f>
        <v>SE-001436375</v>
      </c>
      <c r="F10249" s="23">
        <v>46190.386469907404</v>
      </c>
      <c r="G10249" s="24">
        <v>1</v>
      </c>
      <c r="H10249" s="24">
        <v>2</v>
      </c>
      <c r="I10249" s="24">
        <v>0</v>
      </c>
      <c r="J10249" s="25"/>
      <c r="K10249" s="24">
        <v>0</v>
      </c>
      <c r="L10249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249" s="22" t="str">
        <f>HYPERLINK("mailto:giada.camassa@outsuka.it", "giada.camassa@outsuka.it")</f>
        <v>giada.camassa@outsuka.it</v>
      </c>
      <c r="N10249" s="23">
        <v>46190.338113425925</v>
      </c>
      <c r="O10249" s="14" t="str">
        <f>HYPERLINK("https://otsuka-europe-crm.veevavault.com/ui/#object/email_activity__v/V8C00000003W482", "EN-002097837")</f>
        <v>EN-002097837</v>
      </c>
    </row>
    <row r="10250" spans="1:15" ht="16" x14ac:dyDescent="0.2">
      <c r="A10250" s="18"/>
      <c r="B10250" s="18"/>
      <c r="C10250" s="18"/>
      <c r="D10250" s="18"/>
      <c r="E10250" s="18"/>
      <c r="F10250" s="18"/>
      <c r="G10250" s="18"/>
      <c r="H10250" s="18"/>
      <c r="I10250" s="18"/>
      <c r="J10250" s="18"/>
      <c r="K10250" s="18"/>
      <c r="L10250" s="18"/>
      <c r="M10250" s="18"/>
      <c r="N10250" s="18"/>
      <c r="O10250" s="14" t="str">
        <f>HYPERLINK("https://otsuka-europe-crm.veevavault.com/ui/#object/email_activity__v/V8C00000003W496", "EN-002097891")</f>
        <v>EN-002097891</v>
      </c>
    </row>
    <row r="10251" spans="1:15" ht="16" x14ac:dyDescent="0.2">
      <c r="A10251" s="19"/>
      <c r="B10251" s="19"/>
      <c r="C10251" s="19"/>
      <c r="D10251" s="19"/>
      <c r="E10251" s="19"/>
      <c r="F10251" s="19"/>
      <c r="G10251" s="19"/>
      <c r="H10251" s="19"/>
      <c r="I10251" s="19"/>
      <c r="J10251" s="19"/>
      <c r="K10251" s="19"/>
      <c r="L10251" s="19"/>
      <c r="M10251" s="19"/>
      <c r="N10251" s="19"/>
      <c r="O10251" s="14" t="str">
        <f>HYPERLINK("https://otsuka-europe-crm.veevavault.com/ui/#object/email_activity__v/V8C00000003X829", "EN-002098291")</f>
        <v>EN-002098291</v>
      </c>
    </row>
    <row r="10252" spans="1:15" ht="64" x14ac:dyDescent="0.2">
      <c r="A10252" s="7" t="str">
        <f>HYPERLINK("https://otsuka-europe-crm.veevavault.com/ui/#object/account__v/V4TZ025E85VMZJ1", "ALESSANDRA SALERNO")</f>
        <v>ALESSANDRA SALERNO</v>
      </c>
      <c r="B10252" s="7" t="str">
        <f>HYPERLINK("https://otsuka-europe-crm.veevavault.com/ui/#object/vcountry__v/VENZ000004SONFQ", "IT")</f>
        <v>IT</v>
      </c>
      <c r="C10252" s="8" t="s">
        <v>44</v>
      </c>
      <c r="D10252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252" s="10" t="str">
        <f>HYPERLINK("https://otsuka-europe-crm.veevavault.com/ui/#object/sent_email__v/VBL00000002U488", "SE-001436376")</f>
        <v>SE-001436376</v>
      </c>
      <c r="F10252" s="11"/>
      <c r="G10252" s="12">
        <v>0</v>
      </c>
      <c r="H10252" s="12">
        <v>0</v>
      </c>
      <c r="I10252" s="12">
        <v>0</v>
      </c>
      <c r="J10252" s="11"/>
      <c r="K10252" s="12">
        <v>0</v>
      </c>
      <c r="L10252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252" s="10" t="str">
        <f>HYPERLINK("mailto:giada.camassa@outsuka.it", "giada.camassa@outsuka.it")</f>
        <v>giada.camassa@outsuka.it</v>
      </c>
      <c r="N10252" s="13">
        <v>46190.337916666664</v>
      </c>
      <c r="O10252" s="14" t="str">
        <f>HYPERLINK("https://otsuka-europe-crm.veevavault.com/ui/#object/email_activity__v/V8C00000003X502", "EN-002097745")</f>
        <v>EN-002097745</v>
      </c>
    </row>
    <row r="10253" spans="1:15" ht="16" x14ac:dyDescent="0.2">
      <c r="A10253" s="17" t="str">
        <f>HYPERLINK("https://otsuka-europe-crm.veevavault.com/ui/#object/account__v/V4TZ04ASGBUJEVD", "ANDREA AMBROSINI")</f>
        <v>ANDREA AMBROSINI</v>
      </c>
      <c r="B10253" s="17" t="str">
        <f>HYPERLINK("https://otsuka-europe-crm.veevavault.com/ui/#object/vcountry__v/VENZ000004SONFQ", "IT")</f>
        <v>IT</v>
      </c>
      <c r="C10253" s="20" t="s">
        <v>44</v>
      </c>
      <c r="D10253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253" s="22" t="str">
        <f>HYPERLINK("https://otsuka-europe-crm.veevavault.com/ui/#object/sent_email__v/VBL00000002U490", "SE-001436378")</f>
        <v>SE-001436378</v>
      </c>
      <c r="F10253" s="23">
        <v>46190.349733796298</v>
      </c>
      <c r="G10253" s="24">
        <v>1</v>
      </c>
      <c r="H10253" s="24">
        <v>1</v>
      </c>
      <c r="I10253" s="24">
        <v>0</v>
      </c>
      <c r="J10253" s="25"/>
      <c r="K10253" s="24">
        <v>0</v>
      </c>
      <c r="L10253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253" s="22" t="str">
        <f>HYPERLINK("mailto:giada.camassa@outsuka.it", "giada.camassa@outsuka.it")</f>
        <v>giada.camassa@outsuka.it</v>
      </c>
      <c r="N10253" s="23">
        <v>46190.338900462964</v>
      </c>
      <c r="O10253" s="14" t="str">
        <f>HYPERLINK("https://otsuka-europe-crm.veevavault.com/ui/#object/email_activity__v/V8C00000003W630", "EN-002098254")</f>
        <v>EN-002098254</v>
      </c>
    </row>
    <row r="10254" spans="1:15" ht="16" x14ac:dyDescent="0.2">
      <c r="A10254" s="19"/>
      <c r="B10254" s="19"/>
      <c r="C10254" s="19"/>
      <c r="D10254" s="19"/>
      <c r="E10254" s="19"/>
      <c r="F10254" s="19"/>
      <c r="G10254" s="19"/>
      <c r="H10254" s="19"/>
      <c r="I10254" s="19"/>
      <c r="J10254" s="19"/>
      <c r="K10254" s="19"/>
      <c r="L10254" s="19"/>
      <c r="M10254" s="19"/>
      <c r="N10254" s="19"/>
      <c r="O10254" s="14" t="str">
        <f>HYPERLINK("https://otsuka-europe-crm.veevavault.com/ui/#object/email_activity__v/V8C00000003X645", "EN-002097978")</f>
        <v>EN-002097978</v>
      </c>
    </row>
    <row r="10255" spans="1:15" ht="64" x14ac:dyDescent="0.2">
      <c r="A10255" s="7" t="str">
        <f>HYPERLINK("https://otsuka-europe-crm.veevavault.com/ui/#object/account__v/V4TZ025E85PTXIY", "ANDREA COLOMBATTO")</f>
        <v>ANDREA COLOMBATTO</v>
      </c>
      <c r="B10255" s="7" t="str">
        <f>HYPERLINK("https://otsuka-europe-crm.veevavault.com/ui/#object/vcountry__v/VENZ000004SONFQ", "IT")</f>
        <v>IT</v>
      </c>
      <c r="C10255" s="8" t="s">
        <v>44</v>
      </c>
      <c r="D10255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255" s="10" t="str">
        <f>HYPERLINK("https://otsuka-europe-crm.veevavault.com/ui/#object/sent_email__v/VBL00000002U491", "SE-001436379")</f>
        <v>SE-001436379</v>
      </c>
      <c r="F10255" s="11"/>
      <c r="G10255" s="12">
        <v>0</v>
      </c>
      <c r="H10255" s="12">
        <v>0</v>
      </c>
      <c r="I10255" s="12">
        <v>0</v>
      </c>
      <c r="J10255" s="11"/>
      <c r="K10255" s="12">
        <v>0</v>
      </c>
      <c r="L10255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255" s="10" t="str">
        <f>HYPERLINK("mailto:giada.camassa@outsuka.it", "giada.camassa@outsuka.it")</f>
        <v>giada.camassa@outsuka.it</v>
      </c>
      <c r="N10255" s="13">
        <v>46190.338923611111</v>
      </c>
      <c r="O10255" s="14" t="str">
        <f>HYPERLINK("https://otsuka-europe-crm.veevavault.com/ui/#object/email_activity__v/V8C00000003X638", "EN-002097974")</f>
        <v>EN-002097974</v>
      </c>
    </row>
    <row r="10256" spans="1:15" ht="64" x14ac:dyDescent="0.2">
      <c r="A10256" s="7" t="str">
        <f>HYPERLINK("https://otsuka-europe-crm.veevavault.com/ui/#object/account__v/V4TZ06G6O71SAPB", "ANDREA GUARNIERI")</f>
        <v>ANDREA GUARNIERI</v>
      </c>
      <c r="B10256" s="7" t="str">
        <f>HYPERLINK("https://otsuka-europe-crm.veevavault.com/ui/#object/vcountry__v/VENZ000004SONFQ", "IT")</f>
        <v>IT</v>
      </c>
      <c r="C10256" s="8" t="s">
        <v>44</v>
      </c>
      <c r="D10256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256" s="10" t="str">
        <f>HYPERLINK("https://otsuka-europe-crm.veevavault.com/ui/#object/sent_email__v/VBL00000002U492", "SE-001436380")</f>
        <v>SE-001436380</v>
      </c>
      <c r="F10256" s="11"/>
      <c r="G10256" s="12">
        <v>0</v>
      </c>
      <c r="H10256" s="12">
        <v>0</v>
      </c>
      <c r="I10256" s="12">
        <v>0</v>
      </c>
      <c r="J10256" s="11"/>
      <c r="K10256" s="12">
        <v>0</v>
      </c>
      <c r="L10256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256" s="10" t="str">
        <f>HYPERLINK("mailto:giada.camassa@outsuka.it", "giada.camassa@outsuka.it")</f>
        <v>giada.camassa@outsuka.it</v>
      </c>
      <c r="N10256" s="13">
        <v>46190.33798611111</v>
      </c>
      <c r="O10256" s="14" t="str">
        <f>HYPERLINK("https://otsuka-europe-crm.veevavault.com/ui/#object/email_activity__v/V8C00000003X430", "EN-002097625")</f>
        <v>EN-002097625</v>
      </c>
    </row>
    <row r="10257" spans="1:15" ht="64" x14ac:dyDescent="0.2">
      <c r="A10257" s="7" t="str">
        <f>HYPERLINK("https://otsuka-europe-crm.veevavault.com/ui/#object/account__v/V4TZ06G6O71SC1Q", "ANDREA RANGHINO")</f>
        <v>ANDREA RANGHINO</v>
      </c>
      <c r="B10257" s="7" t="str">
        <f>HYPERLINK("https://otsuka-europe-crm.veevavault.com/ui/#object/vcountry__v/VENZ000004SONFQ", "IT")</f>
        <v>IT</v>
      </c>
      <c r="C10257" s="8" t="s">
        <v>44</v>
      </c>
      <c r="D10257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257" s="10" t="str">
        <f>HYPERLINK("https://otsuka-europe-crm.veevavault.com/ui/#object/sent_email__v/VBL00000002U493", "SE-001436381")</f>
        <v>SE-001436381</v>
      </c>
      <c r="F10257" s="11"/>
      <c r="G10257" s="12">
        <v>0</v>
      </c>
      <c r="H10257" s="12">
        <v>0</v>
      </c>
      <c r="I10257" s="12">
        <v>0</v>
      </c>
      <c r="J10257" s="11"/>
      <c r="K10257" s="12">
        <v>0</v>
      </c>
      <c r="L10257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257" s="10" t="str">
        <f>HYPERLINK("mailto:giada.camassa@outsuka.it", "giada.camassa@outsuka.it")</f>
        <v>giada.camassa@outsuka.it</v>
      </c>
      <c r="N10257" s="13">
        <v>46190.338865740741</v>
      </c>
      <c r="O10257" s="14" t="str">
        <f>HYPERLINK("https://otsuka-europe-crm.veevavault.com/ui/#object/email_activity__v/V8C00000003X649", "EN-002097982")</f>
        <v>EN-002097982</v>
      </c>
    </row>
    <row r="10258" spans="1:15" ht="16" x14ac:dyDescent="0.2">
      <c r="A10258" s="17" t="str">
        <f>HYPERLINK("https://otsuka-europe-crm.veevavault.com/ui/#object/account__v/V4TZ06G6O71SCHF", "ANDREA STUCCHI")</f>
        <v>ANDREA STUCCHI</v>
      </c>
      <c r="B10258" s="17" t="str">
        <f>HYPERLINK("https://otsuka-europe-crm.veevavault.com/ui/#object/vcountry__v/VENZ000004SONFQ", "IT")</f>
        <v>IT</v>
      </c>
      <c r="C10258" s="20" t="s">
        <v>44</v>
      </c>
      <c r="D10258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258" s="22" t="str">
        <f>HYPERLINK("https://otsuka-europe-crm.veevavault.com/ui/#object/sent_email__v/VBL00000002U494", "SE-001436382")</f>
        <v>SE-001436382</v>
      </c>
      <c r="F10258" s="23">
        <v>46190.339155092595</v>
      </c>
      <c r="G10258" s="24">
        <v>1</v>
      </c>
      <c r="H10258" s="24">
        <v>1</v>
      </c>
      <c r="I10258" s="24">
        <v>0</v>
      </c>
      <c r="J10258" s="25"/>
      <c r="K10258" s="24">
        <v>0</v>
      </c>
      <c r="L10258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258" s="22" t="str">
        <f>HYPERLINK("mailto:giada.camassa@outsuka.it", "giada.camassa@outsuka.it")</f>
        <v>giada.camassa@outsuka.it</v>
      </c>
      <c r="N10258" s="23">
        <v>46190.339016203703</v>
      </c>
      <c r="O10258" s="14" t="str">
        <f>HYPERLINK("https://otsuka-europe-crm.veevavault.com/ui/#object/email_activity__v/V8C00000003W656", "EN-002098293")</f>
        <v>EN-002098293</v>
      </c>
    </row>
    <row r="10259" spans="1:15" ht="16" x14ac:dyDescent="0.2">
      <c r="A10259" s="18"/>
      <c r="B10259" s="18"/>
      <c r="C10259" s="18"/>
      <c r="D10259" s="18"/>
      <c r="E10259" s="18"/>
      <c r="F10259" s="18"/>
      <c r="G10259" s="18"/>
      <c r="H10259" s="18"/>
      <c r="I10259" s="18"/>
      <c r="J10259" s="18"/>
      <c r="K10259" s="18"/>
      <c r="L10259" s="18"/>
      <c r="M10259" s="18"/>
      <c r="N10259" s="18"/>
      <c r="O10259" s="14" t="str">
        <f>HYPERLINK("https://otsuka-europe-crm.veevavault.com/ui/#object/email_activity__v/V8C00000003X654", "EN-002097988")</f>
        <v>EN-002097988</v>
      </c>
    </row>
    <row r="10260" spans="1:15" ht="16" x14ac:dyDescent="0.2">
      <c r="A10260" s="19"/>
      <c r="B10260" s="19"/>
      <c r="C10260" s="19"/>
      <c r="D10260" s="19"/>
      <c r="E10260" s="19"/>
      <c r="F10260" s="19"/>
      <c r="G10260" s="19"/>
      <c r="H10260" s="19"/>
      <c r="I10260" s="19"/>
      <c r="J10260" s="19"/>
      <c r="K10260" s="19"/>
      <c r="L10260" s="19"/>
      <c r="M10260" s="19"/>
      <c r="N10260" s="19"/>
      <c r="O10260" s="14" t="str">
        <f>HYPERLINK("https://otsuka-europe-crm.veevavault.com/ui/#object/email_activity__v/V8C00000003X672", "EN-002098013")</f>
        <v>EN-002098013</v>
      </c>
    </row>
    <row r="10261" spans="1:15" ht="64" x14ac:dyDescent="0.2">
      <c r="A10261" s="7" t="str">
        <f>HYPERLINK("https://otsuka-europe-crm.veevavault.com/ui/#object/account__v/V4TZ06G6O71SAJ1", "ANGELO FERRANTELLI")</f>
        <v>ANGELO FERRANTELLI</v>
      </c>
      <c r="B10261" s="7" t="str">
        <f t="shared" ref="B10261:B10267" si="762">HYPERLINK("https://otsuka-europe-crm.veevavault.com/ui/#object/vcountry__v/VENZ000004SONFQ", "IT")</f>
        <v>IT</v>
      </c>
      <c r="C10261" s="8" t="s">
        <v>44</v>
      </c>
      <c r="D10261" s="9" t="str">
        <f t="shared" ref="D10261:D10267" si="763">HYPERLINK("https://otsuka-europe-crm.veevavault.com/ui/#object/approved_document__v/V5O00000000G061", "AE - AGGIORNAMENTI SEZIONE APPROFONDIMENTI NEFRO IT-NPR-2500150")</f>
        <v>AE - AGGIORNAMENTI SEZIONE APPROFONDIMENTI NEFRO IT-NPR-2500150</v>
      </c>
      <c r="E10261" s="10" t="str">
        <f>HYPERLINK("https://otsuka-europe-crm.veevavault.com/ui/#object/sent_email__v/VBL00000002U495", "SE-001436383")</f>
        <v>SE-001436383</v>
      </c>
      <c r="F10261" s="11"/>
      <c r="G10261" s="12">
        <v>0</v>
      </c>
      <c r="H10261" s="12">
        <v>0</v>
      </c>
      <c r="I10261" s="12">
        <v>0</v>
      </c>
      <c r="J10261" s="11"/>
      <c r="K10261" s="12">
        <v>0</v>
      </c>
      <c r="L10261" s="10" t="str">
        <f t="shared" ref="L10261:L10267" si="764">HYPERLINK("https://otsuka-europe-crm.veevavault.com/ui/#object/approved_document__v/V5O00000000G061", "AE - AGGIORNAMENTI SEZIONE APPROFONDIMENTI NEFRO IT-NPR-2500150")</f>
        <v>AE - AGGIORNAMENTI SEZIONE APPROFONDIMENTI NEFRO IT-NPR-2500150</v>
      </c>
      <c r="M10261" s="10" t="str">
        <f t="shared" ref="M10261:M10267" si="765">HYPERLINK("mailto:giada.camassa@outsuka.it", "giada.camassa@outsuka.it")</f>
        <v>giada.camassa@outsuka.it</v>
      </c>
      <c r="N10261" s="13">
        <v>46190.339016203703</v>
      </c>
      <c r="O10261" s="14" t="str">
        <f>HYPERLINK("https://otsuka-europe-crm.veevavault.com/ui/#object/email_activity__v/V8C00000003X661", "EN-002098002")</f>
        <v>EN-002098002</v>
      </c>
    </row>
    <row r="10262" spans="1:15" ht="64" x14ac:dyDescent="0.2">
      <c r="A10262" s="7" t="str">
        <f>HYPERLINK("https://otsuka-europe-crm.veevavault.com/ui/#object/account__v/V4TZ06G6O71SA3Z", "ANNA BASSO")</f>
        <v>ANNA BASSO</v>
      </c>
      <c r="B10262" s="7" t="str">
        <f t="shared" si="762"/>
        <v>IT</v>
      </c>
      <c r="C10262" s="8" t="s">
        <v>44</v>
      </c>
      <c r="D10262" s="9" t="str">
        <f t="shared" si="763"/>
        <v>AE - AGGIORNAMENTI SEZIONE APPROFONDIMENTI NEFRO IT-NPR-2500150</v>
      </c>
      <c r="E10262" s="10" t="str">
        <f>HYPERLINK("https://otsuka-europe-crm.veevavault.com/ui/#object/sent_email__v/VBL00000002U496", "SE-001436384")</f>
        <v>SE-001436384</v>
      </c>
      <c r="F10262" s="11"/>
      <c r="G10262" s="12">
        <v>0</v>
      </c>
      <c r="H10262" s="12">
        <v>0</v>
      </c>
      <c r="I10262" s="12">
        <v>0</v>
      </c>
      <c r="J10262" s="11"/>
      <c r="K10262" s="12">
        <v>0</v>
      </c>
      <c r="L10262" s="10" t="str">
        <f t="shared" si="764"/>
        <v>AE - AGGIORNAMENTI SEZIONE APPROFONDIMENTI NEFRO IT-NPR-2500150</v>
      </c>
      <c r="M10262" s="10" t="str">
        <f t="shared" si="765"/>
        <v>giada.camassa@outsuka.it</v>
      </c>
      <c r="N10262" s="13">
        <v>46190.339872685188</v>
      </c>
      <c r="O10262" s="14" t="str">
        <f>HYPERLINK("https://otsuka-europe-crm.veevavault.com/ui/#object/email_activity__v/V8C00000003X753", "EN-002098151")</f>
        <v>EN-002098151</v>
      </c>
    </row>
    <row r="10263" spans="1:15" ht="64" x14ac:dyDescent="0.2">
      <c r="A10263" s="7" t="str">
        <f>HYPERLINK("https://otsuka-europe-crm.veevavault.com/ui/#object/account__v/V4TZ025E87DYVC2", "ANNA CLEMENTI")</f>
        <v>ANNA CLEMENTI</v>
      </c>
      <c r="B10263" s="7" t="str">
        <f t="shared" si="762"/>
        <v>IT</v>
      </c>
      <c r="C10263" s="8" t="s">
        <v>44</v>
      </c>
      <c r="D10263" s="9" t="str">
        <f t="shared" si="763"/>
        <v>AE - AGGIORNAMENTI SEZIONE APPROFONDIMENTI NEFRO IT-NPR-2500150</v>
      </c>
      <c r="E10263" s="10" t="str">
        <f>HYPERLINK("https://otsuka-europe-crm.veevavault.com/ui/#object/sent_email__v/VBL00000002U497", "SE-001436385")</f>
        <v>SE-001436385</v>
      </c>
      <c r="F10263" s="11"/>
      <c r="G10263" s="12">
        <v>0</v>
      </c>
      <c r="H10263" s="12">
        <v>0</v>
      </c>
      <c r="I10263" s="12">
        <v>0</v>
      </c>
      <c r="J10263" s="11"/>
      <c r="K10263" s="12">
        <v>0</v>
      </c>
      <c r="L10263" s="10" t="str">
        <f t="shared" si="764"/>
        <v>AE - AGGIORNAMENTI SEZIONE APPROFONDIMENTI NEFRO IT-NPR-2500150</v>
      </c>
      <c r="M10263" s="10" t="str">
        <f t="shared" si="765"/>
        <v>giada.camassa@outsuka.it</v>
      </c>
      <c r="N10263" s="13">
        <v>46190.339791666665</v>
      </c>
      <c r="O10263" s="14" t="str">
        <f>HYPERLINK("https://otsuka-europe-crm.veevavault.com/ui/#object/email_activity__v/V8C00000003W595", "EN-002098160")</f>
        <v>EN-002098160</v>
      </c>
    </row>
    <row r="10264" spans="1:15" ht="64" x14ac:dyDescent="0.2">
      <c r="A10264" s="7" t="str">
        <f>HYPERLINK("https://otsuka-europe-crm.veevavault.com/ui/#object/account__v/V4TZ025E84QIXQL", "ANNALISA ZUCCHELLI")</f>
        <v>ANNALISA ZUCCHELLI</v>
      </c>
      <c r="B10264" s="7" t="str">
        <f t="shared" si="762"/>
        <v>IT</v>
      </c>
      <c r="C10264" s="8" t="s">
        <v>44</v>
      </c>
      <c r="D10264" s="9" t="str">
        <f t="shared" si="763"/>
        <v>AE - AGGIORNAMENTI SEZIONE APPROFONDIMENTI NEFRO IT-NPR-2500150</v>
      </c>
      <c r="E10264" s="10" t="str">
        <f>HYPERLINK("https://otsuka-europe-crm.veevavault.com/ui/#object/sent_email__v/VBL00000002U499", "SE-001436387")</f>
        <v>SE-001436387</v>
      </c>
      <c r="F10264" s="11"/>
      <c r="G10264" s="12">
        <v>0</v>
      </c>
      <c r="H10264" s="12">
        <v>0</v>
      </c>
      <c r="I10264" s="12">
        <v>0</v>
      </c>
      <c r="J10264" s="11"/>
      <c r="K10264" s="12">
        <v>0</v>
      </c>
      <c r="L10264" s="10" t="str">
        <f t="shared" si="764"/>
        <v>AE - AGGIORNAMENTI SEZIONE APPROFONDIMENTI NEFRO IT-NPR-2500150</v>
      </c>
      <c r="M10264" s="10" t="str">
        <f t="shared" si="765"/>
        <v>giada.camassa@outsuka.it</v>
      </c>
      <c r="N10264" s="13">
        <v>46190.339074074072</v>
      </c>
      <c r="O10264" s="14" t="str">
        <f>HYPERLINK("https://otsuka-europe-crm.veevavault.com/ui/#object/email_activity__v/V8C00000003W534", "EN-002098022")</f>
        <v>EN-002098022</v>
      </c>
    </row>
    <row r="10265" spans="1:15" ht="64" x14ac:dyDescent="0.2">
      <c r="A10265" s="7" t="str">
        <f>HYPERLINK("https://otsuka-europe-crm.veevavault.com/ui/#object/account__v/V4TZ06G6O71SB7D", "ANTONIETTA LA VERDE")</f>
        <v>ANTONIETTA LA VERDE</v>
      </c>
      <c r="B10265" s="7" t="str">
        <f t="shared" si="762"/>
        <v>IT</v>
      </c>
      <c r="C10265" s="8" t="s">
        <v>44</v>
      </c>
      <c r="D10265" s="9" t="str">
        <f t="shared" si="763"/>
        <v>AE - AGGIORNAMENTI SEZIONE APPROFONDIMENTI NEFRO IT-NPR-2500150</v>
      </c>
      <c r="E10265" s="10" t="str">
        <f>HYPERLINK("https://otsuka-europe-crm.veevavault.com/ui/#object/sent_email__v/VBL00000002U500", "SE-001436388")</f>
        <v>SE-001436388</v>
      </c>
      <c r="F10265" s="11"/>
      <c r="G10265" s="12">
        <v>0</v>
      </c>
      <c r="H10265" s="12">
        <v>0</v>
      </c>
      <c r="I10265" s="12">
        <v>0</v>
      </c>
      <c r="J10265" s="11"/>
      <c r="K10265" s="12">
        <v>0</v>
      </c>
      <c r="L10265" s="10" t="str">
        <f t="shared" si="764"/>
        <v>AE - AGGIORNAMENTI SEZIONE APPROFONDIMENTI NEFRO IT-NPR-2500150</v>
      </c>
      <c r="M10265" s="10" t="str">
        <f t="shared" si="765"/>
        <v>giada.camassa@outsuka.it</v>
      </c>
      <c r="N10265" s="13">
        <v>46190.33792824074</v>
      </c>
      <c r="O10265" s="14" t="str">
        <f>HYPERLINK("https://otsuka-europe-crm.veevavault.com/ui/#object/email_activity__v/V8C00000003X371", "EN-002097549")</f>
        <v>EN-002097549</v>
      </c>
    </row>
    <row r="10266" spans="1:15" ht="64" x14ac:dyDescent="0.2">
      <c r="A10266" s="7" t="str">
        <f>HYPERLINK("https://otsuka-europe-crm.veevavault.com/ui/#object/account__v/V4TZ06G6O71SA3O", "ANTONIO BARILLA'")</f>
        <v>ANTONIO BARILLA'</v>
      </c>
      <c r="B10266" s="7" t="str">
        <f t="shared" si="762"/>
        <v>IT</v>
      </c>
      <c r="C10266" s="8" t="s">
        <v>44</v>
      </c>
      <c r="D10266" s="9" t="str">
        <f t="shared" si="763"/>
        <v>AE - AGGIORNAMENTI SEZIONE APPROFONDIMENTI NEFRO IT-NPR-2500150</v>
      </c>
      <c r="E10266" s="10" t="str">
        <f>HYPERLINK("https://otsuka-europe-crm.veevavault.com/ui/#object/sent_email__v/VBL00000002U501", "SE-001436389")</f>
        <v>SE-001436389</v>
      </c>
      <c r="F10266" s="11"/>
      <c r="G10266" s="12">
        <v>0</v>
      </c>
      <c r="H10266" s="12">
        <v>0</v>
      </c>
      <c r="I10266" s="12">
        <v>0</v>
      </c>
      <c r="J10266" s="11"/>
      <c r="K10266" s="12">
        <v>0</v>
      </c>
      <c r="L10266" s="10" t="str">
        <f t="shared" si="764"/>
        <v>AE - AGGIORNAMENTI SEZIONE APPROFONDIMENTI NEFRO IT-NPR-2500150</v>
      </c>
      <c r="M10266" s="10" t="str">
        <f t="shared" si="765"/>
        <v>giada.camassa@outsuka.it</v>
      </c>
      <c r="N10266" s="13">
        <v>46190.337893518517</v>
      </c>
      <c r="O10266" s="14" t="str">
        <f>HYPERLINK("https://otsuka-europe-crm.veevavault.com/ui/#object/email_activity__v/V8C00000003X472", "EN-002097671")</f>
        <v>EN-002097671</v>
      </c>
    </row>
    <row r="10267" spans="1:15" ht="16" x14ac:dyDescent="0.2">
      <c r="A10267" s="17" t="str">
        <f>HYPERLINK("https://otsuka-europe-crm.veevavault.com/ui/#object/account__v/V4TZ06G6O71SABV", "ANTONIO DE PASCALIS")</f>
        <v>ANTONIO DE PASCALIS</v>
      </c>
      <c r="B10267" s="17" t="str">
        <f t="shared" si="762"/>
        <v>IT</v>
      </c>
      <c r="C10267" s="20" t="s">
        <v>44</v>
      </c>
      <c r="D10267" s="21" t="str">
        <f t="shared" si="763"/>
        <v>AE - AGGIORNAMENTI SEZIONE APPROFONDIMENTI NEFRO IT-NPR-2500150</v>
      </c>
      <c r="E10267" s="22" t="str">
        <f>HYPERLINK("https://otsuka-europe-crm.veevavault.com/ui/#object/sent_email__v/VBL00000002U502", "SE-001436390")</f>
        <v>SE-001436390</v>
      </c>
      <c r="F10267" s="25"/>
      <c r="G10267" s="24">
        <v>0</v>
      </c>
      <c r="H10267" s="24">
        <v>0</v>
      </c>
      <c r="I10267" s="24">
        <v>0</v>
      </c>
      <c r="J10267" s="25"/>
      <c r="K10267" s="24">
        <v>0</v>
      </c>
      <c r="L10267" s="22" t="str">
        <f t="shared" si="764"/>
        <v>AE - AGGIORNAMENTI SEZIONE APPROFONDIMENTI NEFRO IT-NPR-2500150</v>
      </c>
      <c r="M10267" s="22" t="str">
        <f t="shared" si="765"/>
        <v>giada.camassa@outsuka.it</v>
      </c>
      <c r="N10267" s="23">
        <v>46190.337916666664</v>
      </c>
      <c r="O10267" s="14" t="str">
        <f>HYPERLINK("https://otsuka-europe-crm.veevavault.com/ui/#object/email_activity__v/V8C00000003W522", "EN-002097959")</f>
        <v>EN-002097959</v>
      </c>
    </row>
    <row r="10268" spans="1:15" ht="16" x14ac:dyDescent="0.2">
      <c r="A10268" s="19"/>
      <c r="B10268" s="19"/>
      <c r="C10268" s="19"/>
      <c r="D10268" s="19"/>
      <c r="E10268" s="19"/>
      <c r="F10268" s="19"/>
      <c r="G10268" s="19"/>
      <c r="H10268" s="19"/>
      <c r="I10268" s="19"/>
      <c r="J10268" s="19"/>
      <c r="K10268" s="19"/>
      <c r="L10268" s="19"/>
      <c r="M10268" s="19"/>
      <c r="N10268" s="19"/>
      <c r="O10268" s="14" t="str">
        <f>HYPERLINK("https://otsuka-europe-crm.veevavault.com/ui/#object/email_activity__v/V8C00000003X888", "EN-002098406")</f>
        <v>EN-002098406</v>
      </c>
    </row>
    <row r="10269" spans="1:15" ht="64" x14ac:dyDescent="0.2">
      <c r="A10269" s="7" t="str">
        <f>HYPERLINK("https://otsuka-europe-crm.veevavault.com/ui/#object/account__v/V4TZ06G6O71SAQY", "ANTONIO GRANATA")</f>
        <v>ANTONIO GRANATA</v>
      </c>
      <c r="B10269" s="7" t="str">
        <f>HYPERLINK("https://otsuka-europe-crm.veevavault.com/ui/#object/vcountry__v/VENZ000004SONFQ", "IT")</f>
        <v>IT</v>
      </c>
      <c r="C10269" s="8" t="s">
        <v>44</v>
      </c>
      <c r="D10269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269" s="10" t="str">
        <f>HYPERLINK("https://otsuka-europe-crm.veevavault.com/ui/#object/sent_email__v/VBL00000002U503", "SE-001436391")</f>
        <v>SE-001436391</v>
      </c>
      <c r="F10269" s="11"/>
      <c r="G10269" s="12">
        <v>0</v>
      </c>
      <c r="H10269" s="12">
        <v>0</v>
      </c>
      <c r="I10269" s="12">
        <v>0</v>
      </c>
      <c r="J10269" s="11"/>
      <c r="K10269" s="12">
        <v>0</v>
      </c>
      <c r="L10269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269" s="10" t="str">
        <f>HYPERLINK("mailto:giada.camassa@outsuka.it", "giada.camassa@outsuka.it")</f>
        <v>giada.camassa@outsuka.it</v>
      </c>
      <c r="N10269" s="13">
        <v>46190.337870370371</v>
      </c>
      <c r="O10269" s="14" t="str">
        <f>HYPERLINK("https://otsuka-europe-crm.veevavault.com/ui/#object/email_activity__v/V8C00000003W451", "EN-002097774")</f>
        <v>EN-002097774</v>
      </c>
    </row>
    <row r="10270" spans="1:15" ht="16" x14ac:dyDescent="0.2">
      <c r="A10270" s="17" t="str">
        <f>HYPERLINK("https://otsuka-europe-crm.veevavault.com/ui/#object/account__v/V4TZ06G6O71SBXW", "ANTONIO PISANI")</f>
        <v>ANTONIO PISANI</v>
      </c>
      <c r="B10270" s="17" t="str">
        <f>HYPERLINK("https://otsuka-europe-crm.veevavault.com/ui/#object/vcountry__v/VENZ000004SONFQ", "IT")</f>
        <v>IT</v>
      </c>
      <c r="C10270" s="20" t="s">
        <v>44</v>
      </c>
      <c r="D10270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270" s="22" t="str">
        <f>HYPERLINK("https://otsuka-europe-crm.veevavault.com/ui/#object/sent_email__v/VBL00000002U504", "SE-001436392")</f>
        <v>SE-001436392</v>
      </c>
      <c r="F10270" s="23">
        <v>46190.340057870373</v>
      </c>
      <c r="G10270" s="24">
        <v>1</v>
      </c>
      <c r="H10270" s="24">
        <v>1</v>
      </c>
      <c r="I10270" s="24">
        <v>0</v>
      </c>
      <c r="J10270" s="25"/>
      <c r="K10270" s="24">
        <v>0</v>
      </c>
      <c r="L10270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270" s="22" t="str">
        <f>HYPERLINK("mailto:giada.camassa@outsuka.it", "giada.camassa@outsuka.it")</f>
        <v>giada.camassa@outsuka.it</v>
      </c>
      <c r="N10270" s="23">
        <v>46190.339699074073</v>
      </c>
      <c r="O10270" s="14" t="str">
        <f>HYPERLINK("https://otsuka-europe-crm.veevavault.com/ui/#object/email_activity__v/V8C00000003W579", "EN-002098118")</f>
        <v>EN-002098118</v>
      </c>
    </row>
    <row r="10271" spans="1:15" ht="16" x14ac:dyDescent="0.2">
      <c r="A10271" s="19"/>
      <c r="B10271" s="19"/>
      <c r="C10271" s="19"/>
      <c r="D10271" s="19"/>
      <c r="E10271" s="19"/>
      <c r="F10271" s="19"/>
      <c r="G10271" s="19"/>
      <c r="H10271" s="19"/>
      <c r="I10271" s="19"/>
      <c r="J10271" s="19"/>
      <c r="K10271" s="19"/>
      <c r="L10271" s="19"/>
      <c r="M10271" s="19"/>
      <c r="N10271" s="19"/>
      <c r="O10271" s="14" t="str">
        <f>HYPERLINK("https://otsuka-europe-crm.veevavault.com/ui/#object/email_activity__v/V8C00000003X785", "EN-002098197")</f>
        <v>EN-002098197</v>
      </c>
    </row>
    <row r="10272" spans="1:15" ht="64" x14ac:dyDescent="0.2">
      <c r="A10272" s="7" t="str">
        <f>HYPERLINK("https://otsuka-europe-crm.veevavault.com/ui/#object/account__v/V4TZ025E85PPEPT", "AURORA DEL MAR PEREZ YS")</f>
        <v>AURORA DEL MAR PEREZ YS</v>
      </c>
      <c r="B10272" s="7" t="str">
        <f>HYPERLINK("https://otsuka-europe-crm.veevavault.com/ui/#object/vcountry__v/VENZ000004SONFQ", "IT")</f>
        <v>IT</v>
      </c>
      <c r="C10272" s="8" t="s">
        <v>44</v>
      </c>
      <c r="D10272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272" s="10" t="str">
        <f>HYPERLINK("https://otsuka-europe-crm.veevavault.com/ui/#object/sent_email__v/VBL00000002U505", "SE-001436393")</f>
        <v>SE-001436393</v>
      </c>
      <c r="F10272" s="11"/>
      <c r="G10272" s="12">
        <v>0</v>
      </c>
      <c r="H10272" s="12">
        <v>0</v>
      </c>
      <c r="I10272" s="12">
        <v>0</v>
      </c>
      <c r="J10272" s="11"/>
      <c r="K10272" s="12">
        <v>0</v>
      </c>
      <c r="L10272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272" s="10" t="str">
        <f>HYPERLINK("mailto:giada.camassa@outsuka.it", "giada.camassa@outsuka.it")</f>
        <v>giada.camassa@outsuka.it</v>
      </c>
      <c r="N10272" s="13">
        <v>46190.33792824074</v>
      </c>
      <c r="O10272" s="14" t="str">
        <f>HYPERLINK("https://otsuka-europe-crm.veevavault.com/ui/#object/email_activity__v/V8C00000003W422", "EN-002097706")</f>
        <v>EN-002097706</v>
      </c>
    </row>
    <row r="10273" spans="1:15" ht="64" x14ac:dyDescent="0.2">
      <c r="A10273" s="7" t="str">
        <f>HYPERLINK("https://otsuka-europe-crm.veevavault.com/ui/#object/account__v/V4TZ04ASGBU4PTE", "BARBARA INFANTE")</f>
        <v>BARBARA INFANTE</v>
      </c>
      <c r="B10273" s="7" t="str">
        <f>HYPERLINK("https://otsuka-europe-crm.veevavault.com/ui/#object/vcountry__v/VENZ000004SONFQ", "IT")</f>
        <v>IT</v>
      </c>
      <c r="C10273" s="8" t="s">
        <v>44</v>
      </c>
      <c r="D10273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273" s="10" t="str">
        <f>HYPERLINK("https://otsuka-europe-crm.veevavault.com/ui/#object/sent_email__v/VBL00000002U506", "SE-001436394")</f>
        <v>SE-001436394</v>
      </c>
      <c r="F10273" s="11"/>
      <c r="G10273" s="12">
        <v>0</v>
      </c>
      <c r="H10273" s="12">
        <v>0</v>
      </c>
      <c r="I10273" s="12">
        <v>0</v>
      </c>
      <c r="J10273" s="11"/>
      <c r="K10273" s="12">
        <v>0</v>
      </c>
      <c r="L10273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273" s="10" t="str">
        <f>HYPERLINK("mailto:giada.camassa@outsuka.it", "giada.camassa@outsuka.it")</f>
        <v>giada.camassa@outsuka.it</v>
      </c>
      <c r="N10273" s="13">
        <v>46190.337893518517</v>
      </c>
      <c r="O10273" s="14" t="str">
        <f>HYPERLINK("https://otsuka-europe-crm.veevavault.com/ui/#object/email_activity__v/V8C00000003X295", "EN-002097486")</f>
        <v>EN-002097486</v>
      </c>
    </row>
    <row r="10274" spans="1:15" ht="16" x14ac:dyDescent="0.2">
      <c r="A10274" s="17" t="str">
        <f>HYPERLINK("https://otsuka-europe-crm.veevavault.com/ui/#object/account__v/V4TZ04ASGBJTUG7", "BENEDETTA BARTOLI")</f>
        <v>BENEDETTA BARTOLI</v>
      </c>
      <c r="B10274" s="17" t="str">
        <f>HYPERLINK("https://otsuka-europe-crm.veevavault.com/ui/#object/vcountry__v/VENZ000004SONFQ", "IT")</f>
        <v>IT</v>
      </c>
      <c r="C10274" s="20" t="s">
        <v>44</v>
      </c>
      <c r="D10274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274" s="22" t="str">
        <f>HYPERLINK("https://otsuka-europe-crm.veevavault.com/ui/#object/sent_email__v/VBL00000002U507", "SE-001436395")</f>
        <v>SE-001436395</v>
      </c>
      <c r="F10274" s="23">
        <v>46190.338043981479</v>
      </c>
      <c r="G10274" s="24">
        <v>1</v>
      </c>
      <c r="H10274" s="24">
        <v>3</v>
      </c>
      <c r="I10274" s="24">
        <v>0</v>
      </c>
      <c r="J10274" s="25"/>
      <c r="K10274" s="24">
        <v>0</v>
      </c>
      <c r="L10274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274" s="22" t="str">
        <f>HYPERLINK("mailto:giada.camassa@outsuka.it", "giada.camassa@outsuka.it")</f>
        <v>giada.camassa@outsuka.it</v>
      </c>
      <c r="N10274" s="23">
        <v>46190.337870370371</v>
      </c>
      <c r="O10274" s="14" t="str">
        <f>HYPERLINK("https://otsuka-europe-crm.veevavault.com/ui/#object/email_activity__v/V8C00000003W498", "EN-002097897")</f>
        <v>EN-002097897</v>
      </c>
    </row>
    <row r="10275" spans="1:15" ht="16" x14ac:dyDescent="0.2">
      <c r="A10275" s="18"/>
      <c r="B10275" s="18"/>
      <c r="C10275" s="18"/>
      <c r="D10275" s="18"/>
      <c r="E10275" s="18"/>
      <c r="F10275" s="18"/>
      <c r="G10275" s="18"/>
      <c r="H10275" s="18"/>
      <c r="I10275" s="18"/>
      <c r="J10275" s="18"/>
      <c r="K10275" s="18"/>
      <c r="L10275" s="18"/>
      <c r="M10275" s="18"/>
      <c r="N10275" s="18"/>
      <c r="O10275" s="14" t="str">
        <f>HYPERLINK("https://otsuka-europe-crm.veevavault.com/ui/#object/email_activity__v/V8C00000003X327", "EN-002097524")</f>
        <v>EN-002097524</v>
      </c>
    </row>
    <row r="10276" spans="1:15" ht="16" x14ac:dyDescent="0.2">
      <c r="A10276" s="18"/>
      <c r="B10276" s="18"/>
      <c r="C10276" s="18"/>
      <c r="D10276" s="18"/>
      <c r="E10276" s="18"/>
      <c r="F10276" s="18"/>
      <c r="G10276" s="18"/>
      <c r="H10276" s="18"/>
      <c r="I10276" s="18"/>
      <c r="J10276" s="18"/>
      <c r="K10276" s="18"/>
      <c r="L10276" s="18"/>
      <c r="M10276" s="18"/>
      <c r="N10276" s="18"/>
      <c r="O10276" s="14" t="str">
        <f>HYPERLINK("https://otsuka-europe-crm.veevavault.com/ui/#object/email_activity__v/V8C00000003X590", "EN-002097895")</f>
        <v>EN-002097895</v>
      </c>
    </row>
    <row r="10277" spans="1:15" ht="16" x14ac:dyDescent="0.2">
      <c r="A10277" s="19"/>
      <c r="B10277" s="19"/>
      <c r="C10277" s="19"/>
      <c r="D10277" s="19"/>
      <c r="E10277" s="19"/>
      <c r="F10277" s="19"/>
      <c r="G10277" s="19"/>
      <c r="H10277" s="19"/>
      <c r="I10277" s="19"/>
      <c r="J10277" s="19"/>
      <c r="K10277" s="19"/>
      <c r="L10277" s="19"/>
      <c r="M10277" s="19"/>
      <c r="N10277" s="19"/>
      <c r="O10277" s="14" t="str">
        <f>HYPERLINK("https://otsuka-europe-crm.veevavault.com/ui/#object/email_activity__v/V8C00000003Z014", "EN-002098677")</f>
        <v>EN-002098677</v>
      </c>
    </row>
    <row r="10278" spans="1:15" ht="64" x14ac:dyDescent="0.2">
      <c r="A10278" s="7" t="str">
        <f>HYPERLINK("https://otsuka-europe-crm.veevavault.com/ui/#object/account__v/V4TZ06G6O71SBYE", "BIAGIO POLVERINO")</f>
        <v>BIAGIO POLVERINO</v>
      </c>
      <c r="B10278" s="7" t="str">
        <f>HYPERLINK("https://otsuka-europe-crm.veevavault.com/ui/#object/vcountry__v/VENZ000004SONFQ", "IT")</f>
        <v>IT</v>
      </c>
      <c r="C10278" s="8" t="s">
        <v>44</v>
      </c>
      <c r="D10278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278" s="10" t="str">
        <f>HYPERLINK("https://otsuka-europe-crm.veevavault.com/ui/#object/sent_email__v/VBL00000002U508", "SE-001436396")</f>
        <v>SE-001436396</v>
      </c>
      <c r="F10278" s="11"/>
      <c r="G10278" s="12">
        <v>0</v>
      </c>
      <c r="H10278" s="12">
        <v>0</v>
      </c>
      <c r="I10278" s="12">
        <v>0</v>
      </c>
      <c r="J10278" s="11"/>
      <c r="K10278" s="12">
        <v>0</v>
      </c>
      <c r="L10278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278" s="10" t="str">
        <f>HYPERLINK("mailto:giada.camassa@outsuka.it", "giada.camassa@outsuka.it")</f>
        <v>giada.camassa@outsuka.it</v>
      </c>
      <c r="N10278" s="13">
        <v>46190.337881944448</v>
      </c>
      <c r="O10278" s="14" t="str">
        <f>HYPERLINK("https://otsuka-europe-crm.veevavault.com/ui/#object/email_activity__v/V8C00000003X312", "EN-002097503")</f>
        <v>EN-002097503</v>
      </c>
    </row>
    <row r="10279" spans="1:15" ht="64" x14ac:dyDescent="0.2">
      <c r="A10279" s="7" t="str">
        <f>HYPERLINK("https://otsuka-europe-crm.veevavault.com/ui/#object/account__v/V4TZ04ASGC7LY92", "BRIGIDA ANNA PAOLA BREZZI")</f>
        <v>BRIGIDA ANNA PAOLA BREZZI</v>
      </c>
      <c r="B10279" s="7" t="str">
        <f>HYPERLINK("https://otsuka-europe-crm.veevavault.com/ui/#object/vcountry__v/VENZ000004SONFQ", "IT")</f>
        <v>IT</v>
      </c>
      <c r="C10279" s="8" t="s">
        <v>44</v>
      </c>
      <c r="D10279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279" s="10" t="str">
        <f>HYPERLINK("https://otsuka-europe-crm.veevavault.com/ui/#object/sent_email__v/VBL00000002U509", "SE-001436397")</f>
        <v>SE-001436397</v>
      </c>
      <c r="F10279" s="11"/>
      <c r="G10279" s="12">
        <v>0</v>
      </c>
      <c r="H10279" s="12">
        <v>0</v>
      </c>
      <c r="I10279" s="12">
        <v>0</v>
      </c>
      <c r="J10279" s="11"/>
      <c r="K10279" s="12">
        <v>0</v>
      </c>
      <c r="L10279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279" s="10" t="str">
        <f>HYPERLINK("mailto:giada.camassa@outsuka.it", "giada.camassa@outsuka.it")</f>
        <v>giada.camassa@outsuka.it</v>
      </c>
      <c r="N10279" s="13">
        <v>46190.337870370371</v>
      </c>
      <c r="O10279" s="14" t="str">
        <f>HYPERLINK("https://otsuka-europe-crm.veevavault.com/ui/#object/email_activity__v/V8C00000003X302", "EN-002097493")</f>
        <v>EN-002097493</v>
      </c>
    </row>
    <row r="10280" spans="1:15" ht="64" x14ac:dyDescent="0.2">
      <c r="A10280" s="7" t="str">
        <f>HYPERLINK("https://otsuka-europe-crm.veevavault.com/ui/#object/account__v/V4TZ025E85JJGO8", "CARLO EDOARDO RUVA")</f>
        <v>CARLO EDOARDO RUVA</v>
      </c>
      <c r="B10280" s="7" t="str">
        <f>HYPERLINK("https://otsuka-europe-crm.veevavault.com/ui/#object/vcountry__v/VENZ000004SONFQ", "IT")</f>
        <v>IT</v>
      </c>
      <c r="C10280" s="8" t="s">
        <v>44</v>
      </c>
      <c r="D10280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280" s="10" t="str">
        <f>HYPERLINK("https://otsuka-europe-crm.veevavault.com/ui/#object/sent_email__v/VBL00000002U510", "SE-001436398")</f>
        <v>SE-001436398</v>
      </c>
      <c r="F10280" s="11"/>
      <c r="G10280" s="12">
        <v>0</v>
      </c>
      <c r="H10280" s="12">
        <v>0</v>
      </c>
      <c r="I10280" s="12">
        <v>0</v>
      </c>
      <c r="J10280" s="11"/>
      <c r="K10280" s="12">
        <v>0</v>
      </c>
      <c r="L10280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280" s="10" t="str">
        <f>HYPERLINK("mailto:giada.camassa@outsuka.it", "giada.camassa@outsuka.it")</f>
        <v>giada.camassa@outsuka.it</v>
      </c>
      <c r="N10280" s="13">
        <v>46190.337824074071</v>
      </c>
      <c r="O10280" s="14" t="str">
        <f>HYPERLINK("https://otsuka-europe-crm.veevavault.com/ui/#object/email_activity__v/V8C00000003X246", "EN-002097393")</f>
        <v>EN-002097393</v>
      </c>
    </row>
    <row r="10281" spans="1:15" ht="16" x14ac:dyDescent="0.2">
      <c r="A10281" s="17" t="str">
        <f>HYPERLINK("https://otsuka-europe-crm.veevavault.com/ui/#object/account__v/V4TZ06G6O71SBES", "CARMELINA MARCANTONI")</f>
        <v>CARMELINA MARCANTONI</v>
      </c>
      <c r="B10281" s="17" t="str">
        <f>HYPERLINK("https://otsuka-europe-crm.veevavault.com/ui/#object/vcountry__v/VENZ000004SONFQ", "IT")</f>
        <v>IT</v>
      </c>
      <c r="C10281" s="20" t="s">
        <v>44</v>
      </c>
      <c r="D10281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281" s="22" t="str">
        <f>HYPERLINK("https://otsuka-europe-crm.veevavault.com/ui/#object/sent_email__v/VBL00000002U511", "SE-001436399")</f>
        <v>SE-001436399</v>
      </c>
      <c r="F10281" s="25"/>
      <c r="G10281" s="24">
        <v>0</v>
      </c>
      <c r="H10281" s="24">
        <v>0</v>
      </c>
      <c r="I10281" s="24">
        <v>0</v>
      </c>
      <c r="J10281" s="25"/>
      <c r="K10281" s="24">
        <v>0</v>
      </c>
      <c r="L10281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281" s="22" t="str">
        <f>HYPERLINK("mailto:giada.camassa@outsuka.it", "giada.camassa@outsuka.it")</f>
        <v>giada.camassa@outsuka.it</v>
      </c>
      <c r="N10281" s="23">
        <v>46190.337870370371</v>
      </c>
      <c r="O10281" s="14" t="str">
        <f>HYPERLINK("https://otsuka-europe-crm.veevavault.com/ui/#object/email_activity__v/V8C00000003X241", "EN-002097380")</f>
        <v>EN-002097380</v>
      </c>
    </row>
    <row r="10282" spans="1:15" ht="16" x14ac:dyDescent="0.2">
      <c r="A10282" s="19"/>
      <c r="B10282" s="19"/>
      <c r="C10282" s="19"/>
      <c r="D10282" s="19"/>
      <c r="E10282" s="19"/>
      <c r="F10282" s="19"/>
      <c r="G10282" s="19"/>
      <c r="H10282" s="19"/>
      <c r="I10282" s="19"/>
      <c r="J10282" s="19"/>
      <c r="K10282" s="19"/>
      <c r="L10282" s="19"/>
      <c r="M10282" s="19"/>
      <c r="N10282" s="19"/>
      <c r="O10282" s="14" t="str">
        <f>HYPERLINK("https://otsuka-europe-crm.veevavault.com/ui/#object/email_activity__v/V8C00000003Z031", "EN-002098695")</f>
        <v>EN-002098695</v>
      </c>
    </row>
    <row r="10283" spans="1:15" ht="64" x14ac:dyDescent="0.2">
      <c r="A10283" s="7" t="str">
        <f>HYPERLINK("https://otsuka-europe-crm.veevavault.com/ui/#object/account__v/V4TZ06G6O71S9E0", "CHIARA ROCCA")</f>
        <v>CHIARA ROCCA</v>
      </c>
      <c r="B10283" s="7" t="str">
        <f t="shared" ref="B10283:B10288" si="766">HYPERLINK("https://otsuka-europe-crm.veevavault.com/ui/#object/vcountry__v/VENZ000004SONFQ", "IT")</f>
        <v>IT</v>
      </c>
      <c r="C10283" s="8" t="s">
        <v>44</v>
      </c>
      <c r="D10283" s="9" t="str">
        <f t="shared" ref="D10283:D10288" si="767">HYPERLINK("https://otsuka-europe-crm.veevavault.com/ui/#object/approved_document__v/V5O00000000G061", "AE - AGGIORNAMENTI SEZIONE APPROFONDIMENTI NEFRO IT-NPR-2500150")</f>
        <v>AE - AGGIORNAMENTI SEZIONE APPROFONDIMENTI NEFRO IT-NPR-2500150</v>
      </c>
      <c r="E10283" s="10" t="str">
        <f>HYPERLINK("https://otsuka-europe-crm.veevavault.com/ui/#object/sent_email__v/VBL00000002U513", "SE-001436401")</f>
        <v>SE-001436401</v>
      </c>
      <c r="F10283" s="11"/>
      <c r="G10283" s="12">
        <v>0</v>
      </c>
      <c r="H10283" s="12">
        <v>0</v>
      </c>
      <c r="I10283" s="12">
        <v>0</v>
      </c>
      <c r="J10283" s="11"/>
      <c r="K10283" s="12">
        <v>0</v>
      </c>
      <c r="L10283" s="10" t="str">
        <f t="shared" ref="L10283:L10288" si="768">HYPERLINK("https://otsuka-europe-crm.veevavault.com/ui/#object/approved_document__v/V5O00000000G061", "AE - AGGIORNAMENTI SEZIONE APPROFONDIMENTI NEFRO IT-NPR-2500150")</f>
        <v>AE - AGGIORNAMENTI SEZIONE APPROFONDIMENTI NEFRO IT-NPR-2500150</v>
      </c>
      <c r="M10283" s="10" t="str">
        <f t="shared" ref="M10283:M10288" si="769">HYPERLINK("mailto:giada.camassa@outsuka.it", "giada.camassa@outsuka.it")</f>
        <v>giada.camassa@outsuka.it</v>
      </c>
      <c r="N10283" s="13">
        <v>46190.337893518517</v>
      </c>
      <c r="O10283" s="14" t="str">
        <f>HYPERLINK("https://otsuka-europe-crm.veevavault.com/ui/#object/email_activity__v/V8C00000003X521", "EN-002097764")</f>
        <v>EN-002097764</v>
      </c>
    </row>
    <row r="10284" spans="1:15" ht="64" x14ac:dyDescent="0.2">
      <c r="A10284" s="7" t="str">
        <f>HYPERLINK("https://otsuka-europe-crm.veevavault.com/ui/#object/account__v/V4TZ04ASGC2KJUQ", "CINZIA ZACCHEO")</f>
        <v>CINZIA ZACCHEO</v>
      </c>
      <c r="B10284" s="7" t="str">
        <f t="shared" si="766"/>
        <v>IT</v>
      </c>
      <c r="C10284" s="8" t="s">
        <v>44</v>
      </c>
      <c r="D10284" s="9" t="str">
        <f t="shared" si="767"/>
        <v>AE - AGGIORNAMENTI SEZIONE APPROFONDIMENTI NEFRO IT-NPR-2500150</v>
      </c>
      <c r="E10284" s="10" t="str">
        <f>HYPERLINK("https://otsuka-europe-crm.veevavault.com/ui/#object/sent_email__v/VBL00000002U514", "SE-001436402")</f>
        <v>SE-001436402</v>
      </c>
      <c r="F10284" s="11"/>
      <c r="G10284" s="12">
        <v>0</v>
      </c>
      <c r="H10284" s="12">
        <v>0</v>
      </c>
      <c r="I10284" s="12">
        <v>0</v>
      </c>
      <c r="J10284" s="11"/>
      <c r="K10284" s="12">
        <v>0</v>
      </c>
      <c r="L10284" s="10" t="str">
        <f t="shared" si="768"/>
        <v>AE - AGGIORNAMENTI SEZIONE APPROFONDIMENTI NEFRO IT-NPR-2500150</v>
      </c>
      <c r="M10284" s="10" t="str">
        <f t="shared" si="769"/>
        <v>giada.camassa@outsuka.it</v>
      </c>
      <c r="N10284" s="13">
        <v>46190.33792824074</v>
      </c>
      <c r="O10284" s="14" t="str">
        <f>HYPERLINK("https://otsuka-europe-crm.veevavault.com/ui/#object/email_activity__v/V8C00000003X390", "EN-002097585")</f>
        <v>EN-002097585</v>
      </c>
    </row>
    <row r="10285" spans="1:15" ht="64" x14ac:dyDescent="0.2">
      <c r="A10285" s="7" t="str">
        <f>HYPERLINK("https://otsuka-europe-crm.veevavault.com/ui/#object/account__v/V4TZ06G6O71SBMG", "CLAUDIO MUSETTI")</f>
        <v>CLAUDIO MUSETTI</v>
      </c>
      <c r="B10285" s="7" t="str">
        <f t="shared" si="766"/>
        <v>IT</v>
      </c>
      <c r="C10285" s="8" t="s">
        <v>44</v>
      </c>
      <c r="D10285" s="9" t="str">
        <f t="shared" si="767"/>
        <v>AE - AGGIORNAMENTI SEZIONE APPROFONDIMENTI NEFRO IT-NPR-2500150</v>
      </c>
      <c r="E10285" s="10" t="str">
        <f>HYPERLINK("https://otsuka-europe-crm.veevavault.com/ui/#object/sent_email__v/VBL00000002U515", "SE-001436403")</f>
        <v>SE-001436403</v>
      </c>
      <c r="F10285" s="11"/>
      <c r="G10285" s="12">
        <v>0</v>
      </c>
      <c r="H10285" s="12">
        <v>0</v>
      </c>
      <c r="I10285" s="12">
        <v>0</v>
      </c>
      <c r="J10285" s="11"/>
      <c r="K10285" s="12">
        <v>0</v>
      </c>
      <c r="L10285" s="10" t="str">
        <f t="shared" si="768"/>
        <v>AE - AGGIORNAMENTI SEZIONE APPROFONDIMENTI NEFRO IT-NPR-2500150</v>
      </c>
      <c r="M10285" s="10" t="str">
        <f t="shared" si="769"/>
        <v>giada.camassa@outsuka.it</v>
      </c>
      <c r="N10285" s="13">
        <v>46190.33792824074</v>
      </c>
      <c r="O10285" s="14" t="str">
        <f>HYPERLINK("https://otsuka-europe-crm.veevavault.com/ui/#object/email_activity__v/V8C00000003X449", "EN-002097663")</f>
        <v>EN-002097663</v>
      </c>
    </row>
    <row r="10286" spans="1:15" ht="64" x14ac:dyDescent="0.2">
      <c r="A10286" s="7" t="str">
        <f>HYPERLINK("https://otsuka-europe-crm.veevavault.com/ui/#object/account__v/V4TZ06G6O71SBZN", "CLELIA PROCIDA")</f>
        <v>CLELIA PROCIDA</v>
      </c>
      <c r="B10286" s="7" t="str">
        <f t="shared" si="766"/>
        <v>IT</v>
      </c>
      <c r="C10286" s="8" t="s">
        <v>44</v>
      </c>
      <c r="D10286" s="9" t="str">
        <f t="shared" si="767"/>
        <v>AE - AGGIORNAMENTI SEZIONE APPROFONDIMENTI NEFRO IT-NPR-2500150</v>
      </c>
      <c r="E10286" s="10" t="str">
        <f>HYPERLINK("https://otsuka-europe-crm.veevavault.com/ui/#object/sent_email__v/VBL00000002U516", "SE-001436404")</f>
        <v>SE-001436404</v>
      </c>
      <c r="F10286" s="11"/>
      <c r="G10286" s="12">
        <v>0</v>
      </c>
      <c r="H10286" s="12">
        <v>0</v>
      </c>
      <c r="I10286" s="12">
        <v>0</v>
      </c>
      <c r="J10286" s="11"/>
      <c r="K10286" s="12">
        <v>0</v>
      </c>
      <c r="L10286" s="10" t="str">
        <f t="shared" si="768"/>
        <v>AE - AGGIORNAMENTI SEZIONE APPROFONDIMENTI NEFRO IT-NPR-2500150</v>
      </c>
      <c r="M10286" s="10" t="str">
        <f t="shared" si="769"/>
        <v>giada.camassa@outsuka.it</v>
      </c>
      <c r="N10286" s="13">
        <v>46190.337893518517</v>
      </c>
      <c r="O10286" s="14" t="str">
        <f>HYPERLINK("https://otsuka-europe-crm.veevavault.com/ui/#object/email_activity__v/V8C00000003X687", "EN-002098041")</f>
        <v>EN-002098041</v>
      </c>
    </row>
    <row r="10287" spans="1:15" ht="64" x14ac:dyDescent="0.2">
      <c r="A10287" s="7" t="str">
        <f>HYPERLINK("https://otsuka-europe-crm.veevavault.com/ui/#object/account__v/V4TZ04ASGBNWPRX", "CONCETTA GANGEMI")</f>
        <v>CONCETTA GANGEMI</v>
      </c>
      <c r="B10287" s="7" t="str">
        <f t="shared" si="766"/>
        <v>IT</v>
      </c>
      <c r="C10287" s="8" t="s">
        <v>44</v>
      </c>
      <c r="D10287" s="9" t="str">
        <f t="shared" si="767"/>
        <v>AE - AGGIORNAMENTI SEZIONE APPROFONDIMENTI NEFRO IT-NPR-2500150</v>
      </c>
      <c r="E10287" s="10" t="str">
        <f>HYPERLINK("https://otsuka-europe-crm.veevavault.com/ui/#object/sent_email__v/VBL00000002U517", "SE-001436405")</f>
        <v>SE-001436405</v>
      </c>
      <c r="F10287" s="11"/>
      <c r="G10287" s="12">
        <v>0</v>
      </c>
      <c r="H10287" s="12">
        <v>0</v>
      </c>
      <c r="I10287" s="12">
        <v>0</v>
      </c>
      <c r="J10287" s="11"/>
      <c r="K10287" s="12">
        <v>0</v>
      </c>
      <c r="L10287" s="10" t="str">
        <f t="shared" si="768"/>
        <v>AE - AGGIORNAMENTI SEZIONE APPROFONDIMENTI NEFRO IT-NPR-2500150</v>
      </c>
      <c r="M10287" s="10" t="str">
        <f t="shared" si="769"/>
        <v>giada.camassa@outsuka.it</v>
      </c>
      <c r="N10287" s="13">
        <v>46190.339224537034</v>
      </c>
      <c r="O10287" s="14" t="str">
        <f>HYPERLINK("https://otsuka-europe-crm.veevavault.com/ui/#object/email_activity__v/V8C00000003W557", "EN-002098074")</f>
        <v>EN-002098074</v>
      </c>
    </row>
    <row r="10288" spans="1:15" ht="16" x14ac:dyDescent="0.2">
      <c r="A10288" s="17" t="str">
        <f>HYPERLINK("https://otsuka-europe-crm.veevavault.com/ui/#object/account__v/V4TZ06G6O71S9I7", "CONCETTO SESSA")</f>
        <v>CONCETTO SESSA</v>
      </c>
      <c r="B10288" s="17" t="str">
        <f t="shared" si="766"/>
        <v>IT</v>
      </c>
      <c r="C10288" s="20" t="s">
        <v>44</v>
      </c>
      <c r="D10288" s="21" t="str">
        <f t="shared" si="767"/>
        <v>AE - AGGIORNAMENTI SEZIONE APPROFONDIMENTI NEFRO IT-NPR-2500150</v>
      </c>
      <c r="E10288" s="22" t="str">
        <f>HYPERLINK("https://otsuka-europe-crm.veevavault.com/ui/#object/sent_email__v/VBL00000002U518", "SE-001436406")</f>
        <v>SE-001436406</v>
      </c>
      <c r="F10288" s="23">
        <v>46190.339861111112</v>
      </c>
      <c r="G10288" s="24">
        <v>1</v>
      </c>
      <c r="H10288" s="24">
        <v>1</v>
      </c>
      <c r="I10288" s="24">
        <v>0</v>
      </c>
      <c r="J10288" s="25"/>
      <c r="K10288" s="24">
        <v>0</v>
      </c>
      <c r="L10288" s="22" t="str">
        <f t="shared" si="768"/>
        <v>AE - AGGIORNAMENTI SEZIONE APPROFONDIMENTI NEFRO IT-NPR-2500150</v>
      </c>
      <c r="M10288" s="22" t="str">
        <f t="shared" si="769"/>
        <v>giada.camassa@outsuka.it</v>
      </c>
      <c r="N10288" s="23">
        <v>46190.339699074073</v>
      </c>
      <c r="O10288" s="14" t="str">
        <f>HYPERLINK("https://otsuka-europe-crm.veevavault.com/ui/#object/email_activity__v/V8C00000003X735", "EN-002098133")</f>
        <v>EN-002098133</v>
      </c>
    </row>
    <row r="10289" spans="1:15" ht="16" x14ac:dyDescent="0.2">
      <c r="A10289" s="19"/>
      <c r="B10289" s="19"/>
      <c r="C10289" s="19"/>
      <c r="D10289" s="19"/>
      <c r="E10289" s="19"/>
      <c r="F10289" s="19"/>
      <c r="G10289" s="19"/>
      <c r="H10289" s="19"/>
      <c r="I10289" s="19"/>
      <c r="J10289" s="19"/>
      <c r="K10289" s="19"/>
      <c r="L10289" s="19"/>
      <c r="M10289" s="19"/>
      <c r="N10289" s="19"/>
      <c r="O10289" s="14" t="str">
        <f>HYPERLINK("https://otsuka-europe-crm.veevavault.com/ui/#object/email_activity__v/V8C00000003X757", "EN-002098157")</f>
        <v>EN-002098157</v>
      </c>
    </row>
    <row r="10290" spans="1:15" ht="64" x14ac:dyDescent="0.2">
      <c r="A10290" s="7" t="str">
        <f>HYPERLINK("https://otsuka-europe-crm.veevavault.com/ui/#object/account__v/V4TZ04ASG9AWFNR", "CORRADO MURTAS")</f>
        <v>CORRADO MURTAS</v>
      </c>
      <c r="B10290" s="7" t="str">
        <f t="shared" ref="B10290:B10297" si="770">HYPERLINK("https://otsuka-europe-crm.veevavault.com/ui/#object/vcountry__v/VENZ000004SONFQ", "IT")</f>
        <v>IT</v>
      </c>
      <c r="C10290" s="8" t="s">
        <v>44</v>
      </c>
      <c r="D10290" s="9" t="str">
        <f t="shared" ref="D10290:D10297" si="771">HYPERLINK("https://otsuka-europe-crm.veevavault.com/ui/#object/approved_document__v/V5O00000000G061", "AE - AGGIORNAMENTI SEZIONE APPROFONDIMENTI NEFRO IT-NPR-2500150")</f>
        <v>AE - AGGIORNAMENTI SEZIONE APPROFONDIMENTI NEFRO IT-NPR-2500150</v>
      </c>
      <c r="E10290" s="10" t="str">
        <f>HYPERLINK("https://otsuka-europe-crm.veevavault.com/ui/#object/sent_email__v/VBL00000002U519", "SE-001436407")</f>
        <v>SE-001436407</v>
      </c>
      <c r="F10290" s="11"/>
      <c r="G10290" s="12">
        <v>0</v>
      </c>
      <c r="H10290" s="12">
        <v>0</v>
      </c>
      <c r="I10290" s="12">
        <v>0</v>
      </c>
      <c r="J10290" s="11"/>
      <c r="K10290" s="12">
        <v>0</v>
      </c>
      <c r="L10290" s="10" t="str">
        <f t="shared" ref="L10290:L10297" si="772">HYPERLINK("https://otsuka-europe-crm.veevavault.com/ui/#object/approved_document__v/V5O00000000G061", "AE - AGGIORNAMENTI SEZIONE APPROFONDIMENTI NEFRO IT-NPR-2500150")</f>
        <v>AE - AGGIORNAMENTI SEZIONE APPROFONDIMENTI NEFRO IT-NPR-2500150</v>
      </c>
      <c r="M10290" s="10" t="str">
        <f t="shared" ref="M10290:M10297" si="773">HYPERLINK("mailto:giada.camassa@outsuka.it", "giada.camassa@outsuka.it")</f>
        <v>giada.camassa@outsuka.it</v>
      </c>
      <c r="N10290" s="13">
        <v>46190.337835648148</v>
      </c>
      <c r="O10290" s="14" t="str">
        <f>HYPERLINK("https://otsuka-europe-crm.veevavault.com/ui/#object/email_activity__v/V8C00000003X377", "EN-002097572")</f>
        <v>EN-002097572</v>
      </c>
    </row>
    <row r="10291" spans="1:15" ht="64" x14ac:dyDescent="0.2">
      <c r="A10291" s="7" t="str">
        <f>HYPERLINK("https://otsuka-europe-crm.veevavault.com/ui/#object/account__v/V4TZ04ASGC2H4JD", "CRISTINA MARCUCCIO")</f>
        <v>CRISTINA MARCUCCIO</v>
      </c>
      <c r="B10291" s="7" t="str">
        <f t="shared" si="770"/>
        <v>IT</v>
      </c>
      <c r="C10291" s="8" t="s">
        <v>44</v>
      </c>
      <c r="D10291" s="9" t="str">
        <f t="shared" si="771"/>
        <v>AE - AGGIORNAMENTI SEZIONE APPROFONDIMENTI NEFRO IT-NPR-2500150</v>
      </c>
      <c r="E10291" s="10" t="str">
        <f>HYPERLINK("https://otsuka-europe-crm.veevavault.com/ui/#object/sent_email__v/VBL00000002U520", "SE-001436408")</f>
        <v>SE-001436408</v>
      </c>
      <c r="F10291" s="11"/>
      <c r="G10291" s="12">
        <v>0</v>
      </c>
      <c r="H10291" s="12">
        <v>0</v>
      </c>
      <c r="I10291" s="12">
        <v>0</v>
      </c>
      <c r="J10291" s="11"/>
      <c r="K10291" s="12">
        <v>0</v>
      </c>
      <c r="L10291" s="10" t="str">
        <f t="shared" si="772"/>
        <v>AE - AGGIORNAMENTI SEZIONE APPROFONDIMENTI NEFRO IT-NPR-2500150</v>
      </c>
      <c r="M10291" s="10" t="str">
        <f t="shared" si="773"/>
        <v>giada.camassa@outsuka.it</v>
      </c>
      <c r="N10291" s="13">
        <v>46190.337916666664</v>
      </c>
      <c r="O10291" s="14" t="str">
        <f>HYPERLINK("https://otsuka-europe-crm.veevavault.com/ui/#object/email_activity__v/V8C00000003X480", "EN-002097679")</f>
        <v>EN-002097679</v>
      </c>
    </row>
    <row r="10292" spans="1:15" ht="64" x14ac:dyDescent="0.2">
      <c r="A10292" s="7" t="str">
        <f>HYPERLINK("https://otsuka-europe-crm.veevavault.com/ui/#object/account__v/V4TZ06G6O71S9DA", "DARIO GALEANO")</f>
        <v>DARIO GALEANO</v>
      </c>
      <c r="B10292" s="7" t="str">
        <f t="shared" si="770"/>
        <v>IT</v>
      </c>
      <c r="C10292" s="8" t="s">
        <v>44</v>
      </c>
      <c r="D10292" s="9" t="str">
        <f t="shared" si="771"/>
        <v>AE - AGGIORNAMENTI SEZIONE APPROFONDIMENTI NEFRO IT-NPR-2500150</v>
      </c>
      <c r="E10292" s="10" t="str">
        <f>HYPERLINK("https://otsuka-europe-crm.veevavault.com/ui/#object/sent_email__v/VBL00000002U521", "SE-001436409")</f>
        <v>SE-001436409</v>
      </c>
      <c r="F10292" s="11"/>
      <c r="G10292" s="12">
        <v>0</v>
      </c>
      <c r="H10292" s="12">
        <v>0</v>
      </c>
      <c r="I10292" s="12">
        <v>0</v>
      </c>
      <c r="J10292" s="11"/>
      <c r="K10292" s="12">
        <v>0</v>
      </c>
      <c r="L10292" s="10" t="str">
        <f t="shared" si="772"/>
        <v>AE - AGGIORNAMENTI SEZIONE APPROFONDIMENTI NEFRO IT-NPR-2500150</v>
      </c>
      <c r="M10292" s="10" t="str">
        <f t="shared" si="773"/>
        <v>giada.camassa@outsuka.it</v>
      </c>
      <c r="N10292" s="13">
        <v>46190.338900462964</v>
      </c>
      <c r="O10292" s="14" t="str">
        <f>HYPERLINK("https://otsuka-europe-crm.veevavault.com/ui/#object/email_activity__v/V8C00000003W528", "EN-002097995")</f>
        <v>EN-002097995</v>
      </c>
    </row>
    <row r="10293" spans="1:15" ht="64" x14ac:dyDescent="0.2">
      <c r="A10293" s="7" t="str">
        <f>HYPERLINK("https://otsuka-europe-crm.veevavault.com/ui/#object/account__v/V4TZ025E86EHYL3", "DARIO TROISE")</f>
        <v>DARIO TROISE</v>
      </c>
      <c r="B10293" s="7" t="str">
        <f t="shared" si="770"/>
        <v>IT</v>
      </c>
      <c r="C10293" s="8" t="s">
        <v>44</v>
      </c>
      <c r="D10293" s="9" t="str">
        <f t="shared" si="771"/>
        <v>AE - AGGIORNAMENTI SEZIONE APPROFONDIMENTI NEFRO IT-NPR-2500150</v>
      </c>
      <c r="E10293" s="10" t="str">
        <f>HYPERLINK("https://otsuka-europe-crm.veevavault.com/ui/#object/sent_email__v/VBL00000002U522", "SE-001436410")</f>
        <v>SE-001436410</v>
      </c>
      <c r="F10293" s="11"/>
      <c r="G10293" s="12">
        <v>0</v>
      </c>
      <c r="H10293" s="12">
        <v>0</v>
      </c>
      <c r="I10293" s="12">
        <v>0</v>
      </c>
      <c r="J10293" s="11"/>
      <c r="K10293" s="12">
        <v>0</v>
      </c>
      <c r="L10293" s="10" t="str">
        <f t="shared" si="772"/>
        <v>AE - AGGIORNAMENTI SEZIONE APPROFONDIMENTI NEFRO IT-NPR-2500150</v>
      </c>
      <c r="M10293" s="10" t="str">
        <f t="shared" si="773"/>
        <v>giada.camassa@outsuka.it</v>
      </c>
      <c r="N10293" s="13">
        <v>46190.337916666664</v>
      </c>
      <c r="O10293" s="14" t="str">
        <f>HYPERLINK("https://otsuka-europe-crm.veevavault.com/ui/#object/email_activity__v/V8C00000003X344", "EN-002097640")</f>
        <v>EN-002097640</v>
      </c>
    </row>
    <row r="10294" spans="1:15" ht="64" x14ac:dyDescent="0.2">
      <c r="A10294" s="7" t="str">
        <f>HYPERLINK("https://otsuka-europe-crm.veevavault.com/ui/#object/account__v/V4TZ025E831QUR2", "DAVIDE BOLIGNANO")</f>
        <v>DAVIDE BOLIGNANO</v>
      </c>
      <c r="B10294" s="7" t="str">
        <f t="shared" si="770"/>
        <v>IT</v>
      </c>
      <c r="C10294" s="8" t="s">
        <v>44</v>
      </c>
      <c r="D10294" s="9" t="str">
        <f t="shared" si="771"/>
        <v>AE - AGGIORNAMENTI SEZIONE APPROFONDIMENTI NEFRO IT-NPR-2500150</v>
      </c>
      <c r="E10294" s="10" t="str">
        <f>HYPERLINK("https://otsuka-europe-crm.veevavault.com/ui/#object/sent_email__v/VBL00000002U523", "SE-001436411")</f>
        <v>SE-001436411</v>
      </c>
      <c r="F10294" s="11"/>
      <c r="G10294" s="12">
        <v>0</v>
      </c>
      <c r="H10294" s="12">
        <v>0</v>
      </c>
      <c r="I10294" s="12">
        <v>0</v>
      </c>
      <c r="J10294" s="11"/>
      <c r="K10294" s="12">
        <v>0</v>
      </c>
      <c r="L10294" s="10" t="str">
        <f t="shared" si="772"/>
        <v>AE - AGGIORNAMENTI SEZIONE APPROFONDIMENTI NEFRO IT-NPR-2500150</v>
      </c>
      <c r="M10294" s="10" t="str">
        <f t="shared" si="773"/>
        <v>giada.camassa@outsuka.it</v>
      </c>
      <c r="N10294" s="13">
        <v>46190.337916666664</v>
      </c>
      <c r="O10294" s="14" t="str">
        <f>HYPERLINK("https://otsuka-europe-crm.veevavault.com/ui/#object/email_activity__v/V8C00000003X409", "EN-002097604")</f>
        <v>EN-002097604</v>
      </c>
    </row>
    <row r="10295" spans="1:15" ht="64" x14ac:dyDescent="0.2">
      <c r="A10295" s="7" t="str">
        <f>HYPERLINK("https://otsuka-europe-crm.veevavault.com/ui/#object/account__v/V4TZ06G6O71SCJF", "DOMENICA TARUSCIA")</f>
        <v>DOMENICA TARUSCIA</v>
      </c>
      <c r="B10295" s="7" t="str">
        <f t="shared" si="770"/>
        <v>IT</v>
      </c>
      <c r="C10295" s="8" t="s">
        <v>44</v>
      </c>
      <c r="D10295" s="9" t="str">
        <f t="shared" si="771"/>
        <v>AE - AGGIORNAMENTI SEZIONE APPROFONDIMENTI NEFRO IT-NPR-2500150</v>
      </c>
      <c r="E10295" s="10" t="str">
        <f>HYPERLINK("https://otsuka-europe-crm.veevavault.com/ui/#object/sent_email__v/VBL00000002U524", "SE-001436412")</f>
        <v>SE-001436412</v>
      </c>
      <c r="F10295" s="11"/>
      <c r="G10295" s="12">
        <v>0</v>
      </c>
      <c r="H10295" s="12">
        <v>0</v>
      </c>
      <c r="I10295" s="12">
        <v>0</v>
      </c>
      <c r="J10295" s="11"/>
      <c r="K10295" s="12">
        <v>0</v>
      </c>
      <c r="L10295" s="10" t="str">
        <f t="shared" si="772"/>
        <v>AE - AGGIORNAMENTI SEZIONE APPROFONDIMENTI NEFRO IT-NPR-2500150</v>
      </c>
      <c r="M10295" s="10" t="str">
        <f t="shared" si="773"/>
        <v>giada.camassa@outsuka.it</v>
      </c>
      <c r="N10295" s="13">
        <v>46190.337881944448</v>
      </c>
      <c r="O10295" s="14" t="str">
        <f>HYPERLINK("https://otsuka-europe-crm.veevavault.com/ui/#object/email_activity__v/V8C00000003W351", "EN-002097408")</f>
        <v>EN-002097408</v>
      </c>
    </row>
    <row r="10296" spans="1:15" ht="64" x14ac:dyDescent="0.2">
      <c r="A10296" s="7" t="str">
        <f>HYPERLINK("https://otsuka-europe-crm.veevavault.com/ui/#object/account__v/V4TZ04ASGE025PW", "DOMENICO GIANNESE")</f>
        <v>DOMENICO GIANNESE</v>
      </c>
      <c r="B10296" s="7" t="str">
        <f t="shared" si="770"/>
        <v>IT</v>
      </c>
      <c r="C10296" s="8" t="s">
        <v>44</v>
      </c>
      <c r="D10296" s="9" t="str">
        <f t="shared" si="771"/>
        <v>AE - AGGIORNAMENTI SEZIONE APPROFONDIMENTI NEFRO IT-NPR-2500150</v>
      </c>
      <c r="E10296" s="10" t="str">
        <f>HYPERLINK("https://otsuka-europe-crm.veevavault.com/ui/#object/sent_email__v/VBL00000002U525", "SE-001436413")</f>
        <v>SE-001436413</v>
      </c>
      <c r="F10296" s="11"/>
      <c r="G10296" s="12">
        <v>0</v>
      </c>
      <c r="H10296" s="12">
        <v>0</v>
      </c>
      <c r="I10296" s="12">
        <v>0</v>
      </c>
      <c r="J10296" s="11"/>
      <c r="K10296" s="12">
        <v>0</v>
      </c>
      <c r="L10296" s="10" t="str">
        <f t="shared" si="772"/>
        <v>AE - AGGIORNAMENTI SEZIONE APPROFONDIMENTI NEFRO IT-NPR-2500150</v>
      </c>
      <c r="M10296" s="10" t="str">
        <f t="shared" si="773"/>
        <v>giada.camassa@outsuka.it</v>
      </c>
      <c r="N10296" s="13">
        <v>46190.33871527778</v>
      </c>
      <c r="O10296" s="14" t="str">
        <f>HYPERLINK("https://otsuka-europe-crm.veevavault.com/ui/#object/email_activity__v/V8C00000003X647", "EN-002097980")</f>
        <v>EN-002097980</v>
      </c>
    </row>
    <row r="10297" spans="1:15" ht="16" x14ac:dyDescent="0.2">
      <c r="A10297" s="17" t="str">
        <f>HYPERLINK("https://otsuka-europe-crm.veevavault.com/ui/#object/account__v/V4TZ06G6O71SC99", "DOMENICO SANTORO")</f>
        <v>DOMENICO SANTORO</v>
      </c>
      <c r="B10297" s="17" t="str">
        <f t="shared" si="770"/>
        <v>IT</v>
      </c>
      <c r="C10297" s="20" t="s">
        <v>44</v>
      </c>
      <c r="D10297" s="21" t="str">
        <f t="shared" si="771"/>
        <v>AE - AGGIORNAMENTI SEZIONE APPROFONDIMENTI NEFRO IT-NPR-2500150</v>
      </c>
      <c r="E10297" s="22" t="str">
        <f>HYPERLINK("https://otsuka-europe-crm.veevavault.com/ui/#object/sent_email__v/VBL00000002U526", "SE-001436414")</f>
        <v>SE-001436414</v>
      </c>
      <c r="F10297" s="23">
        <v>46190.338807870372</v>
      </c>
      <c r="G10297" s="24">
        <v>1</v>
      </c>
      <c r="H10297" s="24">
        <v>1</v>
      </c>
      <c r="I10297" s="24">
        <v>0</v>
      </c>
      <c r="J10297" s="25"/>
      <c r="K10297" s="24">
        <v>0</v>
      </c>
      <c r="L10297" s="22" t="str">
        <f t="shared" si="772"/>
        <v>AE - AGGIORNAMENTI SEZIONE APPROFONDIMENTI NEFRO IT-NPR-2500150</v>
      </c>
      <c r="M10297" s="22" t="str">
        <f t="shared" si="773"/>
        <v>giada.camassa@outsuka.it</v>
      </c>
      <c r="N10297" s="23">
        <v>46190.338622685187</v>
      </c>
      <c r="O10297" s="14" t="str">
        <f>HYPERLINK("https://otsuka-europe-crm.veevavault.com/ui/#object/email_activity__v/V8C00000003W515", "EN-002097952")</f>
        <v>EN-002097952</v>
      </c>
    </row>
    <row r="10298" spans="1:15" ht="16" x14ac:dyDescent="0.2">
      <c r="A10298" s="19"/>
      <c r="B10298" s="19"/>
      <c r="C10298" s="19"/>
      <c r="D10298" s="19"/>
      <c r="E10298" s="19"/>
      <c r="F10298" s="19"/>
      <c r="G10298" s="19"/>
      <c r="H10298" s="19"/>
      <c r="I10298" s="19"/>
      <c r="J10298" s="19"/>
      <c r="K10298" s="19"/>
      <c r="L10298" s="19"/>
      <c r="M10298" s="19"/>
      <c r="N10298" s="19"/>
      <c r="O10298" s="14" t="str">
        <f>HYPERLINK("https://otsuka-europe-crm.veevavault.com/ui/#object/email_activity__v/V8C00000003X626", "EN-002097948")</f>
        <v>EN-002097948</v>
      </c>
    </row>
    <row r="10299" spans="1:15" ht="64" x14ac:dyDescent="0.2">
      <c r="A10299" s="7" t="str">
        <f>HYPERLINK("https://otsuka-europe-crm.veevavault.com/ui/#object/account__v/V4TZ025E85JSJAJ", "ELENA OLIVA")</f>
        <v>ELENA OLIVA</v>
      </c>
      <c r="B10299" s="7" t="str">
        <f>HYPERLINK("https://otsuka-europe-crm.veevavault.com/ui/#object/vcountry__v/VENZ000004SONFQ", "IT")</f>
        <v>IT</v>
      </c>
      <c r="C10299" s="8" t="s">
        <v>44</v>
      </c>
      <c r="D10299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299" s="10" t="str">
        <f>HYPERLINK("https://otsuka-europe-crm.veevavault.com/ui/#object/sent_email__v/VBL00000002U527", "SE-001436415")</f>
        <v>SE-001436415</v>
      </c>
      <c r="F10299" s="11"/>
      <c r="G10299" s="12">
        <v>0</v>
      </c>
      <c r="H10299" s="12">
        <v>0</v>
      </c>
      <c r="I10299" s="12">
        <v>0</v>
      </c>
      <c r="J10299" s="11"/>
      <c r="K10299" s="12">
        <v>0</v>
      </c>
      <c r="L10299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299" s="10" t="str">
        <f>HYPERLINK("mailto:giada.camassa@outsuka.it", "giada.camassa@outsuka.it")</f>
        <v>giada.camassa@outsuka.it</v>
      </c>
      <c r="N10299" s="13">
        <v>46190.339548611111</v>
      </c>
      <c r="O10299" s="14" t="str">
        <f>HYPERLINK("https://otsuka-europe-crm.veevavault.com/ui/#object/email_activity__v/V8C00000003W571", "EN-002098092")</f>
        <v>EN-002098092</v>
      </c>
    </row>
    <row r="10300" spans="1:15" ht="64" x14ac:dyDescent="0.2">
      <c r="A10300" s="7" t="str">
        <f>HYPERLINK("https://otsuka-europe-crm.veevavault.com/ui/#object/account__v/V4TZ06G6O71S9LQ", "ELISA BEDINA")</f>
        <v>ELISA BEDINA</v>
      </c>
      <c r="B10300" s="7" t="str">
        <f>HYPERLINK("https://otsuka-europe-crm.veevavault.com/ui/#object/vcountry__v/VENZ000004SONFQ", "IT")</f>
        <v>IT</v>
      </c>
      <c r="C10300" s="8" t="s">
        <v>44</v>
      </c>
      <c r="D10300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300" s="10" t="str">
        <f>HYPERLINK("https://otsuka-europe-crm.veevavault.com/ui/#object/sent_email__v/VBL00000002U529", "SE-001436417")</f>
        <v>SE-001436417</v>
      </c>
      <c r="F10300" s="11"/>
      <c r="G10300" s="12">
        <v>0</v>
      </c>
      <c r="H10300" s="12">
        <v>0</v>
      </c>
      <c r="I10300" s="12">
        <v>0</v>
      </c>
      <c r="J10300" s="11"/>
      <c r="K10300" s="12">
        <v>0</v>
      </c>
      <c r="L10300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300" s="10" t="str">
        <f>HYPERLINK("mailto:giada.camassa@outsuka.it", "giada.camassa@outsuka.it")</f>
        <v>giada.camassa@outsuka.it</v>
      </c>
      <c r="N10300" s="13">
        <v>46190.337858796294</v>
      </c>
      <c r="O10300" s="14" t="str">
        <f>HYPERLINK("https://otsuka-europe-crm.veevavault.com/ui/#object/email_activity__v/V8C00000003X458", "EN-002097795")</f>
        <v>EN-002097795</v>
      </c>
    </row>
    <row r="10301" spans="1:15" ht="16" x14ac:dyDescent="0.2">
      <c r="A10301" s="17" t="str">
        <f>HYPERLINK("https://otsuka-europe-crm.veevavault.com/ui/#object/account__v/V4TZ025E82XQJOY", "ELISA GIGLIO")</f>
        <v>ELISA GIGLIO</v>
      </c>
      <c r="B10301" s="17" t="str">
        <f>HYPERLINK("https://otsuka-europe-crm.veevavault.com/ui/#object/vcountry__v/VENZ000004SONFQ", "IT")</f>
        <v>IT</v>
      </c>
      <c r="C10301" s="20" t="s">
        <v>44</v>
      </c>
      <c r="D10301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301" s="22" t="str">
        <f>HYPERLINK("https://otsuka-europe-crm.veevavault.com/ui/#object/sent_email__v/VBL00000002U530", "SE-001436418")</f>
        <v>SE-001436418</v>
      </c>
      <c r="F10301" s="23">
        <v>46190.339409722219</v>
      </c>
      <c r="G10301" s="24">
        <v>1</v>
      </c>
      <c r="H10301" s="24">
        <v>1</v>
      </c>
      <c r="I10301" s="24">
        <v>0</v>
      </c>
      <c r="J10301" s="25"/>
      <c r="K10301" s="24">
        <v>0</v>
      </c>
      <c r="L10301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301" s="22" t="str">
        <f>HYPERLINK("mailto:giada.camassa@outsuka.it", "giada.camassa@outsuka.it")</f>
        <v>giada.camassa@outsuka.it</v>
      </c>
      <c r="N10301" s="23">
        <v>46190.339259259257</v>
      </c>
      <c r="O10301" s="14" t="str">
        <f>HYPERLINK("https://otsuka-europe-crm.veevavault.com/ui/#object/email_activity__v/V8C00000003W555", "EN-002098072")</f>
        <v>EN-002098072</v>
      </c>
    </row>
    <row r="10302" spans="1:15" ht="16" x14ac:dyDescent="0.2">
      <c r="A10302" s="19"/>
      <c r="B10302" s="19"/>
      <c r="C10302" s="19"/>
      <c r="D10302" s="19"/>
      <c r="E10302" s="19"/>
      <c r="F10302" s="19"/>
      <c r="G10302" s="19"/>
      <c r="H10302" s="19"/>
      <c r="I10302" s="19"/>
      <c r="J10302" s="19"/>
      <c r="K10302" s="19"/>
      <c r="L10302" s="19"/>
      <c r="M10302" s="19"/>
      <c r="N10302" s="19"/>
      <c r="O10302" s="14" t="str">
        <f>HYPERLINK("https://otsuka-europe-crm.veevavault.com/ui/#object/email_activity__v/V8C00000003X712", "EN-002098085")</f>
        <v>EN-002098085</v>
      </c>
    </row>
    <row r="10303" spans="1:15" ht="64" x14ac:dyDescent="0.2">
      <c r="A10303" s="7" t="str">
        <f>HYPERLINK("https://otsuka-europe-crm.veevavault.com/ui/#object/account__v/V4TZ06G6O71SARJ", "FABRIZIO GROSJEAN")</f>
        <v>FABRIZIO GROSJEAN</v>
      </c>
      <c r="B10303" s="7" t="str">
        <f>HYPERLINK("https://otsuka-europe-crm.veevavault.com/ui/#object/vcountry__v/VENZ000004SONFQ", "IT")</f>
        <v>IT</v>
      </c>
      <c r="C10303" s="8" t="s">
        <v>44</v>
      </c>
      <c r="D10303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303" s="10" t="str">
        <f>HYPERLINK("https://otsuka-europe-crm.veevavault.com/ui/#object/sent_email__v/VBL00000002U531", "SE-001436419")</f>
        <v>SE-001436419</v>
      </c>
      <c r="F10303" s="11"/>
      <c r="G10303" s="12">
        <v>0</v>
      </c>
      <c r="H10303" s="12">
        <v>0</v>
      </c>
      <c r="I10303" s="12">
        <v>0</v>
      </c>
      <c r="J10303" s="11"/>
      <c r="K10303" s="12">
        <v>0</v>
      </c>
      <c r="L10303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303" s="10" t="str">
        <f>HYPERLINK("mailto:giada.camassa@outsuka.it", "giada.camassa@outsuka.it")</f>
        <v>giada.camassa@outsuka.it</v>
      </c>
      <c r="N10303" s="13">
        <v>46190.337858796294</v>
      </c>
      <c r="O10303" s="14" t="str">
        <f>HYPERLINK("https://otsuka-europe-crm.veevavault.com/ui/#object/email_activity__v/V8C00000003W372", "EN-002097462")</f>
        <v>EN-002097462</v>
      </c>
    </row>
    <row r="10304" spans="1:15" ht="64" x14ac:dyDescent="0.2">
      <c r="A10304" s="7" t="str">
        <f>HYPERLINK("https://otsuka-europe-crm.veevavault.com/ui/#object/account__v/V4TZ025E8483FEB", "FAUSTA CATAPANO")</f>
        <v>FAUSTA CATAPANO</v>
      </c>
      <c r="B10304" s="7" t="str">
        <f>HYPERLINK("https://otsuka-europe-crm.veevavault.com/ui/#object/vcountry__v/VENZ000004SONFQ", "IT")</f>
        <v>IT</v>
      </c>
      <c r="C10304" s="8" t="s">
        <v>44</v>
      </c>
      <c r="D10304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304" s="10" t="str">
        <f>HYPERLINK("https://otsuka-europe-crm.veevavault.com/ui/#object/sent_email__v/VBL00000002U532", "SE-001436420")</f>
        <v>SE-001436420</v>
      </c>
      <c r="F10304" s="11"/>
      <c r="G10304" s="12">
        <v>0</v>
      </c>
      <c r="H10304" s="12">
        <v>0</v>
      </c>
      <c r="I10304" s="12">
        <v>0</v>
      </c>
      <c r="J10304" s="11"/>
      <c r="K10304" s="12">
        <v>0</v>
      </c>
      <c r="L10304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304" s="10" t="str">
        <f>HYPERLINK("mailto:giada.camassa@outsuka.it", "giada.camassa@outsuka.it")</f>
        <v>giada.camassa@outsuka.it</v>
      </c>
      <c r="N10304" s="13">
        <v>46190.337858796294</v>
      </c>
      <c r="O10304" s="14" t="str">
        <f>HYPERLINK("https://otsuka-europe-crm.veevavault.com/ui/#object/email_activity__v/V8C00000003W370", "EN-002097460")</f>
        <v>EN-002097460</v>
      </c>
    </row>
    <row r="10305" spans="1:15" ht="16" x14ac:dyDescent="0.2">
      <c r="A10305" s="17" t="str">
        <f>HYPERLINK("https://otsuka-europe-crm.veevavault.com/ui/#object/account__v/V4TZ025E8431C86", "FEDERICA MARITATI")</f>
        <v>FEDERICA MARITATI</v>
      </c>
      <c r="B10305" s="17" t="str">
        <f>HYPERLINK("https://otsuka-europe-crm.veevavault.com/ui/#object/vcountry__v/VENZ000004SONFQ", "IT")</f>
        <v>IT</v>
      </c>
      <c r="C10305" s="20" t="s">
        <v>44</v>
      </c>
      <c r="D10305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305" s="22" t="str">
        <f>HYPERLINK("https://otsuka-europe-crm.veevavault.com/ui/#object/sent_email__v/VBL00000002U533", "SE-001436421")</f>
        <v>SE-001436421</v>
      </c>
      <c r="F10305" s="23">
        <v>46190.338888888888</v>
      </c>
      <c r="G10305" s="24">
        <v>1</v>
      </c>
      <c r="H10305" s="24">
        <v>1</v>
      </c>
      <c r="I10305" s="24">
        <v>0</v>
      </c>
      <c r="J10305" s="25"/>
      <c r="K10305" s="24">
        <v>0</v>
      </c>
      <c r="L10305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305" s="22" t="str">
        <f>HYPERLINK("mailto:giada.camassa@outsuka.it", "giada.camassa@outsuka.it")</f>
        <v>giada.camassa@outsuka.it</v>
      </c>
      <c r="N10305" s="23">
        <v>46190.338761574072</v>
      </c>
      <c r="O10305" s="14" t="str">
        <f>HYPERLINK("https://otsuka-europe-crm.veevavault.com/ui/#object/email_activity__v/V8C00000003X622", "EN-002097944")</f>
        <v>EN-002097944</v>
      </c>
    </row>
    <row r="10306" spans="1:15" ht="16" x14ac:dyDescent="0.2">
      <c r="A10306" s="19"/>
      <c r="B10306" s="19"/>
      <c r="C10306" s="19"/>
      <c r="D10306" s="19"/>
      <c r="E10306" s="19"/>
      <c r="F10306" s="19"/>
      <c r="G10306" s="19"/>
      <c r="H10306" s="19"/>
      <c r="I10306" s="19"/>
      <c r="J10306" s="19"/>
      <c r="K10306" s="19"/>
      <c r="L10306" s="19"/>
      <c r="M10306" s="19"/>
      <c r="N10306" s="19"/>
      <c r="O10306" s="14" t="str">
        <f>HYPERLINK("https://otsuka-europe-crm.veevavault.com/ui/#object/email_activity__v/V8C00000003X653", "EN-002097987")</f>
        <v>EN-002097987</v>
      </c>
    </row>
    <row r="10307" spans="1:15" ht="64" x14ac:dyDescent="0.2">
      <c r="A10307" s="7" t="str">
        <f>HYPERLINK("https://otsuka-europe-crm.veevavault.com/ui/#object/account__v/V4TZ06G6O71SBNY", "FEDERICO NALESSO")</f>
        <v>FEDERICO NALESSO</v>
      </c>
      <c r="B10307" s="7" t="str">
        <f t="shared" ref="B10307:B10318" si="774">HYPERLINK("https://otsuka-europe-crm.veevavault.com/ui/#object/vcountry__v/VENZ000004SONFQ", "IT")</f>
        <v>IT</v>
      </c>
      <c r="C10307" s="8" t="s">
        <v>44</v>
      </c>
      <c r="D10307" s="9" t="str">
        <f t="shared" ref="D10307:D10318" si="775">HYPERLINK("https://otsuka-europe-crm.veevavault.com/ui/#object/approved_document__v/V5O00000000G061", "AE - AGGIORNAMENTI SEZIONE APPROFONDIMENTI NEFRO IT-NPR-2500150")</f>
        <v>AE - AGGIORNAMENTI SEZIONE APPROFONDIMENTI NEFRO IT-NPR-2500150</v>
      </c>
      <c r="E10307" s="10" t="str">
        <f>HYPERLINK("https://otsuka-europe-crm.veevavault.com/ui/#object/sent_email__v/VBL00000002U534", "SE-001436422")</f>
        <v>SE-001436422</v>
      </c>
      <c r="F10307" s="11"/>
      <c r="G10307" s="12">
        <v>0</v>
      </c>
      <c r="H10307" s="12">
        <v>0</v>
      </c>
      <c r="I10307" s="12">
        <v>0</v>
      </c>
      <c r="J10307" s="11"/>
      <c r="K10307" s="12">
        <v>0</v>
      </c>
      <c r="L10307" s="10" t="str">
        <f t="shared" ref="L10307:L10318" si="776">HYPERLINK("https://otsuka-europe-crm.veevavault.com/ui/#object/approved_document__v/V5O00000000G061", "AE - AGGIORNAMENTI SEZIONE APPROFONDIMENTI NEFRO IT-NPR-2500150")</f>
        <v>AE - AGGIORNAMENTI SEZIONE APPROFONDIMENTI NEFRO IT-NPR-2500150</v>
      </c>
      <c r="M10307" s="10" t="str">
        <f t="shared" ref="M10307:M10318" si="777">HYPERLINK("mailto:giada.camassa@outsuka.it", "giada.camassa@outsuka.it")</f>
        <v>giada.camassa@outsuka.it</v>
      </c>
      <c r="N10307" s="13">
        <v>46190.337870370371</v>
      </c>
      <c r="O10307" s="14" t="str">
        <f>HYPERLINK("https://otsuka-europe-crm.veevavault.com/ui/#object/email_activity__v/V8C00000003X339", "EN-002097635")</f>
        <v>EN-002097635</v>
      </c>
    </row>
    <row r="10308" spans="1:15" ht="64" x14ac:dyDescent="0.2">
      <c r="A10308" s="7" t="str">
        <f>HYPERLINK("https://otsuka-europe-crm.veevavault.com/ui/#object/account__v/V4TZ06G6O71SBO3", "FELICE NAPPI")</f>
        <v>FELICE NAPPI</v>
      </c>
      <c r="B10308" s="7" t="str">
        <f t="shared" si="774"/>
        <v>IT</v>
      </c>
      <c r="C10308" s="8" t="s">
        <v>44</v>
      </c>
      <c r="D10308" s="9" t="str">
        <f t="shared" si="775"/>
        <v>AE - AGGIORNAMENTI SEZIONE APPROFONDIMENTI NEFRO IT-NPR-2500150</v>
      </c>
      <c r="E10308" s="10" t="str">
        <f>HYPERLINK("https://otsuka-europe-crm.veevavault.com/ui/#object/sent_email__v/VBL00000002U535", "SE-001436423")</f>
        <v>SE-001436423</v>
      </c>
      <c r="F10308" s="11"/>
      <c r="G10308" s="12">
        <v>0</v>
      </c>
      <c r="H10308" s="12">
        <v>0</v>
      </c>
      <c r="I10308" s="12">
        <v>0</v>
      </c>
      <c r="J10308" s="11"/>
      <c r="K10308" s="12">
        <v>0</v>
      </c>
      <c r="L10308" s="10" t="str">
        <f t="shared" si="776"/>
        <v>AE - AGGIORNAMENTI SEZIONE APPROFONDIMENTI NEFRO IT-NPR-2500150</v>
      </c>
      <c r="M10308" s="10" t="str">
        <f t="shared" si="777"/>
        <v>giada.camassa@outsuka.it</v>
      </c>
      <c r="N10308" s="13">
        <v>46190.339722222219</v>
      </c>
      <c r="O10308" s="14" t="str">
        <f>HYPERLINK("https://otsuka-europe-crm.veevavault.com/ui/#object/email_activity__v/V8C00000003X738", "EN-002098136")</f>
        <v>EN-002098136</v>
      </c>
    </row>
    <row r="10309" spans="1:15" ht="64" x14ac:dyDescent="0.2">
      <c r="A10309" s="7" t="str">
        <f>HYPERLINK("https://otsuka-europe-crm.veevavault.com/ui/#object/account__v/V4TZ025E85WUQON", "FIAMMETTA RAVAGLIA")</f>
        <v>FIAMMETTA RAVAGLIA</v>
      </c>
      <c r="B10309" s="7" t="str">
        <f t="shared" si="774"/>
        <v>IT</v>
      </c>
      <c r="C10309" s="8" t="s">
        <v>44</v>
      </c>
      <c r="D10309" s="9" t="str">
        <f t="shared" si="775"/>
        <v>AE - AGGIORNAMENTI SEZIONE APPROFONDIMENTI NEFRO IT-NPR-2500150</v>
      </c>
      <c r="E10309" s="10" t="str">
        <f>HYPERLINK("https://otsuka-europe-crm.veevavault.com/ui/#object/sent_email__v/VBL00000002U536", "SE-001436424")</f>
        <v>SE-001436424</v>
      </c>
      <c r="F10309" s="11"/>
      <c r="G10309" s="12">
        <v>0</v>
      </c>
      <c r="H10309" s="12">
        <v>0</v>
      </c>
      <c r="I10309" s="12">
        <v>0</v>
      </c>
      <c r="J10309" s="11"/>
      <c r="K10309" s="12">
        <v>0</v>
      </c>
      <c r="L10309" s="10" t="str">
        <f t="shared" si="776"/>
        <v>AE - AGGIORNAMENTI SEZIONE APPROFONDIMENTI NEFRO IT-NPR-2500150</v>
      </c>
      <c r="M10309" s="10" t="str">
        <f t="shared" si="777"/>
        <v>giada.camassa@outsuka.it</v>
      </c>
      <c r="N10309" s="13">
        <v>46190.338773148149</v>
      </c>
      <c r="O10309" s="14" t="str">
        <f>HYPERLINK("https://otsuka-europe-crm.veevavault.com/ui/#object/email_activity__v/V8C00000003X811", "EN-002098234")</f>
        <v>EN-002098234</v>
      </c>
    </row>
    <row r="10310" spans="1:15" ht="64" x14ac:dyDescent="0.2">
      <c r="A10310" s="7" t="str">
        <f>HYPERLINK("https://otsuka-europe-crm.veevavault.com/ui/#object/account__v/V4TZ06G6O71SBQB", "FILIPPO AUCELLA")</f>
        <v>FILIPPO AUCELLA</v>
      </c>
      <c r="B10310" s="7" t="str">
        <f t="shared" si="774"/>
        <v>IT</v>
      </c>
      <c r="C10310" s="8" t="s">
        <v>44</v>
      </c>
      <c r="D10310" s="9" t="str">
        <f t="shared" si="775"/>
        <v>AE - AGGIORNAMENTI SEZIONE APPROFONDIMENTI NEFRO IT-NPR-2500150</v>
      </c>
      <c r="E10310" s="10" t="str">
        <f>HYPERLINK("https://otsuka-europe-crm.veevavault.com/ui/#object/sent_email__v/VBL00000002U537", "SE-001436425")</f>
        <v>SE-001436425</v>
      </c>
      <c r="F10310" s="11"/>
      <c r="G10310" s="12">
        <v>0</v>
      </c>
      <c r="H10310" s="12">
        <v>0</v>
      </c>
      <c r="I10310" s="12">
        <v>0</v>
      </c>
      <c r="J10310" s="11"/>
      <c r="K10310" s="12">
        <v>0</v>
      </c>
      <c r="L10310" s="10" t="str">
        <f t="shared" si="776"/>
        <v>AE - AGGIORNAMENTI SEZIONE APPROFONDIMENTI NEFRO IT-NPR-2500150</v>
      </c>
      <c r="M10310" s="10" t="str">
        <f t="shared" si="777"/>
        <v>giada.camassa@outsuka.it</v>
      </c>
      <c r="N10310" s="13">
        <v>46190.340081018519</v>
      </c>
      <c r="O10310" s="14" t="str">
        <f>HYPERLINK("https://otsuka-europe-crm.veevavault.com/ui/#object/email_activity__v/V8C00000003X780", "EN-002098185")</f>
        <v>EN-002098185</v>
      </c>
    </row>
    <row r="10311" spans="1:15" ht="64" x14ac:dyDescent="0.2">
      <c r="A10311" s="7" t="str">
        <f>HYPERLINK("https://otsuka-europe-crm.veevavault.com/ui/#object/account__v/V4TZ025E835G275", "FLAVIO BASSO")</f>
        <v>FLAVIO BASSO</v>
      </c>
      <c r="B10311" s="7" t="str">
        <f t="shared" si="774"/>
        <v>IT</v>
      </c>
      <c r="C10311" s="8" t="s">
        <v>44</v>
      </c>
      <c r="D10311" s="9" t="str">
        <f t="shared" si="775"/>
        <v>AE - AGGIORNAMENTI SEZIONE APPROFONDIMENTI NEFRO IT-NPR-2500150</v>
      </c>
      <c r="E10311" s="10" t="str">
        <f>HYPERLINK("https://otsuka-europe-crm.veevavault.com/ui/#object/sent_email__v/VBL00000002U538", "SE-001436426")</f>
        <v>SE-001436426</v>
      </c>
      <c r="F10311" s="11"/>
      <c r="G10311" s="12">
        <v>0</v>
      </c>
      <c r="H10311" s="12">
        <v>0</v>
      </c>
      <c r="I10311" s="12">
        <v>0</v>
      </c>
      <c r="J10311" s="11"/>
      <c r="K10311" s="12">
        <v>0</v>
      </c>
      <c r="L10311" s="10" t="str">
        <f t="shared" si="776"/>
        <v>AE - AGGIORNAMENTI SEZIONE APPROFONDIMENTI NEFRO IT-NPR-2500150</v>
      </c>
      <c r="M10311" s="10" t="str">
        <f t="shared" si="777"/>
        <v>giada.camassa@outsuka.it</v>
      </c>
      <c r="N10311" s="13">
        <v>46190.337962962964</v>
      </c>
      <c r="O10311" s="14" t="str">
        <f>HYPERLINK("https://otsuka-europe-crm.veevavault.com/ui/#object/email_activity__v/V8C00000003X361", "EN-002097539")</f>
        <v>EN-002097539</v>
      </c>
    </row>
    <row r="10312" spans="1:15" ht="64" x14ac:dyDescent="0.2">
      <c r="A10312" s="7" t="str">
        <f>HYPERLINK("https://otsuka-europe-crm.veevavault.com/ui/#object/account__v/V4TZ04ASGBUJPIQ", "FRANCESCA BRUNINI")</f>
        <v>FRANCESCA BRUNINI</v>
      </c>
      <c r="B10312" s="7" t="str">
        <f t="shared" si="774"/>
        <v>IT</v>
      </c>
      <c r="C10312" s="8" t="s">
        <v>44</v>
      </c>
      <c r="D10312" s="9" t="str">
        <f t="shared" si="775"/>
        <v>AE - AGGIORNAMENTI SEZIONE APPROFONDIMENTI NEFRO IT-NPR-2500150</v>
      </c>
      <c r="E10312" s="10" t="str">
        <f>HYPERLINK("https://otsuka-europe-crm.veevavault.com/ui/#object/sent_email__v/VBL00000002U539", "SE-001436427")</f>
        <v>SE-001436427</v>
      </c>
      <c r="F10312" s="11"/>
      <c r="G10312" s="12">
        <v>0</v>
      </c>
      <c r="H10312" s="12">
        <v>0</v>
      </c>
      <c r="I10312" s="12">
        <v>0</v>
      </c>
      <c r="J10312" s="11"/>
      <c r="K10312" s="12">
        <v>0</v>
      </c>
      <c r="L10312" s="10" t="str">
        <f t="shared" si="776"/>
        <v>AE - AGGIORNAMENTI SEZIONE APPROFONDIMENTI NEFRO IT-NPR-2500150</v>
      </c>
      <c r="M10312" s="10" t="str">
        <f t="shared" si="777"/>
        <v>giada.camassa@outsuka.it</v>
      </c>
      <c r="N10312" s="13">
        <v>46190.337870370371</v>
      </c>
      <c r="O10312" s="14" t="str">
        <f>HYPERLINK("https://otsuka-europe-crm.veevavault.com/ui/#object/email_activity__v/V8C00000003W348", "EN-002097405")</f>
        <v>EN-002097405</v>
      </c>
    </row>
    <row r="10313" spans="1:15" ht="64" x14ac:dyDescent="0.2">
      <c r="A10313" s="7" t="str">
        <f>HYPERLINK("https://otsuka-europe-crm.veevavault.com/ui/#object/account__v/V4TZ06G6O71SB5V", "FRANCESCA LEONE")</f>
        <v>FRANCESCA LEONE</v>
      </c>
      <c r="B10313" s="7" t="str">
        <f t="shared" si="774"/>
        <v>IT</v>
      </c>
      <c r="C10313" s="8" t="s">
        <v>44</v>
      </c>
      <c r="D10313" s="9" t="str">
        <f t="shared" si="775"/>
        <v>AE - AGGIORNAMENTI SEZIONE APPROFONDIMENTI NEFRO IT-NPR-2500150</v>
      </c>
      <c r="E10313" s="10" t="str">
        <f>HYPERLINK("https://otsuka-europe-crm.veevavault.com/ui/#object/sent_email__v/VBL00000002U540", "SE-001436428")</f>
        <v>SE-001436428</v>
      </c>
      <c r="F10313" s="11"/>
      <c r="G10313" s="12">
        <v>0</v>
      </c>
      <c r="H10313" s="12">
        <v>0</v>
      </c>
      <c r="I10313" s="12">
        <v>0</v>
      </c>
      <c r="J10313" s="11"/>
      <c r="K10313" s="12">
        <v>0</v>
      </c>
      <c r="L10313" s="10" t="str">
        <f t="shared" si="776"/>
        <v>AE - AGGIORNAMENTI SEZIONE APPROFONDIMENTI NEFRO IT-NPR-2500150</v>
      </c>
      <c r="M10313" s="10" t="str">
        <f t="shared" si="777"/>
        <v>giada.camassa@outsuka.it</v>
      </c>
      <c r="N10313" s="13">
        <v>46190.339791666665</v>
      </c>
      <c r="O10313" s="14" t="str">
        <f>HYPERLINK("https://otsuka-europe-crm.veevavault.com/ui/#object/email_activity__v/V8C00000003X740", "EN-002098138")</f>
        <v>EN-002098138</v>
      </c>
    </row>
    <row r="10314" spans="1:15" ht="64" x14ac:dyDescent="0.2">
      <c r="A10314" s="7" t="str">
        <f>HYPERLINK("https://otsuka-europe-crm.veevavault.com/ui/#object/account__v/V4TZ06G6O71S9II", "FRANCESCO FONTANA")</f>
        <v>FRANCESCO FONTANA</v>
      </c>
      <c r="B10314" s="7" t="str">
        <f t="shared" si="774"/>
        <v>IT</v>
      </c>
      <c r="C10314" s="8" t="s">
        <v>44</v>
      </c>
      <c r="D10314" s="9" t="str">
        <f t="shared" si="775"/>
        <v>AE - AGGIORNAMENTI SEZIONE APPROFONDIMENTI NEFRO IT-NPR-2500150</v>
      </c>
      <c r="E10314" s="10" t="str">
        <f>HYPERLINK("https://otsuka-europe-crm.veevavault.com/ui/#object/sent_email__v/VBL00000002U541", "SE-001436429")</f>
        <v>SE-001436429</v>
      </c>
      <c r="F10314" s="11"/>
      <c r="G10314" s="12">
        <v>0</v>
      </c>
      <c r="H10314" s="12">
        <v>0</v>
      </c>
      <c r="I10314" s="12">
        <v>0</v>
      </c>
      <c r="J10314" s="11"/>
      <c r="K10314" s="12">
        <v>0</v>
      </c>
      <c r="L10314" s="10" t="str">
        <f t="shared" si="776"/>
        <v>AE - AGGIORNAMENTI SEZIONE APPROFONDIMENTI NEFRO IT-NPR-2500150</v>
      </c>
      <c r="M10314" s="10" t="str">
        <f t="shared" si="777"/>
        <v>giada.camassa@outsuka.it</v>
      </c>
      <c r="N10314" s="13">
        <v>46190.337939814817</v>
      </c>
      <c r="O10314" s="14" t="str">
        <f>HYPERLINK("https://otsuka-europe-crm.veevavault.com/ui/#object/email_activity__v/V8C00000003X359", "EN-002097537")</f>
        <v>EN-002097537</v>
      </c>
    </row>
    <row r="10315" spans="1:15" ht="64" x14ac:dyDescent="0.2">
      <c r="A10315" s="7" t="str">
        <f>HYPERLINK("https://otsuka-europe-crm.veevavault.com/ui/#object/account__v/V4TZ06G6O8574NQ", "FRANCESCO LOCATELLI")</f>
        <v>FRANCESCO LOCATELLI</v>
      </c>
      <c r="B10315" s="7" t="str">
        <f t="shared" si="774"/>
        <v>IT</v>
      </c>
      <c r="C10315" s="8" t="s">
        <v>44</v>
      </c>
      <c r="D10315" s="9" t="str">
        <f t="shared" si="775"/>
        <v>AE - AGGIORNAMENTI SEZIONE APPROFONDIMENTI NEFRO IT-NPR-2500150</v>
      </c>
      <c r="E10315" s="10" t="str">
        <f>HYPERLINK("https://otsuka-europe-crm.veevavault.com/ui/#object/sent_email__v/VBL00000002U542", "SE-001436430")</f>
        <v>SE-001436430</v>
      </c>
      <c r="F10315" s="11"/>
      <c r="G10315" s="12">
        <v>0</v>
      </c>
      <c r="H10315" s="12">
        <v>0</v>
      </c>
      <c r="I10315" s="12">
        <v>0</v>
      </c>
      <c r="J10315" s="11"/>
      <c r="K10315" s="12">
        <v>0</v>
      </c>
      <c r="L10315" s="10" t="str">
        <f t="shared" si="776"/>
        <v>AE - AGGIORNAMENTI SEZIONE APPROFONDIMENTI NEFRO IT-NPR-2500150</v>
      </c>
      <c r="M10315" s="10" t="str">
        <f t="shared" si="777"/>
        <v>giada.camassa@outsuka.it</v>
      </c>
      <c r="N10315" s="13">
        <v>46190.337881944448</v>
      </c>
      <c r="O10315" s="14" t="str">
        <f>HYPERLINK("https://otsuka-europe-crm.veevavault.com/ui/#object/email_activity__v/V8C00000003W349", "EN-002097406")</f>
        <v>EN-002097406</v>
      </c>
    </row>
    <row r="10316" spans="1:15" ht="64" x14ac:dyDescent="0.2">
      <c r="A10316" s="7" t="str">
        <f>HYPERLINK("https://otsuka-europe-crm.veevavault.com/ui/#object/account__v/V4TZ04ASGC2KJWQ", "FRANCESCO LONDRINO")</f>
        <v>FRANCESCO LONDRINO</v>
      </c>
      <c r="B10316" s="7" t="str">
        <f t="shared" si="774"/>
        <v>IT</v>
      </c>
      <c r="C10316" s="8" t="s">
        <v>44</v>
      </c>
      <c r="D10316" s="9" t="str">
        <f t="shared" si="775"/>
        <v>AE - AGGIORNAMENTI SEZIONE APPROFONDIMENTI NEFRO IT-NPR-2500150</v>
      </c>
      <c r="E10316" s="10" t="str">
        <f>HYPERLINK("https://otsuka-europe-crm.veevavault.com/ui/#object/sent_email__v/VBL00000002U543", "SE-001436431")</f>
        <v>SE-001436431</v>
      </c>
      <c r="F10316" s="11"/>
      <c r="G10316" s="12">
        <v>0</v>
      </c>
      <c r="H10316" s="12">
        <v>0</v>
      </c>
      <c r="I10316" s="12">
        <v>0</v>
      </c>
      <c r="J10316" s="11"/>
      <c r="K10316" s="12">
        <v>0</v>
      </c>
      <c r="L10316" s="10" t="str">
        <f t="shared" si="776"/>
        <v>AE - AGGIORNAMENTI SEZIONE APPROFONDIMENTI NEFRO IT-NPR-2500150</v>
      </c>
      <c r="M10316" s="10" t="str">
        <f t="shared" si="777"/>
        <v>giada.camassa@outsuka.it</v>
      </c>
      <c r="N10316" s="13">
        <v>46190.337962962964</v>
      </c>
      <c r="O10316" s="14" t="str">
        <f>HYPERLINK("https://otsuka-europe-crm.veevavault.com/ui/#object/email_activity__v/V8C00000003X393", "EN-002097588")</f>
        <v>EN-002097588</v>
      </c>
    </row>
    <row r="10317" spans="1:15" ht="64" x14ac:dyDescent="0.2">
      <c r="A10317" s="7" t="str">
        <f>HYPERLINK("https://otsuka-europe-crm.veevavault.com/ui/#object/account__v/V4TZ06G6O71SBFP", "FRANCESCO MARINO")</f>
        <v>FRANCESCO MARINO</v>
      </c>
      <c r="B10317" s="7" t="str">
        <f t="shared" si="774"/>
        <v>IT</v>
      </c>
      <c r="C10317" s="8" t="s">
        <v>44</v>
      </c>
      <c r="D10317" s="9" t="str">
        <f t="shared" si="775"/>
        <v>AE - AGGIORNAMENTI SEZIONE APPROFONDIMENTI NEFRO IT-NPR-2500150</v>
      </c>
      <c r="E10317" s="10" t="str">
        <f>HYPERLINK("https://otsuka-europe-crm.veevavault.com/ui/#object/sent_email__v/VBL00000002U544", "SE-001436432")</f>
        <v>SE-001436432</v>
      </c>
      <c r="F10317" s="11"/>
      <c r="G10317" s="12">
        <v>0</v>
      </c>
      <c r="H10317" s="12">
        <v>0</v>
      </c>
      <c r="I10317" s="12">
        <v>0</v>
      </c>
      <c r="J10317" s="11"/>
      <c r="K10317" s="12">
        <v>0</v>
      </c>
      <c r="L10317" s="10" t="str">
        <f t="shared" si="776"/>
        <v>AE - AGGIORNAMENTI SEZIONE APPROFONDIMENTI NEFRO IT-NPR-2500150</v>
      </c>
      <c r="M10317" s="10" t="str">
        <f t="shared" si="777"/>
        <v>giada.camassa@outsuka.it</v>
      </c>
      <c r="N10317" s="13">
        <v>46190.33935185185</v>
      </c>
      <c r="O10317" s="14" t="str">
        <f>HYPERLINK("https://otsuka-europe-crm.veevavault.com/ui/#object/email_activity__v/V8C00000003X698", "EN-002098059")</f>
        <v>EN-002098059</v>
      </c>
    </row>
    <row r="10318" spans="1:15" ht="16" x14ac:dyDescent="0.2">
      <c r="A10318" s="17" t="str">
        <f>HYPERLINK("https://otsuka-europe-crm.veevavault.com/ui/#object/account__v/V4TZ06G6O71SBRZ", "FRANCESCO PESCE")</f>
        <v>FRANCESCO PESCE</v>
      </c>
      <c r="B10318" s="17" t="str">
        <f t="shared" si="774"/>
        <v>IT</v>
      </c>
      <c r="C10318" s="20" t="s">
        <v>44</v>
      </c>
      <c r="D10318" s="21" t="str">
        <f t="shared" si="775"/>
        <v>AE - AGGIORNAMENTI SEZIONE APPROFONDIMENTI NEFRO IT-NPR-2500150</v>
      </c>
      <c r="E10318" s="22" t="str">
        <f>HYPERLINK("https://otsuka-europe-crm.veevavault.com/ui/#object/sent_email__v/VBL00000002U545", "SE-001436433")</f>
        <v>SE-001436433</v>
      </c>
      <c r="F10318" s="25"/>
      <c r="G10318" s="24">
        <v>0</v>
      </c>
      <c r="H10318" s="24">
        <v>0</v>
      </c>
      <c r="I10318" s="24">
        <v>0</v>
      </c>
      <c r="J10318" s="25"/>
      <c r="K10318" s="24">
        <v>0</v>
      </c>
      <c r="L10318" s="22" t="str">
        <f t="shared" si="776"/>
        <v>AE - AGGIORNAMENTI SEZIONE APPROFONDIMENTI NEFRO IT-NPR-2500150</v>
      </c>
      <c r="M10318" s="22" t="str">
        <f t="shared" si="777"/>
        <v>giada.camassa@outsuka.it</v>
      </c>
      <c r="N10318" s="23">
        <v>46190.337916666664</v>
      </c>
      <c r="O10318" s="14" t="str">
        <f>HYPERLINK("https://otsuka-europe-crm.veevavault.com/ui/#object/email_activity__v/V8C00000003W423", "EN-002097707")</f>
        <v>EN-002097707</v>
      </c>
    </row>
    <row r="10319" spans="1:15" ht="16" x14ac:dyDescent="0.2">
      <c r="A10319" s="19"/>
      <c r="B10319" s="19"/>
      <c r="C10319" s="19"/>
      <c r="D10319" s="19"/>
      <c r="E10319" s="19"/>
      <c r="F10319" s="19"/>
      <c r="G10319" s="19"/>
      <c r="H10319" s="19"/>
      <c r="I10319" s="19"/>
      <c r="J10319" s="19"/>
      <c r="K10319" s="19"/>
      <c r="L10319" s="19"/>
      <c r="M10319" s="19"/>
      <c r="N10319" s="19"/>
      <c r="O10319" s="14" t="str">
        <f>HYPERLINK("https://otsuka-europe-crm.veevavault.com/ui/#object/email_activity__v/V8C00000003W709", "EN-002098402")</f>
        <v>EN-002098402</v>
      </c>
    </row>
    <row r="10320" spans="1:15" ht="16" x14ac:dyDescent="0.2">
      <c r="A10320" s="17" t="str">
        <f>HYPERLINK("https://otsuka-europe-crm.veevavault.com/ui/#object/account__v/V4TZ06G6O71S9E9", "FRANCESCO TREPICCIONE")</f>
        <v>FRANCESCO TREPICCIONE</v>
      </c>
      <c r="B10320" s="17" t="str">
        <f>HYPERLINK("https://otsuka-europe-crm.veevavault.com/ui/#object/vcountry__v/VENZ000004SONFQ", "IT")</f>
        <v>IT</v>
      </c>
      <c r="C10320" s="20" t="s">
        <v>44</v>
      </c>
      <c r="D10320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320" s="22" t="str">
        <f>HYPERLINK("https://otsuka-europe-crm.veevavault.com/ui/#object/sent_email__v/VBL00000002U546", "SE-001436434")</f>
        <v>SE-001436434</v>
      </c>
      <c r="F10320" s="23">
        <v>46190.408738425926</v>
      </c>
      <c r="G10320" s="24">
        <v>1</v>
      </c>
      <c r="H10320" s="24">
        <v>2</v>
      </c>
      <c r="I10320" s="24">
        <v>0</v>
      </c>
      <c r="J10320" s="25"/>
      <c r="K10320" s="24">
        <v>0</v>
      </c>
      <c r="L10320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320" s="22" t="str">
        <f>HYPERLINK("mailto:giada.camassa@outsuka.it", "giada.camassa@outsuka.it")</f>
        <v>giada.camassa@outsuka.it</v>
      </c>
      <c r="N10320" s="23">
        <v>46190.339548611111</v>
      </c>
      <c r="O10320" s="14" t="str">
        <f>HYPERLINK("https://otsuka-europe-crm.veevavault.com/ui/#object/email_activity__v/V8C00000003W590", "EN-002098132")</f>
        <v>EN-002098132</v>
      </c>
    </row>
    <row r="10321" spans="1:15" ht="16" x14ac:dyDescent="0.2">
      <c r="A10321" s="18"/>
      <c r="B10321" s="18"/>
      <c r="C10321" s="18"/>
      <c r="D10321" s="18"/>
      <c r="E10321" s="18"/>
      <c r="F10321" s="18"/>
      <c r="G10321" s="18"/>
      <c r="H10321" s="18"/>
      <c r="I10321" s="18"/>
      <c r="J10321" s="18"/>
      <c r="K10321" s="18"/>
      <c r="L10321" s="18"/>
      <c r="M10321" s="18"/>
      <c r="N10321" s="18"/>
      <c r="O10321" s="14" t="str">
        <f>HYPERLINK("https://otsuka-europe-crm.veevavault.com/ui/#object/email_activity__v/V8C00000003X728", "EN-002098110")</f>
        <v>EN-002098110</v>
      </c>
    </row>
    <row r="10322" spans="1:15" ht="16" x14ac:dyDescent="0.2">
      <c r="A10322" s="18"/>
      <c r="B10322" s="18"/>
      <c r="C10322" s="18"/>
      <c r="D10322" s="18"/>
      <c r="E10322" s="18"/>
      <c r="F10322" s="18"/>
      <c r="G10322" s="18"/>
      <c r="H10322" s="18"/>
      <c r="I10322" s="18"/>
      <c r="J10322" s="18"/>
      <c r="K10322" s="18"/>
      <c r="L10322" s="18"/>
      <c r="M10322" s="18"/>
      <c r="N10322" s="18"/>
      <c r="O10322" s="14" t="str">
        <f>HYPERLINK("https://otsuka-europe-crm.veevavault.com/ui/#object/email_activity__v/V8C00000003X834", "EN-002098300")</f>
        <v>EN-002098300</v>
      </c>
    </row>
    <row r="10323" spans="1:15" ht="16" x14ac:dyDescent="0.2">
      <c r="A10323" s="19"/>
      <c r="B10323" s="19"/>
      <c r="C10323" s="19"/>
      <c r="D10323" s="19"/>
      <c r="E10323" s="19"/>
      <c r="F10323" s="19"/>
      <c r="G10323" s="19"/>
      <c r="H10323" s="19"/>
      <c r="I10323" s="19"/>
      <c r="J10323" s="19"/>
      <c r="K10323" s="19"/>
      <c r="L10323" s="19"/>
      <c r="M10323" s="19"/>
      <c r="N10323" s="19"/>
      <c r="O10323" s="14" t="str">
        <f>HYPERLINK("https://otsuka-europe-crm.veevavault.com/ui/#object/email_activity__v/V8C000000042257", "EN-002100219")</f>
        <v>EN-002100219</v>
      </c>
    </row>
    <row r="10324" spans="1:15" ht="16" x14ac:dyDescent="0.2">
      <c r="A10324" s="17" t="str">
        <f>HYPERLINK("https://otsuka-europe-crm.veevavault.com/ui/#object/account__v/V4TZ06G6O71SCFH", "FRANCO SOPRANZI")</f>
        <v>FRANCO SOPRANZI</v>
      </c>
      <c r="B10324" s="17" t="str">
        <f>HYPERLINK("https://otsuka-europe-crm.veevavault.com/ui/#object/vcountry__v/VENZ000004SONFQ", "IT")</f>
        <v>IT</v>
      </c>
      <c r="C10324" s="20" t="s">
        <v>44</v>
      </c>
      <c r="D10324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324" s="22" t="str">
        <f>HYPERLINK("https://otsuka-europe-crm.veevavault.com/ui/#object/sent_email__v/VBL00000002U547", "SE-001436435")</f>
        <v>SE-001436435</v>
      </c>
      <c r="F10324" s="23">
        <v>46190.341006944444</v>
      </c>
      <c r="G10324" s="24">
        <v>1</v>
      </c>
      <c r="H10324" s="24">
        <v>1</v>
      </c>
      <c r="I10324" s="24">
        <v>1</v>
      </c>
      <c r="J10324" s="23">
        <v>46190.341006944444</v>
      </c>
      <c r="K10324" s="24">
        <v>2</v>
      </c>
      <c r="L10324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324" s="22" t="str">
        <f>HYPERLINK("mailto:giada.camassa@outsuka.it", "giada.camassa@outsuka.it")</f>
        <v>giada.camassa@outsuka.it</v>
      </c>
      <c r="N10324" s="23">
        <v>46190.33792824074</v>
      </c>
      <c r="O10324" s="14" t="str">
        <f>HYPERLINK("https://otsuka-europe-crm.veevavault.com/ui/#object/email_activity__v/V8C00000003W607", "EN-002098212")</f>
        <v>EN-002098212</v>
      </c>
    </row>
    <row r="10325" spans="1:15" ht="16" x14ac:dyDescent="0.2">
      <c r="A10325" s="18"/>
      <c r="B10325" s="18"/>
      <c r="C10325" s="18"/>
      <c r="D10325" s="18"/>
      <c r="E10325" s="18"/>
      <c r="F10325" s="18"/>
      <c r="G10325" s="18"/>
      <c r="H10325" s="18"/>
      <c r="I10325" s="18"/>
      <c r="J10325" s="18"/>
      <c r="K10325" s="18"/>
      <c r="L10325" s="18"/>
      <c r="M10325" s="18"/>
      <c r="N10325" s="18"/>
      <c r="O10325" s="14" t="str">
        <f>HYPERLINK("https://otsuka-europe-crm.veevavault.com/ui/#object/email_activity__v/V8C00000003X678", "EN-002098019")</f>
        <v>EN-002098019</v>
      </c>
    </row>
    <row r="10326" spans="1:15" ht="16" x14ac:dyDescent="0.2">
      <c r="A10326" s="18"/>
      <c r="B10326" s="18"/>
      <c r="C10326" s="18"/>
      <c r="D10326" s="18"/>
      <c r="E10326" s="18"/>
      <c r="F10326" s="18"/>
      <c r="G10326" s="18"/>
      <c r="H10326" s="18"/>
      <c r="I10326" s="18"/>
      <c r="J10326" s="18"/>
      <c r="K10326" s="18"/>
      <c r="L10326" s="18"/>
      <c r="M10326" s="18"/>
      <c r="N10326" s="18"/>
      <c r="O10326" s="14" t="str">
        <f>HYPERLINK("https://otsuka-europe-crm.veevavault.com/ui/#object/email_activity__v/V8C00000003X794", "EN-002098209")</f>
        <v>EN-002098209</v>
      </c>
    </row>
    <row r="10327" spans="1:15" ht="16" x14ac:dyDescent="0.2">
      <c r="A10327" s="19"/>
      <c r="B10327" s="19"/>
      <c r="C10327" s="19"/>
      <c r="D10327" s="19"/>
      <c r="E10327" s="19"/>
      <c r="F10327" s="19"/>
      <c r="G10327" s="19"/>
      <c r="H10327" s="19"/>
      <c r="I10327" s="19"/>
      <c r="J10327" s="19"/>
      <c r="K10327" s="19"/>
      <c r="L10327" s="19"/>
      <c r="M10327" s="19"/>
      <c r="N10327" s="19"/>
      <c r="O10327" s="14" t="str">
        <f>HYPERLINK("https://otsuka-europe-crm.veevavault.com/ui/#object/email_activity__v/V8C00000003X795", "EN-002098208")</f>
        <v>EN-002098208</v>
      </c>
    </row>
    <row r="10328" spans="1:15" ht="16" x14ac:dyDescent="0.2">
      <c r="A10328" s="17" t="str">
        <f>HYPERLINK("https://otsuka-europe-crm.veevavault.com/ui/#object/account__v/V4TZ04ASGB4UYHC", "GABRIELE D'URSO")</f>
        <v>GABRIELE D'URSO</v>
      </c>
      <c r="B10328" s="17" t="str">
        <f>HYPERLINK("https://otsuka-europe-crm.veevavault.com/ui/#object/vcountry__v/VENZ000004SONFQ", "IT")</f>
        <v>IT</v>
      </c>
      <c r="C10328" s="20" t="s">
        <v>44</v>
      </c>
      <c r="D10328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328" s="22" t="str">
        <f>HYPERLINK("https://otsuka-europe-crm.veevavault.com/ui/#object/sent_email__v/VBL00000002U548", "SE-001436436")</f>
        <v>SE-001436436</v>
      </c>
      <c r="F10328" s="23">
        <v>46190.343576388892</v>
      </c>
      <c r="G10328" s="24">
        <v>1</v>
      </c>
      <c r="H10328" s="24">
        <v>2</v>
      </c>
      <c r="I10328" s="24">
        <v>0</v>
      </c>
      <c r="J10328" s="25"/>
      <c r="K10328" s="24">
        <v>0</v>
      </c>
      <c r="L10328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328" s="22" t="str">
        <f>HYPERLINK("mailto:giada.camassa@outsuka.it", "giada.camassa@outsuka.it")</f>
        <v>giada.camassa@outsuka.it</v>
      </c>
      <c r="N10328" s="23">
        <v>46190.339224537034</v>
      </c>
      <c r="O10328" s="14" t="str">
        <f>HYPERLINK("https://otsuka-europe-crm.veevavault.com/ui/#object/email_activity__v/V8C00000003W565", "EN-002098083")</f>
        <v>EN-002098083</v>
      </c>
    </row>
    <row r="10329" spans="1:15" ht="16" x14ac:dyDescent="0.2">
      <c r="A10329" s="18"/>
      <c r="B10329" s="18"/>
      <c r="C10329" s="18"/>
      <c r="D10329" s="18"/>
      <c r="E10329" s="18"/>
      <c r="F10329" s="18"/>
      <c r="G10329" s="18"/>
      <c r="H10329" s="18"/>
      <c r="I10329" s="18"/>
      <c r="J10329" s="18"/>
      <c r="K10329" s="18"/>
      <c r="L10329" s="18"/>
      <c r="M10329" s="18"/>
      <c r="N10329" s="18"/>
      <c r="O10329" s="14" t="str">
        <f>HYPERLINK("https://otsuka-europe-crm.veevavault.com/ui/#object/email_activity__v/V8C00000003W619", "EN-002098238")</f>
        <v>EN-002098238</v>
      </c>
    </row>
    <row r="10330" spans="1:15" ht="16" x14ac:dyDescent="0.2">
      <c r="A10330" s="19"/>
      <c r="B10330" s="19"/>
      <c r="C10330" s="19"/>
      <c r="D10330" s="19"/>
      <c r="E10330" s="19"/>
      <c r="F10330" s="19"/>
      <c r="G10330" s="19"/>
      <c r="H10330" s="19"/>
      <c r="I10330" s="19"/>
      <c r="J10330" s="19"/>
      <c r="K10330" s="19"/>
      <c r="L10330" s="19"/>
      <c r="M10330" s="19"/>
      <c r="N10330" s="19"/>
      <c r="O10330" s="14" t="str">
        <f>HYPERLINK("https://otsuka-europe-crm.veevavault.com/ui/#object/email_activity__v/V8C00000003X680", "EN-002098021")</f>
        <v>EN-002098021</v>
      </c>
    </row>
    <row r="10331" spans="1:15" ht="16" x14ac:dyDescent="0.2">
      <c r="A10331" s="17" t="str">
        <f>HYPERLINK("https://otsuka-europe-crm.veevavault.com/ui/#object/account__v/V4TZ06G6O71SB6W", "GAETANO LA MANNA")</f>
        <v>GAETANO LA MANNA</v>
      </c>
      <c r="B10331" s="17" t="str">
        <f>HYPERLINK("https://otsuka-europe-crm.veevavault.com/ui/#object/vcountry__v/VENZ000004SONFQ", "IT")</f>
        <v>IT</v>
      </c>
      <c r="C10331" s="20" t="s">
        <v>44</v>
      </c>
      <c r="D10331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331" s="22" t="str">
        <f>HYPERLINK("https://otsuka-europe-crm.veevavault.com/ui/#object/sent_email__v/VBL00000002U549", "SE-001436437")</f>
        <v>SE-001436437</v>
      </c>
      <c r="F10331" s="23">
        <v>46190.339189814818</v>
      </c>
      <c r="G10331" s="24">
        <v>1</v>
      </c>
      <c r="H10331" s="24">
        <v>1</v>
      </c>
      <c r="I10331" s="24">
        <v>0</v>
      </c>
      <c r="J10331" s="25"/>
      <c r="K10331" s="24">
        <v>0</v>
      </c>
      <c r="L10331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331" s="22" t="str">
        <f>HYPERLINK("mailto:giada.camassa@outsuka.it", "giada.camassa@outsuka.it")</f>
        <v>giada.camassa@outsuka.it</v>
      </c>
      <c r="N10331" s="23">
        <v>46190.338900462964</v>
      </c>
      <c r="O10331" s="14" t="str">
        <f>HYPERLINK("https://otsuka-europe-crm.veevavault.com/ui/#object/email_activity__v/V8C00000003X644", "EN-002097977")</f>
        <v>EN-002097977</v>
      </c>
    </row>
    <row r="10332" spans="1:15" ht="16" x14ac:dyDescent="0.2">
      <c r="A10332" s="19"/>
      <c r="B10332" s="19"/>
      <c r="C10332" s="19"/>
      <c r="D10332" s="19"/>
      <c r="E10332" s="19"/>
      <c r="F10332" s="19"/>
      <c r="G10332" s="19"/>
      <c r="H10332" s="19"/>
      <c r="I10332" s="19"/>
      <c r="J10332" s="19"/>
      <c r="K10332" s="19"/>
      <c r="L10332" s="19"/>
      <c r="M10332" s="19"/>
      <c r="N10332" s="19"/>
      <c r="O10332" s="14" t="str">
        <f>HYPERLINK("https://otsuka-europe-crm.veevavault.com/ui/#object/email_activity__v/V8C00000003X676", "EN-002098017")</f>
        <v>EN-002098017</v>
      </c>
    </row>
    <row r="10333" spans="1:15" ht="64" x14ac:dyDescent="0.2">
      <c r="A10333" s="7" t="str">
        <f>HYPERLINK("https://otsuka-europe-crm.veevavault.com/ui/#object/account__v/V4TZ06G6O71SCRY", "GIANLUIGI ZAZA")</f>
        <v>GIANLUIGI ZAZA</v>
      </c>
      <c r="B10333" s="7" t="str">
        <f>HYPERLINK("https://otsuka-europe-crm.veevavault.com/ui/#object/vcountry__v/VENZ000004SONFQ", "IT")</f>
        <v>IT</v>
      </c>
      <c r="C10333" s="8" t="s">
        <v>44</v>
      </c>
      <c r="D10333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333" s="10" t="str">
        <f>HYPERLINK("https://otsuka-europe-crm.veevavault.com/ui/#object/sent_email__v/VBL00000002U551", "SE-001436439")</f>
        <v>SE-001436439</v>
      </c>
      <c r="F10333" s="11"/>
      <c r="G10333" s="12">
        <v>0</v>
      </c>
      <c r="H10333" s="12">
        <v>0</v>
      </c>
      <c r="I10333" s="12">
        <v>0</v>
      </c>
      <c r="J10333" s="11"/>
      <c r="K10333" s="12">
        <v>0</v>
      </c>
      <c r="L10333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333" s="10" t="str">
        <f>HYPERLINK("mailto:giada.camassa@outsuka.it", "giada.camassa@outsuka.it")</f>
        <v>giada.camassa@outsuka.it</v>
      </c>
      <c r="N10333" s="13">
        <v>46190.339513888888</v>
      </c>
      <c r="O10333" s="14" t="str">
        <f>HYPERLINK("https://otsuka-europe-crm.veevavault.com/ui/#object/email_activity__v/V8C00000003X718", "EN-002098098")</f>
        <v>EN-002098098</v>
      </c>
    </row>
    <row r="10334" spans="1:15" ht="64" x14ac:dyDescent="0.2">
      <c r="A10334" s="7" t="str">
        <f>HYPERLINK("https://otsuka-europe-crm.veevavault.com/ui/#object/account__v/V4TZ06G6O71SAZN", "GIANNI CARRARO")</f>
        <v>GIANNI CARRARO</v>
      </c>
      <c r="B10334" s="7" t="str">
        <f>HYPERLINK("https://otsuka-europe-crm.veevavault.com/ui/#object/vcountry__v/VENZ000004SONFQ", "IT")</f>
        <v>IT</v>
      </c>
      <c r="C10334" s="8" t="s">
        <v>44</v>
      </c>
      <c r="D10334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334" s="10" t="str">
        <f>HYPERLINK("https://otsuka-europe-crm.veevavault.com/ui/#object/sent_email__v/VBL00000002U552", "SE-001436440")</f>
        <v>SE-001436440</v>
      </c>
      <c r="F10334" s="11"/>
      <c r="G10334" s="12">
        <v>0</v>
      </c>
      <c r="H10334" s="12">
        <v>0</v>
      </c>
      <c r="I10334" s="12">
        <v>0</v>
      </c>
      <c r="J10334" s="11"/>
      <c r="K10334" s="12">
        <v>0</v>
      </c>
      <c r="L10334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334" s="10" t="str">
        <f>HYPERLINK("mailto:giada.camassa@outsuka.it", "giada.camassa@outsuka.it")</f>
        <v>giada.camassa@outsuka.it</v>
      </c>
      <c r="N10334" s="13">
        <v>46190.337881944448</v>
      </c>
      <c r="O10334" s="14" t="str">
        <f>HYPERLINK("https://otsuka-europe-crm.veevavault.com/ui/#object/email_activity__v/V8C00000003X366", "EN-002097544")</f>
        <v>EN-002097544</v>
      </c>
    </row>
    <row r="10335" spans="1:15" ht="64" x14ac:dyDescent="0.2">
      <c r="A10335" s="7" t="str">
        <f>HYPERLINK("https://otsuka-europe-crm.veevavault.com/ui/#object/account__v/V4TZ06G6O71SBQE", "GIANNI OTTAVIANO")</f>
        <v>GIANNI OTTAVIANO</v>
      </c>
      <c r="B10335" s="7" t="str">
        <f>HYPERLINK("https://otsuka-europe-crm.veevavault.com/ui/#object/vcountry__v/VENZ000004SONFQ", "IT")</f>
        <v>IT</v>
      </c>
      <c r="C10335" s="8" t="s">
        <v>44</v>
      </c>
      <c r="D10335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335" s="10" t="str">
        <f>HYPERLINK("https://otsuka-europe-crm.veevavault.com/ui/#object/sent_email__v/VBL00000002U553", "SE-001436441")</f>
        <v>SE-001436441</v>
      </c>
      <c r="F10335" s="11"/>
      <c r="G10335" s="12">
        <v>0</v>
      </c>
      <c r="H10335" s="12">
        <v>0</v>
      </c>
      <c r="I10335" s="12">
        <v>0</v>
      </c>
      <c r="J10335" s="11"/>
      <c r="K10335" s="12">
        <v>0</v>
      </c>
      <c r="L10335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335" s="10" t="str">
        <f>HYPERLINK("mailto:giada.camassa@outsuka.it", "giada.camassa@outsuka.it")</f>
        <v>giada.camassa@outsuka.it</v>
      </c>
      <c r="N10335" s="13">
        <v>46190.337881944448</v>
      </c>
      <c r="O10335" s="14" t="str">
        <f>HYPERLINK("https://otsuka-europe-crm.veevavault.com/ui/#object/email_activity__v/V8C00000003X403", "EN-002097598")</f>
        <v>EN-002097598</v>
      </c>
    </row>
    <row r="10336" spans="1:15" ht="64" x14ac:dyDescent="0.2">
      <c r="A10336" s="7" t="str">
        <f>HYPERLINK("https://otsuka-europe-crm.veevavault.com/ui/#object/account__v/V4TZ06G6O71SB7S", "GIOACCHINO LI CAVOLI")</f>
        <v>GIOACCHINO LI CAVOLI</v>
      </c>
      <c r="B10336" s="7" t="str">
        <f>HYPERLINK("https://otsuka-europe-crm.veevavault.com/ui/#object/vcountry__v/VENZ000004SONFQ", "IT")</f>
        <v>IT</v>
      </c>
      <c r="C10336" s="8" t="s">
        <v>44</v>
      </c>
      <c r="D10336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336" s="10" t="str">
        <f>HYPERLINK("https://otsuka-europe-crm.veevavault.com/ui/#object/sent_email__v/VBL00000002U554", "SE-001436442")</f>
        <v>SE-001436442</v>
      </c>
      <c r="F10336" s="11"/>
      <c r="G10336" s="12">
        <v>0</v>
      </c>
      <c r="H10336" s="12">
        <v>0</v>
      </c>
      <c r="I10336" s="12">
        <v>0</v>
      </c>
      <c r="J10336" s="11"/>
      <c r="K10336" s="12">
        <v>0</v>
      </c>
      <c r="L10336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336" s="10" t="str">
        <f>HYPERLINK("mailto:giada.camassa@outsuka.it", "giada.camassa@outsuka.it")</f>
        <v>giada.camassa@outsuka.it</v>
      </c>
      <c r="N10336" s="13">
        <v>46190.338958333334</v>
      </c>
      <c r="O10336" s="14" t="str">
        <f>HYPERLINK("https://otsuka-europe-crm.veevavault.com/ui/#object/email_activity__v/V8C00000003X681", "EN-002098026")</f>
        <v>EN-002098026</v>
      </c>
    </row>
    <row r="10337" spans="1:15" ht="16" x14ac:dyDescent="0.2">
      <c r="A10337" s="17" t="str">
        <f>HYPERLINK("https://otsuka-europe-crm.veevavault.com/ui/#object/account__v/V4TZ06G6O71S9EX", "GIOVANNA CAPOLONGO")</f>
        <v>GIOVANNA CAPOLONGO</v>
      </c>
      <c r="B10337" s="17" t="str">
        <f>HYPERLINK("https://otsuka-europe-crm.veevavault.com/ui/#object/vcountry__v/VENZ000004SONFQ", "IT")</f>
        <v>IT</v>
      </c>
      <c r="C10337" s="20" t="s">
        <v>44</v>
      </c>
      <c r="D10337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337" s="22" t="str">
        <f>HYPERLINK("https://otsuka-europe-crm.veevavault.com/ui/#object/sent_email__v/VBL00000002U555", "SE-001436443")</f>
        <v>SE-001436443</v>
      </c>
      <c r="F10337" s="23">
        <v>46190.338946759257</v>
      </c>
      <c r="G10337" s="24">
        <v>1</v>
      </c>
      <c r="H10337" s="24">
        <v>1</v>
      </c>
      <c r="I10337" s="24">
        <v>0</v>
      </c>
      <c r="J10337" s="25"/>
      <c r="K10337" s="24">
        <v>0</v>
      </c>
      <c r="L10337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337" s="22" t="str">
        <f>HYPERLINK("mailto:giada.camassa@outsuka.it", "giada.camassa@outsuka.it")</f>
        <v>giada.camassa@outsuka.it</v>
      </c>
      <c r="N10337" s="23">
        <v>46190.337881944448</v>
      </c>
      <c r="O10337" s="14" t="str">
        <f>HYPERLINK("https://otsuka-europe-crm.veevavault.com/ui/#object/email_activity__v/V8C00000003W530", "EN-002097997")</f>
        <v>EN-002097997</v>
      </c>
    </row>
    <row r="10338" spans="1:15" ht="16" x14ac:dyDescent="0.2">
      <c r="A10338" s="19"/>
      <c r="B10338" s="19"/>
      <c r="C10338" s="19"/>
      <c r="D10338" s="19"/>
      <c r="E10338" s="19"/>
      <c r="F10338" s="19"/>
      <c r="G10338" s="19"/>
      <c r="H10338" s="19"/>
      <c r="I10338" s="19"/>
      <c r="J10338" s="19"/>
      <c r="K10338" s="19"/>
      <c r="L10338" s="19"/>
      <c r="M10338" s="19"/>
      <c r="N10338" s="19"/>
      <c r="O10338" s="14" t="str">
        <f>HYPERLINK("https://otsuka-europe-crm.veevavault.com/ui/#object/email_activity__v/V8C00000003X492", "EN-002097735")</f>
        <v>EN-002097735</v>
      </c>
    </row>
    <row r="10339" spans="1:15" ht="64" x14ac:dyDescent="0.2">
      <c r="A10339" s="7" t="str">
        <f>HYPERLINK("https://otsuka-europe-crm.veevavault.com/ui/#object/account__v/V4TZ06G6O71SA41", "GIOVANNI BATTAGLIA")</f>
        <v>GIOVANNI BATTAGLIA</v>
      </c>
      <c r="B10339" s="7" t="str">
        <f t="shared" ref="B10339:B10344" si="778">HYPERLINK("https://otsuka-europe-crm.veevavault.com/ui/#object/vcountry__v/VENZ000004SONFQ", "IT")</f>
        <v>IT</v>
      </c>
      <c r="C10339" s="8" t="s">
        <v>44</v>
      </c>
      <c r="D10339" s="9" t="str">
        <f t="shared" ref="D10339:D10344" si="779">HYPERLINK("https://otsuka-europe-crm.veevavault.com/ui/#object/approved_document__v/V5O00000000G061", "AE - AGGIORNAMENTI SEZIONE APPROFONDIMENTI NEFRO IT-NPR-2500150")</f>
        <v>AE - AGGIORNAMENTI SEZIONE APPROFONDIMENTI NEFRO IT-NPR-2500150</v>
      </c>
      <c r="E10339" s="10" t="str">
        <f>HYPERLINK("https://otsuka-europe-crm.veevavault.com/ui/#object/sent_email__v/VBL00000002U556", "SE-001436444")</f>
        <v>SE-001436444</v>
      </c>
      <c r="F10339" s="11"/>
      <c r="G10339" s="12">
        <v>0</v>
      </c>
      <c r="H10339" s="12">
        <v>0</v>
      </c>
      <c r="I10339" s="12">
        <v>0</v>
      </c>
      <c r="J10339" s="11"/>
      <c r="K10339" s="12">
        <v>0</v>
      </c>
      <c r="L10339" s="10" t="str">
        <f t="shared" ref="L10339:L10344" si="780">HYPERLINK("https://otsuka-europe-crm.veevavault.com/ui/#object/approved_document__v/V5O00000000G061", "AE - AGGIORNAMENTI SEZIONE APPROFONDIMENTI NEFRO IT-NPR-2500150")</f>
        <v>AE - AGGIORNAMENTI SEZIONE APPROFONDIMENTI NEFRO IT-NPR-2500150</v>
      </c>
      <c r="M10339" s="10" t="str">
        <f t="shared" ref="M10339:M10344" si="781">HYPERLINK("mailto:giada.camassa@outsuka.it", "giada.camassa@outsuka.it")</f>
        <v>giada.camassa@outsuka.it</v>
      </c>
      <c r="N10339" s="13">
        <v>46190.337881944448</v>
      </c>
      <c r="O10339" s="14" t="str">
        <f>HYPERLINK("https://otsuka-europe-crm.veevavault.com/ui/#object/email_activity__v/V8C00000003X320", "EN-002097517")</f>
        <v>EN-002097517</v>
      </c>
    </row>
    <row r="10340" spans="1:15" ht="64" x14ac:dyDescent="0.2">
      <c r="A10340" s="7" t="str">
        <f>HYPERLINK("https://otsuka-europe-crm.veevavault.com/ui/#object/account__v/V4TZ06G6O71SAXR", "GIOVANNI CALABRESE")</f>
        <v>GIOVANNI CALABRESE</v>
      </c>
      <c r="B10340" s="7" t="str">
        <f t="shared" si="778"/>
        <v>IT</v>
      </c>
      <c r="C10340" s="8" t="s">
        <v>44</v>
      </c>
      <c r="D10340" s="9" t="str">
        <f t="shared" si="779"/>
        <v>AE - AGGIORNAMENTI SEZIONE APPROFONDIMENTI NEFRO IT-NPR-2500150</v>
      </c>
      <c r="E10340" s="10" t="str">
        <f>HYPERLINK("https://otsuka-europe-crm.veevavault.com/ui/#object/sent_email__v/VBL00000002U557", "SE-001436445")</f>
        <v>SE-001436445</v>
      </c>
      <c r="F10340" s="11"/>
      <c r="G10340" s="12">
        <v>0</v>
      </c>
      <c r="H10340" s="12">
        <v>0</v>
      </c>
      <c r="I10340" s="12">
        <v>0</v>
      </c>
      <c r="J10340" s="11"/>
      <c r="K10340" s="12">
        <v>0</v>
      </c>
      <c r="L10340" s="10" t="str">
        <f t="shared" si="780"/>
        <v>AE - AGGIORNAMENTI SEZIONE APPROFONDIMENTI NEFRO IT-NPR-2500150</v>
      </c>
      <c r="M10340" s="10" t="str">
        <f t="shared" si="781"/>
        <v>giada.camassa@outsuka.it</v>
      </c>
      <c r="N10340" s="13">
        <v>46190.337916666664</v>
      </c>
      <c r="O10340" s="14" t="str">
        <f>HYPERLINK("https://otsuka-europe-crm.veevavault.com/ui/#object/email_activity__v/V8C00000003X287", "EN-002097478")</f>
        <v>EN-002097478</v>
      </c>
    </row>
    <row r="10341" spans="1:15" ht="64" x14ac:dyDescent="0.2">
      <c r="A10341" s="7" t="str">
        <f>HYPERLINK("https://otsuka-europe-crm.veevavault.com/ui/#object/account__v/V4TZ06G6O71SC91", "GIOVANNI SANTARSIA")</f>
        <v>GIOVANNI SANTARSIA</v>
      </c>
      <c r="B10341" s="7" t="str">
        <f t="shared" si="778"/>
        <v>IT</v>
      </c>
      <c r="C10341" s="8" t="s">
        <v>44</v>
      </c>
      <c r="D10341" s="9" t="str">
        <f t="shared" si="779"/>
        <v>AE - AGGIORNAMENTI SEZIONE APPROFONDIMENTI NEFRO IT-NPR-2500150</v>
      </c>
      <c r="E10341" s="10" t="str">
        <f>HYPERLINK("https://otsuka-europe-crm.veevavault.com/ui/#object/sent_email__v/VBL00000002U559", "SE-001436447")</f>
        <v>SE-001436447</v>
      </c>
      <c r="F10341" s="11"/>
      <c r="G10341" s="12">
        <v>0</v>
      </c>
      <c r="H10341" s="12">
        <v>0</v>
      </c>
      <c r="I10341" s="12">
        <v>0</v>
      </c>
      <c r="J10341" s="11"/>
      <c r="K10341" s="12">
        <v>0</v>
      </c>
      <c r="L10341" s="10" t="str">
        <f t="shared" si="780"/>
        <v>AE - AGGIORNAMENTI SEZIONE APPROFONDIMENTI NEFRO IT-NPR-2500150</v>
      </c>
      <c r="M10341" s="10" t="str">
        <f t="shared" si="781"/>
        <v>giada.camassa@outsuka.it</v>
      </c>
      <c r="N10341" s="13">
        <v>46190.337951388887</v>
      </c>
      <c r="O10341" s="14" t="str">
        <f>HYPERLINK("https://otsuka-europe-crm.veevavault.com/ui/#object/email_activity__v/V8C00000003X419", "EN-002097614")</f>
        <v>EN-002097614</v>
      </c>
    </row>
    <row r="10342" spans="1:15" ht="64" x14ac:dyDescent="0.2">
      <c r="A10342" s="7" t="str">
        <f>HYPERLINK("https://otsuka-europe-crm.veevavault.com/ui/#object/account__v/V4TZ06G6O71SCGS", "GIOVANNI STALLONE")</f>
        <v>GIOVANNI STALLONE</v>
      </c>
      <c r="B10342" s="7" t="str">
        <f t="shared" si="778"/>
        <v>IT</v>
      </c>
      <c r="C10342" s="8" t="s">
        <v>44</v>
      </c>
      <c r="D10342" s="9" t="str">
        <f t="shared" si="779"/>
        <v>AE - AGGIORNAMENTI SEZIONE APPROFONDIMENTI NEFRO IT-NPR-2500150</v>
      </c>
      <c r="E10342" s="10" t="str">
        <f>HYPERLINK("https://otsuka-europe-crm.veevavault.com/ui/#object/sent_email__v/VBL00000002U560", "SE-001436448")</f>
        <v>SE-001436448</v>
      </c>
      <c r="F10342" s="11"/>
      <c r="G10342" s="12">
        <v>0</v>
      </c>
      <c r="H10342" s="12">
        <v>0</v>
      </c>
      <c r="I10342" s="12">
        <v>0</v>
      </c>
      <c r="J10342" s="11"/>
      <c r="K10342" s="12">
        <v>0</v>
      </c>
      <c r="L10342" s="10" t="str">
        <f t="shared" si="780"/>
        <v>AE - AGGIORNAMENTI SEZIONE APPROFONDIMENTI NEFRO IT-NPR-2500150</v>
      </c>
      <c r="M10342" s="10" t="str">
        <f t="shared" si="781"/>
        <v>giada.camassa@outsuka.it</v>
      </c>
      <c r="N10342" s="13">
        <v>46190.339074074072</v>
      </c>
      <c r="O10342" s="14" t="str">
        <f>HYPERLINK("https://otsuka-europe-crm.veevavault.com/ui/#object/email_activity__v/V8C00000003X665", "EN-002098006")</f>
        <v>EN-002098006</v>
      </c>
    </row>
    <row r="10343" spans="1:15" ht="64" x14ac:dyDescent="0.2">
      <c r="A10343" s="7" t="str">
        <f>HYPERLINK("https://otsuka-europe-crm.veevavault.com/ui/#object/account__v/V4TZ06G6O71SB2Y", "GIUSEPPE COPPOLINO")</f>
        <v>GIUSEPPE COPPOLINO</v>
      </c>
      <c r="B10343" s="7" t="str">
        <f t="shared" si="778"/>
        <v>IT</v>
      </c>
      <c r="C10343" s="8" t="s">
        <v>44</v>
      </c>
      <c r="D10343" s="9" t="str">
        <f t="shared" si="779"/>
        <v>AE - AGGIORNAMENTI SEZIONE APPROFONDIMENTI NEFRO IT-NPR-2500150</v>
      </c>
      <c r="E10343" s="10" t="str">
        <f>HYPERLINK("https://otsuka-europe-crm.veevavault.com/ui/#object/sent_email__v/VBL00000002U561", "SE-001436449")</f>
        <v>SE-001436449</v>
      </c>
      <c r="F10343" s="11"/>
      <c r="G10343" s="12">
        <v>0</v>
      </c>
      <c r="H10343" s="12">
        <v>0</v>
      </c>
      <c r="I10343" s="12">
        <v>0</v>
      </c>
      <c r="J10343" s="11"/>
      <c r="K10343" s="12">
        <v>0</v>
      </c>
      <c r="L10343" s="10" t="str">
        <f t="shared" si="780"/>
        <v>AE - AGGIORNAMENTI SEZIONE APPROFONDIMENTI NEFRO IT-NPR-2500150</v>
      </c>
      <c r="M10343" s="10" t="str">
        <f t="shared" si="781"/>
        <v>giada.camassa@outsuka.it</v>
      </c>
      <c r="N10343" s="13">
        <v>46190.337951388887</v>
      </c>
      <c r="O10343" s="14" t="str">
        <f>HYPERLINK("https://otsuka-europe-crm.veevavault.com/ui/#object/email_activity__v/V8C00000003X412", "EN-002097607")</f>
        <v>EN-002097607</v>
      </c>
    </row>
    <row r="10344" spans="1:15" ht="16" x14ac:dyDescent="0.2">
      <c r="A10344" s="17" t="str">
        <f>HYPERLINK("https://otsuka-europe-crm.veevavault.com/ui/#object/account__v/V4TZ06G6O71SAU3", "GIUSEPPE GIGLIOTTI")</f>
        <v>GIUSEPPE GIGLIOTTI</v>
      </c>
      <c r="B10344" s="17" t="str">
        <f t="shared" si="778"/>
        <v>IT</v>
      </c>
      <c r="C10344" s="20" t="s">
        <v>44</v>
      </c>
      <c r="D10344" s="21" t="str">
        <f t="shared" si="779"/>
        <v>AE - AGGIORNAMENTI SEZIONE APPROFONDIMENTI NEFRO IT-NPR-2500150</v>
      </c>
      <c r="E10344" s="22" t="str">
        <f>HYPERLINK("https://otsuka-europe-crm.veevavault.com/ui/#object/sent_email__v/VBL00000002U562", "SE-001436450")</f>
        <v>SE-001436450</v>
      </c>
      <c r="F10344" s="25"/>
      <c r="G10344" s="24">
        <v>0</v>
      </c>
      <c r="H10344" s="24">
        <v>0</v>
      </c>
      <c r="I10344" s="24">
        <v>0</v>
      </c>
      <c r="J10344" s="25"/>
      <c r="K10344" s="24">
        <v>0</v>
      </c>
      <c r="L10344" s="22" t="str">
        <f t="shared" si="780"/>
        <v>AE - AGGIORNAMENTI SEZIONE APPROFONDIMENTI NEFRO IT-NPR-2500150</v>
      </c>
      <c r="M10344" s="22" t="str">
        <f t="shared" si="781"/>
        <v>giada.camassa@outsuka.it</v>
      </c>
      <c r="N10344" s="23">
        <v>46190.33797453704</v>
      </c>
      <c r="O10344" s="14" t="str">
        <f>HYPERLINK("https://otsuka-europe-crm.veevavault.com/ui/#object/email_activity__v/V8C00000003X489", "EN-002097703")</f>
        <v>EN-002097703</v>
      </c>
    </row>
    <row r="10345" spans="1:15" ht="16" x14ac:dyDescent="0.2">
      <c r="A10345" s="18"/>
      <c r="B10345" s="18"/>
      <c r="C10345" s="18"/>
      <c r="D10345" s="18"/>
      <c r="E10345" s="18"/>
      <c r="F10345" s="18"/>
      <c r="G10345" s="18"/>
      <c r="H10345" s="18"/>
      <c r="I10345" s="18"/>
      <c r="J10345" s="18"/>
      <c r="K10345" s="18"/>
      <c r="L10345" s="18"/>
      <c r="M10345" s="18"/>
      <c r="N10345" s="18"/>
      <c r="O10345" s="14" t="str">
        <f>HYPERLINK("https://otsuka-europe-crm.veevavault.com/ui/#object/email_activity__v/V8C00000003Z026", "EN-002098689")</f>
        <v>EN-002098689</v>
      </c>
    </row>
    <row r="10346" spans="1:15" ht="16" x14ac:dyDescent="0.2">
      <c r="A10346" s="18"/>
      <c r="B10346" s="18"/>
      <c r="C10346" s="18"/>
      <c r="D10346" s="18"/>
      <c r="E10346" s="18"/>
      <c r="F10346" s="18"/>
      <c r="G10346" s="18"/>
      <c r="H10346" s="18"/>
      <c r="I10346" s="18"/>
      <c r="J10346" s="18"/>
      <c r="K10346" s="18"/>
      <c r="L10346" s="18"/>
      <c r="M10346" s="18"/>
      <c r="N10346" s="18"/>
      <c r="O10346" s="14" t="str">
        <f>HYPERLINK("https://otsuka-europe-crm.veevavault.com/ui/#object/email_activity__v/V8C000000041217", "EN-002100101")</f>
        <v>EN-002100101</v>
      </c>
    </row>
    <row r="10347" spans="1:15" ht="16" x14ac:dyDescent="0.2">
      <c r="A10347" s="19"/>
      <c r="B10347" s="19"/>
      <c r="C10347" s="19"/>
      <c r="D10347" s="19"/>
      <c r="E10347" s="19"/>
      <c r="F10347" s="19"/>
      <c r="G10347" s="19"/>
      <c r="H10347" s="19"/>
      <c r="I10347" s="19"/>
      <c r="J10347" s="19"/>
      <c r="K10347" s="19"/>
      <c r="L10347" s="19"/>
      <c r="M10347" s="19"/>
      <c r="N10347" s="19"/>
      <c r="O10347" s="14" t="str">
        <f>HYPERLINK("https://otsuka-europe-crm.veevavault.com/ui/#object/email_activity__v/V8C000000042013", "EN-002099715")</f>
        <v>EN-002099715</v>
      </c>
    </row>
    <row r="10348" spans="1:15" ht="16" x14ac:dyDescent="0.2">
      <c r="A10348" s="17" t="str">
        <f>HYPERLINK("https://otsuka-europe-crm.veevavault.com/ui/#object/account__v/V4TZ025E8365WZH", "GIUSEPPE MARIA MULE'")</f>
        <v>GIUSEPPE MARIA MULE'</v>
      </c>
      <c r="B10348" s="17" t="str">
        <f>HYPERLINK("https://otsuka-europe-crm.veevavault.com/ui/#object/vcountry__v/VENZ000004SONFQ", "IT")</f>
        <v>IT</v>
      </c>
      <c r="C10348" s="20" t="s">
        <v>44</v>
      </c>
      <c r="D10348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348" s="22" t="str">
        <f>HYPERLINK("https://otsuka-europe-crm.veevavault.com/ui/#object/sent_email__v/VBL00000002U563", "SE-001436451")</f>
        <v>SE-001436451</v>
      </c>
      <c r="F10348" s="23">
        <v>46190.339363425926</v>
      </c>
      <c r="G10348" s="24">
        <v>1</v>
      </c>
      <c r="H10348" s="24">
        <v>1</v>
      </c>
      <c r="I10348" s="24">
        <v>0</v>
      </c>
      <c r="J10348" s="25"/>
      <c r="K10348" s="24">
        <v>0</v>
      </c>
      <c r="L10348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348" s="22" t="str">
        <f>HYPERLINK("mailto:giada.camassa@outsuka.it", "giada.camassa@outsuka.it")</f>
        <v>giada.camassa@outsuka.it</v>
      </c>
      <c r="N10348" s="23">
        <v>46190.339201388888</v>
      </c>
      <c r="O10348" s="14" t="str">
        <f>HYPERLINK("https://otsuka-europe-crm.veevavault.com/ui/#object/email_activity__v/V8C00000003W547", "EN-002098043")</f>
        <v>EN-002098043</v>
      </c>
    </row>
    <row r="10349" spans="1:15" ht="16" x14ac:dyDescent="0.2">
      <c r="A10349" s="19"/>
      <c r="B10349" s="19"/>
      <c r="C10349" s="19"/>
      <c r="D10349" s="19"/>
      <c r="E10349" s="19"/>
      <c r="F10349" s="19"/>
      <c r="G10349" s="19"/>
      <c r="H10349" s="19"/>
      <c r="I10349" s="19"/>
      <c r="J10349" s="19"/>
      <c r="K10349" s="19"/>
      <c r="L10349" s="19"/>
      <c r="M10349" s="19"/>
      <c r="N10349" s="19"/>
      <c r="O10349" s="14" t="str">
        <f>HYPERLINK("https://otsuka-europe-crm.veevavault.com/ui/#object/email_activity__v/V8C00000003X689", "EN-002098050")</f>
        <v>EN-002098050</v>
      </c>
    </row>
    <row r="10350" spans="1:15" ht="64" x14ac:dyDescent="0.2">
      <c r="A10350" s="7" t="str">
        <f>HYPERLINK("https://otsuka-europe-crm.veevavault.com/ui/#object/account__v/V4TZ06G6O71SCF4", "GIUSEPPE SEMINARA")</f>
        <v>GIUSEPPE SEMINARA</v>
      </c>
      <c r="B10350" s="7" t="str">
        <f>HYPERLINK("https://otsuka-europe-crm.veevavault.com/ui/#object/vcountry__v/VENZ000004SONFQ", "IT")</f>
        <v>IT</v>
      </c>
      <c r="C10350" s="8" t="s">
        <v>44</v>
      </c>
      <c r="D10350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350" s="10" t="str">
        <f>HYPERLINK("https://otsuka-europe-crm.veevavault.com/ui/#object/sent_email__v/VBL00000002U564", "SE-001436452")</f>
        <v>SE-001436452</v>
      </c>
      <c r="F10350" s="11"/>
      <c r="G10350" s="12">
        <v>0</v>
      </c>
      <c r="H10350" s="12">
        <v>0</v>
      </c>
      <c r="I10350" s="12">
        <v>0</v>
      </c>
      <c r="J10350" s="11"/>
      <c r="K10350" s="12">
        <v>0</v>
      </c>
      <c r="L10350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350" s="10" t="str">
        <f>HYPERLINK("mailto:giada.camassa@outsuka.it", "giada.camassa@outsuka.it")</f>
        <v>giada.camassa@outsuka.it</v>
      </c>
      <c r="N10350" s="13">
        <v>46190.33798611111</v>
      </c>
      <c r="O10350" s="14" t="str">
        <f>HYPERLINK("https://otsuka-europe-crm.veevavault.com/ui/#object/email_activity__v/V8C00000003X300", "EN-002097491")</f>
        <v>EN-002097491</v>
      </c>
    </row>
    <row r="10351" spans="1:15" ht="16" x14ac:dyDescent="0.2">
      <c r="A10351" s="17" t="str">
        <f>HYPERLINK("https://otsuka-europe-crm.veevavault.com/ui/#object/account__v/V4TZ06G6O71SCNT", "GIUSEPPE VEZZOLI")</f>
        <v>GIUSEPPE VEZZOLI</v>
      </c>
      <c r="B10351" s="17" t="str">
        <f>HYPERLINK("https://otsuka-europe-crm.veevavault.com/ui/#object/vcountry__v/VENZ000004SONFQ", "IT")</f>
        <v>IT</v>
      </c>
      <c r="C10351" s="20" t="s">
        <v>44</v>
      </c>
      <c r="D10351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351" s="22" t="str">
        <f>HYPERLINK("https://otsuka-europe-crm.veevavault.com/ui/#object/sent_email__v/VBL00000002U565", "SE-001436453")</f>
        <v>SE-001436453</v>
      </c>
      <c r="F10351" s="23">
        <v>46190.338113425925</v>
      </c>
      <c r="G10351" s="24">
        <v>1</v>
      </c>
      <c r="H10351" s="24">
        <v>1</v>
      </c>
      <c r="I10351" s="24">
        <v>0</v>
      </c>
      <c r="J10351" s="25"/>
      <c r="K10351" s="24">
        <v>0</v>
      </c>
      <c r="L10351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351" s="22" t="str">
        <f>HYPERLINK("mailto:giada.camassa@outsuka.it", "giada.camassa@outsuka.it")</f>
        <v>giada.camassa@outsuka.it</v>
      </c>
      <c r="N10351" s="23">
        <v>46190.337951388887</v>
      </c>
      <c r="O10351" s="14" t="str">
        <f>HYPERLINK("https://otsuka-europe-crm.veevavault.com/ui/#object/email_activity__v/V8C00000003W448", "EN-002097732")</f>
        <v>EN-002097732</v>
      </c>
    </row>
    <row r="10352" spans="1:15" ht="16" x14ac:dyDescent="0.2">
      <c r="A10352" s="19"/>
      <c r="B10352" s="19"/>
      <c r="C10352" s="19"/>
      <c r="D10352" s="19"/>
      <c r="E10352" s="19"/>
      <c r="F10352" s="19"/>
      <c r="G10352" s="19"/>
      <c r="H10352" s="19"/>
      <c r="I10352" s="19"/>
      <c r="J10352" s="19"/>
      <c r="K10352" s="19"/>
      <c r="L10352" s="19"/>
      <c r="M10352" s="19"/>
      <c r="N10352" s="19"/>
      <c r="O10352" s="14" t="str">
        <f>HYPERLINK("https://otsuka-europe-crm.veevavault.com/ui/#object/email_activity__v/V8C00000003X538", "EN-002097821")</f>
        <v>EN-002097821</v>
      </c>
    </row>
    <row r="10353" spans="1:15" ht="64" x14ac:dyDescent="0.2">
      <c r="A10353" s="7" t="str">
        <f>HYPERLINK("https://otsuka-europe-crm.veevavault.com/ui/#object/account__v/V4TZ025E83WPJ2I", "GIUSEPPINA PESSOLANO")</f>
        <v>GIUSEPPINA PESSOLANO</v>
      </c>
      <c r="B10353" s="7" t="str">
        <f>HYPERLINK("https://otsuka-europe-crm.veevavault.com/ui/#object/vcountry__v/VENZ000004SONFQ", "IT")</f>
        <v>IT</v>
      </c>
      <c r="C10353" s="8" t="s">
        <v>44</v>
      </c>
      <c r="D10353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353" s="10" t="str">
        <f>HYPERLINK("https://otsuka-europe-crm.veevavault.com/ui/#object/sent_email__v/VBL00000002U566", "SE-001436454")</f>
        <v>SE-001436454</v>
      </c>
      <c r="F10353" s="11"/>
      <c r="G10353" s="12">
        <v>0</v>
      </c>
      <c r="H10353" s="12">
        <v>0</v>
      </c>
      <c r="I10353" s="12">
        <v>0</v>
      </c>
      <c r="J10353" s="11"/>
      <c r="K10353" s="12">
        <v>0</v>
      </c>
      <c r="L10353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353" s="10" t="str">
        <f>HYPERLINK("mailto:giada.camassa@outsuka.it", "giada.camassa@outsuka.it")</f>
        <v>giada.camassa@outsuka.it</v>
      </c>
      <c r="N10353" s="13">
        <v>46190.338773148149</v>
      </c>
      <c r="O10353" s="14" t="str">
        <f>HYPERLINK("https://otsuka-europe-crm.veevavault.com/ui/#object/email_activity__v/V8C00000003W520", "EN-002097957")</f>
        <v>EN-002097957</v>
      </c>
    </row>
    <row r="10354" spans="1:15" ht="64" x14ac:dyDescent="0.2">
      <c r="A10354" s="7" t="str">
        <f>HYPERLINK("https://otsuka-europe-crm.veevavault.com/ui/#object/account__v/V4TZ025E83E2ZKD", "GRAZIELLA CARIDI")</f>
        <v>GRAZIELLA CARIDI</v>
      </c>
      <c r="B10354" s="7" t="str">
        <f>HYPERLINK("https://otsuka-europe-crm.veevavault.com/ui/#object/vcountry__v/VENZ000004SONFQ", "IT")</f>
        <v>IT</v>
      </c>
      <c r="C10354" s="8" t="s">
        <v>44</v>
      </c>
      <c r="D10354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354" s="10" t="str">
        <f>HYPERLINK("https://otsuka-europe-crm.veevavault.com/ui/#object/sent_email__v/VBL00000002U567", "SE-001436455")</f>
        <v>SE-001436455</v>
      </c>
      <c r="F10354" s="11"/>
      <c r="G10354" s="12">
        <v>0</v>
      </c>
      <c r="H10354" s="12">
        <v>0</v>
      </c>
      <c r="I10354" s="12">
        <v>0</v>
      </c>
      <c r="J10354" s="11"/>
      <c r="K10354" s="12">
        <v>0</v>
      </c>
      <c r="L10354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354" s="10" t="str">
        <f>HYPERLINK("mailto:giada.camassa@outsuka.it", "giada.camassa@outsuka.it")</f>
        <v>giada.camassa@outsuka.it</v>
      </c>
      <c r="N10354" s="13">
        <v>46190.338206018518</v>
      </c>
      <c r="O10354" s="14" t="str">
        <f>HYPERLINK("https://otsuka-europe-crm.veevavault.com/ui/#object/email_activity__v/V8C00000003X569", "EN-002097865")</f>
        <v>EN-002097865</v>
      </c>
    </row>
    <row r="10355" spans="1:15" ht="64" x14ac:dyDescent="0.2">
      <c r="A10355" s="7" t="str">
        <f>HYPERLINK("https://otsuka-europe-crm.veevavault.com/ui/#object/account__v/V4TZ06G6O71SAP6", "GUIDO GAROSI")</f>
        <v>GUIDO GAROSI</v>
      </c>
      <c r="B10355" s="7" t="str">
        <f>HYPERLINK("https://otsuka-europe-crm.veevavault.com/ui/#object/vcountry__v/VENZ000004SONFQ", "IT")</f>
        <v>IT</v>
      </c>
      <c r="C10355" s="8" t="s">
        <v>44</v>
      </c>
      <c r="D10355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355" s="10" t="str">
        <f>HYPERLINK("https://otsuka-europe-crm.veevavault.com/ui/#object/sent_email__v/VBL00000002U568", "SE-001436456")</f>
        <v>SE-001436456</v>
      </c>
      <c r="F10355" s="11"/>
      <c r="G10355" s="12">
        <v>0</v>
      </c>
      <c r="H10355" s="12">
        <v>0</v>
      </c>
      <c r="I10355" s="12">
        <v>0</v>
      </c>
      <c r="J10355" s="11"/>
      <c r="K10355" s="12">
        <v>0</v>
      </c>
      <c r="L10355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355" s="10" t="str">
        <f>HYPERLINK("mailto:giada.camassa@outsuka.it", "giada.camassa@outsuka.it")</f>
        <v>giada.camassa@outsuka.it</v>
      </c>
      <c r="N10355" s="13">
        <v>46190.337847222225</v>
      </c>
      <c r="O10355" s="14" t="str">
        <f>HYPERLINK("https://otsuka-europe-crm.veevavault.com/ui/#object/email_activity__v/V8C00000003W610", "EN-002098222")</f>
        <v>EN-002098222</v>
      </c>
    </row>
    <row r="10356" spans="1:15" ht="16" x14ac:dyDescent="0.2">
      <c r="A10356" s="17" t="str">
        <f>HYPERLINK("https://otsuka-europe-crm.veevavault.com/ui/#object/account__v/V4TZ025E83BAPZW", "IVANA CAPUANO")</f>
        <v>IVANA CAPUANO</v>
      </c>
      <c r="B10356" s="17" t="str">
        <f>HYPERLINK("https://otsuka-europe-crm.veevavault.com/ui/#object/vcountry__v/VENZ000004SONFQ", "IT")</f>
        <v>IT</v>
      </c>
      <c r="C10356" s="20" t="s">
        <v>44</v>
      </c>
      <c r="D10356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356" s="22" t="str">
        <f>HYPERLINK("https://otsuka-europe-crm.veevavault.com/ui/#object/sent_email__v/VBL00000002U570", "SE-001436458")</f>
        <v>SE-001436458</v>
      </c>
      <c r="F10356" s="23">
        <v>46190.338530092595</v>
      </c>
      <c r="G10356" s="24">
        <v>1</v>
      </c>
      <c r="H10356" s="24">
        <v>1</v>
      </c>
      <c r="I10356" s="24">
        <v>0</v>
      </c>
      <c r="J10356" s="25"/>
      <c r="K10356" s="24">
        <v>0</v>
      </c>
      <c r="L10356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356" s="22" t="str">
        <f>HYPERLINK("mailto:giada.camassa@outsuka.it", "giada.camassa@outsuka.it")</f>
        <v>giada.camassa@outsuka.it</v>
      </c>
      <c r="N10356" s="23">
        <v>46190.337858796294</v>
      </c>
      <c r="O10356" s="14" t="str">
        <f>HYPERLINK("https://otsuka-europe-crm.veevavault.com/ui/#object/email_activity__v/V8C00000003W503", "EN-002097909")</f>
        <v>EN-002097909</v>
      </c>
    </row>
    <row r="10357" spans="1:15" ht="16" x14ac:dyDescent="0.2">
      <c r="A10357" s="19"/>
      <c r="B10357" s="19"/>
      <c r="C10357" s="19"/>
      <c r="D10357" s="19"/>
      <c r="E10357" s="19"/>
      <c r="F10357" s="19"/>
      <c r="G10357" s="19"/>
      <c r="H10357" s="19"/>
      <c r="I10357" s="19"/>
      <c r="J10357" s="19"/>
      <c r="K10357" s="19"/>
      <c r="L10357" s="19"/>
      <c r="M10357" s="19"/>
      <c r="N10357" s="19"/>
      <c r="O10357" s="14" t="str">
        <f>HYPERLINK("https://otsuka-europe-crm.veevavault.com/ui/#object/email_activity__v/V8C00000003X456", "EN-002097793")</f>
        <v>EN-002097793</v>
      </c>
    </row>
    <row r="10358" spans="1:15" ht="64" x14ac:dyDescent="0.2">
      <c r="A10358" s="7" t="str">
        <f>HYPERLINK("https://otsuka-europe-crm.veevavault.com/ui/#object/account__v/V4TZ06G6OC6KOCV", "LAURA SOTTINI")</f>
        <v>LAURA SOTTINI</v>
      </c>
      <c r="B10358" s="7" t="str">
        <f>HYPERLINK("https://otsuka-europe-crm.veevavault.com/ui/#object/vcountry__v/VENZ000004SONFQ", "IT")</f>
        <v>IT</v>
      </c>
      <c r="C10358" s="8" t="s">
        <v>44</v>
      </c>
      <c r="D10358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358" s="10" t="str">
        <f>HYPERLINK("https://otsuka-europe-crm.veevavault.com/ui/#object/sent_email__v/VBL00000002U571", "SE-001436459")</f>
        <v>SE-001436459</v>
      </c>
      <c r="F10358" s="11"/>
      <c r="G10358" s="12">
        <v>0</v>
      </c>
      <c r="H10358" s="12">
        <v>0</v>
      </c>
      <c r="I10358" s="12">
        <v>0</v>
      </c>
      <c r="J10358" s="11"/>
      <c r="K10358" s="12">
        <v>0</v>
      </c>
      <c r="L10358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358" s="10" t="str">
        <f>HYPERLINK("mailto:giada.camassa@outsuka.it", "giada.camassa@outsuka.it")</f>
        <v>giada.camassa@outsuka.it</v>
      </c>
      <c r="N10358" s="13">
        <v>46190.337870370371</v>
      </c>
      <c r="O10358" s="14" t="str">
        <f>HYPERLINK("https://otsuka-europe-crm.veevavault.com/ui/#object/email_activity__v/V8C00000003W454", "EN-002097777")</f>
        <v>EN-002097777</v>
      </c>
    </row>
    <row r="10359" spans="1:15" ht="64" x14ac:dyDescent="0.2">
      <c r="A10359" s="7" t="str">
        <f>HYPERLINK("https://otsuka-europe-crm.veevavault.com/ui/#object/account__v/V4TZ06G6O71SB0E", "LEONARDO CAROTI")</f>
        <v>LEONARDO CAROTI</v>
      </c>
      <c r="B10359" s="7" t="str">
        <f>HYPERLINK("https://otsuka-europe-crm.veevavault.com/ui/#object/vcountry__v/VENZ000004SONFQ", "IT")</f>
        <v>IT</v>
      </c>
      <c r="C10359" s="8" t="s">
        <v>44</v>
      </c>
      <c r="D10359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359" s="10" t="str">
        <f>HYPERLINK("https://otsuka-europe-crm.veevavault.com/ui/#object/sent_email__v/VBL00000002U572", "SE-001436460")</f>
        <v>SE-001436460</v>
      </c>
      <c r="F10359" s="11"/>
      <c r="G10359" s="12">
        <v>0</v>
      </c>
      <c r="H10359" s="12">
        <v>0</v>
      </c>
      <c r="I10359" s="12">
        <v>0</v>
      </c>
      <c r="J10359" s="11"/>
      <c r="K10359" s="12">
        <v>0</v>
      </c>
      <c r="L10359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359" s="10" t="str">
        <f>HYPERLINK("mailto:giada.camassa@outsuka.it", "giada.camassa@outsuka.it")</f>
        <v>giada.camassa@outsuka.it</v>
      </c>
      <c r="N10359" s="13">
        <v>46190.33792824074</v>
      </c>
      <c r="O10359" s="14" t="str">
        <f>HYPERLINK("https://otsuka-europe-crm.veevavault.com/ui/#object/email_activity__v/V8C00000003X292", "EN-002097483")</f>
        <v>EN-002097483</v>
      </c>
    </row>
    <row r="10360" spans="1:15" ht="64" x14ac:dyDescent="0.2">
      <c r="A10360" s="7" t="str">
        <f>HYPERLINK("https://otsuka-europe-crm.veevavault.com/ui/#object/account__v/V4TZ025E85GJI6A", "LEONARDO SPATOLA")</f>
        <v>LEONARDO SPATOLA</v>
      </c>
      <c r="B10360" s="7" t="str">
        <f>HYPERLINK("https://otsuka-europe-crm.veevavault.com/ui/#object/vcountry__v/VENZ000004SONFQ", "IT")</f>
        <v>IT</v>
      </c>
      <c r="C10360" s="8" t="s">
        <v>44</v>
      </c>
      <c r="D10360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360" s="10" t="str">
        <f>HYPERLINK("https://otsuka-europe-crm.veevavault.com/ui/#object/sent_email__v/VBL00000002U573", "SE-001436461")</f>
        <v>SE-001436461</v>
      </c>
      <c r="F10360" s="11"/>
      <c r="G10360" s="12">
        <v>0</v>
      </c>
      <c r="H10360" s="12">
        <v>0</v>
      </c>
      <c r="I10360" s="12">
        <v>0</v>
      </c>
      <c r="J10360" s="11"/>
      <c r="K10360" s="12">
        <v>0</v>
      </c>
      <c r="L10360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360" s="10" t="str">
        <f>HYPERLINK("mailto:giada.camassa@outsuka.it", "giada.camassa@outsuka.it")</f>
        <v>giada.camassa@outsuka.it</v>
      </c>
      <c r="N10360" s="13">
        <v>46190.337870370371</v>
      </c>
      <c r="O10360" s="14" t="str">
        <f>HYPERLINK("https://otsuka-europe-crm.veevavault.com/ui/#object/email_activity__v/V8C00000003X324", "EN-002097521")</f>
        <v>EN-002097521</v>
      </c>
    </row>
    <row r="10361" spans="1:15" ht="16" x14ac:dyDescent="0.2">
      <c r="A10361" s="17" t="str">
        <f>HYPERLINK("https://otsuka-europe-crm.veevavault.com/ui/#object/account__v/V4TZ025E84GCU9J", "LIVIA MARIA SORRENTINO")</f>
        <v>LIVIA MARIA SORRENTINO</v>
      </c>
      <c r="B10361" s="17" t="str">
        <f>HYPERLINK("https://otsuka-europe-crm.veevavault.com/ui/#object/vcountry__v/VENZ000004SONFQ", "IT")</f>
        <v>IT</v>
      </c>
      <c r="C10361" s="20" t="s">
        <v>44</v>
      </c>
      <c r="D10361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361" s="22" t="str">
        <f>HYPERLINK("https://otsuka-europe-crm.veevavault.com/ui/#object/sent_email__v/VBL00000002U574", "SE-001436462")</f>
        <v>SE-001436462</v>
      </c>
      <c r="F10361" s="23">
        <v>46195.267743055556</v>
      </c>
      <c r="G10361" s="24">
        <v>1</v>
      </c>
      <c r="H10361" s="24">
        <v>3</v>
      </c>
      <c r="I10361" s="24">
        <v>0</v>
      </c>
      <c r="J10361" s="25"/>
      <c r="K10361" s="24">
        <v>0</v>
      </c>
      <c r="L10361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361" s="22" t="str">
        <f>HYPERLINK("mailto:giada.camassa@outsuka.it", "giada.camassa@outsuka.it")</f>
        <v>giada.camassa@outsuka.it</v>
      </c>
      <c r="N10361" s="23">
        <v>46190.33792824074</v>
      </c>
      <c r="O10361" s="14" t="str">
        <f>HYPERLINK("https://otsuka-europe-crm.veevavault.com/ui/#object/email_activity__v/V8C00000003W446", "EN-002097730")</f>
        <v>EN-002097730</v>
      </c>
    </row>
    <row r="10362" spans="1:15" ht="16" x14ac:dyDescent="0.2">
      <c r="A10362" s="18"/>
      <c r="B10362" s="18"/>
      <c r="C10362" s="18"/>
      <c r="D10362" s="18"/>
      <c r="E10362" s="18"/>
      <c r="F10362" s="18"/>
      <c r="G10362" s="18"/>
      <c r="H10362" s="18"/>
      <c r="I10362" s="18"/>
      <c r="J10362" s="18"/>
      <c r="K10362" s="18"/>
      <c r="L10362" s="18"/>
      <c r="M10362" s="18"/>
      <c r="N10362" s="18"/>
      <c r="O10362" s="14" t="str">
        <f>HYPERLINK("https://otsuka-europe-crm.veevavault.com/ui/#object/email_activity__v/V8C00000003X512", "EN-002097755")</f>
        <v>EN-002097755</v>
      </c>
    </row>
    <row r="10363" spans="1:15" ht="16" x14ac:dyDescent="0.2">
      <c r="A10363" s="18"/>
      <c r="B10363" s="18"/>
      <c r="C10363" s="18"/>
      <c r="D10363" s="18"/>
      <c r="E10363" s="18"/>
      <c r="F10363" s="18"/>
      <c r="G10363" s="18"/>
      <c r="H10363" s="18"/>
      <c r="I10363" s="18"/>
      <c r="J10363" s="18"/>
      <c r="K10363" s="18"/>
      <c r="L10363" s="18"/>
      <c r="M10363" s="18"/>
      <c r="N10363" s="18"/>
      <c r="O10363" s="14" t="str">
        <f>HYPERLINK("https://otsuka-europe-crm.veevavault.com/ui/#object/email_activity__v/V8C00000003Z198", "EN-002098996")</f>
        <v>EN-002098996</v>
      </c>
    </row>
    <row r="10364" spans="1:15" ht="16" x14ac:dyDescent="0.2">
      <c r="A10364" s="19"/>
      <c r="B10364" s="19"/>
      <c r="C10364" s="19"/>
      <c r="D10364" s="19"/>
      <c r="E10364" s="19"/>
      <c r="F10364" s="19"/>
      <c r="G10364" s="19"/>
      <c r="H10364" s="19"/>
      <c r="I10364" s="19"/>
      <c r="J10364" s="19"/>
      <c r="K10364" s="19"/>
      <c r="L10364" s="19"/>
      <c r="M10364" s="19"/>
      <c r="N10364" s="19"/>
      <c r="O10364" s="14" t="str">
        <f>HYPERLINK("https://otsuka-europe-crm.veevavault.com/ui/#object/email_activity__v/V8C00000003Z199", "EN-002098997")</f>
        <v>EN-002098997</v>
      </c>
    </row>
    <row r="10365" spans="1:15" ht="64" x14ac:dyDescent="0.2">
      <c r="A10365" s="7" t="str">
        <f>HYPERLINK("https://otsuka-europe-crm.veevavault.com/ui/#object/account__v/V4TZ04ASGBNHMNT", "LJILJANA JANKOVIC")</f>
        <v>LJILJANA JANKOVIC</v>
      </c>
      <c r="B10365" s="7" t="str">
        <f>HYPERLINK("https://otsuka-europe-crm.veevavault.com/ui/#object/vcountry__v/VENZ000004SONFQ", "IT")</f>
        <v>IT</v>
      </c>
      <c r="C10365" s="8" t="s">
        <v>44</v>
      </c>
      <c r="D10365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365" s="10" t="str">
        <f>HYPERLINK("https://otsuka-europe-crm.veevavault.com/ui/#object/sent_email__v/VBL00000002U575", "SE-001436463")</f>
        <v>SE-001436463</v>
      </c>
      <c r="F10365" s="11"/>
      <c r="G10365" s="12">
        <v>0</v>
      </c>
      <c r="H10365" s="12">
        <v>0</v>
      </c>
      <c r="I10365" s="12">
        <v>0</v>
      </c>
      <c r="J10365" s="11"/>
      <c r="K10365" s="12">
        <v>0</v>
      </c>
      <c r="L10365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365" s="10" t="str">
        <f>HYPERLINK("mailto:giada.camassa@outsuka.it", "giada.camassa@outsuka.it")</f>
        <v>giada.camassa@outsuka.it</v>
      </c>
      <c r="N10365" s="13">
        <v>46190.337916666664</v>
      </c>
      <c r="O10365" s="14" t="str">
        <f>HYPERLINK("https://otsuka-europe-crm.veevavault.com/ui/#object/email_activity__v/V8C00000003X497", "EN-002097740")</f>
        <v>EN-002097740</v>
      </c>
    </row>
    <row r="10366" spans="1:15" ht="64" x14ac:dyDescent="0.2">
      <c r="A10366" s="7" t="str">
        <f>HYPERLINK("https://otsuka-europe-crm.veevavault.com/ui/#object/account__v/V4TZ06G6O71SAG3", "LORENZO DI LIBERATO")</f>
        <v>LORENZO DI LIBERATO</v>
      </c>
      <c r="B10366" s="7" t="str">
        <f>HYPERLINK("https://otsuka-europe-crm.veevavault.com/ui/#object/vcountry__v/VENZ000004SONFQ", "IT")</f>
        <v>IT</v>
      </c>
      <c r="C10366" s="8" t="s">
        <v>44</v>
      </c>
      <c r="D10366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366" s="10" t="str">
        <f>HYPERLINK("https://otsuka-europe-crm.veevavault.com/ui/#object/sent_email__v/VBL00000002U576", "SE-001436464")</f>
        <v>SE-001436464</v>
      </c>
      <c r="F10366" s="11"/>
      <c r="G10366" s="12">
        <v>0</v>
      </c>
      <c r="H10366" s="12">
        <v>0</v>
      </c>
      <c r="I10366" s="12">
        <v>0</v>
      </c>
      <c r="J10366" s="11"/>
      <c r="K10366" s="12">
        <v>0</v>
      </c>
      <c r="L10366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366" s="10" t="str">
        <f>HYPERLINK("mailto:giada.camassa@outsuka.it", "giada.camassa@outsuka.it")</f>
        <v>giada.camassa@outsuka.it</v>
      </c>
      <c r="N10366" s="13">
        <v>46190.337951388887</v>
      </c>
      <c r="O10366" s="14" t="str">
        <f>HYPERLINK("https://otsuka-europe-crm.veevavault.com/ui/#object/email_activity__v/V8C00000003X516", "EN-002097759")</f>
        <v>EN-002097759</v>
      </c>
    </row>
    <row r="10367" spans="1:15" ht="16" x14ac:dyDescent="0.2">
      <c r="A10367" s="17" t="str">
        <f>HYPERLINK("https://otsuka-europe-crm.veevavault.com/ui/#object/account__v/V4TZ06G6O71SATT", "LORETO GESUALDO")</f>
        <v>LORETO GESUALDO</v>
      </c>
      <c r="B10367" s="17" t="str">
        <f>HYPERLINK("https://otsuka-europe-crm.veevavault.com/ui/#object/vcountry__v/VENZ000004SONFQ", "IT")</f>
        <v>IT</v>
      </c>
      <c r="C10367" s="20" t="s">
        <v>44</v>
      </c>
      <c r="D10367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367" s="22" t="str">
        <f>HYPERLINK("https://otsuka-europe-crm.veevavault.com/ui/#object/sent_email__v/VBL00000002U577", "SE-001436465")</f>
        <v>SE-001436465</v>
      </c>
      <c r="F10367" s="25"/>
      <c r="G10367" s="24">
        <v>0</v>
      </c>
      <c r="H10367" s="24">
        <v>0</v>
      </c>
      <c r="I10367" s="24">
        <v>0</v>
      </c>
      <c r="J10367" s="25"/>
      <c r="K10367" s="24">
        <v>0</v>
      </c>
      <c r="L10367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367" s="22" t="str">
        <f>HYPERLINK("mailto:giada.camassa@outsuka.it", "giada.camassa@outsuka.it")</f>
        <v>giada.camassa@outsuka.it</v>
      </c>
      <c r="N10367" s="23">
        <v>46190.338958333334</v>
      </c>
      <c r="O10367" s="14" t="str">
        <f>HYPERLINK("https://otsuka-europe-crm.veevavault.com/ui/#object/email_activity__v/V8C00000003X682", "EN-002098036")</f>
        <v>EN-002098036</v>
      </c>
    </row>
    <row r="10368" spans="1:15" ht="16" x14ac:dyDescent="0.2">
      <c r="A10368" s="19"/>
      <c r="B10368" s="19"/>
      <c r="C10368" s="19"/>
      <c r="D10368" s="19"/>
      <c r="E10368" s="19"/>
      <c r="F10368" s="19"/>
      <c r="G10368" s="19"/>
      <c r="H10368" s="19"/>
      <c r="I10368" s="19"/>
      <c r="J10368" s="19"/>
      <c r="K10368" s="19"/>
      <c r="L10368" s="19"/>
      <c r="M10368" s="19"/>
      <c r="N10368" s="19"/>
      <c r="O10368" s="14" t="str">
        <f>HYPERLINK("https://otsuka-europe-crm.veevavault.com/ui/#object/email_activity__v/V8C00000003X890", "EN-002098412")</f>
        <v>EN-002098412</v>
      </c>
    </row>
    <row r="10369" spans="1:15" ht="16" x14ac:dyDescent="0.2">
      <c r="A10369" s="17" t="str">
        <f>HYPERLINK("https://otsuka-europe-crm.veevavault.com/ui/#object/account__v/V4TZ06G6O71SABQ", "LUCA DE NICOLA")</f>
        <v>LUCA DE NICOLA</v>
      </c>
      <c r="B10369" s="17" t="str">
        <f>HYPERLINK("https://otsuka-europe-crm.veevavault.com/ui/#object/vcountry__v/VENZ000004SONFQ", "IT")</f>
        <v>IT</v>
      </c>
      <c r="C10369" s="20" t="s">
        <v>44</v>
      </c>
      <c r="D10369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369" s="22" t="str">
        <f>HYPERLINK("https://otsuka-europe-crm.veevavault.com/ui/#object/sent_email__v/VBL00000002U578", "SE-001436466")</f>
        <v>SE-001436466</v>
      </c>
      <c r="F10369" s="23">
        <v>46190.338090277779</v>
      </c>
      <c r="G10369" s="24">
        <v>1</v>
      </c>
      <c r="H10369" s="24">
        <v>1</v>
      </c>
      <c r="I10369" s="24">
        <v>0</v>
      </c>
      <c r="J10369" s="25"/>
      <c r="K10369" s="24">
        <v>0</v>
      </c>
      <c r="L10369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369" s="22" t="str">
        <f>HYPERLINK("mailto:giada.camassa@outsuka.it", "giada.camassa@outsuka.it")</f>
        <v>giada.camassa@outsuka.it</v>
      </c>
      <c r="N10369" s="23">
        <v>46190.337858796294</v>
      </c>
      <c r="O10369" s="14" t="str">
        <f>HYPERLINK("https://otsuka-europe-crm.veevavault.com/ui/#object/email_activity__v/V8C00000003W461", "EN-002097784")</f>
        <v>EN-002097784</v>
      </c>
    </row>
    <row r="10370" spans="1:15" ht="16" x14ac:dyDescent="0.2">
      <c r="A10370" s="19"/>
      <c r="B10370" s="19"/>
      <c r="C10370" s="19"/>
      <c r="D10370" s="19"/>
      <c r="E10370" s="19"/>
      <c r="F10370" s="19"/>
      <c r="G10370" s="19"/>
      <c r="H10370" s="19"/>
      <c r="I10370" s="19"/>
      <c r="J10370" s="19"/>
      <c r="K10370" s="19"/>
      <c r="L10370" s="19"/>
      <c r="M10370" s="19"/>
      <c r="N10370" s="19"/>
      <c r="O10370" s="14" t="str">
        <f>HYPERLINK("https://otsuka-europe-crm.veevavault.com/ui/#object/email_activity__v/V8C00000003X279", "EN-002097454")</f>
        <v>EN-002097454</v>
      </c>
    </row>
    <row r="10371" spans="1:15" ht="16" x14ac:dyDescent="0.2">
      <c r="A10371" s="17" t="str">
        <f>HYPERLINK("https://otsuka-europe-crm.veevavault.com/ui/#object/account__v/V4TZ06G6O71SAHG", "LUCAFRANCESCO DI TOMA")</f>
        <v>LUCAFRANCESCO DI TOMA</v>
      </c>
      <c r="B10371" s="17" t="str">
        <f>HYPERLINK("https://otsuka-europe-crm.veevavault.com/ui/#object/vcountry__v/VENZ000004SONFQ", "IT")</f>
        <v>IT</v>
      </c>
      <c r="C10371" s="20" t="s">
        <v>44</v>
      </c>
      <c r="D10371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371" s="22" t="str">
        <f>HYPERLINK("https://otsuka-europe-crm.veevavault.com/ui/#object/sent_email__v/VBL00000002U579", "SE-001436467")</f>
        <v>SE-001436467</v>
      </c>
      <c r="F10371" s="23">
        <v>46190.338090277779</v>
      </c>
      <c r="G10371" s="24">
        <v>1</v>
      </c>
      <c r="H10371" s="24">
        <v>1</v>
      </c>
      <c r="I10371" s="24">
        <v>0</v>
      </c>
      <c r="J10371" s="25"/>
      <c r="K10371" s="24">
        <v>0</v>
      </c>
      <c r="L10371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371" s="22" t="str">
        <f>HYPERLINK("mailto:giada.camassa@outsuka.it", "giada.camassa@outsuka.it")</f>
        <v>giada.camassa@outsuka.it</v>
      </c>
      <c r="N10371" s="23">
        <v>46190.337881944448</v>
      </c>
      <c r="O10371" s="14" t="str">
        <f>HYPERLINK("https://otsuka-europe-crm.veevavault.com/ui/#object/email_activity__v/V8C00000003X277", "EN-002097452")</f>
        <v>EN-002097452</v>
      </c>
    </row>
    <row r="10372" spans="1:15" ht="16" x14ac:dyDescent="0.2">
      <c r="A10372" s="19"/>
      <c r="B10372" s="19"/>
      <c r="C10372" s="19"/>
      <c r="D10372" s="19"/>
      <c r="E10372" s="19"/>
      <c r="F10372" s="19"/>
      <c r="G10372" s="19"/>
      <c r="H10372" s="19"/>
      <c r="I10372" s="19"/>
      <c r="J10372" s="19"/>
      <c r="K10372" s="19"/>
      <c r="L10372" s="19"/>
      <c r="M10372" s="19"/>
      <c r="N10372" s="19"/>
      <c r="O10372" s="14" t="str">
        <f>HYPERLINK("https://otsuka-europe-crm.veevavault.com/ui/#object/email_activity__v/V8C00000003X465", "EN-002097802")</f>
        <v>EN-002097802</v>
      </c>
    </row>
    <row r="10373" spans="1:15" ht="16" x14ac:dyDescent="0.2">
      <c r="A10373" s="17" t="str">
        <f>HYPERLINK("https://otsuka-europe-crm.veevavault.com/ui/#object/account__v/V4TZ06G6O7W7MIT", "LUCIA DI MICCO")</f>
        <v>LUCIA DI MICCO</v>
      </c>
      <c r="B10373" s="17" t="str">
        <f>HYPERLINK("https://otsuka-europe-crm.veevavault.com/ui/#object/vcountry__v/VENZ000004SONFQ", "IT")</f>
        <v>IT</v>
      </c>
      <c r="C10373" s="20" t="s">
        <v>44</v>
      </c>
      <c r="D10373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373" s="22" t="str">
        <f>HYPERLINK("https://otsuka-europe-crm.veevavault.com/ui/#object/sent_email__v/VBL00000002U580", "SE-001436468")</f>
        <v>SE-001436468</v>
      </c>
      <c r="F10373" s="23">
        <v>46191.628692129627</v>
      </c>
      <c r="G10373" s="24">
        <v>1</v>
      </c>
      <c r="H10373" s="24">
        <v>1</v>
      </c>
      <c r="I10373" s="24">
        <v>1</v>
      </c>
      <c r="J10373" s="23">
        <v>46191.628692129627</v>
      </c>
      <c r="K10373" s="24">
        <v>1</v>
      </c>
      <c r="L10373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373" s="22" t="str">
        <f>HYPERLINK("mailto:giada.camassa@outsuka.it", "giada.camassa@outsuka.it")</f>
        <v>giada.camassa@outsuka.it</v>
      </c>
      <c r="N10373" s="23">
        <v>46190.33865740741</v>
      </c>
      <c r="O10373" s="14" t="str">
        <f>HYPERLINK("https://otsuka-europe-crm.veevavault.com/ui/#object/email_activity__v/V8C00000003X628", "EN-002097950")</f>
        <v>EN-002097950</v>
      </c>
    </row>
    <row r="10374" spans="1:15" ht="16" x14ac:dyDescent="0.2">
      <c r="A10374" s="18"/>
      <c r="B10374" s="18"/>
      <c r="C10374" s="18"/>
      <c r="D10374" s="18"/>
      <c r="E10374" s="18"/>
      <c r="F10374" s="18"/>
      <c r="G10374" s="18"/>
      <c r="H10374" s="18"/>
      <c r="I10374" s="18"/>
      <c r="J10374" s="18"/>
      <c r="K10374" s="18"/>
      <c r="L10374" s="18"/>
      <c r="M10374" s="18"/>
      <c r="N10374" s="18"/>
      <c r="O10374" s="14" t="str">
        <f>HYPERLINK("https://otsuka-europe-crm.veevavault.com/ui/#object/email_activity__v/V8C00000003Y018", "EN-002098631")</f>
        <v>EN-002098631</v>
      </c>
    </row>
    <row r="10375" spans="1:15" ht="16" x14ac:dyDescent="0.2">
      <c r="A10375" s="19"/>
      <c r="B10375" s="19"/>
      <c r="C10375" s="19"/>
      <c r="D10375" s="19"/>
      <c r="E10375" s="19"/>
      <c r="F10375" s="19"/>
      <c r="G10375" s="19"/>
      <c r="H10375" s="19"/>
      <c r="I10375" s="19"/>
      <c r="J10375" s="19"/>
      <c r="K10375" s="19"/>
      <c r="L10375" s="19"/>
      <c r="M10375" s="19"/>
      <c r="N10375" s="19"/>
      <c r="O10375" s="14" t="str">
        <f>HYPERLINK("https://otsuka-europe-crm.veevavault.com/ui/#object/email_activity__v/V8C00000003Y019", "EN-002098630")</f>
        <v>EN-002098630</v>
      </c>
    </row>
    <row r="10376" spans="1:15" ht="64" x14ac:dyDescent="0.2">
      <c r="A10376" s="7" t="str">
        <f>HYPERLINK("https://otsuka-europe-crm.veevavault.com/ui/#object/account__v/V4TZ06G6O71SABT", "LUCIANO DOMENICO DE PAOLA")</f>
        <v>LUCIANO DOMENICO DE PAOLA</v>
      </c>
      <c r="B10376" s="7" t="str">
        <f>HYPERLINK("https://otsuka-europe-crm.veevavault.com/ui/#object/vcountry__v/VENZ000004SONFQ", "IT")</f>
        <v>IT</v>
      </c>
      <c r="C10376" s="8" t="s">
        <v>44</v>
      </c>
      <c r="D10376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376" s="10" t="str">
        <f>HYPERLINK("https://otsuka-europe-crm.veevavault.com/ui/#object/sent_email__v/VBL00000002U581", "SE-001436469")</f>
        <v>SE-001436469</v>
      </c>
      <c r="F10376" s="11"/>
      <c r="G10376" s="12">
        <v>0</v>
      </c>
      <c r="H10376" s="12">
        <v>0</v>
      </c>
      <c r="I10376" s="12">
        <v>0</v>
      </c>
      <c r="J10376" s="11"/>
      <c r="K10376" s="12">
        <v>0</v>
      </c>
      <c r="L10376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376" s="10" t="str">
        <f>HYPERLINK("mailto:giada.camassa@outsuka.it", "giada.camassa@outsuka.it")</f>
        <v>giada.camassa@outsuka.it</v>
      </c>
      <c r="N10376" s="13">
        <v>46190.338449074072</v>
      </c>
      <c r="O10376" s="14" t="str">
        <f>HYPERLINK("https://otsuka-europe-crm.veevavault.com/ui/#object/email_activity__v/V8C00000003X603", "EN-002097924")</f>
        <v>EN-002097924</v>
      </c>
    </row>
    <row r="10377" spans="1:15" ht="16" x14ac:dyDescent="0.2">
      <c r="A10377" s="17" t="str">
        <f>HYPERLINK("https://otsuka-europe-crm.veevavault.com/ui/#object/account__v/V4TZ04ASGECDSVM", "LUCIANO GERVASI")</f>
        <v>LUCIANO GERVASI</v>
      </c>
      <c r="B10377" s="17" t="str">
        <f>HYPERLINK("https://otsuka-europe-crm.veevavault.com/ui/#object/vcountry__v/VENZ000004SONFQ", "IT")</f>
        <v>IT</v>
      </c>
      <c r="C10377" s="20" t="s">
        <v>44</v>
      </c>
      <c r="D10377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377" s="22" t="str">
        <f>HYPERLINK("https://otsuka-europe-crm.veevavault.com/ui/#object/sent_email__v/VBL00000002U582", "SE-001436470")</f>
        <v>SE-001436470</v>
      </c>
      <c r="F10377" s="23">
        <v>46190.339479166665</v>
      </c>
      <c r="G10377" s="24">
        <v>1</v>
      </c>
      <c r="H10377" s="24">
        <v>1</v>
      </c>
      <c r="I10377" s="24">
        <v>0</v>
      </c>
      <c r="J10377" s="25"/>
      <c r="K10377" s="24">
        <v>0</v>
      </c>
      <c r="L10377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377" s="22" t="str">
        <f>HYPERLINK("mailto:giada.camassa@outsuka.it", "giada.camassa@outsuka.it")</f>
        <v>giada.camassa@outsuka.it</v>
      </c>
      <c r="N10377" s="23">
        <v>46190.339317129627</v>
      </c>
      <c r="O10377" s="14" t="str">
        <f>HYPERLINK("https://otsuka-europe-crm.veevavault.com/ui/#object/email_activity__v/V8C00000003W556", "EN-002098073")</f>
        <v>EN-002098073</v>
      </c>
    </row>
    <row r="10378" spans="1:15" ht="16" x14ac:dyDescent="0.2">
      <c r="A10378" s="19"/>
      <c r="B10378" s="19"/>
      <c r="C10378" s="19"/>
      <c r="D10378" s="19"/>
      <c r="E10378" s="19"/>
      <c r="F10378" s="19"/>
      <c r="G10378" s="19"/>
      <c r="H10378" s="19"/>
      <c r="I10378" s="19"/>
      <c r="J10378" s="19"/>
      <c r="K10378" s="19"/>
      <c r="L10378" s="19"/>
      <c r="M10378" s="19"/>
      <c r="N10378" s="19"/>
      <c r="O10378" s="14" t="str">
        <f>HYPERLINK("https://otsuka-europe-crm.veevavault.com/ui/#object/email_activity__v/V8C00000003X723", "EN-002098105")</f>
        <v>EN-002098105</v>
      </c>
    </row>
    <row r="10379" spans="1:15" ht="64" x14ac:dyDescent="0.2">
      <c r="A10379" s="7" t="str">
        <f>HYPERLINK("https://otsuka-europe-crm.veevavault.com/ui/#object/account__v/V4TZ06G6O71SA59", "LUISA BONO")</f>
        <v>LUISA BONO</v>
      </c>
      <c r="B10379" s="7" t="str">
        <f>HYPERLINK("https://otsuka-europe-crm.veevavault.com/ui/#object/vcountry__v/VENZ000004SONFQ", "IT")</f>
        <v>IT</v>
      </c>
      <c r="C10379" s="8" t="s">
        <v>44</v>
      </c>
      <c r="D10379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379" s="10" t="str">
        <f>HYPERLINK("https://otsuka-europe-crm.veevavault.com/ui/#object/sent_email__v/VBL00000002U583", "SE-001436471")</f>
        <v>SE-001436471</v>
      </c>
      <c r="F10379" s="11"/>
      <c r="G10379" s="12">
        <v>0</v>
      </c>
      <c r="H10379" s="12">
        <v>0</v>
      </c>
      <c r="I10379" s="12">
        <v>0</v>
      </c>
      <c r="J10379" s="11"/>
      <c r="K10379" s="12">
        <v>0</v>
      </c>
      <c r="L10379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379" s="10" t="str">
        <f>HYPERLINK("mailto:giada.camassa@outsuka.it", "giada.camassa@outsuka.it")</f>
        <v>giada.camassa@outsuka.it</v>
      </c>
      <c r="N10379" s="13">
        <v>46190.339317129627</v>
      </c>
      <c r="O10379" s="14" t="str">
        <f>HYPERLINK("https://otsuka-europe-crm.veevavault.com/ui/#object/email_activity__v/V8C00000003W564", "EN-002098082")</f>
        <v>EN-002098082</v>
      </c>
    </row>
    <row r="10380" spans="1:15" ht="64" x14ac:dyDescent="0.2">
      <c r="A10380" s="7" t="str">
        <f>HYPERLINK("https://otsuka-europe-crm.veevavault.com/ui/#object/account__v/V4TZ025E83CWJ0I", "MARCO ALLINOVI")</f>
        <v>MARCO ALLINOVI</v>
      </c>
      <c r="B10380" s="7" t="str">
        <f>HYPERLINK("https://otsuka-europe-crm.veevavault.com/ui/#object/vcountry__v/VENZ000004SONFQ", "IT")</f>
        <v>IT</v>
      </c>
      <c r="C10380" s="8" t="s">
        <v>44</v>
      </c>
      <c r="D10380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380" s="10" t="str">
        <f>HYPERLINK("https://otsuka-europe-crm.veevavault.com/ui/#object/sent_email__v/VBL00000002U584", "SE-001436472")</f>
        <v>SE-001436472</v>
      </c>
      <c r="F10380" s="11"/>
      <c r="G10380" s="12">
        <v>0</v>
      </c>
      <c r="H10380" s="12">
        <v>0</v>
      </c>
      <c r="I10380" s="12">
        <v>0</v>
      </c>
      <c r="J10380" s="11"/>
      <c r="K10380" s="12">
        <v>0</v>
      </c>
      <c r="L10380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380" s="10" t="str">
        <f>HYPERLINK("mailto:giada.camassa@outsuka.it", "giada.camassa@outsuka.it")</f>
        <v>giada.camassa@outsuka.it</v>
      </c>
      <c r="N10380" s="13">
        <v>46190.33797453704</v>
      </c>
      <c r="O10380" s="14" t="str">
        <f>HYPERLINK("https://otsuka-europe-crm.veevavault.com/ui/#object/email_activity__v/V8C00000003X807", "EN-002098226")</f>
        <v>EN-002098226</v>
      </c>
    </row>
    <row r="10381" spans="1:15" ht="16" x14ac:dyDescent="0.2">
      <c r="A10381" s="17" t="str">
        <f>HYPERLINK("https://otsuka-europe-crm.veevavault.com/ui/#object/account__v/V4TZ06G6O71SAPK", "MARCO GUARNERI")</f>
        <v>MARCO GUARNERI</v>
      </c>
      <c r="B10381" s="17" t="str">
        <f>HYPERLINK("https://otsuka-europe-crm.veevavault.com/ui/#object/vcountry__v/VENZ000004SONFQ", "IT")</f>
        <v>IT</v>
      </c>
      <c r="C10381" s="20" t="s">
        <v>44</v>
      </c>
      <c r="D10381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381" s="22" t="str">
        <f>HYPERLINK("https://otsuka-europe-crm.veevavault.com/ui/#object/sent_email__v/VBL00000002U585", "SE-001436473")</f>
        <v>SE-001436473</v>
      </c>
      <c r="F10381" s="25"/>
      <c r="G10381" s="24">
        <v>0</v>
      </c>
      <c r="H10381" s="24">
        <v>0</v>
      </c>
      <c r="I10381" s="24">
        <v>0</v>
      </c>
      <c r="J10381" s="25"/>
      <c r="K10381" s="24">
        <v>0</v>
      </c>
      <c r="L10381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381" s="22" t="str">
        <f>HYPERLINK("mailto:giada.camassa@outsuka.it", "giada.camassa@outsuka.it")</f>
        <v>giada.camassa@outsuka.it</v>
      </c>
      <c r="N10381" s="23">
        <v>46190.33798611111</v>
      </c>
      <c r="O10381" s="14" t="str">
        <f>HYPERLINK("https://otsuka-europe-crm.veevavault.com/ui/#object/email_activity__v/V8C00000003W413", "EN-002097692")</f>
        <v>EN-002097692</v>
      </c>
    </row>
    <row r="10382" spans="1:15" ht="16" x14ac:dyDescent="0.2">
      <c r="A10382" s="19"/>
      <c r="B10382" s="19"/>
      <c r="C10382" s="19"/>
      <c r="D10382" s="19"/>
      <c r="E10382" s="19"/>
      <c r="F10382" s="19"/>
      <c r="G10382" s="19"/>
      <c r="H10382" s="19"/>
      <c r="I10382" s="19"/>
      <c r="J10382" s="19"/>
      <c r="K10382" s="19"/>
      <c r="L10382" s="19"/>
      <c r="M10382" s="19"/>
      <c r="N10382" s="19"/>
      <c r="O10382" s="14" t="str">
        <f>HYPERLINK("https://otsuka-europe-crm.veevavault.com/ui/#object/email_activity__v/V8C00000003W633", "EN-002098258")</f>
        <v>EN-002098258</v>
      </c>
    </row>
    <row r="10383" spans="1:15" ht="64" x14ac:dyDescent="0.2">
      <c r="A10383" s="7" t="str">
        <f>HYPERLINK("https://otsuka-europe-crm.veevavault.com/ui/#object/account__v/V4TZ06G6O71SB5O", "MARCO LEONELLI")</f>
        <v>MARCO LEONELLI</v>
      </c>
      <c r="B10383" s="7" t="str">
        <f>HYPERLINK("https://otsuka-europe-crm.veevavault.com/ui/#object/vcountry__v/VENZ000004SONFQ", "IT")</f>
        <v>IT</v>
      </c>
      <c r="C10383" s="8" t="s">
        <v>44</v>
      </c>
      <c r="D10383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383" s="10" t="str">
        <f>HYPERLINK("https://otsuka-europe-crm.veevavault.com/ui/#object/sent_email__v/VBL00000002U586", "SE-001436474")</f>
        <v>SE-001436474</v>
      </c>
      <c r="F10383" s="11"/>
      <c r="G10383" s="12">
        <v>0</v>
      </c>
      <c r="H10383" s="12">
        <v>0</v>
      </c>
      <c r="I10383" s="12">
        <v>0</v>
      </c>
      <c r="J10383" s="11"/>
      <c r="K10383" s="12">
        <v>0</v>
      </c>
      <c r="L10383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383" s="10" t="str">
        <f>HYPERLINK("mailto:giada.camassa@outsuka.it", "giada.camassa@outsuka.it")</f>
        <v>giada.camassa@outsuka.it</v>
      </c>
      <c r="N10383" s="13">
        <v>46190.339872685188</v>
      </c>
      <c r="O10383" s="14" t="str">
        <f>HYPERLINK("https://otsuka-europe-crm.veevavault.com/ui/#object/email_activity__v/V8C00000003X754", "EN-002098152")</f>
        <v>EN-002098152</v>
      </c>
    </row>
    <row r="10384" spans="1:15" ht="64" x14ac:dyDescent="0.2">
      <c r="A10384" s="7" t="str">
        <f>HYPERLINK("https://otsuka-europe-crm.veevavault.com/ui/#object/account__v/V4TZ06G6O71SAXK", "MARCO QUAGLIA")</f>
        <v>MARCO QUAGLIA</v>
      </c>
      <c r="B10384" s="7" t="str">
        <f>HYPERLINK("https://otsuka-europe-crm.veevavault.com/ui/#object/vcountry__v/VENZ000004SONFQ", "IT")</f>
        <v>IT</v>
      </c>
      <c r="C10384" s="8" t="s">
        <v>44</v>
      </c>
      <c r="D10384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384" s="10" t="str">
        <f>HYPERLINK("https://otsuka-europe-crm.veevavault.com/ui/#object/sent_email__v/VBL00000002U587", "SE-001436475")</f>
        <v>SE-001436475</v>
      </c>
      <c r="F10384" s="11"/>
      <c r="G10384" s="12">
        <v>0</v>
      </c>
      <c r="H10384" s="12">
        <v>0</v>
      </c>
      <c r="I10384" s="12">
        <v>0</v>
      </c>
      <c r="J10384" s="11"/>
      <c r="K10384" s="12">
        <v>0</v>
      </c>
      <c r="L10384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384" s="10" t="str">
        <f>HYPERLINK("mailto:giada.camassa@outsuka.it", "giada.camassa@outsuka.it")</f>
        <v>giada.camassa@outsuka.it</v>
      </c>
      <c r="N10384" s="13">
        <v>46190.338587962964</v>
      </c>
      <c r="O10384" s="14" t="str">
        <f>HYPERLINK("https://otsuka-europe-crm.veevavault.com/ui/#object/email_activity__v/V8C00000003X619", "EN-002097941")</f>
        <v>EN-002097941</v>
      </c>
    </row>
    <row r="10385" spans="1:15" ht="16" x14ac:dyDescent="0.2">
      <c r="A10385" s="17" t="str">
        <f>HYPERLINK("https://otsuka-europe-crm.veevavault.com/ui/#object/account__v/V4TZ06G6O71SC5H", "MARGHERITA ROSA")</f>
        <v>MARGHERITA ROSA</v>
      </c>
      <c r="B10385" s="17" t="str">
        <f>HYPERLINK("https://otsuka-europe-crm.veevavault.com/ui/#object/vcountry__v/VENZ000004SONFQ", "IT")</f>
        <v>IT</v>
      </c>
      <c r="C10385" s="20" t="s">
        <v>44</v>
      </c>
      <c r="D10385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385" s="22" t="str">
        <f>HYPERLINK("https://otsuka-europe-crm.veevavault.com/ui/#object/sent_email__v/VBL00000002U588", "SE-001436476")</f>
        <v>SE-001436476</v>
      </c>
      <c r="F10385" s="23">
        <v>46190.339814814812</v>
      </c>
      <c r="G10385" s="24">
        <v>1</v>
      </c>
      <c r="H10385" s="24">
        <v>1</v>
      </c>
      <c r="I10385" s="24">
        <v>0</v>
      </c>
      <c r="J10385" s="25"/>
      <c r="K10385" s="24">
        <v>0</v>
      </c>
      <c r="L10385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385" s="22" t="str">
        <f>HYPERLINK("mailto:giada.camassa@outsuka.it", "giada.camassa@outsuka.it")</f>
        <v>giada.camassa@outsuka.it</v>
      </c>
      <c r="N10385" s="23">
        <v>46190.339513888888</v>
      </c>
      <c r="O10385" s="14" t="str">
        <f>HYPERLINK("https://otsuka-europe-crm.veevavault.com/ui/#object/email_activity__v/V8C00000003W572", "EN-002098093")</f>
        <v>EN-002098093</v>
      </c>
    </row>
    <row r="10386" spans="1:15" ht="16" x14ac:dyDescent="0.2">
      <c r="A10386" s="19"/>
      <c r="B10386" s="19"/>
      <c r="C10386" s="19"/>
      <c r="D10386" s="19"/>
      <c r="E10386" s="19"/>
      <c r="F10386" s="19"/>
      <c r="G10386" s="19"/>
      <c r="H10386" s="19"/>
      <c r="I10386" s="19"/>
      <c r="J10386" s="19"/>
      <c r="K10386" s="19"/>
      <c r="L10386" s="19"/>
      <c r="M10386" s="19"/>
      <c r="N10386" s="19"/>
      <c r="O10386" s="14" t="str">
        <f>HYPERLINK("https://otsuka-europe-crm.veevavault.com/ui/#object/email_activity__v/V8C00000003X739", "EN-002098137")</f>
        <v>EN-002098137</v>
      </c>
    </row>
    <row r="10387" spans="1:15" ht="64" x14ac:dyDescent="0.2">
      <c r="A10387" s="7" t="str">
        <f>HYPERLINK("https://otsuka-europe-crm.veevavault.com/ui/#object/account__v/V4TZ06G6O71SAZ8", "MARIA CAPRIA")</f>
        <v>MARIA CAPRIA</v>
      </c>
      <c r="B10387" s="7" t="str">
        <f>HYPERLINK("https://otsuka-europe-crm.veevavault.com/ui/#object/vcountry__v/VENZ000004SONFQ", "IT")</f>
        <v>IT</v>
      </c>
      <c r="C10387" s="8" t="s">
        <v>44</v>
      </c>
      <c r="D10387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387" s="10" t="str">
        <f>HYPERLINK("https://otsuka-europe-crm.veevavault.com/ui/#object/sent_email__v/VBL00000002U589", "SE-001436477")</f>
        <v>SE-001436477</v>
      </c>
      <c r="F10387" s="11"/>
      <c r="G10387" s="12">
        <v>0</v>
      </c>
      <c r="H10387" s="12">
        <v>0</v>
      </c>
      <c r="I10387" s="12">
        <v>0</v>
      </c>
      <c r="J10387" s="11"/>
      <c r="K10387" s="12">
        <v>0</v>
      </c>
      <c r="L10387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387" s="10" t="str">
        <f>HYPERLINK("mailto:giada.camassa@outsuka.it", "giada.camassa@outsuka.it")</f>
        <v>giada.camassa@outsuka.it</v>
      </c>
      <c r="N10387" s="13">
        <v>46190.33871527778</v>
      </c>
      <c r="O10387" s="14" t="str">
        <f>HYPERLINK("https://otsuka-europe-crm.veevavault.com/ui/#object/email_activity__v/V8C00000003X655", "EN-002097989")</f>
        <v>EN-002097989</v>
      </c>
    </row>
    <row r="10388" spans="1:15" ht="16" x14ac:dyDescent="0.2">
      <c r="A10388" s="17" t="str">
        <f>HYPERLINK("https://otsuka-europe-crm.veevavault.com/ui/#object/account__v/V4TZ06G6O71S9JP", "MARIA GIOVANNA VARIO")</f>
        <v>MARIA GIOVANNA VARIO</v>
      </c>
      <c r="B10388" s="17" t="str">
        <f>HYPERLINK("https://otsuka-europe-crm.veevavault.com/ui/#object/vcountry__v/VENZ000004SONFQ", "IT")</f>
        <v>IT</v>
      </c>
      <c r="C10388" s="20" t="s">
        <v>44</v>
      </c>
      <c r="D10388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388" s="22" t="str">
        <f>HYPERLINK("https://otsuka-europe-crm.veevavault.com/ui/#object/sent_email__v/VBL00000002U590", "SE-001436478")</f>
        <v>SE-001436478</v>
      </c>
      <c r="F10388" s="25"/>
      <c r="G10388" s="24">
        <v>0</v>
      </c>
      <c r="H10388" s="24">
        <v>0</v>
      </c>
      <c r="I10388" s="24">
        <v>0</v>
      </c>
      <c r="J10388" s="25"/>
      <c r="K10388" s="24">
        <v>0</v>
      </c>
      <c r="L10388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388" s="22" t="str">
        <f>HYPERLINK("mailto:giada.camassa@outsuka.it", "giada.camassa@outsuka.it")</f>
        <v>giada.camassa@outsuka.it</v>
      </c>
      <c r="N10388" s="23">
        <v>46190.339421296296</v>
      </c>
      <c r="O10388" s="14" t="str">
        <f>HYPERLINK("https://otsuka-europe-crm.veevavault.com/ui/#object/email_activity__v/V8C00000003W749", "EN-002098491")</f>
        <v>EN-002098491</v>
      </c>
    </row>
    <row r="10389" spans="1:15" ht="16" x14ac:dyDescent="0.2">
      <c r="A10389" s="18"/>
      <c r="B10389" s="18"/>
      <c r="C10389" s="18"/>
      <c r="D10389" s="18"/>
      <c r="E10389" s="18"/>
      <c r="F10389" s="18"/>
      <c r="G10389" s="18"/>
      <c r="H10389" s="18"/>
      <c r="I10389" s="18"/>
      <c r="J10389" s="18"/>
      <c r="K10389" s="18"/>
      <c r="L10389" s="18"/>
      <c r="M10389" s="18"/>
      <c r="N10389" s="18"/>
      <c r="O10389" s="14" t="str">
        <f>HYPERLINK("https://otsuka-europe-crm.veevavault.com/ui/#object/email_activity__v/V8C00000003X705", "EN-002098067")</f>
        <v>EN-002098067</v>
      </c>
    </row>
    <row r="10390" spans="1:15" ht="16" x14ac:dyDescent="0.2">
      <c r="A10390" s="19"/>
      <c r="B10390" s="19"/>
      <c r="C10390" s="19"/>
      <c r="D10390" s="19"/>
      <c r="E10390" s="19"/>
      <c r="F10390" s="19"/>
      <c r="G10390" s="19"/>
      <c r="H10390" s="19"/>
      <c r="I10390" s="19"/>
      <c r="J10390" s="19"/>
      <c r="K10390" s="19"/>
      <c r="L10390" s="19"/>
      <c r="M10390" s="19"/>
      <c r="N10390" s="19"/>
      <c r="O10390" s="14" t="str">
        <f>HYPERLINK("https://otsuka-europe-crm.veevavault.com/ui/#object/email_activity__v/V8C00000003Z126", "EN-002098892")</f>
        <v>EN-002098892</v>
      </c>
    </row>
    <row r="10391" spans="1:15" ht="16" x14ac:dyDescent="0.2">
      <c r="A10391" s="17" t="str">
        <f>HYPERLINK("https://otsuka-europe-crm.veevavault.com/ui/#object/account__v/V4TZ06G6O71SCIZ", "MARIA GRAZIA TABBI'")</f>
        <v>MARIA GRAZIA TABBI'</v>
      </c>
      <c r="B10391" s="17" t="str">
        <f>HYPERLINK("https://otsuka-europe-crm.veevavault.com/ui/#object/vcountry__v/VENZ000004SONFQ", "IT")</f>
        <v>IT</v>
      </c>
      <c r="C10391" s="20" t="s">
        <v>44</v>
      </c>
      <c r="D10391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391" s="22" t="str">
        <f>HYPERLINK("https://otsuka-europe-crm.veevavault.com/ui/#object/sent_email__v/VBL00000002U591", "SE-001436479")</f>
        <v>SE-001436479</v>
      </c>
      <c r="F10391" s="23">
        <v>46190.339409722219</v>
      </c>
      <c r="G10391" s="24">
        <v>1</v>
      </c>
      <c r="H10391" s="24">
        <v>1</v>
      </c>
      <c r="I10391" s="24">
        <v>0</v>
      </c>
      <c r="J10391" s="25"/>
      <c r="K10391" s="24">
        <v>0</v>
      </c>
      <c r="L10391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391" s="22" t="str">
        <f>HYPERLINK("mailto:giada.camassa@outsuka.it", "giada.camassa@outsuka.it")</f>
        <v>giada.camassa@outsuka.it</v>
      </c>
      <c r="N10391" s="23">
        <v>46190.339201388888</v>
      </c>
      <c r="O10391" s="14" t="str">
        <f>HYPERLINK("https://otsuka-europe-crm.veevavault.com/ui/#object/email_activity__v/V8C00000003W542", "EN-002098031")</f>
        <v>EN-002098031</v>
      </c>
    </row>
    <row r="10392" spans="1:15" ht="16" x14ac:dyDescent="0.2">
      <c r="A10392" s="18"/>
      <c r="B10392" s="18"/>
      <c r="C10392" s="18"/>
      <c r="D10392" s="18"/>
      <c r="E10392" s="18"/>
      <c r="F10392" s="18"/>
      <c r="G10392" s="18"/>
      <c r="H10392" s="18"/>
      <c r="I10392" s="18"/>
      <c r="J10392" s="18"/>
      <c r="K10392" s="18"/>
      <c r="L10392" s="18"/>
      <c r="M10392" s="18"/>
      <c r="N10392" s="18"/>
      <c r="O10392" s="14" t="str">
        <f>HYPERLINK("https://otsuka-europe-crm.veevavault.com/ui/#object/email_activity__v/V8C00000003X696", "EN-002098057")</f>
        <v>EN-002098057</v>
      </c>
    </row>
    <row r="10393" spans="1:15" ht="16" x14ac:dyDescent="0.2">
      <c r="A10393" s="19"/>
      <c r="B10393" s="19"/>
      <c r="C10393" s="19"/>
      <c r="D10393" s="19"/>
      <c r="E10393" s="19"/>
      <c r="F10393" s="19"/>
      <c r="G10393" s="19"/>
      <c r="H10393" s="19"/>
      <c r="I10393" s="19"/>
      <c r="J10393" s="19"/>
      <c r="K10393" s="19"/>
      <c r="L10393" s="19"/>
      <c r="M10393" s="19"/>
      <c r="N10393" s="19"/>
      <c r="O10393" s="14" t="str">
        <f>HYPERLINK("https://otsuka-europe-crm.veevavault.com/ui/#object/email_activity__v/V8C00000003X947", "EN-002098506")</f>
        <v>EN-002098506</v>
      </c>
    </row>
    <row r="10394" spans="1:15" ht="64" x14ac:dyDescent="0.2">
      <c r="A10394" s="7" t="str">
        <f>HYPERLINK("https://otsuka-europe-crm.veevavault.com/ui/#object/account__v/V4TZ025E85JSQE2", "MARIA ILARIA MORETTI")</f>
        <v>MARIA ILARIA MORETTI</v>
      </c>
      <c r="B10394" s="7" t="str">
        <f>HYPERLINK("https://otsuka-europe-crm.veevavault.com/ui/#object/vcountry__v/VENZ000004SONFQ", "IT")</f>
        <v>IT</v>
      </c>
      <c r="C10394" s="8" t="s">
        <v>44</v>
      </c>
      <c r="D10394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394" s="10" t="str">
        <f>HYPERLINK("https://otsuka-europe-crm.veevavault.com/ui/#object/sent_email__v/VBL00000002U592", "SE-001436480")</f>
        <v>SE-001436480</v>
      </c>
      <c r="F10394" s="11"/>
      <c r="G10394" s="12">
        <v>0</v>
      </c>
      <c r="H10394" s="12">
        <v>0</v>
      </c>
      <c r="I10394" s="12">
        <v>0</v>
      </c>
      <c r="J10394" s="11"/>
      <c r="K10394" s="12">
        <v>0</v>
      </c>
      <c r="L10394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394" s="10" t="str">
        <f>HYPERLINK("mailto:giada.camassa@outsuka.it", "giada.camassa@outsuka.it")</f>
        <v>giada.camassa@outsuka.it</v>
      </c>
      <c r="N10394" s="13">
        <v>46190.338865740741</v>
      </c>
      <c r="O10394" s="14" t="str">
        <f>HYPERLINK("https://otsuka-europe-crm.veevavault.com/ui/#object/email_activity__v/V8C00000003W527", "EN-002097994")</f>
        <v>EN-002097994</v>
      </c>
    </row>
    <row r="10395" spans="1:15" ht="16" x14ac:dyDescent="0.2">
      <c r="A10395" s="17" t="str">
        <f>HYPERLINK("https://otsuka-europe-crm.veevavault.com/ui/#object/account__v/V4TZ04ASGGCGNCI", "MARIANNA BENCIVENGA")</f>
        <v>MARIANNA BENCIVENGA</v>
      </c>
      <c r="B10395" s="17" t="str">
        <f>HYPERLINK("https://otsuka-europe-crm.veevavault.com/ui/#object/vcountry__v/VENZ000004SONFQ", "IT")</f>
        <v>IT</v>
      </c>
      <c r="C10395" s="20" t="s">
        <v>44</v>
      </c>
      <c r="D10395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395" s="22" t="str">
        <f>HYPERLINK("https://otsuka-europe-crm.veevavault.com/ui/#object/sent_email__v/VBL00000002U593", "SE-001436481")</f>
        <v>SE-001436481</v>
      </c>
      <c r="F10395" s="23">
        <v>46190.338171296295</v>
      </c>
      <c r="G10395" s="24">
        <v>1</v>
      </c>
      <c r="H10395" s="24">
        <v>3</v>
      </c>
      <c r="I10395" s="24">
        <v>0</v>
      </c>
      <c r="J10395" s="25"/>
      <c r="K10395" s="24">
        <v>0</v>
      </c>
      <c r="L10395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395" s="22" t="str">
        <f>HYPERLINK("mailto:giada.camassa@outsuka.it", "giada.camassa@outsuka.it")</f>
        <v>giada.camassa@outsuka.it</v>
      </c>
      <c r="N10395" s="23">
        <v>46190.337951388887</v>
      </c>
      <c r="O10395" s="14" t="str">
        <f>HYPERLINK("https://otsuka-europe-crm.veevavault.com/ui/#object/email_activity__v/V8C00000003W414", "EN-002097693")</f>
        <v>EN-002097693</v>
      </c>
    </row>
    <row r="10396" spans="1:15" ht="16" x14ac:dyDescent="0.2">
      <c r="A10396" s="18"/>
      <c r="B10396" s="18"/>
      <c r="C10396" s="18"/>
      <c r="D10396" s="18"/>
      <c r="E10396" s="18"/>
      <c r="F10396" s="18"/>
      <c r="G10396" s="18"/>
      <c r="H10396" s="18"/>
      <c r="I10396" s="18"/>
      <c r="J10396" s="18"/>
      <c r="K10396" s="18"/>
      <c r="L10396" s="18"/>
      <c r="M10396" s="18"/>
      <c r="N10396" s="18"/>
      <c r="O10396" s="14" t="str">
        <f>HYPERLINK("https://otsuka-europe-crm.veevavault.com/ui/#object/email_activity__v/V8C00000003W501", "EN-002097902")</f>
        <v>EN-002097902</v>
      </c>
    </row>
    <row r="10397" spans="1:15" ht="16" x14ac:dyDescent="0.2">
      <c r="A10397" s="18"/>
      <c r="B10397" s="18"/>
      <c r="C10397" s="18"/>
      <c r="D10397" s="18"/>
      <c r="E10397" s="18"/>
      <c r="F10397" s="18"/>
      <c r="G10397" s="18"/>
      <c r="H10397" s="18"/>
      <c r="I10397" s="18"/>
      <c r="J10397" s="18"/>
      <c r="K10397" s="18"/>
      <c r="L10397" s="18"/>
      <c r="M10397" s="18"/>
      <c r="N10397" s="18"/>
      <c r="O10397" s="14" t="str">
        <f>HYPERLINK("https://otsuka-europe-crm.veevavault.com/ui/#object/email_activity__v/V8C00000003X593", "EN-002097901")</f>
        <v>EN-002097901</v>
      </c>
    </row>
    <row r="10398" spans="1:15" ht="16" x14ac:dyDescent="0.2">
      <c r="A10398" s="19"/>
      <c r="B10398" s="19"/>
      <c r="C10398" s="19"/>
      <c r="D10398" s="19"/>
      <c r="E10398" s="19"/>
      <c r="F10398" s="19"/>
      <c r="G10398" s="19"/>
      <c r="H10398" s="19"/>
      <c r="I10398" s="19"/>
      <c r="J10398" s="19"/>
      <c r="K10398" s="19"/>
      <c r="L10398" s="19"/>
      <c r="M10398" s="19"/>
      <c r="N10398" s="19"/>
      <c r="O10398" s="14" t="str">
        <f>HYPERLINK("https://otsuka-europe-crm.veevavault.com/ui/#object/email_activity__v/V8C00000003Z015", "EN-002098678")</f>
        <v>EN-002098678</v>
      </c>
    </row>
    <row r="10399" spans="1:15" ht="16" x14ac:dyDescent="0.2">
      <c r="A10399" s="17" t="str">
        <f>HYPERLINK("https://otsuka-europe-crm.veevavault.com/ui/#object/account__v/V4TZ04ASGE0FU3U", "MARIAROSARIA IANNUZZI")</f>
        <v>MARIAROSARIA IANNUZZI</v>
      </c>
      <c r="B10399" s="17" t="str">
        <f>HYPERLINK("https://otsuka-europe-crm.veevavault.com/ui/#object/vcountry__v/VENZ000004SONFQ", "IT")</f>
        <v>IT</v>
      </c>
      <c r="C10399" s="20" t="s">
        <v>44</v>
      </c>
      <c r="D10399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399" s="22" t="str">
        <f>HYPERLINK("https://otsuka-europe-crm.veevavault.com/ui/#object/sent_email__v/VBL00000002U594", "SE-001436482")</f>
        <v>SE-001436482</v>
      </c>
      <c r="F10399" s="23">
        <v>46190.338356481479</v>
      </c>
      <c r="G10399" s="24">
        <v>1</v>
      </c>
      <c r="H10399" s="24">
        <v>1</v>
      </c>
      <c r="I10399" s="24">
        <v>0</v>
      </c>
      <c r="J10399" s="25"/>
      <c r="K10399" s="24">
        <v>0</v>
      </c>
      <c r="L10399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399" s="22" t="str">
        <f>HYPERLINK("mailto:giada.camassa@outsuka.it", "giada.camassa@outsuka.it")</f>
        <v>giada.camassa@outsuka.it</v>
      </c>
      <c r="N10399" s="23">
        <v>46190.338217592594</v>
      </c>
      <c r="O10399" s="14" t="str">
        <f>HYPERLINK("https://otsuka-europe-crm.veevavault.com/ui/#object/email_activity__v/V8C00000003W483", "EN-002097838")</f>
        <v>EN-002097838</v>
      </c>
    </row>
    <row r="10400" spans="1:15" ht="16" x14ac:dyDescent="0.2">
      <c r="A10400" s="19"/>
      <c r="B10400" s="19"/>
      <c r="C10400" s="19"/>
      <c r="D10400" s="19"/>
      <c r="E10400" s="19"/>
      <c r="F10400" s="19"/>
      <c r="G10400" s="19"/>
      <c r="H10400" s="19"/>
      <c r="I10400" s="19"/>
      <c r="J10400" s="19"/>
      <c r="K10400" s="19"/>
      <c r="L10400" s="19"/>
      <c r="M10400" s="19"/>
      <c r="N10400" s="19"/>
      <c r="O10400" s="14" t="str">
        <f>HYPERLINK("https://otsuka-europe-crm.veevavault.com/ui/#object/email_activity__v/V8C00000003W499", "EN-002097898")</f>
        <v>EN-002097898</v>
      </c>
    </row>
    <row r="10401" spans="1:15" ht="64" x14ac:dyDescent="0.2">
      <c r="A10401" s="7" t="str">
        <f>HYPERLINK("https://otsuka-europe-crm.veevavault.com/ui/#object/account__v/V4TZ06G6O71SC0G", "MARIASSUNTA PIANTANIDA")</f>
        <v>MARIASSUNTA PIANTANIDA</v>
      </c>
      <c r="B10401" s="7" t="str">
        <f>HYPERLINK("https://otsuka-europe-crm.veevavault.com/ui/#object/vcountry__v/VENZ000004SONFQ", "IT")</f>
        <v>IT</v>
      </c>
      <c r="C10401" s="8" t="s">
        <v>44</v>
      </c>
      <c r="D10401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401" s="10" t="str">
        <f>HYPERLINK("https://otsuka-europe-crm.veevavault.com/ui/#object/sent_email__v/VBL00000002U595", "SE-001436483")</f>
        <v>SE-001436483</v>
      </c>
      <c r="F10401" s="11"/>
      <c r="G10401" s="12">
        <v>0</v>
      </c>
      <c r="H10401" s="12">
        <v>0</v>
      </c>
      <c r="I10401" s="12">
        <v>0</v>
      </c>
      <c r="J10401" s="11"/>
      <c r="K10401" s="12">
        <v>0</v>
      </c>
      <c r="L10401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401" s="10" t="str">
        <f>HYPERLINK("mailto:giada.camassa@outsuka.it", "giada.camassa@outsuka.it")</f>
        <v>giada.camassa@outsuka.it</v>
      </c>
      <c r="N10401" s="13">
        <v>46190.339930555558</v>
      </c>
      <c r="O10401" s="14" t="str">
        <f>HYPERLINK("https://otsuka-europe-crm.veevavault.com/ui/#object/email_activity__v/V8C00000003W597", "EN-002098171")</f>
        <v>EN-002098171</v>
      </c>
    </row>
    <row r="10402" spans="1:15" ht="64" x14ac:dyDescent="0.2">
      <c r="A10402" s="7" t="str">
        <f>HYPERLINK("https://otsuka-europe-crm.veevavault.com/ui/#object/account__v/V4TZ025E878R3JD", "MARILENA GREGORINI")</f>
        <v>MARILENA GREGORINI</v>
      </c>
      <c r="B10402" s="7" t="str">
        <f>HYPERLINK("https://otsuka-europe-crm.veevavault.com/ui/#object/vcountry__v/VENZ000004SONFQ", "IT")</f>
        <v>IT</v>
      </c>
      <c r="C10402" s="8" t="s">
        <v>44</v>
      </c>
      <c r="D10402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402" s="10" t="str">
        <f>HYPERLINK("https://otsuka-europe-crm.veevavault.com/ui/#object/sent_email__v/VBL00000002U596", "SE-001436484")</f>
        <v>SE-001436484</v>
      </c>
      <c r="F10402" s="11"/>
      <c r="G10402" s="12">
        <v>0</v>
      </c>
      <c r="H10402" s="12">
        <v>0</v>
      </c>
      <c r="I10402" s="12">
        <v>0</v>
      </c>
      <c r="J10402" s="11"/>
      <c r="K10402" s="12">
        <v>0</v>
      </c>
      <c r="L10402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402" s="10" t="str">
        <f>HYPERLINK("mailto:giada.camassa@outsuka.it", "giada.camassa@outsuka.it")</f>
        <v>giada.camassa@outsuka.it</v>
      </c>
      <c r="N10402" s="13">
        <v>46190.337905092594</v>
      </c>
      <c r="O10402" s="14" t="str">
        <f>HYPERLINK("https://otsuka-europe-crm.veevavault.com/ui/#object/email_activity__v/V8C00000003X448", "EN-002097662")</f>
        <v>EN-002097662</v>
      </c>
    </row>
    <row r="10403" spans="1:15" ht="64" x14ac:dyDescent="0.2">
      <c r="A10403" s="7" t="str">
        <f>HYPERLINK("https://otsuka-europe-crm.veevavault.com/ui/#object/account__v/V4TZ06G6O71SAAO", "MARINA DI LUCA")</f>
        <v>MARINA DI LUCA</v>
      </c>
      <c r="B10403" s="7" t="str">
        <f>HYPERLINK("https://otsuka-europe-crm.veevavault.com/ui/#object/vcountry__v/VENZ000004SONFQ", "IT")</f>
        <v>IT</v>
      </c>
      <c r="C10403" s="8" t="s">
        <v>44</v>
      </c>
      <c r="D10403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403" s="10" t="str">
        <f>HYPERLINK("https://otsuka-europe-crm.veevavault.com/ui/#object/sent_email__v/VBL00000002U597", "SE-001436485")</f>
        <v>SE-001436485</v>
      </c>
      <c r="F10403" s="11"/>
      <c r="G10403" s="12">
        <v>0</v>
      </c>
      <c r="H10403" s="12">
        <v>0</v>
      </c>
      <c r="I10403" s="12">
        <v>0</v>
      </c>
      <c r="J10403" s="11"/>
      <c r="K10403" s="12">
        <v>0</v>
      </c>
      <c r="L10403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403" s="10" t="str">
        <f>HYPERLINK("mailto:giada.camassa@outsuka.it", "giada.camassa@outsuka.it")</f>
        <v>giada.camassa@outsuka.it</v>
      </c>
      <c r="N10403" s="13">
        <v>46190.339791666665</v>
      </c>
      <c r="O10403" s="14" t="str">
        <f>HYPERLINK("https://otsuka-europe-crm.veevavault.com/ui/#object/email_activity__v/V8C00000003X797", "EN-002098211")</f>
        <v>EN-002098211</v>
      </c>
    </row>
    <row r="10404" spans="1:15" ht="16" x14ac:dyDescent="0.2">
      <c r="A10404" s="17" t="str">
        <f>HYPERLINK("https://otsuka-europe-crm.veevavault.com/ui/#object/account__v/V4TZ06G6O71VWEX", "MARIO GENNARO COZZOLINO")</f>
        <v>MARIO GENNARO COZZOLINO</v>
      </c>
      <c r="B10404" s="17" t="str">
        <f>HYPERLINK("https://otsuka-europe-crm.veevavault.com/ui/#object/vcountry__v/VENZ000004SONFQ", "IT")</f>
        <v>IT</v>
      </c>
      <c r="C10404" s="20" t="s">
        <v>44</v>
      </c>
      <c r="D10404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404" s="22" t="str">
        <f>HYPERLINK("https://otsuka-europe-crm.veevavault.com/ui/#object/sent_email__v/VBL00000002U598", "SE-001436486")</f>
        <v>SE-001436486</v>
      </c>
      <c r="F10404" s="23">
        <v>46190.33829861111</v>
      </c>
      <c r="G10404" s="24">
        <v>1</v>
      </c>
      <c r="H10404" s="24">
        <v>2</v>
      </c>
      <c r="I10404" s="24">
        <v>0</v>
      </c>
      <c r="J10404" s="25"/>
      <c r="K10404" s="24">
        <v>0</v>
      </c>
      <c r="L10404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404" s="22" t="str">
        <f>HYPERLINK("mailto:giada.camassa@outsuka.it", "giada.camassa@outsuka.it")</f>
        <v>giada.camassa@outsuka.it</v>
      </c>
      <c r="N10404" s="23">
        <v>46190.337847222225</v>
      </c>
      <c r="O10404" s="14" t="str">
        <f>HYPERLINK("https://otsuka-europe-crm.veevavault.com/ui/#object/email_activity__v/V8C00000003X340", "EN-002097636")</f>
        <v>EN-002097636</v>
      </c>
    </row>
    <row r="10405" spans="1:15" ht="16" x14ac:dyDescent="0.2">
      <c r="A10405" s="18"/>
      <c r="B10405" s="18"/>
      <c r="C10405" s="18"/>
      <c r="D10405" s="18"/>
      <c r="E10405" s="18"/>
      <c r="F10405" s="18"/>
      <c r="G10405" s="18"/>
      <c r="H10405" s="18"/>
      <c r="I10405" s="18"/>
      <c r="J10405" s="18"/>
      <c r="K10405" s="18"/>
      <c r="L10405" s="18"/>
      <c r="M10405" s="18"/>
      <c r="N10405" s="18"/>
      <c r="O10405" s="14" t="str">
        <f>HYPERLINK("https://otsuka-europe-crm.veevavault.com/ui/#object/email_activity__v/V8C00000003X562", "EN-002097858")</f>
        <v>EN-002097858</v>
      </c>
    </row>
    <row r="10406" spans="1:15" ht="16" x14ac:dyDescent="0.2">
      <c r="A10406" s="19"/>
      <c r="B10406" s="19"/>
      <c r="C10406" s="19"/>
      <c r="D10406" s="19"/>
      <c r="E10406" s="19"/>
      <c r="F10406" s="19"/>
      <c r="G10406" s="19"/>
      <c r="H10406" s="19"/>
      <c r="I10406" s="19"/>
      <c r="J10406" s="19"/>
      <c r="K10406" s="19"/>
      <c r="L10406" s="19"/>
      <c r="M10406" s="19"/>
      <c r="N10406" s="19"/>
      <c r="O10406" s="14" t="str">
        <f>HYPERLINK("https://otsuka-europe-crm.veevavault.com/ui/#object/email_activity__v/V8C00000003X589", "EN-002097894")</f>
        <v>EN-002097894</v>
      </c>
    </row>
    <row r="10407" spans="1:15" ht="64" x14ac:dyDescent="0.2">
      <c r="A10407" s="7" t="str">
        <f>HYPERLINK("https://otsuka-europe-crm.veevavault.com/ui/#object/account__v/V4TZ04ASGC78QB8", "MARTA CALATRONI")</f>
        <v>MARTA CALATRONI</v>
      </c>
      <c r="B10407" s="7" t="str">
        <f>HYPERLINK("https://otsuka-europe-crm.veevavault.com/ui/#object/vcountry__v/VENZ000004SONFQ", "IT")</f>
        <v>IT</v>
      </c>
      <c r="C10407" s="8" t="s">
        <v>44</v>
      </c>
      <c r="D10407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407" s="10" t="str">
        <f>HYPERLINK("https://otsuka-europe-crm.veevavault.com/ui/#object/sent_email__v/VBL00000002U599", "SE-001436487")</f>
        <v>SE-001436487</v>
      </c>
      <c r="F10407" s="11"/>
      <c r="G10407" s="12">
        <v>0</v>
      </c>
      <c r="H10407" s="12">
        <v>0</v>
      </c>
      <c r="I10407" s="12">
        <v>0</v>
      </c>
      <c r="J10407" s="11"/>
      <c r="K10407" s="12">
        <v>0</v>
      </c>
      <c r="L10407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407" s="10" t="str">
        <f>HYPERLINK("mailto:giada.camassa@outsuka.it", "giada.camassa@outsuka.it")</f>
        <v>giada.camassa@outsuka.it</v>
      </c>
      <c r="N10407" s="13">
        <v>46190.337847222225</v>
      </c>
      <c r="O10407" s="14" t="str">
        <f>HYPERLINK("https://otsuka-europe-crm.veevavault.com/ui/#object/email_activity__v/V8C00000003W425", "EN-002097709")</f>
        <v>EN-002097709</v>
      </c>
    </row>
    <row r="10408" spans="1:15" ht="16" x14ac:dyDescent="0.2">
      <c r="A10408" s="17" t="str">
        <f>HYPERLINK("https://otsuka-europe-crm.veevavault.com/ui/#object/account__v/V4TZ025E86KXVTC", "MARTINA AMBROGIO")</f>
        <v>MARTINA AMBROGIO</v>
      </c>
      <c r="B10408" s="17" t="str">
        <f>HYPERLINK("https://otsuka-europe-crm.veevavault.com/ui/#object/vcountry__v/VENZ000004SONFQ", "IT")</f>
        <v>IT</v>
      </c>
      <c r="C10408" s="20" t="s">
        <v>44</v>
      </c>
      <c r="D10408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408" s="22" t="str">
        <f>HYPERLINK("https://otsuka-europe-crm.veevavault.com/ui/#object/sent_email__v/VBL00000002U600", "SE-001436488")</f>
        <v>SE-001436488</v>
      </c>
      <c r="F10408" s="23">
        <v>46190.338171296295</v>
      </c>
      <c r="G10408" s="24">
        <v>1</v>
      </c>
      <c r="H10408" s="24">
        <v>1</v>
      </c>
      <c r="I10408" s="24">
        <v>0</v>
      </c>
      <c r="J10408" s="25"/>
      <c r="K10408" s="24">
        <v>0</v>
      </c>
      <c r="L10408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408" s="22" t="str">
        <f>HYPERLINK("mailto:giada.camassa@outsuka.it", "giada.camassa@outsuka.it")</f>
        <v>giada.camassa@outsuka.it</v>
      </c>
      <c r="N10408" s="23">
        <v>46190.33797453704</v>
      </c>
      <c r="O10408" s="14" t="str">
        <f>HYPERLINK("https://otsuka-europe-crm.veevavault.com/ui/#object/email_activity__v/V8C00000003W403", "EN-002097565")</f>
        <v>EN-002097565</v>
      </c>
    </row>
    <row r="10409" spans="1:15" ht="16" x14ac:dyDescent="0.2">
      <c r="A10409" s="19"/>
      <c r="B10409" s="19"/>
      <c r="C10409" s="19"/>
      <c r="D10409" s="19"/>
      <c r="E10409" s="19"/>
      <c r="F10409" s="19"/>
      <c r="G10409" s="19"/>
      <c r="H10409" s="19"/>
      <c r="I10409" s="19"/>
      <c r="J10409" s="19"/>
      <c r="K10409" s="19"/>
      <c r="L10409" s="19"/>
      <c r="M10409" s="19"/>
      <c r="N10409" s="19"/>
      <c r="O10409" s="14" t="str">
        <f>HYPERLINK("https://otsuka-europe-crm.veevavault.com/ui/#object/email_activity__v/V8C00000003X577", "EN-002097873")</f>
        <v>EN-002097873</v>
      </c>
    </row>
    <row r="10410" spans="1:15" ht="16" x14ac:dyDescent="0.2">
      <c r="A10410" s="17" t="str">
        <f>HYPERLINK("https://otsuka-europe-crm.veevavault.com/ui/#object/account__v/V4TZ06G6O71S9SY", "MATTEO RIGATO")</f>
        <v>MATTEO RIGATO</v>
      </c>
      <c r="B10410" s="17" t="str">
        <f>HYPERLINK("https://otsuka-europe-crm.veevavault.com/ui/#object/vcountry__v/VENZ000004SONFQ", "IT")</f>
        <v>IT</v>
      </c>
      <c r="C10410" s="20" t="s">
        <v>44</v>
      </c>
      <c r="D10410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410" s="22" t="str">
        <f>HYPERLINK("https://otsuka-europe-crm.veevavault.com/ui/#object/sent_email__v/VBL00000002U602", "SE-001436490")</f>
        <v>SE-001436490</v>
      </c>
      <c r="F10410" s="23">
        <v>46190.345266203702</v>
      </c>
      <c r="G10410" s="24">
        <v>1</v>
      </c>
      <c r="H10410" s="24">
        <v>1</v>
      </c>
      <c r="I10410" s="24">
        <v>1</v>
      </c>
      <c r="J10410" s="23">
        <v>46190.345266203702</v>
      </c>
      <c r="K10410" s="24">
        <v>1</v>
      </c>
      <c r="L10410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410" s="22" t="str">
        <f>HYPERLINK("mailto:giada.camassa@outsuka.it", "giada.camassa@outsuka.it")</f>
        <v>giada.camassa@outsuka.it</v>
      </c>
      <c r="N10410" s="23">
        <v>46190.337835648148</v>
      </c>
      <c r="O10410" s="14" t="str">
        <f>HYPERLINK("https://otsuka-europe-crm.veevavault.com/ui/#object/email_activity__v/V8C00000003W334", "EN-002097384")</f>
        <v>EN-002097384</v>
      </c>
    </row>
    <row r="10411" spans="1:15" ht="16" x14ac:dyDescent="0.2">
      <c r="A10411" s="18"/>
      <c r="B10411" s="18"/>
      <c r="C10411" s="18"/>
      <c r="D10411" s="18"/>
      <c r="E10411" s="18"/>
      <c r="F10411" s="18"/>
      <c r="G10411" s="18"/>
      <c r="H10411" s="18"/>
      <c r="I10411" s="18"/>
      <c r="J10411" s="18"/>
      <c r="K10411" s="18"/>
      <c r="L10411" s="18"/>
      <c r="M10411" s="18"/>
      <c r="N10411" s="18"/>
      <c r="O10411" s="14" t="str">
        <f>HYPERLINK("https://otsuka-europe-crm.veevavault.com/ui/#object/email_activity__v/V8C00000003W620", "EN-002098243")</f>
        <v>EN-002098243</v>
      </c>
    </row>
    <row r="10412" spans="1:15" ht="16" x14ac:dyDescent="0.2">
      <c r="A10412" s="19"/>
      <c r="B10412" s="19"/>
      <c r="C10412" s="19"/>
      <c r="D10412" s="19"/>
      <c r="E10412" s="19"/>
      <c r="F10412" s="19"/>
      <c r="G10412" s="19"/>
      <c r="H10412" s="19"/>
      <c r="I10412" s="19"/>
      <c r="J10412" s="19"/>
      <c r="K10412" s="19"/>
      <c r="L10412" s="19"/>
      <c r="M10412" s="19"/>
      <c r="N10412" s="19"/>
      <c r="O10412" s="14" t="str">
        <f>HYPERLINK("https://otsuka-europe-crm.veevavault.com/ui/#object/email_activity__v/V8C00000003W621", "EN-002098242")</f>
        <v>EN-002098242</v>
      </c>
    </row>
    <row r="10413" spans="1:15" ht="64" x14ac:dyDescent="0.2">
      <c r="A10413" s="7" t="str">
        <f>HYPERLINK("https://otsuka-europe-crm.veevavault.com/ui/#object/account__v/V4TZ06G6O71SBNB", "MATTIA MONTI")</f>
        <v>MATTIA MONTI</v>
      </c>
      <c r="B10413" s="7" t="str">
        <f t="shared" ref="B10413:B10422" si="782">HYPERLINK("https://otsuka-europe-crm.veevavault.com/ui/#object/vcountry__v/VENZ000004SONFQ", "IT")</f>
        <v>IT</v>
      </c>
      <c r="C10413" s="8" t="s">
        <v>44</v>
      </c>
      <c r="D10413" s="9" t="str">
        <f t="shared" ref="D10413:D10422" si="783">HYPERLINK("https://otsuka-europe-crm.veevavault.com/ui/#object/approved_document__v/V5O00000000G061", "AE - AGGIORNAMENTI SEZIONE APPROFONDIMENTI NEFRO IT-NPR-2500150")</f>
        <v>AE - AGGIORNAMENTI SEZIONE APPROFONDIMENTI NEFRO IT-NPR-2500150</v>
      </c>
      <c r="E10413" s="10" t="str">
        <f>HYPERLINK("https://otsuka-europe-crm.veevavault.com/ui/#object/sent_email__v/VBL00000002U603", "SE-001436491")</f>
        <v>SE-001436491</v>
      </c>
      <c r="F10413" s="11"/>
      <c r="G10413" s="12">
        <v>0</v>
      </c>
      <c r="H10413" s="12">
        <v>0</v>
      </c>
      <c r="I10413" s="12">
        <v>0</v>
      </c>
      <c r="J10413" s="11"/>
      <c r="K10413" s="12">
        <v>0</v>
      </c>
      <c r="L10413" s="10" t="str">
        <f t="shared" ref="L10413:L10422" si="784">HYPERLINK("https://otsuka-europe-crm.veevavault.com/ui/#object/approved_document__v/V5O00000000G061", "AE - AGGIORNAMENTI SEZIONE APPROFONDIMENTI NEFRO IT-NPR-2500150")</f>
        <v>AE - AGGIORNAMENTI SEZIONE APPROFONDIMENTI NEFRO IT-NPR-2500150</v>
      </c>
      <c r="M10413" s="10" t="str">
        <f t="shared" ref="M10413:M10422" si="785">HYPERLINK("mailto:giada.camassa@outsuka.it", "giada.camassa@outsuka.it")</f>
        <v>giada.camassa@outsuka.it</v>
      </c>
      <c r="N10413" s="13">
        <v>46190.337893518517</v>
      </c>
      <c r="O10413" s="14" t="str">
        <f>HYPERLINK("https://otsuka-europe-crm.veevavault.com/ui/#object/email_activity__v/V8C00000003X517", "EN-002097760")</f>
        <v>EN-002097760</v>
      </c>
    </row>
    <row r="10414" spans="1:15" ht="64" x14ac:dyDescent="0.2">
      <c r="A10414" s="7" t="str">
        <f>HYPERLINK("https://otsuka-europe-crm.veevavault.com/ui/#object/account__v/V4TZ06G6O71SAOM", "MAURIZIO ALBERTO GALLIENI")</f>
        <v>MAURIZIO ALBERTO GALLIENI</v>
      </c>
      <c r="B10414" s="7" t="str">
        <f t="shared" si="782"/>
        <v>IT</v>
      </c>
      <c r="C10414" s="8" t="s">
        <v>44</v>
      </c>
      <c r="D10414" s="9" t="str">
        <f t="shared" si="783"/>
        <v>AE - AGGIORNAMENTI SEZIONE APPROFONDIMENTI NEFRO IT-NPR-2500150</v>
      </c>
      <c r="E10414" s="10" t="str">
        <f>HYPERLINK("https://otsuka-europe-crm.veevavault.com/ui/#object/sent_email__v/VBL00000002U604", "SE-001436492")</f>
        <v>SE-001436492</v>
      </c>
      <c r="F10414" s="11"/>
      <c r="G10414" s="12">
        <v>0</v>
      </c>
      <c r="H10414" s="12">
        <v>0</v>
      </c>
      <c r="I10414" s="12">
        <v>0</v>
      </c>
      <c r="J10414" s="11"/>
      <c r="K10414" s="12">
        <v>0</v>
      </c>
      <c r="L10414" s="10" t="str">
        <f t="shared" si="784"/>
        <v>AE - AGGIORNAMENTI SEZIONE APPROFONDIMENTI NEFRO IT-NPR-2500150</v>
      </c>
      <c r="M10414" s="10" t="str">
        <f t="shared" si="785"/>
        <v>giada.camassa@outsuka.it</v>
      </c>
      <c r="N10414" s="13">
        <v>46190.337997685187</v>
      </c>
      <c r="O10414" s="14" t="str">
        <f>HYPERLINK("https://otsuka-europe-crm.veevavault.com/ui/#object/email_activity__v/V8C00000003X370", "EN-002097548")</f>
        <v>EN-002097548</v>
      </c>
    </row>
    <row r="10415" spans="1:15" ht="64" x14ac:dyDescent="0.2">
      <c r="A10415" s="7" t="str">
        <f>HYPERLINK("https://otsuka-europe-crm.veevavault.com/ui/#object/account__v/V4TZ06G6O71SA72", "MAURIZIO BRIGANTE")</f>
        <v>MAURIZIO BRIGANTE</v>
      </c>
      <c r="B10415" s="7" t="str">
        <f t="shared" si="782"/>
        <v>IT</v>
      </c>
      <c r="C10415" s="8" t="s">
        <v>44</v>
      </c>
      <c r="D10415" s="9" t="str">
        <f t="shared" si="783"/>
        <v>AE - AGGIORNAMENTI SEZIONE APPROFONDIMENTI NEFRO IT-NPR-2500150</v>
      </c>
      <c r="E10415" s="10" t="str">
        <f>HYPERLINK("https://otsuka-europe-crm.veevavault.com/ui/#object/sent_email__v/VBL00000002U605", "SE-001436493")</f>
        <v>SE-001436493</v>
      </c>
      <c r="F10415" s="11"/>
      <c r="G10415" s="12">
        <v>0</v>
      </c>
      <c r="H10415" s="12">
        <v>0</v>
      </c>
      <c r="I10415" s="12">
        <v>0</v>
      </c>
      <c r="J10415" s="11"/>
      <c r="K10415" s="12">
        <v>0</v>
      </c>
      <c r="L10415" s="10" t="str">
        <f t="shared" si="784"/>
        <v>AE - AGGIORNAMENTI SEZIONE APPROFONDIMENTI NEFRO IT-NPR-2500150</v>
      </c>
      <c r="M10415" s="10" t="str">
        <f t="shared" si="785"/>
        <v>giada.camassa@outsuka.it</v>
      </c>
      <c r="N10415" s="13">
        <v>46190.34002314815</v>
      </c>
      <c r="O10415" s="14" t="str">
        <f>HYPERLINK("https://otsuka-europe-crm.veevavault.com/ui/#object/email_activity__v/V8C00000003X784", "EN-002098196")</f>
        <v>EN-002098196</v>
      </c>
    </row>
    <row r="10416" spans="1:15" ht="64" x14ac:dyDescent="0.2">
      <c r="A10416" s="7" t="str">
        <f>HYPERLINK("https://otsuka-europe-crm.veevavault.com/ui/#object/account__v/V4TZ06G6O71SAID", "MAURO DUGO")</f>
        <v>MAURO DUGO</v>
      </c>
      <c r="B10416" s="7" t="str">
        <f t="shared" si="782"/>
        <v>IT</v>
      </c>
      <c r="C10416" s="8" t="s">
        <v>44</v>
      </c>
      <c r="D10416" s="9" t="str">
        <f t="shared" si="783"/>
        <v>AE - AGGIORNAMENTI SEZIONE APPROFONDIMENTI NEFRO IT-NPR-2500150</v>
      </c>
      <c r="E10416" s="10" t="str">
        <f>HYPERLINK("https://otsuka-europe-crm.veevavault.com/ui/#object/sent_email__v/VBL00000002U606", "SE-001436494")</f>
        <v>SE-001436494</v>
      </c>
      <c r="F10416" s="11"/>
      <c r="G10416" s="12">
        <v>0</v>
      </c>
      <c r="H10416" s="12">
        <v>0</v>
      </c>
      <c r="I10416" s="12">
        <v>0</v>
      </c>
      <c r="J10416" s="11"/>
      <c r="K10416" s="12">
        <v>0</v>
      </c>
      <c r="L10416" s="10" t="str">
        <f t="shared" si="784"/>
        <v>AE - AGGIORNAMENTI SEZIONE APPROFONDIMENTI NEFRO IT-NPR-2500150</v>
      </c>
      <c r="M10416" s="10" t="str">
        <f t="shared" si="785"/>
        <v>giada.camassa@outsuka.it</v>
      </c>
      <c r="N10416" s="13">
        <v>46190.337835648148</v>
      </c>
      <c r="O10416" s="14" t="str">
        <f>HYPERLINK("https://otsuka-europe-crm.veevavault.com/ui/#object/email_activity__v/V8C00000003W336", "EN-002097386")</f>
        <v>EN-002097386</v>
      </c>
    </row>
    <row r="10417" spans="1:15" ht="64" x14ac:dyDescent="0.2">
      <c r="A10417" s="7" t="str">
        <f>HYPERLINK("https://otsuka-europe-crm.veevavault.com/ui/#object/account__v/V4TZ025E85JS915", "MAURO VALENTE")</f>
        <v>MAURO VALENTE</v>
      </c>
      <c r="B10417" s="7" t="str">
        <f t="shared" si="782"/>
        <v>IT</v>
      </c>
      <c r="C10417" s="8" t="s">
        <v>44</v>
      </c>
      <c r="D10417" s="9" t="str">
        <f t="shared" si="783"/>
        <v>AE - AGGIORNAMENTI SEZIONE APPROFONDIMENTI NEFRO IT-NPR-2500150</v>
      </c>
      <c r="E10417" s="10" t="str">
        <f>HYPERLINK("https://otsuka-europe-crm.veevavault.com/ui/#object/sent_email__v/VBL00000002U607", "SE-001436495")</f>
        <v>SE-001436495</v>
      </c>
      <c r="F10417" s="11"/>
      <c r="G10417" s="12">
        <v>0</v>
      </c>
      <c r="H10417" s="12">
        <v>0</v>
      </c>
      <c r="I10417" s="12">
        <v>0</v>
      </c>
      <c r="J10417" s="11"/>
      <c r="K10417" s="12">
        <v>0</v>
      </c>
      <c r="L10417" s="10" t="str">
        <f t="shared" si="784"/>
        <v>AE - AGGIORNAMENTI SEZIONE APPROFONDIMENTI NEFRO IT-NPR-2500150</v>
      </c>
      <c r="M10417" s="10" t="str">
        <f t="shared" si="785"/>
        <v>giada.camassa@outsuka.it</v>
      </c>
      <c r="N10417" s="13">
        <v>46190.338368055556</v>
      </c>
      <c r="O10417" s="14" t="str">
        <f>HYPERLINK("https://otsuka-europe-crm.veevavault.com/ui/#object/email_activity__v/V8C00000003X595", "EN-002097904")</f>
        <v>EN-002097904</v>
      </c>
    </row>
    <row r="10418" spans="1:15" ht="64" x14ac:dyDescent="0.2">
      <c r="A10418" s="7" t="str">
        <f>HYPERLINK("https://otsuka-europe-crm.veevavault.com/ui/#object/account__v/V4TZ06G6O71S9OH", "MICHELE ANDREUCCI")</f>
        <v>MICHELE ANDREUCCI</v>
      </c>
      <c r="B10418" s="7" t="str">
        <f t="shared" si="782"/>
        <v>IT</v>
      </c>
      <c r="C10418" s="8" t="s">
        <v>44</v>
      </c>
      <c r="D10418" s="9" t="str">
        <f t="shared" si="783"/>
        <v>AE - AGGIORNAMENTI SEZIONE APPROFONDIMENTI NEFRO IT-NPR-2500150</v>
      </c>
      <c r="E10418" s="10" t="str">
        <f>HYPERLINK("https://otsuka-europe-crm.veevavault.com/ui/#object/sent_email__v/VBL00000002U608", "SE-001436496")</f>
        <v>SE-001436496</v>
      </c>
      <c r="F10418" s="11"/>
      <c r="G10418" s="12">
        <v>0</v>
      </c>
      <c r="H10418" s="12">
        <v>0</v>
      </c>
      <c r="I10418" s="12">
        <v>0</v>
      </c>
      <c r="J10418" s="11"/>
      <c r="K10418" s="12">
        <v>0</v>
      </c>
      <c r="L10418" s="10" t="str">
        <f t="shared" si="784"/>
        <v>AE - AGGIORNAMENTI SEZIONE APPROFONDIMENTI NEFRO IT-NPR-2500150</v>
      </c>
      <c r="M10418" s="10" t="str">
        <f t="shared" si="785"/>
        <v>giada.camassa@outsuka.it</v>
      </c>
      <c r="N10418" s="13">
        <v>46190.337812500002</v>
      </c>
      <c r="O10418" s="14" t="str">
        <f>HYPERLINK("https://otsuka-europe-crm.veevavault.com/ui/#object/email_activity__v/V8C00000003X331", "EN-002097627")</f>
        <v>EN-002097627</v>
      </c>
    </row>
    <row r="10419" spans="1:15" ht="64" x14ac:dyDescent="0.2">
      <c r="A10419" s="7" t="str">
        <f>HYPERLINK("https://otsuka-europe-crm.veevavault.com/ui/#object/account__v/V4TZ06G6O71TG1C", "MONICA ZANELLA")</f>
        <v>MONICA ZANELLA</v>
      </c>
      <c r="B10419" s="7" t="str">
        <f t="shared" si="782"/>
        <v>IT</v>
      </c>
      <c r="C10419" s="8" t="s">
        <v>44</v>
      </c>
      <c r="D10419" s="9" t="str">
        <f t="shared" si="783"/>
        <v>AE - AGGIORNAMENTI SEZIONE APPROFONDIMENTI NEFRO IT-NPR-2500150</v>
      </c>
      <c r="E10419" s="10" t="str">
        <f>HYPERLINK("https://otsuka-europe-crm.veevavault.com/ui/#object/sent_email__v/VBL00000002U609", "SE-001436497")</f>
        <v>SE-001436497</v>
      </c>
      <c r="F10419" s="11"/>
      <c r="G10419" s="12">
        <v>0</v>
      </c>
      <c r="H10419" s="12">
        <v>0</v>
      </c>
      <c r="I10419" s="12">
        <v>0</v>
      </c>
      <c r="J10419" s="11"/>
      <c r="K10419" s="12">
        <v>0</v>
      </c>
      <c r="L10419" s="10" t="str">
        <f t="shared" si="784"/>
        <v>AE - AGGIORNAMENTI SEZIONE APPROFONDIMENTI NEFRO IT-NPR-2500150</v>
      </c>
      <c r="M10419" s="10" t="str">
        <f t="shared" si="785"/>
        <v>giada.camassa@outsuka.it</v>
      </c>
      <c r="N10419" s="13">
        <v>46190.337847222225</v>
      </c>
      <c r="O10419" s="14" t="str">
        <f>HYPERLINK("https://otsuka-europe-crm.veevavault.com/ui/#object/email_activity__v/V8C00000003X381", "EN-002097576")</f>
        <v>EN-002097576</v>
      </c>
    </row>
    <row r="10420" spans="1:15" ht="64" x14ac:dyDescent="0.2">
      <c r="A10420" s="7" t="str">
        <f>HYPERLINK("https://otsuka-europe-crm.veevavault.com/ui/#object/account__v/V4TZ025E84C88SX", "NICOLA LEPORI")</f>
        <v>NICOLA LEPORI</v>
      </c>
      <c r="B10420" s="7" t="str">
        <f t="shared" si="782"/>
        <v>IT</v>
      </c>
      <c r="C10420" s="8" t="s">
        <v>44</v>
      </c>
      <c r="D10420" s="9" t="str">
        <f t="shared" si="783"/>
        <v>AE - AGGIORNAMENTI SEZIONE APPROFONDIMENTI NEFRO IT-NPR-2500150</v>
      </c>
      <c r="E10420" s="10" t="str">
        <f>HYPERLINK("https://otsuka-europe-crm.veevavault.com/ui/#object/sent_email__v/VBL00000002U610", "SE-001436498")</f>
        <v>SE-001436498</v>
      </c>
      <c r="F10420" s="11"/>
      <c r="G10420" s="12">
        <v>0</v>
      </c>
      <c r="H10420" s="12">
        <v>0</v>
      </c>
      <c r="I10420" s="12">
        <v>0</v>
      </c>
      <c r="J10420" s="11"/>
      <c r="K10420" s="12">
        <v>0</v>
      </c>
      <c r="L10420" s="10" t="str">
        <f t="shared" si="784"/>
        <v>AE - AGGIORNAMENTI SEZIONE APPROFONDIMENTI NEFRO IT-NPR-2500150</v>
      </c>
      <c r="M10420" s="10" t="str">
        <f t="shared" si="785"/>
        <v>giada.camassa@outsuka.it</v>
      </c>
      <c r="N10420" s="13">
        <v>46190.337870370371</v>
      </c>
      <c r="O10420" s="14" t="str">
        <f>HYPERLINK("https://otsuka-europe-crm.veevavault.com/ui/#object/email_activity__v/V8C00000003W340", "EN-002097397")</f>
        <v>EN-002097397</v>
      </c>
    </row>
    <row r="10421" spans="1:15" ht="64" x14ac:dyDescent="0.2">
      <c r="A10421" s="7" t="str">
        <f>HYPERLINK("https://otsuka-europe-crm.veevavault.com/ui/#object/account__v/V4TZ025E835GMNA", "NICOLA MARCHIONNA")</f>
        <v>NICOLA MARCHIONNA</v>
      </c>
      <c r="B10421" s="7" t="str">
        <f t="shared" si="782"/>
        <v>IT</v>
      </c>
      <c r="C10421" s="8" t="s">
        <v>44</v>
      </c>
      <c r="D10421" s="9" t="str">
        <f t="shared" si="783"/>
        <v>AE - AGGIORNAMENTI SEZIONE APPROFONDIMENTI NEFRO IT-NPR-2500150</v>
      </c>
      <c r="E10421" s="10" t="str">
        <f>HYPERLINK("https://otsuka-europe-crm.veevavault.com/ui/#object/sent_email__v/VBL00000002U611", "SE-001436499")</f>
        <v>SE-001436499</v>
      </c>
      <c r="F10421" s="11"/>
      <c r="G10421" s="12">
        <v>0</v>
      </c>
      <c r="H10421" s="12">
        <v>0</v>
      </c>
      <c r="I10421" s="12">
        <v>0</v>
      </c>
      <c r="J10421" s="11"/>
      <c r="K10421" s="12">
        <v>0</v>
      </c>
      <c r="L10421" s="10" t="str">
        <f t="shared" si="784"/>
        <v>AE - AGGIORNAMENTI SEZIONE APPROFONDIMENTI NEFRO IT-NPR-2500150</v>
      </c>
      <c r="M10421" s="10" t="str">
        <f t="shared" si="785"/>
        <v>giada.camassa@outsuka.it</v>
      </c>
      <c r="N10421" s="13">
        <v>46190.338217592594</v>
      </c>
      <c r="O10421" s="14" t="str">
        <f>HYPERLINK("https://otsuka-europe-crm.veevavault.com/ui/#object/email_activity__v/V8C00000003X585", "EN-002097888")</f>
        <v>EN-002097888</v>
      </c>
    </row>
    <row r="10422" spans="1:15" ht="16" x14ac:dyDescent="0.2">
      <c r="A10422" s="17" t="str">
        <f>HYPERLINK("https://otsuka-europe-crm.veevavault.com/ui/#object/account__v/V4TZ04ASGBXIIK9", "NICOLETTA MEZZINA")</f>
        <v>NICOLETTA MEZZINA</v>
      </c>
      <c r="B10422" s="17" t="str">
        <f t="shared" si="782"/>
        <v>IT</v>
      </c>
      <c r="C10422" s="20" t="s">
        <v>44</v>
      </c>
      <c r="D10422" s="21" t="str">
        <f t="shared" si="783"/>
        <v>AE - AGGIORNAMENTI SEZIONE APPROFONDIMENTI NEFRO IT-NPR-2500150</v>
      </c>
      <c r="E10422" s="22" t="str">
        <f>HYPERLINK("https://otsuka-europe-crm.veevavault.com/ui/#object/sent_email__v/VBL00000002U612", "SE-001436500")</f>
        <v>SE-001436500</v>
      </c>
      <c r="F10422" s="23">
        <v>46190.338425925926</v>
      </c>
      <c r="G10422" s="24">
        <v>1</v>
      </c>
      <c r="H10422" s="24">
        <v>1</v>
      </c>
      <c r="I10422" s="24">
        <v>0</v>
      </c>
      <c r="J10422" s="25"/>
      <c r="K10422" s="24">
        <v>0</v>
      </c>
      <c r="L10422" s="22" t="str">
        <f t="shared" si="784"/>
        <v>AE - AGGIORNAMENTI SEZIONE APPROFONDIMENTI NEFRO IT-NPR-2500150</v>
      </c>
      <c r="M10422" s="22" t="str">
        <f t="shared" si="785"/>
        <v>giada.camassa@outsuka.it</v>
      </c>
      <c r="N10422" s="23">
        <v>46190.337835648148</v>
      </c>
      <c r="O10422" s="14" t="str">
        <f>HYPERLINK("https://otsuka-europe-crm.veevavault.com/ui/#object/email_activity__v/V8C00000003W337", "EN-002097387")</f>
        <v>EN-002097387</v>
      </c>
    </row>
    <row r="10423" spans="1:15" ht="16" x14ac:dyDescent="0.2">
      <c r="A10423" s="18"/>
      <c r="B10423" s="18"/>
      <c r="C10423" s="18"/>
      <c r="D10423" s="18"/>
      <c r="E10423" s="18"/>
      <c r="F10423" s="18"/>
      <c r="G10423" s="18"/>
      <c r="H10423" s="18"/>
      <c r="I10423" s="18"/>
      <c r="J10423" s="18"/>
      <c r="K10423" s="18"/>
      <c r="L10423" s="18"/>
      <c r="M10423" s="18"/>
      <c r="N10423" s="18"/>
      <c r="O10423" s="14" t="str">
        <f>HYPERLINK("https://otsuka-europe-crm.veevavault.com/ui/#object/email_activity__v/V8C00000003W631", "EN-002098256")</f>
        <v>EN-002098256</v>
      </c>
    </row>
    <row r="10424" spans="1:15" ht="16" x14ac:dyDescent="0.2">
      <c r="A10424" s="19"/>
      <c r="B10424" s="19"/>
      <c r="C10424" s="19"/>
      <c r="D10424" s="19"/>
      <c r="E10424" s="19"/>
      <c r="F10424" s="19"/>
      <c r="G10424" s="19"/>
      <c r="H10424" s="19"/>
      <c r="I10424" s="19"/>
      <c r="J10424" s="19"/>
      <c r="K10424" s="19"/>
      <c r="L10424" s="19"/>
      <c r="M10424" s="19"/>
      <c r="N10424" s="19"/>
      <c r="O10424" s="14" t="str">
        <f>HYPERLINK("https://otsuka-europe-crm.veevavault.com/ui/#object/email_activity__v/V8C00000003X596", "EN-002097905")</f>
        <v>EN-002097905</v>
      </c>
    </row>
    <row r="10425" spans="1:15" ht="64" x14ac:dyDescent="0.2">
      <c r="A10425" s="7" t="str">
        <f>HYPERLINK("https://otsuka-europe-crm.veevavault.com/ui/#object/account__v/V4TZ06G6O71SB2Q", "NICOLINO COMI")</f>
        <v>NICOLINO COMI</v>
      </c>
      <c r="B10425" s="7" t="str">
        <f>HYPERLINK("https://otsuka-europe-crm.veevavault.com/ui/#object/vcountry__v/VENZ000004SONFQ", "IT")</f>
        <v>IT</v>
      </c>
      <c r="C10425" s="8" t="s">
        <v>44</v>
      </c>
      <c r="D10425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425" s="10" t="str">
        <f>HYPERLINK("https://otsuka-europe-crm.veevavault.com/ui/#object/sent_email__v/VBL00000002U613", "SE-001436501")</f>
        <v>SE-001436501</v>
      </c>
      <c r="F10425" s="11"/>
      <c r="G10425" s="12">
        <v>0</v>
      </c>
      <c r="H10425" s="12">
        <v>0</v>
      </c>
      <c r="I10425" s="12">
        <v>0</v>
      </c>
      <c r="J10425" s="11"/>
      <c r="K10425" s="12">
        <v>0</v>
      </c>
      <c r="L10425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425" s="10" t="str">
        <f>HYPERLINK("mailto:giada.camassa@outsuka.it", "giada.camassa@outsuka.it")</f>
        <v>giada.camassa@outsuka.it</v>
      </c>
      <c r="N10425" s="13">
        <v>46190.337858796294</v>
      </c>
      <c r="O10425" s="14" t="str">
        <f>HYPERLINK("https://otsuka-europe-crm.veevavault.com/ui/#object/email_activity__v/V8C00000003X496", "EN-002097739")</f>
        <v>EN-002097739</v>
      </c>
    </row>
    <row r="10426" spans="1:15" ht="64" x14ac:dyDescent="0.2">
      <c r="A10426" s="7" t="str">
        <f>HYPERLINK("https://otsuka-europe-crm.veevavault.com/ui/#object/account__v/V4TZ04ASGBJAKK7", "OLGA BARALDI")</f>
        <v>OLGA BARALDI</v>
      </c>
      <c r="B10426" s="7" t="str">
        <f>HYPERLINK("https://otsuka-europe-crm.veevavault.com/ui/#object/vcountry__v/VENZ000004SONFQ", "IT")</f>
        <v>IT</v>
      </c>
      <c r="C10426" s="8" t="s">
        <v>44</v>
      </c>
      <c r="D10426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426" s="10" t="str">
        <f>HYPERLINK("https://otsuka-europe-crm.veevavault.com/ui/#object/sent_email__v/VBL00000002U614", "SE-001436502")</f>
        <v>SE-001436502</v>
      </c>
      <c r="F10426" s="11"/>
      <c r="G10426" s="12">
        <v>0</v>
      </c>
      <c r="H10426" s="12">
        <v>0</v>
      </c>
      <c r="I10426" s="12">
        <v>0</v>
      </c>
      <c r="J10426" s="11"/>
      <c r="K10426" s="12">
        <v>0</v>
      </c>
      <c r="L10426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426" s="10" t="str">
        <f>HYPERLINK("mailto:giada.camassa@outsuka.it", "giada.camassa@outsuka.it")</f>
        <v>giada.camassa@outsuka.it</v>
      </c>
      <c r="N10426" s="13">
        <v>46190.337881944448</v>
      </c>
      <c r="O10426" s="14" t="str">
        <f>HYPERLINK("https://otsuka-europe-crm.veevavault.com/ui/#object/email_activity__v/V8C00000003X367", "EN-002097545")</f>
        <v>EN-002097545</v>
      </c>
    </row>
    <row r="10427" spans="1:15" ht="16" x14ac:dyDescent="0.2">
      <c r="A10427" s="17" t="str">
        <f>HYPERLINK("https://otsuka-europe-crm.veevavault.com/ui/#object/account__v/V4TZ06G6O71SC1P", "OLGA MARIA LEA RANDONE")</f>
        <v>OLGA MARIA LEA RANDONE</v>
      </c>
      <c r="B10427" s="17" t="str">
        <f>HYPERLINK("https://otsuka-europe-crm.veevavault.com/ui/#object/vcountry__v/VENZ000004SONFQ", "IT")</f>
        <v>IT</v>
      </c>
      <c r="C10427" s="20" t="s">
        <v>44</v>
      </c>
      <c r="D10427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427" s="22" t="str">
        <f>HYPERLINK("https://otsuka-europe-crm.veevavault.com/ui/#object/sent_email__v/VBL00000002U615", "SE-001436503")</f>
        <v>SE-001436503</v>
      </c>
      <c r="F10427" s="23">
        <v>46190.33898148148</v>
      </c>
      <c r="G10427" s="24">
        <v>1</v>
      </c>
      <c r="H10427" s="24">
        <v>1</v>
      </c>
      <c r="I10427" s="24">
        <v>0</v>
      </c>
      <c r="J10427" s="25"/>
      <c r="K10427" s="24">
        <v>0</v>
      </c>
      <c r="L10427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427" s="22" t="str">
        <f>HYPERLINK("mailto:giada.camassa@outsuka.it", "giada.camassa@outsuka.it")</f>
        <v>giada.camassa@outsuka.it</v>
      </c>
      <c r="N10427" s="23">
        <v>46190.33792824074</v>
      </c>
      <c r="O10427" s="14" t="str">
        <f>HYPERLINK("https://otsuka-europe-crm.veevavault.com/ui/#object/email_activity__v/V8C00000003W473", "EN-002097811")</f>
        <v>EN-002097811</v>
      </c>
    </row>
    <row r="10428" spans="1:15" ht="16" x14ac:dyDescent="0.2">
      <c r="A10428" s="19"/>
      <c r="B10428" s="19"/>
      <c r="C10428" s="19"/>
      <c r="D10428" s="19"/>
      <c r="E10428" s="19"/>
      <c r="F10428" s="19"/>
      <c r="G10428" s="19"/>
      <c r="H10428" s="19"/>
      <c r="I10428" s="19"/>
      <c r="J10428" s="19"/>
      <c r="K10428" s="19"/>
      <c r="L10428" s="19"/>
      <c r="M10428" s="19"/>
      <c r="N10428" s="19"/>
      <c r="O10428" s="14" t="str">
        <f>HYPERLINK("https://otsuka-europe-crm.veevavault.com/ui/#object/email_activity__v/V8C00000003X639", "EN-002097975")</f>
        <v>EN-002097975</v>
      </c>
    </row>
    <row r="10429" spans="1:15" ht="64" x14ac:dyDescent="0.2">
      <c r="A10429" s="7" t="str">
        <f>HYPERLINK("https://otsuka-europe-crm.veevavault.com/ui/#object/account__v/V4TZ06G6O71SBQL", "PAOLA PECCHINI")</f>
        <v>PAOLA PECCHINI</v>
      </c>
      <c r="B10429" s="7" t="str">
        <f>HYPERLINK("https://otsuka-europe-crm.veevavault.com/ui/#object/vcountry__v/VENZ000004SONFQ", "IT")</f>
        <v>IT</v>
      </c>
      <c r="C10429" s="8" t="s">
        <v>44</v>
      </c>
      <c r="D10429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429" s="10" t="str">
        <f>HYPERLINK("https://otsuka-europe-crm.veevavault.com/ui/#object/sent_email__v/VBL00000002U616", "SE-001436504")</f>
        <v>SE-001436504</v>
      </c>
      <c r="F10429" s="11"/>
      <c r="G10429" s="12">
        <v>0</v>
      </c>
      <c r="H10429" s="12">
        <v>0</v>
      </c>
      <c r="I10429" s="12">
        <v>0</v>
      </c>
      <c r="J10429" s="11"/>
      <c r="K10429" s="12">
        <v>0</v>
      </c>
      <c r="L10429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429" s="10" t="str">
        <f>HYPERLINK("mailto:giada.camassa@outsuka.it", "giada.camassa@outsuka.it")</f>
        <v>giada.camassa@outsuka.it</v>
      </c>
      <c r="N10429" s="13">
        <v>46190.337847222225</v>
      </c>
      <c r="O10429" s="14" t="str">
        <f>HYPERLINK("https://otsuka-europe-crm.veevavault.com/ui/#object/email_activity__v/V8C00000003X471", "EN-002097670")</f>
        <v>EN-002097670</v>
      </c>
    </row>
    <row r="10430" spans="1:15" ht="64" x14ac:dyDescent="0.2">
      <c r="A10430" s="7" t="str">
        <f>HYPERLINK("https://otsuka-europe-crm.veevavault.com/ui/#object/account__v/V4TZ04ASGC4D4S4", "PAOLO FOINI")</f>
        <v>PAOLO FOINI</v>
      </c>
      <c r="B10430" s="7" t="str">
        <f>HYPERLINK("https://otsuka-europe-crm.veevavault.com/ui/#object/vcountry__v/VENZ000004SONFQ", "IT")</f>
        <v>IT</v>
      </c>
      <c r="C10430" s="8" t="s">
        <v>44</v>
      </c>
      <c r="D10430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430" s="10" t="str">
        <f>HYPERLINK("https://otsuka-europe-crm.veevavault.com/ui/#object/sent_email__v/VBL00000002U617", "SE-001436505")</f>
        <v>SE-001436505</v>
      </c>
      <c r="F10430" s="11"/>
      <c r="G10430" s="12">
        <v>0</v>
      </c>
      <c r="H10430" s="12">
        <v>0</v>
      </c>
      <c r="I10430" s="12">
        <v>0</v>
      </c>
      <c r="J10430" s="11"/>
      <c r="K10430" s="12">
        <v>0</v>
      </c>
      <c r="L10430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430" s="10" t="str">
        <f>HYPERLINK("mailto:giada.camassa@outsuka.it", "giada.camassa@outsuka.it")</f>
        <v>giada.camassa@outsuka.it</v>
      </c>
      <c r="N10430" s="13">
        <v>46190.337893518517</v>
      </c>
      <c r="O10430" s="14" t="str">
        <f>HYPERLINK("https://otsuka-europe-crm.veevavault.com/ui/#object/email_activity__v/V8C00000003W352", "EN-002097409")</f>
        <v>EN-002097409</v>
      </c>
    </row>
    <row r="10431" spans="1:15" ht="64" x14ac:dyDescent="0.2">
      <c r="A10431" s="7" t="str">
        <f>HYPERLINK("https://otsuka-europe-crm.veevavault.com/ui/#object/account__v/V4TZ06G6O71SAU4", "PAOLO GIGLIOTTI")</f>
        <v>PAOLO GIGLIOTTI</v>
      </c>
      <c r="B10431" s="7" t="str">
        <f>HYPERLINK("https://otsuka-europe-crm.veevavault.com/ui/#object/vcountry__v/VENZ000004SONFQ", "IT")</f>
        <v>IT</v>
      </c>
      <c r="C10431" s="8" t="s">
        <v>44</v>
      </c>
      <c r="D10431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431" s="10" t="str">
        <f>HYPERLINK("https://otsuka-europe-crm.veevavault.com/ui/#object/sent_email__v/VBL00000002U618", "SE-001436506")</f>
        <v>SE-001436506</v>
      </c>
      <c r="F10431" s="11"/>
      <c r="G10431" s="12">
        <v>0</v>
      </c>
      <c r="H10431" s="12">
        <v>0</v>
      </c>
      <c r="I10431" s="12">
        <v>0</v>
      </c>
      <c r="J10431" s="11"/>
      <c r="K10431" s="12">
        <v>0</v>
      </c>
      <c r="L10431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431" s="10" t="str">
        <f>HYPERLINK("mailto:giada.camassa@outsuka.it", "giada.camassa@outsuka.it")</f>
        <v>giada.camassa@outsuka.it</v>
      </c>
      <c r="N10431" s="13">
        <v>46190.337893518517</v>
      </c>
      <c r="O10431" s="14" t="str">
        <f>HYPERLINK("https://otsuka-europe-crm.veevavault.com/ui/#object/email_activity__v/V8C00000003X330", "EN-002097527")</f>
        <v>EN-002097527</v>
      </c>
    </row>
    <row r="10432" spans="1:15" ht="64" x14ac:dyDescent="0.2">
      <c r="A10432" s="7" t="str">
        <f>HYPERLINK("https://otsuka-europe-crm.veevavault.com/ui/#object/account__v/V4TZ06G6O71SC4N", "PAOLO ROMANO")</f>
        <v>PAOLO ROMANO</v>
      </c>
      <c r="B10432" s="7" t="str">
        <f>HYPERLINK("https://otsuka-europe-crm.veevavault.com/ui/#object/vcountry__v/VENZ000004SONFQ", "IT")</f>
        <v>IT</v>
      </c>
      <c r="C10432" s="8" t="s">
        <v>44</v>
      </c>
      <c r="D10432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432" s="10" t="str">
        <f>HYPERLINK("https://otsuka-europe-crm.veevavault.com/ui/#object/sent_email__v/VBL00000002U619", "SE-001436507")</f>
        <v>SE-001436507</v>
      </c>
      <c r="F10432" s="11"/>
      <c r="G10432" s="12">
        <v>0</v>
      </c>
      <c r="H10432" s="12">
        <v>0</v>
      </c>
      <c r="I10432" s="12">
        <v>0</v>
      </c>
      <c r="J10432" s="11"/>
      <c r="K10432" s="12">
        <v>0</v>
      </c>
      <c r="L10432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432" s="10" t="str">
        <f>HYPERLINK("mailto:giada.camassa@outsuka.it", "giada.camassa@outsuka.it")</f>
        <v>giada.camassa@outsuka.it</v>
      </c>
      <c r="N10432" s="13">
        <v>46190.337893518517</v>
      </c>
      <c r="O10432" s="14" t="str">
        <f>HYPERLINK("https://otsuka-europe-crm.veevavault.com/ui/#object/email_activity__v/V8C00000003W391", "EN-002097553")</f>
        <v>EN-002097553</v>
      </c>
    </row>
    <row r="10433" spans="1:15" ht="16" x14ac:dyDescent="0.2">
      <c r="A10433" s="17" t="str">
        <f>HYPERLINK("https://otsuka-europe-crm.veevavault.com/ui/#object/account__v/V4TZ06G6O71S9L1", "PASQUALE ESPOSITO")</f>
        <v>PASQUALE ESPOSITO</v>
      </c>
      <c r="B10433" s="17" t="str">
        <f>HYPERLINK("https://otsuka-europe-crm.veevavault.com/ui/#object/vcountry__v/VENZ000004SONFQ", "IT")</f>
        <v>IT</v>
      </c>
      <c r="C10433" s="20" t="s">
        <v>44</v>
      </c>
      <c r="D10433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433" s="22" t="str">
        <f>HYPERLINK("https://otsuka-europe-crm.veevavault.com/ui/#object/sent_email__v/VBL00000002U620", "SE-001436508")</f>
        <v>SE-001436508</v>
      </c>
      <c r="F10433" s="23">
        <v>46190.362129629626</v>
      </c>
      <c r="G10433" s="24">
        <v>1</v>
      </c>
      <c r="H10433" s="24">
        <v>2</v>
      </c>
      <c r="I10433" s="24">
        <v>0</v>
      </c>
      <c r="J10433" s="25"/>
      <c r="K10433" s="24">
        <v>0</v>
      </c>
      <c r="L10433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433" s="22" t="str">
        <f>HYPERLINK("mailto:giada.camassa@outsuka.it", "giada.camassa@outsuka.it")</f>
        <v>giada.camassa@outsuka.it</v>
      </c>
      <c r="N10433" s="23">
        <v>46190.337951388887</v>
      </c>
      <c r="O10433" s="14" t="str">
        <f>HYPERLINK("https://otsuka-europe-crm.veevavault.com/ui/#object/email_activity__v/V8C00000003W625", "EN-002098248")</f>
        <v>EN-002098248</v>
      </c>
    </row>
    <row r="10434" spans="1:15" ht="16" x14ac:dyDescent="0.2">
      <c r="A10434" s="18"/>
      <c r="B10434" s="18"/>
      <c r="C10434" s="18"/>
      <c r="D10434" s="18"/>
      <c r="E10434" s="18"/>
      <c r="F10434" s="18"/>
      <c r="G10434" s="18"/>
      <c r="H10434" s="18"/>
      <c r="I10434" s="18"/>
      <c r="J10434" s="18"/>
      <c r="K10434" s="18"/>
      <c r="L10434" s="18"/>
      <c r="M10434" s="18"/>
      <c r="N10434" s="18"/>
      <c r="O10434" s="14" t="str">
        <f>HYPERLINK("https://otsuka-europe-crm.veevavault.com/ui/#object/email_activity__v/V8C00000003W639", "EN-002098268")</f>
        <v>EN-002098268</v>
      </c>
    </row>
    <row r="10435" spans="1:15" ht="16" x14ac:dyDescent="0.2">
      <c r="A10435" s="19"/>
      <c r="B10435" s="19"/>
      <c r="C10435" s="19"/>
      <c r="D10435" s="19"/>
      <c r="E10435" s="19"/>
      <c r="F10435" s="19"/>
      <c r="G10435" s="19"/>
      <c r="H10435" s="19"/>
      <c r="I10435" s="19"/>
      <c r="J10435" s="19"/>
      <c r="K10435" s="19"/>
      <c r="L10435" s="19"/>
      <c r="M10435" s="19"/>
      <c r="N10435" s="19"/>
      <c r="O10435" s="14" t="str">
        <f>HYPERLINK("https://otsuka-europe-crm.veevavault.com/ui/#object/email_activity__v/V8C00000003X439", "EN-002097653")</f>
        <v>EN-002097653</v>
      </c>
    </row>
    <row r="10436" spans="1:15" ht="64" x14ac:dyDescent="0.2">
      <c r="A10436" s="7" t="str">
        <f>HYPERLINK("https://otsuka-europe-crm.veevavault.com/ui/#object/account__v/V4TZ06G6O71S9H5", "PIERLUIGI D'ANGIO'")</f>
        <v>PIERLUIGI D'ANGIO'</v>
      </c>
      <c r="B10436" s="7" t="str">
        <f>HYPERLINK("https://otsuka-europe-crm.veevavault.com/ui/#object/vcountry__v/VENZ000004SONFQ", "IT")</f>
        <v>IT</v>
      </c>
      <c r="C10436" s="8" t="s">
        <v>44</v>
      </c>
      <c r="D10436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436" s="10" t="str">
        <f>HYPERLINK("https://otsuka-europe-crm.veevavault.com/ui/#object/sent_email__v/VBL00000002U622", "SE-001436510")</f>
        <v>SE-001436510</v>
      </c>
      <c r="F10436" s="11"/>
      <c r="G10436" s="12">
        <v>0</v>
      </c>
      <c r="H10436" s="12">
        <v>0</v>
      </c>
      <c r="I10436" s="12">
        <v>0</v>
      </c>
      <c r="J10436" s="11"/>
      <c r="K10436" s="12">
        <v>0</v>
      </c>
      <c r="L10436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436" s="10" t="str">
        <f>HYPERLINK("mailto:giada.camassa@outsuka.it", "giada.camassa@outsuka.it")</f>
        <v>giada.camassa@outsuka.it</v>
      </c>
      <c r="N10436" s="13">
        <v>46190.337951388887</v>
      </c>
      <c r="O10436" s="14" t="str">
        <f>HYPERLINK("https://otsuka-europe-crm.veevavault.com/ui/#object/email_activity__v/V8C00000003X383", "EN-002097578")</f>
        <v>EN-002097578</v>
      </c>
    </row>
    <row r="10437" spans="1:15" ht="64" x14ac:dyDescent="0.2">
      <c r="A10437" s="7" t="str">
        <f>HYPERLINK("https://otsuka-europe-crm.veevavault.com/ui/#object/account__v/V4TZ06G6O71SAJU", "PIETRO MANUEL FERRARO")</f>
        <v>PIETRO MANUEL FERRARO</v>
      </c>
      <c r="B10437" s="7" t="str">
        <f>HYPERLINK("https://otsuka-europe-crm.veevavault.com/ui/#object/vcountry__v/VENZ000004SONFQ", "IT")</f>
        <v>IT</v>
      </c>
      <c r="C10437" s="8" t="s">
        <v>44</v>
      </c>
      <c r="D10437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437" s="10" t="str">
        <f>HYPERLINK("https://otsuka-europe-crm.veevavault.com/ui/#object/sent_email__v/VBL00000002U623", "SE-001436511")</f>
        <v>SE-001436511</v>
      </c>
      <c r="F10437" s="11"/>
      <c r="G10437" s="12">
        <v>0</v>
      </c>
      <c r="H10437" s="12">
        <v>0</v>
      </c>
      <c r="I10437" s="12">
        <v>0</v>
      </c>
      <c r="J10437" s="11"/>
      <c r="K10437" s="12">
        <v>0</v>
      </c>
      <c r="L10437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437" s="10" t="str">
        <f>HYPERLINK("mailto:giada.camassa@outsuka.it", "giada.camassa@outsuka.it")</f>
        <v>giada.camassa@outsuka.it</v>
      </c>
      <c r="N10437" s="13">
        <v>46190.337847222225</v>
      </c>
      <c r="O10437" s="14" t="str">
        <f>HYPERLINK("https://otsuka-europe-crm.veevavault.com/ui/#object/email_activity__v/V8C00000003X240", "EN-002097379")</f>
        <v>EN-002097379</v>
      </c>
    </row>
    <row r="10438" spans="1:15" ht="16" x14ac:dyDescent="0.2">
      <c r="A10438" s="17" t="str">
        <f>HYPERLINK("https://otsuka-europe-crm.veevavault.com/ui/#object/account__v/V4TZ06G6O71SBO2", "PIETRO NAPODANO")</f>
        <v>PIETRO NAPODANO</v>
      </c>
      <c r="B10438" s="17" t="str">
        <f>HYPERLINK("https://otsuka-europe-crm.veevavault.com/ui/#object/vcountry__v/VENZ000004SONFQ", "IT")</f>
        <v>IT</v>
      </c>
      <c r="C10438" s="20" t="s">
        <v>44</v>
      </c>
      <c r="D10438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438" s="22" t="str">
        <f>HYPERLINK("https://otsuka-europe-crm.veevavault.com/ui/#object/sent_email__v/VBL00000002U624", "SE-001436512")</f>
        <v>SE-001436512</v>
      </c>
      <c r="F10438" s="23">
        <v>46190.339375000003</v>
      </c>
      <c r="G10438" s="24">
        <v>1</v>
      </c>
      <c r="H10438" s="24">
        <v>1</v>
      </c>
      <c r="I10438" s="24">
        <v>0</v>
      </c>
      <c r="J10438" s="25"/>
      <c r="K10438" s="24">
        <v>0</v>
      </c>
      <c r="L10438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438" s="22" t="str">
        <f>HYPERLINK("mailto:giada.camassa@outsuka.it", "giada.camassa@outsuka.it")</f>
        <v>giada.camassa@outsuka.it</v>
      </c>
      <c r="N10438" s="23">
        <v>46190.339074074072</v>
      </c>
      <c r="O10438" s="14" t="str">
        <f>HYPERLINK("https://otsuka-europe-crm.veevavault.com/ui/#object/email_activity__v/V8C00000003X685", "EN-002098039")</f>
        <v>EN-002098039</v>
      </c>
    </row>
    <row r="10439" spans="1:15" ht="16" x14ac:dyDescent="0.2">
      <c r="A10439" s="18"/>
      <c r="B10439" s="18"/>
      <c r="C10439" s="18"/>
      <c r="D10439" s="18"/>
      <c r="E10439" s="18"/>
      <c r="F10439" s="18"/>
      <c r="G10439" s="18"/>
      <c r="H10439" s="18"/>
      <c r="I10439" s="18"/>
      <c r="J10439" s="18"/>
      <c r="K10439" s="18"/>
      <c r="L10439" s="18"/>
      <c r="M10439" s="18"/>
      <c r="N10439" s="18"/>
      <c r="O10439" s="14" t="str">
        <f>HYPERLINK("https://otsuka-europe-crm.veevavault.com/ui/#object/email_activity__v/V8C00000003X693", "EN-002098054")</f>
        <v>EN-002098054</v>
      </c>
    </row>
    <row r="10440" spans="1:15" ht="16" x14ac:dyDescent="0.2">
      <c r="A10440" s="19"/>
      <c r="B10440" s="19"/>
      <c r="C10440" s="19"/>
      <c r="D10440" s="19"/>
      <c r="E10440" s="19"/>
      <c r="F10440" s="19"/>
      <c r="G10440" s="19"/>
      <c r="H10440" s="19"/>
      <c r="I10440" s="19"/>
      <c r="J10440" s="19"/>
      <c r="K10440" s="19"/>
      <c r="L10440" s="19"/>
      <c r="M10440" s="19"/>
      <c r="N10440" s="19"/>
      <c r="O10440" s="14" t="str">
        <f>HYPERLINK("https://otsuka-europe-crm.veevavault.com/ui/#object/email_activity__v/V8C00000003X928", "EN-002098470")</f>
        <v>EN-002098470</v>
      </c>
    </row>
    <row r="10441" spans="1:15" ht="64" x14ac:dyDescent="0.2">
      <c r="A10441" s="7" t="str">
        <f>HYPERLINK("https://otsuka-europe-crm.veevavault.com/ui/#object/account__v/V4TZ04ASGDP1JTR", "RAFFAELA SCIRI")</f>
        <v>RAFFAELA SCIRI</v>
      </c>
      <c r="B10441" s="7" t="str">
        <f>HYPERLINK("https://otsuka-europe-crm.veevavault.com/ui/#object/vcountry__v/VENZ000004SONFQ", "IT")</f>
        <v>IT</v>
      </c>
      <c r="C10441" s="8" t="s">
        <v>44</v>
      </c>
      <c r="D10441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441" s="10" t="str">
        <f>HYPERLINK("https://otsuka-europe-crm.veevavault.com/ui/#object/sent_email__v/VBL00000002U625", "SE-001436513")</f>
        <v>SE-001436513</v>
      </c>
      <c r="F10441" s="11"/>
      <c r="G10441" s="12">
        <v>0</v>
      </c>
      <c r="H10441" s="12">
        <v>0</v>
      </c>
      <c r="I10441" s="12">
        <v>0</v>
      </c>
      <c r="J10441" s="11"/>
      <c r="K10441" s="12">
        <v>0</v>
      </c>
      <c r="L10441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441" s="10" t="str">
        <f>HYPERLINK("mailto:giada.camassa@outsuka.it", "giada.camassa@outsuka.it")</f>
        <v>giada.camassa@outsuka.it</v>
      </c>
      <c r="N10441" s="13">
        <v>46190.339120370372</v>
      </c>
      <c r="O10441" s="14" t="str">
        <f>HYPERLINK("https://otsuka-europe-crm.veevavault.com/ui/#object/email_activity__v/V8C00000003X675", "EN-002098016")</f>
        <v>EN-002098016</v>
      </c>
    </row>
    <row r="10442" spans="1:15" ht="64" x14ac:dyDescent="0.2">
      <c r="A10442" s="7" t="str">
        <f>HYPERLINK("https://otsuka-europe-crm.veevavault.com/ui/#object/account__v/V4TZ06G6O71SBD0", "RICCARDO MAGISTRONI")</f>
        <v>RICCARDO MAGISTRONI</v>
      </c>
      <c r="B10442" s="7" t="str">
        <f>HYPERLINK("https://otsuka-europe-crm.veevavault.com/ui/#object/vcountry__v/VENZ000004SONFQ", "IT")</f>
        <v>IT</v>
      </c>
      <c r="C10442" s="8" t="s">
        <v>44</v>
      </c>
      <c r="D10442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442" s="10" t="str">
        <f>HYPERLINK("https://otsuka-europe-crm.veevavault.com/ui/#object/sent_email__v/VBL00000002U627", "SE-001436515")</f>
        <v>SE-001436515</v>
      </c>
      <c r="F10442" s="11"/>
      <c r="G10442" s="12">
        <v>0</v>
      </c>
      <c r="H10442" s="12">
        <v>0</v>
      </c>
      <c r="I10442" s="12">
        <v>0</v>
      </c>
      <c r="J10442" s="11"/>
      <c r="K10442" s="12">
        <v>0</v>
      </c>
      <c r="L10442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442" s="10" t="str">
        <f>HYPERLINK("mailto:giada.camassa@outsuka.it", "giada.camassa@outsuka.it")</f>
        <v>giada.camassa@outsuka.it</v>
      </c>
      <c r="N10442" s="13">
        <v>46190.33798611111</v>
      </c>
      <c r="O10442" s="14" t="str">
        <f>HYPERLINK("https://otsuka-europe-crm.veevavault.com/ui/#object/email_activity__v/V8C00000003W419", "EN-002097698")</f>
        <v>EN-002097698</v>
      </c>
    </row>
    <row r="10443" spans="1:15" ht="16" x14ac:dyDescent="0.2">
      <c r="A10443" s="17" t="str">
        <f>HYPERLINK("https://otsuka-europe-crm.veevavault.com/ui/#object/account__v/V4TZ04ASGECDSXL", "ROBERTA ALIOTTA")</f>
        <v>ROBERTA ALIOTTA</v>
      </c>
      <c r="B10443" s="17" t="str">
        <f>HYPERLINK("https://otsuka-europe-crm.veevavault.com/ui/#object/vcountry__v/VENZ000004SONFQ", "IT")</f>
        <v>IT</v>
      </c>
      <c r="C10443" s="20" t="s">
        <v>44</v>
      </c>
      <c r="D10443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443" s="22" t="str">
        <f>HYPERLINK("https://otsuka-europe-crm.veevavault.com/ui/#object/sent_email__v/VBL00000002U628", "SE-001436516")</f>
        <v>SE-001436516</v>
      </c>
      <c r="F10443" s="23">
        <v>46190.338368055556</v>
      </c>
      <c r="G10443" s="24">
        <v>1</v>
      </c>
      <c r="H10443" s="24">
        <v>1</v>
      </c>
      <c r="I10443" s="24">
        <v>0</v>
      </c>
      <c r="J10443" s="25"/>
      <c r="K10443" s="24">
        <v>0</v>
      </c>
      <c r="L10443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443" s="22" t="str">
        <f>HYPERLINK("mailto:giada.camassa@outsuka.it", "giada.camassa@outsuka.it")</f>
        <v>giada.camassa@outsuka.it</v>
      </c>
      <c r="N10443" s="23">
        <v>46190.337824074071</v>
      </c>
      <c r="O10443" s="14" t="str">
        <f>HYPERLINK("https://otsuka-europe-crm.veevavault.com/ui/#object/email_activity__v/V8C00000003W505", "EN-002097911")</f>
        <v>EN-002097911</v>
      </c>
    </row>
    <row r="10444" spans="1:15" ht="16" x14ac:dyDescent="0.2">
      <c r="A10444" s="19"/>
      <c r="B10444" s="19"/>
      <c r="C10444" s="19"/>
      <c r="D10444" s="19"/>
      <c r="E10444" s="19"/>
      <c r="F10444" s="19"/>
      <c r="G10444" s="19"/>
      <c r="H10444" s="19"/>
      <c r="I10444" s="19"/>
      <c r="J10444" s="19"/>
      <c r="K10444" s="19"/>
      <c r="L10444" s="19"/>
      <c r="M10444" s="19"/>
      <c r="N10444" s="19"/>
      <c r="O10444" s="14" t="str">
        <f>HYPERLINK("https://otsuka-europe-crm.veevavault.com/ui/#object/email_activity__v/V8C00000003X374", "EN-002097569")</f>
        <v>EN-002097569</v>
      </c>
    </row>
    <row r="10445" spans="1:15" ht="64" x14ac:dyDescent="0.2">
      <c r="A10445" s="7" t="str">
        <f>HYPERLINK("https://otsuka-europe-crm.veevavault.com/ui/#object/account__v/V4TZ06G6O9VL04V", "ROBERTA GUASTINI")</f>
        <v>ROBERTA GUASTINI</v>
      </c>
      <c r="B10445" s="7" t="str">
        <f>HYPERLINK("https://otsuka-europe-crm.veevavault.com/ui/#object/vcountry__v/VENZ000004SONFQ", "IT")</f>
        <v>IT</v>
      </c>
      <c r="C10445" s="8" t="s">
        <v>44</v>
      </c>
      <c r="D10445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445" s="10" t="str">
        <f>HYPERLINK("https://otsuka-europe-crm.veevavault.com/ui/#object/sent_email__v/VBL00000002U629", "SE-001436517")</f>
        <v>SE-001436517</v>
      </c>
      <c r="F10445" s="11"/>
      <c r="G10445" s="12">
        <v>0</v>
      </c>
      <c r="H10445" s="12">
        <v>0</v>
      </c>
      <c r="I10445" s="12">
        <v>0</v>
      </c>
      <c r="J10445" s="11"/>
      <c r="K10445" s="12">
        <v>0</v>
      </c>
      <c r="L10445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445" s="10" t="str">
        <f>HYPERLINK("mailto:giada.camassa@outsuka.it", "giada.camassa@outsuka.it")</f>
        <v>giada.camassa@outsuka.it</v>
      </c>
      <c r="N10445" s="13">
        <v>46190.337824074071</v>
      </c>
      <c r="O10445" s="14" t="str">
        <f>HYPERLINK("https://otsuka-europe-crm.veevavault.com/ui/#object/email_activity__v/V8C00000003W357", "EN-002097414")</f>
        <v>EN-002097414</v>
      </c>
    </row>
    <row r="10446" spans="1:15" ht="64" x14ac:dyDescent="0.2">
      <c r="A10446" s="7" t="str">
        <f>HYPERLINK("https://otsuka-europe-crm.veevavault.com/ui/#object/account__v/V4TZ025E84B6MHG", "ROSA SCURRIA")</f>
        <v>ROSA SCURRIA</v>
      </c>
      <c r="B10446" s="7" t="str">
        <f>HYPERLINK("https://otsuka-europe-crm.veevavault.com/ui/#object/vcountry__v/VENZ000004SONFQ", "IT")</f>
        <v>IT</v>
      </c>
      <c r="C10446" s="8" t="s">
        <v>44</v>
      </c>
      <c r="D10446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446" s="10" t="str">
        <f>HYPERLINK("https://otsuka-europe-crm.veevavault.com/ui/#object/sent_email__v/VBL00000002U630", "SE-001436518")</f>
        <v>SE-001436518</v>
      </c>
      <c r="F10446" s="11"/>
      <c r="G10446" s="12">
        <v>0</v>
      </c>
      <c r="H10446" s="12">
        <v>0</v>
      </c>
      <c r="I10446" s="12">
        <v>0</v>
      </c>
      <c r="J10446" s="11"/>
      <c r="K10446" s="12">
        <v>0</v>
      </c>
      <c r="L10446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446" s="10" t="str">
        <f>HYPERLINK("mailto:giada.camassa@outsuka.it", "giada.camassa@outsuka.it")</f>
        <v>giada.camassa@outsuka.it</v>
      </c>
      <c r="N10446" s="13">
        <v>46190.337916666664</v>
      </c>
      <c r="O10446" s="14" t="str">
        <f>HYPERLINK("https://otsuka-europe-crm.veevavault.com/ui/#object/email_activity__v/V8C00000003X352", "EN-002097530")</f>
        <v>EN-002097530</v>
      </c>
    </row>
    <row r="10447" spans="1:15" ht="64" x14ac:dyDescent="0.2">
      <c r="A10447" s="7" t="str">
        <f>HYPERLINK("https://otsuka-europe-crm.veevavault.com/ui/#object/account__v/V4TZ06G6O71SBMT", "ROSALIA MONGIOVI'")</f>
        <v>ROSALIA MONGIOVI'</v>
      </c>
      <c r="B10447" s="7" t="str">
        <f>HYPERLINK("https://otsuka-europe-crm.veevavault.com/ui/#object/vcountry__v/VENZ000004SONFQ", "IT")</f>
        <v>IT</v>
      </c>
      <c r="C10447" s="8" t="s">
        <v>44</v>
      </c>
      <c r="D10447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447" s="10" t="str">
        <f>HYPERLINK("https://otsuka-europe-crm.veevavault.com/ui/#object/sent_email__v/VBL00000002U631", "SE-001436519")</f>
        <v>SE-001436519</v>
      </c>
      <c r="F10447" s="11"/>
      <c r="G10447" s="12">
        <v>0</v>
      </c>
      <c r="H10447" s="12">
        <v>0</v>
      </c>
      <c r="I10447" s="12">
        <v>0</v>
      </c>
      <c r="J10447" s="11"/>
      <c r="K10447" s="12">
        <v>0</v>
      </c>
      <c r="L10447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447" s="10" t="str">
        <f>HYPERLINK("mailto:giada.camassa@outsuka.it", "giada.camassa@outsuka.it")</f>
        <v>giada.camassa@outsuka.it</v>
      </c>
      <c r="N10447" s="13">
        <v>46190.337870370371</v>
      </c>
      <c r="O10447" s="14" t="str">
        <f>HYPERLINK("https://otsuka-europe-crm.veevavault.com/ui/#object/email_activity__v/V8C00000003W354", "EN-002097411")</f>
        <v>EN-002097411</v>
      </c>
    </row>
    <row r="10448" spans="1:15" ht="64" x14ac:dyDescent="0.2">
      <c r="A10448" s="7" t="str">
        <f>HYPERLINK("https://otsuka-europe-crm.veevavault.com/ui/#object/account__v/V4TZ06G6O71SB0C", "SABRINA CARUSO")</f>
        <v>SABRINA CARUSO</v>
      </c>
      <c r="B10448" s="7" t="str">
        <f>HYPERLINK("https://otsuka-europe-crm.veevavault.com/ui/#object/vcountry__v/VENZ000004SONFQ", "IT")</f>
        <v>IT</v>
      </c>
      <c r="C10448" s="8" t="s">
        <v>44</v>
      </c>
      <c r="D10448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448" s="10" t="str">
        <f>HYPERLINK("https://otsuka-europe-crm.veevavault.com/ui/#object/sent_email__v/VBL00000002U632", "SE-001436520")</f>
        <v>SE-001436520</v>
      </c>
      <c r="F10448" s="11"/>
      <c r="G10448" s="12">
        <v>0</v>
      </c>
      <c r="H10448" s="12">
        <v>0</v>
      </c>
      <c r="I10448" s="12">
        <v>0</v>
      </c>
      <c r="J10448" s="11"/>
      <c r="K10448" s="12">
        <v>0</v>
      </c>
      <c r="L10448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448" s="10" t="str">
        <f>HYPERLINK("mailto:giada.camassa@outsuka.it", "giada.camassa@outsuka.it")</f>
        <v>giada.camassa@outsuka.it</v>
      </c>
      <c r="N10448" s="13">
        <v>46190.337858796294</v>
      </c>
      <c r="O10448" s="14" t="str">
        <f>HYPERLINK("https://otsuka-europe-crm.veevavault.com/ui/#object/email_activity__v/V8C00000003X284", "EN-002097475")</f>
        <v>EN-002097475</v>
      </c>
    </row>
    <row r="10449" spans="1:15" ht="16" x14ac:dyDescent="0.2">
      <c r="A10449" s="17" t="str">
        <f>HYPERLINK("https://otsuka-europe-crm.veevavault.com/ui/#object/account__v/V4TZ06G6O71SCN0", "SALVATORE URSO")</f>
        <v>SALVATORE URSO</v>
      </c>
      <c r="B10449" s="17" t="str">
        <f>HYPERLINK("https://otsuka-europe-crm.veevavault.com/ui/#object/vcountry__v/VENZ000004SONFQ", "IT")</f>
        <v>IT</v>
      </c>
      <c r="C10449" s="20" t="s">
        <v>44</v>
      </c>
      <c r="D10449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449" s="22" t="str">
        <f>HYPERLINK("https://otsuka-europe-crm.veevavault.com/ui/#object/sent_email__v/VBL00000002U633", "SE-001436521")</f>
        <v>SE-001436521</v>
      </c>
      <c r="F10449" s="23">
        <v>46190.350057870368</v>
      </c>
      <c r="G10449" s="24">
        <v>1</v>
      </c>
      <c r="H10449" s="24">
        <v>2</v>
      </c>
      <c r="I10449" s="24">
        <v>0</v>
      </c>
      <c r="J10449" s="25"/>
      <c r="K10449" s="24">
        <v>0</v>
      </c>
      <c r="L10449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449" s="22" t="str">
        <f>HYPERLINK("mailto:giada.camassa@outsuka.it", "giada.camassa@outsuka.it")</f>
        <v>giada.camassa@outsuka.it</v>
      </c>
      <c r="N10449" s="23">
        <v>46190.33792824074</v>
      </c>
      <c r="O10449" s="14" t="str">
        <f>HYPERLINK("https://otsuka-europe-crm.veevavault.com/ui/#object/email_activity__v/V8C00000003X414", "EN-002097609")</f>
        <v>EN-002097609</v>
      </c>
    </row>
    <row r="10450" spans="1:15" ht="16" x14ac:dyDescent="0.2">
      <c r="A10450" s="18"/>
      <c r="B10450" s="18"/>
      <c r="C10450" s="18"/>
      <c r="D10450" s="18"/>
      <c r="E10450" s="18"/>
      <c r="F10450" s="18"/>
      <c r="G10450" s="18"/>
      <c r="H10450" s="18"/>
      <c r="I10450" s="18"/>
      <c r="J10450" s="18"/>
      <c r="K10450" s="18"/>
      <c r="L10450" s="18"/>
      <c r="M10450" s="18"/>
      <c r="N10450" s="18"/>
      <c r="O10450" s="14" t="str">
        <f>HYPERLINK("https://otsuka-europe-crm.veevavault.com/ui/#object/email_activity__v/V8C00000003X587", "EN-002097890")</f>
        <v>EN-002097890</v>
      </c>
    </row>
    <row r="10451" spans="1:15" ht="16" x14ac:dyDescent="0.2">
      <c r="A10451" s="19"/>
      <c r="B10451" s="19"/>
      <c r="C10451" s="19"/>
      <c r="D10451" s="19"/>
      <c r="E10451" s="19"/>
      <c r="F10451" s="19"/>
      <c r="G10451" s="19"/>
      <c r="H10451" s="19"/>
      <c r="I10451" s="19"/>
      <c r="J10451" s="19"/>
      <c r="K10451" s="19"/>
      <c r="L10451" s="19"/>
      <c r="M10451" s="19"/>
      <c r="N10451" s="19"/>
      <c r="O10451" s="14" t="str">
        <f>HYPERLINK("https://otsuka-europe-crm.veevavault.com/ui/#object/email_activity__v/V8C00000003X817", "EN-002098255")</f>
        <v>EN-002098255</v>
      </c>
    </row>
    <row r="10452" spans="1:15" ht="16" x14ac:dyDescent="0.2">
      <c r="A10452" s="17" t="str">
        <f>HYPERLINK("https://otsuka-europe-crm.veevavault.com/ui/#object/account__v/V4TZ06G6O71SB3U", "SANTINA COTTONE")</f>
        <v>SANTINA COTTONE</v>
      </c>
      <c r="B10452" s="17" t="str">
        <f>HYPERLINK("https://otsuka-europe-crm.veevavault.com/ui/#object/vcountry__v/VENZ000004SONFQ", "IT")</f>
        <v>IT</v>
      </c>
      <c r="C10452" s="20" t="s">
        <v>44</v>
      </c>
      <c r="D10452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452" s="22" t="str">
        <f>HYPERLINK("https://otsuka-europe-crm.veevavault.com/ui/#object/sent_email__v/VBL00000002U634", "SE-001436522")</f>
        <v>SE-001436522</v>
      </c>
      <c r="F10452" s="23">
        <v>46190.338067129633</v>
      </c>
      <c r="G10452" s="24">
        <v>1</v>
      </c>
      <c r="H10452" s="24">
        <v>1</v>
      </c>
      <c r="I10452" s="24">
        <v>0</v>
      </c>
      <c r="J10452" s="25"/>
      <c r="K10452" s="24">
        <v>0</v>
      </c>
      <c r="L10452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452" s="22" t="str">
        <f>HYPERLINK("mailto:giada.camassa@outsuka.it", "giada.camassa@outsuka.it")</f>
        <v>giada.camassa@outsuka.it</v>
      </c>
      <c r="N10452" s="23">
        <v>46190.337835648148</v>
      </c>
      <c r="O10452" s="14" t="str">
        <f>HYPERLINK("https://otsuka-europe-crm.veevavault.com/ui/#object/email_activity__v/V8C00000003X378", "EN-002097573")</f>
        <v>EN-002097573</v>
      </c>
    </row>
    <row r="10453" spans="1:15" ht="16" x14ac:dyDescent="0.2">
      <c r="A10453" s="19"/>
      <c r="B10453" s="19"/>
      <c r="C10453" s="19"/>
      <c r="D10453" s="19"/>
      <c r="E10453" s="19"/>
      <c r="F10453" s="19"/>
      <c r="G10453" s="19"/>
      <c r="H10453" s="19"/>
      <c r="I10453" s="19"/>
      <c r="J10453" s="19"/>
      <c r="K10453" s="19"/>
      <c r="L10453" s="19"/>
      <c r="M10453" s="19"/>
      <c r="N10453" s="19"/>
      <c r="O10453" s="14" t="str">
        <f>HYPERLINK("https://otsuka-europe-crm.veevavault.com/ui/#object/email_activity__v/V8C00000003X555", "EN-002097851")</f>
        <v>EN-002097851</v>
      </c>
    </row>
    <row r="10454" spans="1:15" ht="16" x14ac:dyDescent="0.2">
      <c r="A10454" s="17" t="str">
        <f>HYPERLINK("https://otsuka-europe-crm.veevavault.com/ui/#object/account__v/V4TZ06G6O71SBCP", "STEFANO MAFFEI")</f>
        <v>STEFANO MAFFEI</v>
      </c>
      <c r="B10454" s="17" t="str">
        <f>HYPERLINK("https://otsuka-europe-crm.veevavault.com/ui/#object/vcountry__v/VENZ000004SONFQ", "IT")</f>
        <v>IT</v>
      </c>
      <c r="C10454" s="20" t="s">
        <v>44</v>
      </c>
      <c r="D10454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454" s="22" t="str">
        <f>HYPERLINK("https://otsuka-europe-crm.veevavault.com/ui/#object/sent_email__v/VBL00000002U636", "SE-001436524")</f>
        <v>SE-001436524</v>
      </c>
      <c r="F10454" s="23">
        <v>46190.33902777778</v>
      </c>
      <c r="G10454" s="24">
        <v>1</v>
      </c>
      <c r="H10454" s="24">
        <v>1</v>
      </c>
      <c r="I10454" s="24">
        <v>0</v>
      </c>
      <c r="J10454" s="25"/>
      <c r="K10454" s="24">
        <v>0</v>
      </c>
      <c r="L10454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454" s="22" t="str">
        <f>HYPERLINK("mailto:giada.camassa@outsuka.it", "giada.camassa@outsuka.it")</f>
        <v>giada.camassa@outsuka.it</v>
      </c>
      <c r="N10454" s="23">
        <v>46190.338773148149</v>
      </c>
      <c r="O10454" s="14" t="str">
        <f>HYPERLINK("https://otsuka-europe-crm.veevavault.com/ui/#object/email_activity__v/V8C00000003X640", "EN-002097971")</f>
        <v>EN-002097971</v>
      </c>
    </row>
    <row r="10455" spans="1:15" ht="16" x14ac:dyDescent="0.2">
      <c r="A10455" s="19"/>
      <c r="B10455" s="19"/>
      <c r="C10455" s="19"/>
      <c r="D10455" s="19"/>
      <c r="E10455" s="19"/>
      <c r="F10455" s="19"/>
      <c r="G10455" s="19"/>
      <c r="H10455" s="19"/>
      <c r="I10455" s="19"/>
      <c r="J10455" s="19"/>
      <c r="K10455" s="19"/>
      <c r="L10455" s="19"/>
      <c r="M10455" s="19"/>
      <c r="N10455" s="19"/>
      <c r="O10455" s="14" t="str">
        <f>HYPERLINK("https://otsuka-europe-crm.veevavault.com/ui/#object/email_activity__v/V8C00000003X660", "EN-002098001")</f>
        <v>EN-002098001</v>
      </c>
    </row>
    <row r="10456" spans="1:15" ht="64" x14ac:dyDescent="0.2">
      <c r="A10456" s="7" t="str">
        <f>HYPERLINK("https://otsuka-europe-crm.veevavault.com/ui/#object/account__v/V4TZ06G6O71S9MA", "STEFANO PINI")</f>
        <v>STEFANO PINI</v>
      </c>
      <c r="B10456" s="7" t="str">
        <f t="shared" ref="B10456:B10464" si="786">HYPERLINK("https://otsuka-europe-crm.veevavault.com/ui/#object/vcountry__v/VENZ000004SONFQ", "IT")</f>
        <v>IT</v>
      </c>
      <c r="C10456" s="8" t="s">
        <v>44</v>
      </c>
      <c r="D10456" s="9" t="str">
        <f t="shared" ref="D10456:D10464" si="787">HYPERLINK("https://otsuka-europe-crm.veevavault.com/ui/#object/approved_document__v/V5O00000000G061", "AE - AGGIORNAMENTI SEZIONE APPROFONDIMENTI NEFRO IT-NPR-2500150")</f>
        <v>AE - AGGIORNAMENTI SEZIONE APPROFONDIMENTI NEFRO IT-NPR-2500150</v>
      </c>
      <c r="E10456" s="10" t="str">
        <f>HYPERLINK("https://otsuka-europe-crm.veevavault.com/ui/#object/sent_email__v/VBL00000002U637", "SE-001436525")</f>
        <v>SE-001436525</v>
      </c>
      <c r="F10456" s="11"/>
      <c r="G10456" s="12">
        <v>0</v>
      </c>
      <c r="H10456" s="12">
        <v>0</v>
      </c>
      <c r="I10456" s="12">
        <v>0</v>
      </c>
      <c r="J10456" s="11"/>
      <c r="K10456" s="12">
        <v>0</v>
      </c>
      <c r="L10456" s="10" t="str">
        <f t="shared" ref="L10456:L10464" si="788">HYPERLINK("https://otsuka-europe-crm.veevavault.com/ui/#object/approved_document__v/V5O00000000G061", "AE - AGGIORNAMENTI SEZIONE APPROFONDIMENTI NEFRO IT-NPR-2500150")</f>
        <v>AE - AGGIORNAMENTI SEZIONE APPROFONDIMENTI NEFRO IT-NPR-2500150</v>
      </c>
      <c r="M10456" s="10" t="str">
        <f t="shared" ref="M10456:M10464" si="789">HYPERLINK("mailto:giada.camassa@outsuka.it", "giada.camassa@outsuka.it")</f>
        <v>giada.camassa@outsuka.it</v>
      </c>
      <c r="N10456" s="13">
        <v>46190.337858796294</v>
      </c>
      <c r="O10456" s="14" t="str">
        <f>HYPERLINK("https://otsuka-europe-crm.veevavault.com/ui/#object/email_activity__v/V8C00000003X326", "EN-002097523")</f>
        <v>EN-002097523</v>
      </c>
    </row>
    <row r="10457" spans="1:15" ht="64" x14ac:dyDescent="0.2">
      <c r="A10457" s="7" t="str">
        <f>HYPERLINK("https://otsuka-europe-crm.veevavault.com/ui/#object/account__v/V4TZ06G6O71S9DJ", "TERESA VALSANIA")</f>
        <v>TERESA VALSANIA</v>
      </c>
      <c r="B10457" s="7" t="str">
        <f t="shared" si="786"/>
        <v>IT</v>
      </c>
      <c r="C10457" s="8" t="s">
        <v>44</v>
      </c>
      <c r="D10457" s="9" t="str">
        <f t="shared" si="787"/>
        <v>AE - AGGIORNAMENTI SEZIONE APPROFONDIMENTI NEFRO IT-NPR-2500150</v>
      </c>
      <c r="E10457" s="10" t="str">
        <f>HYPERLINK("https://otsuka-europe-crm.veevavault.com/ui/#object/sent_email__v/VBL00000002U638", "SE-001436526")</f>
        <v>SE-001436526</v>
      </c>
      <c r="F10457" s="11"/>
      <c r="G10457" s="12">
        <v>0</v>
      </c>
      <c r="H10457" s="12">
        <v>0</v>
      </c>
      <c r="I10457" s="12">
        <v>0</v>
      </c>
      <c r="J10457" s="11"/>
      <c r="K10457" s="12">
        <v>0</v>
      </c>
      <c r="L10457" s="10" t="str">
        <f t="shared" si="788"/>
        <v>AE - AGGIORNAMENTI SEZIONE APPROFONDIMENTI NEFRO IT-NPR-2500150</v>
      </c>
      <c r="M10457" s="10" t="str">
        <f t="shared" si="789"/>
        <v>giada.camassa@outsuka.it</v>
      </c>
      <c r="N10457" s="13">
        <v>46190.337835648148</v>
      </c>
      <c r="O10457" s="14" t="str">
        <f>HYPERLINK("https://otsuka-europe-crm.veevavault.com/ui/#object/email_activity__v/V8C00000003W368", "EN-002097458")</f>
        <v>EN-002097458</v>
      </c>
    </row>
    <row r="10458" spans="1:15" ht="64" x14ac:dyDescent="0.2">
      <c r="A10458" s="7" t="str">
        <f>HYPERLINK("https://otsuka-europe-crm.veevavault.com/ui/#object/account__v/V4TZ04ASGCYYA5O", "TIZIANA PICCOLO")</f>
        <v>TIZIANA PICCOLO</v>
      </c>
      <c r="B10458" s="7" t="str">
        <f t="shared" si="786"/>
        <v>IT</v>
      </c>
      <c r="C10458" s="8" t="s">
        <v>44</v>
      </c>
      <c r="D10458" s="9" t="str">
        <f t="shared" si="787"/>
        <v>AE - AGGIORNAMENTI SEZIONE APPROFONDIMENTI NEFRO IT-NPR-2500150</v>
      </c>
      <c r="E10458" s="10" t="str">
        <f>HYPERLINK("https://otsuka-europe-crm.veevavault.com/ui/#object/sent_email__v/VBL00000002U639", "SE-001436527")</f>
        <v>SE-001436527</v>
      </c>
      <c r="F10458" s="11"/>
      <c r="G10458" s="12">
        <v>0</v>
      </c>
      <c r="H10458" s="12">
        <v>0</v>
      </c>
      <c r="I10458" s="12">
        <v>0</v>
      </c>
      <c r="J10458" s="11"/>
      <c r="K10458" s="12">
        <v>0</v>
      </c>
      <c r="L10458" s="10" t="str">
        <f t="shared" si="788"/>
        <v>AE - AGGIORNAMENTI SEZIONE APPROFONDIMENTI NEFRO IT-NPR-2500150</v>
      </c>
      <c r="M10458" s="10" t="str">
        <f t="shared" si="789"/>
        <v>giada.camassa@outsuka.it</v>
      </c>
      <c r="N10458" s="13">
        <v>46190.339699074073</v>
      </c>
      <c r="O10458" s="14" t="str">
        <f>HYPERLINK("https://otsuka-europe-crm.veevavault.com/ui/#object/email_activity__v/V8C00000003W582", "EN-002098124")</f>
        <v>EN-002098124</v>
      </c>
    </row>
    <row r="10459" spans="1:15" ht="64" x14ac:dyDescent="0.2">
      <c r="A10459" s="7" t="str">
        <f>HYPERLINK("https://otsuka-europe-crm.veevavault.com/ui/#object/account__v/V4TZ04ASGB4W211", "VALENTINA BINDA")</f>
        <v>VALENTINA BINDA</v>
      </c>
      <c r="B10459" s="7" t="str">
        <f t="shared" si="786"/>
        <v>IT</v>
      </c>
      <c r="C10459" s="8" t="s">
        <v>44</v>
      </c>
      <c r="D10459" s="9" t="str">
        <f t="shared" si="787"/>
        <v>AE - AGGIORNAMENTI SEZIONE APPROFONDIMENTI NEFRO IT-NPR-2500150</v>
      </c>
      <c r="E10459" s="10" t="str">
        <f>HYPERLINK("https://otsuka-europe-crm.veevavault.com/ui/#object/sent_email__v/VBL00000002U640", "SE-001436528")</f>
        <v>SE-001436528</v>
      </c>
      <c r="F10459" s="11"/>
      <c r="G10459" s="12">
        <v>0</v>
      </c>
      <c r="H10459" s="12">
        <v>0</v>
      </c>
      <c r="I10459" s="12">
        <v>0</v>
      </c>
      <c r="J10459" s="11"/>
      <c r="K10459" s="12">
        <v>0</v>
      </c>
      <c r="L10459" s="10" t="str">
        <f t="shared" si="788"/>
        <v>AE - AGGIORNAMENTI SEZIONE APPROFONDIMENTI NEFRO IT-NPR-2500150</v>
      </c>
      <c r="M10459" s="10" t="str">
        <f t="shared" si="789"/>
        <v>giada.camassa@outsuka.it</v>
      </c>
      <c r="N10459" s="13">
        <v>46190.338807870372</v>
      </c>
      <c r="O10459" s="14" t="str">
        <f>HYPERLINK("https://otsuka-europe-crm.veevavault.com/ui/#object/email_activity__v/V8C00000003W525", "EN-002097962")</f>
        <v>EN-002097962</v>
      </c>
    </row>
    <row r="10460" spans="1:15" ht="64" x14ac:dyDescent="0.2">
      <c r="A10460" s="7" t="str">
        <f>HYPERLINK("https://otsuka-europe-crm.veevavault.com/ui/#object/account__v/V4TZ025E84BAOBD", "VALENTINA CACCIATORE")</f>
        <v>VALENTINA CACCIATORE</v>
      </c>
      <c r="B10460" s="7" t="str">
        <f t="shared" si="786"/>
        <v>IT</v>
      </c>
      <c r="C10460" s="8" t="s">
        <v>44</v>
      </c>
      <c r="D10460" s="9" t="str">
        <f t="shared" si="787"/>
        <v>AE - AGGIORNAMENTI SEZIONE APPROFONDIMENTI NEFRO IT-NPR-2500150</v>
      </c>
      <c r="E10460" s="10" t="str">
        <f>HYPERLINK("https://otsuka-europe-crm.veevavault.com/ui/#object/sent_email__v/VBL00000002U641", "SE-001436529")</f>
        <v>SE-001436529</v>
      </c>
      <c r="F10460" s="11"/>
      <c r="G10460" s="12">
        <v>0</v>
      </c>
      <c r="H10460" s="12">
        <v>0</v>
      </c>
      <c r="I10460" s="12">
        <v>0</v>
      </c>
      <c r="J10460" s="11"/>
      <c r="K10460" s="12">
        <v>0</v>
      </c>
      <c r="L10460" s="10" t="str">
        <f t="shared" si="788"/>
        <v>AE - AGGIORNAMENTI SEZIONE APPROFONDIMENTI NEFRO IT-NPR-2500150</v>
      </c>
      <c r="M10460" s="10" t="str">
        <f t="shared" si="789"/>
        <v>giada.camassa@outsuka.it</v>
      </c>
      <c r="N10460" s="13">
        <v>46190.33797453704</v>
      </c>
      <c r="O10460" s="14" t="str">
        <f>HYPERLINK("https://otsuka-europe-crm.veevavault.com/ui/#object/email_activity__v/V8C00000003X396", "EN-002097591")</f>
        <v>EN-002097591</v>
      </c>
    </row>
    <row r="10461" spans="1:15" ht="64" x14ac:dyDescent="0.2">
      <c r="A10461" s="7" t="str">
        <f>HYPERLINK("https://otsuka-europe-crm.veevavault.com/ui/#object/account__v/V4TZ06G6O71SA0O", "VALERIA BERRUTI")</f>
        <v>VALERIA BERRUTI</v>
      </c>
      <c r="B10461" s="7" t="str">
        <f t="shared" si="786"/>
        <v>IT</v>
      </c>
      <c r="C10461" s="8" t="s">
        <v>44</v>
      </c>
      <c r="D10461" s="9" t="str">
        <f t="shared" si="787"/>
        <v>AE - AGGIORNAMENTI SEZIONE APPROFONDIMENTI NEFRO IT-NPR-2500150</v>
      </c>
      <c r="E10461" s="10" t="str">
        <f>HYPERLINK("https://otsuka-europe-crm.veevavault.com/ui/#object/sent_email__v/VBL00000002U642", "SE-001436530")</f>
        <v>SE-001436530</v>
      </c>
      <c r="F10461" s="11"/>
      <c r="G10461" s="12">
        <v>0</v>
      </c>
      <c r="H10461" s="12">
        <v>0</v>
      </c>
      <c r="I10461" s="12">
        <v>0</v>
      </c>
      <c r="J10461" s="11"/>
      <c r="K10461" s="12">
        <v>0</v>
      </c>
      <c r="L10461" s="10" t="str">
        <f t="shared" si="788"/>
        <v>AE - AGGIORNAMENTI SEZIONE APPROFONDIMENTI NEFRO IT-NPR-2500150</v>
      </c>
      <c r="M10461" s="10" t="str">
        <f t="shared" si="789"/>
        <v>giada.camassa@outsuka.it</v>
      </c>
      <c r="N10461" s="13">
        <v>46190.339317129627</v>
      </c>
      <c r="O10461" s="14" t="str">
        <f>HYPERLINK("https://otsuka-europe-crm.veevavault.com/ui/#object/email_activity__v/V8C00000003X691", "EN-002098052")</f>
        <v>EN-002098052</v>
      </c>
    </row>
    <row r="10462" spans="1:15" ht="64" x14ac:dyDescent="0.2">
      <c r="A10462" s="7" t="str">
        <f>HYPERLINK("https://otsuka-europe-crm.veevavault.com/ui/#object/account__v/V4TZ025E84BAM2V", "VERDIANA MANCUSO")</f>
        <v>VERDIANA MANCUSO</v>
      </c>
      <c r="B10462" s="7" t="str">
        <f t="shared" si="786"/>
        <v>IT</v>
      </c>
      <c r="C10462" s="8" t="s">
        <v>44</v>
      </c>
      <c r="D10462" s="9" t="str">
        <f t="shared" si="787"/>
        <v>AE - AGGIORNAMENTI SEZIONE APPROFONDIMENTI NEFRO IT-NPR-2500150</v>
      </c>
      <c r="E10462" s="10" t="str">
        <f>HYPERLINK("https://otsuka-europe-crm.veevavault.com/ui/#object/sent_email__v/VBL00000002U643", "SE-001436531")</f>
        <v>SE-001436531</v>
      </c>
      <c r="F10462" s="11"/>
      <c r="G10462" s="12">
        <v>0</v>
      </c>
      <c r="H10462" s="12">
        <v>0</v>
      </c>
      <c r="I10462" s="12">
        <v>0</v>
      </c>
      <c r="J10462" s="11"/>
      <c r="K10462" s="12">
        <v>0</v>
      </c>
      <c r="L10462" s="10" t="str">
        <f t="shared" si="788"/>
        <v>AE - AGGIORNAMENTI SEZIONE APPROFONDIMENTI NEFRO IT-NPR-2500150</v>
      </c>
      <c r="M10462" s="10" t="str">
        <f t="shared" si="789"/>
        <v>giada.camassa@outsuka.it</v>
      </c>
      <c r="N10462" s="13">
        <v>46190.337858796294</v>
      </c>
      <c r="O10462" s="14" t="str">
        <f>HYPERLINK("https://otsuka-europe-crm.veevavault.com/ui/#object/email_activity__v/V8C00000003X618", "EN-002097940")</f>
        <v>EN-002097940</v>
      </c>
    </row>
    <row r="10463" spans="1:15" ht="64" x14ac:dyDescent="0.2">
      <c r="A10463" s="7" t="str">
        <f>HYPERLINK("https://otsuka-europe-crm.veevavault.com/ui/#object/account__v/V4TZ06G6O71S9ZQ", "VINCENZO BELLIZZI")</f>
        <v>VINCENZO BELLIZZI</v>
      </c>
      <c r="B10463" s="7" t="str">
        <f t="shared" si="786"/>
        <v>IT</v>
      </c>
      <c r="C10463" s="8" t="s">
        <v>44</v>
      </c>
      <c r="D10463" s="9" t="str">
        <f t="shared" si="787"/>
        <v>AE - AGGIORNAMENTI SEZIONE APPROFONDIMENTI NEFRO IT-NPR-2500150</v>
      </c>
      <c r="E10463" s="10" t="str">
        <f>HYPERLINK("https://otsuka-europe-crm.veevavault.com/ui/#object/sent_email__v/VBL00000002U644", "SE-001436532")</f>
        <v>SE-001436532</v>
      </c>
      <c r="F10463" s="11"/>
      <c r="G10463" s="12">
        <v>0</v>
      </c>
      <c r="H10463" s="12">
        <v>0</v>
      </c>
      <c r="I10463" s="12">
        <v>0</v>
      </c>
      <c r="J10463" s="11"/>
      <c r="K10463" s="12">
        <v>0</v>
      </c>
      <c r="L10463" s="10" t="str">
        <f t="shared" si="788"/>
        <v>AE - AGGIORNAMENTI SEZIONE APPROFONDIMENTI NEFRO IT-NPR-2500150</v>
      </c>
      <c r="M10463" s="10" t="str">
        <f t="shared" si="789"/>
        <v>giada.camassa@outsuka.it</v>
      </c>
      <c r="N10463" s="13">
        <v>46190.339548611111</v>
      </c>
      <c r="O10463" s="14" t="str">
        <f>HYPERLINK("https://otsuka-europe-crm.veevavault.com/ui/#object/email_activity__v/V8C00000003W584", "EN-002098126")</f>
        <v>EN-002098126</v>
      </c>
    </row>
    <row r="10464" spans="1:15" ht="16" x14ac:dyDescent="0.2">
      <c r="A10464" s="17" t="str">
        <f>HYPERLINK("https://otsuka-europe-crm.veevavault.com/ui/#object/account__v/V4TZ025E832AR9M", "VITTORIO DI MASO")</f>
        <v>VITTORIO DI MASO</v>
      </c>
      <c r="B10464" s="17" t="str">
        <f t="shared" si="786"/>
        <v>IT</v>
      </c>
      <c r="C10464" s="20" t="s">
        <v>44</v>
      </c>
      <c r="D10464" s="21" t="str">
        <f t="shared" si="787"/>
        <v>AE - AGGIORNAMENTI SEZIONE APPROFONDIMENTI NEFRO IT-NPR-2500150</v>
      </c>
      <c r="E10464" s="22" t="str">
        <f>HYPERLINK("https://otsuka-europe-crm.veevavault.com/ui/#object/sent_email__v/VBL00000002U645", "SE-001436533")</f>
        <v>SE-001436533</v>
      </c>
      <c r="F10464" s="25"/>
      <c r="G10464" s="24">
        <v>0</v>
      </c>
      <c r="H10464" s="24">
        <v>0</v>
      </c>
      <c r="I10464" s="24">
        <v>0</v>
      </c>
      <c r="J10464" s="25"/>
      <c r="K10464" s="24">
        <v>0</v>
      </c>
      <c r="L10464" s="22" t="str">
        <f t="shared" si="788"/>
        <v>AE - AGGIORNAMENTI SEZIONE APPROFONDIMENTI NEFRO IT-NPR-2500150</v>
      </c>
      <c r="M10464" s="22" t="str">
        <f t="shared" si="789"/>
        <v>giada.camassa@outsuka.it</v>
      </c>
      <c r="N10464" s="23">
        <v>46190.338773148149</v>
      </c>
      <c r="O10464" s="14" t="str">
        <f>HYPERLINK("https://otsuka-europe-crm.veevavault.com/ui/#object/email_activity__v/V8C00000003W519", "EN-002097956")</f>
        <v>EN-002097956</v>
      </c>
    </row>
    <row r="10465" spans="1:15" ht="16" x14ac:dyDescent="0.2">
      <c r="A10465" s="19"/>
      <c r="B10465" s="19"/>
      <c r="C10465" s="19"/>
      <c r="D10465" s="19"/>
      <c r="E10465" s="19"/>
      <c r="F10465" s="19"/>
      <c r="G10465" s="19"/>
      <c r="H10465" s="19"/>
      <c r="I10465" s="19"/>
      <c r="J10465" s="19"/>
      <c r="K10465" s="19"/>
      <c r="L10465" s="19"/>
      <c r="M10465" s="19"/>
      <c r="N10465" s="19"/>
      <c r="O10465" s="14" t="str">
        <f>HYPERLINK("https://otsuka-europe-crm.veevavault.com/ui/#object/email_activity__v/V8C00000003W755", "EN-002098509")</f>
        <v>EN-002098509</v>
      </c>
    </row>
    <row r="10466" spans="1:15" ht="64" x14ac:dyDescent="0.2">
      <c r="A10466" s="7" t="str">
        <f>HYPERLINK("https://otsuka-europe-crm.veevavault.com/ui/#object/account__v/V4TZ06G6O71SBC9", "WALTER MANCINI")</f>
        <v>WALTER MANCINI</v>
      </c>
      <c r="B10466" s="7" t="str">
        <f>HYPERLINK("https://otsuka-europe-crm.veevavault.com/ui/#object/vcountry__v/VENZ000004SONFQ", "IT")</f>
        <v>IT</v>
      </c>
      <c r="C10466" s="8" t="s">
        <v>44</v>
      </c>
      <c r="D10466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466" s="10" t="str">
        <f>HYPERLINK("https://otsuka-europe-crm.veevavault.com/ui/#object/sent_email__v/VBL00000002U647", "SE-001436535")</f>
        <v>SE-001436535</v>
      </c>
      <c r="F10466" s="11"/>
      <c r="G10466" s="12">
        <v>0</v>
      </c>
      <c r="H10466" s="12">
        <v>0</v>
      </c>
      <c r="I10466" s="12">
        <v>0</v>
      </c>
      <c r="J10466" s="11"/>
      <c r="K10466" s="12">
        <v>0</v>
      </c>
      <c r="L10466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466" s="10" t="str">
        <f>HYPERLINK("mailto:giada.camassa@outsuka.it", "giada.camassa@outsuka.it")</f>
        <v>giada.camassa@outsuka.it</v>
      </c>
      <c r="N10466" s="13">
        <v>46190.337858796294</v>
      </c>
      <c r="O10466" s="14" t="str">
        <f>HYPERLINK("https://otsuka-europe-crm.veevavault.com/ui/#object/email_activity__v/V8C00000003W345", "EN-002097402")</f>
        <v>EN-002097402</v>
      </c>
    </row>
    <row r="10467" spans="1:15" ht="16" x14ac:dyDescent="0.2">
      <c r="A10467" s="17" t="str">
        <f>HYPERLINK("https://otsuka-europe-crm.veevavault.com/ui/#object/account__v/V4TZ06G6O7W7LFZ", "WALTER MORALE")</f>
        <v>WALTER MORALE</v>
      </c>
      <c r="B10467" s="17" t="str">
        <f>HYPERLINK("https://otsuka-europe-crm.veevavault.com/ui/#object/vcountry__v/VENZ000004SONFQ", "IT")</f>
        <v>IT</v>
      </c>
      <c r="C10467" s="20" t="s">
        <v>44</v>
      </c>
      <c r="D10467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467" s="22" t="str">
        <f>HYPERLINK("https://otsuka-europe-crm.veevavault.com/ui/#object/sent_email__v/VBL00000002U648", "SE-001436536")</f>
        <v>SE-001436536</v>
      </c>
      <c r="F10467" s="23">
        <v>46190.339467592596</v>
      </c>
      <c r="G10467" s="24">
        <v>1</v>
      </c>
      <c r="H10467" s="24">
        <v>1</v>
      </c>
      <c r="I10467" s="24">
        <v>0</v>
      </c>
      <c r="J10467" s="25"/>
      <c r="K10467" s="24">
        <v>0</v>
      </c>
      <c r="L10467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467" s="22" t="str">
        <f>HYPERLINK("mailto:giada.camassa@outsuka.it", "giada.camassa@outsuka.it")</f>
        <v>giada.camassa@outsuka.it</v>
      </c>
      <c r="N10467" s="23">
        <v>46190.339201388888</v>
      </c>
      <c r="O10467" s="14" t="str">
        <f>HYPERLINK("https://otsuka-europe-crm.veevavault.com/ui/#object/email_activity__v/V8C00000003W541", "EN-002098030")</f>
        <v>EN-002098030</v>
      </c>
    </row>
    <row r="10468" spans="1:15" ht="16" x14ac:dyDescent="0.2">
      <c r="A10468" s="19"/>
      <c r="B10468" s="19"/>
      <c r="C10468" s="19"/>
      <c r="D10468" s="19"/>
      <c r="E10468" s="19"/>
      <c r="F10468" s="19"/>
      <c r="G10468" s="19"/>
      <c r="H10468" s="19"/>
      <c r="I10468" s="19"/>
      <c r="J10468" s="19"/>
      <c r="K10468" s="19"/>
      <c r="L10468" s="19"/>
      <c r="M10468" s="19"/>
      <c r="N10468" s="19"/>
      <c r="O10468" s="14" t="str">
        <f>HYPERLINK("https://otsuka-europe-crm.veevavault.com/ui/#object/email_activity__v/V8C00000003X713", "EN-002098086")</f>
        <v>EN-002098086</v>
      </c>
    </row>
    <row r="10469" spans="1:15" ht="16" x14ac:dyDescent="0.2">
      <c r="A10469" s="17" t="str">
        <f>HYPERLINK("https://otsuka-europe-crm.veevavault.com/ui/#object/account__v/V4TZ0000062RZDW", "Aferdita Nuhaxhiqi-Brovina")</f>
        <v>Aferdita Nuhaxhiqi-Brovina</v>
      </c>
      <c r="B10469" s="17" t="str">
        <f>HYPERLINK("https://otsuka-europe-crm.veevavault.com/ui/#object/vcountry__v/VENZ000004SONFN", "CH")</f>
        <v>CH</v>
      </c>
      <c r="C10469" s="20" t="s">
        <v>45</v>
      </c>
      <c r="D10469" s="21" t="str">
        <f>HYPERLINK("https://otsuka-europe-crm.veevavault.com/ui/#object/approved_document__v/V5O00000001L017", "ALL_Flexibilität_Ferienplanung_2026_AA_fr")</f>
        <v>ALL_Flexibilität_Ferienplanung_2026_AA_fr</v>
      </c>
      <c r="E10469" s="22" t="str">
        <f>HYPERLINK("https://otsuka-europe-crm.veevavault.com/ui/#object/sent_email__v/VBL00000002U649", "SE-001436537")</f>
        <v>SE-001436537</v>
      </c>
      <c r="F10469" s="23">
        <v>46189.301724537036</v>
      </c>
      <c r="G10469" s="24">
        <v>1</v>
      </c>
      <c r="H10469" s="24">
        <v>1</v>
      </c>
      <c r="I10469" s="24">
        <v>0</v>
      </c>
      <c r="J10469" s="25"/>
      <c r="K10469" s="24">
        <v>0</v>
      </c>
      <c r="L10469" s="22" t="str">
        <f>HYPERLINK("https://otsuka-europe-crm.veevavault.com/ui/#object/approved_document__v/V5O00000001L017", "ALL_Flexibilität_Ferienplanung_2026_AA_fr")</f>
        <v>ALL_Flexibilität_Ferienplanung_2026_AA_fr</v>
      </c>
      <c r="M10469" s="22" t="str">
        <f>HYPERLINK("mailto:yvergari@crm.otsuka-europe.com", "yvergari@crm.otsuka-europe.com")</f>
        <v>yvergari@crm.otsuka-europe.com</v>
      </c>
      <c r="N10469" s="23">
        <v>46188.610439814816</v>
      </c>
      <c r="O10469" s="14" t="str">
        <f>HYPERLINK("https://otsuka-europe-crm.veevavault.com/ui/#object/email_activity__v/V8C00000003U956", "EN-002096903")</f>
        <v>EN-002096903</v>
      </c>
    </row>
    <row r="10470" spans="1:15" ht="16" x14ac:dyDescent="0.2">
      <c r="A10470" s="19"/>
      <c r="B10470" s="19"/>
      <c r="C10470" s="19"/>
      <c r="D10470" s="19"/>
      <c r="E10470" s="19"/>
      <c r="F10470" s="19"/>
      <c r="G10470" s="19"/>
      <c r="H10470" s="19"/>
      <c r="I10470" s="19"/>
      <c r="J10470" s="19"/>
      <c r="K10470" s="19"/>
      <c r="L10470" s="19"/>
      <c r="M10470" s="19"/>
      <c r="N10470" s="19"/>
      <c r="O10470" s="14" t="str">
        <f>HYPERLINK("https://otsuka-europe-crm.veevavault.com/ui/#object/email_activity__v/V8C00000003V784", "EN-002096349")</f>
        <v>EN-002096349</v>
      </c>
    </row>
    <row r="10471" spans="1:15" ht="32" x14ac:dyDescent="0.2">
      <c r="A10471" s="7" t="str">
        <f>HYPERLINK("https://otsuka-europe-crm.veevavault.com/ui/#object/account__v/V4TZ0000062RGCJ", "Christian Marin")</f>
        <v>Christian Marin</v>
      </c>
      <c r="B10471" s="7" t="str">
        <f>HYPERLINK("https://otsuka-europe-crm.veevavault.com/ui/#object/vcountry__v/VENZ000004SONFN", "CH")</f>
        <v>CH</v>
      </c>
      <c r="C10471" s="8" t="s">
        <v>45</v>
      </c>
      <c r="D10471" s="9" t="str">
        <f>HYPERLINK("https://otsuka-europe-crm.veevavault.com/ui/#object/approved_document__v/V5O00000001L017", "ALL_Flexibilität_Ferienplanung_2026_AA_fr")</f>
        <v>ALL_Flexibilität_Ferienplanung_2026_AA_fr</v>
      </c>
      <c r="E10471" s="10" t="str">
        <f>HYPERLINK("https://otsuka-europe-crm.veevavault.com/ui/#object/sent_email__v/VBL00000002U650", "SE-001436538")</f>
        <v>SE-001436538</v>
      </c>
      <c r="F10471" s="11"/>
      <c r="G10471" s="12">
        <v>0</v>
      </c>
      <c r="H10471" s="12">
        <v>0</v>
      </c>
      <c r="I10471" s="12">
        <v>0</v>
      </c>
      <c r="J10471" s="11"/>
      <c r="K10471" s="12">
        <v>0</v>
      </c>
      <c r="L10471" s="10" t="str">
        <f>HYPERLINK("https://otsuka-europe-crm.veevavault.com/ui/#object/approved_document__v/V5O00000001L017", "ALL_Flexibilität_Ferienplanung_2026_AA_fr")</f>
        <v>ALL_Flexibilität_Ferienplanung_2026_AA_fr</v>
      </c>
      <c r="M10471" s="10" t="str">
        <f>HYPERLINK("mailto:yvergari@crm.otsuka-europe.com", "yvergari@crm.otsuka-europe.com")</f>
        <v>yvergari@crm.otsuka-europe.com</v>
      </c>
      <c r="N10471" s="13">
        <v>46188.610439814816</v>
      </c>
      <c r="O10471" s="14" t="str">
        <f>HYPERLINK("https://otsuka-europe-crm.veevavault.com/ui/#object/email_activity__v/V8C00000003V785", "EN-002096350")</f>
        <v>EN-002096350</v>
      </c>
    </row>
    <row r="10472" spans="1:15" ht="32" x14ac:dyDescent="0.2">
      <c r="A10472" s="7" t="str">
        <f>HYPERLINK("https://otsuka-europe-crm.veevavault.com/ui/#object/account__v/V4TZ025E846866F", "Lucio Peverelli")</f>
        <v>Lucio Peverelli</v>
      </c>
      <c r="B10472" s="7" t="str">
        <f>HYPERLINK("https://otsuka-europe-crm.veevavault.com/ui/#object/vcountry__v/VENZ000004SONFN", "CH")</f>
        <v>CH</v>
      </c>
      <c r="C10472" s="8" t="s">
        <v>45</v>
      </c>
      <c r="D10472" s="9" t="str">
        <f>HYPERLINK("https://otsuka-europe-crm.veevavault.com/ui/#object/approved_document__v/V5O00000001L017", "ALL_Flexibilität_Ferienplanung_2026_AA_fr")</f>
        <v>ALL_Flexibilität_Ferienplanung_2026_AA_fr</v>
      </c>
      <c r="E10472" s="10" t="str">
        <f>HYPERLINK("https://otsuka-europe-crm.veevavault.com/ui/#object/sent_email__v/VBL00000002U651", "SE-001436539")</f>
        <v>SE-001436539</v>
      </c>
      <c r="F10472" s="11"/>
      <c r="G10472" s="12">
        <v>0</v>
      </c>
      <c r="H10472" s="12">
        <v>0</v>
      </c>
      <c r="I10472" s="12">
        <v>0</v>
      </c>
      <c r="J10472" s="11"/>
      <c r="K10472" s="12">
        <v>0</v>
      </c>
      <c r="L10472" s="10" t="str">
        <f>HYPERLINK("https://otsuka-europe-crm.veevavault.com/ui/#object/approved_document__v/V5O00000001L017", "ALL_Flexibilität_Ferienplanung_2026_AA_fr")</f>
        <v>ALL_Flexibilität_Ferienplanung_2026_AA_fr</v>
      </c>
      <c r="M10472" s="10" t="str">
        <f>HYPERLINK("mailto:yvergari@crm.otsuka-europe.com", "yvergari@crm.otsuka-europe.com")</f>
        <v>yvergari@crm.otsuka-europe.com</v>
      </c>
      <c r="N10472" s="13">
        <v>46188.610474537039</v>
      </c>
      <c r="O10472" s="14" t="str">
        <f>HYPERLINK("https://otsuka-europe-crm.veevavault.com/ui/#object/email_activity__v/V8C00000003V767", "EN-002096332")</f>
        <v>EN-002096332</v>
      </c>
    </row>
    <row r="10473" spans="1:15" ht="16" x14ac:dyDescent="0.2">
      <c r="A10473" s="17" t="str">
        <f>HYPERLINK("https://otsuka-europe-crm.veevavault.com/ui/#object/account__v/V4TZ06G6O8SHCI6", "Hamid Reza Nayeri Poor")</f>
        <v>Hamid Reza Nayeri Poor</v>
      </c>
      <c r="B10473" s="17" t="str">
        <f>HYPERLINK("https://otsuka-europe-crm.veevavault.com/ui/#object/vcountry__v/VENZ000004SONFN", "CH")</f>
        <v>CH</v>
      </c>
      <c r="C10473" s="20" t="s">
        <v>45</v>
      </c>
      <c r="D10473" s="21" t="str">
        <f>HYPERLINK("https://otsuka-europe-crm.veevavault.com/ui/#object/approved_document__v/V5O00000001L017", "ALL_Flexibilität_Ferienplanung_2026_AA_fr")</f>
        <v>ALL_Flexibilität_Ferienplanung_2026_AA_fr</v>
      </c>
      <c r="E10473" s="22" t="str">
        <f>HYPERLINK("https://otsuka-europe-crm.veevavault.com/ui/#object/sent_email__v/VBL00000002U652", "SE-001436540")</f>
        <v>SE-001436540</v>
      </c>
      <c r="F10473" s="23">
        <v>46188.701041666667</v>
      </c>
      <c r="G10473" s="24">
        <v>1</v>
      </c>
      <c r="H10473" s="24">
        <v>1</v>
      </c>
      <c r="I10473" s="24">
        <v>0</v>
      </c>
      <c r="J10473" s="25"/>
      <c r="K10473" s="24">
        <v>0</v>
      </c>
      <c r="L10473" s="22" t="str">
        <f>HYPERLINK("https://otsuka-europe-crm.veevavault.com/ui/#object/approved_document__v/V5O00000001L017", "ALL_Flexibilität_Ferienplanung_2026_AA_fr")</f>
        <v>ALL_Flexibilität_Ferienplanung_2026_AA_fr</v>
      </c>
      <c r="M10473" s="22" t="str">
        <f>HYPERLINK("mailto:yvergari@crm.otsuka-europe.com", "yvergari@crm.otsuka-europe.com")</f>
        <v>yvergari@crm.otsuka-europe.com</v>
      </c>
      <c r="N10473" s="23">
        <v>46188.610439814816</v>
      </c>
      <c r="O10473" s="14" t="str">
        <f>HYPERLINK("https://otsuka-europe-crm.veevavault.com/ui/#object/email_activity__v/V8C00000003V762", "EN-002096327")</f>
        <v>EN-002096327</v>
      </c>
    </row>
    <row r="10474" spans="1:15" ht="16" x14ac:dyDescent="0.2">
      <c r="A10474" s="19"/>
      <c r="B10474" s="19"/>
      <c r="C10474" s="19"/>
      <c r="D10474" s="19"/>
      <c r="E10474" s="19"/>
      <c r="F10474" s="19"/>
      <c r="G10474" s="19"/>
      <c r="H10474" s="19"/>
      <c r="I10474" s="19"/>
      <c r="J10474" s="19"/>
      <c r="K10474" s="19"/>
      <c r="L10474" s="19"/>
      <c r="M10474" s="19"/>
      <c r="N10474" s="19"/>
      <c r="O10474" s="14" t="str">
        <f>HYPERLINK("https://otsuka-europe-crm.veevavault.com/ui/#object/email_activity__v/V8C00000003V886", "EN-002096484")</f>
        <v>EN-002096484</v>
      </c>
    </row>
    <row r="10475" spans="1:15" ht="16" x14ac:dyDescent="0.2">
      <c r="A10475" s="17" t="str">
        <f>HYPERLINK("https://otsuka-europe-crm.veevavault.com/ui/#object/account__v/V4TZ0000062R53O", "Evangelos Manolis")</f>
        <v>Evangelos Manolis</v>
      </c>
      <c r="B10475" s="17" t="str">
        <f>HYPERLINK("https://otsuka-europe-crm.veevavault.com/ui/#object/vcountry__v/VENZ000004SONFN", "CH")</f>
        <v>CH</v>
      </c>
      <c r="C10475" s="20" t="s">
        <v>45</v>
      </c>
      <c r="D10475" s="21" t="str">
        <f>HYPERLINK("https://otsuka-europe-crm.veevavault.com/ui/#object/approved_document__v/V5O00000001L017", "ALL_Flexibilität_Ferienplanung_2026_AA_fr")</f>
        <v>ALL_Flexibilität_Ferienplanung_2026_AA_fr</v>
      </c>
      <c r="E10475" s="22" t="str">
        <f>HYPERLINK("https://otsuka-europe-crm.veevavault.com/ui/#object/sent_email__v/VBL00000002U653", "SE-001436541")</f>
        <v>SE-001436541</v>
      </c>
      <c r="F10475" s="25"/>
      <c r="G10475" s="24">
        <v>0</v>
      </c>
      <c r="H10475" s="24">
        <v>0</v>
      </c>
      <c r="I10475" s="24">
        <v>0</v>
      </c>
      <c r="J10475" s="25"/>
      <c r="K10475" s="24">
        <v>0</v>
      </c>
      <c r="L10475" s="22" t="str">
        <f>HYPERLINK("https://otsuka-europe-crm.veevavault.com/ui/#object/approved_document__v/V5O00000001L017", "ALL_Flexibilität_Ferienplanung_2026_AA_fr")</f>
        <v>ALL_Flexibilität_Ferienplanung_2026_AA_fr</v>
      </c>
      <c r="M10475" s="22" t="str">
        <f>HYPERLINK("mailto:yvergari@crm.otsuka-europe.com", "yvergari@crm.otsuka-europe.com")</f>
        <v>yvergari@crm.otsuka-europe.com</v>
      </c>
      <c r="N10475" s="23">
        <v>46188.610451388886</v>
      </c>
      <c r="O10475" s="14" t="str">
        <f>HYPERLINK("https://otsuka-europe-crm.veevavault.com/ui/#object/email_activity__v/V8C00000003V765", "EN-002096330")</f>
        <v>EN-002096330</v>
      </c>
    </row>
    <row r="10476" spans="1:15" ht="16" x14ac:dyDescent="0.2">
      <c r="A10476" s="18"/>
      <c r="B10476" s="18"/>
      <c r="C10476" s="18"/>
      <c r="D10476" s="18"/>
      <c r="E10476" s="18"/>
      <c r="F10476" s="18"/>
      <c r="G10476" s="18"/>
      <c r="H10476" s="18"/>
      <c r="I10476" s="18"/>
      <c r="J10476" s="18"/>
      <c r="K10476" s="18"/>
      <c r="L10476" s="18"/>
      <c r="M10476" s="18"/>
      <c r="N10476" s="18"/>
      <c r="O10476" s="14" t="str">
        <f>HYPERLINK("https://otsuka-europe-crm.veevavault.com/ui/#object/email_activity__v/V8C00000003W076", "EN-002096798")</f>
        <v>EN-002096798</v>
      </c>
    </row>
    <row r="10477" spans="1:15" ht="16" x14ac:dyDescent="0.2">
      <c r="A10477" s="19"/>
      <c r="B10477" s="19"/>
      <c r="C10477" s="19"/>
      <c r="D10477" s="19"/>
      <c r="E10477" s="19"/>
      <c r="F10477" s="19"/>
      <c r="G10477" s="19"/>
      <c r="H10477" s="19"/>
      <c r="I10477" s="19"/>
      <c r="J10477" s="19"/>
      <c r="K10477" s="19"/>
      <c r="L10477" s="19"/>
      <c r="M10477" s="19"/>
      <c r="N10477" s="19"/>
      <c r="O10477" s="14" t="str">
        <f>HYPERLINK("https://otsuka-europe-crm.veevavault.com/ui/#object/email_activity__v/V8C000000041249", "EN-002100169")</f>
        <v>EN-002100169</v>
      </c>
    </row>
    <row r="10478" spans="1:15" ht="32" x14ac:dyDescent="0.2">
      <c r="A10478" s="7" t="str">
        <f>HYPERLINK("https://otsuka-europe-crm.veevavault.com/ui/#object/account__v/V4TZ06G6O8S2WMR", "Audace Niyigena")</f>
        <v>Audace Niyigena</v>
      </c>
      <c r="B10478" s="7" t="str">
        <f>HYPERLINK("https://otsuka-europe-crm.veevavault.com/ui/#object/vcountry__v/VENZ000004SONFN", "CH")</f>
        <v>CH</v>
      </c>
      <c r="C10478" s="8" t="s">
        <v>45</v>
      </c>
      <c r="D10478" s="9" t="str">
        <f>HYPERLINK("https://otsuka-europe-crm.veevavault.com/ui/#object/approved_document__v/V5O00000001L017", "ALL_Flexibilität_Ferienplanung_2026_AA_fr")</f>
        <v>ALL_Flexibilität_Ferienplanung_2026_AA_fr</v>
      </c>
      <c r="E10478" s="10" t="str">
        <f>HYPERLINK("https://otsuka-europe-crm.veevavault.com/ui/#object/sent_email__v/VBL00000002U654", "SE-001436542")</f>
        <v>SE-001436542</v>
      </c>
      <c r="F10478" s="11"/>
      <c r="G10478" s="12">
        <v>0</v>
      </c>
      <c r="H10478" s="12">
        <v>0</v>
      </c>
      <c r="I10478" s="12">
        <v>0</v>
      </c>
      <c r="J10478" s="11"/>
      <c r="K10478" s="12">
        <v>0</v>
      </c>
      <c r="L10478" s="10" t="str">
        <f>HYPERLINK("https://otsuka-europe-crm.veevavault.com/ui/#object/approved_document__v/V5O00000001L017", "ALL_Flexibilität_Ferienplanung_2026_AA_fr")</f>
        <v>ALL_Flexibilität_Ferienplanung_2026_AA_fr</v>
      </c>
      <c r="M10478" s="10" t="str">
        <f>HYPERLINK("mailto:yvergari@crm.otsuka-europe.com", "yvergari@crm.otsuka-europe.com")</f>
        <v>yvergari@crm.otsuka-europe.com</v>
      </c>
      <c r="N10478" s="13">
        <v>46188.610439814816</v>
      </c>
      <c r="O10478" s="14" t="str">
        <f>HYPERLINK("https://otsuka-europe-crm.veevavault.com/ui/#object/email_activity__v/V8C00000003V811", "EN-002096376")</f>
        <v>EN-002096376</v>
      </c>
    </row>
    <row r="10479" spans="1:15" ht="32" x14ac:dyDescent="0.2">
      <c r="A10479" s="7" t="str">
        <f>HYPERLINK("https://otsuka-europe-crm.veevavault.com/ui/#object/account__v/V4TZ0000062R73P", "Thomas Phan Hoang")</f>
        <v>Thomas Phan Hoang</v>
      </c>
      <c r="B10479" s="7" t="str">
        <f>HYPERLINK("https://otsuka-europe-crm.veevavault.com/ui/#object/vcountry__v/VENZ000004SONFN", "CH")</f>
        <v>CH</v>
      </c>
      <c r="C10479" s="8" t="s">
        <v>45</v>
      </c>
      <c r="D10479" s="9" t="str">
        <f>HYPERLINK("https://otsuka-europe-crm.veevavault.com/ui/#object/approved_document__v/V5O00000001L017", "ALL_Flexibilität_Ferienplanung_2026_AA_fr")</f>
        <v>ALL_Flexibilität_Ferienplanung_2026_AA_fr</v>
      </c>
      <c r="E10479" s="10" t="str">
        <f>HYPERLINK("https://otsuka-europe-crm.veevavault.com/ui/#object/sent_email__v/VBL00000002U655", "SE-001436543")</f>
        <v>SE-001436543</v>
      </c>
      <c r="F10479" s="11"/>
      <c r="G10479" s="12">
        <v>0</v>
      </c>
      <c r="H10479" s="12">
        <v>0</v>
      </c>
      <c r="I10479" s="12">
        <v>0</v>
      </c>
      <c r="J10479" s="11"/>
      <c r="K10479" s="12">
        <v>0</v>
      </c>
      <c r="L10479" s="10" t="str">
        <f>HYPERLINK("https://otsuka-europe-crm.veevavault.com/ui/#object/approved_document__v/V5O00000001L017", "ALL_Flexibilität_Ferienplanung_2026_AA_fr")</f>
        <v>ALL_Flexibilität_Ferienplanung_2026_AA_fr</v>
      </c>
      <c r="M10479" s="10" t="str">
        <f>HYPERLINK("mailto:yvergari@crm.otsuka-europe.com", "yvergari@crm.otsuka-europe.com")</f>
        <v>yvergari@crm.otsuka-europe.com</v>
      </c>
      <c r="N10479" s="13">
        <v>46188.610439814816</v>
      </c>
      <c r="O10479" s="14" t="str">
        <f>HYPERLINK("https://otsuka-europe-crm.veevavault.com/ui/#object/email_activity__v/V8C00000003V802", "EN-002096367")</f>
        <v>EN-002096367</v>
      </c>
    </row>
    <row r="10480" spans="1:15" ht="32" x14ac:dyDescent="0.2">
      <c r="A10480" s="7" t="str">
        <f>HYPERLINK("https://otsuka-europe-crm.veevavault.com/ui/#object/account__v/V4TZ025E85QL6GY", "Béatrice Lopez de la Vega")</f>
        <v>Béatrice Lopez de la Vega</v>
      </c>
      <c r="B10480" s="7" t="str">
        <f>HYPERLINK("https://otsuka-europe-crm.veevavault.com/ui/#object/vcountry__v/VENZ000004SONFN", "CH")</f>
        <v>CH</v>
      </c>
      <c r="C10480" s="8" t="s">
        <v>45</v>
      </c>
      <c r="D10480" s="9" t="str">
        <f>HYPERLINK("https://otsuka-europe-crm.veevavault.com/ui/#object/approved_document__v/V5O00000001L017", "ALL_Flexibilität_Ferienplanung_2026_AA_fr")</f>
        <v>ALL_Flexibilität_Ferienplanung_2026_AA_fr</v>
      </c>
      <c r="E10480" s="10" t="str">
        <f>HYPERLINK("https://otsuka-europe-crm.veevavault.com/ui/#object/sent_email__v/VBL00000002U656", "SE-001436544")</f>
        <v>SE-001436544</v>
      </c>
      <c r="F10480" s="11"/>
      <c r="G10480" s="12">
        <v>0</v>
      </c>
      <c r="H10480" s="12">
        <v>0</v>
      </c>
      <c r="I10480" s="12">
        <v>0</v>
      </c>
      <c r="J10480" s="11"/>
      <c r="K10480" s="12">
        <v>0</v>
      </c>
      <c r="L10480" s="10" t="str">
        <f>HYPERLINK("https://otsuka-europe-crm.veevavault.com/ui/#object/approved_document__v/V5O00000001L017", "ALL_Flexibilität_Ferienplanung_2026_AA_fr")</f>
        <v>ALL_Flexibilität_Ferienplanung_2026_AA_fr</v>
      </c>
      <c r="M10480" s="10" t="str">
        <f>HYPERLINK("mailto:yvergari@crm.otsuka-europe.com", "yvergari@crm.otsuka-europe.com")</f>
        <v>yvergari@crm.otsuka-europe.com</v>
      </c>
      <c r="N10480" s="13">
        <v>46188.610439814816</v>
      </c>
      <c r="O10480" s="14" t="str">
        <f>HYPERLINK("https://otsuka-europe-crm.veevavault.com/ui/#object/email_activity__v/V8C00000003V780", "EN-002096345")</f>
        <v>EN-002096345</v>
      </c>
    </row>
    <row r="10481" spans="1:15" ht="32" x14ac:dyDescent="0.2">
      <c r="A10481" s="7" t="str">
        <f>HYPERLINK("https://otsuka-europe-crm.veevavault.com/ui/#object/account__v/V4TZ025E866FK3X", "Dominique Marcot")</f>
        <v>Dominique Marcot</v>
      </c>
      <c r="B10481" s="7" t="str">
        <f>HYPERLINK("https://otsuka-europe-crm.veevavault.com/ui/#object/vcountry__v/VENZ000004SONFN", "CH")</f>
        <v>CH</v>
      </c>
      <c r="C10481" s="8" t="s">
        <v>45</v>
      </c>
      <c r="D10481" s="9" t="str">
        <f>HYPERLINK("https://otsuka-europe-crm.veevavault.com/ui/#object/approved_document__v/V5O00000001L017", "ALL_Flexibilität_Ferienplanung_2026_AA_fr")</f>
        <v>ALL_Flexibilität_Ferienplanung_2026_AA_fr</v>
      </c>
      <c r="E10481" s="10" t="str">
        <f>HYPERLINK("https://otsuka-europe-crm.veevavault.com/ui/#object/sent_email__v/VBL00000002U657", "SE-001436545")</f>
        <v>SE-001436545</v>
      </c>
      <c r="F10481" s="11"/>
      <c r="G10481" s="12">
        <v>0</v>
      </c>
      <c r="H10481" s="12">
        <v>0</v>
      </c>
      <c r="I10481" s="12">
        <v>0</v>
      </c>
      <c r="J10481" s="11"/>
      <c r="K10481" s="12">
        <v>0</v>
      </c>
      <c r="L10481" s="10" t="str">
        <f>HYPERLINK("https://otsuka-europe-crm.veevavault.com/ui/#object/approved_document__v/V5O00000001L017", "ALL_Flexibilität_Ferienplanung_2026_AA_fr")</f>
        <v>ALL_Flexibilität_Ferienplanung_2026_AA_fr</v>
      </c>
      <c r="M10481" s="10" t="str">
        <f>HYPERLINK("mailto:yvergari@crm.otsuka-europe.com", "yvergari@crm.otsuka-europe.com")</f>
        <v>yvergari@crm.otsuka-europe.com</v>
      </c>
      <c r="N10481" s="13">
        <v>46188.610289351855</v>
      </c>
      <c r="O10481" s="14" t="str">
        <f>HYPERLINK("https://otsuka-europe-crm.veevavault.com/ui/#object/email_activity__v/V8C00000003V771", "EN-002096336")</f>
        <v>EN-002096336</v>
      </c>
    </row>
    <row r="10482" spans="1:15" ht="16" x14ac:dyDescent="0.2">
      <c r="A10482" s="17" t="str">
        <f>HYPERLINK("https://otsuka-europe-crm.veevavault.com/ui/#object/account__v/V4TZ0000062RR0U", "Michel Muscionico")</f>
        <v>Michel Muscionico</v>
      </c>
      <c r="B10482" s="17" t="str">
        <f>HYPERLINK("https://otsuka-europe-crm.veevavault.com/ui/#object/vcountry__v/VENZ000004SONFN", "CH")</f>
        <v>CH</v>
      </c>
      <c r="C10482" s="20" t="s">
        <v>45</v>
      </c>
      <c r="D10482" s="21" t="str">
        <f>HYPERLINK("https://otsuka-europe-crm.veevavault.com/ui/#object/approved_document__v/V5O00000001L017", "ALL_Flexibilität_Ferienplanung_2026_AA_fr")</f>
        <v>ALL_Flexibilität_Ferienplanung_2026_AA_fr</v>
      </c>
      <c r="E10482" s="22" t="str">
        <f>HYPERLINK("https://otsuka-europe-crm.veevavault.com/ui/#object/sent_email__v/VBL00000002U658", "SE-001436546")</f>
        <v>SE-001436546</v>
      </c>
      <c r="F10482" s="25"/>
      <c r="G10482" s="24">
        <v>0</v>
      </c>
      <c r="H10482" s="24">
        <v>0</v>
      </c>
      <c r="I10482" s="24">
        <v>0</v>
      </c>
      <c r="J10482" s="25"/>
      <c r="K10482" s="24">
        <v>0</v>
      </c>
      <c r="L10482" s="22" t="str">
        <f>HYPERLINK("https://otsuka-europe-crm.veevavault.com/ui/#object/approved_document__v/V5O00000001L017", "ALL_Flexibilität_Ferienplanung_2026_AA_fr")</f>
        <v>ALL_Flexibilität_Ferienplanung_2026_AA_fr</v>
      </c>
      <c r="M10482" s="22" t="str">
        <f>HYPERLINK("mailto:yvergari@crm.otsuka-europe.com", "yvergari@crm.otsuka-europe.com")</f>
        <v>yvergari@crm.otsuka-europe.com</v>
      </c>
      <c r="N10482" s="23">
        <v>46188.610439814816</v>
      </c>
      <c r="O10482" s="14" t="str">
        <f>HYPERLINK("https://otsuka-europe-crm.veevavault.com/ui/#object/email_activity__v/V8C00000003V806", "EN-002096371")</f>
        <v>EN-002096371</v>
      </c>
    </row>
    <row r="10483" spans="1:15" ht="16" x14ac:dyDescent="0.2">
      <c r="A10483" s="19"/>
      <c r="B10483" s="19"/>
      <c r="C10483" s="19"/>
      <c r="D10483" s="19"/>
      <c r="E10483" s="19"/>
      <c r="F10483" s="19"/>
      <c r="G10483" s="19"/>
      <c r="H10483" s="19"/>
      <c r="I10483" s="19"/>
      <c r="J10483" s="19"/>
      <c r="K10483" s="19"/>
      <c r="L10483" s="19"/>
      <c r="M10483" s="19"/>
      <c r="N10483" s="19"/>
      <c r="O10483" s="14" t="str">
        <f>HYPERLINK("https://otsuka-europe-crm.veevavault.com/ui/#object/email_activity__v/V8C00000003W094", "EN-002096831")</f>
        <v>EN-002096831</v>
      </c>
    </row>
    <row r="10484" spans="1:15" ht="32" x14ac:dyDescent="0.2">
      <c r="A10484" s="7" t="str">
        <f>HYPERLINK("https://otsuka-europe-crm.veevavault.com/ui/#object/account__v/V4TZ0000062R9TT", "Cédric Meylan")</f>
        <v>Cédric Meylan</v>
      </c>
      <c r="B10484" s="7" t="str">
        <f>HYPERLINK("https://otsuka-europe-crm.veevavault.com/ui/#object/vcountry__v/VENZ000004SONFN", "CH")</f>
        <v>CH</v>
      </c>
      <c r="C10484" s="8" t="s">
        <v>45</v>
      </c>
      <c r="D10484" s="9" t="str">
        <f>HYPERLINK("https://otsuka-europe-crm.veevavault.com/ui/#object/approved_document__v/V5O00000001L017", "ALL_Flexibilität_Ferienplanung_2026_AA_fr")</f>
        <v>ALL_Flexibilität_Ferienplanung_2026_AA_fr</v>
      </c>
      <c r="E10484" s="10" t="str">
        <f>HYPERLINK("https://otsuka-europe-crm.veevavault.com/ui/#object/sent_email__v/VBL00000002U659", "SE-001436547")</f>
        <v>SE-001436547</v>
      </c>
      <c r="F10484" s="11"/>
      <c r="G10484" s="12">
        <v>0</v>
      </c>
      <c r="H10484" s="12">
        <v>0</v>
      </c>
      <c r="I10484" s="12">
        <v>0</v>
      </c>
      <c r="J10484" s="11"/>
      <c r="K10484" s="12">
        <v>0</v>
      </c>
      <c r="L10484" s="10" t="str">
        <f>HYPERLINK("https://otsuka-europe-crm.veevavault.com/ui/#object/approved_document__v/V5O00000001L017", "ALL_Flexibilität_Ferienplanung_2026_AA_fr")</f>
        <v>ALL_Flexibilität_Ferienplanung_2026_AA_fr</v>
      </c>
      <c r="M10484" s="10" t="str">
        <f>HYPERLINK("mailto:yvergari@crm.otsuka-europe.com", "yvergari@crm.otsuka-europe.com")</f>
        <v>yvergari@crm.otsuka-europe.com</v>
      </c>
      <c r="N10484" s="13">
        <v>46188.610439814816</v>
      </c>
      <c r="O10484" s="14" t="str">
        <f>HYPERLINK("https://otsuka-europe-crm.veevavault.com/ui/#object/email_activity__v/V8C00000003V810", "EN-002096375")</f>
        <v>EN-002096375</v>
      </c>
    </row>
    <row r="10485" spans="1:15" ht="16" x14ac:dyDescent="0.2">
      <c r="A10485" s="17" t="str">
        <f>HYPERLINK("https://otsuka-europe-crm.veevavault.com/ui/#object/account__v/V4TZ0000062R9TW", "Christiane Meylan")</f>
        <v>Christiane Meylan</v>
      </c>
      <c r="B10485" s="17" t="str">
        <f>HYPERLINK("https://otsuka-europe-crm.veevavault.com/ui/#object/vcountry__v/VENZ000004SONFN", "CH")</f>
        <v>CH</v>
      </c>
      <c r="C10485" s="20" t="s">
        <v>45</v>
      </c>
      <c r="D10485" s="21" t="str">
        <f>HYPERLINK("https://otsuka-europe-crm.veevavault.com/ui/#object/approved_document__v/V5O00000001L017", "ALL_Flexibilität_Ferienplanung_2026_AA_fr")</f>
        <v>ALL_Flexibilität_Ferienplanung_2026_AA_fr</v>
      </c>
      <c r="E10485" s="22" t="str">
        <f>HYPERLINK("https://otsuka-europe-crm.veevavault.com/ui/#object/sent_email__v/VBL00000002U660", "SE-001436548")</f>
        <v>SE-001436548</v>
      </c>
      <c r="F10485" s="23">
        <v>46189.324317129627</v>
      </c>
      <c r="G10485" s="24">
        <v>1</v>
      </c>
      <c r="H10485" s="24">
        <v>1</v>
      </c>
      <c r="I10485" s="24">
        <v>0</v>
      </c>
      <c r="J10485" s="25"/>
      <c r="K10485" s="24">
        <v>0</v>
      </c>
      <c r="L10485" s="22" t="str">
        <f>HYPERLINK("https://otsuka-europe-crm.veevavault.com/ui/#object/approved_document__v/V5O00000001L017", "ALL_Flexibilität_Ferienplanung_2026_AA_fr")</f>
        <v>ALL_Flexibilität_Ferienplanung_2026_AA_fr</v>
      </c>
      <c r="M10485" s="22" t="str">
        <f>HYPERLINK("mailto:yvergari@crm.otsuka-europe.com", "yvergari@crm.otsuka-europe.com")</f>
        <v>yvergari@crm.otsuka-europe.com</v>
      </c>
      <c r="N10485" s="23">
        <v>46188.610474537039</v>
      </c>
      <c r="O10485" s="14" t="str">
        <f>HYPERLINK("https://otsuka-europe-crm.veevavault.com/ui/#object/email_activity__v/V8C00000003U963", "EN-002096920")</f>
        <v>EN-002096920</v>
      </c>
    </row>
    <row r="10486" spans="1:15" ht="16" x14ac:dyDescent="0.2">
      <c r="A10486" s="19"/>
      <c r="B10486" s="19"/>
      <c r="C10486" s="19"/>
      <c r="D10486" s="19"/>
      <c r="E10486" s="19"/>
      <c r="F10486" s="19"/>
      <c r="G10486" s="19"/>
      <c r="H10486" s="19"/>
      <c r="I10486" s="19"/>
      <c r="J10486" s="19"/>
      <c r="K10486" s="19"/>
      <c r="L10486" s="19"/>
      <c r="M10486" s="19"/>
      <c r="N10486" s="19"/>
      <c r="O10486" s="14" t="str">
        <f>HYPERLINK("https://otsuka-europe-crm.veevavault.com/ui/#object/email_activity__v/V8C00000003V768", "EN-002096333")</f>
        <v>EN-002096333</v>
      </c>
    </row>
    <row r="10487" spans="1:15" ht="32" x14ac:dyDescent="0.2">
      <c r="A10487" s="7" t="str">
        <f>HYPERLINK("https://otsuka-europe-crm.veevavault.com/ui/#object/account__v/V4TZ025E83MZ2SF", "Ioannis Noulas")</f>
        <v>Ioannis Noulas</v>
      </c>
      <c r="B10487" s="7" t="str">
        <f>HYPERLINK("https://otsuka-europe-crm.veevavault.com/ui/#object/vcountry__v/VENZ000004SONFN", "CH")</f>
        <v>CH</v>
      </c>
      <c r="C10487" s="8" t="s">
        <v>45</v>
      </c>
      <c r="D10487" s="9" t="str">
        <f>HYPERLINK("https://otsuka-europe-crm.veevavault.com/ui/#object/approved_document__v/V5O00000001L017", "ALL_Flexibilität_Ferienplanung_2026_AA_fr")</f>
        <v>ALL_Flexibilität_Ferienplanung_2026_AA_fr</v>
      </c>
      <c r="E10487" s="10" t="str">
        <f>HYPERLINK("https://otsuka-europe-crm.veevavault.com/ui/#object/sent_email__v/VBL00000002U661", "SE-001436549")</f>
        <v>SE-001436549</v>
      </c>
      <c r="F10487" s="11"/>
      <c r="G10487" s="12">
        <v>0</v>
      </c>
      <c r="H10487" s="12">
        <v>0</v>
      </c>
      <c r="I10487" s="12">
        <v>0</v>
      </c>
      <c r="J10487" s="11"/>
      <c r="K10487" s="12">
        <v>0</v>
      </c>
      <c r="L10487" s="10" t="str">
        <f>HYPERLINK("https://otsuka-europe-crm.veevavault.com/ui/#object/approved_document__v/V5O00000001L017", "ALL_Flexibilität_Ferienplanung_2026_AA_fr")</f>
        <v>ALL_Flexibilität_Ferienplanung_2026_AA_fr</v>
      </c>
      <c r="M10487" s="10" t="str">
        <f>HYPERLINK("mailto:yvergari@crm.otsuka-europe.com", "yvergari@crm.otsuka-europe.com")</f>
        <v>yvergari@crm.otsuka-europe.com</v>
      </c>
      <c r="N10487" s="13">
        <v>46188.610439814816</v>
      </c>
      <c r="O10487" s="14" t="str">
        <f>HYPERLINK("https://otsuka-europe-crm.veevavault.com/ui/#object/email_activity__v/V8C00000003V776", "EN-002096341")</f>
        <v>EN-002096341</v>
      </c>
    </row>
    <row r="10488" spans="1:15" ht="16" x14ac:dyDescent="0.2">
      <c r="A10488" s="17" t="str">
        <f>HYPERLINK("https://otsuka-europe-crm.veevavault.com/ui/#object/account__v/V4TZ0000062R46B", "Paco Prada")</f>
        <v>Paco Prada</v>
      </c>
      <c r="B10488" s="17" t="str">
        <f>HYPERLINK("https://otsuka-europe-crm.veevavault.com/ui/#object/vcountry__v/VENZ000004SONFN", "CH")</f>
        <v>CH</v>
      </c>
      <c r="C10488" s="20" t="s">
        <v>45</v>
      </c>
      <c r="D10488" s="21" t="str">
        <f>HYPERLINK("https://otsuka-europe-crm.veevavault.com/ui/#object/approved_document__v/V5O00000001L017", "ALL_Flexibilität_Ferienplanung_2026_AA_fr")</f>
        <v>ALL_Flexibilität_Ferienplanung_2026_AA_fr</v>
      </c>
      <c r="E10488" s="22" t="str">
        <f>HYPERLINK("https://otsuka-europe-crm.veevavault.com/ui/#object/sent_email__v/VBL00000002U662", "SE-001436550")</f>
        <v>SE-001436550</v>
      </c>
      <c r="F10488" s="25"/>
      <c r="G10488" s="24">
        <v>0</v>
      </c>
      <c r="H10488" s="24">
        <v>0</v>
      </c>
      <c r="I10488" s="24">
        <v>0</v>
      </c>
      <c r="J10488" s="25"/>
      <c r="K10488" s="24">
        <v>0</v>
      </c>
      <c r="L10488" s="22" t="str">
        <f>HYPERLINK("https://otsuka-europe-crm.veevavault.com/ui/#object/approved_document__v/V5O00000001L017", "ALL_Flexibilität_Ferienplanung_2026_AA_fr")</f>
        <v>ALL_Flexibilität_Ferienplanung_2026_AA_fr</v>
      </c>
      <c r="M10488" s="22" t="str">
        <f>HYPERLINK("mailto:yvergari@crm.otsuka-europe.com", "yvergari@crm.otsuka-europe.com")</f>
        <v>yvergari@crm.otsuka-europe.com</v>
      </c>
      <c r="N10488" s="23">
        <v>46188.610439814816</v>
      </c>
      <c r="O10488" s="14" t="str">
        <f>HYPERLINK("https://otsuka-europe-crm.veevavault.com/ui/#object/email_activity__v/V8C00000003V822", "EN-002096387")</f>
        <v>EN-002096387</v>
      </c>
    </row>
    <row r="10489" spans="1:15" ht="16" x14ac:dyDescent="0.2">
      <c r="A10489" s="19"/>
      <c r="B10489" s="19"/>
      <c r="C10489" s="19"/>
      <c r="D10489" s="19"/>
      <c r="E10489" s="19"/>
      <c r="F10489" s="19"/>
      <c r="G10489" s="19"/>
      <c r="H10489" s="19"/>
      <c r="I10489" s="19"/>
      <c r="J10489" s="19"/>
      <c r="K10489" s="19"/>
      <c r="L10489" s="19"/>
      <c r="M10489" s="19"/>
      <c r="N10489" s="19"/>
      <c r="O10489" s="14" t="str">
        <f>HYPERLINK("https://otsuka-europe-crm.veevavault.com/ui/#object/email_activity__v/V8C00000003X841", "EN-002098327")</f>
        <v>EN-002098327</v>
      </c>
    </row>
    <row r="10490" spans="1:15" ht="32" x14ac:dyDescent="0.2">
      <c r="A10490" s="7" t="str">
        <f>HYPERLINK("https://otsuka-europe-crm.veevavault.com/ui/#object/account__v/V4TZ025E86LAFQV", "Antoine Levadoux")</f>
        <v>Antoine Levadoux</v>
      </c>
      <c r="B10490" s="7" t="str">
        <f>HYPERLINK("https://otsuka-europe-crm.veevavault.com/ui/#object/vcountry__v/VENZ000004SONFN", "CH")</f>
        <v>CH</v>
      </c>
      <c r="C10490" s="8" t="s">
        <v>45</v>
      </c>
      <c r="D10490" s="9" t="str">
        <f>HYPERLINK("https://otsuka-europe-crm.veevavault.com/ui/#object/approved_document__v/V5O00000001L017", "ALL_Flexibilität_Ferienplanung_2026_AA_fr")</f>
        <v>ALL_Flexibilität_Ferienplanung_2026_AA_fr</v>
      </c>
      <c r="E10490" s="10" t="str">
        <f>HYPERLINK("https://otsuka-europe-crm.veevavault.com/ui/#object/sent_email__v/VBL00000002U663", "SE-001436551")</f>
        <v>SE-001436551</v>
      </c>
      <c r="F10490" s="11"/>
      <c r="G10490" s="12">
        <v>0</v>
      </c>
      <c r="H10490" s="12">
        <v>0</v>
      </c>
      <c r="I10490" s="12">
        <v>0</v>
      </c>
      <c r="J10490" s="11"/>
      <c r="K10490" s="12">
        <v>0</v>
      </c>
      <c r="L10490" s="10" t="str">
        <f>HYPERLINK("https://otsuka-europe-crm.veevavault.com/ui/#object/approved_document__v/V5O00000001L017", "ALL_Flexibilität_Ferienplanung_2026_AA_fr")</f>
        <v>ALL_Flexibilität_Ferienplanung_2026_AA_fr</v>
      </c>
      <c r="M10490" s="10" t="str">
        <f>HYPERLINK("mailto:yvergari@crm.otsuka-europe.com", "yvergari@crm.otsuka-europe.com")</f>
        <v>yvergari@crm.otsuka-europe.com</v>
      </c>
      <c r="N10490" s="13">
        <v>46188.610439814816</v>
      </c>
      <c r="O10490" s="14" t="str">
        <f>HYPERLINK("https://otsuka-europe-crm.veevavault.com/ui/#object/email_activity__v/V8C00000003V809", "EN-002096374")</f>
        <v>EN-002096374</v>
      </c>
    </row>
    <row r="10491" spans="1:15" ht="16" x14ac:dyDescent="0.2">
      <c r="A10491" s="17" t="str">
        <f>HYPERLINK("https://otsuka-europe-crm.veevavault.com/ui/#object/account__v/V4TZ0000062R5DR", "Michel-Alexandre Nicolas")</f>
        <v>Michel-Alexandre Nicolas</v>
      </c>
      <c r="B10491" s="17" t="str">
        <f>HYPERLINK("https://otsuka-europe-crm.veevavault.com/ui/#object/vcountry__v/VENZ000004SONFN", "CH")</f>
        <v>CH</v>
      </c>
      <c r="C10491" s="20" t="s">
        <v>45</v>
      </c>
      <c r="D10491" s="21" t="str">
        <f>HYPERLINK("https://otsuka-europe-crm.veevavault.com/ui/#object/approved_document__v/V5O00000001L017", "ALL_Flexibilität_Ferienplanung_2026_AA_fr")</f>
        <v>ALL_Flexibilität_Ferienplanung_2026_AA_fr</v>
      </c>
      <c r="E10491" s="22" t="str">
        <f>HYPERLINK("https://otsuka-europe-crm.veevavault.com/ui/#object/sent_email__v/VBL00000002U664", "SE-001436552")</f>
        <v>SE-001436552</v>
      </c>
      <c r="F10491" s="23">
        <v>46188.610925925925</v>
      </c>
      <c r="G10491" s="24">
        <v>1</v>
      </c>
      <c r="H10491" s="24">
        <v>2</v>
      </c>
      <c r="I10491" s="24">
        <v>0</v>
      </c>
      <c r="J10491" s="25"/>
      <c r="K10491" s="24">
        <v>0</v>
      </c>
      <c r="L10491" s="22" t="str">
        <f>HYPERLINK("https://otsuka-europe-crm.veevavault.com/ui/#object/approved_document__v/V5O00000001L017", "ALL_Flexibilität_Ferienplanung_2026_AA_fr")</f>
        <v>ALL_Flexibilität_Ferienplanung_2026_AA_fr</v>
      </c>
      <c r="M10491" s="22" t="str">
        <f>HYPERLINK("mailto:yvergari@crm.otsuka-europe.com", "yvergari@crm.otsuka-europe.com")</f>
        <v>yvergari@crm.otsuka-europe.com</v>
      </c>
      <c r="N10491" s="23">
        <v>46188.610474537039</v>
      </c>
      <c r="O10491" s="14" t="str">
        <f>HYPERLINK("https://otsuka-europe-crm.veevavault.com/ui/#object/email_activity__v/V8C00000003V770", "EN-002096335")</f>
        <v>EN-002096335</v>
      </c>
    </row>
    <row r="10492" spans="1:15" ht="16" x14ac:dyDescent="0.2">
      <c r="A10492" s="18"/>
      <c r="B10492" s="18"/>
      <c r="C10492" s="18"/>
      <c r="D10492" s="18"/>
      <c r="E10492" s="18"/>
      <c r="F10492" s="18"/>
      <c r="G10492" s="18"/>
      <c r="H10492" s="18"/>
      <c r="I10492" s="18"/>
      <c r="J10492" s="18"/>
      <c r="K10492" s="18"/>
      <c r="L10492" s="18"/>
      <c r="M10492" s="18"/>
      <c r="N10492" s="18"/>
      <c r="O10492" s="14" t="str">
        <f>HYPERLINK("https://otsuka-europe-crm.veevavault.com/ui/#object/email_activity__v/V8C00000003V773", "EN-002096338")</f>
        <v>EN-002096338</v>
      </c>
    </row>
    <row r="10493" spans="1:15" ht="16" x14ac:dyDescent="0.2">
      <c r="A10493" s="19"/>
      <c r="B10493" s="19"/>
      <c r="C10493" s="19"/>
      <c r="D10493" s="19"/>
      <c r="E10493" s="19"/>
      <c r="F10493" s="19"/>
      <c r="G10493" s="19"/>
      <c r="H10493" s="19"/>
      <c r="I10493" s="19"/>
      <c r="J10493" s="19"/>
      <c r="K10493" s="19"/>
      <c r="L10493" s="19"/>
      <c r="M10493" s="19"/>
      <c r="N10493" s="19"/>
      <c r="O10493" s="14" t="str">
        <f>HYPERLINK("https://otsuka-europe-crm.veevavault.com/ui/#object/email_activity__v/V8C00000003V825", "EN-002096390")</f>
        <v>EN-002096390</v>
      </c>
    </row>
    <row r="10494" spans="1:15" ht="16" x14ac:dyDescent="0.2">
      <c r="A10494" s="17" t="str">
        <f>HYPERLINK("https://otsuka-europe-crm.veevavault.com/ui/#object/account__v/V4TZ0000062REPQ", "Giorgio Maccaferri")</f>
        <v>Giorgio Maccaferri</v>
      </c>
      <c r="B10494" s="17" t="str">
        <f>HYPERLINK("https://otsuka-europe-crm.veevavault.com/ui/#object/vcountry__v/VENZ000004SONFN", "CH")</f>
        <v>CH</v>
      </c>
      <c r="C10494" s="20" t="s">
        <v>45</v>
      </c>
      <c r="D10494" s="21" t="str">
        <f>HYPERLINK("https://otsuka-europe-crm.veevavault.com/ui/#object/approved_document__v/V5O00000001L017", "ALL_Flexibilität_Ferienplanung_2026_AA_fr")</f>
        <v>ALL_Flexibilität_Ferienplanung_2026_AA_fr</v>
      </c>
      <c r="E10494" s="22" t="str">
        <f>HYPERLINK("https://otsuka-europe-crm.veevavault.com/ui/#object/sent_email__v/VBL00000002U665", "SE-001436553")</f>
        <v>SE-001436553</v>
      </c>
      <c r="F10494" s="23">
        <v>46189.592638888891</v>
      </c>
      <c r="G10494" s="24">
        <v>1</v>
      </c>
      <c r="H10494" s="24">
        <v>1</v>
      </c>
      <c r="I10494" s="24">
        <v>0</v>
      </c>
      <c r="J10494" s="25"/>
      <c r="K10494" s="24">
        <v>0</v>
      </c>
      <c r="L10494" s="22" t="str">
        <f>HYPERLINK("https://otsuka-europe-crm.veevavault.com/ui/#object/approved_document__v/V5O00000001L017", "ALL_Flexibilität_Ferienplanung_2026_AA_fr")</f>
        <v>ALL_Flexibilität_Ferienplanung_2026_AA_fr</v>
      </c>
      <c r="M10494" s="22" t="str">
        <f>HYPERLINK("mailto:yvergari@crm.otsuka-europe.com", "yvergari@crm.otsuka-europe.com")</f>
        <v>yvergari@crm.otsuka-europe.com</v>
      </c>
      <c r="N10494" s="23">
        <v>46188.610474537039</v>
      </c>
      <c r="O10494" s="14" t="str">
        <f>HYPERLINK("https://otsuka-europe-crm.veevavault.com/ui/#object/email_activity__v/V8C00000003U758", "EN-002096429")</f>
        <v>EN-002096429</v>
      </c>
    </row>
    <row r="10495" spans="1:15" ht="16" x14ac:dyDescent="0.2">
      <c r="A10495" s="18"/>
      <c r="B10495" s="18"/>
      <c r="C10495" s="18"/>
      <c r="D10495" s="18"/>
      <c r="E10495" s="18"/>
      <c r="F10495" s="18"/>
      <c r="G10495" s="18"/>
      <c r="H10495" s="18"/>
      <c r="I10495" s="18"/>
      <c r="J10495" s="18"/>
      <c r="K10495" s="18"/>
      <c r="L10495" s="18"/>
      <c r="M10495" s="18"/>
      <c r="N10495" s="18"/>
      <c r="O10495" s="14" t="str">
        <f>HYPERLINK("https://otsuka-europe-crm.veevavault.com/ui/#object/email_activity__v/V8C00000003V769", "EN-002096334")</f>
        <v>EN-002096334</v>
      </c>
    </row>
    <row r="10496" spans="1:15" ht="16" x14ac:dyDescent="0.2">
      <c r="A10496" s="19"/>
      <c r="B10496" s="19"/>
      <c r="C10496" s="19"/>
      <c r="D10496" s="19"/>
      <c r="E10496" s="19"/>
      <c r="F10496" s="19"/>
      <c r="G10496" s="19"/>
      <c r="H10496" s="19"/>
      <c r="I10496" s="19"/>
      <c r="J10496" s="19"/>
      <c r="K10496" s="19"/>
      <c r="L10496" s="19"/>
      <c r="M10496" s="19"/>
      <c r="N10496" s="19"/>
      <c r="O10496" s="14" t="str">
        <f>HYPERLINK("https://otsuka-europe-crm.veevavault.com/ui/#object/email_activity__v/V8C00000003X163", "EN-002097210")</f>
        <v>EN-002097210</v>
      </c>
    </row>
    <row r="10497" spans="1:15" ht="16" x14ac:dyDescent="0.2">
      <c r="A10497" s="17" t="str">
        <f>HYPERLINK("https://otsuka-europe-crm.veevavault.com/ui/#object/account__v/V4TZ0000062R42E", "Teodor Negulescu")</f>
        <v>Teodor Negulescu</v>
      </c>
      <c r="B10497" s="17" t="str">
        <f>HYPERLINK("https://otsuka-europe-crm.veevavault.com/ui/#object/vcountry__v/VENZ000004SONFN", "CH")</f>
        <v>CH</v>
      </c>
      <c r="C10497" s="20" t="s">
        <v>45</v>
      </c>
      <c r="D10497" s="21" t="str">
        <f>HYPERLINK("https://otsuka-europe-crm.veevavault.com/ui/#object/approved_document__v/V5O00000001L017", "ALL_Flexibilität_Ferienplanung_2026_AA_fr")</f>
        <v>ALL_Flexibilität_Ferienplanung_2026_AA_fr</v>
      </c>
      <c r="E10497" s="22" t="str">
        <f>HYPERLINK("https://otsuka-europe-crm.veevavault.com/ui/#object/sent_email__v/VBL00000002U666", "SE-001436554")</f>
        <v>SE-001436554</v>
      </c>
      <c r="F10497" s="25"/>
      <c r="G10497" s="24">
        <v>0</v>
      </c>
      <c r="H10497" s="24">
        <v>0</v>
      </c>
      <c r="I10497" s="24">
        <v>0</v>
      </c>
      <c r="J10497" s="25"/>
      <c r="K10497" s="24">
        <v>0</v>
      </c>
      <c r="L10497" s="22" t="str">
        <f>HYPERLINK("https://otsuka-europe-crm.veevavault.com/ui/#object/approved_document__v/V5O00000001L017", "ALL_Flexibilität_Ferienplanung_2026_AA_fr")</f>
        <v>ALL_Flexibilität_Ferienplanung_2026_AA_fr</v>
      </c>
      <c r="M10497" s="22" t="str">
        <f>HYPERLINK("mailto:yvergari@crm.otsuka-europe.com", "yvergari@crm.otsuka-europe.com")</f>
        <v>yvergari@crm.otsuka-europe.com</v>
      </c>
      <c r="N10497" s="23">
        <v>46188.610439814816</v>
      </c>
      <c r="O10497" s="14" t="str">
        <f>HYPERLINK("https://otsuka-europe-crm.veevavault.com/ui/#object/email_activity__v/V8C00000003U940", "EN-002096868")</f>
        <v>EN-002096868</v>
      </c>
    </row>
    <row r="10498" spans="1:15" ht="16" x14ac:dyDescent="0.2">
      <c r="A10498" s="19"/>
      <c r="B10498" s="19"/>
      <c r="C10498" s="19"/>
      <c r="D10498" s="19"/>
      <c r="E10498" s="19"/>
      <c r="F10498" s="19"/>
      <c r="G10498" s="19"/>
      <c r="H10498" s="19"/>
      <c r="I10498" s="19"/>
      <c r="J10498" s="19"/>
      <c r="K10498" s="19"/>
      <c r="L10498" s="19"/>
      <c r="M10498" s="19"/>
      <c r="N10498" s="19"/>
      <c r="O10498" s="14" t="str">
        <f>HYPERLINK("https://otsuka-europe-crm.veevavault.com/ui/#object/email_activity__v/V8C00000003V797", "EN-002096362")</f>
        <v>EN-002096362</v>
      </c>
    </row>
    <row r="10499" spans="1:15" ht="32" x14ac:dyDescent="0.2">
      <c r="A10499" s="7" t="str">
        <f>HYPERLINK("https://otsuka-europe-crm.veevavault.com/ui/#object/account__v/V4TZ025E83MZ2SG", "Catherine Le Hénaff")</f>
        <v>Catherine Le Hénaff</v>
      </c>
      <c r="B10499" s="7" t="str">
        <f>HYPERLINK("https://otsuka-europe-crm.veevavault.com/ui/#object/vcountry__v/VENZ000004SONFN", "CH")</f>
        <v>CH</v>
      </c>
      <c r="C10499" s="8" t="s">
        <v>45</v>
      </c>
      <c r="D10499" s="9" t="str">
        <f>HYPERLINK("https://otsuka-europe-crm.veevavault.com/ui/#object/approved_document__v/V5O00000001L017", "ALL_Flexibilität_Ferienplanung_2026_AA_fr")</f>
        <v>ALL_Flexibilität_Ferienplanung_2026_AA_fr</v>
      </c>
      <c r="E10499" s="10" t="str">
        <f>HYPERLINK("https://otsuka-europe-crm.veevavault.com/ui/#object/sent_email__v/VBL00000002U667", "SE-001436555")</f>
        <v>SE-001436555</v>
      </c>
      <c r="F10499" s="11"/>
      <c r="G10499" s="12">
        <v>0</v>
      </c>
      <c r="H10499" s="12">
        <v>0</v>
      </c>
      <c r="I10499" s="12">
        <v>0</v>
      </c>
      <c r="J10499" s="11"/>
      <c r="K10499" s="12">
        <v>0</v>
      </c>
      <c r="L10499" s="10" t="str">
        <f>HYPERLINK("https://otsuka-europe-crm.veevavault.com/ui/#object/approved_document__v/V5O00000001L017", "ALL_Flexibilität_Ferienplanung_2026_AA_fr")</f>
        <v>ALL_Flexibilität_Ferienplanung_2026_AA_fr</v>
      </c>
      <c r="M10499" s="10" t="str">
        <f>HYPERLINK("mailto:yvergari@crm.otsuka-europe.com", "yvergari@crm.otsuka-europe.com")</f>
        <v>yvergari@crm.otsuka-europe.com</v>
      </c>
      <c r="N10499" s="13">
        <v>46188.610439814816</v>
      </c>
      <c r="O10499" s="14" t="str">
        <f>HYPERLINK("https://otsuka-europe-crm.veevavault.com/ui/#object/email_activity__v/V8C00000003V817", "EN-002096382")</f>
        <v>EN-002096382</v>
      </c>
    </row>
    <row r="10500" spans="1:15" ht="32" x14ac:dyDescent="0.2">
      <c r="A10500" s="7" t="str">
        <f>HYPERLINK("https://otsuka-europe-crm.veevavault.com/ui/#object/account__v/V4TZ025E83ASQ08", "Giulia Meroni")</f>
        <v>Giulia Meroni</v>
      </c>
      <c r="B10500" s="7" t="str">
        <f>HYPERLINK("https://otsuka-europe-crm.veevavault.com/ui/#object/vcountry__v/VENZ000004SONFN", "CH")</f>
        <v>CH</v>
      </c>
      <c r="C10500" s="8" t="s">
        <v>45</v>
      </c>
      <c r="D10500" s="9" t="str">
        <f>HYPERLINK("https://otsuka-europe-crm.veevavault.com/ui/#object/approved_document__v/V5O00000001L017", "ALL_Flexibilität_Ferienplanung_2026_AA_fr")</f>
        <v>ALL_Flexibilität_Ferienplanung_2026_AA_fr</v>
      </c>
      <c r="E10500" s="10" t="str">
        <f>HYPERLINK("https://otsuka-europe-crm.veevavault.com/ui/#object/sent_email__v/VBL00000002U668", "SE-001436556")</f>
        <v>SE-001436556</v>
      </c>
      <c r="F10500" s="11"/>
      <c r="G10500" s="12">
        <v>0</v>
      </c>
      <c r="H10500" s="12">
        <v>0</v>
      </c>
      <c r="I10500" s="12">
        <v>0</v>
      </c>
      <c r="J10500" s="11"/>
      <c r="K10500" s="12">
        <v>0</v>
      </c>
      <c r="L10500" s="10" t="str">
        <f>HYPERLINK("https://otsuka-europe-crm.veevavault.com/ui/#object/approved_document__v/V5O00000001L017", "ALL_Flexibilität_Ferienplanung_2026_AA_fr")</f>
        <v>ALL_Flexibilität_Ferienplanung_2026_AA_fr</v>
      </c>
      <c r="M10500" s="10" t="str">
        <f>HYPERLINK("mailto:yvergari@crm.otsuka-europe.com", "yvergari@crm.otsuka-europe.com")</f>
        <v>yvergari@crm.otsuka-europe.com</v>
      </c>
      <c r="N10500" s="13">
        <v>46188.610439814816</v>
      </c>
      <c r="O10500" s="14" t="str">
        <f>HYPERLINK("https://otsuka-europe-crm.veevavault.com/ui/#object/email_activity__v/V8C00000003V803", "EN-002096368")</f>
        <v>EN-002096368</v>
      </c>
    </row>
    <row r="10501" spans="1:15" ht="32" x14ac:dyDescent="0.2">
      <c r="A10501" s="7" t="str">
        <f>HYPERLINK("https://otsuka-europe-crm.veevavault.com/ui/#object/account__v/V4TZ04ASG8MTCDA", "Dorra Khoudi")</f>
        <v>Dorra Khoudi</v>
      </c>
      <c r="B10501" s="7" t="str">
        <f>HYPERLINK("https://otsuka-europe-crm.veevavault.com/ui/#object/vcountry__v/VENZ000004SONFN", "CH")</f>
        <v>CH</v>
      </c>
      <c r="C10501" s="8" t="s">
        <v>45</v>
      </c>
      <c r="D10501" s="9" t="str">
        <f>HYPERLINK("https://otsuka-europe-crm.veevavault.com/ui/#object/approved_document__v/V5O00000001L017", "ALL_Flexibilität_Ferienplanung_2026_AA_fr")</f>
        <v>ALL_Flexibilität_Ferienplanung_2026_AA_fr</v>
      </c>
      <c r="E10501" s="10" t="str">
        <f>HYPERLINK("https://otsuka-europe-crm.veevavault.com/ui/#object/sent_email__v/VBL00000002U669", "SE-001436557")</f>
        <v>SE-001436557</v>
      </c>
      <c r="F10501" s="11"/>
      <c r="G10501" s="12">
        <v>0</v>
      </c>
      <c r="H10501" s="12">
        <v>0</v>
      </c>
      <c r="I10501" s="12">
        <v>0</v>
      </c>
      <c r="J10501" s="11"/>
      <c r="K10501" s="12">
        <v>0</v>
      </c>
      <c r="L10501" s="10" t="str">
        <f>HYPERLINK("https://otsuka-europe-crm.veevavault.com/ui/#object/approved_document__v/V5O00000001L017", "ALL_Flexibilität_Ferienplanung_2026_AA_fr")</f>
        <v>ALL_Flexibilität_Ferienplanung_2026_AA_fr</v>
      </c>
      <c r="M10501" s="10" t="str">
        <f>HYPERLINK("mailto:yvergari@crm.otsuka-europe.com", "yvergari@crm.otsuka-europe.com")</f>
        <v>yvergari@crm.otsuka-europe.com</v>
      </c>
      <c r="N10501" s="13">
        <v>46188.610439814816</v>
      </c>
      <c r="O10501" s="14" t="str">
        <f>HYPERLINK("https://otsuka-europe-crm.veevavault.com/ui/#object/email_activity__v/V8C00000003V800", "EN-002096365")</f>
        <v>EN-002096365</v>
      </c>
    </row>
    <row r="10502" spans="1:15" ht="16" x14ac:dyDescent="0.2">
      <c r="A10502" s="17" t="str">
        <f>HYPERLINK("https://otsuka-europe-crm.veevavault.com/ui/#object/account__v/V4TZ04ASGAAC7Z3", "François Pache")</f>
        <v>François Pache</v>
      </c>
      <c r="B10502" s="17" t="str">
        <f>HYPERLINK("https://otsuka-europe-crm.veevavault.com/ui/#object/vcountry__v/VENZ000004SONFN", "CH")</f>
        <v>CH</v>
      </c>
      <c r="C10502" s="20" t="s">
        <v>45</v>
      </c>
      <c r="D10502" s="21" t="str">
        <f>HYPERLINK("https://otsuka-europe-crm.veevavault.com/ui/#object/approved_document__v/V5O00000001L017", "ALL_Flexibilität_Ferienplanung_2026_AA_fr")</f>
        <v>ALL_Flexibilität_Ferienplanung_2026_AA_fr</v>
      </c>
      <c r="E10502" s="22" t="str">
        <f>HYPERLINK("https://otsuka-europe-crm.veevavault.com/ui/#object/sent_email__v/VBL00000002U670", "SE-001436558")</f>
        <v>SE-001436558</v>
      </c>
      <c r="F10502" s="23">
        <v>46188.619490740741</v>
      </c>
      <c r="G10502" s="24">
        <v>1</v>
      </c>
      <c r="H10502" s="24">
        <v>1</v>
      </c>
      <c r="I10502" s="24">
        <v>0</v>
      </c>
      <c r="J10502" s="25"/>
      <c r="K10502" s="24">
        <v>0</v>
      </c>
      <c r="L10502" s="22" t="str">
        <f>HYPERLINK("https://otsuka-europe-crm.veevavault.com/ui/#object/approved_document__v/V5O00000001L017", "ALL_Flexibilität_Ferienplanung_2026_AA_fr")</f>
        <v>ALL_Flexibilität_Ferienplanung_2026_AA_fr</v>
      </c>
      <c r="M10502" s="22" t="str">
        <f>HYPERLINK("mailto:yvergari@crm.otsuka-europe.com", "yvergari@crm.otsuka-europe.com")</f>
        <v>yvergari@crm.otsuka-europe.com</v>
      </c>
      <c r="N10502" s="23">
        <v>46188.610439814816</v>
      </c>
      <c r="O10502" s="14" t="str">
        <f>HYPERLINK("https://otsuka-europe-crm.veevavault.com/ui/#object/email_activity__v/V8C00000003V786", "EN-002096351")</f>
        <v>EN-002096351</v>
      </c>
    </row>
    <row r="10503" spans="1:15" ht="16" x14ac:dyDescent="0.2">
      <c r="A10503" s="18"/>
      <c r="B10503" s="18"/>
      <c r="C10503" s="18"/>
      <c r="D10503" s="18"/>
      <c r="E10503" s="18"/>
      <c r="F10503" s="18"/>
      <c r="G10503" s="18"/>
      <c r="H10503" s="18"/>
      <c r="I10503" s="18"/>
      <c r="J10503" s="18"/>
      <c r="K10503" s="18"/>
      <c r="L10503" s="18"/>
      <c r="M10503" s="18"/>
      <c r="N10503" s="18"/>
      <c r="O10503" s="14" t="str">
        <f>HYPERLINK("https://otsuka-europe-crm.veevavault.com/ui/#object/email_activity__v/V8C00000003V830", "EN-002096399")</f>
        <v>EN-002096399</v>
      </c>
    </row>
    <row r="10504" spans="1:15" ht="16" x14ac:dyDescent="0.2">
      <c r="A10504" s="18"/>
      <c r="B10504" s="18"/>
      <c r="C10504" s="18"/>
      <c r="D10504" s="18"/>
      <c r="E10504" s="18"/>
      <c r="F10504" s="18"/>
      <c r="G10504" s="18"/>
      <c r="H10504" s="18"/>
      <c r="I10504" s="18"/>
      <c r="J10504" s="18"/>
      <c r="K10504" s="18"/>
      <c r="L10504" s="18"/>
      <c r="M10504" s="18"/>
      <c r="N10504" s="18"/>
      <c r="O10504" s="14" t="str">
        <f>HYPERLINK("https://otsuka-europe-crm.veevavault.com/ui/#object/email_activity__v/V8C00000003V850", "EN-002096420")</f>
        <v>EN-002096420</v>
      </c>
    </row>
    <row r="10505" spans="1:15" ht="16" x14ac:dyDescent="0.2">
      <c r="A10505" s="19"/>
      <c r="B10505" s="19"/>
      <c r="C10505" s="19"/>
      <c r="D10505" s="19"/>
      <c r="E10505" s="19"/>
      <c r="F10505" s="19"/>
      <c r="G10505" s="19"/>
      <c r="H10505" s="19"/>
      <c r="I10505" s="19"/>
      <c r="J10505" s="19"/>
      <c r="K10505" s="19"/>
      <c r="L10505" s="19"/>
      <c r="M10505" s="19"/>
      <c r="N10505" s="19"/>
      <c r="O10505" s="14" t="str">
        <f>HYPERLINK("https://otsuka-europe-crm.veevavault.com/ui/#object/email_activity__v/V8C00000003X930", "EN-002098475")</f>
        <v>EN-002098475</v>
      </c>
    </row>
    <row r="10506" spans="1:15" ht="32" x14ac:dyDescent="0.2">
      <c r="A10506" s="7" t="str">
        <f>HYPERLINK("https://otsuka-europe-crm.veevavault.com/ui/#object/account__v/V4TZ0000062R7C8", "Tatiana Massardi")</f>
        <v>Tatiana Massardi</v>
      </c>
      <c r="B10506" s="7" t="str">
        <f>HYPERLINK("https://otsuka-europe-crm.veevavault.com/ui/#object/vcountry__v/VENZ000004SONFN", "CH")</f>
        <v>CH</v>
      </c>
      <c r="C10506" s="8" t="s">
        <v>45</v>
      </c>
      <c r="D10506" s="9" t="str">
        <f>HYPERLINK("https://otsuka-europe-crm.veevavault.com/ui/#object/approved_document__v/V5O00000001L017", "ALL_Flexibilität_Ferienplanung_2026_AA_fr")</f>
        <v>ALL_Flexibilität_Ferienplanung_2026_AA_fr</v>
      </c>
      <c r="E10506" s="10" t="str">
        <f>HYPERLINK("https://otsuka-europe-crm.veevavault.com/ui/#object/sent_email__v/VBL00000002U671", "SE-001436559")</f>
        <v>SE-001436559</v>
      </c>
      <c r="F10506" s="11"/>
      <c r="G10506" s="12">
        <v>0</v>
      </c>
      <c r="H10506" s="12">
        <v>0</v>
      </c>
      <c r="I10506" s="12">
        <v>0</v>
      </c>
      <c r="J10506" s="11"/>
      <c r="K10506" s="12">
        <v>0</v>
      </c>
      <c r="L10506" s="10" t="str">
        <f>HYPERLINK("https://otsuka-europe-crm.veevavault.com/ui/#object/approved_document__v/V5O00000001L017", "ALL_Flexibilität_Ferienplanung_2026_AA_fr")</f>
        <v>ALL_Flexibilität_Ferienplanung_2026_AA_fr</v>
      </c>
      <c r="M10506" s="10" t="str">
        <f>HYPERLINK("mailto:yvergari@crm.otsuka-europe.com", "yvergari@crm.otsuka-europe.com")</f>
        <v>yvergari@crm.otsuka-europe.com</v>
      </c>
      <c r="N10506" s="13">
        <v>46188.610439814816</v>
      </c>
      <c r="O10506" s="14" t="str">
        <f>HYPERLINK("https://otsuka-europe-crm.veevavault.com/ui/#object/email_activity__v/V8C00000003V779", "EN-002096344")</f>
        <v>EN-002096344</v>
      </c>
    </row>
    <row r="10507" spans="1:15" ht="32" x14ac:dyDescent="0.2">
      <c r="A10507" s="7" t="str">
        <f>HYPERLINK("https://otsuka-europe-crm.veevavault.com/ui/#object/account__v/V4TZ025E87YOJH1", "Jean Adrien Lucien Level")</f>
        <v>Jean Adrien Lucien Level</v>
      </c>
      <c r="B10507" s="7" t="str">
        <f>HYPERLINK("https://otsuka-europe-crm.veevavault.com/ui/#object/vcountry__v/VENZ000004SONFN", "CH")</f>
        <v>CH</v>
      </c>
      <c r="C10507" s="8" t="s">
        <v>45</v>
      </c>
      <c r="D10507" s="9" t="str">
        <f>HYPERLINK("https://otsuka-europe-crm.veevavault.com/ui/#object/approved_document__v/V5O00000001L017", "ALL_Flexibilität_Ferienplanung_2026_AA_fr")</f>
        <v>ALL_Flexibilität_Ferienplanung_2026_AA_fr</v>
      </c>
      <c r="E10507" s="10" t="str">
        <f>HYPERLINK("https://otsuka-europe-crm.veevavault.com/ui/#object/sent_email__v/VBL00000002U672", "SE-001436560")</f>
        <v>SE-001436560</v>
      </c>
      <c r="F10507" s="11"/>
      <c r="G10507" s="12">
        <v>0</v>
      </c>
      <c r="H10507" s="12">
        <v>0</v>
      </c>
      <c r="I10507" s="12">
        <v>0</v>
      </c>
      <c r="J10507" s="11"/>
      <c r="K10507" s="12">
        <v>0</v>
      </c>
      <c r="L10507" s="10" t="str">
        <f>HYPERLINK("https://otsuka-europe-crm.veevavault.com/ui/#object/approved_document__v/V5O00000001L017", "ALL_Flexibilität_Ferienplanung_2026_AA_fr")</f>
        <v>ALL_Flexibilität_Ferienplanung_2026_AA_fr</v>
      </c>
      <c r="M10507" s="10" t="str">
        <f>HYPERLINK("mailto:yvergari@crm.otsuka-europe.com", "yvergari@crm.otsuka-europe.com")</f>
        <v>yvergari@crm.otsuka-europe.com</v>
      </c>
      <c r="N10507" s="13">
        <v>46188.610439814816</v>
      </c>
      <c r="O10507" s="14" t="str">
        <f>HYPERLINK("https://otsuka-europe-crm.veevavault.com/ui/#object/email_activity__v/V8C00000003V777", "EN-002096342")</f>
        <v>EN-002096342</v>
      </c>
    </row>
    <row r="10508" spans="1:15" ht="16" x14ac:dyDescent="0.2">
      <c r="A10508" s="17" t="str">
        <f>HYPERLINK("https://otsuka-europe-crm.veevavault.com/ui/#object/account__v/V4TZ0000062RU9T", "David Neury")</f>
        <v>David Neury</v>
      </c>
      <c r="B10508" s="17" t="str">
        <f>HYPERLINK("https://otsuka-europe-crm.veevavault.com/ui/#object/vcountry__v/VENZ000004SONFN", "CH")</f>
        <v>CH</v>
      </c>
      <c r="C10508" s="20" t="s">
        <v>45</v>
      </c>
      <c r="D10508" s="21" t="str">
        <f>HYPERLINK("https://otsuka-europe-crm.veevavault.com/ui/#object/approved_document__v/V5O00000001L017", "ALL_Flexibilität_Ferienplanung_2026_AA_fr")</f>
        <v>ALL_Flexibilität_Ferienplanung_2026_AA_fr</v>
      </c>
      <c r="E10508" s="22" t="str">
        <f>HYPERLINK("https://otsuka-europe-crm.veevavault.com/ui/#object/sent_email__v/VBL00000002U673", "SE-001436561")</f>
        <v>SE-001436561</v>
      </c>
      <c r="F10508" s="25"/>
      <c r="G10508" s="24">
        <v>0</v>
      </c>
      <c r="H10508" s="24">
        <v>0</v>
      </c>
      <c r="I10508" s="24">
        <v>0</v>
      </c>
      <c r="J10508" s="25"/>
      <c r="K10508" s="24">
        <v>0</v>
      </c>
      <c r="L10508" s="22" t="str">
        <f>HYPERLINK("https://otsuka-europe-crm.veevavault.com/ui/#object/approved_document__v/V5O00000001L017", "ALL_Flexibilität_Ferienplanung_2026_AA_fr")</f>
        <v>ALL_Flexibilität_Ferienplanung_2026_AA_fr</v>
      </c>
      <c r="M10508" s="22" t="str">
        <f>HYPERLINK("mailto:yvergari@crm.otsuka-europe.com", "yvergari@crm.otsuka-europe.com")</f>
        <v>yvergari@crm.otsuka-europe.com</v>
      </c>
      <c r="N10508" s="23">
        <v>46188.610439814816</v>
      </c>
      <c r="O10508" s="14" t="str">
        <f>HYPERLINK("https://otsuka-europe-crm.veevavault.com/ui/#object/email_activity__v/V8C00000003V805", "EN-002096370")</f>
        <v>EN-002096370</v>
      </c>
    </row>
    <row r="10509" spans="1:15" ht="16" x14ac:dyDescent="0.2">
      <c r="A10509" s="19"/>
      <c r="B10509" s="19"/>
      <c r="C10509" s="19"/>
      <c r="D10509" s="19"/>
      <c r="E10509" s="19"/>
      <c r="F10509" s="19"/>
      <c r="G10509" s="19"/>
      <c r="H10509" s="19"/>
      <c r="I10509" s="19"/>
      <c r="J10509" s="19"/>
      <c r="K10509" s="19"/>
      <c r="L10509" s="19"/>
      <c r="M10509" s="19"/>
      <c r="N10509" s="19"/>
      <c r="O10509" s="14" t="str">
        <f>HYPERLINK("https://otsuka-europe-crm.veevavault.com/ui/#object/email_activity__v/V8C00000003V832", "EN-002096402")</f>
        <v>EN-002096402</v>
      </c>
    </row>
    <row r="10510" spans="1:15" ht="16" x14ac:dyDescent="0.2">
      <c r="A10510" s="17" t="str">
        <f>HYPERLINK("https://otsuka-europe-crm.veevavault.com/ui/#object/account__v/V4TZ000006DM1SR", "Ioan Daniel Moga")</f>
        <v>Ioan Daniel Moga</v>
      </c>
      <c r="B10510" s="17" t="str">
        <f>HYPERLINK("https://otsuka-europe-crm.veevavault.com/ui/#object/vcountry__v/VENZ000004SONFN", "CH")</f>
        <v>CH</v>
      </c>
      <c r="C10510" s="20" t="s">
        <v>45</v>
      </c>
      <c r="D10510" s="21" t="str">
        <f>HYPERLINK("https://otsuka-europe-crm.veevavault.com/ui/#object/approved_document__v/V5O00000001L017", "ALL_Flexibilität_Ferienplanung_2026_AA_fr")</f>
        <v>ALL_Flexibilität_Ferienplanung_2026_AA_fr</v>
      </c>
      <c r="E10510" s="22" t="str">
        <f>HYPERLINK("https://otsuka-europe-crm.veevavault.com/ui/#object/sent_email__v/VBL00000002U674", "SE-001436562")</f>
        <v>SE-001436562</v>
      </c>
      <c r="F10510" s="23">
        <v>46191.292800925927</v>
      </c>
      <c r="G10510" s="24">
        <v>1</v>
      </c>
      <c r="H10510" s="24">
        <v>2</v>
      </c>
      <c r="I10510" s="24">
        <v>0</v>
      </c>
      <c r="J10510" s="25"/>
      <c r="K10510" s="24">
        <v>0</v>
      </c>
      <c r="L10510" s="22" t="str">
        <f>HYPERLINK("https://otsuka-europe-crm.veevavault.com/ui/#object/approved_document__v/V5O00000001L017", "ALL_Flexibilität_Ferienplanung_2026_AA_fr")</f>
        <v>ALL_Flexibilität_Ferienplanung_2026_AA_fr</v>
      </c>
      <c r="M10510" s="22" t="str">
        <f>HYPERLINK("mailto:yvergari@crm.otsuka-europe.com", "yvergari@crm.otsuka-europe.com")</f>
        <v>yvergari@crm.otsuka-europe.com</v>
      </c>
      <c r="N10510" s="23">
        <v>46188.61041666667</v>
      </c>
      <c r="O10510" s="14" t="str">
        <f>HYPERLINK("https://otsuka-europe-crm.veevavault.com/ui/#object/email_activity__v/V8C00000003U891", "EN-002096765")</f>
        <v>EN-002096765</v>
      </c>
    </row>
    <row r="10511" spans="1:15" ht="16" x14ac:dyDescent="0.2">
      <c r="A10511" s="18"/>
      <c r="B10511" s="18"/>
      <c r="C10511" s="18"/>
      <c r="D10511" s="18"/>
      <c r="E10511" s="18"/>
      <c r="F10511" s="18"/>
      <c r="G10511" s="18"/>
      <c r="H10511" s="18"/>
      <c r="I10511" s="18"/>
      <c r="J10511" s="18"/>
      <c r="K10511" s="18"/>
      <c r="L10511" s="18"/>
      <c r="M10511" s="18"/>
      <c r="N10511" s="18"/>
      <c r="O10511" s="14" t="str">
        <f>HYPERLINK("https://otsuka-europe-crm.veevavault.com/ui/#object/email_activity__v/V8C00000003V792", "EN-002096357")</f>
        <v>EN-002096357</v>
      </c>
    </row>
    <row r="10512" spans="1:15" ht="16" x14ac:dyDescent="0.2">
      <c r="A10512" s="19"/>
      <c r="B10512" s="19"/>
      <c r="C10512" s="19"/>
      <c r="D10512" s="19"/>
      <c r="E10512" s="19"/>
      <c r="F10512" s="19"/>
      <c r="G10512" s="19"/>
      <c r="H10512" s="19"/>
      <c r="I10512" s="19"/>
      <c r="J10512" s="19"/>
      <c r="K10512" s="19"/>
      <c r="L10512" s="19"/>
      <c r="M10512" s="19"/>
      <c r="N10512" s="19"/>
      <c r="O10512" s="14" t="str">
        <f>HYPERLINK("https://otsuka-europe-crm.veevavault.com/ui/#object/email_activity__v/V8C00000003W761", "EN-002098522")</f>
        <v>EN-002098522</v>
      </c>
    </row>
    <row r="10513" spans="1:15" ht="16" x14ac:dyDescent="0.2">
      <c r="A10513" s="17" t="str">
        <f>HYPERLINK("https://otsuka-europe-crm.veevavault.com/ui/#object/account__v/V4TZ04ASG9MB56W", "Hedi Klila")</f>
        <v>Hedi Klila</v>
      </c>
      <c r="B10513" s="17" t="str">
        <f>HYPERLINK("https://otsuka-europe-crm.veevavault.com/ui/#object/vcountry__v/VENZ000004SONFN", "CH")</f>
        <v>CH</v>
      </c>
      <c r="C10513" s="20" t="s">
        <v>45</v>
      </c>
      <c r="D10513" s="21" t="str">
        <f>HYPERLINK("https://otsuka-europe-crm.veevavault.com/ui/#object/approved_document__v/V5O00000001L017", "ALL_Flexibilität_Ferienplanung_2026_AA_fr")</f>
        <v>ALL_Flexibilität_Ferienplanung_2026_AA_fr</v>
      </c>
      <c r="E10513" s="22" t="str">
        <f>HYPERLINK("https://otsuka-europe-crm.veevavault.com/ui/#object/sent_email__v/VBL00000002U675", "SE-001436563")</f>
        <v>SE-001436563</v>
      </c>
      <c r="F10513" s="25"/>
      <c r="G10513" s="24">
        <v>0</v>
      </c>
      <c r="H10513" s="24">
        <v>0</v>
      </c>
      <c r="I10513" s="24">
        <v>0</v>
      </c>
      <c r="J10513" s="25"/>
      <c r="K10513" s="24">
        <v>0</v>
      </c>
      <c r="L10513" s="22" t="str">
        <f>HYPERLINK("https://otsuka-europe-crm.veevavault.com/ui/#object/approved_document__v/V5O00000001L017", "ALL_Flexibilität_Ferienplanung_2026_AA_fr")</f>
        <v>ALL_Flexibilität_Ferienplanung_2026_AA_fr</v>
      </c>
      <c r="M10513" s="22" t="str">
        <f>HYPERLINK("mailto:yvergari@crm.otsuka-europe.com", "yvergari@crm.otsuka-europe.com")</f>
        <v>yvergari@crm.otsuka-europe.com</v>
      </c>
      <c r="N10513" s="23">
        <v>46188.61041666667</v>
      </c>
      <c r="O10513" s="14" t="str">
        <f>HYPERLINK("https://otsuka-europe-crm.veevavault.com/ui/#object/email_activity__v/V8C00000003U755", "EN-002096398")</f>
        <v>EN-002096398</v>
      </c>
    </row>
    <row r="10514" spans="1:15" ht="16" x14ac:dyDescent="0.2">
      <c r="A10514" s="18"/>
      <c r="B10514" s="18"/>
      <c r="C10514" s="18"/>
      <c r="D10514" s="18"/>
      <c r="E10514" s="18"/>
      <c r="F10514" s="18"/>
      <c r="G10514" s="18"/>
      <c r="H10514" s="18"/>
      <c r="I10514" s="18"/>
      <c r="J10514" s="18"/>
      <c r="K10514" s="18"/>
      <c r="L10514" s="18"/>
      <c r="M10514" s="18"/>
      <c r="N10514" s="18"/>
      <c r="O10514" s="14" t="str">
        <f>HYPERLINK("https://otsuka-europe-crm.veevavault.com/ui/#object/email_activity__v/V8C00000003V759", "EN-002096324")</f>
        <v>EN-002096324</v>
      </c>
    </row>
    <row r="10515" spans="1:15" ht="16" x14ac:dyDescent="0.2">
      <c r="A10515" s="19"/>
      <c r="B10515" s="19"/>
      <c r="C10515" s="19"/>
      <c r="D10515" s="19"/>
      <c r="E10515" s="19"/>
      <c r="F10515" s="19"/>
      <c r="G10515" s="19"/>
      <c r="H10515" s="19"/>
      <c r="I10515" s="19"/>
      <c r="J10515" s="19"/>
      <c r="K10515" s="19"/>
      <c r="L10515" s="19"/>
      <c r="M10515" s="19"/>
      <c r="N10515" s="19"/>
      <c r="O10515" s="14" t="str">
        <f>HYPERLINK("https://otsuka-europe-crm.veevavault.com/ui/#object/email_activity__v/V8C00000003V880", "EN-002096473")</f>
        <v>EN-002096473</v>
      </c>
    </row>
    <row r="10516" spans="1:15" ht="16" x14ac:dyDescent="0.2">
      <c r="A10516" s="17" t="str">
        <f>HYPERLINK("https://otsuka-europe-crm.veevavault.com/ui/#object/account__v/V4TZ0000062R854", "Shepper Lestrade")</f>
        <v>Shepper Lestrade</v>
      </c>
      <c r="B10516" s="17" t="str">
        <f>HYPERLINK("https://otsuka-europe-crm.veevavault.com/ui/#object/vcountry__v/VENZ000004SONFN", "CH")</f>
        <v>CH</v>
      </c>
      <c r="C10516" s="20" t="s">
        <v>45</v>
      </c>
      <c r="D10516" s="21" t="str">
        <f>HYPERLINK("https://otsuka-europe-crm.veevavault.com/ui/#object/approved_document__v/V5O00000001L017", "ALL_Flexibilität_Ferienplanung_2026_AA_fr")</f>
        <v>ALL_Flexibilität_Ferienplanung_2026_AA_fr</v>
      </c>
      <c r="E10516" s="22" t="str">
        <f>HYPERLINK("https://otsuka-europe-crm.veevavault.com/ui/#object/sent_email__v/VBL00000002U676", "SE-001436564")</f>
        <v>SE-001436564</v>
      </c>
      <c r="F10516" s="25"/>
      <c r="G10516" s="24">
        <v>0</v>
      </c>
      <c r="H10516" s="24">
        <v>0</v>
      </c>
      <c r="I10516" s="24">
        <v>0</v>
      </c>
      <c r="J10516" s="25"/>
      <c r="K10516" s="24">
        <v>0</v>
      </c>
      <c r="L10516" s="22" t="str">
        <f>HYPERLINK("https://otsuka-europe-crm.veevavault.com/ui/#object/approved_document__v/V5O00000001L017", "ALL_Flexibilität_Ferienplanung_2026_AA_fr")</f>
        <v>ALL_Flexibilität_Ferienplanung_2026_AA_fr</v>
      </c>
      <c r="M10516" s="22" t="str">
        <f>HYPERLINK("mailto:yvergari@crm.otsuka-europe.com", "yvergari@crm.otsuka-europe.com")</f>
        <v>yvergari@crm.otsuka-europe.com</v>
      </c>
      <c r="N10516" s="23">
        <v>46188.61041666667</v>
      </c>
      <c r="O10516" s="14" t="str">
        <f>HYPERLINK("https://otsuka-europe-crm.veevavault.com/ui/#object/email_activity__v/V8C00000003U927", "EN-002096836")</f>
        <v>EN-002096836</v>
      </c>
    </row>
    <row r="10517" spans="1:15" ht="16" x14ac:dyDescent="0.2">
      <c r="A10517" s="18"/>
      <c r="B10517" s="18"/>
      <c r="C10517" s="18"/>
      <c r="D10517" s="18"/>
      <c r="E10517" s="18"/>
      <c r="F10517" s="18"/>
      <c r="G10517" s="18"/>
      <c r="H10517" s="18"/>
      <c r="I10517" s="18"/>
      <c r="J10517" s="18"/>
      <c r="K10517" s="18"/>
      <c r="L10517" s="18"/>
      <c r="M10517" s="18"/>
      <c r="N10517" s="18"/>
      <c r="O10517" s="14" t="str">
        <f>HYPERLINK("https://otsuka-europe-crm.veevavault.com/ui/#object/email_activity__v/V8C00000003U943", "EN-002096873")</f>
        <v>EN-002096873</v>
      </c>
    </row>
    <row r="10518" spans="1:15" ht="16" x14ac:dyDescent="0.2">
      <c r="A10518" s="19"/>
      <c r="B10518" s="19"/>
      <c r="C10518" s="19"/>
      <c r="D10518" s="19"/>
      <c r="E10518" s="19"/>
      <c r="F10518" s="19"/>
      <c r="G10518" s="19"/>
      <c r="H10518" s="19"/>
      <c r="I10518" s="19"/>
      <c r="J10518" s="19"/>
      <c r="K10518" s="19"/>
      <c r="L10518" s="19"/>
      <c r="M10518" s="19"/>
      <c r="N10518" s="19"/>
      <c r="O10518" s="14" t="str">
        <f>HYPERLINK("https://otsuka-europe-crm.veevavault.com/ui/#object/email_activity__v/V8C00000003V758", "EN-002096323")</f>
        <v>EN-002096323</v>
      </c>
    </row>
    <row r="10519" spans="1:15" ht="32" x14ac:dyDescent="0.2">
      <c r="A10519" s="7" t="str">
        <f>HYPERLINK("https://otsuka-europe-crm.veevavault.com/ui/#object/account__v/V4TZ0000062R44X", "André Kuntz")</f>
        <v>André Kuntz</v>
      </c>
      <c r="B10519" s="7" t="str">
        <f>HYPERLINK("https://otsuka-europe-crm.veevavault.com/ui/#object/vcountry__v/VENZ000004SONFN", "CH")</f>
        <v>CH</v>
      </c>
      <c r="C10519" s="8" t="s">
        <v>45</v>
      </c>
      <c r="D10519" s="9" t="str">
        <f>HYPERLINK("https://otsuka-europe-crm.veevavault.com/ui/#object/approved_document__v/V5O00000001L017", "ALL_Flexibilität_Ferienplanung_2026_AA_fr")</f>
        <v>ALL_Flexibilität_Ferienplanung_2026_AA_fr</v>
      </c>
      <c r="E10519" s="10" t="str">
        <f>HYPERLINK("https://otsuka-europe-crm.veevavault.com/ui/#object/sent_email__v/VBL00000002U677", "SE-001436565")</f>
        <v>SE-001436565</v>
      </c>
      <c r="F10519" s="11"/>
      <c r="G10519" s="12">
        <v>0</v>
      </c>
      <c r="H10519" s="12">
        <v>0</v>
      </c>
      <c r="I10519" s="12">
        <v>0</v>
      </c>
      <c r="J10519" s="11"/>
      <c r="K10519" s="12">
        <v>0</v>
      </c>
      <c r="L10519" s="10" t="str">
        <f>HYPERLINK("https://otsuka-europe-crm.veevavault.com/ui/#object/approved_document__v/V5O00000001L017", "ALL_Flexibilität_Ferienplanung_2026_AA_fr")</f>
        <v>ALL_Flexibilität_Ferienplanung_2026_AA_fr</v>
      </c>
      <c r="M10519" s="10" t="str">
        <f>HYPERLINK("mailto:yvergari@crm.otsuka-europe.com", "yvergari@crm.otsuka-europe.com")</f>
        <v>yvergari@crm.otsuka-europe.com</v>
      </c>
      <c r="N10519" s="13">
        <v>46188.61041666667</v>
      </c>
      <c r="O10519" s="14" t="str">
        <f>HYPERLINK("https://otsuka-europe-crm.veevavault.com/ui/#object/email_activity__v/V8C00000003V760", "EN-002096325")</f>
        <v>EN-002096325</v>
      </c>
    </row>
    <row r="10520" spans="1:15" ht="32" x14ac:dyDescent="0.2">
      <c r="A10520" s="7" t="str">
        <f>HYPERLINK("https://otsuka-europe-crm.veevavault.com/ui/#object/account__v/V4TZ0000062SG3E", "Martin Preisig")</f>
        <v>Martin Preisig</v>
      </c>
      <c r="B10520" s="7" t="str">
        <f>HYPERLINK("https://otsuka-europe-crm.veevavault.com/ui/#object/vcountry__v/VENZ000004SONFN", "CH")</f>
        <v>CH</v>
      </c>
      <c r="C10520" s="8" t="s">
        <v>45</v>
      </c>
      <c r="D10520" s="9" t="str">
        <f>HYPERLINK("https://otsuka-europe-crm.veevavault.com/ui/#object/approved_document__v/V5O00000001L017", "ALL_Flexibilität_Ferienplanung_2026_AA_fr")</f>
        <v>ALL_Flexibilität_Ferienplanung_2026_AA_fr</v>
      </c>
      <c r="E10520" s="10" t="str">
        <f>HYPERLINK("https://otsuka-europe-crm.veevavault.com/ui/#object/sent_email__v/VBL00000002U678", "SE-001436566")</f>
        <v>SE-001436566</v>
      </c>
      <c r="F10520" s="11"/>
      <c r="G10520" s="12">
        <v>0</v>
      </c>
      <c r="H10520" s="12">
        <v>0</v>
      </c>
      <c r="I10520" s="12">
        <v>0</v>
      </c>
      <c r="J10520" s="11"/>
      <c r="K10520" s="12">
        <v>0</v>
      </c>
      <c r="L10520" s="10" t="str">
        <f>HYPERLINK("https://otsuka-europe-crm.veevavault.com/ui/#object/approved_document__v/V5O00000001L017", "ALL_Flexibilität_Ferienplanung_2026_AA_fr")</f>
        <v>ALL_Flexibilität_Ferienplanung_2026_AA_fr</v>
      </c>
      <c r="M10520" s="10" t="str">
        <f>HYPERLINK("mailto:yvergari@crm.otsuka-europe.com", "yvergari@crm.otsuka-europe.com")</f>
        <v>yvergari@crm.otsuka-europe.com</v>
      </c>
      <c r="N10520" s="13">
        <v>46188.61041666667</v>
      </c>
      <c r="O10520" s="14" t="str">
        <f>HYPERLINK("https://otsuka-europe-crm.veevavault.com/ui/#object/email_activity__v/V8C00000003V824", "EN-002096389")</f>
        <v>EN-002096389</v>
      </c>
    </row>
    <row r="10521" spans="1:15" ht="32" x14ac:dyDescent="0.2">
      <c r="A10521" s="7" t="str">
        <f>HYPERLINK("https://otsuka-europe-crm.veevavault.com/ui/#object/account__v/V4TZ025E83MZG51", "Lorena Mackinnon Lacasa")</f>
        <v>Lorena Mackinnon Lacasa</v>
      </c>
      <c r="B10521" s="7" t="str">
        <f>HYPERLINK("https://otsuka-europe-crm.veevavault.com/ui/#object/vcountry__v/VENZ000004SONFN", "CH")</f>
        <v>CH</v>
      </c>
      <c r="C10521" s="8" t="s">
        <v>45</v>
      </c>
      <c r="D10521" s="9" t="str">
        <f>HYPERLINK("https://otsuka-europe-crm.veevavault.com/ui/#object/approved_document__v/V5O00000001L017", "ALL_Flexibilität_Ferienplanung_2026_AA_fr")</f>
        <v>ALL_Flexibilität_Ferienplanung_2026_AA_fr</v>
      </c>
      <c r="E10521" s="10" t="str">
        <f>HYPERLINK("https://otsuka-europe-crm.veevavault.com/ui/#object/sent_email__v/VBL00000002U679", "SE-001436567")</f>
        <v>SE-001436567</v>
      </c>
      <c r="F10521" s="11"/>
      <c r="G10521" s="12">
        <v>0</v>
      </c>
      <c r="H10521" s="12">
        <v>0</v>
      </c>
      <c r="I10521" s="12">
        <v>0</v>
      </c>
      <c r="J10521" s="11"/>
      <c r="K10521" s="12">
        <v>0</v>
      </c>
      <c r="L10521" s="10" t="str">
        <f>HYPERLINK("https://otsuka-europe-crm.veevavault.com/ui/#object/approved_document__v/V5O00000001L017", "ALL_Flexibilität_Ferienplanung_2026_AA_fr")</f>
        <v>ALL_Flexibilität_Ferienplanung_2026_AA_fr</v>
      </c>
      <c r="M10521" s="10" t="str">
        <f>HYPERLINK("mailto:yvergari@crm.otsuka-europe.com", "yvergari@crm.otsuka-europe.com")</f>
        <v>yvergari@crm.otsuka-europe.com</v>
      </c>
      <c r="N10521" s="13">
        <v>46188.61041666667</v>
      </c>
      <c r="O10521" s="14" t="str">
        <f>HYPERLINK("https://otsuka-europe-crm.veevavault.com/ui/#object/email_activity__v/V8C00000003V793", "EN-002096358")</f>
        <v>EN-002096358</v>
      </c>
    </row>
    <row r="10522" spans="1:15" ht="16" x14ac:dyDescent="0.2">
      <c r="A10522" s="17" t="str">
        <f>HYPERLINK("https://otsuka-europe-crm.veevavault.com/ui/#object/account__v/V4TZ0000062RL8G", "Ivan Moldovan")</f>
        <v>Ivan Moldovan</v>
      </c>
      <c r="B10522" s="17" t="str">
        <f>HYPERLINK("https://otsuka-europe-crm.veevavault.com/ui/#object/vcountry__v/VENZ000004SONFN", "CH")</f>
        <v>CH</v>
      </c>
      <c r="C10522" s="20" t="s">
        <v>45</v>
      </c>
      <c r="D10522" s="21" t="str">
        <f>HYPERLINK("https://otsuka-europe-crm.veevavault.com/ui/#object/approved_document__v/V5O00000001L017", "ALL_Flexibilität_Ferienplanung_2026_AA_fr")</f>
        <v>ALL_Flexibilität_Ferienplanung_2026_AA_fr</v>
      </c>
      <c r="E10522" s="22" t="str">
        <f>HYPERLINK("https://otsuka-europe-crm.veevavault.com/ui/#object/sent_email__v/VBL00000002U680", "SE-001436568")</f>
        <v>SE-001436568</v>
      </c>
      <c r="F10522" s="23">
        <v>46189.578101851854</v>
      </c>
      <c r="G10522" s="24">
        <v>1</v>
      </c>
      <c r="H10522" s="24">
        <v>2</v>
      </c>
      <c r="I10522" s="24">
        <v>0</v>
      </c>
      <c r="J10522" s="25"/>
      <c r="K10522" s="24">
        <v>0</v>
      </c>
      <c r="L10522" s="22" t="str">
        <f>HYPERLINK("https://otsuka-europe-crm.veevavault.com/ui/#object/approved_document__v/V5O00000001L017", "ALL_Flexibilität_Ferienplanung_2026_AA_fr")</f>
        <v>ALL_Flexibilität_Ferienplanung_2026_AA_fr</v>
      </c>
      <c r="M10522" s="22" t="str">
        <f>HYPERLINK("mailto:yvergari@crm.otsuka-europe.com", "yvergari@crm.otsuka-europe.com")</f>
        <v>yvergari@crm.otsuka-europe.com</v>
      </c>
      <c r="N10522" s="23">
        <v>46188.61041666667</v>
      </c>
      <c r="O10522" s="14" t="str">
        <f>HYPERLINK("https://otsuka-europe-crm.veevavault.com/ui/#object/email_activity__v/V8C00000003V816", "EN-002096381")</f>
        <v>EN-002096381</v>
      </c>
    </row>
    <row r="10523" spans="1:15" ht="16" x14ac:dyDescent="0.2">
      <c r="A10523" s="18"/>
      <c r="B10523" s="18"/>
      <c r="C10523" s="18"/>
      <c r="D10523" s="18"/>
      <c r="E10523" s="18"/>
      <c r="F10523" s="18"/>
      <c r="G10523" s="18"/>
      <c r="H10523" s="18"/>
      <c r="I10523" s="18"/>
      <c r="J10523" s="18"/>
      <c r="K10523" s="18"/>
      <c r="L10523" s="18"/>
      <c r="M10523" s="18"/>
      <c r="N10523" s="18"/>
      <c r="O10523" s="14" t="str">
        <f>HYPERLINK("https://otsuka-europe-crm.veevavault.com/ui/#object/email_activity__v/V8C00000003W236", "EN-002097201")</f>
        <v>EN-002097201</v>
      </c>
    </row>
    <row r="10524" spans="1:15" ht="16" x14ac:dyDescent="0.2">
      <c r="A10524" s="19"/>
      <c r="B10524" s="19"/>
      <c r="C10524" s="19"/>
      <c r="D10524" s="19"/>
      <c r="E10524" s="19"/>
      <c r="F10524" s="19"/>
      <c r="G10524" s="19"/>
      <c r="H10524" s="19"/>
      <c r="I10524" s="19"/>
      <c r="J10524" s="19"/>
      <c r="K10524" s="19"/>
      <c r="L10524" s="19"/>
      <c r="M10524" s="19"/>
      <c r="N10524" s="19"/>
      <c r="O10524" s="14" t="str">
        <f>HYPERLINK("https://otsuka-europe-crm.veevavault.com/ui/#object/email_activity__v/V8C00000003W237", "EN-002097202")</f>
        <v>EN-002097202</v>
      </c>
    </row>
    <row r="10525" spans="1:15" ht="32" x14ac:dyDescent="0.2">
      <c r="A10525" s="7" t="str">
        <f>HYPERLINK("https://otsuka-europe-crm.veevavault.com/ui/#object/account__v/V4TZ0000062SBNG", "Dominique Papillon")</f>
        <v>Dominique Papillon</v>
      </c>
      <c r="B10525" s="7" t="str">
        <f>HYPERLINK("https://otsuka-europe-crm.veevavault.com/ui/#object/vcountry__v/VENZ000004SONFN", "CH")</f>
        <v>CH</v>
      </c>
      <c r="C10525" s="8" t="s">
        <v>45</v>
      </c>
      <c r="D10525" s="9" t="str">
        <f>HYPERLINK("https://otsuka-europe-crm.veevavault.com/ui/#object/approved_document__v/V5O00000001L017", "ALL_Flexibilität_Ferienplanung_2026_AA_fr")</f>
        <v>ALL_Flexibilität_Ferienplanung_2026_AA_fr</v>
      </c>
      <c r="E10525" s="10" t="str">
        <f>HYPERLINK("https://otsuka-europe-crm.veevavault.com/ui/#object/sent_email__v/VBL00000002U681", "SE-001436569")</f>
        <v>SE-001436569</v>
      </c>
      <c r="F10525" s="11"/>
      <c r="G10525" s="12">
        <v>0</v>
      </c>
      <c r="H10525" s="12">
        <v>0</v>
      </c>
      <c r="I10525" s="12">
        <v>0</v>
      </c>
      <c r="J10525" s="11"/>
      <c r="K10525" s="12">
        <v>0</v>
      </c>
      <c r="L10525" s="10" t="str">
        <f>HYPERLINK("https://otsuka-europe-crm.veevavault.com/ui/#object/approved_document__v/V5O00000001L017", "ALL_Flexibilität_Ferienplanung_2026_AA_fr")</f>
        <v>ALL_Flexibilität_Ferienplanung_2026_AA_fr</v>
      </c>
      <c r="M10525" s="10" t="str">
        <f>HYPERLINK("mailto:yvergari@crm.otsuka-europe.com", "yvergari@crm.otsuka-europe.com")</f>
        <v>yvergari@crm.otsuka-europe.com</v>
      </c>
      <c r="N10525" s="13">
        <v>46188.610439814816</v>
      </c>
      <c r="O10525" s="14" t="str">
        <f>HYPERLINK("https://otsuka-europe-crm.veevavault.com/ui/#object/email_activity__v/V8C00000003V796", "EN-002096361")</f>
        <v>EN-002096361</v>
      </c>
    </row>
    <row r="10526" spans="1:15" ht="16" x14ac:dyDescent="0.2">
      <c r="A10526" s="17" t="str">
        <f>HYPERLINK("https://otsuka-europe-crm.veevavault.com/ui/#object/account__v/V4TZ025E83YYHYN", "Antimo Natale")</f>
        <v>Antimo Natale</v>
      </c>
      <c r="B10526" s="17" t="str">
        <f>HYPERLINK("https://otsuka-europe-crm.veevavault.com/ui/#object/vcountry__v/VENZ000004SONFN", "CH")</f>
        <v>CH</v>
      </c>
      <c r="C10526" s="20" t="s">
        <v>45</v>
      </c>
      <c r="D10526" s="21" t="str">
        <f>HYPERLINK("https://otsuka-europe-crm.veevavault.com/ui/#object/approved_document__v/V5O00000001L017", "ALL_Flexibilität_Ferienplanung_2026_AA_fr")</f>
        <v>ALL_Flexibilität_Ferienplanung_2026_AA_fr</v>
      </c>
      <c r="E10526" s="22" t="str">
        <f>HYPERLINK("https://otsuka-europe-crm.veevavault.com/ui/#object/sent_email__v/VBL00000002U682", "SE-001436570")</f>
        <v>SE-001436570</v>
      </c>
      <c r="F10526" s="23">
        <v>46188.620081018518</v>
      </c>
      <c r="G10526" s="24">
        <v>1</v>
      </c>
      <c r="H10526" s="24">
        <v>2</v>
      </c>
      <c r="I10526" s="24">
        <v>0</v>
      </c>
      <c r="J10526" s="25"/>
      <c r="K10526" s="24">
        <v>0</v>
      </c>
      <c r="L10526" s="22" t="str">
        <f>HYPERLINK("https://otsuka-europe-crm.veevavault.com/ui/#object/approved_document__v/V5O00000001L017", "ALL_Flexibilität_Ferienplanung_2026_AA_fr")</f>
        <v>ALL_Flexibilität_Ferienplanung_2026_AA_fr</v>
      </c>
      <c r="M10526" s="22" t="str">
        <f>HYPERLINK("mailto:yvergari@crm.otsuka-europe.com", "yvergari@crm.otsuka-europe.com")</f>
        <v>yvergari@crm.otsuka-europe.com</v>
      </c>
      <c r="N10526" s="23">
        <v>46188.610439814816</v>
      </c>
      <c r="O10526" s="14" t="str">
        <f>HYPERLINK("https://otsuka-europe-crm.veevavault.com/ui/#object/email_activity__v/V8C00000003U756", "EN-002096400")</f>
        <v>EN-002096400</v>
      </c>
    </row>
    <row r="10527" spans="1:15" ht="16" x14ac:dyDescent="0.2">
      <c r="A10527" s="18"/>
      <c r="B10527" s="18"/>
      <c r="C10527" s="18"/>
      <c r="D10527" s="18"/>
      <c r="E10527" s="18"/>
      <c r="F10527" s="18"/>
      <c r="G10527" s="18"/>
      <c r="H10527" s="18"/>
      <c r="I10527" s="18"/>
      <c r="J10527" s="18"/>
      <c r="K10527" s="18"/>
      <c r="L10527" s="18"/>
      <c r="M10527" s="18"/>
      <c r="N10527" s="18"/>
      <c r="O10527" s="14" t="str">
        <f>HYPERLINK("https://otsuka-europe-crm.veevavault.com/ui/#object/email_activity__v/V8C00000003V808", "EN-002096373")</f>
        <v>EN-002096373</v>
      </c>
    </row>
    <row r="10528" spans="1:15" ht="16" x14ac:dyDescent="0.2">
      <c r="A10528" s="19"/>
      <c r="B10528" s="19"/>
      <c r="C10528" s="19"/>
      <c r="D10528" s="19"/>
      <c r="E10528" s="19"/>
      <c r="F10528" s="19"/>
      <c r="G10528" s="19"/>
      <c r="H10528" s="19"/>
      <c r="I10528" s="19"/>
      <c r="J10528" s="19"/>
      <c r="K10528" s="19"/>
      <c r="L10528" s="19"/>
      <c r="M10528" s="19"/>
      <c r="N10528" s="19"/>
      <c r="O10528" s="14" t="str">
        <f>HYPERLINK("https://otsuka-europe-crm.veevavault.com/ui/#object/email_activity__v/V8C00000003V831", "EN-002096401")</f>
        <v>EN-002096401</v>
      </c>
    </row>
    <row r="10529" spans="1:15" ht="32" x14ac:dyDescent="0.2">
      <c r="A10529" s="7" t="str">
        <f>HYPERLINK("https://otsuka-europe-crm.veevavault.com/ui/#object/account__v/V4TZ025E87BL961", "Sabrina Naseem")</f>
        <v>Sabrina Naseem</v>
      </c>
      <c r="B10529" s="7" t="str">
        <f>HYPERLINK("https://otsuka-europe-crm.veevavault.com/ui/#object/vcountry__v/VENZ000004SONFN", "CH")</f>
        <v>CH</v>
      </c>
      <c r="C10529" s="8" t="s">
        <v>45</v>
      </c>
      <c r="D10529" s="9" t="str">
        <f>HYPERLINK("https://otsuka-europe-crm.veevavault.com/ui/#object/approved_document__v/V5O00000001L017", "ALL_Flexibilität_Ferienplanung_2026_AA_fr")</f>
        <v>ALL_Flexibilität_Ferienplanung_2026_AA_fr</v>
      </c>
      <c r="E10529" s="10" t="str">
        <f>HYPERLINK("https://otsuka-europe-crm.veevavault.com/ui/#object/sent_email__v/VBL00000002U683", "SE-001436571")</f>
        <v>SE-001436571</v>
      </c>
      <c r="F10529" s="11"/>
      <c r="G10529" s="12">
        <v>0</v>
      </c>
      <c r="H10529" s="12">
        <v>0</v>
      </c>
      <c r="I10529" s="12">
        <v>0</v>
      </c>
      <c r="J10529" s="11"/>
      <c r="K10529" s="12">
        <v>0</v>
      </c>
      <c r="L10529" s="10" t="str">
        <f>HYPERLINK("https://otsuka-europe-crm.veevavault.com/ui/#object/approved_document__v/V5O00000001L017", "ALL_Flexibilität_Ferienplanung_2026_AA_fr")</f>
        <v>ALL_Flexibilität_Ferienplanung_2026_AA_fr</v>
      </c>
      <c r="M10529" s="10" t="str">
        <f>HYPERLINK("mailto:yvergari@crm.otsuka-europe.com", "yvergari@crm.otsuka-europe.com")</f>
        <v>yvergari@crm.otsuka-europe.com</v>
      </c>
      <c r="N10529" s="13">
        <v>46188.610439814816</v>
      </c>
      <c r="O10529" s="14" t="str">
        <f>HYPERLINK("https://otsuka-europe-crm.veevavault.com/ui/#object/email_activity__v/V8C00000003V798", "EN-002096363")</f>
        <v>EN-002096363</v>
      </c>
    </row>
    <row r="10530" spans="1:15" ht="16" x14ac:dyDescent="0.2">
      <c r="A10530" s="17" t="str">
        <f>HYPERLINK("https://otsuka-europe-crm.veevavault.com/ui/#object/account__v/V4TZ06G6O9VDGA3", "Greta Poglia Zoccatelli")</f>
        <v>Greta Poglia Zoccatelli</v>
      </c>
      <c r="B10530" s="17" t="str">
        <f>HYPERLINK("https://otsuka-europe-crm.veevavault.com/ui/#object/vcountry__v/VENZ000004SONFN", "CH")</f>
        <v>CH</v>
      </c>
      <c r="C10530" s="20" t="s">
        <v>45</v>
      </c>
      <c r="D10530" s="21" t="str">
        <f>HYPERLINK("https://otsuka-europe-crm.veevavault.com/ui/#object/approved_document__v/V5O00000001L017", "ALL_Flexibilität_Ferienplanung_2026_AA_fr")</f>
        <v>ALL_Flexibilität_Ferienplanung_2026_AA_fr</v>
      </c>
      <c r="E10530" s="22" t="str">
        <f>HYPERLINK("https://otsuka-europe-crm.veevavault.com/ui/#object/sent_email__v/VBL00000002U684", "SE-001436572")</f>
        <v>SE-001436572</v>
      </c>
      <c r="F10530" s="25"/>
      <c r="G10530" s="24">
        <v>0</v>
      </c>
      <c r="H10530" s="24">
        <v>0</v>
      </c>
      <c r="I10530" s="24">
        <v>0</v>
      </c>
      <c r="J10530" s="25"/>
      <c r="K10530" s="24">
        <v>0</v>
      </c>
      <c r="L10530" s="22" t="str">
        <f>HYPERLINK("https://otsuka-europe-crm.veevavault.com/ui/#object/approved_document__v/V5O00000001L017", "ALL_Flexibilität_Ferienplanung_2026_AA_fr")</f>
        <v>ALL_Flexibilität_Ferienplanung_2026_AA_fr</v>
      </c>
      <c r="M10530" s="22" t="str">
        <f>HYPERLINK("mailto:yvergari@crm.otsuka-europe.com", "yvergari@crm.otsuka-europe.com")</f>
        <v>yvergari@crm.otsuka-europe.com</v>
      </c>
      <c r="N10530" s="23">
        <v>46188.610439814816</v>
      </c>
      <c r="O10530" s="14" t="str">
        <f>HYPERLINK("https://otsuka-europe-crm.veevavault.com/ui/#object/email_activity__v/V8C00000003V783", "EN-002096348")</f>
        <v>EN-002096348</v>
      </c>
    </row>
    <row r="10531" spans="1:15" ht="16" x14ac:dyDescent="0.2">
      <c r="A10531" s="19"/>
      <c r="B10531" s="19"/>
      <c r="C10531" s="19"/>
      <c r="D10531" s="19"/>
      <c r="E10531" s="19"/>
      <c r="F10531" s="19"/>
      <c r="G10531" s="19"/>
      <c r="H10531" s="19"/>
      <c r="I10531" s="19"/>
      <c r="J10531" s="19"/>
      <c r="K10531" s="19"/>
      <c r="L10531" s="19"/>
      <c r="M10531" s="19"/>
      <c r="N10531" s="19"/>
      <c r="O10531" s="14" t="str">
        <f>HYPERLINK("https://otsuka-europe-crm.veevavault.com/ui/#object/email_activity__v/V8C00000003W096", "EN-002096835")</f>
        <v>EN-002096835</v>
      </c>
    </row>
    <row r="10532" spans="1:15" ht="16" x14ac:dyDescent="0.2">
      <c r="A10532" s="17" t="str">
        <f>HYPERLINK("https://otsuka-europe-crm.veevavault.com/ui/#object/account__v/V4TZ0000062S8K7", "Baya Pégard-Laroussi")</f>
        <v>Baya Pégard-Laroussi</v>
      </c>
      <c r="B10532" s="17" t="str">
        <f>HYPERLINK("https://otsuka-europe-crm.veevavault.com/ui/#object/vcountry__v/VENZ000004SONFN", "CH")</f>
        <v>CH</v>
      </c>
      <c r="C10532" s="20" t="s">
        <v>45</v>
      </c>
      <c r="D10532" s="21" t="str">
        <f>HYPERLINK("https://otsuka-europe-crm.veevavault.com/ui/#object/approved_document__v/V5O00000001L017", "ALL_Flexibilität_Ferienplanung_2026_AA_fr")</f>
        <v>ALL_Flexibilität_Ferienplanung_2026_AA_fr</v>
      </c>
      <c r="E10532" s="22" t="str">
        <f>HYPERLINK("https://otsuka-europe-crm.veevavault.com/ui/#object/sent_email__v/VBL00000002U685", "SE-001436573")</f>
        <v>SE-001436573</v>
      </c>
      <c r="F10532" s="25"/>
      <c r="G10532" s="24">
        <v>0</v>
      </c>
      <c r="H10532" s="24">
        <v>0</v>
      </c>
      <c r="I10532" s="24">
        <v>0</v>
      </c>
      <c r="J10532" s="25"/>
      <c r="K10532" s="24">
        <v>0</v>
      </c>
      <c r="L10532" s="22" t="str">
        <f>HYPERLINK("https://otsuka-europe-crm.veevavault.com/ui/#object/approved_document__v/V5O00000001L017", "ALL_Flexibilität_Ferienplanung_2026_AA_fr")</f>
        <v>ALL_Flexibilität_Ferienplanung_2026_AA_fr</v>
      </c>
      <c r="M10532" s="22" t="str">
        <f>HYPERLINK("mailto:yvergari@crm.otsuka-europe.com", "yvergari@crm.otsuka-europe.com")</f>
        <v>yvergari@crm.otsuka-europe.com</v>
      </c>
      <c r="N10532" s="23">
        <v>46188.610439814816</v>
      </c>
      <c r="O10532" s="14" t="str">
        <f>HYPERLINK("https://otsuka-europe-crm.veevavault.com/ui/#object/email_activity__v/V8C00000003U781", "EN-002096477")</f>
        <v>EN-002096477</v>
      </c>
    </row>
    <row r="10533" spans="1:15" ht="16" x14ac:dyDescent="0.2">
      <c r="A10533" s="19"/>
      <c r="B10533" s="19"/>
      <c r="C10533" s="19"/>
      <c r="D10533" s="19"/>
      <c r="E10533" s="19"/>
      <c r="F10533" s="19"/>
      <c r="G10533" s="19"/>
      <c r="H10533" s="19"/>
      <c r="I10533" s="19"/>
      <c r="J10533" s="19"/>
      <c r="K10533" s="19"/>
      <c r="L10533" s="19"/>
      <c r="M10533" s="19"/>
      <c r="N10533" s="19"/>
      <c r="O10533" s="14" t="str">
        <f>HYPERLINK("https://otsuka-europe-crm.veevavault.com/ui/#object/email_activity__v/V8C00000003V788", "EN-002096353")</f>
        <v>EN-002096353</v>
      </c>
    </row>
    <row r="10534" spans="1:15" ht="32" x14ac:dyDescent="0.2">
      <c r="A10534" s="7" t="str">
        <f>HYPERLINK("https://otsuka-europe-crm.veevavault.com/ui/#object/account__v/V4TZ0000062SBNO", "Laslo Pataki")</f>
        <v>Laslo Pataki</v>
      </c>
      <c r="B10534" s="7" t="str">
        <f>HYPERLINK("https://otsuka-europe-crm.veevavault.com/ui/#object/vcountry__v/VENZ000004SONFN", "CH")</f>
        <v>CH</v>
      </c>
      <c r="C10534" s="8" t="s">
        <v>45</v>
      </c>
      <c r="D10534" s="9" t="str">
        <f>HYPERLINK("https://otsuka-europe-crm.veevavault.com/ui/#object/approved_document__v/V5O00000001L017", "ALL_Flexibilität_Ferienplanung_2026_AA_fr")</f>
        <v>ALL_Flexibilität_Ferienplanung_2026_AA_fr</v>
      </c>
      <c r="E10534" s="10" t="str">
        <f>HYPERLINK("https://otsuka-europe-crm.veevavault.com/ui/#object/sent_email__v/VBL00000002U686", "SE-001436574")</f>
        <v>SE-001436574</v>
      </c>
      <c r="F10534" s="11"/>
      <c r="G10534" s="12">
        <v>0</v>
      </c>
      <c r="H10534" s="12">
        <v>0</v>
      </c>
      <c r="I10534" s="12">
        <v>0</v>
      </c>
      <c r="J10534" s="11"/>
      <c r="K10534" s="12">
        <v>0</v>
      </c>
      <c r="L10534" s="10" t="str">
        <f>HYPERLINK("https://otsuka-europe-crm.veevavault.com/ui/#object/approved_document__v/V5O00000001L017", "ALL_Flexibilität_Ferienplanung_2026_AA_fr")</f>
        <v>ALL_Flexibilität_Ferienplanung_2026_AA_fr</v>
      </c>
      <c r="M10534" s="10" t="str">
        <f>HYPERLINK("mailto:yvergari@crm.otsuka-europe.com", "yvergari@crm.otsuka-europe.com")</f>
        <v>yvergari@crm.otsuka-europe.com</v>
      </c>
      <c r="N10534" s="13">
        <v>46188.610439814816</v>
      </c>
      <c r="O10534" s="14" t="str">
        <f>HYPERLINK("https://otsuka-europe-crm.veevavault.com/ui/#object/email_activity__v/V8C00000003V813", "EN-002096378")</f>
        <v>EN-002096378</v>
      </c>
    </row>
    <row r="10535" spans="1:15" ht="32" x14ac:dyDescent="0.2">
      <c r="A10535" s="7" t="str">
        <f>HYPERLINK("https://otsuka-europe-crm.veevavault.com/ui/#object/account__v/V4TZ0000062SG3O", "Constantin Protoulis")</f>
        <v>Constantin Protoulis</v>
      </c>
      <c r="B10535" s="7" t="str">
        <f>HYPERLINK("https://otsuka-europe-crm.veevavault.com/ui/#object/vcountry__v/VENZ000004SONFN", "CH")</f>
        <v>CH</v>
      </c>
      <c r="C10535" s="8" t="s">
        <v>45</v>
      </c>
      <c r="D10535" s="9" t="str">
        <f>HYPERLINK("https://otsuka-europe-crm.veevavault.com/ui/#object/approved_document__v/V5O00000001L017", "ALL_Flexibilität_Ferienplanung_2026_AA_fr")</f>
        <v>ALL_Flexibilität_Ferienplanung_2026_AA_fr</v>
      </c>
      <c r="E10535" s="10" t="str">
        <f>HYPERLINK("https://otsuka-europe-crm.veevavault.com/ui/#object/sent_email__v/VBL00000002U687", "SE-001436575")</f>
        <v>SE-001436575</v>
      </c>
      <c r="F10535" s="11"/>
      <c r="G10535" s="12">
        <v>0</v>
      </c>
      <c r="H10535" s="12">
        <v>0</v>
      </c>
      <c r="I10535" s="12">
        <v>0</v>
      </c>
      <c r="J10535" s="11"/>
      <c r="K10535" s="12">
        <v>0</v>
      </c>
      <c r="L10535" s="10" t="str">
        <f>HYPERLINK("https://otsuka-europe-crm.veevavault.com/ui/#object/approved_document__v/V5O00000001L017", "ALL_Flexibilität_Ferienplanung_2026_AA_fr")</f>
        <v>ALL_Flexibilität_Ferienplanung_2026_AA_fr</v>
      </c>
      <c r="M10535" s="10" t="str">
        <f>HYPERLINK("mailto:yvergari@crm.otsuka-europe.com", "yvergari@crm.otsuka-europe.com")</f>
        <v>yvergari@crm.otsuka-europe.com</v>
      </c>
      <c r="N10535" s="13">
        <v>46188.610439814816</v>
      </c>
      <c r="O10535" s="14" t="str">
        <f>HYPERLINK("https://otsuka-europe-crm.veevavault.com/ui/#object/email_activity__v/V8C00000003V761", "EN-002096326")</f>
        <v>EN-002096326</v>
      </c>
    </row>
    <row r="10536" spans="1:15" ht="32" x14ac:dyDescent="0.2">
      <c r="A10536" s="7" t="str">
        <f>HYPERLINK("https://otsuka-europe-crm.veevavault.com/ui/#object/account__v/V4TZ025E83YZ3HL", "Silvia Monari")</f>
        <v>Silvia Monari</v>
      </c>
      <c r="B10536" s="7" t="str">
        <f>HYPERLINK("https://otsuka-europe-crm.veevavault.com/ui/#object/vcountry__v/VENZ000004SONFN", "CH")</f>
        <v>CH</v>
      </c>
      <c r="C10536" s="8" t="s">
        <v>45</v>
      </c>
      <c r="D10536" s="9" t="str">
        <f>HYPERLINK("https://otsuka-europe-crm.veevavault.com/ui/#object/approved_document__v/V5O00000001L017", "ALL_Flexibilität_Ferienplanung_2026_AA_fr")</f>
        <v>ALL_Flexibilität_Ferienplanung_2026_AA_fr</v>
      </c>
      <c r="E10536" s="10" t="str">
        <f>HYPERLINK("https://otsuka-europe-crm.veevavault.com/ui/#object/sent_email__v/VBL00000002U688", "SE-001436576")</f>
        <v>SE-001436576</v>
      </c>
      <c r="F10536" s="11"/>
      <c r="G10536" s="12">
        <v>0</v>
      </c>
      <c r="H10536" s="12">
        <v>0</v>
      </c>
      <c r="I10536" s="12">
        <v>0</v>
      </c>
      <c r="J10536" s="11"/>
      <c r="K10536" s="12">
        <v>0</v>
      </c>
      <c r="L10536" s="10" t="str">
        <f>HYPERLINK("https://otsuka-europe-crm.veevavault.com/ui/#object/approved_document__v/V5O00000001L017", "ALL_Flexibilität_Ferienplanung_2026_AA_fr")</f>
        <v>ALL_Flexibilität_Ferienplanung_2026_AA_fr</v>
      </c>
      <c r="M10536" s="10" t="str">
        <f>HYPERLINK("mailto:yvergari@crm.otsuka-europe.com", "yvergari@crm.otsuka-europe.com")</f>
        <v>yvergari@crm.otsuka-europe.com</v>
      </c>
      <c r="N10536" s="13">
        <v>46188.610474537039</v>
      </c>
      <c r="O10536" s="14" t="str">
        <f>HYPERLINK("https://otsuka-europe-crm.veevavault.com/ui/#object/email_activity__v/V8C00000003V772", "EN-002096337")</f>
        <v>EN-002096337</v>
      </c>
    </row>
    <row r="10537" spans="1:15" ht="16" x14ac:dyDescent="0.2">
      <c r="A10537" s="17" t="str">
        <f>HYPERLINK("https://otsuka-europe-crm.veevavault.com/ui/#object/account__v/V4TZ025E87BL95W", "Petru-Ioan Pascalau")</f>
        <v>Petru-Ioan Pascalau</v>
      </c>
      <c r="B10537" s="17" t="str">
        <f>HYPERLINK("https://otsuka-europe-crm.veevavault.com/ui/#object/vcountry__v/VENZ000004SONFN", "CH")</f>
        <v>CH</v>
      </c>
      <c r="C10537" s="20" t="s">
        <v>45</v>
      </c>
      <c r="D10537" s="21" t="str">
        <f>HYPERLINK("https://otsuka-europe-crm.veevavault.com/ui/#object/approved_document__v/V5O00000001L017", "ALL_Flexibilität_Ferienplanung_2026_AA_fr")</f>
        <v>ALL_Flexibilität_Ferienplanung_2026_AA_fr</v>
      </c>
      <c r="E10537" s="22" t="str">
        <f>HYPERLINK("https://otsuka-europe-crm.veevavault.com/ui/#object/sent_email__v/VBL00000002U689", "SE-001436577")</f>
        <v>SE-001436577</v>
      </c>
      <c r="F10537" s="23">
        <v>46188.680081018516</v>
      </c>
      <c r="G10537" s="24">
        <v>1</v>
      </c>
      <c r="H10537" s="24">
        <v>1</v>
      </c>
      <c r="I10537" s="24">
        <v>0</v>
      </c>
      <c r="J10537" s="25"/>
      <c r="K10537" s="24">
        <v>0</v>
      </c>
      <c r="L10537" s="22" t="str">
        <f>HYPERLINK("https://otsuka-europe-crm.veevavault.com/ui/#object/approved_document__v/V5O00000001L017", "ALL_Flexibilität_Ferienplanung_2026_AA_fr")</f>
        <v>ALL_Flexibilität_Ferienplanung_2026_AA_fr</v>
      </c>
      <c r="M10537" s="22" t="str">
        <f>HYPERLINK("mailto:yvergari@crm.otsuka-europe.com", "yvergari@crm.otsuka-europe.com")</f>
        <v>yvergari@crm.otsuka-europe.com</v>
      </c>
      <c r="N10537" s="23">
        <v>46188.610439814816</v>
      </c>
      <c r="O10537" s="14" t="str">
        <f>HYPERLINK("https://otsuka-europe-crm.veevavault.com/ui/#object/email_activity__v/V8C00000003V841", "EN-002096411")</f>
        <v>EN-002096411</v>
      </c>
    </row>
    <row r="10538" spans="1:15" ht="16" x14ac:dyDescent="0.2">
      <c r="A10538" s="19"/>
      <c r="B10538" s="19"/>
      <c r="C10538" s="19"/>
      <c r="D10538" s="19"/>
      <c r="E10538" s="19"/>
      <c r="F10538" s="19"/>
      <c r="G10538" s="19"/>
      <c r="H10538" s="19"/>
      <c r="I10538" s="19"/>
      <c r="J10538" s="19"/>
      <c r="K10538" s="19"/>
      <c r="L10538" s="19"/>
      <c r="M10538" s="19"/>
      <c r="N10538" s="19"/>
      <c r="O10538" s="14" t="str">
        <f>HYPERLINK("https://otsuka-europe-crm.veevavault.com/ui/#object/email_activity__v/V8C00000003V876", "EN-002096467")</f>
        <v>EN-002096467</v>
      </c>
    </row>
    <row r="10539" spans="1:15" ht="32" x14ac:dyDescent="0.2">
      <c r="A10539" s="7" t="str">
        <f>HYPERLINK("https://otsuka-europe-crm.veevavault.com/ui/#object/account__v/V4TZ025E87BL95V", "Serge Louis Mertens de Wilmars")</f>
        <v>Serge Louis Mertens de Wilmars</v>
      </c>
      <c r="B10539" s="7" t="str">
        <f>HYPERLINK("https://otsuka-europe-crm.veevavault.com/ui/#object/vcountry__v/VENZ000004SONFN", "CH")</f>
        <v>CH</v>
      </c>
      <c r="C10539" s="8" t="s">
        <v>45</v>
      </c>
      <c r="D10539" s="9" t="str">
        <f>HYPERLINK("https://otsuka-europe-crm.veevavault.com/ui/#object/approved_document__v/V5O00000001L017", "ALL_Flexibilität_Ferienplanung_2026_AA_fr")</f>
        <v>ALL_Flexibilität_Ferienplanung_2026_AA_fr</v>
      </c>
      <c r="E10539" s="10" t="str">
        <f>HYPERLINK("https://otsuka-europe-crm.veevavault.com/ui/#object/sent_email__v/VBL00000002U690", "SE-001436578")</f>
        <v>SE-001436578</v>
      </c>
      <c r="F10539" s="11"/>
      <c r="G10539" s="12">
        <v>0</v>
      </c>
      <c r="H10539" s="12">
        <v>0</v>
      </c>
      <c r="I10539" s="12">
        <v>0</v>
      </c>
      <c r="J10539" s="11"/>
      <c r="K10539" s="12">
        <v>0</v>
      </c>
      <c r="L10539" s="10" t="str">
        <f>HYPERLINK("https://otsuka-europe-crm.veevavault.com/ui/#object/approved_document__v/V5O00000001L017", "ALL_Flexibilität_Ferienplanung_2026_AA_fr")</f>
        <v>ALL_Flexibilität_Ferienplanung_2026_AA_fr</v>
      </c>
      <c r="M10539" s="10" t="str">
        <f>HYPERLINK("mailto:yvergari@crm.otsuka-europe.com", "yvergari@crm.otsuka-europe.com")</f>
        <v>yvergari@crm.otsuka-europe.com</v>
      </c>
      <c r="N10539" s="13">
        <v>46188.610439814816</v>
      </c>
      <c r="O10539" s="14" t="str">
        <f>HYPERLINK("https://otsuka-europe-crm.veevavault.com/ui/#object/email_activity__v/V8C00000003U754", "EN-002096397")</f>
        <v>EN-002096397</v>
      </c>
    </row>
    <row r="10540" spans="1:15" ht="32" x14ac:dyDescent="0.2">
      <c r="A10540" s="7" t="str">
        <f>HYPERLINK("https://otsuka-europe-crm.veevavault.com/ui/#object/account__v/V4TZ025E838ITP9", "Barbara Privé")</f>
        <v>Barbara Privé</v>
      </c>
      <c r="B10540" s="7" t="str">
        <f>HYPERLINK("https://otsuka-europe-crm.veevavault.com/ui/#object/vcountry__v/VENZ000004SONFN", "CH")</f>
        <v>CH</v>
      </c>
      <c r="C10540" s="8" t="s">
        <v>45</v>
      </c>
      <c r="D10540" s="9" t="str">
        <f>HYPERLINK("https://otsuka-europe-crm.veevavault.com/ui/#object/approved_document__v/V5O00000001L017", "ALL_Flexibilität_Ferienplanung_2026_AA_fr")</f>
        <v>ALL_Flexibilität_Ferienplanung_2026_AA_fr</v>
      </c>
      <c r="E10540" s="10" t="str">
        <f>HYPERLINK("https://otsuka-europe-crm.veevavault.com/ui/#object/sent_email__v/VBL00000002U691", "SE-001436579")</f>
        <v>SE-001436579</v>
      </c>
      <c r="F10540" s="11"/>
      <c r="G10540" s="12">
        <v>0</v>
      </c>
      <c r="H10540" s="12">
        <v>0</v>
      </c>
      <c r="I10540" s="12">
        <v>0</v>
      </c>
      <c r="J10540" s="11"/>
      <c r="K10540" s="12">
        <v>0</v>
      </c>
      <c r="L10540" s="10" t="str">
        <f>HYPERLINK("https://otsuka-europe-crm.veevavault.com/ui/#object/approved_document__v/V5O00000001L017", "ALL_Flexibilität_Ferienplanung_2026_AA_fr")</f>
        <v>ALL_Flexibilität_Ferienplanung_2026_AA_fr</v>
      </c>
      <c r="M10540" s="10" t="str">
        <f>HYPERLINK("mailto:yvergari@crm.otsuka-europe.com", "yvergari@crm.otsuka-europe.com")</f>
        <v>yvergari@crm.otsuka-europe.com</v>
      </c>
      <c r="N10540" s="13">
        <v>46188.610474537039</v>
      </c>
      <c r="O10540" s="14" t="str">
        <f>HYPERLINK("https://otsuka-europe-crm.veevavault.com/ui/#object/email_activity__v/V8C00000003V774", "EN-002096339")</f>
        <v>EN-002096339</v>
      </c>
    </row>
    <row r="10541" spans="1:15" ht="32" x14ac:dyDescent="0.2">
      <c r="A10541" s="7" t="str">
        <f>HYPERLINK("https://otsuka-europe-crm.veevavault.com/ui/#object/account__v/V4TZ0000062RZE3", "Zacharie Nziya")</f>
        <v>Zacharie Nziya</v>
      </c>
      <c r="B10541" s="7" t="str">
        <f>HYPERLINK("https://otsuka-europe-crm.veevavault.com/ui/#object/vcountry__v/VENZ000004SONFN", "CH")</f>
        <v>CH</v>
      </c>
      <c r="C10541" s="8" t="s">
        <v>45</v>
      </c>
      <c r="D10541" s="9" t="str">
        <f>HYPERLINK("https://otsuka-europe-crm.veevavault.com/ui/#object/approved_document__v/V5O00000001L017", "ALL_Flexibilität_Ferienplanung_2026_AA_fr")</f>
        <v>ALL_Flexibilität_Ferienplanung_2026_AA_fr</v>
      </c>
      <c r="E10541" s="10" t="str">
        <f>HYPERLINK("https://otsuka-europe-crm.veevavault.com/ui/#object/sent_email__v/VBL00000002U692", "SE-001436580")</f>
        <v>SE-001436580</v>
      </c>
      <c r="F10541" s="11"/>
      <c r="G10541" s="12">
        <v>0</v>
      </c>
      <c r="H10541" s="12">
        <v>0</v>
      </c>
      <c r="I10541" s="12">
        <v>0</v>
      </c>
      <c r="J10541" s="11"/>
      <c r="K10541" s="12">
        <v>0</v>
      </c>
      <c r="L10541" s="10" t="str">
        <f>HYPERLINK("https://otsuka-europe-crm.veevavault.com/ui/#object/approved_document__v/V5O00000001L017", "ALL_Flexibilität_Ferienplanung_2026_AA_fr")</f>
        <v>ALL_Flexibilität_Ferienplanung_2026_AA_fr</v>
      </c>
      <c r="M10541" s="10" t="str">
        <f>HYPERLINK("mailto:yvergari@crm.otsuka-europe.com", "yvergari@crm.otsuka-europe.com")</f>
        <v>yvergari@crm.otsuka-europe.com</v>
      </c>
      <c r="N10541" s="13">
        <v>46188.610439814816</v>
      </c>
      <c r="O10541" s="14" t="str">
        <f>HYPERLINK("https://otsuka-europe-crm.veevavault.com/ui/#object/email_activity__v/V8C00000003V807", "EN-002096372")</f>
        <v>EN-002096372</v>
      </c>
    </row>
    <row r="10542" spans="1:15" ht="32" x14ac:dyDescent="0.2">
      <c r="A10542" s="7" t="str">
        <f>HYPERLINK("https://otsuka-europe-crm.veevavault.com/ui/#object/account__v/V4TZ0000062R69L", "Christoph Nissen")</f>
        <v>Christoph Nissen</v>
      </c>
      <c r="B10542" s="7" t="str">
        <f>HYPERLINK("https://otsuka-europe-crm.veevavault.com/ui/#object/vcountry__v/VENZ000004SONFN", "CH")</f>
        <v>CH</v>
      </c>
      <c r="C10542" s="8" t="s">
        <v>45</v>
      </c>
      <c r="D10542" s="9" t="str">
        <f>HYPERLINK("https://otsuka-europe-crm.veevavault.com/ui/#object/approved_document__v/V5O00000001L017", "ALL_Flexibilität_Ferienplanung_2026_AA_fr")</f>
        <v>ALL_Flexibilität_Ferienplanung_2026_AA_fr</v>
      </c>
      <c r="E10542" s="10" t="str">
        <f>HYPERLINK("https://otsuka-europe-crm.veevavault.com/ui/#object/sent_email__v/VBL00000002U693", "SE-001436581")</f>
        <v>SE-001436581</v>
      </c>
      <c r="F10542" s="11"/>
      <c r="G10542" s="12">
        <v>0</v>
      </c>
      <c r="H10542" s="12">
        <v>0</v>
      </c>
      <c r="I10542" s="12">
        <v>0</v>
      </c>
      <c r="J10542" s="11"/>
      <c r="K10542" s="12">
        <v>0</v>
      </c>
      <c r="L10542" s="10" t="str">
        <f>HYPERLINK("https://otsuka-europe-crm.veevavault.com/ui/#object/approved_document__v/V5O00000001L017", "ALL_Flexibilität_Ferienplanung_2026_AA_fr")</f>
        <v>ALL_Flexibilität_Ferienplanung_2026_AA_fr</v>
      </c>
      <c r="M10542" s="10" t="str">
        <f>HYPERLINK("mailto:yvergari@crm.otsuka-europe.com", "yvergari@crm.otsuka-europe.com")</f>
        <v>yvergari@crm.otsuka-europe.com</v>
      </c>
      <c r="N10542" s="13">
        <v>46188.610439814816</v>
      </c>
      <c r="O10542" s="14" t="str">
        <f>HYPERLINK("https://otsuka-europe-crm.veevavault.com/ui/#object/email_activity__v/V8C00000003V801", "EN-002096366")</f>
        <v>EN-002096366</v>
      </c>
    </row>
    <row r="10543" spans="1:15" ht="16" x14ac:dyDescent="0.2">
      <c r="A10543" s="17" t="str">
        <f>HYPERLINK("https://otsuka-europe-crm.veevavault.com/ui/#object/account__v/V4TZ0000062R5ND", "Evangelos Mamouzelos")</f>
        <v>Evangelos Mamouzelos</v>
      </c>
      <c r="B10543" s="17" t="str">
        <f>HYPERLINK("https://otsuka-europe-crm.veevavault.com/ui/#object/vcountry__v/VENZ000004SONFN", "CH")</f>
        <v>CH</v>
      </c>
      <c r="C10543" s="20" t="s">
        <v>45</v>
      </c>
      <c r="D10543" s="21" t="str">
        <f>HYPERLINK("https://otsuka-europe-crm.veevavault.com/ui/#object/approved_document__v/V5O00000001L017", "ALL_Flexibilität_Ferienplanung_2026_AA_fr")</f>
        <v>ALL_Flexibilität_Ferienplanung_2026_AA_fr</v>
      </c>
      <c r="E10543" s="22" t="str">
        <f>HYPERLINK("https://otsuka-europe-crm.veevavault.com/ui/#object/sent_email__v/VBL00000002U694", "SE-001436582")</f>
        <v>SE-001436582</v>
      </c>
      <c r="F10543" s="25"/>
      <c r="G10543" s="24">
        <v>0</v>
      </c>
      <c r="H10543" s="24">
        <v>0</v>
      </c>
      <c r="I10543" s="24">
        <v>0</v>
      </c>
      <c r="J10543" s="25"/>
      <c r="K10543" s="24">
        <v>0</v>
      </c>
      <c r="L10543" s="22" t="str">
        <f>HYPERLINK("https://otsuka-europe-crm.veevavault.com/ui/#object/approved_document__v/V5O00000001L017", "ALL_Flexibilität_Ferienplanung_2026_AA_fr")</f>
        <v>ALL_Flexibilität_Ferienplanung_2026_AA_fr</v>
      </c>
      <c r="M10543" s="22" t="str">
        <f>HYPERLINK("mailto:yvergari@crm.otsuka-europe.com", "yvergari@crm.otsuka-europe.com")</f>
        <v>yvergari@crm.otsuka-europe.com</v>
      </c>
      <c r="N10543" s="23">
        <v>46188.610439814816</v>
      </c>
      <c r="O10543" s="14" t="str">
        <f>HYPERLINK("https://otsuka-europe-crm.veevavault.com/ui/#object/email_activity__v/V8C00000003V812", "EN-002096377")</f>
        <v>EN-002096377</v>
      </c>
    </row>
    <row r="10544" spans="1:15" ht="16" x14ac:dyDescent="0.2">
      <c r="A10544" s="18"/>
      <c r="B10544" s="18"/>
      <c r="C10544" s="18"/>
      <c r="D10544" s="18"/>
      <c r="E10544" s="18"/>
      <c r="F10544" s="18"/>
      <c r="G10544" s="18"/>
      <c r="H10544" s="18"/>
      <c r="I10544" s="18"/>
      <c r="J10544" s="18"/>
      <c r="K10544" s="18"/>
      <c r="L10544" s="18"/>
      <c r="M10544" s="18"/>
      <c r="N10544" s="18"/>
      <c r="O10544" s="14" t="str">
        <f>HYPERLINK("https://otsuka-europe-crm.veevavault.com/ui/#object/email_activity__v/V8C00000003W317", "EN-002097352")</f>
        <v>EN-002097352</v>
      </c>
    </row>
    <row r="10545" spans="1:15" ht="16" x14ac:dyDescent="0.2">
      <c r="A10545" s="18"/>
      <c r="B10545" s="18"/>
      <c r="C10545" s="18"/>
      <c r="D10545" s="18"/>
      <c r="E10545" s="18"/>
      <c r="F10545" s="18"/>
      <c r="G10545" s="18"/>
      <c r="H10545" s="18"/>
      <c r="I10545" s="18"/>
      <c r="J10545" s="18"/>
      <c r="K10545" s="18"/>
      <c r="L10545" s="18"/>
      <c r="M10545" s="18"/>
      <c r="N10545" s="18"/>
      <c r="O10545" s="14" t="str">
        <f>HYPERLINK("https://otsuka-europe-crm.veevavault.com/ui/#object/email_activity__v/V8C00000003X880", "EN-002098392")</f>
        <v>EN-002098392</v>
      </c>
    </row>
    <row r="10546" spans="1:15" ht="16" x14ac:dyDescent="0.2">
      <c r="A10546" s="19"/>
      <c r="B10546" s="19"/>
      <c r="C10546" s="19"/>
      <c r="D10546" s="19"/>
      <c r="E10546" s="19"/>
      <c r="F10546" s="19"/>
      <c r="G10546" s="19"/>
      <c r="H10546" s="19"/>
      <c r="I10546" s="19"/>
      <c r="J10546" s="19"/>
      <c r="K10546" s="19"/>
      <c r="L10546" s="19"/>
      <c r="M10546" s="19"/>
      <c r="N10546" s="19"/>
      <c r="O10546" s="14" t="str">
        <f>HYPERLINK("https://otsuka-europe-crm.veevavault.com/ui/#object/email_activity__v/V8C000000040429", "EN-002099440")</f>
        <v>EN-002099440</v>
      </c>
    </row>
    <row r="10547" spans="1:15" ht="32" x14ac:dyDescent="0.2">
      <c r="A10547" s="7" t="str">
        <f>HYPERLINK("https://otsuka-europe-crm.veevavault.com/ui/#object/account__v/V4TZ0000062R7RH", "Gotthard Kessler")</f>
        <v>Gotthard Kessler</v>
      </c>
      <c r="B10547" s="7" t="str">
        <f>HYPERLINK("https://otsuka-europe-crm.veevavault.com/ui/#object/vcountry__v/VENZ000004SONFN", "CH")</f>
        <v>CH</v>
      </c>
      <c r="C10547" s="8" t="s">
        <v>45</v>
      </c>
      <c r="D10547" s="9" t="str">
        <f>HYPERLINK("https://otsuka-europe-crm.veevavault.com/ui/#object/approved_document__v/V5O00000001L017", "ALL_Flexibilität_Ferienplanung_2026_AA_fr")</f>
        <v>ALL_Flexibilität_Ferienplanung_2026_AA_fr</v>
      </c>
      <c r="E10547" s="10" t="str">
        <f>HYPERLINK("https://otsuka-europe-crm.veevavault.com/ui/#object/sent_email__v/VBL00000002U695", "SE-001436583")</f>
        <v>SE-001436583</v>
      </c>
      <c r="F10547" s="11"/>
      <c r="G10547" s="12">
        <v>0</v>
      </c>
      <c r="H10547" s="12">
        <v>0</v>
      </c>
      <c r="I10547" s="12">
        <v>0</v>
      </c>
      <c r="J10547" s="11"/>
      <c r="K10547" s="12">
        <v>0</v>
      </c>
      <c r="L10547" s="10" t="str">
        <f>HYPERLINK("https://otsuka-europe-crm.veevavault.com/ui/#object/approved_document__v/V5O00000001L017", "ALL_Flexibilität_Ferienplanung_2026_AA_fr")</f>
        <v>ALL_Flexibilität_Ferienplanung_2026_AA_fr</v>
      </c>
      <c r="M10547" s="10" t="str">
        <f>HYPERLINK("mailto:yvergari@crm.otsuka-europe.com", "yvergari@crm.otsuka-europe.com")</f>
        <v>yvergari@crm.otsuka-europe.com</v>
      </c>
      <c r="N10547" s="13">
        <v>46188.610439814816</v>
      </c>
      <c r="O10547" s="14" t="str">
        <f>HYPERLINK("https://otsuka-europe-crm.veevavault.com/ui/#object/email_activity__v/V8C00000003V778", "EN-002096343")</f>
        <v>EN-002096343</v>
      </c>
    </row>
    <row r="10548" spans="1:15" ht="16" x14ac:dyDescent="0.2">
      <c r="A10548" s="17" t="str">
        <f>HYPERLINK("https://otsuka-europe-crm.veevavault.com/ui/#object/account__v/V4TZ06G6O9BVF0N", "Françoise Menu")</f>
        <v>Françoise Menu</v>
      </c>
      <c r="B10548" s="17" t="str">
        <f>HYPERLINK("https://otsuka-europe-crm.veevavault.com/ui/#object/vcountry__v/VENZ000004SONFN", "CH")</f>
        <v>CH</v>
      </c>
      <c r="C10548" s="20" t="s">
        <v>45</v>
      </c>
      <c r="D10548" s="21" t="str">
        <f>HYPERLINK("https://otsuka-europe-crm.veevavault.com/ui/#object/approved_document__v/V5O00000001L017", "ALL_Flexibilität_Ferienplanung_2026_AA_fr")</f>
        <v>ALL_Flexibilität_Ferienplanung_2026_AA_fr</v>
      </c>
      <c r="E10548" s="22" t="str">
        <f>HYPERLINK("https://otsuka-europe-crm.veevavault.com/ui/#object/sent_email__v/VBL00000002U696", "SE-001436584")</f>
        <v>SE-001436584</v>
      </c>
      <c r="F10548" s="25"/>
      <c r="G10548" s="24">
        <v>0</v>
      </c>
      <c r="H10548" s="24">
        <v>0</v>
      </c>
      <c r="I10548" s="24">
        <v>0</v>
      </c>
      <c r="J10548" s="25"/>
      <c r="K10548" s="24">
        <v>0</v>
      </c>
      <c r="L10548" s="22" t="str">
        <f>HYPERLINK("https://otsuka-europe-crm.veevavault.com/ui/#object/approved_document__v/V5O00000001L017", "ALL_Flexibilität_Ferienplanung_2026_AA_fr")</f>
        <v>ALL_Flexibilität_Ferienplanung_2026_AA_fr</v>
      </c>
      <c r="M10548" s="22" t="str">
        <f>HYPERLINK("mailto:yvergari@crm.otsuka-europe.com", "yvergari@crm.otsuka-europe.com")</f>
        <v>yvergari@crm.otsuka-europe.com</v>
      </c>
      <c r="N10548" s="23">
        <v>46188.610439814816</v>
      </c>
      <c r="O10548" s="14" t="str">
        <f>HYPERLINK("https://otsuka-europe-crm.veevavault.com/ui/#object/email_activity__v/V8C00000003V823", "EN-002096388")</f>
        <v>EN-002096388</v>
      </c>
    </row>
    <row r="10549" spans="1:15" ht="16" x14ac:dyDescent="0.2">
      <c r="A10549" s="19"/>
      <c r="B10549" s="19"/>
      <c r="C10549" s="19"/>
      <c r="D10549" s="19"/>
      <c r="E10549" s="19"/>
      <c r="F10549" s="19"/>
      <c r="G10549" s="19"/>
      <c r="H10549" s="19"/>
      <c r="I10549" s="19"/>
      <c r="J10549" s="19"/>
      <c r="K10549" s="19"/>
      <c r="L10549" s="19"/>
      <c r="M10549" s="19"/>
      <c r="N10549" s="19"/>
      <c r="O10549" s="14" t="str">
        <f>HYPERLINK("https://otsuka-europe-crm.veevavault.com/ui/#object/email_activity__v/V8C00000003V842", "EN-002096412")</f>
        <v>EN-002096412</v>
      </c>
    </row>
    <row r="10550" spans="1:15" ht="16" x14ac:dyDescent="0.2">
      <c r="A10550" s="17" t="str">
        <f>HYPERLINK("https://otsuka-europe-crm.veevavault.com/ui/#object/account__v/V4TZ06G6O9FU1YC", "Loic Locatelli")</f>
        <v>Loic Locatelli</v>
      </c>
      <c r="B10550" s="17" t="str">
        <f>HYPERLINK("https://otsuka-europe-crm.veevavault.com/ui/#object/vcountry__v/VENZ000004SONFN", "CH")</f>
        <v>CH</v>
      </c>
      <c r="C10550" s="20" t="s">
        <v>45</v>
      </c>
      <c r="D10550" s="21" t="str">
        <f>HYPERLINK("https://otsuka-europe-crm.veevavault.com/ui/#object/approved_document__v/V5O00000001L017", "ALL_Flexibilität_Ferienplanung_2026_AA_fr")</f>
        <v>ALL_Flexibilität_Ferienplanung_2026_AA_fr</v>
      </c>
      <c r="E10550" s="22" t="str">
        <f>HYPERLINK("https://otsuka-europe-crm.veevavault.com/ui/#object/sent_email__v/VBL00000002U697", "SE-001436585")</f>
        <v>SE-001436585</v>
      </c>
      <c r="F10550" s="23">
        <v>46188.728645833333</v>
      </c>
      <c r="G10550" s="24">
        <v>1</v>
      </c>
      <c r="H10550" s="24">
        <v>2</v>
      </c>
      <c r="I10550" s="24">
        <v>0</v>
      </c>
      <c r="J10550" s="25"/>
      <c r="K10550" s="24">
        <v>0</v>
      </c>
      <c r="L10550" s="22" t="str">
        <f>HYPERLINK("https://otsuka-europe-crm.veevavault.com/ui/#object/approved_document__v/V5O00000001L017", "ALL_Flexibilität_Ferienplanung_2026_AA_fr")</f>
        <v>ALL_Flexibilität_Ferienplanung_2026_AA_fr</v>
      </c>
      <c r="M10550" s="22" t="str">
        <f>HYPERLINK("mailto:yvergari@crm.otsuka-europe.com", "yvergari@crm.otsuka-europe.com")</f>
        <v>yvergari@crm.otsuka-europe.com</v>
      </c>
      <c r="N10550" s="23">
        <v>46188.610439814816</v>
      </c>
      <c r="O10550" s="14" t="str">
        <f>HYPERLINK("https://otsuka-europe-crm.veevavault.com/ui/#object/email_activity__v/V8C00000003V799", "EN-002096364")</f>
        <v>EN-002096364</v>
      </c>
    </row>
    <row r="10551" spans="1:15" ht="16" x14ac:dyDescent="0.2">
      <c r="A10551" s="18"/>
      <c r="B10551" s="18"/>
      <c r="C10551" s="18"/>
      <c r="D10551" s="18"/>
      <c r="E10551" s="18"/>
      <c r="F10551" s="18"/>
      <c r="G10551" s="18"/>
      <c r="H10551" s="18"/>
      <c r="I10551" s="18"/>
      <c r="J10551" s="18"/>
      <c r="K10551" s="18"/>
      <c r="L10551" s="18"/>
      <c r="M10551" s="18"/>
      <c r="N10551" s="18"/>
      <c r="O10551" s="14" t="str">
        <f>HYPERLINK("https://otsuka-europe-crm.veevavault.com/ui/#object/email_activity__v/V8C00000003V900", "EN-002096505")</f>
        <v>EN-002096505</v>
      </c>
    </row>
    <row r="10552" spans="1:15" ht="16" x14ac:dyDescent="0.2">
      <c r="A10552" s="19"/>
      <c r="B10552" s="19"/>
      <c r="C10552" s="19"/>
      <c r="D10552" s="19"/>
      <c r="E10552" s="19"/>
      <c r="F10552" s="19"/>
      <c r="G10552" s="19"/>
      <c r="H10552" s="19"/>
      <c r="I10552" s="19"/>
      <c r="J10552" s="19"/>
      <c r="K10552" s="19"/>
      <c r="L10552" s="19"/>
      <c r="M10552" s="19"/>
      <c r="N10552" s="19"/>
      <c r="O10552" s="14" t="str">
        <f>HYPERLINK("https://otsuka-europe-crm.veevavault.com/ui/#object/email_activity__v/V8C00000003V901", "EN-002096506")</f>
        <v>EN-002096506</v>
      </c>
    </row>
    <row r="10553" spans="1:15" ht="32" x14ac:dyDescent="0.2">
      <c r="A10553" s="7" t="str">
        <f>HYPERLINK("https://otsuka-europe-crm.veevavault.com/ui/#object/account__v/V4TZ025E83YY9BJ", "Adina Pescarus")</f>
        <v>Adina Pescarus</v>
      </c>
      <c r="B10553" s="7" t="str">
        <f>HYPERLINK("https://otsuka-europe-crm.veevavault.com/ui/#object/vcountry__v/VENZ000004SONFN", "CH")</f>
        <v>CH</v>
      </c>
      <c r="C10553" s="8" t="s">
        <v>45</v>
      </c>
      <c r="D10553" s="9" t="str">
        <f>HYPERLINK("https://otsuka-europe-crm.veevavault.com/ui/#object/approved_document__v/V5O00000001L017", "ALL_Flexibilität_Ferienplanung_2026_AA_fr")</f>
        <v>ALL_Flexibilität_Ferienplanung_2026_AA_fr</v>
      </c>
      <c r="E10553" s="10" t="str">
        <f>HYPERLINK("https://otsuka-europe-crm.veevavault.com/ui/#object/sent_email__v/VBL00000002U698", "SE-001436586")</f>
        <v>SE-001436586</v>
      </c>
      <c r="F10553" s="11"/>
      <c r="G10553" s="12">
        <v>0</v>
      </c>
      <c r="H10553" s="12">
        <v>0</v>
      </c>
      <c r="I10553" s="12">
        <v>0</v>
      </c>
      <c r="J10553" s="11"/>
      <c r="K10553" s="12">
        <v>0</v>
      </c>
      <c r="L10553" s="10" t="str">
        <f>HYPERLINK("https://otsuka-europe-crm.veevavault.com/ui/#object/approved_document__v/V5O00000001L017", "ALL_Flexibilität_Ferienplanung_2026_AA_fr")</f>
        <v>ALL_Flexibilität_Ferienplanung_2026_AA_fr</v>
      </c>
      <c r="M10553" s="10" t="str">
        <f>HYPERLINK("mailto:yvergari@crm.otsuka-europe.com", "yvergari@crm.otsuka-europe.com")</f>
        <v>yvergari@crm.otsuka-europe.com</v>
      </c>
      <c r="N10553" s="13">
        <v>46188.610439814816</v>
      </c>
      <c r="O10553" s="14" t="str">
        <f>HYPERLINK("https://otsuka-europe-crm.veevavault.com/ui/#object/email_activity__v/V8C00000003V804", "EN-002096369")</f>
        <v>EN-002096369</v>
      </c>
    </row>
    <row r="10554" spans="1:15" ht="16" x14ac:dyDescent="0.2">
      <c r="A10554" s="17" t="str">
        <f>HYPERLINK("https://otsuka-europe-crm.veevavault.com/ui/#object/account__v/V4TZ06G6O95WVCU", "Louise Penzenstadler")</f>
        <v>Louise Penzenstadler</v>
      </c>
      <c r="B10554" s="17" t="str">
        <f>HYPERLINK("https://otsuka-europe-crm.veevavault.com/ui/#object/vcountry__v/VENZ000004SONFN", "CH")</f>
        <v>CH</v>
      </c>
      <c r="C10554" s="20" t="s">
        <v>45</v>
      </c>
      <c r="D10554" s="21" t="str">
        <f>HYPERLINK("https://otsuka-europe-crm.veevavault.com/ui/#object/approved_document__v/V5O00000001L017", "ALL_Flexibilität_Ferienplanung_2026_AA_fr")</f>
        <v>ALL_Flexibilität_Ferienplanung_2026_AA_fr</v>
      </c>
      <c r="E10554" s="22" t="str">
        <f>HYPERLINK("https://otsuka-europe-crm.veevavault.com/ui/#object/sent_email__v/VBL00000002U699", "SE-001436587")</f>
        <v>SE-001436587</v>
      </c>
      <c r="F10554" s="25"/>
      <c r="G10554" s="24">
        <v>0</v>
      </c>
      <c r="H10554" s="24">
        <v>0</v>
      </c>
      <c r="I10554" s="24">
        <v>0</v>
      </c>
      <c r="J10554" s="25"/>
      <c r="K10554" s="24">
        <v>0</v>
      </c>
      <c r="L10554" s="22" t="str">
        <f>HYPERLINK("https://otsuka-europe-crm.veevavault.com/ui/#object/approved_document__v/V5O00000001L017", "ALL_Flexibilität_Ferienplanung_2026_AA_fr")</f>
        <v>ALL_Flexibilität_Ferienplanung_2026_AA_fr</v>
      </c>
      <c r="M10554" s="22" t="str">
        <f>HYPERLINK("mailto:yvergari@crm.otsuka-europe.com", "yvergari@crm.otsuka-europe.com")</f>
        <v>yvergari@crm.otsuka-europe.com</v>
      </c>
      <c r="N10554" s="23">
        <v>46188.610439814816</v>
      </c>
      <c r="O10554" s="14" t="str">
        <f>HYPERLINK("https://otsuka-europe-crm.veevavault.com/ui/#object/email_activity__v/V8C00000003U975", "EN-002096935")</f>
        <v>EN-002096935</v>
      </c>
    </row>
    <row r="10555" spans="1:15" ht="16" x14ac:dyDescent="0.2">
      <c r="A10555" s="19"/>
      <c r="B10555" s="19"/>
      <c r="C10555" s="19"/>
      <c r="D10555" s="19"/>
      <c r="E10555" s="19"/>
      <c r="F10555" s="19"/>
      <c r="G10555" s="19"/>
      <c r="H10555" s="19"/>
      <c r="I10555" s="19"/>
      <c r="J10555" s="19"/>
      <c r="K10555" s="19"/>
      <c r="L10555" s="19"/>
      <c r="M10555" s="19"/>
      <c r="N10555" s="19"/>
      <c r="O10555" s="14" t="str">
        <f>HYPERLINK("https://otsuka-europe-crm.veevavault.com/ui/#object/email_activity__v/V8C00000003V764", "EN-002096329")</f>
        <v>EN-002096329</v>
      </c>
    </row>
    <row r="10556" spans="1:15" ht="16" x14ac:dyDescent="0.2">
      <c r="A10556" s="17" t="str">
        <f>HYPERLINK("https://otsuka-europe-crm.veevavault.com/ui/#object/account__v/V4TZ025E82EV6QW", "Vincent Lecourt")</f>
        <v>Vincent Lecourt</v>
      </c>
      <c r="B10556" s="17" t="str">
        <f>HYPERLINK("https://otsuka-europe-crm.veevavault.com/ui/#object/vcountry__v/VENZ000004SONFN", "CH")</f>
        <v>CH</v>
      </c>
      <c r="C10556" s="20" t="s">
        <v>45</v>
      </c>
      <c r="D10556" s="21" t="str">
        <f>HYPERLINK("https://otsuka-europe-crm.veevavault.com/ui/#object/approved_document__v/V5O00000001L017", "ALL_Flexibilität_Ferienplanung_2026_AA_fr")</f>
        <v>ALL_Flexibilität_Ferienplanung_2026_AA_fr</v>
      </c>
      <c r="E10556" s="22" t="str">
        <f>HYPERLINK("https://otsuka-europe-crm.veevavault.com/ui/#object/sent_email__v/VBL00000002U700", "SE-001436588")</f>
        <v>SE-001436588</v>
      </c>
      <c r="F10556" s="25"/>
      <c r="G10556" s="24">
        <v>0</v>
      </c>
      <c r="H10556" s="24">
        <v>0</v>
      </c>
      <c r="I10556" s="24">
        <v>0</v>
      </c>
      <c r="J10556" s="25"/>
      <c r="K10556" s="24">
        <v>0</v>
      </c>
      <c r="L10556" s="22" t="str">
        <f>HYPERLINK("https://otsuka-europe-crm.veevavault.com/ui/#object/approved_document__v/V5O00000001L017", "ALL_Flexibilität_Ferienplanung_2026_AA_fr")</f>
        <v>ALL_Flexibilität_Ferienplanung_2026_AA_fr</v>
      </c>
      <c r="M10556" s="22" t="str">
        <f>HYPERLINK("mailto:yvergari@crm.otsuka-europe.com", "yvergari@crm.otsuka-europe.com")</f>
        <v>yvergari@crm.otsuka-europe.com</v>
      </c>
      <c r="N10556" s="23">
        <v>46188.610439814816</v>
      </c>
      <c r="O10556" s="14" t="str">
        <f>HYPERLINK("https://otsuka-europe-crm.veevavault.com/ui/#object/email_activity__v/V8C00000003U911", "EN-002096801")</f>
        <v>EN-002096801</v>
      </c>
    </row>
    <row r="10557" spans="1:15" ht="16" x14ac:dyDescent="0.2">
      <c r="A10557" s="18"/>
      <c r="B10557" s="18"/>
      <c r="C10557" s="18"/>
      <c r="D10557" s="18"/>
      <c r="E10557" s="18"/>
      <c r="F10557" s="18"/>
      <c r="G10557" s="18"/>
      <c r="H10557" s="18"/>
      <c r="I10557" s="18"/>
      <c r="J10557" s="18"/>
      <c r="K10557" s="18"/>
      <c r="L10557" s="18"/>
      <c r="M10557" s="18"/>
      <c r="N10557" s="18"/>
      <c r="O10557" s="14" t="str">
        <f>HYPERLINK("https://otsuka-europe-crm.veevavault.com/ui/#object/email_activity__v/V8C00000003V787", "EN-002096352")</f>
        <v>EN-002096352</v>
      </c>
    </row>
    <row r="10558" spans="1:15" ht="16" x14ac:dyDescent="0.2">
      <c r="A10558" s="19"/>
      <c r="B10558" s="19"/>
      <c r="C10558" s="19"/>
      <c r="D10558" s="19"/>
      <c r="E10558" s="19"/>
      <c r="F10558" s="19"/>
      <c r="G10558" s="19"/>
      <c r="H10558" s="19"/>
      <c r="I10558" s="19"/>
      <c r="J10558" s="19"/>
      <c r="K10558" s="19"/>
      <c r="L10558" s="19"/>
      <c r="M10558" s="19"/>
      <c r="N10558" s="19"/>
      <c r="O10558" s="14" t="str">
        <f>HYPERLINK("https://otsuka-europe-crm.veevavault.com/ui/#object/email_activity__v/V8C00000003Y031", "EN-002098661")</f>
        <v>EN-002098661</v>
      </c>
    </row>
    <row r="10559" spans="1:15" ht="16" x14ac:dyDescent="0.2">
      <c r="A10559" s="17" t="str">
        <f>HYPERLINK("https://otsuka-europe-crm.veevavault.com/ui/#object/account__v/V4TZ06G6OBI6FQ1", "Béatrice Quagliarini")</f>
        <v>Béatrice Quagliarini</v>
      </c>
      <c r="B10559" s="17" t="str">
        <f>HYPERLINK("https://otsuka-europe-crm.veevavault.com/ui/#object/vcountry__v/VENZ000004SONFN", "CH")</f>
        <v>CH</v>
      </c>
      <c r="C10559" s="20" t="s">
        <v>45</v>
      </c>
      <c r="D10559" s="21" t="str">
        <f>HYPERLINK("https://otsuka-europe-crm.veevavault.com/ui/#object/approved_document__v/V5O00000001L017", "ALL_Flexibilität_Ferienplanung_2026_AA_fr")</f>
        <v>ALL_Flexibilität_Ferienplanung_2026_AA_fr</v>
      </c>
      <c r="E10559" s="22" t="str">
        <f>HYPERLINK("https://otsuka-europe-crm.veevavault.com/ui/#object/sent_email__v/VBL00000002U701", "SE-001436589")</f>
        <v>SE-001436589</v>
      </c>
      <c r="F10559" s="25"/>
      <c r="G10559" s="24">
        <v>0</v>
      </c>
      <c r="H10559" s="24">
        <v>0</v>
      </c>
      <c r="I10559" s="24">
        <v>0</v>
      </c>
      <c r="J10559" s="25"/>
      <c r="K10559" s="24">
        <v>0</v>
      </c>
      <c r="L10559" s="22" t="str">
        <f>HYPERLINK("https://otsuka-europe-crm.veevavault.com/ui/#object/approved_document__v/V5O00000001L017", "ALL_Flexibilität_Ferienplanung_2026_AA_fr")</f>
        <v>ALL_Flexibilität_Ferienplanung_2026_AA_fr</v>
      </c>
      <c r="M10559" s="22" t="str">
        <f>HYPERLINK("mailto:yvergari@crm.otsuka-europe.com", "yvergari@crm.otsuka-europe.com")</f>
        <v>yvergari@crm.otsuka-europe.com</v>
      </c>
      <c r="N10559" s="23">
        <v>46188.610439814816</v>
      </c>
      <c r="O10559" s="14" t="str">
        <f>HYPERLINK("https://otsuka-europe-crm.veevavault.com/ui/#object/email_activity__v/V8C00000003U765", "EN-002096437")</f>
        <v>EN-002096437</v>
      </c>
    </row>
    <row r="10560" spans="1:15" ht="16" x14ac:dyDescent="0.2">
      <c r="A10560" s="19"/>
      <c r="B10560" s="19"/>
      <c r="C10560" s="19"/>
      <c r="D10560" s="19"/>
      <c r="E10560" s="19"/>
      <c r="F10560" s="19"/>
      <c r="G10560" s="19"/>
      <c r="H10560" s="19"/>
      <c r="I10560" s="19"/>
      <c r="J10560" s="19"/>
      <c r="K10560" s="19"/>
      <c r="L10560" s="19"/>
      <c r="M10560" s="19"/>
      <c r="N10560" s="19"/>
      <c r="O10560" s="14" t="str">
        <f>HYPERLINK("https://otsuka-europe-crm.veevavault.com/ui/#object/email_activity__v/V8C00000003V821", "EN-002096386")</f>
        <v>EN-002096386</v>
      </c>
    </row>
    <row r="10561" spans="1:15" ht="32" x14ac:dyDescent="0.2">
      <c r="A10561" s="7" t="str">
        <f>HYPERLINK("https://otsuka-europe-crm.veevavault.com/ui/#object/account__v/V4TZ0000062R88B", "Christian Liengme")</f>
        <v>Christian Liengme</v>
      </c>
      <c r="B10561" s="7" t="str">
        <f>HYPERLINK("https://otsuka-europe-crm.veevavault.com/ui/#object/vcountry__v/VENZ000004SONFN", "CH")</f>
        <v>CH</v>
      </c>
      <c r="C10561" s="8" t="s">
        <v>45</v>
      </c>
      <c r="D10561" s="9" t="str">
        <f>HYPERLINK("https://otsuka-europe-crm.veevavault.com/ui/#object/approved_document__v/V5O00000001L017", "ALL_Flexibilität_Ferienplanung_2026_AA_fr")</f>
        <v>ALL_Flexibilität_Ferienplanung_2026_AA_fr</v>
      </c>
      <c r="E10561" s="10" t="str">
        <f>HYPERLINK("https://otsuka-europe-crm.veevavault.com/ui/#object/sent_email__v/VBL00000002U702", "SE-001436590")</f>
        <v>SE-001436590</v>
      </c>
      <c r="F10561" s="11"/>
      <c r="G10561" s="12">
        <v>0</v>
      </c>
      <c r="H10561" s="12">
        <v>0</v>
      </c>
      <c r="I10561" s="12">
        <v>0</v>
      </c>
      <c r="J10561" s="11"/>
      <c r="K10561" s="12">
        <v>0</v>
      </c>
      <c r="L10561" s="10" t="str">
        <f>HYPERLINK("https://otsuka-europe-crm.veevavault.com/ui/#object/approved_document__v/V5O00000001L017", "ALL_Flexibilität_Ferienplanung_2026_AA_fr")</f>
        <v>ALL_Flexibilität_Ferienplanung_2026_AA_fr</v>
      </c>
      <c r="M10561" s="10" t="str">
        <f>HYPERLINK("mailto:yvergari@crm.otsuka-europe.com", "yvergari@crm.otsuka-europe.com")</f>
        <v>yvergari@crm.otsuka-europe.com</v>
      </c>
      <c r="N10561" s="13">
        <v>46188.610439814816</v>
      </c>
      <c r="O10561" s="14" t="str">
        <f>HYPERLINK("https://otsuka-europe-crm.veevavault.com/ui/#object/email_activity__v/V8C00000003V790", "EN-002096355")</f>
        <v>EN-002096355</v>
      </c>
    </row>
    <row r="10562" spans="1:15" ht="32" x14ac:dyDescent="0.2">
      <c r="A10562" s="7" t="str">
        <f>HYPERLINK("https://otsuka-europe-crm.veevavault.com/ui/#object/account__v/V4TZ0000062RHY4", "Gianfranco Masdea")</f>
        <v>Gianfranco Masdea</v>
      </c>
      <c r="B10562" s="7" t="str">
        <f>HYPERLINK("https://otsuka-europe-crm.veevavault.com/ui/#object/vcountry__v/VENZ000004SONFN", "CH")</f>
        <v>CH</v>
      </c>
      <c r="C10562" s="8" t="s">
        <v>45</v>
      </c>
      <c r="D10562" s="9" t="str">
        <f>HYPERLINK("https://otsuka-europe-crm.veevavault.com/ui/#object/approved_document__v/V5O00000001L017", "ALL_Flexibilität_Ferienplanung_2026_AA_fr")</f>
        <v>ALL_Flexibilität_Ferienplanung_2026_AA_fr</v>
      </c>
      <c r="E10562" s="10" t="str">
        <f>HYPERLINK("https://otsuka-europe-crm.veevavault.com/ui/#object/sent_email__v/VBL00000002U703", "SE-001436591")</f>
        <v>SE-001436591</v>
      </c>
      <c r="F10562" s="11"/>
      <c r="G10562" s="12">
        <v>0</v>
      </c>
      <c r="H10562" s="12">
        <v>0</v>
      </c>
      <c r="I10562" s="12">
        <v>0</v>
      </c>
      <c r="J10562" s="11"/>
      <c r="K10562" s="12">
        <v>0</v>
      </c>
      <c r="L10562" s="10" t="str">
        <f>HYPERLINK("https://otsuka-europe-crm.veevavault.com/ui/#object/approved_document__v/V5O00000001L017", "ALL_Flexibilität_Ferienplanung_2026_AA_fr")</f>
        <v>ALL_Flexibilität_Ferienplanung_2026_AA_fr</v>
      </c>
      <c r="M10562" s="10" t="str">
        <f>HYPERLINK("mailto:yvergari@crm.otsuka-europe.com", "yvergari@crm.otsuka-europe.com")</f>
        <v>yvergari@crm.otsuka-europe.com</v>
      </c>
      <c r="N10562" s="13">
        <v>46188.610439814816</v>
      </c>
      <c r="O10562" s="14" t="str">
        <f>HYPERLINK("https://otsuka-europe-crm.veevavault.com/ui/#object/email_activity__v/V8C00000003V795", "EN-002096360")</f>
        <v>EN-002096360</v>
      </c>
    </row>
    <row r="10563" spans="1:15" ht="32" x14ac:dyDescent="0.2">
      <c r="A10563" s="7" t="str">
        <f>HYPERLINK("https://otsuka-europe-crm.veevavault.com/ui/#object/account__v/V4TZ0000062REPU", "Radosav Malicevic")</f>
        <v>Radosav Malicevic</v>
      </c>
      <c r="B10563" s="7" t="str">
        <f>HYPERLINK("https://otsuka-europe-crm.veevavault.com/ui/#object/vcountry__v/VENZ000004SONFN", "CH")</f>
        <v>CH</v>
      </c>
      <c r="C10563" s="8" t="s">
        <v>45</v>
      </c>
      <c r="D10563" s="9" t="str">
        <f>HYPERLINK("https://otsuka-europe-crm.veevavault.com/ui/#object/approved_document__v/V5O00000001L017", "ALL_Flexibilität_Ferienplanung_2026_AA_fr")</f>
        <v>ALL_Flexibilität_Ferienplanung_2026_AA_fr</v>
      </c>
      <c r="E10563" s="10" t="str">
        <f>HYPERLINK("https://otsuka-europe-crm.veevavault.com/ui/#object/sent_email__v/VBL00000002U704", "SE-001436592")</f>
        <v>SE-001436592</v>
      </c>
      <c r="F10563" s="11"/>
      <c r="G10563" s="12">
        <v>0</v>
      </c>
      <c r="H10563" s="12">
        <v>0</v>
      </c>
      <c r="I10563" s="12">
        <v>0</v>
      </c>
      <c r="J10563" s="11"/>
      <c r="K10563" s="12">
        <v>0</v>
      </c>
      <c r="L10563" s="10" t="str">
        <f>HYPERLINK("https://otsuka-europe-crm.veevavault.com/ui/#object/approved_document__v/V5O00000001L017", "ALL_Flexibilität_Ferienplanung_2026_AA_fr")</f>
        <v>ALL_Flexibilität_Ferienplanung_2026_AA_fr</v>
      </c>
      <c r="M10563" s="10" t="str">
        <f>HYPERLINK("mailto:yvergari@crm.otsuka-europe.com", "yvergari@crm.otsuka-europe.com")</f>
        <v>yvergari@crm.otsuka-europe.com</v>
      </c>
      <c r="N10563" s="13">
        <v>46188.610439814816</v>
      </c>
      <c r="O10563" s="14" t="str">
        <f>HYPERLINK("https://otsuka-europe-crm.veevavault.com/ui/#object/email_activity__v/V8C00000003V789", "EN-002096354")</f>
        <v>EN-002096354</v>
      </c>
    </row>
    <row r="10564" spans="1:15" ht="16" x14ac:dyDescent="0.2">
      <c r="A10564" s="17" t="str">
        <f>HYPERLINK("https://otsuka-europe-crm.veevavault.com/ui/#object/account__v/V4TZ0000062SDCJ", "Pedro Planas Campmany")</f>
        <v>Pedro Planas Campmany</v>
      </c>
      <c r="B10564" s="17" t="str">
        <f>HYPERLINK("https://otsuka-europe-crm.veevavault.com/ui/#object/vcountry__v/VENZ000004SONFN", "CH")</f>
        <v>CH</v>
      </c>
      <c r="C10564" s="20" t="s">
        <v>45</v>
      </c>
      <c r="D10564" s="21" t="str">
        <f>HYPERLINK("https://otsuka-europe-crm.veevavault.com/ui/#object/approved_document__v/V5O00000001L017", "ALL_Flexibilität_Ferienplanung_2026_AA_fr")</f>
        <v>ALL_Flexibilität_Ferienplanung_2026_AA_fr</v>
      </c>
      <c r="E10564" s="22" t="str">
        <f>HYPERLINK("https://otsuka-europe-crm.veevavault.com/ui/#object/sent_email__v/VBL00000002U705", "SE-001436593")</f>
        <v>SE-001436593</v>
      </c>
      <c r="F10564" s="25"/>
      <c r="G10564" s="24">
        <v>0</v>
      </c>
      <c r="H10564" s="24">
        <v>0</v>
      </c>
      <c r="I10564" s="24">
        <v>0</v>
      </c>
      <c r="J10564" s="25"/>
      <c r="K10564" s="24">
        <v>0</v>
      </c>
      <c r="L10564" s="22" t="str">
        <f>HYPERLINK("https://otsuka-europe-crm.veevavault.com/ui/#object/approved_document__v/V5O00000001L017", "ALL_Flexibilität_Ferienplanung_2026_AA_fr")</f>
        <v>ALL_Flexibilität_Ferienplanung_2026_AA_fr</v>
      </c>
      <c r="M10564" s="22" t="str">
        <f>HYPERLINK("mailto:yvergari@crm.otsuka-europe.com", "yvergari@crm.otsuka-europe.com")</f>
        <v>yvergari@crm.otsuka-europe.com</v>
      </c>
      <c r="N10564" s="23">
        <v>46188.610462962963</v>
      </c>
      <c r="O10564" s="14" t="str">
        <f>HYPERLINK("https://otsuka-europe-crm.veevavault.com/ui/#object/email_activity__v/V8C00000003U792", "EN-002096507")</f>
        <v>EN-002096507</v>
      </c>
    </row>
    <row r="10565" spans="1:15" ht="16" x14ac:dyDescent="0.2">
      <c r="A10565" s="19"/>
      <c r="B10565" s="19"/>
      <c r="C10565" s="19"/>
      <c r="D10565" s="19"/>
      <c r="E10565" s="19"/>
      <c r="F10565" s="19"/>
      <c r="G10565" s="19"/>
      <c r="H10565" s="19"/>
      <c r="I10565" s="19"/>
      <c r="J10565" s="19"/>
      <c r="K10565" s="19"/>
      <c r="L10565" s="19"/>
      <c r="M10565" s="19"/>
      <c r="N10565" s="19"/>
      <c r="O10565" s="14" t="str">
        <f>HYPERLINK("https://otsuka-europe-crm.veevavault.com/ui/#object/email_activity__v/V8C00000003V766", "EN-002096331")</f>
        <v>EN-002096331</v>
      </c>
    </row>
    <row r="10566" spans="1:15" ht="32" x14ac:dyDescent="0.2">
      <c r="A10566" s="7" t="str">
        <f>HYPERLINK("https://otsuka-europe-crm.veevavault.com/ui/#object/account__v/V4TZ06G6O8SAHJM", "Abdelkader Mebarki")</f>
        <v>Abdelkader Mebarki</v>
      </c>
      <c r="B10566" s="7" t="str">
        <f>HYPERLINK("https://otsuka-europe-crm.veevavault.com/ui/#object/vcountry__v/VENZ000004SONFN", "CH")</f>
        <v>CH</v>
      </c>
      <c r="C10566" s="8" t="s">
        <v>45</v>
      </c>
      <c r="D10566" s="9" t="str">
        <f>HYPERLINK("https://otsuka-europe-crm.veevavault.com/ui/#object/approved_document__v/V5O00000001L017", "ALL_Flexibilität_Ferienplanung_2026_AA_fr")</f>
        <v>ALL_Flexibilität_Ferienplanung_2026_AA_fr</v>
      </c>
      <c r="E10566" s="10" t="str">
        <f>HYPERLINK("https://otsuka-europe-crm.veevavault.com/ui/#object/sent_email__v/VBL00000002U706", "SE-001436594")</f>
        <v>SE-001436594</v>
      </c>
      <c r="F10566" s="11"/>
      <c r="G10566" s="12">
        <v>0</v>
      </c>
      <c r="H10566" s="12">
        <v>0</v>
      </c>
      <c r="I10566" s="12">
        <v>0</v>
      </c>
      <c r="J10566" s="11"/>
      <c r="K10566" s="12">
        <v>0</v>
      </c>
      <c r="L10566" s="10" t="str">
        <f>HYPERLINK("https://otsuka-europe-crm.veevavault.com/ui/#object/approved_document__v/V5O00000001L017", "ALL_Flexibilität_Ferienplanung_2026_AA_fr")</f>
        <v>ALL_Flexibilität_Ferienplanung_2026_AA_fr</v>
      </c>
      <c r="M10566" s="10" t="str">
        <f>HYPERLINK("mailto:yvergari@crm.otsuka-europe.com", "yvergari@crm.otsuka-europe.com")</f>
        <v>yvergari@crm.otsuka-europe.com</v>
      </c>
      <c r="N10566" s="13">
        <v>46188.610439814816</v>
      </c>
      <c r="O10566" s="14" t="str">
        <f>HYPERLINK("https://otsuka-europe-crm.veevavault.com/ui/#object/email_activity__v/V8C00000003V775", "EN-002096340")</f>
        <v>EN-002096340</v>
      </c>
    </row>
    <row r="10567" spans="1:15" ht="32" x14ac:dyDescent="0.2">
      <c r="A10567" s="7" t="str">
        <f>HYPERLINK("https://otsuka-europe-crm.veevavault.com/ui/#object/account__v/V4TZ04ASGAAC7SK", "Stéphanie Mauler de Kalbermatten")</f>
        <v>Stéphanie Mauler de Kalbermatten</v>
      </c>
      <c r="B10567" s="7" t="str">
        <f>HYPERLINK("https://otsuka-europe-crm.veevavault.com/ui/#object/vcountry__v/VENZ000004SONFN", "CH")</f>
        <v>CH</v>
      </c>
      <c r="C10567" s="8" t="s">
        <v>45</v>
      </c>
      <c r="D10567" s="9" t="str">
        <f>HYPERLINK("https://otsuka-europe-crm.veevavault.com/ui/#object/approved_document__v/V5O00000001L017", "ALL_Flexibilität_Ferienplanung_2026_AA_fr")</f>
        <v>ALL_Flexibilität_Ferienplanung_2026_AA_fr</v>
      </c>
      <c r="E10567" s="10" t="str">
        <f>HYPERLINK("https://otsuka-europe-crm.veevavault.com/ui/#object/sent_email__v/VBL00000002U707", "SE-001436595")</f>
        <v>SE-001436595</v>
      </c>
      <c r="F10567" s="11"/>
      <c r="G10567" s="12">
        <v>0</v>
      </c>
      <c r="H10567" s="12">
        <v>0</v>
      </c>
      <c r="I10567" s="12">
        <v>0</v>
      </c>
      <c r="J10567" s="11"/>
      <c r="K10567" s="12">
        <v>0</v>
      </c>
      <c r="L10567" s="10" t="str">
        <f>HYPERLINK("https://otsuka-europe-crm.veevavault.com/ui/#object/approved_document__v/V5O00000001L017", "ALL_Flexibilität_Ferienplanung_2026_AA_fr")</f>
        <v>ALL_Flexibilität_Ferienplanung_2026_AA_fr</v>
      </c>
      <c r="M10567" s="10" t="str">
        <f>HYPERLINK("mailto:yvergari@crm.otsuka-europe.com", "yvergari@crm.otsuka-europe.com")</f>
        <v>yvergari@crm.otsuka-europe.com</v>
      </c>
      <c r="N10567" s="13">
        <v>46188.610439814816</v>
      </c>
      <c r="O10567" s="14" t="str">
        <f>HYPERLINK("https://otsuka-europe-crm.veevavault.com/ui/#object/email_activity__v/V8C00000003V820", "EN-002096385")</f>
        <v>EN-002096385</v>
      </c>
    </row>
    <row r="10568" spans="1:15" ht="32" x14ac:dyDescent="0.2">
      <c r="A10568" s="7" t="str">
        <f>HYPERLINK("https://otsuka-europe-crm.veevavault.com/ui/#object/account__v/V4TZ025E86L9Q1Q", "Antoine Michel Jean-Pierre Levasseur")</f>
        <v>Antoine Michel Jean-Pierre Levasseur</v>
      </c>
      <c r="B10568" s="7" t="str">
        <f>HYPERLINK("https://otsuka-europe-crm.veevavault.com/ui/#object/vcountry__v/VENZ000004SONFN", "CH")</f>
        <v>CH</v>
      </c>
      <c r="C10568" s="8" t="s">
        <v>45</v>
      </c>
      <c r="D10568" s="9" t="str">
        <f>HYPERLINK("https://otsuka-europe-crm.veevavault.com/ui/#object/approved_document__v/V5O00000001L017", "ALL_Flexibilität_Ferienplanung_2026_AA_fr")</f>
        <v>ALL_Flexibilität_Ferienplanung_2026_AA_fr</v>
      </c>
      <c r="E10568" s="10" t="str">
        <f>HYPERLINK("https://otsuka-europe-crm.veevavault.com/ui/#object/sent_email__v/VBL00000002U708", "SE-001436596")</f>
        <v>SE-001436596</v>
      </c>
      <c r="F10568" s="11"/>
      <c r="G10568" s="12">
        <v>0</v>
      </c>
      <c r="H10568" s="12">
        <v>0</v>
      </c>
      <c r="I10568" s="12">
        <v>0</v>
      </c>
      <c r="J10568" s="11"/>
      <c r="K10568" s="12">
        <v>0</v>
      </c>
      <c r="L10568" s="10" t="str">
        <f>HYPERLINK("https://otsuka-europe-crm.veevavault.com/ui/#object/approved_document__v/V5O00000001L017", "ALL_Flexibilität_Ferienplanung_2026_AA_fr")</f>
        <v>ALL_Flexibilität_Ferienplanung_2026_AA_fr</v>
      </c>
      <c r="M10568" s="10" t="str">
        <f>HYPERLINK("mailto:yvergari@crm.otsuka-europe.com", "yvergari@crm.otsuka-europe.com")</f>
        <v>yvergari@crm.otsuka-europe.com</v>
      </c>
      <c r="N10568" s="13">
        <v>46188.610439814816</v>
      </c>
      <c r="O10568" s="14" t="str">
        <f>HYPERLINK("https://otsuka-europe-crm.veevavault.com/ui/#object/email_activity__v/V8C00000003V814", "EN-002096379")</f>
        <v>EN-002096379</v>
      </c>
    </row>
    <row r="10569" spans="1:15" ht="16" x14ac:dyDescent="0.2">
      <c r="A10569" s="17" t="str">
        <f>HYPERLINK("https://otsuka-europe-crm.veevavault.com/ui/#object/account__v/V4TZ025E85HCIM9", "Judith Meylan")</f>
        <v>Judith Meylan</v>
      </c>
      <c r="B10569" s="17" t="str">
        <f>HYPERLINK("https://otsuka-europe-crm.veevavault.com/ui/#object/vcountry__v/VENZ000004SONFN", "CH")</f>
        <v>CH</v>
      </c>
      <c r="C10569" s="20" t="s">
        <v>45</v>
      </c>
      <c r="D10569" s="21" t="str">
        <f>HYPERLINK("https://otsuka-europe-crm.veevavault.com/ui/#object/approved_document__v/V5O00000001L017", "ALL_Flexibilität_Ferienplanung_2026_AA_fr")</f>
        <v>ALL_Flexibilität_Ferienplanung_2026_AA_fr</v>
      </c>
      <c r="E10569" s="22" t="str">
        <f>HYPERLINK("https://otsuka-europe-crm.veevavault.com/ui/#object/sent_email__v/VBL00000002U709", "SE-001436597")</f>
        <v>SE-001436597</v>
      </c>
      <c r="F10569" s="25"/>
      <c r="G10569" s="24">
        <v>0</v>
      </c>
      <c r="H10569" s="24">
        <v>0</v>
      </c>
      <c r="I10569" s="24">
        <v>1</v>
      </c>
      <c r="J10569" s="23">
        <v>46188.626319444447</v>
      </c>
      <c r="K10569" s="24">
        <v>1</v>
      </c>
      <c r="L10569" s="22" t="str">
        <f>HYPERLINK("https://otsuka-europe-crm.veevavault.com/ui/#object/approved_document__v/V5O00000001L017", "ALL_Flexibilität_Ferienplanung_2026_AA_fr")</f>
        <v>ALL_Flexibilität_Ferienplanung_2026_AA_fr</v>
      </c>
      <c r="M10569" s="22" t="str">
        <f>HYPERLINK("mailto:yvergari@crm.otsuka-europe.com", "yvergari@crm.otsuka-europe.com")</f>
        <v>yvergari@crm.otsuka-europe.com</v>
      </c>
      <c r="N10569" s="23">
        <v>46188.610439814816</v>
      </c>
      <c r="O10569" s="14" t="str">
        <f>HYPERLINK("https://otsuka-europe-crm.veevavault.com/ui/#object/email_activity__v/V8C00000003V763", "EN-002096328")</f>
        <v>EN-002096328</v>
      </c>
    </row>
    <row r="10570" spans="1:15" ht="16" x14ac:dyDescent="0.2">
      <c r="A10570" s="18"/>
      <c r="B10570" s="18"/>
      <c r="C10570" s="18"/>
      <c r="D10570" s="18"/>
      <c r="E10570" s="18"/>
      <c r="F10570" s="18"/>
      <c r="G10570" s="18"/>
      <c r="H10570" s="18"/>
      <c r="I10570" s="18"/>
      <c r="J10570" s="18"/>
      <c r="K10570" s="18"/>
      <c r="L10570" s="18"/>
      <c r="M10570" s="18"/>
      <c r="N10570" s="18"/>
      <c r="O10570" s="14" t="str">
        <f>HYPERLINK("https://otsuka-europe-crm.veevavault.com/ui/#object/email_activity__v/V8C00000003V844", "EN-002096414")</f>
        <v>EN-002096414</v>
      </c>
    </row>
    <row r="10571" spans="1:15" ht="16" x14ac:dyDescent="0.2">
      <c r="A10571" s="18"/>
      <c r="B10571" s="18"/>
      <c r="C10571" s="18"/>
      <c r="D10571" s="18"/>
      <c r="E10571" s="18"/>
      <c r="F10571" s="18"/>
      <c r="G10571" s="18"/>
      <c r="H10571" s="18"/>
      <c r="I10571" s="18"/>
      <c r="J10571" s="18"/>
      <c r="K10571" s="18"/>
      <c r="L10571" s="18"/>
      <c r="M10571" s="18"/>
      <c r="N10571" s="18"/>
      <c r="O10571" s="14" t="str">
        <f>HYPERLINK("https://otsuka-europe-crm.veevavault.com/ui/#object/email_activity__v/V8C00000003V846", "EN-002096416")</f>
        <v>EN-002096416</v>
      </c>
    </row>
    <row r="10572" spans="1:15" ht="16" x14ac:dyDescent="0.2">
      <c r="A10572" s="19"/>
      <c r="B10572" s="19"/>
      <c r="C10572" s="19"/>
      <c r="D10572" s="19"/>
      <c r="E10572" s="19"/>
      <c r="F10572" s="19"/>
      <c r="G10572" s="19"/>
      <c r="H10572" s="19"/>
      <c r="I10572" s="19"/>
      <c r="J10572" s="19"/>
      <c r="K10572" s="19"/>
      <c r="L10572" s="19"/>
      <c r="M10572" s="19"/>
      <c r="N10572" s="19"/>
      <c r="O10572" s="14" t="str">
        <f>HYPERLINK("https://otsuka-europe-crm.veevavault.com/ui/#object/email_activity__v/V8C000000041810", "EN-002101338")</f>
        <v>EN-002101338</v>
      </c>
    </row>
    <row r="10573" spans="1:15" ht="16" x14ac:dyDescent="0.2">
      <c r="A10573" s="17" t="str">
        <f>HYPERLINK("https://otsuka-europe-crm.veevavault.com/ui/#object/account__v/V4TZ0000062RSQ2", "Josiane Montandon")</f>
        <v>Josiane Montandon</v>
      </c>
      <c r="B10573" s="17" t="str">
        <f>HYPERLINK("https://otsuka-europe-crm.veevavault.com/ui/#object/vcountry__v/VENZ000004SONFN", "CH")</f>
        <v>CH</v>
      </c>
      <c r="C10573" s="20" t="s">
        <v>45</v>
      </c>
      <c r="D10573" s="21" t="str">
        <f>HYPERLINK("https://otsuka-europe-crm.veevavault.com/ui/#object/approved_document__v/V5O00000001L017", "ALL_Flexibilität_Ferienplanung_2026_AA_fr")</f>
        <v>ALL_Flexibilität_Ferienplanung_2026_AA_fr</v>
      </c>
      <c r="E10573" s="22" t="str">
        <f>HYPERLINK("https://otsuka-europe-crm.veevavault.com/ui/#object/sent_email__v/VBL00000002U710", "SE-001436598")</f>
        <v>SE-001436598</v>
      </c>
      <c r="F10573" s="25"/>
      <c r="G10573" s="24">
        <v>0</v>
      </c>
      <c r="H10573" s="24">
        <v>0</v>
      </c>
      <c r="I10573" s="24">
        <v>0</v>
      </c>
      <c r="J10573" s="25"/>
      <c r="K10573" s="24">
        <v>0</v>
      </c>
      <c r="L10573" s="22" t="str">
        <f>HYPERLINK("https://otsuka-europe-crm.veevavault.com/ui/#object/approved_document__v/V5O00000001L017", "ALL_Flexibilität_Ferienplanung_2026_AA_fr")</f>
        <v>ALL_Flexibilität_Ferienplanung_2026_AA_fr</v>
      </c>
      <c r="M10573" s="22" t="str">
        <f>HYPERLINK("mailto:yvergari@crm.otsuka-europe.com", "yvergari@crm.otsuka-europe.com")</f>
        <v>yvergari@crm.otsuka-europe.com</v>
      </c>
      <c r="N10573" s="23">
        <v>46188.61041666667</v>
      </c>
      <c r="O10573" s="14" t="str">
        <f>HYPERLINK("https://otsuka-europe-crm.veevavault.com/ui/#object/email_activity__v/V8C00000003V819", "EN-002096384")</f>
        <v>EN-002096384</v>
      </c>
    </row>
    <row r="10574" spans="1:15" ht="16" x14ac:dyDescent="0.2">
      <c r="A10574" s="19"/>
      <c r="B10574" s="19"/>
      <c r="C10574" s="19"/>
      <c r="D10574" s="19"/>
      <c r="E10574" s="19"/>
      <c r="F10574" s="19"/>
      <c r="G10574" s="19"/>
      <c r="H10574" s="19"/>
      <c r="I10574" s="19"/>
      <c r="J10574" s="19"/>
      <c r="K10574" s="19"/>
      <c r="L10574" s="19"/>
      <c r="M10574" s="19"/>
      <c r="N10574" s="19"/>
      <c r="O10574" s="14" t="str">
        <f>HYPERLINK("https://otsuka-europe-crm.veevavault.com/ui/#object/email_activity__v/V8C00000003W204", "EN-002097129")</f>
        <v>EN-002097129</v>
      </c>
    </row>
    <row r="10575" spans="1:15" ht="32" x14ac:dyDescent="0.2">
      <c r="A10575" s="7" t="str">
        <f>HYPERLINK("https://otsuka-europe-crm.veevavault.com/ui/#object/account__v/V4TZ0000062RSQ5", "Fabrice Montavon")</f>
        <v>Fabrice Montavon</v>
      </c>
      <c r="B10575" s="7" t="str">
        <f>HYPERLINK("https://otsuka-europe-crm.veevavault.com/ui/#object/vcountry__v/VENZ000004SONFN", "CH")</f>
        <v>CH</v>
      </c>
      <c r="C10575" s="8" t="s">
        <v>45</v>
      </c>
      <c r="D10575" s="9" t="str">
        <f>HYPERLINK("https://otsuka-europe-crm.veevavault.com/ui/#object/approved_document__v/V5O00000001L017", "ALL_Flexibilität_Ferienplanung_2026_AA_fr")</f>
        <v>ALL_Flexibilität_Ferienplanung_2026_AA_fr</v>
      </c>
      <c r="E10575" s="10" t="str">
        <f>HYPERLINK("https://otsuka-europe-crm.veevavault.com/ui/#object/sent_email__v/VBL00000002U711", "SE-001436599")</f>
        <v>SE-001436599</v>
      </c>
      <c r="F10575" s="11"/>
      <c r="G10575" s="12">
        <v>0</v>
      </c>
      <c r="H10575" s="12">
        <v>0</v>
      </c>
      <c r="I10575" s="12">
        <v>0</v>
      </c>
      <c r="J10575" s="11"/>
      <c r="K10575" s="12">
        <v>0</v>
      </c>
      <c r="L10575" s="10" t="str">
        <f>HYPERLINK("https://otsuka-europe-crm.veevavault.com/ui/#object/approved_document__v/V5O00000001L017", "ALL_Flexibilität_Ferienplanung_2026_AA_fr")</f>
        <v>ALL_Flexibilität_Ferienplanung_2026_AA_fr</v>
      </c>
      <c r="M10575" s="10" t="str">
        <f>HYPERLINK("mailto:yvergari@crm.otsuka-europe.com", "yvergari@crm.otsuka-europe.com")</f>
        <v>yvergari@crm.otsuka-europe.com</v>
      </c>
      <c r="N10575" s="13">
        <v>46188.61041666667</v>
      </c>
      <c r="O10575" s="14" t="str">
        <f>HYPERLINK("https://otsuka-europe-crm.veevavault.com/ui/#object/email_activity__v/V8C00000003V781", "EN-002096346")</f>
        <v>EN-002096346</v>
      </c>
    </row>
    <row r="10576" spans="1:15" ht="16" x14ac:dyDescent="0.2">
      <c r="A10576" s="17" t="str">
        <f>HYPERLINK("https://otsuka-europe-crm.veevavault.com/ui/#object/account__v/V4TZ0000062R877", "Aimé Lokofe")</f>
        <v>Aimé Lokofe</v>
      </c>
      <c r="B10576" s="17" t="str">
        <f>HYPERLINK("https://otsuka-europe-crm.veevavault.com/ui/#object/vcountry__v/VENZ000004SONFN", "CH")</f>
        <v>CH</v>
      </c>
      <c r="C10576" s="20" t="s">
        <v>45</v>
      </c>
      <c r="D10576" s="21" t="str">
        <f>HYPERLINK("https://otsuka-europe-crm.veevavault.com/ui/#object/approved_document__v/V5O00000001L017", "ALL_Flexibilität_Ferienplanung_2026_AA_fr")</f>
        <v>ALL_Flexibilität_Ferienplanung_2026_AA_fr</v>
      </c>
      <c r="E10576" s="22" t="str">
        <f>HYPERLINK("https://otsuka-europe-crm.veevavault.com/ui/#object/sent_email__v/VBL00000002U712", "SE-001436600")</f>
        <v>SE-001436600</v>
      </c>
      <c r="F10576" s="23">
        <v>46188.789479166669</v>
      </c>
      <c r="G10576" s="24">
        <v>1</v>
      </c>
      <c r="H10576" s="24">
        <v>1</v>
      </c>
      <c r="I10576" s="24">
        <v>0</v>
      </c>
      <c r="J10576" s="25"/>
      <c r="K10576" s="24">
        <v>0</v>
      </c>
      <c r="L10576" s="22" t="str">
        <f>HYPERLINK("https://otsuka-europe-crm.veevavault.com/ui/#object/approved_document__v/V5O00000001L017", "ALL_Flexibilität_Ferienplanung_2026_AA_fr")</f>
        <v>ALL_Flexibilität_Ferienplanung_2026_AA_fr</v>
      </c>
      <c r="M10576" s="22" t="str">
        <f>HYPERLINK("mailto:yvergari@crm.otsuka-europe.com", "yvergari@crm.otsuka-europe.com")</f>
        <v>yvergari@crm.otsuka-europe.com</v>
      </c>
      <c r="N10576" s="23">
        <v>46188.61041666667</v>
      </c>
      <c r="O10576" s="14" t="str">
        <f>HYPERLINK("https://otsuka-europe-crm.veevavault.com/ui/#object/email_activity__v/V8C00000003U819", "EN-002096553")</f>
        <v>EN-002096553</v>
      </c>
    </row>
    <row r="10577" spans="1:15" ht="16" x14ac:dyDescent="0.2">
      <c r="A10577" s="19"/>
      <c r="B10577" s="19"/>
      <c r="C10577" s="19"/>
      <c r="D10577" s="19"/>
      <c r="E10577" s="19"/>
      <c r="F10577" s="19"/>
      <c r="G10577" s="19"/>
      <c r="H10577" s="19"/>
      <c r="I10577" s="19"/>
      <c r="J10577" s="19"/>
      <c r="K10577" s="19"/>
      <c r="L10577" s="19"/>
      <c r="M10577" s="19"/>
      <c r="N10577" s="19"/>
      <c r="O10577" s="14" t="str">
        <f>HYPERLINK("https://otsuka-europe-crm.veevavault.com/ui/#object/email_activity__v/V8C00000003V818", "EN-002096383")</f>
        <v>EN-002096383</v>
      </c>
    </row>
    <row r="10578" spans="1:15" ht="32" x14ac:dyDescent="0.2">
      <c r="A10578" s="7" t="str">
        <f>HYPERLINK("https://otsuka-europe-crm.veevavault.com/ui/#object/account__v/V4TZ025E82IQH3M", "Nicole Karina Nicolaiko Temperly")</f>
        <v>Nicole Karina Nicolaiko Temperly</v>
      </c>
      <c r="B10578" s="7" t="str">
        <f>HYPERLINK("https://otsuka-europe-crm.veevavault.com/ui/#object/vcountry__v/VENZ000004SONFN", "CH")</f>
        <v>CH</v>
      </c>
      <c r="C10578" s="8" t="s">
        <v>45</v>
      </c>
      <c r="D10578" s="9" t="str">
        <f>HYPERLINK("https://otsuka-europe-crm.veevavault.com/ui/#object/approved_document__v/V5O00000001L017", "ALL_Flexibilität_Ferienplanung_2026_AA_fr")</f>
        <v>ALL_Flexibilität_Ferienplanung_2026_AA_fr</v>
      </c>
      <c r="E10578" s="10" t="str">
        <f>HYPERLINK("https://otsuka-europe-crm.veevavault.com/ui/#object/sent_email__v/VBL00000002U713", "SE-001436601")</f>
        <v>SE-001436601</v>
      </c>
      <c r="F10578" s="11"/>
      <c r="G10578" s="12">
        <v>0</v>
      </c>
      <c r="H10578" s="12">
        <v>0</v>
      </c>
      <c r="I10578" s="12">
        <v>0</v>
      </c>
      <c r="J10578" s="11"/>
      <c r="K10578" s="12">
        <v>0</v>
      </c>
      <c r="L10578" s="10" t="str">
        <f>HYPERLINK("https://otsuka-europe-crm.veevavault.com/ui/#object/approved_document__v/V5O00000001L017", "ALL_Flexibilität_Ferienplanung_2026_AA_fr")</f>
        <v>ALL_Flexibilität_Ferienplanung_2026_AA_fr</v>
      </c>
      <c r="M10578" s="10" t="str">
        <f>HYPERLINK("mailto:yvergari@crm.otsuka-europe.com", "yvergari@crm.otsuka-europe.com")</f>
        <v>yvergari@crm.otsuka-europe.com</v>
      </c>
      <c r="N10578" s="13">
        <v>46188.61041666667</v>
      </c>
      <c r="O10578" s="14" t="str">
        <f>HYPERLINK("https://otsuka-europe-crm.veevavault.com/ui/#object/email_activity__v/V8C00000003V791", "EN-002096356")</f>
        <v>EN-002096356</v>
      </c>
    </row>
    <row r="10579" spans="1:15" ht="32" x14ac:dyDescent="0.2">
      <c r="A10579" s="7" t="str">
        <f>HYPERLINK("https://otsuka-europe-crm.veevavault.com/ui/#object/account__v/V4TZ04ASGBNVG8M", "Flavius-Manuel Mateiciuc")</f>
        <v>Flavius-Manuel Mateiciuc</v>
      </c>
      <c r="B10579" s="7" t="str">
        <f>HYPERLINK("https://otsuka-europe-crm.veevavault.com/ui/#object/vcountry__v/VENZ000004SONFN", "CH")</f>
        <v>CH</v>
      </c>
      <c r="C10579" s="8" t="s">
        <v>45</v>
      </c>
      <c r="D10579" s="9" t="str">
        <f>HYPERLINK("https://otsuka-europe-crm.veevavault.com/ui/#object/approved_document__v/V5O00000001L017", "ALL_Flexibilität_Ferienplanung_2026_AA_fr")</f>
        <v>ALL_Flexibilität_Ferienplanung_2026_AA_fr</v>
      </c>
      <c r="E10579" s="10" t="str">
        <f>HYPERLINK("https://otsuka-europe-crm.veevavault.com/ui/#object/sent_email__v/VBL00000002U714", "SE-001436602")</f>
        <v>SE-001436602</v>
      </c>
      <c r="F10579" s="11"/>
      <c r="G10579" s="12">
        <v>0</v>
      </c>
      <c r="H10579" s="12">
        <v>0</v>
      </c>
      <c r="I10579" s="12">
        <v>0</v>
      </c>
      <c r="J10579" s="11"/>
      <c r="K10579" s="12">
        <v>0</v>
      </c>
      <c r="L10579" s="10" t="str">
        <f>HYPERLINK("https://otsuka-europe-crm.veevavault.com/ui/#object/approved_document__v/V5O00000001L017", "ALL_Flexibilität_Ferienplanung_2026_AA_fr")</f>
        <v>ALL_Flexibilität_Ferienplanung_2026_AA_fr</v>
      </c>
      <c r="M10579" s="10" t="str">
        <f>HYPERLINK("mailto:yvergari@crm.otsuka-europe.com", "yvergari@crm.otsuka-europe.com")</f>
        <v>yvergari@crm.otsuka-europe.com</v>
      </c>
      <c r="N10579" s="13">
        <v>46188.61041666667</v>
      </c>
      <c r="O10579" s="14" t="str">
        <f>HYPERLINK("https://otsuka-europe-crm.veevavault.com/ui/#object/email_activity__v/V8C00000003V782", "EN-002096347")</f>
        <v>EN-002096347</v>
      </c>
    </row>
    <row r="10580" spans="1:15" ht="32" x14ac:dyDescent="0.2">
      <c r="A10580" s="7" t="str">
        <f>HYPERLINK("https://otsuka-europe-crm.veevavault.com/ui/#object/account__v/V4TZ025E86QU8SQ", "Pierre Marquet")</f>
        <v>Pierre Marquet</v>
      </c>
      <c r="B10580" s="7" t="str">
        <f>HYPERLINK("https://otsuka-europe-crm.veevavault.com/ui/#object/vcountry__v/VENZ000004SONFN", "CH")</f>
        <v>CH</v>
      </c>
      <c r="C10580" s="8" t="s">
        <v>45</v>
      </c>
      <c r="D10580" s="9" t="str">
        <f>HYPERLINK("https://otsuka-europe-crm.veevavault.com/ui/#object/approved_document__v/V5O00000001L017", "ALL_Flexibilität_Ferienplanung_2026_AA_fr")</f>
        <v>ALL_Flexibilität_Ferienplanung_2026_AA_fr</v>
      </c>
      <c r="E10580" s="10" t="str">
        <f>HYPERLINK("https://otsuka-europe-crm.veevavault.com/ui/#object/sent_email__v/VBL00000002U715", "SE-001436603")</f>
        <v>SE-001436603</v>
      </c>
      <c r="F10580" s="11"/>
      <c r="G10580" s="12">
        <v>0</v>
      </c>
      <c r="H10580" s="12">
        <v>0</v>
      </c>
      <c r="I10580" s="12">
        <v>0</v>
      </c>
      <c r="J10580" s="11"/>
      <c r="K10580" s="12">
        <v>0</v>
      </c>
      <c r="L10580" s="10" t="str">
        <f>HYPERLINK("https://otsuka-europe-crm.veevavault.com/ui/#object/approved_document__v/V5O00000001L017", "ALL_Flexibilität_Ferienplanung_2026_AA_fr")</f>
        <v>ALL_Flexibilität_Ferienplanung_2026_AA_fr</v>
      </c>
      <c r="M10580" s="10" t="str">
        <f>HYPERLINK("mailto:yvergari@crm.otsuka-europe.com", "yvergari@crm.otsuka-europe.com")</f>
        <v>yvergari@crm.otsuka-europe.com</v>
      </c>
      <c r="N10580" s="13">
        <v>46188.61041666667</v>
      </c>
      <c r="O10580" s="14" t="str">
        <f>HYPERLINK("https://otsuka-europe-crm.veevavault.com/ui/#object/email_activity__v/V8C00000003V815", "EN-002096380")</f>
        <v>EN-002096380</v>
      </c>
    </row>
    <row r="10581" spans="1:15" ht="16" x14ac:dyDescent="0.2">
      <c r="A10581" s="17" t="str">
        <f>HYPERLINK("https://otsuka-europe-crm.veevavault.com/ui/#object/account__v/V4TZ04ASG79SYX9", "Chloé Nagels Dahan")</f>
        <v>Chloé Nagels Dahan</v>
      </c>
      <c r="B10581" s="17" t="str">
        <f>HYPERLINK("https://otsuka-europe-crm.veevavault.com/ui/#object/vcountry__v/VENZ000004SONFN", "CH")</f>
        <v>CH</v>
      </c>
      <c r="C10581" s="20" t="s">
        <v>45</v>
      </c>
      <c r="D10581" s="21" t="str">
        <f>HYPERLINK("https://otsuka-europe-crm.veevavault.com/ui/#object/approved_document__v/V5O00000001L017", "ALL_Flexibilität_Ferienplanung_2026_AA_fr")</f>
        <v>ALL_Flexibilität_Ferienplanung_2026_AA_fr</v>
      </c>
      <c r="E10581" s="22" t="str">
        <f>HYPERLINK("https://otsuka-europe-crm.veevavault.com/ui/#object/sent_email__v/VBL00000002U716", "SE-001436604")</f>
        <v>SE-001436604</v>
      </c>
      <c r="F10581" s="23">
        <v>46188.761608796296</v>
      </c>
      <c r="G10581" s="24">
        <v>1</v>
      </c>
      <c r="H10581" s="24">
        <v>1</v>
      </c>
      <c r="I10581" s="24">
        <v>0</v>
      </c>
      <c r="J10581" s="25"/>
      <c r="K10581" s="24">
        <v>0</v>
      </c>
      <c r="L10581" s="22" t="str">
        <f>HYPERLINK("https://otsuka-europe-crm.veevavault.com/ui/#object/approved_document__v/V5O00000001L017", "ALL_Flexibilität_Ferienplanung_2026_AA_fr")</f>
        <v>ALL_Flexibilität_Ferienplanung_2026_AA_fr</v>
      </c>
      <c r="M10581" s="22" t="str">
        <f>HYPERLINK("mailto:yvergari@crm.otsuka-europe.com", "yvergari@crm.otsuka-europe.com")</f>
        <v>yvergari@crm.otsuka-europe.com</v>
      </c>
      <c r="N10581" s="23">
        <v>46188.61041666667</v>
      </c>
      <c r="O10581" s="14" t="str">
        <f>HYPERLINK("https://otsuka-europe-crm.veevavault.com/ui/#object/email_activity__v/V8C00000003V794", "EN-002096359")</f>
        <v>EN-002096359</v>
      </c>
    </row>
    <row r="10582" spans="1:15" ht="16" x14ac:dyDescent="0.2">
      <c r="A10582" s="19"/>
      <c r="B10582" s="19"/>
      <c r="C10582" s="19"/>
      <c r="D10582" s="19"/>
      <c r="E10582" s="19"/>
      <c r="F10582" s="19"/>
      <c r="G10582" s="19"/>
      <c r="H10582" s="19"/>
      <c r="I10582" s="19"/>
      <c r="J10582" s="19"/>
      <c r="K10582" s="19"/>
      <c r="L10582" s="19"/>
      <c r="M10582" s="19"/>
      <c r="N10582" s="19"/>
      <c r="O10582" s="14" t="str">
        <f>HYPERLINK("https://otsuka-europe-crm.veevavault.com/ui/#object/email_activity__v/V8C00000003V913", "EN-002096539")</f>
        <v>EN-002096539</v>
      </c>
    </row>
    <row r="10583" spans="1:15" ht="16" x14ac:dyDescent="0.2">
      <c r="A10583" s="17" t="str">
        <f>HYPERLINK("https://otsuka-europe-crm.veevavault.com/ui/#object/account__v/V4TZ025E877UEAZ", "Konstantin Léo Pavlopoulos")</f>
        <v>Konstantin Léo Pavlopoulos</v>
      </c>
      <c r="B10583" s="17" t="str">
        <f>HYPERLINK("https://otsuka-europe-crm.veevavault.com/ui/#object/vcountry__v/VENZ000004SONFN", "CH")</f>
        <v>CH</v>
      </c>
      <c r="C10583" s="20" t="s">
        <v>45</v>
      </c>
      <c r="D10583" s="21" t="str">
        <f>HYPERLINK("https://otsuka-europe-crm.veevavault.com/ui/#object/approved_document__v/V5O00000001L017", "ALL_Flexibilität_Ferienplanung_2026_AA_fr")</f>
        <v>ALL_Flexibilität_Ferienplanung_2026_AA_fr</v>
      </c>
      <c r="E10583" s="22" t="str">
        <f>HYPERLINK("https://otsuka-europe-crm.veevavault.com/ui/#object/sent_email__v/VBL00000002U717", "SE-001436605")</f>
        <v>SE-001436605</v>
      </c>
      <c r="F10583" s="23">
        <v>46190.356273148151</v>
      </c>
      <c r="G10583" s="24">
        <v>1</v>
      </c>
      <c r="H10583" s="24">
        <v>1</v>
      </c>
      <c r="I10583" s="24">
        <v>1</v>
      </c>
      <c r="J10583" s="23">
        <v>46190.356273148151</v>
      </c>
      <c r="K10583" s="24">
        <v>1</v>
      </c>
      <c r="L10583" s="22" t="str">
        <f>HYPERLINK("https://otsuka-europe-crm.veevavault.com/ui/#object/approved_document__v/V5O00000001L017", "ALL_Flexibilität_Ferienplanung_2026_AA_fr")</f>
        <v>ALL_Flexibilität_Ferienplanung_2026_AA_fr</v>
      </c>
      <c r="M10583" s="22" t="str">
        <f>HYPERLINK("mailto:yvergari@crm.otsuka-europe.com", "yvergari@crm.otsuka-europe.com")</f>
        <v>yvergari@crm.otsuka-europe.com</v>
      </c>
      <c r="N10583" s="23">
        <v>46188.61041666667</v>
      </c>
      <c r="O10583" s="14" t="str">
        <f>HYPERLINK("https://otsuka-europe-crm.veevavault.com/ui/#object/email_activity__v/V8C00000003V757", "EN-002096322")</f>
        <v>EN-002096322</v>
      </c>
    </row>
    <row r="10584" spans="1:15" ht="16" x14ac:dyDescent="0.2">
      <c r="A10584" s="18"/>
      <c r="B10584" s="18"/>
      <c r="C10584" s="18"/>
      <c r="D10584" s="18"/>
      <c r="E10584" s="18"/>
      <c r="F10584" s="18"/>
      <c r="G10584" s="18"/>
      <c r="H10584" s="18"/>
      <c r="I10584" s="18"/>
      <c r="J10584" s="18"/>
      <c r="K10584" s="18"/>
      <c r="L10584" s="18"/>
      <c r="M10584" s="18"/>
      <c r="N10584" s="18"/>
      <c r="O10584" s="14" t="str">
        <f>HYPERLINK("https://otsuka-europe-crm.veevavault.com/ui/#object/email_activity__v/V8C00000003W637", "EN-002098264")</f>
        <v>EN-002098264</v>
      </c>
    </row>
    <row r="10585" spans="1:15" ht="16" x14ac:dyDescent="0.2">
      <c r="A10585" s="19"/>
      <c r="B10585" s="19"/>
      <c r="C10585" s="19"/>
      <c r="D10585" s="19"/>
      <c r="E10585" s="19"/>
      <c r="F10585" s="19"/>
      <c r="G10585" s="19"/>
      <c r="H10585" s="19"/>
      <c r="I10585" s="19"/>
      <c r="J10585" s="19"/>
      <c r="K10585" s="19"/>
      <c r="L10585" s="19"/>
      <c r="M10585" s="19"/>
      <c r="N10585" s="19"/>
      <c r="O10585" s="14" t="str">
        <f>HYPERLINK("https://otsuka-europe-crm.veevavault.com/ui/#object/email_activity__v/V8C00000003W638", "EN-002098262")</f>
        <v>EN-002098262</v>
      </c>
    </row>
    <row r="10586" spans="1:15" ht="32" x14ac:dyDescent="0.2">
      <c r="A10586" s="7" t="str">
        <f>HYPERLINK("https://otsuka-europe-crm.veevavault.com/ui/#object/account__v/V4T000000024032", "June Milne")</f>
        <v>June Milne</v>
      </c>
      <c r="B10586" s="7" t="str">
        <f>HYPERLINK("https://otsuka-europe-crm.veevavault.com/ui/#object/vcountry__v/VENZ000004SONFK", "GB")</f>
        <v>GB</v>
      </c>
      <c r="C10586" s="8" t="s">
        <v>39</v>
      </c>
      <c r="D10586" s="9" t="str">
        <f>HYPERLINK("https://otsuka-europe-crm.veevavault.com/ui/#object/approved_document__v/V5OZ025E82PXJSL", "Otsuka Privacy Notice - UK (v2)")</f>
        <v>Otsuka Privacy Notice - UK (v2)</v>
      </c>
      <c r="E10586" s="10" t="str">
        <f>HYPERLINK("https://otsuka-europe-crm.veevavault.com/ui/#object/sent_email__v/VBL00000002T411", "SE-001436606")</f>
        <v>SE-001436606</v>
      </c>
      <c r="F10586" s="11"/>
      <c r="G10586" s="12">
        <v>0</v>
      </c>
      <c r="H10586" s="12">
        <v>0</v>
      </c>
      <c r="I10586" s="12">
        <v>0</v>
      </c>
      <c r="J10586" s="11"/>
      <c r="K10586" s="12">
        <v>0</v>
      </c>
      <c r="L10586" s="10" t="str">
        <f>HYPERLINK("https://otsuka-europe-crm.veevavault.com/ui/#object/approved_document__v/V5OZ025E82PXJSL", "Otsuka Privacy Notice - UK (v2)")</f>
        <v>Otsuka Privacy Notice - UK (v2)</v>
      </c>
      <c r="M10586" s="10" t="str">
        <f>HYPERLINK("mailto:ldimambro@crm.otsuka-europe.com", "ldimambro@crm.otsuka-europe.com")</f>
        <v>ldimambro@crm.otsuka-europe.com</v>
      </c>
      <c r="N10586" s="13">
        <v>46188.611956018518</v>
      </c>
      <c r="O10586" s="14" t="str">
        <f>HYPERLINK("https://otsuka-europe-crm.veevavault.com/ui/#object/email_activity__v/V8C00000003V828", "EN-002096393")</f>
        <v>EN-002096393</v>
      </c>
    </row>
    <row r="10587" spans="1:15" ht="16" x14ac:dyDescent="0.2">
      <c r="A10587" s="17" t="str">
        <f>HYPERLINK("https://otsuka-europe-crm.veevavault.com/ui/#object/account__v/V4T000000024032", "June Milne")</f>
        <v>June Milne</v>
      </c>
      <c r="B10587" s="17" t="str">
        <f>HYPERLINK("https://otsuka-europe-crm.veevavault.com/ui/#object/vcountry__v/VENZ000004SONFK", "GB")</f>
        <v>GB</v>
      </c>
      <c r="C10587" s="20" t="s">
        <v>39</v>
      </c>
      <c r="D10587" s="21" t="str">
        <f>HYPERLINK("https://otsuka-europe-crm.veevavault.com/ui/#object/approved_document__v/V5O00000000D081", "UK - Consent Email 1 Aug 25")</f>
        <v>UK - Consent Email 1 Aug 25</v>
      </c>
      <c r="E10587" s="22" t="str">
        <f>HYPERLINK("https://otsuka-europe-crm.veevavault.com/ui/#object/sent_email__v/VBL00000002T412", "SE-001436607")</f>
        <v>SE-001436607</v>
      </c>
      <c r="F10587" s="23">
        <v>46188.684236111112</v>
      </c>
      <c r="G10587" s="24">
        <v>1</v>
      </c>
      <c r="H10587" s="24">
        <v>1</v>
      </c>
      <c r="I10587" s="24">
        <v>1</v>
      </c>
      <c r="J10587" s="23">
        <v>46188.684236111112</v>
      </c>
      <c r="K10587" s="24">
        <v>1</v>
      </c>
      <c r="L10587" s="22" t="str">
        <f>HYPERLINK("https://otsuka-europe-crm.veevavault.com/ui/#object/approved_document__v/V5O00000000D081", "UK - Consent Email 1 Aug 25")</f>
        <v>UK - Consent Email 1 Aug 25</v>
      </c>
      <c r="M10587" s="22" t="str">
        <f>HYPERLINK("mailto:ldimambro@crm.otsuka-europe.com", "ldimambro@crm.otsuka-europe.com")</f>
        <v>ldimambro@crm.otsuka-europe.com</v>
      </c>
      <c r="N10587" s="23">
        <v>46188.613043981481</v>
      </c>
      <c r="O10587" s="14" t="str">
        <f>HYPERLINK("https://otsuka-europe-crm.veevavault.com/ui/#object/email_activity__v/V8C00000003U752", "EN-002096394")</f>
        <v>EN-002096394</v>
      </c>
    </row>
    <row r="10588" spans="1:15" ht="16" x14ac:dyDescent="0.2">
      <c r="A10588" s="18"/>
      <c r="B10588" s="18"/>
      <c r="C10588" s="18"/>
      <c r="D10588" s="18"/>
      <c r="E10588" s="18"/>
      <c r="F10588" s="18"/>
      <c r="G10588" s="18"/>
      <c r="H10588" s="18"/>
      <c r="I10588" s="18"/>
      <c r="J10588" s="18"/>
      <c r="K10588" s="18"/>
      <c r="L10588" s="18"/>
      <c r="M10588" s="18"/>
      <c r="N10588" s="18"/>
      <c r="O10588" s="14" t="str">
        <f>HYPERLINK("https://otsuka-europe-crm.veevavault.com/ui/#object/email_activity__v/V8C00000003U778", "EN-002096470")</f>
        <v>EN-002096470</v>
      </c>
    </row>
    <row r="10589" spans="1:15" ht="16" x14ac:dyDescent="0.2">
      <c r="A10589" s="19"/>
      <c r="B10589" s="19"/>
      <c r="C10589" s="19"/>
      <c r="D10589" s="19"/>
      <c r="E10589" s="19"/>
      <c r="F10589" s="19"/>
      <c r="G10589" s="19"/>
      <c r="H10589" s="19"/>
      <c r="I10589" s="19"/>
      <c r="J10589" s="19"/>
      <c r="K10589" s="19"/>
      <c r="L10589" s="19"/>
      <c r="M10589" s="19"/>
      <c r="N10589" s="19"/>
      <c r="O10589" s="14" t="str">
        <f>HYPERLINK("https://otsuka-europe-crm.veevavault.com/ui/#object/email_activity__v/V8C00000003U779", "EN-002096469")</f>
        <v>EN-002096469</v>
      </c>
    </row>
    <row r="10590" spans="1:15" ht="64" x14ac:dyDescent="0.2">
      <c r="A10590" s="7" t="str">
        <f>HYPERLINK("https://otsuka-europe-crm.veevavault.com/ui/#object/account__v/V4TZ06G6O71S9TV", "ADELIA SAGLIOCCA")</f>
        <v>ADELIA SAGLIOCCA</v>
      </c>
      <c r="B10590" s="7" t="str">
        <f t="shared" ref="B10590:B10602" si="790">HYPERLINK("https://otsuka-europe-crm.veevavault.com/ui/#object/vcountry__v/VENZ000004SONFQ", "IT")</f>
        <v>IT</v>
      </c>
      <c r="C10590" s="8" t="s">
        <v>44</v>
      </c>
      <c r="D10590" s="9" t="str">
        <f t="shared" ref="D10590:D10602" si="791">HYPERLINK("https://otsuka-europe-crm.veevavault.com/ui/#object/approved_document__v/V5O00000000G061", "AE - AGGIORNAMENTI SEZIONE APPROFONDIMENTI NEFRO IT-NPR-2500150")</f>
        <v>AE - AGGIORNAMENTI SEZIONE APPROFONDIMENTI NEFRO IT-NPR-2500150</v>
      </c>
      <c r="E10590" s="10" t="str">
        <f>HYPERLINK("https://otsuka-europe-crm.veevavault.com/ui/#object/sent_email__v/VBL00000002U718", "SE-001436608")</f>
        <v>SE-001436608</v>
      </c>
      <c r="F10590" s="11"/>
      <c r="G10590" s="12">
        <v>0</v>
      </c>
      <c r="H10590" s="12">
        <v>0</v>
      </c>
      <c r="I10590" s="12">
        <v>0</v>
      </c>
      <c r="J10590" s="11"/>
      <c r="K10590" s="12">
        <v>0</v>
      </c>
      <c r="L10590" s="10" t="str">
        <f t="shared" ref="L10590:L10602" si="792">HYPERLINK("https://otsuka-europe-crm.veevavault.com/ui/#object/approved_document__v/V5O00000000G061", "AE - AGGIORNAMENTI SEZIONE APPROFONDIMENTI NEFRO IT-NPR-2500150")</f>
        <v>AE - AGGIORNAMENTI SEZIONE APPROFONDIMENTI NEFRO IT-NPR-2500150</v>
      </c>
      <c r="M10590" s="10" t="str">
        <f t="shared" ref="M10590:M10602" si="793">HYPERLINK("mailto:giada.camassa@outsuka.it", "giada.camassa@outsuka.it")</f>
        <v>giada.camassa@outsuka.it</v>
      </c>
      <c r="N10590" s="13">
        <v>46190.339930555558</v>
      </c>
      <c r="O10590" s="14" t="str">
        <f>HYPERLINK("https://otsuka-europe-crm.veevavault.com/ui/#object/email_activity__v/V8C00000003X777", "EN-002098182")</f>
        <v>EN-002098182</v>
      </c>
    </row>
    <row r="10591" spans="1:15" ht="64" x14ac:dyDescent="0.2">
      <c r="A10591" s="7" t="str">
        <f>HYPERLINK("https://otsuka-europe-crm.veevavault.com/ui/#object/account__v/V4TZ06G6O71SBJZ", "AGATA MOLLICA")</f>
        <v>AGATA MOLLICA</v>
      </c>
      <c r="B10591" s="7" t="str">
        <f t="shared" si="790"/>
        <v>IT</v>
      </c>
      <c r="C10591" s="8" t="s">
        <v>44</v>
      </c>
      <c r="D10591" s="9" t="str">
        <f t="shared" si="791"/>
        <v>AE - AGGIORNAMENTI SEZIONE APPROFONDIMENTI NEFRO IT-NPR-2500150</v>
      </c>
      <c r="E10591" s="10" t="str">
        <f>HYPERLINK("https://otsuka-europe-crm.veevavault.com/ui/#object/sent_email__v/VBL00000002U719", "SE-001436609")</f>
        <v>SE-001436609</v>
      </c>
      <c r="F10591" s="11"/>
      <c r="G10591" s="12">
        <v>0</v>
      </c>
      <c r="H10591" s="12">
        <v>0</v>
      </c>
      <c r="I10591" s="12">
        <v>0</v>
      </c>
      <c r="J10591" s="11"/>
      <c r="K10591" s="12">
        <v>0</v>
      </c>
      <c r="L10591" s="10" t="str">
        <f t="shared" si="792"/>
        <v>AE - AGGIORNAMENTI SEZIONE APPROFONDIMENTI NEFRO IT-NPR-2500150</v>
      </c>
      <c r="M10591" s="10" t="str">
        <f t="shared" si="793"/>
        <v>giada.camassa@outsuka.it</v>
      </c>
      <c r="N10591" s="13">
        <v>46190.33792824074</v>
      </c>
      <c r="O10591" s="14" t="str">
        <f>HYPERLINK("https://otsuka-europe-crm.veevavault.com/ui/#object/email_activity__v/V8C00000003W518", "EN-002097955")</f>
        <v>EN-002097955</v>
      </c>
    </row>
    <row r="10592" spans="1:15" ht="64" x14ac:dyDescent="0.2">
      <c r="A10592" s="7" t="str">
        <f>HYPERLINK("https://otsuka-europe-crm.veevavault.com/ui/#object/account__v/V4TZ06G6O71SC5G", "ALBERTO ROSATI")</f>
        <v>ALBERTO ROSATI</v>
      </c>
      <c r="B10592" s="7" t="str">
        <f t="shared" si="790"/>
        <v>IT</v>
      </c>
      <c r="C10592" s="8" t="s">
        <v>44</v>
      </c>
      <c r="D10592" s="9" t="str">
        <f t="shared" si="791"/>
        <v>AE - AGGIORNAMENTI SEZIONE APPROFONDIMENTI NEFRO IT-NPR-2500150</v>
      </c>
      <c r="E10592" s="10" t="str">
        <f>HYPERLINK("https://otsuka-europe-crm.veevavault.com/ui/#object/sent_email__v/VBL00000002U720", "SE-001436610")</f>
        <v>SE-001436610</v>
      </c>
      <c r="F10592" s="11"/>
      <c r="G10592" s="12">
        <v>0</v>
      </c>
      <c r="H10592" s="12">
        <v>0</v>
      </c>
      <c r="I10592" s="12">
        <v>0</v>
      </c>
      <c r="J10592" s="11"/>
      <c r="K10592" s="12">
        <v>0</v>
      </c>
      <c r="L10592" s="10" t="str">
        <f t="shared" si="792"/>
        <v>AE - AGGIORNAMENTI SEZIONE APPROFONDIMENTI NEFRO IT-NPR-2500150</v>
      </c>
      <c r="M10592" s="10" t="str">
        <f t="shared" si="793"/>
        <v>giada.camassa@outsuka.it</v>
      </c>
      <c r="N10592" s="13">
        <v>46190.33798611111</v>
      </c>
      <c r="O10592" s="14" t="str">
        <f>HYPERLINK("https://otsuka-europe-crm.veevavault.com/ui/#object/email_activity__v/V8C00000003X427", "EN-002097622")</f>
        <v>EN-002097622</v>
      </c>
    </row>
    <row r="10593" spans="1:15" ht="64" x14ac:dyDescent="0.2">
      <c r="A10593" s="7" t="str">
        <f>HYPERLINK("https://otsuka-europe-crm.veevavault.com/ui/#object/account__v/V4TZ04ASGBUB9XR", "ALESSANDRA PASI")</f>
        <v>ALESSANDRA PASI</v>
      </c>
      <c r="B10593" s="7" t="str">
        <f t="shared" si="790"/>
        <v>IT</v>
      </c>
      <c r="C10593" s="8" t="s">
        <v>44</v>
      </c>
      <c r="D10593" s="9" t="str">
        <f t="shared" si="791"/>
        <v>AE - AGGIORNAMENTI SEZIONE APPROFONDIMENTI NEFRO IT-NPR-2500150</v>
      </c>
      <c r="E10593" s="10" t="str">
        <f>HYPERLINK("https://otsuka-europe-crm.veevavault.com/ui/#object/sent_email__v/VBL00000002U723", "SE-001436613")</f>
        <v>SE-001436613</v>
      </c>
      <c r="F10593" s="11"/>
      <c r="G10593" s="12">
        <v>0</v>
      </c>
      <c r="H10593" s="12">
        <v>0</v>
      </c>
      <c r="I10593" s="12">
        <v>0</v>
      </c>
      <c r="J10593" s="11"/>
      <c r="K10593" s="12">
        <v>0</v>
      </c>
      <c r="L10593" s="10" t="str">
        <f t="shared" si="792"/>
        <v>AE - AGGIORNAMENTI SEZIONE APPROFONDIMENTI NEFRO IT-NPR-2500150</v>
      </c>
      <c r="M10593" s="10" t="str">
        <f t="shared" si="793"/>
        <v>giada.camassa@outsuka.it</v>
      </c>
      <c r="N10593" s="13">
        <v>46190.337893518517</v>
      </c>
      <c r="O10593" s="14" t="str">
        <f>HYPERLINK("https://otsuka-europe-crm.veevavault.com/ui/#object/email_activity__v/V8C00000003W462", "EN-002097785")</f>
        <v>EN-002097785</v>
      </c>
    </row>
    <row r="10594" spans="1:15" ht="64" x14ac:dyDescent="0.2">
      <c r="A10594" s="7" t="str">
        <f>HYPERLINK("https://otsuka-europe-crm.veevavault.com/ui/#object/account__v/V4TZ04ASG6ZT276", "ALESSANDRO BELLESSO")</f>
        <v>ALESSANDRO BELLESSO</v>
      </c>
      <c r="B10594" s="7" t="str">
        <f t="shared" si="790"/>
        <v>IT</v>
      </c>
      <c r="C10594" s="8" t="s">
        <v>44</v>
      </c>
      <c r="D10594" s="9" t="str">
        <f t="shared" si="791"/>
        <v>AE - AGGIORNAMENTI SEZIONE APPROFONDIMENTI NEFRO IT-NPR-2500150</v>
      </c>
      <c r="E10594" s="10" t="str">
        <f>HYPERLINK("https://otsuka-europe-crm.veevavault.com/ui/#object/sent_email__v/VBL00000002U724", "SE-001436614")</f>
        <v>SE-001436614</v>
      </c>
      <c r="F10594" s="11"/>
      <c r="G10594" s="12">
        <v>0</v>
      </c>
      <c r="H10594" s="12">
        <v>0</v>
      </c>
      <c r="I10594" s="12">
        <v>0</v>
      </c>
      <c r="J10594" s="11"/>
      <c r="K10594" s="12">
        <v>0</v>
      </c>
      <c r="L10594" s="10" t="str">
        <f t="shared" si="792"/>
        <v>AE - AGGIORNAMENTI SEZIONE APPROFONDIMENTI NEFRO IT-NPR-2500150</v>
      </c>
      <c r="M10594" s="10" t="str">
        <f t="shared" si="793"/>
        <v>giada.camassa@outsuka.it</v>
      </c>
      <c r="N10594" s="13">
        <v>46190.337835648148</v>
      </c>
      <c r="O10594" s="14" t="str">
        <f>HYPERLINK("https://otsuka-europe-crm.veevavault.com/ui/#object/email_activity__v/V8C00000003W384", "EN-002097508")</f>
        <v>EN-002097508</v>
      </c>
    </row>
    <row r="10595" spans="1:15" ht="64" x14ac:dyDescent="0.2">
      <c r="A10595" s="7" t="str">
        <f>HYPERLINK("https://otsuka-europe-crm.veevavault.com/ui/#object/account__v/V4TZ025E86Y09AT", "ALESSANDRO MARCHI")</f>
        <v>ALESSANDRO MARCHI</v>
      </c>
      <c r="B10595" s="7" t="str">
        <f t="shared" si="790"/>
        <v>IT</v>
      </c>
      <c r="C10595" s="8" t="s">
        <v>44</v>
      </c>
      <c r="D10595" s="9" t="str">
        <f t="shared" si="791"/>
        <v>AE - AGGIORNAMENTI SEZIONE APPROFONDIMENTI NEFRO IT-NPR-2500150</v>
      </c>
      <c r="E10595" s="10" t="str">
        <f>HYPERLINK("https://otsuka-europe-crm.veevavault.com/ui/#object/sent_email__v/VBL00000002U725", "SE-001436615")</f>
        <v>SE-001436615</v>
      </c>
      <c r="F10595" s="11"/>
      <c r="G10595" s="12">
        <v>0</v>
      </c>
      <c r="H10595" s="12">
        <v>0</v>
      </c>
      <c r="I10595" s="12">
        <v>0</v>
      </c>
      <c r="J10595" s="11"/>
      <c r="K10595" s="12">
        <v>0</v>
      </c>
      <c r="L10595" s="10" t="str">
        <f t="shared" si="792"/>
        <v>AE - AGGIORNAMENTI SEZIONE APPROFONDIMENTI NEFRO IT-NPR-2500150</v>
      </c>
      <c r="M10595" s="10" t="str">
        <f t="shared" si="793"/>
        <v>giada.camassa@outsuka.it</v>
      </c>
      <c r="N10595" s="13">
        <v>46190.337835648148</v>
      </c>
      <c r="O10595" s="14" t="str">
        <f>HYPERLINK("https://otsuka-europe-crm.veevavault.com/ui/#object/email_activity__v/V8C00000003W360", "EN-002097417")</f>
        <v>EN-002097417</v>
      </c>
    </row>
    <row r="10596" spans="1:15" ht="64" x14ac:dyDescent="0.2">
      <c r="A10596" s="7" t="str">
        <f>HYPERLINK("https://otsuka-europe-crm.veevavault.com/ui/#object/account__v/V4TZ06G6O71SB41", "ALEX COSARO")</f>
        <v>ALEX COSARO</v>
      </c>
      <c r="B10596" s="7" t="str">
        <f t="shared" si="790"/>
        <v>IT</v>
      </c>
      <c r="C10596" s="8" t="s">
        <v>44</v>
      </c>
      <c r="D10596" s="9" t="str">
        <f t="shared" si="791"/>
        <v>AE - AGGIORNAMENTI SEZIONE APPROFONDIMENTI NEFRO IT-NPR-2500150</v>
      </c>
      <c r="E10596" s="10" t="str">
        <f>HYPERLINK("https://otsuka-europe-crm.veevavault.com/ui/#object/sent_email__v/VBL00000002U726", "SE-001436616")</f>
        <v>SE-001436616</v>
      </c>
      <c r="F10596" s="11"/>
      <c r="G10596" s="12">
        <v>0</v>
      </c>
      <c r="H10596" s="12">
        <v>0</v>
      </c>
      <c r="I10596" s="12">
        <v>0</v>
      </c>
      <c r="J10596" s="11"/>
      <c r="K10596" s="12">
        <v>0</v>
      </c>
      <c r="L10596" s="10" t="str">
        <f t="shared" si="792"/>
        <v>AE - AGGIORNAMENTI SEZIONE APPROFONDIMENTI NEFRO IT-NPR-2500150</v>
      </c>
      <c r="M10596" s="10" t="str">
        <f t="shared" si="793"/>
        <v>giada.camassa@outsuka.it</v>
      </c>
      <c r="N10596" s="13">
        <v>46188.614432870374</v>
      </c>
      <c r="O10596" s="14" t="str">
        <f>HYPERLINK("https://otsuka-europe-crm.veevavault.com/ui/#object/email_activity__v/V8C00000003X238", "EN-002097377")</f>
        <v>EN-002097377</v>
      </c>
    </row>
    <row r="10597" spans="1:15" ht="64" x14ac:dyDescent="0.2">
      <c r="A10597" s="7" t="str">
        <f>HYPERLINK("https://otsuka-europe-crm.veevavault.com/ui/#object/account__v/V4TZ04ASGEOS23D", "ALFIO ZOLLO")</f>
        <v>ALFIO ZOLLO</v>
      </c>
      <c r="B10597" s="7" t="str">
        <f t="shared" si="790"/>
        <v>IT</v>
      </c>
      <c r="C10597" s="8" t="s">
        <v>44</v>
      </c>
      <c r="D10597" s="9" t="str">
        <f t="shared" si="791"/>
        <v>AE - AGGIORNAMENTI SEZIONE APPROFONDIMENTI NEFRO IT-NPR-2500150</v>
      </c>
      <c r="E10597" s="10" t="str">
        <f>HYPERLINK("https://otsuka-europe-crm.veevavault.com/ui/#object/sent_email__v/VBL00000002U727", "SE-001436617")</f>
        <v>SE-001436617</v>
      </c>
      <c r="F10597" s="11"/>
      <c r="G10597" s="12">
        <v>0</v>
      </c>
      <c r="H10597" s="12">
        <v>0</v>
      </c>
      <c r="I10597" s="12">
        <v>0</v>
      </c>
      <c r="J10597" s="11"/>
      <c r="K10597" s="12">
        <v>0</v>
      </c>
      <c r="L10597" s="10" t="str">
        <f t="shared" si="792"/>
        <v>AE - AGGIORNAMENTI SEZIONE APPROFONDIMENTI NEFRO IT-NPR-2500150</v>
      </c>
      <c r="M10597" s="10" t="str">
        <f t="shared" si="793"/>
        <v>giada.camassa@outsuka.it</v>
      </c>
      <c r="N10597" s="13">
        <v>46190.337870370371</v>
      </c>
      <c r="O10597" s="14" t="str">
        <f>HYPERLINK("https://otsuka-europe-crm.veevavault.com/ui/#object/email_activity__v/V8C00000003X406", "EN-002097601")</f>
        <v>EN-002097601</v>
      </c>
    </row>
    <row r="10598" spans="1:15" ht="64" x14ac:dyDescent="0.2">
      <c r="A10598" s="7" t="str">
        <f>HYPERLINK("https://otsuka-europe-crm.veevavault.com/ui/#object/account__v/V4TZ06G6O71SAXJ", "ALFREDO CAGLIOTI")</f>
        <v>ALFREDO CAGLIOTI</v>
      </c>
      <c r="B10598" s="7" t="str">
        <f t="shared" si="790"/>
        <v>IT</v>
      </c>
      <c r="C10598" s="8" t="s">
        <v>44</v>
      </c>
      <c r="D10598" s="9" t="str">
        <f t="shared" si="791"/>
        <v>AE - AGGIORNAMENTI SEZIONE APPROFONDIMENTI NEFRO IT-NPR-2500150</v>
      </c>
      <c r="E10598" s="10" t="str">
        <f>HYPERLINK("https://otsuka-europe-crm.veevavault.com/ui/#object/sent_email__v/VBL00000002U728", "SE-001436618")</f>
        <v>SE-001436618</v>
      </c>
      <c r="F10598" s="11"/>
      <c r="G10598" s="12">
        <v>0</v>
      </c>
      <c r="H10598" s="12">
        <v>0</v>
      </c>
      <c r="I10598" s="12">
        <v>0</v>
      </c>
      <c r="J10598" s="11"/>
      <c r="K10598" s="12">
        <v>0</v>
      </c>
      <c r="L10598" s="10" t="str">
        <f t="shared" si="792"/>
        <v>AE - AGGIORNAMENTI SEZIONE APPROFONDIMENTI NEFRO IT-NPR-2500150</v>
      </c>
      <c r="M10598" s="10" t="str">
        <f t="shared" si="793"/>
        <v>giada.camassa@outsuka.it</v>
      </c>
      <c r="N10598" s="13">
        <v>46190.337835648148</v>
      </c>
      <c r="O10598" s="14" t="str">
        <f>HYPERLINK("https://otsuka-europe-crm.veevavault.com/ui/#object/email_activity__v/V8C00000003W390", "EN-002097552")</f>
        <v>EN-002097552</v>
      </c>
    </row>
    <row r="10599" spans="1:15" ht="64" x14ac:dyDescent="0.2">
      <c r="A10599" s="7" t="str">
        <f>HYPERLINK("https://otsuka-europe-crm.veevavault.com/ui/#object/account__v/V4TZ06G6O71SBAU", "ALMA MEHMETAJ")</f>
        <v>ALMA MEHMETAJ</v>
      </c>
      <c r="B10599" s="7" t="str">
        <f t="shared" si="790"/>
        <v>IT</v>
      </c>
      <c r="C10599" s="8" t="s">
        <v>44</v>
      </c>
      <c r="D10599" s="9" t="str">
        <f t="shared" si="791"/>
        <v>AE - AGGIORNAMENTI SEZIONE APPROFONDIMENTI NEFRO IT-NPR-2500150</v>
      </c>
      <c r="E10599" s="10" t="str">
        <f>HYPERLINK("https://otsuka-europe-crm.veevavault.com/ui/#object/sent_email__v/VBL00000002U729", "SE-001436619")</f>
        <v>SE-001436619</v>
      </c>
      <c r="F10599" s="11"/>
      <c r="G10599" s="12">
        <v>0</v>
      </c>
      <c r="H10599" s="12">
        <v>0</v>
      </c>
      <c r="I10599" s="12">
        <v>0</v>
      </c>
      <c r="J10599" s="11"/>
      <c r="K10599" s="12">
        <v>0</v>
      </c>
      <c r="L10599" s="10" t="str">
        <f t="shared" si="792"/>
        <v>AE - AGGIORNAMENTI SEZIONE APPROFONDIMENTI NEFRO IT-NPR-2500150</v>
      </c>
      <c r="M10599" s="10" t="str">
        <f t="shared" si="793"/>
        <v>giada.camassa@outsuka.it</v>
      </c>
      <c r="N10599" s="13">
        <v>46190.33792824074</v>
      </c>
      <c r="O10599" s="14" t="str">
        <f>HYPERLINK("https://otsuka-europe-crm.veevavault.com/ui/#object/email_activity__v/V8C00000003X805", "EN-002098224")</f>
        <v>EN-002098224</v>
      </c>
    </row>
    <row r="10600" spans="1:15" ht="64" x14ac:dyDescent="0.2">
      <c r="A10600" s="7" t="str">
        <f>HYPERLINK("https://otsuka-europe-crm.veevavault.com/ui/#object/account__v/V4TZ025E83LD3TW", "ANDREA ANGELETTI")</f>
        <v>ANDREA ANGELETTI</v>
      </c>
      <c r="B10600" s="7" t="str">
        <f t="shared" si="790"/>
        <v>IT</v>
      </c>
      <c r="C10600" s="8" t="s">
        <v>44</v>
      </c>
      <c r="D10600" s="9" t="str">
        <f t="shared" si="791"/>
        <v>AE - AGGIORNAMENTI SEZIONE APPROFONDIMENTI NEFRO IT-NPR-2500150</v>
      </c>
      <c r="E10600" s="10" t="str">
        <f>HYPERLINK("https://otsuka-europe-crm.veevavault.com/ui/#object/sent_email__v/VBL00000002U730", "SE-001436620")</f>
        <v>SE-001436620</v>
      </c>
      <c r="F10600" s="11"/>
      <c r="G10600" s="12">
        <v>0</v>
      </c>
      <c r="H10600" s="12">
        <v>0</v>
      </c>
      <c r="I10600" s="12">
        <v>0</v>
      </c>
      <c r="J10600" s="11"/>
      <c r="K10600" s="12">
        <v>0</v>
      </c>
      <c r="L10600" s="10" t="str">
        <f t="shared" si="792"/>
        <v>AE - AGGIORNAMENTI SEZIONE APPROFONDIMENTI NEFRO IT-NPR-2500150</v>
      </c>
      <c r="M10600" s="10" t="str">
        <f t="shared" si="793"/>
        <v>giada.camassa@outsuka.it</v>
      </c>
      <c r="N10600" s="13">
        <v>46190.337824074071</v>
      </c>
      <c r="O10600" s="14" t="str">
        <f>HYPERLINK("https://otsuka-europe-crm.veevavault.com/ui/#object/email_activity__v/V8C00000003X380", "EN-002097575")</f>
        <v>EN-002097575</v>
      </c>
    </row>
    <row r="10601" spans="1:15" ht="64" x14ac:dyDescent="0.2">
      <c r="A10601" s="7" t="str">
        <f>HYPERLINK("https://otsuka-europe-crm.veevavault.com/ui/#object/account__v/V4TZ025E85OJK5S", "ANDREA ANGELINI")</f>
        <v>ANDREA ANGELINI</v>
      </c>
      <c r="B10601" s="7" t="str">
        <f t="shared" si="790"/>
        <v>IT</v>
      </c>
      <c r="C10601" s="8" t="s">
        <v>44</v>
      </c>
      <c r="D10601" s="9" t="str">
        <f t="shared" si="791"/>
        <v>AE - AGGIORNAMENTI SEZIONE APPROFONDIMENTI NEFRO IT-NPR-2500150</v>
      </c>
      <c r="E10601" s="10" t="str">
        <f>HYPERLINK("https://otsuka-europe-crm.veevavault.com/ui/#object/sent_email__v/VBL00000002U731", "SE-001436621")</f>
        <v>SE-001436621</v>
      </c>
      <c r="F10601" s="11"/>
      <c r="G10601" s="12">
        <v>0</v>
      </c>
      <c r="H10601" s="12">
        <v>0</v>
      </c>
      <c r="I10601" s="12">
        <v>0</v>
      </c>
      <c r="J10601" s="11"/>
      <c r="K10601" s="12">
        <v>0</v>
      </c>
      <c r="L10601" s="10" t="str">
        <f t="shared" si="792"/>
        <v>AE - AGGIORNAMENTI SEZIONE APPROFONDIMENTI NEFRO IT-NPR-2500150</v>
      </c>
      <c r="M10601" s="10" t="str">
        <f t="shared" si="793"/>
        <v>giada.camassa@outsuka.it</v>
      </c>
      <c r="N10601" s="13">
        <v>46190.33798611111</v>
      </c>
      <c r="O10601" s="14" t="str">
        <f>HYPERLINK("https://otsuka-europe-crm.veevavault.com/ui/#object/email_activity__v/V8C00000003X506", "EN-002097749")</f>
        <v>EN-002097749</v>
      </c>
    </row>
    <row r="10602" spans="1:15" ht="16" x14ac:dyDescent="0.2">
      <c r="A10602" s="17" t="str">
        <f>HYPERLINK("https://otsuka-europe-crm.veevavault.com/ui/#object/account__v/V4TZ06G6O71SAYD", "ANDREA CAMOCARDI")</f>
        <v>ANDREA CAMOCARDI</v>
      </c>
      <c r="B10602" s="17" t="str">
        <f t="shared" si="790"/>
        <v>IT</v>
      </c>
      <c r="C10602" s="20" t="s">
        <v>44</v>
      </c>
      <c r="D10602" s="21" t="str">
        <f t="shared" si="791"/>
        <v>AE - AGGIORNAMENTI SEZIONE APPROFONDIMENTI NEFRO IT-NPR-2500150</v>
      </c>
      <c r="E10602" s="22" t="str">
        <f>HYPERLINK("https://otsuka-europe-crm.veevavault.com/ui/#object/sent_email__v/VBL00000002U732", "SE-001436622")</f>
        <v>SE-001436622</v>
      </c>
      <c r="F10602" s="23">
        <v>46190.338020833333</v>
      </c>
      <c r="G10602" s="24">
        <v>1</v>
      </c>
      <c r="H10602" s="24">
        <v>1</v>
      </c>
      <c r="I10602" s="24">
        <v>0</v>
      </c>
      <c r="J10602" s="25"/>
      <c r="K10602" s="24">
        <v>0</v>
      </c>
      <c r="L10602" s="22" t="str">
        <f t="shared" si="792"/>
        <v>AE - AGGIORNAMENTI SEZIONE APPROFONDIMENTI NEFRO IT-NPR-2500150</v>
      </c>
      <c r="M10602" s="22" t="str">
        <f t="shared" si="793"/>
        <v>giada.camassa@outsuka.it</v>
      </c>
      <c r="N10602" s="23">
        <v>46190.337858796294</v>
      </c>
      <c r="O10602" s="14" t="str">
        <f>HYPERLINK("https://otsuka-europe-crm.veevavault.com/ui/#object/email_activity__v/V8C00000003W475", "EN-002097813")</f>
        <v>EN-002097813</v>
      </c>
    </row>
    <row r="10603" spans="1:15" ht="16" x14ac:dyDescent="0.2">
      <c r="A10603" s="19"/>
      <c r="B10603" s="19"/>
      <c r="C10603" s="19"/>
      <c r="D10603" s="19"/>
      <c r="E10603" s="19"/>
      <c r="F10603" s="19"/>
      <c r="G10603" s="19"/>
      <c r="H10603" s="19"/>
      <c r="I10603" s="19"/>
      <c r="J10603" s="19"/>
      <c r="K10603" s="19"/>
      <c r="L10603" s="19"/>
      <c r="M10603" s="19"/>
      <c r="N10603" s="19"/>
      <c r="O10603" s="14" t="str">
        <f>HYPERLINK("https://otsuka-europe-crm.veevavault.com/ui/#object/email_activity__v/V8C00000003X262", "EN-002097437")</f>
        <v>EN-002097437</v>
      </c>
    </row>
    <row r="10604" spans="1:15" ht="64" x14ac:dyDescent="0.2">
      <c r="A10604" s="7" t="str">
        <f>HYPERLINK("https://otsuka-europe-crm.veevavault.com/ui/#object/account__v/V4TZ06G6O71SAA8", "ANDREA DE GAETANO")</f>
        <v>ANDREA DE GAETANO</v>
      </c>
      <c r="B10604" s="7" t="str">
        <f>HYPERLINK("https://otsuka-europe-crm.veevavault.com/ui/#object/vcountry__v/VENZ000004SONFQ", "IT")</f>
        <v>IT</v>
      </c>
      <c r="C10604" s="8" t="s">
        <v>44</v>
      </c>
      <c r="D10604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604" s="10" t="str">
        <f>HYPERLINK("https://otsuka-europe-crm.veevavault.com/ui/#object/sent_email__v/VBL00000002U733", "SE-001436623")</f>
        <v>SE-001436623</v>
      </c>
      <c r="F10604" s="11"/>
      <c r="G10604" s="12">
        <v>0</v>
      </c>
      <c r="H10604" s="12">
        <v>0</v>
      </c>
      <c r="I10604" s="12">
        <v>0</v>
      </c>
      <c r="J10604" s="11"/>
      <c r="K10604" s="12">
        <v>0</v>
      </c>
      <c r="L10604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604" s="10" t="str">
        <f>HYPERLINK("mailto:giada.camassa@outsuka.it", "giada.camassa@outsuka.it")</f>
        <v>giada.camassa@outsuka.it</v>
      </c>
      <c r="N10604" s="13">
        <v>46190.337835648148</v>
      </c>
      <c r="O10604" s="14" t="str">
        <f>HYPERLINK("https://otsuka-europe-crm.veevavault.com/ui/#object/email_activity__v/V8C00000003X245", "EN-002097392")</f>
        <v>EN-002097392</v>
      </c>
    </row>
    <row r="10605" spans="1:15" ht="16" x14ac:dyDescent="0.2">
      <c r="A10605" s="17" t="str">
        <f>HYPERLINK("https://otsuka-europe-crm.veevavault.com/ui/#object/account__v/V4TZ06G6O71SBDK", "ANDREA MALAGOLI")</f>
        <v>ANDREA MALAGOLI</v>
      </c>
      <c r="B10605" s="17" t="str">
        <f>HYPERLINK("https://otsuka-europe-crm.veevavault.com/ui/#object/vcountry__v/VENZ000004SONFQ", "IT")</f>
        <v>IT</v>
      </c>
      <c r="C10605" s="20" t="s">
        <v>44</v>
      </c>
      <c r="D10605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605" s="22" t="str">
        <f>HYPERLINK("https://otsuka-europe-crm.veevavault.com/ui/#object/sent_email__v/VBL00000002U734", "SE-001436624")</f>
        <v>SE-001436624</v>
      </c>
      <c r="F10605" s="23">
        <v>46190.338055555556</v>
      </c>
      <c r="G10605" s="24">
        <v>1</v>
      </c>
      <c r="H10605" s="24">
        <v>2</v>
      </c>
      <c r="I10605" s="24">
        <v>1</v>
      </c>
      <c r="J10605" s="23">
        <v>46190.338055555556</v>
      </c>
      <c r="K10605" s="24">
        <v>2</v>
      </c>
      <c r="L10605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605" s="22" t="str">
        <f>HYPERLINK("mailto:giada.camassa@outsuka.it", "giada.camassa@outsuka.it")</f>
        <v>giada.camassa@outsuka.it</v>
      </c>
      <c r="N10605" s="23">
        <v>46190.337835648148</v>
      </c>
      <c r="O10605" s="14" t="str">
        <f>HYPERLINK("https://otsuka-europe-crm.veevavault.com/ui/#object/email_activity__v/V8C00000003W471", "EN-002097809")</f>
        <v>EN-002097809</v>
      </c>
    </row>
    <row r="10606" spans="1:15" ht="16" x14ac:dyDescent="0.2">
      <c r="A10606" s="18"/>
      <c r="B10606" s="18"/>
      <c r="C10606" s="18"/>
      <c r="D10606" s="18"/>
      <c r="E10606" s="18"/>
      <c r="F10606" s="18"/>
      <c r="G10606" s="18"/>
      <c r="H10606" s="18"/>
      <c r="I10606" s="18"/>
      <c r="J10606" s="18"/>
      <c r="K10606" s="18"/>
      <c r="L10606" s="18"/>
      <c r="M10606" s="18"/>
      <c r="N10606" s="18"/>
      <c r="O10606" s="14" t="str">
        <f>HYPERLINK("https://otsuka-europe-crm.veevavault.com/ui/#object/email_activity__v/V8C00000003X399", "EN-002097594")</f>
        <v>EN-002097594</v>
      </c>
    </row>
    <row r="10607" spans="1:15" ht="16" x14ac:dyDescent="0.2">
      <c r="A10607" s="18"/>
      <c r="B10607" s="18"/>
      <c r="C10607" s="18"/>
      <c r="D10607" s="18"/>
      <c r="E10607" s="18"/>
      <c r="F10607" s="18"/>
      <c r="G10607" s="18"/>
      <c r="H10607" s="18"/>
      <c r="I10607" s="18"/>
      <c r="J10607" s="18"/>
      <c r="K10607" s="18"/>
      <c r="L10607" s="18"/>
      <c r="M10607" s="18"/>
      <c r="N10607" s="18"/>
      <c r="O10607" s="14" t="str">
        <f>HYPERLINK("https://otsuka-europe-crm.veevavault.com/ui/#object/email_activity__v/V8C00000003X462", "EN-002097799")</f>
        <v>EN-002097799</v>
      </c>
    </row>
    <row r="10608" spans="1:15" ht="16" x14ac:dyDescent="0.2">
      <c r="A10608" s="18"/>
      <c r="B10608" s="18"/>
      <c r="C10608" s="18"/>
      <c r="D10608" s="18"/>
      <c r="E10608" s="18"/>
      <c r="F10608" s="18"/>
      <c r="G10608" s="18"/>
      <c r="H10608" s="18"/>
      <c r="I10608" s="18"/>
      <c r="J10608" s="18"/>
      <c r="K10608" s="18"/>
      <c r="L10608" s="18"/>
      <c r="M10608" s="18"/>
      <c r="N10608" s="18"/>
      <c r="O10608" s="14" t="str">
        <f>HYPERLINK("https://otsuka-europe-crm.veevavault.com/ui/#object/email_activity__v/V8C00000003X466", "EN-002097665")</f>
        <v>EN-002097665</v>
      </c>
    </row>
    <row r="10609" spans="1:15" ht="16" x14ac:dyDescent="0.2">
      <c r="A10609" s="19"/>
      <c r="B10609" s="19"/>
      <c r="C10609" s="19"/>
      <c r="D10609" s="19"/>
      <c r="E10609" s="19"/>
      <c r="F10609" s="19"/>
      <c r="G10609" s="19"/>
      <c r="H10609" s="19"/>
      <c r="I10609" s="19"/>
      <c r="J10609" s="19"/>
      <c r="K10609" s="19"/>
      <c r="L10609" s="19"/>
      <c r="M10609" s="19"/>
      <c r="N10609" s="19"/>
      <c r="O10609" s="14" t="str">
        <f>HYPERLINK("https://otsuka-europe-crm.veevavault.com/ui/#object/email_activity__v/V8C00000003X486", "EN-002097685")</f>
        <v>EN-002097685</v>
      </c>
    </row>
    <row r="10610" spans="1:15" ht="64" x14ac:dyDescent="0.2">
      <c r="A10610" s="7" t="str">
        <f>HYPERLINK("https://otsuka-europe-crm.veevavault.com/ui/#object/account__v/V4TZ06G6O71SBJX", "ANDREA MOLINO")</f>
        <v>ANDREA MOLINO</v>
      </c>
      <c r="B10610" s="7" t="str">
        <f t="shared" ref="B10610:B10615" si="794">HYPERLINK("https://otsuka-europe-crm.veevavault.com/ui/#object/vcountry__v/VENZ000004SONFQ", "IT")</f>
        <v>IT</v>
      </c>
      <c r="C10610" s="8" t="s">
        <v>44</v>
      </c>
      <c r="D10610" s="9" t="str">
        <f t="shared" ref="D10610:D10615" si="795">HYPERLINK("https://otsuka-europe-crm.veevavault.com/ui/#object/approved_document__v/V5O00000000G061", "AE - AGGIORNAMENTI SEZIONE APPROFONDIMENTI NEFRO IT-NPR-2500150")</f>
        <v>AE - AGGIORNAMENTI SEZIONE APPROFONDIMENTI NEFRO IT-NPR-2500150</v>
      </c>
      <c r="E10610" s="10" t="str">
        <f>HYPERLINK("https://otsuka-europe-crm.veevavault.com/ui/#object/sent_email__v/VBL00000002U735", "SE-001436625")</f>
        <v>SE-001436625</v>
      </c>
      <c r="F10610" s="11"/>
      <c r="G10610" s="12">
        <v>0</v>
      </c>
      <c r="H10610" s="12">
        <v>0</v>
      </c>
      <c r="I10610" s="12">
        <v>0</v>
      </c>
      <c r="J10610" s="11"/>
      <c r="K10610" s="12">
        <v>0</v>
      </c>
      <c r="L10610" s="10" t="str">
        <f t="shared" ref="L10610:L10615" si="796">HYPERLINK("https://otsuka-europe-crm.veevavault.com/ui/#object/approved_document__v/V5O00000000G061", "AE - AGGIORNAMENTI SEZIONE APPROFONDIMENTI NEFRO IT-NPR-2500150")</f>
        <v>AE - AGGIORNAMENTI SEZIONE APPROFONDIMENTI NEFRO IT-NPR-2500150</v>
      </c>
      <c r="M10610" s="10" t="str">
        <f t="shared" ref="M10610:M10615" si="797">HYPERLINK("mailto:giada.camassa@outsuka.it", "giada.camassa@outsuka.it")</f>
        <v>giada.camassa@outsuka.it</v>
      </c>
      <c r="N10610" s="13">
        <v>46190.337870370371</v>
      </c>
      <c r="O10610" s="14" t="str">
        <f>HYPERLINK("https://otsuka-europe-crm.veevavault.com/ui/#object/email_activity__v/V8C00000003X493", "EN-002097736")</f>
        <v>EN-002097736</v>
      </c>
    </row>
    <row r="10611" spans="1:15" ht="64" x14ac:dyDescent="0.2">
      <c r="A10611" s="7" t="str">
        <f>HYPERLINK("https://otsuka-europe-crm.veevavault.com/ui/#object/account__v/V4TZ06G6O71SBYX", "ANDREA POTA")</f>
        <v>ANDREA POTA</v>
      </c>
      <c r="B10611" s="7" t="str">
        <f t="shared" si="794"/>
        <v>IT</v>
      </c>
      <c r="C10611" s="8" t="s">
        <v>44</v>
      </c>
      <c r="D10611" s="9" t="str">
        <f t="shared" si="795"/>
        <v>AE - AGGIORNAMENTI SEZIONE APPROFONDIMENTI NEFRO IT-NPR-2500150</v>
      </c>
      <c r="E10611" s="10" t="str">
        <f>HYPERLINK("https://otsuka-europe-crm.veevavault.com/ui/#object/sent_email__v/VBL00000002U736", "SE-001436626")</f>
        <v>SE-001436626</v>
      </c>
      <c r="F10611" s="11"/>
      <c r="G10611" s="12">
        <v>0</v>
      </c>
      <c r="H10611" s="12">
        <v>0</v>
      </c>
      <c r="I10611" s="12">
        <v>0</v>
      </c>
      <c r="J10611" s="11"/>
      <c r="K10611" s="12">
        <v>0</v>
      </c>
      <c r="L10611" s="10" t="str">
        <f t="shared" si="796"/>
        <v>AE - AGGIORNAMENTI SEZIONE APPROFONDIMENTI NEFRO IT-NPR-2500150</v>
      </c>
      <c r="M10611" s="10" t="str">
        <f t="shared" si="797"/>
        <v>giada.camassa@outsuka.it</v>
      </c>
      <c r="N10611" s="13">
        <v>46190.337847222225</v>
      </c>
      <c r="O10611" s="14" t="str">
        <f>HYPERLINK("https://otsuka-europe-crm.veevavault.com/ui/#object/email_activity__v/V8C00000003X249", "EN-002097396")</f>
        <v>EN-002097396</v>
      </c>
    </row>
    <row r="10612" spans="1:15" ht="64" x14ac:dyDescent="0.2">
      <c r="A10612" s="7" t="str">
        <f>HYPERLINK("https://otsuka-europe-crm.veevavault.com/ui/#object/account__v/V4TZ06G6O71SBW5", "ANGELO PICA")</f>
        <v>ANGELO PICA</v>
      </c>
      <c r="B10612" s="7" t="str">
        <f t="shared" si="794"/>
        <v>IT</v>
      </c>
      <c r="C10612" s="8" t="s">
        <v>44</v>
      </c>
      <c r="D10612" s="9" t="str">
        <f t="shared" si="795"/>
        <v>AE - AGGIORNAMENTI SEZIONE APPROFONDIMENTI NEFRO IT-NPR-2500150</v>
      </c>
      <c r="E10612" s="10" t="str">
        <f>HYPERLINK("https://otsuka-europe-crm.veevavault.com/ui/#object/sent_email__v/VBL00000002U738", "SE-001436628")</f>
        <v>SE-001436628</v>
      </c>
      <c r="F10612" s="11"/>
      <c r="G10612" s="12">
        <v>0</v>
      </c>
      <c r="H10612" s="12">
        <v>0</v>
      </c>
      <c r="I10612" s="12">
        <v>0</v>
      </c>
      <c r="J10612" s="11"/>
      <c r="K10612" s="12">
        <v>0</v>
      </c>
      <c r="L10612" s="10" t="str">
        <f t="shared" si="796"/>
        <v>AE - AGGIORNAMENTI SEZIONE APPROFONDIMENTI NEFRO IT-NPR-2500150</v>
      </c>
      <c r="M10612" s="10" t="str">
        <f t="shared" si="797"/>
        <v>giada.camassa@outsuka.it</v>
      </c>
      <c r="N10612" s="13">
        <v>46190.337881944448</v>
      </c>
      <c r="O10612" s="14" t="str">
        <f>HYPERLINK("https://otsuka-europe-crm.veevavault.com/ui/#object/email_activity__v/V8C00000003X354", "EN-002097532")</f>
        <v>EN-002097532</v>
      </c>
    </row>
    <row r="10613" spans="1:15" ht="64" x14ac:dyDescent="0.2">
      <c r="A10613" s="7" t="str">
        <f>HYPERLINK("https://otsuka-europe-crm.veevavault.com/ui/#object/account__v/V4TZ04ASGETCVIH", "ANGELO TRALONGO")</f>
        <v>ANGELO TRALONGO</v>
      </c>
      <c r="B10613" s="7" t="str">
        <f t="shared" si="794"/>
        <v>IT</v>
      </c>
      <c r="C10613" s="8" t="s">
        <v>44</v>
      </c>
      <c r="D10613" s="9" t="str">
        <f t="shared" si="795"/>
        <v>AE - AGGIORNAMENTI SEZIONE APPROFONDIMENTI NEFRO IT-NPR-2500150</v>
      </c>
      <c r="E10613" s="10" t="str">
        <f>HYPERLINK("https://otsuka-europe-crm.veevavault.com/ui/#object/sent_email__v/VBL00000002U739", "SE-001436629")</f>
        <v>SE-001436629</v>
      </c>
      <c r="F10613" s="11"/>
      <c r="G10613" s="12">
        <v>0</v>
      </c>
      <c r="H10613" s="12">
        <v>0</v>
      </c>
      <c r="I10613" s="12">
        <v>0</v>
      </c>
      <c r="J10613" s="11"/>
      <c r="K10613" s="12">
        <v>0</v>
      </c>
      <c r="L10613" s="10" t="str">
        <f t="shared" si="796"/>
        <v>AE - AGGIORNAMENTI SEZIONE APPROFONDIMENTI NEFRO IT-NPR-2500150</v>
      </c>
      <c r="M10613" s="10" t="str">
        <f t="shared" si="797"/>
        <v>giada.camassa@outsuka.it</v>
      </c>
      <c r="N10613" s="13">
        <v>46190.337893518517</v>
      </c>
      <c r="O10613" s="14" t="str">
        <f>HYPERLINK("https://otsuka-europe-crm.veevavault.com/ui/#object/email_activity__v/V8C00000003W355", "EN-002097412")</f>
        <v>EN-002097412</v>
      </c>
    </row>
    <row r="10614" spans="1:15" ht="64" x14ac:dyDescent="0.2">
      <c r="A10614" s="7" t="str">
        <f>HYPERLINK("https://otsuka-europe-crm.veevavault.com/ui/#object/account__v/V4TZ06G6O71S9I2", "ANNA CAROLA FORACI")</f>
        <v>ANNA CAROLA FORACI</v>
      </c>
      <c r="B10614" s="7" t="str">
        <f t="shared" si="794"/>
        <v>IT</v>
      </c>
      <c r="C10614" s="8" t="s">
        <v>44</v>
      </c>
      <c r="D10614" s="9" t="str">
        <f t="shared" si="795"/>
        <v>AE - AGGIORNAMENTI SEZIONE APPROFONDIMENTI NEFRO IT-NPR-2500150</v>
      </c>
      <c r="E10614" s="10" t="str">
        <f>HYPERLINK("https://otsuka-europe-crm.veevavault.com/ui/#object/sent_email__v/VBL00000002U740", "SE-001436630")</f>
        <v>SE-001436630</v>
      </c>
      <c r="F10614" s="11"/>
      <c r="G10614" s="12">
        <v>0</v>
      </c>
      <c r="H10614" s="12">
        <v>0</v>
      </c>
      <c r="I10614" s="12">
        <v>0</v>
      </c>
      <c r="J10614" s="11"/>
      <c r="K10614" s="12">
        <v>0</v>
      </c>
      <c r="L10614" s="10" t="str">
        <f t="shared" si="796"/>
        <v>AE - AGGIORNAMENTI SEZIONE APPROFONDIMENTI NEFRO IT-NPR-2500150</v>
      </c>
      <c r="M10614" s="10" t="str">
        <f t="shared" si="797"/>
        <v>giada.camassa@outsuka.it</v>
      </c>
      <c r="N10614" s="13">
        <v>46190.337893518517</v>
      </c>
      <c r="O10614" s="14" t="str">
        <f>HYPERLINK("https://otsuka-europe-crm.veevavault.com/ui/#object/email_activity__v/V8C00000003X410", "EN-002097605")</f>
        <v>EN-002097605</v>
      </c>
    </row>
    <row r="10615" spans="1:15" ht="16" x14ac:dyDescent="0.2">
      <c r="A10615" s="17" t="str">
        <f>HYPERLINK("https://otsuka-europe-crm.veevavault.com/ui/#object/account__v/V4TZ06G6O71S9GB", "ANNA GIULIANI")</f>
        <v>ANNA GIULIANI</v>
      </c>
      <c r="B10615" s="17" t="str">
        <f t="shared" si="794"/>
        <v>IT</v>
      </c>
      <c r="C10615" s="20" t="s">
        <v>44</v>
      </c>
      <c r="D10615" s="21" t="str">
        <f t="shared" si="795"/>
        <v>AE - AGGIORNAMENTI SEZIONE APPROFONDIMENTI NEFRO IT-NPR-2500150</v>
      </c>
      <c r="E10615" s="22" t="str">
        <f>HYPERLINK("https://otsuka-europe-crm.veevavault.com/ui/#object/sent_email__v/VBL00000002U741", "SE-001436631")</f>
        <v>SE-001436631</v>
      </c>
      <c r="F10615" s="23">
        <v>46190.40960648148</v>
      </c>
      <c r="G10615" s="24">
        <v>1</v>
      </c>
      <c r="H10615" s="24">
        <v>1</v>
      </c>
      <c r="I10615" s="24">
        <v>0</v>
      </c>
      <c r="J10615" s="25"/>
      <c r="K10615" s="24">
        <v>0</v>
      </c>
      <c r="L10615" s="22" t="str">
        <f t="shared" si="796"/>
        <v>AE - AGGIORNAMENTI SEZIONE APPROFONDIMENTI NEFRO IT-NPR-2500150</v>
      </c>
      <c r="M10615" s="22" t="str">
        <f t="shared" si="797"/>
        <v>giada.camassa@outsuka.it</v>
      </c>
      <c r="N10615" s="23">
        <v>46190.337870370371</v>
      </c>
      <c r="O10615" s="14" t="str">
        <f>HYPERLINK("https://otsuka-europe-crm.veevavault.com/ui/#object/email_activity__v/V8C00000003X309", "EN-002097500")</f>
        <v>EN-002097500</v>
      </c>
    </row>
    <row r="10616" spans="1:15" ht="16" x14ac:dyDescent="0.2">
      <c r="A10616" s="19"/>
      <c r="B10616" s="19"/>
      <c r="C10616" s="19"/>
      <c r="D10616" s="19"/>
      <c r="E10616" s="19"/>
      <c r="F10616" s="19"/>
      <c r="G10616" s="19"/>
      <c r="H10616" s="19"/>
      <c r="I10616" s="19"/>
      <c r="J10616" s="19"/>
      <c r="K10616" s="19"/>
      <c r="L10616" s="19"/>
      <c r="M10616" s="19"/>
      <c r="N10616" s="19"/>
      <c r="O10616" s="14" t="str">
        <f>HYPERLINK("https://otsuka-europe-crm.veevavault.com/ui/#object/email_activity__v/V8C00000003X835", "EN-002098301")</f>
        <v>EN-002098301</v>
      </c>
    </row>
    <row r="10617" spans="1:15" ht="64" x14ac:dyDescent="0.2">
      <c r="A10617" s="7" t="str">
        <f>HYPERLINK("https://otsuka-europe-crm.veevavault.com/ui/#object/account__v/V4TZ06G6O71SARC", "ANNA GRILL")</f>
        <v>ANNA GRILL</v>
      </c>
      <c r="B10617" s="7" t="str">
        <f t="shared" ref="B10617:B10629" si="798">HYPERLINK("https://otsuka-europe-crm.veevavault.com/ui/#object/vcountry__v/VENZ000004SONFQ", "IT")</f>
        <v>IT</v>
      </c>
      <c r="C10617" s="8" t="s">
        <v>44</v>
      </c>
      <c r="D10617" s="9" t="str">
        <f t="shared" ref="D10617:D10629" si="799">HYPERLINK("https://otsuka-europe-crm.veevavault.com/ui/#object/approved_document__v/V5O00000000G061", "AE - AGGIORNAMENTI SEZIONE APPROFONDIMENTI NEFRO IT-NPR-2500150")</f>
        <v>AE - AGGIORNAMENTI SEZIONE APPROFONDIMENTI NEFRO IT-NPR-2500150</v>
      </c>
      <c r="E10617" s="10" t="str">
        <f>HYPERLINK("https://otsuka-europe-crm.veevavault.com/ui/#object/sent_email__v/VBL00000002U742", "SE-001436632")</f>
        <v>SE-001436632</v>
      </c>
      <c r="F10617" s="11"/>
      <c r="G10617" s="12">
        <v>0</v>
      </c>
      <c r="H10617" s="12">
        <v>0</v>
      </c>
      <c r="I10617" s="12">
        <v>0</v>
      </c>
      <c r="J10617" s="11"/>
      <c r="K10617" s="12">
        <v>0</v>
      </c>
      <c r="L10617" s="10" t="str">
        <f t="shared" ref="L10617:L10629" si="800">HYPERLINK("https://otsuka-europe-crm.veevavault.com/ui/#object/approved_document__v/V5O00000000G061", "AE - AGGIORNAMENTI SEZIONE APPROFONDIMENTI NEFRO IT-NPR-2500150")</f>
        <v>AE - AGGIORNAMENTI SEZIONE APPROFONDIMENTI NEFRO IT-NPR-2500150</v>
      </c>
      <c r="M10617" s="10" t="str">
        <f t="shared" ref="M10617:M10629" si="801">HYPERLINK("mailto:giada.camassa@outsuka.it", "giada.camassa@outsuka.it")</f>
        <v>giada.camassa@outsuka.it</v>
      </c>
      <c r="N10617" s="13">
        <v>46190.337916666664</v>
      </c>
      <c r="O10617" s="14" t="str">
        <f>HYPERLINK("https://otsuka-europe-crm.veevavault.com/ui/#object/email_activity__v/V8C00000003X272", "EN-002097447")</f>
        <v>EN-002097447</v>
      </c>
    </row>
    <row r="10618" spans="1:15" ht="64" x14ac:dyDescent="0.2">
      <c r="A10618" s="7" t="str">
        <f>HYPERLINK("https://otsuka-europe-crm.veevavault.com/ui/#object/account__v/V4TZ025E85OJJUS", "ANNA MAGLI")</f>
        <v>ANNA MAGLI</v>
      </c>
      <c r="B10618" s="7" t="str">
        <f t="shared" si="798"/>
        <v>IT</v>
      </c>
      <c r="C10618" s="8" t="s">
        <v>44</v>
      </c>
      <c r="D10618" s="9" t="str">
        <f t="shared" si="799"/>
        <v>AE - AGGIORNAMENTI SEZIONE APPROFONDIMENTI NEFRO IT-NPR-2500150</v>
      </c>
      <c r="E10618" s="10" t="str">
        <f>HYPERLINK("https://otsuka-europe-crm.veevavault.com/ui/#object/sent_email__v/VBL00000002U743", "SE-001436633")</f>
        <v>SE-001436633</v>
      </c>
      <c r="F10618" s="11"/>
      <c r="G10618" s="12">
        <v>0</v>
      </c>
      <c r="H10618" s="12">
        <v>0</v>
      </c>
      <c r="I10618" s="12">
        <v>0</v>
      </c>
      <c r="J10618" s="11"/>
      <c r="K10618" s="12">
        <v>0</v>
      </c>
      <c r="L10618" s="10" t="str">
        <f t="shared" si="800"/>
        <v>AE - AGGIORNAMENTI SEZIONE APPROFONDIMENTI NEFRO IT-NPR-2500150</v>
      </c>
      <c r="M10618" s="10" t="str">
        <f t="shared" si="801"/>
        <v>giada.camassa@outsuka.it</v>
      </c>
      <c r="N10618" s="13">
        <v>46190.33792824074</v>
      </c>
      <c r="O10618" s="14" t="str">
        <f>HYPERLINK("https://otsuka-europe-crm.veevavault.com/ui/#object/email_activity__v/V8C00000003X413", "EN-002097608")</f>
        <v>EN-002097608</v>
      </c>
    </row>
    <row r="10619" spans="1:15" ht="64" x14ac:dyDescent="0.2">
      <c r="A10619" s="7" t="str">
        <f>HYPERLINK("https://otsuka-europe-crm.veevavault.com/ui/#object/account__v/V4TZ025E85JSL56", "ANNA MARIA RICCIATTI")</f>
        <v>ANNA MARIA RICCIATTI</v>
      </c>
      <c r="B10619" s="7" t="str">
        <f t="shared" si="798"/>
        <v>IT</v>
      </c>
      <c r="C10619" s="8" t="s">
        <v>44</v>
      </c>
      <c r="D10619" s="9" t="str">
        <f t="shared" si="799"/>
        <v>AE - AGGIORNAMENTI SEZIONE APPROFONDIMENTI NEFRO IT-NPR-2500150</v>
      </c>
      <c r="E10619" s="10" t="str">
        <f>HYPERLINK("https://otsuka-europe-crm.veevavault.com/ui/#object/sent_email__v/VBL00000002U744", "SE-001436634")</f>
        <v>SE-001436634</v>
      </c>
      <c r="F10619" s="11"/>
      <c r="G10619" s="12">
        <v>0</v>
      </c>
      <c r="H10619" s="12">
        <v>0</v>
      </c>
      <c r="I10619" s="12">
        <v>0</v>
      </c>
      <c r="J10619" s="11"/>
      <c r="K10619" s="12">
        <v>0</v>
      </c>
      <c r="L10619" s="10" t="str">
        <f t="shared" si="800"/>
        <v>AE - AGGIORNAMENTI SEZIONE APPROFONDIMENTI NEFRO IT-NPR-2500150</v>
      </c>
      <c r="M10619" s="10" t="str">
        <f t="shared" si="801"/>
        <v>giada.camassa@outsuka.it</v>
      </c>
      <c r="N10619" s="13">
        <v>46190.34002314815</v>
      </c>
      <c r="O10619" s="14" t="str">
        <f>HYPERLINK("https://otsuka-europe-crm.veevavault.com/ui/#object/email_activity__v/V8C00000003W603", "EN-002098194")</f>
        <v>EN-002098194</v>
      </c>
    </row>
    <row r="10620" spans="1:15" ht="64" x14ac:dyDescent="0.2">
      <c r="A10620" s="7" t="str">
        <f>HYPERLINK("https://otsuka-europe-crm.veevavault.com/ui/#object/account__v/V4TZ04ASGDUGSTH", "ANNA RACHELE ROCCA")</f>
        <v>ANNA RACHELE ROCCA</v>
      </c>
      <c r="B10620" s="7" t="str">
        <f t="shared" si="798"/>
        <v>IT</v>
      </c>
      <c r="C10620" s="8" t="s">
        <v>44</v>
      </c>
      <c r="D10620" s="9" t="str">
        <f t="shared" si="799"/>
        <v>AE - AGGIORNAMENTI SEZIONE APPROFONDIMENTI NEFRO IT-NPR-2500150</v>
      </c>
      <c r="E10620" s="10" t="str">
        <f>HYPERLINK("https://otsuka-europe-crm.veevavault.com/ui/#object/sent_email__v/VBL00000002U745", "SE-001436635")</f>
        <v>SE-001436635</v>
      </c>
      <c r="F10620" s="11"/>
      <c r="G10620" s="12">
        <v>0</v>
      </c>
      <c r="H10620" s="12">
        <v>0</v>
      </c>
      <c r="I10620" s="12">
        <v>0</v>
      </c>
      <c r="J10620" s="11"/>
      <c r="K10620" s="12">
        <v>0</v>
      </c>
      <c r="L10620" s="10" t="str">
        <f t="shared" si="800"/>
        <v>AE - AGGIORNAMENTI SEZIONE APPROFONDIMENTI NEFRO IT-NPR-2500150</v>
      </c>
      <c r="M10620" s="10" t="str">
        <f t="shared" si="801"/>
        <v>giada.camassa@outsuka.it</v>
      </c>
      <c r="N10620" s="13">
        <v>46190.339699074073</v>
      </c>
      <c r="O10620" s="14" t="str">
        <f>HYPERLINK("https://otsuka-europe-crm.veevavault.com/ui/#object/email_activity__v/V8C00000003W581", "EN-002098123")</f>
        <v>EN-002098123</v>
      </c>
    </row>
    <row r="10621" spans="1:15" ht="64" x14ac:dyDescent="0.2">
      <c r="A10621" s="7" t="str">
        <f>HYPERLINK("https://otsuka-europe-crm.veevavault.com/ui/#object/account__v/V4TZ025E86Q8DDP", "ANNALISA BONESCHI")</f>
        <v>ANNALISA BONESCHI</v>
      </c>
      <c r="B10621" s="7" t="str">
        <f t="shared" si="798"/>
        <v>IT</v>
      </c>
      <c r="C10621" s="8" t="s">
        <v>44</v>
      </c>
      <c r="D10621" s="9" t="str">
        <f t="shared" si="799"/>
        <v>AE - AGGIORNAMENTI SEZIONE APPROFONDIMENTI NEFRO IT-NPR-2500150</v>
      </c>
      <c r="E10621" s="10" t="str">
        <f>HYPERLINK("https://otsuka-europe-crm.veevavault.com/ui/#object/sent_email__v/VBL00000002U746", "SE-001436636")</f>
        <v>SE-001436636</v>
      </c>
      <c r="F10621" s="11"/>
      <c r="G10621" s="12">
        <v>0</v>
      </c>
      <c r="H10621" s="12">
        <v>0</v>
      </c>
      <c r="I10621" s="12">
        <v>0</v>
      </c>
      <c r="J10621" s="11"/>
      <c r="K10621" s="12">
        <v>0</v>
      </c>
      <c r="L10621" s="10" t="str">
        <f t="shared" si="800"/>
        <v>AE - AGGIORNAMENTI SEZIONE APPROFONDIMENTI NEFRO IT-NPR-2500150</v>
      </c>
      <c r="M10621" s="10" t="str">
        <f t="shared" si="801"/>
        <v>giada.camassa@outsuka.it</v>
      </c>
      <c r="N10621" s="13">
        <v>46190.337858796294</v>
      </c>
      <c r="O10621" s="14" t="str">
        <f>HYPERLINK("https://otsuka-europe-crm.veevavault.com/ui/#object/email_activity__v/V8C00000003X495", "EN-002097738")</f>
        <v>EN-002097738</v>
      </c>
    </row>
    <row r="10622" spans="1:15" ht="64" x14ac:dyDescent="0.2">
      <c r="A10622" s="7" t="str">
        <f>HYPERLINK("https://otsuka-europe-crm.veevavault.com/ui/#object/account__v/V4TZ06G6O71SAU7", "ANTONELLA GILIBERTI")</f>
        <v>ANTONELLA GILIBERTI</v>
      </c>
      <c r="B10622" s="7" t="str">
        <f t="shared" si="798"/>
        <v>IT</v>
      </c>
      <c r="C10622" s="8" t="s">
        <v>44</v>
      </c>
      <c r="D10622" s="9" t="str">
        <f t="shared" si="799"/>
        <v>AE - AGGIORNAMENTI SEZIONE APPROFONDIMENTI NEFRO IT-NPR-2500150</v>
      </c>
      <c r="E10622" s="10" t="str">
        <f>HYPERLINK("https://otsuka-europe-crm.veevavault.com/ui/#object/sent_email__v/VBL00000002U747", "SE-001436637")</f>
        <v>SE-001436637</v>
      </c>
      <c r="F10622" s="11"/>
      <c r="G10622" s="12">
        <v>0</v>
      </c>
      <c r="H10622" s="12">
        <v>0</v>
      </c>
      <c r="I10622" s="12">
        <v>0</v>
      </c>
      <c r="J10622" s="11"/>
      <c r="K10622" s="12">
        <v>0</v>
      </c>
      <c r="L10622" s="10" t="str">
        <f t="shared" si="800"/>
        <v>AE - AGGIORNAMENTI SEZIONE APPROFONDIMENTI NEFRO IT-NPR-2500150</v>
      </c>
      <c r="M10622" s="10" t="str">
        <f t="shared" si="801"/>
        <v>giada.camassa@outsuka.it</v>
      </c>
      <c r="N10622" s="13">
        <v>46190.337870370371</v>
      </c>
      <c r="O10622" s="14" t="str">
        <f>HYPERLINK("https://otsuka-europe-crm.veevavault.com/ui/#object/email_activity__v/V8C00000003X252", "EN-002097427")</f>
        <v>EN-002097427</v>
      </c>
    </row>
    <row r="10623" spans="1:15" ht="64" x14ac:dyDescent="0.2">
      <c r="A10623" s="7" t="str">
        <f>HYPERLINK("https://otsuka-europe-crm.veevavault.com/ui/#object/account__v/V4TZ06G6O71SCSU", "ANTONELLA IMPEDOVO")</f>
        <v>ANTONELLA IMPEDOVO</v>
      </c>
      <c r="B10623" s="7" t="str">
        <f t="shared" si="798"/>
        <v>IT</v>
      </c>
      <c r="C10623" s="8" t="s">
        <v>44</v>
      </c>
      <c r="D10623" s="9" t="str">
        <f t="shared" si="799"/>
        <v>AE - AGGIORNAMENTI SEZIONE APPROFONDIMENTI NEFRO IT-NPR-2500150</v>
      </c>
      <c r="E10623" s="10" t="str">
        <f>HYPERLINK("https://otsuka-europe-crm.veevavault.com/ui/#object/sent_email__v/VBL00000002U748", "SE-001436638")</f>
        <v>SE-001436638</v>
      </c>
      <c r="F10623" s="11"/>
      <c r="G10623" s="12">
        <v>0</v>
      </c>
      <c r="H10623" s="12">
        <v>0</v>
      </c>
      <c r="I10623" s="12">
        <v>0</v>
      </c>
      <c r="J10623" s="11"/>
      <c r="K10623" s="12">
        <v>0</v>
      </c>
      <c r="L10623" s="10" t="str">
        <f t="shared" si="800"/>
        <v>AE - AGGIORNAMENTI SEZIONE APPROFONDIMENTI NEFRO IT-NPR-2500150</v>
      </c>
      <c r="M10623" s="10" t="str">
        <f t="shared" si="801"/>
        <v>giada.camassa@outsuka.it</v>
      </c>
      <c r="N10623" s="13">
        <v>46190.337951388887</v>
      </c>
      <c r="O10623" s="14" t="str">
        <f>HYPERLINK("https://otsuka-europe-crm.veevavault.com/ui/#object/email_activity__v/V8C00000003W396", "EN-002097558")</f>
        <v>EN-002097558</v>
      </c>
    </row>
    <row r="10624" spans="1:15" ht="64" x14ac:dyDescent="0.2">
      <c r="A10624" s="7" t="str">
        <f>HYPERLINK("https://otsuka-europe-crm.veevavault.com/ui/#object/account__v/V4TZ06G6O71SBQ1", "ANTONELLA OROSSI")</f>
        <v>ANTONELLA OROSSI</v>
      </c>
      <c r="B10624" s="7" t="str">
        <f t="shared" si="798"/>
        <v>IT</v>
      </c>
      <c r="C10624" s="8" t="s">
        <v>44</v>
      </c>
      <c r="D10624" s="9" t="str">
        <f t="shared" si="799"/>
        <v>AE - AGGIORNAMENTI SEZIONE APPROFONDIMENTI NEFRO IT-NPR-2500150</v>
      </c>
      <c r="E10624" s="10" t="str">
        <f>HYPERLINK("https://otsuka-europe-crm.veevavault.com/ui/#object/sent_email__v/VBL00000002U749", "SE-001436639")</f>
        <v>SE-001436639</v>
      </c>
      <c r="F10624" s="11"/>
      <c r="G10624" s="12">
        <v>0</v>
      </c>
      <c r="H10624" s="12">
        <v>0</v>
      </c>
      <c r="I10624" s="12">
        <v>0</v>
      </c>
      <c r="J10624" s="11"/>
      <c r="K10624" s="12">
        <v>0</v>
      </c>
      <c r="L10624" s="10" t="str">
        <f t="shared" si="800"/>
        <v>AE - AGGIORNAMENTI SEZIONE APPROFONDIMENTI NEFRO IT-NPR-2500150</v>
      </c>
      <c r="M10624" s="10" t="str">
        <f t="shared" si="801"/>
        <v>giada.camassa@outsuka.it</v>
      </c>
      <c r="N10624" s="13">
        <v>46190.33929398148</v>
      </c>
      <c r="O10624" s="14" t="str">
        <f>HYPERLINK("https://otsuka-europe-crm.veevavault.com/ui/#object/email_activity__v/V8C00000003X704", "EN-002098066")</f>
        <v>EN-002098066</v>
      </c>
    </row>
    <row r="10625" spans="1:15" ht="64" x14ac:dyDescent="0.2">
      <c r="A10625" s="7" t="str">
        <f>HYPERLINK("https://otsuka-europe-crm.veevavault.com/ui/#object/account__v/V4TZ06G6O71SBTX", "ANTONELLO PANI")</f>
        <v>ANTONELLO PANI</v>
      </c>
      <c r="B10625" s="7" t="str">
        <f t="shared" si="798"/>
        <v>IT</v>
      </c>
      <c r="C10625" s="8" t="s">
        <v>44</v>
      </c>
      <c r="D10625" s="9" t="str">
        <f t="shared" si="799"/>
        <v>AE - AGGIORNAMENTI SEZIONE APPROFONDIMENTI NEFRO IT-NPR-2500150</v>
      </c>
      <c r="E10625" s="10" t="str">
        <f>HYPERLINK("https://otsuka-europe-crm.veevavault.com/ui/#object/sent_email__v/VBL00000002U750", "SE-001436640")</f>
        <v>SE-001436640</v>
      </c>
      <c r="F10625" s="11"/>
      <c r="G10625" s="12">
        <v>0</v>
      </c>
      <c r="H10625" s="12">
        <v>0</v>
      </c>
      <c r="I10625" s="12">
        <v>0</v>
      </c>
      <c r="J10625" s="11"/>
      <c r="K10625" s="12">
        <v>0</v>
      </c>
      <c r="L10625" s="10" t="str">
        <f t="shared" si="800"/>
        <v>AE - AGGIORNAMENTI SEZIONE APPROFONDIMENTI NEFRO IT-NPR-2500150</v>
      </c>
      <c r="M10625" s="10" t="str">
        <f t="shared" si="801"/>
        <v>giada.camassa@outsuka.it</v>
      </c>
      <c r="N10625" s="13">
        <v>46190.337812500002</v>
      </c>
      <c r="O10625" s="14" t="str">
        <f>HYPERLINK("https://otsuka-europe-crm.veevavault.com/ui/#object/email_activity__v/V8C00000003W358", "EN-002097415")</f>
        <v>EN-002097415</v>
      </c>
    </row>
    <row r="10626" spans="1:15" ht="64" x14ac:dyDescent="0.2">
      <c r="A10626" s="7" t="str">
        <f>HYPERLINK("https://otsuka-europe-crm.veevavault.com/ui/#object/account__v/V4TZ06G6O71SA9R", "ANTONIETTA DE BLASIO")</f>
        <v>ANTONIETTA DE BLASIO</v>
      </c>
      <c r="B10626" s="7" t="str">
        <f t="shared" si="798"/>
        <v>IT</v>
      </c>
      <c r="C10626" s="8" t="s">
        <v>44</v>
      </c>
      <c r="D10626" s="9" t="str">
        <f t="shared" si="799"/>
        <v>AE - AGGIORNAMENTI SEZIONE APPROFONDIMENTI NEFRO IT-NPR-2500150</v>
      </c>
      <c r="E10626" s="10" t="str">
        <f>HYPERLINK("https://otsuka-europe-crm.veevavault.com/ui/#object/sent_email__v/VBL00000002U751", "SE-001436641")</f>
        <v>SE-001436641</v>
      </c>
      <c r="F10626" s="11"/>
      <c r="G10626" s="12">
        <v>0</v>
      </c>
      <c r="H10626" s="12">
        <v>0</v>
      </c>
      <c r="I10626" s="12">
        <v>0</v>
      </c>
      <c r="J10626" s="11"/>
      <c r="K10626" s="12">
        <v>0</v>
      </c>
      <c r="L10626" s="10" t="str">
        <f t="shared" si="800"/>
        <v>AE - AGGIORNAMENTI SEZIONE APPROFONDIMENTI NEFRO IT-NPR-2500150</v>
      </c>
      <c r="M10626" s="10" t="str">
        <f t="shared" si="801"/>
        <v>giada.camassa@outsuka.it</v>
      </c>
      <c r="N10626" s="13">
        <v>46190.337847222225</v>
      </c>
      <c r="O10626" s="14" t="str">
        <f>HYPERLINK("https://otsuka-europe-crm.veevavault.com/ui/#object/email_activity__v/V8C00000003X620", "EN-002097942")</f>
        <v>EN-002097942</v>
      </c>
    </row>
    <row r="10627" spans="1:15" ht="64" x14ac:dyDescent="0.2">
      <c r="A10627" s="7" t="str">
        <f>HYPERLINK("https://otsuka-europe-crm.veevavault.com/ui/#object/account__v/V4TZ025E85RNYUA", "ANTONINA MARIA MESSINA")</f>
        <v>ANTONINA MARIA MESSINA</v>
      </c>
      <c r="B10627" s="7" t="str">
        <f t="shared" si="798"/>
        <v>IT</v>
      </c>
      <c r="C10627" s="8" t="s">
        <v>44</v>
      </c>
      <c r="D10627" s="9" t="str">
        <f t="shared" si="799"/>
        <v>AE - AGGIORNAMENTI SEZIONE APPROFONDIMENTI NEFRO IT-NPR-2500150</v>
      </c>
      <c r="E10627" s="10" t="str">
        <f>HYPERLINK("https://otsuka-europe-crm.veevavault.com/ui/#object/sent_email__v/VBL00000002U752", "SE-001436642")</f>
        <v>SE-001436642</v>
      </c>
      <c r="F10627" s="11"/>
      <c r="G10627" s="12">
        <v>0</v>
      </c>
      <c r="H10627" s="12">
        <v>0</v>
      </c>
      <c r="I10627" s="12">
        <v>0</v>
      </c>
      <c r="J10627" s="11"/>
      <c r="K10627" s="12">
        <v>0</v>
      </c>
      <c r="L10627" s="10" t="str">
        <f t="shared" si="800"/>
        <v>AE - AGGIORNAMENTI SEZIONE APPROFONDIMENTI NEFRO IT-NPR-2500150</v>
      </c>
      <c r="M10627" s="10" t="str">
        <f t="shared" si="801"/>
        <v>giada.camassa@outsuka.it</v>
      </c>
      <c r="N10627" s="13">
        <v>46190.337858796294</v>
      </c>
      <c r="O10627" s="14" t="str">
        <f>HYPERLINK("https://otsuka-europe-crm.veevavault.com/ui/#object/email_activity__v/V8C00000003X259", "EN-002097434")</f>
        <v>EN-002097434</v>
      </c>
    </row>
    <row r="10628" spans="1:15" ht="64" x14ac:dyDescent="0.2">
      <c r="A10628" s="7" t="str">
        <f>HYPERLINK("https://otsuka-europe-crm.veevavault.com/ui/#object/account__v/V4TZ06G6O71S9R7", "ANTONINO PREVITI")</f>
        <v>ANTONINO PREVITI</v>
      </c>
      <c r="B10628" s="7" t="str">
        <f t="shared" si="798"/>
        <v>IT</v>
      </c>
      <c r="C10628" s="8" t="s">
        <v>44</v>
      </c>
      <c r="D10628" s="9" t="str">
        <f t="shared" si="799"/>
        <v>AE - AGGIORNAMENTI SEZIONE APPROFONDIMENTI NEFRO IT-NPR-2500150</v>
      </c>
      <c r="E10628" s="10" t="str">
        <f>HYPERLINK("https://otsuka-europe-crm.veevavault.com/ui/#object/sent_email__v/VBL00000002U753", "SE-001436643")</f>
        <v>SE-001436643</v>
      </c>
      <c r="F10628" s="11"/>
      <c r="G10628" s="12">
        <v>0</v>
      </c>
      <c r="H10628" s="12">
        <v>0</v>
      </c>
      <c r="I10628" s="12">
        <v>0</v>
      </c>
      <c r="J10628" s="11"/>
      <c r="K10628" s="12">
        <v>0</v>
      </c>
      <c r="L10628" s="10" t="str">
        <f t="shared" si="800"/>
        <v>AE - AGGIORNAMENTI SEZIONE APPROFONDIMENTI NEFRO IT-NPR-2500150</v>
      </c>
      <c r="M10628" s="10" t="str">
        <f t="shared" si="801"/>
        <v>giada.camassa@outsuka.it</v>
      </c>
      <c r="N10628" s="13">
        <v>46190.339722222219</v>
      </c>
      <c r="O10628" s="14" t="str">
        <f>HYPERLINK("https://otsuka-europe-crm.veevavault.com/ui/#object/email_activity__v/V8C00000003W591", "EN-002098154")</f>
        <v>EN-002098154</v>
      </c>
    </row>
    <row r="10629" spans="1:15" ht="16" x14ac:dyDescent="0.2">
      <c r="A10629" s="17" t="str">
        <f>HYPERLINK("https://otsuka-europe-crm.veevavault.com/ui/#object/account__v/V4TZ06G6O71SC26", "ANTONINO RAGUSA")</f>
        <v>ANTONINO RAGUSA</v>
      </c>
      <c r="B10629" s="17" t="str">
        <f t="shared" si="798"/>
        <v>IT</v>
      </c>
      <c r="C10629" s="20" t="s">
        <v>44</v>
      </c>
      <c r="D10629" s="21" t="str">
        <f t="shared" si="799"/>
        <v>AE - AGGIORNAMENTI SEZIONE APPROFONDIMENTI NEFRO IT-NPR-2500150</v>
      </c>
      <c r="E10629" s="22" t="str">
        <f>HYPERLINK("https://otsuka-europe-crm.veevavault.com/ui/#object/sent_email__v/VBL00000002U754", "SE-001436644")</f>
        <v>SE-001436644</v>
      </c>
      <c r="F10629" s="25"/>
      <c r="G10629" s="24">
        <v>0</v>
      </c>
      <c r="H10629" s="24">
        <v>0</v>
      </c>
      <c r="I10629" s="24">
        <v>0</v>
      </c>
      <c r="J10629" s="25"/>
      <c r="K10629" s="24">
        <v>0</v>
      </c>
      <c r="L10629" s="22" t="str">
        <f t="shared" si="800"/>
        <v>AE - AGGIORNAMENTI SEZIONE APPROFONDIMENTI NEFRO IT-NPR-2500150</v>
      </c>
      <c r="M10629" s="22" t="str">
        <f t="shared" si="801"/>
        <v>giada.camassa@outsuka.it</v>
      </c>
      <c r="N10629" s="23">
        <v>46190.337870370371</v>
      </c>
      <c r="O10629" s="14" t="str">
        <f>HYPERLINK("https://otsuka-europe-crm.veevavault.com/ui/#object/email_activity__v/V8C00000003W350", "EN-002097407")</f>
        <v>EN-002097407</v>
      </c>
    </row>
    <row r="10630" spans="1:15" ht="16" x14ac:dyDescent="0.2">
      <c r="A10630" s="18"/>
      <c r="B10630" s="18"/>
      <c r="C10630" s="18"/>
      <c r="D10630" s="18"/>
      <c r="E10630" s="18"/>
      <c r="F10630" s="18"/>
      <c r="G10630" s="18"/>
      <c r="H10630" s="18"/>
      <c r="I10630" s="18"/>
      <c r="J10630" s="18"/>
      <c r="K10630" s="18"/>
      <c r="L10630" s="18"/>
      <c r="M10630" s="18"/>
      <c r="N10630" s="18"/>
      <c r="O10630" s="14" t="str">
        <f>HYPERLINK("https://otsuka-europe-crm.veevavault.com/ui/#object/email_activity__v/V8C00000003W746", "EN-002098484")</f>
        <v>EN-002098484</v>
      </c>
    </row>
    <row r="10631" spans="1:15" ht="16" x14ac:dyDescent="0.2">
      <c r="A10631" s="19"/>
      <c r="B10631" s="19"/>
      <c r="C10631" s="19"/>
      <c r="D10631" s="19"/>
      <c r="E10631" s="19"/>
      <c r="F10631" s="19"/>
      <c r="G10631" s="19"/>
      <c r="H10631" s="19"/>
      <c r="I10631" s="19"/>
      <c r="J10631" s="19"/>
      <c r="K10631" s="19"/>
      <c r="L10631" s="19"/>
      <c r="M10631" s="19"/>
      <c r="N10631" s="19"/>
      <c r="O10631" s="14" t="str">
        <f>HYPERLINK("https://otsuka-europe-crm.veevavault.com/ui/#object/email_activity__v/V8C000000040088", "EN-002098857")</f>
        <v>EN-002098857</v>
      </c>
    </row>
    <row r="10632" spans="1:15" ht="64" x14ac:dyDescent="0.2">
      <c r="A10632" s="7" t="str">
        <f>HYPERLINK("https://otsuka-europe-crm.veevavault.com/ui/#object/account__v/V4TZ04ASGETCVHB", "ANTONIO AMATO")</f>
        <v>ANTONIO AMATO</v>
      </c>
      <c r="B10632" s="7" t="str">
        <f>HYPERLINK("https://otsuka-europe-crm.veevavault.com/ui/#object/vcountry__v/VENZ000004SONFQ", "IT")</f>
        <v>IT</v>
      </c>
      <c r="C10632" s="8" t="s">
        <v>44</v>
      </c>
      <c r="D10632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632" s="10" t="str">
        <f>HYPERLINK("https://otsuka-europe-crm.veevavault.com/ui/#object/sent_email__v/VBL00000002U755", "SE-001436645")</f>
        <v>SE-001436645</v>
      </c>
      <c r="F10632" s="11"/>
      <c r="G10632" s="12">
        <v>0</v>
      </c>
      <c r="H10632" s="12">
        <v>0</v>
      </c>
      <c r="I10632" s="12">
        <v>0</v>
      </c>
      <c r="J10632" s="11"/>
      <c r="K10632" s="12">
        <v>0</v>
      </c>
      <c r="L10632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632" s="10" t="str">
        <f>HYPERLINK("mailto:giada.camassa@outsuka.it", "giada.camassa@outsuka.it")</f>
        <v>giada.camassa@outsuka.it</v>
      </c>
      <c r="N10632" s="13">
        <v>46190.337881944448</v>
      </c>
      <c r="O10632" s="14" t="str">
        <f>HYPERLINK("https://otsuka-europe-crm.veevavault.com/ui/#object/email_activity__v/V8C00000003W344", "EN-002097401")</f>
        <v>EN-002097401</v>
      </c>
    </row>
    <row r="10633" spans="1:15" ht="16" x14ac:dyDescent="0.2">
      <c r="A10633" s="17" t="str">
        <f>HYPERLINK("https://otsuka-europe-crm.veevavault.com/ui/#object/account__v/V4TZ06G6O71SAJA", "ANTONIO EDOARDO GIORGIO FERLAN")</f>
        <v>ANTONIO EDOARDO GIORGIO FERLAN</v>
      </c>
      <c r="B10633" s="17" t="str">
        <f>HYPERLINK("https://otsuka-europe-crm.veevavault.com/ui/#object/vcountry__v/VENZ000004SONFQ", "IT")</f>
        <v>IT</v>
      </c>
      <c r="C10633" s="20" t="s">
        <v>44</v>
      </c>
      <c r="D10633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633" s="22" t="str">
        <f>HYPERLINK("https://otsuka-europe-crm.veevavault.com/ui/#object/sent_email__v/VBL00000002U756", "SE-001436646")</f>
        <v>SE-001436646</v>
      </c>
      <c r="F10633" s="23">
        <v>46191.241516203707</v>
      </c>
      <c r="G10633" s="24">
        <v>1</v>
      </c>
      <c r="H10633" s="24">
        <v>1</v>
      </c>
      <c r="I10633" s="24">
        <v>0</v>
      </c>
      <c r="J10633" s="25"/>
      <c r="K10633" s="24">
        <v>0</v>
      </c>
      <c r="L10633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633" s="22" t="str">
        <f>HYPERLINK("mailto:giada.camassa@outsuka.it", "giada.camassa@outsuka.it")</f>
        <v>giada.camassa@outsuka.it</v>
      </c>
      <c r="N10633" s="23">
        <v>46190.33792824074</v>
      </c>
      <c r="O10633" s="14" t="str">
        <f>HYPERLINK("https://otsuka-europe-crm.veevavault.com/ui/#object/email_activity__v/V8C00000003W434", "EN-002097718")</f>
        <v>EN-002097718</v>
      </c>
    </row>
    <row r="10634" spans="1:15" ht="16" x14ac:dyDescent="0.2">
      <c r="A10634" s="18"/>
      <c r="B10634" s="18"/>
      <c r="C10634" s="18"/>
      <c r="D10634" s="18"/>
      <c r="E10634" s="18"/>
      <c r="F10634" s="18"/>
      <c r="G10634" s="18"/>
      <c r="H10634" s="18"/>
      <c r="I10634" s="18"/>
      <c r="J10634" s="18"/>
      <c r="K10634" s="18"/>
      <c r="L10634" s="18"/>
      <c r="M10634" s="18"/>
      <c r="N10634" s="18"/>
      <c r="O10634" s="14" t="str">
        <f>HYPERLINK("https://otsuka-europe-crm.veevavault.com/ui/#object/email_activity__v/V8C00000003W760", "EN-002098518")</f>
        <v>EN-002098518</v>
      </c>
    </row>
    <row r="10635" spans="1:15" ht="16" x14ac:dyDescent="0.2">
      <c r="A10635" s="19"/>
      <c r="B10635" s="19"/>
      <c r="C10635" s="19"/>
      <c r="D10635" s="19"/>
      <c r="E10635" s="19"/>
      <c r="F10635" s="19"/>
      <c r="G10635" s="19"/>
      <c r="H10635" s="19"/>
      <c r="I10635" s="19"/>
      <c r="J10635" s="19"/>
      <c r="K10635" s="19"/>
      <c r="L10635" s="19"/>
      <c r="M10635" s="19"/>
      <c r="N10635" s="19"/>
      <c r="O10635" s="14" t="str">
        <f>HYPERLINK("https://otsuka-europe-crm.veevavault.com/ui/#object/email_activity__v/V8C00000003X950", "EN-002098510")</f>
        <v>EN-002098510</v>
      </c>
    </row>
    <row r="10636" spans="1:15" ht="64" x14ac:dyDescent="0.2">
      <c r="A10636" s="7" t="str">
        <f>HYPERLINK("https://otsuka-europe-crm.veevavault.com/ui/#object/account__v/V4TZ06G6O71SB7W", "ANTONIO IRLANDO")</f>
        <v>ANTONIO IRLANDO</v>
      </c>
      <c r="B10636" s="7" t="str">
        <f t="shared" ref="B10636:B10644" si="802">HYPERLINK("https://otsuka-europe-crm.veevavault.com/ui/#object/vcountry__v/VENZ000004SONFQ", "IT")</f>
        <v>IT</v>
      </c>
      <c r="C10636" s="8" t="s">
        <v>44</v>
      </c>
      <c r="D10636" s="9" t="str">
        <f t="shared" ref="D10636:D10644" si="803">HYPERLINK("https://otsuka-europe-crm.veevavault.com/ui/#object/approved_document__v/V5O00000000G061", "AE - AGGIORNAMENTI SEZIONE APPROFONDIMENTI NEFRO IT-NPR-2500150")</f>
        <v>AE - AGGIORNAMENTI SEZIONE APPROFONDIMENTI NEFRO IT-NPR-2500150</v>
      </c>
      <c r="E10636" s="10" t="str">
        <f>HYPERLINK("https://otsuka-europe-crm.veevavault.com/ui/#object/sent_email__v/VBL00000002U757", "SE-001436647")</f>
        <v>SE-001436647</v>
      </c>
      <c r="F10636" s="11"/>
      <c r="G10636" s="12">
        <v>0</v>
      </c>
      <c r="H10636" s="12">
        <v>0</v>
      </c>
      <c r="I10636" s="12">
        <v>0</v>
      </c>
      <c r="J10636" s="11"/>
      <c r="K10636" s="12">
        <v>0</v>
      </c>
      <c r="L10636" s="10" t="str">
        <f t="shared" ref="L10636:L10644" si="804">HYPERLINK("https://otsuka-europe-crm.veevavault.com/ui/#object/approved_document__v/V5O00000000G061", "AE - AGGIORNAMENTI SEZIONE APPROFONDIMENTI NEFRO IT-NPR-2500150")</f>
        <v>AE - AGGIORNAMENTI SEZIONE APPROFONDIMENTI NEFRO IT-NPR-2500150</v>
      </c>
      <c r="M10636" s="10" t="str">
        <f t="shared" ref="M10636:M10644" si="805">HYPERLINK("mailto:giada.camassa@outsuka.it", "giada.camassa@outsuka.it")</f>
        <v>giada.camassa@outsuka.it</v>
      </c>
      <c r="N10636" s="13">
        <v>46190.337939814817</v>
      </c>
      <c r="O10636" s="14" t="str">
        <f>HYPERLINK("https://otsuka-europe-crm.veevavault.com/ui/#object/email_activity__v/V8C00000003W459", "EN-002097782")</f>
        <v>EN-002097782</v>
      </c>
    </row>
    <row r="10637" spans="1:15" ht="64" x14ac:dyDescent="0.2">
      <c r="A10637" s="7" t="str">
        <f>HYPERLINK("https://otsuka-europe-crm.veevavault.com/ui/#object/account__v/V4TZ06G6O71SB6S", "ANTONIO LACQUANITI")</f>
        <v>ANTONIO LACQUANITI</v>
      </c>
      <c r="B10637" s="7" t="str">
        <f t="shared" si="802"/>
        <v>IT</v>
      </c>
      <c r="C10637" s="8" t="s">
        <v>44</v>
      </c>
      <c r="D10637" s="9" t="str">
        <f t="shared" si="803"/>
        <v>AE - AGGIORNAMENTI SEZIONE APPROFONDIMENTI NEFRO IT-NPR-2500150</v>
      </c>
      <c r="E10637" s="10" t="str">
        <f>HYPERLINK("https://otsuka-europe-crm.veevavault.com/ui/#object/sent_email__v/VBL00000002U758", "SE-001436648")</f>
        <v>SE-001436648</v>
      </c>
      <c r="F10637" s="11"/>
      <c r="G10637" s="12">
        <v>0</v>
      </c>
      <c r="H10637" s="12">
        <v>0</v>
      </c>
      <c r="I10637" s="12">
        <v>0</v>
      </c>
      <c r="J10637" s="11"/>
      <c r="K10637" s="12">
        <v>0</v>
      </c>
      <c r="L10637" s="10" t="str">
        <f t="shared" si="804"/>
        <v>AE - AGGIORNAMENTI SEZIONE APPROFONDIMENTI NEFRO IT-NPR-2500150</v>
      </c>
      <c r="M10637" s="10" t="str">
        <f t="shared" si="805"/>
        <v>giada.camassa@outsuka.it</v>
      </c>
      <c r="N10637" s="13">
        <v>46190.337847222225</v>
      </c>
      <c r="O10637" s="14" t="str">
        <f>HYPERLINK("https://otsuka-europe-crm.veevavault.com/ui/#object/email_activity__v/V8C00000003X341", "EN-002097637")</f>
        <v>EN-002097637</v>
      </c>
    </row>
    <row r="10638" spans="1:15" ht="64" x14ac:dyDescent="0.2">
      <c r="A10638" s="7" t="str">
        <f>HYPERLINK("https://otsuka-europe-crm.veevavault.com/ui/#object/account__v/V4TZ06G6O71SC0X", "ANTONIO PONTORIERO")</f>
        <v>ANTONIO PONTORIERO</v>
      </c>
      <c r="B10638" s="7" t="str">
        <f t="shared" si="802"/>
        <v>IT</v>
      </c>
      <c r="C10638" s="8" t="s">
        <v>44</v>
      </c>
      <c r="D10638" s="9" t="str">
        <f t="shared" si="803"/>
        <v>AE - AGGIORNAMENTI SEZIONE APPROFONDIMENTI NEFRO IT-NPR-2500150</v>
      </c>
      <c r="E10638" s="10" t="str">
        <f>HYPERLINK("https://otsuka-europe-crm.veevavault.com/ui/#object/sent_email__v/VBL00000002U759", "SE-001436649")</f>
        <v>SE-001436649</v>
      </c>
      <c r="F10638" s="11"/>
      <c r="G10638" s="12">
        <v>0</v>
      </c>
      <c r="H10638" s="12">
        <v>0</v>
      </c>
      <c r="I10638" s="12">
        <v>0</v>
      </c>
      <c r="J10638" s="11"/>
      <c r="K10638" s="12">
        <v>0</v>
      </c>
      <c r="L10638" s="10" t="str">
        <f t="shared" si="804"/>
        <v>AE - AGGIORNAMENTI SEZIONE APPROFONDIMENTI NEFRO IT-NPR-2500150</v>
      </c>
      <c r="M10638" s="10" t="str">
        <f t="shared" si="805"/>
        <v>giada.camassa@outsuka.it</v>
      </c>
      <c r="N10638" s="13">
        <v>46190.33792824074</v>
      </c>
      <c r="O10638" s="14" t="str">
        <f>HYPERLINK("https://otsuka-europe-crm.veevavault.com/ui/#object/email_activity__v/V8C00000003X511", "EN-002097754")</f>
        <v>EN-002097754</v>
      </c>
    </row>
    <row r="10639" spans="1:15" ht="64" x14ac:dyDescent="0.2">
      <c r="A10639" s="7" t="str">
        <f>HYPERLINK("https://otsuka-europe-crm.veevavault.com/ui/#object/account__v/V4TZ06G6O71SAG8", "ARCANGELO DI MAGGIO")</f>
        <v>ARCANGELO DI MAGGIO</v>
      </c>
      <c r="B10639" s="7" t="str">
        <f t="shared" si="802"/>
        <v>IT</v>
      </c>
      <c r="C10639" s="8" t="s">
        <v>44</v>
      </c>
      <c r="D10639" s="9" t="str">
        <f t="shared" si="803"/>
        <v>AE - AGGIORNAMENTI SEZIONE APPROFONDIMENTI NEFRO IT-NPR-2500150</v>
      </c>
      <c r="E10639" s="10" t="str">
        <f>HYPERLINK("https://otsuka-europe-crm.veevavault.com/ui/#object/sent_email__v/VBL00000002U760", "SE-001436650")</f>
        <v>SE-001436650</v>
      </c>
      <c r="F10639" s="11"/>
      <c r="G10639" s="12">
        <v>0</v>
      </c>
      <c r="H10639" s="12">
        <v>0</v>
      </c>
      <c r="I10639" s="12">
        <v>0</v>
      </c>
      <c r="J10639" s="11"/>
      <c r="K10639" s="12">
        <v>0</v>
      </c>
      <c r="L10639" s="10" t="str">
        <f t="shared" si="804"/>
        <v>AE - AGGIORNAMENTI SEZIONE APPROFONDIMENTI NEFRO IT-NPR-2500150</v>
      </c>
      <c r="M10639" s="10" t="str">
        <f t="shared" si="805"/>
        <v>giada.camassa@outsuka.it</v>
      </c>
      <c r="N10639" s="13">
        <v>46190.339456018519</v>
      </c>
      <c r="O10639" s="14" t="str">
        <f>HYPERLINK("https://otsuka-europe-crm.veevavault.com/ui/#object/email_activity__v/V8C00000003X706", "EN-002098068")</f>
        <v>EN-002098068</v>
      </c>
    </row>
    <row r="10640" spans="1:15" ht="64" x14ac:dyDescent="0.2">
      <c r="A10640" s="7" t="str">
        <f>HYPERLINK("https://otsuka-europe-crm.veevavault.com/ui/#object/account__v/V4TZ06G6O71SC7D", "ARCANGELO SELLARO")</f>
        <v>ARCANGELO SELLARO</v>
      </c>
      <c r="B10640" s="7" t="str">
        <f t="shared" si="802"/>
        <v>IT</v>
      </c>
      <c r="C10640" s="8" t="s">
        <v>44</v>
      </c>
      <c r="D10640" s="9" t="str">
        <f t="shared" si="803"/>
        <v>AE - AGGIORNAMENTI SEZIONE APPROFONDIMENTI NEFRO IT-NPR-2500150</v>
      </c>
      <c r="E10640" s="10" t="str">
        <f>HYPERLINK("https://otsuka-europe-crm.veevavault.com/ui/#object/sent_email__v/VBL00000002U761", "SE-001436651")</f>
        <v>SE-001436651</v>
      </c>
      <c r="F10640" s="11"/>
      <c r="G10640" s="12">
        <v>0</v>
      </c>
      <c r="H10640" s="12">
        <v>0</v>
      </c>
      <c r="I10640" s="12">
        <v>0</v>
      </c>
      <c r="J10640" s="11"/>
      <c r="K10640" s="12">
        <v>0</v>
      </c>
      <c r="L10640" s="10" t="str">
        <f t="shared" si="804"/>
        <v>AE - AGGIORNAMENTI SEZIONE APPROFONDIMENTI NEFRO IT-NPR-2500150</v>
      </c>
      <c r="M10640" s="10" t="str">
        <f t="shared" si="805"/>
        <v>giada.camassa@outsuka.it</v>
      </c>
      <c r="N10640" s="13">
        <v>46190.337858796294</v>
      </c>
      <c r="O10640" s="14" t="str">
        <f>HYPERLINK("https://otsuka-europe-crm.veevavault.com/ui/#object/email_activity__v/V8C00000003X291", "EN-002097482")</f>
        <v>EN-002097482</v>
      </c>
    </row>
    <row r="10641" spans="1:15" ht="64" x14ac:dyDescent="0.2">
      <c r="A10641" s="7" t="str">
        <f>HYPERLINK("https://otsuka-europe-crm.veevavault.com/ui/#object/account__v/V4TZ06G6O71S9IH", "ARIANNA RESTIVO")</f>
        <v>ARIANNA RESTIVO</v>
      </c>
      <c r="B10641" s="7" t="str">
        <f t="shared" si="802"/>
        <v>IT</v>
      </c>
      <c r="C10641" s="8" t="s">
        <v>44</v>
      </c>
      <c r="D10641" s="9" t="str">
        <f t="shared" si="803"/>
        <v>AE - AGGIORNAMENTI SEZIONE APPROFONDIMENTI NEFRO IT-NPR-2500150</v>
      </c>
      <c r="E10641" s="10" t="str">
        <f>HYPERLINK("https://otsuka-europe-crm.veevavault.com/ui/#object/sent_email__v/VBL00000002U762", "SE-001436652")</f>
        <v>SE-001436652</v>
      </c>
      <c r="F10641" s="11"/>
      <c r="G10641" s="12">
        <v>0</v>
      </c>
      <c r="H10641" s="12">
        <v>0</v>
      </c>
      <c r="I10641" s="12">
        <v>0</v>
      </c>
      <c r="J10641" s="11"/>
      <c r="K10641" s="12">
        <v>0</v>
      </c>
      <c r="L10641" s="10" t="str">
        <f t="shared" si="804"/>
        <v>AE - AGGIORNAMENTI SEZIONE APPROFONDIMENTI NEFRO IT-NPR-2500150</v>
      </c>
      <c r="M10641" s="10" t="str">
        <f t="shared" si="805"/>
        <v>giada.camassa@outsuka.it</v>
      </c>
      <c r="N10641" s="13">
        <v>46190.337916666664</v>
      </c>
      <c r="O10641" s="14" t="str">
        <f>HYPERLINK("https://otsuka-europe-crm.veevavault.com/ui/#object/email_activity__v/V8C00000003W397", "EN-002097559")</f>
        <v>EN-002097559</v>
      </c>
    </row>
    <row r="10642" spans="1:15" ht="64" x14ac:dyDescent="0.2">
      <c r="A10642" s="7" t="str">
        <f>HYPERLINK("https://otsuka-europe-crm.veevavault.com/ui/#object/account__v/V4TZ06G6O8SHBPJ", "AUGUSTO VAGLIO")</f>
        <v>AUGUSTO VAGLIO</v>
      </c>
      <c r="B10642" s="7" t="str">
        <f t="shared" si="802"/>
        <v>IT</v>
      </c>
      <c r="C10642" s="8" t="s">
        <v>44</v>
      </c>
      <c r="D10642" s="9" t="str">
        <f t="shared" si="803"/>
        <v>AE - AGGIORNAMENTI SEZIONE APPROFONDIMENTI NEFRO IT-NPR-2500150</v>
      </c>
      <c r="E10642" s="10" t="str">
        <f>HYPERLINK("https://otsuka-europe-crm.veevavault.com/ui/#object/sent_email__v/VBL00000002U763", "SE-001436653")</f>
        <v>SE-001436653</v>
      </c>
      <c r="F10642" s="11"/>
      <c r="G10642" s="12">
        <v>0</v>
      </c>
      <c r="H10642" s="12">
        <v>0</v>
      </c>
      <c r="I10642" s="12">
        <v>0</v>
      </c>
      <c r="J10642" s="11"/>
      <c r="K10642" s="12">
        <v>0</v>
      </c>
      <c r="L10642" s="10" t="str">
        <f t="shared" si="804"/>
        <v>AE - AGGIORNAMENTI SEZIONE APPROFONDIMENTI NEFRO IT-NPR-2500150</v>
      </c>
      <c r="M10642" s="10" t="str">
        <f t="shared" si="805"/>
        <v>giada.camassa@outsuka.it</v>
      </c>
      <c r="N10642" s="13">
        <v>46190.33935185185</v>
      </c>
      <c r="O10642" s="14" t="str">
        <f>HYPERLINK("https://otsuka-europe-crm.veevavault.com/ui/#object/email_activity__v/V8C00000003X695", "EN-002098056")</f>
        <v>EN-002098056</v>
      </c>
    </row>
    <row r="10643" spans="1:15" ht="64" x14ac:dyDescent="0.2">
      <c r="A10643" s="7" t="str">
        <f>HYPERLINK("https://otsuka-europe-crm.veevavault.com/ui/#object/account__v/V4TZ025E82IB0M7", "BARBARA NERUCCI")</f>
        <v>BARBARA NERUCCI</v>
      </c>
      <c r="B10643" s="7" t="str">
        <f t="shared" si="802"/>
        <v>IT</v>
      </c>
      <c r="C10643" s="8" t="s">
        <v>44</v>
      </c>
      <c r="D10643" s="9" t="str">
        <f t="shared" si="803"/>
        <v>AE - AGGIORNAMENTI SEZIONE APPROFONDIMENTI NEFRO IT-NPR-2500150</v>
      </c>
      <c r="E10643" s="10" t="str">
        <f>HYPERLINK("https://otsuka-europe-crm.veevavault.com/ui/#object/sent_email__v/VBL00000002U764", "SE-001436654")</f>
        <v>SE-001436654</v>
      </c>
      <c r="F10643" s="11"/>
      <c r="G10643" s="12">
        <v>0</v>
      </c>
      <c r="H10643" s="12">
        <v>0</v>
      </c>
      <c r="I10643" s="12">
        <v>0</v>
      </c>
      <c r="J10643" s="11"/>
      <c r="K10643" s="12">
        <v>0</v>
      </c>
      <c r="L10643" s="10" t="str">
        <f t="shared" si="804"/>
        <v>AE - AGGIORNAMENTI SEZIONE APPROFONDIMENTI NEFRO IT-NPR-2500150</v>
      </c>
      <c r="M10643" s="10" t="str">
        <f t="shared" si="805"/>
        <v>giada.camassa@outsuka.it</v>
      </c>
      <c r="N10643" s="13">
        <v>46190.337905092594</v>
      </c>
      <c r="O10643" s="14" t="str">
        <f>HYPERLINK("https://otsuka-europe-crm.veevavault.com/ui/#object/email_activity__v/V8C00000003X802", "EN-002098218")</f>
        <v>EN-002098218</v>
      </c>
    </row>
    <row r="10644" spans="1:15" ht="16" x14ac:dyDescent="0.2">
      <c r="A10644" s="17" t="str">
        <f>HYPERLINK("https://otsuka-europe-crm.veevavault.com/ui/#object/account__v/V4TZ06G6O71SBAK", "BIAGIO ANTONIO MELI")</f>
        <v>BIAGIO ANTONIO MELI</v>
      </c>
      <c r="B10644" s="17" t="str">
        <f t="shared" si="802"/>
        <v>IT</v>
      </c>
      <c r="C10644" s="20" t="s">
        <v>44</v>
      </c>
      <c r="D10644" s="21" t="str">
        <f t="shared" si="803"/>
        <v>AE - AGGIORNAMENTI SEZIONE APPROFONDIMENTI NEFRO IT-NPR-2500150</v>
      </c>
      <c r="E10644" s="22" t="str">
        <f>HYPERLINK("https://otsuka-europe-crm.veevavault.com/ui/#object/sent_email__v/VBL00000002U765", "SE-001436655")</f>
        <v>SE-001436655</v>
      </c>
      <c r="F10644" s="23">
        <v>46190.508287037039</v>
      </c>
      <c r="G10644" s="24">
        <v>1</v>
      </c>
      <c r="H10644" s="24">
        <v>1</v>
      </c>
      <c r="I10644" s="24">
        <v>1</v>
      </c>
      <c r="J10644" s="23">
        <v>46190.508402777778</v>
      </c>
      <c r="K10644" s="24">
        <v>2</v>
      </c>
      <c r="L10644" s="22" t="str">
        <f t="shared" si="804"/>
        <v>AE - AGGIORNAMENTI SEZIONE APPROFONDIMENTI NEFRO IT-NPR-2500150</v>
      </c>
      <c r="M10644" s="22" t="str">
        <f t="shared" si="805"/>
        <v>giada.camassa@outsuka.it</v>
      </c>
      <c r="N10644" s="23">
        <v>46190.338958333334</v>
      </c>
      <c r="O10644" s="14" t="str">
        <f>HYPERLINK("https://otsuka-europe-crm.veevavault.com/ui/#object/email_activity__v/V8C00000003W533", "EN-002098000")</f>
        <v>EN-002098000</v>
      </c>
    </row>
    <row r="10645" spans="1:15" ht="16" x14ac:dyDescent="0.2">
      <c r="A10645" s="18"/>
      <c r="B10645" s="18"/>
      <c r="C10645" s="18"/>
      <c r="D10645" s="18"/>
      <c r="E10645" s="18"/>
      <c r="F10645" s="18"/>
      <c r="G10645" s="18"/>
      <c r="H10645" s="18"/>
      <c r="I10645" s="18"/>
      <c r="J10645" s="18"/>
      <c r="K10645" s="18"/>
      <c r="L10645" s="18"/>
      <c r="M10645" s="18"/>
      <c r="N10645" s="18"/>
      <c r="O10645" s="14" t="str">
        <f>HYPERLINK("https://otsuka-europe-crm.veevavault.com/ui/#object/email_activity__v/V8C00000003W687", "EN-002098351")</f>
        <v>EN-002098351</v>
      </c>
    </row>
    <row r="10646" spans="1:15" ht="16" x14ac:dyDescent="0.2">
      <c r="A10646" s="18"/>
      <c r="B10646" s="18"/>
      <c r="C10646" s="18"/>
      <c r="D10646" s="18"/>
      <c r="E10646" s="18"/>
      <c r="F10646" s="18"/>
      <c r="G10646" s="18"/>
      <c r="H10646" s="18"/>
      <c r="I10646" s="18"/>
      <c r="J10646" s="18"/>
      <c r="K10646" s="18"/>
      <c r="L10646" s="18"/>
      <c r="M10646" s="18"/>
      <c r="N10646" s="18"/>
      <c r="O10646" s="14" t="str">
        <f>HYPERLINK("https://otsuka-europe-crm.veevavault.com/ui/#object/email_activity__v/V8C00000003W688", "EN-002098350")</f>
        <v>EN-002098350</v>
      </c>
    </row>
    <row r="10647" spans="1:15" ht="16" x14ac:dyDescent="0.2">
      <c r="A10647" s="19"/>
      <c r="B10647" s="19"/>
      <c r="C10647" s="19"/>
      <c r="D10647" s="19"/>
      <c r="E10647" s="19"/>
      <c r="F10647" s="19"/>
      <c r="G10647" s="19"/>
      <c r="H10647" s="19"/>
      <c r="I10647" s="19"/>
      <c r="J10647" s="19"/>
      <c r="K10647" s="19"/>
      <c r="L10647" s="19"/>
      <c r="M10647" s="19"/>
      <c r="N10647" s="19"/>
      <c r="O10647" s="14" t="str">
        <f>HYPERLINK("https://otsuka-europe-crm.veevavault.com/ui/#object/email_activity__v/V8C00000003X856", "EN-002098352")</f>
        <v>EN-002098352</v>
      </c>
    </row>
    <row r="10648" spans="1:15" ht="16" x14ac:dyDescent="0.2">
      <c r="A10648" s="17" t="str">
        <f>HYPERLINK("https://otsuka-europe-crm.veevavault.com/ui/#object/account__v/V4TZ025E8433MBS", "BIANCA VISCIANO")</f>
        <v>BIANCA VISCIANO</v>
      </c>
      <c r="B10648" s="17" t="str">
        <f>HYPERLINK("https://otsuka-europe-crm.veevavault.com/ui/#object/vcountry__v/VENZ000004SONFQ", "IT")</f>
        <v>IT</v>
      </c>
      <c r="C10648" s="20" t="s">
        <v>44</v>
      </c>
      <c r="D10648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648" s="22" t="str">
        <f>HYPERLINK("https://otsuka-europe-crm.veevavault.com/ui/#object/sent_email__v/VBL00000002U766", "SE-001436656")</f>
        <v>SE-001436656</v>
      </c>
      <c r="F10648" s="23">
        <v>46190.338171296295</v>
      </c>
      <c r="G10648" s="24">
        <v>1</v>
      </c>
      <c r="H10648" s="24">
        <v>1</v>
      </c>
      <c r="I10648" s="24">
        <v>0</v>
      </c>
      <c r="J10648" s="25"/>
      <c r="K10648" s="24">
        <v>0</v>
      </c>
      <c r="L10648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648" s="22" t="str">
        <f>HYPERLINK("mailto:giada.camassa@outsuka.it", "giada.camassa@outsuka.it")</f>
        <v>giada.camassa@outsuka.it</v>
      </c>
      <c r="N10648" s="23">
        <v>46190.33797453704</v>
      </c>
      <c r="O10648" s="14" t="str">
        <f>HYPERLINK("https://otsuka-europe-crm.veevavault.com/ui/#object/email_activity__v/V8C00000003X501", "EN-002097744")</f>
        <v>EN-002097744</v>
      </c>
    </row>
    <row r="10649" spans="1:15" ht="16" x14ac:dyDescent="0.2">
      <c r="A10649" s="19"/>
      <c r="B10649" s="19"/>
      <c r="C10649" s="19"/>
      <c r="D10649" s="19"/>
      <c r="E10649" s="19"/>
      <c r="F10649" s="19"/>
      <c r="G10649" s="19"/>
      <c r="H10649" s="19"/>
      <c r="I10649" s="19"/>
      <c r="J10649" s="19"/>
      <c r="K10649" s="19"/>
      <c r="L10649" s="19"/>
      <c r="M10649" s="19"/>
      <c r="N10649" s="19"/>
      <c r="O10649" s="14" t="str">
        <f>HYPERLINK("https://otsuka-europe-crm.veevavault.com/ui/#object/email_activity__v/V8C00000003X574", "EN-002097870")</f>
        <v>EN-002097870</v>
      </c>
    </row>
    <row r="10650" spans="1:15" ht="64" x14ac:dyDescent="0.2">
      <c r="A10650" s="7" t="str">
        <f>HYPERLINK("https://otsuka-europe-crm.veevavault.com/ui/#object/account__v/V4TZ025E845W9PD", "BRIGITTA PERENCIN")</f>
        <v>BRIGITTA PERENCIN</v>
      </c>
      <c r="B10650" s="7" t="str">
        <f t="shared" ref="B10650:B10655" si="806">HYPERLINK("https://otsuka-europe-crm.veevavault.com/ui/#object/vcountry__v/VENZ000004SONFQ", "IT")</f>
        <v>IT</v>
      </c>
      <c r="C10650" s="8" t="s">
        <v>44</v>
      </c>
      <c r="D10650" s="9" t="str">
        <f t="shared" ref="D10650:D10655" si="807">HYPERLINK("https://otsuka-europe-crm.veevavault.com/ui/#object/approved_document__v/V5O00000000G061", "AE - AGGIORNAMENTI SEZIONE APPROFONDIMENTI NEFRO IT-NPR-2500150")</f>
        <v>AE - AGGIORNAMENTI SEZIONE APPROFONDIMENTI NEFRO IT-NPR-2500150</v>
      </c>
      <c r="E10650" s="10" t="str">
        <f>HYPERLINK("https://otsuka-europe-crm.veevavault.com/ui/#object/sent_email__v/VBL00000002U767", "SE-001436657")</f>
        <v>SE-001436657</v>
      </c>
      <c r="F10650" s="11"/>
      <c r="G10650" s="12">
        <v>0</v>
      </c>
      <c r="H10650" s="12">
        <v>0</v>
      </c>
      <c r="I10650" s="12">
        <v>0</v>
      </c>
      <c r="J10650" s="11"/>
      <c r="K10650" s="12">
        <v>0</v>
      </c>
      <c r="L10650" s="10" t="str">
        <f t="shared" ref="L10650:L10655" si="808">HYPERLINK("https://otsuka-europe-crm.veevavault.com/ui/#object/approved_document__v/V5O00000000G061", "AE - AGGIORNAMENTI SEZIONE APPROFONDIMENTI NEFRO IT-NPR-2500150")</f>
        <v>AE - AGGIORNAMENTI SEZIONE APPROFONDIMENTI NEFRO IT-NPR-2500150</v>
      </c>
      <c r="M10650" s="10" t="str">
        <f t="shared" ref="M10650:M10655" si="809">HYPERLINK("mailto:giada.camassa@outsuka.it", "giada.camassa@outsuka.it")</f>
        <v>giada.camassa@outsuka.it</v>
      </c>
      <c r="N10650" s="13">
        <v>46190.339722222219</v>
      </c>
      <c r="O10650" s="14" t="str">
        <f>HYPERLINK("https://otsuka-europe-crm.veevavault.com/ui/#object/email_activity__v/V8C00000003X746", "EN-002098144")</f>
        <v>EN-002098144</v>
      </c>
    </row>
    <row r="10651" spans="1:15" ht="64" x14ac:dyDescent="0.2">
      <c r="A10651" s="7" t="str">
        <f>HYPERLINK("https://otsuka-europe-crm.veevavault.com/ui/#object/account__v/V4TZ06G6O71SC7U", "CALOGERO CIRAMI")</f>
        <v>CALOGERO CIRAMI</v>
      </c>
      <c r="B10651" s="7" t="str">
        <f t="shared" si="806"/>
        <v>IT</v>
      </c>
      <c r="C10651" s="8" t="s">
        <v>44</v>
      </c>
      <c r="D10651" s="9" t="str">
        <f t="shared" si="807"/>
        <v>AE - AGGIORNAMENTI SEZIONE APPROFONDIMENTI NEFRO IT-NPR-2500150</v>
      </c>
      <c r="E10651" s="10" t="str">
        <f>HYPERLINK("https://otsuka-europe-crm.veevavault.com/ui/#object/sent_email__v/VBL00000002U768", "SE-001436658")</f>
        <v>SE-001436658</v>
      </c>
      <c r="F10651" s="11"/>
      <c r="G10651" s="12">
        <v>0</v>
      </c>
      <c r="H10651" s="12">
        <v>0</v>
      </c>
      <c r="I10651" s="12">
        <v>0</v>
      </c>
      <c r="J10651" s="11"/>
      <c r="K10651" s="12">
        <v>0</v>
      </c>
      <c r="L10651" s="10" t="str">
        <f t="shared" si="808"/>
        <v>AE - AGGIORNAMENTI SEZIONE APPROFONDIMENTI NEFRO IT-NPR-2500150</v>
      </c>
      <c r="M10651" s="10" t="str">
        <f t="shared" si="809"/>
        <v>giada.camassa@outsuka.it</v>
      </c>
      <c r="N10651" s="13">
        <v>46190.338553240741</v>
      </c>
      <c r="O10651" s="14" t="str">
        <f>HYPERLINK("https://otsuka-europe-crm.veevavault.com/ui/#object/email_activity__v/V8C00000003W614", "EN-002098230")</f>
        <v>EN-002098230</v>
      </c>
    </row>
    <row r="10652" spans="1:15" ht="64" x14ac:dyDescent="0.2">
      <c r="A10652" s="7" t="str">
        <f>HYPERLINK("https://otsuka-europe-crm.veevavault.com/ui/#object/account__v/V4TZ04ASGETCVIM", "CAMILLO CAROLLO")</f>
        <v>CAMILLO CAROLLO</v>
      </c>
      <c r="B10652" s="7" t="str">
        <f t="shared" si="806"/>
        <v>IT</v>
      </c>
      <c r="C10652" s="8" t="s">
        <v>44</v>
      </c>
      <c r="D10652" s="9" t="str">
        <f t="shared" si="807"/>
        <v>AE - AGGIORNAMENTI SEZIONE APPROFONDIMENTI NEFRO IT-NPR-2500150</v>
      </c>
      <c r="E10652" s="10" t="str">
        <f>HYPERLINK("https://otsuka-europe-crm.veevavault.com/ui/#object/sent_email__v/VBL00000002U769", "SE-001436659")</f>
        <v>SE-001436659</v>
      </c>
      <c r="F10652" s="11"/>
      <c r="G10652" s="12">
        <v>0</v>
      </c>
      <c r="H10652" s="12">
        <v>0</v>
      </c>
      <c r="I10652" s="12">
        <v>0</v>
      </c>
      <c r="J10652" s="11"/>
      <c r="K10652" s="12">
        <v>0</v>
      </c>
      <c r="L10652" s="10" t="str">
        <f t="shared" si="808"/>
        <v>AE - AGGIORNAMENTI SEZIONE APPROFONDIMENTI NEFRO IT-NPR-2500150</v>
      </c>
      <c r="M10652" s="10" t="str">
        <f t="shared" si="809"/>
        <v>giada.camassa@outsuka.it</v>
      </c>
      <c r="N10652" s="13">
        <v>46190.337962962964</v>
      </c>
      <c r="O10652" s="14" t="str">
        <f>HYPERLINK("https://otsuka-europe-crm.veevavault.com/ui/#object/email_activity__v/V8C00000003X267", "EN-002097442")</f>
        <v>EN-002097442</v>
      </c>
    </row>
    <row r="10653" spans="1:15" ht="64" x14ac:dyDescent="0.2">
      <c r="A10653" s="7" t="str">
        <f>HYPERLINK("https://otsuka-europe-crm.veevavault.com/ui/#object/account__v/V4TZ06G6O71SCQK", "CANDIDA IACUZZO")</f>
        <v>CANDIDA IACUZZO</v>
      </c>
      <c r="B10653" s="7" t="str">
        <f t="shared" si="806"/>
        <v>IT</v>
      </c>
      <c r="C10653" s="8" t="s">
        <v>44</v>
      </c>
      <c r="D10653" s="9" t="str">
        <f t="shared" si="807"/>
        <v>AE - AGGIORNAMENTI SEZIONE APPROFONDIMENTI NEFRO IT-NPR-2500150</v>
      </c>
      <c r="E10653" s="10" t="str">
        <f>HYPERLINK("https://otsuka-europe-crm.veevavault.com/ui/#object/sent_email__v/VBL00000002U770", "SE-001436660")</f>
        <v>SE-001436660</v>
      </c>
      <c r="F10653" s="11"/>
      <c r="G10653" s="12">
        <v>0</v>
      </c>
      <c r="H10653" s="12">
        <v>0</v>
      </c>
      <c r="I10653" s="12">
        <v>0</v>
      </c>
      <c r="J10653" s="11"/>
      <c r="K10653" s="12">
        <v>0</v>
      </c>
      <c r="L10653" s="10" t="str">
        <f t="shared" si="808"/>
        <v>AE - AGGIORNAMENTI SEZIONE APPROFONDIMENTI NEFRO IT-NPR-2500150</v>
      </c>
      <c r="M10653" s="10" t="str">
        <f t="shared" si="809"/>
        <v>giada.camassa@outsuka.it</v>
      </c>
      <c r="N10653" s="13">
        <v>46190.338958333334</v>
      </c>
      <c r="O10653" s="14" t="str">
        <f>HYPERLINK("https://otsuka-europe-crm.veevavault.com/ui/#object/email_activity__v/V8C00000003W532", "EN-002097999")</f>
        <v>EN-002097999</v>
      </c>
    </row>
    <row r="10654" spans="1:15" ht="64" x14ac:dyDescent="0.2">
      <c r="A10654" s="7" t="str">
        <f>HYPERLINK("https://otsuka-europe-crm.veevavault.com/ui/#object/account__v/V4TZ06G6O71SAJ5", "CARLO FERRANDO")</f>
        <v>CARLO FERRANDO</v>
      </c>
      <c r="B10654" s="7" t="str">
        <f t="shared" si="806"/>
        <v>IT</v>
      </c>
      <c r="C10654" s="8" t="s">
        <v>44</v>
      </c>
      <c r="D10654" s="9" t="str">
        <f t="shared" si="807"/>
        <v>AE - AGGIORNAMENTI SEZIONE APPROFONDIMENTI NEFRO IT-NPR-2500150</v>
      </c>
      <c r="E10654" s="10" t="str">
        <f>HYPERLINK("https://otsuka-europe-crm.veevavault.com/ui/#object/sent_email__v/VBL00000002U771", "SE-001436661")</f>
        <v>SE-001436661</v>
      </c>
      <c r="F10654" s="11"/>
      <c r="G10654" s="12">
        <v>0</v>
      </c>
      <c r="H10654" s="12">
        <v>0</v>
      </c>
      <c r="I10654" s="12">
        <v>0</v>
      </c>
      <c r="J10654" s="11"/>
      <c r="K10654" s="12">
        <v>0</v>
      </c>
      <c r="L10654" s="10" t="str">
        <f t="shared" si="808"/>
        <v>AE - AGGIORNAMENTI SEZIONE APPROFONDIMENTI NEFRO IT-NPR-2500150</v>
      </c>
      <c r="M10654" s="10" t="str">
        <f t="shared" si="809"/>
        <v>giada.camassa@outsuka.it</v>
      </c>
      <c r="N10654" s="13">
        <v>46190.338622685187</v>
      </c>
      <c r="O10654" s="14" t="str">
        <f>HYPERLINK("https://otsuka-europe-crm.veevavault.com/ui/#object/email_activity__v/V8C00000003X612", "EN-002097934")</f>
        <v>EN-002097934</v>
      </c>
    </row>
    <row r="10655" spans="1:15" ht="16" x14ac:dyDescent="0.2">
      <c r="A10655" s="17" t="str">
        <f>HYPERLINK("https://otsuka-europe-crm.veevavault.com/ui/#object/account__v/V4TZ06G6OCEGPYE", "CARLO GAROFALO")</f>
        <v>CARLO GAROFALO</v>
      </c>
      <c r="B10655" s="17" t="str">
        <f t="shared" si="806"/>
        <v>IT</v>
      </c>
      <c r="C10655" s="20" t="s">
        <v>44</v>
      </c>
      <c r="D10655" s="21" t="str">
        <f t="shared" si="807"/>
        <v>AE - AGGIORNAMENTI SEZIONE APPROFONDIMENTI NEFRO IT-NPR-2500150</v>
      </c>
      <c r="E10655" s="22" t="str">
        <f>HYPERLINK("https://otsuka-europe-crm.veevavault.com/ui/#object/sent_email__v/VBL00000002U772", "SE-001436662")</f>
        <v>SE-001436662</v>
      </c>
      <c r="F10655" s="23">
        <v>46190.341516203705</v>
      </c>
      <c r="G10655" s="24">
        <v>1</v>
      </c>
      <c r="H10655" s="24">
        <v>1</v>
      </c>
      <c r="I10655" s="24">
        <v>0</v>
      </c>
      <c r="J10655" s="25"/>
      <c r="K10655" s="24">
        <v>0</v>
      </c>
      <c r="L10655" s="22" t="str">
        <f t="shared" si="808"/>
        <v>AE - AGGIORNAMENTI SEZIONE APPROFONDIMENTI NEFRO IT-NPR-2500150</v>
      </c>
      <c r="M10655" s="22" t="str">
        <f t="shared" si="809"/>
        <v>giada.camassa@outsuka.it</v>
      </c>
      <c r="N10655" s="23">
        <v>46190.339872685188</v>
      </c>
      <c r="O10655" s="14" t="str">
        <f>HYPERLINK("https://otsuka-europe-crm.veevavault.com/ui/#object/email_activity__v/V8C00000003X762", "EN-002098165")</f>
        <v>EN-002098165</v>
      </c>
    </row>
    <row r="10656" spans="1:15" ht="16" x14ac:dyDescent="0.2">
      <c r="A10656" s="18"/>
      <c r="B10656" s="18"/>
      <c r="C10656" s="18"/>
      <c r="D10656" s="18"/>
      <c r="E10656" s="18"/>
      <c r="F10656" s="18"/>
      <c r="G10656" s="18"/>
      <c r="H10656" s="18"/>
      <c r="I10656" s="18"/>
      <c r="J10656" s="18"/>
      <c r="K10656" s="18"/>
      <c r="L10656" s="18"/>
      <c r="M10656" s="18"/>
      <c r="N10656" s="18"/>
      <c r="O10656" s="14" t="str">
        <f>HYPERLINK("https://otsuka-europe-crm.veevavault.com/ui/#object/email_activity__v/V8C00000003X801", "EN-002098217")</f>
        <v>EN-002098217</v>
      </c>
    </row>
    <row r="10657" spans="1:15" ht="16" x14ac:dyDescent="0.2">
      <c r="A10657" s="19"/>
      <c r="B10657" s="19"/>
      <c r="C10657" s="19"/>
      <c r="D10657" s="19"/>
      <c r="E10657" s="19"/>
      <c r="F10657" s="19"/>
      <c r="G10657" s="19"/>
      <c r="H10657" s="19"/>
      <c r="I10657" s="19"/>
      <c r="J10657" s="19"/>
      <c r="K10657" s="19"/>
      <c r="L10657" s="19"/>
      <c r="M10657" s="19"/>
      <c r="N10657" s="19"/>
      <c r="O10657" s="14" t="str">
        <f>HYPERLINK("https://otsuka-europe-crm.veevavault.com/ui/#object/email_activity__v/V8C00000003X819", "EN-002098265")</f>
        <v>EN-002098265</v>
      </c>
    </row>
    <row r="10658" spans="1:15" ht="64" x14ac:dyDescent="0.2">
      <c r="A10658" s="7" t="str">
        <f>HYPERLINK("https://otsuka-europe-crm.veevavault.com/ui/#object/account__v/V4TZ06G6OB4GMGU", "CARLO MARIA MASSARA")</f>
        <v>CARLO MARIA MASSARA</v>
      </c>
      <c r="B10658" s="7" t="str">
        <f>HYPERLINK("https://otsuka-europe-crm.veevavault.com/ui/#object/vcountry__v/VENZ000004SONFQ", "IT")</f>
        <v>IT</v>
      </c>
      <c r="C10658" s="8" t="s">
        <v>44</v>
      </c>
      <c r="D10658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658" s="10" t="str">
        <f>HYPERLINK("https://otsuka-europe-crm.veevavault.com/ui/#object/sent_email__v/VBL00000002U773", "SE-001436663")</f>
        <v>SE-001436663</v>
      </c>
      <c r="F10658" s="11"/>
      <c r="G10658" s="12">
        <v>0</v>
      </c>
      <c r="H10658" s="12">
        <v>0</v>
      </c>
      <c r="I10658" s="12">
        <v>0</v>
      </c>
      <c r="J10658" s="11"/>
      <c r="K10658" s="12">
        <v>0</v>
      </c>
      <c r="L10658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658" s="10" t="str">
        <f>HYPERLINK("mailto:giada.camassa@outsuka.it", "giada.camassa@outsuka.it")</f>
        <v>giada.camassa@outsuka.it</v>
      </c>
      <c r="N10658" s="13">
        <v>46190.33797453704</v>
      </c>
      <c r="O10658" s="14" t="str">
        <f>HYPERLINK("https://otsuka-europe-crm.veevavault.com/ui/#object/email_activity__v/V8C00000003X443", "EN-002097657")</f>
        <v>EN-002097657</v>
      </c>
    </row>
    <row r="10659" spans="1:15" ht="16" x14ac:dyDescent="0.2">
      <c r="A10659" s="17" t="str">
        <f>HYPERLINK("https://otsuka-europe-crm.veevavault.com/ui/#object/account__v/V4TZ06G6O71SCBB", "CARLO SAPIO")</f>
        <v>CARLO SAPIO</v>
      </c>
      <c r="B10659" s="17" t="str">
        <f>HYPERLINK("https://otsuka-europe-crm.veevavault.com/ui/#object/vcountry__v/VENZ000004SONFQ", "IT")</f>
        <v>IT</v>
      </c>
      <c r="C10659" s="20" t="s">
        <v>44</v>
      </c>
      <c r="D10659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659" s="22" t="str">
        <f>HYPERLINK("https://otsuka-europe-crm.veevavault.com/ui/#object/sent_email__v/VBL00000002U774", "SE-001436664")</f>
        <v>SE-001436664</v>
      </c>
      <c r="F10659" s="25"/>
      <c r="G10659" s="24">
        <v>0</v>
      </c>
      <c r="H10659" s="24">
        <v>0</v>
      </c>
      <c r="I10659" s="24">
        <v>0</v>
      </c>
      <c r="J10659" s="25"/>
      <c r="K10659" s="24">
        <v>0</v>
      </c>
      <c r="L10659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659" s="22" t="str">
        <f>HYPERLINK("mailto:giada.camassa@outsuka.it", "giada.camassa@outsuka.it")</f>
        <v>giada.camassa@outsuka.it</v>
      </c>
      <c r="N10659" s="23">
        <v>46190.337916666664</v>
      </c>
      <c r="O10659" s="14" t="str">
        <f>HYPERLINK("https://otsuka-europe-crm.veevavault.com/ui/#object/email_activity__v/V8C00000003W629", "EN-002098253")</f>
        <v>EN-002098253</v>
      </c>
    </row>
    <row r="10660" spans="1:15" ht="16" x14ac:dyDescent="0.2">
      <c r="A10660" s="18"/>
      <c r="B10660" s="18"/>
      <c r="C10660" s="18"/>
      <c r="D10660" s="18"/>
      <c r="E10660" s="18"/>
      <c r="F10660" s="18"/>
      <c r="G10660" s="18"/>
      <c r="H10660" s="18"/>
      <c r="I10660" s="18"/>
      <c r="J10660" s="18"/>
      <c r="K10660" s="18"/>
      <c r="L10660" s="18"/>
      <c r="M10660" s="18"/>
      <c r="N10660" s="18"/>
      <c r="O10660" s="14" t="str">
        <f>HYPERLINK("https://otsuka-europe-crm.veevavault.com/ui/#object/email_activity__v/V8C00000003X522", "EN-002097765")</f>
        <v>EN-002097765</v>
      </c>
    </row>
    <row r="10661" spans="1:15" ht="16" x14ac:dyDescent="0.2">
      <c r="A10661" s="18"/>
      <c r="B10661" s="18"/>
      <c r="C10661" s="18"/>
      <c r="D10661" s="18"/>
      <c r="E10661" s="18"/>
      <c r="F10661" s="18"/>
      <c r="G10661" s="18"/>
      <c r="H10661" s="18"/>
      <c r="I10661" s="18"/>
      <c r="J10661" s="18"/>
      <c r="K10661" s="18"/>
      <c r="L10661" s="18"/>
      <c r="M10661" s="18"/>
      <c r="N10661" s="18"/>
      <c r="O10661" s="14" t="str">
        <f>HYPERLINK("https://otsuka-europe-crm.veevavault.com/ui/#object/email_activity__v/V8C00000003Z024", "EN-002098687")</f>
        <v>EN-002098687</v>
      </c>
    </row>
    <row r="10662" spans="1:15" ht="16" x14ac:dyDescent="0.2">
      <c r="A10662" s="19"/>
      <c r="B10662" s="19"/>
      <c r="C10662" s="19"/>
      <c r="D10662" s="19"/>
      <c r="E10662" s="19"/>
      <c r="F10662" s="19"/>
      <c r="G10662" s="19"/>
      <c r="H10662" s="19"/>
      <c r="I10662" s="19"/>
      <c r="J10662" s="19"/>
      <c r="K10662" s="19"/>
      <c r="L10662" s="19"/>
      <c r="M10662" s="19"/>
      <c r="N10662" s="19"/>
      <c r="O10662" s="14" t="str">
        <f>HYPERLINK("https://otsuka-europe-crm.veevavault.com/ui/#object/email_activity__v/V8C000000042011", "EN-002099713")</f>
        <v>EN-002099713</v>
      </c>
    </row>
    <row r="10663" spans="1:15" ht="64" x14ac:dyDescent="0.2">
      <c r="A10663" s="7" t="str">
        <f>HYPERLINK("https://otsuka-europe-crm.veevavault.com/ui/#object/account__v/V4TZ04ASGETCVIN", "CARMELA ZAGARRIGO")</f>
        <v>CARMELA ZAGARRIGO</v>
      </c>
      <c r="B10663" s="7" t="str">
        <f t="shared" ref="B10663:B10670" si="810">HYPERLINK("https://otsuka-europe-crm.veevavault.com/ui/#object/vcountry__v/VENZ000004SONFQ", "IT")</f>
        <v>IT</v>
      </c>
      <c r="C10663" s="8" t="s">
        <v>44</v>
      </c>
      <c r="D10663" s="9" t="str">
        <f t="shared" ref="D10663:D10670" si="811">HYPERLINK("https://otsuka-europe-crm.veevavault.com/ui/#object/approved_document__v/V5O00000000G061", "AE - AGGIORNAMENTI SEZIONE APPROFONDIMENTI NEFRO IT-NPR-2500150")</f>
        <v>AE - AGGIORNAMENTI SEZIONE APPROFONDIMENTI NEFRO IT-NPR-2500150</v>
      </c>
      <c r="E10663" s="10" t="str">
        <f>HYPERLINK("https://otsuka-europe-crm.veevavault.com/ui/#object/sent_email__v/VBL00000002U775", "SE-001436665")</f>
        <v>SE-001436665</v>
      </c>
      <c r="F10663" s="11"/>
      <c r="G10663" s="12">
        <v>0</v>
      </c>
      <c r="H10663" s="12">
        <v>0</v>
      </c>
      <c r="I10663" s="12">
        <v>0</v>
      </c>
      <c r="J10663" s="11"/>
      <c r="K10663" s="12">
        <v>0</v>
      </c>
      <c r="L10663" s="10" t="str">
        <f t="shared" ref="L10663:L10670" si="812">HYPERLINK("https://otsuka-europe-crm.veevavault.com/ui/#object/approved_document__v/V5O00000000G061", "AE - AGGIORNAMENTI SEZIONE APPROFONDIMENTI NEFRO IT-NPR-2500150")</f>
        <v>AE - AGGIORNAMENTI SEZIONE APPROFONDIMENTI NEFRO IT-NPR-2500150</v>
      </c>
      <c r="M10663" s="10" t="str">
        <f t="shared" ref="M10663:M10670" si="813">HYPERLINK("mailto:giada.camassa@outsuka.it", "giada.camassa@outsuka.it")</f>
        <v>giada.camassa@outsuka.it</v>
      </c>
      <c r="N10663" s="13">
        <v>46190.338900462964</v>
      </c>
      <c r="O10663" s="14" t="str">
        <f>HYPERLINK("https://otsuka-europe-crm.veevavault.com/ui/#object/email_activity__v/V8C00000003X650", "EN-002097983")</f>
        <v>EN-002097983</v>
      </c>
    </row>
    <row r="10664" spans="1:15" ht="64" x14ac:dyDescent="0.2">
      <c r="A10664" s="7" t="str">
        <f>HYPERLINK("https://otsuka-europe-crm.veevavault.com/ui/#object/account__v/V4TZ06G6O71SBVB", "CARMEN PASCALE")</f>
        <v>CARMEN PASCALE</v>
      </c>
      <c r="B10664" s="7" t="str">
        <f t="shared" si="810"/>
        <v>IT</v>
      </c>
      <c r="C10664" s="8" t="s">
        <v>44</v>
      </c>
      <c r="D10664" s="9" t="str">
        <f t="shared" si="811"/>
        <v>AE - AGGIORNAMENTI SEZIONE APPROFONDIMENTI NEFRO IT-NPR-2500150</v>
      </c>
      <c r="E10664" s="10" t="str">
        <f>HYPERLINK("https://otsuka-europe-crm.veevavault.com/ui/#object/sent_email__v/VBL00000002U776", "SE-001436666")</f>
        <v>SE-001436666</v>
      </c>
      <c r="F10664" s="11"/>
      <c r="G10664" s="12">
        <v>0</v>
      </c>
      <c r="H10664" s="12">
        <v>0</v>
      </c>
      <c r="I10664" s="12">
        <v>0</v>
      </c>
      <c r="J10664" s="11"/>
      <c r="K10664" s="12">
        <v>0</v>
      </c>
      <c r="L10664" s="10" t="str">
        <f t="shared" si="812"/>
        <v>AE - AGGIORNAMENTI SEZIONE APPROFONDIMENTI NEFRO IT-NPR-2500150</v>
      </c>
      <c r="M10664" s="10" t="str">
        <f t="shared" si="813"/>
        <v>giada.camassa@outsuka.it</v>
      </c>
      <c r="N10664" s="13">
        <v>46190.338553240741</v>
      </c>
      <c r="O10664" s="14" t="str">
        <f>HYPERLINK("https://otsuka-europe-crm.veevavault.com/ui/#object/email_activity__v/V8C00000003X625", "EN-002097947")</f>
        <v>EN-002097947</v>
      </c>
    </row>
    <row r="10665" spans="1:15" ht="64" x14ac:dyDescent="0.2">
      <c r="A10665" s="7" t="str">
        <f>HYPERLINK("https://otsuka-europe-crm.veevavault.com/ui/#object/account__v/V4TZ06G6O71SAB5", "CARMINE DELLA GATTA")</f>
        <v>CARMINE DELLA GATTA</v>
      </c>
      <c r="B10665" s="7" t="str">
        <f t="shared" si="810"/>
        <v>IT</v>
      </c>
      <c r="C10665" s="8" t="s">
        <v>44</v>
      </c>
      <c r="D10665" s="9" t="str">
        <f t="shared" si="811"/>
        <v>AE - AGGIORNAMENTI SEZIONE APPROFONDIMENTI NEFRO IT-NPR-2500150</v>
      </c>
      <c r="E10665" s="10" t="str">
        <f>HYPERLINK("https://otsuka-europe-crm.veevavault.com/ui/#object/sent_email__v/VBL00000002U777", "SE-001436667")</f>
        <v>SE-001436667</v>
      </c>
      <c r="F10665" s="11"/>
      <c r="G10665" s="12">
        <v>0</v>
      </c>
      <c r="H10665" s="12">
        <v>0</v>
      </c>
      <c r="I10665" s="12">
        <v>0</v>
      </c>
      <c r="J10665" s="11"/>
      <c r="K10665" s="12">
        <v>0</v>
      </c>
      <c r="L10665" s="10" t="str">
        <f t="shared" si="812"/>
        <v>AE - AGGIORNAMENTI SEZIONE APPROFONDIMENTI NEFRO IT-NPR-2500150</v>
      </c>
      <c r="M10665" s="10" t="str">
        <f t="shared" si="813"/>
        <v>giada.camassa@outsuka.it</v>
      </c>
      <c r="N10665" s="13">
        <v>46190.339699074073</v>
      </c>
      <c r="O10665" s="14" t="str">
        <f>HYPERLINK("https://otsuka-europe-crm.veevavault.com/ui/#object/email_activity__v/V8C00000003W583", "EN-002098125")</f>
        <v>EN-002098125</v>
      </c>
    </row>
    <row r="10666" spans="1:15" ht="64" x14ac:dyDescent="0.2">
      <c r="A10666" s="7" t="str">
        <f>HYPERLINK("https://otsuka-europe-crm.veevavault.com/ui/#object/account__v/V4TZ025E8969VGH", "CAROLINA CIAVAGLIA")</f>
        <v>CAROLINA CIAVAGLIA</v>
      </c>
      <c r="B10666" s="7" t="str">
        <f t="shared" si="810"/>
        <v>IT</v>
      </c>
      <c r="C10666" s="8" t="s">
        <v>44</v>
      </c>
      <c r="D10666" s="9" t="str">
        <f t="shared" si="811"/>
        <v>AE - AGGIORNAMENTI SEZIONE APPROFONDIMENTI NEFRO IT-NPR-2500150</v>
      </c>
      <c r="E10666" s="10" t="str">
        <f>HYPERLINK("https://otsuka-europe-crm.veevavault.com/ui/#object/sent_email__v/VBL00000002U778", "SE-001436668")</f>
        <v>SE-001436668</v>
      </c>
      <c r="F10666" s="11"/>
      <c r="G10666" s="12">
        <v>0</v>
      </c>
      <c r="H10666" s="12">
        <v>0</v>
      </c>
      <c r="I10666" s="12">
        <v>0</v>
      </c>
      <c r="J10666" s="11"/>
      <c r="K10666" s="12">
        <v>0</v>
      </c>
      <c r="L10666" s="10" t="str">
        <f t="shared" si="812"/>
        <v>AE - AGGIORNAMENTI SEZIONE APPROFONDIMENTI NEFRO IT-NPR-2500150</v>
      </c>
      <c r="M10666" s="10" t="str">
        <f t="shared" si="813"/>
        <v>giada.camassa@outsuka.it</v>
      </c>
      <c r="N10666" s="13">
        <v>46190.33935185185</v>
      </c>
      <c r="O10666" s="14" t="str">
        <f>HYPERLINK("https://otsuka-europe-crm.veevavault.com/ui/#object/email_activity__v/V8C00000003X694", "EN-002098055")</f>
        <v>EN-002098055</v>
      </c>
    </row>
    <row r="10667" spans="1:15" ht="64" x14ac:dyDescent="0.2">
      <c r="A10667" s="7" t="str">
        <f>HYPERLINK("https://otsuka-europe-crm.veevavault.com/ui/#object/account__v/V4TZ06G6O71S9VV", "CATALDO ABATERUSSO")</f>
        <v>CATALDO ABATERUSSO</v>
      </c>
      <c r="B10667" s="7" t="str">
        <f t="shared" si="810"/>
        <v>IT</v>
      </c>
      <c r="C10667" s="8" t="s">
        <v>44</v>
      </c>
      <c r="D10667" s="9" t="str">
        <f t="shared" si="811"/>
        <v>AE - AGGIORNAMENTI SEZIONE APPROFONDIMENTI NEFRO IT-NPR-2500150</v>
      </c>
      <c r="E10667" s="10" t="str">
        <f>HYPERLINK("https://otsuka-europe-crm.veevavault.com/ui/#object/sent_email__v/VBL00000002U779", "SE-001436669")</f>
        <v>SE-001436669</v>
      </c>
      <c r="F10667" s="11"/>
      <c r="G10667" s="12">
        <v>0</v>
      </c>
      <c r="H10667" s="12">
        <v>0</v>
      </c>
      <c r="I10667" s="12">
        <v>0</v>
      </c>
      <c r="J10667" s="11"/>
      <c r="K10667" s="12">
        <v>0</v>
      </c>
      <c r="L10667" s="10" t="str">
        <f t="shared" si="812"/>
        <v>AE - AGGIORNAMENTI SEZIONE APPROFONDIMENTI NEFRO IT-NPR-2500150</v>
      </c>
      <c r="M10667" s="10" t="str">
        <f t="shared" si="813"/>
        <v>giada.camassa@outsuka.it</v>
      </c>
      <c r="N10667" s="13">
        <v>46190.34002314815</v>
      </c>
      <c r="O10667" s="14" t="str">
        <f>HYPERLINK("https://otsuka-europe-crm.veevavault.com/ui/#object/email_activity__v/V8C00000003W604", "EN-002098195")</f>
        <v>EN-002098195</v>
      </c>
    </row>
    <row r="10668" spans="1:15" ht="64" x14ac:dyDescent="0.2">
      <c r="A10668" s="7" t="str">
        <f>HYPERLINK("https://otsuka-europe-crm.veevavault.com/ui/#object/account__v/V4TZ06G6O71SCC4", "CATERINA SAVIANO")</f>
        <v>CATERINA SAVIANO</v>
      </c>
      <c r="B10668" s="7" t="str">
        <f t="shared" si="810"/>
        <v>IT</v>
      </c>
      <c r="C10668" s="8" t="s">
        <v>44</v>
      </c>
      <c r="D10668" s="9" t="str">
        <f t="shared" si="811"/>
        <v>AE - AGGIORNAMENTI SEZIONE APPROFONDIMENTI NEFRO IT-NPR-2500150</v>
      </c>
      <c r="E10668" s="10" t="str">
        <f>HYPERLINK("https://otsuka-europe-crm.veevavault.com/ui/#object/sent_email__v/VBL00000002U780", "SE-001436670")</f>
        <v>SE-001436670</v>
      </c>
      <c r="F10668" s="11"/>
      <c r="G10668" s="12">
        <v>0</v>
      </c>
      <c r="H10668" s="12">
        <v>0</v>
      </c>
      <c r="I10668" s="12">
        <v>0</v>
      </c>
      <c r="J10668" s="11"/>
      <c r="K10668" s="12">
        <v>0</v>
      </c>
      <c r="L10668" s="10" t="str">
        <f t="shared" si="812"/>
        <v>AE - AGGIORNAMENTI SEZIONE APPROFONDIMENTI NEFRO IT-NPR-2500150</v>
      </c>
      <c r="M10668" s="10" t="str">
        <f t="shared" si="813"/>
        <v>giada.camassa@outsuka.it</v>
      </c>
      <c r="N10668" s="13">
        <v>46190.339930555558</v>
      </c>
      <c r="O10668" s="14" t="str">
        <f>HYPERLINK("https://otsuka-europe-crm.veevavault.com/ui/#object/email_activity__v/V8C00000003X774", "EN-002098178")</f>
        <v>EN-002098178</v>
      </c>
    </row>
    <row r="10669" spans="1:15" ht="64" x14ac:dyDescent="0.2">
      <c r="A10669" s="7" t="str">
        <f>HYPERLINK("https://otsuka-europe-crm.veevavault.com/ui/#object/account__v/V4TZ06G6O71S9M0", "CHIARA BRANCO")</f>
        <v>CHIARA BRANCO</v>
      </c>
      <c r="B10669" s="7" t="str">
        <f t="shared" si="810"/>
        <v>IT</v>
      </c>
      <c r="C10669" s="8" t="s">
        <v>44</v>
      </c>
      <c r="D10669" s="9" t="str">
        <f t="shared" si="811"/>
        <v>AE - AGGIORNAMENTI SEZIONE APPROFONDIMENTI NEFRO IT-NPR-2500150</v>
      </c>
      <c r="E10669" s="10" t="str">
        <f>HYPERLINK("https://otsuka-europe-crm.veevavault.com/ui/#object/sent_email__v/VBL00000002U781", "SE-001436671")</f>
        <v>SE-001436671</v>
      </c>
      <c r="F10669" s="11"/>
      <c r="G10669" s="12">
        <v>0</v>
      </c>
      <c r="H10669" s="12">
        <v>0</v>
      </c>
      <c r="I10669" s="12">
        <v>0</v>
      </c>
      <c r="J10669" s="11"/>
      <c r="K10669" s="12">
        <v>0</v>
      </c>
      <c r="L10669" s="10" t="str">
        <f t="shared" si="812"/>
        <v>AE - AGGIORNAMENTI SEZIONE APPROFONDIMENTI NEFRO IT-NPR-2500150</v>
      </c>
      <c r="M10669" s="10" t="str">
        <f t="shared" si="813"/>
        <v>giada.camassa@outsuka.it</v>
      </c>
      <c r="N10669" s="13">
        <v>46190.339201388888</v>
      </c>
      <c r="O10669" s="14" t="str">
        <f>HYPERLINK("https://otsuka-europe-crm.veevavault.com/ui/#object/email_activity__v/V8C00000003W540", "EN-002098029")</f>
        <v>EN-002098029</v>
      </c>
    </row>
    <row r="10670" spans="1:15" ht="16" x14ac:dyDescent="0.2">
      <c r="A10670" s="17" t="str">
        <f>HYPERLINK("https://otsuka-europe-crm.veevavault.com/ui/#object/account__v/V4TZ06G6O8TG63Q", "CHIARA MARIA MAGGIONI")</f>
        <v>CHIARA MARIA MAGGIONI</v>
      </c>
      <c r="B10670" s="17" t="str">
        <f t="shared" si="810"/>
        <v>IT</v>
      </c>
      <c r="C10670" s="20" t="s">
        <v>44</v>
      </c>
      <c r="D10670" s="21" t="str">
        <f t="shared" si="811"/>
        <v>AE - AGGIORNAMENTI SEZIONE APPROFONDIMENTI NEFRO IT-NPR-2500150</v>
      </c>
      <c r="E10670" s="22" t="str">
        <f>HYPERLINK("https://otsuka-europe-crm.veevavault.com/ui/#object/sent_email__v/VBL00000002U782", "SE-001436672")</f>
        <v>SE-001436672</v>
      </c>
      <c r="F10670" s="25"/>
      <c r="G10670" s="24">
        <v>0</v>
      </c>
      <c r="H10670" s="24">
        <v>0</v>
      </c>
      <c r="I10670" s="24">
        <v>0</v>
      </c>
      <c r="J10670" s="25"/>
      <c r="K10670" s="24">
        <v>0</v>
      </c>
      <c r="L10670" s="22" t="str">
        <f t="shared" si="812"/>
        <v>AE - AGGIORNAMENTI SEZIONE APPROFONDIMENTI NEFRO IT-NPR-2500150</v>
      </c>
      <c r="M10670" s="22" t="str">
        <f t="shared" si="813"/>
        <v>giada.camassa@outsuka.it</v>
      </c>
      <c r="N10670" s="23">
        <v>46190.337881944448</v>
      </c>
      <c r="O10670" s="14" t="str">
        <f>HYPERLINK("https://otsuka-europe-crm.veevavault.com/ui/#object/email_activity__v/V8C00000003X273", "EN-002097448")</f>
        <v>EN-002097448</v>
      </c>
    </row>
    <row r="10671" spans="1:15" ht="16" x14ac:dyDescent="0.2">
      <c r="A10671" s="19"/>
      <c r="B10671" s="19"/>
      <c r="C10671" s="19"/>
      <c r="D10671" s="19"/>
      <c r="E10671" s="19"/>
      <c r="F10671" s="19"/>
      <c r="G10671" s="19"/>
      <c r="H10671" s="19"/>
      <c r="I10671" s="19"/>
      <c r="J10671" s="19"/>
      <c r="K10671" s="19"/>
      <c r="L10671" s="19"/>
      <c r="M10671" s="19"/>
      <c r="N10671" s="19"/>
      <c r="O10671" s="14" t="str">
        <f>HYPERLINK("https://otsuka-europe-crm.veevavault.com/ui/#object/email_activity__v/V8C00000003X820", "EN-002098266")</f>
        <v>EN-002098266</v>
      </c>
    </row>
    <row r="10672" spans="1:15" ht="16" x14ac:dyDescent="0.2">
      <c r="A10672" s="17" t="str">
        <f>HYPERLINK("https://otsuka-europe-crm.veevavault.com/ui/#object/account__v/V4TZ06G6O71S9KY", "CIRO ESPOSITO")</f>
        <v>CIRO ESPOSITO</v>
      </c>
      <c r="B10672" s="17" t="str">
        <f>HYPERLINK("https://otsuka-europe-crm.veevavault.com/ui/#object/vcountry__v/VENZ000004SONFQ", "IT")</f>
        <v>IT</v>
      </c>
      <c r="C10672" s="20" t="s">
        <v>44</v>
      </c>
      <c r="D10672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672" s="22" t="str">
        <f>HYPERLINK("https://otsuka-europe-crm.veevavault.com/ui/#object/sent_email__v/VBL00000002U783", "SE-001436673")</f>
        <v>SE-001436673</v>
      </c>
      <c r="F10672" s="23">
        <v>46190.338101851848</v>
      </c>
      <c r="G10672" s="24">
        <v>1</v>
      </c>
      <c r="H10672" s="24">
        <v>1</v>
      </c>
      <c r="I10672" s="24">
        <v>0</v>
      </c>
      <c r="J10672" s="25"/>
      <c r="K10672" s="24">
        <v>0</v>
      </c>
      <c r="L10672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672" s="22" t="str">
        <f>HYPERLINK("mailto:giada.camassa@outsuka.it", "giada.camassa@outsuka.it")</f>
        <v>giada.camassa@outsuka.it</v>
      </c>
      <c r="N10672" s="23">
        <v>46190.337881944448</v>
      </c>
      <c r="O10672" s="14" t="str">
        <f>HYPERLINK("https://otsuka-europe-crm.veevavault.com/ui/#object/email_activity__v/V8C00000003W487", "EN-002097849")</f>
        <v>EN-002097849</v>
      </c>
    </row>
    <row r="10673" spans="1:15" ht="16" x14ac:dyDescent="0.2">
      <c r="A10673" s="19"/>
      <c r="B10673" s="19"/>
      <c r="C10673" s="19"/>
      <c r="D10673" s="19"/>
      <c r="E10673" s="19"/>
      <c r="F10673" s="19"/>
      <c r="G10673" s="19"/>
      <c r="H10673" s="19"/>
      <c r="I10673" s="19"/>
      <c r="J10673" s="19"/>
      <c r="K10673" s="19"/>
      <c r="L10673" s="19"/>
      <c r="M10673" s="19"/>
      <c r="N10673" s="19"/>
      <c r="O10673" s="14" t="str">
        <f>HYPERLINK("https://otsuka-europe-crm.veevavault.com/ui/#object/email_activity__v/V8C00000003X319", "EN-002097516")</f>
        <v>EN-002097516</v>
      </c>
    </row>
    <row r="10674" spans="1:15" ht="64" x14ac:dyDescent="0.2">
      <c r="A10674" s="7" t="str">
        <f>HYPERLINK("https://otsuka-europe-crm.veevavault.com/ui/#object/account__v/V4TZ06G6O71SBT3", "CIRO PAGLIONICO")</f>
        <v>CIRO PAGLIONICO</v>
      </c>
      <c r="B10674" s="7" t="str">
        <f>HYPERLINK("https://otsuka-europe-crm.veevavault.com/ui/#object/vcountry__v/VENZ000004SONFQ", "IT")</f>
        <v>IT</v>
      </c>
      <c r="C10674" s="8" t="s">
        <v>44</v>
      </c>
      <c r="D10674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674" s="10" t="str">
        <f>HYPERLINK("https://otsuka-europe-crm.veevavault.com/ui/#object/sent_email__v/VBL00000002U784", "SE-001436674")</f>
        <v>SE-001436674</v>
      </c>
      <c r="F10674" s="11"/>
      <c r="G10674" s="12">
        <v>0</v>
      </c>
      <c r="H10674" s="12">
        <v>0</v>
      </c>
      <c r="I10674" s="12">
        <v>0</v>
      </c>
      <c r="J10674" s="11"/>
      <c r="K10674" s="12">
        <v>0</v>
      </c>
      <c r="L10674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674" s="10" t="str">
        <f>HYPERLINK("mailto:giada.camassa@outsuka.it", "giada.camassa@outsuka.it")</f>
        <v>giada.camassa@outsuka.it</v>
      </c>
      <c r="N10674" s="13">
        <v>46190.338206018518</v>
      </c>
      <c r="O10674" s="14" t="str">
        <f>HYPERLINK("https://otsuka-europe-crm.veevavault.com/ui/#object/email_activity__v/V8C00000003X570", "EN-002097866")</f>
        <v>EN-002097866</v>
      </c>
    </row>
    <row r="10675" spans="1:15" ht="64" x14ac:dyDescent="0.2">
      <c r="A10675" s="7" t="str">
        <f>HYPERLINK("https://otsuka-europe-crm.veevavault.com/ui/#object/account__v/V4TZ06G6O71S9OK", "CLAUDIA ARIAUDO")</f>
        <v>CLAUDIA ARIAUDO</v>
      </c>
      <c r="B10675" s="7" t="str">
        <f>HYPERLINK("https://otsuka-europe-crm.veevavault.com/ui/#object/vcountry__v/VENZ000004SONFQ", "IT")</f>
        <v>IT</v>
      </c>
      <c r="C10675" s="8" t="s">
        <v>44</v>
      </c>
      <c r="D10675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675" s="10" t="str">
        <f>HYPERLINK("https://otsuka-europe-crm.veevavault.com/ui/#object/sent_email__v/VBL00000002U785", "SE-001436675")</f>
        <v>SE-001436675</v>
      </c>
      <c r="F10675" s="11"/>
      <c r="G10675" s="12">
        <v>0</v>
      </c>
      <c r="H10675" s="12">
        <v>0</v>
      </c>
      <c r="I10675" s="12">
        <v>0</v>
      </c>
      <c r="J10675" s="11"/>
      <c r="K10675" s="12">
        <v>0</v>
      </c>
      <c r="L10675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675" s="10" t="str">
        <f>HYPERLINK("mailto:giada.camassa@outsuka.it", "giada.camassa@outsuka.it")</f>
        <v>giada.camassa@outsuka.it</v>
      </c>
      <c r="N10675" s="13">
        <v>46190.337951388887</v>
      </c>
      <c r="O10675" s="14" t="str">
        <f>HYPERLINK("https://otsuka-europe-crm.veevavault.com/ui/#object/email_activity__v/V8C00000003X536", "EN-002097819")</f>
        <v>EN-002097819</v>
      </c>
    </row>
    <row r="10676" spans="1:15" ht="64" x14ac:dyDescent="0.2">
      <c r="A10676" s="7" t="str">
        <f>HYPERLINK("https://otsuka-europe-crm.veevavault.com/ui/#object/account__v/V4TZ06G6O71SALR", "CLAUDIA FOFI")</f>
        <v>CLAUDIA FOFI</v>
      </c>
      <c r="B10676" s="7" t="str">
        <f>HYPERLINK("https://otsuka-europe-crm.veevavault.com/ui/#object/vcountry__v/VENZ000004SONFQ", "IT")</f>
        <v>IT</v>
      </c>
      <c r="C10676" s="8" t="s">
        <v>44</v>
      </c>
      <c r="D10676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676" s="10" t="str">
        <f>HYPERLINK("https://otsuka-europe-crm.veevavault.com/ui/#object/sent_email__v/VBL00000002U786", "SE-001436676")</f>
        <v>SE-001436676</v>
      </c>
      <c r="F10676" s="11"/>
      <c r="G10676" s="12">
        <v>0</v>
      </c>
      <c r="H10676" s="12">
        <v>0</v>
      </c>
      <c r="I10676" s="12">
        <v>0</v>
      </c>
      <c r="J10676" s="11"/>
      <c r="K10676" s="12">
        <v>0</v>
      </c>
      <c r="L10676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676" s="10" t="str">
        <f>HYPERLINK("mailto:giada.camassa@outsuka.it", "giada.camassa@outsuka.it")</f>
        <v>giada.camassa@outsuka.it</v>
      </c>
      <c r="N10676" s="13">
        <v>46190.337962962964</v>
      </c>
      <c r="O10676" s="14" t="str">
        <f>HYPERLINK("https://otsuka-europe-crm.veevavault.com/ui/#object/email_activity__v/V8C00000003X485", "EN-002097684")</f>
        <v>EN-002097684</v>
      </c>
    </row>
    <row r="10677" spans="1:15" ht="16" x14ac:dyDescent="0.2">
      <c r="A10677" s="17" t="str">
        <f>HYPERLINK("https://otsuka-europe-crm.veevavault.com/ui/#object/account__v/V4TZ025E83OFKLP", "CLAUDIA LO RE")</f>
        <v>CLAUDIA LO RE</v>
      </c>
      <c r="B10677" s="17" t="str">
        <f>HYPERLINK("https://otsuka-europe-crm.veevavault.com/ui/#object/vcountry__v/VENZ000004SONFQ", "IT")</f>
        <v>IT</v>
      </c>
      <c r="C10677" s="20" t="s">
        <v>44</v>
      </c>
      <c r="D10677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677" s="22" t="str">
        <f>HYPERLINK("https://otsuka-europe-crm.veevavault.com/ui/#object/sent_email__v/VBL00000002U787", "SE-001436677")</f>
        <v>SE-001436677</v>
      </c>
      <c r="F10677" s="25"/>
      <c r="G10677" s="24">
        <v>0</v>
      </c>
      <c r="H10677" s="24">
        <v>0</v>
      </c>
      <c r="I10677" s="24">
        <v>0</v>
      </c>
      <c r="J10677" s="25"/>
      <c r="K10677" s="24">
        <v>0</v>
      </c>
      <c r="L10677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677" s="22" t="str">
        <f>HYPERLINK("mailto:giada.camassa@outsuka.it", "giada.camassa@outsuka.it")</f>
        <v>giada.camassa@outsuka.it</v>
      </c>
      <c r="N10677" s="23">
        <v>46190.339201388888</v>
      </c>
      <c r="O10677" s="14" t="str">
        <f>HYPERLINK("https://otsuka-europe-crm.veevavault.com/ui/#object/email_activity__v/V8C00000003W552", "EN-002098048")</f>
        <v>EN-002098048</v>
      </c>
    </row>
    <row r="10678" spans="1:15" ht="16" x14ac:dyDescent="0.2">
      <c r="A10678" s="18"/>
      <c r="B10678" s="18"/>
      <c r="C10678" s="18"/>
      <c r="D10678" s="18"/>
      <c r="E10678" s="18"/>
      <c r="F10678" s="18"/>
      <c r="G10678" s="18"/>
      <c r="H10678" s="18"/>
      <c r="I10678" s="18"/>
      <c r="J10678" s="18"/>
      <c r="K10678" s="18"/>
      <c r="L10678" s="18"/>
      <c r="M10678" s="18"/>
      <c r="N10678" s="18"/>
      <c r="O10678" s="14" t="str">
        <f>HYPERLINK("https://otsuka-europe-crm.veevavault.com/ui/#object/email_activity__v/V8C00000003W673", "EN-002098319")</f>
        <v>EN-002098319</v>
      </c>
    </row>
    <row r="10679" spans="1:15" ht="16" x14ac:dyDescent="0.2">
      <c r="A10679" s="19"/>
      <c r="B10679" s="19"/>
      <c r="C10679" s="19"/>
      <c r="D10679" s="19"/>
      <c r="E10679" s="19"/>
      <c r="F10679" s="19"/>
      <c r="G10679" s="19"/>
      <c r="H10679" s="19"/>
      <c r="I10679" s="19"/>
      <c r="J10679" s="19"/>
      <c r="K10679" s="19"/>
      <c r="L10679" s="19"/>
      <c r="M10679" s="19"/>
      <c r="N10679" s="19"/>
      <c r="O10679" s="14" t="str">
        <f>HYPERLINK("https://otsuka-europe-crm.veevavault.com/ui/#object/email_activity__v/V8C000000041289", "EN-002100251")</f>
        <v>EN-002100251</v>
      </c>
    </row>
    <row r="10680" spans="1:15" ht="64" x14ac:dyDescent="0.2">
      <c r="A10680" s="7" t="str">
        <f>HYPERLINK("https://otsuka-europe-crm.veevavault.com/ui/#object/account__v/V4TZ04ASGC7LY5G", "CONSUELO DE BIASE")</f>
        <v>CONSUELO DE BIASE</v>
      </c>
      <c r="B10680" s="7" t="str">
        <f t="shared" ref="B10680:B10686" si="814">HYPERLINK("https://otsuka-europe-crm.veevavault.com/ui/#object/vcountry__v/VENZ000004SONFQ", "IT")</f>
        <v>IT</v>
      </c>
      <c r="C10680" s="8" t="s">
        <v>44</v>
      </c>
      <c r="D10680" s="9" t="str">
        <f t="shared" ref="D10680:D10686" si="815">HYPERLINK("https://otsuka-europe-crm.veevavault.com/ui/#object/approved_document__v/V5O00000000G061", "AE - AGGIORNAMENTI SEZIONE APPROFONDIMENTI NEFRO IT-NPR-2500150")</f>
        <v>AE - AGGIORNAMENTI SEZIONE APPROFONDIMENTI NEFRO IT-NPR-2500150</v>
      </c>
      <c r="E10680" s="10" t="str">
        <f>HYPERLINK("https://otsuka-europe-crm.veevavault.com/ui/#object/sent_email__v/VBL00000002U788", "SE-001436678")</f>
        <v>SE-001436678</v>
      </c>
      <c r="F10680" s="11"/>
      <c r="G10680" s="12">
        <v>0</v>
      </c>
      <c r="H10680" s="12">
        <v>0</v>
      </c>
      <c r="I10680" s="12">
        <v>0</v>
      </c>
      <c r="J10680" s="11"/>
      <c r="K10680" s="12">
        <v>0</v>
      </c>
      <c r="L10680" s="10" t="str">
        <f t="shared" ref="L10680:L10686" si="816">HYPERLINK("https://otsuka-europe-crm.veevavault.com/ui/#object/approved_document__v/V5O00000000G061", "AE - AGGIORNAMENTI SEZIONE APPROFONDIMENTI NEFRO IT-NPR-2500150")</f>
        <v>AE - AGGIORNAMENTI SEZIONE APPROFONDIMENTI NEFRO IT-NPR-2500150</v>
      </c>
      <c r="M10680" s="10" t="str">
        <f t="shared" ref="M10680:M10686" si="817">HYPERLINK("mailto:giada.camassa@outsuka.it", "giada.camassa@outsuka.it")</f>
        <v>giada.camassa@outsuka.it</v>
      </c>
      <c r="N10680" s="13">
        <v>46190.337881944448</v>
      </c>
      <c r="O10680" s="14" t="str">
        <f>HYPERLINK("https://otsuka-europe-crm.veevavault.com/ui/#object/email_activity__v/V8C00000003X328", "EN-002097525")</f>
        <v>EN-002097525</v>
      </c>
    </row>
    <row r="10681" spans="1:15" ht="64" x14ac:dyDescent="0.2">
      <c r="A10681" s="7" t="str">
        <f>HYPERLINK("https://otsuka-europe-crm.veevavault.com/ui/#object/account__v/V4TZ06G6O71SBF6", "COSIMO DAMIANO MARSEGLIA")</f>
        <v>COSIMO DAMIANO MARSEGLIA</v>
      </c>
      <c r="B10681" s="7" t="str">
        <f t="shared" si="814"/>
        <v>IT</v>
      </c>
      <c r="C10681" s="8" t="s">
        <v>44</v>
      </c>
      <c r="D10681" s="9" t="str">
        <f t="shared" si="815"/>
        <v>AE - AGGIORNAMENTI SEZIONE APPROFONDIMENTI NEFRO IT-NPR-2500150</v>
      </c>
      <c r="E10681" s="10" t="str">
        <f>HYPERLINK("https://otsuka-europe-crm.veevavault.com/ui/#object/sent_email__v/VBL00000002U789", "SE-001436679")</f>
        <v>SE-001436679</v>
      </c>
      <c r="F10681" s="11"/>
      <c r="G10681" s="12">
        <v>0</v>
      </c>
      <c r="H10681" s="12">
        <v>0</v>
      </c>
      <c r="I10681" s="12">
        <v>0</v>
      </c>
      <c r="J10681" s="11"/>
      <c r="K10681" s="12">
        <v>0</v>
      </c>
      <c r="L10681" s="10" t="str">
        <f t="shared" si="816"/>
        <v>AE - AGGIORNAMENTI SEZIONE APPROFONDIMENTI NEFRO IT-NPR-2500150</v>
      </c>
      <c r="M10681" s="10" t="str">
        <f t="shared" si="817"/>
        <v>giada.camassa@outsuka.it</v>
      </c>
      <c r="N10681" s="13">
        <v>46190.337881944448</v>
      </c>
      <c r="O10681" s="14" t="str">
        <f>HYPERLINK("https://otsuka-europe-crm.veevavault.com/ui/#object/email_activity__v/V8C00000003X321", "EN-002097518")</f>
        <v>EN-002097518</v>
      </c>
    </row>
    <row r="10682" spans="1:15" ht="64" x14ac:dyDescent="0.2">
      <c r="A10682" s="7" t="str">
        <f>HYPERLINK("https://otsuka-europe-crm.veevavault.com/ui/#object/account__v/V4TZ06G6O71S9ID", "CRISTINA AIRAGHI")</f>
        <v>CRISTINA AIRAGHI</v>
      </c>
      <c r="B10682" s="7" t="str">
        <f t="shared" si="814"/>
        <v>IT</v>
      </c>
      <c r="C10682" s="8" t="s">
        <v>44</v>
      </c>
      <c r="D10682" s="9" t="str">
        <f t="shared" si="815"/>
        <v>AE - AGGIORNAMENTI SEZIONE APPROFONDIMENTI NEFRO IT-NPR-2500150</v>
      </c>
      <c r="E10682" s="10" t="str">
        <f>HYPERLINK("https://otsuka-europe-crm.veevavault.com/ui/#object/sent_email__v/VBL00000002U790", "SE-001436680")</f>
        <v>SE-001436680</v>
      </c>
      <c r="F10682" s="11"/>
      <c r="G10682" s="12">
        <v>0</v>
      </c>
      <c r="H10682" s="12">
        <v>0</v>
      </c>
      <c r="I10682" s="12">
        <v>0</v>
      </c>
      <c r="J10682" s="11"/>
      <c r="K10682" s="12">
        <v>0</v>
      </c>
      <c r="L10682" s="10" t="str">
        <f t="shared" si="816"/>
        <v>AE - AGGIORNAMENTI SEZIONE APPROFONDIMENTI NEFRO IT-NPR-2500150</v>
      </c>
      <c r="M10682" s="10" t="str">
        <f t="shared" si="817"/>
        <v>giada.camassa@outsuka.it</v>
      </c>
      <c r="N10682" s="13">
        <v>46190.339201388888</v>
      </c>
      <c r="O10682" s="14" t="str">
        <f>HYPERLINK("https://otsuka-europe-crm.veevavault.com/ui/#object/email_activity__v/V8C00000003W548", "EN-002098044")</f>
        <v>EN-002098044</v>
      </c>
    </row>
    <row r="10683" spans="1:15" ht="64" x14ac:dyDescent="0.2">
      <c r="A10683" s="7" t="str">
        <f>HYPERLINK("https://otsuka-europe-crm.veevavault.com/ui/#object/account__v/V4TZ06G6O71SA53", "CRISTINA BONESSO")</f>
        <v>CRISTINA BONESSO</v>
      </c>
      <c r="B10683" s="7" t="str">
        <f t="shared" si="814"/>
        <v>IT</v>
      </c>
      <c r="C10683" s="8" t="s">
        <v>44</v>
      </c>
      <c r="D10683" s="9" t="str">
        <f t="shared" si="815"/>
        <v>AE - AGGIORNAMENTI SEZIONE APPROFONDIMENTI NEFRO IT-NPR-2500150</v>
      </c>
      <c r="E10683" s="10" t="str">
        <f>HYPERLINK("https://otsuka-europe-crm.veevavault.com/ui/#object/sent_email__v/VBL00000002U791", "SE-001436681")</f>
        <v>SE-001436681</v>
      </c>
      <c r="F10683" s="11"/>
      <c r="G10683" s="12">
        <v>0</v>
      </c>
      <c r="H10683" s="12">
        <v>0</v>
      </c>
      <c r="I10683" s="12">
        <v>0</v>
      </c>
      <c r="J10683" s="11"/>
      <c r="K10683" s="12">
        <v>0</v>
      </c>
      <c r="L10683" s="10" t="str">
        <f t="shared" si="816"/>
        <v>AE - AGGIORNAMENTI SEZIONE APPROFONDIMENTI NEFRO IT-NPR-2500150</v>
      </c>
      <c r="M10683" s="10" t="str">
        <f t="shared" si="817"/>
        <v>giada.camassa@outsuka.it</v>
      </c>
      <c r="N10683" s="13">
        <v>46190.33798611111</v>
      </c>
      <c r="O10683" s="14" t="str">
        <f>HYPERLINK("https://otsuka-europe-crm.veevavault.com/ui/#object/email_activity__v/V8C00000003W457", "EN-002097780")</f>
        <v>EN-002097780</v>
      </c>
    </row>
    <row r="10684" spans="1:15" ht="64" x14ac:dyDescent="0.2">
      <c r="A10684" s="7" t="str">
        <f>HYPERLINK("https://otsuka-europe-crm.veevavault.com/ui/#object/account__v/V4TZ06G6O71SBV6", "CYNTHIA PASQUARELLI")</f>
        <v>CYNTHIA PASQUARELLI</v>
      </c>
      <c r="B10684" s="7" t="str">
        <f t="shared" si="814"/>
        <v>IT</v>
      </c>
      <c r="C10684" s="8" t="s">
        <v>44</v>
      </c>
      <c r="D10684" s="9" t="str">
        <f t="shared" si="815"/>
        <v>AE - AGGIORNAMENTI SEZIONE APPROFONDIMENTI NEFRO IT-NPR-2500150</v>
      </c>
      <c r="E10684" s="10" t="str">
        <f>HYPERLINK("https://otsuka-europe-crm.veevavault.com/ui/#object/sent_email__v/VBL00000002U792", "SE-001436682")</f>
        <v>SE-001436682</v>
      </c>
      <c r="F10684" s="11"/>
      <c r="G10684" s="12">
        <v>0</v>
      </c>
      <c r="H10684" s="12">
        <v>0</v>
      </c>
      <c r="I10684" s="12">
        <v>0</v>
      </c>
      <c r="J10684" s="11"/>
      <c r="K10684" s="12">
        <v>0</v>
      </c>
      <c r="L10684" s="10" t="str">
        <f t="shared" si="816"/>
        <v>AE - AGGIORNAMENTI SEZIONE APPROFONDIMENTI NEFRO IT-NPR-2500150</v>
      </c>
      <c r="M10684" s="10" t="str">
        <f t="shared" si="817"/>
        <v>giada.camassa@outsuka.it</v>
      </c>
      <c r="N10684" s="13">
        <v>46190.337870370371</v>
      </c>
      <c r="O10684" s="14" t="str">
        <f>HYPERLINK("https://otsuka-europe-crm.veevavault.com/ui/#object/email_activity__v/V8C00000003W353", "EN-002097410")</f>
        <v>EN-002097410</v>
      </c>
    </row>
    <row r="10685" spans="1:15" ht="64" x14ac:dyDescent="0.2">
      <c r="A10685" s="7" t="str">
        <f>HYPERLINK("https://otsuka-europe-crm.veevavault.com/ui/#object/account__v/V4TZ06G6O71SASJ", "DANIELA CHIRICONE")</f>
        <v>DANIELA CHIRICONE</v>
      </c>
      <c r="B10685" s="7" t="str">
        <f t="shared" si="814"/>
        <v>IT</v>
      </c>
      <c r="C10685" s="8" t="s">
        <v>44</v>
      </c>
      <c r="D10685" s="9" t="str">
        <f t="shared" si="815"/>
        <v>AE - AGGIORNAMENTI SEZIONE APPROFONDIMENTI NEFRO IT-NPR-2500150</v>
      </c>
      <c r="E10685" s="10" t="str">
        <f>HYPERLINK("https://otsuka-europe-crm.veevavault.com/ui/#object/sent_email__v/VBL00000002U793", "SE-001436683")</f>
        <v>SE-001436683</v>
      </c>
      <c r="F10685" s="11"/>
      <c r="G10685" s="12">
        <v>0</v>
      </c>
      <c r="H10685" s="12">
        <v>0</v>
      </c>
      <c r="I10685" s="12">
        <v>0</v>
      </c>
      <c r="J10685" s="11"/>
      <c r="K10685" s="12">
        <v>0</v>
      </c>
      <c r="L10685" s="10" t="str">
        <f t="shared" si="816"/>
        <v>AE - AGGIORNAMENTI SEZIONE APPROFONDIMENTI NEFRO IT-NPR-2500150</v>
      </c>
      <c r="M10685" s="10" t="str">
        <f t="shared" si="817"/>
        <v>giada.camassa@outsuka.it</v>
      </c>
      <c r="N10685" s="13">
        <v>46190.337858796294</v>
      </c>
      <c r="O10685" s="14" t="str">
        <f>HYPERLINK("https://otsuka-europe-crm.veevavault.com/ui/#object/email_activity__v/V8C00000003X478", "EN-002097677")</f>
        <v>EN-002097677</v>
      </c>
    </row>
    <row r="10686" spans="1:15" ht="16" x14ac:dyDescent="0.2">
      <c r="A10686" s="17" t="str">
        <f>HYPERLINK("https://otsuka-europe-crm.veevavault.com/ui/#object/account__v/V4TZ06G6O71SBBN", "DANIELA MEZZOPANE")</f>
        <v>DANIELA MEZZOPANE</v>
      </c>
      <c r="B10686" s="17" t="str">
        <f t="shared" si="814"/>
        <v>IT</v>
      </c>
      <c r="C10686" s="20" t="s">
        <v>44</v>
      </c>
      <c r="D10686" s="21" t="str">
        <f t="shared" si="815"/>
        <v>AE - AGGIORNAMENTI SEZIONE APPROFONDIMENTI NEFRO IT-NPR-2500150</v>
      </c>
      <c r="E10686" s="22" t="str">
        <f>HYPERLINK("https://otsuka-europe-crm.veevavault.com/ui/#object/sent_email__v/VBL00000002U794", "SE-001436684")</f>
        <v>SE-001436684</v>
      </c>
      <c r="F10686" s="25"/>
      <c r="G10686" s="24">
        <v>0</v>
      </c>
      <c r="H10686" s="24">
        <v>0</v>
      </c>
      <c r="I10686" s="24">
        <v>0</v>
      </c>
      <c r="J10686" s="25"/>
      <c r="K10686" s="24">
        <v>0</v>
      </c>
      <c r="L10686" s="22" t="str">
        <f t="shared" si="816"/>
        <v>AE - AGGIORNAMENTI SEZIONE APPROFONDIMENTI NEFRO IT-NPR-2500150</v>
      </c>
      <c r="M10686" s="22" t="str">
        <f t="shared" si="817"/>
        <v>giada.camassa@outsuka.it</v>
      </c>
      <c r="N10686" s="23">
        <v>46190.337916666664</v>
      </c>
      <c r="O10686" s="14" t="str">
        <f>HYPERLINK("https://otsuka-europe-crm.veevavault.com/ui/#object/email_activity__v/V8C00000003W362", "EN-002097419")</f>
        <v>EN-002097419</v>
      </c>
    </row>
    <row r="10687" spans="1:15" ht="16" x14ac:dyDescent="0.2">
      <c r="A10687" s="19"/>
      <c r="B10687" s="19"/>
      <c r="C10687" s="19"/>
      <c r="D10687" s="19"/>
      <c r="E10687" s="19"/>
      <c r="F10687" s="19"/>
      <c r="G10687" s="19"/>
      <c r="H10687" s="19"/>
      <c r="I10687" s="19"/>
      <c r="J10687" s="19"/>
      <c r="K10687" s="19"/>
      <c r="L10687" s="19"/>
      <c r="M10687" s="19"/>
      <c r="N10687" s="19"/>
      <c r="O10687" s="14" t="str">
        <f>HYPERLINK("https://otsuka-europe-crm.veevavault.com/ui/#object/email_activity__v/V8C00000003X926", "EN-002098468")</f>
        <v>EN-002098468</v>
      </c>
    </row>
    <row r="10688" spans="1:15" ht="64" x14ac:dyDescent="0.2">
      <c r="A10688" s="7" t="str">
        <f>HYPERLINK("https://otsuka-europe-crm.veevavault.com/ui/#object/account__v/V4TZ06G6O71SC3F", "DANIELA RICCIARDI")</f>
        <v>DANIELA RICCIARDI</v>
      </c>
      <c r="B10688" s="7" t="str">
        <f t="shared" ref="B10688:B10695" si="818">HYPERLINK("https://otsuka-europe-crm.veevavault.com/ui/#object/vcountry__v/VENZ000004SONFQ", "IT")</f>
        <v>IT</v>
      </c>
      <c r="C10688" s="8" t="s">
        <v>44</v>
      </c>
      <c r="D10688" s="9" t="str">
        <f t="shared" ref="D10688:D10695" si="819">HYPERLINK("https://otsuka-europe-crm.veevavault.com/ui/#object/approved_document__v/V5O00000000G061", "AE - AGGIORNAMENTI SEZIONE APPROFONDIMENTI NEFRO IT-NPR-2500150")</f>
        <v>AE - AGGIORNAMENTI SEZIONE APPROFONDIMENTI NEFRO IT-NPR-2500150</v>
      </c>
      <c r="E10688" s="10" t="str">
        <f>HYPERLINK("https://otsuka-europe-crm.veevavault.com/ui/#object/sent_email__v/VBL00000002U795", "SE-001436685")</f>
        <v>SE-001436685</v>
      </c>
      <c r="F10688" s="11"/>
      <c r="G10688" s="12">
        <v>0</v>
      </c>
      <c r="H10688" s="12">
        <v>0</v>
      </c>
      <c r="I10688" s="12">
        <v>0</v>
      </c>
      <c r="J10688" s="11"/>
      <c r="K10688" s="12">
        <v>0</v>
      </c>
      <c r="L10688" s="10" t="str">
        <f t="shared" ref="L10688:L10695" si="820">HYPERLINK("https://otsuka-europe-crm.veevavault.com/ui/#object/approved_document__v/V5O00000000G061", "AE - AGGIORNAMENTI SEZIONE APPROFONDIMENTI NEFRO IT-NPR-2500150")</f>
        <v>AE - AGGIORNAMENTI SEZIONE APPROFONDIMENTI NEFRO IT-NPR-2500150</v>
      </c>
      <c r="M10688" s="10" t="str">
        <f t="shared" ref="M10688:M10695" si="821">HYPERLINK("mailto:giada.camassa@outsuka.it", "giada.camassa@outsuka.it")</f>
        <v>giada.camassa@outsuka.it</v>
      </c>
      <c r="N10688" s="13">
        <v>46190.337962962964</v>
      </c>
      <c r="O10688" s="14" t="str">
        <f>HYPERLINK("https://otsuka-europe-crm.veevavault.com/ui/#object/email_activity__v/V8C00000003W418", "EN-002097697")</f>
        <v>EN-002097697</v>
      </c>
    </row>
    <row r="10689" spans="1:15" ht="64" x14ac:dyDescent="0.2">
      <c r="A10689" s="7" t="str">
        <f>HYPERLINK("https://otsuka-europe-crm.veevavault.com/ui/#object/account__v/V4TZ06G6O71SCFE", "DANIO SOMENZI")</f>
        <v>DANIO SOMENZI</v>
      </c>
      <c r="B10689" s="7" t="str">
        <f t="shared" si="818"/>
        <v>IT</v>
      </c>
      <c r="C10689" s="8" t="s">
        <v>44</v>
      </c>
      <c r="D10689" s="9" t="str">
        <f t="shared" si="819"/>
        <v>AE - AGGIORNAMENTI SEZIONE APPROFONDIMENTI NEFRO IT-NPR-2500150</v>
      </c>
      <c r="E10689" s="10" t="str">
        <f>HYPERLINK("https://otsuka-europe-crm.veevavault.com/ui/#object/sent_email__v/VBL00000002U796", "SE-001436686")</f>
        <v>SE-001436686</v>
      </c>
      <c r="F10689" s="11"/>
      <c r="G10689" s="12">
        <v>0</v>
      </c>
      <c r="H10689" s="12">
        <v>0</v>
      </c>
      <c r="I10689" s="12">
        <v>0</v>
      </c>
      <c r="J10689" s="11"/>
      <c r="K10689" s="12">
        <v>0</v>
      </c>
      <c r="L10689" s="10" t="str">
        <f t="shared" si="820"/>
        <v>AE - AGGIORNAMENTI SEZIONE APPROFONDIMENTI NEFRO IT-NPR-2500150</v>
      </c>
      <c r="M10689" s="10" t="str">
        <f t="shared" si="821"/>
        <v>giada.camassa@outsuka.it</v>
      </c>
      <c r="N10689" s="13">
        <v>46190.337905092594</v>
      </c>
      <c r="O10689" s="14" t="str">
        <f>HYPERLINK("https://otsuka-europe-crm.veevavault.com/ui/#object/email_activity__v/V8C00000003X535", "EN-002097818")</f>
        <v>EN-002097818</v>
      </c>
    </row>
    <row r="10690" spans="1:15" ht="64" x14ac:dyDescent="0.2">
      <c r="A10690" s="7" t="str">
        <f>HYPERLINK("https://otsuka-europe-crm.veevavault.com/ui/#object/account__v/V4TZ06G6O71SBLR", "DARIA MOTTA")</f>
        <v>DARIA MOTTA</v>
      </c>
      <c r="B10690" s="7" t="str">
        <f t="shared" si="818"/>
        <v>IT</v>
      </c>
      <c r="C10690" s="8" t="s">
        <v>44</v>
      </c>
      <c r="D10690" s="9" t="str">
        <f t="shared" si="819"/>
        <v>AE - AGGIORNAMENTI SEZIONE APPROFONDIMENTI NEFRO IT-NPR-2500150</v>
      </c>
      <c r="E10690" s="10" t="str">
        <f>HYPERLINK("https://otsuka-europe-crm.veevavault.com/ui/#object/sent_email__v/VBL00000002U797", "SE-001436687")</f>
        <v>SE-001436687</v>
      </c>
      <c r="F10690" s="11"/>
      <c r="G10690" s="12">
        <v>0</v>
      </c>
      <c r="H10690" s="12">
        <v>0</v>
      </c>
      <c r="I10690" s="12">
        <v>0</v>
      </c>
      <c r="J10690" s="11"/>
      <c r="K10690" s="12">
        <v>0</v>
      </c>
      <c r="L10690" s="10" t="str">
        <f t="shared" si="820"/>
        <v>AE - AGGIORNAMENTI SEZIONE APPROFONDIMENTI NEFRO IT-NPR-2500150</v>
      </c>
      <c r="M10690" s="10" t="str">
        <f t="shared" si="821"/>
        <v>giada.camassa@outsuka.it</v>
      </c>
      <c r="N10690" s="13">
        <v>46190.337893518517</v>
      </c>
      <c r="O10690" s="14" t="str">
        <f>HYPERLINK("https://otsuka-europe-crm.veevavault.com/ui/#object/email_activity__v/V8C00000003W452", "EN-002097775")</f>
        <v>EN-002097775</v>
      </c>
    </row>
    <row r="10691" spans="1:15" ht="64" x14ac:dyDescent="0.2">
      <c r="A10691" s="7" t="str">
        <f>HYPERLINK("https://otsuka-europe-crm.veevavault.com/ui/#object/account__v/V4TZ06G6O71S9X0", "DARIO ALTIERI")</f>
        <v>DARIO ALTIERI</v>
      </c>
      <c r="B10691" s="7" t="str">
        <f t="shared" si="818"/>
        <v>IT</v>
      </c>
      <c r="C10691" s="8" t="s">
        <v>44</v>
      </c>
      <c r="D10691" s="9" t="str">
        <f t="shared" si="819"/>
        <v>AE - AGGIORNAMENTI SEZIONE APPROFONDIMENTI NEFRO IT-NPR-2500150</v>
      </c>
      <c r="E10691" s="10" t="str">
        <f>HYPERLINK("https://otsuka-europe-crm.veevavault.com/ui/#object/sent_email__v/VBL00000002U798", "SE-001436688")</f>
        <v>SE-001436688</v>
      </c>
      <c r="F10691" s="11"/>
      <c r="G10691" s="12">
        <v>0</v>
      </c>
      <c r="H10691" s="12">
        <v>0</v>
      </c>
      <c r="I10691" s="12">
        <v>0</v>
      </c>
      <c r="J10691" s="11"/>
      <c r="K10691" s="12">
        <v>0</v>
      </c>
      <c r="L10691" s="10" t="str">
        <f t="shared" si="820"/>
        <v>AE - AGGIORNAMENTI SEZIONE APPROFONDIMENTI NEFRO IT-NPR-2500150</v>
      </c>
      <c r="M10691" s="10" t="str">
        <f t="shared" si="821"/>
        <v>giada.camassa@outsuka.it</v>
      </c>
      <c r="N10691" s="13">
        <v>46190.339317129627</v>
      </c>
      <c r="O10691" s="14" t="str">
        <f>HYPERLINK("https://otsuka-europe-crm.veevavault.com/ui/#object/email_activity__v/V8C00000003X700", "EN-002098061")</f>
        <v>EN-002098061</v>
      </c>
    </row>
    <row r="10692" spans="1:15" ht="64" x14ac:dyDescent="0.2">
      <c r="A10692" s="7" t="str">
        <f>HYPERLINK("https://otsuka-europe-crm.veevavault.com/ui/#object/account__v/V4TZ06G6O71SC45", "DARIO ROCCATELLO")</f>
        <v>DARIO ROCCATELLO</v>
      </c>
      <c r="B10692" s="7" t="str">
        <f t="shared" si="818"/>
        <v>IT</v>
      </c>
      <c r="C10692" s="8" t="s">
        <v>44</v>
      </c>
      <c r="D10692" s="9" t="str">
        <f t="shared" si="819"/>
        <v>AE - AGGIORNAMENTI SEZIONE APPROFONDIMENTI NEFRO IT-NPR-2500150</v>
      </c>
      <c r="E10692" s="10" t="str">
        <f>HYPERLINK("https://otsuka-europe-crm.veevavault.com/ui/#object/sent_email__v/VBL00000002U799", "SE-001436689")</f>
        <v>SE-001436689</v>
      </c>
      <c r="F10692" s="11"/>
      <c r="G10692" s="12">
        <v>0</v>
      </c>
      <c r="H10692" s="12">
        <v>0</v>
      </c>
      <c r="I10692" s="12">
        <v>0</v>
      </c>
      <c r="J10692" s="11"/>
      <c r="K10692" s="12">
        <v>0</v>
      </c>
      <c r="L10692" s="10" t="str">
        <f t="shared" si="820"/>
        <v>AE - AGGIORNAMENTI SEZIONE APPROFONDIMENTI NEFRO IT-NPR-2500150</v>
      </c>
      <c r="M10692" s="10" t="str">
        <f t="shared" si="821"/>
        <v>giada.camassa@outsuka.it</v>
      </c>
      <c r="N10692" s="13">
        <v>46190.337858796294</v>
      </c>
      <c r="O10692" s="14" t="str">
        <f>HYPERLINK("https://otsuka-europe-crm.veevavault.com/ui/#object/email_activity__v/V8C00000003X263", "EN-002097438")</f>
        <v>EN-002097438</v>
      </c>
    </row>
    <row r="10693" spans="1:15" ht="64" x14ac:dyDescent="0.2">
      <c r="A10693" s="7" t="str">
        <f>HYPERLINK("https://otsuka-europe-crm.veevavault.com/ui/#object/account__v/V4TZ025E88Z35EZ", "DAVIDE MARTURANO")</f>
        <v>DAVIDE MARTURANO</v>
      </c>
      <c r="B10693" s="7" t="str">
        <f t="shared" si="818"/>
        <v>IT</v>
      </c>
      <c r="C10693" s="8" t="s">
        <v>44</v>
      </c>
      <c r="D10693" s="9" t="str">
        <f t="shared" si="819"/>
        <v>AE - AGGIORNAMENTI SEZIONE APPROFONDIMENTI NEFRO IT-NPR-2500150</v>
      </c>
      <c r="E10693" s="10" t="str">
        <f>HYPERLINK("https://otsuka-europe-crm.veevavault.com/ui/#object/sent_email__v/VBL00000002U800", "SE-001436690")</f>
        <v>SE-001436690</v>
      </c>
      <c r="F10693" s="11"/>
      <c r="G10693" s="12">
        <v>0</v>
      </c>
      <c r="H10693" s="12">
        <v>0</v>
      </c>
      <c r="I10693" s="12">
        <v>0</v>
      </c>
      <c r="J10693" s="11"/>
      <c r="K10693" s="12">
        <v>0</v>
      </c>
      <c r="L10693" s="10" t="str">
        <f t="shared" si="820"/>
        <v>AE - AGGIORNAMENTI SEZIONE APPROFONDIMENTI NEFRO IT-NPR-2500150</v>
      </c>
      <c r="M10693" s="10" t="str">
        <f t="shared" si="821"/>
        <v>giada.camassa@outsuka.it</v>
      </c>
      <c r="N10693" s="13">
        <v>46190.337893518517</v>
      </c>
      <c r="O10693" s="14" t="str">
        <f>HYPERLINK("https://otsuka-europe-crm.veevavault.com/ui/#object/email_activity__v/V8C00000003W424", "EN-002097708")</f>
        <v>EN-002097708</v>
      </c>
    </row>
    <row r="10694" spans="1:15" ht="64" x14ac:dyDescent="0.2">
      <c r="A10694" s="7" t="str">
        <f>HYPERLINK("https://otsuka-europe-crm.veevavault.com/ui/#object/account__v/V4TZ06G6OA5RUNI", "DAVIDE ROSSI")</f>
        <v>DAVIDE ROSSI</v>
      </c>
      <c r="B10694" s="7" t="str">
        <f t="shared" si="818"/>
        <v>IT</v>
      </c>
      <c r="C10694" s="8" t="s">
        <v>44</v>
      </c>
      <c r="D10694" s="9" t="str">
        <f t="shared" si="819"/>
        <v>AE - AGGIORNAMENTI SEZIONE APPROFONDIMENTI NEFRO IT-NPR-2500150</v>
      </c>
      <c r="E10694" s="10" t="str">
        <f>HYPERLINK("https://otsuka-europe-crm.veevavault.com/ui/#object/sent_email__v/VBL00000002U801", "SE-001436691")</f>
        <v>SE-001436691</v>
      </c>
      <c r="F10694" s="11"/>
      <c r="G10694" s="12">
        <v>0</v>
      </c>
      <c r="H10694" s="12">
        <v>0</v>
      </c>
      <c r="I10694" s="12">
        <v>0</v>
      </c>
      <c r="J10694" s="11"/>
      <c r="K10694" s="12">
        <v>0</v>
      </c>
      <c r="L10694" s="10" t="str">
        <f t="shared" si="820"/>
        <v>AE - AGGIORNAMENTI SEZIONE APPROFONDIMENTI NEFRO IT-NPR-2500150</v>
      </c>
      <c r="M10694" s="10" t="str">
        <f t="shared" si="821"/>
        <v>giada.camassa@outsuka.it</v>
      </c>
      <c r="N10694" s="13">
        <v>46190.338958333334</v>
      </c>
      <c r="O10694" s="14" t="str">
        <f>HYPERLINK("https://otsuka-europe-crm.veevavault.com/ui/#object/email_activity__v/V8C00000003X656", "EN-002097990")</f>
        <v>EN-002097990</v>
      </c>
    </row>
    <row r="10695" spans="1:15" ht="16" x14ac:dyDescent="0.2">
      <c r="A10695" s="17" t="str">
        <f>HYPERLINK("https://otsuka-europe-crm.veevavault.com/ui/#object/account__v/V4TZ04ASGGCGNDC", "DAVIDE STELLATO")</f>
        <v>DAVIDE STELLATO</v>
      </c>
      <c r="B10695" s="17" t="str">
        <f t="shared" si="818"/>
        <v>IT</v>
      </c>
      <c r="C10695" s="20" t="s">
        <v>44</v>
      </c>
      <c r="D10695" s="21" t="str">
        <f t="shared" si="819"/>
        <v>AE - AGGIORNAMENTI SEZIONE APPROFONDIMENTI NEFRO IT-NPR-2500150</v>
      </c>
      <c r="E10695" s="22" t="str">
        <f>HYPERLINK("https://otsuka-europe-crm.veevavault.com/ui/#object/sent_email__v/VBL00000002U802", "SE-001436692")</f>
        <v>SE-001436692</v>
      </c>
      <c r="F10695" s="23">
        <v>46191.89434027778</v>
      </c>
      <c r="G10695" s="24">
        <v>1</v>
      </c>
      <c r="H10695" s="24">
        <v>3</v>
      </c>
      <c r="I10695" s="24">
        <v>0</v>
      </c>
      <c r="J10695" s="25"/>
      <c r="K10695" s="24">
        <v>0</v>
      </c>
      <c r="L10695" s="22" t="str">
        <f t="shared" si="820"/>
        <v>AE - AGGIORNAMENTI SEZIONE APPROFONDIMENTI NEFRO IT-NPR-2500150</v>
      </c>
      <c r="M10695" s="22" t="str">
        <f t="shared" si="821"/>
        <v>giada.camassa@outsuka.it</v>
      </c>
      <c r="N10695" s="23">
        <v>46190.337951388887</v>
      </c>
      <c r="O10695" s="14" t="str">
        <f>HYPERLINK("https://otsuka-europe-crm.veevavault.com/ui/#object/email_activity__v/V8C00000003W430", "EN-002097714")</f>
        <v>EN-002097714</v>
      </c>
    </row>
    <row r="10696" spans="1:15" ht="16" x14ac:dyDescent="0.2">
      <c r="A10696" s="18"/>
      <c r="B10696" s="18"/>
      <c r="C10696" s="18"/>
      <c r="D10696" s="18"/>
      <c r="E10696" s="18"/>
      <c r="F10696" s="18"/>
      <c r="G10696" s="18"/>
      <c r="H10696" s="18"/>
      <c r="I10696" s="18"/>
      <c r="J10696" s="18"/>
      <c r="K10696" s="18"/>
      <c r="L10696" s="18"/>
      <c r="M10696" s="18"/>
      <c r="N10696" s="18"/>
      <c r="O10696" s="14" t="str">
        <f>HYPERLINK("https://otsuka-europe-crm.veevavault.com/ui/#object/email_activity__v/V8C00000003X440", "EN-002097654")</f>
        <v>EN-002097654</v>
      </c>
    </row>
    <row r="10697" spans="1:15" ht="16" x14ac:dyDescent="0.2">
      <c r="A10697" s="18"/>
      <c r="B10697" s="18"/>
      <c r="C10697" s="18"/>
      <c r="D10697" s="18"/>
      <c r="E10697" s="18"/>
      <c r="F10697" s="18"/>
      <c r="G10697" s="18"/>
      <c r="H10697" s="18"/>
      <c r="I10697" s="18"/>
      <c r="J10697" s="18"/>
      <c r="K10697" s="18"/>
      <c r="L10697" s="18"/>
      <c r="M10697" s="18"/>
      <c r="N10697" s="18"/>
      <c r="O10697" s="14" t="str">
        <f>HYPERLINK("https://otsuka-europe-crm.veevavault.com/ui/#object/email_activity__v/V8C00000003Z030", "EN-002098693")</f>
        <v>EN-002098693</v>
      </c>
    </row>
    <row r="10698" spans="1:15" ht="16" x14ac:dyDescent="0.2">
      <c r="A10698" s="19"/>
      <c r="B10698" s="19"/>
      <c r="C10698" s="19"/>
      <c r="D10698" s="19"/>
      <c r="E10698" s="19"/>
      <c r="F10698" s="19"/>
      <c r="G10698" s="19"/>
      <c r="H10698" s="19"/>
      <c r="I10698" s="19"/>
      <c r="J10698" s="19"/>
      <c r="K10698" s="19"/>
      <c r="L10698" s="19"/>
      <c r="M10698" s="19"/>
      <c r="N10698" s="19"/>
      <c r="O10698" s="14" t="str">
        <f>HYPERLINK("https://otsuka-europe-crm.veevavault.com/ui/#object/email_activity__v/V8C000000042017", "EN-002099719")</f>
        <v>EN-002099719</v>
      </c>
    </row>
    <row r="10699" spans="1:15" ht="16" x14ac:dyDescent="0.2">
      <c r="A10699" s="17" t="str">
        <f>HYPERLINK("https://otsuka-europe-crm.veevavault.com/ui/#object/account__v/V4TZ06G6O71S9VB", "DAVIDE VIGGIANO")</f>
        <v>DAVIDE VIGGIANO</v>
      </c>
      <c r="B10699" s="17" t="str">
        <f>HYPERLINK("https://otsuka-europe-crm.veevavault.com/ui/#object/vcountry__v/VENZ000004SONFQ", "IT")</f>
        <v>IT</v>
      </c>
      <c r="C10699" s="20" t="s">
        <v>44</v>
      </c>
      <c r="D10699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699" s="22" t="str">
        <f>HYPERLINK("https://otsuka-europe-crm.veevavault.com/ui/#object/sent_email__v/VBL00000002U803", "SE-001436693")</f>
        <v>SE-001436693</v>
      </c>
      <c r="F10699" s="23">
        <v>46190.338159722225</v>
      </c>
      <c r="G10699" s="24">
        <v>1</v>
      </c>
      <c r="H10699" s="24">
        <v>1</v>
      </c>
      <c r="I10699" s="24">
        <v>0</v>
      </c>
      <c r="J10699" s="25"/>
      <c r="K10699" s="24">
        <v>0</v>
      </c>
      <c r="L10699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699" s="22" t="str">
        <f>HYPERLINK("mailto:giada.camassa@outsuka.it", "giada.camassa@outsuka.it")</f>
        <v>giada.camassa@outsuka.it</v>
      </c>
      <c r="N10699" s="23">
        <v>46190.337951388887</v>
      </c>
      <c r="O10699" s="14" t="str">
        <f>HYPERLINK("https://otsuka-europe-crm.veevavault.com/ui/#object/email_activity__v/V8C00000003W467", "EN-002097805")</f>
        <v>EN-002097805</v>
      </c>
    </row>
    <row r="10700" spans="1:15" ht="16" x14ac:dyDescent="0.2">
      <c r="A10700" s="19"/>
      <c r="B10700" s="19"/>
      <c r="C10700" s="19"/>
      <c r="D10700" s="19"/>
      <c r="E10700" s="19"/>
      <c r="F10700" s="19"/>
      <c r="G10700" s="19"/>
      <c r="H10700" s="19"/>
      <c r="I10700" s="19"/>
      <c r="J10700" s="19"/>
      <c r="K10700" s="19"/>
      <c r="L10700" s="19"/>
      <c r="M10700" s="19"/>
      <c r="N10700" s="19"/>
      <c r="O10700" s="14" t="str">
        <f>HYPERLINK("https://otsuka-europe-crm.veevavault.com/ui/#object/email_activity__v/V8C00000003X534", "EN-002097817")</f>
        <v>EN-002097817</v>
      </c>
    </row>
    <row r="10701" spans="1:15" ht="64" x14ac:dyDescent="0.2">
      <c r="A10701" s="7" t="str">
        <f>HYPERLINK("https://otsuka-europe-crm.veevavault.com/ui/#object/account__v/V4TZ06G6O71SB1M", "DOMENICO CASERTA")</f>
        <v>DOMENICO CASERTA</v>
      </c>
      <c r="B10701" s="7" t="str">
        <f t="shared" ref="B10701:B10717" si="822">HYPERLINK("https://otsuka-europe-crm.veevavault.com/ui/#object/vcountry__v/VENZ000004SONFQ", "IT")</f>
        <v>IT</v>
      </c>
      <c r="C10701" s="8" t="s">
        <v>44</v>
      </c>
      <c r="D10701" s="9" t="str">
        <f t="shared" ref="D10701:D10717" si="823">HYPERLINK("https://otsuka-europe-crm.veevavault.com/ui/#object/approved_document__v/V5O00000000G061", "AE - AGGIORNAMENTI SEZIONE APPROFONDIMENTI NEFRO IT-NPR-2500150")</f>
        <v>AE - AGGIORNAMENTI SEZIONE APPROFONDIMENTI NEFRO IT-NPR-2500150</v>
      </c>
      <c r="E10701" s="10" t="str">
        <f>HYPERLINK("https://otsuka-europe-crm.veevavault.com/ui/#object/sent_email__v/VBL00000002U804", "SE-001436694")</f>
        <v>SE-001436694</v>
      </c>
      <c r="F10701" s="11"/>
      <c r="G10701" s="12">
        <v>0</v>
      </c>
      <c r="H10701" s="12">
        <v>0</v>
      </c>
      <c r="I10701" s="12">
        <v>0</v>
      </c>
      <c r="J10701" s="11"/>
      <c r="K10701" s="12">
        <v>0</v>
      </c>
      <c r="L10701" s="10" t="str">
        <f t="shared" ref="L10701:L10717" si="824">HYPERLINK("https://otsuka-europe-crm.veevavault.com/ui/#object/approved_document__v/V5O00000000G061", "AE - AGGIORNAMENTI SEZIONE APPROFONDIMENTI NEFRO IT-NPR-2500150")</f>
        <v>AE - AGGIORNAMENTI SEZIONE APPROFONDIMENTI NEFRO IT-NPR-2500150</v>
      </c>
      <c r="M10701" s="10" t="str">
        <f t="shared" ref="M10701:M10717" si="825">HYPERLINK("mailto:giada.camassa@outsuka.it", "giada.camassa@outsuka.it")</f>
        <v>giada.camassa@outsuka.it</v>
      </c>
      <c r="N10701" s="13">
        <v>46190.339791666665</v>
      </c>
      <c r="O10701" s="14" t="str">
        <f>HYPERLINK("https://otsuka-europe-crm.veevavault.com/ui/#object/email_activity__v/V8C00000003W593", "EN-002098158")</f>
        <v>EN-002098158</v>
      </c>
    </row>
    <row r="10702" spans="1:15" ht="64" x14ac:dyDescent="0.2">
      <c r="A10702" s="7" t="str">
        <f>HYPERLINK("https://otsuka-europe-crm.veevavault.com/ui/#object/account__v/V4TZ06G6O71SCB6", "DOMENICO SANNICANDRO")</f>
        <v>DOMENICO SANNICANDRO</v>
      </c>
      <c r="B10702" s="7" t="str">
        <f t="shared" si="822"/>
        <v>IT</v>
      </c>
      <c r="C10702" s="8" t="s">
        <v>44</v>
      </c>
      <c r="D10702" s="9" t="str">
        <f t="shared" si="823"/>
        <v>AE - AGGIORNAMENTI SEZIONE APPROFONDIMENTI NEFRO IT-NPR-2500150</v>
      </c>
      <c r="E10702" s="10" t="str">
        <f>HYPERLINK("https://otsuka-europe-crm.veevavault.com/ui/#object/sent_email__v/VBL00000002U805", "SE-001436695")</f>
        <v>SE-001436695</v>
      </c>
      <c r="F10702" s="11"/>
      <c r="G10702" s="12">
        <v>0</v>
      </c>
      <c r="H10702" s="12">
        <v>0</v>
      </c>
      <c r="I10702" s="12">
        <v>0</v>
      </c>
      <c r="J10702" s="11"/>
      <c r="K10702" s="12">
        <v>0</v>
      </c>
      <c r="L10702" s="10" t="str">
        <f t="shared" si="824"/>
        <v>AE - AGGIORNAMENTI SEZIONE APPROFONDIMENTI NEFRO IT-NPR-2500150</v>
      </c>
      <c r="M10702" s="10" t="str">
        <f t="shared" si="825"/>
        <v>giada.camassa@outsuka.it</v>
      </c>
      <c r="N10702" s="13">
        <v>46190.339201388888</v>
      </c>
      <c r="O10702" s="14" t="str">
        <f>HYPERLINK("https://otsuka-europe-crm.veevavault.com/ui/#object/email_activity__v/V8C00000003W545", "EN-002098034")</f>
        <v>EN-002098034</v>
      </c>
    </row>
    <row r="10703" spans="1:15" ht="64" x14ac:dyDescent="0.2">
      <c r="A10703" s="7" t="str">
        <f>HYPERLINK("https://otsuka-europe-crm.veevavault.com/ui/#object/account__v/V4TZ06G6O71SCLJ", "DOMENICO TRAMONTANA")</f>
        <v>DOMENICO TRAMONTANA</v>
      </c>
      <c r="B10703" s="7" t="str">
        <f t="shared" si="822"/>
        <v>IT</v>
      </c>
      <c r="C10703" s="8" t="s">
        <v>44</v>
      </c>
      <c r="D10703" s="9" t="str">
        <f t="shared" si="823"/>
        <v>AE - AGGIORNAMENTI SEZIONE APPROFONDIMENTI NEFRO IT-NPR-2500150</v>
      </c>
      <c r="E10703" s="10" t="str">
        <f>HYPERLINK("https://otsuka-europe-crm.veevavault.com/ui/#object/sent_email__v/VBL00000002U806", "SE-001436696")</f>
        <v>SE-001436696</v>
      </c>
      <c r="F10703" s="11"/>
      <c r="G10703" s="12">
        <v>0</v>
      </c>
      <c r="H10703" s="12">
        <v>0</v>
      </c>
      <c r="I10703" s="12">
        <v>0</v>
      </c>
      <c r="J10703" s="11"/>
      <c r="K10703" s="12">
        <v>0</v>
      </c>
      <c r="L10703" s="10" t="str">
        <f t="shared" si="824"/>
        <v>AE - AGGIORNAMENTI SEZIONE APPROFONDIMENTI NEFRO IT-NPR-2500150</v>
      </c>
      <c r="M10703" s="10" t="str">
        <f t="shared" si="825"/>
        <v>giada.camassa@outsuka.it</v>
      </c>
      <c r="N10703" s="13">
        <v>46190.339074074072</v>
      </c>
      <c r="O10703" s="14" t="str">
        <f>HYPERLINK("https://otsuka-europe-crm.veevavault.com/ui/#object/email_activity__v/V8C00000003W624", "EN-002098246")</f>
        <v>EN-002098246</v>
      </c>
    </row>
    <row r="10704" spans="1:15" ht="64" x14ac:dyDescent="0.2">
      <c r="A10704" s="7" t="str">
        <f>HYPERLINK("https://otsuka-europe-crm.veevavault.com/ui/#object/account__v/V4TZ06G6O71S9Q8", "DOMENICO TRIMBOLI")</f>
        <v>DOMENICO TRIMBOLI</v>
      </c>
      <c r="B10704" s="7" t="str">
        <f t="shared" si="822"/>
        <v>IT</v>
      </c>
      <c r="C10704" s="8" t="s">
        <v>44</v>
      </c>
      <c r="D10704" s="9" t="str">
        <f t="shared" si="823"/>
        <v>AE - AGGIORNAMENTI SEZIONE APPROFONDIMENTI NEFRO IT-NPR-2500150</v>
      </c>
      <c r="E10704" s="10" t="str">
        <f>HYPERLINK("https://otsuka-europe-crm.veevavault.com/ui/#object/sent_email__v/VBL00000002U807", "SE-001436697")</f>
        <v>SE-001436697</v>
      </c>
      <c r="F10704" s="11"/>
      <c r="G10704" s="12">
        <v>0</v>
      </c>
      <c r="H10704" s="12">
        <v>0</v>
      </c>
      <c r="I10704" s="12">
        <v>0</v>
      </c>
      <c r="J10704" s="11"/>
      <c r="K10704" s="12">
        <v>0</v>
      </c>
      <c r="L10704" s="10" t="str">
        <f t="shared" si="824"/>
        <v>AE - AGGIORNAMENTI SEZIONE APPROFONDIMENTI NEFRO IT-NPR-2500150</v>
      </c>
      <c r="M10704" s="10" t="str">
        <f t="shared" si="825"/>
        <v>giada.camassa@outsuka.it</v>
      </c>
      <c r="N10704" s="13">
        <v>46190.338067129633</v>
      </c>
      <c r="O10704" s="14" t="str">
        <f>HYPERLINK("https://otsuka-europe-crm.veevavault.com/ui/#object/email_activity__v/V8C00000003X556", "EN-002097852")</f>
        <v>EN-002097852</v>
      </c>
    </row>
    <row r="10705" spans="1:15" ht="64" x14ac:dyDescent="0.2">
      <c r="A10705" s="7" t="str">
        <f>HYPERLINK("https://otsuka-europe-crm.veevavault.com/ui/#object/account__v/V4TZ06G6O71SASS", "DORIANA CHIARINOTTI")</f>
        <v>DORIANA CHIARINOTTI</v>
      </c>
      <c r="B10705" s="7" t="str">
        <f t="shared" si="822"/>
        <v>IT</v>
      </c>
      <c r="C10705" s="8" t="s">
        <v>44</v>
      </c>
      <c r="D10705" s="9" t="str">
        <f t="shared" si="823"/>
        <v>AE - AGGIORNAMENTI SEZIONE APPROFONDIMENTI NEFRO IT-NPR-2500150</v>
      </c>
      <c r="E10705" s="10" t="str">
        <f>HYPERLINK("https://otsuka-europe-crm.veevavault.com/ui/#object/sent_email__v/VBL00000002U808", "SE-001436698")</f>
        <v>SE-001436698</v>
      </c>
      <c r="F10705" s="11"/>
      <c r="G10705" s="12">
        <v>0</v>
      </c>
      <c r="H10705" s="12">
        <v>0</v>
      </c>
      <c r="I10705" s="12">
        <v>0</v>
      </c>
      <c r="J10705" s="11"/>
      <c r="K10705" s="12">
        <v>0</v>
      </c>
      <c r="L10705" s="10" t="str">
        <f t="shared" si="824"/>
        <v>AE - AGGIORNAMENTI SEZIONE APPROFONDIMENTI NEFRO IT-NPR-2500150</v>
      </c>
      <c r="M10705" s="10" t="str">
        <f t="shared" si="825"/>
        <v>giada.camassa@outsuka.it</v>
      </c>
      <c r="N10705" s="13">
        <v>46190.339074074072</v>
      </c>
      <c r="O10705" s="14" t="str">
        <f>HYPERLINK("https://otsuka-europe-crm.veevavault.com/ui/#object/email_activity__v/V8C00000003X671", "EN-002098012")</f>
        <v>EN-002098012</v>
      </c>
    </row>
    <row r="10706" spans="1:15" ht="64" x14ac:dyDescent="0.2">
      <c r="A10706" s="7" t="str">
        <f>HYPERLINK("https://otsuka-europe-crm.veevavault.com/ui/#object/account__v/V4TZ06G6O71SAZ7", "DOROTEA CAPODICASA")</f>
        <v>DOROTEA CAPODICASA</v>
      </c>
      <c r="B10706" s="7" t="str">
        <f t="shared" si="822"/>
        <v>IT</v>
      </c>
      <c r="C10706" s="8" t="s">
        <v>44</v>
      </c>
      <c r="D10706" s="9" t="str">
        <f t="shared" si="823"/>
        <v>AE - AGGIORNAMENTI SEZIONE APPROFONDIMENTI NEFRO IT-NPR-2500150</v>
      </c>
      <c r="E10706" s="10" t="str">
        <f>HYPERLINK("https://otsuka-europe-crm.veevavault.com/ui/#object/sent_email__v/VBL00000002U809", "SE-001436699")</f>
        <v>SE-001436699</v>
      </c>
      <c r="F10706" s="11"/>
      <c r="G10706" s="12">
        <v>0</v>
      </c>
      <c r="H10706" s="12">
        <v>0</v>
      </c>
      <c r="I10706" s="12">
        <v>0</v>
      </c>
      <c r="J10706" s="11"/>
      <c r="K10706" s="12">
        <v>0</v>
      </c>
      <c r="L10706" s="10" t="str">
        <f t="shared" si="824"/>
        <v>AE - AGGIORNAMENTI SEZIONE APPROFONDIMENTI NEFRO IT-NPR-2500150</v>
      </c>
      <c r="M10706" s="10" t="str">
        <f t="shared" si="825"/>
        <v>giada.camassa@outsuka.it</v>
      </c>
      <c r="N10706" s="13">
        <v>46190.337870370371</v>
      </c>
      <c r="O10706" s="14" t="str">
        <f>HYPERLINK("https://otsuka-europe-crm.veevavault.com/ui/#object/email_activity__v/V8C00000003X278", "EN-002097453")</f>
        <v>EN-002097453</v>
      </c>
    </row>
    <row r="10707" spans="1:15" ht="64" x14ac:dyDescent="0.2">
      <c r="A10707" s="7" t="str">
        <f>HYPERLINK("https://otsuka-europe-crm.veevavault.com/ui/#object/account__v/V4TZ06G6O71S9DG", "ELEONORA BERNABEI")</f>
        <v>ELEONORA BERNABEI</v>
      </c>
      <c r="B10707" s="7" t="str">
        <f t="shared" si="822"/>
        <v>IT</v>
      </c>
      <c r="C10707" s="8" t="s">
        <v>44</v>
      </c>
      <c r="D10707" s="9" t="str">
        <f t="shared" si="823"/>
        <v>AE - AGGIORNAMENTI SEZIONE APPROFONDIMENTI NEFRO IT-NPR-2500150</v>
      </c>
      <c r="E10707" s="10" t="str">
        <f>HYPERLINK("https://otsuka-europe-crm.veevavault.com/ui/#object/sent_email__v/VBL00000002U810", "SE-001436700")</f>
        <v>SE-001436700</v>
      </c>
      <c r="F10707" s="11"/>
      <c r="G10707" s="12">
        <v>0</v>
      </c>
      <c r="H10707" s="12">
        <v>0</v>
      </c>
      <c r="I10707" s="12">
        <v>0</v>
      </c>
      <c r="J10707" s="11"/>
      <c r="K10707" s="12">
        <v>0</v>
      </c>
      <c r="L10707" s="10" t="str">
        <f t="shared" si="824"/>
        <v>AE - AGGIORNAMENTI SEZIONE APPROFONDIMENTI NEFRO IT-NPR-2500150</v>
      </c>
      <c r="M10707" s="10" t="str">
        <f t="shared" si="825"/>
        <v>giada.camassa@outsuka.it</v>
      </c>
      <c r="N10707" s="13">
        <v>46190.33792824074</v>
      </c>
      <c r="O10707" s="14" t="str">
        <f>HYPERLINK("https://otsuka-europe-crm.veevavault.com/ui/#object/email_activity__v/V8C00000003X384", "EN-002097579")</f>
        <v>EN-002097579</v>
      </c>
    </row>
    <row r="10708" spans="1:15" ht="64" x14ac:dyDescent="0.2">
      <c r="A10708" s="7" t="str">
        <f>HYPERLINK("https://otsuka-europe-crm.veevavault.com/ui/#object/account__v/V4TZ06G6O71SBLO", "ELEONORA MOSCARITOLO")</f>
        <v>ELEONORA MOSCARITOLO</v>
      </c>
      <c r="B10708" s="7" t="str">
        <f t="shared" si="822"/>
        <v>IT</v>
      </c>
      <c r="C10708" s="8" t="s">
        <v>44</v>
      </c>
      <c r="D10708" s="9" t="str">
        <f t="shared" si="823"/>
        <v>AE - AGGIORNAMENTI SEZIONE APPROFONDIMENTI NEFRO IT-NPR-2500150</v>
      </c>
      <c r="E10708" s="10" t="str">
        <f>HYPERLINK("https://otsuka-europe-crm.veevavault.com/ui/#object/sent_email__v/VBL00000002U811", "SE-001436701")</f>
        <v>SE-001436701</v>
      </c>
      <c r="F10708" s="11"/>
      <c r="G10708" s="12">
        <v>0</v>
      </c>
      <c r="H10708" s="12">
        <v>0</v>
      </c>
      <c r="I10708" s="12">
        <v>0</v>
      </c>
      <c r="J10708" s="11"/>
      <c r="K10708" s="12">
        <v>0</v>
      </c>
      <c r="L10708" s="10" t="str">
        <f t="shared" si="824"/>
        <v>AE - AGGIORNAMENTI SEZIONE APPROFONDIMENTI NEFRO IT-NPR-2500150</v>
      </c>
      <c r="M10708" s="10" t="str">
        <f t="shared" si="825"/>
        <v>giada.camassa@outsuka.it</v>
      </c>
      <c r="N10708" s="13">
        <v>46190.337835648148</v>
      </c>
      <c r="O10708" s="14" t="str">
        <f>HYPERLINK("https://otsuka-europe-crm.veevavault.com/ui/#object/email_activity__v/V8C00000003X376", "EN-002097571")</f>
        <v>EN-002097571</v>
      </c>
    </row>
    <row r="10709" spans="1:15" ht="64" x14ac:dyDescent="0.2">
      <c r="A10709" s="7" t="str">
        <f>HYPERLINK("https://otsuka-europe-crm.veevavault.com/ui/#object/account__v/V4TZ04ASGC7E6YB", "ELISA DELBARBA")</f>
        <v>ELISA DELBARBA</v>
      </c>
      <c r="B10709" s="7" t="str">
        <f t="shared" si="822"/>
        <v>IT</v>
      </c>
      <c r="C10709" s="8" t="s">
        <v>44</v>
      </c>
      <c r="D10709" s="9" t="str">
        <f t="shared" si="823"/>
        <v>AE - AGGIORNAMENTI SEZIONE APPROFONDIMENTI NEFRO IT-NPR-2500150</v>
      </c>
      <c r="E10709" s="10" t="str">
        <f>HYPERLINK("https://otsuka-europe-crm.veevavault.com/ui/#object/sent_email__v/VBL00000002U812", "SE-001436702")</f>
        <v>SE-001436702</v>
      </c>
      <c r="F10709" s="11"/>
      <c r="G10709" s="12">
        <v>0</v>
      </c>
      <c r="H10709" s="12">
        <v>0</v>
      </c>
      <c r="I10709" s="12">
        <v>0</v>
      </c>
      <c r="J10709" s="11"/>
      <c r="K10709" s="12">
        <v>0</v>
      </c>
      <c r="L10709" s="10" t="str">
        <f t="shared" si="824"/>
        <v>AE - AGGIORNAMENTI SEZIONE APPROFONDIMENTI NEFRO IT-NPR-2500150</v>
      </c>
      <c r="M10709" s="10" t="str">
        <f t="shared" si="825"/>
        <v>giada.camassa@outsuka.it</v>
      </c>
      <c r="N10709" s="13">
        <v>46190.337870370371</v>
      </c>
      <c r="O10709" s="14" t="str">
        <f>HYPERLINK("https://otsuka-europe-crm.veevavault.com/ui/#object/email_activity__v/V8C00000003X453", "EN-002097790")</f>
        <v>EN-002097790</v>
      </c>
    </row>
    <row r="10710" spans="1:15" ht="64" x14ac:dyDescent="0.2">
      <c r="A10710" s="7" t="str">
        <f>HYPERLINK("https://otsuka-europe-crm.veevavault.com/ui/#object/account__v/V4TZ06G6O71SBBM", "ELISABETTA MEZZA")</f>
        <v>ELISABETTA MEZZA</v>
      </c>
      <c r="B10710" s="7" t="str">
        <f t="shared" si="822"/>
        <v>IT</v>
      </c>
      <c r="C10710" s="8" t="s">
        <v>44</v>
      </c>
      <c r="D10710" s="9" t="str">
        <f t="shared" si="823"/>
        <v>AE - AGGIORNAMENTI SEZIONE APPROFONDIMENTI NEFRO IT-NPR-2500150</v>
      </c>
      <c r="E10710" s="10" t="str">
        <f>HYPERLINK("https://otsuka-europe-crm.veevavault.com/ui/#object/sent_email__v/VBL00000002U813", "SE-001436703")</f>
        <v>SE-001436703</v>
      </c>
      <c r="F10710" s="11"/>
      <c r="G10710" s="12">
        <v>0</v>
      </c>
      <c r="H10710" s="12">
        <v>0</v>
      </c>
      <c r="I10710" s="12">
        <v>0</v>
      </c>
      <c r="J10710" s="11"/>
      <c r="K10710" s="12">
        <v>0</v>
      </c>
      <c r="L10710" s="10" t="str">
        <f t="shared" si="824"/>
        <v>AE - AGGIORNAMENTI SEZIONE APPROFONDIMENTI NEFRO IT-NPR-2500150</v>
      </c>
      <c r="M10710" s="10" t="str">
        <f t="shared" si="825"/>
        <v>giada.camassa@outsuka.it</v>
      </c>
      <c r="N10710" s="13">
        <v>46190.337824074071</v>
      </c>
      <c r="O10710" s="14" t="str">
        <f>HYPERLINK("https://otsuka-europe-crm.veevavault.com/ui/#object/email_activity__v/V8C00000003X247", "EN-002097394")</f>
        <v>EN-002097394</v>
      </c>
    </row>
    <row r="10711" spans="1:15" ht="64" x14ac:dyDescent="0.2">
      <c r="A10711" s="7" t="str">
        <f>HYPERLINK("https://otsuka-europe-crm.veevavault.com/ui/#object/account__v/V4TZ06G6O71SC57", "ELISABETTA ROSCINI")</f>
        <v>ELISABETTA ROSCINI</v>
      </c>
      <c r="B10711" s="7" t="str">
        <f t="shared" si="822"/>
        <v>IT</v>
      </c>
      <c r="C10711" s="8" t="s">
        <v>44</v>
      </c>
      <c r="D10711" s="9" t="str">
        <f t="shared" si="823"/>
        <v>AE - AGGIORNAMENTI SEZIONE APPROFONDIMENTI NEFRO IT-NPR-2500150</v>
      </c>
      <c r="E10711" s="10" t="str">
        <f>HYPERLINK("https://otsuka-europe-crm.veevavault.com/ui/#object/sent_email__v/VBL00000002U814", "SE-001436704")</f>
        <v>SE-001436704</v>
      </c>
      <c r="F10711" s="11"/>
      <c r="G10711" s="12">
        <v>0</v>
      </c>
      <c r="H10711" s="12">
        <v>0</v>
      </c>
      <c r="I10711" s="12">
        <v>0</v>
      </c>
      <c r="J10711" s="11"/>
      <c r="K10711" s="12">
        <v>0</v>
      </c>
      <c r="L10711" s="10" t="str">
        <f t="shared" si="824"/>
        <v>AE - AGGIORNAMENTI SEZIONE APPROFONDIMENTI NEFRO IT-NPR-2500150</v>
      </c>
      <c r="M10711" s="10" t="str">
        <f t="shared" si="825"/>
        <v>giada.camassa@outsuka.it</v>
      </c>
      <c r="N10711" s="13">
        <v>46190.337847222225</v>
      </c>
      <c r="O10711" s="14" t="str">
        <f>HYPERLINK("https://otsuka-europe-crm.veevavault.com/ui/#object/email_activity__v/V8C00000003W380", "EN-002097470")</f>
        <v>EN-002097470</v>
      </c>
    </row>
    <row r="10712" spans="1:15" ht="64" x14ac:dyDescent="0.2">
      <c r="A10712" s="7" t="str">
        <f>HYPERLINK("https://otsuka-europe-crm.veevavault.com/ui/#object/account__v/V4TZ06G6O71S9VI", "ELSA MARISI")</f>
        <v>ELSA MARISI</v>
      </c>
      <c r="B10712" s="7" t="str">
        <f t="shared" si="822"/>
        <v>IT</v>
      </c>
      <c r="C10712" s="8" t="s">
        <v>44</v>
      </c>
      <c r="D10712" s="9" t="str">
        <f t="shared" si="823"/>
        <v>AE - AGGIORNAMENTI SEZIONE APPROFONDIMENTI NEFRO IT-NPR-2500150</v>
      </c>
      <c r="E10712" s="10" t="str">
        <f>HYPERLINK("https://otsuka-europe-crm.veevavault.com/ui/#object/sent_email__v/VBL00000002U815", "SE-001436705")</f>
        <v>SE-001436705</v>
      </c>
      <c r="F10712" s="11"/>
      <c r="G10712" s="12">
        <v>0</v>
      </c>
      <c r="H10712" s="12">
        <v>0</v>
      </c>
      <c r="I10712" s="12">
        <v>0</v>
      </c>
      <c r="J10712" s="11"/>
      <c r="K10712" s="12">
        <v>0</v>
      </c>
      <c r="L10712" s="10" t="str">
        <f t="shared" si="824"/>
        <v>AE - AGGIORNAMENTI SEZIONE APPROFONDIMENTI NEFRO IT-NPR-2500150</v>
      </c>
      <c r="M10712" s="10" t="str">
        <f t="shared" si="825"/>
        <v>giada.camassa@outsuka.it</v>
      </c>
      <c r="N10712" s="13">
        <v>46190.337847222225</v>
      </c>
      <c r="O10712" s="14" t="str">
        <f>HYPERLINK("https://otsuka-europe-crm.veevavault.com/ui/#object/email_activity__v/V8C00000003W427", "EN-002097711")</f>
        <v>EN-002097711</v>
      </c>
    </row>
    <row r="10713" spans="1:15" ht="64" x14ac:dyDescent="0.2">
      <c r="A10713" s="7" t="str">
        <f>HYPERLINK("https://otsuka-europe-crm.veevavault.com/ui/#object/account__v/V4TZ025E8739UOS", "ELVIRA MANCINI")</f>
        <v>ELVIRA MANCINI</v>
      </c>
      <c r="B10713" s="7" t="str">
        <f t="shared" si="822"/>
        <v>IT</v>
      </c>
      <c r="C10713" s="8" t="s">
        <v>44</v>
      </c>
      <c r="D10713" s="9" t="str">
        <f t="shared" si="823"/>
        <v>AE - AGGIORNAMENTI SEZIONE APPROFONDIMENTI NEFRO IT-NPR-2500150</v>
      </c>
      <c r="E10713" s="10" t="str">
        <f>HYPERLINK("https://otsuka-europe-crm.veevavault.com/ui/#object/sent_email__v/VBL00000002U816", "SE-001436706")</f>
        <v>SE-001436706</v>
      </c>
      <c r="F10713" s="11"/>
      <c r="G10713" s="12">
        <v>0</v>
      </c>
      <c r="H10713" s="12">
        <v>0</v>
      </c>
      <c r="I10713" s="12">
        <v>0</v>
      </c>
      <c r="J10713" s="11"/>
      <c r="K10713" s="12">
        <v>0</v>
      </c>
      <c r="L10713" s="10" t="str">
        <f t="shared" si="824"/>
        <v>AE - AGGIORNAMENTI SEZIONE APPROFONDIMENTI NEFRO IT-NPR-2500150</v>
      </c>
      <c r="M10713" s="10" t="str">
        <f t="shared" si="825"/>
        <v>giada.camassa@outsuka.it</v>
      </c>
      <c r="N10713" s="13">
        <v>46190.337905092594</v>
      </c>
      <c r="O10713" s="14" t="str">
        <f>HYPERLINK("https://otsuka-europe-crm.veevavault.com/ui/#object/email_activity__v/V8C00000003X325", "EN-002097522")</f>
        <v>EN-002097522</v>
      </c>
    </row>
    <row r="10714" spans="1:15" ht="64" x14ac:dyDescent="0.2">
      <c r="A10714" s="7" t="str">
        <f>HYPERLINK("https://otsuka-europe-crm.veevavault.com/ui/#object/account__v/V4TZ06G6O71S9KI", "EMANUELA ANTONELLA MANGIONE")</f>
        <v>EMANUELA ANTONELLA MANGIONE</v>
      </c>
      <c r="B10714" s="7" t="str">
        <f t="shared" si="822"/>
        <v>IT</v>
      </c>
      <c r="C10714" s="8" t="s">
        <v>44</v>
      </c>
      <c r="D10714" s="9" t="str">
        <f t="shared" si="823"/>
        <v>AE - AGGIORNAMENTI SEZIONE APPROFONDIMENTI NEFRO IT-NPR-2500150</v>
      </c>
      <c r="E10714" s="10" t="str">
        <f>HYPERLINK("https://otsuka-europe-crm.veevavault.com/ui/#object/sent_email__v/VBL00000002U817", "SE-001436707")</f>
        <v>SE-001436707</v>
      </c>
      <c r="F10714" s="11"/>
      <c r="G10714" s="12">
        <v>0</v>
      </c>
      <c r="H10714" s="12">
        <v>0</v>
      </c>
      <c r="I10714" s="12">
        <v>0</v>
      </c>
      <c r="J10714" s="11"/>
      <c r="K10714" s="12">
        <v>0</v>
      </c>
      <c r="L10714" s="10" t="str">
        <f t="shared" si="824"/>
        <v>AE - AGGIORNAMENTI SEZIONE APPROFONDIMENTI NEFRO IT-NPR-2500150</v>
      </c>
      <c r="M10714" s="10" t="str">
        <f t="shared" si="825"/>
        <v>giada.camassa@outsuka.it</v>
      </c>
      <c r="N10714" s="13">
        <v>46190.337951388887</v>
      </c>
      <c r="O10714" s="14" t="str">
        <f>HYPERLINK("https://otsuka-europe-crm.veevavault.com/ui/#object/email_activity__v/V8C00000003X391", "EN-002097586")</f>
        <v>EN-002097586</v>
      </c>
    </row>
    <row r="10715" spans="1:15" ht="64" x14ac:dyDescent="0.2">
      <c r="A10715" s="7" t="str">
        <f>HYPERLINK("https://otsuka-europe-crm.veevavault.com/ui/#object/account__v/V4TZ06G6O71SBCM", "EMANUELA MADDALENA")</f>
        <v>EMANUELA MADDALENA</v>
      </c>
      <c r="B10715" s="7" t="str">
        <f t="shared" si="822"/>
        <v>IT</v>
      </c>
      <c r="C10715" s="8" t="s">
        <v>44</v>
      </c>
      <c r="D10715" s="9" t="str">
        <f t="shared" si="823"/>
        <v>AE - AGGIORNAMENTI SEZIONE APPROFONDIMENTI NEFRO IT-NPR-2500150</v>
      </c>
      <c r="E10715" s="10" t="str">
        <f>HYPERLINK("https://otsuka-europe-crm.veevavault.com/ui/#object/sent_email__v/VBL00000002U818", "SE-001436708")</f>
        <v>SE-001436708</v>
      </c>
      <c r="F10715" s="11"/>
      <c r="G10715" s="12">
        <v>0</v>
      </c>
      <c r="H10715" s="12">
        <v>0</v>
      </c>
      <c r="I10715" s="12">
        <v>0</v>
      </c>
      <c r="J10715" s="11"/>
      <c r="K10715" s="12">
        <v>0</v>
      </c>
      <c r="L10715" s="10" t="str">
        <f t="shared" si="824"/>
        <v>AE - AGGIORNAMENTI SEZIONE APPROFONDIMENTI NEFRO IT-NPR-2500150</v>
      </c>
      <c r="M10715" s="10" t="str">
        <f t="shared" si="825"/>
        <v>giada.camassa@outsuka.it</v>
      </c>
      <c r="N10715" s="13">
        <v>46190.337893518517</v>
      </c>
      <c r="O10715" s="14" t="str">
        <f>HYPERLINK("https://otsuka-europe-crm.veevavault.com/ui/#object/email_activity__v/V8C00000003W387", "EN-002097511")</f>
        <v>EN-002097511</v>
      </c>
    </row>
    <row r="10716" spans="1:15" ht="64" x14ac:dyDescent="0.2">
      <c r="A10716" s="7" t="str">
        <f>HYPERLINK("https://otsuka-europe-crm.veevavault.com/ui/#object/account__v/V4TZ025E839YTAY", "EMANUELE MAMBELLI")</f>
        <v>EMANUELE MAMBELLI</v>
      </c>
      <c r="B10716" s="7" t="str">
        <f t="shared" si="822"/>
        <v>IT</v>
      </c>
      <c r="C10716" s="8" t="s">
        <v>44</v>
      </c>
      <c r="D10716" s="9" t="str">
        <f t="shared" si="823"/>
        <v>AE - AGGIORNAMENTI SEZIONE APPROFONDIMENTI NEFRO IT-NPR-2500150</v>
      </c>
      <c r="E10716" s="10" t="str">
        <f>HYPERLINK("https://otsuka-europe-crm.veevavault.com/ui/#object/sent_email__v/VBL00000002U820", "SE-001436710")</f>
        <v>SE-001436710</v>
      </c>
      <c r="F10716" s="11"/>
      <c r="G10716" s="12">
        <v>0</v>
      </c>
      <c r="H10716" s="12">
        <v>0</v>
      </c>
      <c r="I10716" s="12">
        <v>0</v>
      </c>
      <c r="J10716" s="11"/>
      <c r="K10716" s="12">
        <v>0</v>
      </c>
      <c r="L10716" s="10" t="str">
        <f t="shared" si="824"/>
        <v>AE - AGGIORNAMENTI SEZIONE APPROFONDIMENTI NEFRO IT-NPR-2500150</v>
      </c>
      <c r="M10716" s="10" t="str">
        <f t="shared" si="825"/>
        <v>giada.camassa@outsuka.it</v>
      </c>
      <c r="N10716" s="13">
        <v>46190.33792824074</v>
      </c>
      <c r="O10716" s="14" t="str">
        <f>HYPERLINK("https://otsuka-europe-crm.veevavault.com/ui/#object/email_activity__v/V8C00000003X442", "EN-002097656")</f>
        <v>EN-002097656</v>
      </c>
    </row>
    <row r="10717" spans="1:15" ht="16" x14ac:dyDescent="0.2">
      <c r="A10717" s="17" t="str">
        <f>HYPERLINK("https://otsuka-europe-crm.veevavault.com/ui/#object/account__v/V4TZ06G6O71SBJ7", "ENRICO EUGENIO MINETTI")</f>
        <v>ENRICO EUGENIO MINETTI</v>
      </c>
      <c r="B10717" s="17" t="str">
        <f t="shared" si="822"/>
        <v>IT</v>
      </c>
      <c r="C10717" s="20" t="s">
        <v>44</v>
      </c>
      <c r="D10717" s="21" t="str">
        <f t="shared" si="823"/>
        <v>AE - AGGIORNAMENTI SEZIONE APPROFONDIMENTI NEFRO IT-NPR-2500150</v>
      </c>
      <c r="E10717" s="22" t="str">
        <f>HYPERLINK("https://otsuka-europe-crm.veevavault.com/ui/#object/sent_email__v/VBL00000002U821", "SE-001436711")</f>
        <v>SE-001436711</v>
      </c>
      <c r="F10717" s="25"/>
      <c r="G10717" s="24">
        <v>0</v>
      </c>
      <c r="H10717" s="24">
        <v>0</v>
      </c>
      <c r="I10717" s="24">
        <v>0</v>
      </c>
      <c r="J10717" s="25"/>
      <c r="K10717" s="24">
        <v>0</v>
      </c>
      <c r="L10717" s="22" t="str">
        <f t="shared" si="824"/>
        <v>AE - AGGIORNAMENTI SEZIONE APPROFONDIMENTI NEFRO IT-NPR-2500150</v>
      </c>
      <c r="M10717" s="22" t="str">
        <f t="shared" si="825"/>
        <v>giada.camassa@outsuka.it</v>
      </c>
      <c r="N10717" s="23">
        <v>46190.337858796294</v>
      </c>
      <c r="O10717" s="14" t="str">
        <f>HYPERLINK("https://otsuka-europe-crm.veevavault.com/ui/#object/email_activity__v/V8C00000003W754", "EN-002098505")</f>
        <v>EN-002098505</v>
      </c>
    </row>
    <row r="10718" spans="1:15" ht="16" x14ac:dyDescent="0.2">
      <c r="A10718" s="18"/>
      <c r="B10718" s="18"/>
      <c r="C10718" s="18"/>
      <c r="D10718" s="18"/>
      <c r="E10718" s="18"/>
      <c r="F10718" s="18"/>
      <c r="G10718" s="18"/>
      <c r="H10718" s="18"/>
      <c r="I10718" s="18"/>
      <c r="J10718" s="18"/>
      <c r="K10718" s="18"/>
      <c r="L10718" s="18"/>
      <c r="M10718" s="18"/>
      <c r="N10718" s="18"/>
      <c r="O10718" s="14" t="str">
        <f>HYPERLINK("https://otsuka-europe-crm.veevavault.com/ui/#object/email_activity__v/V8C00000003X276", "EN-002097451")</f>
        <v>EN-002097451</v>
      </c>
    </row>
    <row r="10719" spans="1:15" ht="16" x14ac:dyDescent="0.2">
      <c r="A10719" s="19"/>
      <c r="B10719" s="19"/>
      <c r="C10719" s="19"/>
      <c r="D10719" s="19"/>
      <c r="E10719" s="19"/>
      <c r="F10719" s="19"/>
      <c r="G10719" s="19"/>
      <c r="H10719" s="19"/>
      <c r="I10719" s="19"/>
      <c r="J10719" s="19"/>
      <c r="K10719" s="19"/>
      <c r="L10719" s="19"/>
      <c r="M10719" s="19"/>
      <c r="N10719" s="19"/>
      <c r="O10719" s="14" t="str">
        <f>HYPERLINK("https://otsuka-europe-crm.veevavault.com/ui/#object/email_activity__v/V8C00000003X949", "EN-002098508")</f>
        <v>EN-002098508</v>
      </c>
    </row>
    <row r="10720" spans="1:15" ht="64" x14ac:dyDescent="0.2">
      <c r="A10720" s="7" t="str">
        <f>HYPERLINK("https://otsuka-europe-crm.veevavault.com/ui/#object/account__v/V4TZ06G6O71SAL2", "ENRICO FAVARO")</f>
        <v>ENRICO FAVARO</v>
      </c>
      <c r="B10720" s="7" t="str">
        <f>HYPERLINK("https://otsuka-europe-crm.veevavault.com/ui/#object/vcountry__v/VENZ000004SONFQ", "IT")</f>
        <v>IT</v>
      </c>
      <c r="C10720" s="8" t="s">
        <v>44</v>
      </c>
      <c r="D10720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720" s="10" t="str">
        <f>HYPERLINK("https://otsuka-europe-crm.veevavault.com/ui/#object/sent_email__v/VBL00000002U822", "SE-001436712")</f>
        <v>SE-001436712</v>
      </c>
      <c r="F10720" s="11"/>
      <c r="G10720" s="12">
        <v>0</v>
      </c>
      <c r="H10720" s="12">
        <v>0</v>
      </c>
      <c r="I10720" s="12">
        <v>0</v>
      </c>
      <c r="J10720" s="11"/>
      <c r="K10720" s="12">
        <v>0</v>
      </c>
      <c r="L10720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720" s="10" t="str">
        <f>HYPERLINK("mailto:giada.camassa@outsuka.it", "giada.camassa@outsuka.it")</f>
        <v>giada.camassa@outsuka.it</v>
      </c>
      <c r="N10720" s="13">
        <v>46190.33871527778</v>
      </c>
      <c r="O10720" s="14" t="str">
        <f>HYPERLINK("https://otsuka-europe-crm.veevavault.com/ui/#object/email_activity__v/V8C00000003X637", "EN-002097970")</f>
        <v>EN-002097970</v>
      </c>
    </row>
    <row r="10721" spans="1:15" ht="16" x14ac:dyDescent="0.2">
      <c r="A10721" s="17" t="str">
        <f>HYPERLINK("https://otsuka-europe-crm.veevavault.com/ui/#object/account__v/V4TZ06G6O71SANB", "ENRICO FIACCADORI")</f>
        <v>ENRICO FIACCADORI</v>
      </c>
      <c r="B10721" s="17" t="str">
        <f>HYPERLINK("https://otsuka-europe-crm.veevavault.com/ui/#object/vcountry__v/VENZ000004SONFQ", "IT")</f>
        <v>IT</v>
      </c>
      <c r="C10721" s="20" t="s">
        <v>44</v>
      </c>
      <c r="D10721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721" s="22" t="str">
        <f>HYPERLINK("https://otsuka-europe-crm.veevavault.com/ui/#object/sent_email__v/VBL00000002U823", "SE-001436713")</f>
        <v>SE-001436713</v>
      </c>
      <c r="F10721" s="23">
        <v>46190.338148148148</v>
      </c>
      <c r="G10721" s="24">
        <v>1</v>
      </c>
      <c r="H10721" s="24">
        <v>1</v>
      </c>
      <c r="I10721" s="24">
        <v>0</v>
      </c>
      <c r="J10721" s="25"/>
      <c r="K10721" s="24">
        <v>0</v>
      </c>
      <c r="L10721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721" s="22" t="str">
        <f>HYPERLINK("mailto:giada.camassa@outsuka.it", "giada.camassa@outsuka.it")</f>
        <v>giada.camassa@outsuka.it</v>
      </c>
      <c r="N10721" s="23">
        <v>46190.33798611111</v>
      </c>
      <c r="O10721" s="14" t="str">
        <f>HYPERLINK("https://otsuka-europe-crm.veevavault.com/ui/#object/email_activity__v/V8C00000003W465", "EN-002097803")</f>
        <v>EN-002097803</v>
      </c>
    </row>
    <row r="10722" spans="1:15" ht="16" x14ac:dyDescent="0.2">
      <c r="A10722" s="19"/>
      <c r="B10722" s="19"/>
      <c r="C10722" s="19"/>
      <c r="D10722" s="19"/>
      <c r="E10722" s="19"/>
      <c r="F10722" s="19"/>
      <c r="G10722" s="19"/>
      <c r="H10722" s="19"/>
      <c r="I10722" s="19"/>
      <c r="J10722" s="19"/>
      <c r="K10722" s="19"/>
      <c r="L10722" s="19"/>
      <c r="M10722" s="19"/>
      <c r="N10722" s="19"/>
      <c r="O10722" s="14" t="str">
        <f>HYPERLINK("https://otsuka-europe-crm.veevavault.com/ui/#object/email_activity__v/V8C00000003X533", "EN-002097816")</f>
        <v>EN-002097816</v>
      </c>
    </row>
    <row r="10723" spans="1:15" ht="16" x14ac:dyDescent="0.2">
      <c r="A10723" s="17" t="str">
        <f>HYPERLINK("https://otsuka-europe-crm.veevavault.com/ui/#object/account__v/V4TZ06G6O71S9QD", "ERMANNO GUARINO")</f>
        <v>ERMANNO GUARINO</v>
      </c>
      <c r="B10723" s="17" t="str">
        <f>HYPERLINK("https://otsuka-europe-crm.veevavault.com/ui/#object/vcountry__v/VENZ000004SONFQ", "IT")</f>
        <v>IT</v>
      </c>
      <c r="C10723" s="20" t="s">
        <v>44</v>
      </c>
      <c r="D10723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723" s="22" t="str">
        <f>HYPERLINK("https://otsuka-europe-crm.veevavault.com/ui/#object/sent_email__v/VBL00000002U824", "SE-001436714")</f>
        <v>SE-001436714</v>
      </c>
      <c r="F10723" s="25"/>
      <c r="G10723" s="24">
        <v>0</v>
      </c>
      <c r="H10723" s="24">
        <v>0</v>
      </c>
      <c r="I10723" s="24">
        <v>0</v>
      </c>
      <c r="J10723" s="25"/>
      <c r="K10723" s="24">
        <v>0</v>
      </c>
      <c r="L10723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723" s="22" t="str">
        <f>HYPERLINK("mailto:giada.camassa@outsuka.it", "giada.camassa@outsuka.it")</f>
        <v>giada.camassa@outsuka.it</v>
      </c>
      <c r="N10723" s="23">
        <v>46190.337951388887</v>
      </c>
      <c r="O10723" s="14" t="str">
        <f>HYPERLINK("https://otsuka-europe-crm.veevavault.com/ui/#object/email_activity__v/V8C00000003X289", "EN-002097480")</f>
        <v>EN-002097480</v>
      </c>
    </row>
    <row r="10724" spans="1:15" ht="16" x14ac:dyDescent="0.2">
      <c r="A10724" s="18"/>
      <c r="B10724" s="18"/>
      <c r="C10724" s="18"/>
      <c r="D10724" s="18"/>
      <c r="E10724" s="18"/>
      <c r="F10724" s="18"/>
      <c r="G10724" s="18"/>
      <c r="H10724" s="18"/>
      <c r="I10724" s="18"/>
      <c r="J10724" s="18"/>
      <c r="K10724" s="18"/>
      <c r="L10724" s="18"/>
      <c r="M10724" s="18"/>
      <c r="N10724" s="18"/>
      <c r="O10724" s="14" t="str">
        <f>HYPERLINK("https://otsuka-europe-crm.veevavault.com/ui/#object/email_activity__v/V8C00000003X945", "EN-002098502")</f>
        <v>EN-002098502</v>
      </c>
    </row>
    <row r="10725" spans="1:15" ht="16" x14ac:dyDescent="0.2">
      <c r="A10725" s="19"/>
      <c r="B10725" s="19"/>
      <c r="C10725" s="19"/>
      <c r="D10725" s="19"/>
      <c r="E10725" s="19"/>
      <c r="F10725" s="19"/>
      <c r="G10725" s="19"/>
      <c r="H10725" s="19"/>
      <c r="I10725" s="19"/>
      <c r="J10725" s="19"/>
      <c r="K10725" s="19"/>
      <c r="L10725" s="19"/>
      <c r="M10725" s="19"/>
      <c r="N10725" s="19"/>
      <c r="O10725" s="14" t="str">
        <f>HYPERLINK("https://otsuka-europe-crm.veevavault.com/ui/#object/email_activity__v/V8C00000003Z188", "EN-002098977")</f>
        <v>EN-002098977</v>
      </c>
    </row>
    <row r="10726" spans="1:15" ht="64" x14ac:dyDescent="0.2">
      <c r="A10726" s="7" t="str">
        <f>HYPERLINK("https://otsuka-europe-crm.veevavault.com/ui/#object/account__v/V4TZ06G6O71SAI7", "ERMINIO DRAGO")</f>
        <v>ERMINIO DRAGO</v>
      </c>
      <c r="B10726" s="7" t="str">
        <f t="shared" ref="B10726:B10731" si="826">HYPERLINK("https://otsuka-europe-crm.veevavault.com/ui/#object/vcountry__v/VENZ000004SONFQ", "IT")</f>
        <v>IT</v>
      </c>
      <c r="C10726" s="8" t="s">
        <v>44</v>
      </c>
      <c r="D10726" s="9" t="str">
        <f t="shared" ref="D10726:D10731" si="827">HYPERLINK("https://otsuka-europe-crm.veevavault.com/ui/#object/approved_document__v/V5O00000000G061", "AE - AGGIORNAMENTI SEZIONE APPROFONDIMENTI NEFRO IT-NPR-2500150")</f>
        <v>AE - AGGIORNAMENTI SEZIONE APPROFONDIMENTI NEFRO IT-NPR-2500150</v>
      </c>
      <c r="E10726" s="10" t="str">
        <f>HYPERLINK("https://otsuka-europe-crm.veevavault.com/ui/#object/sent_email__v/VBL00000002U825", "SE-001436715")</f>
        <v>SE-001436715</v>
      </c>
      <c r="F10726" s="11"/>
      <c r="G10726" s="12">
        <v>0</v>
      </c>
      <c r="H10726" s="12">
        <v>0</v>
      </c>
      <c r="I10726" s="12">
        <v>0</v>
      </c>
      <c r="J10726" s="11"/>
      <c r="K10726" s="12">
        <v>0</v>
      </c>
      <c r="L10726" s="10" t="str">
        <f t="shared" ref="L10726:L10731" si="828">HYPERLINK("https://otsuka-europe-crm.veevavault.com/ui/#object/approved_document__v/V5O00000000G061", "AE - AGGIORNAMENTI SEZIONE APPROFONDIMENTI NEFRO IT-NPR-2500150")</f>
        <v>AE - AGGIORNAMENTI SEZIONE APPROFONDIMENTI NEFRO IT-NPR-2500150</v>
      </c>
      <c r="M10726" s="10" t="str">
        <f t="shared" ref="M10726:M10731" si="829">HYPERLINK("mailto:giada.camassa@outsuka.it", "giada.camassa@outsuka.it")</f>
        <v>giada.camassa@outsuka.it</v>
      </c>
      <c r="N10726" s="13">
        <v>46190.338923611111</v>
      </c>
      <c r="O10726" s="14" t="str">
        <f>HYPERLINK("https://otsuka-europe-crm.veevavault.com/ui/#object/email_activity__v/V8C00000003X658", "EN-002097992")</f>
        <v>EN-002097992</v>
      </c>
    </row>
    <row r="10727" spans="1:15" ht="64" x14ac:dyDescent="0.2">
      <c r="A10727" s="7" t="str">
        <f>HYPERLINK("https://otsuka-europe-crm.veevavault.com/ui/#object/account__v/V4TZ06G6O71SATM", "EVA GERVASIO")</f>
        <v>EVA GERVASIO</v>
      </c>
      <c r="B10727" s="7" t="str">
        <f t="shared" si="826"/>
        <v>IT</v>
      </c>
      <c r="C10727" s="8" t="s">
        <v>44</v>
      </c>
      <c r="D10727" s="9" t="str">
        <f t="shared" si="827"/>
        <v>AE - AGGIORNAMENTI SEZIONE APPROFONDIMENTI NEFRO IT-NPR-2500150</v>
      </c>
      <c r="E10727" s="10" t="str">
        <f>HYPERLINK("https://otsuka-europe-crm.veevavault.com/ui/#object/sent_email__v/VBL00000002U826", "SE-001436716")</f>
        <v>SE-001436716</v>
      </c>
      <c r="F10727" s="11"/>
      <c r="G10727" s="12">
        <v>0</v>
      </c>
      <c r="H10727" s="12">
        <v>0</v>
      </c>
      <c r="I10727" s="12">
        <v>0</v>
      </c>
      <c r="J10727" s="11"/>
      <c r="K10727" s="12">
        <v>0</v>
      </c>
      <c r="L10727" s="10" t="str">
        <f t="shared" si="828"/>
        <v>AE - AGGIORNAMENTI SEZIONE APPROFONDIMENTI NEFRO IT-NPR-2500150</v>
      </c>
      <c r="M10727" s="10" t="str">
        <f t="shared" si="829"/>
        <v>giada.camassa@outsuka.it</v>
      </c>
      <c r="N10727" s="13">
        <v>46190.33798611111</v>
      </c>
      <c r="O10727" s="14" t="str">
        <f>HYPERLINK("https://otsuka-europe-crm.veevavault.com/ui/#object/email_activity__v/V8C00000003W472", "EN-002097810")</f>
        <v>EN-002097810</v>
      </c>
    </row>
    <row r="10728" spans="1:15" ht="64" x14ac:dyDescent="0.2">
      <c r="A10728" s="7" t="str">
        <f>HYPERLINK("https://otsuka-europe-crm.veevavault.com/ui/#object/account__v/V4TZ025E85OJOXZ", "FABIANA BRIGANTE")</f>
        <v>FABIANA BRIGANTE</v>
      </c>
      <c r="B10728" s="7" t="str">
        <f t="shared" si="826"/>
        <v>IT</v>
      </c>
      <c r="C10728" s="8" t="s">
        <v>44</v>
      </c>
      <c r="D10728" s="9" t="str">
        <f t="shared" si="827"/>
        <v>AE - AGGIORNAMENTI SEZIONE APPROFONDIMENTI NEFRO IT-NPR-2500150</v>
      </c>
      <c r="E10728" s="10" t="str">
        <f>HYPERLINK("https://otsuka-europe-crm.veevavault.com/ui/#object/sent_email__v/VBL00000002U827", "SE-001436717")</f>
        <v>SE-001436717</v>
      </c>
      <c r="F10728" s="11"/>
      <c r="G10728" s="12">
        <v>0</v>
      </c>
      <c r="H10728" s="12">
        <v>0</v>
      </c>
      <c r="I10728" s="12">
        <v>0</v>
      </c>
      <c r="J10728" s="11"/>
      <c r="K10728" s="12">
        <v>0</v>
      </c>
      <c r="L10728" s="10" t="str">
        <f t="shared" si="828"/>
        <v>AE - AGGIORNAMENTI SEZIONE APPROFONDIMENTI NEFRO IT-NPR-2500150</v>
      </c>
      <c r="M10728" s="10" t="str">
        <f t="shared" si="829"/>
        <v>giada.camassa@outsuka.it</v>
      </c>
      <c r="N10728" s="13">
        <v>46190.339548611111</v>
      </c>
      <c r="O10728" s="14" t="str">
        <f>HYPERLINK("https://otsuka-europe-crm.veevavault.com/ui/#object/email_activity__v/V8C00000003W587", "EN-002098129")</f>
        <v>EN-002098129</v>
      </c>
    </row>
    <row r="10729" spans="1:15" ht="64" x14ac:dyDescent="0.2">
      <c r="A10729" s="7" t="str">
        <f>HYPERLINK("https://otsuka-europe-crm.veevavault.com/ui/#object/account__v/V4TZ06G6O71SAO4", "FABIO GANGERI")</f>
        <v>FABIO GANGERI</v>
      </c>
      <c r="B10729" s="7" t="str">
        <f t="shared" si="826"/>
        <v>IT</v>
      </c>
      <c r="C10729" s="8" t="s">
        <v>44</v>
      </c>
      <c r="D10729" s="9" t="str">
        <f t="shared" si="827"/>
        <v>AE - AGGIORNAMENTI SEZIONE APPROFONDIMENTI NEFRO IT-NPR-2500150</v>
      </c>
      <c r="E10729" s="10" t="str">
        <f>HYPERLINK("https://otsuka-europe-crm.veevavault.com/ui/#object/sent_email__v/VBL00000002U828", "SE-001436718")</f>
        <v>SE-001436718</v>
      </c>
      <c r="F10729" s="11"/>
      <c r="G10729" s="12">
        <v>0</v>
      </c>
      <c r="H10729" s="12">
        <v>0</v>
      </c>
      <c r="I10729" s="12">
        <v>0</v>
      </c>
      <c r="J10729" s="11"/>
      <c r="K10729" s="12">
        <v>0</v>
      </c>
      <c r="L10729" s="10" t="str">
        <f t="shared" si="828"/>
        <v>AE - AGGIORNAMENTI SEZIONE APPROFONDIMENTI NEFRO IT-NPR-2500150</v>
      </c>
      <c r="M10729" s="10" t="str">
        <f t="shared" si="829"/>
        <v>giada.camassa@outsuka.it</v>
      </c>
      <c r="N10729" s="13">
        <v>46188.614432870374</v>
      </c>
      <c r="O10729" s="14" t="str">
        <f>HYPERLINK("https://otsuka-europe-crm.veevavault.com/ui/#object/email_activity__v/V8C00000003X239", "EN-002097378")</f>
        <v>EN-002097378</v>
      </c>
    </row>
    <row r="10730" spans="1:15" ht="64" x14ac:dyDescent="0.2">
      <c r="A10730" s="7" t="str">
        <f>HYPERLINK("https://otsuka-europe-crm.veevavault.com/ui/#object/account__v/V4TZ06G6O71SCAV", "FATMA COSSETTI")</f>
        <v>FATMA COSSETTI</v>
      </c>
      <c r="B10730" s="7" t="str">
        <f t="shared" si="826"/>
        <v>IT</v>
      </c>
      <c r="C10730" s="8" t="s">
        <v>44</v>
      </c>
      <c r="D10730" s="9" t="str">
        <f t="shared" si="827"/>
        <v>AE - AGGIORNAMENTI SEZIONE APPROFONDIMENTI NEFRO IT-NPR-2500150</v>
      </c>
      <c r="E10730" s="10" t="str">
        <f>HYPERLINK("https://otsuka-europe-crm.veevavault.com/ui/#object/sent_email__v/VBL00000002U829", "SE-001436719")</f>
        <v>SE-001436719</v>
      </c>
      <c r="F10730" s="11"/>
      <c r="G10730" s="12">
        <v>0</v>
      </c>
      <c r="H10730" s="12">
        <v>0</v>
      </c>
      <c r="I10730" s="12">
        <v>0</v>
      </c>
      <c r="J10730" s="11"/>
      <c r="K10730" s="12">
        <v>0</v>
      </c>
      <c r="L10730" s="10" t="str">
        <f t="shared" si="828"/>
        <v>AE - AGGIORNAMENTI SEZIONE APPROFONDIMENTI NEFRO IT-NPR-2500150</v>
      </c>
      <c r="M10730" s="10" t="str">
        <f t="shared" si="829"/>
        <v>giada.camassa@outsuka.it</v>
      </c>
      <c r="N10730" s="13">
        <v>46190.337870370371</v>
      </c>
      <c r="O10730" s="14" t="str">
        <f>HYPERLINK("https://otsuka-europe-crm.veevavault.com/ui/#object/email_activity__v/V8C00000003X457", "EN-002097794")</f>
        <v>EN-002097794</v>
      </c>
    </row>
    <row r="10731" spans="1:15" ht="16" x14ac:dyDescent="0.2">
      <c r="A10731" s="17" t="str">
        <f>HYPERLINK("https://otsuka-europe-crm.veevavault.com/ui/#object/account__v/V4TZ04ASGBCDO46", "FEDERICA MESCIA")</f>
        <v>FEDERICA MESCIA</v>
      </c>
      <c r="B10731" s="17" t="str">
        <f t="shared" si="826"/>
        <v>IT</v>
      </c>
      <c r="C10731" s="20" t="s">
        <v>44</v>
      </c>
      <c r="D10731" s="21" t="str">
        <f t="shared" si="827"/>
        <v>AE - AGGIORNAMENTI SEZIONE APPROFONDIMENTI NEFRO IT-NPR-2500150</v>
      </c>
      <c r="E10731" s="22" t="str">
        <f>HYPERLINK("https://otsuka-europe-crm.veevavault.com/ui/#object/sent_email__v/VBL00000002U830", "SE-001436720")</f>
        <v>SE-001436720</v>
      </c>
      <c r="F10731" s="25"/>
      <c r="G10731" s="24">
        <v>0</v>
      </c>
      <c r="H10731" s="24">
        <v>0</v>
      </c>
      <c r="I10731" s="24">
        <v>0</v>
      </c>
      <c r="J10731" s="25"/>
      <c r="K10731" s="24">
        <v>0</v>
      </c>
      <c r="L10731" s="22" t="str">
        <f t="shared" si="828"/>
        <v>AE - AGGIORNAMENTI SEZIONE APPROFONDIMENTI NEFRO IT-NPR-2500150</v>
      </c>
      <c r="M10731" s="22" t="str">
        <f t="shared" si="829"/>
        <v>giada.camassa@outsuka.it</v>
      </c>
      <c r="N10731" s="23">
        <v>46190.33797453704</v>
      </c>
      <c r="O10731" s="14" t="str">
        <f>HYPERLINK("https://otsuka-europe-crm.veevavault.com/ui/#object/email_activity__v/V8C00000003W474", "EN-002097812")</f>
        <v>EN-002097812</v>
      </c>
    </row>
    <row r="10732" spans="1:15" ht="16" x14ac:dyDescent="0.2">
      <c r="A10732" s="18"/>
      <c r="B10732" s="18"/>
      <c r="C10732" s="18"/>
      <c r="D10732" s="18"/>
      <c r="E10732" s="18"/>
      <c r="F10732" s="18"/>
      <c r="G10732" s="18"/>
      <c r="H10732" s="18"/>
      <c r="I10732" s="18"/>
      <c r="J10732" s="18"/>
      <c r="K10732" s="18"/>
      <c r="L10732" s="18"/>
      <c r="M10732" s="18"/>
      <c r="N10732" s="18"/>
      <c r="O10732" s="14" t="str">
        <f>HYPERLINK("https://otsuka-europe-crm.veevavault.com/ui/#object/email_activity__v/V8C00000003X679", "EN-002098020")</f>
        <v>EN-002098020</v>
      </c>
    </row>
    <row r="10733" spans="1:15" ht="16" x14ac:dyDescent="0.2">
      <c r="A10733" s="19"/>
      <c r="B10733" s="19"/>
      <c r="C10733" s="19"/>
      <c r="D10733" s="19"/>
      <c r="E10733" s="19"/>
      <c r="F10733" s="19"/>
      <c r="G10733" s="19"/>
      <c r="H10733" s="19"/>
      <c r="I10733" s="19"/>
      <c r="J10733" s="19"/>
      <c r="K10733" s="19"/>
      <c r="L10733" s="19"/>
      <c r="M10733" s="19"/>
      <c r="N10733" s="19"/>
      <c r="O10733" s="14" t="str">
        <f>HYPERLINK("https://otsuka-europe-crm.veevavault.com/ui/#object/email_activity__v/V8C00000003X940", "EN-002098497")</f>
        <v>EN-002098497</v>
      </c>
    </row>
    <row r="10734" spans="1:15" ht="64" x14ac:dyDescent="0.2">
      <c r="A10734" s="7" t="str">
        <f>HYPERLINK("https://otsuka-europe-crm.veevavault.com/ui/#object/account__v/V4TZ025E873ASBT", "FEDERICA SPALTINI")</f>
        <v>FEDERICA SPALTINI</v>
      </c>
      <c r="B10734" s="7" t="str">
        <f>HYPERLINK("https://otsuka-europe-crm.veevavault.com/ui/#object/vcountry__v/VENZ000004SONFQ", "IT")</f>
        <v>IT</v>
      </c>
      <c r="C10734" s="8" t="s">
        <v>44</v>
      </c>
      <c r="D10734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734" s="10" t="str">
        <f>HYPERLINK("https://otsuka-europe-crm.veevavault.com/ui/#object/sent_email__v/VBL00000002U831", "SE-001436721")</f>
        <v>SE-001436721</v>
      </c>
      <c r="F10734" s="11"/>
      <c r="G10734" s="12">
        <v>0</v>
      </c>
      <c r="H10734" s="12">
        <v>0</v>
      </c>
      <c r="I10734" s="12">
        <v>0</v>
      </c>
      <c r="J10734" s="11"/>
      <c r="K10734" s="12">
        <v>0</v>
      </c>
      <c r="L10734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734" s="10" t="str">
        <f>HYPERLINK("mailto:giada.camassa@outsuka.it", "giada.camassa@outsuka.it")</f>
        <v>giada.camassa@outsuka.it</v>
      </c>
      <c r="N10734" s="13">
        <v>46190.337847222225</v>
      </c>
      <c r="O10734" s="14" t="str">
        <f>HYPERLINK("https://otsuka-europe-crm.veevavault.com/ui/#object/email_activity__v/V8C00000003X434", "EN-002097648")</f>
        <v>EN-002097648</v>
      </c>
    </row>
    <row r="10735" spans="1:15" ht="64" x14ac:dyDescent="0.2">
      <c r="A10735" s="7" t="str">
        <f>HYPERLINK("https://otsuka-europe-crm.veevavault.com/ui/#object/account__v/V4TZ04ASGBTZTAV", "FEDERICA URCIUOLO")</f>
        <v>FEDERICA URCIUOLO</v>
      </c>
      <c r="B10735" s="7" t="str">
        <f>HYPERLINK("https://otsuka-europe-crm.veevavault.com/ui/#object/vcountry__v/VENZ000004SONFQ", "IT")</f>
        <v>IT</v>
      </c>
      <c r="C10735" s="8" t="s">
        <v>44</v>
      </c>
      <c r="D10735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735" s="10" t="str">
        <f>HYPERLINK("https://otsuka-europe-crm.veevavault.com/ui/#object/sent_email__v/VBL00000002U832", "SE-001436722")</f>
        <v>SE-001436722</v>
      </c>
      <c r="F10735" s="11"/>
      <c r="G10735" s="12">
        <v>0</v>
      </c>
      <c r="H10735" s="12">
        <v>0</v>
      </c>
      <c r="I10735" s="12">
        <v>0</v>
      </c>
      <c r="J10735" s="11"/>
      <c r="K10735" s="12">
        <v>0</v>
      </c>
      <c r="L10735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735" s="10" t="str">
        <f>HYPERLINK("mailto:giada.camassa@outsuka.it", "giada.camassa@outsuka.it")</f>
        <v>giada.camassa@outsuka.it</v>
      </c>
      <c r="N10735" s="13">
        <v>46190.33797453704</v>
      </c>
      <c r="O10735" s="14" t="str">
        <f>HYPERLINK("https://otsuka-europe-crm.veevavault.com/ui/#object/email_activity__v/V8C00000003X270", "EN-002097445")</f>
        <v>EN-002097445</v>
      </c>
    </row>
    <row r="10736" spans="1:15" ht="16" x14ac:dyDescent="0.2">
      <c r="A10736" s="17" t="str">
        <f>HYPERLINK("https://otsuka-europe-crm.veevavault.com/ui/#object/account__v/V4TZ06G6O94Q5K9", "FEDERICO ALBERICI")</f>
        <v>FEDERICO ALBERICI</v>
      </c>
      <c r="B10736" s="17" t="str">
        <f>HYPERLINK("https://otsuka-europe-crm.veevavault.com/ui/#object/vcountry__v/VENZ000004SONFQ", "IT")</f>
        <v>IT</v>
      </c>
      <c r="C10736" s="20" t="s">
        <v>44</v>
      </c>
      <c r="D10736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736" s="22" t="str">
        <f>HYPERLINK("https://otsuka-europe-crm.veevavault.com/ui/#object/sent_email__v/VBL00000002U833", "SE-001436723")</f>
        <v>SE-001436723</v>
      </c>
      <c r="F10736" s="25"/>
      <c r="G10736" s="24">
        <v>0</v>
      </c>
      <c r="H10736" s="24">
        <v>0</v>
      </c>
      <c r="I10736" s="24">
        <v>0</v>
      </c>
      <c r="J10736" s="25"/>
      <c r="K10736" s="24">
        <v>0</v>
      </c>
      <c r="L10736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736" s="22" t="str">
        <f>HYPERLINK("mailto:giada.camassa@outsuka.it", "giada.camassa@outsuka.it")</f>
        <v>giada.camassa@outsuka.it</v>
      </c>
      <c r="N10736" s="23">
        <v>46190.33798611111</v>
      </c>
      <c r="O10736" s="14" t="str">
        <f>HYPERLINK("https://otsuka-europe-crm.veevavault.com/ui/#object/email_activity__v/V8C00000003X299", "EN-002097490")</f>
        <v>EN-002097490</v>
      </c>
    </row>
    <row r="10737" spans="1:15" ht="16" x14ac:dyDescent="0.2">
      <c r="A10737" s="19"/>
      <c r="B10737" s="19"/>
      <c r="C10737" s="19"/>
      <c r="D10737" s="19"/>
      <c r="E10737" s="19"/>
      <c r="F10737" s="19"/>
      <c r="G10737" s="19"/>
      <c r="H10737" s="19"/>
      <c r="I10737" s="19"/>
      <c r="J10737" s="19"/>
      <c r="K10737" s="19"/>
      <c r="L10737" s="19"/>
      <c r="M10737" s="19"/>
      <c r="N10737" s="19"/>
      <c r="O10737" s="14" t="str">
        <f>HYPERLINK("https://otsuka-europe-crm.veevavault.com/ui/#object/email_activity__v/V8C000000040003", "EN-002098694")</f>
        <v>EN-002098694</v>
      </c>
    </row>
    <row r="10738" spans="1:15" ht="64" x14ac:dyDescent="0.2">
      <c r="A10738" s="7" t="str">
        <f>HYPERLINK("https://otsuka-europe-crm.veevavault.com/ui/#object/account__v/V4TZ06G6O71SC07", "FEDERICO UMBERTO PIERUZZI")</f>
        <v>FEDERICO UMBERTO PIERUZZI</v>
      </c>
      <c r="B10738" s="7" t="str">
        <f>HYPERLINK("https://otsuka-europe-crm.veevavault.com/ui/#object/vcountry__v/VENZ000004SONFQ", "IT")</f>
        <v>IT</v>
      </c>
      <c r="C10738" s="8" t="s">
        <v>44</v>
      </c>
      <c r="D10738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738" s="10" t="str">
        <f>HYPERLINK("https://otsuka-europe-crm.veevavault.com/ui/#object/sent_email__v/VBL00000002U834", "SE-001436724")</f>
        <v>SE-001436724</v>
      </c>
      <c r="F10738" s="11"/>
      <c r="G10738" s="12">
        <v>0</v>
      </c>
      <c r="H10738" s="12">
        <v>0</v>
      </c>
      <c r="I10738" s="12">
        <v>0</v>
      </c>
      <c r="J10738" s="11"/>
      <c r="K10738" s="12">
        <v>0</v>
      </c>
      <c r="L10738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738" s="10" t="str">
        <f>HYPERLINK("mailto:giada.camassa@outsuka.it", "giada.camassa@outsuka.it")</f>
        <v>giada.camassa@outsuka.it</v>
      </c>
      <c r="N10738" s="13">
        <v>46190.337858796294</v>
      </c>
      <c r="O10738" s="14" t="str">
        <f>HYPERLINK("https://otsuka-europe-crm.veevavault.com/ui/#object/email_activity__v/V8C00000003X274", "EN-002097449")</f>
        <v>EN-002097449</v>
      </c>
    </row>
    <row r="10739" spans="1:15" ht="64" x14ac:dyDescent="0.2">
      <c r="A10739" s="7" t="str">
        <f>HYPERLINK("https://otsuka-europe-crm.veevavault.com/ui/#object/account__v/V4TZ06G6O71S9XG", "FELICITA AMATO")</f>
        <v>FELICITA AMATO</v>
      </c>
      <c r="B10739" s="7" t="str">
        <f>HYPERLINK("https://otsuka-europe-crm.veevavault.com/ui/#object/vcountry__v/VENZ000004SONFQ", "IT")</f>
        <v>IT</v>
      </c>
      <c r="C10739" s="8" t="s">
        <v>44</v>
      </c>
      <c r="D10739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739" s="10" t="str">
        <f>HYPERLINK("https://otsuka-europe-crm.veevavault.com/ui/#object/sent_email__v/VBL00000002U835", "SE-001436725")</f>
        <v>SE-001436725</v>
      </c>
      <c r="F10739" s="11"/>
      <c r="G10739" s="12">
        <v>0</v>
      </c>
      <c r="H10739" s="12">
        <v>0</v>
      </c>
      <c r="I10739" s="12">
        <v>0</v>
      </c>
      <c r="J10739" s="11"/>
      <c r="K10739" s="12">
        <v>0</v>
      </c>
      <c r="L10739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739" s="10" t="str">
        <f>HYPERLINK("mailto:giada.camassa@outsuka.it", "giada.camassa@outsuka.it")</f>
        <v>giada.camassa@outsuka.it</v>
      </c>
      <c r="N10739" s="13">
        <v>46190.339398148149</v>
      </c>
      <c r="O10739" s="14" t="str">
        <f>HYPERLINK("https://otsuka-europe-crm.veevavault.com/ui/#object/email_activity__v/V8C00000003X725", "EN-002098107")</f>
        <v>EN-002098107</v>
      </c>
    </row>
    <row r="10740" spans="1:15" ht="64" x14ac:dyDescent="0.2">
      <c r="A10740" s="7" t="str">
        <f>HYPERLINK("https://otsuka-europe-crm.veevavault.com/ui/#object/account__v/V4TZ06G6O71SAPS", "FIORELLA GASTALDON")</f>
        <v>FIORELLA GASTALDON</v>
      </c>
      <c r="B10740" s="7" t="str">
        <f>HYPERLINK("https://otsuka-europe-crm.veevavault.com/ui/#object/vcountry__v/VENZ000004SONFQ", "IT")</f>
        <v>IT</v>
      </c>
      <c r="C10740" s="8" t="s">
        <v>44</v>
      </c>
      <c r="D10740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740" s="10" t="str">
        <f>HYPERLINK("https://otsuka-europe-crm.veevavault.com/ui/#object/sent_email__v/VBL00000002U836", "SE-001436726")</f>
        <v>SE-001436726</v>
      </c>
      <c r="F10740" s="11"/>
      <c r="G10740" s="12">
        <v>0</v>
      </c>
      <c r="H10740" s="12">
        <v>0</v>
      </c>
      <c r="I10740" s="12">
        <v>0</v>
      </c>
      <c r="J10740" s="11"/>
      <c r="K10740" s="12">
        <v>0</v>
      </c>
      <c r="L10740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740" s="10" t="str">
        <f>HYPERLINK("mailto:giada.camassa@outsuka.it", "giada.camassa@outsuka.it")</f>
        <v>giada.camassa@outsuka.it</v>
      </c>
      <c r="N10740" s="13">
        <v>46190.339074074072</v>
      </c>
      <c r="O10740" s="14" t="str">
        <f>HYPERLINK("https://otsuka-europe-crm.veevavault.com/ui/#object/email_activity__v/V8C00000003X683", "EN-002098037")</f>
        <v>EN-002098037</v>
      </c>
    </row>
    <row r="10741" spans="1:15" ht="16" x14ac:dyDescent="0.2">
      <c r="A10741" s="17" t="str">
        <f>HYPERLINK("https://otsuka-europe-crm.veevavault.com/ui/#object/account__v/V4TZ06G6O71SBCT", "FIORENZA MAGONARA")</f>
        <v>FIORENZA MAGONARA</v>
      </c>
      <c r="B10741" s="17" t="str">
        <f>HYPERLINK("https://otsuka-europe-crm.veevavault.com/ui/#object/vcountry__v/VENZ000004SONFQ", "IT")</f>
        <v>IT</v>
      </c>
      <c r="C10741" s="20" t="s">
        <v>44</v>
      </c>
      <c r="D10741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741" s="22" t="str">
        <f>HYPERLINK("https://otsuka-europe-crm.veevavault.com/ui/#object/sent_email__v/VBL00000002U837", "SE-001436727")</f>
        <v>SE-001436727</v>
      </c>
      <c r="F10741" s="23">
        <v>46190.435671296298</v>
      </c>
      <c r="G10741" s="24">
        <v>1</v>
      </c>
      <c r="H10741" s="24">
        <v>1</v>
      </c>
      <c r="I10741" s="24">
        <v>0</v>
      </c>
      <c r="J10741" s="25"/>
      <c r="K10741" s="24">
        <v>0</v>
      </c>
      <c r="L10741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741" s="22" t="str">
        <f>HYPERLINK("mailto:giada.camassa@outsuka.it", "giada.camassa@outsuka.it")</f>
        <v>giada.camassa@outsuka.it</v>
      </c>
      <c r="N10741" s="23">
        <v>46190.337951388887</v>
      </c>
      <c r="O10741" s="14" t="str">
        <f>HYPERLINK("https://otsuka-europe-crm.veevavault.com/ui/#object/email_activity__v/V8C00000003W676", "EN-002098324")</f>
        <v>EN-002098324</v>
      </c>
    </row>
    <row r="10742" spans="1:15" ht="16" x14ac:dyDescent="0.2">
      <c r="A10742" s="19"/>
      <c r="B10742" s="19"/>
      <c r="C10742" s="19"/>
      <c r="D10742" s="19"/>
      <c r="E10742" s="19"/>
      <c r="F10742" s="19"/>
      <c r="G10742" s="19"/>
      <c r="H10742" s="19"/>
      <c r="I10742" s="19"/>
      <c r="J10742" s="19"/>
      <c r="K10742" s="19"/>
      <c r="L10742" s="19"/>
      <c r="M10742" s="19"/>
      <c r="N10742" s="19"/>
      <c r="O10742" s="14" t="str">
        <f>HYPERLINK("https://otsuka-europe-crm.veevavault.com/ui/#object/email_activity__v/V8C00000003X301", "EN-002097492")</f>
        <v>EN-002097492</v>
      </c>
    </row>
    <row r="10743" spans="1:15" ht="16" x14ac:dyDescent="0.2">
      <c r="A10743" s="17" t="str">
        <f>HYPERLINK("https://otsuka-europe-crm.veevavault.com/ui/#object/account__v/V4TZ06G6O71S9ZK", "FRANCESCA BECHIS")</f>
        <v>FRANCESCA BECHIS</v>
      </c>
      <c r="B10743" s="17" t="str">
        <f>HYPERLINK("https://otsuka-europe-crm.veevavault.com/ui/#object/vcountry__v/VENZ000004SONFQ", "IT")</f>
        <v>IT</v>
      </c>
      <c r="C10743" s="20" t="s">
        <v>44</v>
      </c>
      <c r="D10743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743" s="22" t="str">
        <f>HYPERLINK("https://otsuka-europe-crm.veevavault.com/ui/#object/sent_email__v/VBL00000002U838", "SE-001436728")</f>
        <v>SE-001436728</v>
      </c>
      <c r="F10743" s="23">
        <v>46190.340543981481</v>
      </c>
      <c r="G10743" s="24">
        <v>1</v>
      </c>
      <c r="H10743" s="24">
        <v>1</v>
      </c>
      <c r="I10743" s="24">
        <v>0</v>
      </c>
      <c r="J10743" s="25"/>
      <c r="K10743" s="24">
        <v>0</v>
      </c>
      <c r="L10743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743" s="22" t="str">
        <f>HYPERLINK("mailto:giada.camassa@outsuka.it", "giada.camassa@outsuka.it")</f>
        <v>giada.camassa@outsuka.it</v>
      </c>
      <c r="N10743" s="23">
        <v>46190.339259259257</v>
      </c>
      <c r="O10743" s="14" t="str">
        <f>HYPERLINK("https://otsuka-europe-crm.veevavault.com/ui/#object/email_activity__v/V8C00000003W563", "EN-002098081")</f>
        <v>EN-002098081</v>
      </c>
    </row>
    <row r="10744" spans="1:15" ht="16" x14ac:dyDescent="0.2">
      <c r="A10744" s="19"/>
      <c r="B10744" s="19"/>
      <c r="C10744" s="19"/>
      <c r="D10744" s="19"/>
      <c r="E10744" s="19"/>
      <c r="F10744" s="19"/>
      <c r="G10744" s="19"/>
      <c r="H10744" s="19"/>
      <c r="I10744" s="19"/>
      <c r="J10744" s="19"/>
      <c r="K10744" s="19"/>
      <c r="L10744" s="19"/>
      <c r="M10744" s="19"/>
      <c r="N10744" s="19"/>
      <c r="O10744" s="14" t="str">
        <f>HYPERLINK("https://otsuka-europe-crm.veevavault.com/ui/#object/email_activity__v/V8C00000003X793", "EN-002098206")</f>
        <v>EN-002098206</v>
      </c>
    </row>
    <row r="10745" spans="1:15" ht="64" x14ac:dyDescent="0.2">
      <c r="A10745" s="7" t="str">
        <f>HYPERLINK("https://otsuka-europe-crm.veevavault.com/ui/#object/account__v/V4TZ025E873ACIF", "FRANCESCA BONVEGNA")</f>
        <v>FRANCESCA BONVEGNA</v>
      </c>
      <c r="B10745" s="7" t="str">
        <f>HYPERLINK("https://otsuka-europe-crm.veevavault.com/ui/#object/vcountry__v/VENZ000004SONFQ", "IT")</f>
        <v>IT</v>
      </c>
      <c r="C10745" s="8" t="s">
        <v>44</v>
      </c>
      <c r="D10745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745" s="10" t="str">
        <f>HYPERLINK("https://otsuka-europe-crm.veevavault.com/ui/#object/sent_email__v/VBL00000002U839", "SE-001436729")</f>
        <v>SE-001436729</v>
      </c>
      <c r="F10745" s="11"/>
      <c r="G10745" s="12">
        <v>0</v>
      </c>
      <c r="H10745" s="12">
        <v>0</v>
      </c>
      <c r="I10745" s="12">
        <v>0</v>
      </c>
      <c r="J10745" s="11"/>
      <c r="K10745" s="12">
        <v>0</v>
      </c>
      <c r="L10745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745" s="10" t="str">
        <f>HYPERLINK("mailto:giada.camassa@outsuka.it", "giada.camassa@outsuka.it")</f>
        <v>giada.camassa@outsuka.it</v>
      </c>
      <c r="N10745" s="13">
        <v>46190.337893518517</v>
      </c>
      <c r="O10745" s="14" t="str">
        <f>HYPERLINK("https://otsuka-europe-crm.veevavault.com/ui/#object/email_activity__v/V8C00000003X304", "EN-002097495")</f>
        <v>EN-002097495</v>
      </c>
    </row>
    <row r="10746" spans="1:15" ht="16" x14ac:dyDescent="0.2">
      <c r="A10746" s="17" t="str">
        <f>HYPERLINK("https://otsuka-europe-crm.veevavault.com/ui/#object/account__v/V4TZ06G6O812LNT", "FRANCESCA CHIARA VIAZZI")</f>
        <v>FRANCESCA CHIARA VIAZZI</v>
      </c>
      <c r="B10746" s="17" t="str">
        <f>HYPERLINK("https://otsuka-europe-crm.veevavault.com/ui/#object/vcountry__v/VENZ000004SONFQ", "IT")</f>
        <v>IT</v>
      </c>
      <c r="C10746" s="20" t="s">
        <v>44</v>
      </c>
      <c r="D10746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746" s="22" t="str">
        <f>HYPERLINK("https://otsuka-europe-crm.veevavault.com/ui/#object/sent_email__v/VBL00000002U840", "SE-001436730")</f>
        <v>SE-001436730</v>
      </c>
      <c r="F10746" s="23">
        <v>46190.77034722222</v>
      </c>
      <c r="G10746" s="24">
        <v>1</v>
      </c>
      <c r="H10746" s="24">
        <v>2</v>
      </c>
      <c r="I10746" s="24">
        <v>0</v>
      </c>
      <c r="J10746" s="25"/>
      <c r="K10746" s="24">
        <v>0</v>
      </c>
      <c r="L10746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746" s="22" t="str">
        <f>HYPERLINK("mailto:giada.camassa@outsuka.it", "giada.camassa@outsuka.it")</f>
        <v>giada.camassa@outsuka.it</v>
      </c>
      <c r="N10746" s="23">
        <v>46190.337870370371</v>
      </c>
      <c r="O10746" s="14" t="str">
        <f>HYPERLINK("https://otsuka-europe-crm.veevavault.com/ui/#object/email_activity__v/V8C00000003W466", "EN-002097804")</f>
        <v>EN-002097804</v>
      </c>
    </row>
    <row r="10747" spans="1:15" ht="16" x14ac:dyDescent="0.2">
      <c r="A10747" s="18"/>
      <c r="B10747" s="18"/>
      <c r="C10747" s="18"/>
      <c r="D10747" s="18"/>
      <c r="E10747" s="18"/>
      <c r="F10747" s="18"/>
      <c r="G10747" s="18"/>
      <c r="H10747" s="18"/>
      <c r="I10747" s="18"/>
      <c r="J10747" s="18"/>
      <c r="K10747" s="18"/>
      <c r="L10747" s="18"/>
      <c r="M10747" s="18"/>
      <c r="N10747" s="18"/>
      <c r="O10747" s="14" t="str">
        <f>HYPERLINK("https://otsuka-europe-crm.veevavault.com/ui/#object/email_activity__v/V8C00000003W738", "EN-002098472")</f>
        <v>EN-002098472</v>
      </c>
    </row>
    <row r="10748" spans="1:15" ht="16" x14ac:dyDescent="0.2">
      <c r="A10748" s="19"/>
      <c r="B10748" s="19"/>
      <c r="C10748" s="19"/>
      <c r="D10748" s="19"/>
      <c r="E10748" s="19"/>
      <c r="F10748" s="19"/>
      <c r="G10748" s="19"/>
      <c r="H10748" s="19"/>
      <c r="I10748" s="19"/>
      <c r="J10748" s="19"/>
      <c r="K10748" s="19"/>
      <c r="L10748" s="19"/>
      <c r="M10748" s="19"/>
      <c r="N10748" s="19"/>
      <c r="O10748" s="14" t="str">
        <f>HYPERLINK("https://otsuka-europe-crm.veevavault.com/ui/#object/email_activity__v/V8C00000003X337", "EN-002097633")</f>
        <v>EN-002097633</v>
      </c>
    </row>
    <row r="10749" spans="1:15" ht="64" x14ac:dyDescent="0.2">
      <c r="A10749" s="7" t="str">
        <f>HYPERLINK("https://otsuka-europe-crm.veevavault.com/ui/#object/account__v/V4TZ06G6O71SBDD", "FRANCESCA MALLAMACI")</f>
        <v>FRANCESCA MALLAMACI</v>
      </c>
      <c r="B10749" s="7" t="str">
        <f t="shared" ref="B10749:B10754" si="830">HYPERLINK("https://otsuka-europe-crm.veevavault.com/ui/#object/vcountry__v/VENZ000004SONFQ", "IT")</f>
        <v>IT</v>
      </c>
      <c r="C10749" s="8" t="s">
        <v>44</v>
      </c>
      <c r="D10749" s="9" t="str">
        <f t="shared" ref="D10749:D10754" si="831">HYPERLINK("https://otsuka-europe-crm.veevavault.com/ui/#object/approved_document__v/V5O00000000G061", "AE - AGGIORNAMENTI SEZIONE APPROFONDIMENTI NEFRO IT-NPR-2500150")</f>
        <v>AE - AGGIORNAMENTI SEZIONE APPROFONDIMENTI NEFRO IT-NPR-2500150</v>
      </c>
      <c r="E10749" s="10" t="str">
        <f>HYPERLINK("https://otsuka-europe-crm.veevavault.com/ui/#object/sent_email__v/VBL00000002U841", "SE-001436731")</f>
        <v>SE-001436731</v>
      </c>
      <c r="F10749" s="11"/>
      <c r="G10749" s="12">
        <v>0</v>
      </c>
      <c r="H10749" s="12">
        <v>0</v>
      </c>
      <c r="I10749" s="12">
        <v>0</v>
      </c>
      <c r="J10749" s="11"/>
      <c r="K10749" s="12">
        <v>0</v>
      </c>
      <c r="L10749" s="10" t="str">
        <f t="shared" ref="L10749:L10754" si="832">HYPERLINK("https://otsuka-europe-crm.veevavault.com/ui/#object/approved_document__v/V5O00000000G061", "AE - AGGIORNAMENTI SEZIONE APPROFONDIMENTI NEFRO IT-NPR-2500150")</f>
        <v>AE - AGGIORNAMENTI SEZIONE APPROFONDIMENTI NEFRO IT-NPR-2500150</v>
      </c>
      <c r="M10749" s="10" t="str">
        <f t="shared" ref="M10749:M10754" si="833">HYPERLINK("mailto:giada.camassa@outsuka.it", "giada.camassa@outsuka.it")</f>
        <v>giada.camassa@outsuka.it</v>
      </c>
      <c r="N10749" s="13">
        <v>46190.337835648148</v>
      </c>
      <c r="O10749" s="14" t="str">
        <f>HYPERLINK("https://otsuka-europe-crm.veevavault.com/ui/#object/email_activity__v/V8C00000003X347", "EN-002097643")</f>
        <v>EN-002097643</v>
      </c>
    </row>
    <row r="10750" spans="1:15" ht="64" x14ac:dyDescent="0.2">
      <c r="A10750" s="7" t="str">
        <f>HYPERLINK("https://otsuka-europe-crm.veevavault.com/ui/#object/account__v/V4TZ04ASGETCVHC", "FRANCESCA SPICA")</f>
        <v>FRANCESCA SPICA</v>
      </c>
      <c r="B10750" s="7" t="str">
        <f t="shared" si="830"/>
        <v>IT</v>
      </c>
      <c r="C10750" s="8" t="s">
        <v>44</v>
      </c>
      <c r="D10750" s="9" t="str">
        <f t="shared" si="831"/>
        <v>AE - AGGIORNAMENTI SEZIONE APPROFONDIMENTI NEFRO IT-NPR-2500150</v>
      </c>
      <c r="E10750" s="10" t="str">
        <f>HYPERLINK("https://otsuka-europe-crm.veevavault.com/ui/#object/sent_email__v/VBL00000002U842", "SE-001436732")</f>
        <v>SE-001436732</v>
      </c>
      <c r="F10750" s="11"/>
      <c r="G10750" s="12">
        <v>0</v>
      </c>
      <c r="H10750" s="12">
        <v>0</v>
      </c>
      <c r="I10750" s="12">
        <v>0</v>
      </c>
      <c r="J10750" s="11"/>
      <c r="K10750" s="12">
        <v>0</v>
      </c>
      <c r="L10750" s="10" t="str">
        <f t="shared" si="832"/>
        <v>AE - AGGIORNAMENTI SEZIONE APPROFONDIMENTI NEFRO IT-NPR-2500150</v>
      </c>
      <c r="M10750" s="10" t="str">
        <f t="shared" si="833"/>
        <v>giada.camassa@outsuka.it</v>
      </c>
      <c r="N10750" s="13">
        <v>46190.33792824074</v>
      </c>
      <c r="O10750" s="14" t="str">
        <f>HYPERLINK("https://otsuka-europe-crm.veevavault.com/ui/#object/email_activity__v/V8C00000003X482", "EN-002097681")</f>
        <v>EN-002097681</v>
      </c>
    </row>
    <row r="10751" spans="1:15" ht="64" x14ac:dyDescent="0.2">
      <c r="A10751" s="7" t="str">
        <f>HYPERLINK("https://otsuka-europe-crm.veevavault.com/ui/#object/account__v/V4TZ06G6O71VWBL", "FRANCESCA TESTA")</f>
        <v>FRANCESCA TESTA</v>
      </c>
      <c r="B10751" s="7" t="str">
        <f t="shared" si="830"/>
        <v>IT</v>
      </c>
      <c r="C10751" s="8" t="s">
        <v>44</v>
      </c>
      <c r="D10751" s="9" t="str">
        <f t="shared" si="831"/>
        <v>AE - AGGIORNAMENTI SEZIONE APPROFONDIMENTI NEFRO IT-NPR-2500150</v>
      </c>
      <c r="E10751" s="10" t="str">
        <f>HYPERLINK("https://otsuka-europe-crm.veevavault.com/ui/#object/sent_email__v/VBL00000002U843", "SE-001436733")</f>
        <v>SE-001436733</v>
      </c>
      <c r="F10751" s="11"/>
      <c r="G10751" s="12">
        <v>0</v>
      </c>
      <c r="H10751" s="12">
        <v>0</v>
      </c>
      <c r="I10751" s="12">
        <v>0</v>
      </c>
      <c r="J10751" s="11"/>
      <c r="K10751" s="12">
        <v>0</v>
      </c>
      <c r="L10751" s="10" t="str">
        <f t="shared" si="832"/>
        <v>AE - AGGIORNAMENTI SEZIONE APPROFONDIMENTI NEFRO IT-NPR-2500150</v>
      </c>
      <c r="M10751" s="10" t="str">
        <f t="shared" si="833"/>
        <v>giada.camassa@outsuka.it</v>
      </c>
      <c r="N10751" s="13">
        <v>46190.337847222225</v>
      </c>
      <c r="O10751" s="14" t="str">
        <f>HYPERLINK("https://otsuka-europe-crm.veevavault.com/ui/#object/email_activity__v/V8C00000003X436", "EN-002097650")</f>
        <v>EN-002097650</v>
      </c>
    </row>
    <row r="10752" spans="1:15" ht="64" x14ac:dyDescent="0.2">
      <c r="A10752" s="7" t="str">
        <f>HYPERLINK("https://otsuka-europe-crm.veevavault.com/ui/#object/account__v/V4TZ025E879M0F6", "FRANCESCO AUCELLA")</f>
        <v>FRANCESCO AUCELLA</v>
      </c>
      <c r="B10752" s="7" t="str">
        <f t="shared" si="830"/>
        <v>IT</v>
      </c>
      <c r="C10752" s="8" t="s">
        <v>44</v>
      </c>
      <c r="D10752" s="9" t="str">
        <f t="shared" si="831"/>
        <v>AE - AGGIORNAMENTI SEZIONE APPROFONDIMENTI NEFRO IT-NPR-2500150</v>
      </c>
      <c r="E10752" s="10" t="str">
        <f>HYPERLINK("https://otsuka-europe-crm.veevavault.com/ui/#object/sent_email__v/VBL00000002U844", "SE-001436734")</f>
        <v>SE-001436734</v>
      </c>
      <c r="F10752" s="11"/>
      <c r="G10752" s="12">
        <v>0</v>
      </c>
      <c r="H10752" s="12">
        <v>0</v>
      </c>
      <c r="I10752" s="12">
        <v>0</v>
      </c>
      <c r="J10752" s="11"/>
      <c r="K10752" s="12">
        <v>0</v>
      </c>
      <c r="L10752" s="10" t="str">
        <f t="shared" si="832"/>
        <v>AE - AGGIORNAMENTI SEZIONE APPROFONDIMENTI NEFRO IT-NPR-2500150</v>
      </c>
      <c r="M10752" s="10" t="str">
        <f t="shared" si="833"/>
        <v>giada.camassa@outsuka.it</v>
      </c>
      <c r="N10752" s="13">
        <v>46190.337905092594</v>
      </c>
      <c r="O10752" s="14" t="str">
        <f>HYPERLINK("https://otsuka-europe-crm.veevavault.com/ui/#object/email_activity__v/V8C00000003X611", "EN-002097932")</f>
        <v>EN-002097932</v>
      </c>
    </row>
    <row r="10753" spans="1:15" ht="64" x14ac:dyDescent="0.2">
      <c r="A10753" s="7" t="str">
        <f>HYPERLINK("https://otsuka-europe-crm.veevavault.com/ui/#object/account__v/V4TZ06G6O71S9JG", "FRANCESCO CAPPELLAIO")</f>
        <v>FRANCESCO CAPPELLAIO</v>
      </c>
      <c r="B10753" s="7" t="str">
        <f t="shared" si="830"/>
        <v>IT</v>
      </c>
      <c r="C10753" s="8" t="s">
        <v>44</v>
      </c>
      <c r="D10753" s="9" t="str">
        <f t="shared" si="831"/>
        <v>AE - AGGIORNAMENTI SEZIONE APPROFONDIMENTI NEFRO IT-NPR-2500150</v>
      </c>
      <c r="E10753" s="10" t="str">
        <f>HYPERLINK("https://otsuka-europe-crm.veevavault.com/ui/#object/sent_email__v/VBL00000002U845", "SE-001436735")</f>
        <v>SE-001436735</v>
      </c>
      <c r="F10753" s="11"/>
      <c r="G10753" s="12">
        <v>0</v>
      </c>
      <c r="H10753" s="12">
        <v>0</v>
      </c>
      <c r="I10753" s="12">
        <v>0</v>
      </c>
      <c r="J10753" s="11"/>
      <c r="K10753" s="12">
        <v>0</v>
      </c>
      <c r="L10753" s="10" t="str">
        <f t="shared" si="832"/>
        <v>AE - AGGIORNAMENTI SEZIONE APPROFONDIMENTI NEFRO IT-NPR-2500150</v>
      </c>
      <c r="M10753" s="10" t="str">
        <f t="shared" si="833"/>
        <v>giada.camassa@outsuka.it</v>
      </c>
      <c r="N10753" s="13">
        <v>46190.33792824074</v>
      </c>
      <c r="O10753" s="14" t="str">
        <f>HYPERLINK("https://otsuka-europe-crm.veevavault.com/ui/#object/email_activity__v/V8C00000003X349", "EN-002097645")</f>
        <v>EN-002097645</v>
      </c>
    </row>
    <row r="10754" spans="1:15" ht="16" x14ac:dyDescent="0.2">
      <c r="A10754" s="17" t="str">
        <f>HYPERLINK("https://otsuka-europe-crm.veevavault.com/ui/#object/account__v/V4TZ04ASGDUDNVN", "FRANCESCO COSA")</f>
        <v>FRANCESCO COSA</v>
      </c>
      <c r="B10754" s="17" t="str">
        <f t="shared" si="830"/>
        <v>IT</v>
      </c>
      <c r="C10754" s="20" t="s">
        <v>44</v>
      </c>
      <c r="D10754" s="21" t="str">
        <f t="shared" si="831"/>
        <v>AE - AGGIORNAMENTI SEZIONE APPROFONDIMENTI NEFRO IT-NPR-2500150</v>
      </c>
      <c r="E10754" s="22" t="str">
        <f>HYPERLINK("https://otsuka-europe-crm.veevavault.com/ui/#object/sent_email__v/VBL00000002U846", "SE-001436736")</f>
        <v>SE-001436736</v>
      </c>
      <c r="F10754" s="23">
        <v>46190.338159722225</v>
      </c>
      <c r="G10754" s="24">
        <v>1</v>
      </c>
      <c r="H10754" s="24">
        <v>1</v>
      </c>
      <c r="I10754" s="24">
        <v>0</v>
      </c>
      <c r="J10754" s="25"/>
      <c r="K10754" s="24">
        <v>0</v>
      </c>
      <c r="L10754" s="22" t="str">
        <f t="shared" si="832"/>
        <v>AE - AGGIORNAMENTI SEZIONE APPROFONDIMENTI NEFRO IT-NPR-2500150</v>
      </c>
      <c r="M10754" s="22" t="str">
        <f t="shared" si="833"/>
        <v>giada.camassa@outsuka.it</v>
      </c>
      <c r="N10754" s="23">
        <v>46190.337835648148</v>
      </c>
      <c r="O10754" s="14" t="str">
        <f>HYPERLINK("https://otsuka-europe-crm.veevavault.com/ui/#object/email_activity__v/V8C00000003X433", "EN-002097647")</f>
        <v>EN-002097647</v>
      </c>
    </row>
    <row r="10755" spans="1:15" ht="16" x14ac:dyDescent="0.2">
      <c r="A10755" s="19"/>
      <c r="B10755" s="19"/>
      <c r="C10755" s="19"/>
      <c r="D10755" s="19"/>
      <c r="E10755" s="19"/>
      <c r="F10755" s="19"/>
      <c r="G10755" s="19"/>
      <c r="H10755" s="19"/>
      <c r="I10755" s="19"/>
      <c r="J10755" s="19"/>
      <c r="K10755" s="19"/>
      <c r="L10755" s="19"/>
      <c r="M10755" s="19"/>
      <c r="N10755" s="19"/>
      <c r="O10755" s="14" t="str">
        <f>HYPERLINK("https://otsuka-europe-crm.veevavault.com/ui/#object/email_activity__v/V8C00000003X566", "EN-002097862")</f>
        <v>EN-002097862</v>
      </c>
    </row>
    <row r="10756" spans="1:15" ht="64" x14ac:dyDescent="0.2">
      <c r="A10756" s="7" t="str">
        <f>HYPERLINK("https://otsuka-europe-crm.veevavault.com/ui/#object/account__v/V4TZ06G6O71S9Q2", "FRANCESCO GIORDANO")</f>
        <v>FRANCESCO GIORDANO</v>
      </c>
      <c r="B10756" s="7" t="str">
        <f t="shared" ref="B10756:B10771" si="834">HYPERLINK("https://otsuka-europe-crm.veevavault.com/ui/#object/vcountry__v/VENZ000004SONFQ", "IT")</f>
        <v>IT</v>
      </c>
      <c r="C10756" s="8" t="s">
        <v>44</v>
      </c>
      <c r="D10756" s="9" t="str">
        <f t="shared" ref="D10756:D10771" si="835">HYPERLINK("https://otsuka-europe-crm.veevavault.com/ui/#object/approved_document__v/V5O00000000G061", "AE - AGGIORNAMENTI SEZIONE APPROFONDIMENTI NEFRO IT-NPR-2500150")</f>
        <v>AE - AGGIORNAMENTI SEZIONE APPROFONDIMENTI NEFRO IT-NPR-2500150</v>
      </c>
      <c r="E10756" s="10" t="str">
        <f>HYPERLINK("https://otsuka-europe-crm.veevavault.com/ui/#object/sent_email__v/VBL00000002U847", "SE-001436737")</f>
        <v>SE-001436737</v>
      </c>
      <c r="F10756" s="11"/>
      <c r="G10756" s="12">
        <v>0</v>
      </c>
      <c r="H10756" s="12">
        <v>0</v>
      </c>
      <c r="I10756" s="12">
        <v>0</v>
      </c>
      <c r="J10756" s="11"/>
      <c r="K10756" s="12">
        <v>0</v>
      </c>
      <c r="L10756" s="10" t="str">
        <f t="shared" ref="L10756:L10771" si="836">HYPERLINK("https://otsuka-europe-crm.veevavault.com/ui/#object/approved_document__v/V5O00000000G061", "AE - AGGIORNAMENTI SEZIONE APPROFONDIMENTI NEFRO IT-NPR-2500150")</f>
        <v>AE - AGGIORNAMENTI SEZIONE APPROFONDIMENTI NEFRO IT-NPR-2500150</v>
      </c>
      <c r="M10756" s="10" t="str">
        <f t="shared" ref="M10756:M10771" si="837">HYPERLINK("mailto:giada.camassa@outsuka.it", "giada.camassa@outsuka.it")</f>
        <v>giada.camassa@outsuka.it</v>
      </c>
      <c r="N10756" s="13">
        <v>46190.337916666664</v>
      </c>
      <c r="O10756" s="14" t="str">
        <f>HYPERLINK("https://otsuka-europe-crm.veevavault.com/ui/#object/email_activity__v/V8C00000003X518", "EN-002097761")</f>
        <v>EN-002097761</v>
      </c>
    </row>
    <row r="10757" spans="1:15" ht="64" x14ac:dyDescent="0.2">
      <c r="A10757" s="7" t="str">
        <f>HYPERLINK("https://otsuka-europe-crm.veevavault.com/ui/#object/account__v/V4TZ04ASGB4W1ZG", "FRANCESCO IANNUZZELLA")</f>
        <v>FRANCESCO IANNUZZELLA</v>
      </c>
      <c r="B10757" s="7" t="str">
        <f t="shared" si="834"/>
        <v>IT</v>
      </c>
      <c r="C10757" s="8" t="s">
        <v>44</v>
      </c>
      <c r="D10757" s="9" t="str">
        <f t="shared" si="835"/>
        <v>AE - AGGIORNAMENTI SEZIONE APPROFONDIMENTI NEFRO IT-NPR-2500150</v>
      </c>
      <c r="E10757" s="10" t="str">
        <f>HYPERLINK("https://otsuka-europe-crm.veevavault.com/ui/#object/sent_email__v/VBL00000002U849", "SE-001436739")</f>
        <v>SE-001436739</v>
      </c>
      <c r="F10757" s="11"/>
      <c r="G10757" s="12">
        <v>0</v>
      </c>
      <c r="H10757" s="12">
        <v>0</v>
      </c>
      <c r="I10757" s="12">
        <v>0</v>
      </c>
      <c r="J10757" s="11"/>
      <c r="K10757" s="12">
        <v>0</v>
      </c>
      <c r="L10757" s="10" t="str">
        <f t="shared" si="836"/>
        <v>AE - AGGIORNAMENTI SEZIONE APPROFONDIMENTI NEFRO IT-NPR-2500150</v>
      </c>
      <c r="M10757" s="10" t="str">
        <f t="shared" si="837"/>
        <v>giada.camassa@outsuka.it</v>
      </c>
      <c r="N10757" s="13">
        <v>46190.337893518517</v>
      </c>
      <c r="O10757" s="14" t="str">
        <f>HYPERLINK("https://otsuka-europe-crm.veevavault.com/ui/#object/email_activity__v/V8C00000003X305", "EN-002097496")</f>
        <v>EN-002097496</v>
      </c>
    </row>
    <row r="10758" spans="1:15" ht="64" x14ac:dyDescent="0.2">
      <c r="A10758" s="7" t="str">
        <f>HYPERLINK("https://otsuka-europe-crm.veevavault.com/ui/#object/account__v/V4TZ025E83RQLBQ", "FRANCESCO MOLLICA")</f>
        <v>FRANCESCO MOLLICA</v>
      </c>
      <c r="B10758" s="7" t="str">
        <f t="shared" si="834"/>
        <v>IT</v>
      </c>
      <c r="C10758" s="8" t="s">
        <v>44</v>
      </c>
      <c r="D10758" s="9" t="str">
        <f t="shared" si="835"/>
        <v>AE - AGGIORNAMENTI SEZIONE APPROFONDIMENTI NEFRO IT-NPR-2500150</v>
      </c>
      <c r="E10758" s="10" t="str">
        <f>HYPERLINK("https://otsuka-europe-crm.veevavault.com/ui/#object/sent_email__v/VBL00000002U850", "SE-001436740")</f>
        <v>SE-001436740</v>
      </c>
      <c r="F10758" s="11"/>
      <c r="G10758" s="12">
        <v>0</v>
      </c>
      <c r="H10758" s="12">
        <v>0</v>
      </c>
      <c r="I10758" s="12">
        <v>0</v>
      </c>
      <c r="J10758" s="11"/>
      <c r="K10758" s="12">
        <v>0</v>
      </c>
      <c r="L10758" s="10" t="str">
        <f t="shared" si="836"/>
        <v>AE - AGGIORNAMENTI SEZIONE APPROFONDIMENTI NEFRO IT-NPR-2500150</v>
      </c>
      <c r="M10758" s="10" t="str">
        <f t="shared" si="837"/>
        <v>giada.camassa@outsuka.it</v>
      </c>
      <c r="N10758" s="13">
        <v>46190.337858796294</v>
      </c>
      <c r="O10758" s="14" t="str">
        <f>HYPERLINK("https://otsuka-europe-crm.veevavault.com/ui/#object/email_activity__v/V8C00000003X343", "EN-002097639")</f>
        <v>EN-002097639</v>
      </c>
    </row>
    <row r="10759" spans="1:15" ht="64" x14ac:dyDescent="0.2">
      <c r="A10759" s="7" t="str">
        <f>HYPERLINK("https://otsuka-europe-crm.veevavault.com/ui/#object/account__v/V4TZ06G6O71SBN4", "FRANCESCO MONTELEONE")</f>
        <v>FRANCESCO MONTELEONE</v>
      </c>
      <c r="B10759" s="7" t="str">
        <f t="shared" si="834"/>
        <v>IT</v>
      </c>
      <c r="C10759" s="8" t="s">
        <v>44</v>
      </c>
      <c r="D10759" s="9" t="str">
        <f t="shared" si="835"/>
        <v>AE - AGGIORNAMENTI SEZIONE APPROFONDIMENTI NEFRO IT-NPR-2500150</v>
      </c>
      <c r="E10759" s="10" t="str">
        <f>HYPERLINK("https://otsuka-europe-crm.veevavault.com/ui/#object/sent_email__v/VBL00000002U851", "SE-001436741")</f>
        <v>SE-001436741</v>
      </c>
      <c r="F10759" s="11"/>
      <c r="G10759" s="12">
        <v>0</v>
      </c>
      <c r="H10759" s="12">
        <v>0</v>
      </c>
      <c r="I10759" s="12">
        <v>0</v>
      </c>
      <c r="J10759" s="11"/>
      <c r="K10759" s="12">
        <v>0</v>
      </c>
      <c r="L10759" s="10" t="str">
        <f t="shared" si="836"/>
        <v>AE - AGGIORNAMENTI SEZIONE APPROFONDIMENTI NEFRO IT-NPR-2500150</v>
      </c>
      <c r="M10759" s="10" t="str">
        <f t="shared" si="837"/>
        <v>giada.camassa@outsuka.it</v>
      </c>
      <c r="N10759" s="13">
        <v>46190.337893518517</v>
      </c>
      <c r="O10759" s="14" t="str">
        <f>HYPERLINK("https://otsuka-europe-crm.veevavault.com/ui/#object/email_activity__v/V8C00000003X424", "EN-002097619")</f>
        <v>EN-002097619</v>
      </c>
    </row>
    <row r="10760" spans="1:15" ht="64" x14ac:dyDescent="0.2">
      <c r="A10760" s="7" t="str">
        <f>HYPERLINK("https://otsuka-europe-crm.veevavault.com/ui/#object/account__v/V4TZ025E87O5B03", "FRANCESCO PEYRONEL")</f>
        <v>FRANCESCO PEYRONEL</v>
      </c>
      <c r="B10760" s="7" t="str">
        <f t="shared" si="834"/>
        <v>IT</v>
      </c>
      <c r="C10760" s="8" t="s">
        <v>44</v>
      </c>
      <c r="D10760" s="9" t="str">
        <f t="shared" si="835"/>
        <v>AE - AGGIORNAMENTI SEZIONE APPROFONDIMENTI NEFRO IT-NPR-2500150</v>
      </c>
      <c r="E10760" s="10" t="str">
        <f>HYPERLINK("https://otsuka-europe-crm.veevavault.com/ui/#object/sent_email__v/VBL00000002U852", "SE-001436742")</f>
        <v>SE-001436742</v>
      </c>
      <c r="F10760" s="11"/>
      <c r="G10760" s="12">
        <v>0</v>
      </c>
      <c r="H10760" s="12">
        <v>0</v>
      </c>
      <c r="I10760" s="12">
        <v>0</v>
      </c>
      <c r="J10760" s="11"/>
      <c r="K10760" s="12">
        <v>0</v>
      </c>
      <c r="L10760" s="10" t="str">
        <f t="shared" si="836"/>
        <v>AE - AGGIORNAMENTI SEZIONE APPROFONDIMENTI NEFRO IT-NPR-2500150</v>
      </c>
      <c r="M10760" s="10" t="str">
        <f t="shared" si="837"/>
        <v>giada.camassa@outsuka.it</v>
      </c>
      <c r="N10760" s="13">
        <v>46190.337916666664</v>
      </c>
      <c r="O10760" s="14" t="str">
        <f>HYPERLINK("https://otsuka-europe-crm.veevavault.com/ui/#object/email_activity__v/V8C00000003X800", "EN-002098216")</f>
        <v>EN-002098216</v>
      </c>
    </row>
    <row r="10761" spans="1:15" ht="64" x14ac:dyDescent="0.2">
      <c r="A10761" s="7" t="str">
        <f>HYPERLINK("https://otsuka-europe-crm.veevavault.com/ui/#object/account__v/V4TZ06G6O9K2KOE", "FRANCESCO PRINCIPE")</f>
        <v>FRANCESCO PRINCIPE</v>
      </c>
      <c r="B10761" s="7" t="str">
        <f t="shared" si="834"/>
        <v>IT</v>
      </c>
      <c r="C10761" s="8" t="s">
        <v>44</v>
      </c>
      <c r="D10761" s="9" t="str">
        <f t="shared" si="835"/>
        <v>AE - AGGIORNAMENTI SEZIONE APPROFONDIMENTI NEFRO IT-NPR-2500150</v>
      </c>
      <c r="E10761" s="10" t="str">
        <f>HYPERLINK("https://otsuka-europe-crm.veevavault.com/ui/#object/sent_email__v/VBL00000002U853", "SE-001436743")</f>
        <v>SE-001436743</v>
      </c>
      <c r="F10761" s="11"/>
      <c r="G10761" s="12">
        <v>0</v>
      </c>
      <c r="H10761" s="12">
        <v>0</v>
      </c>
      <c r="I10761" s="12">
        <v>0</v>
      </c>
      <c r="J10761" s="11"/>
      <c r="K10761" s="12">
        <v>0</v>
      </c>
      <c r="L10761" s="10" t="str">
        <f t="shared" si="836"/>
        <v>AE - AGGIORNAMENTI SEZIONE APPROFONDIMENTI NEFRO IT-NPR-2500150</v>
      </c>
      <c r="M10761" s="10" t="str">
        <f t="shared" si="837"/>
        <v>giada.camassa@outsuka.it</v>
      </c>
      <c r="N10761" s="13">
        <v>46190.337835648148</v>
      </c>
      <c r="O10761" s="14" t="str">
        <f>HYPERLINK("https://otsuka-europe-crm.veevavault.com/ui/#object/email_activity__v/V8C00000003W338", "EN-002097388")</f>
        <v>EN-002097388</v>
      </c>
    </row>
    <row r="10762" spans="1:15" ht="64" x14ac:dyDescent="0.2">
      <c r="A10762" s="7" t="str">
        <f>HYPERLINK("https://otsuka-europe-crm.veevavault.com/ui/#object/account__v/V4TZ06G6O71SAA3", "FULVIA ALBA CALIGARIS")</f>
        <v>FULVIA ALBA CALIGARIS</v>
      </c>
      <c r="B10762" s="7" t="str">
        <f t="shared" si="834"/>
        <v>IT</v>
      </c>
      <c r="C10762" s="8" t="s">
        <v>44</v>
      </c>
      <c r="D10762" s="9" t="str">
        <f t="shared" si="835"/>
        <v>AE - AGGIORNAMENTI SEZIONE APPROFONDIMENTI NEFRO IT-NPR-2500150</v>
      </c>
      <c r="E10762" s="10" t="str">
        <f>HYPERLINK("https://otsuka-europe-crm.veevavault.com/ui/#object/sent_email__v/VBL00000002U854", "SE-001436744")</f>
        <v>SE-001436744</v>
      </c>
      <c r="F10762" s="11"/>
      <c r="G10762" s="12">
        <v>0</v>
      </c>
      <c r="H10762" s="12">
        <v>0</v>
      </c>
      <c r="I10762" s="12">
        <v>0</v>
      </c>
      <c r="J10762" s="11"/>
      <c r="K10762" s="12">
        <v>0</v>
      </c>
      <c r="L10762" s="10" t="str">
        <f t="shared" si="836"/>
        <v>AE - AGGIORNAMENTI SEZIONE APPROFONDIMENTI NEFRO IT-NPR-2500150</v>
      </c>
      <c r="M10762" s="10" t="str">
        <f t="shared" si="837"/>
        <v>giada.camassa@outsuka.it</v>
      </c>
      <c r="N10762" s="13">
        <v>46190.338530092595</v>
      </c>
      <c r="O10762" s="14" t="str">
        <f>HYPERLINK("https://otsuka-europe-crm.veevavault.com/ui/#object/email_activity__v/V8C00000003X608", "EN-002097929")</f>
        <v>EN-002097929</v>
      </c>
    </row>
    <row r="10763" spans="1:15" ht="64" x14ac:dyDescent="0.2">
      <c r="A10763" s="7" t="str">
        <f>HYPERLINK("https://otsuka-europe-crm.veevavault.com/ui/#object/account__v/V4TZ06G6O71SALP", "FULVIO FLOCCARI")</f>
        <v>FULVIO FLOCCARI</v>
      </c>
      <c r="B10763" s="7" t="str">
        <f t="shared" si="834"/>
        <v>IT</v>
      </c>
      <c r="C10763" s="8" t="s">
        <v>44</v>
      </c>
      <c r="D10763" s="9" t="str">
        <f t="shared" si="835"/>
        <v>AE - AGGIORNAMENTI SEZIONE APPROFONDIMENTI NEFRO IT-NPR-2500150</v>
      </c>
      <c r="E10763" s="10" t="str">
        <f>HYPERLINK("https://otsuka-europe-crm.veevavault.com/ui/#object/sent_email__v/VBL00000002U855", "SE-001436745")</f>
        <v>SE-001436745</v>
      </c>
      <c r="F10763" s="11"/>
      <c r="G10763" s="12">
        <v>0</v>
      </c>
      <c r="H10763" s="12">
        <v>0</v>
      </c>
      <c r="I10763" s="12">
        <v>0</v>
      </c>
      <c r="J10763" s="11"/>
      <c r="K10763" s="12">
        <v>0</v>
      </c>
      <c r="L10763" s="10" t="str">
        <f t="shared" si="836"/>
        <v>AE - AGGIORNAMENTI SEZIONE APPROFONDIMENTI NEFRO IT-NPR-2500150</v>
      </c>
      <c r="M10763" s="10" t="str">
        <f t="shared" si="837"/>
        <v>giada.camassa@outsuka.it</v>
      </c>
      <c r="N10763" s="13">
        <v>46190.337893518517</v>
      </c>
      <c r="O10763" s="14" t="str">
        <f>HYPERLINK("https://otsuka-europe-crm.veevavault.com/ui/#object/email_activity__v/V8C00000003X250", "EN-002097425")</f>
        <v>EN-002097425</v>
      </c>
    </row>
    <row r="10764" spans="1:15" ht="64" x14ac:dyDescent="0.2">
      <c r="A10764" s="7" t="str">
        <f>HYPERLINK("https://otsuka-europe-crm.veevavault.com/ui/#object/account__v/V4TZ06G6O71SAHT", "GABRIELE DONATI")</f>
        <v>GABRIELE DONATI</v>
      </c>
      <c r="B10764" s="7" t="str">
        <f t="shared" si="834"/>
        <v>IT</v>
      </c>
      <c r="C10764" s="8" t="s">
        <v>44</v>
      </c>
      <c r="D10764" s="9" t="str">
        <f t="shared" si="835"/>
        <v>AE - AGGIORNAMENTI SEZIONE APPROFONDIMENTI NEFRO IT-NPR-2500150</v>
      </c>
      <c r="E10764" s="10" t="str">
        <f>HYPERLINK("https://otsuka-europe-crm.veevavault.com/ui/#object/sent_email__v/VBL00000002U856", "SE-001436746")</f>
        <v>SE-001436746</v>
      </c>
      <c r="F10764" s="11"/>
      <c r="G10764" s="12">
        <v>0</v>
      </c>
      <c r="H10764" s="12">
        <v>0</v>
      </c>
      <c r="I10764" s="12">
        <v>0</v>
      </c>
      <c r="J10764" s="11"/>
      <c r="K10764" s="12">
        <v>0</v>
      </c>
      <c r="L10764" s="10" t="str">
        <f t="shared" si="836"/>
        <v>AE - AGGIORNAMENTI SEZIONE APPROFONDIMENTI NEFRO IT-NPR-2500150</v>
      </c>
      <c r="M10764" s="10" t="str">
        <f t="shared" si="837"/>
        <v>giada.camassa@outsuka.it</v>
      </c>
      <c r="N10764" s="13">
        <v>46190.33798611111</v>
      </c>
      <c r="O10764" s="14" t="str">
        <f>HYPERLINK("https://otsuka-europe-crm.veevavault.com/ui/#object/email_activity__v/V8C00000003W440", "EN-002097724")</f>
        <v>EN-002097724</v>
      </c>
    </row>
    <row r="10765" spans="1:15" ht="64" x14ac:dyDescent="0.2">
      <c r="A10765" s="7" t="str">
        <f>HYPERLINK("https://otsuka-europe-crm.veevavault.com/ui/#object/account__v/V4TZ06G6O8O6GG1", "GABRIELLA MORONI")</f>
        <v>GABRIELLA MORONI</v>
      </c>
      <c r="B10765" s="7" t="str">
        <f t="shared" si="834"/>
        <v>IT</v>
      </c>
      <c r="C10765" s="8" t="s">
        <v>44</v>
      </c>
      <c r="D10765" s="9" t="str">
        <f t="shared" si="835"/>
        <v>AE - AGGIORNAMENTI SEZIONE APPROFONDIMENTI NEFRO IT-NPR-2500150</v>
      </c>
      <c r="E10765" s="10" t="str">
        <f>HYPERLINK("https://otsuka-europe-crm.veevavault.com/ui/#object/sent_email__v/VBL00000002U857", "SE-001436747")</f>
        <v>SE-001436747</v>
      </c>
      <c r="F10765" s="11"/>
      <c r="G10765" s="12">
        <v>0</v>
      </c>
      <c r="H10765" s="12">
        <v>0</v>
      </c>
      <c r="I10765" s="12">
        <v>0</v>
      </c>
      <c r="J10765" s="11"/>
      <c r="K10765" s="12">
        <v>0</v>
      </c>
      <c r="L10765" s="10" t="str">
        <f t="shared" si="836"/>
        <v>AE - AGGIORNAMENTI SEZIONE APPROFONDIMENTI NEFRO IT-NPR-2500150</v>
      </c>
      <c r="M10765" s="10" t="str">
        <f t="shared" si="837"/>
        <v>giada.camassa@outsuka.it</v>
      </c>
      <c r="N10765" s="13">
        <v>46190.337835648148</v>
      </c>
      <c r="O10765" s="14" t="str">
        <f>HYPERLINK("https://otsuka-europe-crm.veevavault.com/ui/#object/email_activity__v/V8C00000003W361", "EN-002097418")</f>
        <v>EN-002097418</v>
      </c>
    </row>
    <row r="10766" spans="1:15" ht="64" x14ac:dyDescent="0.2">
      <c r="A10766" s="7" t="str">
        <f>HYPERLINK("https://otsuka-europe-crm.veevavault.com/ui/#object/account__v/V4TZ06G6O71SB1F", "GAETANO CAVALCANTI")</f>
        <v>GAETANO CAVALCANTI</v>
      </c>
      <c r="B10766" s="7" t="str">
        <f t="shared" si="834"/>
        <v>IT</v>
      </c>
      <c r="C10766" s="8" t="s">
        <v>44</v>
      </c>
      <c r="D10766" s="9" t="str">
        <f t="shared" si="835"/>
        <v>AE - AGGIORNAMENTI SEZIONE APPROFONDIMENTI NEFRO IT-NPR-2500150</v>
      </c>
      <c r="E10766" s="10" t="str">
        <f>HYPERLINK("https://otsuka-europe-crm.veevavault.com/ui/#object/sent_email__v/VBL00000002U858", "SE-001436748")</f>
        <v>SE-001436748</v>
      </c>
      <c r="F10766" s="11"/>
      <c r="G10766" s="12">
        <v>0</v>
      </c>
      <c r="H10766" s="12">
        <v>0</v>
      </c>
      <c r="I10766" s="12">
        <v>0</v>
      </c>
      <c r="J10766" s="11"/>
      <c r="K10766" s="12">
        <v>0</v>
      </c>
      <c r="L10766" s="10" t="str">
        <f t="shared" si="836"/>
        <v>AE - AGGIORNAMENTI SEZIONE APPROFONDIMENTI NEFRO IT-NPR-2500150</v>
      </c>
      <c r="M10766" s="10" t="str">
        <f t="shared" si="837"/>
        <v>giada.camassa@outsuka.it</v>
      </c>
      <c r="N10766" s="13">
        <v>46190.337870370371</v>
      </c>
      <c r="O10766" s="14" t="str">
        <f>HYPERLINK("https://otsuka-europe-crm.veevavault.com/ui/#object/email_activity__v/V8C00000003X494", "EN-002097737")</f>
        <v>EN-002097737</v>
      </c>
    </row>
    <row r="10767" spans="1:15" ht="64" x14ac:dyDescent="0.2">
      <c r="A10767" s="7" t="str">
        <f>HYPERLINK("https://otsuka-europe-crm.veevavault.com/ui/#object/account__v/V4TZ06G6O71SBN8", "GAETANO MONTALTO")</f>
        <v>GAETANO MONTALTO</v>
      </c>
      <c r="B10767" s="7" t="str">
        <f t="shared" si="834"/>
        <v>IT</v>
      </c>
      <c r="C10767" s="8" t="s">
        <v>44</v>
      </c>
      <c r="D10767" s="9" t="str">
        <f t="shared" si="835"/>
        <v>AE - AGGIORNAMENTI SEZIONE APPROFONDIMENTI NEFRO IT-NPR-2500150</v>
      </c>
      <c r="E10767" s="10" t="str">
        <f>HYPERLINK("https://otsuka-europe-crm.veevavault.com/ui/#object/sent_email__v/VBL00000002U859", "SE-001436749")</f>
        <v>SE-001436749</v>
      </c>
      <c r="F10767" s="11"/>
      <c r="G10767" s="12">
        <v>0</v>
      </c>
      <c r="H10767" s="12">
        <v>0</v>
      </c>
      <c r="I10767" s="12">
        <v>0</v>
      </c>
      <c r="J10767" s="11"/>
      <c r="K10767" s="12">
        <v>0</v>
      </c>
      <c r="L10767" s="10" t="str">
        <f t="shared" si="836"/>
        <v>AE - AGGIORNAMENTI SEZIONE APPROFONDIMENTI NEFRO IT-NPR-2500150</v>
      </c>
      <c r="M10767" s="10" t="str">
        <f t="shared" si="837"/>
        <v>giada.camassa@outsuka.it</v>
      </c>
      <c r="N10767" s="13">
        <v>46190.337835648148</v>
      </c>
      <c r="O10767" s="14" t="str">
        <f>HYPERLINK("https://otsuka-europe-crm.veevavault.com/ui/#object/email_activity__v/V8C00000003W401", "EN-002097563")</f>
        <v>EN-002097563</v>
      </c>
    </row>
    <row r="10768" spans="1:15" ht="64" x14ac:dyDescent="0.2">
      <c r="A10768" s="7" t="str">
        <f>HYPERLINK("https://otsuka-europe-crm.veevavault.com/ui/#object/account__v/V4TZ06G6O71SAVN", "GELSOMINA GIORDANO")</f>
        <v>GELSOMINA GIORDANO</v>
      </c>
      <c r="B10768" s="7" t="str">
        <f t="shared" si="834"/>
        <v>IT</v>
      </c>
      <c r="C10768" s="8" t="s">
        <v>44</v>
      </c>
      <c r="D10768" s="9" t="str">
        <f t="shared" si="835"/>
        <v>AE - AGGIORNAMENTI SEZIONE APPROFONDIMENTI NEFRO IT-NPR-2500150</v>
      </c>
      <c r="E10768" s="10" t="str">
        <f>HYPERLINK("https://otsuka-europe-crm.veevavault.com/ui/#object/sent_email__v/VBL00000002U860", "SE-001436750")</f>
        <v>SE-001436750</v>
      </c>
      <c r="F10768" s="11"/>
      <c r="G10768" s="12">
        <v>0</v>
      </c>
      <c r="H10768" s="12">
        <v>0</v>
      </c>
      <c r="I10768" s="12">
        <v>0</v>
      </c>
      <c r="J10768" s="11"/>
      <c r="K10768" s="12">
        <v>0</v>
      </c>
      <c r="L10768" s="10" t="str">
        <f t="shared" si="836"/>
        <v>AE - AGGIORNAMENTI SEZIONE APPROFONDIMENTI NEFRO IT-NPR-2500150</v>
      </c>
      <c r="M10768" s="10" t="str">
        <f t="shared" si="837"/>
        <v>giada.camassa@outsuka.it</v>
      </c>
      <c r="N10768" s="13">
        <v>46190.337916666664</v>
      </c>
      <c r="O10768" s="14" t="str">
        <f>HYPERLINK("https://otsuka-europe-crm.veevavault.com/ui/#object/email_activity__v/V8C00000003X730", "EN-002098112")</f>
        <v>EN-002098112</v>
      </c>
    </row>
    <row r="10769" spans="1:15" ht="64" x14ac:dyDescent="0.2">
      <c r="A10769" s="7" t="str">
        <f>HYPERLINK("https://otsuka-europe-crm.veevavault.com/ui/#object/account__v/V4TZ06G6O71S9YD", "GENNARO ARGENTINO")</f>
        <v>GENNARO ARGENTINO</v>
      </c>
      <c r="B10769" s="7" t="str">
        <f t="shared" si="834"/>
        <v>IT</v>
      </c>
      <c r="C10769" s="8" t="s">
        <v>44</v>
      </c>
      <c r="D10769" s="9" t="str">
        <f t="shared" si="835"/>
        <v>AE - AGGIORNAMENTI SEZIONE APPROFONDIMENTI NEFRO IT-NPR-2500150</v>
      </c>
      <c r="E10769" s="10" t="str">
        <f>HYPERLINK("https://otsuka-europe-crm.veevavault.com/ui/#object/sent_email__v/VBL00000002U861", "SE-001436751")</f>
        <v>SE-001436751</v>
      </c>
      <c r="F10769" s="11"/>
      <c r="G10769" s="12">
        <v>0</v>
      </c>
      <c r="H10769" s="12">
        <v>0</v>
      </c>
      <c r="I10769" s="12">
        <v>0</v>
      </c>
      <c r="J10769" s="11"/>
      <c r="K10769" s="12">
        <v>0</v>
      </c>
      <c r="L10769" s="10" t="str">
        <f t="shared" si="836"/>
        <v>AE - AGGIORNAMENTI SEZIONE APPROFONDIMENTI NEFRO IT-NPR-2500150</v>
      </c>
      <c r="M10769" s="10" t="str">
        <f t="shared" si="837"/>
        <v>giada.camassa@outsuka.it</v>
      </c>
      <c r="N10769" s="13">
        <v>46190.337835648148</v>
      </c>
      <c r="O10769" s="14" t="str">
        <f>HYPERLINK("https://otsuka-europe-crm.veevavault.com/ui/#object/email_activity__v/V8C00000003W395", "EN-002097557")</f>
        <v>EN-002097557</v>
      </c>
    </row>
    <row r="10770" spans="1:15" ht="64" x14ac:dyDescent="0.2">
      <c r="A10770" s="7" t="str">
        <f>HYPERLINK("https://otsuka-europe-crm.veevavault.com/ui/#object/account__v/V4TZ04ASGC7I1HH", "GIADA CALCARA")</f>
        <v>GIADA CALCARA</v>
      </c>
      <c r="B10770" s="7" t="str">
        <f t="shared" si="834"/>
        <v>IT</v>
      </c>
      <c r="C10770" s="8" t="s">
        <v>44</v>
      </c>
      <c r="D10770" s="9" t="str">
        <f t="shared" si="835"/>
        <v>AE - AGGIORNAMENTI SEZIONE APPROFONDIMENTI NEFRO IT-NPR-2500150</v>
      </c>
      <c r="E10770" s="10" t="str">
        <f>HYPERLINK("https://otsuka-europe-crm.veevavault.com/ui/#object/sent_email__v/VBL00000002U862", "SE-001436752")</f>
        <v>SE-001436752</v>
      </c>
      <c r="F10770" s="11"/>
      <c r="G10770" s="12">
        <v>0</v>
      </c>
      <c r="H10770" s="12">
        <v>0</v>
      </c>
      <c r="I10770" s="12">
        <v>0</v>
      </c>
      <c r="J10770" s="11"/>
      <c r="K10770" s="12">
        <v>0</v>
      </c>
      <c r="L10770" s="10" t="str">
        <f t="shared" si="836"/>
        <v>AE - AGGIORNAMENTI SEZIONE APPROFONDIMENTI NEFRO IT-NPR-2500150</v>
      </c>
      <c r="M10770" s="10" t="str">
        <f t="shared" si="837"/>
        <v>giada.camassa@outsuka.it</v>
      </c>
      <c r="N10770" s="13">
        <v>46190.337893518517</v>
      </c>
      <c r="O10770" s="14" t="str">
        <f>HYPERLINK("https://otsuka-europe-crm.veevavault.com/ui/#object/email_activity__v/V8C00000003X804", "EN-002098220")</f>
        <v>EN-002098220</v>
      </c>
    </row>
    <row r="10771" spans="1:15" ht="16" x14ac:dyDescent="0.2">
      <c r="A10771" s="17" t="str">
        <f>HYPERLINK("https://otsuka-europe-crm.veevavault.com/ui/#object/account__v/V4TZ06G6O71SA4E", "GIANCARLO BILANCIO")</f>
        <v>GIANCARLO BILANCIO</v>
      </c>
      <c r="B10771" s="17" t="str">
        <f t="shared" si="834"/>
        <v>IT</v>
      </c>
      <c r="C10771" s="20" t="s">
        <v>44</v>
      </c>
      <c r="D10771" s="21" t="str">
        <f t="shared" si="835"/>
        <v>AE - AGGIORNAMENTI SEZIONE APPROFONDIMENTI NEFRO IT-NPR-2500150</v>
      </c>
      <c r="E10771" s="22" t="str">
        <f>HYPERLINK("https://otsuka-europe-crm.veevavault.com/ui/#object/sent_email__v/VBL00000002U863", "SE-001436753")</f>
        <v>SE-001436753</v>
      </c>
      <c r="F10771" s="25"/>
      <c r="G10771" s="24">
        <v>0</v>
      </c>
      <c r="H10771" s="24">
        <v>0</v>
      </c>
      <c r="I10771" s="24">
        <v>0</v>
      </c>
      <c r="J10771" s="25"/>
      <c r="K10771" s="24">
        <v>0</v>
      </c>
      <c r="L10771" s="22" t="str">
        <f t="shared" si="836"/>
        <v>AE - AGGIORNAMENTI SEZIONE APPROFONDIMENTI NEFRO IT-NPR-2500150</v>
      </c>
      <c r="M10771" s="22" t="str">
        <f t="shared" si="837"/>
        <v>giada.camassa@outsuka.it</v>
      </c>
      <c r="N10771" s="23">
        <v>46190.340046296296</v>
      </c>
      <c r="O10771" s="14" t="str">
        <f>HYPERLINK("https://otsuka-europe-crm.veevavault.com/ui/#object/email_activity__v/V8C00000003X779", "EN-002098184")</f>
        <v>EN-002098184</v>
      </c>
    </row>
    <row r="10772" spans="1:15" ht="16" x14ac:dyDescent="0.2">
      <c r="A10772" s="19"/>
      <c r="B10772" s="19"/>
      <c r="C10772" s="19"/>
      <c r="D10772" s="19"/>
      <c r="E10772" s="19"/>
      <c r="F10772" s="19"/>
      <c r="G10772" s="19"/>
      <c r="H10772" s="19"/>
      <c r="I10772" s="19"/>
      <c r="J10772" s="19"/>
      <c r="K10772" s="19"/>
      <c r="L10772" s="19"/>
      <c r="M10772" s="19"/>
      <c r="N10772" s="19"/>
      <c r="O10772" s="14" t="str">
        <f>HYPERLINK("https://otsuka-europe-crm.veevavault.com/ui/#object/email_activity__v/V8C00000003X812", "EN-002098239")</f>
        <v>EN-002098239</v>
      </c>
    </row>
    <row r="10773" spans="1:15" ht="64" x14ac:dyDescent="0.2">
      <c r="A10773" s="7" t="str">
        <f>HYPERLINK("https://otsuka-europe-crm.veevavault.com/ui/#object/account__v/V4TZ06G6O71S9OX", "GIORGIO SILVESTRINI")</f>
        <v>GIORGIO SILVESTRINI</v>
      </c>
      <c r="B10773" s="7" t="str">
        <f>HYPERLINK("https://otsuka-europe-crm.veevavault.com/ui/#object/vcountry__v/VENZ000004SONFQ", "IT")</f>
        <v>IT</v>
      </c>
      <c r="C10773" s="8" t="s">
        <v>44</v>
      </c>
      <c r="D10773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773" s="10" t="str">
        <f>HYPERLINK("https://otsuka-europe-crm.veevavault.com/ui/#object/sent_email__v/VBL00000002U864", "SE-001436754")</f>
        <v>SE-001436754</v>
      </c>
      <c r="F10773" s="11"/>
      <c r="G10773" s="12">
        <v>0</v>
      </c>
      <c r="H10773" s="12">
        <v>0</v>
      </c>
      <c r="I10773" s="12">
        <v>0</v>
      </c>
      <c r="J10773" s="11"/>
      <c r="K10773" s="12">
        <v>0</v>
      </c>
      <c r="L10773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773" s="10" t="str">
        <f>HYPERLINK("mailto:giada.camassa@outsuka.it", "giada.camassa@outsuka.it")</f>
        <v>giada.camassa@outsuka.it</v>
      </c>
      <c r="N10773" s="13">
        <v>46190.337916666664</v>
      </c>
      <c r="O10773" s="14" t="str">
        <f>HYPERLINK("https://otsuka-europe-crm.veevavault.com/ui/#object/email_activity__v/V8C00000003X392", "EN-002097587")</f>
        <v>EN-002097587</v>
      </c>
    </row>
    <row r="10774" spans="1:15" ht="64" x14ac:dyDescent="0.2">
      <c r="A10774" s="7" t="str">
        <f>HYPERLINK("https://otsuka-europe-crm.veevavault.com/ui/#object/account__v/V4TZ06G6O71SAKW", "GIOVANNA FARRE")</f>
        <v>GIOVANNA FARRE</v>
      </c>
      <c r="B10774" s="7" t="str">
        <f>HYPERLINK("https://otsuka-europe-crm.veevavault.com/ui/#object/vcountry__v/VENZ000004SONFQ", "IT")</f>
        <v>IT</v>
      </c>
      <c r="C10774" s="8" t="s">
        <v>44</v>
      </c>
      <c r="D10774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774" s="10" t="str">
        <f>HYPERLINK("https://otsuka-europe-crm.veevavault.com/ui/#object/sent_email__v/VBL00000002U865", "SE-001436755")</f>
        <v>SE-001436755</v>
      </c>
      <c r="F10774" s="11"/>
      <c r="G10774" s="12">
        <v>0</v>
      </c>
      <c r="H10774" s="12">
        <v>0</v>
      </c>
      <c r="I10774" s="12">
        <v>0</v>
      </c>
      <c r="J10774" s="11"/>
      <c r="K10774" s="12">
        <v>0</v>
      </c>
      <c r="L10774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774" s="10" t="str">
        <f>HYPERLINK("mailto:giada.camassa@outsuka.it", "giada.camassa@outsuka.it")</f>
        <v>giada.camassa@outsuka.it</v>
      </c>
      <c r="N10774" s="13">
        <v>46190.339074074072</v>
      </c>
      <c r="O10774" s="14" t="str">
        <f>HYPERLINK("https://otsuka-europe-crm.veevavault.com/ui/#object/email_activity__v/V8C00000003X684", "EN-002098038")</f>
        <v>EN-002098038</v>
      </c>
    </row>
    <row r="10775" spans="1:15" ht="16" x14ac:dyDescent="0.2">
      <c r="A10775" s="17" t="str">
        <f>HYPERLINK("https://otsuka-europe-crm.veevavault.com/ui/#object/account__v/V4TZ025E835WXRE", "GIOVANNI CONGIU")</f>
        <v>GIOVANNI CONGIU</v>
      </c>
      <c r="B10775" s="17" t="str">
        <f>HYPERLINK("https://otsuka-europe-crm.veevavault.com/ui/#object/vcountry__v/VENZ000004SONFQ", "IT")</f>
        <v>IT</v>
      </c>
      <c r="C10775" s="20" t="s">
        <v>44</v>
      </c>
      <c r="D10775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775" s="22" t="str">
        <f>HYPERLINK("https://otsuka-europe-crm.veevavault.com/ui/#object/sent_email__v/VBL00000002U866", "SE-001436756")</f>
        <v>SE-001436756</v>
      </c>
      <c r="F10775" s="23">
        <v>46190.338182870371</v>
      </c>
      <c r="G10775" s="24">
        <v>1</v>
      </c>
      <c r="H10775" s="24">
        <v>1</v>
      </c>
      <c r="I10775" s="24">
        <v>0</v>
      </c>
      <c r="J10775" s="25"/>
      <c r="K10775" s="24">
        <v>0</v>
      </c>
      <c r="L10775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775" s="22" t="str">
        <f>HYPERLINK("mailto:giada.camassa@outsuka.it", "giada.camassa@outsuka.it")</f>
        <v>giada.camassa@outsuka.it</v>
      </c>
      <c r="N10775" s="23">
        <v>46190.33792824074</v>
      </c>
      <c r="O10775" s="14" t="str">
        <f>HYPERLINK("https://otsuka-europe-crm.veevavault.com/ui/#object/email_activity__v/V8C00000003X298", "EN-002097489")</f>
        <v>EN-002097489</v>
      </c>
    </row>
    <row r="10776" spans="1:15" ht="16" x14ac:dyDescent="0.2">
      <c r="A10776" s="19"/>
      <c r="B10776" s="19"/>
      <c r="C10776" s="19"/>
      <c r="D10776" s="19"/>
      <c r="E10776" s="19"/>
      <c r="F10776" s="19"/>
      <c r="G10776" s="19"/>
      <c r="H10776" s="19"/>
      <c r="I10776" s="19"/>
      <c r="J10776" s="19"/>
      <c r="K10776" s="19"/>
      <c r="L10776" s="19"/>
      <c r="M10776" s="19"/>
      <c r="N10776" s="19"/>
      <c r="O10776" s="14" t="str">
        <f>HYPERLINK("https://otsuka-europe-crm.veevavault.com/ui/#object/email_activity__v/V8C00000003X539", "EN-002097822")</f>
        <v>EN-002097822</v>
      </c>
    </row>
    <row r="10777" spans="1:15" ht="64" x14ac:dyDescent="0.2">
      <c r="A10777" s="7" t="str">
        <f>HYPERLINK("https://otsuka-europe-crm.veevavault.com/ui/#object/account__v/V4TZ06G6O71SB1H", "GIOVANNI GAMBARO")</f>
        <v>GIOVANNI GAMBARO</v>
      </c>
      <c r="B10777" s="7" t="str">
        <f t="shared" ref="B10777:B10786" si="838">HYPERLINK("https://otsuka-europe-crm.veevavault.com/ui/#object/vcountry__v/VENZ000004SONFQ", "IT")</f>
        <v>IT</v>
      </c>
      <c r="C10777" s="8" t="s">
        <v>44</v>
      </c>
      <c r="D10777" s="9" t="str">
        <f t="shared" ref="D10777:D10786" si="839">HYPERLINK("https://otsuka-europe-crm.veevavault.com/ui/#object/approved_document__v/V5O00000000G061", "AE - AGGIORNAMENTI SEZIONE APPROFONDIMENTI NEFRO IT-NPR-2500150")</f>
        <v>AE - AGGIORNAMENTI SEZIONE APPROFONDIMENTI NEFRO IT-NPR-2500150</v>
      </c>
      <c r="E10777" s="10" t="str">
        <f>HYPERLINK("https://otsuka-europe-crm.veevavault.com/ui/#object/sent_email__v/VBL00000002U867", "SE-001436757")</f>
        <v>SE-001436757</v>
      </c>
      <c r="F10777" s="11"/>
      <c r="G10777" s="12">
        <v>0</v>
      </c>
      <c r="H10777" s="12">
        <v>0</v>
      </c>
      <c r="I10777" s="12">
        <v>0</v>
      </c>
      <c r="J10777" s="11"/>
      <c r="K10777" s="12">
        <v>0</v>
      </c>
      <c r="L10777" s="10" t="str">
        <f t="shared" ref="L10777:L10786" si="840">HYPERLINK("https://otsuka-europe-crm.veevavault.com/ui/#object/approved_document__v/V5O00000000G061", "AE - AGGIORNAMENTI SEZIONE APPROFONDIMENTI NEFRO IT-NPR-2500150")</f>
        <v>AE - AGGIORNAMENTI SEZIONE APPROFONDIMENTI NEFRO IT-NPR-2500150</v>
      </c>
      <c r="M10777" s="10" t="str">
        <f t="shared" ref="M10777:M10786" si="841">HYPERLINK("mailto:giada.camassa@outsuka.it", "giada.camassa@outsuka.it")</f>
        <v>giada.camassa@outsuka.it</v>
      </c>
      <c r="N10777" s="13">
        <v>46190.337951388887</v>
      </c>
      <c r="O10777" s="14" t="str">
        <f>HYPERLINK("https://otsuka-europe-crm.veevavault.com/ui/#object/email_activity__v/V8C00000003X346", "EN-002097642")</f>
        <v>EN-002097642</v>
      </c>
    </row>
    <row r="10778" spans="1:15" ht="64" x14ac:dyDescent="0.2">
      <c r="A10778" s="7" t="str">
        <f>HYPERLINK("https://otsuka-europe-crm.veevavault.com/ui/#object/account__v/V4TZ04ASGBNXIIN", "GIOVANNI GIULIANI")</f>
        <v>GIOVANNI GIULIANI</v>
      </c>
      <c r="B10778" s="7" t="str">
        <f t="shared" si="838"/>
        <v>IT</v>
      </c>
      <c r="C10778" s="8" t="s">
        <v>44</v>
      </c>
      <c r="D10778" s="9" t="str">
        <f t="shared" si="839"/>
        <v>AE - AGGIORNAMENTI SEZIONE APPROFONDIMENTI NEFRO IT-NPR-2500150</v>
      </c>
      <c r="E10778" s="10" t="str">
        <f>HYPERLINK("https://otsuka-europe-crm.veevavault.com/ui/#object/sent_email__v/VBL00000002U868", "SE-001436758")</f>
        <v>SE-001436758</v>
      </c>
      <c r="F10778" s="11"/>
      <c r="G10778" s="12">
        <v>0</v>
      </c>
      <c r="H10778" s="12">
        <v>0</v>
      </c>
      <c r="I10778" s="12">
        <v>0</v>
      </c>
      <c r="J10778" s="11"/>
      <c r="K10778" s="12">
        <v>0</v>
      </c>
      <c r="L10778" s="10" t="str">
        <f t="shared" si="840"/>
        <v>AE - AGGIORNAMENTI SEZIONE APPROFONDIMENTI NEFRO IT-NPR-2500150</v>
      </c>
      <c r="M10778" s="10" t="str">
        <f t="shared" si="841"/>
        <v>giada.camassa@outsuka.it</v>
      </c>
      <c r="N10778" s="13">
        <v>46190.337893518517</v>
      </c>
      <c r="O10778" s="14" t="str">
        <f>HYPERLINK("https://otsuka-europe-crm.veevavault.com/ui/#object/email_activity__v/V8C00000003W367", "EN-002097424")</f>
        <v>EN-002097424</v>
      </c>
    </row>
    <row r="10779" spans="1:15" ht="64" x14ac:dyDescent="0.2">
      <c r="A10779" s="7" t="str">
        <f>HYPERLINK("https://otsuka-europe-crm.veevavault.com/ui/#object/account__v/V4TZ06G6O71SAWJ", "GIOVANNI GIUNTINI")</f>
        <v>GIOVANNI GIUNTINI</v>
      </c>
      <c r="B10779" s="7" t="str">
        <f t="shared" si="838"/>
        <v>IT</v>
      </c>
      <c r="C10779" s="8" t="s">
        <v>44</v>
      </c>
      <c r="D10779" s="9" t="str">
        <f t="shared" si="839"/>
        <v>AE - AGGIORNAMENTI SEZIONE APPROFONDIMENTI NEFRO IT-NPR-2500150</v>
      </c>
      <c r="E10779" s="10" t="str">
        <f>HYPERLINK("https://otsuka-europe-crm.veevavault.com/ui/#object/sent_email__v/VBL00000002U869", "SE-001436759")</f>
        <v>SE-001436759</v>
      </c>
      <c r="F10779" s="11"/>
      <c r="G10779" s="12">
        <v>0</v>
      </c>
      <c r="H10779" s="12">
        <v>0</v>
      </c>
      <c r="I10779" s="12">
        <v>0</v>
      </c>
      <c r="J10779" s="11"/>
      <c r="K10779" s="12">
        <v>0</v>
      </c>
      <c r="L10779" s="10" t="str">
        <f t="shared" si="840"/>
        <v>AE - AGGIORNAMENTI SEZIONE APPROFONDIMENTI NEFRO IT-NPR-2500150</v>
      </c>
      <c r="M10779" s="10" t="str">
        <f t="shared" si="841"/>
        <v>giada.camassa@outsuka.it</v>
      </c>
      <c r="N10779" s="13">
        <v>46190.337951388887</v>
      </c>
      <c r="O10779" s="14" t="str">
        <f>HYPERLINK("https://otsuka-europe-crm.veevavault.com/ui/#object/email_activity__v/V8C00000003X806", "EN-002098225")</f>
        <v>EN-002098225</v>
      </c>
    </row>
    <row r="10780" spans="1:15" ht="64" x14ac:dyDescent="0.2">
      <c r="A10780" s="7" t="str">
        <f>HYPERLINK("https://otsuka-europe-crm.veevavault.com/ui/#object/account__v/V4TZ06G6O71SCH6", "GIULIA STORACE")</f>
        <v>GIULIA STORACE</v>
      </c>
      <c r="B10780" s="7" t="str">
        <f t="shared" si="838"/>
        <v>IT</v>
      </c>
      <c r="C10780" s="8" t="s">
        <v>44</v>
      </c>
      <c r="D10780" s="9" t="str">
        <f t="shared" si="839"/>
        <v>AE - AGGIORNAMENTI SEZIONE APPROFONDIMENTI NEFRO IT-NPR-2500150</v>
      </c>
      <c r="E10780" s="10" t="str">
        <f>HYPERLINK("https://otsuka-europe-crm.veevavault.com/ui/#object/sent_email__v/VBL00000002U870", "SE-001436760")</f>
        <v>SE-001436760</v>
      </c>
      <c r="F10780" s="11"/>
      <c r="G10780" s="12">
        <v>0</v>
      </c>
      <c r="H10780" s="12">
        <v>0</v>
      </c>
      <c r="I10780" s="12">
        <v>0</v>
      </c>
      <c r="J10780" s="11"/>
      <c r="K10780" s="12">
        <v>0</v>
      </c>
      <c r="L10780" s="10" t="str">
        <f t="shared" si="840"/>
        <v>AE - AGGIORNAMENTI SEZIONE APPROFONDIMENTI NEFRO IT-NPR-2500150</v>
      </c>
      <c r="M10780" s="10" t="str">
        <f t="shared" si="841"/>
        <v>giada.camassa@outsuka.it</v>
      </c>
      <c r="N10780" s="13">
        <v>46190.337835648148</v>
      </c>
      <c r="O10780" s="14" t="str">
        <f>HYPERLINK("https://otsuka-europe-crm.veevavault.com/ui/#object/email_activity__v/V8C00000003X813", "EN-002098240")</f>
        <v>EN-002098240</v>
      </c>
    </row>
    <row r="10781" spans="1:15" ht="64" x14ac:dyDescent="0.2">
      <c r="A10781" s="7" t="str">
        <f>HYPERLINK("https://otsuka-europe-crm.veevavault.com/ui/#object/account__v/V4TZ06G6O71SCK1", "GIULIANA TOGNARELLI")</f>
        <v>GIULIANA TOGNARELLI</v>
      </c>
      <c r="B10781" s="7" t="str">
        <f t="shared" si="838"/>
        <v>IT</v>
      </c>
      <c r="C10781" s="8" t="s">
        <v>44</v>
      </c>
      <c r="D10781" s="9" t="str">
        <f t="shared" si="839"/>
        <v>AE - AGGIORNAMENTI SEZIONE APPROFONDIMENTI NEFRO IT-NPR-2500150</v>
      </c>
      <c r="E10781" s="10" t="str">
        <f>HYPERLINK("https://otsuka-europe-crm.veevavault.com/ui/#object/sent_email__v/VBL00000002U871", "SE-001436761")</f>
        <v>SE-001436761</v>
      </c>
      <c r="F10781" s="11"/>
      <c r="G10781" s="12">
        <v>0</v>
      </c>
      <c r="H10781" s="12">
        <v>0</v>
      </c>
      <c r="I10781" s="12">
        <v>0</v>
      </c>
      <c r="J10781" s="11"/>
      <c r="K10781" s="12">
        <v>0</v>
      </c>
      <c r="L10781" s="10" t="str">
        <f t="shared" si="840"/>
        <v>AE - AGGIORNAMENTI SEZIONE APPROFONDIMENTI NEFRO IT-NPR-2500150</v>
      </c>
      <c r="M10781" s="10" t="str">
        <f t="shared" si="841"/>
        <v>giada.camassa@outsuka.it</v>
      </c>
      <c r="N10781" s="13">
        <v>46190.337858796294</v>
      </c>
      <c r="O10781" s="14" t="str">
        <f>HYPERLINK("https://otsuka-europe-crm.veevavault.com/ui/#object/email_activity__v/V8C00000003X437", "EN-002097651")</f>
        <v>EN-002097651</v>
      </c>
    </row>
    <row r="10782" spans="1:15" ht="64" x14ac:dyDescent="0.2">
      <c r="A10782" s="7" t="str">
        <f>HYPERLINK("https://otsuka-europe-crm.veevavault.com/ui/#object/account__v/V4TZ06G6O71SA6A", "GIULIANO BOSCUTTI")</f>
        <v>GIULIANO BOSCUTTI</v>
      </c>
      <c r="B10782" s="7" t="str">
        <f t="shared" si="838"/>
        <v>IT</v>
      </c>
      <c r="C10782" s="8" t="s">
        <v>44</v>
      </c>
      <c r="D10782" s="9" t="str">
        <f t="shared" si="839"/>
        <v>AE - AGGIORNAMENTI SEZIONE APPROFONDIMENTI NEFRO IT-NPR-2500150</v>
      </c>
      <c r="E10782" s="10" t="str">
        <f>HYPERLINK("https://otsuka-europe-crm.veevavault.com/ui/#object/sent_email__v/VBL00000002U872", "SE-001436762")</f>
        <v>SE-001436762</v>
      </c>
      <c r="F10782" s="11"/>
      <c r="G10782" s="12">
        <v>0</v>
      </c>
      <c r="H10782" s="12">
        <v>0</v>
      </c>
      <c r="I10782" s="12">
        <v>0</v>
      </c>
      <c r="J10782" s="11"/>
      <c r="K10782" s="12">
        <v>0</v>
      </c>
      <c r="L10782" s="10" t="str">
        <f t="shared" si="840"/>
        <v>AE - AGGIORNAMENTI SEZIONE APPROFONDIMENTI NEFRO IT-NPR-2500150</v>
      </c>
      <c r="M10782" s="10" t="str">
        <f t="shared" si="841"/>
        <v>giada.camassa@outsuka.it</v>
      </c>
      <c r="N10782" s="13">
        <v>46190.33935185185</v>
      </c>
      <c r="O10782" s="14" t="str">
        <f>HYPERLINK("https://otsuka-europe-crm.veevavault.com/ui/#object/email_activity__v/V8C00000003X690", "EN-002098051")</f>
        <v>EN-002098051</v>
      </c>
    </row>
    <row r="10783" spans="1:15" ht="64" x14ac:dyDescent="0.2">
      <c r="A10783" s="7" t="str">
        <f>HYPERLINK("https://otsuka-europe-crm.veevavault.com/ui/#object/account__v/V4TZ06G6O71VWED", "GIULIANO BRUNORI")</f>
        <v>GIULIANO BRUNORI</v>
      </c>
      <c r="B10783" s="7" t="str">
        <f t="shared" si="838"/>
        <v>IT</v>
      </c>
      <c r="C10783" s="8" t="s">
        <v>44</v>
      </c>
      <c r="D10783" s="9" t="str">
        <f t="shared" si="839"/>
        <v>AE - AGGIORNAMENTI SEZIONE APPROFONDIMENTI NEFRO IT-NPR-2500150</v>
      </c>
      <c r="E10783" s="10" t="str">
        <f>HYPERLINK("https://otsuka-europe-crm.veevavault.com/ui/#object/sent_email__v/VBL00000002U873", "SE-001436763")</f>
        <v>SE-001436763</v>
      </c>
      <c r="F10783" s="11"/>
      <c r="G10783" s="12">
        <v>0</v>
      </c>
      <c r="H10783" s="12">
        <v>0</v>
      </c>
      <c r="I10783" s="12">
        <v>0</v>
      </c>
      <c r="J10783" s="11"/>
      <c r="K10783" s="12">
        <v>0</v>
      </c>
      <c r="L10783" s="10" t="str">
        <f t="shared" si="840"/>
        <v>AE - AGGIORNAMENTI SEZIONE APPROFONDIMENTI NEFRO IT-NPR-2500150</v>
      </c>
      <c r="M10783" s="10" t="str">
        <f t="shared" si="841"/>
        <v>giada.camassa@outsuka.it</v>
      </c>
      <c r="N10783" s="13">
        <v>46190.337893518517</v>
      </c>
      <c r="O10783" s="14" t="str">
        <f>HYPERLINK("https://otsuka-europe-crm.veevavault.com/ui/#object/email_activity__v/V8C00000003X333", "EN-002097629")</f>
        <v>EN-002097629</v>
      </c>
    </row>
    <row r="10784" spans="1:15" ht="64" x14ac:dyDescent="0.2">
      <c r="A10784" s="7" t="str">
        <f>HYPERLINK("https://otsuka-europe-crm.veevavault.com/ui/#object/account__v/V4TZ06G6O71S9OC", "GIUSEPPA COSTANZA")</f>
        <v>GIUSEPPA COSTANZA</v>
      </c>
      <c r="B10784" s="7" t="str">
        <f t="shared" si="838"/>
        <v>IT</v>
      </c>
      <c r="C10784" s="8" t="s">
        <v>44</v>
      </c>
      <c r="D10784" s="9" t="str">
        <f t="shared" si="839"/>
        <v>AE - AGGIORNAMENTI SEZIONE APPROFONDIMENTI NEFRO IT-NPR-2500150</v>
      </c>
      <c r="E10784" s="10" t="str">
        <f>HYPERLINK("https://otsuka-europe-crm.veevavault.com/ui/#object/sent_email__v/VBL00000002U874", "SE-001436764")</f>
        <v>SE-001436764</v>
      </c>
      <c r="F10784" s="11"/>
      <c r="G10784" s="12">
        <v>0</v>
      </c>
      <c r="H10784" s="12">
        <v>0</v>
      </c>
      <c r="I10784" s="12">
        <v>0</v>
      </c>
      <c r="J10784" s="11"/>
      <c r="K10784" s="12">
        <v>0</v>
      </c>
      <c r="L10784" s="10" t="str">
        <f t="shared" si="840"/>
        <v>AE - AGGIORNAMENTI SEZIONE APPROFONDIMENTI NEFRO IT-NPR-2500150</v>
      </c>
      <c r="M10784" s="10" t="str">
        <f t="shared" si="841"/>
        <v>giada.camassa@outsuka.it</v>
      </c>
      <c r="N10784" s="13">
        <v>46190.337835648148</v>
      </c>
      <c r="O10784" s="14" t="str">
        <f>HYPERLINK("https://otsuka-europe-crm.veevavault.com/ui/#object/email_activity__v/V8C00000003X336", "EN-002097632")</f>
        <v>EN-002097632</v>
      </c>
    </row>
    <row r="10785" spans="1:15" ht="64" x14ac:dyDescent="0.2">
      <c r="A10785" s="7" t="str">
        <f>HYPERLINK("https://otsuka-europe-crm.veevavault.com/ui/#object/account__v/V4TZ06G6O71SAHB", "GIUSEPPE DI CIENZO")</f>
        <v>GIUSEPPE DI CIENZO</v>
      </c>
      <c r="B10785" s="7" t="str">
        <f t="shared" si="838"/>
        <v>IT</v>
      </c>
      <c r="C10785" s="8" t="s">
        <v>44</v>
      </c>
      <c r="D10785" s="9" t="str">
        <f t="shared" si="839"/>
        <v>AE - AGGIORNAMENTI SEZIONE APPROFONDIMENTI NEFRO IT-NPR-2500150</v>
      </c>
      <c r="E10785" s="10" t="str">
        <f>HYPERLINK("https://otsuka-europe-crm.veevavault.com/ui/#object/sent_email__v/VBL00000002U875", "SE-001436765")</f>
        <v>SE-001436765</v>
      </c>
      <c r="F10785" s="11"/>
      <c r="G10785" s="12">
        <v>0</v>
      </c>
      <c r="H10785" s="12">
        <v>0</v>
      </c>
      <c r="I10785" s="12">
        <v>0</v>
      </c>
      <c r="J10785" s="11"/>
      <c r="K10785" s="12">
        <v>0</v>
      </c>
      <c r="L10785" s="10" t="str">
        <f t="shared" si="840"/>
        <v>AE - AGGIORNAMENTI SEZIONE APPROFONDIMENTI NEFRO IT-NPR-2500150</v>
      </c>
      <c r="M10785" s="10" t="str">
        <f t="shared" si="841"/>
        <v>giada.camassa@outsuka.it</v>
      </c>
      <c r="N10785" s="13">
        <v>46190.33792824074</v>
      </c>
      <c r="O10785" s="14" t="str">
        <f>HYPERLINK("https://otsuka-europe-crm.veevavault.com/ui/#object/email_activity__v/V8C00000003W388", "EN-002097512")</f>
        <v>EN-002097512</v>
      </c>
    </row>
    <row r="10786" spans="1:15" ht="16" x14ac:dyDescent="0.2">
      <c r="A10786" s="17" t="str">
        <f>HYPERLINK("https://otsuka-europe-crm.veevavault.com/ui/#object/account__v/V4TZ06G6O71SAQU", "GIUSEPPE GRANDALIANO")</f>
        <v>GIUSEPPE GRANDALIANO</v>
      </c>
      <c r="B10786" s="17" t="str">
        <f t="shared" si="838"/>
        <v>IT</v>
      </c>
      <c r="C10786" s="20" t="s">
        <v>44</v>
      </c>
      <c r="D10786" s="21" t="str">
        <f t="shared" si="839"/>
        <v>AE - AGGIORNAMENTI SEZIONE APPROFONDIMENTI NEFRO IT-NPR-2500150</v>
      </c>
      <c r="E10786" s="22" t="str">
        <f>HYPERLINK("https://otsuka-europe-crm.veevavault.com/ui/#object/sent_email__v/VBL00000002U876", "SE-001436766")</f>
        <v>SE-001436766</v>
      </c>
      <c r="F10786" s="23">
        <v>46190.338020833333</v>
      </c>
      <c r="G10786" s="24">
        <v>1</v>
      </c>
      <c r="H10786" s="24">
        <v>1</v>
      </c>
      <c r="I10786" s="24">
        <v>0</v>
      </c>
      <c r="J10786" s="25"/>
      <c r="K10786" s="24">
        <v>0</v>
      </c>
      <c r="L10786" s="22" t="str">
        <f t="shared" si="840"/>
        <v>AE - AGGIORNAMENTI SEZIONE APPROFONDIMENTI NEFRO IT-NPR-2500150</v>
      </c>
      <c r="M10786" s="22" t="str">
        <f t="shared" si="841"/>
        <v>giada.camassa@outsuka.it</v>
      </c>
      <c r="N10786" s="23">
        <v>46190.337870370371</v>
      </c>
      <c r="O10786" s="14" t="str">
        <f>HYPERLINK("https://otsuka-europe-crm.veevavault.com/ui/#object/email_activity__v/V8C00000003X355", "EN-002097533")</f>
        <v>EN-002097533</v>
      </c>
    </row>
    <row r="10787" spans="1:15" ht="16" x14ac:dyDescent="0.2">
      <c r="A10787" s="19"/>
      <c r="B10787" s="19"/>
      <c r="C10787" s="19"/>
      <c r="D10787" s="19"/>
      <c r="E10787" s="19"/>
      <c r="F10787" s="19"/>
      <c r="G10787" s="19"/>
      <c r="H10787" s="19"/>
      <c r="I10787" s="19"/>
      <c r="J10787" s="19"/>
      <c r="K10787" s="19"/>
      <c r="L10787" s="19"/>
      <c r="M10787" s="19"/>
      <c r="N10787" s="19"/>
      <c r="O10787" s="14" t="str">
        <f>HYPERLINK("https://otsuka-europe-crm.veevavault.com/ui/#object/email_activity__v/V8C00000003X531", "EN-002097814")</f>
        <v>EN-002097814</v>
      </c>
    </row>
    <row r="10788" spans="1:15" ht="16" x14ac:dyDescent="0.2">
      <c r="A10788" s="17" t="str">
        <f>HYPERLINK("https://otsuka-europe-crm.veevavault.com/ui/#object/account__v/V4TZ06G6O71SCR0", "GIUSEPPE IULIANIELLO")</f>
        <v>GIUSEPPE IULIANIELLO</v>
      </c>
      <c r="B10788" s="17" t="str">
        <f>HYPERLINK("https://otsuka-europe-crm.veevavault.com/ui/#object/vcountry__v/VENZ000004SONFQ", "IT")</f>
        <v>IT</v>
      </c>
      <c r="C10788" s="20" t="s">
        <v>44</v>
      </c>
      <c r="D10788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788" s="22" t="str">
        <f>HYPERLINK("https://otsuka-europe-crm.veevavault.com/ui/#object/sent_email__v/VBL00000002U877", "SE-001436767")</f>
        <v>SE-001436767</v>
      </c>
      <c r="F10788" s="23">
        <v>46190.33803240741</v>
      </c>
      <c r="G10788" s="24">
        <v>1</v>
      </c>
      <c r="H10788" s="24">
        <v>3</v>
      </c>
      <c r="I10788" s="24">
        <v>0</v>
      </c>
      <c r="J10788" s="25"/>
      <c r="K10788" s="24">
        <v>0</v>
      </c>
      <c r="L10788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788" s="22" t="str">
        <f>HYPERLINK("mailto:giada.camassa@outsuka.it", "giada.camassa@outsuka.it")</f>
        <v>giada.camassa@outsuka.it</v>
      </c>
      <c r="N10788" s="23">
        <v>46190.337858796294</v>
      </c>
      <c r="O10788" s="14" t="str">
        <f>HYPERLINK("https://otsuka-europe-crm.veevavault.com/ui/#object/email_activity__v/V8C00000003W373", "EN-002097463")</f>
        <v>EN-002097463</v>
      </c>
    </row>
    <row r="10789" spans="1:15" ht="16" x14ac:dyDescent="0.2">
      <c r="A10789" s="18"/>
      <c r="B10789" s="18"/>
      <c r="C10789" s="18"/>
      <c r="D10789" s="18"/>
      <c r="E10789" s="18"/>
      <c r="F10789" s="18"/>
      <c r="G10789" s="18"/>
      <c r="H10789" s="18"/>
      <c r="I10789" s="18"/>
      <c r="J10789" s="18"/>
      <c r="K10789" s="18"/>
      <c r="L10789" s="18"/>
      <c r="M10789" s="18"/>
      <c r="N10789" s="18"/>
      <c r="O10789" s="14" t="str">
        <f>HYPERLINK("https://otsuka-europe-crm.veevavault.com/ui/#object/email_activity__v/V8C00000003W497", "EN-002097893")</f>
        <v>EN-002097893</v>
      </c>
    </row>
    <row r="10790" spans="1:15" ht="16" x14ac:dyDescent="0.2">
      <c r="A10790" s="18"/>
      <c r="B10790" s="18"/>
      <c r="C10790" s="18"/>
      <c r="D10790" s="18"/>
      <c r="E10790" s="18"/>
      <c r="F10790" s="18"/>
      <c r="G10790" s="18"/>
      <c r="H10790" s="18"/>
      <c r="I10790" s="18"/>
      <c r="J10790" s="18"/>
      <c r="K10790" s="18"/>
      <c r="L10790" s="18"/>
      <c r="M10790" s="18"/>
      <c r="N10790" s="18"/>
      <c r="O10790" s="14" t="str">
        <f>HYPERLINK("https://otsuka-europe-crm.veevavault.com/ui/#object/email_activity__v/V8C00000003X588", "EN-002097892")</f>
        <v>EN-002097892</v>
      </c>
    </row>
    <row r="10791" spans="1:15" ht="16" x14ac:dyDescent="0.2">
      <c r="A10791" s="19"/>
      <c r="B10791" s="19"/>
      <c r="C10791" s="19"/>
      <c r="D10791" s="19"/>
      <c r="E10791" s="19"/>
      <c r="F10791" s="19"/>
      <c r="G10791" s="19"/>
      <c r="H10791" s="19"/>
      <c r="I10791" s="19"/>
      <c r="J10791" s="19"/>
      <c r="K10791" s="19"/>
      <c r="L10791" s="19"/>
      <c r="M10791" s="19"/>
      <c r="N10791" s="19"/>
      <c r="O10791" s="14" t="str">
        <f>HYPERLINK("https://otsuka-europe-crm.veevavault.com/ui/#object/email_activity__v/V8C00000003Z013", "EN-002098676")</f>
        <v>EN-002098676</v>
      </c>
    </row>
    <row r="10792" spans="1:15" ht="64" x14ac:dyDescent="0.2">
      <c r="A10792" s="7" t="str">
        <f>HYPERLINK("https://otsuka-europe-crm.veevavault.com/ui/#object/account__v/V4TZ06G6OC6KPIO", "GIUSEPPE SCAPARROTTA")</f>
        <v>GIUSEPPE SCAPARROTTA</v>
      </c>
      <c r="B10792" s="7" t="str">
        <f t="shared" ref="B10792:B10798" si="842">HYPERLINK("https://otsuka-europe-crm.veevavault.com/ui/#object/vcountry__v/VENZ000004SONFQ", "IT")</f>
        <v>IT</v>
      </c>
      <c r="C10792" s="8" t="s">
        <v>44</v>
      </c>
      <c r="D10792" s="9" t="str">
        <f t="shared" ref="D10792:D10798" si="843">HYPERLINK("https://otsuka-europe-crm.veevavault.com/ui/#object/approved_document__v/V5O00000000G061", "AE - AGGIORNAMENTI SEZIONE APPROFONDIMENTI NEFRO IT-NPR-2500150")</f>
        <v>AE - AGGIORNAMENTI SEZIONE APPROFONDIMENTI NEFRO IT-NPR-2500150</v>
      </c>
      <c r="E10792" s="10" t="str">
        <f>HYPERLINK("https://otsuka-europe-crm.veevavault.com/ui/#object/sent_email__v/VBL00000002U879", "SE-001436769")</f>
        <v>SE-001436769</v>
      </c>
      <c r="F10792" s="11"/>
      <c r="G10792" s="12">
        <v>0</v>
      </c>
      <c r="H10792" s="12">
        <v>0</v>
      </c>
      <c r="I10792" s="12">
        <v>0</v>
      </c>
      <c r="J10792" s="11"/>
      <c r="K10792" s="12">
        <v>0</v>
      </c>
      <c r="L10792" s="10" t="str">
        <f t="shared" ref="L10792:L10798" si="844">HYPERLINK("https://otsuka-europe-crm.veevavault.com/ui/#object/approved_document__v/V5O00000000G061", "AE - AGGIORNAMENTI SEZIONE APPROFONDIMENTI NEFRO IT-NPR-2500150")</f>
        <v>AE - AGGIORNAMENTI SEZIONE APPROFONDIMENTI NEFRO IT-NPR-2500150</v>
      </c>
      <c r="M10792" s="10" t="str">
        <f t="shared" ref="M10792:M10798" si="845">HYPERLINK("mailto:giada.camassa@outsuka.it", "giada.camassa@outsuka.it")</f>
        <v>giada.camassa@outsuka.it</v>
      </c>
      <c r="N10792" s="13">
        <v>46190.337847222225</v>
      </c>
      <c r="O10792" s="14" t="str">
        <f>HYPERLINK("https://otsuka-europe-crm.veevavault.com/ui/#object/email_activity__v/V8C00000003X243", "EN-002097390")</f>
        <v>EN-002097390</v>
      </c>
    </row>
    <row r="10793" spans="1:15" ht="64" x14ac:dyDescent="0.2">
      <c r="A10793" s="7" t="str">
        <f>HYPERLINK("https://otsuka-europe-crm.veevavault.com/ui/#object/account__v/V4TZ06G6O71SCMC", "GIUSEPPE TUMINO")</f>
        <v>GIUSEPPE TUMINO</v>
      </c>
      <c r="B10793" s="7" t="str">
        <f t="shared" si="842"/>
        <v>IT</v>
      </c>
      <c r="C10793" s="8" t="s">
        <v>44</v>
      </c>
      <c r="D10793" s="9" t="str">
        <f t="shared" si="843"/>
        <v>AE - AGGIORNAMENTI SEZIONE APPROFONDIMENTI NEFRO IT-NPR-2500150</v>
      </c>
      <c r="E10793" s="10" t="str">
        <f>HYPERLINK("https://otsuka-europe-crm.veevavault.com/ui/#object/sent_email__v/VBL00000002U880", "SE-001436770")</f>
        <v>SE-001436770</v>
      </c>
      <c r="F10793" s="11"/>
      <c r="G10793" s="12">
        <v>0</v>
      </c>
      <c r="H10793" s="12">
        <v>0</v>
      </c>
      <c r="I10793" s="12">
        <v>0</v>
      </c>
      <c r="J10793" s="11"/>
      <c r="K10793" s="12">
        <v>0</v>
      </c>
      <c r="L10793" s="10" t="str">
        <f t="shared" si="844"/>
        <v>AE - AGGIORNAMENTI SEZIONE APPROFONDIMENTI NEFRO IT-NPR-2500150</v>
      </c>
      <c r="M10793" s="10" t="str">
        <f t="shared" si="845"/>
        <v>giada.camassa@outsuka.it</v>
      </c>
      <c r="N10793" s="13">
        <v>46190.338194444441</v>
      </c>
      <c r="O10793" s="14" t="str">
        <f>HYPERLINK("https://otsuka-europe-crm.veevavault.com/ui/#object/email_activity__v/V8C00000003X579", "EN-002097875")</f>
        <v>EN-002097875</v>
      </c>
    </row>
    <row r="10794" spans="1:15" ht="64" x14ac:dyDescent="0.2">
      <c r="A10794" s="7" t="str">
        <f>HYPERLINK("https://otsuka-europe-crm.veevavault.com/ui/#object/account__v/V4TZ06G6O71SC5A", "GIUSEPPINA ROSSO")</f>
        <v>GIUSEPPINA ROSSO</v>
      </c>
      <c r="B10794" s="7" t="str">
        <f t="shared" si="842"/>
        <v>IT</v>
      </c>
      <c r="C10794" s="8" t="s">
        <v>44</v>
      </c>
      <c r="D10794" s="9" t="str">
        <f t="shared" si="843"/>
        <v>AE - AGGIORNAMENTI SEZIONE APPROFONDIMENTI NEFRO IT-NPR-2500150</v>
      </c>
      <c r="E10794" s="10" t="str">
        <f>HYPERLINK("https://otsuka-europe-crm.veevavault.com/ui/#object/sent_email__v/VBL00000002U881", "SE-001436771")</f>
        <v>SE-001436771</v>
      </c>
      <c r="F10794" s="11"/>
      <c r="G10794" s="12">
        <v>0</v>
      </c>
      <c r="H10794" s="12">
        <v>0</v>
      </c>
      <c r="I10794" s="12">
        <v>0</v>
      </c>
      <c r="J10794" s="11"/>
      <c r="K10794" s="12">
        <v>0</v>
      </c>
      <c r="L10794" s="10" t="str">
        <f t="shared" si="844"/>
        <v>AE - AGGIORNAMENTI SEZIONE APPROFONDIMENTI NEFRO IT-NPR-2500150</v>
      </c>
      <c r="M10794" s="10" t="str">
        <f t="shared" si="845"/>
        <v>giada.camassa@outsuka.it</v>
      </c>
      <c r="N10794" s="13">
        <v>46190.338773148149</v>
      </c>
      <c r="O10794" s="14" t="str">
        <f>HYPERLINK("https://otsuka-europe-crm.veevavault.com/ui/#object/email_activity__v/V8C00000003X809", "EN-002098232")</f>
        <v>EN-002098232</v>
      </c>
    </row>
    <row r="10795" spans="1:15" ht="64" x14ac:dyDescent="0.2">
      <c r="A10795" s="7" t="str">
        <f>HYPERLINK("https://otsuka-europe-crm.veevavault.com/ui/#object/account__v/V4TZ025E83LMB5L", "GIUSEPPINA SIMONE")</f>
        <v>GIUSEPPINA SIMONE</v>
      </c>
      <c r="B10795" s="7" t="str">
        <f t="shared" si="842"/>
        <v>IT</v>
      </c>
      <c r="C10795" s="8" t="s">
        <v>44</v>
      </c>
      <c r="D10795" s="9" t="str">
        <f t="shared" si="843"/>
        <v>AE - AGGIORNAMENTI SEZIONE APPROFONDIMENTI NEFRO IT-NPR-2500150</v>
      </c>
      <c r="E10795" s="10" t="str">
        <f>HYPERLINK("https://otsuka-europe-crm.veevavault.com/ui/#object/sent_email__v/VBL00000002U882", "SE-001436772")</f>
        <v>SE-001436772</v>
      </c>
      <c r="F10795" s="11"/>
      <c r="G10795" s="12">
        <v>0</v>
      </c>
      <c r="H10795" s="12">
        <v>0</v>
      </c>
      <c r="I10795" s="12">
        <v>0</v>
      </c>
      <c r="J10795" s="11"/>
      <c r="K10795" s="12">
        <v>0</v>
      </c>
      <c r="L10795" s="10" t="str">
        <f t="shared" si="844"/>
        <v>AE - AGGIORNAMENTI SEZIONE APPROFONDIMENTI NEFRO IT-NPR-2500150</v>
      </c>
      <c r="M10795" s="10" t="str">
        <f t="shared" si="845"/>
        <v>giada.camassa@outsuka.it</v>
      </c>
      <c r="N10795" s="13">
        <v>46190.337835648148</v>
      </c>
      <c r="O10795" s="14" t="str">
        <f>HYPERLINK("https://otsuka-europe-crm.veevavault.com/ui/#object/email_activity__v/V8C00000003W608", "EN-002098214")</f>
        <v>EN-002098214</v>
      </c>
    </row>
    <row r="10796" spans="1:15" ht="64" x14ac:dyDescent="0.2">
      <c r="A10796" s="7" t="str">
        <f>HYPERLINK("https://otsuka-europe-crm.veevavault.com/ui/#object/account__v/V4TZ06G6O71SCOY", "GIUSTO VIGLINO")</f>
        <v>GIUSTO VIGLINO</v>
      </c>
      <c r="B10796" s="7" t="str">
        <f t="shared" si="842"/>
        <v>IT</v>
      </c>
      <c r="C10796" s="8" t="s">
        <v>44</v>
      </c>
      <c r="D10796" s="9" t="str">
        <f t="shared" si="843"/>
        <v>AE - AGGIORNAMENTI SEZIONE APPROFONDIMENTI NEFRO IT-NPR-2500150</v>
      </c>
      <c r="E10796" s="10" t="str">
        <f>HYPERLINK("https://otsuka-europe-crm.veevavault.com/ui/#object/sent_email__v/VBL00000002U883", "SE-001436773")</f>
        <v>SE-001436773</v>
      </c>
      <c r="F10796" s="11"/>
      <c r="G10796" s="12">
        <v>0</v>
      </c>
      <c r="H10796" s="12">
        <v>0</v>
      </c>
      <c r="I10796" s="12">
        <v>0</v>
      </c>
      <c r="J10796" s="11"/>
      <c r="K10796" s="12">
        <v>0</v>
      </c>
      <c r="L10796" s="10" t="str">
        <f t="shared" si="844"/>
        <v>AE - AGGIORNAMENTI SEZIONE APPROFONDIMENTI NEFRO IT-NPR-2500150</v>
      </c>
      <c r="M10796" s="10" t="str">
        <f t="shared" si="845"/>
        <v>giada.camassa@outsuka.it</v>
      </c>
      <c r="N10796" s="13">
        <v>46190.337951388887</v>
      </c>
      <c r="O10796" s="14" t="str">
        <f>HYPERLINK("https://otsuka-europe-crm.veevavault.com/ui/#object/email_activity__v/V8C00000003X418", "EN-002097613")</f>
        <v>EN-002097613</v>
      </c>
    </row>
    <row r="10797" spans="1:15" ht="64" x14ac:dyDescent="0.2">
      <c r="A10797" s="7" t="str">
        <f>HYPERLINK("https://otsuka-europe-crm.veevavault.com/ui/#object/account__v/V4TZ06G6O71SBEA", "GUIDO MARTINA")</f>
        <v>GUIDO MARTINA</v>
      </c>
      <c r="B10797" s="7" t="str">
        <f t="shared" si="842"/>
        <v>IT</v>
      </c>
      <c r="C10797" s="8" t="s">
        <v>44</v>
      </c>
      <c r="D10797" s="9" t="str">
        <f t="shared" si="843"/>
        <v>AE - AGGIORNAMENTI SEZIONE APPROFONDIMENTI NEFRO IT-NPR-2500150</v>
      </c>
      <c r="E10797" s="10" t="str">
        <f>HYPERLINK("https://otsuka-europe-crm.veevavault.com/ui/#object/sent_email__v/VBL00000002U884", "SE-001436774")</f>
        <v>SE-001436774</v>
      </c>
      <c r="F10797" s="11"/>
      <c r="G10797" s="12">
        <v>0</v>
      </c>
      <c r="H10797" s="12">
        <v>0</v>
      </c>
      <c r="I10797" s="12">
        <v>0</v>
      </c>
      <c r="J10797" s="11"/>
      <c r="K10797" s="12">
        <v>0</v>
      </c>
      <c r="L10797" s="10" t="str">
        <f t="shared" si="844"/>
        <v>AE - AGGIORNAMENTI SEZIONE APPROFONDIMENTI NEFRO IT-NPR-2500150</v>
      </c>
      <c r="M10797" s="10" t="str">
        <f t="shared" si="845"/>
        <v>giada.camassa@outsuka.it</v>
      </c>
      <c r="N10797" s="13">
        <v>46190.337858796294</v>
      </c>
      <c r="O10797" s="14" t="str">
        <f>HYPERLINK("https://otsuka-europe-crm.veevavault.com/ui/#object/email_activity__v/V8C00000003W347", "EN-002097404")</f>
        <v>EN-002097404</v>
      </c>
    </row>
    <row r="10798" spans="1:15" ht="16" x14ac:dyDescent="0.2">
      <c r="A10798" s="17" t="str">
        <f>HYPERLINK("https://otsuka-europe-crm.veevavault.com/ui/#object/account__v/V4TZ06G6O71S9ZA", "HASAN AWAD")</f>
        <v>HASAN AWAD</v>
      </c>
      <c r="B10798" s="17" t="str">
        <f t="shared" si="842"/>
        <v>IT</v>
      </c>
      <c r="C10798" s="20" t="s">
        <v>44</v>
      </c>
      <c r="D10798" s="21" t="str">
        <f t="shared" si="843"/>
        <v>AE - AGGIORNAMENTI SEZIONE APPROFONDIMENTI NEFRO IT-NPR-2500150</v>
      </c>
      <c r="E10798" s="22" t="str">
        <f>HYPERLINK("https://otsuka-europe-crm.veevavault.com/ui/#object/sent_email__v/VBL00000002U885", "SE-001436775")</f>
        <v>SE-001436775</v>
      </c>
      <c r="F10798" s="25"/>
      <c r="G10798" s="24">
        <v>0</v>
      </c>
      <c r="H10798" s="24">
        <v>0</v>
      </c>
      <c r="I10798" s="24">
        <v>1</v>
      </c>
      <c r="J10798" s="23">
        <v>46190.610439814816</v>
      </c>
      <c r="K10798" s="24">
        <v>1</v>
      </c>
      <c r="L10798" s="22" t="str">
        <f t="shared" si="844"/>
        <v>AE - AGGIORNAMENTI SEZIONE APPROFONDIMENTI NEFRO IT-NPR-2500150</v>
      </c>
      <c r="M10798" s="22" t="str">
        <f t="shared" si="845"/>
        <v>giada.camassa@outsuka.it</v>
      </c>
      <c r="N10798" s="23">
        <v>46190.337916666664</v>
      </c>
      <c r="O10798" s="14" t="str">
        <f>HYPERLINK("https://otsuka-europe-crm.veevavault.com/ui/#object/email_activity__v/V8C00000003W717", "EN-002098421")</f>
        <v>EN-002098421</v>
      </c>
    </row>
    <row r="10799" spans="1:15" ht="16" x14ac:dyDescent="0.2">
      <c r="A10799" s="18"/>
      <c r="B10799" s="18"/>
      <c r="C10799" s="18"/>
      <c r="D10799" s="18"/>
      <c r="E10799" s="18"/>
      <c r="F10799" s="18"/>
      <c r="G10799" s="18"/>
      <c r="H10799" s="18"/>
      <c r="I10799" s="18"/>
      <c r="J10799" s="18"/>
      <c r="K10799" s="18"/>
      <c r="L10799" s="18"/>
      <c r="M10799" s="18"/>
      <c r="N10799" s="18"/>
      <c r="O10799" s="14" t="str">
        <f>HYPERLINK("https://otsuka-europe-crm.veevavault.com/ui/#object/email_activity__v/V8C00000003X265", "EN-002097440")</f>
        <v>EN-002097440</v>
      </c>
    </row>
    <row r="10800" spans="1:15" ht="16" x14ac:dyDescent="0.2">
      <c r="A10800" s="19"/>
      <c r="B10800" s="19"/>
      <c r="C10800" s="19"/>
      <c r="D10800" s="19"/>
      <c r="E10800" s="19"/>
      <c r="F10800" s="19"/>
      <c r="G10800" s="19"/>
      <c r="H10800" s="19"/>
      <c r="I10800" s="19"/>
      <c r="J10800" s="19"/>
      <c r="K10800" s="19"/>
      <c r="L10800" s="19"/>
      <c r="M10800" s="19"/>
      <c r="N10800" s="19"/>
      <c r="O10800" s="14" t="str">
        <f>HYPERLINK("https://otsuka-europe-crm.veevavault.com/ui/#object/email_activity__v/V8C00000003X897", "EN-002098422")</f>
        <v>EN-002098422</v>
      </c>
    </row>
    <row r="10801" spans="1:15" ht="64" x14ac:dyDescent="0.2">
      <c r="A10801" s="7" t="str">
        <f>HYPERLINK("https://otsuka-europe-crm.veevavault.com/ui/#object/account__v/V4TZ06G6O71S9VK", "IACOPO GIANASSI")</f>
        <v>IACOPO GIANASSI</v>
      </c>
      <c r="B10801" s="7" t="str">
        <f t="shared" ref="B10801:B10810" si="846">HYPERLINK("https://otsuka-europe-crm.veevavault.com/ui/#object/vcountry__v/VENZ000004SONFQ", "IT")</f>
        <v>IT</v>
      </c>
      <c r="C10801" s="8" t="s">
        <v>44</v>
      </c>
      <c r="D10801" s="9" t="str">
        <f t="shared" ref="D10801:D10810" si="847">HYPERLINK("https://otsuka-europe-crm.veevavault.com/ui/#object/approved_document__v/V5O00000000G061", "AE - AGGIORNAMENTI SEZIONE APPROFONDIMENTI NEFRO IT-NPR-2500150")</f>
        <v>AE - AGGIORNAMENTI SEZIONE APPROFONDIMENTI NEFRO IT-NPR-2500150</v>
      </c>
      <c r="E10801" s="10" t="str">
        <f>HYPERLINK("https://otsuka-europe-crm.veevavault.com/ui/#object/sent_email__v/VBL00000002U886", "SE-001436776")</f>
        <v>SE-001436776</v>
      </c>
      <c r="F10801" s="11"/>
      <c r="G10801" s="12">
        <v>0</v>
      </c>
      <c r="H10801" s="12">
        <v>0</v>
      </c>
      <c r="I10801" s="12">
        <v>0</v>
      </c>
      <c r="J10801" s="11"/>
      <c r="K10801" s="12">
        <v>0</v>
      </c>
      <c r="L10801" s="10" t="str">
        <f t="shared" ref="L10801:L10810" si="848">HYPERLINK("https://otsuka-europe-crm.veevavault.com/ui/#object/approved_document__v/V5O00000000G061", "AE - AGGIORNAMENTI SEZIONE APPROFONDIMENTI NEFRO IT-NPR-2500150")</f>
        <v>AE - AGGIORNAMENTI SEZIONE APPROFONDIMENTI NEFRO IT-NPR-2500150</v>
      </c>
      <c r="M10801" s="10" t="str">
        <f t="shared" ref="M10801:M10810" si="849">HYPERLINK("mailto:giada.camassa@outsuka.it", "giada.camassa@outsuka.it")</f>
        <v>giada.camassa@outsuka.it</v>
      </c>
      <c r="N10801" s="13">
        <v>46190.337870370371</v>
      </c>
      <c r="O10801" s="14" t="str">
        <f>HYPERLINK("https://otsuka-europe-crm.veevavault.com/ui/#object/email_activity__v/V8C00000003X264", "EN-002097439")</f>
        <v>EN-002097439</v>
      </c>
    </row>
    <row r="10802" spans="1:15" ht="64" x14ac:dyDescent="0.2">
      <c r="A10802" s="7" t="str">
        <f>HYPERLINK("https://otsuka-europe-crm.veevavault.com/ui/#object/account__v/V4TZ04ASGBU4GS3", "ILARIA SERRIELLO")</f>
        <v>ILARIA SERRIELLO</v>
      </c>
      <c r="B10802" s="7" t="str">
        <f t="shared" si="846"/>
        <v>IT</v>
      </c>
      <c r="C10802" s="8" t="s">
        <v>44</v>
      </c>
      <c r="D10802" s="9" t="str">
        <f t="shared" si="847"/>
        <v>AE - AGGIORNAMENTI SEZIONE APPROFONDIMENTI NEFRO IT-NPR-2500150</v>
      </c>
      <c r="E10802" s="10" t="str">
        <f>HYPERLINK("https://otsuka-europe-crm.veevavault.com/ui/#object/sent_email__v/VBL00000002U887", "SE-001436777")</f>
        <v>SE-001436777</v>
      </c>
      <c r="F10802" s="11"/>
      <c r="G10802" s="12">
        <v>0</v>
      </c>
      <c r="H10802" s="12">
        <v>0</v>
      </c>
      <c r="I10802" s="12">
        <v>0</v>
      </c>
      <c r="J10802" s="11"/>
      <c r="K10802" s="12">
        <v>0</v>
      </c>
      <c r="L10802" s="10" t="str">
        <f t="shared" si="848"/>
        <v>AE - AGGIORNAMENTI SEZIONE APPROFONDIMENTI NEFRO IT-NPR-2500150</v>
      </c>
      <c r="M10802" s="10" t="str">
        <f t="shared" si="849"/>
        <v>giada.camassa@outsuka.it</v>
      </c>
      <c r="N10802" s="13">
        <v>46190.337881944448</v>
      </c>
      <c r="O10802" s="14" t="str">
        <f>HYPERLINK("https://otsuka-europe-crm.veevavault.com/ui/#object/email_activity__v/V8C00000003X271", "EN-002097446")</f>
        <v>EN-002097446</v>
      </c>
    </row>
    <row r="10803" spans="1:15" ht="64" x14ac:dyDescent="0.2">
      <c r="A10803" s="7" t="str">
        <f>HYPERLINK("https://otsuka-europe-crm.veevavault.com/ui/#object/account__v/V4TZ06G6O71S9VP", "ISABELLA PISANI")</f>
        <v>ISABELLA PISANI</v>
      </c>
      <c r="B10803" s="7" t="str">
        <f t="shared" si="846"/>
        <v>IT</v>
      </c>
      <c r="C10803" s="8" t="s">
        <v>44</v>
      </c>
      <c r="D10803" s="9" t="str">
        <f t="shared" si="847"/>
        <v>AE - AGGIORNAMENTI SEZIONE APPROFONDIMENTI NEFRO IT-NPR-2500150</v>
      </c>
      <c r="E10803" s="10" t="str">
        <f>HYPERLINK("https://otsuka-europe-crm.veevavault.com/ui/#object/sent_email__v/VBL00000002U888", "SE-001436778")</f>
        <v>SE-001436778</v>
      </c>
      <c r="F10803" s="11"/>
      <c r="G10803" s="12">
        <v>0</v>
      </c>
      <c r="H10803" s="12">
        <v>0</v>
      </c>
      <c r="I10803" s="12">
        <v>0</v>
      </c>
      <c r="J10803" s="11"/>
      <c r="K10803" s="12">
        <v>0</v>
      </c>
      <c r="L10803" s="10" t="str">
        <f t="shared" si="848"/>
        <v>AE - AGGIORNAMENTI SEZIONE APPROFONDIMENTI NEFRO IT-NPR-2500150</v>
      </c>
      <c r="M10803" s="10" t="str">
        <f t="shared" si="849"/>
        <v>giada.camassa@outsuka.it</v>
      </c>
      <c r="N10803" s="13">
        <v>46190.339513888888</v>
      </c>
      <c r="O10803" s="14" t="str">
        <f>HYPERLINK("https://otsuka-europe-crm.veevavault.com/ui/#object/email_activity__v/V8C00000003W570", "EN-002098091")</f>
        <v>EN-002098091</v>
      </c>
    </row>
    <row r="10804" spans="1:15" ht="64" x14ac:dyDescent="0.2">
      <c r="A10804" s="7" t="str">
        <f>HYPERLINK("https://otsuka-europe-crm.veevavault.com/ui/#object/account__v/V4TZ06G6O71SB1Y", "KAPYA WA BA BWATO KIKONDE")</f>
        <v>KAPYA WA BA BWATO KIKONDE</v>
      </c>
      <c r="B10804" s="7" t="str">
        <f t="shared" si="846"/>
        <v>IT</v>
      </c>
      <c r="C10804" s="8" t="s">
        <v>44</v>
      </c>
      <c r="D10804" s="9" t="str">
        <f t="shared" si="847"/>
        <v>AE - AGGIORNAMENTI SEZIONE APPROFONDIMENTI NEFRO IT-NPR-2500150</v>
      </c>
      <c r="E10804" s="10" t="str">
        <f>HYPERLINK("https://otsuka-europe-crm.veevavault.com/ui/#object/sent_email__v/VBL00000002U889", "SE-001436779")</f>
        <v>SE-001436779</v>
      </c>
      <c r="F10804" s="11"/>
      <c r="G10804" s="12">
        <v>0</v>
      </c>
      <c r="H10804" s="12">
        <v>0</v>
      </c>
      <c r="I10804" s="12">
        <v>0</v>
      </c>
      <c r="J10804" s="11"/>
      <c r="K10804" s="12">
        <v>0</v>
      </c>
      <c r="L10804" s="10" t="str">
        <f t="shared" si="848"/>
        <v>AE - AGGIORNAMENTI SEZIONE APPROFONDIMENTI NEFRO IT-NPR-2500150</v>
      </c>
      <c r="M10804" s="10" t="str">
        <f t="shared" si="849"/>
        <v>giada.camassa@outsuka.it</v>
      </c>
      <c r="N10804" s="13">
        <v>46190.338159722225</v>
      </c>
      <c r="O10804" s="14" t="str">
        <f>HYPERLINK("https://otsuka-europe-crm.veevavault.com/ui/#object/email_activity__v/V8C00000003X565", "EN-002097861")</f>
        <v>EN-002097861</v>
      </c>
    </row>
    <row r="10805" spans="1:15" ht="64" x14ac:dyDescent="0.2">
      <c r="A10805" s="7" t="str">
        <f>HYPERLINK("https://otsuka-europe-crm.veevavault.com/ui/#object/account__v/V4TZ06G6O71SAZB", "LAURA CAPODICASA")</f>
        <v>LAURA CAPODICASA</v>
      </c>
      <c r="B10805" s="7" t="str">
        <f t="shared" si="846"/>
        <v>IT</v>
      </c>
      <c r="C10805" s="8" t="s">
        <v>44</v>
      </c>
      <c r="D10805" s="9" t="str">
        <f t="shared" si="847"/>
        <v>AE - AGGIORNAMENTI SEZIONE APPROFONDIMENTI NEFRO IT-NPR-2500150</v>
      </c>
      <c r="E10805" s="10" t="str">
        <f>HYPERLINK("https://otsuka-europe-crm.veevavault.com/ui/#object/sent_email__v/VBL00000002U890", "SE-001436780")</f>
        <v>SE-001436780</v>
      </c>
      <c r="F10805" s="11"/>
      <c r="G10805" s="12">
        <v>0</v>
      </c>
      <c r="H10805" s="12">
        <v>0</v>
      </c>
      <c r="I10805" s="12">
        <v>0</v>
      </c>
      <c r="J10805" s="11"/>
      <c r="K10805" s="12">
        <v>0</v>
      </c>
      <c r="L10805" s="10" t="str">
        <f t="shared" si="848"/>
        <v>AE - AGGIORNAMENTI SEZIONE APPROFONDIMENTI NEFRO IT-NPR-2500150</v>
      </c>
      <c r="M10805" s="10" t="str">
        <f t="shared" si="849"/>
        <v>giada.camassa@outsuka.it</v>
      </c>
      <c r="N10805" s="13">
        <v>46190.337916666664</v>
      </c>
      <c r="O10805" s="14" t="str">
        <f>HYPERLINK("https://otsuka-europe-crm.veevavault.com/ui/#object/email_activity__v/V8C00000003W420", "EN-002097699")</f>
        <v>EN-002097699</v>
      </c>
    </row>
    <row r="10806" spans="1:15" ht="64" x14ac:dyDescent="0.2">
      <c r="A10806" s="7" t="str">
        <f>HYPERLINK("https://otsuka-europe-crm.veevavault.com/ui/#object/account__v/V4TZ06G6O71SCT3", "LAURA ECONIMO")</f>
        <v>LAURA ECONIMO</v>
      </c>
      <c r="B10806" s="7" t="str">
        <f t="shared" si="846"/>
        <v>IT</v>
      </c>
      <c r="C10806" s="8" t="s">
        <v>44</v>
      </c>
      <c r="D10806" s="9" t="str">
        <f t="shared" si="847"/>
        <v>AE - AGGIORNAMENTI SEZIONE APPROFONDIMENTI NEFRO IT-NPR-2500150</v>
      </c>
      <c r="E10806" s="10" t="str">
        <f>HYPERLINK("https://otsuka-europe-crm.veevavault.com/ui/#object/sent_email__v/VBL00000002U891", "SE-001436781")</f>
        <v>SE-001436781</v>
      </c>
      <c r="F10806" s="11"/>
      <c r="G10806" s="12">
        <v>0</v>
      </c>
      <c r="H10806" s="12">
        <v>0</v>
      </c>
      <c r="I10806" s="12">
        <v>0</v>
      </c>
      <c r="J10806" s="11"/>
      <c r="K10806" s="12">
        <v>0</v>
      </c>
      <c r="L10806" s="10" t="str">
        <f t="shared" si="848"/>
        <v>AE - AGGIORNAMENTI SEZIONE APPROFONDIMENTI NEFRO IT-NPR-2500150</v>
      </c>
      <c r="M10806" s="10" t="str">
        <f t="shared" si="849"/>
        <v>giada.camassa@outsuka.it</v>
      </c>
      <c r="N10806" s="13">
        <v>46190.337916666664</v>
      </c>
      <c r="O10806" s="14" t="str">
        <f>HYPERLINK("https://otsuka-europe-crm.veevavault.com/ui/#object/email_activity__v/V8C00000003X703", "EN-002098065")</f>
        <v>EN-002098065</v>
      </c>
    </row>
    <row r="10807" spans="1:15" ht="64" x14ac:dyDescent="0.2">
      <c r="A10807" s="7" t="str">
        <f>HYPERLINK("https://otsuka-europe-crm.veevavault.com/ui/#object/account__v/V4TZ025E83TO46J", "LAURA MALLIA")</f>
        <v>LAURA MALLIA</v>
      </c>
      <c r="B10807" s="7" t="str">
        <f t="shared" si="846"/>
        <v>IT</v>
      </c>
      <c r="C10807" s="8" t="s">
        <v>44</v>
      </c>
      <c r="D10807" s="9" t="str">
        <f t="shared" si="847"/>
        <v>AE - AGGIORNAMENTI SEZIONE APPROFONDIMENTI NEFRO IT-NPR-2500150</v>
      </c>
      <c r="E10807" s="10" t="str">
        <f>HYPERLINK("https://otsuka-europe-crm.veevavault.com/ui/#object/sent_email__v/VBL00000002U893", "SE-001436783")</f>
        <v>SE-001436783</v>
      </c>
      <c r="F10807" s="11"/>
      <c r="G10807" s="12">
        <v>0</v>
      </c>
      <c r="H10807" s="12">
        <v>0</v>
      </c>
      <c r="I10807" s="12">
        <v>0</v>
      </c>
      <c r="J10807" s="11"/>
      <c r="K10807" s="12">
        <v>0</v>
      </c>
      <c r="L10807" s="10" t="str">
        <f t="shared" si="848"/>
        <v>AE - AGGIORNAMENTI SEZIONE APPROFONDIMENTI NEFRO IT-NPR-2500150</v>
      </c>
      <c r="M10807" s="10" t="str">
        <f t="shared" si="849"/>
        <v>giada.camassa@outsuka.it</v>
      </c>
      <c r="N10807" s="13">
        <v>46190.337858796294</v>
      </c>
      <c r="O10807" s="14" t="str">
        <f>HYPERLINK("https://otsuka-europe-crm.veevavault.com/ui/#object/email_activity__v/V8C00000003W385", "EN-002097509")</f>
        <v>EN-002097509</v>
      </c>
    </row>
    <row r="10808" spans="1:15" ht="64" x14ac:dyDescent="0.2">
      <c r="A10808" s="7" t="str">
        <f>HYPERLINK("https://otsuka-europe-crm.veevavault.com/ui/#object/account__v/V4TZ06G6OBU90D3", "LAURA OLIVI")</f>
        <v>LAURA OLIVI</v>
      </c>
      <c r="B10808" s="7" t="str">
        <f t="shared" si="846"/>
        <v>IT</v>
      </c>
      <c r="C10808" s="8" t="s">
        <v>44</v>
      </c>
      <c r="D10808" s="9" t="str">
        <f t="shared" si="847"/>
        <v>AE - AGGIORNAMENTI SEZIONE APPROFONDIMENTI NEFRO IT-NPR-2500150</v>
      </c>
      <c r="E10808" s="10" t="str">
        <f>HYPERLINK("https://otsuka-europe-crm.veevavault.com/ui/#object/sent_email__v/VBL00000002U894", "SE-001436784")</f>
        <v>SE-001436784</v>
      </c>
      <c r="F10808" s="11"/>
      <c r="G10808" s="12">
        <v>0</v>
      </c>
      <c r="H10808" s="12">
        <v>0</v>
      </c>
      <c r="I10808" s="12">
        <v>0</v>
      </c>
      <c r="J10808" s="11"/>
      <c r="K10808" s="12">
        <v>0</v>
      </c>
      <c r="L10808" s="10" t="str">
        <f t="shared" si="848"/>
        <v>AE - AGGIORNAMENTI SEZIONE APPROFONDIMENTI NEFRO IT-NPR-2500150</v>
      </c>
      <c r="M10808" s="10" t="str">
        <f t="shared" si="849"/>
        <v>giada.camassa@outsuka.it</v>
      </c>
      <c r="N10808" s="13">
        <v>46190.33792824074</v>
      </c>
      <c r="O10808" s="14" t="str">
        <f>HYPERLINK("https://otsuka-europe-crm.veevavault.com/ui/#object/email_activity__v/V8C00000003X524", "EN-002097767")</f>
        <v>EN-002097767</v>
      </c>
    </row>
    <row r="10809" spans="1:15" ht="64" x14ac:dyDescent="0.2">
      <c r="A10809" s="7" t="str">
        <f>HYPERLINK("https://otsuka-europe-crm.veevavault.com/ui/#object/account__v/V4TZ06G6O71SAP1", "LINDA GAMMARO")</f>
        <v>LINDA GAMMARO</v>
      </c>
      <c r="B10809" s="7" t="str">
        <f t="shared" si="846"/>
        <v>IT</v>
      </c>
      <c r="C10809" s="8" t="s">
        <v>44</v>
      </c>
      <c r="D10809" s="9" t="str">
        <f t="shared" si="847"/>
        <v>AE - AGGIORNAMENTI SEZIONE APPROFONDIMENTI NEFRO IT-NPR-2500150</v>
      </c>
      <c r="E10809" s="10" t="str">
        <f>HYPERLINK("https://otsuka-europe-crm.veevavault.com/ui/#object/sent_email__v/VBL00000002U895", "SE-001436785")</f>
        <v>SE-001436785</v>
      </c>
      <c r="F10809" s="11"/>
      <c r="G10809" s="12">
        <v>0</v>
      </c>
      <c r="H10809" s="12">
        <v>0</v>
      </c>
      <c r="I10809" s="12">
        <v>0</v>
      </c>
      <c r="J10809" s="11"/>
      <c r="K10809" s="12">
        <v>0</v>
      </c>
      <c r="L10809" s="10" t="str">
        <f t="shared" si="848"/>
        <v>AE - AGGIORNAMENTI SEZIONE APPROFONDIMENTI NEFRO IT-NPR-2500150</v>
      </c>
      <c r="M10809" s="10" t="str">
        <f t="shared" si="849"/>
        <v>giada.camassa@outsuka.it</v>
      </c>
      <c r="N10809" s="13">
        <v>46190.339791666665</v>
      </c>
      <c r="O10809" s="14" t="str">
        <f>HYPERLINK("https://otsuka-europe-crm.veevavault.com/ui/#object/email_activity__v/V8C00000003X749", "EN-002098147")</f>
        <v>EN-002098147</v>
      </c>
    </row>
    <row r="10810" spans="1:15" ht="16" x14ac:dyDescent="0.2">
      <c r="A10810" s="17" t="str">
        <f>HYPERLINK("https://otsuka-europe-crm.veevavault.com/ui/#object/account__v/V4TZ025E85NW8KQ", "LOHENGRIN STEFANIA PIRILLO")</f>
        <v>LOHENGRIN STEFANIA PIRILLO</v>
      </c>
      <c r="B10810" s="17" t="str">
        <f t="shared" si="846"/>
        <v>IT</v>
      </c>
      <c r="C10810" s="20" t="s">
        <v>44</v>
      </c>
      <c r="D10810" s="21" t="str">
        <f t="shared" si="847"/>
        <v>AE - AGGIORNAMENTI SEZIONE APPROFONDIMENTI NEFRO IT-NPR-2500150</v>
      </c>
      <c r="E10810" s="22" t="str">
        <f>HYPERLINK("https://otsuka-europe-crm.veevavault.com/ui/#object/sent_email__v/VBL00000002U896", "SE-001436786")</f>
        <v>SE-001436786</v>
      </c>
      <c r="F10810" s="23">
        <v>46190.34238425926</v>
      </c>
      <c r="G10810" s="24">
        <v>1</v>
      </c>
      <c r="H10810" s="24">
        <v>3</v>
      </c>
      <c r="I10810" s="24">
        <v>0</v>
      </c>
      <c r="J10810" s="25"/>
      <c r="K10810" s="24">
        <v>0</v>
      </c>
      <c r="L10810" s="22" t="str">
        <f t="shared" si="848"/>
        <v>AE - AGGIORNAMENTI SEZIONE APPROFONDIMENTI NEFRO IT-NPR-2500150</v>
      </c>
      <c r="M10810" s="22" t="str">
        <f t="shared" si="849"/>
        <v>giada.camassa@outsuka.it</v>
      </c>
      <c r="N10810" s="23">
        <v>46190.337893518517</v>
      </c>
      <c r="O10810" s="14" t="str">
        <f>HYPERLINK("https://otsuka-europe-crm.veevavault.com/ui/#object/email_activity__v/V8C00000003W443", "EN-002097727")</f>
        <v>EN-002097727</v>
      </c>
    </row>
    <row r="10811" spans="1:15" ht="16" x14ac:dyDescent="0.2">
      <c r="A10811" s="18"/>
      <c r="B10811" s="18"/>
      <c r="C10811" s="18"/>
      <c r="D10811" s="18"/>
      <c r="E10811" s="18"/>
      <c r="F10811" s="18"/>
      <c r="G10811" s="18"/>
      <c r="H10811" s="18"/>
      <c r="I10811" s="18"/>
      <c r="J10811" s="18"/>
      <c r="K10811" s="18"/>
      <c r="L10811" s="18"/>
      <c r="M10811" s="18"/>
      <c r="N10811" s="18"/>
      <c r="O10811" s="14" t="str">
        <f>HYPERLINK("https://otsuka-europe-crm.veevavault.com/ui/#object/email_activity__v/V8C00000003W616", "EN-002098235")</f>
        <v>EN-002098235</v>
      </c>
    </row>
    <row r="10812" spans="1:15" ht="16" x14ac:dyDescent="0.2">
      <c r="A10812" s="18"/>
      <c r="B10812" s="18"/>
      <c r="C10812" s="18"/>
      <c r="D10812" s="18"/>
      <c r="E10812" s="18"/>
      <c r="F10812" s="18"/>
      <c r="G10812" s="18"/>
      <c r="H10812" s="18"/>
      <c r="I10812" s="18"/>
      <c r="J10812" s="18"/>
      <c r="K10812" s="18"/>
      <c r="L10812" s="18"/>
      <c r="M10812" s="18"/>
      <c r="N10812" s="18"/>
      <c r="O10812" s="14" t="str">
        <f>HYPERLINK("https://otsuka-europe-crm.veevavault.com/ui/#object/email_activity__v/V8C00000003X329", "EN-002097526")</f>
        <v>EN-002097526</v>
      </c>
    </row>
    <row r="10813" spans="1:15" ht="16" x14ac:dyDescent="0.2">
      <c r="A10813" s="19"/>
      <c r="B10813" s="19"/>
      <c r="C10813" s="19"/>
      <c r="D10813" s="19"/>
      <c r="E10813" s="19"/>
      <c r="F10813" s="19"/>
      <c r="G10813" s="19"/>
      <c r="H10813" s="19"/>
      <c r="I10813" s="19"/>
      <c r="J10813" s="19"/>
      <c r="K10813" s="19"/>
      <c r="L10813" s="19"/>
      <c r="M10813" s="19"/>
      <c r="N10813" s="19"/>
      <c r="O10813" s="14" t="str">
        <f>HYPERLINK("https://otsuka-europe-crm.veevavault.com/ui/#object/email_activity__v/V8C00000003X810", "EN-002098233")</f>
        <v>EN-002098233</v>
      </c>
    </row>
    <row r="10814" spans="1:15" ht="64" x14ac:dyDescent="0.2">
      <c r="A10814" s="7" t="str">
        <f>HYPERLINK("https://otsuka-europe-crm.veevavault.com/ui/#object/account__v/V4TZ06G6O71SAMZ", "LOREDANA FUNARO")</f>
        <v>LOREDANA FUNARO</v>
      </c>
      <c r="B10814" s="7" t="str">
        <f>HYPERLINK("https://otsuka-europe-crm.veevavault.com/ui/#object/vcountry__v/VENZ000004SONFQ", "IT")</f>
        <v>IT</v>
      </c>
      <c r="C10814" s="8" t="s">
        <v>44</v>
      </c>
      <c r="D10814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814" s="10" t="str">
        <f>HYPERLINK("https://otsuka-europe-crm.veevavault.com/ui/#object/sent_email__v/VBL00000002U897", "SE-001436787")</f>
        <v>SE-001436787</v>
      </c>
      <c r="F10814" s="11"/>
      <c r="G10814" s="12">
        <v>0</v>
      </c>
      <c r="H10814" s="12">
        <v>0</v>
      </c>
      <c r="I10814" s="12">
        <v>0</v>
      </c>
      <c r="J10814" s="11"/>
      <c r="K10814" s="12">
        <v>0</v>
      </c>
      <c r="L10814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814" s="10" t="str">
        <f>HYPERLINK("mailto:giada.camassa@outsuka.it", "giada.camassa@outsuka.it")</f>
        <v>giada.camassa@outsuka.it</v>
      </c>
      <c r="N10814" s="13">
        <v>46190.33792824074</v>
      </c>
      <c r="O10814" s="14" t="str">
        <f>HYPERLINK("https://otsuka-europe-crm.veevavault.com/ui/#object/email_activity__v/V8C00000003W386", "EN-002097510")</f>
        <v>EN-002097510</v>
      </c>
    </row>
    <row r="10815" spans="1:15" ht="64" x14ac:dyDescent="0.2">
      <c r="A10815" s="7" t="str">
        <f>HYPERLINK("https://otsuka-europe-crm.veevavault.com/ui/#object/account__v/V4TZ06G6O71SBP5", "LORENA NOSTRO")</f>
        <v>LORENA NOSTRO</v>
      </c>
      <c r="B10815" s="7" t="str">
        <f>HYPERLINK("https://otsuka-europe-crm.veevavault.com/ui/#object/vcountry__v/VENZ000004SONFQ", "IT")</f>
        <v>IT</v>
      </c>
      <c r="C10815" s="8" t="s">
        <v>44</v>
      </c>
      <c r="D10815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815" s="10" t="str">
        <f>HYPERLINK("https://otsuka-europe-crm.veevavault.com/ui/#object/sent_email__v/VBL00000002U898", "SE-001436788")</f>
        <v>SE-001436788</v>
      </c>
      <c r="F10815" s="11"/>
      <c r="G10815" s="12">
        <v>0</v>
      </c>
      <c r="H10815" s="12">
        <v>0</v>
      </c>
      <c r="I10815" s="12">
        <v>0</v>
      </c>
      <c r="J10815" s="11"/>
      <c r="K10815" s="12">
        <v>0</v>
      </c>
      <c r="L10815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815" s="10" t="str">
        <f>HYPERLINK("mailto:giada.camassa@outsuka.it", "giada.camassa@outsuka.it")</f>
        <v>giada.camassa@outsuka.it</v>
      </c>
      <c r="N10815" s="13">
        <v>46190.339722222219</v>
      </c>
      <c r="O10815" s="14" t="str">
        <f>HYPERLINK("https://otsuka-europe-crm.veevavault.com/ui/#object/email_activity__v/V8C00000003X737", "EN-002098135")</f>
        <v>EN-002098135</v>
      </c>
    </row>
    <row r="10816" spans="1:15" ht="64" x14ac:dyDescent="0.2">
      <c r="A10816" s="7" t="str">
        <f>HYPERLINK("https://otsuka-europe-crm.veevavault.com/ui/#object/account__v/V4TZ04ASGECFOOZ", "LORENZA MORABITO")</f>
        <v>LORENZA MORABITO</v>
      </c>
      <c r="B10816" s="7" t="str">
        <f>HYPERLINK("https://otsuka-europe-crm.veevavault.com/ui/#object/vcountry__v/VENZ000004SONFQ", "IT")</f>
        <v>IT</v>
      </c>
      <c r="C10816" s="8" t="s">
        <v>44</v>
      </c>
      <c r="D10816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816" s="10" t="str">
        <f>HYPERLINK("https://otsuka-europe-crm.veevavault.com/ui/#object/sent_email__v/VBL00000002U899", "SE-001436789")</f>
        <v>SE-001436789</v>
      </c>
      <c r="F10816" s="11"/>
      <c r="G10816" s="12">
        <v>0</v>
      </c>
      <c r="H10816" s="12">
        <v>0</v>
      </c>
      <c r="I10816" s="12">
        <v>0</v>
      </c>
      <c r="J10816" s="11"/>
      <c r="K10816" s="12">
        <v>0</v>
      </c>
      <c r="L10816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816" s="10" t="str">
        <f>HYPERLINK("mailto:giada.camassa@outsuka.it", "giada.camassa@outsuka.it")</f>
        <v>giada.camassa@outsuka.it</v>
      </c>
      <c r="N10816" s="13">
        <v>46190.33792824074</v>
      </c>
      <c r="O10816" s="14" t="str">
        <f>HYPERLINK("https://otsuka-europe-crm.veevavault.com/ui/#object/email_activity__v/V8C00000003W546", "EN-002098035")</f>
        <v>EN-002098035</v>
      </c>
    </row>
    <row r="10817" spans="1:15" ht="16" x14ac:dyDescent="0.2">
      <c r="A10817" s="17" t="str">
        <f>HYPERLINK("https://otsuka-europe-crm.veevavault.com/ui/#object/account__v/V4TZ06G6O71SAXP", "LORENZO CALO'")</f>
        <v>LORENZO CALO'</v>
      </c>
      <c r="B10817" s="17" t="str">
        <f>HYPERLINK("https://otsuka-europe-crm.veevavault.com/ui/#object/vcountry__v/VENZ000004SONFQ", "IT")</f>
        <v>IT</v>
      </c>
      <c r="C10817" s="20" t="s">
        <v>44</v>
      </c>
      <c r="D10817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817" s="22" t="str">
        <f>HYPERLINK("https://otsuka-europe-crm.veevavault.com/ui/#object/sent_email__v/VBL00000002U900", "SE-001436790")</f>
        <v>SE-001436790</v>
      </c>
      <c r="F10817" s="25"/>
      <c r="G10817" s="24">
        <v>0</v>
      </c>
      <c r="H10817" s="24">
        <v>0</v>
      </c>
      <c r="I10817" s="24">
        <v>0</v>
      </c>
      <c r="J10817" s="25"/>
      <c r="K10817" s="24">
        <v>0</v>
      </c>
      <c r="L10817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817" s="22" t="str">
        <f>HYPERLINK("mailto:giada.camassa@outsuka.it", "giada.camassa@outsuka.it")</f>
        <v>giada.camassa@outsuka.it</v>
      </c>
      <c r="N10817" s="23">
        <v>46190.337835648148</v>
      </c>
      <c r="O10817" s="14" t="str">
        <f>HYPERLINK("https://otsuka-europe-crm.veevavault.com/ui/#object/email_activity__v/V8C00000003W339", "EN-002097389")</f>
        <v>EN-002097389</v>
      </c>
    </row>
    <row r="10818" spans="1:15" ht="16" x14ac:dyDescent="0.2">
      <c r="A10818" s="19"/>
      <c r="B10818" s="19"/>
      <c r="C10818" s="19"/>
      <c r="D10818" s="19"/>
      <c r="E10818" s="19"/>
      <c r="F10818" s="19"/>
      <c r="G10818" s="19"/>
      <c r="H10818" s="19"/>
      <c r="I10818" s="19"/>
      <c r="J10818" s="19"/>
      <c r="K10818" s="19"/>
      <c r="L10818" s="19"/>
      <c r="M10818" s="19"/>
      <c r="N10818" s="19"/>
      <c r="O10818" s="14" t="str">
        <f>HYPERLINK("https://otsuka-europe-crm.veevavault.com/ui/#object/email_activity__v/V8C00000003X832", "EN-002098297")</f>
        <v>EN-002098297</v>
      </c>
    </row>
    <row r="10819" spans="1:15" ht="64" x14ac:dyDescent="0.2">
      <c r="A10819" s="7" t="str">
        <f>HYPERLINK("https://otsuka-europe-crm.veevavault.com/ui/#object/account__v/V4TZ06G6O71SBNR", "LORIS NERI")</f>
        <v>LORIS NERI</v>
      </c>
      <c r="B10819" s="7" t="str">
        <f>HYPERLINK("https://otsuka-europe-crm.veevavault.com/ui/#object/vcountry__v/VENZ000004SONFQ", "IT")</f>
        <v>IT</v>
      </c>
      <c r="C10819" s="8" t="s">
        <v>44</v>
      </c>
      <c r="D10819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819" s="10" t="str">
        <f>HYPERLINK("https://otsuka-europe-crm.veevavault.com/ui/#object/sent_email__v/VBL00000002U901", "SE-001436791")</f>
        <v>SE-001436791</v>
      </c>
      <c r="F10819" s="11"/>
      <c r="G10819" s="12">
        <v>0</v>
      </c>
      <c r="H10819" s="12">
        <v>0</v>
      </c>
      <c r="I10819" s="12">
        <v>0</v>
      </c>
      <c r="J10819" s="11"/>
      <c r="K10819" s="12">
        <v>0</v>
      </c>
      <c r="L10819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819" s="10" t="str">
        <f>HYPERLINK("mailto:giada.camassa@outsuka.it", "giada.camassa@outsuka.it")</f>
        <v>giada.camassa@outsuka.it</v>
      </c>
      <c r="N10819" s="13">
        <v>46190.337824074071</v>
      </c>
      <c r="O10819" s="14" t="str">
        <f>HYPERLINK("https://otsuka-europe-crm.veevavault.com/ui/#object/email_activity__v/V8C00000003X397", "EN-002097592")</f>
        <v>EN-002097592</v>
      </c>
    </row>
    <row r="10820" spans="1:15" ht="64" x14ac:dyDescent="0.2">
      <c r="A10820" s="7" t="str">
        <f>HYPERLINK("https://otsuka-europe-crm.veevavault.com/ui/#object/account__v/V4TZ06G6O71SA1C", "LUCA BESSO")</f>
        <v>LUCA BESSO</v>
      </c>
      <c r="B10820" s="7" t="str">
        <f>HYPERLINK("https://otsuka-europe-crm.veevavault.com/ui/#object/vcountry__v/VENZ000004SONFQ", "IT")</f>
        <v>IT</v>
      </c>
      <c r="C10820" s="8" t="s">
        <v>44</v>
      </c>
      <c r="D10820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820" s="10" t="str">
        <f>HYPERLINK("https://otsuka-europe-crm.veevavault.com/ui/#object/sent_email__v/VBL00000002U902", "SE-001436792")</f>
        <v>SE-001436792</v>
      </c>
      <c r="F10820" s="11"/>
      <c r="G10820" s="12">
        <v>0</v>
      </c>
      <c r="H10820" s="12">
        <v>0</v>
      </c>
      <c r="I10820" s="12">
        <v>0</v>
      </c>
      <c r="J10820" s="11"/>
      <c r="K10820" s="12">
        <v>0</v>
      </c>
      <c r="L10820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820" s="10" t="str">
        <f>HYPERLINK("mailto:giada.camassa@outsuka.it", "giada.camassa@outsuka.it")</f>
        <v>giada.camassa@outsuka.it</v>
      </c>
      <c r="N10820" s="13">
        <v>46190.337905092594</v>
      </c>
      <c r="O10820" s="14" t="str">
        <f>HYPERLINK("https://otsuka-europe-crm.veevavault.com/ui/#object/email_activity__v/V8C00000003X357", "EN-002097535")</f>
        <v>EN-002097535</v>
      </c>
    </row>
    <row r="10821" spans="1:15" ht="16" x14ac:dyDescent="0.2">
      <c r="A10821" s="17" t="str">
        <f>HYPERLINK("https://otsuka-europe-crm.veevavault.com/ui/#object/account__v/V4TZ06G6O71SAG5", "LUCA DI LULLO")</f>
        <v>LUCA DI LULLO</v>
      </c>
      <c r="B10821" s="17" t="str">
        <f>HYPERLINK("https://otsuka-europe-crm.veevavault.com/ui/#object/vcountry__v/VENZ000004SONFQ", "IT")</f>
        <v>IT</v>
      </c>
      <c r="C10821" s="20" t="s">
        <v>44</v>
      </c>
      <c r="D10821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821" s="22" t="str">
        <f>HYPERLINK("https://otsuka-europe-crm.veevavault.com/ui/#object/sent_email__v/VBL00000002U903", "SE-001436793")</f>
        <v>SE-001436793</v>
      </c>
      <c r="F10821" s="25"/>
      <c r="G10821" s="24">
        <v>0</v>
      </c>
      <c r="H10821" s="24">
        <v>0</v>
      </c>
      <c r="I10821" s="24">
        <v>0</v>
      </c>
      <c r="J10821" s="25"/>
      <c r="K10821" s="24">
        <v>0</v>
      </c>
      <c r="L10821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821" s="22" t="str">
        <f>HYPERLINK("mailto:giada.camassa@outsuka.it", "giada.camassa@outsuka.it")</f>
        <v>giada.camassa@outsuka.it</v>
      </c>
      <c r="N10821" s="23">
        <v>46190.337824074071</v>
      </c>
      <c r="O10821" s="14" t="str">
        <f>HYPERLINK("https://otsuka-europe-crm.veevavault.com/ui/#object/email_activity__v/V8C00000003W632", "EN-002098257")</f>
        <v>EN-002098257</v>
      </c>
    </row>
    <row r="10822" spans="1:15" ht="16" x14ac:dyDescent="0.2">
      <c r="A10822" s="18"/>
      <c r="B10822" s="18"/>
      <c r="C10822" s="18"/>
      <c r="D10822" s="18"/>
      <c r="E10822" s="18"/>
      <c r="F10822" s="18"/>
      <c r="G10822" s="18"/>
      <c r="H10822" s="18"/>
      <c r="I10822" s="18"/>
      <c r="J10822" s="18"/>
      <c r="K10822" s="18"/>
      <c r="L10822" s="18"/>
      <c r="M10822" s="18"/>
      <c r="N10822" s="18"/>
      <c r="O10822" s="14" t="str">
        <f>HYPERLINK("https://otsuka-europe-crm.veevavault.com/ui/#object/email_activity__v/V8C00000003X248", "EN-002097395")</f>
        <v>EN-002097395</v>
      </c>
    </row>
    <row r="10823" spans="1:15" ht="16" x14ac:dyDescent="0.2">
      <c r="A10823" s="19"/>
      <c r="B10823" s="19"/>
      <c r="C10823" s="19"/>
      <c r="D10823" s="19"/>
      <c r="E10823" s="19"/>
      <c r="F10823" s="19"/>
      <c r="G10823" s="19"/>
      <c r="H10823" s="19"/>
      <c r="I10823" s="19"/>
      <c r="J10823" s="19"/>
      <c r="K10823" s="19"/>
      <c r="L10823" s="19"/>
      <c r="M10823" s="19"/>
      <c r="N10823" s="19"/>
      <c r="O10823" s="14" t="str">
        <f>HYPERLINK("https://otsuka-europe-crm.veevavault.com/ui/#object/email_activity__v/V8C00000003X818", "EN-002098259")</f>
        <v>EN-002098259</v>
      </c>
    </row>
    <row r="10824" spans="1:15" ht="64" x14ac:dyDescent="0.2">
      <c r="A10824" s="7" t="str">
        <f>HYPERLINK("https://otsuka-europe-crm.veevavault.com/ui/#object/account__v/V4TZ06G6O71SAAT", "LUCIA DEL VECCHIO")</f>
        <v>LUCIA DEL VECCHIO</v>
      </c>
      <c r="B10824" s="7" t="str">
        <f>HYPERLINK("https://otsuka-europe-crm.veevavault.com/ui/#object/vcountry__v/VENZ000004SONFQ", "IT")</f>
        <v>IT</v>
      </c>
      <c r="C10824" s="8" t="s">
        <v>44</v>
      </c>
      <c r="D10824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824" s="10" t="str">
        <f>HYPERLINK("https://otsuka-europe-crm.veevavault.com/ui/#object/sent_email__v/VBL00000002U904", "SE-001436794")</f>
        <v>SE-001436794</v>
      </c>
      <c r="F10824" s="11"/>
      <c r="G10824" s="12">
        <v>0</v>
      </c>
      <c r="H10824" s="12">
        <v>0</v>
      </c>
      <c r="I10824" s="12">
        <v>0</v>
      </c>
      <c r="J10824" s="11"/>
      <c r="K10824" s="12">
        <v>0</v>
      </c>
      <c r="L10824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824" s="10" t="str">
        <f>HYPERLINK("mailto:giada.camassa@outsuka.it", "giada.camassa@outsuka.it")</f>
        <v>giada.camassa@outsuka.it</v>
      </c>
      <c r="N10824" s="13">
        <v>46190.337835648148</v>
      </c>
      <c r="O10824" s="14" t="str">
        <f>HYPERLINK("https://otsuka-europe-crm.veevavault.com/ui/#object/email_activity__v/V8C00000003X432", "EN-002097646")</f>
        <v>EN-002097646</v>
      </c>
    </row>
    <row r="10825" spans="1:15" ht="64" x14ac:dyDescent="0.2">
      <c r="A10825" s="7" t="str">
        <f>HYPERLINK("https://otsuka-europe-crm.veevavault.com/ui/#object/account__v/V4TZ04ASGFI4KDG", "LUCIO MANENTI")</f>
        <v>LUCIO MANENTI</v>
      </c>
      <c r="B10825" s="7" t="str">
        <f>HYPERLINK("https://otsuka-europe-crm.veevavault.com/ui/#object/vcountry__v/VENZ000004SONFQ", "IT")</f>
        <v>IT</v>
      </c>
      <c r="C10825" s="8" t="s">
        <v>44</v>
      </c>
      <c r="D10825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825" s="10" t="str">
        <f>HYPERLINK("https://otsuka-europe-crm.veevavault.com/ui/#object/sent_email__v/VBL00000002U905", "SE-001436795")</f>
        <v>SE-001436795</v>
      </c>
      <c r="F10825" s="11"/>
      <c r="G10825" s="12">
        <v>0</v>
      </c>
      <c r="H10825" s="12">
        <v>0</v>
      </c>
      <c r="I10825" s="12">
        <v>0</v>
      </c>
      <c r="J10825" s="11"/>
      <c r="K10825" s="12">
        <v>0</v>
      </c>
      <c r="L10825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825" s="10" t="str">
        <f>HYPERLINK("mailto:giada.camassa@outsuka.it", "giada.camassa@outsuka.it")</f>
        <v>giada.camassa@outsuka.it</v>
      </c>
      <c r="N10825" s="13">
        <v>46190.337951388887</v>
      </c>
      <c r="O10825" s="14" t="str">
        <f>HYPERLINK("https://otsuka-europe-crm.veevavault.com/ui/#object/email_activity__v/V8C00000003X483", "EN-002097682")</f>
        <v>EN-002097682</v>
      </c>
    </row>
    <row r="10826" spans="1:15" ht="16" x14ac:dyDescent="0.2">
      <c r="A10826" s="17" t="str">
        <f>HYPERLINK("https://otsuka-europe-crm.veevavault.com/ui/#object/account__v/V4TZ06G6O71SAWY", "LUIGI CAMPO")</f>
        <v>LUIGI CAMPO</v>
      </c>
      <c r="B10826" s="17" t="str">
        <f>HYPERLINK("https://otsuka-europe-crm.veevavault.com/ui/#object/vcountry__v/VENZ000004SONFQ", "IT")</f>
        <v>IT</v>
      </c>
      <c r="C10826" s="20" t="s">
        <v>44</v>
      </c>
      <c r="D10826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826" s="22" t="str">
        <f>HYPERLINK("https://otsuka-europe-crm.veevavault.com/ui/#object/sent_email__v/VBL00000002U906", "SE-001436796")</f>
        <v>SE-001436796</v>
      </c>
      <c r="F10826" s="25"/>
      <c r="G10826" s="24">
        <v>0</v>
      </c>
      <c r="H10826" s="24">
        <v>0</v>
      </c>
      <c r="I10826" s="24">
        <v>0</v>
      </c>
      <c r="J10826" s="25"/>
      <c r="K10826" s="24">
        <v>0</v>
      </c>
      <c r="L10826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826" s="22" t="str">
        <f>HYPERLINK("mailto:giada.camassa@outsuka.it", "giada.camassa@outsuka.it")</f>
        <v>giada.camassa@outsuka.it</v>
      </c>
      <c r="N10826" s="23">
        <v>46190.338796296295</v>
      </c>
      <c r="O10826" s="14" t="str">
        <f>HYPERLINK("https://otsuka-europe-crm.veevavault.com/ui/#object/email_activity__v/V8C00000003W526", "EN-002097984")</f>
        <v>EN-002097984</v>
      </c>
    </row>
    <row r="10827" spans="1:15" ht="16" x14ac:dyDescent="0.2">
      <c r="A10827" s="19"/>
      <c r="B10827" s="19"/>
      <c r="C10827" s="19"/>
      <c r="D10827" s="19"/>
      <c r="E10827" s="19"/>
      <c r="F10827" s="19"/>
      <c r="G10827" s="19"/>
      <c r="H10827" s="19"/>
      <c r="I10827" s="19"/>
      <c r="J10827" s="19"/>
      <c r="K10827" s="19"/>
      <c r="L10827" s="19"/>
      <c r="M10827" s="19"/>
      <c r="N10827" s="19"/>
      <c r="O10827" s="14" t="str">
        <f>HYPERLINK("https://otsuka-europe-crm.veevavault.com/ui/#object/email_activity__v/V8C00000003X822", "EN-002098269")</f>
        <v>EN-002098269</v>
      </c>
    </row>
    <row r="10828" spans="1:15" ht="16" x14ac:dyDescent="0.2">
      <c r="A10828" s="17" t="str">
        <f>HYPERLINK("https://otsuka-europe-crm.veevavault.com/ui/#object/account__v/V4TZ06G6O71TFSE", "LUIGI MICHELE DI NUZZI")</f>
        <v>LUIGI MICHELE DI NUZZI</v>
      </c>
      <c r="B10828" s="17" t="str">
        <f>HYPERLINK("https://otsuka-europe-crm.veevavault.com/ui/#object/vcountry__v/VENZ000004SONFQ", "IT")</f>
        <v>IT</v>
      </c>
      <c r="C10828" s="20" t="s">
        <v>44</v>
      </c>
      <c r="D10828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828" s="22" t="str">
        <f>HYPERLINK("https://otsuka-europe-crm.veevavault.com/ui/#object/sent_email__v/VBL00000002U907", "SE-001436797")</f>
        <v>SE-001436797</v>
      </c>
      <c r="F10828" s="23">
        <v>46204.442511574074</v>
      </c>
      <c r="G10828" s="24">
        <v>1</v>
      </c>
      <c r="H10828" s="24">
        <v>2</v>
      </c>
      <c r="I10828" s="24">
        <v>0</v>
      </c>
      <c r="J10828" s="25"/>
      <c r="K10828" s="24">
        <v>0</v>
      </c>
      <c r="L10828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828" s="22" t="str">
        <f>HYPERLINK("mailto:giada.camassa@outsuka.it", "giada.camassa@outsuka.it")</f>
        <v>giada.camassa@outsuka.it</v>
      </c>
      <c r="N10828" s="23">
        <v>46190.337847222225</v>
      </c>
      <c r="O10828" s="14" t="str">
        <f>HYPERLINK("https://otsuka-europe-crm.veevavault.com/ui/#object/email_activity__v/V8C00000003X469", "EN-002097668")</f>
        <v>EN-002097668</v>
      </c>
    </row>
    <row r="10829" spans="1:15" ht="16" x14ac:dyDescent="0.2">
      <c r="A10829" s="18"/>
      <c r="B10829" s="18"/>
      <c r="C10829" s="18"/>
      <c r="D10829" s="18"/>
      <c r="E10829" s="18"/>
      <c r="F10829" s="18"/>
      <c r="G10829" s="18"/>
      <c r="H10829" s="18"/>
      <c r="I10829" s="18"/>
      <c r="J10829" s="18"/>
      <c r="K10829" s="18"/>
      <c r="L10829" s="18"/>
      <c r="M10829" s="18"/>
      <c r="N10829" s="18"/>
      <c r="O10829" s="14" t="str">
        <f>HYPERLINK("https://otsuka-europe-crm.veevavault.com/ui/#object/email_activity__v/V8C000000040086", "EN-002098854")</f>
        <v>EN-002098854</v>
      </c>
    </row>
    <row r="10830" spans="1:15" ht="16" x14ac:dyDescent="0.2">
      <c r="A10830" s="18"/>
      <c r="B10830" s="18"/>
      <c r="C10830" s="18"/>
      <c r="D10830" s="18"/>
      <c r="E10830" s="18"/>
      <c r="F10830" s="18"/>
      <c r="G10830" s="18"/>
      <c r="H10830" s="18"/>
      <c r="I10830" s="18"/>
      <c r="J10830" s="18"/>
      <c r="K10830" s="18"/>
      <c r="L10830" s="18"/>
      <c r="M10830" s="18"/>
      <c r="N10830" s="18"/>
      <c r="O10830" s="14" t="str">
        <f>HYPERLINK("https://otsuka-europe-crm.veevavault.com/ui/#object/email_activity__v/V8C000000041725", "EN-002101138")</f>
        <v>EN-002101138</v>
      </c>
    </row>
    <row r="10831" spans="1:15" ht="16" x14ac:dyDescent="0.2">
      <c r="A10831" s="19"/>
      <c r="B10831" s="19"/>
      <c r="C10831" s="19"/>
      <c r="D10831" s="19"/>
      <c r="E10831" s="19"/>
      <c r="F10831" s="19"/>
      <c r="G10831" s="19"/>
      <c r="H10831" s="19"/>
      <c r="I10831" s="19"/>
      <c r="J10831" s="19"/>
      <c r="K10831" s="19"/>
      <c r="L10831" s="19"/>
      <c r="M10831" s="19"/>
      <c r="N10831" s="19"/>
      <c r="O10831" s="14" t="str">
        <f>HYPERLINK("https://otsuka-europe-crm.veevavault.com/ui/#object/email_activity__v/V8C000000041815", "EN-002101352")</f>
        <v>EN-002101352</v>
      </c>
    </row>
    <row r="10832" spans="1:15" ht="16" x14ac:dyDescent="0.2">
      <c r="A10832" s="17" t="str">
        <f>HYPERLINK("https://otsuka-europe-crm.veevavault.com/ui/#object/account__v/V4TZ06G6O71SBQ8", "LUIGI ORIENTE")</f>
        <v>LUIGI ORIENTE</v>
      </c>
      <c r="B10832" s="17" t="str">
        <f>HYPERLINK("https://otsuka-europe-crm.veevavault.com/ui/#object/vcountry__v/VENZ000004SONFQ", "IT")</f>
        <v>IT</v>
      </c>
      <c r="C10832" s="20" t="s">
        <v>44</v>
      </c>
      <c r="D10832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832" s="22" t="str">
        <f>HYPERLINK("https://otsuka-europe-crm.veevavault.com/ui/#object/sent_email__v/VBL00000002U908", "SE-001436798")</f>
        <v>SE-001436798</v>
      </c>
      <c r="F10832" s="25"/>
      <c r="G10832" s="24">
        <v>0</v>
      </c>
      <c r="H10832" s="24">
        <v>0</v>
      </c>
      <c r="I10832" s="24">
        <v>0</v>
      </c>
      <c r="J10832" s="25"/>
      <c r="K10832" s="24">
        <v>0</v>
      </c>
      <c r="L10832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832" s="22" t="str">
        <f>HYPERLINK("mailto:giada.camassa@outsuka.it", "giada.camassa@outsuka.it")</f>
        <v>giada.camassa@outsuka.it</v>
      </c>
      <c r="N10832" s="23">
        <v>46190.337847222225</v>
      </c>
      <c r="O10832" s="14" t="str">
        <f>HYPERLINK("https://otsuka-europe-crm.veevavault.com/ui/#object/email_activity__v/V8C00000003W356", "EN-002097413")</f>
        <v>EN-002097413</v>
      </c>
    </row>
    <row r="10833" spans="1:15" ht="16" x14ac:dyDescent="0.2">
      <c r="A10833" s="19"/>
      <c r="B10833" s="19"/>
      <c r="C10833" s="19"/>
      <c r="D10833" s="19"/>
      <c r="E10833" s="19"/>
      <c r="F10833" s="19"/>
      <c r="G10833" s="19"/>
      <c r="H10833" s="19"/>
      <c r="I10833" s="19"/>
      <c r="J10833" s="19"/>
      <c r="K10833" s="19"/>
      <c r="L10833" s="19"/>
      <c r="M10833" s="19"/>
      <c r="N10833" s="19"/>
      <c r="O10833" s="14" t="str">
        <f>HYPERLINK("https://otsuka-europe-crm.veevavault.com/ui/#object/email_activity__v/V8C00000003W758", "EN-002098515")</f>
        <v>EN-002098515</v>
      </c>
    </row>
    <row r="10834" spans="1:15" ht="64" x14ac:dyDescent="0.2">
      <c r="A10834" s="7" t="str">
        <f>HYPERLINK("https://otsuka-europe-crm.veevavault.com/ui/#object/account__v/V4TZ025E849QTTN", "LUIGI VECCHI")</f>
        <v>LUIGI VECCHI</v>
      </c>
      <c r="B10834" s="7" t="str">
        <f t="shared" ref="B10834:B10842" si="850">HYPERLINK("https://otsuka-europe-crm.veevavault.com/ui/#object/vcountry__v/VENZ000004SONFQ", "IT")</f>
        <v>IT</v>
      </c>
      <c r="C10834" s="8" t="s">
        <v>44</v>
      </c>
      <c r="D10834" s="9" t="str">
        <f t="shared" ref="D10834:D10842" si="851">HYPERLINK("https://otsuka-europe-crm.veevavault.com/ui/#object/approved_document__v/V5O00000000G061", "AE - AGGIORNAMENTI SEZIONE APPROFONDIMENTI NEFRO IT-NPR-2500150")</f>
        <v>AE - AGGIORNAMENTI SEZIONE APPROFONDIMENTI NEFRO IT-NPR-2500150</v>
      </c>
      <c r="E10834" s="10" t="str">
        <f>HYPERLINK("https://otsuka-europe-crm.veevavault.com/ui/#object/sent_email__v/VBL00000002U909", "SE-001436799")</f>
        <v>SE-001436799</v>
      </c>
      <c r="F10834" s="11"/>
      <c r="G10834" s="12">
        <v>0</v>
      </c>
      <c r="H10834" s="12">
        <v>0</v>
      </c>
      <c r="I10834" s="12">
        <v>0</v>
      </c>
      <c r="J10834" s="11"/>
      <c r="K10834" s="12">
        <v>0</v>
      </c>
      <c r="L10834" s="10" t="str">
        <f t="shared" ref="L10834:L10842" si="852">HYPERLINK("https://otsuka-europe-crm.veevavault.com/ui/#object/approved_document__v/V5O00000000G061", "AE - AGGIORNAMENTI SEZIONE APPROFONDIMENTI NEFRO IT-NPR-2500150")</f>
        <v>AE - AGGIORNAMENTI SEZIONE APPROFONDIMENTI NEFRO IT-NPR-2500150</v>
      </c>
      <c r="M10834" s="10" t="str">
        <f t="shared" ref="M10834:M10842" si="853">HYPERLINK("mailto:giada.camassa@outsuka.it", "giada.camassa@outsuka.it")</f>
        <v>giada.camassa@outsuka.it</v>
      </c>
      <c r="N10834" s="13">
        <v>46190.337870370371</v>
      </c>
      <c r="O10834" s="14" t="str">
        <f>HYPERLINK("https://otsuka-europe-crm.veevavault.com/ui/#object/email_activity__v/V8C00000003W416", "EN-002097695")</f>
        <v>EN-002097695</v>
      </c>
    </row>
    <row r="10835" spans="1:15" ht="64" x14ac:dyDescent="0.2">
      <c r="A10835" s="7" t="str">
        <f>HYPERLINK("https://otsuka-europe-crm.veevavault.com/ui/#object/account__v/V4TZ06G6O71SA85", "MANUEL BURDESE")</f>
        <v>MANUEL BURDESE</v>
      </c>
      <c r="B10835" s="7" t="str">
        <f t="shared" si="850"/>
        <v>IT</v>
      </c>
      <c r="C10835" s="8" t="s">
        <v>44</v>
      </c>
      <c r="D10835" s="9" t="str">
        <f t="shared" si="851"/>
        <v>AE - AGGIORNAMENTI SEZIONE APPROFONDIMENTI NEFRO IT-NPR-2500150</v>
      </c>
      <c r="E10835" s="10" t="str">
        <f>HYPERLINK("https://otsuka-europe-crm.veevavault.com/ui/#object/sent_email__v/VBL00000002U910", "SE-001436800")</f>
        <v>SE-001436800</v>
      </c>
      <c r="F10835" s="11"/>
      <c r="G10835" s="12">
        <v>0</v>
      </c>
      <c r="H10835" s="12">
        <v>0</v>
      </c>
      <c r="I10835" s="12">
        <v>0</v>
      </c>
      <c r="J10835" s="11"/>
      <c r="K10835" s="12">
        <v>0</v>
      </c>
      <c r="L10835" s="10" t="str">
        <f t="shared" si="852"/>
        <v>AE - AGGIORNAMENTI SEZIONE APPROFONDIMENTI NEFRO IT-NPR-2500150</v>
      </c>
      <c r="M10835" s="10" t="str">
        <f t="shared" si="853"/>
        <v>giada.camassa@outsuka.it</v>
      </c>
      <c r="N10835" s="13">
        <v>46190.337858796294</v>
      </c>
      <c r="O10835" s="14" t="str">
        <f>HYPERLINK("https://otsuka-europe-crm.veevavault.com/ui/#object/email_activity__v/V8C00000003X283", "EN-002097474")</f>
        <v>EN-002097474</v>
      </c>
    </row>
    <row r="10836" spans="1:15" ht="64" x14ac:dyDescent="0.2">
      <c r="A10836" s="7" t="str">
        <f>HYPERLINK("https://otsuka-europe-crm.veevavault.com/ui/#object/account__v/V4TZ06G6O71SAZS", "MARCELLINO CORVINELLI")</f>
        <v>MARCELLINO CORVINELLI</v>
      </c>
      <c r="B10836" s="7" t="str">
        <f t="shared" si="850"/>
        <v>IT</v>
      </c>
      <c r="C10836" s="8" t="s">
        <v>44</v>
      </c>
      <c r="D10836" s="9" t="str">
        <f t="shared" si="851"/>
        <v>AE - AGGIORNAMENTI SEZIONE APPROFONDIMENTI NEFRO IT-NPR-2500150</v>
      </c>
      <c r="E10836" s="10" t="str">
        <f>HYPERLINK("https://otsuka-europe-crm.veevavault.com/ui/#object/sent_email__v/VBL00000002U911", "SE-001436801")</f>
        <v>SE-001436801</v>
      </c>
      <c r="F10836" s="11"/>
      <c r="G10836" s="12">
        <v>0</v>
      </c>
      <c r="H10836" s="12">
        <v>0</v>
      </c>
      <c r="I10836" s="12">
        <v>0</v>
      </c>
      <c r="J10836" s="11"/>
      <c r="K10836" s="12">
        <v>0</v>
      </c>
      <c r="L10836" s="10" t="str">
        <f t="shared" si="852"/>
        <v>AE - AGGIORNAMENTI SEZIONE APPROFONDIMENTI NEFRO IT-NPR-2500150</v>
      </c>
      <c r="M10836" s="10" t="str">
        <f t="shared" si="853"/>
        <v>giada.camassa@outsuka.it</v>
      </c>
      <c r="N10836" s="13">
        <v>46190.338622685187</v>
      </c>
      <c r="O10836" s="14" t="str">
        <f>HYPERLINK("https://otsuka-europe-crm.veevavault.com/ui/#object/email_activity__v/V8C00000003X606", "EN-002097927")</f>
        <v>EN-002097927</v>
      </c>
    </row>
    <row r="10837" spans="1:15" ht="64" x14ac:dyDescent="0.2">
      <c r="A10837" s="7" t="str">
        <f>HYPERLINK("https://otsuka-europe-crm.veevavault.com/ui/#object/account__v/V4TZ06G6O71SBO0", "MARCELLO NAPOLI")</f>
        <v>MARCELLO NAPOLI</v>
      </c>
      <c r="B10837" s="7" t="str">
        <f t="shared" si="850"/>
        <v>IT</v>
      </c>
      <c r="C10837" s="8" t="s">
        <v>44</v>
      </c>
      <c r="D10837" s="9" t="str">
        <f t="shared" si="851"/>
        <v>AE - AGGIORNAMENTI SEZIONE APPROFONDIMENTI NEFRO IT-NPR-2500150</v>
      </c>
      <c r="E10837" s="10" t="str">
        <f>HYPERLINK("https://otsuka-europe-crm.veevavault.com/ui/#object/sent_email__v/VBL00000002U912", "SE-001436802")</f>
        <v>SE-001436802</v>
      </c>
      <c r="F10837" s="11"/>
      <c r="G10837" s="12">
        <v>0</v>
      </c>
      <c r="H10837" s="12">
        <v>0</v>
      </c>
      <c r="I10837" s="12">
        <v>0</v>
      </c>
      <c r="J10837" s="11"/>
      <c r="K10837" s="12">
        <v>0</v>
      </c>
      <c r="L10837" s="10" t="str">
        <f t="shared" si="852"/>
        <v>AE - AGGIORNAMENTI SEZIONE APPROFONDIMENTI NEFRO IT-NPR-2500150</v>
      </c>
      <c r="M10837" s="10" t="str">
        <f t="shared" si="853"/>
        <v>giada.camassa@outsuka.it</v>
      </c>
      <c r="N10837" s="13">
        <v>46190.337847222225</v>
      </c>
      <c r="O10837" s="14" t="str">
        <f>HYPERLINK("https://otsuka-europe-crm.veevavault.com/ui/#object/email_activity__v/V8C00000003W332", "EN-002097382")</f>
        <v>EN-002097382</v>
      </c>
    </row>
    <row r="10838" spans="1:15" ht="64" x14ac:dyDescent="0.2">
      <c r="A10838" s="7" t="str">
        <f>HYPERLINK("https://otsuka-europe-crm.veevavault.com/ui/#object/account__v/V4TZ025E8829P6H", "MARCO D'AMICO")</f>
        <v>MARCO D'AMICO</v>
      </c>
      <c r="B10838" s="7" t="str">
        <f t="shared" si="850"/>
        <v>IT</v>
      </c>
      <c r="C10838" s="8" t="s">
        <v>44</v>
      </c>
      <c r="D10838" s="9" t="str">
        <f t="shared" si="851"/>
        <v>AE - AGGIORNAMENTI SEZIONE APPROFONDIMENTI NEFRO IT-NPR-2500150</v>
      </c>
      <c r="E10838" s="10" t="str">
        <f>HYPERLINK("https://otsuka-europe-crm.veevavault.com/ui/#object/sent_email__v/VBL00000002U913", "SE-001436803")</f>
        <v>SE-001436803</v>
      </c>
      <c r="F10838" s="11"/>
      <c r="G10838" s="12">
        <v>0</v>
      </c>
      <c r="H10838" s="12">
        <v>0</v>
      </c>
      <c r="I10838" s="12">
        <v>0</v>
      </c>
      <c r="J10838" s="11"/>
      <c r="K10838" s="12">
        <v>0</v>
      </c>
      <c r="L10838" s="10" t="str">
        <f t="shared" si="852"/>
        <v>AE - AGGIORNAMENTI SEZIONE APPROFONDIMENTI NEFRO IT-NPR-2500150</v>
      </c>
      <c r="M10838" s="10" t="str">
        <f t="shared" si="853"/>
        <v>giada.camassa@outsuka.it</v>
      </c>
      <c r="N10838" s="13">
        <v>46190.337951388887</v>
      </c>
      <c r="O10838" s="14" t="str">
        <f>HYPERLINK("https://otsuka-europe-crm.veevavault.com/ui/#object/email_activity__v/V8C00000003X441", "EN-002097655")</f>
        <v>EN-002097655</v>
      </c>
    </row>
    <row r="10839" spans="1:15" ht="64" x14ac:dyDescent="0.2">
      <c r="A10839" s="7" t="str">
        <f>HYPERLINK("https://otsuka-europe-crm.veevavault.com/ui/#object/account__v/V4TZ06G6O71SAOQ", "MARCO GALLIANI")</f>
        <v>MARCO GALLIANI</v>
      </c>
      <c r="B10839" s="7" t="str">
        <f t="shared" si="850"/>
        <v>IT</v>
      </c>
      <c r="C10839" s="8" t="s">
        <v>44</v>
      </c>
      <c r="D10839" s="9" t="str">
        <f t="shared" si="851"/>
        <v>AE - AGGIORNAMENTI SEZIONE APPROFONDIMENTI NEFRO IT-NPR-2500150</v>
      </c>
      <c r="E10839" s="10" t="str">
        <f>HYPERLINK("https://otsuka-europe-crm.veevavault.com/ui/#object/sent_email__v/VBL00000002U914", "SE-001436804")</f>
        <v>SE-001436804</v>
      </c>
      <c r="F10839" s="11"/>
      <c r="G10839" s="12">
        <v>0</v>
      </c>
      <c r="H10839" s="12">
        <v>0</v>
      </c>
      <c r="I10839" s="12">
        <v>0</v>
      </c>
      <c r="J10839" s="11"/>
      <c r="K10839" s="12">
        <v>0</v>
      </c>
      <c r="L10839" s="10" t="str">
        <f t="shared" si="852"/>
        <v>AE - AGGIORNAMENTI SEZIONE APPROFONDIMENTI NEFRO IT-NPR-2500150</v>
      </c>
      <c r="M10839" s="10" t="str">
        <f t="shared" si="853"/>
        <v>giada.camassa@outsuka.it</v>
      </c>
      <c r="N10839" s="13">
        <v>46190.337824074071</v>
      </c>
      <c r="O10839" s="14" t="str">
        <f>HYPERLINK("https://otsuka-europe-crm.veevavault.com/ui/#object/email_activity__v/V8C00000003X452", "EN-002097789")</f>
        <v>EN-002097789</v>
      </c>
    </row>
    <row r="10840" spans="1:15" ht="64" x14ac:dyDescent="0.2">
      <c r="A10840" s="7" t="str">
        <f>HYPERLINK("https://otsuka-europe-crm.veevavault.com/ui/#object/account__v/V4TZ06G6O71S9ZB", "MARCO HEIDEMPERGHER")</f>
        <v>MARCO HEIDEMPERGHER</v>
      </c>
      <c r="B10840" s="7" t="str">
        <f t="shared" si="850"/>
        <v>IT</v>
      </c>
      <c r="C10840" s="8" t="s">
        <v>44</v>
      </c>
      <c r="D10840" s="9" t="str">
        <f t="shared" si="851"/>
        <v>AE - AGGIORNAMENTI SEZIONE APPROFONDIMENTI NEFRO IT-NPR-2500150</v>
      </c>
      <c r="E10840" s="10" t="str">
        <f>HYPERLINK("https://otsuka-europe-crm.veevavault.com/ui/#object/sent_email__v/VBL00000002U915", "SE-001436805")</f>
        <v>SE-001436805</v>
      </c>
      <c r="F10840" s="11"/>
      <c r="G10840" s="12">
        <v>0</v>
      </c>
      <c r="H10840" s="12">
        <v>0</v>
      </c>
      <c r="I10840" s="12">
        <v>0</v>
      </c>
      <c r="J10840" s="11"/>
      <c r="K10840" s="12">
        <v>0</v>
      </c>
      <c r="L10840" s="10" t="str">
        <f t="shared" si="852"/>
        <v>AE - AGGIORNAMENTI SEZIONE APPROFONDIMENTI NEFRO IT-NPR-2500150</v>
      </c>
      <c r="M10840" s="10" t="str">
        <f t="shared" si="853"/>
        <v>giada.camassa@outsuka.it</v>
      </c>
      <c r="N10840" s="13">
        <v>46190.337847222225</v>
      </c>
      <c r="O10840" s="14" t="str">
        <f>HYPERLINK("https://otsuka-europe-crm.veevavault.com/ui/#object/email_activity__v/V8C00000003X454", "EN-002097791")</f>
        <v>EN-002097791</v>
      </c>
    </row>
    <row r="10841" spans="1:15" ht="64" x14ac:dyDescent="0.2">
      <c r="A10841" s="7" t="str">
        <f>HYPERLINK("https://otsuka-europe-crm.veevavault.com/ui/#object/account__v/V4TZ06G6O71SB9R", "MARCO LOMBARDI")</f>
        <v>MARCO LOMBARDI</v>
      </c>
      <c r="B10841" s="7" t="str">
        <f t="shared" si="850"/>
        <v>IT</v>
      </c>
      <c r="C10841" s="8" t="s">
        <v>44</v>
      </c>
      <c r="D10841" s="9" t="str">
        <f t="shared" si="851"/>
        <v>AE - AGGIORNAMENTI SEZIONE APPROFONDIMENTI NEFRO IT-NPR-2500150</v>
      </c>
      <c r="E10841" s="10" t="str">
        <f>HYPERLINK("https://otsuka-europe-crm.veevavault.com/ui/#object/sent_email__v/VBL00000002U916", "SE-001436806")</f>
        <v>SE-001436806</v>
      </c>
      <c r="F10841" s="11"/>
      <c r="G10841" s="12">
        <v>0</v>
      </c>
      <c r="H10841" s="12">
        <v>0</v>
      </c>
      <c r="I10841" s="12">
        <v>0</v>
      </c>
      <c r="J10841" s="11"/>
      <c r="K10841" s="12">
        <v>0</v>
      </c>
      <c r="L10841" s="10" t="str">
        <f t="shared" si="852"/>
        <v>AE - AGGIORNAMENTI SEZIONE APPROFONDIMENTI NEFRO IT-NPR-2500150</v>
      </c>
      <c r="M10841" s="10" t="str">
        <f t="shared" si="853"/>
        <v>giada.camassa@outsuka.it</v>
      </c>
      <c r="N10841" s="13">
        <v>46190.338622685187</v>
      </c>
      <c r="O10841" s="14" t="str">
        <f>HYPERLINK("https://otsuka-europe-crm.veevavault.com/ui/#object/email_activity__v/V8C00000003W615", "EN-002098231")</f>
        <v>EN-002098231</v>
      </c>
    </row>
    <row r="10842" spans="1:15" ht="16" x14ac:dyDescent="0.2">
      <c r="A10842" s="17" t="str">
        <f>HYPERLINK("https://otsuka-europe-crm.veevavault.com/ui/#object/account__v/V4TZ06G6O71VWH5", "MARCO SIMONINI")</f>
        <v>MARCO SIMONINI</v>
      </c>
      <c r="B10842" s="17" t="str">
        <f t="shared" si="850"/>
        <v>IT</v>
      </c>
      <c r="C10842" s="20" t="s">
        <v>44</v>
      </c>
      <c r="D10842" s="21" t="str">
        <f t="shared" si="851"/>
        <v>AE - AGGIORNAMENTI SEZIONE APPROFONDIMENTI NEFRO IT-NPR-2500150</v>
      </c>
      <c r="E10842" s="22" t="str">
        <f>HYPERLINK("https://otsuka-europe-crm.veevavault.com/ui/#object/sent_email__v/VBL00000002U917", "SE-001436807")</f>
        <v>SE-001436807</v>
      </c>
      <c r="F10842" s="23">
        <v>46190.338761574072</v>
      </c>
      <c r="G10842" s="24">
        <v>1</v>
      </c>
      <c r="H10842" s="24">
        <v>1</v>
      </c>
      <c r="I10842" s="24">
        <v>0</v>
      </c>
      <c r="J10842" s="25"/>
      <c r="K10842" s="24">
        <v>0</v>
      </c>
      <c r="L10842" s="22" t="str">
        <f t="shared" si="852"/>
        <v>AE - AGGIORNAMENTI SEZIONE APPROFONDIMENTI NEFRO IT-NPR-2500150</v>
      </c>
      <c r="M10842" s="22" t="str">
        <f t="shared" si="853"/>
        <v>giada.camassa@outsuka.it</v>
      </c>
      <c r="N10842" s="23">
        <v>46190.337847222225</v>
      </c>
      <c r="O10842" s="14" t="str">
        <f>HYPERLINK("https://otsuka-europe-crm.veevavault.com/ui/#object/email_activity__v/V8C00000003X286", "EN-002097477")</f>
        <v>EN-002097477</v>
      </c>
    </row>
    <row r="10843" spans="1:15" ht="16" x14ac:dyDescent="0.2">
      <c r="A10843" s="19"/>
      <c r="B10843" s="19"/>
      <c r="C10843" s="19"/>
      <c r="D10843" s="19"/>
      <c r="E10843" s="19"/>
      <c r="F10843" s="19"/>
      <c r="G10843" s="19"/>
      <c r="H10843" s="19"/>
      <c r="I10843" s="19"/>
      <c r="J10843" s="19"/>
      <c r="K10843" s="19"/>
      <c r="L10843" s="19"/>
      <c r="M10843" s="19"/>
      <c r="N10843" s="19"/>
      <c r="O10843" s="14" t="str">
        <f>HYPERLINK("https://otsuka-europe-crm.veevavault.com/ui/#object/email_activity__v/V8C00000003X615", "EN-002097937")</f>
        <v>EN-002097937</v>
      </c>
    </row>
    <row r="10844" spans="1:15" ht="16" x14ac:dyDescent="0.2">
      <c r="A10844" s="17" t="str">
        <f>HYPERLINK("https://otsuka-europe-crm.veevavault.com/ui/#object/account__v/V4TZ025E86WQFOS", "MARIA AMICONE")</f>
        <v>MARIA AMICONE</v>
      </c>
      <c r="B10844" s="17" t="str">
        <f>HYPERLINK("https://otsuka-europe-crm.veevavault.com/ui/#object/vcountry__v/VENZ000004SONFQ", "IT")</f>
        <v>IT</v>
      </c>
      <c r="C10844" s="20" t="s">
        <v>44</v>
      </c>
      <c r="D10844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844" s="22" t="str">
        <f>HYPERLINK("https://otsuka-europe-crm.veevavault.com/ui/#object/sent_email__v/VBL00000002U918", "SE-001436808")</f>
        <v>SE-001436808</v>
      </c>
      <c r="F10844" s="23">
        <v>46190.338113425925</v>
      </c>
      <c r="G10844" s="24">
        <v>1</v>
      </c>
      <c r="H10844" s="24">
        <v>1</v>
      </c>
      <c r="I10844" s="24">
        <v>0</v>
      </c>
      <c r="J10844" s="25"/>
      <c r="K10844" s="24">
        <v>0</v>
      </c>
      <c r="L10844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844" s="22" t="str">
        <f>HYPERLINK("mailto:giada.camassa@outsuka.it", "giada.camassa@outsuka.it")</f>
        <v>giada.camassa@outsuka.it</v>
      </c>
      <c r="N10844" s="23">
        <v>46190.337962962964</v>
      </c>
      <c r="O10844" s="14" t="str">
        <f>HYPERLINK("https://otsuka-europe-crm.veevavault.com/ui/#object/email_activity__v/V8C00000003W481", "EN-002097836")</f>
        <v>EN-002097836</v>
      </c>
    </row>
    <row r="10845" spans="1:15" ht="16" x14ac:dyDescent="0.2">
      <c r="A10845" s="19"/>
      <c r="B10845" s="19"/>
      <c r="C10845" s="19"/>
      <c r="D10845" s="19"/>
      <c r="E10845" s="19"/>
      <c r="F10845" s="19"/>
      <c r="G10845" s="19"/>
      <c r="H10845" s="19"/>
      <c r="I10845" s="19"/>
      <c r="J10845" s="19"/>
      <c r="K10845" s="19"/>
      <c r="L10845" s="19"/>
      <c r="M10845" s="19"/>
      <c r="N10845" s="19"/>
      <c r="O10845" s="14" t="str">
        <f>HYPERLINK("https://otsuka-europe-crm.veevavault.com/ui/#object/email_activity__v/V8C00000003X503", "EN-002097746")</f>
        <v>EN-002097746</v>
      </c>
    </row>
    <row r="10846" spans="1:15" ht="64" x14ac:dyDescent="0.2">
      <c r="A10846" s="7" t="str">
        <f>HYPERLINK("https://otsuka-europe-crm.veevavault.com/ui/#object/account__v/V4TZ06G6O71S9D7", "MARIA CLAUDINA TINEO")</f>
        <v>MARIA CLAUDINA TINEO</v>
      </c>
      <c r="B10846" s="7" t="str">
        <f>HYPERLINK("https://otsuka-europe-crm.veevavault.com/ui/#object/vcountry__v/VENZ000004SONFQ", "IT")</f>
        <v>IT</v>
      </c>
      <c r="C10846" s="8" t="s">
        <v>44</v>
      </c>
      <c r="D10846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846" s="10" t="str">
        <f>HYPERLINK("https://otsuka-europe-crm.veevavault.com/ui/#object/sent_email__v/VBL00000002U919", "SE-001436809")</f>
        <v>SE-001436809</v>
      </c>
      <c r="F10846" s="11"/>
      <c r="G10846" s="12">
        <v>0</v>
      </c>
      <c r="H10846" s="12">
        <v>0</v>
      </c>
      <c r="I10846" s="12">
        <v>0</v>
      </c>
      <c r="J10846" s="11"/>
      <c r="K10846" s="12">
        <v>0</v>
      </c>
      <c r="L10846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846" s="10" t="str">
        <f>HYPERLINK("mailto:giada.camassa@outsuka.it", "giada.camassa@outsuka.it")</f>
        <v>giada.camassa@outsuka.it</v>
      </c>
      <c r="N10846" s="13">
        <v>46190.338148148148</v>
      </c>
      <c r="O10846" s="14" t="str">
        <f>HYPERLINK("https://otsuka-europe-crm.veevavault.com/ui/#object/email_activity__v/V8C00000003X571", "EN-002097867")</f>
        <v>EN-002097867</v>
      </c>
    </row>
    <row r="10847" spans="1:15" ht="64" x14ac:dyDescent="0.2">
      <c r="A10847" s="7" t="str">
        <f>HYPERLINK("https://otsuka-europe-crm.veevavault.com/ui/#object/account__v/V4TZ06G6O71SAEW", "MARIA D'AMICO")</f>
        <v>MARIA D'AMICO</v>
      </c>
      <c r="B10847" s="7" t="str">
        <f>HYPERLINK("https://otsuka-europe-crm.veevavault.com/ui/#object/vcountry__v/VENZ000004SONFQ", "IT")</f>
        <v>IT</v>
      </c>
      <c r="C10847" s="8" t="s">
        <v>44</v>
      </c>
      <c r="D10847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847" s="10" t="str">
        <f>HYPERLINK("https://otsuka-europe-crm.veevavault.com/ui/#object/sent_email__v/VBL00000002U920", "SE-001436810")</f>
        <v>SE-001436810</v>
      </c>
      <c r="F10847" s="11"/>
      <c r="G10847" s="12">
        <v>0</v>
      </c>
      <c r="H10847" s="12">
        <v>0</v>
      </c>
      <c r="I10847" s="12">
        <v>0</v>
      </c>
      <c r="J10847" s="11"/>
      <c r="K10847" s="12">
        <v>0</v>
      </c>
      <c r="L10847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847" s="10" t="str">
        <f>HYPERLINK("mailto:giada.camassa@outsuka.it", "giada.camassa@outsuka.it")</f>
        <v>giada.camassa@outsuka.it</v>
      </c>
      <c r="N10847" s="13">
        <v>46190.337916666664</v>
      </c>
      <c r="O10847" s="14" t="str">
        <f>HYPERLINK("https://otsuka-europe-crm.veevavault.com/ui/#object/email_activity__v/V8C00000003X314", "EN-002097505")</f>
        <v>EN-002097505</v>
      </c>
    </row>
    <row r="10848" spans="1:15" ht="64" x14ac:dyDescent="0.2">
      <c r="A10848" s="7" t="str">
        <f>HYPERLINK("https://otsuka-europe-crm.veevavault.com/ui/#object/account__v/V4TZ025E84BA1BP", "MARIA FRANCESCA ROME'")</f>
        <v>MARIA FRANCESCA ROME'</v>
      </c>
      <c r="B10848" s="7" t="str">
        <f>HYPERLINK("https://otsuka-europe-crm.veevavault.com/ui/#object/vcountry__v/VENZ000004SONFQ", "IT")</f>
        <v>IT</v>
      </c>
      <c r="C10848" s="8" t="s">
        <v>44</v>
      </c>
      <c r="D10848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848" s="10" t="str">
        <f>HYPERLINK("https://otsuka-europe-crm.veevavault.com/ui/#object/sent_email__v/VBL00000002U921", "SE-001436811")</f>
        <v>SE-001436811</v>
      </c>
      <c r="F10848" s="11"/>
      <c r="G10848" s="12">
        <v>0</v>
      </c>
      <c r="H10848" s="12">
        <v>0</v>
      </c>
      <c r="I10848" s="12">
        <v>0</v>
      </c>
      <c r="J10848" s="11"/>
      <c r="K10848" s="12">
        <v>0</v>
      </c>
      <c r="L10848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848" s="10" t="str">
        <f>HYPERLINK("mailto:giada.camassa@outsuka.it", "giada.camassa@outsuka.it")</f>
        <v>giada.camassa@outsuka.it</v>
      </c>
      <c r="N10848" s="13">
        <v>46190.337905092594</v>
      </c>
      <c r="O10848" s="14" t="str">
        <f>HYPERLINK("https://otsuka-europe-crm.veevavault.com/ui/#object/email_activity__v/V8C00000003W341", "EN-002097398")</f>
        <v>EN-002097398</v>
      </c>
    </row>
    <row r="10849" spans="1:15" ht="16" x14ac:dyDescent="0.2">
      <c r="A10849" s="17" t="str">
        <f>HYPERLINK("https://otsuka-europe-crm.veevavault.com/ui/#object/account__v/V4TZ06G6O71SAHP", "MARIA GRAZIA CHIAPPINI")</f>
        <v>MARIA GRAZIA CHIAPPINI</v>
      </c>
      <c r="B10849" s="17" t="str">
        <f>HYPERLINK("https://otsuka-europe-crm.veevavault.com/ui/#object/vcountry__v/VENZ000004SONFQ", "IT")</f>
        <v>IT</v>
      </c>
      <c r="C10849" s="20" t="s">
        <v>44</v>
      </c>
      <c r="D10849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849" s="22" t="str">
        <f>HYPERLINK("https://otsuka-europe-crm.veevavault.com/ui/#object/sent_email__v/VBL00000002U922", "SE-001436812")</f>
        <v>SE-001436812</v>
      </c>
      <c r="F10849" s="23">
        <v>46190.406087962961</v>
      </c>
      <c r="G10849" s="24">
        <v>1</v>
      </c>
      <c r="H10849" s="24">
        <v>2</v>
      </c>
      <c r="I10849" s="24">
        <v>0</v>
      </c>
      <c r="J10849" s="25"/>
      <c r="K10849" s="24">
        <v>0</v>
      </c>
      <c r="L10849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849" s="22" t="str">
        <f>HYPERLINK("mailto:giada.camassa@outsuka.it", "giada.camassa@outsuka.it")</f>
        <v>giada.camassa@outsuka.it</v>
      </c>
      <c r="N10849" s="23">
        <v>46190.337951388887</v>
      </c>
      <c r="O10849" s="14" t="str">
        <f>HYPERLINK("https://otsuka-europe-crm.veevavault.com/ui/#object/email_activity__v/V8C00000003W488", "EN-002097850")</f>
        <v>EN-002097850</v>
      </c>
    </row>
    <row r="10850" spans="1:15" ht="16" x14ac:dyDescent="0.2">
      <c r="A10850" s="18"/>
      <c r="B10850" s="18"/>
      <c r="C10850" s="18"/>
      <c r="D10850" s="18"/>
      <c r="E10850" s="18"/>
      <c r="F10850" s="18"/>
      <c r="G10850" s="18"/>
      <c r="H10850" s="18"/>
      <c r="I10850" s="18"/>
      <c r="J10850" s="18"/>
      <c r="K10850" s="18"/>
      <c r="L10850" s="18"/>
      <c r="M10850" s="18"/>
      <c r="N10850" s="18"/>
      <c r="O10850" s="14" t="str">
        <f>HYPERLINK("https://otsuka-europe-crm.veevavault.com/ui/#object/email_activity__v/V8C00000003X420", "EN-002097615")</f>
        <v>EN-002097615</v>
      </c>
    </row>
    <row r="10851" spans="1:15" ht="16" x14ac:dyDescent="0.2">
      <c r="A10851" s="19"/>
      <c r="B10851" s="19"/>
      <c r="C10851" s="19"/>
      <c r="D10851" s="19"/>
      <c r="E10851" s="19"/>
      <c r="F10851" s="19"/>
      <c r="G10851" s="19"/>
      <c r="H10851" s="19"/>
      <c r="I10851" s="19"/>
      <c r="J10851" s="19"/>
      <c r="K10851" s="19"/>
      <c r="L10851" s="19"/>
      <c r="M10851" s="19"/>
      <c r="N10851" s="19"/>
      <c r="O10851" s="14" t="str">
        <f>HYPERLINK("https://otsuka-europe-crm.veevavault.com/ui/#object/email_activity__v/V8C00000003X831", "EN-002098296")</f>
        <v>EN-002098296</v>
      </c>
    </row>
    <row r="10852" spans="1:15" ht="16" x14ac:dyDescent="0.2">
      <c r="A10852" s="17" t="str">
        <f>HYPERLINK("https://otsuka-europe-crm.veevavault.com/ui/#object/account__v/V4TZ025E84LQ4G0", "MARIA JOSE' CERAVOLO")</f>
        <v>MARIA JOSE' CERAVOLO</v>
      </c>
      <c r="B10852" s="17" t="str">
        <f>HYPERLINK("https://otsuka-europe-crm.veevavault.com/ui/#object/vcountry__v/VENZ000004SONFQ", "IT")</f>
        <v>IT</v>
      </c>
      <c r="C10852" s="20" t="s">
        <v>44</v>
      </c>
      <c r="D10852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852" s="22" t="str">
        <f>HYPERLINK("https://otsuka-europe-crm.veevavault.com/ui/#object/sent_email__v/VBL00000002U923", "SE-001436813")</f>
        <v>SE-001436813</v>
      </c>
      <c r="F10852" s="23">
        <v>46190.342106481483</v>
      </c>
      <c r="G10852" s="24">
        <v>1</v>
      </c>
      <c r="H10852" s="24">
        <v>2</v>
      </c>
      <c r="I10852" s="24">
        <v>0</v>
      </c>
      <c r="J10852" s="25"/>
      <c r="K10852" s="24">
        <v>0</v>
      </c>
      <c r="L10852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852" s="22" t="str">
        <f>HYPERLINK("mailto:giada.camassa@outsuka.it", "giada.camassa@outsuka.it")</f>
        <v>giada.camassa@outsuka.it</v>
      </c>
      <c r="N10852" s="23">
        <v>46190.337870370371</v>
      </c>
      <c r="O10852" s="14" t="str">
        <f>HYPERLINK("https://otsuka-europe-crm.veevavault.com/ui/#object/email_activity__v/V8C00000003X369", "EN-002097547")</f>
        <v>EN-002097547</v>
      </c>
    </row>
    <row r="10853" spans="1:15" ht="16" x14ac:dyDescent="0.2">
      <c r="A10853" s="18"/>
      <c r="B10853" s="18"/>
      <c r="C10853" s="18"/>
      <c r="D10853" s="18"/>
      <c r="E10853" s="18"/>
      <c r="F10853" s="18"/>
      <c r="G10853" s="18"/>
      <c r="H10853" s="18"/>
      <c r="I10853" s="18"/>
      <c r="J10853" s="18"/>
      <c r="K10853" s="18"/>
      <c r="L10853" s="18"/>
      <c r="M10853" s="18"/>
      <c r="N10853" s="18"/>
      <c r="O10853" s="14" t="str">
        <f>HYPERLINK("https://otsuka-europe-crm.veevavault.com/ui/#object/email_activity__v/V8C00000003X461", "EN-002097798")</f>
        <v>EN-002097798</v>
      </c>
    </row>
    <row r="10854" spans="1:15" ht="16" x14ac:dyDescent="0.2">
      <c r="A10854" s="19"/>
      <c r="B10854" s="19"/>
      <c r="C10854" s="19"/>
      <c r="D10854" s="19"/>
      <c r="E10854" s="19"/>
      <c r="F10854" s="19"/>
      <c r="G10854" s="19"/>
      <c r="H10854" s="19"/>
      <c r="I10854" s="19"/>
      <c r="J10854" s="19"/>
      <c r="K10854" s="19"/>
      <c r="L10854" s="19"/>
      <c r="M10854" s="19"/>
      <c r="N10854" s="19"/>
      <c r="O10854" s="14" t="str">
        <f>HYPERLINK("https://otsuka-europe-crm.veevavault.com/ui/#object/email_activity__v/V8C00000003X808", "EN-002098229")</f>
        <v>EN-002098229</v>
      </c>
    </row>
    <row r="10855" spans="1:15" ht="64" x14ac:dyDescent="0.2">
      <c r="A10855" s="7" t="str">
        <f>HYPERLINK("https://otsuka-europe-crm.veevavault.com/ui/#object/account__v/V4TZ06G6O71S9J2", "MARIA LAURA ANGELINI")</f>
        <v>MARIA LAURA ANGELINI</v>
      </c>
      <c r="B10855" s="7" t="str">
        <f>HYPERLINK("https://otsuka-europe-crm.veevavault.com/ui/#object/vcountry__v/VENZ000004SONFQ", "IT")</f>
        <v>IT</v>
      </c>
      <c r="C10855" s="8" t="s">
        <v>44</v>
      </c>
      <c r="D10855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855" s="10" t="str">
        <f>HYPERLINK("https://otsuka-europe-crm.veevavault.com/ui/#object/sent_email__v/VBL00000002U924", "SE-001436814")</f>
        <v>SE-001436814</v>
      </c>
      <c r="F10855" s="11"/>
      <c r="G10855" s="12">
        <v>0</v>
      </c>
      <c r="H10855" s="12">
        <v>0</v>
      </c>
      <c r="I10855" s="12">
        <v>0</v>
      </c>
      <c r="J10855" s="11"/>
      <c r="K10855" s="12">
        <v>0</v>
      </c>
      <c r="L10855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855" s="10" t="str">
        <f>HYPERLINK("mailto:giada.camassa@outsuka.it", "giada.camassa@outsuka.it")</f>
        <v>giada.camassa@outsuka.it</v>
      </c>
      <c r="N10855" s="13">
        <v>46190.339699074073</v>
      </c>
      <c r="O10855" s="14" t="str">
        <f>HYPERLINK("https://otsuka-europe-crm.veevavault.com/ui/#object/email_activity__v/V8C00000003X736", "EN-002098134")</f>
        <v>EN-002098134</v>
      </c>
    </row>
    <row r="10856" spans="1:15" ht="64" x14ac:dyDescent="0.2">
      <c r="A10856" s="7" t="str">
        <f>HYPERLINK("https://otsuka-europe-crm.veevavault.com/ui/#object/account__v/V4TZ025E840SDEU", "MARIA LORETA DE GIORGI")</f>
        <v>MARIA LORETA DE GIORGI</v>
      </c>
      <c r="B10856" s="7" t="str">
        <f>HYPERLINK("https://otsuka-europe-crm.veevavault.com/ui/#object/vcountry__v/VENZ000004SONFQ", "IT")</f>
        <v>IT</v>
      </c>
      <c r="C10856" s="8" t="s">
        <v>44</v>
      </c>
      <c r="D10856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856" s="10" t="str">
        <f>HYPERLINK("https://otsuka-europe-crm.veevavault.com/ui/#object/sent_email__v/VBL00000002U925", "SE-001436815")</f>
        <v>SE-001436815</v>
      </c>
      <c r="F10856" s="11"/>
      <c r="G10856" s="12">
        <v>0</v>
      </c>
      <c r="H10856" s="12">
        <v>0</v>
      </c>
      <c r="I10856" s="12">
        <v>0</v>
      </c>
      <c r="J10856" s="11"/>
      <c r="K10856" s="12">
        <v>0</v>
      </c>
      <c r="L10856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856" s="10" t="str">
        <f>HYPERLINK("mailto:giada.camassa@outsuka.it", "giada.camassa@outsuka.it")</f>
        <v>giada.camassa@outsuka.it</v>
      </c>
      <c r="N10856" s="13">
        <v>46190.337858796294</v>
      </c>
      <c r="O10856" s="14" t="str">
        <f>HYPERLINK("https://otsuka-europe-crm.veevavault.com/ui/#object/email_activity__v/V8C00000003X244", "EN-002097391")</f>
        <v>EN-002097391</v>
      </c>
    </row>
    <row r="10857" spans="1:15" ht="16" x14ac:dyDescent="0.2">
      <c r="A10857" s="17" t="str">
        <f>HYPERLINK("https://otsuka-europe-crm.veevavault.com/ui/#object/account__v/V4TZ06G6O71SCHW", "MARIA TERESA SCIARRONE ALIBRANDI")</f>
        <v>MARIA TERESA SCIARRONE ALIBRANDI</v>
      </c>
      <c r="B10857" s="17" t="str">
        <f>HYPERLINK("https://otsuka-europe-crm.veevavault.com/ui/#object/vcountry__v/VENZ000004SONFQ", "IT")</f>
        <v>IT</v>
      </c>
      <c r="C10857" s="20" t="s">
        <v>44</v>
      </c>
      <c r="D10857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857" s="22" t="str">
        <f>HYPERLINK("https://otsuka-europe-crm.veevavault.com/ui/#object/sent_email__v/VBL00000002U926", "SE-001436816")</f>
        <v>SE-001436816</v>
      </c>
      <c r="F10857" s="23">
        <v>46190.338252314818</v>
      </c>
      <c r="G10857" s="24">
        <v>1</v>
      </c>
      <c r="H10857" s="24">
        <v>1</v>
      </c>
      <c r="I10857" s="24">
        <v>0</v>
      </c>
      <c r="J10857" s="25"/>
      <c r="K10857" s="24">
        <v>0</v>
      </c>
      <c r="L10857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857" s="22" t="str">
        <f>HYPERLINK("mailto:giada.camassa@outsuka.it", "giada.camassa@outsuka.it")</f>
        <v>giada.camassa@outsuka.it</v>
      </c>
      <c r="N10857" s="23">
        <v>46190.338101851848</v>
      </c>
      <c r="O10857" s="14" t="str">
        <f>HYPERLINK("https://otsuka-europe-crm.veevavault.com/ui/#object/email_activity__v/V8C00000003W479", "EN-002097834")</f>
        <v>EN-002097834</v>
      </c>
    </row>
    <row r="10858" spans="1:15" ht="16" x14ac:dyDescent="0.2">
      <c r="A10858" s="19"/>
      <c r="B10858" s="19"/>
      <c r="C10858" s="19"/>
      <c r="D10858" s="19"/>
      <c r="E10858" s="19"/>
      <c r="F10858" s="19"/>
      <c r="G10858" s="19"/>
      <c r="H10858" s="19"/>
      <c r="I10858" s="19"/>
      <c r="J10858" s="19"/>
      <c r="K10858" s="19"/>
      <c r="L10858" s="19"/>
      <c r="M10858" s="19"/>
      <c r="N10858" s="19"/>
      <c r="O10858" s="14" t="str">
        <f>HYPERLINK("https://otsuka-europe-crm.veevavault.com/ui/#object/email_activity__v/V8C00000003W493", "EN-002097882")</f>
        <v>EN-002097882</v>
      </c>
    </row>
    <row r="10859" spans="1:15" ht="16" x14ac:dyDescent="0.2">
      <c r="A10859" s="17" t="str">
        <f>HYPERLINK("https://otsuka-europe-crm.veevavault.com/ui/#object/account__v/V4TZ06G6O71SCCY", "MARIADELINA SIMEONI")</f>
        <v>MARIADELINA SIMEONI</v>
      </c>
      <c r="B10859" s="17" t="str">
        <f>HYPERLINK("https://otsuka-europe-crm.veevavault.com/ui/#object/vcountry__v/VENZ000004SONFQ", "IT")</f>
        <v>IT</v>
      </c>
      <c r="C10859" s="20" t="s">
        <v>44</v>
      </c>
      <c r="D10859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859" s="22" t="str">
        <f>HYPERLINK("https://otsuka-europe-crm.veevavault.com/ui/#object/sent_email__v/VBL00000002U927", "SE-001436817")</f>
        <v>SE-001436817</v>
      </c>
      <c r="F10859" s="23">
        <v>46190.33798611111</v>
      </c>
      <c r="G10859" s="24">
        <v>1</v>
      </c>
      <c r="H10859" s="24">
        <v>1</v>
      </c>
      <c r="I10859" s="24">
        <v>0</v>
      </c>
      <c r="J10859" s="25"/>
      <c r="K10859" s="24">
        <v>0</v>
      </c>
      <c r="L10859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859" s="22" t="str">
        <f>HYPERLINK("mailto:giada.camassa@outsuka.it", "giada.camassa@outsuka.it")</f>
        <v>giada.camassa@outsuka.it</v>
      </c>
      <c r="N10859" s="23">
        <v>46190.337824074071</v>
      </c>
      <c r="O10859" s="14" t="str">
        <f>HYPERLINK("https://otsuka-europe-crm.veevavault.com/ui/#object/email_activity__v/V8C00000003W437", "EN-002097721")</f>
        <v>EN-002097721</v>
      </c>
    </row>
    <row r="10860" spans="1:15" ht="16" x14ac:dyDescent="0.2">
      <c r="A10860" s="19"/>
      <c r="B10860" s="19"/>
      <c r="C10860" s="19"/>
      <c r="D10860" s="19"/>
      <c r="E10860" s="19"/>
      <c r="F10860" s="19"/>
      <c r="G10860" s="19"/>
      <c r="H10860" s="19"/>
      <c r="I10860" s="19"/>
      <c r="J10860" s="19"/>
      <c r="K10860" s="19"/>
      <c r="L10860" s="19"/>
      <c r="M10860" s="19"/>
      <c r="N10860" s="19"/>
      <c r="O10860" s="14" t="str">
        <f>HYPERLINK("https://otsuka-europe-crm.veevavault.com/ui/#object/email_activity__v/V8C00000003X398", "EN-002097593")</f>
        <v>EN-002097593</v>
      </c>
    </row>
    <row r="10861" spans="1:15" ht="64" x14ac:dyDescent="0.2">
      <c r="A10861" s="7" t="str">
        <f>HYPERLINK("https://otsuka-europe-crm.veevavault.com/ui/#object/account__v/V4TZ06G6O71S9WH", "MARIANNA ALESSI")</f>
        <v>MARIANNA ALESSI</v>
      </c>
      <c r="B10861" s="7" t="str">
        <f>HYPERLINK("https://otsuka-europe-crm.veevavault.com/ui/#object/vcountry__v/VENZ000004SONFQ", "IT")</f>
        <v>IT</v>
      </c>
      <c r="C10861" s="8" t="s">
        <v>44</v>
      </c>
      <c r="D10861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861" s="10" t="str">
        <f>HYPERLINK("https://otsuka-europe-crm.veevavault.com/ui/#object/sent_email__v/VBL00000002U928", "SE-001436818")</f>
        <v>SE-001436818</v>
      </c>
      <c r="F10861" s="11"/>
      <c r="G10861" s="12">
        <v>0</v>
      </c>
      <c r="H10861" s="12">
        <v>0</v>
      </c>
      <c r="I10861" s="12">
        <v>0</v>
      </c>
      <c r="J10861" s="11"/>
      <c r="K10861" s="12">
        <v>0</v>
      </c>
      <c r="L10861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861" s="10" t="str">
        <f>HYPERLINK("mailto:giada.camassa@outsuka.it", "giada.camassa@outsuka.it")</f>
        <v>giada.camassa@outsuka.it</v>
      </c>
      <c r="N10861" s="13">
        <v>46190.337870370371</v>
      </c>
      <c r="O10861" s="14" t="str">
        <f>HYPERLINK("https://otsuka-europe-crm.veevavault.com/ui/#object/email_activity__v/V8C00000003X402", "EN-002097597")</f>
        <v>EN-002097597</v>
      </c>
    </row>
    <row r="10862" spans="1:15" ht="64" x14ac:dyDescent="0.2">
      <c r="A10862" s="7" t="str">
        <f>HYPERLINK("https://otsuka-europe-crm.veevavault.com/ui/#object/account__v/V4TZ06G6O71SBIH", "MARIANO MIJ")</f>
        <v>MARIANO MIJ</v>
      </c>
      <c r="B10862" s="7" t="str">
        <f>HYPERLINK("https://otsuka-europe-crm.veevavault.com/ui/#object/vcountry__v/VENZ000004SONFQ", "IT")</f>
        <v>IT</v>
      </c>
      <c r="C10862" s="8" t="s">
        <v>44</v>
      </c>
      <c r="D10862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862" s="10" t="str">
        <f>HYPERLINK("https://otsuka-europe-crm.veevavault.com/ui/#object/sent_email__v/VBL00000002U929", "SE-001436819")</f>
        <v>SE-001436819</v>
      </c>
      <c r="F10862" s="11"/>
      <c r="G10862" s="12">
        <v>0</v>
      </c>
      <c r="H10862" s="12">
        <v>0</v>
      </c>
      <c r="I10862" s="12">
        <v>0</v>
      </c>
      <c r="J10862" s="11"/>
      <c r="K10862" s="12">
        <v>0</v>
      </c>
      <c r="L10862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862" s="10" t="str">
        <f>HYPERLINK("mailto:giada.camassa@outsuka.it", "giada.camassa@outsuka.it")</f>
        <v>giada.camassa@outsuka.it</v>
      </c>
      <c r="N10862" s="13">
        <v>46190.339456018519</v>
      </c>
      <c r="O10862" s="14" t="str">
        <f>HYPERLINK("https://otsuka-europe-crm.veevavault.com/ui/#object/email_activity__v/V8C00000003X707", "EN-002098069")</f>
        <v>EN-002098069</v>
      </c>
    </row>
    <row r="10863" spans="1:15" ht="64" x14ac:dyDescent="0.2">
      <c r="A10863" s="7" t="str">
        <f>HYPERLINK("https://otsuka-europe-crm.veevavault.com/ui/#object/account__v/V4TZ06G6O71SA54", "MARIO BONOMINI")</f>
        <v>MARIO BONOMINI</v>
      </c>
      <c r="B10863" s="7" t="str">
        <f>HYPERLINK("https://otsuka-europe-crm.veevavault.com/ui/#object/vcountry__v/VENZ000004SONFQ", "IT")</f>
        <v>IT</v>
      </c>
      <c r="C10863" s="8" t="s">
        <v>44</v>
      </c>
      <c r="D10863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863" s="10" t="str">
        <f>HYPERLINK("https://otsuka-europe-crm.veevavault.com/ui/#object/sent_email__v/VBL00000002U930", "SE-001436820")</f>
        <v>SE-001436820</v>
      </c>
      <c r="F10863" s="11"/>
      <c r="G10863" s="12">
        <v>0</v>
      </c>
      <c r="H10863" s="12">
        <v>0</v>
      </c>
      <c r="I10863" s="12">
        <v>0</v>
      </c>
      <c r="J10863" s="11"/>
      <c r="K10863" s="12">
        <v>0</v>
      </c>
      <c r="L10863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863" s="10" t="str">
        <f>HYPERLINK("mailto:giada.camassa@outsuka.it", "giada.camassa@outsuka.it")</f>
        <v>giada.camassa@outsuka.it</v>
      </c>
      <c r="N10863" s="13">
        <v>46190.338495370372</v>
      </c>
      <c r="O10863" s="14" t="str">
        <f>HYPERLINK("https://otsuka-europe-crm.veevavault.com/ui/#object/email_activity__v/V8C00000003W622", "EN-002098244")</f>
        <v>EN-002098244</v>
      </c>
    </row>
    <row r="10864" spans="1:15" ht="16" x14ac:dyDescent="0.2">
      <c r="A10864" s="17" t="str">
        <f>HYPERLINK("https://otsuka-europe-crm.veevavault.com/ui/#object/account__v/V4TZ06G6O71SB7Z", "MARIO LICCARDO")</f>
        <v>MARIO LICCARDO</v>
      </c>
      <c r="B10864" s="17" t="str">
        <f>HYPERLINK("https://otsuka-europe-crm.veevavault.com/ui/#object/vcountry__v/VENZ000004SONFQ", "IT")</f>
        <v>IT</v>
      </c>
      <c r="C10864" s="20" t="s">
        <v>44</v>
      </c>
      <c r="D10864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864" s="22" t="str">
        <f>HYPERLINK("https://otsuka-europe-crm.veevavault.com/ui/#object/sent_email__v/VBL00000002U931", "SE-001436821")</f>
        <v>SE-001436821</v>
      </c>
      <c r="F10864" s="23">
        <v>46190.338020833333</v>
      </c>
      <c r="G10864" s="24">
        <v>1</v>
      </c>
      <c r="H10864" s="24">
        <v>1</v>
      </c>
      <c r="I10864" s="24">
        <v>0</v>
      </c>
      <c r="J10864" s="25"/>
      <c r="K10864" s="24">
        <v>0</v>
      </c>
      <c r="L10864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864" s="22" t="str">
        <f>HYPERLINK("mailto:giada.camassa@outsuka.it", "giada.camassa@outsuka.it")</f>
        <v>giada.camassa@outsuka.it</v>
      </c>
      <c r="N10864" s="23">
        <v>46190.337824074071</v>
      </c>
      <c r="O10864" s="14" t="str">
        <f>HYPERLINK("https://otsuka-europe-crm.veevavault.com/ui/#object/email_activity__v/V8C00000003W335", "EN-002097385")</f>
        <v>EN-002097385</v>
      </c>
    </row>
    <row r="10865" spans="1:15" ht="16" x14ac:dyDescent="0.2">
      <c r="A10865" s="19"/>
      <c r="B10865" s="19"/>
      <c r="C10865" s="19"/>
      <c r="D10865" s="19"/>
      <c r="E10865" s="19"/>
      <c r="F10865" s="19"/>
      <c r="G10865" s="19"/>
      <c r="H10865" s="19"/>
      <c r="I10865" s="19"/>
      <c r="J10865" s="19"/>
      <c r="K10865" s="19"/>
      <c r="L10865" s="19"/>
      <c r="M10865" s="19"/>
      <c r="N10865" s="19"/>
      <c r="O10865" s="14" t="str">
        <f>HYPERLINK("https://otsuka-europe-crm.veevavault.com/ui/#object/email_activity__v/V8C00000003W402", "EN-002097564")</f>
        <v>EN-002097564</v>
      </c>
    </row>
    <row r="10866" spans="1:15" ht="64" x14ac:dyDescent="0.2">
      <c r="A10866" s="7" t="str">
        <f>HYPERLINK("https://otsuka-europe-crm.veevavault.com/ui/#object/account__v/V4TZ06G6O71SAQ9", "MARTA GUIZZO")</f>
        <v>MARTA GUIZZO</v>
      </c>
      <c r="B10866" s="7" t="str">
        <f>HYPERLINK("https://otsuka-europe-crm.veevavault.com/ui/#object/vcountry__v/VENZ000004SONFQ", "IT")</f>
        <v>IT</v>
      </c>
      <c r="C10866" s="8" t="s">
        <v>44</v>
      </c>
      <c r="D10866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866" s="10" t="str">
        <f>HYPERLINK("https://otsuka-europe-crm.veevavault.com/ui/#object/sent_email__v/VBL00000002U932", "SE-001436822")</f>
        <v>SE-001436822</v>
      </c>
      <c r="F10866" s="11"/>
      <c r="G10866" s="12">
        <v>0</v>
      </c>
      <c r="H10866" s="12">
        <v>0</v>
      </c>
      <c r="I10866" s="12">
        <v>0</v>
      </c>
      <c r="J10866" s="11"/>
      <c r="K10866" s="12">
        <v>0</v>
      </c>
      <c r="L10866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866" s="10" t="str">
        <f>HYPERLINK("mailto:giada.camassa@outsuka.it", "giada.camassa@outsuka.it")</f>
        <v>giada.camassa@outsuka.it</v>
      </c>
      <c r="N10866" s="13">
        <v>46190.337905092594</v>
      </c>
      <c r="O10866" s="14" t="str">
        <f>HYPERLINK("https://otsuka-europe-crm.veevavault.com/ui/#object/email_activity__v/V8C00000003X525", "EN-002097768")</f>
        <v>EN-002097768</v>
      </c>
    </row>
    <row r="10867" spans="1:15" ht="16" x14ac:dyDescent="0.2">
      <c r="A10867" s="17" t="str">
        <f>HYPERLINK("https://otsuka-europe-crm.veevavault.com/ui/#object/account__v/V4TZ04ASGBUJZUF", "MARTA PROGLIO")</f>
        <v>MARTA PROGLIO</v>
      </c>
      <c r="B10867" s="17" t="str">
        <f>HYPERLINK("https://otsuka-europe-crm.veevavault.com/ui/#object/vcountry__v/VENZ000004SONFQ", "IT")</f>
        <v>IT</v>
      </c>
      <c r="C10867" s="20" t="s">
        <v>44</v>
      </c>
      <c r="D10867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867" s="22" t="str">
        <f>HYPERLINK("https://otsuka-europe-crm.veevavault.com/ui/#object/sent_email__v/VBL00000002U933", "SE-001436823")</f>
        <v>SE-001436823</v>
      </c>
      <c r="F10867" s="23">
        <v>46190.359930555554</v>
      </c>
      <c r="G10867" s="24">
        <v>1</v>
      </c>
      <c r="H10867" s="24">
        <v>1</v>
      </c>
      <c r="I10867" s="24">
        <v>0</v>
      </c>
      <c r="J10867" s="25"/>
      <c r="K10867" s="24">
        <v>0</v>
      </c>
      <c r="L10867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867" s="22" t="str">
        <f>HYPERLINK("mailto:giada.camassa@outsuka.it", "giada.camassa@outsuka.it")</f>
        <v>giada.camassa@outsuka.it</v>
      </c>
      <c r="N10867" s="23">
        <v>46190.337835648148</v>
      </c>
      <c r="O10867" s="14" t="str">
        <f>HYPERLINK("https://otsuka-europe-crm.veevavault.com/ui/#object/email_activity__v/V8C00000003X467", "EN-002097666")</f>
        <v>EN-002097666</v>
      </c>
    </row>
    <row r="10868" spans="1:15" ht="16" x14ac:dyDescent="0.2">
      <c r="A10868" s="19"/>
      <c r="B10868" s="19"/>
      <c r="C10868" s="19"/>
      <c r="D10868" s="19"/>
      <c r="E10868" s="19"/>
      <c r="F10868" s="19"/>
      <c r="G10868" s="19"/>
      <c r="H10868" s="19"/>
      <c r="I10868" s="19"/>
      <c r="J10868" s="19"/>
      <c r="K10868" s="19"/>
      <c r="L10868" s="19"/>
      <c r="M10868" s="19"/>
      <c r="N10868" s="19"/>
      <c r="O10868" s="14" t="str">
        <f>HYPERLINK("https://otsuka-europe-crm.veevavault.com/ui/#object/email_activity__v/V8C00000003X821", "EN-002098267")</f>
        <v>EN-002098267</v>
      </c>
    </row>
    <row r="10869" spans="1:15" ht="64" x14ac:dyDescent="0.2">
      <c r="A10869" s="7" t="str">
        <f>HYPERLINK("https://otsuka-europe-crm.veevavault.com/ui/#object/account__v/V4TZ06G6O71S9UC", "MARTA VESPA")</f>
        <v>MARTA VESPA</v>
      </c>
      <c r="B10869" s="7" t="str">
        <f>HYPERLINK("https://otsuka-europe-crm.veevavault.com/ui/#object/vcountry__v/VENZ000004SONFQ", "IT")</f>
        <v>IT</v>
      </c>
      <c r="C10869" s="8" t="s">
        <v>44</v>
      </c>
      <c r="D10869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869" s="10" t="str">
        <f>HYPERLINK("https://otsuka-europe-crm.veevavault.com/ui/#object/sent_email__v/VBL00000002U934", "SE-001436824")</f>
        <v>SE-001436824</v>
      </c>
      <c r="F10869" s="11"/>
      <c r="G10869" s="12">
        <v>0</v>
      </c>
      <c r="H10869" s="12">
        <v>0</v>
      </c>
      <c r="I10869" s="12">
        <v>0</v>
      </c>
      <c r="J10869" s="11"/>
      <c r="K10869" s="12">
        <v>0</v>
      </c>
      <c r="L10869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869" s="10" t="str">
        <f>HYPERLINK("mailto:giada.camassa@outsuka.it", "giada.camassa@outsuka.it")</f>
        <v>giada.camassa@outsuka.it</v>
      </c>
      <c r="N10869" s="13">
        <v>46190.337893518517</v>
      </c>
      <c r="O10869" s="14" t="str">
        <f>HYPERLINK("https://otsuka-europe-crm.veevavault.com/ui/#object/email_activity__v/V8C00000003W381", "EN-002097471")</f>
        <v>EN-002097471</v>
      </c>
    </row>
    <row r="10870" spans="1:15" ht="64" x14ac:dyDescent="0.2">
      <c r="A10870" s="7" t="str">
        <f>HYPERLINK("https://otsuka-europe-crm.veevavault.com/ui/#object/account__v/V4TZ04ASGC7HZIB", "MARTINA CAPONE")</f>
        <v>MARTINA CAPONE</v>
      </c>
      <c r="B10870" s="7" t="str">
        <f>HYPERLINK("https://otsuka-europe-crm.veevavault.com/ui/#object/vcountry__v/VENZ000004SONFQ", "IT")</f>
        <v>IT</v>
      </c>
      <c r="C10870" s="8" t="s">
        <v>44</v>
      </c>
      <c r="D10870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870" s="10" t="str">
        <f>HYPERLINK("https://otsuka-europe-crm.veevavault.com/ui/#object/sent_email__v/VBL00000002U935", "SE-001436825")</f>
        <v>SE-001436825</v>
      </c>
      <c r="F10870" s="11"/>
      <c r="G10870" s="12">
        <v>0</v>
      </c>
      <c r="H10870" s="12">
        <v>0</v>
      </c>
      <c r="I10870" s="12">
        <v>0</v>
      </c>
      <c r="J10870" s="11"/>
      <c r="K10870" s="12">
        <v>0</v>
      </c>
      <c r="L10870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870" s="10" t="str">
        <f>HYPERLINK("mailto:giada.camassa@outsuka.it", "giada.camassa@outsuka.it")</f>
        <v>giada.camassa@outsuka.it</v>
      </c>
      <c r="N10870" s="13">
        <v>46190.337881944448</v>
      </c>
      <c r="O10870" s="14" t="str">
        <f>HYPERLINK("https://otsuka-europe-crm.veevavault.com/ui/#object/email_activity__v/V8C00000003X405", "EN-002097600")</f>
        <v>EN-002097600</v>
      </c>
    </row>
    <row r="10871" spans="1:15" ht="16" x14ac:dyDescent="0.2">
      <c r="A10871" s="17" t="str">
        <f>HYPERLINK("https://otsuka-europe-crm.veevavault.com/ui/#object/account__v/V4TZ06G6O71S9K9", "MARTINA FERRARESI")</f>
        <v>MARTINA FERRARESI</v>
      </c>
      <c r="B10871" s="17" t="str">
        <f>HYPERLINK("https://otsuka-europe-crm.veevavault.com/ui/#object/vcountry__v/VENZ000004SONFQ", "IT")</f>
        <v>IT</v>
      </c>
      <c r="C10871" s="20" t="s">
        <v>44</v>
      </c>
      <c r="D10871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871" s="22" t="str">
        <f>HYPERLINK("https://otsuka-europe-crm.veevavault.com/ui/#object/sent_email__v/VBL00000002U936", "SE-001436826")</f>
        <v>SE-001436826</v>
      </c>
      <c r="F10871" s="23">
        <v>46190.340162037035</v>
      </c>
      <c r="G10871" s="24">
        <v>1</v>
      </c>
      <c r="H10871" s="24">
        <v>1</v>
      </c>
      <c r="I10871" s="24">
        <v>0</v>
      </c>
      <c r="J10871" s="25"/>
      <c r="K10871" s="24">
        <v>0</v>
      </c>
      <c r="L10871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871" s="22" t="str">
        <f>HYPERLINK("mailto:giada.camassa@outsuka.it", "giada.camassa@outsuka.it")</f>
        <v>giada.camassa@outsuka.it</v>
      </c>
      <c r="N10871" s="23">
        <v>46190.339791666665</v>
      </c>
      <c r="O10871" s="14" t="str">
        <f>HYPERLINK("https://otsuka-europe-crm.veevavault.com/ui/#object/email_activity__v/V8C00000003X744", "EN-002098142")</f>
        <v>EN-002098142</v>
      </c>
    </row>
    <row r="10872" spans="1:15" ht="16" x14ac:dyDescent="0.2">
      <c r="A10872" s="19"/>
      <c r="B10872" s="19"/>
      <c r="C10872" s="19"/>
      <c r="D10872" s="19"/>
      <c r="E10872" s="19"/>
      <c r="F10872" s="19"/>
      <c r="G10872" s="19"/>
      <c r="H10872" s="19"/>
      <c r="I10872" s="19"/>
      <c r="J10872" s="19"/>
      <c r="K10872" s="19"/>
      <c r="L10872" s="19"/>
      <c r="M10872" s="19"/>
      <c r="N10872" s="19"/>
      <c r="O10872" s="14" t="str">
        <f>HYPERLINK("https://otsuka-europe-crm.veevavault.com/ui/#object/email_activity__v/V8C00000003X789", "EN-002098201")</f>
        <v>EN-002098201</v>
      </c>
    </row>
    <row r="10873" spans="1:15" ht="64" x14ac:dyDescent="0.2">
      <c r="A10873" s="7" t="str">
        <f>HYPERLINK("https://otsuka-europe-crm.veevavault.com/ui/#object/account__v/V4TZ06G6O71SBDW", "MASSIMO MANES")</f>
        <v>MASSIMO MANES</v>
      </c>
      <c r="B10873" s="7" t="str">
        <f>HYPERLINK("https://otsuka-europe-crm.veevavault.com/ui/#object/vcountry__v/VENZ000004SONFQ", "IT")</f>
        <v>IT</v>
      </c>
      <c r="C10873" s="8" t="s">
        <v>44</v>
      </c>
      <c r="D10873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873" s="10" t="str">
        <f>HYPERLINK("https://otsuka-europe-crm.veevavault.com/ui/#object/sent_email__v/VBL00000002U938", "SE-001436828")</f>
        <v>SE-001436828</v>
      </c>
      <c r="F10873" s="11"/>
      <c r="G10873" s="12">
        <v>0</v>
      </c>
      <c r="H10873" s="12">
        <v>0</v>
      </c>
      <c r="I10873" s="12">
        <v>0</v>
      </c>
      <c r="J10873" s="11"/>
      <c r="K10873" s="12">
        <v>0</v>
      </c>
      <c r="L10873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873" s="10" t="str">
        <f>HYPERLINK("mailto:giada.camassa@outsuka.it", "giada.camassa@outsuka.it")</f>
        <v>giada.camassa@outsuka.it</v>
      </c>
      <c r="N10873" s="13">
        <v>46190.337916666664</v>
      </c>
      <c r="O10873" s="14" t="str">
        <f>HYPERLINK("https://otsuka-europe-crm.veevavault.com/ui/#object/email_activity__v/V8C00000003W342", "EN-002097399")</f>
        <v>EN-002097399</v>
      </c>
    </row>
    <row r="10874" spans="1:15" ht="64" x14ac:dyDescent="0.2">
      <c r="A10874" s="7" t="str">
        <f>HYPERLINK("https://otsuka-europe-crm.veevavault.com/ui/#object/account__v/V4TZ06G6O71SBKR", "MASSIMO MOROSETTI")</f>
        <v>MASSIMO MOROSETTI</v>
      </c>
      <c r="B10874" s="7" t="str">
        <f>HYPERLINK("https://otsuka-europe-crm.veevavault.com/ui/#object/vcountry__v/VENZ000004SONFQ", "IT")</f>
        <v>IT</v>
      </c>
      <c r="C10874" s="8" t="s">
        <v>44</v>
      </c>
      <c r="D10874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874" s="10" t="str">
        <f>HYPERLINK("https://otsuka-europe-crm.veevavault.com/ui/#object/sent_email__v/VBL00000002U939", "SE-001436829")</f>
        <v>SE-001436829</v>
      </c>
      <c r="F10874" s="11"/>
      <c r="G10874" s="12">
        <v>0</v>
      </c>
      <c r="H10874" s="12">
        <v>0</v>
      </c>
      <c r="I10874" s="12">
        <v>0</v>
      </c>
      <c r="J10874" s="11"/>
      <c r="K10874" s="12">
        <v>0</v>
      </c>
      <c r="L10874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874" s="10" t="str">
        <f>HYPERLINK("mailto:giada.camassa@outsuka.it", "giada.camassa@outsuka.it")</f>
        <v>giada.camassa@outsuka.it</v>
      </c>
      <c r="N10874" s="13">
        <v>46190.33792824074</v>
      </c>
      <c r="O10874" s="14" t="str">
        <f>HYPERLINK("https://otsuka-europe-crm.veevavault.com/ui/#object/email_activity__v/V8C00000003X296", "EN-002097487")</f>
        <v>EN-002097487</v>
      </c>
    </row>
    <row r="10875" spans="1:15" ht="64" x14ac:dyDescent="0.2">
      <c r="A10875" s="7" t="str">
        <f>HYPERLINK("https://otsuka-europe-crm.veevavault.com/ui/#object/account__v/V4TZ04ASGGC2U3K", "MATIAS TRILLINI")</f>
        <v>MATIAS TRILLINI</v>
      </c>
      <c r="B10875" s="7" t="str">
        <f>HYPERLINK("https://otsuka-europe-crm.veevavault.com/ui/#object/vcountry__v/VENZ000004SONFQ", "IT")</f>
        <v>IT</v>
      </c>
      <c r="C10875" s="8" t="s">
        <v>44</v>
      </c>
      <c r="D10875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875" s="10" t="str">
        <f>HYPERLINK("https://otsuka-europe-crm.veevavault.com/ui/#object/sent_email__v/VBL00000002U940", "SE-001436830")</f>
        <v>SE-001436830</v>
      </c>
      <c r="F10875" s="11"/>
      <c r="G10875" s="12">
        <v>0</v>
      </c>
      <c r="H10875" s="12">
        <v>0</v>
      </c>
      <c r="I10875" s="12">
        <v>0</v>
      </c>
      <c r="J10875" s="11"/>
      <c r="K10875" s="12">
        <v>0</v>
      </c>
      <c r="L10875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875" s="10" t="str">
        <f>HYPERLINK("mailto:giada.camassa@outsuka.it", "giada.camassa@outsuka.it")</f>
        <v>giada.camassa@outsuka.it</v>
      </c>
      <c r="N10875" s="13">
        <v>46190.337893518517</v>
      </c>
      <c r="O10875" s="14" t="str">
        <f>HYPERLINK("https://otsuka-europe-crm.veevavault.com/ui/#object/email_activity__v/V8C00000003W393", "EN-002097555")</f>
        <v>EN-002097555</v>
      </c>
    </row>
    <row r="10876" spans="1:15" ht="64" x14ac:dyDescent="0.2">
      <c r="A10876" s="7" t="str">
        <f>HYPERLINK("https://otsuka-europe-crm.veevavault.com/ui/#object/account__v/V4TZ06G6O71SAQS", "MATTEO GRECO'")</f>
        <v>MATTEO GRECO'</v>
      </c>
      <c r="B10876" s="7" t="str">
        <f>HYPERLINK("https://otsuka-europe-crm.veevavault.com/ui/#object/vcountry__v/VENZ000004SONFQ", "IT")</f>
        <v>IT</v>
      </c>
      <c r="C10876" s="8" t="s">
        <v>44</v>
      </c>
      <c r="D10876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876" s="10" t="str">
        <f>HYPERLINK("https://otsuka-europe-crm.veevavault.com/ui/#object/sent_email__v/VBL00000002U941", "SE-001436831")</f>
        <v>SE-001436831</v>
      </c>
      <c r="F10876" s="11"/>
      <c r="G10876" s="12">
        <v>0</v>
      </c>
      <c r="H10876" s="12">
        <v>0</v>
      </c>
      <c r="I10876" s="12">
        <v>0</v>
      </c>
      <c r="J10876" s="11"/>
      <c r="K10876" s="12">
        <v>0</v>
      </c>
      <c r="L10876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876" s="10" t="str">
        <f>HYPERLINK("mailto:giada.camassa@outsuka.it", "giada.camassa@outsuka.it")</f>
        <v>giada.camassa@outsuka.it</v>
      </c>
      <c r="N10876" s="13">
        <v>46190.339224537034</v>
      </c>
      <c r="O10876" s="14" t="str">
        <f>HYPERLINK("https://otsuka-europe-crm.veevavault.com/ui/#object/email_activity__v/V8C00000003W550", "EN-002098046")</f>
        <v>EN-002098046</v>
      </c>
    </row>
    <row r="10877" spans="1:15" ht="16" x14ac:dyDescent="0.2">
      <c r="A10877" s="17" t="str">
        <f>HYPERLINK("https://otsuka-europe-crm.veevavault.com/ui/#object/account__v/V4TZ06G6O71SA5Y", "MAURIZIO BORZUMATI")</f>
        <v>MAURIZIO BORZUMATI</v>
      </c>
      <c r="B10877" s="17" t="str">
        <f>HYPERLINK("https://otsuka-europe-crm.veevavault.com/ui/#object/vcountry__v/VENZ000004SONFQ", "IT")</f>
        <v>IT</v>
      </c>
      <c r="C10877" s="20" t="s">
        <v>44</v>
      </c>
      <c r="D10877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877" s="22" t="str">
        <f>HYPERLINK("https://otsuka-europe-crm.veevavault.com/ui/#object/sent_email__v/VBL00000002U942", "SE-001436832")</f>
        <v>SE-001436832</v>
      </c>
      <c r="F10877" s="25"/>
      <c r="G10877" s="24">
        <v>0</v>
      </c>
      <c r="H10877" s="24">
        <v>0</v>
      </c>
      <c r="I10877" s="24">
        <v>0</v>
      </c>
      <c r="J10877" s="25"/>
      <c r="K10877" s="24">
        <v>0</v>
      </c>
      <c r="L10877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877" s="22" t="str">
        <f>HYPERLINK("mailto:giada.camassa@outsuka.it", "giada.camassa@outsuka.it")</f>
        <v>giada.camassa@outsuka.it</v>
      </c>
      <c r="N10877" s="23">
        <v>46190.337881944448</v>
      </c>
      <c r="O10877" s="14" t="str">
        <f>HYPERLINK("https://otsuka-europe-crm.veevavault.com/ui/#object/email_activity__v/V8C00000003W679", "EN-002098329")</f>
        <v>EN-002098329</v>
      </c>
    </row>
    <row r="10878" spans="1:15" ht="16" x14ac:dyDescent="0.2">
      <c r="A10878" s="19"/>
      <c r="B10878" s="19"/>
      <c r="C10878" s="19"/>
      <c r="D10878" s="19"/>
      <c r="E10878" s="19"/>
      <c r="F10878" s="19"/>
      <c r="G10878" s="19"/>
      <c r="H10878" s="19"/>
      <c r="I10878" s="19"/>
      <c r="J10878" s="19"/>
      <c r="K10878" s="19"/>
      <c r="L10878" s="19"/>
      <c r="M10878" s="19"/>
      <c r="N10878" s="19"/>
      <c r="O10878" s="14" t="str">
        <f>HYPERLINK("https://otsuka-europe-crm.veevavault.com/ui/#object/email_activity__v/V8C00000003X334", "EN-002097630")</f>
        <v>EN-002097630</v>
      </c>
    </row>
    <row r="10879" spans="1:15" ht="64" x14ac:dyDescent="0.2">
      <c r="A10879" s="7" t="str">
        <f>HYPERLINK("https://otsuka-europe-crm.veevavault.com/ui/#object/account__v/V4TZ06G6O71SA80", "MAURIZIO BUCCA")</f>
        <v>MAURIZIO BUCCA</v>
      </c>
      <c r="B10879" s="7" t="str">
        <f t="shared" ref="B10879:B10884" si="854">HYPERLINK("https://otsuka-europe-crm.veevavault.com/ui/#object/vcountry__v/VENZ000004SONFQ", "IT")</f>
        <v>IT</v>
      </c>
      <c r="C10879" s="8" t="s">
        <v>44</v>
      </c>
      <c r="D10879" s="9" t="str">
        <f t="shared" ref="D10879:D10884" si="855">HYPERLINK("https://otsuka-europe-crm.veevavault.com/ui/#object/approved_document__v/V5O00000000G061", "AE - AGGIORNAMENTI SEZIONE APPROFONDIMENTI NEFRO IT-NPR-2500150")</f>
        <v>AE - AGGIORNAMENTI SEZIONE APPROFONDIMENTI NEFRO IT-NPR-2500150</v>
      </c>
      <c r="E10879" s="10" t="str">
        <f>HYPERLINK("https://otsuka-europe-crm.veevavault.com/ui/#object/sent_email__v/VBL00000002U943", "SE-001436833")</f>
        <v>SE-001436833</v>
      </c>
      <c r="F10879" s="11"/>
      <c r="G10879" s="12">
        <v>0</v>
      </c>
      <c r="H10879" s="12">
        <v>0</v>
      </c>
      <c r="I10879" s="12">
        <v>0</v>
      </c>
      <c r="J10879" s="11"/>
      <c r="K10879" s="12">
        <v>0</v>
      </c>
      <c r="L10879" s="10" t="str">
        <f t="shared" ref="L10879:L10884" si="856">HYPERLINK("https://otsuka-europe-crm.veevavault.com/ui/#object/approved_document__v/V5O00000000G061", "AE - AGGIORNAMENTI SEZIONE APPROFONDIMENTI NEFRO IT-NPR-2500150")</f>
        <v>AE - AGGIORNAMENTI SEZIONE APPROFONDIMENTI NEFRO IT-NPR-2500150</v>
      </c>
      <c r="M10879" s="10" t="str">
        <f t="shared" ref="M10879:M10884" si="857">HYPERLINK("mailto:giada.camassa@outsuka.it", "giada.camassa@outsuka.it")</f>
        <v>giada.camassa@outsuka.it</v>
      </c>
      <c r="N10879" s="13">
        <v>46190.337881944448</v>
      </c>
      <c r="O10879" s="14" t="str">
        <f>HYPERLINK("https://otsuka-europe-crm.veevavault.com/ui/#object/email_activity__v/V8C00000003W398", "EN-002097560")</f>
        <v>EN-002097560</v>
      </c>
    </row>
    <row r="10880" spans="1:15" ht="64" x14ac:dyDescent="0.2">
      <c r="A10880" s="7" t="str">
        <f>HYPERLINK("https://otsuka-europe-crm.veevavault.com/ui/#object/account__v/V4TZ06G6O71SAPE", "MAURIZIO GAROZZO")</f>
        <v>MAURIZIO GAROZZO</v>
      </c>
      <c r="B10880" s="7" t="str">
        <f t="shared" si="854"/>
        <v>IT</v>
      </c>
      <c r="C10880" s="8" t="s">
        <v>44</v>
      </c>
      <c r="D10880" s="9" t="str">
        <f t="shared" si="855"/>
        <v>AE - AGGIORNAMENTI SEZIONE APPROFONDIMENTI NEFRO IT-NPR-2500150</v>
      </c>
      <c r="E10880" s="10" t="str">
        <f>HYPERLINK("https://otsuka-europe-crm.veevavault.com/ui/#object/sent_email__v/VBL00000002U944", "SE-001436834")</f>
        <v>SE-001436834</v>
      </c>
      <c r="F10880" s="11"/>
      <c r="G10880" s="12">
        <v>0</v>
      </c>
      <c r="H10880" s="12">
        <v>0</v>
      </c>
      <c r="I10880" s="12">
        <v>0</v>
      </c>
      <c r="J10880" s="11"/>
      <c r="K10880" s="12">
        <v>0</v>
      </c>
      <c r="L10880" s="10" t="str">
        <f t="shared" si="856"/>
        <v>AE - AGGIORNAMENTI SEZIONE APPROFONDIMENTI NEFRO IT-NPR-2500150</v>
      </c>
      <c r="M10880" s="10" t="str">
        <f t="shared" si="857"/>
        <v>giada.camassa@outsuka.it</v>
      </c>
      <c r="N10880" s="13">
        <v>46190.337858796294</v>
      </c>
      <c r="O10880" s="14" t="str">
        <f>HYPERLINK("https://otsuka-europe-crm.veevavault.com/ui/#object/email_activity__v/V8C00000003X364", "EN-002097542")</f>
        <v>EN-002097542</v>
      </c>
    </row>
    <row r="10881" spans="1:15" ht="64" x14ac:dyDescent="0.2">
      <c r="A10881" s="7" t="str">
        <f>HYPERLINK("https://otsuka-europe-crm.veevavault.com/ui/#object/account__v/V4TZ06G6O71SANW", "MAURIZIO GHERZI")</f>
        <v>MAURIZIO GHERZI</v>
      </c>
      <c r="B10881" s="7" t="str">
        <f t="shared" si="854"/>
        <v>IT</v>
      </c>
      <c r="C10881" s="8" t="s">
        <v>44</v>
      </c>
      <c r="D10881" s="9" t="str">
        <f t="shared" si="855"/>
        <v>AE - AGGIORNAMENTI SEZIONE APPROFONDIMENTI NEFRO IT-NPR-2500150</v>
      </c>
      <c r="E10881" s="10" t="str">
        <f>HYPERLINK("https://otsuka-europe-crm.veevavault.com/ui/#object/sent_email__v/VBL00000002U945", "SE-001436835")</f>
        <v>SE-001436835</v>
      </c>
      <c r="F10881" s="11"/>
      <c r="G10881" s="12">
        <v>0</v>
      </c>
      <c r="H10881" s="12">
        <v>0</v>
      </c>
      <c r="I10881" s="12">
        <v>0</v>
      </c>
      <c r="J10881" s="11"/>
      <c r="K10881" s="12">
        <v>0</v>
      </c>
      <c r="L10881" s="10" t="str">
        <f t="shared" si="856"/>
        <v>AE - AGGIORNAMENTI SEZIONE APPROFONDIMENTI NEFRO IT-NPR-2500150</v>
      </c>
      <c r="M10881" s="10" t="str">
        <f t="shared" si="857"/>
        <v>giada.camassa@outsuka.it</v>
      </c>
      <c r="N10881" s="13">
        <v>46190.339201388888</v>
      </c>
      <c r="O10881" s="14" t="str">
        <f>HYPERLINK("https://otsuka-europe-crm.veevavault.com/ui/#object/email_activity__v/V8C00000003W549", "EN-002098045")</f>
        <v>EN-002098045</v>
      </c>
    </row>
    <row r="10882" spans="1:15" ht="64" x14ac:dyDescent="0.2">
      <c r="A10882" s="7" t="str">
        <f>HYPERLINK("https://otsuka-europe-crm.veevavault.com/ui/#object/account__v/V4TZ06G6O71SB76", "MAURIZIO LATTE")</f>
        <v>MAURIZIO LATTE</v>
      </c>
      <c r="B10882" s="7" t="str">
        <f t="shared" si="854"/>
        <v>IT</v>
      </c>
      <c r="C10882" s="8" t="s">
        <v>44</v>
      </c>
      <c r="D10882" s="9" t="str">
        <f t="shared" si="855"/>
        <v>AE - AGGIORNAMENTI SEZIONE APPROFONDIMENTI NEFRO IT-NPR-2500150</v>
      </c>
      <c r="E10882" s="10" t="str">
        <f>HYPERLINK("https://otsuka-europe-crm.veevavault.com/ui/#object/sent_email__v/VBL00000002U946", "SE-001436836")</f>
        <v>SE-001436836</v>
      </c>
      <c r="F10882" s="11"/>
      <c r="G10882" s="12">
        <v>0</v>
      </c>
      <c r="H10882" s="12">
        <v>0</v>
      </c>
      <c r="I10882" s="12">
        <v>0</v>
      </c>
      <c r="J10882" s="11"/>
      <c r="K10882" s="12">
        <v>0</v>
      </c>
      <c r="L10882" s="10" t="str">
        <f t="shared" si="856"/>
        <v>AE - AGGIORNAMENTI SEZIONE APPROFONDIMENTI NEFRO IT-NPR-2500150</v>
      </c>
      <c r="M10882" s="10" t="str">
        <f t="shared" si="857"/>
        <v>giada.camassa@outsuka.it</v>
      </c>
      <c r="N10882" s="13">
        <v>46190.337858796294</v>
      </c>
      <c r="O10882" s="14" t="str">
        <f>HYPERLINK("https://otsuka-europe-crm.veevavault.com/ui/#object/email_activity__v/V8C00000003X404", "EN-002097599")</f>
        <v>EN-002097599</v>
      </c>
    </row>
    <row r="10883" spans="1:15" ht="64" x14ac:dyDescent="0.2">
      <c r="A10883" s="7" t="str">
        <f>HYPERLINK("https://otsuka-europe-crm.veevavault.com/ui/#object/account__v/V4TZ06G6O71SBHL", "MAURIZIO MAZZON")</f>
        <v>MAURIZIO MAZZON</v>
      </c>
      <c r="B10883" s="7" t="str">
        <f t="shared" si="854"/>
        <v>IT</v>
      </c>
      <c r="C10883" s="8" t="s">
        <v>44</v>
      </c>
      <c r="D10883" s="9" t="str">
        <f t="shared" si="855"/>
        <v>AE - AGGIORNAMENTI SEZIONE APPROFONDIMENTI NEFRO IT-NPR-2500150</v>
      </c>
      <c r="E10883" s="10" t="str">
        <f>HYPERLINK("https://otsuka-europe-crm.veevavault.com/ui/#object/sent_email__v/VBL00000002U947", "SE-001436837")</f>
        <v>SE-001436837</v>
      </c>
      <c r="F10883" s="11"/>
      <c r="G10883" s="12">
        <v>0</v>
      </c>
      <c r="H10883" s="12">
        <v>0</v>
      </c>
      <c r="I10883" s="12">
        <v>0</v>
      </c>
      <c r="J10883" s="11"/>
      <c r="K10883" s="12">
        <v>0</v>
      </c>
      <c r="L10883" s="10" t="str">
        <f t="shared" si="856"/>
        <v>AE - AGGIORNAMENTI SEZIONE APPROFONDIMENTI NEFRO IT-NPR-2500150</v>
      </c>
      <c r="M10883" s="10" t="str">
        <f t="shared" si="857"/>
        <v>giada.camassa@outsuka.it</v>
      </c>
      <c r="N10883" s="13">
        <v>46190.337893518517</v>
      </c>
      <c r="O10883" s="14" t="str">
        <f>HYPERLINK("https://otsuka-europe-crm.veevavault.com/ui/#object/email_activity__v/V8C00000003X275", "EN-002097450")</f>
        <v>EN-002097450</v>
      </c>
    </row>
    <row r="10884" spans="1:15" ht="16" x14ac:dyDescent="0.2">
      <c r="A10884" s="17" t="str">
        <f>HYPERLINK("https://otsuka-europe-crm.veevavault.com/ui/#object/account__v/V4TZ06G6O71SBRU", "MAURIZIO NORDIO")</f>
        <v>MAURIZIO NORDIO</v>
      </c>
      <c r="B10884" s="17" t="str">
        <f t="shared" si="854"/>
        <v>IT</v>
      </c>
      <c r="C10884" s="20" t="s">
        <v>44</v>
      </c>
      <c r="D10884" s="21" t="str">
        <f t="shared" si="855"/>
        <v>AE - AGGIORNAMENTI SEZIONE APPROFONDIMENTI NEFRO IT-NPR-2500150</v>
      </c>
      <c r="E10884" s="22" t="str">
        <f>HYPERLINK("https://otsuka-europe-crm.veevavault.com/ui/#object/sent_email__v/VBL00000002U948", "SE-001436838")</f>
        <v>SE-001436838</v>
      </c>
      <c r="F10884" s="23">
        <v>46190.366527777776</v>
      </c>
      <c r="G10884" s="24">
        <v>1</v>
      </c>
      <c r="H10884" s="24">
        <v>1</v>
      </c>
      <c r="I10884" s="24">
        <v>0</v>
      </c>
      <c r="J10884" s="25"/>
      <c r="K10884" s="24">
        <v>0</v>
      </c>
      <c r="L10884" s="22" t="str">
        <f t="shared" si="856"/>
        <v>AE - AGGIORNAMENTI SEZIONE APPROFONDIMENTI NEFRO IT-NPR-2500150</v>
      </c>
      <c r="M10884" s="22" t="str">
        <f t="shared" si="857"/>
        <v>giada.camassa@outsuka.it</v>
      </c>
      <c r="N10884" s="23">
        <v>46190.337858796294</v>
      </c>
      <c r="O10884" s="14" t="str">
        <f>HYPERLINK("https://otsuka-europe-crm.veevavault.com/ui/#object/email_activity__v/V8C00000003X379", "EN-002097574")</f>
        <v>EN-002097574</v>
      </c>
    </row>
    <row r="10885" spans="1:15" ht="16" x14ac:dyDescent="0.2">
      <c r="A10885" s="19"/>
      <c r="B10885" s="19"/>
      <c r="C10885" s="19"/>
      <c r="D10885" s="19"/>
      <c r="E10885" s="19"/>
      <c r="F10885" s="19"/>
      <c r="G10885" s="19"/>
      <c r="H10885" s="19"/>
      <c r="I10885" s="19"/>
      <c r="J10885" s="19"/>
      <c r="K10885" s="19"/>
      <c r="L10885" s="19"/>
      <c r="M10885" s="19"/>
      <c r="N10885" s="19"/>
      <c r="O10885" s="14" t="str">
        <f>HYPERLINK("https://otsuka-europe-crm.veevavault.com/ui/#object/email_activity__v/V8C00000003X823", "EN-002098271")</f>
        <v>EN-002098271</v>
      </c>
    </row>
    <row r="10886" spans="1:15" ht="64" x14ac:dyDescent="0.2">
      <c r="A10886" s="7" t="str">
        <f>HYPERLINK("https://otsuka-europe-crm.veevavault.com/ui/#object/account__v/V4TZ06G6O71SCJA", "MICHELA TAMAGNONE")</f>
        <v>MICHELA TAMAGNONE</v>
      </c>
      <c r="B10886" s="7" t="str">
        <f>HYPERLINK("https://otsuka-europe-crm.veevavault.com/ui/#object/vcountry__v/VENZ000004SONFQ", "IT")</f>
        <v>IT</v>
      </c>
      <c r="C10886" s="8" t="s">
        <v>44</v>
      </c>
      <c r="D10886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886" s="10" t="str">
        <f>HYPERLINK("https://otsuka-europe-crm.veevavault.com/ui/#object/sent_email__v/VBL00000002U949", "SE-001436839")</f>
        <v>SE-001436839</v>
      </c>
      <c r="F10886" s="11"/>
      <c r="G10886" s="12">
        <v>0</v>
      </c>
      <c r="H10886" s="12">
        <v>0</v>
      </c>
      <c r="I10886" s="12">
        <v>0</v>
      </c>
      <c r="J10886" s="11"/>
      <c r="K10886" s="12">
        <v>0</v>
      </c>
      <c r="L10886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886" s="10" t="str">
        <f>HYPERLINK("mailto:giada.camassa@outsuka.it", "giada.camassa@outsuka.it")</f>
        <v>giada.camassa@outsuka.it</v>
      </c>
      <c r="N10886" s="13">
        <v>46190.337835648148</v>
      </c>
      <c r="O10886" s="14" t="str">
        <f>HYPERLINK("https://otsuka-europe-crm.veevavault.com/ui/#object/email_activity__v/V8C00000003X285", "EN-002097476")</f>
        <v>EN-002097476</v>
      </c>
    </row>
    <row r="10887" spans="1:15" ht="64" x14ac:dyDescent="0.2">
      <c r="A10887" s="7" t="str">
        <f>HYPERLINK("https://otsuka-europe-crm.veevavault.com/ui/#object/account__v/V4TZ025E8594ZKR", "MICHELE ANTONIO PRENCIPE")</f>
        <v>MICHELE ANTONIO PRENCIPE</v>
      </c>
      <c r="B10887" s="7" t="str">
        <f>HYPERLINK("https://otsuka-europe-crm.veevavault.com/ui/#object/vcountry__v/VENZ000004SONFQ", "IT")</f>
        <v>IT</v>
      </c>
      <c r="C10887" s="8" t="s">
        <v>44</v>
      </c>
      <c r="D10887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887" s="10" t="str">
        <f>HYPERLINK("https://otsuka-europe-crm.veevavault.com/ui/#object/sent_email__v/VBL00000002U950", "SE-001436840")</f>
        <v>SE-001436840</v>
      </c>
      <c r="F10887" s="11"/>
      <c r="G10887" s="12">
        <v>0</v>
      </c>
      <c r="H10887" s="12">
        <v>0</v>
      </c>
      <c r="I10887" s="12">
        <v>0</v>
      </c>
      <c r="J10887" s="11"/>
      <c r="K10887" s="12">
        <v>0</v>
      </c>
      <c r="L10887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887" s="10" t="str">
        <f>HYPERLINK("mailto:giada.camassa@outsuka.it", "giada.camassa@outsuka.it")</f>
        <v>giada.camassa@outsuka.it</v>
      </c>
      <c r="N10887" s="13">
        <v>46190.337870370371</v>
      </c>
      <c r="O10887" s="14" t="str">
        <f>HYPERLINK("https://otsuka-europe-crm.veevavault.com/ui/#object/email_activity__v/V8C00000003X306", "EN-002097497")</f>
        <v>EN-002097497</v>
      </c>
    </row>
    <row r="10888" spans="1:15" ht="16" x14ac:dyDescent="0.2">
      <c r="A10888" s="17" t="str">
        <f>HYPERLINK("https://otsuka-europe-crm.veevavault.com/ui/#object/account__v/V4TZ06G6O71SCCK", "MILCO CICCARESE")</f>
        <v>MILCO CICCARESE</v>
      </c>
      <c r="B10888" s="17" t="str">
        <f>HYPERLINK("https://otsuka-europe-crm.veevavault.com/ui/#object/vcountry__v/VENZ000004SONFQ", "IT")</f>
        <v>IT</v>
      </c>
      <c r="C10888" s="20" t="s">
        <v>44</v>
      </c>
      <c r="D10888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888" s="22" t="str">
        <f>HYPERLINK("https://otsuka-europe-crm.veevavault.com/ui/#object/sent_email__v/VBL00000002U951", "SE-001436841")</f>
        <v>SE-001436841</v>
      </c>
      <c r="F10888" s="25"/>
      <c r="G10888" s="24">
        <v>0</v>
      </c>
      <c r="H10888" s="24">
        <v>0</v>
      </c>
      <c r="I10888" s="24">
        <v>0</v>
      </c>
      <c r="J10888" s="25"/>
      <c r="K10888" s="24">
        <v>0</v>
      </c>
      <c r="L10888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888" s="22" t="str">
        <f>HYPERLINK("mailto:giada.camassa@outsuka.it", "giada.camassa@outsuka.it")</f>
        <v>giada.camassa@outsuka.it</v>
      </c>
      <c r="N10888" s="23">
        <v>46190.337951388887</v>
      </c>
      <c r="O10888" s="14" t="str">
        <f>HYPERLINK("https://otsuka-europe-crm.veevavault.com/ui/#object/email_activity__v/V8C00000003X426", "EN-002097621")</f>
        <v>EN-002097621</v>
      </c>
    </row>
    <row r="10889" spans="1:15" ht="16" x14ac:dyDescent="0.2">
      <c r="A10889" s="19"/>
      <c r="B10889" s="19"/>
      <c r="C10889" s="19"/>
      <c r="D10889" s="19"/>
      <c r="E10889" s="19"/>
      <c r="F10889" s="19"/>
      <c r="G10889" s="19"/>
      <c r="H10889" s="19"/>
      <c r="I10889" s="19"/>
      <c r="J10889" s="19"/>
      <c r="K10889" s="19"/>
      <c r="L10889" s="19"/>
      <c r="M10889" s="19"/>
      <c r="N10889" s="19"/>
      <c r="O10889" s="14" t="str">
        <f>HYPERLINK("https://otsuka-europe-crm.veevavault.com/ui/#object/email_activity__v/V8C00000003X853", "EN-002098346")</f>
        <v>EN-002098346</v>
      </c>
    </row>
    <row r="10890" spans="1:15" ht="64" x14ac:dyDescent="0.2">
      <c r="A10890" s="7" t="str">
        <f>HYPERLINK("https://otsuka-europe-crm.veevavault.com/ui/#object/account__v/V4TZ06G6O71S9BY", "MILENA GRIMALDI")</f>
        <v>MILENA GRIMALDI</v>
      </c>
      <c r="B10890" s="7" t="str">
        <f>HYPERLINK("https://otsuka-europe-crm.veevavault.com/ui/#object/vcountry__v/VENZ000004SONFQ", "IT")</f>
        <v>IT</v>
      </c>
      <c r="C10890" s="8" t="s">
        <v>44</v>
      </c>
      <c r="D10890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890" s="10" t="str">
        <f>HYPERLINK("https://otsuka-europe-crm.veevavault.com/ui/#object/sent_email__v/VBL00000002U952", "SE-001436842")</f>
        <v>SE-001436842</v>
      </c>
      <c r="F10890" s="11"/>
      <c r="G10890" s="12">
        <v>0</v>
      </c>
      <c r="H10890" s="12">
        <v>0</v>
      </c>
      <c r="I10890" s="12">
        <v>0</v>
      </c>
      <c r="J10890" s="11"/>
      <c r="K10890" s="12">
        <v>0</v>
      </c>
      <c r="L10890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890" s="10" t="str">
        <f>HYPERLINK("mailto:giada.camassa@outsuka.it", "giada.camassa@outsuka.it")</f>
        <v>giada.camassa@outsuka.it</v>
      </c>
      <c r="N10890" s="13">
        <v>46190.339791666665</v>
      </c>
      <c r="O10890" s="14" t="str">
        <f>HYPERLINK("https://otsuka-europe-crm.veevavault.com/ui/#object/email_activity__v/V8C00000003W594", "EN-002098159")</f>
        <v>EN-002098159</v>
      </c>
    </row>
    <row r="10891" spans="1:15" ht="64" x14ac:dyDescent="0.2">
      <c r="A10891" s="7" t="str">
        <f>HYPERLINK("https://otsuka-europe-crm.veevavault.com/ui/#object/account__v/V4TZ06G6O71S9QN", "MIRA DIMKO")</f>
        <v>MIRA DIMKO</v>
      </c>
      <c r="B10891" s="7" t="str">
        <f>HYPERLINK("https://otsuka-europe-crm.veevavault.com/ui/#object/vcountry__v/VENZ000004SONFQ", "IT")</f>
        <v>IT</v>
      </c>
      <c r="C10891" s="8" t="s">
        <v>44</v>
      </c>
      <c r="D10891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891" s="10" t="str">
        <f>HYPERLINK("https://otsuka-europe-crm.veevavault.com/ui/#object/sent_email__v/VBL00000002U953", "SE-001436843")</f>
        <v>SE-001436843</v>
      </c>
      <c r="F10891" s="11"/>
      <c r="G10891" s="12">
        <v>0</v>
      </c>
      <c r="H10891" s="12">
        <v>0</v>
      </c>
      <c r="I10891" s="12">
        <v>0</v>
      </c>
      <c r="J10891" s="11"/>
      <c r="K10891" s="12">
        <v>0</v>
      </c>
      <c r="L10891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891" s="10" t="str">
        <f>HYPERLINK("mailto:giada.camassa@outsuka.it", "giada.camassa@outsuka.it")</f>
        <v>giada.camassa@outsuka.it</v>
      </c>
      <c r="N10891" s="13">
        <v>46190.337951388887</v>
      </c>
      <c r="O10891" s="14" t="str">
        <f>HYPERLINK("https://otsuka-europe-crm.veevavault.com/ui/#object/email_activity__v/V8C00000003X257", "EN-002097432")</f>
        <v>EN-002097432</v>
      </c>
    </row>
    <row r="10892" spans="1:15" ht="16" x14ac:dyDescent="0.2">
      <c r="A10892" s="17" t="str">
        <f>HYPERLINK("https://otsuka-europe-crm.veevavault.com/ui/#object/account__v/V4TZ06G6O71S9C4", "MIRIAM ZACCHIA")</f>
        <v>MIRIAM ZACCHIA</v>
      </c>
      <c r="B10892" s="17" t="str">
        <f>HYPERLINK("https://otsuka-europe-crm.veevavault.com/ui/#object/vcountry__v/VENZ000004SONFQ", "IT")</f>
        <v>IT</v>
      </c>
      <c r="C10892" s="20" t="s">
        <v>44</v>
      </c>
      <c r="D10892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892" s="22" t="str">
        <f>HYPERLINK("https://otsuka-europe-crm.veevavault.com/ui/#object/sent_email__v/VBL00000002U954", "SE-001436844")</f>
        <v>SE-001436844</v>
      </c>
      <c r="F10892" s="23">
        <v>46190.339814814812</v>
      </c>
      <c r="G10892" s="24">
        <v>1</v>
      </c>
      <c r="H10892" s="24">
        <v>1</v>
      </c>
      <c r="I10892" s="24">
        <v>0</v>
      </c>
      <c r="J10892" s="25"/>
      <c r="K10892" s="24">
        <v>0</v>
      </c>
      <c r="L10892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892" s="22" t="str">
        <f>HYPERLINK("mailto:giada.camassa@outsuka.it", "giada.camassa@outsuka.it")</f>
        <v>giada.camassa@outsuka.it</v>
      </c>
      <c r="N10892" s="23">
        <v>46190.339548611111</v>
      </c>
      <c r="O10892" s="14" t="str">
        <f>HYPERLINK("https://otsuka-europe-crm.veevavault.com/ui/#object/email_activity__v/V8C00000003W586", "EN-002098128")</f>
        <v>EN-002098128</v>
      </c>
    </row>
    <row r="10893" spans="1:15" ht="16" x14ac:dyDescent="0.2">
      <c r="A10893" s="19"/>
      <c r="B10893" s="19"/>
      <c r="C10893" s="19"/>
      <c r="D10893" s="19"/>
      <c r="E10893" s="19"/>
      <c r="F10893" s="19"/>
      <c r="G10893" s="19"/>
      <c r="H10893" s="19"/>
      <c r="I10893" s="19"/>
      <c r="J10893" s="19"/>
      <c r="K10893" s="19"/>
      <c r="L10893" s="19"/>
      <c r="M10893" s="19"/>
      <c r="N10893" s="19"/>
      <c r="O10893" s="14" t="str">
        <f>HYPERLINK("https://otsuka-europe-crm.veevavault.com/ui/#object/email_activity__v/V8C00000003X742", "EN-002098140")</f>
        <v>EN-002098140</v>
      </c>
    </row>
    <row r="10894" spans="1:15" ht="64" x14ac:dyDescent="0.2">
      <c r="A10894" s="7" t="str">
        <f>HYPERLINK("https://otsuka-europe-crm.veevavault.com/ui/#object/account__v/V4TZ06G6OBIBRT6", "MIRSA TURHANI")</f>
        <v>MIRSA TURHANI</v>
      </c>
      <c r="B10894" s="7" t="str">
        <f>HYPERLINK("https://otsuka-europe-crm.veevavault.com/ui/#object/vcountry__v/VENZ000004SONFQ", "IT")</f>
        <v>IT</v>
      </c>
      <c r="C10894" s="8" t="s">
        <v>44</v>
      </c>
      <c r="D10894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894" s="10" t="str">
        <f>HYPERLINK("https://otsuka-europe-crm.veevavault.com/ui/#object/sent_email__v/VBL00000002U955", "SE-001436845")</f>
        <v>SE-001436845</v>
      </c>
      <c r="F10894" s="11"/>
      <c r="G10894" s="12">
        <v>0</v>
      </c>
      <c r="H10894" s="12">
        <v>0</v>
      </c>
      <c r="I10894" s="12">
        <v>0</v>
      </c>
      <c r="J10894" s="11"/>
      <c r="K10894" s="12">
        <v>0</v>
      </c>
      <c r="L10894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894" s="10" t="str">
        <f>HYPERLINK("mailto:giada.camassa@outsuka.it", "giada.camassa@outsuka.it")</f>
        <v>giada.camassa@outsuka.it</v>
      </c>
      <c r="N10894" s="13">
        <v>46190.339224537034</v>
      </c>
      <c r="O10894" s="14" t="str">
        <f>HYPERLINK("https://otsuka-europe-crm.veevavault.com/ui/#object/email_activity__v/V8C00000003W537", "EN-002098025")</f>
        <v>EN-002098025</v>
      </c>
    </row>
    <row r="10895" spans="1:15" ht="16" x14ac:dyDescent="0.2">
      <c r="A10895" s="17" t="str">
        <f>HYPERLINK("https://otsuka-europe-crm.veevavault.com/ui/#object/account__v/V4TZ06G6O71SC7F", "MONIA CELANO")</f>
        <v>MONIA CELANO</v>
      </c>
      <c r="B10895" s="17" t="str">
        <f>HYPERLINK("https://otsuka-europe-crm.veevavault.com/ui/#object/vcountry__v/VENZ000004SONFQ", "IT")</f>
        <v>IT</v>
      </c>
      <c r="C10895" s="20" t="s">
        <v>44</v>
      </c>
      <c r="D10895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895" s="22" t="str">
        <f>HYPERLINK("https://otsuka-europe-crm.veevavault.com/ui/#object/sent_email__v/VBL00000002U956", "SE-001436846")</f>
        <v>SE-001436846</v>
      </c>
      <c r="F10895" s="25"/>
      <c r="G10895" s="24">
        <v>0</v>
      </c>
      <c r="H10895" s="24">
        <v>0</v>
      </c>
      <c r="I10895" s="24">
        <v>0</v>
      </c>
      <c r="J10895" s="25"/>
      <c r="K10895" s="24">
        <v>0</v>
      </c>
      <c r="L10895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895" s="22" t="str">
        <f>HYPERLINK("mailto:giada.camassa@outsuka.it", "giada.camassa@outsuka.it")</f>
        <v>giada.camassa@outsuka.it</v>
      </c>
      <c r="N10895" s="23">
        <v>46190.34002314815</v>
      </c>
      <c r="O10895" s="14" t="str">
        <f>HYPERLINK("https://otsuka-europe-crm.veevavault.com/ui/#object/email_activity__v/V8C00000003W602", "EN-002098193")</f>
        <v>EN-002098193</v>
      </c>
    </row>
    <row r="10896" spans="1:15" ht="16" x14ac:dyDescent="0.2">
      <c r="A10896" s="19"/>
      <c r="B10896" s="19"/>
      <c r="C10896" s="19"/>
      <c r="D10896" s="19"/>
      <c r="E10896" s="19"/>
      <c r="F10896" s="19"/>
      <c r="G10896" s="19"/>
      <c r="H10896" s="19"/>
      <c r="I10896" s="19"/>
      <c r="J10896" s="19"/>
      <c r="K10896" s="19"/>
      <c r="L10896" s="19"/>
      <c r="M10896" s="19"/>
      <c r="N10896" s="19"/>
      <c r="O10896" s="14" t="str">
        <f>HYPERLINK("https://otsuka-europe-crm.veevavault.com/ui/#object/email_activity__v/V8C00000003W753", "EN-002098504")</f>
        <v>EN-002098504</v>
      </c>
    </row>
    <row r="10897" spans="1:15" ht="64" x14ac:dyDescent="0.2">
      <c r="A10897" s="7" t="str">
        <f>HYPERLINK("https://otsuka-europe-crm.veevavault.com/ui/#object/account__v/V4TZ06G6O71SCSX", "MONICA INSALACO")</f>
        <v>MONICA INSALACO</v>
      </c>
      <c r="B10897" s="7" t="str">
        <f>HYPERLINK("https://otsuka-europe-crm.veevavault.com/ui/#object/vcountry__v/VENZ000004SONFQ", "IT")</f>
        <v>IT</v>
      </c>
      <c r="C10897" s="8" t="s">
        <v>44</v>
      </c>
      <c r="D10897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897" s="10" t="str">
        <f>HYPERLINK("https://otsuka-europe-crm.veevavault.com/ui/#object/sent_email__v/VBL00000002U957", "SE-001436847")</f>
        <v>SE-001436847</v>
      </c>
      <c r="F10897" s="11"/>
      <c r="G10897" s="12">
        <v>0</v>
      </c>
      <c r="H10897" s="12">
        <v>0</v>
      </c>
      <c r="I10897" s="12">
        <v>0</v>
      </c>
      <c r="J10897" s="11"/>
      <c r="K10897" s="12">
        <v>0</v>
      </c>
      <c r="L10897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897" s="10" t="str">
        <f>HYPERLINK("mailto:giada.camassa@outsuka.it", "giada.camassa@outsuka.it")</f>
        <v>giada.camassa@outsuka.it</v>
      </c>
      <c r="N10897" s="13">
        <v>46190.337951388887</v>
      </c>
      <c r="O10897" s="14" t="str">
        <f>HYPERLINK("https://otsuka-europe-crm.veevavault.com/ui/#object/email_activity__v/V8C00000003X386", "EN-002097581")</f>
        <v>EN-002097581</v>
      </c>
    </row>
    <row r="10898" spans="1:15" ht="16" x14ac:dyDescent="0.2">
      <c r="A10898" s="17" t="str">
        <f>HYPERLINK("https://otsuka-europe-crm.veevavault.com/ui/#object/account__v/V4TZ06G6O71SB82", "MONICA LIMARDO")</f>
        <v>MONICA LIMARDO</v>
      </c>
      <c r="B10898" s="17" t="str">
        <f>HYPERLINK("https://otsuka-europe-crm.veevavault.com/ui/#object/vcountry__v/VENZ000004SONFQ", "IT")</f>
        <v>IT</v>
      </c>
      <c r="C10898" s="20" t="s">
        <v>44</v>
      </c>
      <c r="D10898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898" s="22" t="str">
        <f>HYPERLINK("https://otsuka-europe-crm.veevavault.com/ui/#object/sent_email__v/VBL00000002U958", "SE-001436848")</f>
        <v>SE-001436848</v>
      </c>
      <c r="F10898" s="23">
        <v>46190.338101851848</v>
      </c>
      <c r="G10898" s="24">
        <v>1</v>
      </c>
      <c r="H10898" s="24">
        <v>1</v>
      </c>
      <c r="I10898" s="24">
        <v>0</v>
      </c>
      <c r="J10898" s="25"/>
      <c r="K10898" s="24">
        <v>0</v>
      </c>
      <c r="L10898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898" s="22" t="str">
        <f>HYPERLINK("mailto:giada.camassa@outsuka.it", "giada.camassa@outsuka.it")</f>
        <v>giada.camassa@outsuka.it</v>
      </c>
      <c r="N10898" s="23">
        <v>46190.337893518517</v>
      </c>
      <c r="O10898" s="14" t="str">
        <f>HYPERLINK("https://otsuka-europe-crm.veevavault.com/ui/#object/email_activity__v/V8C00000003W464", "EN-002097787")</f>
        <v>EN-002097787</v>
      </c>
    </row>
    <row r="10899" spans="1:15" ht="16" x14ac:dyDescent="0.2">
      <c r="A10899" s="19"/>
      <c r="B10899" s="19"/>
      <c r="C10899" s="19"/>
      <c r="D10899" s="19"/>
      <c r="E10899" s="19"/>
      <c r="F10899" s="19"/>
      <c r="G10899" s="19"/>
      <c r="H10899" s="19"/>
      <c r="I10899" s="19"/>
      <c r="J10899" s="19"/>
      <c r="K10899" s="19"/>
      <c r="L10899" s="19"/>
      <c r="M10899" s="19"/>
      <c r="N10899" s="19"/>
      <c r="O10899" s="14" t="str">
        <f>HYPERLINK("https://otsuka-europe-crm.veevavault.com/ui/#object/email_activity__v/V8C00000003X365", "EN-002097543")</f>
        <v>EN-002097543</v>
      </c>
    </row>
    <row r="10900" spans="1:15" ht="64" x14ac:dyDescent="0.2">
      <c r="A10900" s="7" t="str">
        <f>HYPERLINK("https://otsuka-europe-crm.veevavault.com/ui/#object/account__v/V4TZ025E85WB0VW", "MONICA REPETTO")</f>
        <v>MONICA REPETTO</v>
      </c>
      <c r="B10900" s="7" t="str">
        <f>HYPERLINK("https://otsuka-europe-crm.veevavault.com/ui/#object/vcountry__v/VENZ000004SONFQ", "IT")</f>
        <v>IT</v>
      </c>
      <c r="C10900" s="8" t="s">
        <v>44</v>
      </c>
      <c r="D10900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900" s="10" t="str">
        <f>HYPERLINK("https://otsuka-europe-crm.veevavault.com/ui/#object/sent_email__v/VBL00000002U959", "SE-001436849")</f>
        <v>SE-001436849</v>
      </c>
      <c r="F10900" s="11"/>
      <c r="G10900" s="12">
        <v>0</v>
      </c>
      <c r="H10900" s="12">
        <v>0</v>
      </c>
      <c r="I10900" s="12">
        <v>0</v>
      </c>
      <c r="J10900" s="11"/>
      <c r="K10900" s="12">
        <v>0</v>
      </c>
      <c r="L10900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900" s="10" t="str">
        <f>HYPERLINK("mailto:giada.camassa@outsuka.it", "giada.camassa@outsuka.it")</f>
        <v>giada.camassa@outsuka.it</v>
      </c>
      <c r="N10900" s="13">
        <v>46190.340081018519</v>
      </c>
      <c r="O10900" s="14" t="str">
        <f>HYPERLINK("https://otsuka-europe-crm.veevavault.com/ui/#object/email_activity__v/V8C00000003X781", "EN-002098186")</f>
        <v>EN-002098186</v>
      </c>
    </row>
    <row r="10901" spans="1:15" ht="64" x14ac:dyDescent="0.2">
      <c r="A10901" s="7" t="str">
        <f>HYPERLINK("https://otsuka-europe-crm.veevavault.com/ui/#object/account__v/V4TZ06G6O71SAEO", "NADIA DALLERA")</f>
        <v>NADIA DALLERA</v>
      </c>
      <c r="B10901" s="7" t="str">
        <f>HYPERLINK("https://otsuka-europe-crm.veevavault.com/ui/#object/vcountry__v/VENZ000004SONFQ", "IT")</f>
        <v>IT</v>
      </c>
      <c r="C10901" s="8" t="s">
        <v>44</v>
      </c>
      <c r="D10901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901" s="10" t="str">
        <f>HYPERLINK("https://otsuka-europe-crm.veevavault.com/ui/#object/sent_email__v/VBL00000002U960", "SE-001436850")</f>
        <v>SE-001436850</v>
      </c>
      <c r="F10901" s="11"/>
      <c r="G10901" s="12">
        <v>0</v>
      </c>
      <c r="H10901" s="12">
        <v>0</v>
      </c>
      <c r="I10901" s="12">
        <v>0</v>
      </c>
      <c r="J10901" s="11"/>
      <c r="K10901" s="12">
        <v>0</v>
      </c>
      <c r="L10901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901" s="10" t="str">
        <f>HYPERLINK("mailto:giada.camassa@outsuka.it", "giada.camassa@outsuka.it")</f>
        <v>giada.camassa@outsuka.it</v>
      </c>
      <c r="N10901" s="13">
        <v>46190.337893518517</v>
      </c>
      <c r="O10901" s="14" t="str">
        <f>HYPERLINK("https://otsuka-europe-crm.veevavault.com/ui/#object/email_activity__v/V8C00000003X356", "EN-002097534")</f>
        <v>EN-002097534</v>
      </c>
    </row>
    <row r="10902" spans="1:15" ht="64" x14ac:dyDescent="0.2">
      <c r="A10902" s="7" t="str">
        <f>HYPERLINK("https://otsuka-europe-crm.veevavault.com/ui/#object/account__v/V4TZ06G6O71SC53", "NATALIA ROSSI")</f>
        <v>NATALIA ROSSI</v>
      </c>
      <c r="B10902" s="7" t="str">
        <f>HYPERLINK("https://otsuka-europe-crm.veevavault.com/ui/#object/vcountry__v/VENZ000004SONFQ", "IT")</f>
        <v>IT</v>
      </c>
      <c r="C10902" s="8" t="s">
        <v>44</v>
      </c>
      <c r="D10902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902" s="10" t="str">
        <f>HYPERLINK("https://otsuka-europe-crm.veevavault.com/ui/#object/sent_email__v/VBL00000002U961", "SE-001436851")</f>
        <v>SE-001436851</v>
      </c>
      <c r="F10902" s="11"/>
      <c r="G10902" s="12">
        <v>0</v>
      </c>
      <c r="H10902" s="12">
        <v>0</v>
      </c>
      <c r="I10902" s="12">
        <v>0</v>
      </c>
      <c r="J10902" s="11"/>
      <c r="K10902" s="12">
        <v>0</v>
      </c>
      <c r="L10902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902" s="10" t="str">
        <f>HYPERLINK("mailto:giada.camassa@outsuka.it", "giada.camassa@outsuka.it")</f>
        <v>giada.camassa@outsuka.it</v>
      </c>
      <c r="N10902" s="13">
        <v>46190.33792824074</v>
      </c>
      <c r="O10902" s="14" t="str">
        <f>HYPERLINK("https://otsuka-europe-crm.veevavault.com/ui/#object/email_activity__v/V8C00000003X526", "EN-002097769")</f>
        <v>EN-002097769</v>
      </c>
    </row>
    <row r="10903" spans="1:15" ht="64" x14ac:dyDescent="0.2">
      <c r="A10903" s="7" t="str">
        <f>HYPERLINK("https://otsuka-europe-crm.veevavault.com/ui/#object/account__v/V4TZ06G6O71SALD", "OLIVIERO FILIBERTI")</f>
        <v>OLIVIERO FILIBERTI</v>
      </c>
      <c r="B10903" s="7" t="str">
        <f>HYPERLINK("https://otsuka-europe-crm.veevavault.com/ui/#object/vcountry__v/VENZ000004SONFQ", "IT")</f>
        <v>IT</v>
      </c>
      <c r="C10903" s="8" t="s">
        <v>44</v>
      </c>
      <c r="D10903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903" s="10" t="str">
        <f>HYPERLINK("https://otsuka-europe-crm.veevavault.com/ui/#object/sent_email__v/VBL00000002U962", "SE-001436852")</f>
        <v>SE-001436852</v>
      </c>
      <c r="F10903" s="11"/>
      <c r="G10903" s="12">
        <v>0</v>
      </c>
      <c r="H10903" s="12">
        <v>0</v>
      </c>
      <c r="I10903" s="12">
        <v>0</v>
      </c>
      <c r="J10903" s="11"/>
      <c r="K10903" s="12">
        <v>0</v>
      </c>
      <c r="L10903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903" s="10" t="str">
        <f>HYPERLINK("mailto:giada.camassa@outsuka.it", "giada.camassa@outsuka.it")</f>
        <v>giada.camassa@outsuka.it</v>
      </c>
      <c r="N10903" s="13">
        <v>46190.337916666664</v>
      </c>
      <c r="O10903" s="14" t="str">
        <f>HYPERLINK("https://otsuka-europe-crm.veevavault.com/ui/#object/email_activity__v/V8C00000003X387", "EN-002097582")</f>
        <v>EN-002097582</v>
      </c>
    </row>
    <row r="10904" spans="1:15" ht="16" x14ac:dyDescent="0.2">
      <c r="A10904" s="17" t="str">
        <f>HYPERLINK("https://otsuka-europe-crm.veevavault.com/ui/#object/account__v/V4TZ06G6O71SBOH", "PAOLA NAZZARO")</f>
        <v>PAOLA NAZZARO</v>
      </c>
      <c r="B10904" s="17" t="str">
        <f>HYPERLINK("https://otsuka-europe-crm.veevavault.com/ui/#object/vcountry__v/VENZ000004SONFQ", "IT")</f>
        <v>IT</v>
      </c>
      <c r="C10904" s="20" t="s">
        <v>44</v>
      </c>
      <c r="D10904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904" s="22" t="str">
        <f>HYPERLINK("https://otsuka-europe-crm.veevavault.com/ui/#object/sent_email__v/VBL00000002U964", "SE-001436854")</f>
        <v>SE-001436854</v>
      </c>
      <c r="F10904" s="25"/>
      <c r="G10904" s="24">
        <v>0</v>
      </c>
      <c r="H10904" s="24">
        <v>0</v>
      </c>
      <c r="I10904" s="24">
        <v>0</v>
      </c>
      <c r="J10904" s="25"/>
      <c r="K10904" s="24">
        <v>0</v>
      </c>
      <c r="L10904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904" s="22" t="str">
        <f>HYPERLINK("mailto:giada.camassa@outsuka.it", "giada.camassa@outsuka.it")</f>
        <v>giada.camassa@outsuka.it</v>
      </c>
      <c r="N10904" s="23">
        <v>46190.337870370371</v>
      </c>
      <c r="O10904" s="14" t="str">
        <f>HYPERLINK("https://otsuka-europe-crm.veevavault.com/ui/#object/email_activity__v/V8C00000003X308", "EN-002097499")</f>
        <v>EN-002097499</v>
      </c>
    </row>
    <row r="10905" spans="1:15" ht="16" x14ac:dyDescent="0.2">
      <c r="A10905" s="19"/>
      <c r="B10905" s="19"/>
      <c r="C10905" s="19"/>
      <c r="D10905" s="19"/>
      <c r="E10905" s="19"/>
      <c r="F10905" s="19"/>
      <c r="G10905" s="19"/>
      <c r="H10905" s="19"/>
      <c r="I10905" s="19"/>
      <c r="J10905" s="19"/>
      <c r="K10905" s="19"/>
      <c r="L10905" s="19"/>
      <c r="M10905" s="19"/>
      <c r="N10905" s="19"/>
      <c r="O10905" s="14" t="str">
        <f>HYPERLINK("https://otsuka-europe-crm.veevavault.com/ui/#object/email_activity__v/V8C00000003X879", "EN-002098391")</f>
        <v>EN-002098391</v>
      </c>
    </row>
    <row r="10906" spans="1:15" ht="64" x14ac:dyDescent="0.2">
      <c r="A10906" s="7" t="str">
        <f>HYPERLINK("https://otsuka-europe-crm.veevavault.com/ui/#object/account__v/V4TZ06G6OB42779", "PAOLA ROMAGNANI")</f>
        <v>PAOLA ROMAGNANI</v>
      </c>
      <c r="B10906" s="7" t="str">
        <f>HYPERLINK("https://otsuka-europe-crm.veevavault.com/ui/#object/vcountry__v/VENZ000004SONFQ", "IT")</f>
        <v>IT</v>
      </c>
      <c r="C10906" s="8" t="s">
        <v>44</v>
      </c>
      <c r="D10906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906" s="10" t="str">
        <f>HYPERLINK("https://otsuka-europe-crm.veevavault.com/ui/#object/sent_email__v/VBL00000002U965", "SE-001436855")</f>
        <v>SE-001436855</v>
      </c>
      <c r="F10906" s="11"/>
      <c r="G10906" s="12">
        <v>0</v>
      </c>
      <c r="H10906" s="12">
        <v>0</v>
      </c>
      <c r="I10906" s="12">
        <v>0</v>
      </c>
      <c r="J10906" s="11"/>
      <c r="K10906" s="12">
        <v>0</v>
      </c>
      <c r="L10906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906" s="10" t="str">
        <f>HYPERLINK("mailto:giada.camassa@outsuka.it", "giada.camassa@outsuka.it")</f>
        <v>giada.camassa@outsuka.it</v>
      </c>
      <c r="N10906" s="13">
        <v>46190.337893518517</v>
      </c>
      <c r="O10906" s="14" t="str">
        <f>HYPERLINK("https://otsuka-europe-crm.veevavault.com/ui/#object/email_activity__v/V8C00000003X473", "EN-002097672")</f>
        <v>EN-002097672</v>
      </c>
    </row>
    <row r="10907" spans="1:15" ht="16" x14ac:dyDescent="0.2">
      <c r="A10907" s="17" t="str">
        <f>HYPERLINK("https://otsuka-europe-crm.veevavault.com/ui/#object/account__v/V4TZ06G6O71SABU", "PAOLO DE PAOLIS")</f>
        <v>PAOLO DE PAOLIS</v>
      </c>
      <c r="B10907" s="17" t="str">
        <f>HYPERLINK("https://otsuka-europe-crm.veevavault.com/ui/#object/vcountry__v/VENZ000004SONFQ", "IT")</f>
        <v>IT</v>
      </c>
      <c r="C10907" s="20" t="s">
        <v>44</v>
      </c>
      <c r="D10907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907" s="22" t="str">
        <f>HYPERLINK("https://otsuka-europe-crm.veevavault.com/ui/#object/sent_email__v/VBL00000002U966", "SE-001436856")</f>
        <v>SE-001436856</v>
      </c>
      <c r="F10907" s="25"/>
      <c r="G10907" s="24">
        <v>0</v>
      </c>
      <c r="H10907" s="24">
        <v>0</v>
      </c>
      <c r="I10907" s="24">
        <v>0</v>
      </c>
      <c r="J10907" s="25"/>
      <c r="K10907" s="24">
        <v>0</v>
      </c>
      <c r="L10907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907" s="22" t="str">
        <f>HYPERLINK("mailto:giada.camassa@outsuka.it", "giada.camassa@outsuka.it")</f>
        <v>giada.camassa@outsuka.it</v>
      </c>
      <c r="N10907" s="23">
        <v>46190.338622685187</v>
      </c>
      <c r="O10907" s="14" t="str">
        <f>HYPERLINK("https://otsuka-europe-crm.veevavault.com/ui/#object/email_activity__v/V8C00000003W627", "EN-002098251")</f>
        <v>EN-002098251</v>
      </c>
    </row>
    <row r="10908" spans="1:15" ht="16" x14ac:dyDescent="0.2">
      <c r="A10908" s="19"/>
      <c r="B10908" s="19"/>
      <c r="C10908" s="19"/>
      <c r="D10908" s="19"/>
      <c r="E10908" s="19"/>
      <c r="F10908" s="19"/>
      <c r="G10908" s="19"/>
      <c r="H10908" s="19"/>
      <c r="I10908" s="19"/>
      <c r="J10908" s="19"/>
      <c r="K10908" s="19"/>
      <c r="L10908" s="19"/>
      <c r="M10908" s="19"/>
      <c r="N10908" s="19"/>
      <c r="O10908" s="14" t="str">
        <f>HYPERLINK("https://otsuka-europe-crm.veevavault.com/ui/#object/email_activity__v/V8C00000003X613", "EN-002097935")</f>
        <v>EN-002097935</v>
      </c>
    </row>
    <row r="10909" spans="1:15" ht="16" x14ac:dyDescent="0.2">
      <c r="A10909" s="17" t="str">
        <f>HYPERLINK("https://otsuka-europe-crm.veevavault.com/ui/#object/account__v/V4TZ06G6O71S9OA", "PAOLO GILLES VERCELLONI")</f>
        <v>PAOLO GILLES VERCELLONI</v>
      </c>
      <c r="B10909" s="17" t="str">
        <f>HYPERLINK("https://otsuka-europe-crm.veevavault.com/ui/#object/vcountry__v/VENZ000004SONFQ", "IT")</f>
        <v>IT</v>
      </c>
      <c r="C10909" s="20" t="s">
        <v>44</v>
      </c>
      <c r="D10909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909" s="22" t="str">
        <f>HYPERLINK("https://otsuka-europe-crm.veevavault.com/ui/#object/sent_email__v/VBL00000002U967", "SE-001436857")</f>
        <v>SE-001436857</v>
      </c>
      <c r="F10909" s="23">
        <v>46190.338078703702</v>
      </c>
      <c r="G10909" s="24">
        <v>1</v>
      </c>
      <c r="H10909" s="24">
        <v>1</v>
      </c>
      <c r="I10909" s="24">
        <v>0</v>
      </c>
      <c r="J10909" s="25"/>
      <c r="K10909" s="24">
        <v>0</v>
      </c>
      <c r="L10909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909" s="22" t="str">
        <f>HYPERLINK("mailto:giada.camassa@outsuka.it", "giada.camassa@outsuka.it")</f>
        <v>giada.camassa@outsuka.it</v>
      </c>
      <c r="N10909" s="23">
        <v>46190.337870370371</v>
      </c>
      <c r="O10909" s="14" t="str">
        <f>HYPERLINK("https://otsuka-europe-crm.veevavault.com/ui/#object/email_activity__v/V8C00000003W375", "EN-002097465")</f>
        <v>EN-002097465</v>
      </c>
    </row>
    <row r="10910" spans="1:15" ht="16" x14ac:dyDescent="0.2">
      <c r="A10910" s="19"/>
      <c r="B10910" s="19"/>
      <c r="C10910" s="19"/>
      <c r="D10910" s="19"/>
      <c r="E10910" s="19"/>
      <c r="F10910" s="19"/>
      <c r="G10910" s="19"/>
      <c r="H10910" s="19"/>
      <c r="I10910" s="19"/>
      <c r="J10910" s="19"/>
      <c r="K10910" s="19"/>
      <c r="L10910" s="19"/>
      <c r="M10910" s="19"/>
      <c r="N10910" s="19"/>
      <c r="O10910" s="14" t="str">
        <f>HYPERLINK("https://otsuka-europe-crm.veevavault.com/ui/#object/email_activity__v/V8C00000003X463", "EN-002097800")</f>
        <v>EN-002097800</v>
      </c>
    </row>
    <row r="10911" spans="1:15" ht="16" x14ac:dyDescent="0.2">
      <c r="A10911" s="17" t="str">
        <f>HYPERLINK("https://otsuka-europe-crm.veevavault.com/ui/#object/account__v/V4TZ06G6O71SB6J", "PAOLO LUCA MARIA LENTINI")</f>
        <v>PAOLO LUCA MARIA LENTINI</v>
      </c>
      <c r="B10911" s="17" t="str">
        <f>HYPERLINK("https://otsuka-europe-crm.veevavault.com/ui/#object/vcountry__v/VENZ000004SONFQ", "IT")</f>
        <v>IT</v>
      </c>
      <c r="C10911" s="20" t="s">
        <v>44</v>
      </c>
      <c r="D10911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911" s="22" t="str">
        <f>HYPERLINK("https://otsuka-europe-crm.veevavault.com/ui/#object/sent_email__v/VBL00000002U968", "SE-001436858")</f>
        <v>SE-001436858</v>
      </c>
      <c r="F10911" s="23">
        <v>46190.677662037036</v>
      </c>
      <c r="G10911" s="24">
        <v>1</v>
      </c>
      <c r="H10911" s="24">
        <v>1</v>
      </c>
      <c r="I10911" s="24">
        <v>0</v>
      </c>
      <c r="J10911" s="25"/>
      <c r="K10911" s="24">
        <v>0</v>
      </c>
      <c r="L10911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911" s="22" t="str">
        <f>HYPERLINK("mailto:giada.camassa@outsuka.it", "giada.camassa@outsuka.it")</f>
        <v>giada.camassa@outsuka.it</v>
      </c>
      <c r="N10911" s="23">
        <v>46190.337893518517</v>
      </c>
      <c r="O10911" s="14" t="str">
        <f>HYPERLINK("https://otsuka-europe-crm.veevavault.com/ui/#object/email_activity__v/V8C00000003W729", "EN-002098441")</f>
        <v>EN-002098441</v>
      </c>
    </row>
    <row r="10912" spans="1:15" ht="16" x14ac:dyDescent="0.2">
      <c r="A10912" s="19"/>
      <c r="B10912" s="19"/>
      <c r="C10912" s="19"/>
      <c r="D10912" s="19"/>
      <c r="E10912" s="19"/>
      <c r="F10912" s="19"/>
      <c r="G10912" s="19"/>
      <c r="H10912" s="19"/>
      <c r="I10912" s="19"/>
      <c r="J10912" s="19"/>
      <c r="K10912" s="19"/>
      <c r="L10912" s="19"/>
      <c r="M10912" s="19"/>
      <c r="N10912" s="19"/>
      <c r="O10912" s="14" t="str">
        <f>HYPERLINK("https://otsuka-europe-crm.veevavault.com/ui/#object/email_activity__v/V8C00000003X407", "EN-002097602")</f>
        <v>EN-002097602</v>
      </c>
    </row>
    <row r="10913" spans="1:15" ht="16" x14ac:dyDescent="0.2">
      <c r="A10913" s="17" t="str">
        <f>HYPERLINK("https://otsuka-europe-crm.veevavault.com/ui/#object/account__v/V4TZ06G6O71SBK8", "PAOLO MONARDO")</f>
        <v>PAOLO MONARDO</v>
      </c>
      <c r="B10913" s="17" t="str">
        <f>HYPERLINK("https://otsuka-europe-crm.veevavault.com/ui/#object/vcountry__v/VENZ000004SONFQ", "IT")</f>
        <v>IT</v>
      </c>
      <c r="C10913" s="20" t="s">
        <v>44</v>
      </c>
      <c r="D10913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913" s="22" t="str">
        <f>HYPERLINK("https://otsuka-europe-crm.veevavault.com/ui/#object/sent_email__v/VBL00000002U969", "SE-001436859")</f>
        <v>SE-001436859</v>
      </c>
      <c r="F10913" s="25"/>
      <c r="G10913" s="24">
        <v>0</v>
      </c>
      <c r="H10913" s="24">
        <v>0</v>
      </c>
      <c r="I10913" s="24">
        <v>0</v>
      </c>
      <c r="J10913" s="25"/>
      <c r="K10913" s="24">
        <v>0</v>
      </c>
      <c r="L10913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913" s="22" t="str">
        <f>HYPERLINK("mailto:giada.camassa@outsuka.it", "giada.camassa@outsuka.it")</f>
        <v>giada.camassa@outsuka.it</v>
      </c>
      <c r="N10913" s="23">
        <v>46190.337870370371</v>
      </c>
      <c r="O10913" s="14" t="str">
        <f>HYPERLINK("https://otsuka-europe-crm.veevavault.com/ui/#object/email_activity__v/V8C00000003X435", "EN-002097649")</f>
        <v>EN-002097649</v>
      </c>
    </row>
    <row r="10914" spans="1:15" ht="16" x14ac:dyDescent="0.2">
      <c r="A10914" s="18"/>
      <c r="B10914" s="18"/>
      <c r="C10914" s="18"/>
      <c r="D10914" s="18"/>
      <c r="E10914" s="18"/>
      <c r="F10914" s="18"/>
      <c r="G10914" s="18"/>
      <c r="H10914" s="18"/>
      <c r="I10914" s="18"/>
      <c r="J10914" s="18"/>
      <c r="K10914" s="18"/>
      <c r="L10914" s="18"/>
      <c r="M10914" s="18"/>
      <c r="N10914" s="18"/>
      <c r="O10914" s="14" t="str">
        <f>HYPERLINK("https://otsuka-europe-crm.veevavault.com/ui/#object/email_activity__v/V8C00000003X901", "EN-002098432")</f>
        <v>EN-002098432</v>
      </c>
    </row>
    <row r="10915" spans="1:15" ht="16" x14ac:dyDescent="0.2">
      <c r="A10915" s="19"/>
      <c r="B10915" s="19"/>
      <c r="C10915" s="19"/>
      <c r="D10915" s="19"/>
      <c r="E10915" s="19"/>
      <c r="F10915" s="19"/>
      <c r="G10915" s="19"/>
      <c r="H10915" s="19"/>
      <c r="I10915" s="19"/>
      <c r="J10915" s="19"/>
      <c r="K10915" s="19"/>
      <c r="L10915" s="19"/>
      <c r="M10915" s="19"/>
      <c r="N10915" s="19"/>
      <c r="O10915" s="14" t="str">
        <f>HYPERLINK("https://otsuka-europe-crm.veevavault.com/ui/#object/email_activity__v/V8C000000040145", "EN-002098958")</f>
        <v>EN-002098958</v>
      </c>
    </row>
    <row r="10916" spans="1:15" ht="64" x14ac:dyDescent="0.2">
      <c r="A10916" s="7" t="str">
        <f>HYPERLINK("https://otsuka-europe-crm.veevavault.com/ui/#object/account__v/V4TZ025E832J3YH", "PAOLO PROTOPAPA")</f>
        <v>PAOLO PROTOPAPA</v>
      </c>
      <c r="B10916" s="7" t="str">
        <f>HYPERLINK("https://otsuka-europe-crm.veevavault.com/ui/#object/vcountry__v/VENZ000004SONFQ", "IT")</f>
        <v>IT</v>
      </c>
      <c r="C10916" s="8" t="s">
        <v>44</v>
      </c>
      <c r="D10916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916" s="10" t="str">
        <f>HYPERLINK("https://otsuka-europe-crm.veevavault.com/ui/#object/sent_email__v/VBL00000002U970", "SE-001436860")</f>
        <v>SE-001436860</v>
      </c>
      <c r="F10916" s="11"/>
      <c r="G10916" s="12">
        <v>0</v>
      </c>
      <c r="H10916" s="12">
        <v>0</v>
      </c>
      <c r="I10916" s="12">
        <v>0</v>
      </c>
      <c r="J10916" s="11"/>
      <c r="K10916" s="12">
        <v>0</v>
      </c>
      <c r="L10916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916" s="10" t="str">
        <f>HYPERLINK("mailto:giada.camassa@outsuka.it", "giada.camassa@outsuka.it")</f>
        <v>giada.camassa@outsuka.it</v>
      </c>
      <c r="N10916" s="13">
        <v>46190.33798611111</v>
      </c>
      <c r="O10916" s="14" t="str">
        <f>HYPERLINK("https://otsuka-europe-crm.veevavault.com/ui/#object/email_activity__v/V8C00000003X490", "EN-002097704")</f>
        <v>EN-002097704</v>
      </c>
    </row>
    <row r="10917" spans="1:15" ht="64" x14ac:dyDescent="0.2">
      <c r="A10917" s="7" t="str">
        <f>HYPERLINK("https://otsuka-europe-crm.veevavault.com/ui/#object/account__v/V4TZ06G6O71SCLX", "PAOLO TRUCILLO")</f>
        <v>PAOLO TRUCILLO</v>
      </c>
      <c r="B10917" s="7" t="str">
        <f>HYPERLINK("https://otsuka-europe-crm.veevavault.com/ui/#object/vcountry__v/VENZ000004SONFQ", "IT")</f>
        <v>IT</v>
      </c>
      <c r="C10917" s="8" t="s">
        <v>44</v>
      </c>
      <c r="D10917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917" s="10" t="str">
        <f>HYPERLINK("https://otsuka-europe-crm.veevavault.com/ui/#object/sent_email__v/VBL00000002U971", "SE-001436861")</f>
        <v>SE-001436861</v>
      </c>
      <c r="F10917" s="11"/>
      <c r="G10917" s="12">
        <v>0</v>
      </c>
      <c r="H10917" s="12">
        <v>0</v>
      </c>
      <c r="I10917" s="12">
        <v>0</v>
      </c>
      <c r="J10917" s="11"/>
      <c r="K10917" s="12">
        <v>0</v>
      </c>
      <c r="L10917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917" s="10" t="str">
        <f>HYPERLINK("mailto:giada.camassa@outsuka.it", "giada.camassa@outsuka.it")</f>
        <v>giada.camassa@outsuka.it</v>
      </c>
      <c r="N10917" s="13">
        <v>46190.337870370371</v>
      </c>
      <c r="O10917" s="14" t="str">
        <f>HYPERLINK("https://otsuka-europe-crm.veevavault.com/ui/#object/email_activity__v/V8C00000003X242", "EN-002097381")</f>
        <v>EN-002097381</v>
      </c>
    </row>
    <row r="10918" spans="1:15" ht="64" x14ac:dyDescent="0.2">
      <c r="A10918" s="7" t="str">
        <f>HYPERLINK("https://otsuka-europe-crm.veevavault.com/ui/#object/account__v/V4TZ025E83YIML5", "PARIDE FENAROLI")</f>
        <v>PARIDE FENAROLI</v>
      </c>
      <c r="B10918" s="7" t="str">
        <f>HYPERLINK("https://otsuka-europe-crm.veevavault.com/ui/#object/vcountry__v/VENZ000004SONFQ", "IT")</f>
        <v>IT</v>
      </c>
      <c r="C10918" s="8" t="s">
        <v>44</v>
      </c>
      <c r="D10918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918" s="10" t="str">
        <f>HYPERLINK("https://otsuka-europe-crm.veevavault.com/ui/#object/sent_email__v/VBL00000002U972", "SE-001436862")</f>
        <v>SE-001436862</v>
      </c>
      <c r="F10918" s="11"/>
      <c r="G10918" s="12">
        <v>0</v>
      </c>
      <c r="H10918" s="12">
        <v>0</v>
      </c>
      <c r="I10918" s="12">
        <v>0</v>
      </c>
      <c r="J10918" s="11"/>
      <c r="K10918" s="12">
        <v>0</v>
      </c>
      <c r="L10918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918" s="10" t="str">
        <f>HYPERLINK("mailto:giada.camassa@outsuka.it", "giada.camassa@outsuka.it")</f>
        <v>giada.camassa@outsuka.it</v>
      </c>
      <c r="N10918" s="13">
        <v>46190.337835648148</v>
      </c>
      <c r="O10918" s="14" t="str">
        <f>HYPERLINK("https://otsuka-europe-crm.veevavault.com/ui/#object/email_activity__v/V8C00000003X537", "EN-002097820")</f>
        <v>EN-002097820</v>
      </c>
    </row>
    <row r="10919" spans="1:15" ht="64" x14ac:dyDescent="0.2">
      <c r="A10919" s="7" t="str">
        <f>HYPERLINK("https://otsuka-europe-crm.veevavault.com/ui/#object/account__v/V4TZ06G6O71SBVP", "PATRIZIA FRANCESCA PATRICELLI")</f>
        <v>PATRIZIA FRANCESCA PATRICELLI</v>
      </c>
      <c r="B10919" s="7" t="str">
        <f>HYPERLINK("https://otsuka-europe-crm.veevavault.com/ui/#object/vcountry__v/VENZ000004SONFQ", "IT")</f>
        <v>IT</v>
      </c>
      <c r="C10919" s="8" t="s">
        <v>44</v>
      </c>
      <c r="D10919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919" s="10" t="str">
        <f>HYPERLINK("https://otsuka-europe-crm.veevavault.com/ui/#object/sent_email__v/VBL00000002U973", "SE-001436863")</f>
        <v>SE-001436863</v>
      </c>
      <c r="F10919" s="11"/>
      <c r="G10919" s="12">
        <v>0</v>
      </c>
      <c r="H10919" s="12">
        <v>0</v>
      </c>
      <c r="I10919" s="12">
        <v>0</v>
      </c>
      <c r="J10919" s="11"/>
      <c r="K10919" s="12">
        <v>0</v>
      </c>
      <c r="L10919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919" s="10" t="str">
        <f>HYPERLINK("mailto:giada.camassa@outsuka.it", "giada.camassa@outsuka.it")</f>
        <v>giada.camassa@outsuka.it</v>
      </c>
      <c r="N10919" s="13">
        <v>46190.33792824074</v>
      </c>
      <c r="O10919" s="14" t="str">
        <f>HYPERLINK("https://otsuka-europe-crm.veevavault.com/ui/#object/email_activity__v/V8C00000003X446", "EN-002097660")</f>
        <v>EN-002097660</v>
      </c>
    </row>
    <row r="10920" spans="1:15" ht="16" x14ac:dyDescent="0.2">
      <c r="A10920" s="17" t="str">
        <f>HYPERLINK("https://otsuka-europe-crm.veevavault.com/ui/#object/account__v/V4TZ025E85TAM3T", "PIERLUIGI DI LORETO")</f>
        <v>PIERLUIGI DI LORETO</v>
      </c>
      <c r="B10920" s="17" t="str">
        <f>HYPERLINK("https://otsuka-europe-crm.veevavault.com/ui/#object/vcountry__v/VENZ000004SONFQ", "IT")</f>
        <v>IT</v>
      </c>
      <c r="C10920" s="20" t="s">
        <v>44</v>
      </c>
      <c r="D10920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920" s="22" t="str">
        <f>HYPERLINK("https://otsuka-europe-crm.veevavault.com/ui/#object/sent_email__v/VBL00000002U974", "SE-001436864")</f>
        <v>SE-001436864</v>
      </c>
      <c r="F10920" s="25"/>
      <c r="G10920" s="24">
        <v>0</v>
      </c>
      <c r="H10920" s="24">
        <v>0</v>
      </c>
      <c r="I10920" s="24">
        <v>0</v>
      </c>
      <c r="J10920" s="25"/>
      <c r="K10920" s="24">
        <v>0</v>
      </c>
      <c r="L10920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920" s="22" t="str">
        <f>HYPERLINK("mailto:giada.camassa@outsuka.it", "giada.camassa@outsuka.it")</f>
        <v>giada.camassa@outsuka.it</v>
      </c>
      <c r="N10920" s="23">
        <v>46190.337847222225</v>
      </c>
      <c r="O10920" s="14" t="str">
        <f>HYPERLINK("https://otsuka-europe-crm.veevavault.com/ui/#object/email_activity__v/V8C00000003W369", "EN-002097459")</f>
        <v>EN-002097459</v>
      </c>
    </row>
    <row r="10921" spans="1:15" ht="16" x14ac:dyDescent="0.2">
      <c r="A10921" s="19"/>
      <c r="B10921" s="19"/>
      <c r="C10921" s="19"/>
      <c r="D10921" s="19"/>
      <c r="E10921" s="19"/>
      <c r="F10921" s="19"/>
      <c r="G10921" s="19"/>
      <c r="H10921" s="19"/>
      <c r="I10921" s="19"/>
      <c r="J10921" s="19"/>
      <c r="K10921" s="19"/>
      <c r="L10921" s="19"/>
      <c r="M10921" s="19"/>
      <c r="N10921" s="19"/>
      <c r="O10921" s="14" t="str">
        <f>HYPERLINK("https://otsuka-europe-crm.veevavault.com/ui/#object/email_activity__v/V8C00000003W655", "EN-002098292")</f>
        <v>EN-002098292</v>
      </c>
    </row>
    <row r="10922" spans="1:15" ht="16" x14ac:dyDescent="0.2">
      <c r="A10922" s="17" t="str">
        <f>HYPERLINK("https://otsuka-europe-crm.veevavault.com/ui/#object/account__v/V4TZ06G6O71SAMW", "PIERLUIGI FULIGNATI")</f>
        <v>PIERLUIGI FULIGNATI</v>
      </c>
      <c r="B10922" s="17" t="str">
        <f>HYPERLINK("https://otsuka-europe-crm.veevavault.com/ui/#object/vcountry__v/VENZ000004SONFQ", "IT")</f>
        <v>IT</v>
      </c>
      <c r="C10922" s="20" t="s">
        <v>44</v>
      </c>
      <c r="D10922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922" s="22" t="str">
        <f>HYPERLINK("https://otsuka-europe-crm.veevavault.com/ui/#object/sent_email__v/VBL00000002U975", "SE-001436865")</f>
        <v>SE-001436865</v>
      </c>
      <c r="F10922" s="23">
        <v>46190.412245370368</v>
      </c>
      <c r="G10922" s="24">
        <v>1</v>
      </c>
      <c r="H10922" s="24">
        <v>3</v>
      </c>
      <c r="I10922" s="24">
        <v>0</v>
      </c>
      <c r="J10922" s="25"/>
      <c r="K10922" s="24">
        <v>0</v>
      </c>
      <c r="L10922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922" s="22" t="str">
        <f>HYPERLINK("mailto:giada.camassa@outsuka.it", "giada.camassa@outsuka.it")</f>
        <v>giada.camassa@outsuka.it</v>
      </c>
      <c r="N10922" s="23">
        <v>46190.337893518517</v>
      </c>
      <c r="O10922" s="14" t="str">
        <f>HYPERLINK("https://otsuka-europe-crm.veevavault.com/ui/#object/email_activity__v/V8C00000003W343", "EN-002097400")</f>
        <v>EN-002097400</v>
      </c>
    </row>
    <row r="10923" spans="1:15" ht="16" x14ac:dyDescent="0.2">
      <c r="A10923" s="18"/>
      <c r="B10923" s="18"/>
      <c r="C10923" s="18"/>
      <c r="D10923" s="18"/>
      <c r="E10923" s="18"/>
      <c r="F10923" s="18"/>
      <c r="G10923" s="18"/>
      <c r="H10923" s="18"/>
      <c r="I10923" s="18"/>
      <c r="J10923" s="18"/>
      <c r="K10923" s="18"/>
      <c r="L10923" s="18"/>
      <c r="M10923" s="18"/>
      <c r="N10923" s="18"/>
      <c r="O10923" s="14" t="str">
        <f>HYPERLINK("https://otsuka-europe-crm.veevavault.com/ui/#object/email_activity__v/V8C00000003W478", "EN-002097833")</f>
        <v>EN-002097833</v>
      </c>
    </row>
    <row r="10924" spans="1:15" ht="16" x14ac:dyDescent="0.2">
      <c r="A10924" s="18"/>
      <c r="B10924" s="18"/>
      <c r="C10924" s="18"/>
      <c r="D10924" s="18"/>
      <c r="E10924" s="18"/>
      <c r="F10924" s="18"/>
      <c r="G10924" s="18"/>
      <c r="H10924" s="18"/>
      <c r="I10924" s="18"/>
      <c r="J10924" s="18"/>
      <c r="K10924" s="18"/>
      <c r="L10924" s="18"/>
      <c r="M10924" s="18"/>
      <c r="N10924" s="18"/>
      <c r="O10924" s="14" t="str">
        <f>HYPERLINK("https://otsuka-europe-crm.veevavault.com/ui/#object/email_activity__v/V8C00000003W665", "EN-002098308")</f>
        <v>EN-002098308</v>
      </c>
    </row>
    <row r="10925" spans="1:15" ht="16" x14ac:dyDescent="0.2">
      <c r="A10925" s="19"/>
      <c r="B10925" s="19"/>
      <c r="C10925" s="19"/>
      <c r="D10925" s="19"/>
      <c r="E10925" s="19"/>
      <c r="F10925" s="19"/>
      <c r="G10925" s="19"/>
      <c r="H10925" s="19"/>
      <c r="I10925" s="19"/>
      <c r="J10925" s="19"/>
      <c r="K10925" s="19"/>
      <c r="L10925" s="19"/>
      <c r="M10925" s="19"/>
      <c r="N10925" s="19"/>
      <c r="O10925" s="14" t="str">
        <f>HYPERLINK("https://otsuka-europe-crm.veevavault.com/ui/#object/email_activity__v/V8C00000003W666", "EN-002098309")</f>
        <v>EN-002098309</v>
      </c>
    </row>
    <row r="10926" spans="1:15" ht="16" x14ac:dyDescent="0.2">
      <c r="A10926" s="17" t="str">
        <f>HYPERLINK("https://otsuka-europe-crm.veevavault.com/ui/#object/account__v/V4TZ06G6ODNOMBU", "PIERO LUIGI RUGGENENTI")</f>
        <v>PIERO LUIGI RUGGENENTI</v>
      </c>
      <c r="B10926" s="17" t="str">
        <f>HYPERLINK("https://otsuka-europe-crm.veevavault.com/ui/#object/vcountry__v/VENZ000004SONFQ", "IT")</f>
        <v>IT</v>
      </c>
      <c r="C10926" s="20" t="s">
        <v>44</v>
      </c>
      <c r="D10926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926" s="22" t="str">
        <f>HYPERLINK("https://otsuka-europe-crm.veevavault.com/ui/#object/sent_email__v/VBL00000002U976", "SE-001436866")</f>
        <v>SE-001436866</v>
      </c>
      <c r="F10926" s="23">
        <v>46190.337893518517</v>
      </c>
      <c r="G10926" s="24">
        <v>1</v>
      </c>
      <c r="H10926" s="24">
        <v>1</v>
      </c>
      <c r="I10926" s="24">
        <v>1</v>
      </c>
      <c r="J10926" s="23">
        <v>46190.338287037041</v>
      </c>
      <c r="K10926" s="24">
        <v>3</v>
      </c>
      <c r="L10926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926" s="22" t="str">
        <f>HYPERLINK("mailto:giada.camassa@outsuka.it", "giada.camassa@outsuka.it")</f>
        <v>giada.camassa@outsuka.it</v>
      </c>
      <c r="N10926" s="23">
        <v>46190.337812500002</v>
      </c>
      <c r="O10926" s="14" t="str">
        <f>HYPERLINK("https://otsuka-europe-crm.veevavault.com/ui/#object/email_activity__v/V8C00000003X294", "EN-002097485")</f>
        <v>EN-002097485</v>
      </c>
    </row>
    <row r="10927" spans="1:15" ht="16" x14ac:dyDescent="0.2">
      <c r="A10927" s="18"/>
      <c r="B10927" s="18"/>
      <c r="C10927" s="18"/>
      <c r="D10927" s="18"/>
      <c r="E10927" s="18"/>
      <c r="F10927" s="18"/>
      <c r="G10927" s="18"/>
      <c r="H10927" s="18"/>
      <c r="I10927" s="18"/>
      <c r="J10927" s="18"/>
      <c r="K10927" s="18"/>
      <c r="L10927" s="18"/>
      <c r="M10927" s="18"/>
      <c r="N10927" s="18"/>
      <c r="O10927" s="14" t="str">
        <f>HYPERLINK("https://otsuka-europe-crm.veevavault.com/ui/#object/email_activity__v/V8C00000003X332", "EN-002097628")</f>
        <v>EN-002097628</v>
      </c>
    </row>
    <row r="10928" spans="1:15" ht="16" x14ac:dyDescent="0.2">
      <c r="A10928" s="18"/>
      <c r="B10928" s="18"/>
      <c r="C10928" s="18"/>
      <c r="D10928" s="18"/>
      <c r="E10928" s="18"/>
      <c r="F10928" s="18"/>
      <c r="G10928" s="18"/>
      <c r="H10928" s="18"/>
      <c r="I10928" s="18"/>
      <c r="J10928" s="18"/>
      <c r="K10928" s="18"/>
      <c r="L10928" s="18"/>
      <c r="M10928" s="18"/>
      <c r="N10928" s="18"/>
      <c r="O10928" s="14" t="str">
        <f>HYPERLINK("https://otsuka-europe-crm.veevavault.com/ui/#object/email_activity__v/V8C00000003X350", "EN-002097528")</f>
        <v>EN-002097528</v>
      </c>
    </row>
    <row r="10929" spans="1:15" ht="16" x14ac:dyDescent="0.2">
      <c r="A10929" s="18"/>
      <c r="B10929" s="18"/>
      <c r="C10929" s="18"/>
      <c r="D10929" s="18"/>
      <c r="E10929" s="18"/>
      <c r="F10929" s="18"/>
      <c r="G10929" s="18"/>
      <c r="H10929" s="18"/>
      <c r="I10929" s="18"/>
      <c r="J10929" s="18"/>
      <c r="K10929" s="18"/>
      <c r="L10929" s="18"/>
      <c r="M10929" s="18"/>
      <c r="N10929" s="18"/>
      <c r="O10929" s="14" t="str">
        <f>HYPERLINK("https://otsuka-europe-crm.veevavault.com/ui/#object/email_activity__v/V8C00000003X568", "EN-002097864")</f>
        <v>EN-002097864</v>
      </c>
    </row>
    <row r="10930" spans="1:15" ht="16" x14ac:dyDescent="0.2">
      <c r="A10930" s="19"/>
      <c r="B10930" s="19"/>
      <c r="C10930" s="19"/>
      <c r="D10930" s="19"/>
      <c r="E10930" s="19"/>
      <c r="F10930" s="19"/>
      <c r="G10930" s="19"/>
      <c r="H10930" s="19"/>
      <c r="I10930" s="19"/>
      <c r="J10930" s="19"/>
      <c r="K10930" s="19"/>
      <c r="L10930" s="19"/>
      <c r="M10930" s="19"/>
      <c r="N10930" s="19"/>
      <c r="O10930" s="14" t="str">
        <f>HYPERLINK("https://otsuka-europe-crm.veevavault.com/ui/#object/email_activity__v/V8C00000003X576", "EN-002097872")</f>
        <v>EN-002097872</v>
      </c>
    </row>
    <row r="10931" spans="1:15" ht="64" x14ac:dyDescent="0.2">
      <c r="A10931" s="7" t="str">
        <f>HYPERLINK("https://otsuka-europe-crm.veevavault.com/ui/#object/account__v/V4TZ06G6O71SB47", "RAFFAELLA CRAVERO")</f>
        <v>RAFFAELLA CRAVERO</v>
      </c>
      <c r="B10931" s="7" t="str">
        <f>HYPERLINK("https://otsuka-europe-crm.veevavault.com/ui/#object/vcountry__v/VENZ000004SONFQ", "IT")</f>
        <v>IT</v>
      </c>
      <c r="C10931" s="8" t="s">
        <v>44</v>
      </c>
      <c r="D10931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931" s="10" t="str">
        <f>HYPERLINK("https://otsuka-europe-crm.veevavault.com/ui/#object/sent_email__v/VBL00000002U977", "SE-001436867")</f>
        <v>SE-001436867</v>
      </c>
      <c r="F10931" s="11"/>
      <c r="G10931" s="12">
        <v>0</v>
      </c>
      <c r="H10931" s="12">
        <v>0</v>
      </c>
      <c r="I10931" s="12">
        <v>0</v>
      </c>
      <c r="J10931" s="11"/>
      <c r="K10931" s="12">
        <v>0</v>
      </c>
      <c r="L10931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931" s="10" t="str">
        <f>HYPERLINK("mailto:giada.camassa@outsuka.it", "giada.camassa@outsuka.it")</f>
        <v>giada.camassa@outsuka.it</v>
      </c>
      <c r="N10931" s="13">
        <v>46190.337881944448</v>
      </c>
      <c r="O10931" s="14" t="str">
        <f>HYPERLINK("https://otsuka-europe-crm.veevavault.com/ui/#object/email_activity__v/V8C00000003W410", "EN-002097689")</f>
        <v>EN-002097689</v>
      </c>
    </row>
    <row r="10932" spans="1:15" ht="64" x14ac:dyDescent="0.2">
      <c r="A10932" s="7" t="str">
        <f>HYPERLINK("https://otsuka-europe-crm.veevavault.com/ui/#object/account__v/V4TZ06G6O8SAG6K", "RENATO ALBERTO SINICO")</f>
        <v>RENATO ALBERTO SINICO</v>
      </c>
      <c r="B10932" s="7" t="str">
        <f>HYPERLINK("https://otsuka-europe-crm.veevavault.com/ui/#object/vcountry__v/VENZ000004SONFQ", "IT")</f>
        <v>IT</v>
      </c>
      <c r="C10932" s="8" t="s">
        <v>44</v>
      </c>
      <c r="D10932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932" s="10" t="str">
        <f>HYPERLINK("https://otsuka-europe-crm.veevavault.com/ui/#object/sent_email__v/VBL00000002U978", "SE-001436868")</f>
        <v>SE-001436868</v>
      </c>
      <c r="F10932" s="11"/>
      <c r="G10932" s="12">
        <v>0</v>
      </c>
      <c r="H10932" s="12">
        <v>0</v>
      </c>
      <c r="I10932" s="12">
        <v>0</v>
      </c>
      <c r="J10932" s="11"/>
      <c r="K10932" s="12">
        <v>0</v>
      </c>
      <c r="L10932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932" s="10" t="str">
        <f>HYPERLINK("mailto:giada.camassa@outsuka.it", "giada.camassa@outsuka.it")</f>
        <v>giada.camassa@outsuka.it</v>
      </c>
      <c r="N10932" s="13">
        <v>46190.337893518517</v>
      </c>
      <c r="O10932" s="14" t="str">
        <f>HYPERLINK("https://otsuka-europe-crm.veevavault.com/ui/#object/email_activity__v/V8C00000003X450", "EN-002097664")</f>
        <v>EN-002097664</v>
      </c>
    </row>
    <row r="10933" spans="1:15" ht="16" x14ac:dyDescent="0.2">
      <c r="A10933" s="17" t="str">
        <f>HYPERLINK("https://otsuka-europe-crm.veevavault.com/ui/#object/account__v/V4TZ06G6O71TG0B", "RENZA TIBOLDO")</f>
        <v>RENZA TIBOLDO</v>
      </c>
      <c r="B10933" s="17" t="str">
        <f>HYPERLINK("https://otsuka-europe-crm.veevavault.com/ui/#object/vcountry__v/VENZ000004SONFQ", "IT")</f>
        <v>IT</v>
      </c>
      <c r="C10933" s="20" t="s">
        <v>44</v>
      </c>
      <c r="D10933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933" s="22" t="str">
        <f>HYPERLINK("https://otsuka-europe-crm.veevavault.com/ui/#object/sent_email__v/VBL00000002U979", "SE-001436869")</f>
        <v>SE-001436869</v>
      </c>
      <c r="F10933" s="23">
        <v>46190.338020833333</v>
      </c>
      <c r="G10933" s="24">
        <v>1</v>
      </c>
      <c r="H10933" s="24">
        <v>1</v>
      </c>
      <c r="I10933" s="24">
        <v>0</v>
      </c>
      <c r="J10933" s="25"/>
      <c r="K10933" s="24">
        <v>0</v>
      </c>
      <c r="L10933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933" s="22" t="str">
        <f>HYPERLINK("mailto:giada.camassa@outsuka.it", "giada.camassa@outsuka.it")</f>
        <v>giada.camassa@outsuka.it</v>
      </c>
      <c r="N10933" s="23">
        <v>46190.337870370371</v>
      </c>
      <c r="O10933" s="14" t="str">
        <f>HYPERLINK("https://otsuka-europe-crm.veevavault.com/ui/#object/email_activity__v/V8C00000003W379", "EN-002097469")</f>
        <v>EN-002097469</v>
      </c>
    </row>
    <row r="10934" spans="1:15" ht="16" x14ac:dyDescent="0.2">
      <c r="A10934" s="19"/>
      <c r="B10934" s="19"/>
      <c r="C10934" s="19"/>
      <c r="D10934" s="19"/>
      <c r="E10934" s="19"/>
      <c r="F10934" s="19"/>
      <c r="G10934" s="19"/>
      <c r="H10934" s="19"/>
      <c r="I10934" s="19"/>
      <c r="J10934" s="19"/>
      <c r="K10934" s="19"/>
      <c r="L10934" s="19"/>
      <c r="M10934" s="19"/>
      <c r="N10934" s="19"/>
      <c r="O10934" s="14" t="str">
        <f>HYPERLINK("https://otsuka-europe-crm.veevavault.com/ui/#object/email_activity__v/V8C00000003X532", "EN-002097815")</f>
        <v>EN-002097815</v>
      </c>
    </row>
    <row r="10935" spans="1:15" ht="64" x14ac:dyDescent="0.2">
      <c r="A10935" s="7" t="str">
        <f>HYPERLINK("https://otsuka-europe-crm.veevavault.com/ui/#object/account__v/V4TZ06G6O71SBI8", "RENZO MIGNANI")</f>
        <v>RENZO MIGNANI</v>
      </c>
      <c r="B10935" s="7" t="str">
        <f>HYPERLINK("https://otsuka-europe-crm.veevavault.com/ui/#object/vcountry__v/VENZ000004SONFQ", "IT")</f>
        <v>IT</v>
      </c>
      <c r="C10935" s="8" t="s">
        <v>44</v>
      </c>
      <c r="D10935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935" s="10" t="str">
        <f>HYPERLINK("https://otsuka-europe-crm.veevavault.com/ui/#object/sent_email__v/VBL00000002U980", "SE-001436870")</f>
        <v>SE-001436870</v>
      </c>
      <c r="F10935" s="11"/>
      <c r="G10935" s="12">
        <v>0</v>
      </c>
      <c r="H10935" s="12">
        <v>0</v>
      </c>
      <c r="I10935" s="12">
        <v>0</v>
      </c>
      <c r="J10935" s="11"/>
      <c r="K10935" s="12">
        <v>0</v>
      </c>
      <c r="L10935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935" s="10" t="str">
        <f>HYPERLINK("mailto:giada.camassa@outsuka.it", "giada.camassa@outsuka.it")</f>
        <v>giada.camassa@outsuka.it</v>
      </c>
      <c r="N10935" s="13">
        <v>46190.339224537034</v>
      </c>
      <c r="O10935" s="14" t="str">
        <f>HYPERLINK("https://otsuka-europe-crm.veevavault.com/ui/#object/email_activity__v/V8C00000003W536", "EN-002098024")</f>
        <v>EN-002098024</v>
      </c>
    </row>
    <row r="10936" spans="1:15" ht="64" x14ac:dyDescent="0.2">
      <c r="A10936" s="7" t="str">
        <f>HYPERLINK("https://otsuka-europe-crm.veevavault.com/ui/#object/account__v/V4TZ06G6O8TFEU4", "ROBERTA FENOGLIO")</f>
        <v>ROBERTA FENOGLIO</v>
      </c>
      <c r="B10936" s="7" t="str">
        <f>HYPERLINK("https://otsuka-europe-crm.veevavault.com/ui/#object/vcountry__v/VENZ000004SONFQ", "IT")</f>
        <v>IT</v>
      </c>
      <c r="C10936" s="8" t="s">
        <v>44</v>
      </c>
      <c r="D10936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936" s="10" t="str">
        <f>HYPERLINK("https://otsuka-europe-crm.veevavault.com/ui/#object/sent_email__v/VBL00000002U981", "SE-001436871")</f>
        <v>SE-001436871</v>
      </c>
      <c r="F10936" s="11"/>
      <c r="G10936" s="12">
        <v>0</v>
      </c>
      <c r="H10936" s="12">
        <v>0</v>
      </c>
      <c r="I10936" s="12">
        <v>0</v>
      </c>
      <c r="J10936" s="11"/>
      <c r="K10936" s="12">
        <v>0</v>
      </c>
      <c r="L10936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936" s="10" t="str">
        <f>HYPERLINK("mailto:giada.camassa@outsuka.it", "giada.camassa@outsuka.it")</f>
        <v>giada.camassa@outsuka.it</v>
      </c>
      <c r="N10936" s="13">
        <v>46190.33798611111</v>
      </c>
      <c r="O10936" s="14" t="str">
        <f>HYPERLINK("https://otsuka-europe-crm.veevavault.com/ui/#object/email_activity__v/V8C00000003W444", "EN-002097728")</f>
        <v>EN-002097728</v>
      </c>
    </row>
    <row r="10937" spans="1:15" ht="64" x14ac:dyDescent="0.2">
      <c r="A10937" s="7" t="str">
        <f>HYPERLINK("https://otsuka-europe-crm.veevavault.com/ui/#object/account__v/V4TZ06G6O71SC7S", "ROBERTA FIORENZA CERUTTI")</f>
        <v>ROBERTA FIORENZA CERUTTI</v>
      </c>
      <c r="B10937" s="7" t="str">
        <f>HYPERLINK("https://otsuka-europe-crm.veevavault.com/ui/#object/vcountry__v/VENZ000004SONFQ", "IT")</f>
        <v>IT</v>
      </c>
      <c r="C10937" s="8" t="s">
        <v>44</v>
      </c>
      <c r="D10937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937" s="10" t="str">
        <f>HYPERLINK("https://otsuka-europe-crm.veevavault.com/ui/#object/sent_email__v/VBL00000002U982", "SE-001436872")</f>
        <v>SE-001436872</v>
      </c>
      <c r="F10937" s="11"/>
      <c r="G10937" s="12">
        <v>0</v>
      </c>
      <c r="H10937" s="12">
        <v>0</v>
      </c>
      <c r="I10937" s="12">
        <v>0</v>
      </c>
      <c r="J10937" s="11"/>
      <c r="K10937" s="12">
        <v>0</v>
      </c>
      <c r="L10937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937" s="10" t="str">
        <f>HYPERLINK("mailto:giada.camassa@outsuka.it", "giada.camassa@outsuka.it")</f>
        <v>giada.camassa@outsuka.it</v>
      </c>
      <c r="N10937" s="13">
        <v>46190.337893518517</v>
      </c>
      <c r="O10937" s="14" t="str">
        <f>HYPERLINK("https://otsuka-europe-crm.veevavault.com/ui/#object/email_activity__v/V8C00000003X415", "EN-002097610")</f>
        <v>EN-002097610</v>
      </c>
    </row>
    <row r="10938" spans="1:15" ht="16" x14ac:dyDescent="0.2">
      <c r="A10938" s="17" t="str">
        <f>HYPERLINK("https://otsuka-europe-crm.veevavault.com/ui/#object/account__v/V4TZ06G6O71SBJ6", "ROBERTO MINUTOLO")</f>
        <v>ROBERTO MINUTOLO</v>
      </c>
      <c r="B10938" s="17" t="str">
        <f>HYPERLINK("https://otsuka-europe-crm.veevavault.com/ui/#object/vcountry__v/VENZ000004SONFQ", "IT")</f>
        <v>IT</v>
      </c>
      <c r="C10938" s="20" t="s">
        <v>44</v>
      </c>
      <c r="D10938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938" s="22" t="str">
        <f>HYPERLINK("https://otsuka-europe-crm.veevavault.com/ui/#object/sent_email__v/VBL00000002U984", "SE-001436874")</f>
        <v>SE-001436874</v>
      </c>
      <c r="F10938" s="23">
        <v>46190.356249999997</v>
      </c>
      <c r="G10938" s="24">
        <v>1</v>
      </c>
      <c r="H10938" s="24">
        <v>2</v>
      </c>
      <c r="I10938" s="24">
        <v>0</v>
      </c>
      <c r="J10938" s="25"/>
      <c r="K10938" s="24">
        <v>0</v>
      </c>
      <c r="L10938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938" s="22" t="str">
        <f>HYPERLINK("mailto:giada.camassa@outsuka.it", "giada.camassa@outsuka.it")</f>
        <v>giada.camassa@outsuka.it</v>
      </c>
      <c r="N10938" s="23">
        <v>46190.337870370371</v>
      </c>
      <c r="O10938" s="14" t="str">
        <f>HYPERLINK("https://otsuka-europe-crm.veevavault.com/ui/#object/email_activity__v/V8C00000003W636", "EN-002098263")</f>
        <v>EN-002098263</v>
      </c>
    </row>
    <row r="10939" spans="1:15" ht="16" x14ac:dyDescent="0.2">
      <c r="A10939" s="18"/>
      <c r="B10939" s="18"/>
      <c r="C10939" s="18"/>
      <c r="D10939" s="18"/>
      <c r="E10939" s="18"/>
      <c r="F10939" s="18"/>
      <c r="G10939" s="18"/>
      <c r="H10939" s="18"/>
      <c r="I10939" s="18"/>
      <c r="J10939" s="18"/>
      <c r="K10939" s="18"/>
      <c r="L10939" s="18"/>
      <c r="M10939" s="18"/>
      <c r="N10939" s="18"/>
      <c r="O10939" s="14" t="str">
        <f>HYPERLINK("https://otsuka-europe-crm.veevavault.com/ui/#object/email_activity__v/V8C00000003X310", "EN-002097501")</f>
        <v>EN-002097501</v>
      </c>
    </row>
    <row r="10940" spans="1:15" ht="16" x14ac:dyDescent="0.2">
      <c r="A10940" s="19"/>
      <c r="B10940" s="19"/>
      <c r="C10940" s="19"/>
      <c r="D10940" s="19"/>
      <c r="E10940" s="19"/>
      <c r="F10940" s="19"/>
      <c r="G10940" s="19"/>
      <c r="H10940" s="19"/>
      <c r="I10940" s="19"/>
      <c r="J10940" s="19"/>
      <c r="K10940" s="19"/>
      <c r="L10940" s="19"/>
      <c r="M10940" s="19"/>
      <c r="N10940" s="19"/>
      <c r="O10940" s="14" t="str">
        <f>HYPERLINK("https://otsuka-europe-crm.veevavault.com/ui/#object/email_activity__v/V8C00000003X598", "EN-002097907")</f>
        <v>EN-002097907</v>
      </c>
    </row>
    <row r="10941" spans="1:15" ht="64" x14ac:dyDescent="0.2">
      <c r="A10941" s="7" t="str">
        <f>HYPERLINK("https://otsuka-europe-crm.veevavault.com/ui/#object/account__v/V4TZ06G6O71SCDX", "ROBERTO SCARPIONI")</f>
        <v>ROBERTO SCARPIONI</v>
      </c>
      <c r="B10941" s="7" t="str">
        <f>HYPERLINK("https://otsuka-europe-crm.veevavault.com/ui/#object/vcountry__v/VENZ000004SONFQ", "IT")</f>
        <v>IT</v>
      </c>
      <c r="C10941" s="8" t="s">
        <v>44</v>
      </c>
      <c r="D10941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941" s="10" t="str">
        <f>HYPERLINK("https://otsuka-europe-crm.veevavault.com/ui/#object/sent_email__v/VBL00000002U985", "SE-001436875")</f>
        <v>SE-001436875</v>
      </c>
      <c r="F10941" s="11"/>
      <c r="G10941" s="12">
        <v>0</v>
      </c>
      <c r="H10941" s="12">
        <v>0</v>
      </c>
      <c r="I10941" s="12">
        <v>0</v>
      </c>
      <c r="J10941" s="11"/>
      <c r="K10941" s="12">
        <v>0</v>
      </c>
      <c r="L10941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941" s="10" t="str">
        <f>HYPERLINK("mailto:giada.camassa@outsuka.it", "giada.camassa@outsuka.it")</f>
        <v>giada.camassa@outsuka.it</v>
      </c>
      <c r="N10941" s="13">
        <v>46190.33792824074</v>
      </c>
      <c r="O10941" s="14" t="str">
        <f>HYPERLINK("https://otsuka-europe-crm.veevavault.com/ui/#object/email_activity__v/V8C00000003X269", "EN-002097444")</f>
        <v>EN-002097444</v>
      </c>
    </row>
    <row r="10942" spans="1:15" ht="16" x14ac:dyDescent="0.2">
      <c r="A10942" s="17" t="str">
        <f>HYPERLINK("https://otsuka-europe-crm.veevavault.com/ui/#object/account__v/V4TZ025E87XNNJH", "ROCCO BACCARO")</f>
        <v>ROCCO BACCARO</v>
      </c>
      <c r="B10942" s="17" t="str">
        <f>HYPERLINK("https://otsuka-europe-crm.veevavault.com/ui/#object/vcountry__v/VENZ000004SONFQ", "IT")</f>
        <v>IT</v>
      </c>
      <c r="C10942" s="20" t="s">
        <v>44</v>
      </c>
      <c r="D10942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942" s="22" t="str">
        <f>HYPERLINK("https://otsuka-europe-crm.veevavault.com/ui/#object/sent_email__v/VBL00000002U986", "SE-001436876")</f>
        <v>SE-001436876</v>
      </c>
      <c r="F10942" s="23">
        <v>46190.340694444443</v>
      </c>
      <c r="G10942" s="24">
        <v>1</v>
      </c>
      <c r="H10942" s="24">
        <v>2</v>
      </c>
      <c r="I10942" s="24">
        <v>0</v>
      </c>
      <c r="J10942" s="25"/>
      <c r="K10942" s="24">
        <v>0</v>
      </c>
      <c r="L10942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942" s="22" t="str">
        <f>HYPERLINK("mailto:giada.camassa@outsuka.it", "giada.camassa@outsuka.it")</f>
        <v>giada.camassa@outsuka.it</v>
      </c>
      <c r="N10942" s="23">
        <v>46190.337870370371</v>
      </c>
      <c r="O10942" s="14" t="str">
        <f>HYPERLINK("https://otsuka-europe-crm.veevavault.com/ui/#object/email_activity__v/V8C00000003W382", "EN-002097472")</f>
        <v>EN-002097472</v>
      </c>
    </row>
    <row r="10943" spans="1:15" ht="16" x14ac:dyDescent="0.2">
      <c r="A10943" s="18"/>
      <c r="B10943" s="18"/>
      <c r="C10943" s="18"/>
      <c r="D10943" s="18"/>
      <c r="E10943" s="18"/>
      <c r="F10943" s="18"/>
      <c r="G10943" s="18"/>
      <c r="H10943" s="18"/>
      <c r="I10943" s="18"/>
      <c r="J10943" s="18"/>
      <c r="K10943" s="18"/>
      <c r="L10943" s="18"/>
      <c r="M10943" s="18"/>
      <c r="N10943" s="18"/>
      <c r="O10943" s="14" t="str">
        <f>HYPERLINK("https://otsuka-europe-crm.veevavault.com/ui/#object/email_activity__v/V8C00000003W606", "EN-002098207")</f>
        <v>EN-002098207</v>
      </c>
    </row>
    <row r="10944" spans="1:15" ht="16" x14ac:dyDescent="0.2">
      <c r="A10944" s="19"/>
      <c r="B10944" s="19"/>
      <c r="C10944" s="19"/>
      <c r="D10944" s="19"/>
      <c r="E10944" s="19"/>
      <c r="F10944" s="19"/>
      <c r="G10944" s="19"/>
      <c r="H10944" s="19"/>
      <c r="I10944" s="19"/>
      <c r="J10944" s="19"/>
      <c r="K10944" s="19"/>
      <c r="L10944" s="19"/>
      <c r="M10944" s="19"/>
      <c r="N10944" s="19"/>
      <c r="O10944" s="14" t="str">
        <f>HYPERLINK("https://otsuka-europe-crm.veevavault.com/ui/#object/email_activity__v/V8C00000003X528", "EN-002097771")</f>
        <v>EN-002097771</v>
      </c>
    </row>
    <row r="10945" spans="1:15" ht="16" x14ac:dyDescent="0.2">
      <c r="A10945" s="17" t="str">
        <f>HYPERLINK("https://otsuka-europe-crm.veevavault.com/ui/#object/account__v/V4TZ06G6O71SC60", "RODOLFO RUSSO")</f>
        <v>RODOLFO RUSSO</v>
      </c>
      <c r="B10945" s="17" t="str">
        <f>HYPERLINK("https://otsuka-europe-crm.veevavault.com/ui/#object/vcountry__v/VENZ000004SONFQ", "IT")</f>
        <v>IT</v>
      </c>
      <c r="C10945" s="20" t="s">
        <v>44</v>
      </c>
      <c r="D10945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945" s="22" t="str">
        <f>HYPERLINK("https://otsuka-europe-crm.veevavault.com/ui/#object/sent_email__v/VBL00000002U987", "SE-001436877")</f>
        <v>SE-001436877</v>
      </c>
      <c r="F10945" s="23">
        <v>46190.338518518518</v>
      </c>
      <c r="G10945" s="24">
        <v>1</v>
      </c>
      <c r="H10945" s="24">
        <v>1</v>
      </c>
      <c r="I10945" s="24">
        <v>0</v>
      </c>
      <c r="J10945" s="25"/>
      <c r="K10945" s="24">
        <v>0</v>
      </c>
      <c r="L10945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945" s="22" t="str">
        <f>HYPERLINK("mailto:giada.camassa@outsuka.it", "giada.camassa@outsuka.it")</f>
        <v>giada.camassa@outsuka.it</v>
      </c>
      <c r="N10945" s="23">
        <v>46190.337893518517</v>
      </c>
      <c r="O10945" s="14" t="str">
        <f>HYPERLINK("https://otsuka-europe-crm.veevavault.com/ui/#object/email_activity__v/V8C00000003X477", "EN-002097676")</f>
        <v>EN-002097676</v>
      </c>
    </row>
    <row r="10946" spans="1:15" ht="16" x14ac:dyDescent="0.2">
      <c r="A10946" s="19"/>
      <c r="B10946" s="19"/>
      <c r="C10946" s="19"/>
      <c r="D10946" s="19"/>
      <c r="E10946" s="19"/>
      <c r="F10946" s="19"/>
      <c r="G10946" s="19"/>
      <c r="H10946" s="19"/>
      <c r="I10946" s="19"/>
      <c r="J10946" s="19"/>
      <c r="K10946" s="19"/>
      <c r="L10946" s="19"/>
      <c r="M10946" s="19"/>
      <c r="N10946" s="19"/>
      <c r="O10946" s="14" t="str">
        <f>HYPERLINK("https://otsuka-europe-crm.veevavault.com/ui/#object/email_activity__v/V8C00000003X600", "EN-002097915")</f>
        <v>EN-002097915</v>
      </c>
    </row>
    <row r="10947" spans="1:15" ht="64" x14ac:dyDescent="0.2">
      <c r="A10947" s="7" t="str">
        <f>HYPERLINK("https://otsuka-europe-crm.veevavault.com/ui/#object/account__v/V4TZ04ASG8F3TXY", "ROSALIA ARSENA")</f>
        <v>ROSALIA ARSENA</v>
      </c>
      <c r="B10947" s="7" t="str">
        <f t="shared" ref="B10947:B10955" si="858">HYPERLINK("https://otsuka-europe-crm.veevavault.com/ui/#object/vcountry__v/VENZ000004SONFQ", "IT")</f>
        <v>IT</v>
      </c>
      <c r="C10947" s="8" t="s">
        <v>44</v>
      </c>
      <c r="D10947" s="9" t="str">
        <f t="shared" ref="D10947:D10955" si="859">HYPERLINK("https://otsuka-europe-crm.veevavault.com/ui/#object/approved_document__v/V5O00000000G061", "AE - AGGIORNAMENTI SEZIONE APPROFONDIMENTI NEFRO IT-NPR-2500150")</f>
        <v>AE - AGGIORNAMENTI SEZIONE APPROFONDIMENTI NEFRO IT-NPR-2500150</v>
      </c>
      <c r="E10947" s="10" t="str">
        <f>HYPERLINK("https://otsuka-europe-crm.veevavault.com/ui/#object/sent_email__v/VBL00000002U988", "SE-001436878")</f>
        <v>SE-001436878</v>
      </c>
      <c r="F10947" s="11"/>
      <c r="G10947" s="12">
        <v>0</v>
      </c>
      <c r="H10947" s="12">
        <v>0</v>
      </c>
      <c r="I10947" s="12">
        <v>0</v>
      </c>
      <c r="J10947" s="11"/>
      <c r="K10947" s="12">
        <v>0</v>
      </c>
      <c r="L10947" s="10" t="str">
        <f t="shared" ref="L10947:L10955" si="860">HYPERLINK("https://otsuka-europe-crm.veevavault.com/ui/#object/approved_document__v/V5O00000000G061", "AE - AGGIORNAMENTI SEZIONE APPROFONDIMENTI NEFRO IT-NPR-2500150")</f>
        <v>AE - AGGIORNAMENTI SEZIONE APPROFONDIMENTI NEFRO IT-NPR-2500150</v>
      </c>
      <c r="M10947" s="10" t="str">
        <f t="shared" ref="M10947:M10955" si="861">HYPERLINK("mailto:giada.camassa@outsuka.it", "giada.camassa@outsuka.it")</f>
        <v>giada.camassa@outsuka.it</v>
      </c>
      <c r="N10947" s="13">
        <v>46190.33792824074</v>
      </c>
      <c r="O10947" s="14" t="str">
        <f>HYPERLINK("https://otsuka-europe-crm.veevavault.com/ui/#object/email_activity__v/V8C00000003X445", "EN-002097659")</f>
        <v>EN-002097659</v>
      </c>
    </row>
    <row r="10948" spans="1:15" ht="64" x14ac:dyDescent="0.2">
      <c r="A10948" s="7" t="str">
        <f>HYPERLINK("https://otsuka-europe-crm.veevavault.com/ui/#object/account__v/V4TZ06G6O71S9G4", "ROSARIA LUPICA")</f>
        <v>ROSARIA LUPICA</v>
      </c>
      <c r="B10948" s="7" t="str">
        <f t="shared" si="858"/>
        <v>IT</v>
      </c>
      <c r="C10948" s="8" t="s">
        <v>44</v>
      </c>
      <c r="D10948" s="9" t="str">
        <f t="shared" si="859"/>
        <v>AE - AGGIORNAMENTI SEZIONE APPROFONDIMENTI NEFRO IT-NPR-2500150</v>
      </c>
      <c r="E10948" s="10" t="str">
        <f>HYPERLINK("https://otsuka-europe-crm.veevavault.com/ui/#object/sent_email__v/VBL00000002U989", "SE-001436879")</f>
        <v>SE-001436879</v>
      </c>
      <c r="F10948" s="11"/>
      <c r="G10948" s="12">
        <v>0</v>
      </c>
      <c r="H10948" s="12">
        <v>0</v>
      </c>
      <c r="I10948" s="12">
        <v>0</v>
      </c>
      <c r="J10948" s="11"/>
      <c r="K10948" s="12">
        <v>0</v>
      </c>
      <c r="L10948" s="10" t="str">
        <f t="shared" si="860"/>
        <v>AE - AGGIORNAMENTI SEZIONE APPROFONDIMENTI NEFRO IT-NPR-2500150</v>
      </c>
      <c r="M10948" s="10" t="str">
        <f t="shared" si="861"/>
        <v>giada.camassa@outsuka.it</v>
      </c>
      <c r="N10948" s="13">
        <v>46190.339699074073</v>
      </c>
      <c r="O10948" s="14" t="str">
        <f>HYPERLINK("https://otsuka-europe-crm.veevavault.com/ui/#object/email_activity__v/V8C00000003X741", "EN-002098139")</f>
        <v>EN-002098139</v>
      </c>
    </row>
    <row r="10949" spans="1:15" ht="64" x14ac:dyDescent="0.2">
      <c r="A10949" s="7" t="str">
        <f>HYPERLINK("https://otsuka-europe-crm.veevavault.com/ui/#object/account__v/V4TZ06G6O71SAST", "SALVATORE CHIARELLA")</f>
        <v>SALVATORE CHIARELLA</v>
      </c>
      <c r="B10949" s="7" t="str">
        <f t="shared" si="858"/>
        <v>IT</v>
      </c>
      <c r="C10949" s="8" t="s">
        <v>44</v>
      </c>
      <c r="D10949" s="9" t="str">
        <f t="shared" si="859"/>
        <v>AE - AGGIORNAMENTI SEZIONE APPROFONDIMENTI NEFRO IT-NPR-2500150</v>
      </c>
      <c r="E10949" s="10" t="str">
        <f>HYPERLINK("https://otsuka-europe-crm.veevavault.com/ui/#object/sent_email__v/VBL00000002U990", "SE-001436880")</f>
        <v>SE-001436880</v>
      </c>
      <c r="F10949" s="11"/>
      <c r="G10949" s="12">
        <v>0</v>
      </c>
      <c r="H10949" s="12">
        <v>0</v>
      </c>
      <c r="I10949" s="12">
        <v>0</v>
      </c>
      <c r="J10949" s="11"/>
      <c r="K10949" s="12">
        <v>0</v>
      </c>
      <c r="L10949" s="10" t="str">
        <f t="shared" si="860"/>
        <v>AE - AGGIORNAMENTI SEZIONE APPROFONDIMENTI NEFRO IT-NPR-2500150</v>
      </c>
      <c r="M10949" s="10" t="str">
        <f t="shared" si="861"/>
        <v>giada.camassa@outsuka.it</v>
      </c>
      <c r="N10949" s="13">
        <v>46190.337870370371</v>
      </c>
      <c r="O10949" s="14" t="str">
        <f>HYPERLINK("https://otsuka-europe-crm.veevavault.com/ui/#object/email_activity__v/V8C00000003W377", "EN-002097467")</f>
        <v>EN-002097467</v>
      </c>
    </row>
    <row r="10950" spans="1:15" ht="64" x14ac:dyDescent="0.2">
      <c r="A10950" s="7" t="str">
        <f>HYPERLINK("https://otsuka-europe-crm.veevavault.com/ui/#object/account__v/V4TZ06G6O71SB2W", "SALVATORE COPPOLA")</f>
        <v>SALVATORE COPPOLA</v>
      </c>
      <c r="B10950" s="7" t="str">
        <f t="shared" si="858"/>
        <v>IT</v>
      </c>
      <c r="C10950" s="8" t="s">
        <v>44</v>
      </c>
      <c r="D10950" s="9" t="str">
        <f t="shared" si="859"/>
        <v>AE - AGGIORNAMENTI SEZIONE APPROFONDIMENTI NEFRO IT-NPR-2500150</v>
      </c>
      <c r="E10950" s="10" t="str">
        <f>HYPERLINK("https://otsuka-europe-crm.veevavault.com/ui/#object/sent_email__v/VBL00000002U991", "SE-001436881")</f>
        <v>SE-001436881</v>
      </c>
      <c r="F10950" s="11"/>
      <c r="G10950" s="12">
        <v>0</v>
      </c>
      <c r="H10950" s="12">
        <v>0</v>
      </c>
      <c r="I10950" s="12">
        <v>0</v>
      </c>
      <c r="J10950" s="11"/>
      <c r="K10950" s="12">
        <v>0</v>
      </c>
      <c r="L10950" s="10" t="str">
        <f t="shared" si="860"/>
        <v>AE - AGGIORNAMENTI SEZIONE APPROFONDIMENTI NEFRO IT-NPR-2500150</v>
      </c>
      <c r="M10950" s="10" t="str">
        <f t="shared" si="861"/>
        <v>giada.camassa@outsuka.it</v>
      </c>
      <c r="N10950" s="13">
        <v>46190.337870370371</v>
      </c>
      <c r="O10950" s="14" t="str">
        <f>HYPERLINK("https://otsuka-europe-crm.veevavault.com/ui/#object/email_activity__v/V8C00000003X401", "EN-002097596")</f>
        <v>EN-002097596</v>
      </c>
    </row>
    <row r="10951" spans="1:15" ht="64" x14ac:dyDescent="0.2">
      <c r="A10951" s="7" t="str">
        <f>HYPERLINK("https://otsuka-europe-crm.veevavault.com/ui/#object/account__v/V4TZ06G6O71SBLT", "SALVATORE MOZZILLO")</f>
        <v>SALVATORE MOZZILLO</v>
      </c>
      <c r="B10951" s="7" t="str">
        <f t="shared" si="858"/>
        <v>IT</v>
      </c>
      <c r="C10951" s="8" t="s">
        <v>44</v>
      </c>
      <c r="D10951" s="9" t="str">
        <f t="shared" si="859"/>
        <v>AE - AGGIORNAMENTI SEZIONE APPROFONDIMENTI NEFRO IT-NPR-2500150</v>
      </c>
      <c r="E10951" s="10" t="str">
        <f>HYPERLINK("https://otsuka-europe-crm.veevavault.com/ui/#object/sent_email__v/VBL00000002U992", "SE-001436882")</f>
        <v>SE-001436882</v>
      </c>
      <c r="F10951" s="11"/>
      <c r="G10951" s="12">
        <v>0</v>
      </c>
      <c r="H10951" s="12">
        <v>0</v>
      </c>
      <c r="I10951" s="12">
        <v>0</v>
      </c>
      <c r="J10951" s="11"/>
      <c r="K10951" s="12">
        <v>0</v>
      </c>
      <c r="L10951" s="10" t="str">
        <f t="shared" si="860"/>
        <v>AE - AGGIORNAMENTI SEZIONE APPROFONDIMENTI NEFRO IT-NPR-2500150</v>
      </c>
      <c r="M10951" s="10" t="str">
        <f t="shared" si="861"/>
        <v>giada.camassa@outsuka.it</v>
      </c>
      <c r="N10951" s="13">
        <v>46190.337835648148</v>
      </c>
      <c r="O10951" s="14" t="str">
        <f>HYPERLINK("https://otsuka-europe-crm.veevavault.com/ui/#object/email_activity__v/V8C00000003X260", "EN-002097435")</f>
        <v>EN-002097435</v>
      </c>
    </row>
    <row r="10952" spans="1:15" ht="64" x14ac:dyDescent="0.2">
      <c r="A10952" s="7" t="str">
        <f>HYPERLINK("https://otsuka-europe-crm.veevavault.com/ui/#object/account__v/V4TZ06G6O71SC1O", "SALVATORE RANDONE")</f>
        <v>SALVATORE RANDONE</v>
      </c>
      <c r="B10952" s="7" t="str">
        <f t="shared" si="858"/>
        <v>IT</v>
      </c>
      <c r="C10952" s="8" t="s">
        <v>44</v>
      </c>
      <c r="D10952" s="9" t="str">
        <f t="shared" si="859"/>
        <v>AE - AGGIORNAMENTI SEZIONE APPROFONDIMENTI NEFRO IT-NPR-2500150</v>
      </c>
      <c r="E10952" s="10" t="str">
        <f>HYPERLINK("https://otsuka-europe-crm.veevavault.com/ui/#object/sent_email__v/VBL00000002U993", "SE-001436883")</f>
        <v>SE-001436883</v>
      </c>
      <c r="F10952" s="11"/>
      <c r="G10952" s="12">
        <v>0</v>
      </c>
      <c r="H10952" s="12">
        <v>0</v>
      </c>
      <c r="I10952" s="12">
        <v>0</v>
      </c>
      <c r="J10952" s="11"/>
      <c r="K10952" s="12">
        <v>0</v>
      </c>
      <c r="L10952" s="10" t="str">
        <f t="shared" si="860"/>
        <v>AE - AGGIORNAMENTI SEZIONE APPROFONDIMENTI NEFRO IT-NPR-2500150</v>
      </c>
      <c r="M10952" s="10" t="str">
        <f t="shared" si="861"/>
        <v>giada.camassa@outsuka.it</v>
      </c>
      <c r="N10952" s="13">
        <v>46190.337870370371</v>
      </c>
      <c r="O10952" s="14" t="str">
        <f>HYPERLINK("https://otsuka-europe-crm.veevavault.com/ui/#object/email_activity__v/V8C00000003X591", "EN-002097896")</f>
        <v>EN-002097896</v>
      </c>
    </row>
    <row r="10953" spans="1:15" ht="64" x14ac:dyDescent="0.2">
      <c r="A10953" s="7" t="str">
        <f>HYPERLINK("https://otsuka-europe-crm.veevavault.com/ui/#object/account__v/V4TZ04ASG6LNK42", "SALVATORE RUOSI")</f>
        <v>SALVATORE RUOSI</v>
      </c>
      <c r="B10953" s="7" t="str">
        <f t="shared" si="858"/>
        <v>IT</v>
      </c>
      <c r="C10953" s="8" t="s">
        <v>44</v>
      </c>
      <c r="D10953" s="9" t="str">
        <f t="shared" si="859"/>
        <v>AE - AGGIORNAMENTI SEZIONE APPROFONDIMENTI NEFRO IT-NPR-2500150</v>
      </c>
      <c r="E10953" s="10" t="str">
        <f>HYPERLINK("https://otsuka-europe-crm.veevavault.com/ui/#object/sent_email__v/VBL00000002U994", "SE-001436884")</f>
        <v>SE-001436884</v>
      </c>
      <c r="F10953" s="11"/>
      <c r="G10953" s="12">
        <v>0</v>
      </c>
      <c r="H10953" s="12">
        <v>0</v>
      </c>
      <c r="I10953" s="12">
        <v>0</v>
      </c>
      <c r="J10953" s="11"/>
      <c r="K10953" s="12">
        <v>0</v>
      </c>
      <c r="L10953" s="10" t="str">
        <f t="shared" si="860"/>
        <v>AE - AGGIORNAMENTI SEZIONE APPROFONDIMENTI NEFRO IT-NPR-2500150</v>
      </c>
      <c r="M10953" s="10" t="str">
        <f t="shared" si="861"/>
        <v>giada.camassa@outsuka.it</v>
      </c>
      <c r="N10953" s="13">
        <v>46190.339930555558</v>
      </c>
      <c r="O10953" s="14" t="str">
        <f>HYPERLINK("https://otsuka-europe-crm.veevavault.com/ui/#object/email_activity__v/V8C00000003W599", "EN-002098190")</f>
        <v>EN-002098190</v>
      </c>
    </row>
    <row r="10954" spans="1:15" ht="64" x14ac:dyDescent="0.2">
      <c r="A10954" s="7" t="str">
        <f>HYPERLINK("https://otsuka-europe-crm.veevavault.com/ui/#object/account__v/V4TZ06G6O71SBY2", "SALVATRICE PLATANIA")</f>
        <v>SALVATRICE PLATANIA</v>
      </c>
      <c r="B10954" s="7" t="str">
        <f t="shared" si="858"/>
        <v>IT</v>
      </c>
      <c r="C10954" s="8" t="s">
        <v>44</v>
      </c>
      <c r="D10954" s="9" t="str">
        <f t="shared" si="859"/>
        <v>AE - AGGIORNAMENTI SEZIONE APPROFONDIMENTI NEFRO IT-NPR-2500150</v>
      </c>
      <c r="E10954" s="10" t="str">
        <f>HYPERLINK("https://otsuka-europe-crm.veevavault.com/ui/#object/sent_email__v/VBL00000002U995", "SE-001436885")</f>
        <v>SE-001436885</v>
      </c>
      <c r="F10954" s="11"/>
      <c r="G10954" s="12">
        <v>0</v>
      </c>
      <c r="H10954" s="12">
        <v>0</v>
      </c>
      <c r="I10954" s="12">
        <v>0</v>
      </c>
      <c r="J10954" s="11"/>
      <c r="K10954" s="12">
        <v>0</v>
      </c>
      <c r="L10954" s="10" t="str">
        <f t="shared" si="860"/>
        <v>AE - AGGIORNAMENTI SEZIONE APPROFONDIMENTI NEFRO IT-NPR-2500150</v>
      </c>
      <c r="M10954" s="10" t="str">
        <f t="shared" si="861"/>
        <v>giada.camassa@outsuka.it</v>
      </c>
      <c r="N10954" s="13">
        <v>46190.337893518517</v>
      </c>
      <c r="O10954" s="14" t="str">
        <f>HYPERLINK("https://otsuka-europe-crm.veevavault.com/ui/#object/email_activity__v/V8C00000003X527", "EN-002097770")</f>
        <v>EN-002097770</v>
      </c>
    </row>
    <row r="10955" spans="1:15" ht="16" x14ac:dyDescent="0.2">
      <c r="A10955" s="17" t="str">
        <f>HYPERLINK("https://otsuka-europe-crm.veevavault.com/ui/#object/account__v/V4TZ06G6O71SA38", "SARA BARBIERI")</f>
        <v>SARA BARBIERI</v>
      </c>
      <c r="B10955" s="17" t="str">
        <f t="shared" si="858"/>
        <v>IT</v>
      </c>
      <c r="C10955" s="20" t="s">
        <v>44</v>
      </c>
      <c r="D10955" s="21" t="str">
        <f t="shared" si="859"/>
        <v>AE - AGGIORNAMENTI SEZIONE APPROFONDIMENTI NEFRO IT-NPR-2500150</v>
      </c>
      <c r="E10955" s="22" t="str">
        <f>HYPERLINK("https://otsuka-europe-crm.veevavault.com/ui/#object/sent_email__v/VBL00000002U997", "SE-001436887")</f>
        <v>SE-001436887</v>
      </c>
      <c r="F10955" s="23">
        <v>46190.368842592594</v>
      </c>
      <c r="G10955" s="24">
        <v>1</v>
      </c>
      <c r="H10955" s="24">
        <v>2</v>
      </c>
      <c r="I10955" s="24">
        <v>1</v>
      </c>
      <c r="J10955" s="23">
        <v>46190.368842592594</v>
      </c>
      <c r="K10955" s="24">
        <v>1</v>
      </c>
      <c r="L10955" s="22" t="str">
        <f t="shared" si="860"/>
        <v>AE - AGGIORNAMENTI SEZIONE APPROFONDIMENTI NEFRO IT-NPR-2500150</v>
      </c>
      <c r="M10955" s="22" t="str">
        <f t="shared" si="861"/>
        <v>giada.camassa@outsuka.it</v>
      </c>
      <c r="N10955" s="23">
        <v>46190.337905092594</v>
      </c>
      <c r="O10955" s="14" t="str">
        <f>HYPERLINK("https://otsuka-europe-crm.veevavault.com/ui/#object/email_activity__v/V8C00000003W407", "EN-002097686")</f>
        <v>EN-002097686</v>
      </c>
    </row>
    <row r="10956" spans="1:15" ht="16" x14ac:dyDescent="0.2">
      <c r="A10956" s="18"/>
      <c r="B10956" s="18"/>
      <c r="C10956" s="18"/>
      <c r="D10956" s="18"/>
      <c r="E10956" s="18"/>
      <c r="F10956" s="18"/>
      <c r="G10956" s="18"/>
      <c r="H10956" s="18"/>
      <c r="I10956" s="18"/>
      <c r="J10956" s="18"/>
      <c r="K10956" s="18"/>
      <c r="L10956" s="18"/>
      <c r="M10956" s="18"/>
      <c r="N10956" s="18"/>
      <c r="O10956" s="14" t="str">
        <f>HYPERLINK("https://otsuka-europe-crm.veevavault.com/ui/#object/email_activity__v/V8C00000003W644", "EN-002098277")</f>
        <v>EN-002098277</v>
      </c>
    </row>
    <row r="10957" spans="1:15" ht="16" x14ac:dyDescent="0.2">
      <c r="A10957" s="18"/>
      <c r="B10957" s="18"/>
      <c r="C10957" s="18"/>
      <c r="D10957" s="18"/>
      <c r="E10957" s="18"/>
      <c r="F10957" s="18"/>
      <c r="G10957" s="18"/>
      <c r="H10957" s="18"/>
      <c r="I10957" s="18"/>
      <c r="J10957" s="18"/>
      <c r="K10957" s="18"/>
      <c r="L10957" s="18"/>
      <c r="M10957" s="18"/>
      <c r="N10957" s="18"/>
      <c r="O10957" s="14" t="str">
        <f>HYPERLINK("https://otsuka-europe-crm.veevavault.com/ui/#object/email_activity__v/V8C00000003X824", "EN-002098276")</f>
        <v>EN-002098276</v>
      </c>
    </row>
    <row r="10958" spans="1:15" ht="16" x14ac:dyDescent="0.2">
      <c r="A10958" s="19"/>
      <c r="B10958" s="19"/>
      <c r="C10958" s="19"/>
      <c r="D10958" s="19"/>
      <c r="E10958" s="19"/>
      <c r="F10958" s="19"/>
      <c r="G10958" s="19"/>
      <c r="H10958" s="19"/>
      <c r="I10958" s="19"/>
      <c r="J10958" s="19"/>
      <c r="K10958" s="19"/>
      <c r="L10958" s="19"/>
      <c r="M10958" s="19"/>
      <c r="N10958" s="19"/>
      <c r="O10958" s="14" t="str">
        <f>HYPERLINK("https://otsuka-europe-crm.veevavault.com/ui/#object/email_activity__v/V8C00000003X825", "EN-002098275")</f>
        <v>EN-002098275</v>
      </c>
    </row>
    <row r="10959" spans="1:15" ht="64" x14ac:dyDescent="0.2">
      <c r="A10959" s="7" t="str">
        <f>HYPERLINK("https://otsuka-europe-crm.veevavault.com/ui/#object/account__v/V4TZ06G6O71TLD0", "SEBASTIANO NESTOLA")</f>
        <v>SEBASTIANO NESTOLA</v>
      </c>
      <c r="B10959" s="7" t="str">
        <f t="shared" ref="B10959:B10975" si="862">HYPERLINK("https://otsuka-europe-crm.veevavault.com/ui/#object/vcountry__v/VENZ000004SONFQ", "IT")</f>
        <v>IT</v>
      </c>
      <c r="C10959" s="8" t="s">
        <v>44</v>
      </c>
      <c r="D10959" s="9" t="str">
        <f t="shared" ref="D10959:D10975" si="863">HYPERLINK("https://otsuka-europe-crm.veevavault.com/ui/#object/approved_document__v/V5O00000000G061", "AE - AGGIORNAMENTI SEZIONE APPROFONDIMENTI NEFRO IT-NPR-2500150")</f>
        <v>AE - AGGIORNAMENTI SEZIONE APPROFONDIMENTI NEFRO IT-NPR-2500150</v>
      </c>
      <c r="E10959" s="10" t="str">
        <f>HYPERLINK("https://otsuka-europe-crm.veevavault.com/ui/#object/sent_email__v/VBL00000002U998", "SE-001436888")</f>
        <v>SE-001436888</v>
      </c>
      <c r="F10959" s="11"/>
      <c r="G10959" s="12">
        <v>0</v>
      </c>
      <c r="H10959" s="12">
        <v>0</v>
      </c>
      <c r="I10959" s="12">
        <v>0</v>
      </c>
      <c r="J10959" s="11"/>
      <c r="K10959" s="12">
        <v>0</v>
      </c>
      <c r="L10959" s="10" t="str">
        <f t="shared" ref="L10959:L10975" si="864">HYPERLINK("https://otsuka-europe-crm.veevavault.com/ui/#object/approved_document__v/V5O00000000G061", "AE - AGGIORNAMENTI SEZIONE APPROFONDIMENTI NEFRO IT-NPR-2500150")</f>
        <v>AE - AGGIORNAMENTI SEZIONE APPROFONDIMENTI NEFRO IT-NPR-2500150</v>
      </c>
      <c r="M10959" s="10" t="str">
        <f t="shared" ref="M10959:M10975" si="865">HYPERLINK("mailto:giada.camassa@outsuka.it", "giada.camassa@outsuka.it")</f>
        <v>giada.camassa@outsuka.it</v>
      </c>
      <c r="N10959" s="13">
        <v>46190.337939814817</v>
      </c>
      <c r="O10959" s="14" t="str">
        <f>HYPERLINK("https://otsuka-europe-crm.veevavault.com/ui/#object/email_activity__v/V8C00000003X266", "EN-002097441")</f>
        <v>EN-002097441</v>
      </c>
    </row>
    <row r="10960" spans="1:15" ht="64" x14ac:dyDescent="0.2">
      <c r="A10960" s="7" t="str">
        <f>HYPERLINK("https://otsuka-europe-crm.veevavault.com/ui/#object/account__v/V4TZ025E83LJUQC", "SELENE LAUDICINA")</f>
        <v>SELENE LAUDICINA</v>
      </c>
      <c r="B10960" s="7" t="str">
        <f t="shared" si="862"/>
        <v>IT</v>
      </c>
      <c r="C10960" s="8" t="s">
        <v>44</v>
      </c>
      <c r="D10960" s="9" t="str">
        <f t="shared" si="863"/>
        <v>AE - AGGIORNAMENTI SEZIONE APPROFONDIMENTI NEFRO IT-NPR-2500150</v>
      </c>
      <c r="E10960" s="10" t="str">
        <f>HYPERLINK("https://otsuka-europe-crm.veevavault.com/ui/#object/sent_email__v/VBL00000002U999", "SE-001436889")</f>
        <v>SE-001436889</v>
      </c>
      <c r="F10960" s="11"/>
      <c r="G10960" s="12">
        <v>0</v>
      </c>
      <c r="H10960" s="12">
        <v>0</v>
      </c>
      <c r="I10960" s="12">
        <v>0</v>
      </c>
      <c r="J10960" s="11"/>
      <c r="K10960" s="12">
        <v>0</v>
      </c>
      <c r="L10960" s="10" t="str">
        <f t="shared" si="864"/>
        <v>AE - AGGIORNAMENTI SEZIONE APPROFONDIMENTI NEFRO IT-NPR-2500150</v>
      </c>
      <c r="M10960" s="10" t="str">
        <f t="shared" si="865"/>
        <v>giada.camassa@outsuka.it</v>
      </c>
      <c r="N10960" s="13">
        <v>46190.33798611111</v>
      </c>
      <c r="O10960" s="14" t="str">
        <f>HYPERLINK("https://otsuka-europe-crm.veevavault.com/ui/#object/email_activity__v/V8C00000003W611", "EN-002098223")</f>
        <v>EN-002098223</v>
      </c>
    </row>
    <row r="10961" spans="1:15" ht="64" x14ac:dyDescent="0.2">
      <c r="A10961" s="7" t="str">
        <f>HYPERLINK("https://otsuka-europe-crm.veevavault.com/ui/#object/account__v/V4TZ06G6O71VWFH", "SERENA BAINOTTI")</f>
        <v>SERENA BAINOTTI</v>
      </c>
      <c r="B10961" s="7" t="str">
        <f t="shared" si="862"/>
        <v>IT</v>
      </c>
      <c r="C10961" s="8" t="s">
        <v>44</v>
      </c>
      <c r="D10961" s="9" t="str">
        <f t="shared" si="863"/>
        <v>AE - AGGIORNAMENTI SEZIONE APPROFONDIMENTI NEFRO IT-NPR-2500150</v>
      </c>
      <c r="E10961" s="10" t="str">
        <f>HYPERLINK("https://otsuka-europe-crm.veevavault.com/ui/#object/sent_email__v/VBL00000002V001", "SE-001436890")</f>
        <v>SE-001436890</v>
      </c>
      <c r="F10961" s="11"/>
      <c r="G10961" s="12">
        <v>0</v>
      </c>
      <c r="H10961" s="12">
        <v>0</v>
      </c>
      <c r="I10961" s="12">
        <v>0</v>
      </c>
      <c r="J10961" s="11"/>
      <c r="K10961" s="12">
        <v>0</v>
      </c>
      <c r="L10961" s="10" t="str">
        <f t="shared" si="864"/>
        <v>AE - AGGIORNAMENTI SEZIONE APPROFONDIMENTI NEFRO IT-NPR-2500150</v>
      </c>
      <c r="M10961" s="10" t="str">
        <f t="shared" si="865"/>
        <v>giada.camassa@outsuka.it</v>
      </c>
      <c r="N10961" s="13">
        <v>46190.339641203704</v>
      </c>
      <c r="O10961" s="14" t="str">
        <f>HYPERLINK("https://otsuka-europe-crm.veevavault.com/ui/#object/email_activity__v/V8C00000003W580", "EN-002098119")</f>
        <v>EN-002098119</v>
      </c>
    </row>
    <row r="10962" spans="1:15" ht="64" x14ac:dyDescent="0.2">
      <c r="A10962" s="7" t="str">
        <f>HYPERLINK("https://otsuka-europe-crm.veevavault.com/ui/#object/account__v/V4TZ06G6O71SBFJ", "SERENA MARONI")</f>
        <v>SERENA MARONI</v>
      </c>
      <c r="B10962" s="7" t="str">
        <f t="shared" si="862"/>
        <v>IT</v>
      </c>
      <c r="C10962" s="8" t="s">
        <v>44</v>
      </c>
      <c r="D10962" s="9" t="str">
        <f t="shared" si="863"/>
        <v>AE - AGGIORNAMENTI SEZIONE APPROFONDIMENTI NEFRO IT-NPR-2500150</v>
      </c>
      <c r="E10962" s="10" t="str">
        <f>HYPERLINK("https://otsuka-europe-crm.veevavault.com/ui/#object/sent_email__v/VBL00000002V002", "SE-001436891")</f>
        <v>SE-001436891</v>
      </c>
      <c r="F10962" s="11"/>
      <c r="G10962" s="12">
        <v>0</v>
      </c>
      <c r="H10962" s="12">
        <v>0</v>
      </c>
      <c r="I10962" s="12">
        <v>0</v>
      </c>
      <c r="J10962" s="11"/>
      <c r="K10962" s="12">
        <v>0</v>
      </c>
      <c r="L10962" s="10" t="str">
        <f t="shared" si="864"/>
        <v>AE - AGGIORNAMENTI SEZIONE APPROFONDIMENTI NEFRO IT-NPR-2500150</v>
      </c>
      <c r="M10962" s="10" t="str">
        <f t="shared" si="865"/>
        <v>giada.camassa@outsuka.it</v>
      </c>
      <c r="N10962" s="13">
        <v>46190.338460648149</v>
      </c>
      <c r="O10962" s="14" t="str">
        <f>HYPERLINK("https://otsuka-europe-crm.veevavault.com/ui/#object/email_activity__v/V8C00000003X610", "EN-002097931")</f>
        <v>EN-002097931</v>
      </c>
    </row>
    <row r="10963" spans="1:15" ht="64" x14ac:dyDescent="0.2">
      <c r="A10963" s="7" t="str">
        <f>HYPERLINK("https://otsuka-europe-crm.veevavault.com/ui/#object/account__v/V4TZ06G6O71SA2S", "SILVANA BARANELLO")</f>
        <v>SILVANA BARANELLO</v>
      </c>
      <c r="B10963" s="7" t="str">
        <f t="shared" si="862"/>
        <v>IT</v>
      </c>
      <c r="C10963" s="8" t="s">
        <v>44</v>
      </c>
      <c r="D10963" s="9" t="str">
        <f t="shared" si="863"/>
        <v>AE - AGGIORNAMENTI SEZIONE APPROFONDIMENTI NEFRO IT-NPR-2500150</v>
      </c>
      <c r="E10963" s="10" t="str">
        <f>HYPERLINK("https://otsuka-europe-crm.veevavault.com/ui/#object/sent_email__v/VBL00000002V003", "SE-001436892")</f>
        <v>SE-001436892</v>
      </c>
      <c r="F10963" s="11"/>
      <c r="G10963" s="12">
        <v>0</v>
      </c>
      <c r="H10963" s="12">
        <v>0</v>
      </c>
      <c r="I10963" s="12">
        <v>0</v>
      </c>
      <c r="J10963" s="11"/>
      <c r="K10963" s="12">
        <v>0</v>
      </c>
      <c r="L10963" s="10" t="str">
        <f t="shared" si="864"/>
        <v>AE - AGGIORNAMENTI SEZIONE APPROFONDIMENTI NEFRO IT-NPR-2500150</v>
      </c>
      <c r="M10963" s="10" t="str">
        <f t="shared" si="865"/>
        <v>giada.camassa@outsuka.it</v>
      </c>
      <c r="N10963" s="13">
        <v>46190.337939814817</v>
      </c>
      <c r="O10963" s="14" t="str">
        <f>HYPERLINK("https://otsuka-europe-crm.veevavault.com/ui/#object/email_activity__v/V8C00000003X484", "EN-002097683")</f>
        <v>EN-002097683</v>
      </c>
    </row>
    <row r="10964" spans="1:15" ht="64" x14ac:dyDescent="0.2">
      <c r="A10964" s="7" t="str">
        <f>HYPERLINK("https://otsuka-europe-crm.veevavault.com/ui/#object/account__v/V4TZ06G6O71SCBX", "SILVANA SAVOLDI")</f>
        <v>SILVANA SAVOLDI</v>
      </c>
      <c r="B10964" s="7" t="str">
        <f t="shared" si="862"/>
        <v>IT</v>
      </c>
      <c r="C10964" s="8" t="s">
        <v>44</v>
      </c>
      <c r="D10964" s="9" t="str">
        <f t="shared" si="863"/>
        <v>AE - AGGIORNAMENTI SEZIONE APPROFONDIMENTI NEFRO IT-NPR-2500150</v>
      </c>
      <c r="E10964" s="10" t="str">
        <f>HYPERLINK("https://otsuka-europe-crm.veevavault.com/ui/#object/sent_email__v/VBL00000002V004", "SE-001436893")</f>
        <v>SE-001436893</v>
      </c>
      <c r="F10964" s="11"/>
      <c r="G10964" s="12">
        <v>0</v>
      </c>
      <c r="H10964" s="12">
        <v>0</v>
      </c>
      <c r="I10964" s="12">
        <v>0</v>
      </c>
      <c r="J10964" s="11"/>
      <c r="K10964" s="12">
        <v>0</v>
      </c>
      <c r="L10964" s="10" t="str">
        <f t="shared" si="864"/>
        <v>AE - AGGIORNAMENTI SEZIONE APPROFONDIMENTI NEFRO IT-NPR-2500150</v>
      </c>
      <c r="M10964" s="10" t="str">
        <f t="shared" si="865"/>
        <v>giada.camassa@outsuka.it</v>
      </c>
      <c r="N10964" s="13">
        <v>46190.338020833333</v>
      </c>
      <c r="O10964" s="14" t="str">
        <f>HYPERLINK("https://otsuka-europe-crm.veevavault.com/ui/#object/email_activity__v/V8C00000003X317", "EN-002097514")</f>
        <v>EN-002097514</v>
      </c>
    </row>
    <row r="10965" spans="1:15" ht="64" x14ac:dyDescent="0.2">
      <c r="A10965" s="7" t="str">
        <f>HYPERLINK("https://otsuka-europe-crm.veevavault.com/ui/#object/account__v/V4TZ06G6O71S9UB", "SILVIA BARBARINI")</f>
        <v>SILVIA BARBARINI</v>
      </c>
      <c r="B10965" s="7" t="str">
        <f t="shared" si="862"/>
        <v>IT</v>
      </c>
      <c r="C10965" s="8" t="s">
        <v>44</v>
      </c>
      <c r="D10965" s="9" t="str">
        <f t="shared" si="863"/>
        <v>AE - AGGIORNAMENTI SEZIONE APPROFONDIMENTI NEFRO IT-NPR-2500150</v>
      </c>
      <c r="E10965" s="10" t="str">
        <f>HYPERLINK("https://otsuka-europe-crm.veevavault.com/ui/#object/sent_email__v/VBL00000002V005", "SE-001436894")</f>
        <v>SE-001436894</v>
      </c>
      <c r="F10965" s="11"/>
      <c r="G10965" s="12">
        <v>0</v>
      </c>
      <c r="H10965" s="12">
        <v>0</v>
      </c>
      <c r="I10965" s="12">
        <v>0</v>
      </c>
      <c r="J10965" s="11"/>
      <c r="K10965" s="12">
        <v>0</v>
      </c>
      <c r="L10965" s="10" t="str">
        <f t="shared" si="864"/>
        <v>AE - AGGIORNAMENTI SEZIONE APPROFONDIMENTI NEFRO IT-NPR-2500150</v>
      </c>
      <c r="M10965" s="10" t="str">
        <f t="shared" si="865"/>
        <v>giada.camassa@outsuka.it</v>
      </c>
      <c r="N10965" s="13">
        <v>46190.33797453704</v>
      </c>
      <c r="O10965" s="14" t="str">
        <f>HYPERLINK("https://otsuka-europe-crm.veevavault.com/ui/#object/email_activity__v/V8C00000003W406", "EN-002097568")</f>
        <v>EN-002097568</v>
      </c>
    </row>
    <row r="10966" spans="1:15" ht="64" x14ac:dyDescent="0.2">
      <c r="A10966" s="7" t="str">
        <f>HYPERLINK("https://otsuka-europe-crm.veevavault.com/ui/#object/account__v/V4TZ04ASGC2H52D", "SILVIA BERUTTI")</f>
        <v>SILVIA BERUTTI</v>
      </c>
      <c r="B10966" s="7" t="str">
        <f t="shared" si="862"/>
        <v>IT</v>
      </c>
      <c r="C10966" s="8" t="s">
        <v>44</v>
      </c>
      <c r="D10966" s="9" t="str">
        <f t="shared" si="863"/>
        <v>AE - AGGIORNAMENTI SEZIONE APPROFONDIMENTI NEFRO IT-NPR-2500150</v>
      </c>
      <c r="E10966" s="10" t="str">
        <f>HYPERLINK("https://otsuka-europe-crm.veevavault.com/ui/#object/sent_email__v/VBL00000002V006", "SE-001436895")</f>
        <v>SE-001436895</v>
      </c>
      <c r="F10966" s="11"/>
      <c r="G10966" s="12">
        <v>0</v>
      </c>
      <c r="H10966" s="12">
        <v>0</v>
      </c>
      <c r="I10966" s="12">
        <v>0</v>
      </c>
      <c r="J10966" s="11"/>
      <c r="K10966" s="12">
        <v>0</v>
      </c>
      <c r="L10966" s="10" t="str">
        <f t="shared" si="864"/>
        <v>AE - AGGIORNAMENTI SEZIONE APPROFONDIMENTI NEFRO IT-NPR-2500150</v>
      </c>
      <c r="M10966" s="10" t="str">
        <f t="shared" si="865"/>
        <v>giada.camassa@outsuka.it</v>
      </c>
      <c r="N10966" s="13">
        <v>46190.338136574072</v>
      </c>
      <c r="O10966" s="14" t="str">
        <f>HYPERLINK("https://otsuka-europe-crm.veevavault.com/ui/#object/email_activity__v/V8C00000003X557", "EN-002097853")</f>
        <v>EN-002097853</v>
      </c>
    </row>
    <row r="10967" spans="1:15" ht="64" x14ac:dyDescent="0.2">
      <c r="A10967" s="7" t="str">
        <f>HYPERLINK("https://otsuka-europe-crm.veevavault.com/ui/#object/account__v/V4TZ06G6O71S9SG", "SILVIA DIAN")</f>
        <v>SILVIA DIAN</v>
      </c>
      <c r="B10967" s="7" t="str">
        <f t="shared" si="862"/>
        <v>IT</v>
      </c>
      <c r="C10967" s="8" t="s">
        <v>44</v>
      </c>
      <c r="D10967" s="9" t="str">
        <f t="shared" si="863"/>
        <v>AE - AGGIORNAMENTI SEZIONE APPROFONDIMENTI NEFRO IT-NPR-2500150</v>
      </c>
      <c r="E10967" s="10" t="str">
        <f>HYPERLINK("https://otsuka-europe-crm.veevavault.com/ui/#object/sent_email__v/VBL00000002V007", "SE-001436896")</f>
        <v>SE-001436896</v>
      </c>
      <c r="F10967" s="11"/>
      <c r="G10967" s="12">
        <v>0</v>
      </c>
      <c r="H10967" s="12">
        <v>0</v>
      </c>
      <c r="I10967" s="12">
        <v>0</v>
      </c>
      <c r="J10967" s="11"/>
      <c r="K10967" s="12">
        <v>0</v>
      </c>
      <c r="L10967" s="10" t="str">
        <f t="shared" si="864"/>
        <v>AE - AGGIORNAMENTI SEZIONE APPROFONDIMENTI NEFRO IT-NPR-2500150</v>
      </c>
      <c r="M10967" s="10" t="str">
        <f t="shared" si="865"/>
        <v>giada.camassa@outsuka.it</v>
      </c>
      <c r="N10967" s="13">
        <v>46190.339641203704</v>
      </c>
      <c r="O10967" s="14" t="str">
        <f>HYPERLINK("https://otsuka-europe-crm.veevavault.com/ui/#object/email_activity__v/V8C00000003W588", "EN-002098130")</f>
        <v>EN-002098130</v>
      </c>
    </row>
    <row r="10968" spans="1:15" ht="64" x14ac:dyDescent="0.2">
      <c r="A10968" s="7" t="str">
        <f>HYPERLINK("https://otsuka-europe-crm.veevavault.com/ui/#object/account__v/V4TZ06G6O71SB5H", "SILVIA LAI")</f>
        <v>SILVIA LAI</v>
      </c>
      <c r="B10968" s="7" t="str">
        <f t="shared" si="862"/>
        <v>IT</v>
      </c>
      <c r="C10968" s="8" t="s">
        <v>44</v>
      </c>
      <c r="D10968" s="9" t="str">
        <f t="shared" si="863"/>
        <v>AE - AGGIORNAMENTI SEZIONE APPROFONDIMENTI NEFRO IT-NPR-2500150</v>
      </c>
      <c r="E10968" s="10" t="str">
        <f>HYPERLINK("https://otsuka-europe-crm.veevavault.com/ui/#object/sent_email__v/VBL00000002V008", "SE-001436897")</f>
        <v>SE-001436897</v>
      </c>
      <c r="F10968" s="11"/>
      <c r="G10968" s="12">
        <v>0</v>
      </c>
      <c r="H10968" s="12">
        <v>0</v>
      </c>
      <c r="I10968" s="12">
        <v>0</v>
      </c>
      <c r="J10968" s="11"/>
      <c r="K10968" s="12">
        <v>0</v>
      </c>
      <c r="L10968" s="10" t="str">
        <f t="shared" si="864"/>
        <v>AE - AGGIORNAMENTI SEZIONE APPROFONDIMENTI NEFRO IT-NPR-2500150</v>
      </c>
      <c r="M10968" s="10" t="str">
        <f t="shared" si="865"/>
        <v>giada.camassa@outsuka.it</v>
      </c>
      <c r="N10968" s="13">
        <v>46190.337881944448</v>
      </c>
      <c r="O10968" s="14" t="str">
        <f>HYPERLINK("https://otsuka-europe-crm.veevavault.com/ui/#object/email_activity__v/V8C00000003W374", "EN-002097464")</f>
        <v>EN-002097464</v>
      </c>
    </row>
    <row r="10969" spans="1:15" ht="64" x14ac:dyDescent="0.2">
      <c r="A10969" s="7" t="str">
        <f>HYPERLINK("https://otsuka-europe-crm.veevavault.com/ui/#object/account__v/V4TZ06G6O71S9RT", "SONIA CELENTANO")</f>
        <v>SONIA CELENTANO</v>
      </c>
      <c r="B10969" s="7" t="str">
        <f t="shared" si="862"/>
        <v>IT</v>
      </c>
      <c r="C10969" s="8" t="s">
        <v>44</v>
      </c>
      <c r="D10969" s="9" t="str">
        <f t="shared" si="863"/>
        <v>AE - AGGIORNAMENTI SEZIONE APPROFONDIMENTI NEFRO IT-NPR-2500150</v>
      </c>
      <c r="E10969" s="10" t="str">
        <f>HYPERLINK("https://otsuka-europe-crm.veevavault.com/ui/#object/sent_email__v/VBL00000002V009", "SE-001436898")</f>
        <v>SE-001436898</v>
      </c>
      <c r="F10969" s="11"/>
      <c r="G10969" s="12">
        <v>0</v>
      </c>
      <c r="H10969" s="12">
        <v>0</v>
      </c>
      <c r="I10969" s="12">
        <v>0</v>
      </c>
      <c r="J10969" s="11"/>
      <c r="K10969" s="12">
        <v>0</v>
      </c>
      <c r="L10969" s="10" t="str">
        <f t="shared" si="864"/>
        <v>AE - AGGIORNAMENTI SEZIONE APPROFONDIMENTI NEFRO IT-NPR-2500150</v>
      </c>
      <c r="M10969" s="10" t="str">
        <f t="shared" si="865"/>
        <v>giada.camassa@outsuka.it</v>
      </c>
      <c r="N10969" s="13">
        <v>46190.339548611111</v>
      </c>
      <c r="O10969" s="14" t="str">
        <f>HYPERLINK("https://otsuka-europe-crm.veevavault.com/ui/#object/email_activity__v/V8C00000003W569", "EN-002098090")</f>
        <v>EN-002098090</v>
      </c>
    </row>
    <row r="10970" spans="1:15" ht="64" x14ac:dyDescent="0.2">
      <c r="A10970" s="7" t="str">
        <f>HYPERLINK("https://otsuka-europe-crm.veevavault.com/ui/#object/account__v/V4TZ04ASGBCDNUS", "STEFANIA AFFATATO")</f>
        <v>STEFANIA AFFATATO</v>
      </c>
      <c r="B10970" s="7" t="str">
        <f t="shared" si="862"/>
        <v>IT</v>
      </c>
      <c r="C10970" s="8" t="s">
        <v>44</v>
      </c>
      <c r="D10970" s="9" t="str">
        <f t="shared" si="863"/>
        <v>AE - AGGIORNAMENTI SEZIONE APPROFONDIMENTI NEFRO IT-NPR-2500150</v>
      </c>
      <c r="E10970" s="10" t="str">
        <f>HYPERLINK("https://otsuka-europe-crm.veevavault.com/ui/#object/sent_email__v/VBL00000002V010", "SE-001436899")</f>
        <v>SE-001436899</v>
      </c>
      <c r="F10970" s="11"/>
      <c r="G10970" s="12">
        <v>0</v>
      </c>
      <c r="H10970" s="12">
        <v>0</v>
      </c>
      <c r="I10970" s="12">
        <v>0</v>
      </c>
      <c r="J10970" s="11"/>
      <c r="K10970" s="12">
        <v>0</v>
      </c>
      <c r="L10970" s="10" t="str">
        <f t="shared" si="864"/>
        <v>AE - AGGIORNAMENTI SEZIONE APPROFONDIMENTI NEFRO IT-NPR-2500150</v>
      </c>
      <c r="M10970" s="10" t="str">
        <f t="shared" si="865"/>
        <v>giada.camassa@outsuka.it</v>
      </c>
      <c r="N10970" s="13">
        <v>46190.338807870372</v>
      </c>
      <c r="O10970" s="14" t="str">
        <f>HYPERLINK("https://otsuka-europe-crm.veevavault.com/ui/#object/email_activity__v/V8C00000003X648", "EN-002097981")</f>
        <v>EN-002097981</v>
      </c>
    </row>
    <row r="10971" spans="1:15" ht="64" x14ac:dyDescent="0.2">
      <c r="A10971" s="7" t="str">
        <f>HYPERLINK("https://otsuka-europe-crm.veevavault.com/ui/#object/account__v/V4TZ06G6O71SAU1", "STEFANIA GIBERTI")</f>
        <v>STEFANIA GIBERTI</v>
      </c>
      <c r="B10971" s="7" t="str">
        <f t="shared" si="862"/>
        <v>IT</v>
      </c>
      <c r="C10971" s="8" t="s">
        <v>44</v>
      </c>
      <c r="D10971" s="9" t="str">
        <f t="shared" si="863"/>
        <v>AE - AGGIORNAMENTI SEZIONE APPROFONDIMENTI NEFRO IT-NPR-2500150</v>
      </c>
      <c r="E10971" s="10" t="str">
        <f>HYPERLINK("https://otsuka-europe-crm.veevavault.com/ui/#object/sent_email__v/VBL00000002V011", "SE-001436900")</f>
        <v>SE-001436900</v>
      </c>
      <c r="F10971" s="11"/>
      <c r="G10971" s="12">
        <v>0</v>
      </c>
      <c r="H10971" s="12">
        <v>0</v>
      </c>
      <c r="I10971" s="12">
        <v>0</v>
      </c>
      <c r="J10971" s="11"/>
      <c r="K10971" s="12">
        <v>0</v>
      </c>
      <c r="L10971" s="10" t="str">
        <f t="shared" si="864"/>
        <v>AE - AGGIORNAMENTI SEZIONE APPROFONDIMENTI NEFRO IT-NPR-2500150</v>
      </c>
      <c r="M10971" s="10" t="str">
        <f t="shared" si="865"/>
        <v>giada.camassa@outsuka.it</v>
      </c>
      <c r="N10971" s="13">
        <v>46190.33798611111</v>
      </c>
      <c r="O10971" s="14" t="str">
        <f>HYPERLINK("https://otsuka-europe-crm.veevavault.com/ui/#object/email_activity__v/V8C00000003X428", "EN-002097623")</f>
        <v>EN-002097623</v>
      </c>
    </row>
    <row r="10972" spans="1:15" ht="64" x14ac:dyDescent="0.2">
      <c r="A10972" s="7" t="str">
        <f>HYPERLINK("https://otsuka-europe-crm.veevavault.com/ui/#object/account__v/V4TZ06G6O71SC5D", "STEFANIA ROVITO")</f>
        <v>STEFANIA ROVITO</v>
      </c>
      <c r="B10972" s="7" t="str">
        <f t="shared" si="862"/>
        <v>IT</v>
      </c>
      <c r="C10972" s="8" t="s">
        <v>44</v>
      </c>
      <c r="D10972" s="9" t="str">
        <f t="shared" si="863"/>
        <v>AE - AGGIORNAMENTI SEZIONE APPROFONDIMENTI NEFRO IT-NPR-2500150</v>
      </c>
      <c r="E10972" s="10" t="str">
        <f>HYPERLINK("https://otsuka-europe-crm.veevavault.com/ui/#object/sent_email__v/VBL00000002V012", "SE-001436901")</f>
        <v>SE-001436901</v>
      </c>
      <c r="F10972" s="11"/>
      <c r="G10972" s="12">
        <v>0</v>
      </c>
      <c r="H10972" s="12">
        <v>0</v>
      </c>
      <c r="I10972" s="12">
        <v>0</v>
      </c>
      <c r="J10972" s="11"/>
      <c r="K10972" s="12">
        <v>0</v>
      </c>
      <c r="L10972" s="10" t="str">
        <f t="shared" si="864"/>
        <v>AE - AGGIORNAMENTI SEZIONE APPROFONDIMENTI NEFRO IT-NPR-2500150</v>
      </c>
      <c r="M10972" s="10" t="str">
        <f t="shared" si="865"/>
        <v>giada.camassa@outsuka.it</v>
      </c>
      <c r="N10972" s="13">
        <v>46190.338067129633</v>
      </c>
      <c r="O10972" s="14" t="str">
        <f>HYPERLINK("https://otsuka-europe-crm.veevavault.com/ui/#object/email_activity__v/V8C00000003W433", "EN-002097717")</f>
        <v>EN-002097717</v>
      </c>
    </row>
    <row r="10973" spans="1:15" ht="64" x14ac:dyDescent="0.2">
      <c r="A10973" s="7" t="str">
        <f>HYPERLINK("https://otsuka-europe-crm.veevavault.com/ui/#object/account__v/V4TZ06G6O71SCEU", "STEFANIA SCOGNAMIGLIO")</f>
        <v>STEFANIA SCOGNAMIGLIO</v>
      </c>
      <c r="B10973" s="7" t="str">
        <f t="shared" si="862"/>
        <v>IT</v>
      </c>
      <c r="C10973" s="8" t="s">
        <v>44</v>
      </c>
      <c r="D10973" s="9" t="str">
        <f t="shared" si="863"/>
        <v>AE - AGGIORNAMENTI SEZIONE APPROFONDIMENTI NEFRO IT-NPR-2500150</v>
      </c>
      <c r="E10973" s="10" t="str">
        <f>HYPERLINK("https://otsuka-europe-crm.veevavault.com/ui/#object/sent_email__v/VBL00000002V013", "SE-001436902")</f>
        <v>SE-001436902</v>
      </c>
      <c r="F10973" s="11"/>
      <c r="G10973" s="12">
        <v>0</v>
      </c>
      <c r="H10973" s="12">
        <v>0</v>
      </c>
      <c r="I10973" s="12">
        <v>0</v>
      </c>
      <c r="J10973" s="11"/>
      <c r="K10973" s="12">
        <v>0</v>
      </c>
      <c r="L10973" s="10" t="str">
        <f t="shared" si="864"/>
        <v>AE - AGGIORNAMENTI SEZIONE APPROFONDIMENTI NEFRO IT-NPR-2500150</v>
      </c>
      <c r="M10973" s="10" t="str">
        <f t="shared" si="865"/>
        <v>giada.camassa@outsuka.it</v>
      </c>
      <c r="N10973" s="13">
        <v>46190.33865740741</v>
      </c>
      <c r="O10973" s="14" t="str">
        <f>HYPERLINK("https://otsuka-europe-crm.veevavault.com/ui/#object/email_activity__v/V8C00000003X646", "EN-002097979")</f>
        <v>EN-002097979</v>
      </c>
    </row>
    <row r="10974" spans="1:15" ht="64" x14ac:dyDescent="0.2">
      <c r="A10974" s="7" t="str">
        <f>HYPERLINK("https://otsuka-europe-crm.veevavault.com/ui/#object/account__v/V4TZ06G6O71SB3L", "STEFANO COSTANTINI")</f>
        <v>STEFANO COSTANTINI</v>
      </c>
      <c r="B10974" s="7" t="str">
        <f t="shared" si="862"/>
        <v>IT</v>
      </c>
      <c r="C10974" s="8" t="s">
        <v>44</v>
      </c>
      <c r="D10974" s="9" t="str">
        <f t="shared" si="863"/>
        <v>AE - AGGIORNAMENTI SEZIONE APPROFONDIMENTI NEFRO IT-NPR-2500150</v>
      </c>
      <c r="E10974" s="10" t="str">
        <f>HYPERLINK("https://otsuka-europe-crm.veevavault.com/ui/#object/sent_email__v/VBL00000002V014", "SE-001436903")</f>
        <v>SE-001436903</v>
      </c>
      <c r="F10974" s="11"/>
      <c r="G10974" s="12">
        <v>0</v>
      </c>
      <c r="H10974" s="12">
        <v>0</v>
      </c>
      <c r="I10974" s="12">
        <v>0</v>
      </c>
      <c r="J10974" s="11"/>
      <c r="K10974" s="12">
        <v>0</v>
      </c>
      <c r="L10974" s="10" t="str">
        <f t="shared" si="864"/>
        <v>AE - AGGIORNAMENTI SEZIONE APPROFONDIMENTI NEFRO IT-NPR-2500150</v>
      </c>
      <c r="M10974" s="10" t="str">
        <f t="shared" si="865"/>
        <v>giada.camassa@outsuka.it</v>
      </c>
      <c r="N10974" s="13">
        <v>46190.33797453704</v>
      </c>
      <c r="O10974" s="14" t="str">
        <f>HYPERLINK("https://otsuka-europe-crm.veevavault.com/ui/#object/email_activity__v/V8C00000003X425", "EN-002097620")</f>
        <v>EN-002097620</v>
      </c>
    </row>
    <row r="10975" spans="1:15" ht="16" x14ac:dyDescent="0.2">
      <c r="A10975" s="17" t="str">
        <f>HYPERLINK("https://otsuka-europe-crm.veevavault.com/ui/#object/account__v/V4TZ04ASGBNYI4K", "STEFANO COSTANZI")</f>
        <v>STEFANO COSTANZI</v>
      </c>
      <c r="B10975" s="17" t="str">
        <f t="shared" si="862"/>
        <v>IT</v>
      </c>
      <c r="C10975" s="20" t="s">
        <v>44</v>
      </c>
      <c r="D10975" s="21" t="str">
        <f t="shared" si="863"/>
        <v>AE - AGGIORNAMENTI SEZIONE APPROFONDIMENTI NEFRO IT-NPR-2500150</v>
      </c>
      <c r="E10975" s="22" t="str">
        <f>HYPERLINK("https://otsuka-europe-crm.veevavault.com/ui/#object/sent_email__v/VBL00000002V015", "SE-001436904")</f>
        <v>SE-001436904</v>
      </c>
      <c r="F10975" s="23">
        <v>46190.338078703702</v>
      </c>
      <c r="G10975" s="24">
        <v>1</v>
      </c>
      <c r="H10975" s="24">
        <v>1</v>
      </c>
      <c r="I10975" s="24">
        <v>0</v>
      </c>
      <c r="J10975" s="25"/>
      <c r="K10975" s="24">
        <v>0</v>
      </c>
      <c r="L10975" s="22" t="str">
        <f t="shared" si="864"/>
        <v>AE - AGGIORNAMENTI SEZIONE APPROFONDIMENTI NEFRO IT-NPR-2500150</v>
      </c>
      <c r="M10975" s="22" t="str">
        <f t="shared" si="865"/>
        <v>giada.camassa@outsuka.it</v>
      </c>
      <c r="N10975" s="23">
        <v>46190.337905092594</v>
      </c>
      <c r="O10975" s="14" t="str">
        <f>HYPERLINK("https://otsuka-europe-crm.veevavault.com/ui/#object/email_activity__v/V8C00000003W394", "EN-002097556")</f>
        <v>EN-002097556</v>
      </c>
    </row>
    <row r="10976" spans="1:15" ht="16" x14ac:dyDescent="0.2">
      <c r="A10976" s="19"/>
      <c r="B10976" s="19"/>
      <c r="C10976" s="19"/>
      <c r="D10976" s="19"/>
      <c r="E10976" s="19"/>
      <c r="F10976" s="19"/>
      <c r="G10976" s="19"/>
      <c r="H10976" s="19"/>
      <c r="I10976" s="19"/>
      <c r="J10976" s="19"/>
      <c r="K10976" s="19"/>
      <c r="L10976" s="19"/>
      <c r="M10976" s="19"/>
      <c r="N10976" s="19"/>
      <c r="O10976" s="14" t="str">
        <f>HYPERLINK("https://otsuka-europe-crm.veevavault.com/ui/#object/email_activity__v/V8C00000003W468", "EN-002097806")</f>
        <v>EN-002097806</v>
      </c>
    </row>
    <row r="10977" spans="1:15" ht="64" x14ac:dyDescent="0.2">
      <c r="A10977" s="7" t="str">
        <f>HYPERLINK("https://otsuka-europe-crm.veevavault.com/ui/#object/account__v/V4TZ025E83LVKEU", "STEFANO MICHELASSI")</f>
        <v>STEFANO MICHELASSI</v>
      </c>
      <c r="B10977" s="7" t="str">
        <f t="shared" ref="B10977:B10984" si="866">HYPERLINK("https://otsuka-europe-crm.veevavault.com/ui/#object/vcountry__v/VENZ000004SONFQ", "IT")</f>
        <v>IT</v>
      </c>
      <c r="C10977" s="8" t="s">
        <v>44</v>
      </c>
      <c r="D10977" s="9" t="str">
        <f t="shared" ref="D10977:D10984" si="867">HYPERLINK("https://otsuka-europe-crm.veevavault.com/ui/#object/approved_document__v/V5O00000000G061", "AE - AGGIORNAMENTI SEZIONE APPROFONDIMENTI NEFRO IT-NPR-2500150")</f>
        <v>AE - AGGIORNAMENTI SEZIONE APPROFONDIMENTI NEFRO IT-NPR-2500150</v>
      </c>
      <c r="E10977" s="10" t="str">
        <f>HYPERLINK("https://otsuka-europe-crm.veevavault.com/ui/#object/sent_email__v/VBL00000002V016", "SE-001436905")</f>
        <v>SE-001436905</v>
      </c>
      <c r="F10977" s="11"/>
      <c r="G10977" s="12">
        <v>0</v>
      </c>
      <c r="H10977" s="12">
        <v>0</v>
      </c>
      <c r="I10977" s="12">
        <v>0</v>
      </c>
      <c r="J10977" s="11"/>
      <c r="K10977" s="12">
        <v>0</v>
      </c>
      <c r="L10977" s="10" t="str">
        <f t="shared" ref="L10977:L10984" si="868">HYPERLINK("https://otsuka-europe-crm.veevavault.com/ui/#object/approved_document__v/V5O00000000G061", "AE - AGGIORNAMENTI SEZIONE APPROFONDIMENTI NEFRO IT-NPR-2500150")</f>
        <v>AE - AGGIORNAMENTI SEZIONE APPROFONDIMENTI NEFRO IT-NPR-2500150</v>
      </c>
      <c r="M10977" s="10" t="str">
        <f t="shared" ref="M10977:M10984" si="869">HYPERLINK("mailto:giada.camassa@outsuka.it", "giada.camassa@outsuka.it")</f>
        <v>giada.camassa@outsuka.it</v>
      </c>
      <c r="N10977" s="13">
        <v>46190.338009259256</v>
      </c>
      <c r="O10977" s="14" t="str">
        <f>HYPERLINK("https://otsuka-europe-crm.veevavault.com/ui/#object/email_activity__v/V8C00000003W612", "EN-002098227")</f>
        <v>EN-002098227</v>
      </c>
    </row>
    <row r="10978" spans="1:15" ht="64" x14ac:dyDescent="0.2">
      <c r="A10978" s="7" t="str">
        <f>HYPERLINK("https://otsuka-europe-crm.veevavault.com/ui/#object/account__v/V4TZ06G6O71SAX0", "SUSANNA CAMPO")</f>
        <v>SUSANNA CAMPO</v>
      </c>
      <c r="B10978" s="7" t="str">
        <f t="shared" si="866"/>
        <v>IT</v>
      </c>
      <c r="C10978" s="8" t="s">
        <v>44</v>
      </c>
      <c r="D10978" s="9" t="str">
        <f t="shared" si="867"/>
        <v>AE - AGGIORNAMENTI SEZIONE APPROFONDIMENTI NEFRO IT-NPR-2500150</v>
      </c>
      <c r="E10978" s="10" t="str">
        <f>HYPERLINK("https://otsuka-europe-crm.veevavault.com/ui/#object/sent_email__v/VBL00000002V017", "SE-001436906")</f>
        <v>SE-001436906</v>
      </c>
      <c r="F10978" s="11"/>
      <c r="G10978" s="12">
        <v>0</v>
      </c>
      <c r="H10978" s="12">
        <v>0</v>
      </c>
      <c r="I10978" s="12">
        <v>0</v>
      </c>
      <c r="J10978" s="11"/>
      <c r="K10978" s="12">
        <v>0</v>
      </c>
      <c r="L10978" s="10" t="str">
        <f t="shared" si="868"/>
        <v>AE - AGGIORNAMENTI SEZIONE APPROFONDIMENTI NEFRO IT-NPR-2500150</v>
      </c>
      <c r="M10978" s="10" t="str">
        <f t="shared" si="869"/>
        <v>giada.camassa@outsuka.it</v>
      </c>
      <c r="N10978" s="13">
        <v>46190.33792824074</v>
      </c>
      <c r="O10978" s="14" t="str">
        <f>HYPERLINK("https://otsuka-europe-crm.veevavault.com/ui/#object/email_activity__v/V8C00000003X373", "EN-002097551")</f>
        <v>EN-002097551</v>
      </c>
    </row>
    <row r="10979" spans="1:15" ht="64" x14ac:dyDescent="0.2">
      <c r="A10979" s="7" t="str">
        <f>HYPERLINK("https://otsuka-europe-crm.veevavault.com/ui/#object/account__v/V4TZ06G6O71SB1O", "TERESA CASUSCELLI DI TOCCO")</f>
        <v>TERESA CASUSCELLI DI TOCCO</v>
      </c>
      <c r="B10979" s="7" t="str">
        <f t="shared" si="866"/>
        <v>IT</v>
      </c>
      <c r="C10979" s="8" t="s">
        <v>44</v>
      </c>
      <c r="D10979" s="9" t="str">
        <f t="shared" si="867"/>
        <v>AE - AGGIORNAMENTI SEZIONE APPROFONDIMENTI NEFRO IT-NPR-2500150</v>
      </c>
      <c r="E10979" s="10" t="str">
        <f>HYPERLINK("https://otsuka-europe-crm.veevavault.com/ui/#object/sent_email__v/VBL00000002V018", "SE-001436907")</f>
        <v>SE-001436907</v>
      </c>
      <c r="F10979" s="11"/>
      <c r="G10979" s="12">
        <v>0</v>
      </c>
      <c r="H10979" s="12">
        <v>0</v>
      </c>
      <c r="I10979" s="12">
        <v>0</v>
      </c>
      <c r="J10979" s="11"/>
      <c r="K10979" s="12">
        <v>0</v>
      </c>
      <c r="L10979" s="10" t="str">
        <f t="shared" si="868"/>
        <v>AE - AGGIORNAMENTI SEZIONE APPROFONDIMENTI NEFRO IT-NPR-2500150</v>
      </c>
      <c r="M10979" s="10" t="str">
        <f t="shared" si="869"/>
        <v>giada.camassa@outsuka.it</v>
      </c>
      <c r="N10979" s="13">
        <v>46190.337916666664</v>
      </c>
      <c r="O10979" s="14" t="str">
        <f>HYPERLINK("https://otsuka-europe-crm.veevavault.com/ui/#object/email_activity__v/V8C00000003X499", "EN-002097742")</f>
        <v>EN-002097742</v>
      </c>
    </row>
    <row r="10980" spans="1:15" ht="64" x14ac:dyDescent="0.2">
      <c r="A10980" s="7" t="str">
        <f>HYPERLINK("https://otsuka-europe-crm.veevavault.com/ui/#object/account__v/V4TZ06G6O71SBU7", "TERESA PAPALIA")</f>
        <v>TERESA PAPALIA</v>
      </c>
      <c r="B10980" s="7" t="str">
        <f t="shared" si="866"/>
        <v>IT</v>
      </c>
      <c r="C10980" s="8" t="s">
        <v>44</v>
      </c>
      <c r="D10980" s="9" t="str">
        <f t="shared" si="867"/>
        <v>AE - AGGIORNAMENTI SEZIONE APPROFONDIMENTI NEFRO IT-NPR-2500150</v>
      </c>
      <c r="E10980" s="10" t="str">
        <f>HYPERLINK("https://otsuka-europe-crm.veevavault.com/ui/#object/sent_email__v/VBL00000002V019", "SE-001436908")</f>
        <v>SE-001436908</v>
      </c>
      <c r="F10980" s="11"/>
      <c r="G10980" s="12">
        <v>0</v>
      </c>
      <c r="H10980" s="12">
        <v>0</v>
      </c>
      <c r="I10980" s="12">
        <v>0</v>
      </c>
      <c r="J10980" s="11"/>
      <c r="K10980" s="12">
        <v>0</v>
      </c>
      <c r="L10980" s="10" t="str">
        <f t="shared" si="868"/>
        <v>AE - AGGIORNAMENTI SEZIONE APPROFONDIMENTI NEFRO IT-NPR-2500150</v>
      </c>
      <c r="M10980" s="10" t="str">
        <f t="shared" si="869"/>
        <v>giada.camassa@outsuka.it</v>
      </c>
      <c r="N10980" s="13">
        <v>46188.614432870374</v>
      </c>
      <c r="O10980" s="14" t="str">
        <f>HYPERLINK("https://otsuka-europe-crm.veevavault.com/ui/#object/email_activity__v/V8C00000003X592", "EN-002097899")</f>
        <v>EN-002097899</v>
      </c>
    </row>
    <row r="10981" spans="1:15" ht="64" x14ac:dyDescent="0.2">
      <c r="A10981" s="7" t="str">
        <f>HYPERLINK("https://otsuka-europe-crm.veevavault.com/ui/#object/account__v/V4TZ06G6O71SC1S", "TERESA RAMPINO")</f>
        <v>TERESA RAMPINO</v>
      </c>
      <c r="B10981" s="7" t="str">
        <f t="shared" si="866"/>
        <v>IT</v>
      </c>
      <c r="C10981" s="8" t="s">
        <v>44</v>
      </c>
      <c r="D10981" s="9" t="str">
        <f t="shared" si="867"/>
        <v>AE - AGGIORNAMENTI SEZIONE APPROFONDIMENTI NEFRO IT-NPR-2500150</v>
      </c>
      <c r="E10981" s="10" t="str">
        <f>HYPERLINK("https://otsuka-europe-crm.veevavault.com/ui/#object/sent_email__v/VBL00000002V020", "SE-001436909")</f>
        <v>SE-001436909</v>
      </c>
      <c r="F10981" s="11"/>
      <c r="G10981" s="12">
        <v>0</v>
      </c>
      <c r="H10981" s="12">
        <v>0</v>
      </c>
      <c r="I10981" s="12">
        <v>0</v>
      </c>
      <c r="J10981" s="11"/>
      <c r="K10981" s="12">
        <v>0</v>
      </c>
      <c r="L10981" s="10" t="str">
        <f t="shared" si="868"/>
        <v>AE - AGGIORNAMENTI SEZIONE APPROFONDIMENTI NEFRO IT-NPR-2500150</v>
      </c>
      <c r="M10981" s="10" t="str">
        <f t="shared" si="869"/>
        <v>giada.camassa@outsuka.it</v>
      </c>
      <c r="N10981" s="13">
        <v>46190.337881944448</v>
      </c>
      <c r="O10981" s="14" t="str">
        <f>HYPERLINK("https://otsuka-europe-crm.veevavault.com/ui/#object/email_activity__v/V8C00000003X353", "EN-002097531")</f>
        <v>EN-002097531</v>
      </c>
    </row>
    <row r="10982" spans="1:15" ht="64" x14ac:dyDescent="0.2">
      <c r="A10982" s="7" t="str">
        <f>HYPERLINK("https://otsuka-europe-crm.veevavault.com/ui/#object/account__v/V4TZ06G6O71SB50", "VALENTINA CONSIGLIO")</f>
        <v>VALENTINA CONSIGLIO</v>
      </c>
      <c r="B10982" s="7" t="str">
        <f t="shared" si="866"/>
        <v>IT</v>
      </c>
      <c r="C10982" s="8" t="s">
        <v>44</v>
      </c>
      <c r="D10982" s="9" t="str">
        <f t="shared" si="867"/>
        <v>AE - AGGIORNAMENTI SEZIONE APPROFONDIMENTI NEFRO IT-NPR-2500150</v>
      </c>
      <c r="E10982" s="10" t="str">
        <f>HYPERLINK("https://otsuka-europe-crm.veevavault.com/ui/#object/sent_email__v/VBL00000002V022", "SE-001436911")</f>
        <v>SE-001436911</v>
      </c>
      <c r="F10982" s="11"/>
      <c r="G10982" s="12">
        <v>0</v>
      </c>
      <c r="H10982" s="12">
        <v>0</v>
      </c>
      <c r="I10982" s="12">
        <v>0</v>
      </c>
      <c r="J10982" s="11"/>
      <c r="K10982" s="12">
        <v>0</v>
      </c>
      <c r="L10982" s="10" t="str">
        <f t="shared" si="868"/>
        <v>AE - AGGIORNAMENTI SEZIONE APPROFONDIMENTI NEFRO IT-NPR-2500150</v>
      </c>
      <c r="M10982" s="10" t="str">
        <f t="shared" si="869"/>
        <v>giada.camassa@outsuka.it</v>
      </c>
      <c r="N10982" s="13">
        <v>46190.33834490741</v>
      </c>
      <c r="O10982" s="14" t="str">
        <f>HYPERLINK("https://otsuka-europe-crm.veevavault.com/ui/#object/email_activity__v/V8C00000003W504", "EN-002097910")</f>
        <v>EN-002097910</v>
      </c>
    </row>
    <row r="10983" spans="1:15" ht="64" x14ac:dyDescent="0.2">
      <c r="A10983" s="7" t="str">
        <f>HYPERLINK("https://otsuka-europe-crm.veevavault.com/ui/#object/account__v/V4TZ06G6O71SBQQ", "VALENTINA PELLU")</f>
        <v>VALENTINA PELLU</v>
      </c>
      <c r="B10983" s="7" t="str">
        <f t="shared" si="866"/>
        <v>IT</v>
      </c>
      <c r="C10983" s="8" t="s">
        <v>44</v>
      </c>
      <c r="D10983" s="9" t="str">
        <f t="shared" si="867"/>
        <v>AE - AGGIORNAMENTI SEZIONE APPROFONDIMENTI NEFRO IT-NPR-2500150</v>
      </c>
      <c r="E10983" s="10" t="str">
        <f>HYPERLINK("https://otsuka-europe-crm.veevavault.com/ui/#object/sent_email__v/VBL00000002V023", "SE-001436912")</f>
        <v>SE-001436912</v>
      </c>
      <c r="F10983" s="11"/>
      <c r="G10983" s="12">
        <v>0</v>
      </c>
      <c r="H10983" s="12">
        <v>0</v>
      </c>
      <c r="I10983" s="12">
        <v>0</v>
      </c>
      <c r="J10983" s="11"/>
      <c r="K10983" s="12">
        <v>0</v>
      </c>
      <c r="L10983" s="10" t="str">
        <f t="shared" si="868"/>
        <v>AE - AGGIORNAMENTI SEZIONE APPROFONDIMENTI NEFRO IT-NPR-2500150</v>
      </c>
      <c r="M10983" s="10" t="str">
        <f t="shared" si="869"/>
        <v>giada.camassa@outsuka.it</v>
      </c>
      <c r="N10983" s="13">
        <v>46190.337881944448</v>
      </c>
      <c r="O10983" s="14" t="str">
        <f>HYPERLINK("https://otsuka-europe-crm.veevavault.com/ui/#object/email_activity__v/V8C00000003W363", "EN-002097420")</f>
        <v>EN-002097420</v>
      </c>
    </row>
    <row r="10984" spans="1:15" ht="16" x14ac:dyDescent="0.2">
      <c r="A10984" s="17" t="str">
        <f>HYPERLINK("https://otsuka-europe-crm.veevavault.com/ui/#object/account__v/V4TZ04ASG8JU5RM", "VALENTINA PIRAINA")</f>
        <v>VALENTINA PIRAINA</v>
      </c>
      <c r="B10984" s="17" t="str">
        <f t="shared" si="866"/>
        <v>IT</v>
      </c>
      <c r="C10984" s="20" t="s">
        <v>44</v>
      </c>
      <c r="D10984" s="21" t="str">
        <f t="shared" si="867"/>
        <v>AE - AGGIORNAMENTI SEZIONE APPROFONDIMENTI NEFRO IT-NPR-2500150</v>
      </c>
      <c r="E10984" s="22" t="str">
        <f>HYPERLINK("https://otsuka-europe-crm.veevavault.com/ui/#object/sent_email__v/VBL00000002V024", "SE-001436913")</f>
        <v>SE-001436913</v>
      </c>
      <c r="F10984" s="25"/>
      <c r="G10984" s="24">
        <v>0</v>
      </c>
      <c r="H10984" s="24">
        <v>0</v>
      </c>
      <c r="I10984" s="24">
        <v>0</v>
      </c>
      <c r="J10984" s="25"/>
      <c r="K10984" s="24">
        <v>0</v>
      </c>
      <c r="L10984" s="22" t="str">
        <f t="shared" si="868"/>
        <v>AE - AGGIORNAMENTI SEZIONE APPROFONDIMENTI NEFRO IT-NPR-2500150</v>
      </c>
      <c r="M10984" s="22" t="str">
        <f t="shared" si="869"/>
        <v>giada.camassa@outsuka.it</v>
      </c>
      <c r="N10984" s="23">
        <v>46190.33803240741</v>
      </c>
      <c r="O10984" s="14" t="str">
        <f>HYPERLINK("https://otsuka-europe-crm.veevavault.com/ui/#object/email_activity__v/V8C00000003W484", "EN-002097839")</f>
        <v>EN-002097839</v>
      </c>
    </row>
    <row r="10985" spans="1:15" ht="16" x14ac:dyDescent="0.2">
      <c r="A10985" s="18"/>
      <c r="B10985" s="18"/>
      <c r="C10985" s="18"/>
      <c r="D10985" s="18"/>
      <c r="E10985" s="18"/>
      <c r="F10985" s="18"/>
      <c r="G10985" s="18"/>
      <c r="H10985" s="18"/>
      <c r="I10985" s="18"/>
      <c r="J10985" s="18"/>
      <c r="K10985" s="18"/>
      <c r="L10985" s="18"/>
      <c r="M10985" s="18"/>
      <c r="N10985" s="18"/>
      <c r="O10985" s="14" t="str">
        <f>HYPERLINK("https://otsuka-europe-crm.veevavault.com/ui/#object/email_activity__v/V8C00000003X547", "EN-002097830")</f>
        <v>EN-002097830</v>
      </c>
    </row>
    <row r="10986" spans="1:15" ht="16" x14ac:dyDescent="0.2">
      <c r="A10986" s="19"/>
      <c r="B10986" s="19"/>
      <c r="C10986" s="19"/>
      <c r="D10986" s="19"/>
      <c r="E10986" s="19"/>
      <c r="F10986" s="19"/>
      <c r="G10986" s="19"/>
      <c r="H10986" s="19"/>
      <c r="I10986" s="19"/>
      <c r="J10986" s="19"/>
      <c r="K10986" s="19"/>
      <c r="L10986" s="19"/>
      <c r="M10986" s="19"/>
      <c r="N10986" s="19"/>
      <c r="O10986" s="14" t="str">
        <f>HYPERLINK("https://otsuka-europe-crm.veevavault.com/ui/#object/email_activity__v/V8C00000003Z011", "EN-002098674")</f>
        <v>EN-002098674</v>
      </c>
    </row>
    <row r="10987" spans="1:15" ht="16" x14ac:dyDescent="0.2">
      <c r="A10987" s="17" t="str">
        <f>HYPERLINK("https://otsuka-europe-crm.veevavault.com/ui/#object/account__v/V4TZ025E85T5EAQ", "VALENTINA VAIARELLO")</f>
        <v>VALENTINA VAIARELLO</v>
      </c>
      <c r="B10987" s="17" t="str">
        <f>HYPERLINK("https://otsuka-europe-crm.veevavault.com/ui/#object/vcountry__v/VENZ000004SONFQ", "IT")</f>
        <v>IT</v>
      </c>
      <c r="C10987" s="20" t="s">
        <v>44</v>
      </c>
      <c r="D10987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987" s="22" t="str">
        <f>HYPERLINK("https://otsuka-europe-crm.veevavault.com/ui/#object/sent_email__v/VBL00000002V025", "SE-001436914")</f>
        <v>SE-001436914</v>
      </c>
      <c r="F10987" s="23">
        <v>46190.340416666666</v>
      </c>
      <c r="G10987" s="24">
        <v>1</v>
      </c>
      <c r="H10987" s="24">
        <v>1</v>
      </c>
      <c r="I10987" s="24">
        <v>0</v>
      </c>
      <c r="J10987" s="25"/>
      <c r="K10987" s="24">
        <v>0</v>
      </c>
      <c r="L10987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987" s="22" t="str">
        <f>HYPERLINK("mailto:giada.camassa@outsuka.it", "giada.camassa@outsuka.it")</f>
        <v>giada.camassa@outsuka.it</v>
      </c>
      <c r="N10987" s="23">
        <v>46190.338865740741</v>
      </c>
      <c r="O10987" s="14" t="str">
        <f>HYPERLINK("https://otsuka-europe-crm.veevavault.com/ui/#object/email_activity__v/V8C00000003X651", "EN-002097985")</f>
        <v>EN-002097985</v>
      </c>
    </row>
    <row r="10988" spans="1:15" ht="16" x14ac:dyDescent="0.2">
      <c r="A10988" s="19"/>
      <c r="B10988" s="19"/>
      <c r="C10988" s="19"/>
      <c r="D10988" s="19"/>
      <c r="E10988" s="19"/>
      <c r="F10988" s="19"/>
      <c r="G10988" s="19"/>
      <c r="H10988" s="19"/>
      <c r="I10988" s="19"/>
      <c r="J10988" s="19"/>
      <c r="K10988" s="19"/>
      <c r="L10988" s="19"/>
      <c r="M10988" s="19"/>
      <c r="N10988" s="19"/>
      <c r="O10988" s="14" t="str">
        <f>HYPERLINK("https://otsuka-europe-crm.veevavault.com/ui/#object/email_activity__v/V8C00000003X792", "EN-002098205")</f>
        <v>EN-002098205</v>
      </c>
    </row>
    <row r="10989" spans="1:15" ht="16" x14ac:dyDescent="0.2">
      <c r="A10989" s="17" t="str">
        <f>HYPERLINK("https://otsuka-europe-crm.veevavault.com/ui/#object/account__v/V4TZ06G6O71S9TK", "VALERIA AIELLO")</f>
        <v>VALERIA AIELLO</v>
      </c>
      <c r="B10989" s="17" t="str">
        <f>HYPERLINK("https://otsuka-europe-crm.veevavault.com/ui/#object/vcountry__v/VENZ000004SONFQ", "IT")</f>
        <v>IT</v>
      </c>
      <c r="C10989" s="20" t="s">
        <v>44</v>
      </c>
      <c r="D10989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989" s="22" t="str">
        <f>HYPERLINK("https://otsuka-europe-crm.veevavault.com/ui/#object/sent_email__v/VBL00000002V026", "SE-001436915")</f>
        <v>SE-001436915</v>
      </c>
      <c r="F10989" s="23">
        <v>46190.339525462965</v>
      </c>
      <c r="G10989" s="24">
        <v>1</v>
      </c>
      <c r="H10989" s="24">
        <v>1</v>
      </c>
      <c r="I10989" s="24">
        <v>0</v>
      </c>
      <c r="J10989" s="25"/>
      <c r="K10989" s="24">
        <v>0</v>
      </c>
      <c r="L10989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989" s="22" t="str">
        <f>HYPERLINK("mailto:giada.camassa@outsuka.it", "giada.camassa@outsuka.it")</f>
        <v>giada.camassa@outsuka.it</v>
      </c>
      <c r="N10989" s="23">
        <v>46190.339282407411</v>
      </c>
      <c r="O10989" s="14" t="str">
        <f>HYPERLINK("https://otsuka-europe-crm.veevavault.com/ui/#object/email_activity__v/V8C00000003X692", "EN-002098053")</f>
        <v>EN-002098053</v>
      </c>
    </row>
    <row r="10990" spans="1:15" ht="16" x14ac:dyDescent="0.2">
      <c r="A10990" s="18"/>
      <c r="B10990" s="18"/>
      <c r="C10990" s="18"/>
      <c r="D10990" s="18"/>
      <c r="E10990" s="18"/>
      <c r="F10990" s="18"/>
      <c r="G10990" s="18"/>
      <c r="H10990" s="18"/>
      <c r="I10990" s="18"/>
      <c r="J10990" s="18"/>
      <c r="K10990" s="18"/>
      <c r="L10990" s="18"/>
      <c r="M10990" s="18"/>
      <c r="N10990" s="18"/>
      <c r="O10990" s="14" t="str">
        <f>HYPERLINK("https://otsuka-europe-crm.veevavault.com/ui/#object/email_activity__v/V8C00000003X715", "EN-002098095")</f>
        <v>EN-002098095</v>
      </c>
    </row>
    <row r="10991" spans="1:15" ht="16" x14ac:dyDescent="0.2">
      <c r="A10991" s="19"/>
      <c r="B10991" s="19"/>
      <c r="C10991" s="19"/>
      <c r="D10991" s="19"/>
      <c r="E10991" s="19"/>
      <c r="F10991" s="19"/>
      <c r="G10991" s="19"/>
      <c r="H10991" s="19"/>
      <c r="I10991" s="19"/>
      <c r="J10991" s="19"/>
      <c r="K10991" s="19"/>
      <c r="L10991" s="19"/>
      <c r="M10991" s="19"/>
      <c r="N10991" s="19"/>
      <c r="O10991" s="14" t="str">
        <f>HYPERLINK("https://otsuka-europe-crm.veevavault.com/ui/#object/email_activity__v/V8C00000003X830", "EN-002098294")</f>
        <v>EN-002098294</v>
      </c>
    </row>
    <row r="10992" spans="1:15" ht="16" x14ac:dyDescent="0.2">
      <c r="A10992" s="17" t="str">
        <f>HYPERLINK("https://otsuka-europe-crm.veevavault.com/ui/#object/account__v/V4TZ06G6O71S9FH", "VALERIA CERNARO")</f>
        <v>VALERIA CERNARO</v>
      </c>
      <c r="B10992" s="17" t="str">
        <f>HYPERLINK("https://otsuka-europe-crm.veevavault.com/ui/#object/vcountry__v/VENZ000004SONFQ", "IT")</f>
        <v>IT</v>
      </c>
      <c r="C10992" s="20" t="s">
        <v>44</v>
      </c>
      <c r="D10992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0992" s="22" t="str">
        <f>HYPERLINK("https://otsuka-europe-crm.veevavault.com/ui/#object/sent_email__v/VBL00000002V027", "SE-001436916")</f>
        <v>SE-001436916</v>
      </c>
      <c r="F10992" s="23">
        <v>46190.340092592596</v>
      </c>
      <c r="G10992" s="24">
        <v>1</v>
      </c>
      <c r="H10992" s="24">
        <v>1</v>
      </c>
      <c r="I10992" s="24">
        <v>0</v>
      </c>
      <c r="J10992" s="25"/>
      <c r="K10992" s="24">
        <v>0</v>
      </c>
      <c r="L10992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0992" s="22" t="str">
        <f>HYPERLINK("mailto:giada.camassa@outsuka.it", "giada.camassa@outsuka.it")</f>
        <v>giada.camassa@outsuka.it</v>
      </c>
      <c r="N10992" s="23">
        <v>46190.339930555558</v>
      </c>
      <c r="O10992" s="14" t="str">
        <f>HYPERLINK("https://otsuka-europe-crm.veevavault.com/ui/#object/email_activity__v/V8C00000003X771", "EN-002098176")</f>
        <v>EN-002098176</v>
      </c>
    </row>
    <row r="10993" spans="1:15" ht="16" x14ac:dyDescent="0.2">
      <c r="A10993" s="19"/>
      <c r="B10993" s="19"/>
      <c r="C10993" s="19"/>
      <c r="D10993" s="19"/>
      <c r="E10993" s="19"/>
      <c r="F10993" s="19"/>
      <c r="G10993" s="19"/>
      <c r="H10993" s="19"/>
      <c r="I10993" s="19"/>
      <c r="J10993" s="19"/>
      <c r="K10993" s="19"/>
      <c r="L10993" s="19"/>
      <c r="M10993" s="19"/>
      <c r="N10993" s="19"/>
      <c r="O10993" s="14" t="str">
        <f>HYPERLINK("https://otsuka-europe-crm.veevavault.com/ui/#object/email_activity__v/V8C00000003X775", "EN-002098180")</f>
        <v>EN-002098180</v>
      </c>
    </row>
    <row r="10994" spans="1:15" ht="64" x14ac:dyDescent="0.2">
      <c r="A10994" s="7" t="str">
        <f>HYPERLINK("https://otsuka-europe-crm.veevavault.com/ui/#object/account__v/V4TZ06G6O71SAHC", "VALERIA DI STASIO")</f>
        <v>VALERIA DI STASIO</v>
      </c>
      <c r="B10994" s="7" t="str">
        <f t="shared" ref="B10994:B11004" si="870">HYPERLINK("https://otsuka-europe-crm.veevavault.com/ui/#object/vcountry__v/VENZ000004SONFQ", "IT")</f>
        <v>IT</v>
      </c>
      <c r="C10994" s="8" t="s">
        <v>44</v>
      </c>
      <c r="D10994" s="9" t="str">
        <f t="shared" ref="D10994:D11004" si="871">HYPERLINK("https://otsuka-europe-crm.veevavault.com/ui/#object/approved_document__v/V5O00000000G061", "AE - AGGIORNAMENTI SEZIONE APPROFONDIMENTI NEFRO IT-NPR-2500150")</f>
        <v>AE - AGGIORNAMENTI SEZIONE APPROFONDIMENTI NEFRO IT-NPR-2500150</v>
      </c>
      <c r="E10994" s="10" t="str">
        <f>HYPERLINK("https://otsuka-europe-crm.veevavault.com/ui/#object/sent_email__v/VBL00000002V028", "SE-001436917")</f>
        <v>SE-001436917</v>
      </c>
      <c r="F10994" s="11"/>
      <c r="G10994" s="12">
        <v>0</v>
      </c>
      <c r="H10994" s="12">
        <v>0</v>
      </c>
      <c r="I10994" s="12">
        <v>0</v>
      </c>
      <c r="J10994" s="11"/>
      <c r="K10994" s="12">
        <v>0</v>
      </c>
      <c r="L10994" s="10" t="str">
        <f t="shared" ref="L10994:L11004" si="872">HYPERLINK("https://otsuka-europe-crm.veevavault.com/ui/#object/approved_document__v/V5O00000000G061", "AE - AGGIORNAMENTI SEZIONE APPROFONDIMENTI NEFRO IT-NPR-2500150")</f>
        <v>AE - AGGIORNAMENTI SEZIONE APPROFONDIMENTI NEFRO IT-NPR-2500150</v>
      </c>
      <c r="M10994" s="10" t="str">
        <f t="shared" ref="M10994:M11004" si="873">HYPERLINK("mailto:giada.camassa@outsuka.it", "giada.camassa@outsuka.it")</f>
        <v>giada.camassa@outsuka.it</v>
      </c>
      <c r="N10994" s="13">
        <v>46190.339282407411</v>
      </c>
      <c r="O10994" s="14" t="str">
        <f>HYPERLINK("https://otsuka-europe-crm.veevavault.com/ui/#object/email_activity__v/V8C00000003W554", "EN-002098062")</f>
        <v>EN-002098062</v>
      </c>
    </row>
    <row r="10995" spans="1:15" ht="64" x14ac:dyDescent="0.2">
      <c r="A10995" s="7" t="str">
        <f>HYPERLINK("https://otsuka-europe-crm.veevavault.com/ui/#object/account__v/V4TZ06G6OB4BCXA", "VALERIO VIZZARDI")</f>
        <v>VALERIO VIZZARDI</v>
      </c>
      <c r="B10995" s="7" t="str">
        <f t="shared" si="870"/>
        <v>IT</v>
      </c>
      <c r="C10995" s="8" t="s">
        <v>44</v>
      </c>
      <c r="D10995" s="9" t="str">
        <f t="shared" si="871"/>
        <v>AE - AGGIORNAMENTI SEZIONE APPROFONDIMENTI NEFRO IT-NPR-2500150</v>
      </c>
      <c r="E10995" s="10" t="str">
        <f>HYPERLINK("https://otsuka-europe-crm.veevavault.com/ui/#object/sent_email__v/VBL00000002V029", "SE-001436918")</f>
        <v>SE-001436918</v>
      </c>
      <c r="F10995" s="11"/>
      <c r="G10995" s="12">
        <v>0</v>
      </c>
      <c r="H10995" s="12">
        <v>0</v>
      </c>
      <c r="I10995" s="12">
        <v>0</v>
      </c>
      <c r="J10995" s="11"/>
      <c r="K10995" s="12">
        <v>0</v>
      </c>
      <c r="L10995" s="10" t="str">
        <f t="shared" si="872"/>
        <v>AE - AGGIORNAMENTI SEZIONE APPROFONDIMENTI NEFRO IT-NPR-2500150</v>
      </c>
      <c r="M10995" s="10" t="str">
        <f t="shared" si="873"/>
        <v>giada.camassa@outsuka.it</v>
      </c>
      <c r="N10995" s="13">
        <v>46190.339062500003</v>
      </c>
      <c r="O10995" s="14" t="str">
        <f>HYPERLINK("https://otsuka-europe-crm.veevavault.com/ui/#object/email_activity__v/V8C00000003X674", "EN-002098015")</f>
        <v>EN-002098015</v>
      </c>
    </row>
    <row r="10996" spans="1:15" ht="64" x14ac:dyDescent="0.2">
      <c r="A10996" s="7" t="str">
        <f>HYPERLINK("https://otsuka-europe-crm.veevavault.com/ui/#object/account__v/V4TZ06G6O71SBGO", "VALTER NUNZIO MASSANOVA")</f>
        <v>VALTER NUNZIO MASSANOVA</v>
      </c>
      <c r="B10996" s="7" t="str">
        <f t="shared" si="870"/>
        <v>IT</v>
      </c>
      <c r="C10996" s="8" t="s">
        <v>44</v>
      </c>
      <c r="D10996" s="9" t="str">
        <f t="shared" si="871"/>
        <v>AE - AGGIORNAMENTI SEZIONE APPROFONDIMENTI NEFRO IT-NPR-2500150</v>
      </c>
      <c r="E10996" s="10" t="str">
        <f>HYPERLINK("https://otsuka-europe-crm.veevavault.com/ui/#object/sent_email__v/VBL00000002V030", "SE-001436919")</f>
        <v>SE-001436919</v>
      </c>
      <c r="F10996" s="11"/>
      <c r="G10996" s="12">
        <v>0</v>
      </c>
      <c r="H10996" s="12">
        <v>0</v>
      </c>
      <c r="I10996" s="12">
        <v>0</v>
      </c>
      <c r="J10996" s="11"/>
      <c r="K10996" s="12">
        <v>0</v>
      </c>
      <c r="L10996" s="10" t="str">
        <f t="shared" si="872"/>
        <v>AE - AGGIORNAMENTI SEZIONE APPROFONDIMENTI NEFRO IT-NPR-2500150</v>
      </c>
      <c r="M10996" s="10" t="str">
        <f t="shared" si="873"/>
        <v>giada.camassa@outsuka.it</v>
      </c>
      <c r="N10996" s="13">
        <v>46190.337881944448</v>
      </c>
      <c r="O10996" s="14" t="str">
        <f>HYPERLINK("https://otsuka-europe-crm.veevavault.com/ui/#object/email_activity__v/V8C00000003W371", "EN-002097461")</f>
        <v>EN-002097461</v>
      </c>
    </row>
    <row r="10997" spans="1:15" ht="64" x14ac:dyDescent="0.2">
      <c r="A10997" s="7" t="str">
        <f>HYPERLINK("https://otsuka-europe-crm.veevavault.com/ui/#object/account__v/V4TZ04ASGE770M8", "VERONICA BAGLIO")</f>
        <v>VERONICA BAGLIO</v>
      </c>
      <c r="B10997" s="7" t="str">
        <f t="shared" si="870"/>
        <v>IT</v>
      </c>
      <c r="C10997" s="8" t="s">
        <v>44</v>
      </c>
      <c r="D10997" s="9" t="str">
        <f t="shared" si="871"/>
        <v>AE - AGGIORNAMENTI SEZIONE APPROFONDIMENTI NEFRO IT-NPR-2500150</v>
      </c>
      <c r="E10997" s="10" t="str">
        <f>HYPERLINK("https://otsuka-europe-crm.veevavault.com/ui/#object/sent_email__v/VBL00000002V031", "SE-001436920")</f>
        <v>SE-001436920</v>
      </c>
      <c r="F10997" s="11"/>
      <c r="G10997" s="12">
        <v>0</v>
      </c>
      <c r="H10997" s="12">
        <v>0</v>
      </c>
      <c r="I10997" s="12">
        <v>0</v>
      </c>
      <c r="J10997" s="11"/>
      <c r="K10997" s="12">
        <v>0</v>
      </c>
      <c r="L10997" s="10" t="str">
        <f t="shared" si="872"/>
        <v>AE - AGGIORNAMENTI SEZIONE APPROFONDIMENTI NEFRO IT-NPR-2500150</v>
      </c>
      <c r="M10997" s="10" t="str">
        <f t="shared" si="873"/>
        <v>giada.camassa@outsuka.it</v>
      </c>
      <c r="N10997" s="13">
        <v>46190.337916666664</v>
      </c>
      <c r="O10997" s="14" t="str">
        <f>HYPERLINK("https://otsuka-europe-crm.veevavault.com/ui/#object/email_activity__v/V8C00000003X363", "EN-002097541")</f>
        <v>EN-002097541</v>
      </c>
    </row>
    <row r="10998" spans="1:15" ht="64" x14ac:dyDescent="0.2">
      <c r="A10998" s="7" t="str">
        <f>HYPERLINK("https://otsuka-europe-crm.veevavault.com/ui/#object/account__v/V4TZ06G6O71SA2V", "VINCENZO BARBERA")</f>
        <v>VINCENZO BARBERA</v>
      </c>
      <c r="B10998" s="7" t="str">
        <f t="shared" si="870"/>
        <v>IT</v>
      </c>
      <c r="C10998" s="8" t="s">
        <v>44</v>
      </c>
      <c r="D10998" s="9" t="str">
        <f t="shared" si="871"/>
        <v>AE - AGGIORNAMENTI SEZIONE APPROFONDIMENTI NEFRO IT-NPR-2500150</v>
      </c>
      <c r="E10998" s="10" t="str">
        <f>HYPERLINK("https://otsuka-europe-crm.veevavault.com/ui/#object/sent_email__v/VBL00000002V032", "SE-001436921")</f>
        <v>SE-001436921</v>
      </c>
      <c r="F10998" s="11"/>
      <c r="G10998" s="12">
        <v>0</v>
      </c>
      <c r="H10998" s="12">
        <v>0</v>
      </c>
      <c r="I10998" s="12">
        <v>0</v>
      </c>
      <c r="J10998" s="11"/>
      <c r="K10998" s="12">
        <v>0</v>
      </c>
      <c r="L10998" s="10" t="str">
        <f t="shared" si="872"/>
        <v>AE - AGGIORNAMENTI SEZIONE APPROFONDIMENTI NEFRO IT-NPR-2500150</v>
      </c>
      <c r="M10998" s="10" t="str">
        <f t="shared" si="873"/>
        <v>giada.camassa@outsuka.it</v>
      </c>
      <c r="N10998" s="13">
        <v>46190.339641203704</v>
      </c>
      <c r="O10998" s="14" t="str">
        <f>HYPERLINK("https://otsuka-europe-crm.veevavault.com/ui/#object/email_activity__v/V8C00000003W635", "EN-002098261")</f>
        <v>EN-002098261</v>
      </c>
    </row>
    <row r="10999" spans="1:15" ht="64" x14ac:dyDescent="0.2">
      <c r="A10999" s="7" t="str">
        <f>HYPERLINK("https://otsuka-europe-crm.veevavault.com/ui/#object/account__v/V4TZ06G6O71SAX4", "VINCENZO CANTALUPPI")</f>
        <v>VINCENZO CANTALUPPI</v>
      </c>
      <c r="B10999" s="7" t="str">
        <f t="shared" si="870"/>
        <v>IT</v>
      </c>
      <c r="C10999" s="8" t="s">
        <v>44</v>
      </c>
      <c r="D10999" s="9" t="str">
        <f t="shared" si="871"/>
        <v>AE - AGGIORNAMENTI SEZIONE APPROFONDIMENTI NEFRO IT-NPR-2500150</v>
      </c>
      <c r="E10999" s="10" t="str">
        <f>HYPERLINK("https://otsuka-europe-crm.veevavault.com/ui/#object/sent_email__v/VBL00000002V033", "SE-001436922")</f>
        <v>SE-001436922</v>
      </c>
      <c r="F10999" s="11"/>
      <c r="G10999" s="12">
        <v>0</v>
      </c>
      <c r="H10999" s="12">
        <v>0</v>
      </c>
      <c r="I10999" s="12">
        <v>0</v>
      </c>
      <c r="J10999" s="11"/>
      <c r="K10999" s="12">
        <v>0</v>
      </c>
      <c r="L10999" s="10" t="str">
        <f t="shared" si="872"/>
        <v>AE - AGGIORNAMENTI SEZIONE APPROFONDIMENTI NEFRO IT-NPR-2500150</v>
      </c>
      <c r="M10999" s="10" t="str">
        <f t="shared" si="873"/>
        <v>giada.camassa@outsuka.it</v>
      </c>
      <c r="N10999" s="13">
        <v>46190.337939814817</v>
      </c>
      <c r="O10999" s="14" t="str">
        <f>HYPERLINK("https://otsuka-europe-crm.veevavault.com/ui/#object/email_activity__v/V8C00000003X385", "EN-002097580")</f>
        <v>EN-002097580</v>
      </c>
    </row>
    <row r="11000" spans="1:15" ht="64" x14ac:dyDescent="0.2">
      <c r="A11000" s="7" t="str">
        <f>HYPERLINK("https://otsuka-europe-crm.veevavault.com/ui/#object/account__v/V4TZ06G6O71S9SB", "VINCENZO COZZA")</f>
        <v>VINCENZO COZZA</v>
      </c>
      <c r="B11000" s="7" t="str">
        <f t="shared" si="870"/>
        <v>IT</v>
      </c>
      <c r="C11000" s="8" t="s">
        <v>44</v>
      </c>
      <c r="D11000" s="9" t="str">
        <f t="shared" si="871"/>
        <v>AE - AGGIORNAMENTI SEZIONE APPROFONDIMENTI NEFRO IT-NPR-2500150</v>
      </c>
      <c r="E11000" s="10" t="str">
        <f>HYPERLINK("https://otsuka-europe-crm.veevavault.com/ui/#object/sent_email__v/VBL00000002V034", "SE-001436923")</f>
        <v>SE-001436923</v>
      </c>
      <c r="F11000" s="11"/>
      <c r="G11000" s="12">
        <v>0</v>
      </c>
      <c r="H11000" s="12">
        <v>0</v>
      </c>
      <c r="I11000" s="12">
        <v>0</v>
      </c>
      <c r="J11000" s="11"/>
      <c r="K11000" s="12">
        <v>0</v>
      </c>
      <c r="L11000" s="10" t="str">
        <f t="shared" si="872"/>
        <v>AE - AGGIORNAMENTI SEZIONE APPROFONDIMENTI NEFRO IT-NPR-2500150</v>
      </c>
      <c r="M11000" s="10" t="str">
        <f t="shared" si="873"/>
        <v>giada.camassa@outsuka.it</v>
      </c>
      <c r="N11000" s="13">
        <v>46190.339270833334</v>
      </c>
      <c r="O11000" s="14" t="str">
        <f>HYPERLINK("https://otsuka-europe-crm.veevavault.com/ui/#object/email_activity__v/V8C00000003X701", "EN-002098063")</f>
        <v>EN-002098063</v>
      </c>
    </row>
    <row r="11001" spans="1:15" ht="64" x14ac:dyDescent="0.2">
      <c r="A11001" s="7" t="str">
        <f>HYPERLINK("https://otsuka-europe-crm.veevavault.com/ui/#object/account__v/V4TZ06G6O71SB5F", "VINCENZO CUOMO")</f>
        <v>VINCENZO CUOMO</v>
      </c>
      <c r="B11001" s="7" t="str">
        <f t="shared" si="870"/>
        <v>IT</v>
      </c>
      <c r="C11001" s="8" t="s">
        <v>44</v>
      </c>
      <c r="D11001" s="9" t="str">
        <f t="shared" si="871"/>
        <v>AE - AGGIORNAMENTI SEZIONE APPROFONDIMENTI NEFRO IT-NPR-2500150</v>
      </c>
      <c r="E11001" s="10" t="str">
        <f>HYPERLINK("https://otsuka-europe-crm.veevavault.com/ui/#object/sent_email__v/VBL00000002V035", "SE-001436924")</f>
        <v>SE-001436924</v>
      </c>
      <c r="F11001" s="11"/>
      <c r="G11001" s="12">
        <v>0</v>
      </c>
      <c r="H11001" s="12">
        <v>0</v>
      </c>
      <c r="I11001" s="12">
        <v>0</v>
      </c>
      <c r="J11001" s="11"/>
      <c r="K11001" s="12">
        <v>0</v>
      </c>
      <c r="L11001" s="10" t="str">
        <f t="shared" si="872"/>
        <v>AE - AGGIORNAMENTI SEZIONE APPROFONDIMENTI NEFRO IT-NPR-2500150</v>
      </c>
      <c r="M11001" s="10" t="str">
        <f t="shared" si="873"/>
        <v>giada.camassa@outsuka.it</v>
      </c>
      <c r="N11001" s="13">
        <v>46190.33792824074</v>
      </c>
      <c r="O11001" s="14" t="str">
        <f>HYPERLINK("https://otsuka-europe-crm.veevavault.com/ui/#object/email_activity__v/V8C00000003X348", "EN-002097644")</f>
        <v>EN-002097644</v>
      </c>
    </row>
    <row r="11002" spans="1:15" ht="64" x14ac:dyDescent="0.2">
      <c r="A11002" s="7" t="str">
        <f>HYPERLINK("https://otsuka-europe-crm.veevavault.com/ui/#object/account__v/V4TZ06G6O71SA9N", "VINCENZO DE BIASE")</f>
        <v>VINCENZO DE BIASE</v>
      </c>
      <c r="B11002" s="7" t="str">
        <f t="shared" si="870"/>
        <v>IT</v>
      </c>
      <c r="C11002" s="8" t="s">
        <v>44</v>
      </c>
      <c r="D11002" s="9" t="str">
        <f t="shared" si="871"/>
        <v>AE - AGGIORNAMENTI SEZIONE APPROFONDIMENTI NEFRO IT-NPR-2500150</v>
      </c>
      <c r="E11002" s="10" t="str">
        <f>HYPERLINK("https://otsuka-europe-crm.veevavault.com/ui/#object/sent_email__v/VBL00000002V036", "SE-001436925")</f>
        <v>SE-001436925</v>
      </c>
      <c r="F11002" s="11"/>
      <c r="G11002" s="12">
        <v>0</v>
      </c>
      <c r="H11002" s="12">
        <v>0</v>
      </c>
      <c r="I11002" s="12">
        <v>0</v>
      </c>
      <c r="J11002" s="11"/>
      <c r="K11002" s="12">
        <v>0</v>
      </c>
      <c r="L11002" s="10" t="str">
        <f t="shared" si="872"/>
        <v>AE - AGGIORNAMENTI SEZIONE APPROFONDIMENTI NEFRO IT-NPR-2500150</v>
      </c>
      <c r="M11002" s="10" t="str">
        <f t="shared" si="873"/>
        <v>giada.camassa@outsuka.it</v>
      </c>
      <c r="N11002" s="13">
        <v>46190.338553240741</v>
      </c>
      <c r="O11002" s="14" t="str">
        <f>HYPERLINK("https://otsuka-europe-crm.veevavault.com/ui/#object/email_activity__v/V8C00000003W514", "EN-002097933")</f>
        <v>EN-002097933</v>
      </c>
    </row>
    <row r="11003" spans="1:15" ht="64" x14ac:dyDescent="0.2">
      <c r="A11003" s="7" t="str">
        <f>HYPERLINK("https://otsuka-europe-crm.veevavault.com/ui/#object/account__v/V4TZ025E88Y7IAM", "VINCENZO DI LEO")</f>
        <v>VINCENZO DI LEO</v>
      </c>
      <c r="B11003" s="7" t="str">
        <f t="shared" si="870"/>
        <v>IT</v>
      </c>
      <c r="C11003" s="8" t="s">
        <v>44</v>
      </c>
      <c r="D11003" s="9" t="str">
        <f t="shared" si="871"/>
        <v>AE - AGGIORNAMENTI SEZIONE APPROFONDIMENTI NEFRO IT-NPR-2500150</v>
      </c>
      <c r="E11003" s="10" t="str">
        <f>HYPERLINK("https://otsuka-europe-crm.veevavault.com/ui/#object/sent_email__v/VBL00000002V037", "SE-001436926")</f>
        <v>SE-001436926</v>
      </c>
      <c r="F11003" s="11"/>
      <c r="G11003" s="12">
        <v>0</v>
      </c>
      <c r="H11003" s="12">
        <v>0</v>
      </c>
      <c r="I11003" s="12">
        <v>0</v>
      </c>
      <c r="J11003" s="11"/>
      <c r="K11003" s="12">
        <v>0</v>
      </c>
      <c r="L11003" s="10" t="str">
        <f t="shared" si="872"/>
        <v>AE - AGGIORNAMENTI SEZIONE APPROFONDIMENTI NEFRO IT-NPR-2500150</v>
      </c>
      <c r="M11003" s="10" t="str">
        <f t="shared" si="873"/>
        <v>giada.camassa@outsuka.it</v>
      </c>
      <c r="N11003" s="13">
        <v>46190.339641203704</v>
      </c>
      <c r="O11003" s="14" t="str">
        <f>HYPERLINK("https://otsuka-europe-crm.veevavault.com/ui/#object/email_activity__v/V8C00000003X733", "EN-002098121")</f>
        <v>EN-002098121</v>
      </c>
    </row>
    <row r="11004" spans="1:15" ht="16" x14ac:dyDescent="0.2">
      <c r="A11004" s="17" t="str">
        <f>HYPERLINK("https://otsuka-europe-crm.veevavault.com/ui/#object/account__v/V4TZ06G6O71SBIU", "VINCENZO LA MILIA")</f>
        <v>VINCENZO LA MILIA</v>
      </c>
      <c r="B11004" s="17" t="str">
        <f t="shared" si="870"/>
        <v>IT</v>
      </c>
      <c r="C11004" s="20" t="s">
        <v>44</v>
      </c>
      <c r="D11004" s="21" t="str">
        <f t="shared" si="871"/>
        <v>AE - AGGIORNAMENTI SEZIONE APPROFONDIMENTI NEFRO IT-NPR-2500150</v>
      </c>
      <c r="E11004" s="22" t="str">
        <f>HYPERLINK("https://otsuka-europe-crm.veevavault.com/ui/#object/sent_email__v/VBL00000002V038", "SE-001436927")</f>
        <v>SE-001436927</v>
      </c>
      <c r="F11004" s="23">
        <v>46190.338599537034</v>
      </c>
      <c r="G11004" s="24">
        <v>1</v>
      </c>
      <c r="H11004" s="24">
        <v>1</v>
      </c>
      <c r="I11004" s="24">
        <v>0</v>
      </c>
      <c r="J11004" s="25"/>
      <c r="K11004" s="24">
        <v>0</v>
      </c>
      <c r="L11004" s="22" t="str">
        <f t="shared" si="872"/>
        <v>AE - AGGIORNAMENTI SEZIONE APPROFONDIMENTI NEFRO IT-NPR-2500150</v>
      </c>
      <c r="M11004" s="22" t="str">
        <f t="shared" si="873"/>
        <v>giada.camassa@outsuka.it</v>
      </c>
      <c r="N11004" s="23">
        <v>46190.338449074072</v>
      </c>
      <c r="O11004" s="14" t="str">
        <f>HYPERLINK("https://otsuka-europe-crm.veevavault.com/ui/#object/email_activity__v/V8C00000003X604", "EN-002097925")</f>
        <v>EN-002097925</v>
      </c>
    </row>
    <row r="11005" spans="1:15" ht="16" x14ac:dyDescent="0.2">
      <c r="A11005" s="19"/>
      <c r="B11005" s="19"/>
      <c r="C11005" s="19"/>
      <c r="D11005" s="19"/>
      <c r="E11005" s="19"/>
      <c r="F11005" s="19"/>
      <c r="G11005" s="19"/>
      <c r="H11005" s="19"/>
      <c r="I11005" s="19"/>
      <c r="J11005" s="19"/>
      <c r="K11005" s="19"/>
      <c r="L11005" s="19"/>
      <c r="M11005" s="19"/>
      <c r="N11005" s="19"/>
      <c r="O11005" s="14" t="str">
        <f>HYPERLINK("https://otsuka-europe-crm.veevavault.com/ui/#object/email_activity__v/V8C00000003X616", "EN-002097938")</f>
        <v>EN-002097938</v>
      </c>
    </row>
    <row r="11006" spans="1:15" ht="16" x14ac:dyDescent="0.2">
      <c r="A11006" s="17" t="str">
        <f>HYPERLINK("https://otsuka-europe-crm.veevavault.com/ui/#object/account__v/V4TZ06G6O71SBTV", "VINCENZO PANICHI")</f>
        <v>VINCENZO PANICHI</v>
      </c>
      <c r="B11006" s="17" t="str">
        <f>HYPERLINK("https://otsuka-europe-crm.veevavault.com/ui/#object/vcountry__v/VENZ000004SONFQ", "IT")</f>
        <v>IT</v>
      </c>
      <c r="C11006" s="20" t="s">
        <v>44</v>
      </c>
      <c r="D11006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1006" s="22" t="str">
        <f>HYPERLINK("https://otsuka-europe-crm.veevavault.com/ui/#object/sent_email__v/VBL00000002V039", "SE-001436928")</f>
        <v>SE-001436928</v>
      </c>
      <c r="F11006" s="23">
        <v>46190.340231481481</v>
      </c>
      <c r="G11006" s="24">
        <v>1</v>
      </c>
      <c r="H11006" s="24">
        <v>1</v>
      </c>
      <c r="I11006" s="24">
        <v>0</v>
      </c>
      <c r="J11006" s="25"/>
      <c r="K11006" s="24">
        <v>0</v>
      </c>
      <c r="L11006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1006" s="22" t="str">
        <f>HYPERLINK("mailto:giada.camassa@outsuka.it", "giada.camassa@outsuka.it")</f>
        <v>giada.camassa@outsuka.it</v>
      </c>
      <c r="N11006" s="23">
        <v>46190.34002314815</v>
      </c>
      <c r="O11006" s="14" t="str">
        <f>HYPERLINK("https://otsuka-europe-crm.veevavault.com/ui/#object/email_activity__v/V8C00000003X786", "EN-002098198")</f>
        <v>EN-002098198</v>
      </c>
    </row>
    <row r="11007" spans="1:15" ht="16" x14ac:dyDescent="0.2">
      <c r="A11007" s="19"/>
      <c r="B11007" s="19"/>
      <c r="C11007" s="19"/>
      <c r="D11007" s="19"/>
      <c r="E11007" s="19"/>
      <c r="F11007" s="19"/>
      <c r="G11007" s="19"/>
      <c r="H11007" s="19"/>
      <c r="I11007" s="19"/>
      <c r="J11007" s="19"/>
      <c r="K11007" s="19"/>
      <c r="L11007" s="19"/>
      <c r="M11007" s="19"/>
      <c r="N11007" s="19"/>
      <c r="O11007" s="14" t="str">
        <f>HYPERLINK("https://otsuka-europe-crm.veevavault.com/ui/#object/email_activity__v/V8C00000003X791", "EN-002098203")</f>
        <v>EN-002098203</v>
      </c>
    </row>
    <row r="11008" spans="1:15" ht="64" x14ac:dyDescent="0.2">
      <c r="A11008" s="7" t="str">
        <f>HYPERLINK("https://otsuka-europe-crm.veevavault.com/ui/#object/account__v/V4TZ06G6O71SC11", "VINCENZO PUNTILLO")</f>
        <v>VINCENZO PUNTILLO</v>
      </c>
      <c r="B11008" s="7" t="str">
        <f>HYPERLINK("https://otsuka-europe-crm.veevavault.com/ui/#object/vcountry__v/VENZ000004SONFQ", "IT")</f>
        <v>IT</v>
      </c>
      <c r="C11008" s="8" t="s">
        <v>44</v>
      </c>
      <c r="D11008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1008" s="10" t="str">
        <f>HYPERLINK("https://otsuka-europe-crm.veevavault.com/ui/#object/sent_email__v/VBL00000002V040", "SE-001436929")</f>
        <v>SE-001436929</v>
      </c>
      <c r="F11008" s="11"/>
      <c r="G11008" s="12">
        <v>0</v>
      </c>
      <c r="H11008" s="12">
        <v>0</v>
      </c>
      <c r="I11008" s="12">
        <v>0</v>
      </c>
      <c r="J11008" s="11"/>
      <c r="K11008" s="12">
        <v>0</v>
      </c>
      <c r="L11008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1008" s="10" t="str">
        <f>HYPERLINK("mailto:giada.camassa@outsuka.it", "giada.camassa@outsuka.it")</f>
        <v>giada.camassa@outsuka.it</v>
      </c>
      <c r="N11008" s="13">
        <v>46190.339513888888</v>
      </c>
      <c r="O11008" s="14" t="str">
        <f>HYPERLINK("https://otsuka-europe-crm.veevavault.com/ui/#object/email_activity__v/V8C00000003W568", "EN-002098089")</f>
        <v>EN-002098089</v>
      </c>
    </row>
    <row r="11009" spans="1:15" ht="64" x14ac:dyDescent="0.2">
      <c r="A11009" s="7" t="str">
        <f>HYPERLINK("https://otsuka-europe-crm.veevavault.com/ui/#object/account__v/V4TZ06G6O71SCDB", "VITTORIO SIROLLI")</f>
        <v>VITTORIO SIROLLI</v>
      </c>
      <c r="B11009" s="7" t="str">
        <f>HYPERLINK("https://otsuka-europe-crm.veevavault.com/ui/#object/vcountry__v/VENZ000004SONFQ", "IT")</f>
        <v>IT</v>
      </c>
      <c r="C11009" s="8" t="s">
        <v>44</v>
      </c>
      <c r="D11009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1009" s="10" t="str">
        <f>HYPERLINK("https://otsuka-europe-crm.veevavault.com/ui/#object/sent_email__v/VBL00000002V041", "SE-001436930")</f>
        <v>SE-001436930</v>
      </c>
      <c r="F11009" s="11"/>
      <c r="G11009" s="12">
        <v>0</v>
      </c>
      <c r="H11009" s="12">
        <v>0</v>
      </c>
      <c r="I11009" s="12">
        <v>0</v>
      </c>
      <c r="J11009" s="11"/>
      <c r="K11009" s="12">
        <v>0</v>
      </c>
      <c r="L11009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1009" s="10" t="str">
        <f>HYPERLINK("mailto:giada.camassa@outsuka.it", "giada.camassa@outsuka.it")</f>
        <v>giada.camassa@outsuka.it</v>
      </c>
      <c r="N11009" s="13">
        <v>46190.338923611111</v>
      </c>
      <c r="O11009" s="14" t="str">
        <f>HYPERLINK("https://otsuka-europe-crm.veevavault.com/ui/#object/email_activity__v/V8C00000003W623", "EN-002098245")</f>
        <v>EN-002098245</v>
      </c>
    </row>
    <row r="11010" spans="1:15" ht="16" x14ac:dyDescent="0.2">
      <c r="A11010" s="17" t="str">
        <f>HYPERLINK("https://otsuka-europe-crm.veevavault.com/ui/#object/account__v/V4TZ06G6O71SBV5", "WERNER PASSLER")</f>
        <v>WERNER PASSLER</v>
      </c>
      <c r="B11010" s="17" t="str">
        <f>HYPERLINK("https://otsuka-europe-crm.veevavault.com/ui/#object/vcountry__v/VENZ000004SONFQ", "IT")</f>
        <v>IT</v>
      </c>
      <c r="C11010" s="20" t="s">
        <v>44</v>
      </c>
      <c r="D11010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1010" s="22" t="str">
        <f>HYPERLINK("https://otsuka-europe-crm.veevavault.com/ui/#object/sent_email__v/VBL00000002V042", "SE-001436931")</f>
        <v>SE-001436931</v>
      </c>
      <c r="F11010" s="23">
        <v>46191.626145833332</v>
      </c>
      <c r="G11010" s="24">
        <v>1</v>
      </c>
      <c r="H11010" s="24">
        <v>5</v>
      </c>
      <c r="I11010" s="24">
        <v>0</v>
      </c>
      <c r="J11010" s="25"/>
      <c r="K11010" s="24">
        <v>0</v>
      </c>
      <c r="L11010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1010" s="22" t="str">
        <f>HYPERLINK("mailto:giada.camassa@outsuka.it", "giada.camassa@outsuka.it")</f>
        <v>giada.camassa@outsuka.it</v>
      </c>
      <c r="N11010" s="23">
        <v>46190.339050925926</v>
      </c>
      <c r="O11010" s="14" t="str">
        <f>HYPERLINK("https://otsuka-europe-crm.veevavault.com/ui/#object/email_activity__v/V8C00000003W538", "EN-002098027")</f>
        <v>EN-002098027</v>
      </c>
    </row>
    <row r="11011" spans="1:15" ht="16" x14ac:dyDescent="0.2">
      <c r="A11011" s="18"/>
      <c r="B11011" s="18"/>
      <c r="C11011" s="18"/>
      <c r="D11011" s="18"/>
      <c r="E11011" s="18"/>
      <c r="F11011" s="18"/>
      <c r="G11011" s="18"/>
      <c r="H11011" s="18"/>
      <c r="I11011" s="18"/>
      <c r="J11011" s="18"/>
      <c r="K11011" s="18"/>
      <c r="L11011" s="18"/>
      <c r="M11011" s="18"/>
      <c r="N11011" s="18"/>
      <c r="O11011" s="14" t="str">
        <f>HYPERLINK("https://otsuka-europe-crm.veevavault.com/ui/#object/email_activity__v/V8C00000003W807", "EN-002098628")</f>
        <v>EN-002098628</v>
      </c>
    </row>
    <row r="11012" spans="1:15" ht="16" x14ac:dyDescent="0.2">
      <c r="A11012" s="18"/>
      <c r="B11012" s="18"/>
      <c r="C11012" s="18"/>
      <c r="D11012" s="18"/>
      <c r="E11012" s="18"/>
      <c r="F11012" s="18"/>
      <c r="G11012" s="18"/>
      <c r="H11012" s="18"/>
      <c r="I11012" s="18"/>
      <c r="J11012" s="18"/>
      <c r="K11012" s="18"/>
      <c r="L11012" s="18"/>
      <c r="M11012" s="18"/>
      <c r="N11012" s="18"/>
      <c r="O11012" s="14" t="str">
        <f>HYPERLINK("https://otsuka-europe-crm.veevavault.com/ui/#object/email_activity__v/V8C00000003W808", "EN-002098629")</f>
        <v>EN-002098629</v>
      </c>
    </row>
    <row r="11013" spans="1:15" ht="16" x14ac:dyDescent="0.2">
      <c r="A11013" s="18"/>
      <c r="B11013" s="18"/>
      <c r="C11013" s="18"/>
      <c r="D11013" s="18"/>
      <c r="E11013" s="18"/>
      <c r="F11013" s="18"/>
      <c r="G11013" s="18"/>
      <c r="H11013" s="18"/>
      <c r="I11013" s="18"/>
      <c r="J11013" s="18"/>
      <c r="K11013" s="18"/>
      <c r="L11013" s="18"/>
      <c r="M11013" s="18"/>
      <c r="N11013" s="18"/>
      <c r="O11013" s="14" t="str">
        <f>HYPERLINK("https://otsuka-europe-crm.veevavault.com/ui/#object/email_activity__v/V8C00000003X663", "EN-002098004")</f>
        <v>EN-002098004</v>
      </c>
    </row>
    <row r="11014" spans="1:15" ht="16" x14ac:dyDescent="0.2">
      <c r="A11014" s="18"/>
      <c r="B11014" s="18"/>
      <c r="C11014" s="18"/>
      <c r="D11014" s="18"/>
      <c r="E11014" s="18"/>
      <c r="F11014" s="18"/>
      <c r="G11014" s="18"/>
      <c r="H11014" s="18"/>
      <c r="I11014" s="18"/>
      <c r="J11014" s="18"/>
      <c r="K11014" s="18"/>
      <c r="L11014" s="18"/>
      <c r="M11014" s="18"/>
      <c r="N11014" s="18"/>
      <c r="O11014" s="14" t="str">
        <f>HYPERLINK("https://otsuka-europe-crm.veevavault.com/ui/#object/email_activity__v/V8C00000003X894", "EN-002098417")</f>
        <v>EN-002098417</v>
      </c>
    </row>
    <row r="11015" spans="1:15" ht="16" x14ac:dyDescent="0.2">
      <c r="A11015" s="19"/>
      <c r="B11015" s="19"/>
      <c r="C11015" s="19"/>
      <c r="D11015" s="19"/>
      <c r="E11015" s="19"/>
      <c r="F11015" s="19"/>
      <c r="G11015" s="19"/>
      <c r="H11015" s="19"/>
      <c r="I11015" s="19"/>
      <c r="J11015" s="19"/>
      <c r="K11015" s="19"/>
      <c r="L11015" s="19"/>
      <c r="M11015" s="19"/>
      <c r="N11015" s="19"/>
      <c r="O11015" s="14" t="str">
        <f>HYPERLINK("https://otsuka-europe-crm.veevavault.com/ui/#object/email_activity__v/V8C00000003X895", "EN-002098418")</f>
        <v>EN-002098418</v>
      </c>
    </row>
    <row r="11016" spans="1:15" ht="16" x14ac:dyDescent="0.2">
      <c r="A11016" s="17" t="str">
        <f>HYPERLINK("https://otsuka-europe-crm.veevavault.com/ui/#object/account__v/V4TZ025E892KOPP", "YOSEF SHIHADA")</f>
        <v>YOSEF SHIHADA</v>
      </c>
      <c r="B11016" s="17" t="str">
        <f>HYPERLINK("https://otsuka-europe-crm.veevavault.com/ui/#object/vcountry__v/VENZ000004SONFQ", "IT")</f>
        <v>IT</v>
      </c>
      <c r="C11016" s="20" t="s">
        <v>44</v>
      </c>
      <c r="D11016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1016" s="22" t="str">
        <f>HYPERLINK("https://otsuka-europe-crm.veevavault.com/ui/#object/sent_email__v/VBL00000002V043", "SE-001436932")</f>
        <v>SE-001436932</v>
      </c>
      <c r="F11016" s="23">
        <v>46190.742789351854</v>
      </c>
      <c r="G11016" s="24">
        <v>1</v>
      </c>
      <c r="H11016" s="24">
        <v>1</v>
      </c>
      <c r="I11016" s="24">
        <v>0</v>
      </c>
      <c r="J11016" s="25"/>
      <c r="K11016" s="24">
        <v>0</v>
      </c>
      <c r="L11016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1016" s="22" t="str">
        <f>HYPERLINK("mailto:giada.camassa@outsuka.it", "giada.camassa@outsuka.it")</f>
        <v>giada.camassa@outsuka.it</v>
      </c>
      <c r="N11016" s="23">
        <v>46190.338055555556</v>
      </c>
      <c r="O11016" s="14" t="str">
        <f>HYPERLINK("https://otsuka-europe-crm.veevavault.com/ui/#object/email_activity__v/V8C00000003W477", "EN-002097832")</f>
        <v>EN-002097832</v>
      </c>
    </row>
    <row r="11017" spans="1:15" ht="16" x14ac:dyDescent="0.2">
      <c r="A11017" s="19"/>
      <c r="B11017" s="19"/>
      <c r="C11017" s="19"/>
      <c r="D11017" s="19"/>
      <c r="E11017" s="19"/>
      <c r="F11017" s="19"/>
      <c r="G11017" s="19"/>
      <c r="H11017" s="19"/>
      <c r="I11017" s="19"/>
      <c r="J11017" s="19"/>
      <c r="K11017" s="19"/>
      <c r="L11017" s="19"/>
      <c r="M11017" s="19"/>
      <c r="N11017" s="19"/>
      <c r="O11017" s="14" t="str">
        <f>HYPERLINK("https://otsuka-europe-crm.veevavault.com/ui/#object/email_activity__v/V8C00000003X927", "EN-002098469")</f>
        <v>EN-002098469</v>
      </c>
    </row>
    <row r="11018" spans="1:15" ht="16" x14ac:dyDescent="0.2">
      <c r="A11018" s="17" t="str">
        <f>HYPERLINK("https://otsuka-europe-crm.veevavault.com/ui/#object/account__v/V4TZ06G6O71SAUQ", "ZAIRA GISSARA")</f>
        <v>ZAIRA GISSARA</v>
      </c>
      <c r="B11018" s="17" t="str">
        <f>HYPERLINK("https://otsuka-europe-crm.veevavault.com/ui/#object/vcountry__v/VENZ000004SONFQ", "IT")</f>
        <v>IT</v>
      </c>
      <c r="C11018" s="20" t="s">
        <v>44</v>
      </c>
      <c r="D11018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1018" s="22" t="str">
        <f>HYPERLINK("https://otsuka-europe-crm.veevavault.com/ui/#object/sent_email__v/VBL00000002V044", "SE-001436933")</f>
        <v>SE-001436933</v>
      </c>
      <c r="F11018" s="23">
        <v>46195.752002314817</v>
      </c>
      <c r="G11018" s="24">
        <v>1</v>
      </c>
      <c r="H11018" s="24">
        <v>1</v>
      </c>
      <c r="I11018" s="24">
        <v>1</v>
      </c>
      <c r="J11018" s="23">
        <v>46195.752118055556</v>
      </c>
      <c r="K11018" s="24">
        <v>2</v>
      </c>
      <c r="L11018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1018" s="22" t="str">
        <f>HYPERLINK("mailto:giada.camassa@outsuka.it", "giada.camassa@outsuka.it")</f>
        <v>giada.camassa@outsuka.it</v>
      </c>
      <c r="N11018" s="23">
        <v>46190.338553240741</v>
      </c>
      <c r="O11018" s="14" t="str">
        <f>HYPERLINK("https://otsuka-europe-crm.veevavault.com/ui/#object/email_activity__v/V8C00000003X732", "EN-002098120")</f>
        <v>EN-002098120</v>
      </c>
    </row>
    <row r="11019" spans="1:15" ht="16" x14ac:dyDescent="0.2">
      <c r="A11019" s="18"/>
      <c r="B11019" s="18"/>
      <c r="C11019" s="18"/>
      <c r="D11019" s="18"/>
      <c r="E11019" s="18"/>
      <c r="F11019" s="18"/>
      <c r="G11019" s="18"/>
      <c r="H11019" s="18"/>
      <c r="I11019" s="18"/>
      <c r="J11019" s="18"/>
      <c r="K11019" s="18"/>
      <c r="L11019" s="18"/>
      <c r="M11019" s="18"/>
      <c r="N11019" s="18"/>
      <c r="O11019" s="14" t="str">
        <f>HYPERLINK("https://otsuka-europe-crm.veevavault.com/ui/#object/email_activity__v/V8C00000003Z260", "EN-002099115")</f>
        <v>EN-002099115</v>
      </c>
    </row>
    <row r="11020" spans="1:15" ht="16" x14ac:dyDescent="0.2">
      <c r="A11020" s="18"/>
      <c r="B11020" s="18"/>
      <c r="C11020" s="18"/>
      <c r="D11020" s="18"/>
      <c r="E11020" s="18"/>
      <c r="F11020" s="18"/>
      <c r="G11020" s="18"/>
      <c r="H11020" s="18"/>
      <c r="I11020" s="18"/>
      <c r="J11020" s="18"/>
      <c r="K11020" s="18"/>
      <c r="L11020" s="18"/>
      <c r="M11020" s="18"/>
      <c r="N11020" s="18"/>
      <c r="O11020" s="14" t="str">
        <f>HYPERLINK("https://otsuka-europe-crm.veevavault.com/ui/#object/email_activity__v/V8C00000003Z261", "EN-002099114")</f>
        <v>EN-002099114</v>
      </c>
    </row>
    <row r="11021" spans="1:15" ht="16" x14ac:dyDescent="0.2">
      <c r="A11021" s="19"/>
      <c r="B11021" s="19"/>
      <c r="C11021" s="19"/>
      <c r="D11021" s="19"/>
      <c r="E11021" s="19"/>
      <c r="F11021" s="19"/>
      <c r="G11021" s="19"/>
      <c r="H11021" s="19"/>
      <c r="I11021" s="19"/>
      <c r="J11021" s="19"/>
      <c r="K11021" s="19"/>
      <c r="L11021" s="19"/>
      <c r="M11021" s="19"/>
      <c r="N11021" s="19"/>
      <c r="O11021" s="14" t="str">
        <f>HYPERLINK("https://otsuka-europe-crm.veevavault.com/ui/#object/email_activity__v/V8C00000003Z262", "EN-002099116")</f>
        <v>EN-002099116</v>
      </c>
    </row>
    <row r="11022" spans="1:15" ht="64" x14ac:dyDescent="0.2">
      <c r="A11022" s="7" t="str">
        <f>HYPERLINK("https://otsuka-europe-crm.veevavault.com/ui/#object/account__v/V4TZ025E88L89UU", "ANNA LAURA FASIELLO")</f>
        <v>ANNA LAURA FASIELLO</v>
      </c>
      <c r="B11022" s="7" t="str">
        <f>HYPERLINK("https://otsuka-europe-crm.veevavault.com/ui/#object/vcountry__v/VENZ000004SONFQ", "IT")</f>
        <v>IT</v>
      </c>
      <c r="C11022" s="8" t="s">
        <v>44</v>
      </c>
      <c r="D11022" s="9" t="str">
        <f>HYPERLINK("https://otsuka-europe-crm.veevavault.com/ui/#object/approved_document__v/V5O00000000G060", "AE - AGGIORNAMENTI SEZIONE APPROFONDIMENTI IMMUNO IT-NPR-2500150")</f>
        <v>AE - AGGIORNAMENTI SEZIONE APPROFONDIMENTI IMMUNO IT-NPR-2500150</v>
      </c>
      <c r="E11022" s="10" t="str">
        <f>HYPERLINK("https://otsuka-europe-crm.veevavault.com/ui/#object/sent_email__v/VBL00000002V045", "SE-001436934")</f>
        <v>SE-001436934</v>
      </c>
      <c r="F11022" s="11"/>
      <c r="G11022" s="12">
        <v>0</v>
      </c>
      <c r="H11022" s="12">
        <v>0</v>
      </c>
      <c r="I11022" s="12">
        <v>0</v>
      </c>
      <c r="J11022" s="11"/>
      <c r="K11022" s="12">
        <v>0</v>
      </c>
      <c r="L11022" s="10" t="str">
        <f>HYPERLINK("https://otsuka-europe-crm.veevavault.com/ui/#object/approved_document__v/V5O00000000G060", "AE - AGGIORNAMENTI SEZIONE APPROFONDIMENTI IMMUNO IT-NPR-2500150")</f>
        <v>AE - AGGIORNAMENTI SEZIONE APPROFONDIMENTI IMMUNO IT-NPR-2500150</v>
      </c>
      <c r="M11022" s="10" t="str">
        <f>HYPERLINK("mailto:giada.camassa@outsuka.it", "giada.camassa@outsuka.it")</f>
        <v>giada.camassa@outsuka.it</v>
      </c>
      <c r="N11022" s="13">
        <v>46190.337916666664</v>
      </c>
      <c r="O11022" s="14" t="str">
        <f>HYPERLINK("https://otsuka-europe-crm.veevavault.com/ui/#object/email_activity__v/V8C00000003X256", "EN-002097431")</f>
        <v>EN-002097431</v>
      </c>
    </row>
    <row r="11023" spans="1:15" ht="64" x14ac:dyDescent="0.2">
      <c r="A11023" s="7" t="str">
        <f>HYPERLINK("https://otsuka-europe-crm.veevavault.com/ui/#object/account__v/V4TZ04ASGB4W210", "CHIARA BELLOCCHI")</f>
        <v>CHIARA BELLOCCHI</v>
      </c>
      <c r="B11023" s="7" t="str">
        <f>HYPERLINK("https://otsuka-europe-crm.veevavault.com/ui/#object/vcountry__v/VENZ000004SONFQ", "IT")</f>
        <v>IT</v>
      </c>
      <c r="C11023" s="8" t="s">
        <v>44</v>
      </c>
      <c r="D11023" s="9" t="str">
        <f>HYPERLINK("https://otsuka-europe-crm.veevavault.com/ui/#object/approved_document__v/V5O00000000G060", "AE - AGGIORNAMENTI SEZIONE APPROFONDIMENTI IMMUNO IT-NPR-2500150")</f>
        <v>AE - AGGIORNAMENTI SEZIONE APPROFONDIMENTI IMMUNO IT-NPR-2500150</v>
      </c>
      <c r="E11023" s="10" t="str">
        <f>HYPERLINK("https://otsuka-europe-crm.veevavault.com/ui/#object/sent_email__v/VBL00000002V046", "SE-001436935")</f>
        <v>SE-001436935</v>
      </c>
      <c r="F11023" s="11"/>
      <c r="G11023" s="12">
        <v>0</v>
      </c>
      <c r="H11023" s="12">
        <v>0</v>
      </c>
      <c r="I11023" s="12">
        <v>0</v>
      </c>
      <c r="J11023" s="11"/>
      <c r="K11023" s="12">
        <v>0</v>
      </c>
      <c r="L11023" s="10" t="str">
        <f>HYPERLINK("https://otsuka-europe-crm.veevavault.com/ui/#object/approved_document__v/V5O00000000G060", "AE - AGGIORNAMENTI SEZIONE APPROFONDIMENTI IMMUNO IT-NPR-2500150")</f>
        <v>AE - AGGIORNAMENTI SEZIONE APPROFONDIMENTI IMMUNO IT-NPR-2500150</v>
      </c>
      <c r="M11023" s="10" t="str">
        <f>HYPERLINK("mailto:giada.camassa@outsuka.it", "giada.camassa@outsuka.it")</f>
        <v>giada.camassa@outsuka.it</v>
      </c>
      <c r="N11023" s="13">
        <v>46190.337905092594</v>
      </c>
      <c r="O11023" s="14" t="str">
        <f>HYPERLINK("https://otsuka-europe-crm.veevavault.com/ui/#object/email_activity__v/V8C00000003X508", "EN-002097751")</f>
        <v>EN-002097751</v>
      </c>
    </row>
    <row r="11024" spans="1:15" ht="16" x14ac:dyDescent="0.2">
      <c r="A11024" s="17" t="str">
        <f>HYPERLINK("https://otsuka-europe-crm.veevavault.com/ui/#object/account__v/V4TZ025E867FBUA", "FRANCESCA DELLA CASA")</f>
        <v>FRANCESCA DELLA CASA</v>
      </c>
      <c r="B11024" s="17" t="str">
        <f>HYPERLINK("https://otsuka-europe-crm.veevavault.com/ui/#object/vcountry__v/VENZ000004SONFQ", "IT")</f>
        <v>IT</v>
      </c>
      <c r="C11024" s="20" t="s">
        <v>44</v>
      </c>
      <c r="D11024" s="21" t="str">
        <f>HYPERLINK("https://otsuka-europe-crm.veevavault.com/ui/#object/approved_document__v/V5O00000000G060", "AE - AGGIORNAMENTI SEZIONE APPROFONDIMENTI IMMUNO IT-NPR-2500150")</f>
        <v>AE - AGGIORNAMENTI SEZIONE APPROFONDIMENTI IMMUNO IT-NPR-2500150</v>
      </c>
      <c r="E11024" s="22" t="str">
        <f>HYPERLINK("https://otsuka-europe-crm.veevavault.com/ui/#object/sent_email__v/VBL00000002V047", "SE-001436936")</f>
        <v>SE-001436936</v>
      </c>
      <c r="F11024" s="23">
        <v>46190.338159722225</v>
      </c>
      <c r="G11024" s="24">
        <v>1</v>
      </c>
      <c r="H11024" s="24">
        <v>1</v>
      </c>
      <c r="I11024" s="24">
        <v>0</v>
      </c>
      <c r="J11024" s="25"/>
      <c r="K11024" s="24">
        <v>0</v>
      </c>
      <c r="L11024" s="22" t="str">
        <f>HYPERLINK("https://otsuka-europe-crm.veevavault.com/ui/#object/approved_document__v/V5O00000000G060", "AE - AGGIORNAMENTI SEZIONE APPROFONDIMENTI IMMUNO IT-NPR-2500150")</f>
        <v>AE - AGGIORNAMENTI SEZIONE APPROFONDIMENTI IMMUNO IT-NPR-2500150</v>
      </c>
      <c r="M11024" s="22" t="str">
        <f>HYPERLINK("mailto:giada.camassa@outsuka.it", "giada.camassa@outsuka.it")</f>
        <v>giada.camassa@outsuka.it</v>
      </c>
      <c r="N11024" s="23">
        <v>46190.337916666664</v>
      </c>
      <c r="O11024" s="14" t="str">
        <f>HYPERLINK("https://otsuka-europe-crm.veevavault.com/ui/#object/email_activity__v/V8C00000003W389", "EN-002097513")</f>
        <v>EN-002097513</v>
      </c>
    </row>
    <row r="11025" spans="1:15" ht="16" x14ac:dyDescent="0.2">
      <c r="A11025" s="19"/>
      <c r="B11025" s="19"/>
      <c r="C11025" s="19"/>
      <c r="D11025" s="19"/>
      <c r="E11025" s="19"/>
      <c r="F11025" s="19"/>
      <c r="G11025" s="19"/>
      <c r="H11025" s="19"/>
      <c r="I11025" s="19"/>
      <c r="J11025" s="19"/>
      <c r="K11025" s="19"/>
      <c r="L11025" s="19"/>
      <c r="M11025" s="19"/>
      <c r="N11025" s="19"/>
      <c r="O11025" s="14" t="str">
        <f>HYPERLINK("https://otsuka-europe-crm.veevavault.com/ui/#object/email_activity__v/V8C00000003X573", "EN-002097869")</f>
        <v>EN-002097869</v>
      </c>
    </row>
    <row r="11026" spans="1:15" ht="64" x14ac:dyDescent="0.2">
      <c r="A11026" s="7" t="str">
        <f>HYPERLINK("https://otsuka-europe-crm.veevavault.com/ui/#object/account__v/V4TZ025E83HURRA", "MARIA CANFORA")</f>
        <v>MARIA CANFORA</v>
      </c>
      <c r="B11026" s="7" t="str">
        <f>HYPERLINK("https://otsuka-europe-crm.veevavault.com/ui/#object/vcountry__v/VENZ000004SONFQ", "IT")</f>
        <v>IT</v>
      </c>
      <c r="C11026" s="8" t="s">
        <v>44</v>
      </c>
      <c r="D11026" s="9" t="str">
        <f>HYPERLINK("https://otsuka-europe-crm.veevavault.com/ui/#object/approved_document__v/V5O00000000G060", "AE - AGGIORNAMENTI SEZIONE APPROFONDIMENTI IMMUNO IT-NPR-2500150")</f>
        <v>AE - AGGIORNAMENTI SEZIONE APPROFONDIMENTI IMMUNO IT-NPR-2500150</v>
      </c>
      <c r="E11026" s="10" t="str">
        <f>HYPERLINK("https://otsuka-europe-crm.veevavault.com/ui/#object/sent_email__v/VBL00000002V049", "SE-001436938")</f>
        <v>SE-001436938</v>
      </c>
      <c r="F11026" s="11"/>
      <c r="G11026" s="12">
        <v>0</v>
      </c>
      <c r="H11026" s="12">
        <v>0</v>
      </c>
      <c r="I11026" s="12">
        <v>0</v>
      </c>
      <c r="J11026" s="11"/>
      <c r="K11026" s="12">
        <v>0</v>
      </c>
      <c r="L11026" s="10" t="str">
        <f>HYPERLINK("https://otsuka-europe-crm.veevavault.com/ui/#object/approved_document__v/V5O00000000G060", "AE - AGGIORNAMENTI SEZIONE APPROFONDIMENTI IMMUNO IT-NPR-2500150")</f>
        <v>AE - AGGIORNAMENTI SEZIONE APPROFONDIMENTI IMMUNO IT-NPR-2500150</v>
      </c>
      <c r="M11026" s="10" t="str">
        <f>HYPERLINK("mailto:giada.camassa@outsuka.it", "giada.camassa@outsuka.it")</f>
        <v>giada.camassa@outsuka.it</v>
      </c>
      <c r="N11026" s="13">
        <v>46190.33798611111</v>
      </c>
      <c r="O11026" s="14" t="str">
        <f>HYPERLINK("https://otsuka-europe-crm.veevavault.com/ui/#object/email_activity__v/V8C00000003W441", "EN-002097725")</f>
        <v>EN-002097725</v>
      </c>
    </row>
    <row r="11027" spans="1:15" ht="16" x14ac:dyDescent="0.2">
      <c r="A11027" s="17" t="str">
        <f>HYPERLINK("https://otsuka-europe-crm.veevavault.com/ui/#object/account__v/V4TZ025E86T5MKQ", "MARIA TERESA COSTANTINO")</f>
        <v>MARIA TERESA COSTANTINO</v>
      </c>
      <c r="B11027" s="17" t="str">
        <f>HYPERLINK("https://otsuka-europe-crm.veevavault.com/ui/#object/vcountry__v/VENZ000004SONFQ", "IT")</f>
        <v>IT</v>
      </c>
      <c r="C11027" s="20" t="s">
        <v>44</v>
      </c>
      <c r="D11027" s="21" t="str">
        <f>HYPERLINK("https://otsuka-europe-crm.veevavault.com/ui/#object/approved_document__v/V5O00000000G060", "AE - AGGIORNAMENTI SEZIONE APPROFONDIMENTI IMMUNO IT-NPR-2500150")</f>
        <v>AE - AGGIORNAMENTI SEZIONE APPROFONDIMENTI IMMUNO IT-NPR-2500150</v>
      </c>
      <c r="E11027" s="22" t="str">
        <f>HYPERLINK("https://otsuka-europe-crm.veevavault.com/ui/#object/sent_email__v/VBL00000002V050", "SE-001436939")</f>
        <v>SE-001436939</v>
      </c>
      <c r="F11027" s="23">
        <v>46190.567557870374</v>
      </c>
      <c r="G11027" s="24">
        <v>1</v>
      </c>
      <c r="H11027" s="24">
        <v>2</v>
      </c>
      <c r="I11027" s="24">
        <v>0</v>
      </c>
      <c r="J11027" s="25"/>
      <c r="K11027" s="24">
        <v>0</v>
      </c>
      <c r="L11027" s="22" t="str">
        <f>HYPERLINK("https://otsuka-europe-crm.veevavault.com/ui/#object/approved_document__v/V5O00000000G060", "AE - AGGIORNAMENTI SEZIONE APPROFONDIMENTI IMMUNO IT-NPR-2500150")</f>
        <v>AE - AGGIORNAMENTI SEZIONE APPROFONDIMENTI IMMUNO IT-NPR-2500150</v>
      </c>
      <c r="M11027" s="22" t="str">
        <f>HYPERLINK("mailto:giada.camassa@outsuka.it", "giada.camassa@outsuka.it")</f>
        <v>giada.camassa@outsuka.it</v>
      </c>
      <c r="N11027" s="23">
        <v>46190.338055555556</v>
      </c>
      <c r="O11027" s="14" t="str">
        <f>HYPERLINK("https://otsuka-europe-crm.veevavault.com/ui/#object/email_activity__v/V8C00000003W432", "EN-002097716")</f>
        <v>EN-002097716</v>
      </c>
    </row>
    <row r="11028" spans="1:15" ht="16" x14ac:dyDescent="0.2">
      <c r="A11028" s="18"/>
      <c r="B11028" s="18"/>
      <c r="C11028" s="18"/>
      <c r="D11028" s="18"/>
      <c r="E11028" s="18"/>
      <c r="F11028" s="18"/>
      <c r="G11028" s="18"/>
      <c r="H11028" s="18"/>
      <c r="I11028" s="18"/>
      <c r="J11028" s="18"/>
      <c r="K11028" s="18"/>
      <c r="L11028" s="18"/>
      <c r="M11028" s="18"/>
      <c r="N11028" s="18"/>
      <c r="O11028" s="14" t="str">
        <f>HYPERLINK("https://otsuka-europe-crm.veevavault.com/ui/#object/email_activity__v/V8C00000003W711", "EN-002098407")</f>
        <v>EN-002098407</v>
      </c>
    </row>
    <row r="11029" spans="1:15" ht="16" x14ac:dyDescent="0.2">
      <c r="A11029" s="19"/>
      <c r="B11029" s="19"/>
      <c r="C11029" s="19"/>
      <c r="D11029" s="19"/>
      <c r="E11029" s="19"/>
      <c r="F11029" s="19"/>
      <c r="G11029" s="19"/>
      <c r="H11029" s="19"/>
      <c r="I11029" s="19"/>
      <c r="J11029" s="19"/>
      <c r="K11029" s="19"/>
      <c r="L11029" s="19"/>
      <c r="M11029" s="19"/>
      <c r="N11029" s="19"/>
      <c r="O11029" s="14" t="str">
        <f>HYPERLINK("https://otsuka-europe-crm.veevavault.com/ui/#object/email_activity__v/V8C00000003X542", "EN-002097825")</f>
        <v>EN-002097825</v>
      </c>
    </row>
    <row r="11030" spans="1:15" ht="64" x14ac:dyDescent="0.2">
      <c r="A11030" s="7" t="str">
        <f>HYPERLINK("https://otsuka-europe-crm.veevavault.com/ui/#object/account__v/V4TZ025E85L261E", "OTTAVIA MAGNANI")</f>
        <v>OTTAVIA MAGNANI</v>
      </c>
      <c r="B11030" s="7" t="str">
        <f>HYPERLINK("https://otsuka-europe-crm.veevavault.com/ui/#object/vcountry__v/VENZ000004SONFQ", "IT")</f>
        <v>IT</v>
      </c>
      <c r="C11030" s="8" t="s">
        <v>44</v>
      </c>
      <c r="D11030" s="9" t="str">
        <f>HYPERLINK("https://otsuka-europe-crm.veevavault.com/ui/#object/approved_document__v/V5O00000000G060", "AE - AGGIORNAMENTI SEZIONE APPROFONDIMENTI IMMUNO IT-NPR-2500150")</f>
        <v>AE - AGGIORNAMENTI SEZIONE APPROFONDIMENTI IMMUNO IT-NPR-2500150</v>
      </c>
      <c r="E11030" s="10" t="str">
        <f>HYPERLINK("https://otsuka-europe-crm.veevavault.com/ui/#object/sent_email__v/VBL00000002V051", "SE-001436940")</f>
        <v>SE-001436940</v>
      </c>
      <c r="F11030" s="11"/>
      <c r="G11030" s="12">
        <v>0</v>
      </c>
      <c r="H11030" s="12">
        <v>0</v>
      </c>
      <c r="I11030" s="12">
        <v>0</v>
      </c>
      <c r="J11030" s="11"/>
      <c r="K11030" s="12">
        <v>0</v>
      </c>
      <c r="L11030" s="10" t="str">
        <f>HYPERLINK("https://otsuka-europe-crm.veevavault.com/ui/#object/approved_document__v/V5O00000000G060", "AE - AGGIORNAMENTI SEZIONE APPROFONDIMENTI IMMUNO IT-NPR-2500150")</f>
        <v>AE - AGGIORNAMENTI SEZIONE APPROFONDIMENTI IMMUNO IT-NPR-2500150</v>
      </c>
      <c r="M11030" s="10" t="str">
        <f>HYPERLINK("mailto:giada.camassa@outsuka.it", "giada.camassa@outsuka.it")</f>
        <v>giada.camassa@outsuka.it</v>
      </c>
      <c r="N11030" s="13">
        <v>46190.338101851848</v>
      </c>
      <c r="O11030" s="14" t="str">
        <f>HYPERLINK("https://otsuka-europe-crm.veevavault.com/ui/#object/email_activity__v/V8C00000003W485", "EN-002097847")</f>
        <v>EN-002097847</v>
      </c>
    </row>
    <row r="11031" spans="1:15" ht="64" x14ac:dyDescent="0.2">
      <c r="A11031" s="7" t="str">
        <f>HYPERLINK("https://otsuka-europe-crm.veevavault.com/ui/#object/account__v/V4TZ04ASGGARF20", "PAOLA PARRONCHI")</f>
        <v>PAOLA PARRONCHI</v>
      </c>
      <c r="B11031" s="7" t="str">
        <f>HYPERLINK("https://otsuka-europe-crm.veevavault.com/ui/#object/vcountry__v/VENZ000004SONFQ", "IT")</f>
        <v>IT</v>
      </c>
      <c r="C11031" s="8" t="s">
        <v>44</v>
      </c>
      <c r="D11031" s="9" t="str">
        <f>HYPERLINK("https://otsuka-europe-crm.veevavault.com/ui/#object/approved_document__v/V5O00000000G060", "AE - AGGIORNAMENTI SEZIONE APPROFONDIMENTI IMMUNO IT-NPR-2500150")</f>
        <v>AE - AGGIORNAMENTI SEZIONE APPROFONDIMENTI IMMUNO IT-NPR-2500150</v>
      </c>
      <c r="E11031" s="10" t="str">
        <f>HYPERLINK("https://otsuka-europe-crm.veevavault.com/ui/#object/sent_email__v/VBL00000002V052", "SE-001436941")</f>
        <v>SE-001436941</v>
      </c>
      <c r="F11031" s="11"/>
      <c r="G11031" s="12">
        <v>0</v>
      </c>
      <c r="H11031" s="12">
        <v>0</v>
      </c>
      <c r="I11031" s="12">
        <v>0</v>
      </c>
      <c r="J11031" s="11"/>
      <c r="K11031" s="12">
        <v>0</v>
      </c>
      <c r="L11031" s="10" t="str">
        <f>HYPERLINK("https://otsuka-europe-crm.veevavault.com/ui/#object/approved_document__v/V5O00000000G060", "AE - AGGIORNAMENTI SEZIONE APPROFONDIMENTI IMMUNO IT-NPR-2500150")</f>
        <v>AE - AGGIORNAMENTI SEZIONE APPROFONDIMENTI IMMUNO IT-NPR-2500150</v>
      </c>
      <c r="M11031" s="10" t="str">
        <f>HYPERLINK("mailto:giada.camassa@outsuka.it", "giada.camassa@outsuka.it")</f>
        <v>giada.camassa@outsuka.it</v>
      </c>
      <c r="N11031" s="13">
        <v>46190.337916666664</v>
      </c>
      <c r="O11031" s="14" t="str">
        <f>HYPERLINK("https://otsuka-europe-crm.veevavault.com/ui/#object/email_activity__v/V8C00000003X519", "EN-002097762")</f>
        <v>EN-002097762</v>
      </c>
    </row>
    <row r="11032" spans="1:15" ht="16" x14ac:dyDescent="0.2">
      <c r="A11032" s="17" t="str">
        <f>HYPERLINK("https://otsuka-europe-crm.veevavault.com/ui/#object/account__v/V4TZ04ASGF6HZ4B", "VALERIA FABBRI")</f>
        <v>VALERIA FABBRI</v>
      </c>
      <c r="B11032" s="17" t="str">
        <f>HYPERLINK("https://otsuka-europe-crm.veevavault.com/ui/#object/vcountry__v/VENZ000004SONFQ", "IT")</f>
        <v>IT</v>
      </c>
      <c r="C11032" s="20" t="s">
        <v>44</v>
      </c>
      <c r="D11032" s="21" t="str">
        <f>HYPERLINK("https://otsuka-europe-crm.veevavault.com/ui/#object/approved_document__v/V5O00000000G060", "AE - AGGIORNAMENTI SEZIONE APPROFONDIMENTI IMMUNO IT-NPR-2500150")</f>
        <v>AE - AGGIORNAMENTI SEZIONE APPROFONDIMENTI IMMUNO IT-NPR-2500150</v>
      </c>
      <c r="E11032" s="22" t="str">
        <f>HYPERLINK("https://otsuka-europe-crm.veevavault.com/ui/#object/sent_email__v/VBL00000002V053", "SE-001436942")</f>
        <v>SE-001436942</v>
      </c>
      <c r="F11032" s="23">
        <v>46190.339236111111</v>
      </c>
      <c r="G11032" s="24">
        <v>1</v>
      </c>
      <c r="H11032" s="24">
        <v>3</v>
      </c>
      <c r="I11032" s="24">
        <v>0</v>
      </c>
      <c r="J11032" s="25"/>
      <c r="K11032" s="24">
        <v>0</v>
      </c>
      <c r="L11032" s="22" t="str">
        <f>HYPERLINK("https://otsuka-europe-crm.veevavault.com/ui/#object/approved_document__v/V5O00000000G060", "AE - AGGIORNAMENTI SEZIONE APPROFONDIMENTI IMMUNO IT-NPR-2500150")</f>
        <v>AE - AGGIORNAMENTI SEZIONE APPROFONDIMENTI IMMUNO IT-NPR-2500150</v>
      </c>
      <c r="M11032" s="22" t="str">
        <f>HYPERLINK("mailto:giada.camassa@outsuka.it", "giada.camassa@outsuka.it")</f>
        <v>giada.camassa@outsuka.it</v>
      </c>
      <c r="N11032" s="23">
        <v>46190.338043981479</v>
      </c>
      <c r="O11032" s="14" t="str">
        <f>HYPERLINK("https://otsuka-europe-crm.veevavault.com/ui/#object/email_activity__v/V8C00000003W447", "EN-002097731")</f>
        <v>EN-002097731</v>
      </c>
    </row>
    <row r="11033" spans="1:15" ht="16" x14ac:dyDescent="0.2">
      <c r="A11033" s="18"/>
      <c r="B11033" s="18"/>
      <c r="C11033" s="18"/>
      <c r="D11033" s="18"/>
      <c r="E11033" s="18"/>
      <c r="F11033" s="18"/>
      <c r="G11033" s="18"/>
      <c r="H11033" s="18"/>
      <c r="I11033" s="18"/>
      <c r="J11033" s="18"/>
      <c r="K11033" s="18"/>
      <c r="L11033" s="18"/>
      <c r="M11033" s="18"/>
      <c r="N11033" s="18"/>
      <c r="O11033" s="14" t="str">
        <f>HYPERLINK("https://otsuka-europe-crm.veevavault.com/ui/#object/email_activity__v/V8C00000003W491", "EN-002097880")</f>
        <v>EN-002097880</v>
      </c>
    </row>
    <row r="11034" spans="1:15" ht="16" x14ac:dyDescent="0.2">
      <c r="A11034" s="18"/>
      <c r="B11034" s="18"/>
      <c r="C11034" s="18"/>
      <c r="D11034" s="18"/>
      <c r="E11034" s="18"/>
      <c r="F11034" s="18"/>
      <c r="G11034" s="18"/>
      <c r="H11034" s="18"/>
      <c r="I11034" s="18"/>
      <c r="J11034" s="18"/>
      <c r="K11034" s="18"/>
      <c r="L11034" s="18"/>
      <c r="M11034" s="18"/>
      <c r="N11034" s="18"/>
      <c r="O11034" s="14" t="str">
        <f>HYPERLINK("https://otsuka-europe-crm.veevavault.com/ui/#object/email_activity__v/V8C00000003W551", "EN-002098047")</f>
        <v>EN-002098047</v>
      </c>
    </row>
    <row r="11035" spans="1:15" ht="16" x14ac:dyDescent="0.2">
      <c r="A11035" s="19"/>
      <c r="B11035" s="19"/>
      <c r="C11035" s="19"/>
      <c r="D11035" s="19"/>
      <c r="E11035" s="19"/>
      <c r="F11035" s="19"/>
      <c r="G11035" s="19"/>
      <c r="H11035" s="19"/>
      <c r="I11035" s="19"/>
      <c r="J11035" s="19"/>
      <c r="K11035" s="19"/>
      <c r="L11035" s="19"/>
      <c r="M11035" s="19"/>
      <c r="N11035" s="19"/>
      <c r="O11035" s="14" t="str">
        <f>HYPERLINK("https://otsuka-europe-crm.veevavault.com/ui/#object/email_activity__v/V8C00000003X614", "EN-002097936")</f>
        <v>EN-002097936</v>
      </c>
    </row>
    <row r="11036" spans="1:15" ht="16" x14ac:dyDescent="0.2">
      <c r="A11036" s="17" t="str">
        <f>HYPERLINK("https://otsuka-europe-crm.veevavault.com/ui/#object/account__v/V4TZ04ASGE0FHC5", "ALBERTO BERGAMINI")</f>
        <v>ALBERTO BERGAMINI</v>
      </c>
      <c r="B11036" s="17" t="str">
        <f>HYPERLINK("https://otsuka-europe-crm.veevavault.com/ui/#object/vcountry__v/VENZ000004SONFQ", "IT")</f>
        <v>IT</v>
      </c>
      <c r="C11036" s="20" t="s">
        <v>44</v>
      </c>
      <c r="D11036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1036" s="22" t="str">
        <f>HYPERLINK("https://otsuka-europe-crm.veevavault.com/ui/#object/sent_email__v/VBL00000002V054", "SE-001436943")</f>
        <v>SE-001436943</v>
      </c>
      <c r="F11036" s="25"/>
      <c r="G11036" s="24">
        <v>0</v>
      </c>
      <c r="H11036" s="24">
        <v>0</v>
      </c>
      <c r="I11036" s="24">
        <v>0</v>
      </c>
      <c r="J11036" s="25"/>
      <c r="K11036" s="24">
        <v>0</v>
      </c>
      <c r="L11036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1036" s="22" t="str">
        <f>HYPERLINK("mailto:giada.camassa@outsuka.it", "giada.camassa@outsuka.it")</f>
        <v>giada.camassa@outsuka.it</v>
      </c>
      <c r="N11036" s="23">
        <v>46190.338125000002</v>
      </c>
      <c r="O11036" s="14" t="str">
        <f>HYPERLINK("https://otsuka-europe-crm.veevavault.com/ui/#object/email_activity__v/V8C00000003W511", "EN-002097921")</f>
        <v>EN-002097921</v>
      </c>
    </row>
    <row r="11037" spans="1:15" ht="16" x14ac:dyDescent="0.2">
      <c r="A11037" s="18"/>
      <c r="B11037" s="18"/>
      <c r="C11037" s="18"/>
      <c r="D11037" s="18"/>
      <c r="E11037" s="18"/>
      <c r="F11037" s="18"/>
      <c r="G11037" s="18"/>
      <c r="H11037" s="18"/>
      <c r="I11037" s="18"/>
      <c r="J11037" s="18"/>
      <c r="K11037" s="18"/>
      <c r="L11037" s="18"/>
      <c r="M11037" s="18"/>
      <c r="N11037" s="18"/>
      <c r="O11037" s="14" t="str">
        <f>HYPERLINK("https://otsuka-europe-crm.veevavault.com/ui/#object/email_activity__v/V8C00000003X602", "EN-002097920")</f>
        <v>EN-002097920</v>
      </c>
    </row>
    <row r="11038" spans="1:15" ht="16" x14ac:dyDescent="0.2">
      <c r="A11038" s="19"/>
      <c r="B11038" s="19"/>
      <c r="C11038" s="19"/>
      <c r="D11038" s="19"/>
      <c r="E11038" s="19"/>
      <c r="F11038" s="19"/>
      <c r="G11038" s="19"/>
      <c r="H11038" s="19"/>
      <c r="I11038" s="19"/>
      <c r="J11038" s="19"/>
      <c r="K11038" s="19"/>
      <c r="L11038" s="19"/>
      <c r="M11038" s="19"/>
      <c r="N11038" s="19"/>
      <c r="O11038" s="14" t="str">
        <f>HYPERLINK("https://otsuka-europe-crm.veevavault.com/ui/#object/email_activity__v/V8C00000003Z017", "EN-002098680")</f>
        <v>EN-002098680</v>
      </c>
    </row>
    <row r="11039" spans="1:15" ht="16" x14ac:dyDescent="0.2">
      <c r="A11039" s="17" t="str">
        <f>HYPERLINK("https://otsuka-europe-crm.veevavault.com/ui/#object/account__v/V4TZ025E87GB92D", "ALBERTO CAULI")</f>
        <v>ALBERTO CAULI</v>
      </c>
      <c r="B11039" s="17" t="str">
        <f>HYPERLINK("https://otsuka-europe-crm.veevavault.com/ui/#object/vcountry__v/VENZ000004SONFQ", "IT")</f>
        <v>IT</v>
      </c>
      <c r="C11039" s="20" t="s">
        <v>44</v>
      </c>
      <c r="D11039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1039" s="22" t="str">
        <f>HYPERLINK("https://otsuka-europe-crm.veevavault.com/ui/#object/sent_email__v/VBL00000002V055", "SE-001436944")</f>
        <v>SE-001436944</v>
      </c>
      <c r="F11039" s="23">
        <v>46190.338275462964</v>
      </c>
      <c r="G11039" s="24">
        <v>1</v>
      </c>
      <c r="H11039" s="24">
        <v>1</v>
      </c>
      <c r="I11039" s="24">
        <v>0</v>
      </c>
      <c r="J11039" s="25"/>
      <c r="K11039" s="24">
        <v>0</v>
      </c>
      <c r="L11039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1039" s="22" t="str">
        <f>HYPERLINK("mailto:giada.camassa@outsuka.it", "giada.camassa@outsuka.it")</f>
        <v>giada.camassa@outsuka.it</v>
      </c>
      <c r="N11039" s="23">
        <v>46190.337962962964</v>
      </c>
      <c r="O11039" s="14" t="str">
        <f>HYPERLINK("https://otsuka-europe-crm.veevavault.com/ui/#object/email_activity__v/V8C00000003W417", "EN-002097696")</f>
        <v>EN-002097696</v>
      </c>
    </row>
    <row r="11040" spans="1:15" ht="16" x14ac:dyDescent="0.2">
      <c r="A11040" s="18"/>
      <c r="B11040" s="18"/>
      <c r="C11040" s="18"/>
      <c r="D11040" s="18"/>
      <c r="E11040" s="18"/>
      <c r="F11040" s="18"/>
      <c r="G11040" s="18"/>
      <c r="H11040" s="18"/>
      <c r="I11040" s="18"/>
      <c r="J11040" s="18"/>
      <c r="K11040" s="18"/>
      <c r="L11040" s="18"/>
      <c r="M11040" s="18"/>
      <c r="N11040" s="18"/>
      <c r="O11040" s="14" t="str">
        <f>HYPERLINK("https://otsuka-europe-crm.veevavault.com/ui/#object/email_activity__v/V8C00000003W719", "EN-002098426")</f>
        <v>EN-002098426</v>
      </c>
    </row>
    <row r="11041" spans="1:15" ht="16" x14ac:dyDescent="0.2">
      <c r="A11041" s="18"/>
      <c r="B11041" s="18"/>
      <c r="C11041" s="18"/>
      <c r="D11041" s="18"/>
      <c r="E11041" s="18"/>
      <c r="F11041" s="18"/>
      <c r="G11041" s="18"/>
      <c r="H11041" s="18"/>
      <c r="I11041" s="18"/>
      <c r="J11041" s="18"/>
      <c r="K11041" s="18"/>
      <c r="L11041" s="18"/>
      <c r="M11041" s="18"/>
      <c r="N11041" s="18"/>
      <c r="O11041" s="14" t="str">
        <f>HYPERLINK("https://otsuka-europe-crm.veevavault.com/ui/#object/email_activity__v/V8C00000003W739", "EN-002098473")</f>
        <v>EN-002098473</v>
      </c>
    </row>
    <row r="11042" spans="1:15" ht="16" x14ac:dyDescent="0.2">
      <c r="A11042" s="19"/>
      <c r="B11042" s="19"/>
      <c r="C11042" s="19"/>
      <c r="D11042" s="19"/>
      <c r="E11042" s="19"/>
      <c r="F11042" s="19"/>
      <c r="G11042" s="19"/>
      <c r="H11042" s="19"/>
      <c r="I11042" s="19"/>
      <c r="J11042" s="19"/>
      <c r="K11042" s="19"/>
      <c r="L11042" s="19"/>
      <c r="M11042" s="19"/>
      <c r="N11042" s="19"/>
      <c r="O11042" s="14" t="str">
        <f>HYPERLINK("https://otsuka-europe-crm.veevavault.com/ui/#object/email_activity__v/V8C00000003X583", "EN-002097885")</f>
        <v>EN-002097885</v>
      </c>
    </row>
    <row r="11043" spans="1:15" ht="64" x14ac:dyDescent="0.2">
      <c r="A11043" s="7" t="str">
        <f>HYPERLINK("https://otsuka-europe-crm.veevavault.com/ui/#object/account__v/V4TZ025E845CEQK", "ALBERTO MIGLIORE")</f>
        <v>ALBERTO MIGLIORE</v>
      </c>
      <c r="B11043" s="7" t="str">
        <f>HYPERLINK("https://otsuka-europe-crm.veevavault.com/ui/#object/vcountry__v/VENZ000004SONFQ", "IT")</f>
        <v>IT</v>
      </c>
      <c r="C11043" s="8" t="s">
        <v>44</v>
      </c>
      <c r="D11043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1043" s="10" t="str">
        <f>HYPERLINK("https://otsuka-europe-crm.veevavault.com/ui/#object/sent_email__v/VBL00000002V056", "SE-001436945")</f>
        <v>SE-001436945</v>
      </c>
      <c r="F11043" s="11"/>
      <c r="G11043" s="12">
        <v>0</v>
      </c>
      <c r="H11043" s="12">
        <v>0</v>
      </c>
      <c r="I11043" s="12">
        <v>0</v>
      </c>
      <c r="J11043" s="11"/>
      <c r="K11043" s="12">
        <v>0</v>
      </c>
      <c r="L11043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1043" s="10" t="str">
        <f>HYPERLINK("mailto:giada.camassa@outsuka.it", "giada.camassa@outsuka.it")</f>
        <v>giada.camassa@outsuka.it</v>
      </c>
      <c r="N11043" s="13">
        <v>46190.339988425927</v>
      </c>
      <c r="O11043" s="14" t="str">
        <f>HYPERLINK("https://otsuka-europe-crm.veevavault.com/ui/#object/email_activity__v/V8C00000003X766", "EN-002098169")</f>
        <v>EN-002098169</v>
      </c>
    </row>
    <row r="11044" spans="1:15" ht="16" x14ac:dyDescent="0.2">
      <c r="A11044" s="17" t="str">
        <f>HYPERLINK("https://otsuka-europe-crm.veevavault.com/ui/#object/account__v/V4TZ025E85O6U4Y", "ALBERTO SULLI")</f>
        <v>ALBERTO SULLI</v>
      </c>
      <c r="B11044" s="17" t="str">
        <f>HYPERLINK("https://otsuka-europe-crm.veevavault.com/ui/#object/vcountry__v/VENZ000004SONFQ", "IT")</f>
        <v>IT</v>
      </c>
      <c r="C11044" s="20" t="s">
        <v>44</v>
      </c>
      <c r="D11044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1044" s="22" t="str">
        <f>HYPERLINK("https://otsuka-europe-crm.veevavault.com/ui/#object/sent_email__v/VBL00000002V057", "SE-001436946")</f>
        <v>SE-001436946</v>
      </c>
      <c r="F11044" s="23">
        <v>46190.541354166664</v>
      </c>
      <c r="G11044" s="24">
        <v>1</v>
      </c>
      <c r="H11044" s="24">
        <v>2</v>
      </c>
      <c r="I11044" s="24">
        <v>0</v>
      </c>
      <c r="J11044" s="25"/>
      <c r="K11044" s="24">
        <v>0</v>
      </c>
      <c r="L11044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1044" s="22" t="str">
        <f>HYPERLINK("mailto:giada.camassa@outsuka.it", "giada.camassa@outsuka.it")</f>
        <v>giada.camassa@outsuka.it</v>
      </c>
      <c r="N11044" s="23">
        <v>46190.339525462965</v>
      </c>
      <c r="O11044" s="14" t="str">
        <f>HYPERLINK("https://otsuka-europe-crm.veevavault.com/ui/#object/email_activity__v/V8C00000003W577", "EN-002098116")</f>
        <v>EN-002098116</v>
      </c>
    </row>
    <row r="11045" spans="1:15" ht="16" x14ac:dyDescent="0.2">
      <c r="A11045" s="18"/>
      <c r="B11045" s="18"/>
      <c r="C11045" s="18"/>
      <c r="D11045" s="18"/>
      <c r="E11045" s="18"/>
      <c r="F11045" s="18"/>
      <c r="G11045" s="18"/>
      <c r="H11045" s="18"/>
      <c r="I11045" s="18"/>
      <c r="J11045" s="18"/>
      <c r="K11045" s="18"/>
      <c r="L11045" s="18"/>
      <c r="M11045" s="18"/>
      <c r="N11045" s="18"/>
      <c r="O11045" s="14" t="str">
        <f>HYPERLINK("https://otsuka-europe-crm.veevavault.com/ui/#object/email_activity__v/V8C00000003W707", "EN-002098396")</f>
        <v>EN-002098396</v>
      </c>
    </row>
    <row r="11046" spans="1:15" ht="16" x14ac:dyDescent="0.2">
      <c r="A11046" s="18"/>
      <c r="B11046" s="18"/>
      <c r="C11046" s="18"/>
      <c r="D11046" s="18"/>
      <c r="E11046" s="18"/>
      <c r="F11046" s="18"/>
      <c r="G11046" s="18"/>
      <c r="H11046" s="18"/>
      <c r="I11046" s="18"/>
      <c r="J11046" s="18"/>
      <c r="K11046" s="18"/>
      <c r="L11046" s="18"/>
      <c r="M11046" s="18"/>
      <c r="N11046" s="18"/>
      <c r="O11046" s="14" t="str">
        <f>HYPERLINK("https://otsuka-europe-crm.veevavault.com/ui/#object/email_activity__v/V8C00000003X727", "EN-002098109")</f>
        <v>EN-002098109</v>
      </c>
    </row>
    <row r="11047" spans="1:15" ht="16" x14ac:dyDescent="0.2">
      <c r="A11047" s="19"/>
      <c r="B11047" s="19"/>
      <c r="C11047" s="19"/>
      <c r="D11047" s="19"/>
      <c r="E11047" s="19"/>
      <c r="F11047" s="19"/>
      <c r="G11047" s="19"/>
      <c r="H11047" s="19"/>
      <c r="I11047" s="19"/>
      <c r="J11047" s="19"/>
      <c r="K11047" s="19"/>
      <c r="L11047" s="19"/>
      <c r="M11047" s="19"/>
      <c r="N11047" s="19"/>
      <c r="O11047" s="14" t="str">
        <f>HYPERLINK("https://otsuka-europe-crm.veevavault.com/ui/#object/email_activity__v/V8C000000040019", "EN-002098737")</f>
        <v>EN-002098737</v>
      </c>
    </row>
    <row r="11048" spans="1:15" ht="64" x14ac:dyDescent="0.2">
      <c r="A11048" s="7" t="str">
        <f>HYPERLINK("https://otsuka-europe-crm.veevavault.com/ui/#object/account__v/V4TZ025E839XVA0", "ALESSANDRA BEZZI")</f>
        <v>ALESSANDRA BEZZI</v>
      </c>
      <c r="B11048" s="7" t="str">
        <f>HYPERLINK("https://otsuka-europe-crm.veevavault.com/ui/#object/vcountry__v/VENZ000004SONFQ", "IT")</f>
        <v>IT</v>
      </c>
      <c r="C11048" s="8" t="s">
        <v>44</v>
      </c>
      <c r="D11048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1048" s="10" t="str">
        <f>HYPERLINK("https://otsuka-europe-crm.veevavault.com/ui/#object/sent_email__v/VBL00000002V058", "SE-001436947")</f>
        <v>SE-001436947</v>
      </c>
      <c r="F11048" s="11"/>
      <c r="G11048" s="12">
        <v>0</v>
      </c>
      <c r="H11048" s="12">
        <v>0</v>
      </c>
      <c r="I11048" s="12">
        <v>0</v>
      </c>
      <c r="J11048" s="11"/>
      <c r="K11048" s="12">
        <v>0</v>
      </c>
      <c r="L11048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1048" s="10" t="str">
        <f>HYPERLINK("mailto:giada.camassa@outsuka.it", "giada.camassa@outsuka.it")</f>
        <v>giada.camassa@outsuka.it</v>
      </c>
      <c r="N11048" s="13">
        <v>46190.339131944442</v>
      </c>
      <c r="O11048" s="14" t="str">
        <f>HYPERLINK("https://otsuka-europe-crm.veevavault.com/ui/#object/email_activity__v/V8C00000003X667", "EN-002098008")</f>
        <v>EN-002098008</v>
      </c>
    </row>
    <row r="11049" spans="1:15" ht="64" x14ac:dyDescent="0.2">
      <c r="A11049" s="7" t="str">
        <f>HYPERLINK("https://otsuka-europe-crm.veevavault.com/ui/#object/account__v/V4TZ025E8339TX1", "ALESSANDRA IDA CELIA")</f>
        <v>ALESSANDRA IDA CELIA</v>
      </c>
      <c r="B11049" s="7" t="str">
        <f>HYPERLINK("https://otsuka-europe-crm.veevavault.com/ui/#object/vcountry__v/VENZ000004SONFQ", "IT")</f>
        <v>IT</v>
      </c>
      <c r="C11049" s="8" t="s">
        <v>44</v>
      </c>
      <c r="D11049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1049" s="10" t="str">
        <f>HYPERLINK("https://otsuka-europe-crm.veevavault.com/ui/#object/sent_email__v/VBL00000002V059", "SE-001436948")</f>
        <v>SE-001436948</v>
      </c>
      <c r="F11049" s="11"/>
      <c r="G11049" s="12">
        <v>0</v>
      </c>
      <c r="H11049" s="12">
        <v>0</v>
      </c>
      <c r="I11049" s="12">
        <v>0</v>
      </c>
      <c r="J11049" s="11"/>
      <c r="K11049" s="12">
        <v>0</v>
      </c>
      <c r="L11049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1049" s="10" t="str">
        <f>HYPERLINK("mailto:giada.camassa@outsuka.it", "giada.camassa@outsuka.it")</f>
        <v>giada.camassa@outsuka.it</v>
      </c>
      <c r="N11049" s="13">
        <v>46190.337835648148</v>
      </c>
      <c r="O11049" s="14" t="str">
        <f>HYPERLINK("https://otsuka-europe-crm.veevavault.com/ui/#object/email_activity__v/V8C00000003X459", "EN-002097796")</f>
        <v>EN-002097796</v>
      </c>
    </row>
    <row r="11050" spans="1:15" ht="64" x14ac:dyDescent="0.2">
      <c r="A11050" s="7" t="str">
        <f>HYPERLINK("https://otsuka-europe-crm.veevavault.com/ui/#object/account__v/V4TZ025E8930OV6", "ALESSANDRO DE VITA")</f>
        <v>ALESSANDRO DE VITA</v>
      </c>
      <c r="B11050" s="7" t="str">
        <f>HYPERLINK("https://otsuka-europe-crm.veevavault.com/ui/#object/vcountry__v/VENZ000004SONFQ", "IT")</f>
        <v>IT</v>
      </c>
      <c r="C11050" s="8" t="s">
        <v>44</v>
      </c>
      <c r="D11050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1050" s="10" t="str">
        <f>HYPERLINK("https://otsuka-europe-crm.veevavault.com/ui/#object/sent_email__v/VBL00000002V060", "SE-001436949")</f>
        <v>SE-001436949</v>
      </c>
      <c r="F11050" s="11"/>
      <c r="G11050" s="12">
        <v>0</v>
      </c>
      <c r="H11050" s="12">
        <v>0</v>
      </c>
      <c r="I11050" s="12">
        <v>0</v>
      </c>
      <c r="J11050" s="11"/>
      <c r="K11050" s="12">
        <v>0</v>
      </c>
      <c r="L11050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1050" s="10" t="str">
        <f>HYPERLINK("mailto:giada.camassa@outsuka.it", "giada.camassa@outsuka.it")</f>
        <v>giada.camassa@outsuka.it</v>
      </c>
      <c r="N11050" s="13">
        <v>46190.338148148148</v>
      </c>
      <c r="O11050" s="14" t="str">
        <f>HYPERLINK("https://otsuka-europe-crm.veevavault.com/ui/#object/email_activity__v/V8C00000003X559", "EN-002097855")</f>
        <v>EN-002097855</v>
      </c>
    </row>
    <row r="11051" spans="1:15" ht="64" x14ac:dyDescent="0.2">
      <c r="A11051" s="7" t="str">
        <f>HYPERLINK("https://otsuka-europe-crm.veevavault.com/ui/#object/account__v/V4TZ04ASGEIAZRJ", "ALESSIA FIORENZA")</f>
        <v>ALESSIA FIORENZA</v>
      </c>
      <c r="B11051" s="7" t="str">
        <f>HYPERLINK("https://otsuka-europe-crm.veevavault.com/ui/#object/vcountry__v/VENZ000004SONFQ", "IT")</f>
        <v>IT</v>
      </c>
      <c r="C11051" s="8" t="s">
        <v>44</v>
      </c>
      <c r="D11051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1051" s="10" t="str">
        <f>HYPERLINK("https://otsuka-europe-crm.veevavault.com/ui/#object/sent_email__v/VBL00000002V061", "SE-001436950")</f>
        <v>SE-001436950</v>
      </c>
      <c r="F11051" s="11"/>
      <c r="G11051" s="12">
        <v>0</v>
      </c>
      <c r="H11051" s="12">
        <v>0</v>
      </c>
      <c r="I11051" s="12">
        <v>0</v>
      </c>
      <c r="J11051" s="11"/>
      <c r="K11051" s="12">
        <v>0</v>
      </c>
      <c r="L11051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1051" s="10" t="str">
        <f>HYPERLINK("mailto:giada.camassa@outsuka.it", "giada.camassa@outsuka.it")</f>
        <v>giada.camassa@outsuka.it</v>
      </c>
      <c r="N11051" s="13">
        <v>46190.337893518517</v>
      </c>
      <c r="O11051" s="14" t="str">
        <f>HYPERLINK("https://otsuka-europe-crm.veevavault.com/ui/#object/email_activity__v/V8C00000003X282", "EN-002097457")</f>
        <v>EN-002097457</v>
      </c>
    </row>
    <row r="11052" spans="1:15" ht="16" x14ac:dyDescent="0.2">
      <c r="A11052" s="17" t="str">
        <f>HYPERLINK("https://otsuka-europe-crm.veevavault.com/ui/#object/account__v/V4TZ025E82BQINH", "ALICE DIONISI")</f>
        <v>ALICE DIONISI</v>
      </c>
      <c r="B11052" s="17" t="str">
        <f>HYPERLINK("https://otsuka-europe-crm.veevavault.com/ui/#object/vcountry__v/VENZ000004SONFQ", "IT")</f>
        <v>IT</v>
      </c>
      <c r="C11052" s="20" t="s">
        <v>44</v>
      </c>
      <c r="D11052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1052" s="22" t="str">
        <f>HYPERLINK("https://otsuka-europe-crm.veevavault.com/ui/#object/sent_email__v/VBL00000002V062", "SE-001436951")</f>
        <v>SE-001436951</v>
      </c>
      <c r="F11052" s="23">
        <v>46190.640462962961</v>
      </c>
      <c r="G11052" s="24">
        <v>1</v>
      </c>
      <c r="H11052" s="24">
        <v>4</v>
      </c>
      <c r="I11052" s="24">
        <v>0</v>
      </c>
      <c r="J11052" s="25"/>
      <c r="K11052" s="24">
        <v>0</v>
      </c>
      <c r="L11052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1052" s="22" t="str">
        <f>HYPERLINK("mailto:giada.camassa@outsuka.it", "giada.camassa@outsuka.it")</f>
        <v>giada.camassa@outsuka.it</v>
      </c>
      <c r="N11052" s="23">
        <v>46190.339108796295</v>
      </c>
      <c r="O11052" s="14" t="str">
        <f>HYPERLINK("https://otsuka-europe-crm.veevavault.com/ui/#object/email_activity__v/V8C00000003W566", "EN-002098087")</f>
        <v>EN-002098087</v>
      </c>
    </row>
    <row r="11053" spans="1:15" ht="16" x14ac:dyDescent="0.2">
      <c r="A11053" s="18"/>
      <c r="B11053" s="18"/>
      <c r="C11053" s="18"/>
      <c r="D11053" s="18"/>
      <c r="E11053" s="18"/>
      <c r="F11053" s="18"/>
      <c r="G11053" s="18"/>
      <c r="H11053" s="18"/>
      <c r="I11053" s="18"/>
      <c r="J11053" s="18"/>
      <c r="K11053" s="18"/>
      <c r="L11053" s="18"/>
      <c r="M11053" s="18"/>
      <c r="N11053" s="18"/>
      <c r="O11053" s="14" t="str">
        <f>HYPERLINK("https://otsuka-europe-crm.veevavault.com/ui/#object/email_activity__v/V8C00000003W721", "EN-002098428")</f>
        <v>EN-002098428</v>
      </c>
    </row>
    <row r="11054" spans="1:15" ht="16" x14ac:dyDescent="0.2">
      <c r="A11054" s="18"/>
      <c r="B11054" s="18"/>
      <c r="C11054" s="18"/>
      <c r="D11054" s="18"/>
      <c r="E11054" s="18"/>
      <c r="F11054" s="18"/>
      <c r="G11054" s="18"/>
      <c r="H11054" s="18"/>
      <c r="I11054" s="18"/>
      <c r="J11054" s="18"/>
      <c r="K11054" s="18"/>
      <c r="L11054" s="18"/>
      <c r="M11054" s="18"/>
      <c r="N11054" s="18"/>
      <c r="O11054" s="14" t="str">
        <f>HYPERLINK("https://otsuka-europe-crm.veevavault.com/ui/#object/email_activity__v/V8C00000003W722", "EN-002098429")</f>
        <v>EN-002098429</v>
      </c>
    </row>
    <row r="11055" spans="1:15" ht="16" x14ac:dyDescent="0.2">
      <c r="A11055" s="18"/>
      <c r="B11055" s="18"/>
      <c r="C11055" s="18"/>
      <c r="D11055" s="18"/>
      <c r="E11055" s="18"/>
      <c r="F11055" s="18"/>
      <c r="G11055" s="18"/>
      <c r="H11055" s="18"/>
      <c r="I11055" s="18"/>
      <c r="J11055" s="18"/>
      <c r="K11055" s="18"/>
      <c r="L11055" s="18"/>
      <c r="M11055" s="18"/>
      <c r="N11055" s="18"/>
      <c r="O11055" s="14" t="str">
        <f>HYPERLINK("https://otsuka-europe-crm.veevavault.com/ui/#object/email_activity__v/V8C00000003X688", "EN-002098042")</f>
        <v>EN-002098042</v>
      </c>
    </row>
    <row r="11056" spans="1:15" ht="16" x14ac:dyDescent="0.2">
      <c r="A11056" s="19"/>
      <c r="B11056" s="19"/>
      <c r="C11056" s="19"/>
      <c r="D11056" s="19"/>
      <c r="E11056" s="19"/>
      <c r="F11056" s="19"/>
      <c r="G11056" s="19"/>
      <c r="H11056" s="19"/>
      <c r="I11056" s="19"/>
      <c r="J11056" s="19"/>
      <c r="K11056" s="19"/>
      <c r="L11056" s="19"/>
      <c r="M11056" s="19"/>
      <c r="N11056" s="19"/>
      <c r="O11056" s="14" t="str">
        <f>HYPERLINK("https://otsuka-europe-crm.veevavault.com/ui/#object/email_activity__v/V8C00000003X900", "EN-002098430")</f>
        <v>EN-002098430</v>
      </c>
    </row>
    <row r="11057" spans="1:15" ht="16" x14ac:dyDescent="0.2">
      <c r="A11057" s="17" t="str">
        <f>HYPERLINK("https://otsuka-europe-crm.veevavault.com/ui/#object/account__v/V4TZ025E849FK9N", "ANDREA LOCATELLI")</f>
        <v>ANDREA LOCATELLI</v>
      </c>
      <c r="B11057" s="17" t="str">
        <f>HYPERLINK("https://otsuka-europe-crm.veevavault.com/ui/#object/vcountry__v/VENZ000004SONFQ", "IT")</f>
        <v>IT</v>
      </c>
      <c r="C11057" s="20" t="s">
        <v>44</v>
      </c>
      <c r="D11057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1057" s="22" t="str">
        <f>HYPERLINK("https://otsuka-europe-crm.veevavault.com/ui/#object/sent_email__v/VBL00000002V063", "SE-001436952")</f>
        <v>SE-001436952</v>
      </c>
      <c r="F11057" s="23">
        <v>46190.340798611112</v>
      </c>
      <c r="G11057" s="24">
        <v>1</v>
      </c>
      <c r="H11057" s="24">
        <v>3</v>
      </c>
      <c r="I11057" s="24">
        <v>0</v>
      </c>
      <c r="J11057" s="25"/>
      <c r="K11057" s="24">
        <v>0</v>
      </c>
      <c r="L11057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1057" s="22" t="str">
        <f>HYPERLINK("mailto:giada.camassa@outsuka.it", "giada.camassa@outsuka.it")</f>
        <v>giada.camassa@outsuka.it</v>
      </c>
      <c r="N11057" s="23">
        <v>46190.339606481481</v>
      </c>
      <c r="O11057" s="14" t="str">
        <f>HYPERLINK("https://otsuka-europe-crm.veevavault.com/ui/#object/email_activity__v/V8C00000003W574", "EN-002098104")</f>
        <v>EN-002098104</v>
      </c>
    </row>
    <row r="11058" spans="1:15" ht="16" x14ac:dyDescent="0.2">
      <c r="A11058" s="18"/>
      <c r="B11058" s="18"/>
      <c r="C11058" s="18"/>
      <c r="D11058" s="18"/>
      <c r="E11058" s="18"/>
      <c r="F11058" s="18"/>
      <c r="G11058" s="18"/>
      <c r="H11058" s="18"/>
      <c r="I11058" s="18"/>
      <c r="J11058" s="18"/>
      <c r="K11058" s="18"/>
      <c r="L11058" s="18"/>
      <c r="M11058" s="18"/>
      <c r="N11058" s="18"/>
      <c r="O11058" s="14" t="str">
        <f>HYPERLINK("https://otsuka-europe-crm.veevavault.com/ui/#object/email_activity__v/V8C00000003W592", "EN-002098155")</f>
        <v>EN-002098155</v>
      </c>
    </row>
    <row r="11059" spans="1:15" ht="16" x14ac:dyDescent="0.2">
      <c r="A11059" s="18"/>
      <c r="B11059" s="18"/>
      <c r="C11059" s="18"/>
      <c r="D11059" s="18"/>
      <c r="E11059" s="18"/>
      <c r="F11059" s="18"/>
      <c r="G11059" s="18"/>
      <c r="H11059" s="18"/>
      <c r="I11059" s="18"/>
      <c r="J11059" s="18"/>
      <c r="K11059" s="18"/>
      <c r="L11059" s="18"/>
      <c r="M11059" s="18"/>
      <c r="N11059" s="18"/>
      <c r="O11059" s="14" t="str">
        <f>HYPERLINK("https://otsuka-europe-crm.veevavault.com/ui/#object/email_activity__v/V8C00000003X788", "EN-002098200")</f>
        <v>EN-002098200</v>
      </c>
    </row>
    <row r="11060" spans="1:15" ht="16" x14ac:dyDescent="0.2">
      <c r="A11060" s="19"/>
      <c r="B11060" s="19"/>
      <c r="C11060" s="19"/>
      <c r="D11060" s="19"/>
      <c r="E11060" s="19"/>
      <c r="F11060" s="19"/>
      <c r="G11060" s="19"/>
      <c r="H11060" s="19"/>
      <c r="I11060" s="19"/>
      <c r="J11060" s="19"/>
      <c r="K11060" s="19"/>
      <c r="L11060" s="19"/>
      <c r="M11060" s="19"/>
      <c r="N11060" s="19"/>
      <c r="O11060" s="14" t="str">
        <f>HYPERLINK("https://otsuka-europe-crm.veevavault.com/ui/#object/email_activity__v/V8C00000003X796", "EN-002098210")</f>
        <v>EN-002098210</v>
      </c>
    </row>
    <row r="11061" spans="1:15" ht="64" x14ac:dyDescent="0.2">
      <c r="A11061" s="7" t="str">
        <f>HYPERLINK("https://otsuka-europe-crm.veevavault.com/ui/#object/account__v/V4TZ025E844MH0L", "BRUNO LUCCHINO")</f>
        <v>BRUNO LUCCHINO</v>
      </c>
      <c r="B11061" s="7" t="str">
        <f>HYPERLINK("https://otsuka-europe-crm.veevavault.com/ui/#object/vcountry__v/VENZ000004SONFQ", "IT")</f>
        <v>IT</v>
      </c>
      <c r="C11061" s="8" t="s">
        <v>44</v>
      </c>
      <c r="D11061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1061" s="10" t="str">
        <f>HYPERLINK("https://otsuka-europe-crm.veevavault.com/ui/#object/sent_email__v/VBL00000002V065", "SE-001436954")</f>
        <v>SE-001436954</v>
      </c>
      <c r="F11061" s="11"/>
      <c r="G11061" s="12">
        <v>0</v>
      </c>
      <c r="H11061" s="12">
        <v>0</v>
      </c>
      <c r="I11061" s="12">
        <v>0</v>
      </c>
      <c r="J11061" s="11"/>
      <c r="K11061" s="12">
        <v>0</v>
      </c>
      <c r="L11061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1061" s="10" t="str">
        <f>HYPERLINK("mailto:giada.camassa@outsuka.it", "giada.camassa@outsuka.it")</f>
        <v>giada.camassa@outsuka.it</v>
      </c>
      <c r="N11061" s="13">
        <v>46190.337916666664</v>
      </c>
      <c r="O11061" s="14" t="str">
        <f>HYPERLINK("https://otsuka-europe-crm.veevavault.com/ui/#object/email_activity__v/V8C00000003X281", "EN-002097456")</f>
        <v>EN-002097456</v>
      </c>
    </row>
    <row r="11062" spans="1:15" ht="64" x14ac:dyDescent="0.2">
      <c r="A11062" s="7" t="str">
        <f>HYPERLINK("https://otsuka-europe-crm.veevavault.com/ui/#object/account__v/V4TZ04ASGB4TP96", "CARLO SALVARANI")</f>
        <v>CARLO SALVARANI</v>
      </c>
      <c r="B11062" s="7" t="str">
        <f>HYPERLINK("https://otsuka-europe-crm.veevavault.com/ui/#object/vcountry__v/VENZ000004SONFQ", "IT")</f>
        <v>IT</v>
      </c>
      <c r="C11062" s="8" t="s">
        <v>44</v>
      </c>
      <c r="D11062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1062" s="10" t="str">
        <f>HYPERLINK("https://otsuka-europe-crm.veevavault.com/ui/#object/sent_email__v/VBL00000002V066", "SE-001436955")</f>
        <v>SE-001436955</v>
      </c>
      <c r="F11062" s="11"/>
      <c r="G11062" s="12">
        <v>0</v>
      </c>
      <c r="H11062" s="12">
        <v>0</v>
      </c>
      <c r="I11062" s="12">
        <v>0</v>
      </c>
      <c r="J11062" s="11"/>
      <c r="K11062" s="12">
        <v>0</v>
      </c>
      <c r="L11062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1062" s="10" t="str">
        <f>HYPERLINK("mailto:giada.camassa@outsuka.it", "giada.camassa@outsuka.it")</f>
        <v>giada.camassa@outsuka.it</v>
      </c>
      <c r="N11062" s="13">
        <v>46190.339456018519</v>
      </c>
      <c r="O11062" s="14" t="str">
        <f>HYPERLINK("https://otsuka-europe-crm.veevavault.com/ui/#object/email_activity__v/V8C00000003X709", "EN-002098071")</f>
        <v>EN-002098071</v>
      </c>
    </row>
    <row r="11063" spans="1:15" ht="16" x14ac:dyDescent="0.2">
      <c r="A11063" s="17" t="str">
        <f>HYPERLINK("https://otsuka-europe-crm.veevavault.com/ui/#object/account__v/V4TZ04ASGCI6VX4", "CINZIA CASU")</f>
        <v>CINZIA CASU</v>
      </c>
      <c r="B11063" s="17" t="str">
        <f>HYPERLINK("https://otsuka-europe-crm.veevavault.com/ui/#object/vcountry__v/VENZ000004SONFQ", "IT")</f>
        <v>IT</v>
      </c>
      <c r="C11063" s="20" t="s">
        <v>44</v>
      </c>
      <c r="D11063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1063" s="22" t="str">
        <f>HYPERLINK("https://otsuka-europe-crm.veevavault.com/ui/#object/sent_email__v/VBL00000002V067", "SE-001436956")</f>
        <v>SE-001436956</v>
      </c>
      <c r="F11063" s="23">
        <v>46190.339687500003</v>
      </c>
      <c r="G11063" s="24">
        <v>1</v>
      </c>
      <c r="H11063" s="24">
        <v>1</v>
      </c>
      <c r="I11063" s="24">
        <v>0</v>
      </c>
      <c r="J11063" s="25"/>
      <c r="K11063" s="24">
        <v>0</v>
      </c>
      <c r="L11063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1063" s="22" t="str">
        <f>HYPERLINK("mailto:giada.camassa@outsuka.it", "giada.camassa@outsuka.it")</f>
        <v>giada.camassa@outsuka.it</v>
      </c>
      <c r="N11063" s="23">
        <v>46190.339189814818</v>
      </c>
      <c r="O11063" s="14" t="str">
        <f>HYPERLINK("https://otsuka-europe-crm.veevavault.com/ui/#object/email_activity__v/V8C00000003W578", "EN-002098117")</f>
        <v>EN-002098117</v>
      </c>
    </row>
    <row r="11064" spans="1:15" ht="16" x14ac:dyDescent="0.2">
      <c r="A11064" s="19"/>
      <c r="B11064" s="19"/>
      <c r="C11064" s="19"/>
      <c r="D11064" s="19"/>
      <c r="E11064" s="19"/>
      <c r="F11064" s="19"/>
      <c r="G11064" s="19"/>
      <c r="H11064" s="19"/>
      <c r="I11064" s="19"/>
      <c r="J11064" s="19"/>
      <c r="K11064" s="19"/>
      <c r="L11064" s="19"/>
      <c r="M11064" s="19"/>
      <c r="N11064" s="19"/>
      <c r="O11064" s="14" t="str">
        <f>HYPERLINK("https://otsuka-europe-crm.veevavault.com/ui/#object/email_activity__v/V8C00000003X677", "EN-002098018")</f>
        <v>EN-002098018</v>
      </c>
    </row>
    <row r="11065" spans="1:15" ht="64" x14ac:dyDescent="0.2">
      <c r="A11065" s="7" t="str">
        <f>HYPERLINK("https://otsuka-europe-crm.veevavault.com/ui/#object/account__v/V4TZ025E83O8XHD", "CRISTIANA BARRECA")</f>
        <v>CRISTIANA BARRECA</v>
      </c>
      <c r="B11065" s="7" t="str">
        <f>HYPERLINK("https://otsuka-europe-crm.veevavault.com/ui/#object/vcountry__v/VENZ000004SONFQ", "IT")</f>
        <v>IT</v>
      </c>
      <c r="C11065" s="8" t="s">
        <v>44</v>
      </c>
      <c r="D11065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1065" s="10" t="str">
        <f>HYPERLINK("https://otsuka-europe-crm.veevavault.com/ui/#object/sent_email__v/VBL00000002V069", "SE-001436958")</f>
        <v>SE-001436958</v>
      </c>
      <c r="F11065" s="11"/>
      <c r="G11065" s="12">
        <v>0</v>
      </c>
      <c r="H11065" s="12">
        <v>0</v>
      </c>
      <c r="I11065" s="12">
        <v>0</v>
      </c>
      <c r="J11065" s="11"/>
      <c r="K11065" s="12">
        <v>0</v>
      </c>
      <c r="L11065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1065" s="10" t="str">
        <f>HYPERLINK("mailto:giada.camassa@outsuka.it", "giada.camassa@outsuka.it")</f>
        <v>giada.camassa@outsuka.it</v>
      </c>
      <c r="N11065" s="13">
        <v>46190.337962962964</v>
      </c>
      <c r="O11065" s="14" t="str">
        <f>HYPERLINK("https://otsuka-europe-crm.veevavault.com/ui/#object/email_activity__v/V8C00000003X803", "EN-002098219")</f>
        <v>EN-002098219</v>
      </c>
    </row>
    <row r="11066" spans="1:15" ht="64" x14ac:dyDescent="0.2">
      <c r="A11066" s="7" t="str">
        <f>HYPERLINK("https://otsuka-europe-crm.veevavault.com/ui/#object/account__v/V4TZ04ASGBC5Z7R", "CRISTIANO ALESSANDRI")</f>
        <v>CRISTIANO ALESSANDRI</v>
      </c>
      <c r="B11066" s="7" t="str">
        <f>HYPERLINK("https://otsuka-europe-crm.veevavault.com/ui/#object/vcountry__v/VENZ000004SONFQ", "IT")</f>
        <v>IT</v>
      </c>
      <c r="C11066" s="8" t="s">
        <v>44</v>
      </c>
      <c r="D11066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1066" s="10" t="str">
        <f>HYPERLINK("https://otsuka-europe-crm.veevavault.com/ui/#object/sent_email__v/VBL00000002V070", "SE-001436959")</f>
        <v>SE-001436959</v>
      </c>
      <c r="F11066" s="11"/>
      <c r="G11066" s="12">
        <v>0</v>
      </c>
      <c r="H11066" s="12">
        <v>0</v>
      </c>
      <c r="I11066" s="12">
        <v>0</v>
      </c>
      <c r="J11066" s="11"/>
      <c r="K11066" s="12">
        <v>0</v>
      </c>
      <c r="L11066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1066" s="10" t="str">
        <f>HYPERLINK("mailto:giada.camassa@outsuka.it", "giada.camassa@outsuka.it")</f>
        <v>giada.camassa@outsuka.it</v>
      </c>
      <c r="N11066" s="13">
        <v>46190.33898148148</v>
      </c>
      <c r="O11066" s="14" t="str">
        <f>HYPERLINK("https://otsuka-europe-crm.veevavault.com/ui/#object/email_activity__v/V8C00000003X657", "EN-002097991")</f>
        <v>EN-002097991</v>
      </c>
    </row>
    <row r="11067" spans="1:15" ht="64" x14ac:dyDescent="0.2">
      <c r="A11067" s="7" t="str">
        <f>HYPERLINK("https://otsuka-europe-crm.veevavault.com/ui/#object/account__v/V4TZ04ASGC7ENT1", "CRISTINA BERNARDI")</f>
        <v>CRISTINA BERNARDI</v>
      </c>
      <c r="B11067" s="7" t="str">
        <f>HYPERLINK("https://otsuka-europe-crm.veevavault.com/ui/#object/vcountry__v/VENZ000004SONFQ", "IT")</f>
        <v>IT</v>
      </c>
      <c r="C11067" s="8" t="s">
        <v>44</v>
      </c>
      <c r="D11067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1067" s="10" t="str">
        <f>HYPERLINK("https://otsuka-europe-crm.veevavault.com/ui/#object/sent_email__v/VBL00000002V071", "SE-001436960")</f>
        <v>SE-001436960</v>
      </c>
      <c r="F11067" s="11"/>
      <c r="G11067" s="12">
        <v>0</v>
      </c>
      <c r="H11067" s="12">
        <v>0</v>
      </c>
      <c r="I11067" s="12">
        <v>0</v>
      </c>
      <c r="J11067" s="11"/>
      <c r="K11067" s="12">
        <v>0</v>
      </c>
      <c r="L11067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1067" s="10" t="str">
        <f>HYPERLINK("mailto:giada.camassa@outsuka.it", "giada.camassa@outsuka.it")</f>
        <v>giada.camassa@outsuka.it</v>
      </c>
      <c r="N11067" s="13">
        <v>46190.337939814817</v>
      </c>
      <c r="O11067" s="14" t="str">
        <f>HYPERLINK("https://otsuka-europe-crm.veevavault.com/ui/#object/email_activity__v/V8C00000003W456", "EN-002097779")</f>
        <v>EN-002097779</v>
      </c>
    </row>
    <row r="11068" spans="1:15" ht="16" x14ac:dyDescent="0.2">
      <c r="A11068" s="17" t="str">
        <f>HYPERLINK("https://otsuka-europe-crm.veevavault.com/ui/#object/account__v/V4TZ025E8366FCL", "CRISTINA GARUFI")</f>
        <v>CRISTINA GARUFI</v>
      </c>
      <c r="B11068" s="17" t="str">
        <f>HYPERLINK("https://otsuka-europe-crm.veevavault.com/ui/#object/vcountry__v/VENZ000004SONFQ", "IT")</f>
        <v>IT</v>
      </c>
      <c r="C11068" s="20" t="s">
        <v>44</v>
      </c>
      <c r="D11068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1068" s="22" t="str">
        <f>HYPERLINK("https://otsuka-europe-crm.veevavault.com/ui/#object/sent_email__v/VBL00000002V072", "SE-001436961")</f>
        <v>SE-001436961</v>
      </c>
      <c r="F11068" s="25"/>
      <c r="G11068" s="24">
        <v>0</v>
      </c>
      <c r="H11068" s="24">
        <v>0</v>
      </c>
      <c r="I11068" s="24">
        <v>0</v>
      </c>
      <c r="J11068" s="25"/>
      <c r="K11068" s="24">
        <v>0</v>
      </c>
      <c r="L11068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1068" s="22" t="str">
        <f>HYPERLINK("mailto:giada.camassa@outsuka.it", "giada.camassa@outsuka.it")</f>
        <v>giada.camassa@outsuka.it</v>
      </c>
      <c r="N11068" s="23">
        <v>46190.339583333334</v>
      </c>
      <c r="O11068" s="14" t="str">
        <f>HYPERLINK("https://otsuka-europe-crm.veevavault.com/ui/#object/email_activity__v/V8C00000003W575", "EN-002098114")</f>
        <v>EN-002098114</v>
      </c>
    </row>
    <row r="11069" spans="1:15" ht="16" x14ac:dyDescent="0.2">
      <c r="A11069" s="19"/>
      <c r="B11069" s="19"/>
      <c r="C11069" s="19"/>
      <c r="D11069" s="19"/>
      <c r="E11069" s="19"/>
      <c r="F11069" s="19"/>
      <c r="G11069" s="19"/>
      <c r="H11069" s="19"/>
      <c r="I11069" s="19"/>
      <c r="J11069" s="19"/>
      <c r="K11069" s="19"/>
      <c r="L11069" s="19"/>
      <c r="M11069" s="19"/>
      <c r="N11069" s="19"/>
      <c r="O11069" s="14" t="str">
        <f>HYPERLINK("https://otsuka-europe-crm.veevavault.com/ui/#object/email_activity__v/V8C00000003Y021", "EN-002098643")</f>
        <v>EN-002098643</v>
      </c>
    </row>
    <row r="11070" spans="1:15" ht="16" x14ac:dyDescent="0.2">
      <c r="A11070" s="17" t="str">
        <f>HYPERLINK("https://otsuka-europe-crm.veevavault.com/ui/#object/account__v/V4TZ025E87CCWAP", "DANIELA BOMPANE")</f>
        <v>DANIELA BOMPANE</v>
      </c>
      <c r="B11070" s="17" t="str">
        <f>HYPERLINK("https://otsuka-europe-crm.veevavault.com/ui/#object/vcountry__v/VENZ000004SONFQ", "IT")</f>
        <v>IT</v>
      </c>
      <c r="C11070" s="20" t="s">
        <v>44</v>
      </c>
      <c r="D11070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1070" s="22" t="str">
        <f>HYPERLINK("https://otsuka-europe-crm.veevavault.com/ui/#object/sent_email__v/VBL00000002V073", "SE-001436962")</f>
        <v>SE-001436962</v>
      </c>
      <c r="F11070" s="23">
        <v>46190.33798611111</v>
      </c>
      <c r="G11070" s="24">
        <v>1</v>
      </c>
      <c r="H11070" s="24">
        <v>1</v>
      </c>
      <c r="I11070" s="24">
        <v>0</v>
      </c>
      <c r="J11070" s="25"/>
      <c r="K11070" s="24">
        <v>0</v>
      </c>
      <c r="L11070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1070" s="22" t="str">
        <f>HYPERLINK("mailto:giada.camassa@outsuka.it", "giada.camassa@outsuka.it")</f>
        <v>giada.camassa@outsuka.it</v>
      </c>
      <c r="N11070" s="23">
        <v>46190.337824074071</v>
      </c>
      <c r="O11070" s="14" t="str">
        <f>HYPERLINK("https://otsuka-europe-crm.veevavault.com/ui/#object/email_activity__v/V8C00000003W333", "EN-002097383")</f>
        <v>EN-002097383</v>
      </c>
    </row>
    <row r="11071" spans="1:15" ht="16" x14ac:dyDescent="0.2">
      <c r="A11071" s="19"/>
      <c r="B11071" s="19"/>
      <c r="C11071" s="19"/>
      <c r="D11071" s="19"/>
      <c r="E11071" s="19"/>
      <c r="F11071" s="19"/>
      <c r="G11071" s="19"/>
      <c r="H11071" s="19"/>
      <c r="I11071" s="19"/>
      <c r="J11071" s="19"/>
      <c r="K11071" s="19"/>
      <c r="L11071" s="19"/>
      <c r="M11071" s="19"/>
      <c r="N11071" s="19"/>
      <c r="O11071" s="14" t="str">
        <f>HYPERLINK("https://otsuka-europe-crm.veevavault.com/ui/#object/email_activity__v/V8C00000003X389", "EN-002097584")</f>
        <v>EN-002097584</v>
      </c>
    </row>
    <row r="11072" spans="1:15" ht="64" x14ac:dyDescent="0.2">
      <c r="A11072" s="7" t="str">
        <f>HYPERLINK("https://otsuka-europe-crm.veevavault.com/ui/#object/account__v/V4TZ025E83G68LB", "DANIELA MAROTTO")</f>
        <v>DANIELA MAROTTO</v>
      </c>
      <c r="B11072" s="7" t="str">
        <f>HYPERLINK("https://otsuka-europe-crm.veevavault.com/ui/#object/vcountry__v/VENZ000004SONFQ", "IT")</f>
        <v>IT</v>
      </c>
      <c r="C11072" s="8" t="s">
        <v>44</v>
      </c>
      <c r="D11072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1072" s="10" t="str">
        <f>HYPERLINK("https://otsuka-europe-crm.veevavault.com/ui/#object/sent_email__v/VBL00000002V074", "SE-001436963")</f>
        <v>SE-001436963</v>
      </c>
      <c r="F11072" s="11"/>
      <c r="G11072" s="12">
        <v>0</v>
      </c>
      <c r="H11072" s="12">
        <v>0</v>
      </c>
      <c r="I11072" s="12">
        <v>0</v>
      </c>
      <c r="J11072" s="11"/>
      <c r="K11072" s="12">
        <v>0</v>
      </c>
      <c r="L11072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1072" s="10" t="str">
        <f>HYPERLINK("mailto:giada.camassa@outsuka.it", "giada.camassa@outsuka.it")</f>
        <v>giada.camassa@outsuka.it</v>
      </c>
      <c r="N11072" s="13">
        <v>46190.337905092594</v>
      </c>
      <c r="O11072" s="14" t="str">
        <f>HYPERLINK("https://otsuka-europe-crm.veevavault.com/ui/#object/email_activity__v/V8C00000003X323", "EN-002097520")</f>
        <v>EN-002097520</v>
      </c>
    </row>
    <row r="11073" spans="1:15" ht="16" x14ac:dyDescent="0.2">
      <c r="A11073" s="17" t="str">
        <f>HYPERLINK("https://otsuka-europe-crm.veevavault.com/ui/#object/account__v/V4TZ025E85J2KSV", "DANILO PERRETTA")</f>
        <v>DANILO PERRETTA</v>
      </c>
      <c r="B11073" s="17" t="str">
        <f>HYPERLINK("https://otsuka-europe-crm.veevavault.com/ui/#object/vcountry__v/VENZ000004SONFQ", "IT")</f>
        <v>IT</v>
      </c>
      <c r="C11073" s="20" t="s">
        <v>44</v>
      </c>
      <c r="D11073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1073" s="22" t="str">
        <f>HYPERLINK("https://otsuka-europe-crm.veevavault.com/ui/#object/sent_email__v/VBL00000002V075", "SE-001436964")</f>
        <v>SE-001436964</v>
      </c>
      <c r="F11073" s="25"/>
      <c r="G11073" s="24">
        <v>0</v>
      </c>
      <c r="H11073" s="24">
        <v>0</v>
      </c>
      <c r="I11073" s="24">
        <v>0</v>
      </c>
      <c r="J11073" s="25"/>
      <c r="K11073" s="24">
        <v>0</v>
      </c>
      <c r="L11073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1073" s="22" t="str">
        <f>HYPERLINK("mailto:giada.camassa@outsuka.it", "giada.camassa@outsuka.it")</f>
        <v>giada.camassa@outsuka.it</v>
      </c>
      <c r="N11073" s="23">
        <v>46190.337824074071</v>
      </c>
      <c r="O11073" s="14" t="str">
        <f>HYPERLINK("https://otsuka-europe-crm.veevavault.com/ui/#object/email_activity__v/V8C00000003X375", "EN-002097570")</f>
        <v>EN-002097570</v>
      </c>
    </row>
    <row r="11074" spans="1:15" ht="16" x14ac:dyDescent="0.2">
      <c r="A11074" s="19"/>
      <c r="B11074" s="19"/>
      <c r="C11074" s="19"/>
      <c r="D11074" s="19"/>
      <c r="E11074" s="19"/>
      <c r="F11074" s="19"/>
      <c r="G11074" s="19"/>
      <c r="H11074" s="19"/>
      <c r="I11074" s="19"/>
      <c r="J11074" s="19"/>
      <c r="K11074" s="19"/>
      <c r="L11074" s="19"/>
      <c r="M11074" s="19"/>
      <c r="N11074" s="19"/>
      <c r="O11074" s="14" t="str">
        <f>HYPERLINK("https://otsuka-europe-crm.veevavault.com/ui/#object/email_activity__v/V8C00000003X948", "EN-002098507")</f>
        <v>EN-002098507</v>
      </c>
    </row>
    <row r="11075" spans="1:15" ht="64" x14ac:dyDescent="0.2">
      <c r="A11075" s="7" t="str">
        <f>HYPERLINK("https://otsuka-europe-crm.veevavault.com/ui/#object/account__v/V4TZ025E83V8S85", "DAVIDE ASTORRI")</f>
        <v>DAVIDE ASTORRI</v>
      </c>
      <c r="B11075" s="7" t="str">
        <f>HYPERLINK("https://otsuka-europe-crm.veevavault.com/ui/#object/vcountry__v/VENZ000004SONFQ", "IT")</f>
        <v>IT</v>
      </c>
      <c r="C11075" s="8" t="s">
        <v>44</v>
      </c>
      <c r="D11075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1075" s="10" t="str">
        <f>HYPERLINK("https://otsuka-europe-crm.veevavault.com/ui/#object/sent_email__v/VBL00000002V076", "SE-001436965")</f>
        <v>SE-001436965</v>
      </c>
      <c r="F11075" s="11"/>
      <c r="G11075" s="12">
        <v>0</v>
      </c>
      <c r="H11075" s="12">
        <v>0</v>
      </c>
      <c r="I11075" s="12">
        <v>0</v>
      </c>
      <c r="J11075" s="11"/>
      <c r="K11075" s="12">
        <v>0</v>
      </c>
      <c r="L11075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1075" s="10" t="str">
        <f>HYPERLINK("mailto:giada.camassa@outsuka.it", "giada.camassa@outsuka.it")</f>
        <v>giada.camassa@outsuka.it</v>
      </c>
      <c r="N11075" s="13">
        <v>46188.614606481482</v>
      </c>
      <c r="O11075" s="14" t="str">
        <f>HYPERLINK("https://otsuka-europe-crm.veevavault.com/ui/#object/email_activity__v/V8C00000003X237", "EN-002097376")</f>
        <v>EN-002097376</v>
      </c>
    </row>
    <row r="11076" spans="1:15" ht="64" x14ac:dyDescent="0.2">
      <c r="A11076" s="7" t="str">
        <f>HYPERLINK("https://otsuka-europe-crm.veevavault.com/ui/#object/account__v/V4TZ025E849FNL3", "DONATELLA VENTURA")</f>
        <v>DONATELLA VENTURA</v>
      </c>
      <c r="B11076" s="7" t="str">
        <f>HYPERLINK("https://otsuka-europe-crm.veevavault.com/ui/#object/vcountry__v/VENZ000004SONFQ", "IT")</f>
        <v>IT</v>
      </c>
      <c r="C11076" s="8" t="s">
        <v>44</v>
      </c>
      <c r="D11076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1076" s="10" t="str">
        <f>HYPERLINK("https://otsuka-europe-crm.veevavault.com/ui/#object/sent_email__v/VBL00000002V077", "SE-001436966")</f>
        <v>SE-001436966</v>
      </c>
      <c r="F11076" s="11"/>
      <c r="G11076" s="12">
        <v>0</v>
      </c>
      <c r="H11076" s="12">
        <v>0</v>
      </c>
      <c r="I11076" s="12">
        <v>0</v>
      </c>
      <c r="J11076" s="11"/>
      <c r="K11076" s="12">
        <v>0</v>
      </c>
      <c r="L11076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1076" s="10" t="str">
        <f>HYPERLINK("mailto:giada.camassa@outsuka.it", "giada.camassa@outsuka.it")</f>
        <v>giada.camassa@outsuka.it</v>
      </c>
      <c r="N11076" s="13">
        <v>46190.337870370371</v>
      </c>
      <c r="O11076" s="14" t="str">
        <f>HYPERLINK("https://otsuka-europe-crm.veevavault.com/ui/#object/email_activity__v/V8C00000003W376", "EN-002097466")</f>
        <v>EN-002097466</v>
      </c>
    </row>
    <row r="11077" spans="1:15" ht="16" x14ac:dyDescent="0.2">
      <c r="A11077" s="17" t="str">
        <f>HYPERLINK("https://otsuka-europe-crm.veevavault.com/ui/#object/account__v/V4TZ025E831YPGU", "ELENA BARTOLONI BOCCI")</f>
        <v>ELENA BARTOLONI BOCCI</v>
      </c>
      <c r="B11077" s="17" t="str">
        <f>HYPERLINK("https://otsuka-europe-crm.veevavault.com/ui/#object/vcountry__v/VENZ000004SONFQ", "IT")</f>
        <v>IT</v>
      </c>
      <c r="C11077" s="20" t="s">
        <v>44</v>
      </c>
      <c r="D11077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1077" s="22" t="str">
        <f>HYPERLINK("https://otsuka-europe-crm.veevavault.com/ui/#object/sent_email__v/VBL00000002V078", "SE-001436967")</f>
        <v>SE-001436967</v>
      </c>
      <c r="F11077" s="23">
        <v>46190.339178240742</v>
      </c>
      <c r="G11077" s="24">
        <v>1</v>
      </c>
      <c r="H11077" s="24">
        <v>1</v>
      </c>
      <c r="I11077" s="24">
        <v>0</v>
      </c>
      <c r="J11077" s="25"/>
      <c r="K11077" s="24">
        <v>0</v>
      </c>
      <c r="L11077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1077" s="22" t="str">
        <f>HYPERLINK("mailto:giada.camassa@outsuka.it", "giada.camassa@outsuka.it")</f>
        <v>giada.camassa@outsuka.it</v>
      </c>
      <c r="N11077" s="23">
        <v>46190.338587962964</v>
      </c>
      <c r="O11077" s="14" t="str">
        <f>HYPERLINK("https://otsuka-europe-crm.veevavault.com/ui/#object/email_activity__v/V8C00000003X627", "EN-002097949")</f>
        <v>EN-002097949</v>
      </c>
    </row>
    <row r="11078" spans="1:15" ht="16" x14ac:dyDescent="0.2">
      <c r="A11078" s="19"/>
      <c r="B11078" s="19"/>
      <c r="C11078" s="19"/>
      <c r="D11078" s="19"/>
      <c r="E11078" s="19"/>
      <c r="F11078" s="19"/>
      <c r="G11078" s="19"/>
      <c r="H11078" s="19"/>
      <c r="I11078" s="19"/>
      <c r="J11078" s="19"/>
      <c r="K11078" s="19"/>
      <c r="L11078" s="19"/>
      <c r="M11078" s="19"/>
      <c r="N11078" s="19"/>
      <c r="O11078" s="14" t="str">
        <f>HYPERLINK("https://otsuka-europe-crm.veevavault.com/ui/#object/email_activity__v/V8C00000003X666", "EN-002098007")</f>
        <v>EN-002098007</v>
      </c>
    </row>
    <row r="11079" spans="1:15" ht="64" x14ac:dyDescent="0.2">
      <c r="A11079" s="7" t="str">
        <f>HYPERLINK("https://otsuka-europe-crm.veevavault.com/ui/#object/account__v/V4TZ025E85OLD1Y", "ELISA CIOFFI")</f>
        <v>ELISA CIOFFI</v>
      </c>
      <c r="B11079" s="7" t="str">
        <f>HYPERLINK("https://otsuka-europe-crm.veevavault.com/ui/#object/vcountry__v/VENZ000004SONFQ", "IT")</f>
        <v>IT</v>
      </c>
      <c r="C11079" s="8" t="s">
        <v>44</v>
      </c>
      <c r="D11079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1079" s="10" t="str">
        <f>HYPERLINK("https://otsuka-europe-crm.veevavault.com/ui/#object/sent_email__v/VBL00000002V079", "SE-001436968")</f>
        <v>SE-001436968</v>
      </c>
      <c r="F11079" s="11"/>
      <c r="G11079" s="12">
        <v>0</v>
      </c>
      <c r="H11079" s="12">
        <v>0</v>
      </c>
      <c r="I11079" s="12">
        <v>0</v>
      </c>
      <c r="J11079" s="11"/>
      <c r="K11079" s="12">
        <v>0</v>
      </c>
      <c r="L11079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1079" s="10" t="str">
        <f>HYPERLINK("mailto:giada.camassa@outsuka.it", "giada.camassa@outsuka.it")</f>
        <v>giada.camassa@outsuka.it</v>
      </c>
      <c r="N11079" s="13">
        <v>46190.337812500002</v>
      </c>
      <c r="O11079" s="14" t="str">
        <f>HYPERLINK("https://otsuka-europe-crm.veevavault.com/ui/#object/email_activity__v/V8C00000003X799", "EN-002098215")</f>
        <v>EN-002098215</v>
      </c>
    </row>
    <row r="11080" spans="1:15" ht="16" x14ac:dyDescent="0.2">
      <c r="A11080" s="17" t="str">
        <f>HYPERLINK("https://otsuka-europe-crm.veevavault.com/ui/#object/account__v/V4TZ04ASGCI6VYX", "ELISA VERDUCI")</f>
        <v>ELISA VERDUCI</v>
      </c>
      <c r="B11080" s="17" t="str">
        <f>HYPERLINK("https://otsuka-europe-crm.veevavault.com/ui/#object/vcountry__v/VENZ000004SONFQ", "IT")</f>
        <v>IT</v>
      </c>
      <c r="C11080" s="20" t="s">
        <v>44</v>
      </c>
      <c r="D11080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1080" s="22" t="str">
        <f>HYPERLINK("https://otsuka-europe-crm.veevavault.com/ui/#object/sent_email__v/VBL00000002V080", "SE-001436969")</f>
        <v>SE-001436969</v>
      </c>
      <c r="F11080" s="23">
        <v>46190.338831018518</v>
      </c>
      <c r="G11080" s="24">
        <v>1</v>
      </c>
      <c r="H11080" s="24">
        <v>1</v>
      </c>
      <c r="I11080" s="24">
        <v>0</v>
      </c>
      <c r="J11080" s="25"/>
      <c r="K11080" s="24">
        <v>0</v>
      </c>
      <c r="L11080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1080" s="22" t="str">
        <f>HYPERLINK("mailto:giada.camassa@outsuka.it", "giada.camassa@outsuka.it")</f>
        <v>giada.camassa@outsuka.it</v>
      </c>
      <c r="N11080" s="23">
        <v>46190.338495370372</v>
      </c>
      <c r="O11080" s="14" t="str">
        <f>HYPERLINK("https://otsuka-europe-crm.veevavault.com/ui/#object/email_activity__v/V8C00000003W513", "EN-002097923")</f>
        <v>EN-002097923</v>
      </c>
    </row>
    <row r="11081" spans="1:15" ht="16" x14ac:dyDescent="0.2">
      <c r="A11081" s="19"/>
      <c r="B11081" s="19"/>
      <c r="C11081" s="19"/>
      <c r="D11081" s="19"/>
      <c r="E11081" s="19"/>
      <c r="F11081" s="19"/>
      <c r="G11081" s="19"/>
      <c r="H11081" s="19"/>
      <c r="I11081" s="19"/>
      <c r="J11081" s="19"/>
      <c r="K11081" s="19"/>
      <c r="L11081" s="19"/>
      <c r="M11081" s="19"/>
      <c r="N11081" s="19"/>
      <c r="O11081" s="14" t="str">
        <f>HYPERLINK("https://otsuka-europe-crm.veevavault.com/ui/#object/email_activity__v/V8C00000003W524", "EN-002097961")</f>
        <v>EN-002097961</v>
      </c>
    </row>
    <row r="11082" spans="1:15" ht="16" x14ac:dyDescent="0.2">
      <c r="A11082" s="17" t="str">
        <f>HYPERLINK("https://otsuka-europe-crm.veevavault.com/ui/#object/account__v/V4TZ04ASGBXEF0P", "ERICA MOSCIONI")</f>
        <v>ERICA MOSCIONI</v>
      </c>
      <c r="B11082" s="17" t="str">
        <f>HYPERLINK("https://otsuka-europe-crm.veevavault.com/ui/#object/vcountry__v/VENZ000004SONFQ", "IT")</f>
        <v>IT</v>
      </c>
      <c r="C11082" s="20" t="s">
        <v>44</v>
      </c>
      <c r="D11082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1082" s="22" t="str">
        <f>HYPERLINK("https://otsuka-europe-crm.veevavault.com/ui/#object/sent_email__v/VBL00000002V081", "SE-001436970")</f>
        <v>SE-001436970</v>
      </c>
      <c r="F11082" s="25"/>
      <c r="G11082" s="24">
        <v>0</v>
      </c>
      <c r="H11082" s="24">
        <v>0</v>
      </c>
      <c r="I11082" s="24">
        <v>0</v>
      </c>
      <c r="J11082" s="25"/>
      <c r="K11082" s="24">
        <v>0</v>
      </c>
      <c r="L11082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1082" s="22" t="str">
        <f>HYPERLINK("mailto:giada.camassa@outsuka.it", "giada.camassa@outsuka.it")</f>
        <v>giada.camassa@outsuka.it</v>
      </c>
      <c r="N11082" s="23">
        <v>46190.337939814817</v>
      </c>
      <c r="O11082" s="14" t="str">
        <f>HYPERLINK("https://otsuka-europe-crm.veevavault.com/ui/#object/email_activity__v/V8C00000003X509", "EN-002097752")</f>
        <v>EN-002097752</v>
      </c>
    </row>
    <row r="11083" spans="1:15" ht="16" x14ac:dyDescent="0.2">
      <c r="A11083" s="19"/>
      <c r="B11083" s="19"/>
      <c r="C11083" s="19"/>
      <c r="D11083" s="19"/>
      <c r="E11083" s="19"/>
      <c r="F11083" s="19"/>
      <c r="G11083" s="19"/>
      <c r="H11083" s="19"/>
      <c r="I11083" s="19"/>
      <c r="J11083" s="19"/>
      <c r="K11083" s="19"/>
      <c r="L11083" s="19"/>
      <c r="M11083" s="19"/>
      <c r="N11083" s="19"/>
      <c r="O11083" s="14" t="str">
        <f>HYPERLINK("https://otsuka-europe-crm.veevavault.com/ui/#object/email_activity__v/V8C00000003X854", "EN-002098348")</f>
        <v>EN-002098348</v>
      </c>
    </row>
    <row r="11084" spans="1:15" ht="64" x14ac:dyDescent="0.2">
      <c r="A11084" s="7" t="str">
        <f>HYPERLINK("https://otsuka-europe-crm.veevavault.com/ui/#object/account__v/V4TZ04ASGBCHCDF", "EUGENIO CAPPARELLI")</f>
        <v>EUGENIO CAPPARELLI</v>
      </c>
      <c r="B11084" s="7" t="str">
        <f>HYPERLINK("https://otsuka-europe-crm.veevavault.com/ui/#object/vcountry__v/VENZ000004SONFQ", "IT")</f>
        <v>IT</v>
      </c>
      <c r="C11084" s="8" t="s">
        <v>44</v>
      </c>
      <c r="D11084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1084" s="10" t="str">
        <f>HYPERLINK("https://otsuka-europe-crm.veevavault.com/ui/#object/sent_email__v/VBL00000002V082", "SE-001436971")</f>
        <v>SE-001436971</v>
      </c>
      <c r="F11084" s="11"/>
      <c r="G11084" s="12">
        <v>0</v>
      </c>
      <c r="H11084" s="12">
        <v>0</v>
      </c>
      <c r="I11084" s="12">
        <v>0</v>
      </c>
      <c r="J11084" s="11"/>
      <c r="K11084" s="12">
        <v>0</v>
      </c>
      <c r="L11084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1084" s="10" t="str">
        <f>HYPERLINK("mailto:giada.camassa@outsuka.it", "giada.camassa@outsuka.it")</f>
        <v>giada.camassa@outsuka.it</v>
      </c>
      <c r="N11084" s="13">
        <v>46190.33797453704</v>
      </c>
      <c r="O11084" s="14" t="str">
        <f>HYPERLINK("https://otsuka-europe-crm.veevavault.com/ui/#object/email_activity__v/V8C00000003X488", "EN-002097702")</f>
        <v>EN-002097702</v>
      </c>
    </row>
    <row r="11085" spans="1:15" ht="64" x14ac:dyDescent="0.2">
      <c r="A11085" s="7" t="str">
        <f>HYPERLINK("https://otsuka-europe-crm.veevavault.com/ui/#object/account__v/V4TZ04ASGC4LKU2", "FABIO CACCIAPAGLIA")</f>
        <v>FABIO CACCIAPAGLIA</v>
      </c>
      <c r="B11085" s="7" t="str">
        <f>HYPERLINK("https://otsuka-europe-crm.veevavault.com/ui/#object/vcountry__v/VENZ000004SONFQ", "IT")</f>
        <v>IT</v>
      </c>
      <c r="C11085" s="8" t="s">
        <v>44</v>
      </c>
      <c r="D11085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1085" s="10" t="str">
        <f>HYPERLINK("https://otsuka-europe-crm.veevavault.com/ui/#object/sent_email__v/VBL00000002V083", "SE-001436972")</f>
        <v>SE-001436972</v>
      </c>
      <c r="F11085" s="11"/>
      <c r="G11085" s="12">
        <v>0</v>
      </c>
      <c r="H11085" s="12">
        <v>0</v>
      </c>
      <c r="I11085" s="12">
        <v>0</v>
      </c>
      <c r="J11085" s="11"/>
      <c r="K11085" s="12">
        <v>0</v>
      </c>
      <c r="L11085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1085" s="10" t="str">
        <f>HYPERLINK("mailto:giada.camassa@outsuka.it", "giada.camassa@outsuka.it")</f>
        <v>giada.camassa@outsuka.it</v>
      </c>
      <c r="N11085" s="13">
        <v>46190.337847222225</v>
      </c>
      <c r="O11085" s="14" t="str">
        <f>HYPERLINK("https://otsuka-europe-crm.veevavault.com/ui/#object/email_activity__v/V8C00000003X255", "EN-002097430")</f>
        <v>EN-002097430</v>
      </c>
    </row>
    <row r="11086" spans="1:15" ht="16" x14ac:dyDescent="0.2">
      <c r="A11086" s="17" t="str">
        <f>HYPERLINK("https://otsuka-europe-crm.veevavault.com/ui/#object/account__v/V4TZ04ASGEOMVWY", "FAUSTO SALAFFI")</f>
        <v>FAUSTO SALAFFI</v>
      </c>
      <c r="B11086" s="17" t="str">
        <f>HYPERLINK("https://otsuka-europe-crm.veevavault.com/ui/#object/vcountry__v/VENZ000004SONFQ", "IT")</f>
        <v>IT</v>
      </c>
      <c r="C11086" s="20" t="s">
        <v>44</v>
      </c>
      <c r="D11086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1086" s="22" t="str">
        <f>HYPERLINK("https://otsuka-europe-crm.veevavault.com/ui/#object/sent_email__v/VBL00000002V084", "SE-001436973")</f>
        <v>SE-001436973</v>
      </c>
      <c r="F11086" s="25"/>
      <c r="G11086" s="24">
        <v>0</v>
      </c>
      <c r="H11086" s="24">
        <v>0</v>
      </c>
      <c r="I11086" s="24">
        <v>0</v>
      </c>
      <c r="J11086" s="25"/>
      <c r="K11086" s="24">
        <v>0</v>
      </c>
      <c r="L11086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1086" s="22" t="str">
        <f>HYPERLINK("mailto:giada.camassa@outsuka.it", "giada.camassa@outsuka.it")</f>
        <v>giada.camassa@outsuka.it</v>
      </c>
      <c r="N11086" s="23">
        <v>46190.338587962964</v>
      </c>
      <c r="O11086" s="14" t="str">
        <f>HYPERLINK("https://otsuka-europe-crm.veevavault.com/ui/#object/email_activity__v/V8C00000003W521", "EN-002097958")</f>
        <v>EN-002097958</v>
      </c>
    </row>
    <row r="11087" spans="1:15" ht="16" x14ac:dyDescent="0.2">
      <c r="A11087" s="18"/>
      <c r="B11087" s="18"/>
      <c r="C11087" s="18"/>
      <c r="D11087" s="18"/>
      <c r="E11087" s="18"/>
      <c r="F11087" s="18"/>
      <c r="G11087" s="18"/>
      <c r="H11087" s="18"/>
      <c r="I11087" s="18"/>
      <c r="J11087" s="18"/>
      <c r="K11087" s="18"/>
      <c r="L11087" s="18"/>
      <c r="M11087" s="18"/>
      <c r="N11087" s="18"/>
      <c r="O11087" s="14" t="str">
        <f>HYPERLINK("https://otsuka-europe-crm.veevavault.com/ui/#object/email_activity__v/V8C00000003X876", "EN-002098384")</f>
        <v>EN-002098384</v>
      </c>
    </row>
    <row r="11088" spans="1:15" ht="16" x14ac:dyDescent="0.2">
      <c r="A11088" s="18"/>
      <c r="B11088" s="18"/>
      <c r="C11088" s="18"/>
      <c r="D11088" s="18"/>
      <c r="E11088" s="18"/>
      <c r="F11088" s="18"/>
      <c r="G11088" s="18"/>
      <c r="H11088" s="18"/>
      <c r="I11088" s="18"/>
      <c r="J11088" s="18"/>
      <c r="K11088" s="18"/>
      <c r="L11088" s="18"/>
      <c r="M11088" s="18"/>
      <c r="N11088" s="18"/>
      <c r="O11088" s="14" t="str">
        <f>HYPERLINK("https://otsuka-europe-crm.veevavault.com/ui/#object/email_activity__v/V8C000000040133", "EN-002098934")</f>
        <v>EN-002098934</v>
      </c>
    </row>
    <row r="11089" spans="1:15" ht="16" x14ac:dyDescent="0.2">
      <c r="A11089" s="19"/>
      <c r="B11089" s="19"/>
      <c r="C11089" s="19"/>
      <c r="D11089" s="19"/>
      <c r="E11089" s="19"/>
      <c r="F11089" s="19"/>
      <c r="G11089" s="19"/>
      <c r="H11089" s="19"/>
      <c r="I11089" s="19"/>
      <c r="J11089" s="19"/>
      <c r="K11089" s="19"/>
      <c r="L11089" s="19"/>
      <c r="M11089" s="19"/>
      <c r="N11089" s="19"/>
      <c r="O11089" s="14" t="str">
        <f>HYPERLINK("https://otsuka-europe-crm.veevavault.com/ui/#object/email_activity__v/V8C000000041802", "EN-002101320")</f>
        <v>EN-002101320</v>
      </c>
    </row>
    <row r="11090" spans="1:15" ht="64" x14ac:dyDescent="0.2">
      <c r="A11090" s="7" t="str">
        <f>HYPERLINK("https://otsuka-europe-crm.veevavault.com/ui/#object/account__v/V4TZ025E893P0O0", "FEDERICA GATTI")</f>
        <v>FEDERICA GATTI</v>
      </c>
      <c r="B11090" s="7" t="str">
        <f>HYPERLINK("https://otsuka-europe-crm.veevavault.com/ui/#object/vcountry__v/VENZ000004SONFQ", "IT")</f>
        <v>IT</v>
      </c>
      <c r="C11090" s="8" t="s">
        <v>44</v>
      </c>
      <c r="D11090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1090" s="10" t="str">
        <f>HYPERLINK("https://otsuka-europe-crm.veevavault.com/ui/#object/sent_email__v/VBL00000002V085", "SE-001436974")</f>
        <v>SE-001436974</v>
      </c>
      <c r="F11090" s="11"/>
      <c r="G11090" s="12">
        <v>0</v>
      </c>
      <c r="H11090" s="12">
        <v>0</v>
      </c>
      <c r="I11090" s="12">
        <v>0</v>
      </c>
      <c r="J11090" s="11"/>
      <c r="K11090" s="12">
        <v>0</v>
      </c>
      <c r="L11090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1090" s="10" t="str">
        <f>HYPERLINK("mailto:giada.camassa@outsuka.it", "giada.camassa@outsuka.it")</f>
        <v>giada.camassa@outsuka.it</v>
      </c>
      <c r="N11090" s="13">
        <v>46190.337962962964</v>
      </c>
      <c r="O11090" s="14" t="str">
        <f>HYPERLINK("https://otsuka-europe-crm.veevavault.com/ui/#object/email_activity__v/V8C00000003W438", "EN-002097722")</f>
        <v>EN-002097722</v>
      </c>
    </row>
    <row r="11091" spans="1:15" ht="64" x14ac:dyDescent="0.2">
      <c r="A11091" s="7" t="str">
        <f>HYPERLINK("https://otsuka-europe-crm.veevavault.com/ui/#object/account__v/V4TZ025E86HL8AL", "FEDERICA GOEGAN")</f>
        <v>FEDERICA GOEGAN</v>
      </c>
      <c r="B11091" s="7" t="str">
        <f>HYPERLINK("https://otsuka-europe-crm.veevavault.com/ui/#object/vcountry__v/VENZ000004SONFQ", "IT")</f>
        <v>IT</v>
      </c>
      <c r="C11091" s="8" t="s">
        <v>44</v>
      </c>
      <c r="D11091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1091" s="10" t="str">
        <f>HYPERLINK("https://otsuka-europe-crm.veevavault.com/ui/#object/sent_email__v/VBL00000002V086", "SE-001436975")</f>
        <v>SE-001436975</v>
      </c>
      <c r="F11091" s="11"/>
      <c r="G11091" s="12">
        <v>0</v>
      </c>
      <c r="H11091" s="12">
        <v>0</v>
      </c>
      <c r="I11091" s="12">
        <v>0</v>
      </c>
      <c r="J11091" s="11"/>
      <c r="K11091" s="12">
        <v>0</v>
      </c>
      <c r="L11091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1091" s="10" t="str">
        <f>HYPERLINK("mailto:giada.camassa@outsuka.it", "giada.camassa@outsuka.it")</f>
        <v>giada.camassa@outsuka.it</v>
      </c>
      <c r="N11091" s="13">
        <v>46190.337812500002</v>
      </c>
      <c r="O11091" s="14" t="str">
        <f>HYPERLINK("https://otsuka-europe-crm.veevavault.com/ui/#object/email_activity__v/V8C00000003W359", "EN-002097416")</f>
        <v>EN-002097416</v>
      </c>
    </row>
    <row r="11092" spans="1:15" ht="64" x14ac:dyDescent="0.2">
      <c r="A11092" s="7" t="str">
        <f>HYPERLINK("https://otsuka-europe-crm.veevavault.com/ui/#object/account__v/V4TZ04ASGC4LRAO", "FEDERICO PEROSA")</f>
        <v>FEDERICO PEROSA</v>
      </c>
      <c r="B11092" s="7" t="str">
        <f>HYPERLINK("https://otsuka-europe-crm.veevavault.com/ui/#object/vcountry__v/VENZ000004SONFQ", "IT")</f>
        <v>IT</v>
      </c>
      <c r="C11092" s="8" t="s">
        <v>44</v>
      </c>
      <c r="D11092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1092" s="10" t="str">
        <f>HYPERLINK("https://otsuka-europe-crm.veevavault.com/ui/#object/sent_email__v/VBL00000002V087", "SE-001436976")</f>
        <v>SE-001436976</v>
      </c>
      <c r="F11092" s="11"/>
      <c r="G11092" s="12">
        <v>0</v>
      </c>
      <c r="H11092" s="12">
        <v>0</v>
      </c>
      <c r="I11092" s="12">
        <v>0</v>
      </c>
      <c r="J11092" s="11"/>
      <c r="K11092" s="12">
        <v>0</v>
      </c>
      <c r="L11092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1092" s="10" t="str">
        <f>HYPERLINK("mailto:giada.camassa@outsuka.it", "giada.camassa@outsuka.it")</f>
        <v>giada.camassa@outsuka.it</v>
      </c>
      <c r="N11092" s="13">
        <v>46190.337962962964</v>
      </c>
      <c r="O11092" s="14" t="str">
        <f>HYPERLINK("https://otsuka-europe-crm.veevavault.com/ui/#object/email_activity__v/V8C00000003W445", "EN-002097729")</f>
        <v>EN-002097729</v>
      </c>
    </row>
    <row r="11093" spans="1:15" ht="64" x14ac:dyDescent="0.2">
      <c r="A11093" s="7" t="str">
        <f>HYPERLINK("https://otsuka-europe-crm.veevavault.com/ui/#object/account__v/V4TZ025E87NMJRP", "FELICE SENSI")</f>
        <v>FELICE SENSI</v>
      </c>
      <c r="B11093" s="7" t="str">
        <f>HYPERLINK("https://otsuka-europe-crm.veevavault.com/ui/#object/vcountry__v/VENZ000004SONFQ", "IT")</f>
        <v>IT</v>
      </c>
      <c r="C11093" s="8" t="s">
        <v>44</v>
      </c>
      <c r="D11093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1093" s="10" t="str">
        <f>HYPERLINK("https://otsuka-europe-crm.veevavault.com/ui/#object/sent_email__v/VBL00000002V088", "SE-001436977")</f>
        <v>SE-001436977</v>
      </c>
      <c r="F11093" s="11"/>
      <c r="G11093" s="12">
        <v>0</v>
      </c>
      <c r="H11093" s="12">
        <v>0</v>
      </c>
      <c r="I11093" s="12">
        <v>0</v>
      </c>
      <c r="J11093" s="11"/>
      <c r="K11093" s="12">
        <v>0</v>
      </c>
      <c r="L11093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1093" s="10" t="str">
        <f>HYPERLINK("mailto:giada.camassa@outsuka.it", "giada.camassa@outsuka.it")</f>
        <v>giada.camassa@outsuka.it</v>
      </c>
      <c r="N11093" s="13">
        <v>46190.339814814812</v>
      </c>
      <c r="O11093" s="14" t="str">
        <f>HYPERLINK("https://otsuka-europe-crm.veevavault.com/ui/#object/email_activity__v/V8C00000003W596", "EN-002098170")</f>
        <v>EN-002098170</v>
      </c>
    </row>
    <row r="11094" spans="1:15" ht="16" x14ac:dyDescent="0.2">
      <c r="A11094" s="17" t="str">
        <f>HYPERLINK("https://otsuka-europe-crm.veevavault.com/ui/#object/account__v/V4TZ04ASGBU8F2S", "FRANCESCA REGOLA")</f>
        <v>FRANCESCA REGOLA</v>
      </c>
      <c r="B11094" s="17" t="str">
        <f>HYPERLINK("https://otsuka-europe-crm.veevavault.com/ui/#object/vcountry__v/VENZ000004SONFQ", "IT")</f>
        <v>IT</v>
      </c>
      <c r="C11094" s="20" t="s">
        <v>44</v>
      </c>
      <c r="D11094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1094" s="22" t="str">
        <f>HYPERLINK("https://otsuka-europe-crm.veevavault.com/ui/#object/sent_email__v/VBL00000002V089", "SE-001436978")</f>
        <v>SE-001436978</v>
      </c>
      <c r="F11094" s="23">
        <v>46190.469004629631</v>
      </c>
      <c r="G11094" s="24">
        <v>1</v>
      </c>
      <c r="H11094" s="24">
        <v>1</v>
      </c>
      <c r="I11094" s="24">
        <v>0</v>
      </c>
      <c r="J11094" s="25"/>
      <c r="K11094" s="24">
        <v>0</v>
      </c>
      <c r="L11094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1094" s="22" t="str">
        <f>HYPERLINK("mailto:giada.camassa@outsuka.it", "giada.camassa@outsuka.it")</f>
        <v>giada.camassa@outsuka.it</v>
      </c>
      <c r="N11094" s="23">
        <v>46190.338587962964</v>
      </c>
      <c r="O11094" s="14" t="str">
        <f>HYPERLINK("https://otsuka-europe-crm.veevavault.com/ui/#object/email_activity__v/V8C00000003W684", "EN-002098337")</f>
        <v>EN-002098337</v>
      </c>
    </row>
    <row r="11095" spans="1:15" ht="16" x14ac:dyDescent="0.2">
      <c r="A11095" s="19"/>
      <c r="B11095" s="19"/>
      <c r="C11095" s="19"/>
      <c r="D11095" s="19"/>
      <c r="E11095" s="19"/>
      <c r="F11095" s="19"/>
      <c r="G11095" s="19"/>
      <c r="H11095" s="19"/>
      <c r="I11095" s="19"/>
      <c r="J11095" s="19"/>
      <c r="K11095" s="19"/>
      <c r="L11095" s="19"/>
      <c r="M11095" s="19"/>
      <c r="N11095" s="19"/>
      <c r="O11095" s="14" t="str">
        <f>HYPERLINK("https://otsuka-europe-crm.veevavault.com/ui/#object/email_activity__v/V8C00000003X623", "EN-002097945")</f>
        <v>EN-002097945</v>
      </c>
    </row>
    <row r="11096" spans="1:15" ht="64" x14ac:dyDescent="0.2">
      <c r="A11096" s="7" t="str">
        <f>HYPERLINK("https://otsuka-europe-crm.veevavault.com/ui/#object/account__v/V4TZ04ASGBTZLT1", "FRANCESCO PAOLO CANTATORE")</f>
        <v>FRANCESCO PAOLO CANTATORE</v>
      </c>
      <c r="B11096" s="7" t="str">
        <f>HYPERLINK("https://otsuka-europe-crm.veevavault.com/ui/#object/vcountry__v/VENZ000004SONFQ", "IT")</f>
        <v>IT</v>
      </c>
      <c r="C11096" s="8" t="s">
        <v>44</v>
      </c>
      <c r="D11096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1096" s="10" t="str">
        <f>HYPERLINK("https://otsuka-europe-crm.veevavault.com/ui/#object/sent_email__v/VBL00000002V090", "SE-001436979")</f>
        <v>SE-001436979</v>
      </c>
      <c r="F11096" s="11"/>
      <c r="G11096" s="12">
        <v>0</v>
      </c>
      <c r="H11096" s="12">
        <v>0</v>
      </c>
      <c r="I11096" s="12">
        <v>0</v>
      </c>
      <c r="J11096" s="11"/>
      <c r="K11096" s="12">
        <v>0</v>
      </c>
      <c r="L11096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1096" s="10" t="str">
        <f>HYPERLINK("mailto:giada.camassa@outsuka.it", "giada.camassa@outsuka.it")</f>
        <v>giada.camassa@outsuka.it</v>
      </c>
      <c r="N11096" s="13">
        <v>46190.339756944442</v>
      </c>
      <c r="O11096" s="14" t="str">
        <f>HYPERLINK("https://otsuka-europe-crm.veevavault.com/ui/#object/email_activity__v/V8C00000003X747", "EN-002098145")</f>
        <v>EN-002098145</v>
      </c>
    </row>
    <row r="11097" spans="1:15" ht="64" x14ac:dyDescent="0.2">
      <c r="A11097" s="7" t="str">
        <f>HYPERLINK("https://otsuka-europe-crm.veevavault.com/ui/#object/account__v/V4TZ025E84KIEDA", "GAETANO ZIZZO")</f>
        <v>GAETANO ZIZZO</v>
      </c>
      <c r="B11097" s="7" t="str">
        <f>HYPERLINK("https://otsuka-europe-crm.veevavault.com/ui/#object/vcountry__v/VENZ000004SONFQ", "IT")</f>
        <v>IT</v>
      </c>
      <c r="C11097" s="8" t="s">
        <v>44</v>
      </c>
      <c r="D11097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1097" s="10" t="str">
        <f>HYPERLINK("https://otsuka-europe-crm.veevavault.com/ui/#object/sent_email__v/VBL00000002V091", "SE-001436980")</f>
        <v>SE-001436980</v>
      </c>
      <c r="F11097" s="11"/>
      <c r="G11097" s="12">
        <v>0</v>
      </c>
      <c r="H11097" s="12">
        <v>0</v>
      </c>
      <c r="I11097" s="12">
        <v>0</v>
      </c>
      <c r="J11097" s="11"/>
      <c r="K11097" s="12">
        <v>0</v>
      </c>
      <c r="L11097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1097" s="10" t="str">
        <f>HYPERLINK("mailto:giada.camassa@outsuka.it", "giada.camassa@outsuka.it")</f>
        <v>giada.camassa@outsuka.it</v>
      </c>
      <c r="N11097" s="13">
        <v>46190.337881944448</v>
      </c>
      <c r="O11097" s="14" t="str">
        <f>HYPERLINK("https://otsuka-europe-crm.veevavault.com/ui/#object/email_activity__v/V8C00000003X520", "EN-002097763")</f>
        <v>EN-002097763</v>
      </c>
    </row>
    <row r="11098" spans="1:15" ht="64" x14ac:dyDescent="0.2">
      <c r="A11098" s="7" t="str">
        <f>HYPERLINK("https://otsuka-europe-crm.veevavault.com/ui/#object/account__v/V4TZ025E834U22I", "GIACOMO TANTI")</f>
        <v>GIACOMO TANTI</v>
      </c>
      <c r="B11098" s="7" t="str">
        <f>HYPERLINK("https://otsuka-europe-crm.veevavault.com/ui/#object/vcountry__v/VENZ000004SONFQ", "IT")</f>
        <v>IT</v>
      </c>
      <c r="C11098" s="8" t="s">
        <v>44</v>
      </c>
      <c r="D11098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1098" s="10" t="str">
        <f>HYPERLINK("https://otsuka-europe-crm.veevavault.com/ui/#object/sent_email__v/VBL00000002V092", "SE-001436981")</f>
        <v>SE-001436981</v>
      </c>
      <c r="F11098" s="11"/>
      <c r="G11098" s="12">
        <v>0</v>
      </c>
      <c r="H11098" s="12">
        <v>0</v>
      </c>
      <c r="I11098" s="12">
        <v>0</v>
      </c>
      <c r="J11098" s="11"/>
      <c r="K11098" s="12">
        <v>0</v>
      </c>
      <c r="L11098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1098" s="10" t="str">
        <f>HYPERLINK("mailto:giada.camassa@outsuka.it", "giada.camassa@outsuka.it")</f>
        <v>giada.camassa@outsuka.it</v>
      </c>
      <c r="N11098" s="13">
        <v>46190.33803240741</v>
      </c>
      <c r="O11098" s="14" t="str">
        <f>HYPERLINK("https://otsuka-europe-crm.veevavault.com/ui/#object/email_activity__v/V8C00000003X431", "EN-002097626")</f>
        <v>EN-002097626</v>
      </c>
    </row>
    <row r="11099" spans="1:15" ht="16" x14ac:dyDescent="0.2">
      <c r="A11099" s="17" t="str">
        <f>HYPERLINK("https://otsuka-europe-crm.veevavault.com/ui/#object/account__v/V4TZ04ASGB4WCMC", "GIAN DOMENICO SEBASTIANI")</f>
        <v>GIAN DOMENICO SEBASTIANI</v>
      </c>
      <c r="B11099" s="17" t="str">
        <f>HYPERLINK("https://otsuka-europe-crm.veevavault.com/ui/#object/vcountry__v/VENZ000004SONFQ", "IT")</f>
        <v>IT</v>
      </c>
      <c r="C11099" s="20" t="s">
        <v>44</v>
      </c>
      <c r="D11099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1099" s="22" t="str">
        <f>HYPERLINK("https://otsuka-europe-crm.veevavault.com/ui/#object/sent_email__v/VBL00000002V093", "SE-001436982")</f>
        <v>SE-001436982</v>
      </c>
      <c r="F11099" s="23">
        <v>46190.338703703703</v>
      </c>
      <c r="G11099" s="24">
        <v>1</v>
      </c>
      <c r="H11099" s="24">
        <v>1</v>
      </c>
      <c r="I11099" s="24">
        <v>0</v>
      </c>
      <c r="J11099" s="25"/>
      <c r="K11099" s="24">
        <v>0</v>
      </c>
      <c r="L11099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1099" s="22" t="str">
        <f>HYPERLINK("mailto:giada.camassa@outsuka.it", "giada.camassa@outsuka.it")</f>
        <v>giada.camassa@outsuka.it</v>
      </c>
      <c r="N11099" s="23">
        <v>46190.338495370372</v>
      </c>
      <c r="O11099" s="14" t="str">
        <f>HYPERLINK("https://otsuka-europe-crm.veevavault.com/ui/#object/email_activity__v/V8C00000003X607", "EN-002097928")</f>
        <v>EN-002097928</v>
      </c>
    </row>
    <row r="11100" spans="1:15" ht="16" x14ac:dyDescent="0.2">
      <c r="A11100" s="19"/>
      <c r="B11100" s="19"/>
      <c r="C11100" s="19"/>
      <c r="D11100" s="19"/>
      <c r="E11100" s="19"/>
      <c r="F11100" s="19"/>
      <c r="G11100" s="19"/>
      <c r="H11100" s="19"/>
      <c r="I11100" s="19"/>
      <c r="J11100" s="19"/>
      <c r="K11100" s="19"/>
      <c r="L11100" s="19"/>
      <c r="M11100" s="19"/>
      <c r="N11100" s="19"/>
      <c r="O11100" s="14" t="str">
        <f>HYPERLINK("https://otsuka-europe-crm.veevavault.com/ui/#object/email_activity__v/V8C00000003X631", "EN-002097964")</f>
        <v>EN-002097964</v>
      </c>
    </row>
    <row r="11101" spans="1:15" ht="64" x14ac:dyDescent="0.2">
      <c r="A11101" s="7" t="str">
        <f>HYPERLINK("https://otsuka-europe-crm.veevavault.com/ui/#object/account__v/V4TZ025E83886FX", "GIORGIO AMATO")</f>
        <v>GIORGIO AMATO</v>
      </c>
      <c r="B11101" s="7" t="str">
        <f>HYPERLINK("https://otsuka-europe-crm.veevavault.com/ui/#object/vcountry__v/VENZ000004SONFQ", "IT")</f>
        <v>IT</v>
      </c>
      <c r="C11101" s="8" t="s">
        <v>44</v>
      </c>
      <c r="D11101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1101" s="10" t="str">
        <f>HYPERLINK("https://otsuka-europe-crm.veevavault.com/ui/#object/sent_email__v/VBL00000002V094", "SE-001436983")</f>
        <v>SE-001436983</v>
      </c>
      <c r="F11101" s="11"/>
      <c r="G11101" s="12">
        <v>0</v>
      </c>
      <c r="H11101" s="12">
        <v>0</v>
      </c>
      <c r="I11101" s="12">
        <v>0</v>
      </c>
      <c r="J11101" s="11"/>
      <c r="K11101" s="12">
        <v>0</v>
      </c>
      <c r="L11101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1101" s="10" t="str">
        <f>HYPERLINK("mailto:giada.camassa@outsuka.it", "giada.camassa@outsuka.it")</f>
        <v>giada.camassa@outsuka.it</v>
      </c>
      <c r="N11101" s="13">
        <v>46190.338148148148</v>
      </c>
      <c r="O11101" s="14" t="str">
        <f>HYPERLINK("https://otsuka-europe-crm.veevavault.com/ui/#object/email_activity__v/V8C00000003X564", "EN-002097860")</f>
        <v>EN-002097860</v>
      </c>
    </row>
    <row r="11102" spans="1:15" ht="16" x14ac:dyDescent="0.2">
      <c r="A11102" s="17" t="str">
        <f>HYPERLINK("https://otsuka-europe-crm.veevavault.com/ui/#object/account__v/V4TZ025E83SY9E6", "GIULIA CARREA")</f>
        <v>GIULIA CARREA</v>
      </c>
      <c r="B11102" s="17" t="str">
        <f>HYPERLINK("https://otsuka-europe-crm.veevavault.com/ui/#object/vcountry__v/VENZ000004SONFQ", "IT")</f>
        <v>IT</v>
      </c>
      <c r="C11102" s="20" t="s">
        <v>44</v>
      </c>
      <c r="D11102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1102" s="22" t="str">
        <f>HYPERLINK("https://otsuka-europe-crm.veevavault.com/ui/#object/sent_email__v/VBL00000002V095", "SE-001436984")</f>
        <v>SE-001436984</v>
      </c>
      <c r="F11102" s="23">
        <v>46190.341192129628</v>
      </c>
      <c r="G11102" s="24">
        <v>1</v>
      </c>
      <c r="H11102" s="24">
        <v>3</v>
      </c>
      <c r="I11102" s="24">
        <v>0</v>
      </c>
      <c r="J11102" s="25"/>
      <c r="K11102" s="24">
        <v>0</v>
      </c>
      <c r="L11102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1102" s="22" t="str">
        <f>HYPERLINK("mailto:giada.camassa@outsuka.it", "giada.camassa@outsuka.it")</f>
        <v>giada.camassa@outsuka.it</v>
      </c>
      <c r="N11102" s="23">
        <v>46190.339583333334</v>
      </c>
      <c r="O11102" s="14" t="str">
        <f>HYPERLINK("https://otsuka-europe-crm.veevavault.com/ui/#object/email_activity__v/V8C00000003W576", "EN-002098115")</f>
        <v>EN-002098115</v>
      </c>
    </row>
    <row r="11103" spans="1:15" ht="16" x14ac:dyDescent="0.2">
      <c r="A11103" s="18"/>
      <c r="B11103" s="18"/>
      <c r="C11103" s="18"/>
      <c r="D11103" s="18"/>
      <c r="E11103" s="18"/>
      <c r="F11103" s="18"/>
      <c r="G11103" s="18"/>
      <c r="H11103" s="18"/>
      <c r="I11103" s="18"/>
      <c r="J11103" s="18"/>
      <c r="K11103" s="18"/>
      <c r="L11103" s="18"/>
      <c r="M11103" s="18"/>
      <c r="N11103" s="18"/>
      <c r="O11103" s="14" t="str">
        <f>HYPERLINK("https://otsuka-europe-crm.veevavault.com/ui/#object/email_activity__v/V8C00000003X731", "EN-002098113")</f>
        <v>EN-002098113</v>
      </c>
    </row>
    <row r="11104" spans="1:15" ht="16" x14ac:dyDescent="0.2">
      <c r="A11104" s="18"/>
      <c r="B11104" s="18"/>
      <c r="C11104" s="18"/>
      <c r="D11104" s="18"/>
      <c r="E11104" s="18"/>
      <c r="F11104" s="18"/>
      <c r="G11104" s="18"/>
      <c r="H11104" s="18"/>
      <c r="I11104" s="18"/>
      <c r="J11104" s="18"/>
      <c r="K11104" s="18"/>
      <c r="L11104" s="18"/>
      <c r="M11104" s="18"/>
      <c r="N11104" s="18"/>
      <c r="O11104" s="14" t="str">
        <f>HYPERLINK("https://otsuka-europe-crm.veevavault.com/ui/#object/email_activity__v/V8C00000003X790", "EN-002098202")</f>
        <v>EN-002098202</v>
      </c>
    </row>
    <row r="11105" spans="1:15" ht="16" x14ac:dyDescent="0.2">
      <c r="A11105" s="19"/>
      <c r="B11105" s="19"/>
      <c r="C11105" s="19"/>
      <c r="D11105" s="19"/>
      <c r="E11105" s="19"/>
      <c r="F11105" s="19"/>
      <c r="G11105" s="19"/>
      <c r="H11105" s="19"/>
      <c r="I11105" s="19"/>
      <c r="J11105" s="19"/>
      <c r="K11105" s="19"/>
      <c r="L11105" s="19"/>
      <c r="M11105" s="19"/>
      <c r="N11105" s="19"/>
      <c r="O11105" s="14" t="str">
        <f>HYPERLINK("https://otsuka-europe-crm.veevavault.com/ui/#object/email_activity__v/V8C00000003X798", "EN-002098213")</f>
        <v>EN-002098213</v>
      </c>
    </row>
    <row r="11106" spans="1:15" ht="16" x14ac:dyDescent="0.2">
      <c r="A11106" s="17" t="str">
        <f>HYPERLINK("https://otsuka-europe-crm.veevavault.com/ui/#object/account__v/V4TZ025E85DWUP0", "GIULIA GRASSO")</f>
        <v>GIULIA GRASSO</v>
      </c>
      <c r="B11106" s="17" t="str">
        <f>HYPERLINK("https://otsuka-europe-crm.veevavault.com/ui/#object/vcountry__v/VENZ000004SONFQ", "IT")</f>
        <v>IT</v>
      </c>
      <c r="C11106" s="20" t="s">
        <v>44</v>
      </c>
      <c r="D11106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1106" s="22" t="str">
        <f>HYPERLINK("https://otsuka-europe-crm.veevavault.com/ui/#object/sent_email__v/VBL00000002V096", "SE-001436985")</f>
        <v>SE-001436985</v>
      </c>
      <c r="F11106" s="25"/>
      <c r="G11106" s="24">
        <v>0</v>
      </c>
      <c r="H11106" s="24">
        <v>0</v>
      </c>
      <c r="I11106" s="24">
        <v>0</v>
      </c>
      <c r="J11106" s="25"/>
      <c r="K11106" s="24">
        <v>0</v>
      </c>
      <c r="L11106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1106" s="22" t="str">
        <f>HYPERLINK("mailto:giada.camassa@outsuka.it", "giada.camassa@outsuka.it")</f>
        <v>giada.camassa@outsuka.it</v>
      </c>
      <c r="N11106" s="23">
        <v>46190.337997685187</v>
      </c>
      <c r="O11106" s="14" t="str">
        <f>HYPERLINK("https://otsuka-europe-crm.veevavault.com/ui/#object/email_activity__v/V8C00000003X491", "EN-002097705")</f>
        <v>EN-002097705</v>
      </c>
    </row>
    <row r="11107" spans="1:15" ht="16" x14ac:dyDescent="0.2">
      <c r="A11107" s="19"/>
      <c r="B11107" s="19"/>
      <c r="C11107" s="19"/>
      <c r="D11107" s="19"/>
      <c r="E11107" s="19"/>
      <c r="F11107" s="19"/>
      <c r="G11107" s="19"/>
      <c r="H11107" s="19"/>
      <c r="I11107" s="19"/>
      <c r="J11107" s="19"/>
      <c r="K11107" s="19"/>
      <c r="L11107" s="19"/>
      <c r="M11107" s="19"/>
      <c r="N11107" s="19"/>
      <c r="O11107" s="14" t="str">
        <f>HYPERLINK("https://otsuka-europe-crm.veevavault.com/ui/#object/email_activity__v/V8C000000040561", "EN-002099690")</f>
        <v>EN-002099690</v>
      </c>
    </row>
    <row r="11108" spans="1:15" ht="64" x14ac:dyDescent="0.2">
      <c r="A11108" s="7" t="str">
        <f>HYPERLINK("https://otsuka-europe-crm.veevavault.com/ui/#object/account__v/V4TZ025E83BB2F3", "GIULIANA MARIA CONCETTA LA PAGLIA")</f>
        <v>GIULIANA MARIA CONCETTA LA PAGLIA</v>
      </c>
      <c r="B11108" s="7" t="str">
        <f>HYPERLINK("https://otsuka-europe-crm.veevavault.com/ui/#object/vcountry__v/VENZ000004SONFQ", "IT")</f>
        <v>IT</v>
      </c>
      <c r="C11108" s="8" t="s">
        <v>44</v>
      </c>
      <c r="D11108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1108" s="10" t="str">
        <f>HYPERLINK("https://otsuka-europe-crm.veevavault.com/ui/#object/sent_email__v/VBL00000002V097", "SE-001436986")</f>
        <v>SE-001436986</v>
      </c>
      <c r="F11108" s="11"/>
      <c r="G11108" s="12">
        <v>0</v>
      </c>
      <c r="H11108" s="12">
        <v>0</v>
      </c>
      <c r="I11108" s="12">
        <v>0</v>
      </c>
      <c r="J11108" s="11"/>
      <c r="K11108" s="12">
        <v>0</v>
      </c>
      <c r="L11108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1108" s="10" t="str">
        <f>HYPERLINK("mailto:giada.camassa@outsuka.it", "giada.camassa@outsuka.it")</f>
        <v>giada.camassa@outsuka.it</v>
      </c>
      <c r="N11108" s="13">
        <v>46190.337962962964</v>
      </c>
      <c r="O11108" s="14" t="str">
        <f>HYPERLINK("https://otsuka-europe-crm.veevavault.com/ui/#object/email_activity__v/V8C00000003X421", "EN-002097616")</f>
        <v>EN-002097616</v>
      </c>
    </row>
    <row r="11109" spans="1:15" ht="64" x14ac:dyDescent="0.2">
      <c r="A11109" s="7" t="str">
        <f>HYPERLINK("https://otsuka-europe-crm.veevavault.com/ui/#object/account__v/V4TZ04ASGEIAX6K", "GUIDO ROVERA")</f>
        <v>GUIDO ROVERA</v>
      </c>
      <c r="B11109" s="7" t="str">
        <f>HYPERLINK("https://otsuka-europe-crm.veevavault.com/ui/#object/vcountry__v/VENZ000004SONFQ", "IT")</f>
        <v>IT</v>
      </c>
      <c r="C11109" s="8" t="s">
        <v>44</v>
      </c>
      <c r="D11109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1109" s="10" t="str">
        <f>HYPERLINK("https://otsuka-europe-crm.veevavault.com/ui/#object/sent_email__v/VBL00000002V098", "SE-001436987")</f>
        <v>SE-001436987</v>
      </c>
      <c r="F11109" s="11"/>
      <c r="G11109" s="12">
        <v>0</v>
      </c>
      <c r="H11109" s="12">
        <v>0</v>
      </c>
      <c r="I11109" s="12">
        <v>0</v>
      </c>
      <c r="J11109" s="11"/>
      <c r="K11109" s="12">
        <v>0</v>
      </c>
      <c r="L11109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1109" s="10" t="str">
        <f>HYPERLINK("mailto:giada.camassa@outsuka.it", "giada.camassa@outsuka.it")</f>
        <v>giada.camassa@outsuka.it</v>
      </c>
      <c r="N11109" s="13">
        <v>46190.338020833333</v>
      </c>
      <c r="O11109" s="14" t="str">
        <f>HYPERLINK("https://otsuka-europe-crm.veevavault.com/ui/#object/email_activity__v/V8C00000003X515", "EN-002097758")</f>
        <v>EN-002097758</v>
      </c>
    </row>
    <row r="11110" spans="1:15" ht="16" x14ac:dyDescent="0.2">
      <c r="A11110" s="17" t="str">
        <f>HYPERLINK("https://otsuka-europe-crm.veevavault.com/ui/#object/account__v/V4TZ025E84OBXR9", "KATIA ANGELA RE")</f>
        <v>KATIA ANGELA RE</v>
      </c>
      <c r="B11110" s="17" t="str">
        <f>HYPERLINK("https://otsuka-europe-crm.veevavault.com/ui/#object/vcountry__v/VENZ000004SONFQ", "IT")</f>
        <v>IT</v>
      </c>
      <c r="C11110" s="20" t="s">
        <v>44</v>
      </c>
      <c r="D11110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1110" s="22" t="str">
        <f>HYPERLINK("https://otsuka-europe-crm.veevavault.com/ui/#object/sent_email__v/VBL00000002V099", "SE-001436988")</f>
        <v>SE-001436988</v>
      </c>
      <c r="F11110" s="23">
        <v>46190.338587962964</v>
      </c>
      <c r="G11110" s="24">
        <v>1</v>
      </c>
      <c r="H11110" s="24">
        <v>1</v>
      </c>
      <c r="I11110" s="24">
        <v>0</v>
      </c>
      <c r="J11110" s="25"/>
      <c r="K11110" s="24">
        <v>0</v>
      </c>
      <c r="L11110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1110" s="22" t="str">
        <f>HYPERLINK("mailto:giada.camassa@outsuka.it", "giada.camassa@outsuka.it")</f>
        <v>giada.camassa@outsuka.it</v>
      </c>
      <c r="N11110" s="23">
        <v>46190.338437500002</v>
      </c>
      <c r="O11110" s="14" t="str">
        <f>HYPERLINK("https://otsuka-europe-crm.veevavault.com/ui/#object/email_activity__v/V8C00000003W512", "EN-002097922")</f>
        <v>EN-002097922</v>
      </c>
    </row>
    <row r="11111" spans="1:15" ht="16" x14ac:dyDescent="0.2">
      <c r="A11111" s="19"/>
      <c r="B11111" s="19"/>
      <c r="C11111" s="19"/>
      <c r="D11111" s="19"/>
      <c r="E11111" s="19"/>
      <c r="F11111" s="19"/>
      <c r="G11111" s="19"/>
      <c r="H11111" s="19"/>
      <c r="I11111" s="19"/>
      <c r="J11111" s="19"/>
      <c r="K11111" s="19"/>
      <c r="L11111" s="19"/>
      <c r="M11111" s="19"/>
      <c r="N11111" s="19"/>
      <c r="O11111" s="14" t="str">
        <f>HYPERLINK("https://otsuka-europe-crm.veevavault.com/ui/#object/email_activity__v/V8C00000003X624", "EN-002097946")</f>
        <v>EN-002097946</v>
      </c>
    </row>
    <row r="11112" spans="1:15" ht="16" x14ac:dyDescent="0.2">
      <c r="A11112" s="17" t="str">
        <f>HYPERLINK("https://otsuka-europe-crm.veevavault.com/ui/#object/account__v/V4TZ04ASGCI6VV2", "LAURA BELLOLI")</f>
        <v>LAURA BELLOLI</v>
      </c>
      <c r="B11112" s="17" t="str">
        <f>HYPERLINK("https://otsuka-europe-crm.veevavault.com/ui/#object/vcountry__v/VENZ000004SONFQ", "IT")</f>
        <v>IT</v>
      </c>
      <c r="C11112" s="20" t="s">
        <v>44</v>
      </c>
      <c r="D11112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1112" s="22" t="str">
        <f>HYPERLINK("https://otsuka-europe-crm.veevavault.com/ui/#object/sent_email__v/VBL00000002V100", "SE-001436989")</f>
        <v>SE-001436989</v>
      </c>
      <c r="F11112" s="23">
        <v>46190.338726851849</v>
      </c>
      <c r="G11112" s="24">
        <v>1</v>
      </c>
      <c r="H11112" s="24">
        <v>1</v>
      </c>
      <c r="I11112" s="24">
        <v>0</v>
      </c>
      <c r="J11112" s="25"/>
      <c r="K11112" s="24">
        <v>0</v>
      </c>
      <c r="L11112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1112" s="22" t="str">
        <f>HYPERLINK("mailto:giada.camassa@outsuka.it", "giada.camassa@outsuka.it")</f>
        <v>giada.camassa@outsuka.it</v>
      </c>
      <c r="N11112" s="23">
        <v>46190.338217592594</v>
      </c>
      <c r="O11112" s="14" t="str">
        <f>HYPERLINK("https://otsuka-europe-crm.veevavault.com/ui/#object/email_activity__v/V8C00000003X548", "EN-002097840")</f>
        <v>EN-002097840</v>
      </c>
    </row>
    <row r="11113" spans="1:15" ht="16" x14ac:dyDescent="0.2">
      <c r="A11113" s="19"/>
      <c r="B11113" s="19"/>
      <c r="C11113" s="19"/>
      <c r="D11113" s="19"/>
      <c r="E11113" s="19"/>
      <c r="F11113" s="19"/>
      <c r="G11113" s="19"/>
      <c r="H11113" s="19"/>
      <c r="I11113" s="19"/>
      <c r="J11113" s="19"/>
      <c r="K11113" s="19"/>
      <c r="L11113" s="19"/>
      <c r="M11113" s="19"/>
      <c r="N11113" s="19"/>
      <c r="O11113" s="14" t="str">
        <f>HYPERLINK("https://otsuka-europe-crm.veevavault.com/ui/#object/email_activity__v/V8C00000003X632", "EN-002097965")</f>
        <v>EN-002097965</v>
      </c>
    </row>
    <row r="11114" spans="1:15" ht="64" x14ac:dyDescent="0.2">
      <c r="A11114" s="7" t="str">
        <f>HYPERLINK("https://otsuka-europe-crm.veevavault.com/ui/#object/account__v/V4TZ04ASGC7LY7I", "LORENA LONGATO")</f>
        <v>LORENA LONGATO</v>
      </c>
      <c r="B11114" s="7" t="str">
        <f>HYPERLINK("https://otsuka-europe-crm.veevavault.com/ui/#object/vcountry__v/VENZ000004SONFQ", "IT")</f>
        <v>IT</v>
      </c>
      <c r="C11114" s="8" t="s">
        <v>44</v>
      </c>
      <c r="D11114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1114" s="10" t="str">
        <f>HYPERLINK("https://otsuka-europe-crm.veevavault.com/ui/#object/sent_email__v/VBL00000002V101", "SE-001436990")</f>
        <v>SE-001436990</v>
      </c>
      <c r="F11114" s="11"/>
      <c r="G11114" s="12">
        <v>0</v>
      </c>
      <c r="H11114" s="12">
        <v>0</v>
      </c>
      <c r="I11114" s="12">
        <v>0</v>
      </c>
      <c r="J11114" s="11"/>
      <c r="K11114" s="12">
        <v>0</v>
      </c>
      <c r="L11114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1114" s="10" t="str">
        <f>HYPERLINK("mailto:giada.camassa@outsuka.it", "giada.camassa@outsuka.it")</f>
        <v>giada.camassa@outsuka.it</v>
      </c>
      <c r="N11114" s="13">
        <v>46188.614606481482</v>
      </c>
      <c r="O11114" s="14" t="str">
        <f>HYPERLINK("https://otsuka-europe-crm.veevavault.com/ui/#object/email_activity__v/V8C00000003X549", "EN-002097841")</f>
        <v>EN-002097841</v>
      </c>
    </row>
    <row r="11115" spans="1:15" ht="64" x14ac:dyDescent="0.2">
      <c r="A11115" s="7" t="str">
        <f>HYPERLINK("https://otsuka-europe-crm.veevavault.com/ui/#object/account__v/V4TZ025E85PPPZF", "LUCIA SERAFINO")</f>
        <v>LUCIA SERAFINO</v>
      </c>
      <c r="B11115" s="7" t="str">
        <f>HYPERLINK("https://otsuka-europe-crm.veevavault.com/ui/#object/vcountry__v/VENZ000004SONFQ", "IT")</f>
        <v>IT</v>
      </c>
      <c r="C11115" s="8" t="s">
        <v>44</v>
      </c>
      <c r="D11115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1115" s="10" t="str">
        <f>HYPERLINK("https://otsuka-europe-crm.veevavault.com/ui/#object/sent_email__v/VBL00000002V102", "SE-001436991")</f>
        <v>SE-001436991</v>
      </c>
      <c r="F11115" s="11"/>
      <c r="G11115" s="12">
        <v>0</v>
      </c>
      <c r="H11115" s="12">
        <v>0</v>
      </c>
      <c r="I11115" s="12">
        <v>0</v>
      </c>
      <c r="J11115" s="11"/>
      <c r="K11115" s="12">
        <v>0</v>
      </c>
      <c r="L11115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1115" s="10" t="str">
        <f>HYPERLINK("mailto:giada.camassa@outsuka.it", "giada.camassa@outsuka.it")</f>
        <v>giada.camassa@outsuka.it</v>
      </c>
      <c r="N11115" s="13">
        <v>46190.339131944442</v>
      </c>
      <c r="O11115" s="14" t="str">
        <f>HYPERLINK("https://otsuka-europe-crm.veevavault.com/ui/#object/email_activity__v/V8C00000003W539", "EN-002098028")</f>
        <v>EN-002098028</v>
      </c>
    </row>
    <row r="11116" spans="1:15" ht="16" x14ac:dyDescent="0.2">
      <c r="A11116" s="17" t="str">
        <f>HYPERLINK("https://otsuka-europe-crm.veevavault.com/ui/#object/account__v/V4TZ04ASGE0EOAF", "LUISA MIRONE")</f>
        <v>LUISA MIRONE</v>
      </c>
      <c r="B11116" s="17" t="str">
        <f>HYPERLINK("https://otsuka-europe-crm.veevavault.com/ui/#object/vcountry__v/VENZ000004SONFQ", "IT")</f>
        <v>IT</v>
      </c>
      <c r="C11116" s="20" t="s">
        <v>44</v>
      </c>
      <c r="D11116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1116" s="22" t="str">
        <f>HYPERLINK("https://otsuka-europe-crm.veevavault.com/ui/#object/sent_email__v/VBL00000002V103", "SE-001436992")</f>
        <v>SE-001436992</v>
      </c>
      <c r="F11116" s="23">
        <v>46190.339826388888</v>
      </c>
      <c r="G11116" s="24">
        <v>1</v>
      </c>
      <c r="H11116" s="24">
        <v>1</v>
      </c>
      <c r="I11116" s="24">
        <v>0</v>
      </c>
      <c r="J11116" s="25"/>
      <c r="K11116" s="24">
        <v>0</v>
      </c>
      <c r="L11116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1116" s="22" t="str">
        <f>HYPERLINK("mailto:giada.camassa@outsuka.it", "giada.camassa@outsuka.it")</f>
        <v>giada.camassa@outsuka.it</v>
      </c>
      <c r="N11116" s="23">
        <v>46190.339606481481</v>
      </c>
      <c r="O11116" s="14" t="str">
        <f>HYPERLINK("https://otsuka-europe-crm.veevavault.com/ui/#object/email_activity__v/V8C00000003X720", "EN-002098100")</f>
        <v>EN-002098100</v>
      </c>
    </row>
    <row r="11117" spans="1:15" ht="16" x14ac:dyDescent="0.2">
      <c r="A11117" s="19"/>
      <c r="B11117" s="19"/>
      <c r="C11117" s="19"/>
      <c r="D11117" s="19"/>
      <c r="E11117" s="19"/>
      <c r="F11117" s="19"/>
      <c r="G11117" s="19"/>
      <c r="H11117" s="19"/>
      <c r="I11117" s="19"/>
      <c r="J11117" s="19"/>
      <c r="K11117" s="19"/>
      <c r="L11117" s="19"/>
      <c r="M11117" s="19"/>
      <c r="N11117" s="19"/>
      <c r="O11117" s="14" t="str">
        <f>HYPERLINK("https://otsuka-europe-crm.veevavault.com/ui/#object/email_activity__v/V8C00000003X743", "EN-002098141")</f>
        <v>EN-002098141</v>
      </c>
    </row>
    <row r="11118" spans="1:15" ht="64" x14ac:dyDescent="0.2">
      <c r="A11118" s="7" t="str">
        <f>HYPERLINK("https://otsuka-europe-crm.veevavault.com/ui/#object/account__v/V4TZ04ASG8MWDZD", "MARCELLO GOVONI")</f>
        <v>MARCELLO GOVONI</v>
      </c>
      <c r="B11118" s="7" t="str">
        <f>HYPERLINK("https://otsuka-europe-crm.veevavault.com/ui/#object/vcountry__v/VENZ000004SONFQ", "IT")</f>
        <v>IT</v>
      </c>
      <c r="C11118" s="8" t="s">
        <v>44</v>
      </c>
      <c r="D11118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1118" s="10" t="str">
        <f>HYPERLINK("https://otsuka-europe-crm.veevavault.com/ui/#object/sent_email__v/VBL00000002V104", "SE-001436993")</f>
        <v>SE-001436993</v>
      </c>
      <c r="F11118" s="11"/>
      <c r="G11118" s="12">
        <v>0</v>
      </c>
      <c r="H11118" s="12">
        <v>0</v>
      </c>
      <c r="I11118" s="12">
        <v>0</v>
      </c>
      <c r="J11118" s="11"/>
      <c r="K11118" s="12">
        <v>0</v>
      </c>
      <c r="L11118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1118" s="10" t="str">
        <f>HYPERLINK("mailto:giada.camassa@outsuka.it", "giada.camassa@outsuka.it")</f>
        <v>giada.camassa@outsuka.it</v>
      </c>
      <c r="N11118" s="13">
        <v>46190.339849537035</v>
      </c>
      <c r="O11118" s="14" t="str">
        <f>HYPERLINK("https://otsuka-europe-crm.veevavault.com/ui/#object/email_activity__v/V8C00000003X750", "EN-002098148")</f>
        <v>EN-002098148</v>
      </c>
    </row>
    <row r="11119" spans="1:15" ht="16" x14ac:dyDescent="0.2">
      <c r="A11119" s="17" t="str">
        <f>HYPERLINK("https://otsuka-europe-crm.veevavault.com/ui/#object/account__v/V4TZ025E82IBF79", "MARCO MASIA")</f>
        <v>MARCO MASIA</v>
      </c>
      <c r="B11119" s="17" t="str">
        <f>HYPERLINK("https://otsuka-europe-crm.veevavault.com/ui/#object/vcountry__v/VENZ000004SONFQ", "IT")</f>
        <v>IT</v>
      </c>
      <c r="C11119" s="20" t="s">
        <v>44</v>
      </c>
      <c r="D11119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1119" s="22" t="str">
        <f>HYPERLINK("https://otsuka-europe-crm.veevavault.com/ui/#object/sent_email__v/VBL00000002V106", "SE-001436995")</f>
        <v>SE-001436995</v>
      </c>
      <c r="F11119" s="23">
        <v>46190.34002314815</v>
      </c>
      <c r="G11119" s="24">
        <v>1</v>
      </c>
      <c r="H11119" s="24">
        <v>1</v>
      </c>
      <c r="I11119" s="24">
        <v>0</v>
      </c>
      <c r="J11119" s="25"/>
      <c r="K11119" s="24">
        <v>0</v>
      </c>
      <c r="L11119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1119" s="22" t="str">
        <f>HYPERLINK("mailto:giada.camassa@outsuka.it", "giada.camassa@outsuka.it")</f>
        <v>giada.camassa@outsuka.it</v>
      </c>
      <c r="N11119" s="23">
        <v>46190.339814814812</v>
      </c>
      <c r="O11119" s="14" t="str">
        <f>HYPERLINK("https://otsuka-europe-crm.veevavault.com/ui/#object/email_activity__v/V8C00000003X756", "EN-002098156")</f>
        <v>EN-002098156</v>
      </c>
    </row>
    <row r="11120" spans="1:15" ht="16" x14ac:dyDescent="0.2">
      <c r="A11120" s="19"/>
      <c r="B11120" s="19"/>
      <c r="C11120" s="19"/>
      <c r="D11120" s="19"/>
      <c r="E11120" s="19"/>
      <c r="F11120" s="19"/>
      <c r="G11120" s="19"/>
      <c r="H11120" s="19"/>
      <c r="I11120" s="19"/>
      <c r="J11120" s="19"/>
      <c r="K11120" s="19"/>
      <c r="L11120" s="19"/>
      <c r="M11120" s="19"/>
      <c r="N11120" s="19"/>
      <c r="O11120" s="14" t="str">
        <f>HYPERLINK("https://otsuka-europe-crm.veevavault.com/ui/#object/email_activity__v/V8C00000003X776", "EN-002098181")</f>
        <v>EN-002098181</v>
      </c>
    </row>
    <row r="11121" spans="1:15" ht="64" x14ac:dyDescent="0.2">
      <c r="A11121" s="7" t="str">
        <f>HYPERLINK("https://otsuka-europe-crm.veevavault.com/ui/#object/account__v/V4TZ04ASGBC5XQR", "MARCO MINERBA")</f>
        <v>MARCO MINERBA</v>
      </c>
      <c r="B11121" s="7" t="str">
        <f t="shared" ref="B11121:B11127" si="874">HYPERLINK("https://otsuka-europe-crm.veevavault.com/ui/#object/vcountry__v/VENZ000004SONFQ", "IT")</f>
        <v>IT</v>
      </c>
      <c r="C11121" s="8" t="s">
        <v>44</v>
      </c>
      <c r="D11121" s="9" t="str">
        <f t="shared" ref="D11121:D11127" si="875">HYPERLINK("https://otsuka-europe-crm.veevavault.com/ui/#object/approved_document__v/V5O00000000G062", "AE - AGGIORNAMENTI SEZIONE APPROFONDIMENTI REUMA IT-NPR-2500150")</f>
        <v>AE - AGGIORNAMENTI SEZIONE APPROFONDIMENTI REUMA IT-NPR-2500150</v>
      </c>
      <c r="E11121" s="10" t="str">
        <f>HYPERLINK("https://otsuka-europe-crm.veevavault.com/ui/#object/sent_email__v/VBL00000002V107", "SE-001436996")</f>
        <v>SE-001436996</v>
      </c>
      <c r="F11121" s="11"/>
      <c r="G11121" s="12">
        <v>0</v>
      </c>
      <c r="H11121" s="12">
        <v>0</v>
      </c>
      <c r="I11121" s="12">
        <v>0</v>
      </c>
      <c r="J11121" s="11"/>
      <c r="K11121" s="12">
        <v>0</v>
      </c>
      <c r="L11121" s="10" t="str">
        <f t="shared" ref="L11121:L11127" si="876">HYPERLINK("https://otsuka-europe-crm.veevavault.com/ui/#object/approved_document__v/V5O00000000G062", "AE - AGGIORNAMENTI SEZIONE APPROFONDIMENTI REUMA IT-NPR-2500150")</f>
        <v>AE - AGGIORNAMENTI SEZIONE APPROFONDIMENTI REUMA IT-NPR-2500150</v>
      </c>
      <c r="M11121" s="10" t="str">
        <f t="shared" ref="M11121:M11127" si="877">HYPERLINK("mailto:giada.camassa@outsuka.it", "giada.camassa@outsuka.it")</f>
        <v>giada.camassa@outsuka.it</v>
      </c>
      <c r="N11121" s="13">
        <v>46190.337893518517</v>
      </c>
      <c r="O11121" s="14" t="str">
        <f>HYPERLINK("https://otsuka-europe-crm.veevavault.com/ui/#object/email_activity__v/V8C00000003X251", "EN-002097426")</f>
        <v>EN-002097426</v>
      </c>
    </row>
    <row r="11122" spans="1:15" ht="64" x14ac:dyDescent="0.2">
      <c r="A11122" s="7" t="str">
        <f>HYPERLINK("https://otsuka-europe-crm.veevavault.com/ui/#object/account__v/V4TZ04ASGC7LY70", "MARIA BRUZZONE")</f>
        <v>MARIA BRUZZONE</v>
      </c>
      <c r="B11122" s="7" t="str">
        <f t="shared" si="874"/>
        <v>IT</v>
      </c>
      <c r="C11122" s="8" t="s">
        <v>44</v>
      </c>
      <c r="D11122" s="9" t="str">
        <f t="shared" si="875"/>
        <v>AE - AGGIORNAMENTI SEZIONE APPROFONDIMENTI REUMA IT-NPR-2500150</v>
      </c>
      <c r="E11122" s="10" t="str">
        <f>HYPERLINK("https://otsuka-europe-crm.veevavault.com/ui/#object/sent_email__v/VBL00000002V108", "SE-001436997")</f>
        <v>SE-001436997</v>
      </c>
      <c r="F11122" s="11"/>
      <c r="G11122" s="12">
        <v>0</v>
      </c>
      <c r="H11122" s="12">
        <v>0</v>
      </c>
      <c r="I11122" s="12">
        <v>0</v>
      </c>
      <c r="J11122" s="11"/>
      <c r="K11122" s="12">
        <v>0</v>
      </c>
      <c r="L11122" s="10" t="str">
        <f t="shared" si="876"/>
        <v>AE - AGGIORNAMENTI SEZIONE APPROFONDIMENTI REUMA IT-NPR-2500150</v>
      </c>
      <c r="M11122" s="10" t="str">
        <f t="shared" si="877"/>
        <v>giada.camassa@outsuka.it</v>
      </c>
      <c r="N11122" s="13">
        <v>46190.339456018519</v>
      </c>
      <c r="O11122" s="14" t="str">
        <f>HYPERLINK("https://otsuka-europe-crm.veevavault.com/ui/#object/email_activity__v/V8C00000003W559", "EN-002098076")</f>
        <v>EN-002098076</v>
      </c>
    </row>
    <row r="11123" spans="1:15" ht="64" x14ac:dyDescent="0.2">
      <c r="A11123" s="7" t="str">
        <f>HYPERLINK("https://otsuka-europe-crm.veevavault.com/ui/#object/account__v/V4TZ025E844MAUD", "MARIA LETIZIA APRILE")</f>
        <v>MARIA LETIZIA APRILE</v>
      </c>
      <c r="B11123" s="7" t="str">
        <f t="shared" si="874"/>
        <v>IT</v>
      </c>
      <c r="C11123" s="8" t="s">
        <v>44</v>
      </c>
      <c r="D11123" s="9" t="str">
        <f t="shared" si="875"/>
        <v>AE - AGGIORNAMENTI SEZIONE APPROFONDIMENTI REUMA IT-NPR-2500150</v>
      </c>
      <c r="E11123" s="10" t="str">
        <f>HYPERLINK("https://otsuka-europe-crm.veevavault.com/ui/#object/sent_email__v/VBL00000002V109", "SE-001436998")</f>
        <v>SE-001436998</v>
      </c>
      <c r="F11123" s="11"/>
      <c r="G11123" s="12">
        <v>0</v>
      </c>
      <c r="H11123" s="12">
        <v>0</v>
      </c>
      <c r="I11123" s="12">
        <v>0</v>
      </c>
      <c r="J11123" s="11"/>
      <c r="K11123" s="12">
        <v>0</v>
      </c>
      <c r="L11123" s="10" t="str">
        <f t="shared" si="876"/>
        <v>AE - AGGIORNAMENTI SEZIONE APPROFONDIMENTI REUMA IT-NPR-2500150</v>
      </c>
      <c r="M11123" s="10" t="str">
        <f t="shared" si="877"/>
        <v>giada.camassa@outsuka.it</v>
      </c>
      <c r="N11123" s="13">
        <v>46190.340057870373</v>
      </c>
      <c r="O11123" s="14" t="str">
        <f>HYPERLINK("https://otsuka-europe-crm.veevavault.com/ui/#object/email_activity__v/V8C00000003X782", "EN-002098187")</f>
        <v>EN-002098187</v>
      </c>
    </row>
    <row r="11124" spans="1:15" ht="64" x14ac:dyDescent="0.2">
      <c r="A11124" s="7" t="str">
        <f>HYPERLINK("https://otsuka-europe-crm.veevavault.com/ui/#object/account__v/V4TZ025E836MB15", "MARIA MADDALENA SIRUFO")</f>
        <v>MARIA MADDALENA SIRUFO</v>
      </c>
      <c r="B11124" s="7" t="str">
        <f t="shared" si="874"/>
        <v>IT</v>
      </c>
      <c r="C11124" s="8" t="s">
        <v>44</v>
      </c>
      <c r="D11124" s="9" t="str">
        <f t="shared" si="875"/>
        <v>AE - AGGIORNAMENTI SEZIONE APPROFONDIMENTI REUMA IT-NPR-2500150</v>
      </c>
      <c r="E11124" s="10" t="str">
        <f>HYPERLINK("https://otsuka-europe-crm.veevavault.com/ui/#object/sent_email__v/VBL00000002V110", "SE-001436999")</f>
        <v>SE-001436999</v>
      </c>
      <c r="F11124" s="11"/>
      <c r="G11124" s="12">
        <v>0</v>
      </c>
      <c r="H11124" s="12">
        <v>0</v>
      </c>
      <c r="I11124" s="12">
        <v>0</v>
      </c>
      <c r="J11124" s="11"/>
      <c r="K11124" s="12">
        <v>0</v>
      </c>
      <c r="L11124" s="10" t="str">
        <f t="shared" si="876"/>
        <v>AE - AGGIORNAMENTI SEZIONE APPROFONDIMENTI REUMA IT-NPR-2500150</v>
      </c>
      <c r="M11124" s="10" t="str">
        <f t="shared" si="877"/>
        <v>giada.camassa@outsuka.it</v>
      </c>
      <c r="N11124" s="13">
        <v>46190.337881944448</v>
      </c>
      <c r="O11124" s="14" t="str">
        <f>HYPERLINK("https://otsuka-europe-crm.veevavault.com/ui/#object/email_activity__v/V8C00000003W378", "EN-002097468")</f>
        <v>EN-002097468</v>
      </c>
    </row>
    <row r="11125" spans="1:15" ht="64" x14ac:dyDescent="0.2">
      <c r="A11125" s="7" t="str">
        <f>HYPERLINK("https://otsuka-europe-crm.veevavault.com/ui/#object/account__v/V4TZ04ASGBCHC80", "MARIA SOLE CHIMENTI")</f>
        <v>MARIA SOLE CHIMENTI</v>
      </c>
      <c r="B11125" s="7" t="str">
        <f t="shared" si="874"/>
        <v>IT</v>
      </c>
      <c r="C11125" s="8" t="s">
        <v>44</v>
      </c>
      <c r="D11125" s="9" t="str">
        <f t="shared" si="875"/>
        <v>AE - AGGIORNAMENTI SEZIONE APPROFONDIMENTI REUMA IT-NPR-2500150</v>
      </c>
      <c r="E11125" s="10" t="str">
        <f>HYPERLINK("https://otsuka-europe-crm.veevavault.com/ui/#object/sent_email__v/VBL00000002V111", "SE-001437000")</f>
        <v>SE-001437000</v>
      </c>
      <c r="F11125" s="11"/>
      <c r="G11125" s="12">
        <v>0</v>
      </c>
      <c r="H11125" s="12">
        <v>0</v>
      </c>
      <c r="I11125" s="12">
        <v>0</v>
      </c>
      <c r="J11125" s="11"/>
      <c r="K11125" s="12">
        <v>0</v>
      </c>
      <c r="L11125" s="10" t="str">
        <f t="shared" si="876"/>
        <v>AE - AGGIORNAMENTI SEZIONE APPROFONDIMENTI REUMA IT-NPR-2500150</v>
      </c>
      <c r="M11125" s="10" t="str">
        <f t="shared" si="877"/>
        <v>giada.camassa@outsuka.it</v>
      </c>
      <c r="N11125" s="13">
        <v>46190.337916666664</v>
      </c>
      <c r="O11125" s="14" t="str">
        <f>HYPERLINK("https://otsuka-europe-crm.veevavault.com/ui/#object/email_activity__v/V8C00000003X444", "EN-002097658")</f>
        <v>EN-002097658</v>
      </c>
    </row>
    <row r="11126" spans="1:15" ht="64" x14ac:dyDescent="0.2">
      <c r="A11126" s="7" t="str">
        <f>HYPERLINK("https://otsuka-europe-crm.veevavault.com/ui/#object/account__v/V4TZ04ASGGI60RF", "MARIA STEFANIA CUTRO")</f>
        <v>MARIA STEFANIA CUTRO</v>
      </c>
      <c r="B11126" s="7" t="str">
        <f t="shared" si="874"/>
        <v>IT</v>
      </c>
      <c r="C11126" s="8" t="s">
        <v>44</v>
      </c>
      <c r="D11126" s="9" t="str">
        <f t="shared" si="875"/>
        <v>AE - AGGIORNAMENTI SEZIONE APPROFONDIMENTI REUMA IT-NPR-2500150</v>
      </c>
      <c r="E11126" s="10" t="str">
        <f>HYPERLINK("https://otsuka-europe-crm.veevavault.com/ui/#object/sent_email__v/VBL00000002V112", "SE-001437001")</f>
        <v>SE-001437001</v>
      </c>
      <c r="F11126" s="11"/>
      <c r="G11126" s="12">
        <v>0</v>
      </c>
      <c r="H11126" s="12">
        <v>0</v>
      </c>
      <c r="I11126" s="12">
        <v>0</v>
      </c>
      <c r="J11126" s="11"/>
      <c r="K11126" s="12">
        <v>0</v>
      </c>
      <c r="L11126" s="10" t="str">
        <f t="shared" si="876"/>
        <v>AE - AGGIORNAMENTI SEZIONE APPROFONDIMENTI REUMA IT-NPR-2500150</v>
      </c>
      <c r="M11126" s="10" t="str">
        <f t="shared" si="877"/>
        <v>giada.camassa@outsuka.it</v>
      </c>
      <c r="N11126" s="13">
        <v>46190.338680555556</v>
      </c>
      <c r="O11126" s="14" t="str">
        <f>HYPERLINK("https://otsuka-europe-crm.veevavault.com/ui/#object/email_activity__v/V8C00000003X630", "EN-002097963")</f>
        <v>EN-002097963</v>
      </c>
    </row>
    <row r="11127" spans="1:15" ht="16" x14ac:dyDescent="0.2">
      <c r="A11127" s="17" t="str">
        <f>HYPERLINK("https://otsuka-europe-crm.veevavault.com/ui/#object/account__v/V4TZ04ASG8DSWW8", "MARTA MOSCA")</f>
        <v>MARTA MOSCA</v>
      </c>
      <c r="B11127" s="17" t="str">
        <f t="shared" si="874"/>
        <v>IT</v>
      </c>
      <c r="C11127" s="20" t="s">
        <v>44</v>
      </c>
      <c r="D11127" s="21" t="str">
        <f t="shared" si="875"/>
        <v>AE - AGGIORNAMENTI SEZIONE APPROFONDIMENTI REUMA IT-NPR-2500150</v>
      </c>
      <c r="E11127" s="22" t="str">
        <f>HYPERLINK("https://otsuka-europe-crm.veevavault.com/ui/#object/sent_email__v/VBL00000002V113", "SE-001437002")</f>
        <v>SE-001437002</v>
      </c>
      <c r="F11127" s="23">
        <v>46190.338171296295</v>
      </c>
      <c r="G11127" s="24">
        <v>1</v>
      </c>
      <c r="H11127" s="24">
        <v>1</v>
      </c>
      <c r="I11127" s="24">
        <v>0</v>
      </c>
      <c r="J11127" s="25"/>
      <c r="K11127" s="24">
        <v>0</v>
      </c>
      <c r="L11127" s="22" t="str">
        <f t="shared" si="876"/>
        <v>AE - AGGIORNAMENTI SEZIONE APPROFONDIMENTI REUMA IT-NPR-2500150</v>
      </c>
      <c r="M11127" s="22" t="str">
        <f t="shared" si="877"/>
        <v>giada.camassa@outsuka.it</v>
      </c>
      <c r="N11127" s="23">
        <v>46190.337997685187</v>
      </c>
      <c r="O11127" s="14" t="str">
        <f>HYPERLINK("https://otsuka-europe-crm.veevavault.com/ui/#object/email_activity__v/V8C00000003X372", "EN-002097550")</f>
        <v>EN-002097550</v>
      </c>
    </row>
    <row r="11128" spans="1:15" ht="16" x14ac:dyDescent="0.2">
      <c r="A11128" s="19"/>
      <c r="B11128" s="19"/>
      <c r="C11128" s="19"/>
      <c r="D11128" s="19"/>
      <c r="E11128" s="19"/>
      <c r="F11128" s="19"/>
      <c r="G11128" s="19"/>
      <c r="H11128" s="19"/>
      <c r="I11128" s="19"/>
      <c r="J11128" s="19"/>
      <c r="K11128" s="19"/>
      <c r="L11128" s="19"/>
      <c r="M11128" s="19"/>
      <c r="N11128" s="19"/>
      <c r="O11128" s="14" t="str">
        <f>HYPERLINK("https://otsuka-europe-crm.veevavault.com/ui/#object/email_activity__v/V8C00000003X575", "EN-002097871")</f>
        <v>EN-002097871</v>
      </c>
    </row>
    <row r="11129" spans="1:15" ht="64" x14ac:dyDescent="0.2">
      <c r="A11129" s="7" t="str">
        <f>HYPERLINK("https://otsuka-europe-crm.veevavault.com/ui/#object/account__v/V4TZ04ASGC004T3", "MAURIZIO CAMINITI")</f>
        <v>MAURIZIO CAMINITI</v>
      </c>
      <c r="B11129" s="7" t="str">
        <f>HYPERLINK("https://otsuka-europe-crm.veevavault.com/ui/#object/vcountry__v/VENZ000004SONFQ", "IT")</f>
        <v>IT</v>
      </c>
      <c r="C11129" s="8" t="s">
        <v>44</v>
      </c>
      <c r="D11129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1129" s="10" t="str">
        <f>HYPERLINK("https://otsuka-europe-crm.veevavault.com/ui/#object/sent_email__v/VBL00000002V115", "SE-001437004")</f>
        <v>SE-001437004</v>
      </c>
      <c r="F11129" s="11"/>
      <c r="G11129" s="12">
        <v>0</v>
      </c>
      <c r="H11129" s="12">
        <v>0</v>
      </c>
      <c r="I11129" s="12">
        <v>0</v>
      </c>
      <c r="J11129" s="11"/>
      <c r="K11129" s="12">
        <v>0</v>
      </c>
      <c r="L11129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1129" s="10" t="str">
        <f>HYPERLINK("mailto:giada.camassa@outsuka.it", "giada.camassa@outsuka.it")</f>
        <v>giada.camassa@outsuka.it</v>
      </c>
      <c r="N11129" s="13">
        <v>46190.339456018519</v>
      </c>
      <c r="O11129" s="14" t="str">
        <f>HYPERLINK("https://otsuka-europe-crm.veevavault.com/ui/#object/email_activity__v/V8C00000003X726", "EN-002098108")</f>
        <v>EN-002098108</v>
      </c>
    </row>
    <row r="11130" spans="1:15" ht="16" x14ac:dyDescent="0.2">
      <c r="A11130" s="17" t="str">
        <f>HYPERLINK("https://otsuka-europe-crm.veevavault.com/ui/#object/account__v/V4TZ04ASGC2BUOJ", "MAURIZIO ROSSINI")</f>
        <v>MAURIZIO ROSSINI</v>
      </c>
      <c r="B11130" s="17" t="str">
        <f>HYPERLINK("https://otsuka-europe-crm.veevavault.com/ui/#object/vcountry__v/VENZ000004SONFQ", "IT")</f>
        <v>IT</v>
      </c>
      <c r="C11130" s="20" t="s">
        <v>44</v>
      </c>
      <c r="D11130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1130" s="22" t="str">
        <f>HYPERLINK("https://otsuka-europe-crm.veevavault.com/ui/#object/sent_email__v/VBL00000002V116", "SE-001437005")</f>
        <v>SE-001437005</v>
      </c>
      <c r="F11130" s="23">
        <v>46190.338842592595</v>
      </c>
      <c r="G11130" s="24">
        <v>1</v>
      </c>
      <c r="H11130" s="24">
        <v>1</v>
      </c>
      <c r="I11130" s="24">
        <v>0</v>
      </c>
      <c r="J11130" s="25"/>
      <c r="K11130" s="24">
        <v>0</v>
      </c>
      <c r="L11130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1130" s="22" t="str">
        <f>HYPERLINK("mailto:giada.camassa@outsuka.it", "giada.camassa@outsuka.it")</f>
        <v>giada.camassa@outsuka.it</v>
      </c>
      <c r="N11130" s="23">
        <v>46190.338680555556</v>
      </c>
      <c r="O11130" s="14" t="str">
        <f>HYPERLINK("https://otsuka-europe-crm.veevavault.com/ui/#object/email_activity__v/V8C00000003X633", "EN-002097966")</f>
        <v>EN-002097966</v>
      </c>
    </row>
    <row r="11131" spans="1:15" ht="16" x14ac:dyDescent="0.2">
      <c r="A11131" s="19"/>
      <c r="B11131" s="19"/>
      <c r="C11131" s="19"/>
      <c r="D11131" s="19"/>
      <c r="E11131" s="19"/>
      <c r="F11131" s="19"/>
      <c r="G11131" s="19"/>
      <c r="H11131" s="19"/>
      <c r="I11131" s="19"/>
      <c r="J11131" s="19"/>
      <c r="K11131" s="19"/>
      <c r="L11131" s="19"/>
      <c r="M11131" s="19"/>
      <c r="N11131" s="19"/>
      <c r="O11131" s="14" t="str">
        <f>HYPERLINK("https://otsuka-europe-crm.veevavault.com/ui/#object/email_activity__v/V8C00000003X636", "EN-002097969")</f>
        <v>EN-002097969</v>
      </c>
    </row>
    <row r="11132" spans="1:15" ht="64" x14ac:dyDescent="0.2">
      <c r="A11132" s="7" t="str">
        <f>HYPERLINK("https://otsuka-europe-crm.veevavault.com/ui/#object/account__v/V4TZ025E82RDH8O", "MICHELE CIMMINO")</f>
        <v>MICHELE CIMMINO</v>
      </c>
      <c r="B11132" s="7" t="str">
        <f>HYPERLINK("https://otsuka-europe-crm.veevavault.com/ui/#object/vcountry__v/VENZ000004SONFQ", "IT")</f>
        <v>IT</v>
      </c>
      <c r="C11132" s="8" t="s">
        <v>44</v>
      </c>
      <c r="D11132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1132" s="10" t="str">
        <f>HYPERLINK("https://otsuka-europe-crm.veevavault.com/ui/#object/sent_email__v/VBL00000002V117", "SE-001437006")</f>
        <v>SE-001437006</v>
      </c>
      <c r="F11132" s="11"/>
      <c r="G11132" s="12">
        <v>0</v>
      </c>
      <c r="H11132" s="12">
        <v>0</v>
      </c>
      <c r="I11132" s="12">
        <v>0</v>
      </c>
      <c r="J11132" s="11"/>
      <c r="K11132" s="12">
        <v>0</v>
      </c>
      <c r="L11132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1132" s="10" t="str">
        <f>HYPERLINK("mailto:giada.camassa@outsuka.it", "giada.camassa@outsuka.it")</f>
        <v>giada.camassa@outsuka.it</v>
      </c>
      <c r="N11132" s="13">
        <v>46190.337870370371</v>
      </c>
      <c r="O11132" s="14" t="str">
        <f>HYPERLINK("https://otsuka-europe-crm.veevavault.com/ui/#object/email_activity__v/V8C00000003X382", "EN-002097577")</f>
        <v>EN-002097577</v>
      </c>
    </row>
    <row r="11133" spans="1:15" ht="16" x14ac:dyDescent="0.2">
      <c r="A11133" s="17" t="str">
        <f>HYPERLINK("https://otsuka-europe-crm.veevavault.com/ui/#object/account__v/V4TZ04ASGEXD019", "MYRIAM DI PENTA")</f>
        <v>MYRIAM DI PENTA</v>
      </c>
      <c r="B11133" s="17" t="str">
        <f>HYPERLINK("https://otsuka-europe-crm.veevavault.com/ui/#object/vcountry__v/VENZ000004SONFQ", "IT")</f>
        <v>IT</v>
      </c>
      <c r="C11133" s="20" t="s">
        <v>44</v>
      </c>
      <c r="D11133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1133" s="22" t="str">
        <f>HYPERLINK("https://otsuka-europe-crm.veevavault.com/ui/#object/sent_email__v/VBL00000002V118", "SE-001437007")</f>
        <v>SE-001437007</v>
      </c>
      <c r="F11133" s="25"/>
      <c r="G11133" s="24">
        <v>0</v>
      </c>
      <c r="H11133" s="24">
        <v>0</v>
      </c>
      <c r="I11133" s="24">
        <v>0</v>
      </c>
      <c r="J11133" s="25"/>
      <c r="K11133" s="24">
        <v>0</v>
      </c>
      <c r="L11133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1133" s="22" t="str">
        <f>HYPERLINK("mailto:giada.camassa@outsuka.it", "giada.camassa@outsuka.it")</f>
        <v>giada.camassa@outsuka.it</v>
      </c>
      <c r="N11133" s="23">
        <v>46190.337916666664</v>
      </c>
      <c r="O11133" s="14" t="str">
        <f>HYPERLINK("https://otsuka-europe-crm.veevavault.com/ui/#object/email_activity__v/V8C00000003W364", "EN-002097421")</f>
        <v>EN-002097421</v>
      </c>
    </row>
    <row r="11134" spans="1:15" ht="16" x14ac:dyDescent="0.2">
      <c r="A11134" s="19"/>
      <c r="B11134" s="19"/>
      <c r="C11134" s="19"/>
      <c r="D11134" s="19"/>
      <c r="E11134" s="19"/>
      <c r="F11134" s="19"/>
      <c r="G11134" s="19"/>
      <c r="H11134" s="19"/>
      <c r="I11134" s="19"/>
      <c r="J11134" s="19"/>
      <c r="K11134" s="19"/>
      <c r="L11134" s="19"/>
      <c r="M11134" s="19"/>
      <c r="N11134" s="19"/>
      <c r="O11134" s="14" t="str">
        <f>HYPERLINK("https://otsuka-europe-crm.veevavault.com/ui/#object/email_activity__v/V8C00000003W748", "EN-002098489")</f>
        <v>EN-002098489</v>
      </c>
    </row>
    <row r="11135" spans="1:15" ht="64" x14ac:dyDescent="0.2">
      <c r="A11135" s="7" t="str">
        <f>HYPERLINK("https://otsuka-europe-crm.veevavault.com/ui/#object/account__v/V4TZ04ASGC7M19A", "NICOLETTA ROMEO")</f>
        <v>NICOLETTA ROMEO</v>
      </c>
      <c r="B11135" s="7" t="str">
        <f>HYPERLINK("https://otsuka-europe-crm.veevavault.com/ui/#object/vcountry__v/VENZ000004SONFQ", "IT")</f>
        <v>IT</v>
      </c>
      <c r="C11135" s="8" t="s">
        <v>44</v>
      </c>
      <c r="D11135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1135" s="10" t="str">
        <f>HYPERLINK("https://otsuka-europe-crm.veevavault.com/ui/#object/sent_email__v/VBL00000002V119", "SE-001437008")</f>
        <v>SE-001437008</v>
      </c>
      <c r="F11135" s="11"/>
      <c r="G11135" s="12">
        <v>0</v>
      </c>
      <c r="H11135" s="12">
        <v>0</v>
      </c>
      <c r="I11135" s="12">
        <v>0</v>
      </c>
      <c r="J11135" s="11"/>
      <c r="K11135" s="12">
        <v>0</v>
      </c>
      <c r="L11135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1135" s="10" t="str">
        <f>HYPERLINK("mailto:giada.camassa@outsuka.it", "giada.camassa@outsuka.it")</f>
        <v>giada.camassa@outsuka.it</v>
      </c>
      <c r="N11135" s="13">
        <v>46190.337835648148</v>
      </c>
      <c r="O11135" s="14" t="str">
        <f>HYPERLINK("https://otsuka-europe-crm.veevavault.com/ui/#object/email_activity__v/V8C00000003X338", "EN-002097634")</f>
        <v>EN-002097634</v>
      </c>
    </row>
    <row r="11136" spans="1:15" ht="64" x14ac:dyDescent="0.2">
      <c r="A11136" s="7" t="str">
        <f>HYPERLINK("https://otsuka-europe-crm.veevavault.com/ui/#object/account__v/V4TZ04ASGDZZO7Y", "NORMA CONCETTA BELFIORE")</f>
        <v>NORMA CONCETTA BELFIORE</v>
      </c>
      <c r="B11136" s="7" t="str">
        <f>HYPERLINK("https://otsuka-europe-crm.veevavault.com/ui/#object/vcountry__v/VENZ000004SONFQ", "IT")</f>
        <v>IT</v>
      </c>
      <c r="C11136" s="8" t="s">
        <v>44</v>
      </c>
      <c r="D11136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1136" s="10" t="str">
        <f>HYPERLINK("https://otsuka-europe-crm.veevavault.com/ui/#object/sent_email__v/VBL00000002V120", "SE-001437009")</f>
        <v>SE-001437009</v>
      </c>
      <c r="F11136" s="11"/>
      <c r="G11136" s="12">
        <v>0</v>
      </c>
      <c r="H11136" s="12">
        <v>0</v>
      </c>
      <c r="I11136" s="12">
        <v>0</v>
      </c>
      <c r="J11136" s="11"/>
      <c r="K11136" s="12">
        <v>0</v>
      </c>
      <c r="L11136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1136" s="10" t="str">
        <f>HYPERLINK("mailto:giada.camassa@outsuka.it", "giada.camassa@outsuka.it")</f>
        <v>giada.camassa@outsuka.it</v>
      </c>
      <c r="N11136" s="13">
        <v>46190.337939814817</v>
      </c>
      <c r="O11136" s="14" t="str">
        <f>HYPERLINK("https://otsuka-europe-crm.veevavault.com/ui/#object/email_activity__v/V8C00000003W470", "EN-002097808")</f>
        <v>EN-002097808</v>
      </c>
    </row>
    <row r="11137" spans="1:15" ht="16" x14ac:dyDescent="0.2">
      <c r="A11137" s="17" t="str">
        <f>HYPERLINK("https://otsuka-europe-crm.veevavault.com/ui/#object/account__v/V4TZ04ASGC78R5Y", "OSCAR MASSIMILIANO EPIS")</f>
        <v>OSCAR MASSIMILIANO EPIS</v>
      </c>
      <c r="B11137" s="17" t="str">
        <f>HYPERLINK("https://otsuka-europe-crm.veevavault.com/ui/#object/vcountry__v/VENZ000004SONFQ", "IT")</f>
        <v>IT</v>
      </c>
      <c r="C11137" s="20" t="s">
        <v>44</v>
      </c>
      <c r="D11137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1137" s="22" t="str">
        <f>HYPERLINK("https://otsuka-europe-crm.veevavault.com/ui/#object/sent_email__v/VBL00000002V121", "SE-001437010")</f>
        <v>SE-001437010</v>
      </c>
      <c r="F11137" s="23">
        <v>46190.339432870373</v>
      </c>
      <c r="G11137" s="24">
        <v>1</v>
      </c>
      <c r="H11137" s="24">
        <v>1</v>
      </c>
      <c r="I11137" s="24">
        <v>0</v>
      </c>
      <c r="J11137" s="25"/>
      <c r="K11137" s="24">
        <v>0</v>
      </c>
      <c r="L11137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1137" s="22" t="str">
        <f>HYPERLINK("mailto:giada.camassa@outsuka.it", "giada.camassa@outsuka.it")</f>
        <v>giada.camassa@outsuka.it</v>
      </c>
      <c r="N11137" s="23">
        <v>46190.339131944442</v>
      </c>
      <c r="O11137" s="14" t="str">
        <f>HYPERLINK("https://otsuka-europe-crm.veevavault.com/ui/#object/email_activity__v/V8C00000003X668", "EN-002098009")</f>
        <v>EN-002098009</v>
      </c>
    </row>
    <row r="11138" spans="1:15" ht="16" x14ac:dyDescent="0.2">
      <c r="A11138" s="19"/>
      <c r="B11138" s="19"/>
      <c r="C11138" s="19"/>
      <c r="D11138" s="19"/>
      <c r="E11138" s="19"/>
      <c r="F11138" s="19"/>
      <c r="G11138" s="19"/>
      <c r="H11138" s="19"/>
      <c r="I11138" s="19"/>
      <c r="J11138" s="19"/>
      <c r="K11138" s="19"/>
      <c r="L11138" s="19"/>
      <c r="M11138" s="19"/>
      <c r="N11138" s="19"/>
      <c r="O11138" s="14" t="str">
        <f>HYPERLINK("https://otsuka-europe-crm.veevavault.com/ui/#object/email_activity__v/V8C00000003X714", "EN-002098094")</f>
        <v>EN-002098094</v>
      </c>
    </row>
    <row r="11139" spans="1:15" ht="16" x14ac:dyDescent="0.2">
      <c r="A11139" s="17" t="str">
        <f>HYPERLINK("https://otsuka-europe-crm.veevavault.com/ui/#object/account__v/V4TZ04ASGC4BP8X", "PAOLA CIPRIANI")</f>
        <v>PAOLA CIPRIANI</v>
      </c>
      <c r="B11139" s="17" t="str">
        <f>HYPERLINK("https://otsuka-europe-crm.veevavault.com/ui/#object/vcountry__v/VENZ000004SONFQ", "IT")</f>
        <v>IT</v>
      </c>
      <c r="C11139" s="20" t="s">
        <v>44</v>
      </c>
      <c r="D11139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1139" s="22" t="str">
        <f>HYPERLINK("https://otsuka-europe-crm.veevavault.com/ui/#object/sent_email__v/VBL00000002V122", "SE-001437011")</f>
        <v>SE-001437011</v>
      </c>
      <c r="F11139" s="23">
        <v>46190.338136574072</v>
      </c>
      <c r="G11139" s="24">
        <v>1</v>
      </c>
      <c r="H11139" s="24">
        <v>1</v>
      </c>
      <c r="I11139" s="24">
        <v>0</v>
      </c>
      <c r="J11139" s="25"/>
      <c r="K11139" s="24">
        <v>0</v>
      </c>
      <c r="L11139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1139" s="22" t="str">
        <f>HYPERLINK("mailto:giada.camassa@outsuka.it", "giada.camassa@outsuka.it")</f>
        <v>giada.camassa@outsuka.it</v>
      </c>
      <c r="N11139" s="23">
        <v>46190.33797453704</v>
      </c>
      <c r="O11139" s="14" t="str">
        <f>HYPERLINK("https://otsuka-europe-crm.veevavault.com/ui/#object/email_activity__v/V8C00000003X297", "EN-002097488")</f>
        <v>EN-002097488</v>
      </c>
    </row>
    <row r="11140" spans="1:15" ht="16" x14ac:dyDescent="0.2">
      <c r="A11140" s="19"/>
      <c r="B11140" s="19"/>
      <c r="C11140" s="19"/>
      <c r="D11140" s="19"/>
      <c r="E11140" s="19"/>
      <c r="F11140" s="19"/>
      <c r="G11140" s="19"/>
      <c r="H11140" s="19"/>
      <c r="I11140" s="19"/>
      <c r="J11140" s="19"/>
      <c r="K11140" s="19"/>
      <c r="L11140" s="19"/>
      <c r="M11140" s="19"/>
      <c r="N11140" s="19"/>
      <c r="O11140" s="14" t="str">
        <f>HYPERLINK("https://otsuka-europe-crm.veevavault.com/ui/#object/email_activity__v/V8C00000003X558", "EN-002097854")</f>
        <v>EN-002097854</v>
      </c>
    </row>
    <row r="11141" spans="1:15" ht="16" x14ac:dyDescent="0.2">
      <c r="A11141" s="17" t="str">
        <f>HYPERLINK("https://otsuka-europe-crm.veevavault.com/ui/#object/account__v/V4TZ04ASGBNXI8A", "PIERO RUSCITTI")</f>
        <v>PIERO RUSCITTI</v>
      </c>
      <c r="B11141" s="17" t="str">
        <f>HYPERLINK("https://otsuka-europe-crm.veevavault.com/ui/#object/vcountry__v/VENZ000004SONFQ", "IT")</f>
        <v>IT</v>
      </c>
      <c r="C11141" s="20" t="s">
        <v>44</v>
      </c>
      <c r="D11141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1141" s="22" t="str">
        <f>HYPERLINK("https://otsuka-europe-crm.veevavault.com/ui/#object/sent_email__v/VBL00000002V124", "SE-001437013")</f>
        <v>SE-001437013</v>
      </c>
      <c r="F11141" s="23">
        <v>46190.338136574072</v>
      </c>
      <c r="G11141" s="24">
        <v>1</v>
      </c>
      <c r="H11141" s="24">
        <v>1</v>
      </c>
      <c r="I11141" s="24">
        <v>0</v>
      </c>
      <c r="J11141" s="25"/>
      <c r="K11141" s="24">
        <v>0</v>
      </c>
      <c r="L11141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1141" s="22" t="str">
        <f>HYPERLINK("mailto:giada.camassa@outsuka.it", "giada.camassa@outsuka.it")</f>
        <v>giada.camassa@outsuka.it</v>
      </c>
      <c r="N11141" s="23">
        <v>46190.337962962964</v>
      </c>
      <c r="O11141" s="14" t="str">
        <f>HYPERLINK("https://otsuka-europe-crm.veevavault.com/ui/#object/email_activity__v/V8C00000003X395", "EN-002097590")</f>
        <v>EN-002097590</v>
      </c>
    </row>
    <row r="11142" spans="1:15" ht="16" x14ac:dyDescent="0.2">
      <c r="A11142" s="19"/>
      <c r="B11142" s="19"/>
      <c r="C11142" s="19"/>
      <c r="D11142" s="19"/>
      <c r="E11142" s="19"/>
      <c r="F11142" s="19"/>
      <c r="G11142" s="19"/>
      <c r="H11142" s="19"/>
      <c r="I11142" s="19"/>
      <c r="J11142" s="19"/>
      <c r="K11142" s="19"/>
      <c r="L11142" s="19"/>
      <c r="M11142" s="19"/>
      <c r="N11142" s="19"/>
      <c r="O11142" s="14" t="str">
        <f>HYPERLINK("https://otsuka-europe-crm.veevavault.com/ui/#object/email_activity__v/V8C00000003X551", "EN-002097843")</f>
        <v>EN-002097843</v>
      </c>
    </row>
    <row r="11143" spans="1:15" ht="64" x14ac:dyDescent="0.2">
      <c r="A11143" s="7" t="str">
        <f>HYPERLINK("https://otsuka-europe-crm.veevavault.com/ui/#object/account__v/V4TZ025E84KI9IA", "PIETRO FRANCESCO BICA")</f>
        <v>PIETRO FRANCESCO BICA</v>
      </c>
      <c r="B11143" s="7" t="str">
        <f>HYPERLINK("https://otsuka-europe-crm.veevavault.com/ui/#object/vcountry__v/VENZ000004SONFQ", "IT")</f>
        <v>IT</v>
      </c>
      <c r="C11143" s="8" t="s">
        <v>44</v>
      </c>
      <c r="D11143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1143" s="10" t="str">
        <f>HYPERLINK("https://otsuka-europe-crm.veevavault.com/ui/#object/sent_email__v/VBL00000002V125", "SE-001437014")</f>
        <v>SE-001437014</v>
      </c>
      <c r="F11143" s="11"/>
      <c r="G11143" s="12">
        <v>0</v>
      </c>
      <c r="H11143" s="12">
        <v>0</v>
      </c>
      <c r="I11143" s="12">
        <v>0</v>
      </c>
      <c r="J11143" s="11"/>
      <c r="K11143" s="12">
        <v>0</v>
      </c>
      <c r="L11143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1143" s="10" t="str">
        <f>HYPERLINK("mailto:giada.camassa@outsuka.it", "giada.camassa@outsuka.it")</f>
        <v>giada.camassa@outsuka.it</v>
      </c>
      <c r="N11143" s="13">
        <v>46190.338680555556</v>
      </c>
      <c r="O11143" s="14" t="str">
        <f>HYPERLINK("https://otsuka-europe-crm.veevavault.com/ui/#object/email_activity__v/V8C00000003W516", "EN-002097953")</f>
        <v>EN-002097953</v>
      </c>
    </row>
    <row r="11144" spans="1:15" ht="64" x14ac:dyDescent="0.2">
      <c r="A11144" s="7" t="str">
        <f>HYPERLINK("https://otsuka-europe-crm.veevavault.com/ui/#object/account__v/V4TZ025E85JUPOU", "PIETRO GIGLIOTTI")</f>
        <v>PIETRO GIGLIOTTI</v>
      </c>
      <c r="B11144" s="7" t="str">
        <f>HYPERLINK("https://otsuka-europe-crm.veevavault.com/ui/#object/vcountry__v/VENZ000004SONFQ", "IT")</f>
        <v>IT</v>
      </c>
      <c r="C11144" s="8" t="s">
        <v>44</v>
      </c>
      <c r="D11144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1144" s="10" t="str">
        <f>HYPERLINK("https://otsuka-europe-crm.veevavault.com/ui/#object/sent_email__v/VBL00000002V126", "SE-001437015")</f>
        <v>SE-001437015</v>
      </c>
      <c r="F11144" s="11"/>
      <c r="G11144" s="12">
        <v>0</v>
      </c>
      <c r="H11144" s="12">
        <v>0</v>
      </c>
      <c r="I11144" s="12">
        <v>0</v>
      </c>
      <c r="J11144" s="11"/>
      <c r="K11144" s="12">
        <v>0</v>
      </c>
      <c r="L11144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1144" s="10" t="str">
        <f>HYPERLINK("mailto:giada.camassa@outsuka.it", "giada.camassa@outsuka.it")</f>
        <v>giada.camassa@outsuka.it</v>
      </c>
      <c r="N11144" s="13">
        <v>46190.337916666664</v>
      </c>
      <c r="O11144" s="14" t="str">
        <f>HYPERLINK("https://otsuka-europe-crm.veevavault.com/ui/#object/email_activity__v/V8C00000003W392", "EN-002097554")</f>
        <v>EN-002097554</v>
      </c>
    </row>
    <row r="11145" spans="1:15" ht="64" x14ac:dyDescent="0.2">
      <c r="A11145" s="7" t="str">
        <f>HYPERLINK("https://otsuka-europe-crm.veevavault.com/ui/#object/account__v/V4TZ04ASGBJKS1B", "ROBERTO BORTOLOTTI")</f>
        <v>ROBERTO BORTOLOTTI</v>
      </c>
      <c r="B11145" s="7" t="str">
        <f>HYPERLINK("https://otsuka-europe-crm.veevavault.com/ui/#object/vcountry__v/VENZ000004SONFQ", "IT")</f>
        <v>IT</v>
      </c>
      <c r="C11145" s="8" t="s">
        <v>44</v>
      </c>
      <c r="D11145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1145" s="10" t="str">
        <f>HYPERLINK("https://otsuka-europe-crm.veevavault.com/ui/#object/sent_email__v/VBL00000002V127", "SE-001437016")</f>
        <v>SE-001437016</v>
      </c>
      <c r="F11145" s="11"/>
      <c r="G11145" s="12">
        <v>0</v>
      </c>
      <c r="H11145" s="12">
        <v>0</v>
      </c>
      <c r="I11145" s="12">
        <v>0</v>
      </c>
      <c r="J11145" s="11"/>
      <c r="K11145" s="12">
        <v>0</v>
      </c>
      <c r="L11145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1145" s="10" t="str">
        <f>HYPERLINK("mailto:giada.camassa@outsuka.it", "giada.camassa@outsuka.it")</f>
        <v>giada.camassa@outsuka.it</v>
      </c>
      <c r="N11145" s="13">
        <v>46190.337951388887</v>
      </c>
      <c r="O11145" s="14" t="str">
        <f>HYPERLINK("https://otsuka-europe-crm.veevavault.com/ui/#object/email_activity__v/V8C00000003X498", "EN-002097741")</f>
        <v>EN-002097741</v>
      </c>
    </row>
    <row r="11146" spans="1:15" ht="16" x14ac:dyDescent="0.2">
      <c r="A11146" s="17" t="str">
        <f>HYPERLINK("https://otsuka-europe-crm.veevavault.com/ui/#object/account__v/V4TZ04ASGB4W2JL", "ROBERTO CAPORALI")</f>
        <v>ROBERTO CAPORALI</v>
      </c>
      <c r="B11146" s="17" t="str">
        <f>HYPERLINK("https://otsuka-europe-crm.veevavault.com/ui/#object/vcountry__v/VENZ000004SONFQ", "IT")</f>
        <v>IT</v>
      </c>
      <c r="C11146" s="20" t="s">
        <v>44</v>
      </c>
      <c r="D11146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1146" s="22" t="str">
        <f>HYPERLINK("https://otsuka-europe-crm.veevavault.com/ui/#object/sent_email__v/VBL00000002V128", "SE-001437017")</f>
        <v>SE-001437017</v>
      </c>
      <c r="F11146" s="23">
        <v>46190.338206018518</v>
      </c>
      <c r="G11146" s="24">
        <v>1</v>
      </c>
      <c r="H11146" s="24">
        <v>1</v>
      </c>
      <c r="I11146" s="24">
        <v>0</v>
      </c>
      <c r="J11146" s="25"/>
      <c r="K11146" s="24">
        <v>0</v>
      </c>
      <c r="L11146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1146" s="22" t="str">
        <f>HYPERLINK("mailto:giada.camassa@outsuka.it", "giada.camassa@outsuka.it")</f>
        <v>giada.camassa@outsuka.it</v>
      </c>
      <c r="N11146" s="23">
        <v>46190.33792824074</v>
      </c>
      <c r="O11146" s="14" t="str">
        <f>HYPERLINK("https://otsuka-europe-crm.veevavault.com/ui/#object/email_activity__v/V8C00000003W408", "EN-002097687")</f>
        <v>EN-002097687</v>
      </c>
    </row>
    <row r="11147" spans="1:15" ht="16" x14ac:dyDescent="0.2">
      <c r="A11147" s="19"/>
      <c r="B11147" s="19"/>
      <c r="C11147" s="19"/>
      <c r="D11147" s="19"/>
      <c r="E11147" s="19"/>
      <c r="F11147" s="19"/>
      <c r="G11147" s="19"/>
      <c r="H11147" s="19"/>
      <c r="I11147" s="19"/>
      <c r="J11147" s="19"/>
      <c r="K11147" s="19"/>
      <c r="L11147" s="19"/>
      <c r="M11147" s="19"/>
      <c r="N11147" s="19"/>
      <c r="O11147" s="14" t="str">
        <f>HYPERLINK("https://otsuka-europe-crm.veevavault.com/ui/#object/email_activity__v/V8C00000003X541", "EN-002097824")</f>
        <v>EN-002097824</v>
      </c>
    </row>
    <row r="11148" spans="1:15" ht="16" x14ac:dyDescent="0.2">
      <c r="A11148" s="17" t="str">
        <f>HYPERLINK("https://otsuka-europe-crm.veevavault.com/ui/#object/account__v/V4TZ04ASGDP1JY8", "ROBERTO GERLI")</f>
        <v>ROBERTO GERLI</v>
      </c>
      <c r="B11148" s="17" t="str">
        <f>HYPERLINK("https://otsuka-europe-crm.veevavault.com/ui/#object/vcountry__v/VENZ000004SONFQ", "IT")</f>
        <v>IT</v>
      </c>
      <c r="C11148" s="20" t="s">
        <v>44</v>
      </c>
      <c r="D11148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1148" s="22" t="str">
        <f>HYPERLINK("https://otsuka-europe-crm.veevavault.com/ui/#object/sent_email__v/VBL00000002V129", "SE-001437018")</f>
        <v>SE-001437018</v>
      </c>
      <c r="F11148" s="23">
        <v>46190.338171296295</v>
      </c>
      <c r="G11148" s="24">
        <v>1</v>
      </c>
      <c r="H11148" s="24">
        <v>3</v>
      </c>
      <c r="I11148" s="24">
        <v>0</v>
      </c>
      <c r="J11148" s="25"/>
      <c r="K11148" s="24">
        <v>0</v>
      </c>
      <c r="L11148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1148" s="22" t="str">
        <f>HYPERLINK("mailto:giada.camassa@outsuka.it", "giada.camassa@outsuka.it")</f>
        <v>giada.camassa@outsuka.it</v>
      </c>
      <c r="N11148" s="23">
        <v>46190.337951388887</v>
      </c>
      <c r="O11148" s="14" t="str">
        <f>HYPERLINK("https://otsuka-europe-crm.veevavault.com/ui/#object/email_activity__v/V8C00000003W510", "EN-002097919")</f>
        <v>EN-002097919</v>
      </c>
    </row>
    <row r="11149" spans="1:15" ht="16" x14ac:dyDescent="0.2">
      <c r="A11149" s="18"/>
      <c r="B11149" s="18"/>
      <c r="C11149" s="18"/>
      <c r="D11149" s="18"/>
      <c r="E11149" s="18"/>
      <c r="F11149" s="18"/>
      <c r="G11149" s="18"/>
      <c r="H11149" s="18"/>
      <c r="I11149" s="18"/>
      <c r="J11149" s="18"/>
      <c r="K11149" s="18"/>
      <c r="L11149" s="18"/>
      <c r="M11149" s="18"/>
      <c r="N11149" s="18"/>
      <c r="O11149" s="14" t="str">
        <f>HYPERLINK("https://otsuka-europe-crm.veevavault.com/ui/#object/email_activity__v/V8C00000003X293", "EN-002097484")</f>
        <v>EN-002097484</v>
      </c>
    </row>
    <row r="11150" spans="1:15" ht="16" x14ac:dyDescent="0.2">
      <c r="A11150" s="18"/>
      <c r="B11150" s="18"/>
      <c r="C11150" s="18"/>
      <c r="D11150" s="18"/>
      <c r="E11150" s="18"/>
      <c r="F11150" s="18"/>
      <c r="G11150" s="18"/>
      <c r="H11150" s="18"/>
      <c r="I11150" s="18"/>
      <c r="J11150" s="18"/>
      <c r="K11150" s="18"/>
      <c r="L11150" s="18"/>
      <c r="M11150" s="18"/>
      <c r="N11150" s="18"/>
      <c r="O11150" s="14" t="str">
        <f>HYPERLINK("https://otsuka-europe-crm.veevavault.com/ui/#object/email_activity__v/V8C00000003X599", "EN-002097914")</f>
        <v>EN-002097914</v>
      </c>
    </row>
    <row r="11151" spans="1:15" ht="16" x14ac:dyDescent="0.2">
      <c r="A11151" s="19"/>
      <c r="B11151" s="19"/>
      <c r="C11151" s="19"/>
      <c r="D11151" s="19"/>
      <c r="E11151" s="19"/>
      <c r="F11151" s="19"/>
      <c r="G11151" s="19"/>
      <c r="H11151" s="19"/>
      <c r="I11151" s="19"/>
      <c r="J11151" s="19"/>
      <c r="K11151" s="19"/>
      <c r="L11151" s="19"/>
      <c r="M11151" s="19"/>
      <c r="N11151" s="19"/>
      <c r="O11151" s="14" t="str">
        <f>HYPERLINK("https://otsuka-europe-crm.veevavault.com/ui/#object/email_activity__v/V8C00000003Z016", "EN-002098679")</f>
        <v>EN-002098679</v>
      </c>
    </row>
    <row r="11152" spans="1:15" ht="16" x14ac:dyDescent="0.2">
      <c r="A11152" s="17" t="str">
        <f>HYPERLINK("https://otsuka-europe-crm.veevavault.com/ui/#object/account__v/V4TZ025E8712E1F", "ROSANNA CAMPITIELLO")</f>
        <v>ROSANNA CAMPITIELLO</v>
      </c>
      <c r="B11152" s="17" t="str">
        <f>HYPERLINK("https://otsuka-europe-crm.veevavault.com/ui/#object/vcountry__v/VENZ000004SONFQ", "IT")</f>
        <v>IT</v>
      </c>
      <c r="C11152" s="20" t="s">
        <v>44</v>
      </c>
      <c r="D11152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1152" s="22" t="str">
        <f>HYPERLINK("https://otsuka-europe-crm.veevavault.com/ui/#object/sent_email__v/VBL00000002V130", "SE-001437019")</f>
        <v>SE-001437019</v>
      </c>
      <c r="F11152" s="25"/>
      <c r="G11152" s="24">
        <v>0</v>
      </c>
      <c r="H11152" s="24">
        <v>0</v>
      </c>
      <c r="I11152" s="24">
        <v>0</v>
      </c>
      <c r="J11152" s="25"/>
      <c r="K11152" s="24">
        <v>0</v>
      </c>
      <c r="L11152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1152" s="22" t="str">
        <f>HYPERLINK("mailto:giada.camassa@outsuka.it", "giada.camassa@outsuka.it")</f>
        <v>giada.camassa@outsuka.it</v>
      </c>
      <c r="N11152" s="23">
        <v>46190.339166666665</v>
      </c>
      <c r="O11152" s="14" t="str">
        <f>HYPERLINK("https://otsuka-europe-crm.veevavault.com/ui/#object/email_activity__v/V8C00000003W535", "EN-002098023")</f>
        <v>EN-002098023</v>
      </c>
    </row>
    <row r="11153" spans="1:15" ht="16" x14ac:dyDescent="0.2">
      <c r="A11153" s="19"/>
      <c r="B11153" s="19"/>
      <c r="C11153" s="19"/>
      <c r="D11153" s="19"/>
      <c r="E11153" s="19"/>
      <c r="F11153" s="19"/>
      <c r="G11153" s="19"/>
      <c r="H11153" s="19"/>
      <c r="I11153" s="19"/>
      <c r="J11153" s="19"/>
      <c r="K11153" s="19"/>
      <c r="L11153" s="19"/>
      <c r="M11153" s="19"/>
      <c r="N11153" s="19"/>
      <c r="O11153" s="14" t="str">
        <f>HYPERLINK("https://otsuka-europe-crm.veevavault.com/ui/#object/email_activity__v/V8C00000003W640", "EN-002098270")</f>
        <v>EN-002098270</v>
      </c>
    </row>
    <row r="11154" spans="1:15" ht="64" x14ac:dyDescent="0.2">
      <c r="A11154" s="7" t="str">
        <f>HYPERLINK("https://otsuka-europe-crm.veevavault.com/ui/#object/account__v/V4TZ04ASGBU88T7", "ROSANNA CONVERTINO")</f>
        <v>ROSANNA CONVERTINO</v>
      </c>
      <c r="B11154" s="7" t="str">
        <f>HYPERLINK("https://otsuka-europe-crm.veevavault.com/ui/#object/vcountry__v/VENZ000004SONFQ", "IT")</f>
        <v>IT</v>
      </c>
      <c r="C11154" s="8" t="s">
        <v>44</v>
      </c>
      <c r="D11154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1154" s="10" t="str">
        <f>HYPERLINK("https://otsuka-europe-crm.veevavault.com/ui/#object/sent_email__v/VBL00000002V131", "SE-001437020")</f>
        <v>SE-001437020</v>
      </c>
      <c r="F11154" s="11"/>
      <c r="G11154" s="12">
        <v>0</v>
      </c>
      <c r="H11154" s="12">
        <v>0</v>
      </c>
      <c r="I11154" s="12">
        <v>0</v>
      </c>
      <c r="J11154" s="11"/>
      <c r="K11154" s="12">
        <v>0</v>
      </c>
      <c r="L11154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1154" s="10" t="str">
        <f>HYPERLINK("mailto:giada.camassa@outsuka.it", "giada.camassa@outsuka.it")</f>
        <v>giada.camassa@outsuka.it</v>
      </c>
      <c r="N11154" s="13">
        <v>46190.338877314818</v>
      </c>
      <c r="O11154" s="14" t="str">
        <f>HYPERLINK("https://otsuka-europe-crm.veevavault.com/ui/#object/email_activity__v/V8C00000003X652", "EN-002097986")</f>
        <v>EN-002097986</v>
      </c>
    </row>
    <row r="11155" spans="1:15" ht="16" x14ac:dyDescent="0.2">
      <c r="A11155" s="17" t="str">
        <f>HYPERLINK("https://otsuka-europe-crm.veevavault.com/ui/#object/account__v/V4TZ04ASGB4UQZ3", "ROSELLA TIRRI")</f>
        <v>ROSELLA TIRRI</v>
      </c>
      <c r="B11155" s="17" t="str">
        <f>HYPERLINK("https://otsuka-europe-crm.veevavault.com/ui/#object/vcountry__v/VENZ000004SONFQ", "IT")</f>
        <v>IT</v>
      </c>
      <c r="C11155" s="20" t="s">
        <v>44</v>
      </c>
      <c r="D11155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1155" s="22" t="str">
        <f>HYPERLINK("https://otsuka-europe-crm.veevavault.com/ui/#object/sent_email__v/VBL00000002V132", "SE-001437021")</f>
        <v>SE-001437021</v>
      </c>
      <c r="F11155" s="23">
        <v>46190.338182870371</v>
      </c>
      <c r="G11155" s="24">
        <v>1</v>
      </c>
      <c r="H11155" s="24">
        <v>1</v>
      </c>
      <c r="I11155" s="24">
        <v>0</v>
      </c>
      <c r="J11155" s="25"/>
      <c r="K11155" s="24">
        <v>0</v>
      </c>
      <c r="L11155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1155" s="22" t="str">
        <f>HYPERLINK("mailto:giada.camassa@outsuka.it", "giada.camassa@outsuka.it")</f>
        <v>giada.camassa@outsuka.it</v>
      </c>
      <c r="N11155" s="23">
        <v>46190.337905092594</v>
      </c>
      <c r="O11155" s="14" t="str">
        <f>HYPERLINK("https://otsuka-europe-crm.veevavault.com/ui/#object/email_activity__v/V8C00000003X476", "EN-002097675")</f>
        <v>EN-002097675</v>
      </c>
    </row>
    <row r="11156" spans="1:15" ht="16" x14ac:dyDescent="0.2">
      <c r="A11156" s="19"/>
      <c r="B11156" s="19"/>
      <c r="C11156" s="19"/>
      <c r="D11156" s="19"/>
      <c r="E11156" s="19"/>
      <c r="F11156" s="19"/>
      <c r="G11156" s="19"/>
      <c r="H11156" s="19"/>
      <c r="I11156" s="19"/>
      <c r="J11156" s="19"/>
      <c r="K11156" s="19"/>
      <c r="L11156" s="19"/>
      <c r="M11156" s="19"/>
      <c r="N11156" s="19"/>
      <c r="O11156" s="14" t="str">
        <f>HYPERLINK("https://otsuka-europe-crm.veevavault.com/ui/#object/email_activity__v/V8C00000003X578", "EN-002097874")</f>
        <v>EN-002097874</v>
      </c>
    </row>
    <row r="11157" spans="1:15" ht="16" x14ac:dyDescent="0.2">
      <c r="A11157" s="17" t="str">
        <f>HYPERLINK("https://otsuka-europe-crm.veevavault.com/ui/#object/account__v/V4TZ04ASGBXE2QV", "ROSSELLA DE ANGELIS")</f>
        <v>ROSSELLA DE ANGELIS</v>
      </c>
      <c r="B11157" s="17" t="str">
        <f>HYPERLINK("https://otsuka-europe-crm.veevavault.com/ui/#object/vcountry__v/VENZ000004SONFQ", "IT")</f>
        <v>IT</v>
      </c>
      <c r="C11157" s="20" t="s">
        <v>44</v>
      </c>
      <c r="D11157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1157" s="22" t="str">
        <f>HYPERLINK("https://otsuka-europe-crm.veevavault.com/ui/#object/sent_email__v/VBL00000002V134", "SE-001437023")</f>
        <v>SE-001437023</v>
      </c>
      <c r="F11157" s="23">
        <v>46190.339270833334</v>
      </c>
      <c r="G11157" s="24">
        <v>1</v>
      </c>
      <c r="H11157" s="24">
        <v>1</v>
      </c>
      <c r="I11157" s="24">
        <v>0</v>
      </c>
      <c r="J11157" s="25"/>
      <c r="K11157" s="24">
        <v>0</v>
      </c>
      <c r="L11157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1157" s="22" t="str">
        <f>HYPERLINK("mailto:giada.camassa@outsuka.it", "giada.camassa@outsuka.it")</f>
        <v>giada.camassa@outsuka.it</v>
      </c>
      <c r="N11157" s="23">
        <v>46190.339166666665</v>
      </c>
      <c r="O11157" s="14" t="str">
        <f>HYPERLINK("https://otsuka-europe-crm.veevavault.com/ui/#object/email_activity__v/V8C00000003X673", "EN-002098014")</f>
        <v>EN-002098014</v>
      </c>
    </row>
    <row r="11158" spans="1:15" ht="16" x14ac:dyDescent="0.2">
      <c r="A11158" s="19"/>
      <c r="B11158" s="19"/>
      <c r="C11158" s="19"/>
      <c r="D11158" s="19"/>
      <c r="E11158" s="19"/>
      <c r="F11158" s="19"/>
      <c r="G11158" s="19"/>
      <c r="H11158" s="19"/>
      <c r="I11158" s="19"/>
      <c r="J11158" s="19"/>
      <c r="K11158" s="19"/>
      <c r="L11158" s="19"/>
      <c r="M11158" s="19"/>
      <c r="N11158" s="19"/>
      <c r="O11158" s="14" t="str">
        <f>HYPERLINK("https://otsuka-europe-crm.veevavault.com/ui/#object/email_activity__v/V8C00000003X702", "EN-002098064")</f>
        <v>EN-002098064</v>
      </c>
    </row>
    <row r="11159" spans="1:15" ht="16" x14ac:dyDescent="0.2">
      <c r="A11159" s="17" t="str">
        <f>HYPERLINK("https://otsuka-europe-crm.veevavault.com/ui/#object/account__v/V4TZ04ASGETDR3J", "ROSSELLA TALOTTA")</f>
        <v>ROSSELLA TALOTTA</v>
      </c>
      <c r="B11159" s="17" t="str">
        <f>HYPERLINK("https://otsuka-europe-crm.veevavault.com/ui/#object/vcountry__v/VENZ000004SONFQ", "IT")</f>
        <v>IT</v>
      </c>
      <c r="C11159" s="20" t="s">
        <v>44</v>
      </c>
      <c r="D11159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1159" s="22" t="str">
        <f>HYPERLINK("https://otsuka-europe-crm.veevavault.com/ui/#object/sent_email__v/VBL00000002V135", "SE-001437024")</f>
        <v>SE-001437024</v>
      </c>
      <c r="F11159" s="23">
        <v>46198.409780092596</v>
      </c>
      <c r="G11159" s="24">
        <v>1</v>
      </c>
      <c r="H11159" s="24">
        <v>2</v>
      </c>
      <c r="I11159" s="24">
        <v>0</v>
      </c>
      <c r="J11159" s="25"/>
      <c r="K11159" s="24">
        <v>0</v>
      </c>
      <c r="L11159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1159" s="22" t="str">
        <f>HYPERLINK("mailto:giada.camassa@outsuka.it", "giada.camassa@outsuka.it")</f>
        <v>giada.camassa@outsuka.it</v>
      </c>
      <c r="N11159" s="23">
        <v>46190.339456018519</v>
      </c>
      <c r="O11159" s="14" t="str">
        <f>HYPERLINK("https://otsuka-europe-crm.veevavault.com/ui/#object/email_activity__v/V8C00000003W585", "EN-002098127")</f>
        <v>EN-002098127</v>
      </c>
    </row>
    <row r="11160" spans="1:15" ht="16" x14ac:dyDescent="0.2">
      <c r="A11160" s="18"/>
      <c r="B11160" s="18"/>
      <c r="C11160" s="18"/>
      <c r="D11160" s="18"/>
      <c r="E11160" s="18"/>
      <c r="F11160" s="18"/>
      <c r="G11160" s="18"/>
      <c r="H11160" s="18"/>
      <c r="I11160" s="18"/>
      <c r="J11160" s="18"/>
      <c r="K11160" s="18"/>
      <c r="L11160" s="18"/>
      <c r="M11160" s="18"/>
      <c r="N11160" s="18"/>
      <c r="O11160" s="14" t="str">
        <f>HYPERLINK("https://otsuka-europe-crm.veevavault.com/ui/#object/email_activity__v/V8C00000003X722", "EN-002098102")</f>
        <v>EN-002098102</v>
      </c>
    </row>
    <row r="11161" spans="1:15" ht="16" x14ac:dyDescent="0.2">
      <c r="A11161" s="19"/>
      <c r="B11161" s="19"/>
      <c r="C11161" s="19"/>
      <c r="D11161" s="19"/>
      <c r="E11161" s="19"/>
      <c r="F11161" s="19"/>
      <c r="G11161" s="19"/>
      <c r="H11161" s="19"/>
      <c r="I11161" s="19"/>
      <c r="J11161" s="19"/>
      <c r="K11161" s="19"/>
      <c r="L11161" s="19"/>
      <c r="M11161" s="19"/>
      <c r="N11161" s="19"/>
      <c r="O11161" s="14" t="str">
        <f>HYPERLINK("https://otsuka-europe-crm.veevavault.com/ui/#object/email_activity__v/V8C00000003Z476", "EN-002099645")</f>
        <v>EN-002099645</v>
      </c>
    </row>
    <row r="11162" spans="1:15" ht="16" x14ac:dyDescent="0.2">
      <c r="A11162" s="17" t="str">
        <f>HYPERLINK("https://otsuka-europe-crm.veevavault.com/ui/#object/account__v/V4TZ04ASGB4KE60", "SERENA FASANO")</f>
        <v>SERENA FASANO</v>
      </c>
      <c r="B11162" s="17" t="str">
        <f>HYPERLINK("https://otsuka-europe-crm.veevavault.com/ui/#object/vcountry__v/VENZ000004SONFQ", "IT")</f>
        <v>IT</v>
      </c>
      <c r="C11162" s="20" t="s">
        <v>44</v>
      </c>
      <c r="D11162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1162" s="22" t="str">
        <f>HYPERLINK("https://otsuka-europe-crm.veevavault.com/ui/#object/sent_email__v/VBL00000002V137", "SE-001437026")</f>
        <v>SE-001437026</v>
      </c>
      <c r="F11162" s="23">
        <v>46190.338090277779</v>
      </c>
      <c r="G11162" s="24">
        <v>1</v>
      </c>
      <c r="H11162" s="24">
        <v>1</v>
      </c>
      <c r="I11162" s="24">
        <v>0</v>
      </c>
      <c r="J11162" s="25"/>
      <c r="K11162" s="24">
        <v>0</v>
      </c>
      <c r="L11162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1162" s="22" t="str">
        <f>HYPERLINK("mailto:giada.camassa@outsuka.it", "giada.camassa@outsuka.it")</f>
        <v>giada.camassa@outsuka.it</v>
      </c>
      <c r="N11162" s="23">
        <v>46190.337893518517</v>
      </c>
      <c r="O11162" s="14" t="str">
        <f>HYPERLINK("https://otsuka-europe-crm.veevavault.com/ui/#object/email_activity__v/V8C00000003W431", "EN-002097715")</f>
        <v>EN-002097715</v>
      </c>
    </row>
    <row r="11163" spans="1:15" ht="16" x14ac:dyDescent="0.2">
      <c r="A11163" s="19"/>
      <c r="B11163" s="19"/>
      <c r="C11163" s="19"/>
      <c r="D11163" s="19"/>
      <c r="E11163" s="19"/>
      <c r="F11163" s="19"/>
      <c r="G11163" s="19"/>
      <c r="H11163" s="19"/>
      <c r="I11163" s="19"/>
      <c r="J11163" s="19"/>
      <c r="K11163" s="19"/>
      <c r="L11163" s="19"/>
      <c r="M11163" s="19"/>
      <c r="N11163" s="19"/>
      <c r="O11163" s="14" t="str">
        <f>HYPERLINK("https://otsuka-europe-crm.veevavault.com/ui/#object/email_activity__v/V8C00000003W453", "EN-002097776")</f>
        <v>EN-002097776</v>
      </c>
    </row>
    <row r="11164" spans="1:15" ht="64" x14ac:dyDescent="0.2">
      <c r="A11164" s="7" t="str">
        <f>HYPERLINK("https://otsuka-europe-crm.veevavault.com/ui/#object/account__v/V4TZ025E85LH5E2", "SERENA GUIDUCCI")</f>
        <v>SERENA GUIDUCCI</v>
      </c>
      <c r="B11164" s="7" t="str">
        <f>HYPERLINK("https://otsuka-europe-crm.veevavault.com/ui/#object/vcountry__v/VENZ000004SONFQ", "IT")</f>
        <v>IT</v>
      </c>
      <c r="C11164" s="8" t="s">
        <v>44</v>
      </c>
      <c r="D11164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1164" s="10" t="str">
        <f>HYPERLINK("https://otsuka-europe-crm.veevavault.com/ui/#object/sent_email__v/VBL00000002V138", "SE-001437027")</f>
        <v>SE-001437027</v>
      </c>
      <c r="F11164" s="11"/>
      <c r="G11164" s="12">
        <v>0</v>
      </c>
      <c r="H11164" s="12">
        <v>0</v>
      </c>
      <c r="I11164" s="12">
        <v>0</v>
      </c>
      <c r="J11164" s="11"/>
      <c r="K11164" s="12">
        <v>0</v>
      </c>
      <c r="L11164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1164" s="10" t="str">
        <f>HYPERLINK("mailto:giada.camassa@outsuka.it", "giada.camassa@outsuka.it")</f>
        <v>giada.camassa@outsuka.it</v>
      </c>
      <c r="N11164" s="13">
        <v>46190.337916666664</v>
      </c>
      <c r="O11164" s="14" t="str">
        <f>HYPERLINK("https://otsuka-europe-crm.veevavault.com/ui/#object/email_activity__v/V8C00000003X481", "EN-002097680")</f>
        <v>EN-002097680</v>
      </c>
    </row>
    <row r="11165" spans="1:15" ht="64" x14ac:dyDescent="0.2">
      <c r="A11165" s="7" t="str">
        <f>HYPERLINK("https://otsuka-europe-crm.veevavault.com/ui/#object/account__v/V4TZ04ASGBJ9QVM", "SILVANO BETTIO")</f>
        <v>SILVANO BETTIO</v>
      </c>
      <c r="B11165" s="7" t="str">
        <f>HYPERLINK("https://otsuka-europe-crm.veevavault.com/ui/#object/vcountry__v/VENZ000004SONFQ", "IT")</f>
        <v>IT</v>
      </c>
      <c r="C11165" s="8" t="s">
        <v>44</v>
      </c>
      <c r="D11165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1165" s="10" t="str">
        <f>HYPERLINK("https://otsuka-europe-crm.veevavault.com/ui/#object/sent_email__v/VBL00000002V139", "SE-001437028")</f>
        <v>SE-001437028</v>
      </c>
      <c r="F11165" s="11"/>
      <c r="G11165" s="12">
        <v>0</v>
      </c>
      <c r="H11165" s="12">
        <v>0</v>
      </c>
      <c r="I11165" s="12">
        <v>0</v>
      </c>
      <c r="J11165" s="11"/>
      <c r="K11165" s="12">
        <v>0</v>
      </c>
      <c r="L11165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1165" s="10" t="str">
        <f>HYPERLINK("mailto:giada.camassa@outsuka.it", "giada.camassa@outsuka.it")</f>
        <v>giada.camassa@outsuka.it</v>
      </c>
      <c r="N11165" s="13">
        <v>46190.337905092594</v>
      </c>
      <c r="O11165" s="14" t="str">
        <f>HYPERLINK("https://otsuka-europe-crm.veevavault.com/ui/#object/email_activity__v/V8C00000003W365", "EN-002097422")</f>
        <v>EN-002097422</v>
      </c>
    </row>
    <row r="11166" spans="1:15" ht="16" x14ac:dyDescent="0.2">
      <c r="A11166" s="17" t="str">
        <f>HYPERLINK("https://otsuka-europe-crm.veevavault.com/ui/#object/account__v/V4TZ04ASGEI28PP", "SILVIA LAURA BOSELLO")</f>
        <v>SILVIA LAURA BOSELLO</v>
      </c>
      <c r="B11166" s="17" t="str">
        <f>HYPERLINK("https://otsuka-europe-crm.veevavault.com/ui/#object/vcountry__v/VENZ000004SONFQ", "IT")</f>
        <v>IT</v>
      </c>
      <c r="C11166" s="20" t="s">
        <v>44</v>
      </c>
      <c r="D11166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1166" s="22" t="str">
        <f>HYPERLINK("https://otsuka-europe-crm.veevavault.com/ui/#object/sent_email__v/VBL00000002V140", "SE-001437029")</f>
        <v>SE-001437029</v>
      </c>
      <c r="F11166" s="23">
        <v>46190.340138888889</v>
      </c>
      <c r="G11166" s="24">
        <v>1</v>
      </c>
      <c r="H11166" s="24">
        <v>1</v>
      </c>
      <c r="I11166" s="24">
        <v>0</v>
      </c>
      <c r="J11166" s="25"/>
      <c r="K11166" s="24">
        <v>0</v>
      </c>
      <c r="L11166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1166" s="22" t="str">
        <f>HYPERLINK("mailto:giada.camassa@outsuka.it", "giada.camassa@outsuka.it")</f>
        <v>giada.camassa@outsuka.it</v>
      </c>
      <c r="N11166" s="23">
        <v>46190.339965277781</v>
      </c>
      <c r="O11166" s="14" t="str">
        <f>HYPERLINK("https://otsuka-europe-crm.veevavault.com/ui/#object/email_activity__v/V8C00000003X768", "EN-002098173")</f>
        <v>EN-002098173</v>
      </c>
    </row>
    <row r="11167" spans="1:15" ht="16" x14ac:dyDescent="0.2">
      <c r="A11167" s="19"/>
      <c r="B11167" s="19"/>
      <c r="C11167" s="19"/>
      <c r="D11167" s="19"/>
      <c r="E11167" s="19"/>
      <c r="F11167" s="19"/>
      <c r="G11167" s="19"/>
      <c r="H11167" s="19"/>
      <c r="I11167" s="19"/>
      <c r="J11167" s="19"/>
      <c r="K11167" s="19"/>
      <c r="L11167" s="19"/>
      <c r="M11167" s="19"/>
      <c r="N11167" s="19"/>
      <c r="O11167" s="14" t="str">
        <f>HYPERLINK("https://otsuka-europe-crm.veevavault.com/ui/#object/email_activity__v/V8C00000003X773", "EN-002098179")</f>
        <v>EN-002098179</v>
      </c>
    </row>
    <row r="11168" spans="1:15" ht="16" x14ac:dyDescent="0.2">
      <c r="A11168" s="17" t="str">
        <f>HYPERLINK("https://otsuka-europe-crm.veevavault.com/ui/#object/account__v/V4TZ025E86IZ51Z", "STEFANO ALIVERNINI")</f>
        <v>STEFANO ALIVERNINI</v>
      </c>
      <c r="B11168" s="17" t="str">
        <f>HYPERLINK("https://otsuka-europe-crm.veevavault.com/ui/#object/vcountry__v/VENZ000004SONFQ", "IT")</f>
        <v>IT</v>
      </c>
      <c r="C11168" s="20" t="s">
        <v>44</v>
      </c>
      <c r="D11168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1168" s="22" t="str">
        <f>HYPERLINK("https://otsuka-europe-crm.veevavault.com/ui/#object/sent_email__v/VBL00000002V141", "SE-001437030")</f>
        <v>SE-001437030</v>
      </c>
      <c r="F11168" s="23">
        <v>46190.339305555557</v>
      </c>
      <c r="G11168" s="24">
        <v>1</v>
      </c>
      <c r="H11168" s="24">
        <v>1</v>
      </c>
      <c r="I11168" s="24">
        <v>0</v>
      </c>
      <c r="J11168" s="25"/>
      <c r="K11168" s="24">
        <v>0</v>
      </c>
      <c r="L11168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1168" s="22" t="str">
        <f>HYPERLINK("mailto:giada.camassa@outsuka.it", "giada.camassa@outsuka.it")</f>
        <v>giada.camassa@outsuka.it</v>
      </c>
      <c r="N11168" s="23">
        <v>46190.338750000003</v>
      </c>
      <c r="O11168" s="14" t="str">
        <f>HYPERLINK("https://otsuka-europe-crm.veevavault.com/ui/#object/email_activity__v/V8C00000003W523", "EN-002097960")</f>
        <v>EN-002097960</v>
      </c>
    </row>
    <row r="11169" spans="1:15" ht="16" x14ac:dyDescent="0.2">
      <c r="A11169" s="19"/>
      <c r="B11169" s="19"/>
      <c r="C11169" s="19"/>
      <c r="D11169" s="19"/>
      <c r="E11169" s="19"/>
      <c r="F11169" s="19"/>
      <c r="G11169" s="19"/>
      <c r="H11169" s="19"/>
      <c r="I11169" s="19"/>
      <c r="J11169" s="19"/>
      <c r="K11169" s="19"/>
      <c r="L11169" s="19"/>
      <c r="M11169" s="19"/>
      <c r="N11169" s="19"/>
      <c r="O11169" s="14" t="str">
        <f>HYPERLINK("https://otsuka-europe-crm.veevavault.com/ui/#object/email_activity__v/V8C00000003X711", "EN-002098084")</f>
        <v>EN-002098084</v>
      </c>
    </row>
    <row r="11170" spans="1:15" ht="64" x14ac:dyDescent="0.2">
      <c r="A11170" s="7" t="str">
        <f>HYPERLINK("https://otsuka-europe-crm.veevavault.com/ui/#object/account__v/V4TZ04ASGC4GSQI", "UGO POZZETTI")</f>
        <v>UGO POZZETTI</v>
      </c>
      <c r="B11170" s="7" t="str">
        <f>HYPERLINK("https://otsuka-europe-crm.veevavault.com/ui/#object/vcountry__v/VENZ000004SONFQ", "IT")</f>
        <v>IT</v>
      </c>
      <c r="C11170" s="8" t="s">
        <v>44</v>
      </c>
      <c r="D11170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1170" s="10" t="str">
        <f>HYPERLINK("https://otsuka-europe-crm.veevavault.com/ui/#object/sent_email__v/VBL00000002V142", "SE-001437031")</f>
        <v>SE-001437031</v>
      </c>
      <c r="F11170" s="11"/>
      <c r="G11170" s="12">
        <v>0</v>
      </c>
      <c r="H11170" s="12">
        <v>0</v>
      </c>
      <c r="I11170" s="12">
        <v>0</v>
      </c>
      <c r="J11170" s="11"/>
      <c r="K11170" s="12">
        <v>0</v>
      </c>
      <c r="L11170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1170" s="10" t="str">
        <f>HYPERLINK("mailto:giada.camassa@outsuka.it", "giada.camassa@outsuka.it")</f>
        <v>giada.camassa@outsuka.it</v>
      </c>
      <c r="N11170" s="13">
        <v>46190.339456018519</v>
      </c>
      <c r="O11170" s="14" t="str">
        <f>HYPERLINK("https://otsuka-europe-crm.veevavault.com/ui/#object/email_activity__v/V8C00000003X721", "EN-002098101")</f>
        <v>EN-002098101</v>
      </c>
    </row>
    <row r="11171" spans="1:15" ht="64" x14ac:dyDescent="0.2">
      <c r="A11171" s="7" t="str">
        <f>HYPERLINK("https://otsuka-europe-crm.veevavault.com/ui/#object/account__v/V4TZ025E86LFF53", "UMBERTO GIUSEPPE MASSAFRA")</f>
        <v>UMBERTO GIUSEPPE MASSAFRA</v>
      </c>
      <c r="B11171" s="7" t="str">
        <f>HYPERLINK("https://otsuka-europe-crm.veevavault.com/ui/#object/vcountry__v/VENZ000004SONFQ", "IT")</f>
        <v>IT</v>
      </c>
      <c r="C11171" s="8" t="s">
        <v>44</v>
      </c>
      <c r="D11171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1171" s="10" t="str">
        <f>HYPERLINK("https://otsuka-europe-crm.veevavault.com/ui/#object/sent_email__v/VBL00000002V143", "SE-001437032")</f>
        <v>SE-001437032</v>
      </c>
      <c r="F11171" s="11"/>
      <c r="G11171" s="12">
        <v>0</v>
      </c>
      <c r="H11171" s="12">
        <v>0</v>
      </c>
      <c r="I11171" s="12">
        <v>0</v>
      </c>
      <c r="J11171" s="11"/>
      <c r="K11171" s="12">
        <v>0</v>
      </c>
      <c r="L11171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1171" s="10" t="str">
        <f>HYPERLINK("mailto:giada.camassa@outsuka.it", "giada.camassa@outsuka.it")</f>
        <v>giada.camassa@outsuka.it</v>
      </c>
      <c r="N11171" s="13">
        <v>46190.339166666665</v>
      </c>
      <c r="O11171" s="14" t="str">
        <f>HYPERLINK("https://otsuka-europe-crm.veevavault.com/ui/#object/email_activity__v/V8C00000003W553", "EN-002098049")</f>
        <v>EN-002098049</v>
      </c>
    </row>
    <row r="11172" spans="1:15" ht="64" x14ac:dyDescent="0.2">
      <c r="A11172" s="7" t="str">
        <f>HYPERLINK("https://otsuka-europe-crm.veevavault.com/ui/#object/account__v/V4TZ025E86M5W88", "VALENTINA DENARO")</f>
        <v>VALENTINA DENARO</v>
      </c>
      <c r="B11172" s="7" t="str">
        <f>HYPERLINK("https://otsuka-europe-crm.veevavault.com/ui/#object/vcountry__v/VENZ000004SONFQ", "IT")</f>
        <v>IT</v>
      </c>
      <c r="C11172" s="8" t="s">
        <v>44</v>
      </c>
      <c r="D11172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1172" s="10" t="str">
        <f>HYPERLINK("https://otsuka-europe-crm.veevavault.com/ui/#object/sent_email__v/VBL00000002V144", "SE-001437033")</f>
        <v>SE-001437033</v>
      </c>
      <c r="F11172" s="11"/>
      <c r="G11172" s="12">
        <v>0</v>
      </c>
      <c r="H11172" s="12">
        <v>0</v>
      </c>
      <c r="I11172" s="12">
        <v>0</v>
      </c>
      <c r="J11172" s="11"/>
      <c r="K11172" s="12">
        <v>0</v>
      </c>
      <c r="L11172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1172" s="10" t="str">
        <f>HYPERLINK("mailto:giada.camassa@outsuka.it", "giada.camassa@outsuka.it")</f>
        <v>giada.camassa@outsuka.it</v>
      </c>
      <c r="N11172" s="13">
        <v>46190.337939814817</v>
      </c>
      <c r="O11172" s="14" t="str">
        <f>HYPERLINK("https://otsuka-europe-crm.veevavault.com/ui/#object/email_activity__v/V8C00000003X500", "EN-002097743")</f>
        <v>EN-002097743</v>
      </c>
    </row>
    <row r="11173" spans="1:15" ht="64" x14ac:dyDescent="0.2">
      <c r="A11173" s="7" t="str">
        <f>HYPERLINK("https://otsuka-europe-crm.veevavault.com/ui/#object/account__v/V4TZ04ASGC7M2AR", "VALERIA DATA")</f>
        <v>VALERIA DATA</v>
      </c>
      <c r="B11173" s="7" t="str">
        <f>HYPERLINK("https://otsuka-europe-crm.veevavault.com/ui/#object/vcountry__v/VENZ000004SONFQ", "IT")</f>
        <v>IT</v>
      </c>
      <c r="C11173" s="8" t="s">
        <v>44</v>
      </c>
      <c r="D11173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1173" s="10" t="str">
        <f>HYPERLINK("https://otsuka-europe-crm.veevavault.com/ui/#object/sent_email__v/VBL00000002V145", "SE-001437034")</f>
        <v>SE-001437034</v>
      </c>
      <c r="F11173" s="11"/>
      <c r="G11173" s="12">
        <v>0</v>
      </c>
      <c r="H11173" s="12">
        <v>0</v>
      </c>
      <c r="I11173" s="12">
        <v>0</v>
      </c>
      <c r="J11173" s="11"/>
      <c r="K11173" s="12">
        <v>0</v>
      </c>
      <c r="L11173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1173" s="10" t="str">
        <f>HYPERLINK("mailto:giada.camassa@outsuka.it", "giada.camassa@outsuka.it")</f>
        <v>giada.camassa@outsuka.it</v>
      </c>
      <c r="N11173" s="13">
        <v>46190.33792824074</v>
      </c>
      <c r="O11173" s="14" t="str">
        <f>HYPERLINK("https://otsuka-europe-crm.veevavault.com/ui/#object/email_activity__v/V8C00000003W436", "EN-002097720")</f>
        <v>EN-002097720</v>
      </c>
    </row>
    <row r="11174" spans="1:15" ht="16" x14ac:dyDescent="0.2">
      <c r="A11174" s="17" t="str">
        <f>HYPERLINK("https://otsuka-europe-crm.veevavault.com/ui/#object/account__v/V4TZ04ASGBJGVBH", "VERONICA CODULLO")</f>
        <v>VERONICA CODULLO</v>
      </c>
      <c r="B11174" s="17" t="str">
        <f>HYPERLINK("https://otsuka-europe-crm.veevavault.com/ui/#object/vcountry__v/VENZ000004SONFQ", "IT")</f>
        <v>IT</v>
      </c>
      <c r="C11174" s="20" t="s">
        <v>44</v>
      </c>
      <c r="D11174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1174" s="22" t="str">
        <f>HYPERLINK("https://otsuka-europe-crm.veevavault.com/ui/#object/sent_email__v/VBL00000002V146", "SE-001437035")</f>
        <v>SE-001437035</v>
      </c>
      <c r="F11174" s="25"/>
      <c r="G11174" s="24">
        <v>0</v>
      </c>
      <c r="H11174" s="24">
        <v>0</v>
      </c>
      <c r="I11174" s="24">
        <v>0</v>
      </c>
      <c r="J11174" s="25"/>
      <c r="K11174" s="24">
        <v>0</v>
      </c>
      <c r="L11174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1174" s="22" t="str">
        <f>HYPERLINK("mailto:giada.camassa@outsuka.it", "giada.camassa@outsuka.it")</f>
        <v>giada.camassa@outsuka.it</v>
      </c>
      <c r="N11174" s="23">
        <v>46190.33792824074</v>
      </c>
      <c r="O11174" s="14" t="str">
        <f>HYPERLINK("https://otsuka-europe-crm.veevavault.com/ui/#object/email_activity__v/V8C00000003W634", "EN-002098260")</f>
        <v>EN-002098260</v>
      </c>
    </row>
    <row r="11175" spans="1:15" ht="16" x14ac:dyDescent="0.2">
      <c r="A11175" s="19"/>
      <c r="B11175" s="19"/>
      <c r="C11175" s="19"/>
      <c r="D11175" s="19"/>
      <c r="E11175" s="19"/>
      <c r="F11175" s="19"/>
      <c r="G11175" s="19"/>
      <c r="H11175" s="19"/>
      <c r="I11175" s="19"/>
      <c r="J11175" s="19"/>
      <c r="K11175" s="19"/>
      <c r="L11175" s="19"/>
      <c r="M11175" s="19"/>
      <c r="N11175" s="19"/>
      <c r="O11175" s="14" t="str">
        <f>HYPERLINK("https://otsuka-europe-crm.veevavault.com/ui/#object/email_activity__v/V8C00000003X316", "EN-002097507")</f>
        <v>EN-002097507</v>
      </c>
    </row>
    <row r="11176" spans="1:15" ht="16" x14ac:dyDescent="0.2">
      <c r="A11176" s="17" t="str">
        <f>HYPERLINK("https://otsuka-europe-crm.veevavault.com/ui/#object/account__v/V4TZ04ASGBXDTMD", "WALTER GRASSI")</f>
        <v>WALTER GRASSI</v>
      </c>
      <c r="B11176" s="17" t="str">
        <f>HYPERLINK("https://otsuka-europe-crm.veevavault.com/ui/#object/vcountry__v/VENZ000004SONFQ", "IT")</f>
        <v>IT</v>
      </c>
      <c r="C11176" s="20" t="s">
        <v>44</v>
      </c>
      <c r="D11176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1176" s="22" t="str">
        <f>HYPERLINK("https://otsuka-europe-crm.veevavault.com/ui/#object/sent_email__v/VBL00000002V148", "SE-001437037")</f>
        <v>SE-001437037</v>
      </c>
      <c r="F11176" s="23">
        <v>46190.341666666667</v>
      </c>
      <c r="G11176" s="24">
        <v>1</v>
      </c>
      <c r="H11176" s="24">
        <v>1</v>
      </c>
      <c r="I11176" s="24">
        <v>0</v>
      </c>
      <c r="J11176" s="25"/>
      <c r="K11176" s="24">
        <v>0</v>
      </c>
      <c r="L11176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1176" s="22" t="str">
        <f>HYPERLINK("mailto:giada.camassa@outsuka.it", "giada.camassa@outsuka.it")</f>
        <v>giada.camassa@outsuka.it</v>
      </c>
      <c r="N11176" s="23">
        <v>46190.337870370371</v>
      </c>
      <c r="O11176" s="14" t="str">
        <f>HYPERLINK("https://otsuka-europe-crm.veevavault.com/ui/#object/email_activity__v/V8C00000003W609", "EN-002098221")</f>
        <v>EN-002098221</v>
      </c>
    </row>
    <row r="11177" spans="1:15" ht="16" x14ac:dyDescent="0.2">
      <c r="A11177" s="18"/>
      <c r="B11177" s="18"/>
      <c r="C11177" s="18"/>
      <c r="D11177" s="18"/>
      <c r="E11177" s="18"/>
      <c r="F11177" s="18"/>
      <c r="G11177" s="18"/>
      <c r="H11177" s="18"/>
      <c r="I11177" s="18"/>
      <c r="J11177" s="18"/>
      <c r="K11177" s="18"/>
      <c r="L11177" s="18"/>
      <c r="M11177" s="18"/>
      <c r="N11177" s="18"/>
      <c r="O11177" s="14" t="str">
        <f>HYPERLINK("https://otsuka-europe-crm.veevavault.com/ui/#object/email_activity__v/V8C00000003W613", "EN-002098228")</f>
        <v>EN-002098228</v>
      </c>
    </row>
    <row r="11178" spans="1:15" ht="16" x14ac:dyDescent="0.2">
      <c r="A11178" s="18"/>
      <c r="B11178" s="18"/>
      <c r="C11178" s="18"/>
      <c r="D11178" s="18"/>
      <c r="E11178" s="18"/>
      <c r="F11178" s="18"/>
      <c r="G11178" s="18"/>
      <c r="H11178" s="18"/>
      <c r="I11178" s="18"/>
      <c r="J11178" s="18"/>
      <c r="K11178" s="18"/>
      <c r="L11178" s="18"/>
      <c r="M11178" s="18"/>
      <c r="N11178" s="18"/>
      <c r="O11178" s="14" t="str">
        <f>HYPERLINK("https://otsuka-europe-crm.veevavault.com/ui/#object/email_activity__v/V8C00000003W669", "EN-002098314")</f>
        <v>EN-002098314</v>
      </c>
    </row>
    <row r="11179" spans="1:15" ht="16" x14ac:dyDescent="0.2">
      <c r="A11179" s="19"/>
      <c r="B11179" s="19"/>
      <c r="C11179" s="19"/>
      <c r="D11179" s="19"/>
      <c r="E11179" s="19"/>
      <c r="F11179" s="19"/>
      <c r="G11179" s="19"/>
      <c r="H11179" s="19"/>
      <c r="I11179" s="19"/>
      <c r="J11179" s="19"/>
      <c r="K11179" s="19"/>
      <c r="L11179" s="19"/>
      <c r="M11179" s="19"/>
      <c r="N11179" s="19"/>
      <c r="O11179" s="14" t="str">
        <f>HYPERLINK("https://otsuka-europe-crm.veevavault.com/ui/#object/email_activity__v/V8C00000003Z109", "EN-002098858")</f>
        <v>EN-002098858</v>
      </c>
    </row>
    <row r="11180" spans="1:15" ht="16" x14ac:dyDescent="0.2">
      <c r="A11180" s="17" t="str">
        <f>HYPERLINK("https://otsuka-europe-crm.veevavault.com/ui/#object/account__v/V4T000000021064", "Joseph Clubb")</f>
        <v>Joseph Clubb</v>
      </c>
      <c r="B11180" s="17" t="str">
        <f>HYPERLINK("https://otsuka-europe-crm.veevavault.com/ui/#object/vcountry__v/VENZ000004SONFK", "GB")</f>
        <v>GB</v>
      </c>
      <c r="C11180" s="20" t="s">
        <v>39</v>
      </c>
      <c r="D11180" s="21" t="str">
        <f>HYPERLINK("https://otsuka-europe-crm.veevavault.com/ui/#object/approved_document__v/V5OZ025E82UYOBH", "Aripiprazole 300mg PFS Available VAE")</f>
        <v>Aripiprazole 300mg PFS Available VAE</v>
      </c>
      <c r="E11180" s="22" t="str">
        <f>HYPERLINK("https://otsuka-europe-crm.veevavault.com/ui/#object/sent_email__v/VBL00000002T413", "SE-001437038")</f>
        <v>SE-001437038</v>
      </c>
      <c r="F11180" s="23">
        <v>46189.492824074077</v>
      </c>
      <c r="G11180" s="24">
        <v>1</v>
      </c>
      <c r="H11180" s="24">
        <v>1</v>
      </c>
      <c r="I11180" s="24">
        <v>0</v>
      </c>
      <c r="J11180" s="25"/>
      <c r="K11180" s="24">
        <v>0</v>
      </c>
      <c r="L11180" s="22" t="str">
        <f>HYPERLINK("https://otsuka-europe-crm.veevavault.com/ui/#object/approved_document__v/V5OZ025E82UYOBH", "Aripiprazole 300mg PFS Available VAE")</f>
        <v>Aripiprazole 300mg PFS Available VAE</v>
      </c>
      <c r="M11180" s="22" t="str">
        <f>HYPERLINK("mailto:ldimambro@crm.otsuka-europe.com", "ldimambro@crm.otsuka-europe.com")</f>
        <v>ldimambro@crm.otsuka-europe.com</v>
      </c>
      <c r="N11180" s="23">
        <v>46188.625914351855</v>
      </c>
      <c r="O11180" s="14" t="str">
        <f>HYPERLINK("https://otsuka-europe-crm.veevavault.com/ui/#object/email_activity__v/V8C00000003V845", "EN-002096415")</f>
        <v>EN-002096415</v>
      </c>
    </row>
    <row r="11181" spans="1:15" ht="16" x14ac:dyDescent="0.2">
      <c r="A11181" s="19"/>
      <c r="B11181" s="19"/>
      <c r="C11181" s="19"/>
      <c r="D11181" s="19"/>
      <c r="E11181" s="19"/>
      <c r="F11181" s="19"/>
      <c r="G11181" s="19"/>
      <c r="H11181" s="19"/>
      <c r="I11181" s="19"/>
      <c r="J11181" s="19"/>
      <c r="K11181" s="19"/>
      <c r="L11181" s="19"/>
      <c r="M11181" s="19"/>
      <c r="N11181" s="19"/>
      <c r="O11181" s="14" t="str">
        <f>HYPERLINK("https://otsuka-europe-crm.veevavault.com/ui/#object/email_activity__v/V8C00000003W210", "EN-002097160")</f>
        <v>EN-002097160</v>
      </c>
    </row>
    <row r="11182" spans="1:15" ht="32" x14ac:dyDescent="0.2">
      <c r="A11182" s="7" t="str">
        <f>HYPERLINK("https://otsuka-europe-crm.veevavault.com/ui/#object/account__v/V4T000000021064", "Joseph Clubb")</f>
        <v>Joseph Clubb</v>
      </c>
      <c r="B11182" s="7" t="str">
        <f>HYPERLINK("https://otsuka-europe-crm.veevavault.com/ui/#object/vcountry__v/VENZ000004SONFK", "GB")</f>
        <v>GB</v>
      </c>
      <c r="C11182" s="8" t="s">
        <v>39</v>
      </c>
      <c r="D11182" s="9" t="str">
        <f>HYPERLINK("https://otsuka-europe-crm.veevavault.com/ui/#object/approved_document__v/V5OZ025E82TSZBI", "Aripiprazole 960mg Fragment VAE")</f>
        <v>Aripiprazole 960mg Fragment VAE</v>
      </c>
      <c r="E11182" s="10" t="str">
        <f>HYPERLINK("https://otsuka-europe-crm.veevavault.com/ui/#object/sent_email__v/VBL00000002T414", "SE-001437039")</f>
        <v>SE-001437039</v>
      </c>
      <c r="F11182" s="11"/>
      <c r="G11182" s="12">
        <v>0</v>
      </c>
      <c r="H11182" s="12">
        <v>0</v>
      </c>
      <c r="I11182" s="12">
        <v>0</v>
      </c>
      <c r="J11182" s="11"/>
      <c r="K11182" s="12">
        <v>0</v>
      </c>
      <c r="L11182" s="10" t="str">
        <f>HYPERLINK("https://otsuka-europe-crm.veevavault.com/ui/#object/approved_document__v/V5OZ025E82TSZBI", "Aripiprazole 960mg Fragment VAE")</f>
        <v>Aripiprazole 960mg Fragment VAE</v>
      </c>
      <c r="M11182" s="10" t="str">
        <f>HYPERLINK("mailto:ldimambro@crm.otsuka-europe.com", "ldimambro@crm.otsuka-europe.com")</f>
        <v>ldimambro@crm.otsuka-europe.com</v>
      </c>
      <c r="N11182" s="13">
        <v>46188.626238425924</v>
      </c>
      <c r="O11182" s="14" t="str">
        <f>HYPERLINK("https://otsuka-europe-crm.veevavault.com/ui/#object/email_activity__v/V8C00000003V847", "EN-002096417")</f>
        <v>EN-002096417</v>
      </c>
    </row>
    <row r="11183" spans="1:15" ht="16" x14ac:dyDescent="0.2">
      <c r="A11183" s="17" t="str">
        <f>HYPERLINK("https://otsuka-europe-crm.veevavault.com/ui/#object/account__v/V4TZ06G6O71S9PI", "MICHELA BARCHIESI")</f>
        <v>MICHELA BARCHIESI</v>
      </c>
      <c r="B11183" s="17" t="str">
        <f>HYPERLINK("https://otsuka-europe-crm.veevavault.com/ui/#object/vcountry__v/VENZ000004SONFQ", "IT")</f>
        <v>IT</v>
      </c>
      <c r="C11183" s="20" t="s">
        <v>44</v>
      </c>
      <c r="D11183" s="21" t="str">
        <f>HYPERLINK("https://otsuka-europe-crm.veevavault.com/ui/#object/approved_document__v/V5OZ025E82JJ7FL", "NL AE HCP Portal")</f>
        <v>NL AE HCP Portal</v>
      </c>
      <c r="E11183" s="22" t="str">
        <f>HYPERLINK("https://otsuka-europe-crm.veevavault.com/ui/#object/sent_email__v/VBL00000002T417", "SE-001437040")</f>
        <v>SE-001437040</v>
      </c>
      <c r="F11183" s="25"/>
      <c r="G11183" s="24">
        <v>0</v>
      </c>
      <c r="H11183" s="24">
        <v>0</v>
      </c>
      <c r="I11183" s="24">
        <v>0</v>
      </c>
      <c r="J11183" s="25"/>
      <c r="K11183" s="24">
        <v>0</v>
      </c>
      <c r="L11183" s="22" t="str">
        <f>HYPERLINK("https://otsuka-europe-crm.veevavault.com/ui/#object/approved_document__v/V5OZ025E82JJ7FL", "NL AE HCP Portal")</f>
        <v>NL AE HCP Portal</v>
      </c>
      <c r="M11183" s="22" t="str">
        <f>HYPERLINK("mailto:tiziana.faini@crm.otsuka-europe.com", "tiziana.faini@crm.otsuka-europe.com")</f>
        <v>tiziana.faini@crm.otsuka-europe.com</v>
      </c>
      <c r="N11183" s="23">
        <v>46188.654293981483</v>
      </c>
      <c r="O11183" s="14" t="str">
        <f>HYPERLINK("https://otsuka-europe-crm.veevavault.com/ui/#object/email_activity__v/V8C00000003U760", "EN-002096432")</f>
        <v>EN-002096432</v>
      </c>
    </row>
    <row r="11184" spans="1:15" ht="16" x14ac:dyDescent="0.2">
      <c r="A11184" s="19"/>
      <c r="B11184" s="19"/>
      <c r="C11184" s="19"/>
      <c r="D11184" s="19"/>
      <c r="E11184" s="19"/>
      <c r="F11184" s="19"/>
      <c r="G11184" s="19"/>
      <c r="H11184" s="19"/>
      <c r="I11184" s="19"/>
      <c r="J11184" s="19"/>
      <c r="K11184" s="19"/>
      <c r="L11184" s="19"/>
      <c r="M11184" s="19"/>
      <c r="N11184" s="19"/>
      <c r="O11184" s="14" t="str">
        <f>HYPERLINK("https://otsuka-europe-crm.veevavault.com/ui/#object/email_activity__v/V8C00000003U817", "EN-002096547")</f>
        <v>EN-002096547</v>
      </c>
    </row>
    <row r="11185" spans="1:15" ht="16" x14ac:dyDescent="0.2">
      <c r="A11185" s="17" t="str">
        <f>HYPERLINK("https://otsuka-europe-crm.veevavault.com/ui/#object/account__v/V4TZ06G6O71S9PI", "MICHELA BARCHIESI")</f>
        <v>MICHELA BARCHIESI</v>
      </c>
      <c r="B11185" s="17" t="str">
        <f>HYPERLINK("https://otsuka-europe-crm.veevavault.com/ui/#object/vcountry__v/VENZ000004SONFQ", "IT")</f>
        <v>IT</v>
      </c>
      <c r="C11185" s="20" t="s">
        <v>44</v>
      </c>
      <c r="D11185" s="21" t="str">
        <f>HYPERLINK("https://otsuka-europe-crm.veevavault.com/ui/#object/approved_document__v/V5O00000001H009", "RXULTI_Branded_ DE FILIPPIS aggiornamento_ IT-RXU-2600020")</f>
        <v>RXULTI_Branded_ DE FILIPPIS aggiornamento_ IT-RXU-2600020</v>
      </c>
      <c r="E11185" s="22" t="str">
        <f>HYPERLINK("https://otsuka-europe-crm.veevavault.com/ui/#object/sent_email__v/VBL00000002T418", "SE-001437041")</f>
        <v>SE-001437041</v>
      </c>
      <c r="F11185" s="23">
        <v>46189.310312499998</v>
      </c>
      <c r="G11185" s="24">
        <v>1</v>
      </c>
      <c r="H11185" s="24">
        <v>3</v>
      </c>
      <c r="I11185" s="24">
        <v>1</v>
      </c>
      <c r="J11185" s="23">
        <v>46189.309965277775</v>
      </c>
      <c r="K11185" s="24">
        <v>3</v>
      </c>
      <c r="L11185" s="22" t="str">
        <f>HYPERLINK("https://otsuka-europe-crm.veevavault.com/ui/#object/approved_document__v/V5O00000001H009", "RXULTI_Branded_ DE FILIPPIS aggiornamento_ IT-RXU-2600020")</f>
        <v>RXULTI_Branded_ DE FILIPPIS aggiornamento_ IT-RXU-2600020</v>
      </c>
      <c r="M11185" s="22" t="str">
        <f>HYPERLINK("mailto:tiziana.faini@crm.otsuka-europe.com", "tiziana.faini@crm.otsuka-europe.com")</f>
        <v>tiziana.faini@crm.otsuka-europe.com</v>
      </c>
      <c r="N11185" s="23">
        <v>46188.654780092591</v>
      </c>
      <c r="O11185" s="14" t="str">
        <f>HYPERLINK("https://otsuka-europe-crm.veevavault.com/ui/#object/email_activity__v/V8C00000003U762", "EN-002096434")</f>
        <v>EN-002096434</v>
      </c>
    </row>
    <row r="11186" spans="1:15" ht="16" x14ac:dyDescent="0.2">
      <c r="A11186" s="18"/>
      <c r="B11186" s="18"/>
      <c r="C11186" s="18"/>
      <c r="D11186" s="18"/>
      <c r="E11186" s="18"/>
      <c r="F11186" s="18"/>
      <c r="G11186" s="18"/>
      <c r="H11186" s="18"/>
      <c r="I11186" s="18"/>
      <c r="J11186" s="18"/>
      <c r="K11186" s="18"/>
      <c r="L11186" s="18"/>
      <c r="M11186" s="18"/>
      <c r="N11186" s="18"/>
      <c r="O11186" s="14" t="str">
        <f>HYPERLINK("https://otsuka-europe-crm.veevavault.com/ui/#object/email_activity__v/V8C00000003U916", "EN-002096810")</f>
        <v>EN-002096810</v>
      </c>
    </row>
    <row r="11187" spans="1:15" ht="16" x14ac:dyDescent="0.2">
      <c r="A11187" s="18"/>
      <c r="B11187" s="18"/>
      <c r="C11187" s="18"/>
      <c r="D11187" s="18"/>
      <c r="E11187" s="18"/>
      <c r="F11187" s="18"/>
      <c r="G11187" s="18"/>
      <c r="H11187" s="18"/>
      <c r="I11187" s="18"/>
      <c r="J11187" s="18"/>
      <c r="K11187" s="18"/>
      <c r="L11187" s="18"/>
      <c r="M11187" s="18"/>
      <c r="N11187" s="18"/>
      <c r="O11187" s="14" t="str">
        <f>HYPERLINK("https://otsuka-europe-crm.veevavault.com/ui/#object/email_activity__v/V8C00000003U960", "EN-002096911")</f>
        <v>EN-002096911</v>
      </c>
    </row>
    <row r="11188" spans="1:15" ht="16" x14ac:dyDescent="0.2">
      <c r="A11188" s="18"/>
      <c r="B11188" s="18"/>
      <c r="C11188" s="18"/>
      <c r="D11188" s="18"/>
      <c r="E11188" s="18"/>
      <c r="F11188" s="18"/>
      <c r="G11188" s="18"/>
      <c r="H11188" s="18"/>
      <c r="I11188" s="18"/>
      <c r="J11188" s="18"/>
      <c r="K11188" s="18"/>
      <c r="L11188" s="18"/>
      <c r="M11188" s="18"/>
      <c r="N11188" s="18"/>
      <c r="O11188" s="14" t="str">
        <f>HYPERLINK("https://otsuka-europe-crm.veevavault.com/ui/#object/email_activity__v/V8C00000003U961", "EN-002096914")</f>
        <v>EN-002096914</v>
      </c>
    </row>
    <row r="11189" spans="1:15" ht="16" x14ac:dyDescent="0.2">
      <c r="A11189" s="18"/>
      <c r="B11189" s="18"/>
      <c r="C11189" s="18"/>
      <c r="D11189" s="18"/>
      <c r="E11189" s="18"/>
      <c r="F11189" s="18"/>
      <c r="G11189" s="18"/>
      <c r="H11189" s="18"/>
      <c r="I11189" s="18"/>
      <c r="J11189" s="18"/>
      <c r="K11189" s="18"/>
      <c r="L11189" s="18"/>
      <c r="M11189" s="18"/>
      <c r="N11189" s="18"/>
      <c r="O11189" s="14" t="str">
        <f>HYPERLINK("https://otsuka-europe-crm.veevavault.com/ui/#object/email_activity__v/V8C00000003U966", "EN-002096925")</f>
        <v>EN-002096925</v>
      </c>
    </row>
    <row r="11190" spans="1:15" ht="16" x14ac:dyDescent="0.2">
      <c r="A11190" s="18"/>
      <c r="B11190" s="18"/>
      <c r="C11190" s="18"/>
      <c r="D11190" s="18"/>
      <c r="E11190" s="18"/>
      <c r="F11190" s="18"/>
      <c r="G11190" s="18"/>
      <c r="H11190" s="18"/>
      <c r="I11190" s="18"/>
      <c r="J11190" s="18"/>
      <c r="K11190" s="18"/>
      <c r="L11190" s="18"/>
      <c r="M11190" s="18"/>
      <c r="N11190" s="18"/>
      <c r="O11190" s="14" t="str">
        <f>HYPERLINK("https://otsuka-europe-crm.veevavault.com/ui/#object/email_activity__v/V8C00000003U967", "EN-002096926")</f>
        <v>EN-002096926</v>
      </c>
    </row>
    <row r="11191" spans="1:15" ht="16" x14ac:dyDescent="0.2">
      <c r="A11191" s="18"/>
      <c r="B11191" s="18"/>
      <c r="C11191" s="18"/>
      <c r="D11191" s="18"/>
      <c r="E11191" s="18"/>
      <c r="F11191" s="18"/>
      <c r="G11191" s="18"/>
      <c r="H11191" s="18"/>
      <c r="I11191" s="18"/>
      <c r="J11191" s="18"/>
      <c r="K11191" s="18"/>
      <c r="L11191" s="18"/>
      <c r="M11191" s="18"/>
      <c r="N11191" s="18"/>
      <c r="O11191" s="14" t="str">
        <f>HYPERLINK("https://otsuka-europe-crm.veevavault.com/ui/#object/email_activity__v/V8C00000003U968", "EN-002096927")</f>
        <v>EN-002096927</v>
      </c>
    </row>
    <row r="11192" spans="1:15" ht="16" x14ac:dyDescent="0.2">
      <c r="A11192" s="18"/>
      <c r="B11192" s="18"/>
      <c r="C11192" s="18"/>
      <c r="D11192" s="18"/>
      <c r="E11192" s="18"/>
      <c r="F11192" s="18"/>
      <c r="G11192" s="18"/>
      <c r="H11192" s="18"/>
      <c r="I11192" s="18"/>
      <c r="J11192" s="18"/>
      <c r="K11192" s="18"/>
      <c r="L11192" s="18"/>
      <c r="M11192" s="18"/>
      <c r="N11192" s="18"/>
      <c r="O11192" s="14" t="str">
        <f>HYPERLINK("https://otsuka-europe-crm.veevavault.com/ui/#object/email_activity__v/V8C00000003V916", "EN-002096544")</f>
        <v>EN-002096544</v>
      </c>
    </row>
    <row r="11193" spans="1:15" ht="16" x14ac:dyDescent="0.2">
      <c r="A11193" s="18"/>
      <c r="B11193" s="18"/>
      <c r="C11193" s="18"/>
      <c r="D11193" s="18"/>
      <c r="E11193" s="18"/>
      <c r="F11193" s="18"/>
      <c r="G11193" s="18"/>
      <c r="H11193" s="18"/>
      <c r="I11193" s="18"/>
      <c r="J11193" s="18"/>
      <c r="K11193" s="18"/>
      <c r="L11193" s="18"/>
      <c r="M11193" s="18"/>
      <c r="N11193" s="18"/>
      <c r="O11193" s="14" t="str">
        <f>HYPERLINK("https://otsuka-europe-crm.veevavault.com/ui/#object/email_activity__v/V8C00000003W137", "EN-002096907")</f>
        <v>EN-002096907</v>
      </c>
    </row>
    <row r="11194" spans="1:15" ht="16" x14ac:dyDescent="0.2">
      <c r="A11194" s="18"/>
      <c r="B11194" s="18"/>
      <c r="C11194" s="18"/>
      <c r="D11194" s="18"/>
      <c r="E11194" s="18"/>
      <c r="F11194" s="18"/>
      <c r="G11194" s="18"/>
      <c r="H11194" s="18"/>
      <c r="I11194" s="18"/>
      <c r="J11194" s="18"/>
      <c r="K11194" s="18"/>
      <c r="L11194" s="18"/>
      <c r="M11194" s="18"/>
      <c r="N11194" s="18"/>
      <c r="O11194" s="14" t="str">
        <f>HYPERLINK("https://otsuka-europe-crm.veevavault.com/ui/#object/email_activity__v/V8C00000003W138", "EN-002096908")</f>
        <v>EN-002096908</v>
      </c>
    </row>
    <row r="11195" spans="1:15" ht="16" x14ac:dyDescent="0.2">
      <c r="A11195" s="19"/>
      <c r="B11195" s="19"/>
      <c r="C11195" s="19"/>
      <c r="D11195" s="19"/>
      <c r="E11195" s="19"/>
      <c r="F11195" s="19"/>
      <c r="G11195" s="19"/>
      <c r="H11195" s="19"/>
      <c r="I11195" s="19"/>
      <c r="J11195" s="19"/>
      <c r="K11195" s="19"/>
      <c r="L11195" s="19"/>
      <c r="M11195" s="19"/>
      <c r="N11195" s="19"/>
      <c r="O11195" s="14" t="str">
        <f>HYPERLINK("https://otsuka-europe-crm.veevavault.com/ui/#object/email_activity__v/V8C00000003W139", "EN-002096909")</f>
        <v>EN-002096909</v>
      </c>
    </row>
    <row r="11196" spans="1:15" ht="16" x14ac:dyDescent="0.2">
      <c r="A11196" s="17" t="str">
        <f>HYPERLINK("https://otsuka-europe-crm.veevavault.com/ui/#object/account__v/V4TZ06G6O71S9PI", "MICHELA BARCHIESI")</f>
        <v>MICHELA BARCHIESI</v>
      </c>
      <c r="B11196" s="17" t="str">
        <f>HYPERLINK("https://otsuka-europe-crm.veevavault.com/ui/#object/vcountry__v/VENZ000004SONFQ", "IT")</f>
        <v>IT</v>
      </c>
      <c r="C11196" s="20" t="s">
        <v>44</v>
      </c>
      <c r="D11196" s="21" t="str">
        <f>HYPERLINK("https://otsuka-europe-crm.veevavault.com/ui/#object/approved_document__v/V5OZ025E82MQEQD", "ABILIFY MAINTENA 960_Unbranded_AE GU_ IT-NPR-2500045")</f>
        <v>ABILIFY MAINTENA 960_Unbranded_AE GU_ IT-NPR-2500045</v>
      </c>
      <c r="E11196" s="22" t="str">
        <f>HYPERLINK("https://otsuka-europe-crm.veevavault.com/ui/#object/sent_email__v/VBL00000002V160", "SE-001437042")</f>
        <v>SE-001437042</v>
      </c>
      <c r="F11196" s="23">
        <v>46189.310081018521</v>
      </c>
      <c r="G11196" s="24">
        <v>1</v>
      </c>
      <c r="H11196" s="24">
        <v>2</v>
      </c>
      <c r="I11196" s="24">
        <v>1</v>
      </c>
      <c r="J11196" s="23">
        <v>46189.310185185182</v>
      </c>
      <c r="K11196" s="24">
        <v>1</v>
      </c>
      <c r="L11196" s="22" t="str">
        <f>HYPERLINK("https://otsuka-europe-crm.veevavault.com/ui/#object/approved_document__v/V5OZ025E82MQEQD", "ABILIFY MAINTENA 960_Unbranded_AE GU_ IT-NPR-2500045")</f>
        <v>ABILIFY MAINTENA 960_Unbranded_AE GU_ IT-NPR-2500045</v>
      </c>
      <c r="M11196" s="22" t="str">
        <f>HYPERLINK("mailto:tiziana.faini@crm.otsuka-europe.com", "tiziana.faini@crm.otsuka-europe.com")</f>
        <v>tiziana.faini@crm.otsuka-europe.com</v>
      </c>
      <c r="N11196" s="23">
        <v>46188.654780092591</v>
      </c>
      <c r="O11196" s="14" t="str">
        <f>HYPERLINK("https://otsuka-europe-crm.veevavault.com/ui/#object/email_activity__v/V8C00000003U763", "EN-002096435")</f>
        <v>EN-002096435</v>
      </c>
    </row>
    <row r="11197" spans="1:15" ht="16" x14ac:dyDescent="0.2">
      <c r="A11197" s="18"/>
      <c r="B11197" s="18"/>
      <c r="C11197" s="18"/>
      <c r="D11197" s="18"/>
      <c r="E11197" s="18"/>
      <c r="F11197" s="18"/>
      <c r="G11197" s="18"/>
      <c r="H11197" s="18"/>
      <c r="I11197" s="18"/>
      <c r="J11197" s="18"/>
      <c r="K11197" s="18"/>
      <c r="L11197" s="18"/>
      <c r="M11197" s="18"/>
      <c r="N11197" s="18"/>
      <c r="O11197" s="14" t="str">
        <f>HYPERLINK("https://otsuka-europe-crm.veevavault.com/ui/#object/email_activity__v/V8C00000003U764", "EN-002096436")</f>
        <v>EN-002096436</v>
      </c>
    </row>
    <row r="11198" spans="1:15" ht="16" x14ac:dyDescent="0.2">
      <c r="A11198" s="18"/>
      <c r="B11198" s="18"/>
      <c r="C11198" s="18"/>
      <c r="D11198" s="18"/>
      <c r="E11198" s="18"/>
      <c r="F11198" s="18"/>
      <c r="G11198" s="18"/>
      <c r="H11198" s="18"/>
      <c r="I11198" s="18"/>
      <c r="J11198" s="18"/>
      <c r="K11198" s="18"/>
      <c r="L11198" s="18"/>
      <c r="M11198" s="18"/>
      <c r="N11198" s="18"/>
      <c r="O11198" s="14" t="str">
        <f>HYPERLINK("https://otsuka-europe-crm.veevavault.com/ui/#object/email_activity__v/V8C00000003U815", "EN-002096545")</f>
        <v>EN-002096545</v>
      </c>
    </row>
    <row r="11199" spans="1:15" ht="16" x14ac:dyDescent="0.2">
      <c r="A11199" s="18"/>
      <c r="B11199" s="18"/>
      <c r="C11199" s="18"/>
      <c r="D11199" s="18"/>
      <c r="E11199" s="18"/>
      <c r="F11199" s="18"/>
      <c r="G11199" s="18"/>
      <c r="H11199" s="18"/>
      <c r="I11199" s="18"/>
      <c r="J11199" s="18"/>
      <c r="K11199" s="18"/>
      <c r="L11199" s="18"/>
      <c r="M11199" s="18"/>
      <c r="N11199" s="18"/>
      <c r="O11199" s="14" t="str">
        <f>HYPERLINK("https://otsuka-europe-crm.veevavault.com/ui/#object/email_activity__v/V8C00000003U959", "EN-002096910")</f>
        <v>EN-002096910</v>
      </c>
    </row>
    <row r="11200" spans="1:15" ht="16" x14ac:dyDescent="0.2">
      <c r="A11200" s="19"/>
      <c r="B11200" s="19"/>
      <c r="C11200" s="19"/>
      <c r="D11200" s="19"/>
      <c r="E11200" s="19"/>
      <c r="F11200" s="19"/>
      <c r="G11200" s="19"/>
      <c r="H11200" s="19"/>
      <c r="I11200" s="19"/>
      <c r="J11200" s="19"/>
      <c r="K11200" s="19"/>
      <c r="L11200" s="19"/>
      <c r="M11200" s="19"/>
      <c r="N11200" s="19"/>
      <c r="O11200" s="14" t="str">
        <f>HYPERLINK("https://otsuka-europe-crm.veevavault.com/ui/#object/email_activity__v/V8C00000003W140", "EN-002096912")</f>
        <v>EN-002096912</v>
      </c>
    </row>
    <row r="11201" spans="1:15" ht="16" x14ac:dyDescent="0.2">
      <c r="A11201" s="17" t="str">
        <f>HYPERLINK("https://otsuka-europe-crm.veevavault.com/ui/#object/account__v/V4TZ06G6O71S9PI", "MICHELA BARCHIESI")</f>
        <v>MICHELA BARCHIESI</v>
      </c>
      <c r="B11201" s="17" t="str">
        <f>HYPERLINK("https://otsuka-europe-crm.veevavault.com/ui/#object/vcountry__v/VENZ000004SONFQ", "IT")</f>
        <v>IT</v>
      </c>
      <c r="C11201" s="20" t="s">
        <v>44</v>
      </c>
      <c r="D11201" s="21" t="str">
        <f>HYPERLINK("https://otsuka-europe-crm.veevavault.com/ui/#object/approved_document__v/V5OZ025E82T9SYM", "ABILIFY 960/720_Branded_AE Burden_IT-AM2-2500124")</f>
        <v>ABILIFY 960/720_Branded_AE Burden_IT-AM2-2500124</v>
      </c>
      <c r="E11201" s="22" t="str">
        <f>HYPERLINK("https://otsuka-europe-crm.veevavault.com/ui/#object/sent_email__v/VBL00000002T419", "SE-001437043")</f>
        <v>SE-001437043</v>
      </c>
      <c r="F11201" s="23">
        <v>46189.31040509259</v>
      </c>
      <c r="G11201" s="24">
        <v>1</v>
      </c>
      <c r="H11201" s="24">
        <v>1</v>
      </c>
      <c r="I11201" s="24">
        <v>1</v>
      </c>
      <c r="J11201" s="23">
        <v>46189.310613425929</v>
      </c>
      <c r="K11201" s="24">
        <v>1</v>
      </c>
      <c r="L11201" s="22" t="str">
        <f>HYPERLINK("https://otsuka-europe-crm.veevavault.com/ui/#object/approved_document__v/V5OZ025E82T9SYM", "ABILIFY 960/720_Branded_AE Burden_IT-AM2-2500124")</f>
        <v>ABILIFY 960/720_Branded_AE Burden_IT-AM2-2500124</v>
      </c>
      <c r="M11201" s="22" t="str">
        <f>HYPERLINK("mailto:tiziana.faini@crm.otsuka-europe.com", "tiziana.faini@crm.otsuka-europe.com")</f>
        <v>tiziana.faini@crm.otsuka-europe.com</v>
      </c>
      <c r="N11201" s="23">
        <v>46188.654780092591</v>
      </c>
      <c r="O11201" s="14" t="str">
        <f>HYPERLINK("https://otsuka-europe-crm.veevavault.com/ui/#object/email_activity__v/V8C00000003U761", "EN-002096433")</f>
        <v>EN-002096433</v>
      </c>
    </row>
    <row r="11202" spans="1:15" ht="16" x14ac:dyDescent="0.2">
      <c r="A11202" s="18"/>
      <c r="B11202" s="18"/>
      <c r="C11202" s="18"/>
      <c r="D11202" s="18"/>
      <c r="E11202" s="18"/>
      <c r="F11202" s="18"/>
      <c r="G11202" s="18"/>
      <c r="H11202" s="18"/>
      <c r="I11202" s="18"/>
      <c r="J11202" s="18"/>
      <c r="K11202" s="18"/>
      <c r="L11202" s="18"/>
      <c r="M11202" s="18"/>
      <c r="N11202" s="18"/>
      <c r="O11202" s="14" t="str">
        <f>HYPERLINK("https://otsuka-europe-crm.veevavault.com/ui/#object/email_activity__v/V8C00000003U816", "EN-002096546")</f>
        <v>EN-002096546</v>
      </c>
    </row>
    <row r="11203" spans="1:15" ht="16" x14ac:dyDescent="0.2">
      <c r="A11203" s="18"/>
      <c r="B11203" s="18"/>
      <c r="C11203" s="18"/>
      <c r="D11203" s="18"/>
      <c r="E11203" s="18"/>
      <c r="F11203" s="18"/>
      <c r="G11203" s="18"/>
      <c r="H11203" s="18"/>
      <c r="I11203" s="18"/>
      <c r="J11203" s="18"/>
      <c r="K11203" s="18"/>
      <c r="L11203" s="18"/>
      <c r="M11203" s="18"/>
      <c r="N11203" s="18"/>
      <c r="O11203" s="14" t="str">
        <f>HYPERLINK("https://otsuka-europe-crm.veevavault.com/ui/#object/email_activity__v/V8C00000003U965", "EN-002096924")</f>
        <v>EN-002096924</v>
      </c>
    </row>
    <row r="11204" spans="1:15" ht="16" x14ac:dyDescent="0.2">
      <c r="A11204" s="18"/>
      <c r="B11204" s="18"/>
      <c r="C11204" s="18"/>
      <c r="D11204" s="18"/>
      <c r="E11204" s="18"/>
      <c r="F11204" s="18"/>
      <c r="G11204" s="18"/>
      <c r="H11204" s="18"/>
      <c r="I11204" s="18"/>
      <c r="J11204" s="18"/>
      <c r="K11204" s="18"/>
      <c r="L11204" s="18"/>
      <c r="M11204" s="18"/>
      <c r="N11204" s="18"/>
      <c r="O11204" s="14" t="str">
        <f>HYPERLINK("https://otsuka-europe-crm.veevavault.com/ui/#object/email_activity__v/V8C00000003W141", "EN-002096913")</f>
        <v>EN-002096913</v>
      </c>
    </row>
    <row r="11205" spans="1:15" ht="16" x14ac:dyDescent="0.2">
      <c r="A11205" s="19"/>
      <c r="B11205" s="19"/>
      <c r="C11205" s="19"/>
      <c r="D11205" s="19"/>
      <c r="E11205" s="19"/>
      <c r="F11205" s="19"/>
      <c r="G11205" s="19"/>
      <c r="H11205" s="19"/>
      <c r="I11205" s="19"/>
      <c r="J11205" s="19"/>
      <c r="K11205" s="19"/>
      <c r="L11205" s="19"/>
      <c r="M11205" s="19"/>
      <c r="N11205" s="19"/>
      <c r="O11205" s="14" t="str">
        <f>HYPERLINK("https://otsuka-europe-crm.veevavault.com/ui/#object/email_activity__v/V8C00000003W142", "EN-002096915")</f>
        <v>EN-002096915</v>
      </c>
    </row>
    <row r="11206" spans="1:15" ht="16" x14ac:dyDescent="0.2">
      <c r="A11206" s="17" t="str">
        <f>HYPERLINK("https://otsuka-europe-crm.veevavault.com/ui/#object/account__v/V4TZ025E835QXHA", "AURELIEN PIERRE KARCH")</f>
        <v>AURELIEN PIERRE KARCH</v>
      </c>
      <c r="B11206" s="17" t="str">
        <f>HYPERLINK("https://otsuka-europe-crm.veevavault.com/ui/#object/vcountry__v/VENZ000004SONFA", "FR")</f>
        <v>FR</v>
      </c>
      <c r="C11206" s="20" t="s">
        <v>42</v>
      </c>
      <c r="D11206" s="21" t="str">
        <f>HYPERLINK("https://otsuka-europe-crm.veevavault.com/ui/#object/approved_document__v/V5OZ04ASG4G02Y7", "REMERCIEMENTS_VAD_2023")</f>
        <v>REMERCIEMENTS_VAD_2023</v>
      </c>
      <c r="E11206" s="22" t="str">
        <f>HYPERLINK("https://otsuka-europe-crm.veevavault.com/ui/#object/sent_email__v/VBL00000002V161", "SE-001437044")</f>
        <v>SE-001437044</v>
      </c>
      <c r="F11206" s="23">
        <v>46188.662962962961</v>
      </c>
      <c r="G11206" s="24">
        <v>1</v>
      </c>
      <c r="H11206" s="24">
        <v>1</v>
      </c>
      <c r="I11206" s="24">
        <v>0</v>
      </c>
      <c r="J11206" s="25"/>
      <c r="K11206" s="24">
        <v>0</v>
      </c>
      <c r="L11206" s="22" t="str">
        <f>HYPERLINK("https://otsuka-europe-crm.veevavault.com/ui/#object/approved_document__v/V5OZ04ASG4G02Y7", "REMERCIEMENTS_VAD_2023")</f>
        <v>REMERCIEMENTS_VAD_2023</v>
      </c>
      <c r="M11206" s="22" t="str">
        <f>HYPERLINK("mailto:smauffrey@crm.otsuka-europe.com", "smauffrey@crm.otsuka-europe.com")</f>
        <v>smauffrey@crm.otsuka-europe.com</v>
      </c>
      <c r="N11206" s="23">
        <v>46188.662106481483</v>
      </c>
      <c r="O11206" s="14" t="str">
        <f>HYPERLINK("https://otsuka-europe-crm.veevavault.com/ui/#object/email_activity__v/V8C00000003U768", "EN-002096446")</f>
        <v>EN-002096446</v>
      </c>
    </row>
    <row r="11207" spans="1:15" ht="16" x14ac:dyDescent="0.2">
      <c r="A11207" s="19"/>
      <c r="B11207" s="19"/>
      <c r="C11207" s="19"/>
      <c r="D11207" s="19"/>
      <c r="E11207" s="19"/>
      <c r="F11207" s="19"/>
      <c r="G11207" s="19"/>
      <c r="H11207" s="19"/>
      <c r="I11207" s="19"/>
      <c r="J11207" s="19"/>
      <c r="K11207" s="19"/>
      <c r="L11207" s="19"/>
      <c r="M11207" s="19"/>
      <c r="N11207" s="19"/>
      <c r="O11207" s="14" t="str">
        <f>HYPERLINK("https://otsuka-europe-crm.veevavault.com/ui/#object/email_activity__v/V8C00000003U769", "EN-002096447")</f>
        <v>EN-002096447</v>
      </c>
    </row>
    <row r="11208" spans="1:15" ht="16" x14ac:dyDescent="0.2">
      <c r="A11208" s="17" t="str">
        <f>HYPERLINK("https://otsuka-europe-crm.veevavault.com/ui/#object/account__v/V4TZ025E88RJQ1I", "JOHANNA SIBONI")</f>
        <v>JOHANNA SIBONI</v>
      </c>
      <c r="B11208" s="17" t="str">
        <f>HYPERLINK("https://otsuka-europe-crm.veevavault.com/ui/#object/vcountry__v/VENZ000004SONFA", "FR")</f>
        <v>FR</v>
      </c>
      <c r="C11208" s="20" t="s">
        <v>42</v>
      </c>
      <c r="D11208" s="21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11208" s="22" t="str">
        <f>HYPERLINK("https://otsuka-europe-crm.veevavault.com/ui/#object/sent_email__v/VBL00000002V163", "SE-001437046")</f>
        <v>SE-001437046</v>
      </c>
      <c r="F11208" s="23">
        <v>46188.665000000001</v>
      </c>
      <c r="G11208" s="24">
        <v>1</v>
      </c>
      <c r="H11208" s="24">
        <v>1</v>
      </c>
      <c r="I11208" s="24">
        <v>0</v>
      </c>
      <c r="J11208" s="25"/>
      <c r="K11208" s="24">
        <v>0</v>
      </c>
      <c r="L11208" s="22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11208" s="22" t="str">
        <f>HYPERLINK("mailto:mperrin@crm.otsuka-europe.com", "mperrin@crm.otsuka-europe.com")</f>
        <v>mperrin@crm.otsuka-europe.com</v>
      </c>
      <c r="N11208" s="23">
        <v>46188.663645833331</v>
      </c>
      <c r="O11208" s="14" t="str">
        <f>HYPERLINK("https://otsuka-europe-crm.veevavault.com/ui/#object/email_activity__v/V8C00000003U770", "EN-002096448")</f>
        <v>EN-002096448</v>
      </c>
    </row>
    <row r="11209" spans="1:15" ht="16" x14ac:dyDescent="0.2">
      <c r="A11209" s="19"/>
      <c r="B11209" s="19"/>
      <c r="C11209" s="19"/>
      <c r="D11209" s="19"/>
      <c r="E11209" s="19"/>
      <c r="F11209" s="19"/>
      <c r="G11209" s="19"/>
      <c r="H11209" s="19"/>
      <c r="I11209" s="19"/>
      <c r="J11209" s="19"/>
      <c r="K11209" s="19"/>
      <c r="L11209" s="19"/>
      <c r="M11209" s="19"/>
      <c r="N11209" s="19"/>
      <c r="O11209" s="14" t="str">
        <f>HYPERLINK("https://otsuka-europe-crm.veevavault.com/ui/#object/email_activity__v/V8C00000003U771", "EN-002096452")</f>
        <v>EN-002096452</v>
      </c>
    </row>
    <row r="11210" spans="1:15" ht="48" x14ac:dyDescent="0.2">
      <c r="A11210" s="7" t="str">
        <f>HYPERLINK("https://otsuka-europe-crm.veevavault.com/ui/#object/account__v/V4TZ04ASGG79FZ0", "SAMI BEAUMONT")</f>
        <v>SAMI BEAUMONT</v>
      </c>
      <c r="B11210" s="7" t="str">
        <f>HYPERLINK("https://otsuka-europe-crm.veevavault.com/ui/#object/vcountry__v/VENZ000004SONFA", "FR")</f>
        <v>FR</v>
      </c>
      <c r="C11210" s="8" t="s">
        <v>42</v>
      </c>
      <c r="D11210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11210" s="10" t="str">
        <f>HYPERLINK("https://otsuka-europe-crm.veevavault.com/ui/#object/sent_email__v/VBL00000002T420", "SE-001437047")</f>
        <v>SE-001437047</v>
      </c>
      <c r="F11210" s="11"/>
      <c r="G11210" s="12">
        <v>0</v>
      </c>
      <c r="H11210" s="12">
        <v>0</v>
      </c>
      <c r="I11210" s="12">
        <v>0</v>
      </c>
      <c r="J11210" s="11"/>
      <c r="K11210" s="12">
        <v>0</v>
      </c>
      <c r="L11210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11210" s="10" t="str">
        <f>HYPERLINK("mailto:mperrin@crm.otsuka-europe.com", "mperrin@crm.otsuka-europe.com")</f>
        <v>mperrin@crm.otsuka-europe.com</v>
      </c>
      <c r="N11210" s="13">
        <v>46188.66375</v>
      </c>
      <c r="O11210" s="14" t="str">
        <f>HYPERLINK("https://otsuka-europe-crm.veevavault.com/ui/#object/email_activity__v/V8C00000003V865", "EN-002096449")</f>
        <v>EN-002096449</v>
      </c>
    </row>
    <row r="11211" spans="1:15" ht="48" x14ac:dyDescent="0.2">
      <c r="A11211" s="7" t="str">
        <f>HYPERLINK("https://otsuka-europe-crm.veevavault.com/ui/#object/account__v/V4T000000014075", "ROBERT CHARLES BERNAL")</f>
        <v>ROBERT CHARLES BERNAL</v>
      </c>
      <c r="B11211" s="7" t="str">
        <f>HYPERLINK("https://otsuka-europe-crm.veevavault.com/ui/#object/vcountry__v/VENZ000004SONFA", "FR")</f>
        <v>FR</v>
      </c>
      <c r="C11211" s="8" t="s">
        <v>42</v>
      </c>
      <c r="D11211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11211" s="10" t="str">
        <f>HYPERLINK("https://otsuka-europe-crm.veevavault.com/ui/#object/sent_email__v/VBL00000002T421", "SE-001437048")</f>
        <v>SE-001437048</v>
      </c>
      <c r="F11211" s="11"/>
      <c r="G11211" s="12">
        <v>0</v>
      </c>
      <c r="H11211" s="12">
        <v>0</v>
      </c>
      <c r="I11211" s="12">
        <v>0</v>
      </c>
      <c r="J11211" s="11"/>
      <c r="K11211" s="12">
        <v>0</v>
      </c>
      <c r="L11211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11211" s="10" t="str">
        <f>HYPERLINK("mailto:mperrin@crm.otsuka-europe.com", "mperrin@crm.otsuka-europe.com")</f>
        <v>mperrin@crm.otsuka-europe.com</v>
      </c>
      <c r="N11211" s="13">
        <v>46188.664004629631</v>
      </c>
      <c r="O11211" s="14" t="str">
        <f>HYPERLINK("https://otsuka-europe-crm.veevavault.com/ui/#object/email_activity__v/V8C00000003V866", "EN-002096450")</f>
        <v>EN-002096450</v>
      </c>
    </row>
    <row r="11212" spans="1:15" ht="16" x14ac:dyDescent="0.2">
      <c r="A11212" s="17" t="str">
        <f>HYPERLINK("https://otsuka-europe-crm.veevavault.com/ui/#object/account__v/V4T000000023064", "Georgina Agyemang")</f>
        <v>Georgina Agyemang</v>
      </c>
      <c r="B11212" s="17" t="str">
        <f>HYPERLINK("https://otsuka-europe-crm.veevavault.com/ui/#object/vcountry__v/VENZ000004SONFK", "GB")</f>
        <v>GB</v>
      </c>
      <c r="C11212" s="20" t="s">
        <v>39</v>
      </c>
      <c r="D11212" s="21" t="str">
        <f>HYPERLINK("https://otsuka-europe-crm.veevavault.com/ui/#object/approved_document__v/V5O00000000D081", "UK - Consent Email 1 Aug 25")</f>
        <v>UK - Consent Email 1 Aug 25</v>
      </c>
      <c r="E11212" s="22" t="str">
        <f>HYPERLINK("https://otsuka-europe-crm.veevavault.com/ui/#object/sent_email__v/VBL00000002T422", "SE-001437049")</f>
        <v>SE-001437049</v>
      </c>
      <c r="F11212" s="25"/>
      <c r="G11212" s="24">
        <v>0</v>
      </c>
      <c r="H11212" s="24">
        <v>0</v>
      </c>
      <c r="I11212" s="24">
        <v>0</v>
      </c>
      <c r="J11212" s="25"/>
      <c r="K11212" s="24">
        <v>0</v>
      </c>
      <c r="L11212" s="22" t="str">
        <f>HYPERLINK("https://otsuka-europe-crm.veevavault.com/ui/#object/approved_document__v/V5O00000000D081", "UK - Consent Email 1 Aug 25")</f>
        <v>UK - Consent Email 1 Aug 25</v>
      </c>
      <c r="M11212" s="22" t="str">
        <f>HYPERLINK("mailto:draval@crm.otsuka-europe.com", "draval@crm.otsuka-europe.com")</f>
        <v>draval@crm.otsuka-europe.com</v>
      </c>
      <c r="N11212" s="23">
        <v>46188.67324074074</v>
      </c>
      <c r="O11212" s="14" t="str">
        <f>HYPERLINK("https://otsuka-europe-crm.veevavault.com/ui/#object/email_activity__v/V8C00000003V874", "EN-002096462")</f>
        <v>EN-002096462</v>
      </c>
    </row>
    <row r="11213" spans="1:15" ht="16" x14ac:dyDescent="0.2">
      <c r="A11213" s="19"/>
      <c r="B11213" s="19"/>
      <c r="C11213" s="19"/>
      <c r="D11213" s="19"/>
      <c r="E11213" s="19"/>
      <c r="F11213" s="19"/>
      <c r="G11213" s="19"/>
      <c r="H11213" s="19"/>
      <c r="I11213" s="19"/>
      <c r="J11213" s="19"/>
      <c r="K11213" s="19"/>
      <c r="L11213" s="19"/>
      <c r="M11213" s="19"/>
      <c r="N11213" s="19"/>
      <c r="O11213" s="14" t="str">
        <f>HYPERLINK("https://otsuka-europe-crm.veevavault.com/ui/#object/email_activity__v/V8C00000003V915", "EN-002096542")</f>
        <v>EN-002096542</v>
      </c>
    </row>
    <row r="11214" spans="1:15" ht="64" x14ac:dyDescent="0.2">
      <c r="A11214" s="7" t="str">
        <f>HYPERLINK("https://otsuka-europe-crm.veevavault.com/ui/#object/account__v/V4T00000000J127", "HERMANN YAKAM")</f>
        <v>HERMANN YAKAM</v>
      </c>
      <c r="B11214" s="7" t="str">
        <f>HYPERLINK("https://otsuka-europe-crm.veevavault.com/ui/#object/vcountry__v/VENZ000004SONFA", "FR")</f>
        <v>FR</v>
      </c>
      <c r="C11214" s="8" t="s">
        <v>42</v>
      </c>
      <c r="D11214" s="9" t="str">
        <f>HYPERLINK("https://otsuka-europe-crm.veevavault.com/ui/#object/approved_document__v/V5O000000002002", "E-Mail de remerciements Perspectives-Septembre 2025 - Environnement - FR-CNS-2500025")</f>
        <v>E-Mail de remerciements Perspectives-Septembre 2025 - Environnement - FR-CNS-2500025</v>
      </c>
      <c r="E11214" s="10" t="str">
        <f>HYPERLINK("https://otsuka-europe-crm.veevavault.com/ui/#object/sent_email__v/VBL00000002T423", "SE-001437050")</f>
        <v>SE-001437050</v>
      </c>
      <c r="F11214" s="11"/>
      <c r="G11214" s="12">
        <v>0</v>
      </c>
      <c r="H11214" s="12">
        <v>0</v>
      </c>
      <c r="I11214" s="12">
        <v>0</v>
      </c>
      <c r="J11214" s="11"/>
      <c r="K11214" s="12">
        <v>0</v>
      </c>
      <c r="L11214" s="10" t="str">
        <f>HYPERLINK("https://otsuka-europe-crm.veevavault.com/ui/#object/approved_document__v/V5O000000002002", "E-Mail de remerciements Perspectives-Septembre 2025 - Environnement - FR-CNS-2500025")</f>
        <v>E-Mail de remerciements Perspectives-Septembre 2025 - Environnement - FR-CNS-2500025</v>
      </c>
      <c r="M11214" s="10" t="str">
        <f>HYPERLINK("mailto:sblancheland@crm.otsuka-europe.com", "sblancheland@crm.otsuka-europe.com")</f>
        <v>sblancheland@crm.otsuka-europe.com</v>
      </c>
      <c r="N11214" s="13">
        <v>46188.737997685188</v>
      </c>
      <c r="O11214" s="14" t="str">
        <f>HYPERLINK("https://otsuka-europe-crm.veevavault.com/ui/#object/email_activity__v/V8C00000003U795", "EN-002096514")</f>
        <v>EN-002096514</v>
      </c>
    </row>
    <row r="11215" spans="1:15" ht="64" x14ac:dyDescent="0.2">
      <c r="A11215" s="7" t="str">
        <f>HYPERLINK("https://otsuka-europe-crm.veevavault.com/ui/#object/account__v/V4TZ00000633I1L", "TASSADIT HADDADENE")</f>
        <v>TASSADIT HADDADENE</v>
      </c>
      <c r="B11215" s="7" t="str">
        <f>HYPERLINK("https://otsuka-europe-crm.veevavault.com/ui/#object/vcountry__v/VENZ000004SONFA", "FR")</f>
        <v>FR</v>
      </c>
      <c r="C11215" s="8" t="s">
        <v>42</v>
      </c>
      <c r="D11215" s="9" t="str">
        <f>HYPERLINK("https://otsuka-europe-crm.veevavault.com/ui/#object/approved_document__v/V5O000000002002", "E-Mail de remerciements Perspectives-Septembre 2025 - Environnement - FR-CNS-2500025")</f>
        <v>E-Mail de remerciements Perspectives-Septembre 2025 - Environnement - FR-CNS-2500025</v>
      </c>
      <c r="E11215" s="10" t="str">
        <f>HYPERLINK("https://otsuka-europe-crm.veevavault.com/ui/#object/sent_email__v/VBL00000002V164", "SE-001437051")</f>
        <v>SE-001437051</v>
      </c>
      <c r="F11215" s="11"/>
      <c r="G11215" s="12">
        <v>0</v>
      </c>
      <c r="H11215" s="12">
        <v>0</v>
      </c>
      <c r="I11215" s="12">
        <v>0</v>
      </c>
      <c r="J11215" s="11"/>
      <c r="K11215" s="12">
        <v>0</v>
      </c>
      <c r="L11215" s="10" t="str">
        <f>HYPERLINK("https://otsuka-europe-crm.veevavault.com/ui/#object/approved_document__v/V5O000000002002", "E-Mail de remerciements Perspectives-Septembre 2025 - Environnement - FR-CNS-2500025")</f>
        <v>E-Mail de remerciements Perspectives-Septembre 2025 - Environnement - FR-CNS-2500025</v>
      </c>
      <c r="M11215" s="10" t="str">
        <f>HYPERLINK("mailto:sblancheland@crm.otsuka-europe.com", "sblancheland@crm.otsuka-europe.com")</f>
        <v>sblancheland@crm.otsuka-europe.com</v>
      </c>
      <c r="N11215" s="13">
        <v>46188.73846064815</v>
      </c>
      <c r="O11215" s="14" t="str">
        <f>HYPERLINK("https://otsuka-europe-crm.veevavault.com/ui/#object/email_activity__v/V8C00000003U796", "EN-002096515")</f>
        <v>EN-002096515</v>
      </c>
    </row>
    <row r="11216" spans="1:15" ht="16" x14ac:dyDescent="0.2">
      <c r="A11216" s="17" t="str">
        <f>HYPERLINK("https://otsuka-europe-crm.veevavault.com/ui/#object/account__v/V4TZ025E85M5TTF", "CEDRICK DARIUS NGWALABANA")</f>
        <v>CEDRICK DARIUS NGWALABANA</v>
      </c>
      <c r="B11216" s="17" t="str">
        <f>HYPERLINK("https://otsuka-europe-crm.veevavault.com/ui/#object/vcountry__v/VENZ000004SONFA", "FR")</f>
        <v>FR</v>
      </c>
      <c r="C11216" s="20" t="s">
        <v>42</v>
      </c>
      <c r="D11216" s="21" t="str">
        <f>HYPERLINK("https://otsuka-europe-crm.veevavault.com/ui/#object/approved_document__v/V5O000000002002", "E-Mail de remerciements Perspectives-Septembre 2025 - Environnement - FR-CNS-2500025")</f>
        <v>E-Mail de remerciements Perspectives-Septembre 2025 - Environnement - FR-CNS-2500025</v>
      </c>
      <c r="E11216" s="22" t="str">
        <f>HYPERLINK("https://otsuka-europe-crm.veevavault.com/ui/#object/sent_email__v/VBL00000002V165", "SE-001437052")</f>
        <v>SE-001437052</v>
      </c>
      <c r="F11216" s="23">
        <v>46192.813009259262</v>
      </c>
      <c r="G11216" s="24">
        <v>1</v>
      </c>
      <c r="H11216" s="24">
        <v>1</v>
      </c>
      <c r="I11216" s="24">
        <v>0</v>
      </c>
      <c r="J11216" s="25"/>
      <c r="K11216" s="24">
        <v>0</v>
      </c>
      <c r="L11216" s="22" t="str">
        <f>HYPERLINK("https://otsuka-europe-crm.veevavault.com/ui/#object/approved_document__v/V5O000000002002", "E-Mail de remerciements Perspectives-Septembre 2025 - Environnement - FR-CNS-2500025")</f>
        <v>E-Mail de remerciements Perspectives-Septembre 2025 - Environnement - FR-CNS-2500025</v>
      </c>
      <c r="M11216" s="22" t="str">
        <f>HYPERLINK("mailto:sblancheland@crm.otsuka-europe.com", "sblancheland@crm.otsuka-europe.com")</f>
        <v>sblancheland@crm.otsuka-europe.com</v>
      </c>
      <c r="N11216" s="23">
        <v>46188.738807870373</v>
      </c>
      <c r="O11216" s="14" t="str">
        <f>HYPERLINK("https://otsuka-europe-crm.veevavault.com/ui/#object/email_activity__v/V8C00000003U797", "EN-002096516")</f>
        <v>EN-002096516</v>
      </c>
    </row>
    <row r="11217" spans="1:15" ht="16" x14ac:dyDescent="0.2">
      <c r="A11217" s="19"/>
      <c r="B11217" s="19"/>
      <c r="C11217" s="19"/>
      <c r="D11217" s="19"/>
      <c r="E11217" s="19"/>
      <c r="F11217" s="19"/>
      <c r="G11217" s="19"/>
      <c r="H11217" s="19"/>
      <c r="I11217" s="19"/>
      <c r="J11217" s="19"/>
      <c r="K11217" s="19"/>
      <c r="L11217" s="19"/>
      <c r="M11217" s="19"/>
      <c r="N11217" s="19"/>
      <c r="O11217" s="14" t="str">
        <f>HYPERLINK("https://otsuka-europe-crm.veevavault.com/ui/#object/email_activity__v/V8C00000003Z112", "EN-002098861")</f>
        <v>EN-002098861</v>
      </c>
    </row>
    <row r="11218" spans="1:15" ht="16" x14ac:dyDescent="0.2">
      <c r="A11218" s="17" t="str">
        <f>HYPERLINK("https://otsuka-europe-crm.veevavault.com/ui/#object/account__v/V4TZ025E871R8BT", "JUI CHENG YEN")</f>
        <v>JUI CHENG YEN</v>
      </c>
      <c r="B11218" s="17" t="str">
        <f>HYPERLINK("https://otsuka-europe-crm.veevavault.com/ui/#object/vcountry__v/VENZ000004SONFA", "FR")</f>
        <v>FR</v>
      </c>
      <c r="C11218" s="20" t="s">
        <v>42</v>
      </c>
      <c r="D11218" s="21" t="str">
        <f>HYPERLINK("https://otsuka-europe-crm.veevavault.com/ui/#object/approved_document__v/V5O000000002002", "E-Mail de remerciements Perspectives-Septembre 2025 - Environnement - FR-CNS-2500025")</f>
        <v>E-Mail de remerciements Perspectives-Septembre 2025 - Environnement - FR-CNS-2500025</v>
      </c>
      <c r="E11218" s="22" t="str">
        <f>HYPERLINK("https://otsuka-europe-crm.veevavault.com/ui/#object/sent_email__v/VBL00000002T424", "SE-001437053")</f>
        <v>SE-001437053</v>
      </c>
      <c r="F11218" s="23">
        <v>46188.824456018519</v>
      </c>
      <c r="G11218" s="24">
        <v>1</v>
      </c>
      <c r="H11218" s="24">
        <v>2</v>
      </c>
      <c r="I11218" s="24">
        <v>1</v>
      </c>
      <c r="J11218" s="23">
        <v>46188.824456018519</v>
      </c>
      <c r="K11218" s="24">
        <v>1</v>
      </c>
      <c r="L11218" s="22" t="str">
        <f>HYPERLINK("https://otsuka-europe-crm.veevavault.com/ui/#object/approved_document__v/V5O000000002002", "E-Mail de remerciements Perspectives-Septembre 2025 - Environnement - FR-CNS-2500025")</f>
        <v>E-Mail de remerciements Perspectives-Septembre 2025 - Environnement - FR-CNS-2500025</v>
      </c>
      <c r="M11218" s="22" t="str">
        <f>HYPERLINK("mailto:sblancheland@crm.otsuka-europe.com", "sblancheland@crm.otsuka-europe.com")</f>
        <v>sblancheland@crm.otsuka-europe.com</v>
      </c>
      <c r="N11218" s="23">
        <v>46188.739155092589</v>
      </c>
      <c r="O11218" s="14" t="str">
        <f>HYPERLINK("https://otsuka-europe-crm.veevavault.com/ui/#object/email_activity__v/V8C00000003U798", "EN-002096517")</f>
        <v>EN-002096517</v>
      </c>
    </row>
    <row r="11219" spans="1:15" ht="16" x14ac:dyDescent="0.2">
      <c r="A11219" s="18"/>
      <c r="B11219" s="18"/>
      <c r="C11219" s="18"/>
      <c r="D11219" s="18"/>
      <c r="E11219" s="18"/>
      <c r="F11219" s="18"/>
      <c r="G11219" s="18"/>
      <c r="H11219" s="18"/>
      <c r="I11219" s="18"/>
      <c r="J11219" s="18"/>
      <c r="K11219" s="18"/>
      <c r="L11219" s="18"/>
      <c r="M11219" s="18"/>
      <c r="N11219" s="18"/>
      <c r="O11219" s="14" t="str">
        <f>HYPERLINK("https://otsuka-europe-crm.veevavault.com/ui/#object/email_activity__v/V8C00000003U903", "EN-002096787")</f>
        <v>EN-002096787</v>
      </c>
    </row>
    <row r="11220" spans="1:15" ht="16" x14ac:dyDescent="0.2">
      <c r="A11220" s="18"/>
      <c r="B11220" s="18"/>
      <c r="C11220" s="18"/>
      <c r="D11220" s="18"/>
      <c r="E11220" s="18"/>
      <c r="F11220" s="18"/>
      <c r="G11220" s="18"/>
      <c r="H11220" s="18"/>
      <c r="I11220" s="18"/>
      <c r="J11220" s="18"/>
      <c r="K11220" s="18"/>
      <c r="L11220" s="18"/>
      <c r="M11220" s="18"/>
      <c r="N11220" s="18"/>
      <c r="O11220" s="14" t="str">
        <f>HYPERLINK("https://otsuka-europe-crm.veevavault.com/ui/#object/email_activity__v/V8C00000003W063", "EN-002096768")</f>
        <v>EN-002096768</v>
      </c>
    </row>
    <row r="11221" spans="1:15" ht="16" x14ac:dyDescent="0.2">
      <c r="A11221" s="18"/>
      <c r="B11221" s="18"/>
      <c r="C11221" s="18"/>
      <c r="D11221" s="18"/>
      <c r="E11221" s="18"/>
      <c r="F11221" s="18"/>
      <c r="G11221" s="18"/>
      <c r="H11221" s="18"/>
      <c r="I11221" s="18"/>
      <c r="J11221" s="18"/>
      <c r="K11221" s="18"/>
      <c r="L11221" s="18"/>
      <c r="M11221" s="18"/>
      <c r="N11221" s="18"/>
      <c r="O11221" s="14" t="str">
        <f>HYPERLINK("https://otsuka-europe-crm.veevavault.com/ui/#object/email_activity__v/V8C00000003W064", "EN-002096767")</f>
        <v>EN-002096767</v>
      </c>
    </row>
    <row r="11222" spans="1:15" ht="16" x14ac:dyDescent="0.2">
      <c r="A11222" s="19"/>
      <c r="B11222" s="19"/>
      <c r="C11222" s="19"/>
      <c r="D11222" s="19"/>
      <c r="E11222" s="19"/>
      <c r="F11222" s="19"/>
      <c r="G11222" s="19"/>
      <c r="H11222" s="19"/>
      <c r="I11222" s="19"/>
      <c r="J11222" s="19"/>
      <c r="K11222" s="19"/>
      <c r="L11222" s="19"/>
      <c r="M11222" s="19"/>
      <c r="N11222" s="19"/>
      <c r="O11222" s="14" t="str">
        <f>HYPERLINK("https://otsuka-europe-crm.veevavault.com/ui/#object/email_activity__v/V8C00000003W065", "EN-002096769")</f>
        <v>EN-002096769</v>
      </c>
    </row>
    <row r="11223" spans="1:15" ht="64" x14ac:dyDescent="0.2">
      <c r="A11223" s="7" t="str">
        <f>HYPERLINK("https://otsuka-europe-crm.veevavault.com/ui/#object/account__v/V4TZ06G6O8A25R8", "LYNDA TAIEB")</f>
        <v>LYNDA TAIEB</v>
      </c>
      <c r="B11223" s="7" t="str">
        <f>HYPERLINK("https://otsuka-europe-crm.veevavault.com/ui/#object/vcountry__v/VENZ000004SONFA", "FR")</f>
        <v>FR</v>
      </c>
      <c r="C11223" s="8" t="s">
        <v>42</v>
      </c>
      <c r="D11223" s="9" t="str">
        <f>HYPERLINK("https://otsuka-europe-crm.veevavault.com/ui/#object/approved_document__v/V5O000000002002", "E-Mail de remerciements Perspectives-Septembre 2025 - Environnement - FR-CNS-2500025")</f>
        <v>E-Mail de remerciements Perspectives-Septembre 2025 - Environnement - FR-CNS-2500025</v>
      </c>
      <c r="E11223" s="10" t="str">
        <f>HYPERLINK("https://otsuka-europe-crm.veevavault.com/ui/#object/sent_email__v/VBL00000002T425", "SE-001437054")</f>
        <v>SE-001437054</v>
      </c>
      <c r="F11223" s="11"/>
      <c r="G11223" s="12">
        <v>0</v>
      </c>
      <c r="H11223" s="12">
        <v>0</v>
      </c>
      <c r="I11223" s="12">
        <v>0</v>
      </c>
      <c r="J11223" s="11"/>
      <c r="K11223" s="12">
        <v>0</v>
      </c>
      <c r="L11223" s="10" t="str">
        <f>HYPERLINK("https://otsuka-europe-crm.veevavault.com/ui/#object/approved_document__v/V5O000000002002", "E-Mail de remerciements Perspectives-Septembre 2025 - Environnement - FR-CNS-2500025")</f>
        <v>E-Mail de remerciements Perspectives-Septembre 2025 - Environnement - FR-CNS-2500025</v>
      </c>
      <c r="M11223" s="10" t="str">
        <f>HYPERLINK("mailto:sblancheland@crm.otsuka-europe.com", "sblancheland@crm.otsuka-europe.com")</f>
        <v>sblancheland@crm.otsuka-europe.com</v>
      </c>
      <c r="N11223" s="13">
        <v>46188.739490740743</v>
      </c>
      <c r="O11223" s="14" t="str">
        <f>HYPERLINK("https://otsuka-europe-crm.veevavault.com/ui/#object/email_activity__v/V8C00000003V906", "EN-002096518")</f>
        <v>EN-002096518</v>
      </c>
    </row>
    <row r="11224" spans="1:15" ht="16" x14ac:dyDescent="0.2">
      <c r="A11224" s="17" t="str">
        <f>HYPERLINK("https://otsuka-europe-crm.veevavault.com/ui/#object/account__v/V4TZ025E831LC34", "IMENE TAMIMOU")</f>
        <v>IMENE TAMIMOU</v>
      </c>
      <c r="B11224" s="17" t="str">
        <f>HYPERLINK("https://otsuka-europe-crm.veevavault.com/ui/#object/vcountry__v/VENZ000004SONFA", "FR")</f>
        <v>FR</v>
      </c>
      <c r="C11224" s="20" t="s">
        <v>42</v>
      </c>
      <c r="D11224" s="21" t="str">
        <f>HYPERLINK("https://otsuka-europe-crm.veevavault.com/ui/#object/approved_document__v/V5O000000002002", "E-Mail de remerciements Perspectives-Septembre 2025 - Environnement - FR-CNS-2500025")</f>
        <v>E-Mail de remerciements Perspectives-Septembre 2025 - Environnement - FR-CNS-2500025</v>
      </c>
      <c r="E11224" s="22" t="str">
        <f>HYPERLINK("https://otsuka-europe-crm.veevavault.com/ui/#object/sent_email__v/VBL00000002T426", "SE-001437055")</f>
        <v>SE-001437055</v>
      </c>
      <c r="F11224" s="23">
        <v>46188.907604166663</v>
      </c>
      <c r="G11224" s="24">
        <v>1</v>
      </c>
      <c r="H11224" s="24">
        <v>1</v>
      </c>
      <c r="I11224" s="24">
        <v>0</v>
      </c>
      <c r="J11224" s="25"/>
      <c r="K11224" s="24">
        <v>0</v>
      </c>
      <c r="L11224" s="22" t="str">
        <f>HYPERLINK("https://otsuka-europe-crm.veevavault.com/ui/#object/approved_document__v/V5O000000002002", "E-Mail de remerciements Perspectives-Septembre 2025 - Environnement - FR-CNS-2500025")</f>
        <v>E-Mail de remerciements Perspectives-Septembre 2025 - Environnement - FR-CNS-2500025</v>
      </c>
      <c r="M11224" s="22" t="str">
        <f>HYPERLINK("mailto:sblancheland@crm.otsuka-europe.com", "sblancheland@crm.otsuka-europe.com")</f>
        <v>sblancheland@crm.otsuka-europe.com</v>
      </c>
      <c r="N11224" s="23">
        <v>46188.739849537036</v>
      </c>
      <c r="O11224" s="14" t="str">
        <f>HYPERLINK("https://otsuka-europe-crm.veevavault.com/ui/#object/email_activity__v/V8C00000003V907", "EN-002096519")</f>
        <v>EN-002096519</v>
      </c>
    </row>
    <row r="11225" spans="1:15" ht="16" x14ac:dyDescent="0.2">
      <c r="A11225" s="19"/>
      <c r="B11225" s="19"/>
      <c r="C11225" s="19"/>
      <c r="D11225" s="19"/>
      <c r="E11225" s="19"/>
      <c r="F11225" s="19"/>
      <c r="G11225" s="19"/>
      <c r="H11225" s="19"/>
      <c r="I11225" s="19"/>
      <c r="J11225" s="19"/>
      <c r="K11225" s="19"/>
      <c r="L11225" s="19"/>
      <c r="M11225" s="19"/>
      <c r="N11225" s="19"/>
      <c r="O11225" s="14" t="str">
        <f>HYPERLINK("https://otsuka-europe-crm.veevavault.com/ui/#object/email_activity__v/V8C00000003W087", "EN-002096819")</f>
        <v>EN-002096819</v>
      </c>
    </row>
    <row r="11226" spans="1:15" ht="16" x14ac:dyDescent="0.2">
      <c r="A11226" s="17" t="str">
        <f>HYPERLINK("https://otsuka-europe-crm.veevavault.com/ui/#object/account__v/V4TZ06G6O71URS5", "PATRICIA MUÑOZ RAMOS")</f>
        <v>PATRICIA MUÑOZ RAMOS</v>
      </c>
      <c r="B11226" s="17" t="str">
        <f>HYPERLINK("https://otsuka-europe-crm.veevavault.com/ui/#object/vcountry__v/VENZ000004SONF5", "ES")</f>
        <v>ES</v>
      </c>
      <c r="C11226" s="20" t="s">
        <v>41</v>
      </c>
      <c r="D11226" s="21" t="str">
        <f>HYPERLINK("https://otsuka-europe-crm.veevavault.com/ui/#object/approved_document__v/V5O00000001A037", "LUP - VAE Póster Adelphi - Nefro")</f>
        <v>LUP - VAE Póster Adelphi - Nefro</v>
      </c>
      <c r="E11226" s="22" t="str">
        <f>HYPERLINK("https://otsuka-europe-crm.veevavault.com/ui/#object/sent_email__v/VBL00000002V167", "SE-001437056")</f>
        <v>SE-001437056</v>
      </c>
      <c r="F11226" s="23">
        <v>46188.795081018521</v>
      </c>
      <c r="G11226" s="24">
        <v>1</v>
      </c>
      <c r="H11226" s="24">
        <v>2</v>
      </c>
      <c r="I11226" s="24">
        <v>0</v>
      </c>
      <c r="J11226" s="25"/>
      <c r="K11226" s="24">
        <v>0</v>
      </c>
      <c r="L11226" s="22" t="str">
        <f>HYPERLINK("https://otsuka-europe-crm.veevavault.com/ui/#object/approved_document__v/V5O00000001A037", "LUP - VAE Póster Adelphi - Nefro")</f>
        <v>LUP - VAE Póster Adelphi - Nefro</v>
      </c>
      <c r="M11226" s="22" t="str">
        <f>HYPERLINK("mailto:jguri@crm.otsuka-europe.com", "jguri@crm.otsuka-europe.com")</f>
        <v>jguri@crm.otsuka-europe.com</v>
      </c>
      <c r="N11226" s="23">
        <v>46188.79488425926</v>
      </c>
      <c r="O11226" s="14" t="str">
        <f>HYPERLINK("https://otsuka-europe-crm.veevavault.com/ui/#object/email_activity__v/V8C00000003U852", "EN-002096664")</f>
        <v>EN-002096664</v>
      </c>
    </row>
    <row r="11227" spans="1:15" ht="16" x14ac:dyDescent="0.2">
      <c r="A11227" s="18"/>
      <c r="B11227" s="18"/>
      <c r="C11227" s="18"/>
      <c r="D11227" s="18"/>
      <c r="E11227" s="18"/>
      <c r="F11227" s="18"/>
      <c r="G11227" s="18"/>
      <c r="H11227" s="18"/>
      <c r="I11227" s="18"/>
      <c r="J11227" s="18"/>
      <c r="K11227" s="18"/>
      <c r="L11227" s="18"/>
      <c r="M11227" s="18"/>
      <c r="N11227" s="18"/>
      <c r="O11227" s="14" t="str">
        <f>HYPERLINK("https://otsuka-europe-crm.veevavault.com/ui/#object/email_activity__v/V8C00000003V929", "EN-002096566")</f>
        <v>EN-002096566</v>
      </c>
    </row>
    <row r="11228" spans="1:15" ht="16" x14ac:dyDescent="0.2">
      <c r="A11228" s="19"/>
      <c r="B11228" s="19"/>
      <c r="C11228" s="19"/>
      <c r="D11228" s="19"/>
      <c r="E11228" s="19"/>
      <c r="F11228" s="19"/>
      <c r="G11228" s="19"/>
      <c r="H11228" s="19"/>
      <c r="I11228" s="19"/>
      <c r="J11228" s="19"/>
      <c r="K11228" s="19"/>
      <c r="L11228" s="19"/>
      <c r="M11228" s="19"/>
      <c r="N11228" s="19"/>
      <c r="O11228" s="14" t="str">
        <f>HYPERLINK("https://otsuka-europe-crm.veevavault.com/ui/#object/email_activity__v/V8C00000003V958", "EN-002096595")</f>
        <v>EN-002096595</v>
      </c>
    </row>
    <row r="11229" spans="1:15" ht="32" x14ac:dyDescent="0.2">
      <c r="A11229" s="7" t="str">
        <f>HYPERLINK("https://otsuka-europe-crm.veevavault.com/ui/#object/account__v/V4TZ06G6O71TAIP", "JOSE ANTONIO HERRERO CALVO")</f>
        <v>JOSE ANTONIO HERRERO CALVO</v>
      </c>
      <c r="B11229" s="7" t="str">
        <f>HYPERLINK("https://otsuka-europe-crm.veevavault.com/ui/#object/vcountry__v/VENZ000004SONF5", "ES")</f>
        <v>ES</v>
      </c>
      <c r="C11229" s="8" t="s">
        <v>41</v>
      </c>
      <c r="D11229" s="9" t="str">
        <f>HYPERLINK("https://otsuka-europe-crm.veevavault.com/ui/#object/approved_document__v/V5O00000001A037", "LUP - VAE Póster Adelphi - Nefro")</f>
        <v>LUP - VAE Póster Adelphi - Nefro</v>
      </c>
      <c r="E11229" s="10" t="str">
        <f>HYPERLINK("https://otsuka-europe-crm.veevavault.com/ui/#object/sent_email__v/VBL00000002V168", "SE-001437057")</f>
        <v>SE-001437057</v>
      </c>
      <c r="F11229" s="11"/>
      <c r="G11229" s="12">
        <v>0</v>
      </c>
      <c r="H11229" s="12">
        <v>0</v>
      </c>
      <c r="I11229" s="12">
        <v>0</v>
      </c>
      <c r="J11229" s="11"/>
      <c r="K11229" s="12">
        <v>0</v>
      </c>
      <c r="L11229" s="10" t="str">
        <f>HYPERLINK("https://otsuka-europe-crm.veevavault.com/ui/#object/approved_document__v/V5O00000001A037", "LUP - VAE Póster Adelphi - Nefro")</f>
        <v>LUP - VAE Póster Adelphi - Nefro</v>
      </c>
      <c r="M11229" s="10" t="str">
        <f>HYPERLINK("mailto:jguri@crm.otsuka-europe.com", "jguri@crm.otsuka-europe.com")</f>
        <v>jguri@crm.otsuka-europe.com</v>
      </c>
      <c r="N11229" s="13">
        <v>46188.79488425926</v>
      </c>
      <c r="O11229" s="14" t="str">
        <f>HYPERLINK("https://otsuka-europe-crm.veevavault.com/ui/#object/email_activity__v/V8C00000003V944", "EN-002096581")</f>
        <v>EN-002096581</v>
      </c>
    </row>
    <row r="11230" spans="1:15" ht="16" x14ac:dyDescent="0.2">
      <c r="A11230" s="17" t="str">
        <f>HYPERLINK("https://otsuka-europe-crm.veevavault.com/ui/#object/account__v/V4TZ04ASGEXCW99", "PALOMA RUIZ LOPEZ-ALVARADO")</f>
        <v>PALOMA RUIZ LOPEZ-ALVARADO</v>
      </c>
      <c r="B11230" s="17" t="str">
        <f>HYPERLINK("https://otsuka-europe-crm.veevavault.com/ui/#object/vcountry__v/VENZ000004SONF5", "ES")</f>
        <v>ES</v>
      </c>
      <c r="C11230" s="20" t="s">
        <v>41</v>
      </c>
      <c r="D11230" s="21" t="str">
        <f>HYPERLINK("https://otsuka-europe-crm.veevavault.com/ui/#object/approved_document__v/V5O00000001A037", "LUP - VAE Póster Adelphi - Nefro")</f>
        <v>LUP - VAE Póster Adelphi - Nefro</v>
      </c>
      <c r="E11230" s="22" t="str">
        <f>HYPERLINK("https://otsuka-europe-crm.veevavault.com/ui/#object/sent_email__v/VBL00000002V169", "SE-001437058")</f>
        <v>SE-001437058</v>
      </c>
      <c r="F11230" s="25"/>
      <c r="G11230" s="24">
        <v>0</v>
      </c>
      <c r="H11230" s="24">
        <v>0</v>
      </c>
      <c r="I11230" s="24">
        <v>0</v>
      </c>
      <c r="J11230" s="25"/>
      <c r="K11230" s="24">
        <v>0</v>
      </c>
      <c r="L11230" s="22" t="str">
        <f>HYPERLINK("https://otsuka-europe-crm.veevavault.com/ui/#object/approved_document__v/V5O00000001A037", "LUP - VAE Póster Adelphi - Nefro")</f>
        <v>LUP - VAE Póster Adelphi - Nefro</v>
      </c>
      <c r="M11230" s="22" t="str">
        <f>HYPERLINK("mailto:jguri@crm.otsuka-europe.com", "jguri@crm.otsuka-europe.com")</f>
        <v>jguri@crm.otsuka-europe.com</v>
      </c>
      <c r="N11230" s="23">
        <v>46188.79483796296</v>
      </c>
      <c r="O11230" s="14" t="str">
        <f>HYPERLINK("https://otsuka-europe-crm.veevavault.com/ui/#object/email_activity__v/V8C00000003U821", "EN-002096555")</f>
        <v>EN-002096555</v>
      </c>
    </row>
    <row r="11231" spans="1:15" ht="16" x14ac:dyDescent="0.2">
      <c r="A11231" s="18"/>
      <c r="B11231" s="18"/>
      <c r="C11231" s="18"/>
      <c r="D11231" s="18"/>
      <c r="E11231" s="18"/>
      <c r="F11231" s="18"/>
      <c r="G11231" s="18"/>
      <c r="H11231" s="18"/>
      <c r="I11231" s="18"/>
      <c r="J11231" s="18"/>
      <c r="K11231" s="18"/>
      <c r="L11231" s="18"/>
      <c r="M11231" s="18"/>
      <c r="N11231" s="18"/>
      <c r="O11231" s="14" t="str">
        <f>HYPERLINK("https://otsuka-europe-crm.veevavault.com/ui/#object/email_activity__v/V8C00000003X217", "EN-002097327")</f>
        <v>EN-002097327</v>
      </c>
    </row>
    <row r="11232" spans="1:15" ht="16" x14ac:dyDescent="0.2">
      <c r="A11232" s="18"/>
      <c r="B11232" s="18"/>
      <c r="C11232" s="18"/>
      <c r="D11232" s="18"/>
      <c r="E11232" s="18"/>
      <c r="F11232" s="18"/>
      <c r="G11232" s="18"/>
      <c r="H11232" s="18"/>
      <c r="I11232" s="18"/>
      <c r="J11232" s="18"/>
      <c r="K11232" s="18"/>
      <c r="L11232" s="18"/>
      <c r="M11232" s="18"/>
      <c r="N11232" s="18"/>
      <c r="O11232" s="14" t="str">
        <f>HYPERLINK("https://otsuka-europe-crm.veevavault.com/ui/#object/email_activity__v/V8C00000003Z433", "EN-002099547")</f>
        <v>EN-002099547</v>
      </c>
    </row>
    <row r="11233" spans="1:15" ht="16" x14ac:dyDescent="0.2">
      <c r="A11233" s="19"/>
      <c r="B11233" s="19"/>
      <c r="C11233" s="19"/>
      <c r="D11233" s="19"/>
      <c r="E11233" s="19"/>
      <c r="F11233" s="19"/>
      <c r="G11233" s="19"/>
      <c r="H11233" s="19"/>
      <c r="I11233" s="19"/>
      <c r="J11233" s="19"/>
      <c r="K11233" s="19"/>
      <c r="L11233" s="19"/>
      <c r="M11233" s="19"/>
      <c r="N11233" s="19"/>
      <c r="O11233" s="14" t="str">
        <f>HYPERLINK("https://otsuka-europe-crm.veevavault.com/ui/#object/email_activity__v/V8C000000041011", "EN-002099705")</f>
        <v>EN-002099705</v>
      </c>
    </row>
    <row r="11234" spans="1:15" ht="32" x14ac:dyDescent="0.2">
      <c r="A11234" s="7" t="str">
        <f>HYPERLINK("https://otsuka-europe-crm.veevavault.com/ui/#object/account__v/V4TZ025E891G3D3", "MIGUEL ANGEL NAVAS JIMENEZ")</f>
        <v>MIGUEL ANGEL NAVAS JIMENEZ</v>
      </c>
      <c r="B11234" s="7" t="str">
        <f>HYPERLINK("https://otsuka-europe-crm.veevavault.com/ui/#object/vcountry__v/VENZ000004SONF5", "ES")</f>
        <v>ES</v>
      </c>
      <c r="C11234" s="8" t="s">
        <v>41</v>
      </c>
      <c r="D11234" s="9" t="str">
        <f>HYPERLINK("https://otsuka-europe-crm.veevavault.com/ui/#object/approved_document__v/V5O00000001A037", "LUP - VAE Póster Adelphi - Nefro")</f>
        <v>LUP - VAE Póster Adelphi - Nefro</v>
      </c>
      <c r="E11234" s="10" t="str">
        <f>HYPERLINK("https://otsuka-europe-crm.veevavault.com/ui/#object/sent_email__v/VBL00000002V170", "SE-001437059")</f>
        <v>SE-001437059</v>
      </c>
      <c r="F11234" s="11"/>
      <c r="G11234" s="12">
        <v>0</v>
      </c>
      <c r="H11234" s="12">
        <v>0</v>
      </c>
      <c r="I11234" s="12">
        <v>0</v>
      </c>
      <c r="J11234" s="11"/>
      <c r="K11234" s="12">
        <v>0</v>
      </c>
      <c r="L11234" s="10" t="str">
        <f>HYPERLINK("https://otsuka-europe-crm.veevavault.com/ui/#object/approved_document__v/V5O00000001A037", "LUP - VAE Póster Adelphi - Nefro")</f>
        <v>LUP - VAE Póster Adelphi - Nefro</v>
      </c>
      <c r="M11234" s="10" t="str">
        <f>HYPERLINK("mailto:jguri@crm.otsuka-europe.com", "jguri@crm.otsuka-europe.com")</f>
        <v>jguri@crm.otsuka-europe.com</v>
      </c>
      <c r="N11234" s="13">
        <v>46188.79488425926</v>
      </c>
      <c r="O11234" s="14" t="str">
        <f>HYPERLINK("https://otsuka-europe-crm.veevavault.com/ui/#object/email_activity__v/V8C00000003V942", "EN-002096579")</f>
        <v>EN-002096579</v>
      </c>
    </row>
    <row r="11235" spans="1:15" ht="32" x14ac:dyDescent="0.2">
      <c r="A11235" s="7" t="str">
        <f>HYPERLINK("https://otsuka-europe-crm.veevavault.com/ui/#object/account__v/V4TZ06G6O71T7UZ", "GUADALUPE RODRIGUEZ PORTELA")</f>
        <v>GUADALUPE RODRIGUEZ PORTELA</v>
      </c>
      <c r="B11235" s="7" t="str">
        <f>HYPERLINK("https://otsuka-europe-crm.veevavault.com/ui/#object/vcountry__v/VENZ000004SONF5", "ES")</f>
        <v>ES</v>
      </c>
      <c r="C11235" s="8" t="s">
        <v>41</v>
      </c>
      <c r="D11235" s="9" t="str">
        <f>HYPERLINK("https://otsuka-europe-crm.veevavault.com/ui/#object/approved_document__v/V5O00000001A037", "LUP - VAE Póster Adelphi - Nefro")</f>
        <v>LUP - VAE Póster Adelphi - Nefro</v>
      </c>
      <c r="E11235" s="10" t="str">
        <f>HYPERLINK("https://otsuka-europe-crm.veevavault.com/ui/#object/sent_email__v/VBL00000002V171", "SE-001437060")</f>
        <v>SE-001437060</v>
      </c>
      <c r="F11235" s="11"/>
      <c r="G11235" s="12">
        <v>0</v>
      </c>
      <c r="H11235" s="12">
        <v>0</v>
      </c>
      <c r="I11235" s="12">
        <v>0</v>
      </c>
      <c r="J11235" s="11"/>
      <c r="K11235" s="12">
        <v>0</v>
      </c>
      <c r="L11235" s="10" t="str">
        <f>HYPERLINK("https://otsuka-europe-crm.veevavault.com/ui/#object/approved_document__v/V5O00000001A037", "LUP - VAE Póster Adelphi - Nefro")</f>
        <v>LUP - VAE Póster Adelphi - Nefro</v>
      </c>
      <c r="M11235" s="10" t="str">
        <f>HYPERLINK("mailto:jguri@crm.otsuka-europe.com", "jguri@crm.otsuka-europe.com")</f>
        <v>jguri@crm.otsuka-europe.com</v>
      </c>
      <c r="N11235" s="13">
        <v>46188.79488425926</v>
      </c>
      <c r="O11235" s="14" t="str">
        <f>HYPERLINK("https://otsuka-europe-crm.veevavault.com/ui/#object/email_activity__v/V8C00000003V971", "EN-002096613")</f>
        <v>EN-002096613</v>
      </c>
    </row>
    <row r="11236" spans="1:15" ht="16" x14ac:dyDescent="0.2">
      <c r="A11236" s="17" t="str">
        <f>HYPERLINK("https://otsuka-europe-crm.veevavault.com/ui/#object/account__v/V4TZ06G6O71T99J", "MARIA ELDA BESADA ESTEVEZ")</f>
        <v>MARIA ELDA BESADA ESTEVEZ</v>
      </c>
      <c r="B11236" s="17" t="str">
        <f>HYPERLINK("https://otsuka-europe-crm.veevavault.com/ui/#object/vcountry__v/VENZ000004SONF5", "ES")</f>
        <v>ES</v>
      </c>
      <c r="C11236" s="20" t="s">
        <v>41</v>
      </c>
      <c r="D11236" s="21" t="str">
        <f>HYPERLINK("https://otsuka-europe-crm.veevavault.com/ui/#object/approved_document__v/V5O00000001A037", "LUP - VAE Póster Adelphi - Nefro")</f>
        <v>LUP - VAE Póster Adelphi - Nefro</v>
      </c>
      <c r="E11236" s="22" t="str">
        <f>HYPERLINK("https://otsuka-europe-crm.veevavault.com/ui/#object/sent_email__v/VBL00000002V172", "SE-001437061")</f>
        <v>SE-001437061</v>
      </c>
      <c r="F11236" s="23">
        <v>46189.828414351854</v>
      </c>
      <c r="G11236" s="24">
        <v>1</v>
      </c>
      <c r="H11236" s="24">
        <v>1</v>
      </c>
      <c r="I11236" s="24">
        <v>0</v>
      </c>
      <c r="J11236" s="25"/>
      <c r="K11236" s="24">
        <v>0</v>
      </c>
      <c r="L11236" s="22" t="str">
        <f>HYPERLINK("https://otsuka-europe-crm.veevavault.com/ui/#object/approved_document__v/V5O00000001A037", "LUP - VAE Póster Adelphi - Nefro")</f>
        <v>LUP - VAE Póster Adelphi - Nefro</v>
      </c>
      <c r="M11236" s="22" t="str">
        <f>HYPERLINK("mailto:jguri@crm.otsuka-europe.com", "jguri@crm.otsuka-europe.com")</f>
        <v>jguri@crm.otsuka-europe.com</v>
      </c>
      <c r="N11236" s="23">
        <v>46188.79488425926</v>
      </c>
      <c r="O11236" s="14" t="str">
        <f>HYPERLINK("https://otsuka-europe-crm.veevavault.com/ui/#object/email_activity__v/V8C00000003V932", "EN-002096569")</f>
        <v>EN-002096569</v>
      </c>
    </row>
    <row r="11237" spans="1:15" ht="16" x14ac:dyDescent="0.2">
      <c r="A11237" s="19"/>
      <c r="B11237" s="19"/>
      <c r="C11237" s="19"/>
      <c r="D11237" s="19"/>
      <c r="E11237" s="19"/>
      <c r="F11237" s="19"/>
      <c r="G11237" s="19"/>
      <c r="H11237" s="19"/>
      <c r="I11237" s="19"/>
      <c r="J11237" s="19"/>
      <c r="K11237" s="19"/>
      <c r="L11237" s="19"/>
      <c r="M11237" s="19"/>
      <c r="N11237" s="19"/>
      <c r="O11237" s="14" t="str">
        <f>HYPERLINK("https://otsuka-europe-crm.veevavault.com/ui/#object/email_activity__v/V8C00000003X212", "EN-002097319")</f>
        <v>EN-002097319</v>
      </c>
    </row>
    <row r="11238" spans="1:15" ht="16" x14ac:dyDescent="0.2">
      <c r="A11238" s="17" t="str">
        <f>HYPERLINK("https://otsuka-europe-crm.veevavault.com/ui/#object/account__v/V4TZ06G6O71T8PX", "EVA LOPEZ MELERO")</f>
        <v>EVA LOPEZ MELERO</v>
      </c>
      <c r="B11238" s="17" t="str">
        <f>HYPERLINK("https://otsuka-europe-crm.veevavault.com/ui/#object/vcountry__v/VENZ000004SONF5", "ES")</f>
        <v>ES</v>
      </c>
      <c r="C11238" s="20" t="s">
        <v>41</v>
      </c>
      <c r="D11238" s="21" t="str">
        <f>HYPERLINK("https://otsuka-europe-crm.veevavault.com/ui/#object/approved_document__v/V5O00000001A037", "LUP - VAE Póster Adelphi - Nefro")</f>
        <v>LUP - VAE Póster Adelphi - Nefro</v>
      </c>
      <c r="E11238" s="22" t="str">
        <f>HYPERLINK("https://otsuka-europe-crm.veevavault.com/ui/#object/sent_email__v/VBL00000002V173", "SE-001437062")</f>
        <v>SE-001437062</v>
      </c>
      <c r="F11238" s="23">
        <v>46189.303460648145</v>
      </c>
      <c r="G11238" s="24">
        <v>1</v>
      </c>
      <c r="H11238" s="24">
        <v>2</v>
      </c>
      <c r="I11238" s="24">
        <v>0</v>
      </c>
      <c r="J11238" s="25"/>
      <c r="K11238" s="24">
        <v>0</v>
      </c>
      <c r="L11238" s="22" t="str">
        <f>HYPERLINK("https://otsuka-europe-crm.veevavault.com/ui/#object/approved_document__v/V5O00000001A037", "LUP - VAE Póster Adelphi - Nefro")</f>
        <v>LUP - VAE Póster Adelphi - Nefro</v>
      </c>
      <c r="M11238" s="22" t="str">
        <f>HYPERLINK("mailto:jguri@crm.otsuka-europe.com", "jguri@crm.otsuka-europe.com")</f>
        <v>jguri@crm.otsuka-europe.com</v>
      </c>
      <c r="N11238" s="23">
        <v>46188.794907407406</v>
      </c>
      <c r="O11238" s="14" t="str">
        <f>HYPERLINK("https://otsuka-europe-crm.veevavault.com/ui/#object/email_activity__v/V8C00000003U957", "EN-002096904")</f>
        <v>EN-002096904</v>
      </c>
    </row>
    <row r="11239" spans="1:15" ht="16" x14ac:dyDescent="0.2">
      <c r="A11239" s="18"/>
      <c r="B11239" s="18"/>
      <c r="C11239" s="18"/>
      <c r="D11239" s="18"/>
      <c r="E11239" s="18"/>
      <c r="F11239" s="18"/>
      <c r="G11239" s="18"/>
      <c r="H11239" s="18"/>
      <c r="I11239" s="18"/>
      <c r="J11239" s="18"/>
      <c r="K11239" s="18"/>
      <c r="L11239" s="18"/>
      <c r="M11239" s="18"/>
      <c r="N11239" s="18"/>
      <c r="O11239" s="14" t="str">
        <f>HYPERLINK("https://otsuka-europe-crm.veevavault.com/ui/#object/email_activity__v/V8C00000003V981", "EN-002096629")</f>
        <v>EN-002096629</v>
      </c>
    </row>
    <row r="11240" spans="1:15" ht="16" x14ac:dyDescent="0.2">
      <c r="A11240" s="19"/>
      <c r="B11240" s="19"/>
      <c r="C11240" s="19"/>
      <c r="D11240" s="19"/>
      <c r="E11240" s="19"/>
      <c r="F11240" s="19"/>
      <c r="G11240" s="19"/>
      <c r="H11240" s="19"/>
      <c r="I11240" s="19"/>
      <c r="J11240" s="19"/>
      <c r="K11240" s="19"/>
      <c r="L11240" s="19"/>
      <c r="M11240" s="19"/>
      <c r="N11240" s="19"/>
      <c r="O11240" s="14" t="str">
        <f>HYPERLINK("https://otsuka-europe-crm.veevavault.com/ui/#object/email_activity__v/V8C00000003W072", "EN-002096788")</f>
        <v>EN-002096788</v>
      </c>
    </row>
    <row r="11241" spans="1:15" ht="16" x14ac:dyDescent="0.2">
      <c r="A11241" s="17" t="str">
        <f>HYPERLINK("https://otsuka-europe-crm.veevavault.com/ui/#object/account__v/V4TZ06G6O71T8YM", "BEATRIZ ESPEJO MARCHANTE")</f>
        <v>BEATRIZ ESPEJO MARCHANTE</v>
      </c>
      <c r="B11241" s="17" t="str">
        <f>HYPERLINK("https://otsuka-europe-crm.veevavault.com/ui/#object/vcountry__v/VENZ000004SONF5", "ES")</f>
        <v>ES</v>
      </c>
      <c r="C11241" s="20" t="s">
        <v>41</v>
      </c>
      <c r="D11241" s="21" t="str">
        <f>HYPERLINK("https://otsuka-europe-crm.veevavault.com/ui/#object/approved_document__v/V5O00000001A037", "LUP - VAE Póster Adelphi - Nefro")</f>
        <v>LUP - VAE Póster Adelphi - Nefro</v>
      </c>
      <c r="E11241" s="22" t="str">
        <f>HYPERLINK("https://otsuka-europe-crm.veevavault.com/ui/#object/sent_email__v/VBL00000002V174", "SE-001437063")</f>
        <v>SE-001437063</v>
      </c>
      <c r="F11241" s="23">
        <v>46188.80269675926</v>
      </c>
      <c r="G11241" s="24">
        <v>1</v>
      </c>
      <c r="H11241" s="24">
        <v>1</v>
      </c>
      <c r="I11241" s="24">
        <v>0</v>
      </c>
      <c r="J11241" s="25"/>
      <c r="K11241" s="24">
        <v>0</v>
      </c>
      <c r="L11241" s="22" t="str">
        <f>HYPERLINK("https://otsuka-europe-crm.veevavault.com/ui/#object/approved_document__v/V5O00000001A037", "LUP - VAE Póster Adelphi - Nefro")</f>
        <v>LUP - VAE Póster Adelphi - Nefro</v>
      </c>
      <c r="M11241" s="22" t="str">
        <f>HYPERLINK("mailto:jguri@crm.otsuka-europe.com", "jguri@crm.otsuka-europe.com")</f>
        <v>jguri@crm.otsuka-europe.com</v>
      </c>
      <c r="N11241" s="23">
        <v>46188.79488425926</v>
      </c>
      <c r="O11241" s="14" t="str">
        <f>HYPERLINK("https://otsuka-europe-crm.veevavault.com/ui/#object/email_activity__v/V8C00000003U825", "EN-002096606")</f>
        <v>EN-002096606</v>
      </c>
    </row>
    <row r="11242" spans="1:15" ht="16" x14ac:dyDescent="0.2">
      <c r="A11242" s="19"/>
      <c r="B11242" s="19"/>
      <c r="C11242" s="19"/>
      <c r="D11242" s="19"/>
      <c r="E11242" s="19"/>
      <c r="F11242" s="19"/>
      <c r="G11242" s="19"/>
      <c r="H11242" s="19"/>
      <c r="I11242" s="19"/>
      <c r="J11242" s="19"/>
      <c r="K11242" s="19"/>
      <c r="L11242" s="19"/>
      <c r="M11242" s="19"/>
      <c r="N11242" s="19"/>
      <c r="O11242" s="14" t="str">
        <f>HYPERLINK("https://otsuka-europe-crm.veevavault.com/ui/#object/email_activity__v/V8C00000003W049", "EN-002096744")</f>
        <v>EN-002096744</v>
      </c>
    </row>
    <row r="11243" spans="1:15" ht="16" x14ac:dyDescent="0.2">
      <c r="A11243" s="17" t="str">
        <f>HYPERLINK("https://otsuka-europe-crm.veevavault.com/ui/#object/account__v/V4TZ04ASGCYP45R", "JOSE IGNACIO GOMEZ ROJAS")</f>
        <v>JOSE IGNACIO GOMEZ ROJAS</v>
      </c>
      <c r="B11243" s="17" t="str">
        <f>HYPERLINK("https://otsuka-europe-crm.veevavault.com/ui/#object/vcountry__v/VENZ000004SONF5", "ES")</f>
        <v>ES</v>
      </c>
      <c r="C11243" s="20" t="s">
        <v>41</v>
      </c>
      <c r="D11243" s="21" t="str">
        <f>HYPERLINK("https://otsuka-europe-crm.veevavault.com/ui/#object/approved_document__v/V5O00000001A037", "LUP - VAE Póster Adelphi - Nefro")</f>
        <v>LUP - VAE Póster Adelphi - Nefro</v>
      </c>
      <c r="E11243" s="22" t="str">
        <f>HYPERLINK("https://otsuka-europe-crm.veevavault.com/ui/#object/sent_email__v/VBL00000002V175", "SE-001437064")</f>
        <v>SE-001437064</v>
      </c>
      <c r="F11243" s="23">
        <v>46188.795254629629</v>
      </c>
      <c r="G11243" s="24">
        <v>1</v>
      </c>
      <c r="H11243" s="24">
        <v>3</v>
      </c>
      <c r="I11243" s="24">
        <v>0</v>
      </c>
      <c r="J11243" s="25"/>
      <c r="K11243" s="24">
        <v>0</v>
      </c>
      <c r="L11243" s="22" t="str">
        <f>HYPERLINK("https://otsuka-europe-crm.veevavault.com/ui/#object/approved_document__v/V5O00000001A037", "LUP - VAE Póster Adelphi - Nefro")</f>
        <v>LUP - VAE Póster Adelphi - Nefro</v>
      </c>
      <c r="M11243" s="22" t="str">
        <f>HYPERLINK("mailto:jguri@crm.otsuka-europe.com", "jguri@crm.otsuka-europe.com")</f>
        <v>jguri@crm.otsuka-europe.com</v>
      </c>
      <c r="N11243" s="23">
        <v>46188.79488425926</v>
      </c>
      <c r="O11243" s="14" t="str">
        <f>HYPERLINK("https://otsuka-europe-crm.veevavault.com/ui/#object/email_activity__v/V8C00000003V938", "EN-002096575")</f>
        <v>EN-002096575</v>
      </c>
    </row>
    <row r="11244" spans="1:15" ht="16" x14ac:dyDescent="0.2">
      <c r="A11244" s="18"/>
      <c r="B11244" s="18"/>
      <c r="C11244" s="18"/>
      <c r="D11244" s="18"/>
      <c r="E11244" s="18"/>
      <c r="F11244" s="18"/>
      <c r="G11244" s="18"/>
      <c r="H11244" s="18"/>
      <c r="I11244" s="18"/>
      <c r="J11244" s="18"/>
      <c r="K11244" s="18"/>
      <c r="L11244" s="18"/>
      <c r="M11244" s="18"/>
      <c r="N11244" s="18"/>
      <c r="O11244" s="14" t="str">
        <f>HYPERLINK("https://otsuka-europe-crm.veevavault.com/ui/#object/email_activity__v/V8C00000003V996", "EN-002096650")</f>
        <v>EN-002096650</v>
      </c>
    </row>
    <row r="11245" spans="1:15" ht="16" x14ac:dyDescent="0.2">
      <c r="A11245" s="18"/>
      <c r="B11245" s="18"/>
      <c r="C11245" s="18"/>
      <c r="D11245" s="18"/>
      <c r="E11245" s="18"/>
      <c r="F11245" s="18"/>
      <c r="G11245" s="18"/>
      <c r="H11245" s="18"/>
      <c r="I11245" s="18"/>
      <c r="J11245" s="18"/>
      <c r="K11245" s="18"/>
      <c r="L11245" s="18"/>
      <c r="M11245" s="18"/>
      <c r="N11245" s="18"/>
      <c r="O11245" s="14" t="str">
        <f>HYPERLINK("https://otsuka-europe-crm.veevavault.com/ui/#object/email_activity__v/V8C00000003V997", "EN-002096661")</f>
        <v>EN-002096661</v>
      </c>
    </row>
    <row r="11246" spans="1:15" ht="16" x14ac:dyDescent="0.2">
      <c r="A11246" s="18"/>
      <c r="B11246" s="18"/>
      <c r="C11246" s="18"/>
      <c r="D11246" s="18"/>
      <c r="E11246" s="18"/>
      <c r="F11246" s="18"/>
      <c r="G11246" s="18"/>
      <c r="H11246" s="18"/>
      <c r="I11246" s="18"/>
      <c r="J11246" s="18"/>
      <c r="K11246" s="18"/>
      <c r="L11246" s="18"/>
      <c r="M11246" s="18"/>
      <c r="N11246" s="18"/>
      <c r="O11246" s="14" t="str">
        <f>HYPERLINK("https://otsuka-europe-crm.veevavault.com/ui/#object/email_activity__v/V8C00000003W024", "EN-002096700")</f>
        <v>EN-002096700</v>
      </c>
    </row>
    <row r="11247" spans="1:15" ht="16" x14ac:dyDescent="0.2">
      <c r="A11247" s="19"/>
      <c r="B11247" s="19"/>
      <c r="C11247" s="19"/>
      <c r="D11247" s="19"/>
      <c r="E11247" s="19"/>
      <c r="F11247" s="19"/>
      <c r="G11247" s="19"/>
      <c r="H11247" s="19"/>
      <c r="I11247" s="19"/>
      <c r="J11247" s="19"/>
      <c r="K11247" s="19"/>
      <c r="L11247" s="19"/>
      <c r="M11247" s="19"/>
      <c r="N11247" s="19"/>
      <c r="O11247" s="14" t="str">
        <f>HYPERLINK("https://otsuka-europe-crm.veevavault.com/ui/#object/email_activity__v/V8C00000003W117", "EN-002096871")</f>
        <v>EN-002096871</v>
      </c>
    </row>
    <row r="11248" spans="1:15" ht="16" x14ac:dyDescent="0.2">
      <c r="A11248" s="17" t="str">
        <f>HYPERLINK("https://otsuka-europe-crm.veevavault.com/ui/#object/account__v/V4TZ06G6O71T9JT", "HANANE BOUARICH")</f>
        <v>HANANE BOUARICH</v>
      </c>
      <c r="B11248" s="17" t="str">
        <f>HYPERLINK("https://otsuka-europe-crm.veevavault.com/ui/#object/vcountry__v/VENZ000004SONF5", "ES")</f>
        <v>ES</v>
      </c>
      <c r="C11248" s="20" t="s">
        <v>41</v>
      </c>
      <c r="D11248" s="21" t="str">
        <f>HYPERLINK("https://otsuka-europe-crm.veevavault.com/ui/#object/approved_document__v/V5O00000001A037", "LUP - VAE Póster Adelphi - Nefro")</f>
        <v>LUP - VAE Póster Adelphi - Nefro</v>
      </c>
      <c r="E11248" s="22" t="str">
        <f>HYPERLINK("https://otsuka-europe-crm.veevavault.com/ui/#object/sent_email__v/VBL00000002V176", "SE-001437065")</f>
        <v>SE-001437065</v>
      </c>
      <c r="F11248" s="23">
        <v>46190.408425925925</v>
      </c>
      <c r="G11248" s="24">
        <v>1</v>
      </c>
      <c r="H11248" s="24">
        <v>3</v>
      </c>
      <c r="I11248" s="24">
        <v>1</v>
      </c>
      <c r="J11248" s="23">
        <v>46190.408518518518</v>
      </c>
      <c r="K11248" s="24">
        <v>1</v>
      </c>
      <c r="L11248" s="22" t="str">
        <f>HYPERLINK("https://otsuka-europe-crm.veevavault.com/ui/#object/approved_document__v/V5O00000001A037", "LUP - VAE Póster Adelphi - Nefro")</f>
        <v>LUP - VAE Póster Adelphi - Nefro</v>
      </c>
      <c r="M11248" s="22" t="str">
        <f>HYPERLINK("mailto:jguri@crm.otsuka-europe.com", "jguri@crm.otsuka-europe.com")</f>
        <v>jguri@crm.otsuka-europe.com</v>
      </c>
      <c r="N11248" s="23">
        <v>46188.79488425926</v>
      </c>
      <c r="O11248" s="14" t="str">
        <f>HYPERLINK("https://otsuka-europe-crm.veevavault.com/ui/#object/email_activity__v/V8C00000003U887", "EN-002096755")</f>
        <v>EN-002096755</v>
      </c>
    </row>
    <row r="11249" spans="1:15" ht="16" x14ac:dyDescent="0.2">
      <c r="A11249" s="18"/>
      <c r="B11249" s="18"/>
      <c r="C11249" s="18"/>
      <c r="D11249" s="18"/>
      <c r="E11249" s="18"/>
      <c r="F11249" s="18"/>
      <c r="G11249" s="18"/>
      <c r="H11249" s="18"/>
      <c r="I11249" s="18"/>
      <c r="J11249" s="18"/>
      <c r="K11249" s="18"/>
      <c r="L11249" s="18"/>
      <c r="M11249" s="18"/>
      <c r="N11249" s="18"/>
      <c r="O11249" s="14" t="str">
        <f>HYPERLINK("https://otsuka-europe-crm.veevavault.com/ui/#object/email_activity__v/V8C00000003U962", "EN-002096919")</f>
        <v>EN-002096919</v>
      </c>
    </row>
    <row r="11250" spans="1:15" ht="16" x14ac:dyDescent="0.2">
      <c r="A11250" s="18"/>
      <c r="B11250" s="18"/>
      <c r="C11250" s="18"/>
      <c r="D11250" s="18"/>
      <c r="E11250" s="18"/>
      <c r="F11250" s="18"/>
      <c r="G11250" s="18"/>
      <c r="H11250" s="18"/>
      <c r="I11250" s="18"/>
      <c r="J11250" s="18"/>
      <c r="K11250" s="18"/>
      <c r="L11250" s="18"/>
      <c r="M11250" s="18"/>
      <c r="N11250" s="18"/>
      <c r="O11250" s="14" t="str">
        <f>HYPERLINK("https://otsuka-europe-crm.veevavault.com/ui/#object/email_activity__v/V8C00000003V990", "EN-002096644")</f>
        <v>EN-002096644</v>
      </c>
    </row>
    <row r="11251" spans="1:15" ht="16" x14ac:dyDescent="0.2">
      <c r="A11251" s="18"/>
      <c r="B11251" s="18"/>
      <c r="C11251" s="18"/>
      <c r="D11251" s="18"/>
      <c r="E11251" s="18"/>
      <c r="F11251" s="18"/>
      <c r="G11251" s="18"/>
      <c r="H11251" s="18"/>
      <c r="I11251" s="18"/>
      <c r="J11251" s="18"/>
      <c r="K11251" s="18"/>
      <c r="L11251" s="18"/>
      <c r="M11251" s="18"/>
      <c r="N11251" s="18"/>
      <c r="O11251" s="14" t="str">
        <f>HYPERLINK("https://otsuka-europe-crm.veevavault.com/ui/#object/email_activity__v/V8C00000003W658", "EN-002098299")</f>
        <v>EN-002098299</v>
      </c>
    </row>
    <row r="11252" spans="1:15" ht="16" x14ac:dyDescent="0.2">
      <c r="A11252" s="18"/>
      <c r="B11252" s="18"/>
      <c r="C11252" s="18"/>
      <c r="D11252" s="18"/>
      <c r="E11252" s="18"/>
      <c r="F11252" s="18"/>
      <c r="G11252" s="18"/>
      <c r="H11252" s="18"/>
      <c r="I11252" s="18"/>
      <c r="J11252" s="18"/>
      <c r="K11252" s="18"/>
      <c r="L11252" s="18"/>
      <c r="M11252" s="18"/>
      <c r="N11252" s="18"/>
      <c r="O11252" s="14" t="str">
        <f>HYPERLINK("https://otsuka-europe-crm.veevavault.com/ui/#object/email_activity__v/V8C00000003X833", "EN-002098298")</f>
        <v>EN-002098298</v>
      </c>
    </row>
    <row r="11253" spans="1:15" ht="16" x14ac:dyDescent="0.2">
      <c r="A11253" s="19"/>
      <c r="B11253" s="19"/>
      <c r="C11253" s="19"/>
      <c r="D11253" s="19"/>
      <c r="E11253" s="19"/>
      <c r="F11253" s="19"/>
      <c r="G11253" s="19"/>
      <c r="H11253" s="19"/>
      <c r="I11253" s="19"/>
      <c r="J11253" s="19"/>
      <c r="K11253" s="19"/>
      <c r="L11253" s="19"/>
      <c r="M11253" s="19"/>
      <c r="N11253" s="19"/>
      <c r="O11253" s="14" t="str">
        <f>HYPERLINK("https://otsuka-europe-crm.veevavault.com/ui/#object/email_activity__v/V8C00000003X839", "EN-002098320")</f>
        <v>EN-002098320</v>
      </c>
    </row>
    <row r="11254" spans="1:15" ht="16" x14ac:dyDescent="0.2">
      <c r="A11254" s="17" t="str">
        <f>HYPERLINK("https://otsuka-europe-crm.veevavault.com/ui/#object/account__v/V4TZ06G6O71T7KQ", "MARTA CALVO AREVALO")</f>
        <v>MARTA CALVO AREVALO</v>
      </c>
      <c r="B11254" s="17" t="str">
        <f>HYPERLINK("https://otsuka-europe-crm.veevavault.com/ui/#object/vcountry__v/VENZ000004SONF5", "ES")</f>
        <v>ES</v>
      </c>
      <c r="C11254" s="20" t="s">
        <v>41</v>
      </c>
      <c r="D11254" s="21" t="str">
        <f>HYPERLINK("https://otsuka-europe-crm.veevavault.com/ui/#object/approved_document__v/V5O00000001A037", "LUP - VAE Póster Adelphi - Nefro")</f>
        <v>LUP - VAE Póster Adelphi - Nefro</v>
      </c>
      <c r="E11254" s="22" t="str">
        <f>HYPERLINK("https://otsuka-europe-crm.veevavault.com/ui/#object/sent_email__v/VBL00000002V177", "SE-001437066")</f>
        <v>SE-001437066</v>
      </c>
      <c r="F11254" s="23">
        <v>46188.862349537034</v>
      </c>
      <c r="G11254" s="24">
        <v>1</v>
      </c>
      <c r="H11254" s="24">
        <v>1</v>
      </c>
      <c r="I11254" s="24">
        <v>0</v>
      </c>
      <c r="J11254" s="25"/>
      <c r="K11254" s="24">
        <v>0</v>
      </c>
      <c r="L11254" s="22" t="str">
        <f>HYPERLINK("https://otsuka-europe-crm.veevavault.com/ui/#object/approved_document__v/V5O00000001A037", "LUP - VAE Póster Adelphi - Nefro")</f>
        <v>LUP - VAE Póster Adelphi - Nefro</v>
      </c>
      <c r="M11254" s="22" t="str">
        <f>HYPERLINK("mailto:jguri@crm.otsuka-europe.com", "jguri@crm.otsuka-europe.com")</f>
        <v>jguri@crm.otsuka-europe.com</v>
      </c>
      <c r="N11254" s="23">
        <v>46188.79488425926</v>
      </c>
      <c r="O11254" s="14" t="str">
        <f>HYPERLINK("https://otsuka-europe-crm.veevavault.com/ui/#object/email_activity__v/V8C00000003V968", "EN-002096610")</f>
        <v>EN-002096610</v>
      </c>
    </row>
    <row r="11255" spans="1:15" ht="16" x14ac:dyDescent="0.2">
      <c r="A11255" s="19"/>
      <c r="B11255" s="19"/>
      <c r="C11255" s="19"/>
      <c r="D11255" s="19"/>
      <c r="E11255" s="19"/>
      <c r="F11255" s="19"/>
      <c r="G11255" s="19"/>
      <c r="H11255" s="19"/>
      <c r="I11255" s="19"/>
      <c r="J11255" s="19"/>
      <c r="K11255" s="19"/>
      <c r="L11255" s="19"/>
      <c r="M11255" s="19"/>
      <c r="N11255" s="19"/>
      <c r="O11255" s="14" t="str">
        <f>HYPERLINK("https://otsuka-europe-crm.veevavault.com/ui/#object/email_activity__v/V8C00000003W078", "EN-002096802")</f>
        <v>EN-002096802</v>
      </c>
    </row>
    <row r="11256" spans="1:15" ht="16" x14ac:dyDescent="0.2">
      <c r="A11256" s="17" t="str">
        <f>HYPERLINK("https://otsuka-europe-crm.veevavault.com/ui/#object/account__v/V4TZ04ASGGHZH8N", "JESSY KORINA PEÑA ESPARRAGOZA")</f>
        <v>JESSY KORINA PEÑA ESPARRAGOZA</v>
      </c>
      <c r="B11256" s="17" t="str">
        <f>HYPERLINK("https://otsuka-europe-crm.veevavault.com/ui/#object/vcountry__v/VENZ000004SONF5", "ES")</f>
        <v>ES</v>
      </c>
      <c r="C11256" s="20" t="s">
        <v>41</v>
      </c>
      <c r="D11256" s="21" t="str">
        <f>HYPERLINK("https://otsuka-europe-crm.veevavault.com/ui/#object/approved_document__v/V5O00000001A037", "LUP - VAE Póster Adelphi - Nefro")</f>
        <v>LUP - VAE Póster Adelphi - Nefro</v>
      </c>
      <c r="E11256" s="22" t="str">
        <f>HYPERLINK("https://otsuka-europe-crm.veevavault.com/ui/#object/sent_email__v/VBL00000002V178", "SE-001437067")</f>
        <v>SE-001437067</v>
      </c>
      <c r="F11256" s="23">
        <v>46188.800243055557</v>
      </c>
      <c r="G11256" s="24">
        <v>1</v>
      </c>
      <c r="H11256" s="24">
        <v>2</v>
      </c>
      <c r="I11256" s="24">
        <v>1</v>
      </c>
      <c r="J11256" s="23">
        <v>46188.800347222219</v>
      </c>
      <c r="K11256" s="24">
        <v>1</v>
      </c>
      <c r="L11256" s="22" t="str">
        <f>HYPERLINK("https://otsuka-europe-crm.veevavault.com/ui/#object/approved_document__v/V5O00000001A037", "LUP - VAE Póster Adelphi - Nefro")</f>
        <v>LUP - VAE Póster Adelphi - Nefro</v>
      </c>
      <c r="M11256" s="22" t="str">
        <f>HYPERLINK("mailto:jguri@crm.otsuka-europe.com", "jguri@crm.otsuka-europe.com")</f>
        <v>jguri@crm.otsuka-europe.com</v>
      </c>
      <c r="N11256" s="23">
        <v>46188.79488425926</v>
      </c>
      <c r="O11256" s="14" t="str">
        <f>HYPERLINK("https://otsuka-europe-crm.veevavault.com/ui/#object/email_activity__v/V8C00000003U901", "EN-002096785")</f>
        <v>EN-002096785</v>
      </c>
    </row>
    <row r="11257" spans="1:15" ht="16" x14ac:dyDescent="0.2">
      <c r="A11257" s="18"/>
      <c r="B11257" s="18"/>
      <c r="C11257" s="18"/>
      <c r="D11257" s="18"/>
      <c r="E11257" s="18"/>
      <c r="F11257" s="18"/>
      <c r="G11257" s="18"/>
      <c r="H11257" s="18"/>
      <c r="I11257" s="18"/>
      <c r="J11257" s="18"/>
      <c r="K11257" s="18"/>
      <c r="L11257" s="18"/>
      <c r="M11257" s="18"/>
      <c r="N11257" s="18"/>
      <c r="O11257" s="14" t="str">
        <f>HYPERLINK("https://otsuka-europe-crm.veevavault.com/ui/#object/email_activity__v/V8C00000003V927", "EN-002096564")</f>
        <v>EN-002096564</v>
      </c>
    </row>
    <row r="11258" spans="1:15" ht="16" x14ac:dyDescent="0.2">
      <c r="A11258" s="18"/>
      <c r="B11258" s="18"/>
      <c r="C11258" s="18"/>
      <c r="D11258" s="18"/>
      <c r="E11258" s="18"/>
      <c r="F11258" s="18"/>
      <c r="G11258" s="18"/>
      <c r="H11258" s="18"/>
      <c r="I11258" s="18"/>
      <c r="J11258" s="18"/>
      <c r="K11258" s="18"/>
      <c r="L11258" s="18"/>
      <c r="M11258" s="18"/>
      <c r="N11258" s="18"/>
      <c r="O11258" s="14" t="str">
        <f>HYPERLINK("https://otsuka-europe-crm.veevavault.com/ui/#object/email_activity__v/V8C00000003V978", "EN-002096626")</f>
        <v>EN-002096626</v>
      </c>
    </row>
    <row r="11259" spans="1:15" ht="16" x14ac:dyDescent="0.2">
      <c r="A11259" s="18"/>
      <c r="B11259" s="18"/>
      <c r="C11259" s="18"/>
      <c r="D11259" s="18"/>
      <c r="E11259" s="18"/>
      <c r="F11259" s="18"/>
      <c r="G11259" s="18"/>
      <c r="H11259" s="18"/>
      <c r="I11259" s="18"/>
      <c r="J11259" s="18"/>
      <c r="K11259" s="18"/>
      <c r="L11259" s="18"/>
      <c r="M11259" s="18"/>
      <c r="N11259" s="18"/>
      <c r="O11259" s="14" t="str">
        <f>HYPERLINK("https://otsuka-europe-crm.veevavault.com/ui/#object/email_activity__v/V8C00000003W044", "EN-002096738")</f>
        <v>EN-002096738</v>
      </c>
    </row>
    <row r="11260" spans="1:15" ht="16" x14ac:dyDescent="0.2">
      <c r="A11260" s="19"/>
      <c r="B11260" s="19"/>
      <c r="C11260" s="19"/>
      <c r="D11260" s="19"/>
      <c r="E11260" s="19"/>
      <c r="F11260" s="19"/>
      <c r="G11260" s="19"/>
      <c r="H11260" s="19"/>
      <c r="I11260" s="19"/>
      <c r="J11260" s="19"/>
      <c r="K11260" s="19"/>
      <c r="L11260" s="19"/>
      <c r="M11260" s="19"/>
      <c r="N11260" s="19"/>
      <c r="O11260" s="14" t="str">
        <f>HYPERLINK("https://otsuka-europe-crm.veevavault.com/ui/#object/email_activity__v/V8C00000003W045", "EN-002096739")</f>
        <v>EN-002096739</v>
      </c>
    </row>
    <row r="11261" spans="1:15" ht="32" x14ac:dyDescent="0.2">
      <c r="A11261" s="7" t="str">
        <f>HYPERLINK("https://otsuka-europe-crm.veevavault.com/ui/#object/account__v/V4TZ06G6O71TB1M", "PATRICIA MARTINEZ MIGUEL")</f>
        <v>PATRICIA MARTINEZ MIGUEL</v>
      </c>
      <c r="B11261" s="7" t="str">
        <f>HYPERLINK("https://otsuka-europe-crm.veevavault.com/ui/#object/vcountry__v/VENZ000004SONF5", "ES")</f>
        <v>ES</v>
      </c>
      <c r="C11261" s="8" t="s">
        <v>41</v>
      </c>
      <c r="D11261" s="9" t="str">
        <f>HYPERLINK("https://otsuka-europe-crm.veevavault.com/ui/#object/approved_document__v/V5O00000001A037", "LUP - VAE Póster Adelphi - Nefro")</f>
        <v>LUP - VAE Póster Adelphi - Nefro</v>
      </c>
      <c r="E11261" s="10" t="str">
        <f>HYPERLINK("https://otsuka-europe-crm.veevavault.com/ui/#object/sent_email__v/VBL00000002V179", "SE-001437068")</f>
        <v>SE-001437068</v>
      </c>
      <c r="F11261" s="11"/>
      <c r="G11261" s="12">
        <v>0</v>
      </c>
      <c r="H11261" s="12">
        <v>0</v>
      </c>
      <c r="I11261" s="12">
        <v>0</v>
      </c>
      <c r="J11261" s="11"/>
      <c r="K11261" s="12">
        <v>0</v>
      </c>
      <c r="L11261" s="10" t="str">
        <f>HYPERLINK("https://otsuka-europe-crm.veevavault.com/ui/#object/approved_document__v/V5O00000001A037", "LUP - VAE Póster Adelphi - Nefro")</f>
        <v>LUP - VAE Póster Adelphi - Nefro</v>
      </c>
      <c r="M11261" s="10" t="str">
        <f>HYPERLINK("mailto:jguri@crm.otsuka-europe.com", "jguri@crm.otsuka-europe.com")</f>
        <v>jguri@crm.otsuka-europe.com</v>
      </c>
      <c r="N11261" s="13">
        <v>46188.79488425926</v>
      </c>
      <c r="O11261" s="14" t="str">
        <f>HYPERLINK("https://otsuka-europe-crm.veevavault.com/ui/#object/email_activity__v/V8C00000003U848", "EN-002096658")</f>
        <v>EN-002096658</v>
      </c>
    </row>
    <row r="11262" spans="1:15" ht="16" x14ac:dyDescent="0.2">
      <c r="A11262" s="17" t="str">
        <f>HYPERLINK("https://otsuka-europe-crm.veevavault.com/ui/#object/account__v/V4TZ06G6O71TBX2", "BEGOÑA RIVAS BECERRA")</f>
        <v>BEGOÑA RIVAS BECERRA</v>
      </c>
      <c r="B11262" s="17" t="str">
        <f>HYPERLINK("https://otsuka-europe-crm.veevavault.com/ui/#object/vcountry__v/VENZ000004SONF5", "ES")</f>
        <v>ES</v>
      </c>
      <c r="C11262" s="20" t="s">
        <v>41</v>
      </c>
      <c r="D11262" s="21" t="str">
        <f>HYPERLINK("https://otsuka-europe-crm.veevavault.com/ui/#object/approved_document__v/V5O00000001A037", "LUP - VAE Póster Adelphi - Nefro")</f>
        <v>LUP - VAE Póster Adelphi - Nefro</v>
      </c>
      <c r="E11262" s="22" t="str">
        <f>HYPERLINK("https://otsuka-europe-crm.veevavault.com/ui/#object/sent_email__v/VBL00000002V180", "SE-001437069")</f>
        <v>SE-001437069</v>
      </c>
      <c r="F11262" s="25"/>
      <c r="G11262" s="24">
        <v>0</v>
      </c>
      <c r="H11262" s="24">
        <v>0</v>
      </c>
      <c r="I11262" s="24">
        <v>0</v>
      </c>
      <c r="J11262" s="25"/>
      <c r="K11262" s="24">
        <v>0</v>
      </c>
      <c r="L11262" s="22" t="str">
        <f>HYPERLINK("https://otsuka-europe-crm.veevavault.com/ui/#object/approved_document__v/V5O00000001A037", "LUP - VAE Póster Adelphi - Nefro")</f>
        <v>LUP - VAE Póster Adelphi - Nefro</v>
      </c>
      <c r="M11262" s="22" t="str">
        <f>HYPERLINK("mailto:jguri@crm.otsuka-europe.com", "jguri@crm.otsuka-europe.com")</f>
        <v>jguri@crm.otsuka-europe.com</v>
      </c>
      <c r="N11262" s="23">
        <v>46188.79488425926</v>
      </c>
      <c r="O11262" s="14" t="str">
        <f>HYPERLINK("https://otsuka-europe-crm.veevavault.com/ui/#object/email_activity__v/V8C00000003V965", "EN-002096602")</f>
        <v>EN-002096602</v>
      </c>
    </row>
    <row r="11263" spans="1:15" ht="16" x14ac:dyDescent="0.2">
      <c r="A11263" s="19"/>
      <c r="B11263" s="19"/>
      <c r="C11263" s="19"/>
      <c r="D11263" s="19"/>
      <c r="E11263" s="19"/>
      <c r="F11263" s="19"/>
      <c r="G11263" s="19"/>
      <c r="H11263" s="19"/>
      <c r="I11263" s="19"/>
      <c r="J11263" s="19"/>
      <c r="K11263" s="19"/>
      <c r="L11263" s="19"/>
      <c r="M11263" s="19"/>
      <c r="N11263" s="19"/>
      <c r="O11263" s="14" t="str">
        <f>HYPERLINK("https://otsuka-europe-crm.veevavault.com/ui/#object/email_activity__v/V8C00000003X159", "EN-002097205")</f>
        <v>EN-002097205</v>
      </c>
    </row>
    <row r="11264" spans="1:15" ht="32" x14ac:dyDescent="0.2">
      <c r="A11264" s="7" t="str">
        <f>HYPERLINK("https://otsuka-europe-crm.veevavault.com/ui/#object/account__v/V4TZ04ASG8JTC9M", "MARIA TERESA CANO NOHEDA")</f>
        <v>MARIA TERESA CANO NOHEDA</v>
      </c>
      <c r="B11264" s="7" t="str">
        <f>HYPERLINK("https://otsuka-europe-crm.veevavault.com/ui/#object/vcountry__v/VENZ000004SONF5", "ES")</f>
        <v>ES</v>
      </c>
      <c r="C11264" s="8" t="s">
        <v>41</v>
      </c>
      <c r="D11264" s="9" t="str">
        <f>HYPERLINK("https://otsuka-europe-crm.veevavault.com/ui/#object/approved_document__v/V5O00000001A037", "LUP - VAE Póster Adelphi - Nefro")</f>
        <v>LUP - VAE Póster Adelphi - Nefro</v>
      </c>
      <c r="E11264" s="10" t="str">
        <f>HYPERLINK("https://otsuka-europe-crm.veevavault.com/ui/#object/sent_email__v/VBL00000002V181", "SE-001437070")</f>
        <v>SE-001437070</v>
      </c>
      <c r="F11264" s="11"/>
      <c r="G11264" s="12">
        <v>0</v>
      </c>
      <c r="H11264" s="12">
        <v>0</v>
      </c>
      <c r="I11264" s="12">
        <v>0</v>
      </c>
      <c r="J11264" s="11"/>
      <c r="K11264" s="12">
        <v>0</v>
      </c>
      <c r="L11264" s="10" t="str">
        <f>HYPERLINK("https://otsuka-europe-crm.veevavault.com/ui/#object/approved_document__v/V5O00000001A037", "LUP - VAE Póster Adelphi - Nefro")</f>
        <v>LUP - VAE Póster Adelphi - Nefro</v>
      </c>
      <c r="M11264" s="10" t="str">
        <f>HYPERLINK("mailto:jguri@crm.otsuka-europe.com", "jguri@crm.otsuka-europe.com")</f>
        <v>jguri@crm.otsuka-europe.com</v>
      </c>
      <c r="N11264" s="13">
        <v>46188.79488425926</v>
      </c>
      <c r="O11264" s="14" t="str">
        <f>HYPERLINK("https://otsuka-europe-crm.veevavault.com/ui/#object/email_activity__v/V8C00000003U831", "EN-002096617")</f>
        <v>EN-002096617</v>
      </c>
    </row>
    <row r="11265" spans="1:15" ht="32" x14ac:dyDescent="0.2">
      <c r="A11265" s="7" t="str">
        <f>HYPERLINK("https://otsuka-europe-crm.veevavault.com/ui/#object/account__v/V4TZ06G6O71T78Y", "FRANCISCO JAVIER GARCIA SANCHEZ")</f>
        <v>FRANCISCO JAVIER GARCIA SANCHEZ</v>
      </c>
      <c r="B11265" s="7" t="str">
        <f>HYPERLINK("https://otsuka-europe-crm.veevavault.com/ui/#object/vcountry__v/VENZ000004SONF5", "ES")</f>
        <v>ES</v>
      </c>
      <c r="C11265" s="8" t="s">
        <v>41</v>
      </c>
      <c r="D11265" s="9" t="str">
        <f>HYPERLINK("https://otsuka-europe-crm.veevavault.com/ui/#object/approved_document__v/V5O00000001A037", "LUP - VAE Póster Adelphi - Nefro")</f>
        <v>LUP - VAE Póster Adelphi - Nefro</v>
      </c>
      <c r="E11265" s="10" t="str">
        <f>HYPERLINK("https://otsuka-europe-crm.veevavault.com/ui/#object/sent_email__v/VBL00000002V182", "SE-001437071")</f>
        <v>SE-001437071</v>
      </c>
      <c r="F11265" s="11"/>
      <c r="G11265" s="12">
        <v>0</v>
      </c>
      <c r="H11265" s="12">
        <v>0</v>
      </c>
      <c r="I11265" s="12">
        <v>0</v>
      </c>
      <c r="J11265" s="11"/>
      <c r="K11265" s="12">
        <v>0</v>
      </c>
      <c r="L11265" s="10" t="str">
        <f>HYPERLINK("https://otsuka-europe-crm.veevavault.com/ui/#object/approved_document__v/V5O00000001A037", "LUP - VAE Póster Adelphi - Nefro")</f>
        <v>LUP - VAE Póster Adelphi - Nefro</v>
      </c>
      <c r="M11265" s="10" t="str">
        <f>HYPERLINK("mailto:jguri@crm.otsuka-europe.com", "jguri@crm.otsuka-europe.com")</f>
        <v>jguri@crm.otsuka-europe.com</v>
      </c>
      <c r="N11265" s="13">
        <v>46188.79488425926</v>
      </c>
      <c r="O11265" s="14" t="str">
        <f>HYPERLINK("https://otsuka-europe-crm.veevavault.com/ui/#object/email_activity__v/V8C00000003V923", "EN-002096560")</f>
        <v>EN-002096560</v>
      </c>
    </row>
    <row r="11266" spans="1:15" ht="32" x14ac:dyDescent="0.2">
      <c r="A11266" s="7" t="str">
        <f>HYPERLINK("https://otsuka-europe-crm.veevavault.com/ui/#object/account__v/V4TZ06G6O71TK2H", "ALFREDO CORDON RODRIGUEZ")</f>
        <v>ALFREDO CORDON RODRIGUEZ</v>
      </c>
      <c r="B11266" s="7" t="str">
        <f>HYPERLINK("https://otsuka-europe-crm.veevavault.com/ui/#object/vcountry__v/VENZ000004SONF5", "ES")</f>
        <v>ES</v>
      </c>
      <c r="C11266" s="8" t="s">
        <v>41</v>
      </c>
      <c r="D11266" s="9" t="str">
        <f>HYPERLINK("https://otsuka-europe-crm.veevavault.com/ui/#object/approved_document__v/V5O00000001A037", "LUP - VAE Póster Adelphi - Nefro")</f>
        <v>LUP - VAE Póster Adelphi - Nefro</v>
      </c>
      <c r="E11266" s="10" t="str">
        <f>HYPERLINK("https://otsuka-europe-crm.veevavault.com/ui/#object/sent_email__v/VBL00000002V183", "SE-001437072")</f>
        <v>SE-001437072</v>
      </c>
      <c r="F11266" s="11"/>
      <c r="G11266" s="12">
        <v>0</v>
      </c>
      <c r="H11266" s="12">
        <v>0</v>
      </c>
      <c r="I11266" s="12">
        <v>0</v>
      </c>
      <c r="J11266" s="11"/>
      <c r="K11266" s="12">
        <v>0</v>
      </c>
      <c r="L11266" s="10" t="str">
        <f>HYPERLINK("https://otsuka-europe-crm.veevavault.com/ui/#object/approved_document__v/V5O00000001A037", "LUP - VAE Póster Adelphi - Nefro")</f>
        <v>LUP - VAE Póster Adelphi - Nefro</v>
      </c>
      <c r="M11266" s="10" t="str">
        <f>HYPERLINK("mailto:jguri@crm.otsuka-europe.com", "jguri@crm.otsuka-europe.com")</f>
        <v>jguri@crm.otsuka-europe.com</v>
      </c>
      <c r="N11266" s="13">
        <v>46188.794918981483</v>
      </c>
      <c r="O11266" s="14" t="str">
        <f>HYPERLINK("https://otsuka-europe-crm.veevavault.com/ui/#object/email_activity__v/V8C00000003V985", "EN-002096633")</f>
        <v>EN-002096633</v>
      </c>
    </row>
    <row r="11267" spans="1:15" ht="32" x14ac:dyDescent="0.2">
      <c r="A11267" s="7" t="str">
        <f>HYPERLINK("https://otsuka-europe-crm.veevavault.com/ui/#object/account__v/V4TZ06G6O71TCH1", "ANA MARIA TATO RIBERA")</f>
        <v>ANA MARIA TATO RIBERA</v>
      </c>
      <c r="B11267" s="7" t="str">
        <f>HYPERLINK("https://otsuka-europe-crm.veevavault.com/ui/#object/vcountry__v/VENZ000004SONF5", "ES")</f>
        <v>ES</v>
      </c>
      <c r="C11267" s="8" t="s">
        <v>41</v>
      </c>
      <c r="D11267" s="9" t="str">
        <f>HYPERLINK("https://otsuka-europe-crm.veevavault.com/ui/#object/approved_document__v/V5O00000001A037", "LUP - VAE Póster Adelphi - Nefro")</f>
        <v>LUP - VAE Póster Adelphi - Nefro</v>
      </c>
      <c r="E11267" s="10" t="str">
        <f>HYPERLINK("https://otsuka-europe-crm.veevavault.com/ui/#object/sent_email__v/VBL00000002V184", "SE-001437073")</f>
        <v>SE-001437073</v>
      </c>
      <c r="F11267" s="11"/>
      <c r="G11267" s="12">
        <v>0</v>
      </c>
      <c r="H11267" s="12">
        <v>0</v>
      </c>
      <c r="I11267" s="12">
        <v>0</v>
      </c>
      <c r="J11267" s="11"/>
      <c r="K11267" s="12">
        <v>0</v>
      </c>
      <c r="L11267" s="10" t="str">
        <f>HYPERLINK("https://otsuka-europe-crm.veevavault.com/ui/#object/approved_document__v/V5O00000001A037", "LUP - VAE Póster Adelphi - Nefro")</f>
        <v>LUP - VAE Póster Adelphi - Nefro</v>
      </c>
      <c r="M11267" s="10" t="str">
        <f>HYPERLINK("mailto:jguri@crm.otsuka-europe.com", "jguri@crm.otsuka-europe.com")</f>
        <v>jguri@crm.otsuka-europe.com</v>
      </c>
      <c r="N11267" s="13">
        <v>46188.79488425926</v>
      </c>
      <c r="O11267" s="14" t="str">
        <f>HYPERLINK("https://otsuka-europe-crm.veevavault.com/ui/#object/email_activity__v/V8C00000003V988", "EN-002096642")</f>
        <v>EN-002096642</v>
      </c>
    </row>
    <row r="11268" spans="1:15" ht="16" x14ac:dyDescent="0.2">
      <c r="A11268" s="17" t="str">
        <f>HYPERLINK("https://otsuka-europe-crm.veevavault.com/ui/#object/account__v/V4TZ06G6O71TB3N", "JESUS PEDRO MARIN ALVAREZ")</f>
        <v>JESUS PEDRO MARIN ALVAREZ</v>
      </c>
      <c r="B11268" s="17" t="str">
        <f>HYPERLINK("https://otsuka-europe-crm.veevavault.com/ui/#object/vcountry__v/VENZ000004SONF5", "ES")</f>
        <v>ES</v>
      </c>
      <c r="C11268" s="20" t="s">
        <v>41</v>
      </c>
      <c r="D11268" s="21" t="str">
        <f>HYPERLINK("https://otsuka-europe-crm.veevavault.com/ui/#object/approved_document__v/V5O00000001A037", "LUP - VAE Póster Adelphi - Nefro")</f>
        <v>LUP - VAE Póster Adelphi - Nefro</v>
      </c>
      <c r="E11268" s="22" t="str">
        <f>HYPERLINK("https://otsuka-europe-crm.veevavault.com/ui/#object/sent_email__v/VBL00000002V185", "SE-001437074")</f>
        <v>SE-001437074</v>
      </c>
      <c r="F11268" s="23">
        <v>46191.55133101852</v>
      </c>
      <c r="G11268" s="24">
        <v>1</v>
      </c>
      <c r="H11268" s="24">
        <v>2</v>
      </c>
      <c r="I11268" s="24">
        <v>0</v>
      </c>
      <c r="J11268" s="25"/>
      <c r="K11268" s="24">
        <v>0</v>
      </c>
      <c r="L11268" s="22" t="str">
        <f>HYPERLINK("https://otsuka-europe-crm.veevavault.com/ui/#object/approved_document__v/V5O00000001A037", "LUP - VAE Póster Adelphi - Nefro")</f>
        <v>LUP - VAE Póster Adelphi - Nefro</v>
      </c>
      <c r="M11268" s="22" t="str">
        <f>HYPERLINK("mailto:jguri@crm.otsuka-europe.com", "jguri@crm.otsuka-europe.com")</f>
        <v>jguri@crm.otsuka-europe.com</v>
      </c>
      <c r="N11268" s="23">
        <v>46188.79488425926</v>
      </c>
      <c r="O11268" s="14" t="str">
        <f>HYPERLINK("https://otsuka-europe-crm.veevavault.com/ui/#object/email_activity__v/V8C00000003U826", "EN-002096607")</f>
        <v>EN-002096607</v>
      </c>
    </row>
    <row r="11269" spans="1:15" ht="16" x14ac:dyDescent="0.2">
      <c r="A11269" s="18"/>
      <c r="B11269" s="18"/>
      <c r="C11269" s="18"/>
      <c r="D11269" s="18"/>
      <c r="E11269" s="18"/>
      <c r="F11269" s="18"/>
      <c r="G11269" s="18"/>
      <c r="H11269" s="18"/>
      <c r="I11269" s="18"/>
      <c r="J11269" s="18"/>
      <c r="K11269" s="18"/>
      <c r="L11269" s="18"/>
      <c r="M11269" s="18"/>
      <c r="N11269" s="18"/>
      <c r="O11269" s="14" t="str">
        <f>HYPERLINK("https://otsuka-europe-crm.veevavault.com/ui/#object/email_activity__v/V8C00000003W797", "EN-002098601")</f>
        <v>EN-002098601</v>
      </c>
    </row>
    <row r="11270" spans="1:15" ht="16" x14ac:dyDescent="0.2">
      <c r="A11270" s="19"/>
      <c r="B11270" s="19"/>
      <c r="C11270" s="19"/>
      <c r="D11270" s="19"/>
      <c r="E11270" s="19"/>
      <c r="F11270" s="19"/>
      <c r="G11270" s="19"/>
      <c r="H11270" s="19"/>
      <c r="I11270" s="19"/>
      <c r="J11270" s="19"/>
      <c r="K11270" s="19"/>
      <c r="L11270" s="19"/>
      <c r="M11270" s="19"/>
      <c r="N11270" s="19"/>
      <c r="O11270" s="14" t="str">
        <f>HYPERLINK("https://otsuka-europe-crm.veevavault.com/ui/#object/email_activity__v/V8C00000003W798", "EN-002098602")</f>
        <v>EN-002098602</v>
      </c>
    </row>
    <row r="11271" spans="1:15" ht="32" x14ac:dyDescent="0.2">
      <c r="A11271" s="7" t="str">
        <f>HYPERLINK("https://otsuka-europe-crm.veevavault.com/ui/#object/account__v/V4TZ06G6O71U962", "JAVIER LORENZO DEIRA LORENZO")</f>
        <v>JAVIER LORENZO DEIRA LORENZO</v>
      </c>
      <c r="B11271" s="7" t="str">
        <f>HYPERLINK("https://otsuka-europe-crm.veevavault.com/ui/#object/vcountry__v/VENZ000004SONF5", "ES")</f>
        <v>ES</v>
      </c>
      <c r="C11271" s="8" t="s">
        <v>41</v>
      </c>
      <c r="D11271" s="9" t="str">
        <f>HYPERLINK("https://otsuka-europe-crm.veevavault.com/ui/#object/approved_document__v/V5O00000001A037", "LUP - VAE Póster Adelphi - Nefro")</f>
        <v>LUP - VAE Póster Adelphi - Nefro</v>
      </c>
      <c r="E11271" s="10" t="str">
        <f>HYPERLINK("https://otsuka-europe-crm.veevavault.com/ui/#object/sent_email__v/VBL00000002V186", "SE-001437075")</f>
        <v>SE-001437075</v>
      </c>
      <c r="F11271" s="11"/>
      <c r="G11271" s="12">
        <v>0</v>
      </c>
      <c r="H11271" s="12">
        <v>0</v>
      </c>
      <c r="I11271" s="12">
        <v>0</v>
      </c>
      <c r="J11271" s="11"/>
      <c r="K11271" s="12">
        <v>0</v>
      </c>
      <c r="L11271" s="10" t="str">
        <f>HYPERLINK("https://otsuka-europe-crm.veevavault.com/ui/#object/approved_document__v/V5O00000001A037", "LUP - VAE Póster Adelphi - Nefro")</f>
        <v>LUP - VAE Póster Adelphi - Nefro</v>
      </c>
      <c r="M11271" s="10" t="str">
        <f>HYPERLINK("mailto:jguri@crm.otsuka-europe.com", "jguri@crm.otsuka-europe.com")</f>
        <v>jguri@crm.otsuka-europe.com</v>
      </c>
      <c r="N11271" s="13">
        <v>46188.79488425926</v>
      </c>
      <c r="O11271" s="14" t="str">
        <f>HYPERLINK("https://otsuka-europe-crm.veevavault.com/ui/#object/email_activity__v/V8C00000003V931", "EN-002096568")</f>
        <v>EN-002096568</v>
      </c>
    </row>
    <row r="11272" spans="1:15" ht="16" x14ac:dyDescent="0.2">
      <c r="A11272" s="17" t="str">
        <f>HYPERLINK("https://otsuka-europe-crm.veevavault.com/ui/#object/account__v/V4TZ06G6O71TB7V", "FUENSANTA MORENO BARRIO")</f>
        <v>FUENSANTA MORENO BARRIO</v>
      </c>
      <c r="B11272" s="17" t="str">
        <f>HYPERLINK("https://otsuka-europe-crm.veevavault.com/ui/#object/vcountry__v/VENZ000004SONF5", "ES")</f>
        <v>ES</v>
      </c>
      <c r="C11272" s="20" t="s">
        <v>41</v>
      </c>
      <c r="D11272" s="21" t="str">
        <f>HYPERLINK("https://otsuka-europe-crm.veevavault.com/ui/#object/approved_document__v/V5O00000001A037", "LUP - VAE Póster Adelphi - Nefro")</f>
        <v>LUP - VAE Póster Adelphi - Nefro</v>
      </c>
      <c r="E11272" s="22" t="str">
        <f>HYPERLINK("https://otsuka-europe-crm.veevavault.com/ui/#object/sent_email__v/VBL00000002V187", "SE-001437076")</f>
        <v>SE-001437076</v>
      </c>
      <c r="F11272" s="25"/>
      <c r="G11272" s="24">
        <v>0</v>
      </c>
      <c r="H11272" s="24">
        <v>0</v>
      </c>
      <c r="I11272" s="24">
        <v>0</v>
      </c>
      <c r="J11272" s="25"/>
      <c r="K11272" s="24">
        <v>0</v>
      </c>
      <c r="L11272" s="22" t="str">
        <f>HYPERLINK("https://otsuka-europe-crm.veevavault.com/ui/#object/approved_document__v/V5O00000001A037", "LUP - VAE Póster Adelphi - Nefro")</f>
        <v>LUP - VAE Póster Adelphi - Nefro</v>
      </c>
      <c r="M11272" s="22" t="str">
        <f>HYPERLINK("mailto:jguri@crm.otsuka-europe.com", "jguri@crm.otsuka-europe.com")</f>
        <v>jguri@crm.otsuka-europe.com</v>
      </c>
      <c r="N11272" s="23">
        <v>46188.79488425926</v>
      </c>
      <c r="O11272" s="14" t="str">
        <f>HYPERLINK("https://otsuka-europe-crm.veevavault.com/ui/#object/email_activity__v/V8C00000003V940", "EN-002096577")</f>
        <v>EN-002096577</v>
      </c>
    </row>
    <row r="11273" spans="1:15" ht="16" x14ac:dyDescent="0.2">
      <c r="A11273" s="18"/>
      <c r="B11273" s="18"/>
      <c r="C11273" s="18"/>
      <c r="D11273" s="18"/>
      <c r="E11273" s="18"/>
      <c r="F11273" s="18"/>
      <c r="G11273" s="18"/>
      <c r="H11273" s="18"/>
      <c r="I11273" s="18"/>
      <c r="J11273" s="18"/>
      <c r="K11273" s="18"/>
      <c r="L11273" s="18"/>
      <c r="M11273" s="18"/>
      <c r="N11273" s="18"/>
      <c r="O11273" s="14" t="str">
        <f>HYPERLINK("https://otsuka-europe-crm.veevavault.com/ui/#object/email_activity__v/V8C00000003W114", "EN-002096866")</f>
        <v>EN-002096866</v>
      </c>
    </row>
    <row r="11274" spans="1:15" ht="16" x14ac:dyDescent="0.2">
      <c r="A11274" s="19"/>
      <c r="B11274" s="19"/>
      <c r="C11274" s="19"/>
      <c r="D11274" s="19"/>
      <c r="E11274" s="19"/>
      <c r="F11274" s="19"/>
      <c r="G11274" s="19"/>
      <c r="H11274" s="19"/>
      <c r="I11274" s="19"/>
      <c r="J11274" s="19"/>
      <c r="K11274" s="19"/>
      <c r="L11274" s="19"/>
      <c r="M11274" s="19"/>
      <c r="N11274" s="19"/>
      <c r="O11274" s="14" t="str">
        <f>HYPERLINK("https://otsuka-europe-crm.veevavault.com/ui/#object/email_activity__v/V8C000000040173", "EN-002098999")</f>
        <v>EN-002098999</v>
      </c>
    </row>
    <row r="11275" spans="1:15" ht="32" x14ac:dyDescent="0.2">
      <c r="A11275" s="7" t="str">
        <f>HYPERLINK("https://otsuka-europe-crm.veevavault.com/ui/#object/account__v/V4TZ06G6O71T9MV", "CRISTINA DE ANCOS ARACIL")</f>
        <v>CRISTINA DE ANCOS ARACIL</v>
      </c>
      <c r="B11275" s="7" t="str">
        <f>HYPERLINK("https://otsuka-europe-crm.veevavault.com/ui/#object/vcountry__v/VENZ000004SONF5", "ES")</f>
        <v>ES</v>
      </c>
      <c r="C11275" s="8" t="s">
        <v>41</v>
      </c>
      <c r="D11275" s="9" t="str">
        <f>HYPERLINK("https://otsuka-europe-crm.veevavault.com/ui/#object/approved_document__v/V5O00000001A037", "LUP - VAE Póster Adelphi - Nefro")</f>
        <v>LUP - VAE Póster Adelphi - Nefro</v>
      </c>
      <c r="E11275" s="10" t="str">
        <f>HYPERLINK("https://otsuka-europe-crm.veevavault.com/ui/#object/sent_email__v/VBL00000002V188", "SE-001437077")</f>
        <v>SE-001437077</v>
      </c>
      <c r="F11275" s="11"/>
      <c r="G11275" s="12">
        <v>0</v>
      </c>
      <c r="H11275" s="12">
        <v>0</v>
      </c>
      <c r="I11275" s="12">
        <v>0</v>
      </c>
      <c r="J11275" s="11"/>
      <c r="K11275" s="12">
        <v>0</v>
      </c>
      <c r="L11275" s="10" t="str">
        <f>HYPERLINK("https://otsuka-europe-crm.veevavault.com/ui/#object/approved_document__v/V5O00000001A037", "LUP - VAE Póster Adelphi - Nefro")</f>
        <v>LUP - VAE Póster Adelphi - Nefro</v>
      </c>
      <c r="M11275" s="10" t="str">
        <f>HYPERLINK("mailto:jguri@crm.otsuka-europe.com", "jguri@crm.otsuka-europe.com")</f>
        <v>jguri@crm.otsuka-europe.com</v>
      </c>
      <c r="N11275" s="13">
        <v>46188.79488425926</v>
      </c>
      <c r="O11275" s="14" t="str">
        <f>HYPERLINK("https://otsuka-europe-crm.veevavault.com/ui/#object/email_activity__v/V8C00000003V976", "EN-002096622")</f>
        <v>EN-002096622</v>
      </c>
    </row>
    <row r="11276" spans="1:15" ht="16" x14ac:dyDescent="0.2">
      <c r="A11276" s="17" t="str">
        <f>HYPERLINK("https://otsuka-europe-crm.veevavault.com/ui/#object/account__v/V4TZ06G6O71TB2J", "JUDITH FATIMA MARTINS MUÑOZ")</f>
        <v>JUDITH FATIMA MARTINS MUÑOZ</v>
      </c>
      <c r="B11276" s="17" t="str">
        <f>HYPERLINK("https://otsuka-europe-crm.veevavault.com/ui/#object/vcountry__v/VENZ000004SONF5", "ES")</f>
        <v>ES</v>
      </c>
      <c r="C11276" s="20" t="s">
        <v>41</v>
      </c>
      <c r="D11276" s="21" t="str">
        <f>HYPERLINK("https://otsuka-europe-crm.veevavault.com/ui/#object/approved_document__v/V5O00000001A037", "LUP - VAE Póster Adelphi - Nefro")</f>
        <v>LUP - VAE Póster Adelphi - Nefro</v>
      </c>
      <c r="E11276" s="22" t="str">
        <f>HYPERLINK("https://otsuka-europe-crm.veevavault.com/ui/#object/sent_email__v/VBL00000002V189", "SE-001437078")</f>
        <v>SE-001437078</v>
      </c>
      <c r="F11276" s="23">
        <v>46188.798148148147</v>
      </c>
      <c r="G11276" s="24">
        <v>1</v>
      </c>
      <c r="H11276" s="24">
        <v>1</v>
      </c>
      <c r="I11276" s="24">
        <v>0</v>
      </c>
      <c r="J11276" s="25"/>
      <c r="K11276" s="24">
        <v>0</v>
      </c>
      <c r="L11276" s="22" t="str">
        <f>HYPERLINK("https://otsuka-europe-crm.veevavault.com/ui/#object/approved_document__v/V5O00000001A037", "LUP - VAE Póster Adelphi - Nefro")</f>
        <v>LUP - VAE Póster Adelphi - Nefro</v>
      </c>
      <c r="M11276" s="22" t="str">
        <f>HYPERLINK("mailto:jguri@crm.otsuka-europe.com", "jguri@crm.otsuka-europe.com")</f>
        <v>jguri@crm.otsuka-europe.com</v>
      </c>
      <c r="N11276" s="23">
        <v>46188.79488425926</v>
      </c>
      <c r="O11276" s="14" t="str">
        <f>HYPERLINK("https://otsuka-europe-crm.veevavault.com/ui/#object/email_activity__v/V8C00000003U878", "EN-002096731")</f>
        <v>EN-002096731</v>
      </c>
    </row>
    <row r="11277" spans="1:15" ht="16" x14ac:dyDescent="0.2">
      <c r="A11277" s="18"/>
      <c r="B11277" s="18"/>
      <c r="C11277" s="18"/>
      <c r="D11277" s="18"/>
      <c r="E11277" s="18"/>
      <c r="F11277" s="18"/>
      <c r="G11277" s="18"/>
      <c r="H11277" s="18"/>
      <c r="I11277" s="18"/>
      <c r="J11277" s="18"/>
      <c r="K11277" s="18"/>
      <c r="L11277" s="18"/>
      <c r="M11277" s="18"/>
      <c r="N11277" s="18"/>
      <c r="O11277" s="14" t="str">
        <f>HYPERLINK("https://otsuka-europe-crm.veevavault.com/ui/#object/email_activity__v/V8C00000003V937", "EN-002096574")</f>
        <v>EN-002096574</v>
      </c>
    </row>
    <row r="11278" spans="1:15" ht="16" x14ac:dyDescent="0.2">
      <c r="A11278" s="19"/>
      <c r="B11278" s="19"/>
      <c r="C11278" s="19"/>
      <c r="D11278" s="19"/>
      <c r="E11278" s="19"/>
      <c r="F11278" s="19"/>
      <c r="G11278" s="19"/>
      <c r="H11278" s="19"/>
      <c r="I11278" s="19"/>
      <c r="J11278" s="19"/>
      <c r="K11278" s="19"/>
      <c r="L11278" s="19"/>
      <c r="M11278" s="19"/>
      <c r="N11278" s="19"/>
      <c r="O11278" s="14" t="str">
        <f>HYPERLINK("https://otsuka-europe-crm.veevavault.com/ui/#object/email_activity__v/V8C00000003X226", "EN-002097350")</f>
        <v>EN-002097350</v>
      </c>
    </row>
    <row r="11279" spans="1:15" ht="32" x14ac:dyDescent="0.2">
      <c r="A11279" s="7" t="str">
        <f>HYPERLINK("https://otsuka-europe-crm.veevavault.com/ui/#object/account__v/V4TZ06G6O71TAYO", "JAVIER MANCHA RAMOS")</f>
        <v>JAVIER MANCHA RAMOS</v>
      </c>
      <c r="B11279" s="7" t="str">
        <f>HYPERLINK("https://otsuka-europe-crm.veevavault.com/ui/#object/vcountry__v/VENZ000004SONF5", "ES")</f>
        <v>ES</v>
      </c>
      <c r="C11279" s="8" t="s">
        <v>41</v>
      </c>
      <c r="D11279" s="9" t="str">
        <f>HYPERLINK("https://otsuka-europe-crm.veevavault.com/ui/#object/approved_document__v/V5O00000001A037", "LUP - VAE Póster Adelphi - Nefro")</f>
        <v>LUP - VAE Póster Adelphi - Nefro</v>
      </c>
      <c r="E11279" s="10" t="str">
        <f>HYPERLINK("https://otsuka-europe-crm.veevavault.com/ui/#object/sent_email__v/VBL00000002V190", "SE-001437079")</f>
        <v>SE-001437079</v>
      </c>
      <c r="F11279" s="11"/>
      <c r="G11279" s="12">
        <v>0</v>
      </c>
      <c r="H11279" s="12">
        <v>0</v>
      </c>
      <c r="I11279" s="12">
        <v>0</v>
      </c>
      <c r="J11279" s="11"/>
      <c r="K11279" s="12">
        <v>0</v>
      </c>
      <c r="L11279" s="10" t="str">
        <f>HYPERLINK("https://otsuka-europe-crm.veevavault.com/ui/#object/approved_document__v/V5O00000001A037", "LUP - VAE Póster Adelphi - Nefro")</f>
        <v>LUP - VAE Póster Adelphi - Nefro</v>
      </c>
      <c r="M11279" s="10" t="str">
        <f>HYPERLINK("mailto:jguri@crm.otsuka-europe.com", "jguri@crm.otsuka-europe.com")</f>
        <v>jguri@crm.otsuka-europe.com</v>
      </c>
      <c r="N11279" s="13">
        <v>46188.79488425926</v>
      </c>
      <c r="O11279" s="14" t="str">
        <f>HYPERLINK("https://otsuka-europe-crm.veevavault.com/ui/#object/email_activity__v/V8C00000003V941", "EN-002096578")</f>
        <v>EN-002096578</v>
      </c>
    </row>
    <row r="11280" spans="1:15" ht="32" x14ac:dyDescent="0.2">
      <c r="A11280" s="7" t="str">
        <f>HYPERLINK("https://otsuka-europe-crm.veevavault.com/ui/#object/account__v/V4TZ06G6O71T80I", "LAURA MUÑIZ PACIOS")</f>
        <v>LAURA MUÑIZ PACIOS</v>
      </c>
      <c r="B11280" s="7" t="str">
        <f>HYPERLINK("https://otsuka-europe-crm.veevavault.com/ui/#object/vcountry__v/VENZ000004SONF5", "ES")</f>
        <v>ES</v>
      </c>
      <c r="C11280" s="8" t="s">
        <v>41</v>
      </c>
      <c r="D11280" s="9" t="str">
        <f>HYPERLINK("https://otsuka-europe-crm.veevavault.com/ui/#object/approved_document__v/V5O00000001A037", "LUP - VAE Póster Adelphi - Nefro")</f>
        <v>LUP - VAE Póster Adelphi - Nefro</v>
      </c>
      <c r="E11280" s="10" t="str">
        <f>HYPERLINK("https://otsuka-europe-crm.veevavault.com/ui/#object/sent_email__v/VBL00000002V191", "SE-001437080")</f>
        <v>SE-001437080</v>
      </c>
      <c r="F11280" s="11"/>
      <c r="G11280" s="12">
        <v>0</v>
      </c>
      <c r="H11280" s="12">
        <v>0</v>
      </c>
      <c r="I11280" s="12">
        <v>0</v>
      </c>
      <c r="J11280" s="11"/>
      <c r="K11280" s="12">
        <v>0</v>
      </c>
      <c r="L11280" s="10" t="str">
        <f>HYPERLINK("https://otsuka-europe-crm.veevavault.com/ui/#object/approved_document__v/V5O00000001A037", "LUP - VAE Póster Adelphi - Nefro")</f>
        <v>LUP - VAE Póster Adelphi - Nefro</v>
      </c>
      <c r="M11280" s="10" t="str">
        <f>HYPERLINK("mailto:jguri@crm.otsuka-europe.com", "jguri@crm.otsuka-europe.com")</f>
        <v>jguri@crm.otsuka-europe.com</v>
      </c>
      <c r="N11280" s="13">
        <v>46188.794918981483</v>
      </c>
      <c r="O11280" s="14" t="str">
        <f>HYPERLINK("https://otsuka-europe-crm.veevavault.com/ui/#object/email_activity__v/V8C00000003V984", "EN-002096632")</f>
        <v>EN-002096632</v>
      </c>
    </row>
    <row r="11281" spans="1:15" ht="16" x14ac:dyDescent="0.2">
      <c r="A11281" s="17" t="str">
        <f>HYPERLINK("https://otsuka-europe-crm.veevavault.com/ui/#object/account__v/V4TZ06G6O71TA4R", "RAQUEL DE GRACIA NUÑEZ")</f>
        <v>RAQUEL DE GRACIA NUÑEZ</v>
      </c>
      <c r="B11281" s="17" t="str">
        <f>HYPERLINK("https://otsuka-europe-crm.veevavault.com/ui/#object/vcountry__v/VENZ000004SONF5", "ES")</f>
        <v>ES</v>
      </c>
      <c r="C11281" s="20" t="s">
        <v>41</v>
      </c>
      <c r="D11281" s="21" t="str">
        <f>HYPERLINK("https://otsuka-europe-crm.veevavault.com/ui/#object/approved_document__v/V5O00000001A037", "LUP - VAE Póster Adelphi - Nefro")</f>
        <v>LUP - VAE Póster Adelphi - Nefro</v>
      </c>
      <c r="E11281" s="22" t="str">
        <f>HYPERLINK("https://otsuka-europe-crm.veevavault.com/ui/#object/sent_email__v/VBL00000002V192", "SE-001437081")</f>
        <v>SE-001437081</v>
      </c>
      <c r="F11281" s="23">
        <v>46188.80196759259</v>
      </c>
      <c r="G11281" s="24">
        <v>1</v>
      </c>
      <c r="H11281" s="24">
        <v>1</v>
      </c>
      <c r="I11281" s="24">
        <v>0</v>
      </c>
      <c r="J11281" s="25"/>
      <c r="K11281" s="24">
        <v>0</v>
      </c>
      <c r="L11281" s="22" t="str">
        <f>HYPERLINK("https://otsuka-europe-crm.veevavault.com/ui/#object/approved_document__v/V5O00000001A037", "LUP - VAE Póster Adelphi - Nefro")</f>
        <v>LUP - VAE Póster Adelphi - Nefro</v>
      </c>
      <c r="M11281" s="22" t="str">
        <f>HYPERLINK("mailto:jguri@crm.otsuka-europe.com", "jguri@crm.otsuka-europe.com")</f>
        <v>jguri@crm.otsuka-europe.com</v>
      </c>
      <c r="N11281" s="23">
        <v>46188.79488425926</v>
      </c>
      <c r="O11281" s="14" t="str">
        <f>HYPERLINK("https://otsuka-europe-crm.veevavault.com/ui/#object/email_activity__v/V8C00000003U882", "EN-002096743")</f>
        <v>EN-002096743</v>
      </c>
    </row>
    <row r="11282" spans="1:15" ht="16" x14ac:dyDescent="0.2">
      <c r="A11282" s="18"/>
      <c r="B11282" s="18"/>
      <c r="C11282" s="18"/>
      <c r="D11282" s="18"/>
      <c r="E11282" s="18"/>
      <c r="F11282" s="18"/>
      <c r="G11282" s="18"/>
      <c r="H11282" s="18"/>
      <c r="I11282" s="18"/>
      <c r="J11282" s="18"/>
      <c r="K11282" s="18"/>
      <c r="L11282" s="18"/>
      <c r="M11282" s="18"/>
      <c r="N11282" s="18"/>
      <c r="O11282" s="14" t="str">
        <f>HYPERLINK("https://otsuka-europe-crm.veevavault.com/ui/#object/email_activity__v/V8C00000003V994", "EN-002096648")</f>
        <v>EN-002096648</v>
      </c>
    </row>
    <row r="11283" spans="1:15" ht="16" x14ac:dyDescent="0.2">
      <c r="A11283" s="19"/>
      <c r="B11283" s="19"/>
      <c r="C11283" s="19"/>
      <c r="D11283" s="19"/>
      <c r="E11283" s="19"/>
      <c r="F11283" s="19"/>
      <c r="G11283" s="19"/>
      <c r="H11283" s="19"/>
      <c r="I11283" s="19"/>
      <c r="J11283" s="19"/>
      <c r="K11283" s="19"/>
      <c r="L11283" s="19"/>
      <c r="M11283" s="19"/>
      <c r="N11283" s="19"/>
      <c r="O11283" s="14" t="str">
        <f>HYPERLINK("https://otsuka-europe-crm.veevavault.com/ui/#object/email_activity__v/V8C00000003W070", "EN-002096781")</f>
        <v>EN-002096781</v>
      </c>
    </row>
    <row r="11284" spans="1:15" ht="32" x14ac:dyDescent="0.2">
      <c r="A11284" s="7" t="str">
        <f>HYPERLINK("https://otsuka-europe-crm.veevavault.com/ui/#object/account__v/V4TZ06G6O71T9PU", "ALFONSO CUBAS ALCARAZ")</f>
        <v>ALFONSO CUBAS ALCARAZ</v>
      </c>
      <c r="B11284" s="7" t="str">
        <f>HYPERLINK("https://otsuka-europe-crm.veevavault.com/ui/#object/vcountry__v/VENZ000004SONF5", "ES")</f>
        <v>ES</v>
      </c>
      <c r="C11284" s="8" t="s">
        <v>41</v>
      </c>
      <c r="D11284" s="9" t="str">
        <f>HYPERLINK("https://otsuka-europe-crm.veevavault.com/ui/#object/approved_document__v/V5O00000001A037", "LUP - VAE Póster Adelphi - Nefro")</f>
        <v>LUP - VAE Póster Adelphi - Nefro</v>
      </c>
      <c r="E11284" s="10" t="str">
        <f>HYPERLINK("https://otsuka-europe-crm.veevavault.com/ui/#object/sent_email__v/VBL00000002V193", "SE-001437082")</f>
        <v>SE-001437082</v>
      </c>
      <c r="F11284" s="11"/>
      <c r="G11284" s="12">
        <v>0</v>
      </c>
      <c r="H11284" s="12">
        <v>0</v>
      </c>
      <c r="I11284" s="12">
        <v>0</v>
      </c>
      <c r="J11284" s="11"/>
      <c r="K11284" s="12">
        <v>0</v>
      </c>
      <c r="L11284" s="10" t="str">
        <f>HYPERLINK("https://otsuka-europe-crm.veevavault.com/ui/#object/approved_document__v/V5O00000001A037", "LUP - VAE Póster Adelphi - Nefro")</f>
        <v>LUP - VAE Póster Adelphi - Nefro</v>
      </c>
      <c r="M11284" s="10" t="str">
        <f>HYPERLINK("mailto:jguri@crm.otsuka-europe.com", "jguri@crm.otsuka-europe.com")</f>
        <v>jguri@crm.otsuka-europe.com</v>
      </c>
      <c r="N11284" s="13">
        <v>46188.794918981483</v>
      </c>
      <c r="O11284" s="14" t="str">
        <f>HYPERLINK("https://otsuka-europe-crm.veevavault.com/ui/#object/email_activity__v/V8C00000003V983", "EN-002096631")</f>
        <v>EN-002096631</v>
      </c>
    </row>
    <row r="11285" spans="1:15" ht="16" x14ac:dyDescent="0.2">
      <c r="A11285" s="17" t="str">
        <f>HYPERLINK("https://otsuka-europe-crm.veevavault.com/ui/#object/account__v/V4TZ06G6O71T9R3", "GEMA MARIA FERNANDEZ JUAREZ")</f>
        <v>GEMA MARIA FERNANDEZ JUAREZ</v>
      </c>
      <c r="B11285" s="17" t="str">
        <f>HYPERLINK("https://otsuka-europe-crm.veevavault.com/ui/#object/vcountry__v/VENZ000004SONF5", "ES")</f>
        <v>ES</v>
      </c>
      <c r="C11285" s="20" t="s">
        <v>41</v>
      </c>
      <c r="D11285" s="21" t="str">
        <f>HYPERLINK("https://otsuka-europe-crm.veevavault.com/ui/#object/approved_document__v/V5O00000001A037", "LUP - VAE Póster Adelphi - Nefro")</f>
        <v>LUP - VAE Póster Adelphi - Nefro</v>
      </c>
      <c r="E11285" s="22" t="str">
        <f>HYPERLINK("https://otsuka-europe-crm.veevavault.com/ui/#object/sent_email__v/VBL00000002V194", "SE-001437083")</f>
        <v>SE-001437083</v>
      </c>
      <c r="F11285" s="25"/>
      <c r="G11285" s="24">
        <v>0</v>
      </c>
      <c r="H11285" s="24">
        <v>0</v>
      </c>
      <c r="I11285" s="24">
        <v>1</v>
      </c>
      <c r="J11285" s="23">
        <v>46188.820902777778</v>
      </c>
      <c r="K11285" s="24">
        <v>1</v>
      </c>
      <c r="L11285" s="22" t="str">
        <f>HYPERLINK("https://otsuka-europe-crm.veevavault.com/ui/#object/approved_document__v/V5O00000001A037", "LUP - VAE Póster Adelphi - Nefro")</f>
        <v>LUP - VAE Póster Adelphi - Nefro</v>
      </c>
      <c r="M11285" s="22" t="str">
        <f>HYPERLINK("mailto:jguri@crm.otsuka-europe.com", "jguri@crm.otsuka-europe.com")</f>
        <v>jguri@crm.otsuka-europe.com</v>
      </c>
      <c r="N11285" s="23">
        <v>46188.79488425926</v>
      </c>
      <c r="O11285" s="14" t="str">
        <f>HYPERLINK("https://otsuka-europe-crm.veevavault.com/ui/#object/email_activity__v/V8C00000003U847", "EN-002096657")</f>
        <v>EN-002096657</v>
      </c>
    </row>
    <row r="11286" spans="1:15" ht="16" x14ac:dyDescent="0.2">
      <c r="A11286" s="18"/>
      <c r="B11286" s="18"/>
      <c r="C11286" s="18"/>
      <c r="D11286" s="18"/>
      <c r="E11286" s="18"/>
      <c r="F11286" s="18"/>
      <c r="G11286" s="18"/>
      <c r="H11286" s="18"/>
      <c r="I11286" s="18"/>
      <c r="J11286" s="18"/>
      <c r="K11286" s="18"/>
      <c r="L11286" s="18"/>
      <c r="M11286" s="18"/>
      <c r="N11286" s="18"/>
      <c r="O11286" s="14" t="str">
        <f>HYPERLINK("https://otsuka-europe-crm.veevavault.com/ui/#object/email_activity__v/V8C00000003W056", "EN-002096757")</f>
        <v>EN-002096757</v>
      </c>
    </row>
    <row r="11287" spans="1:15" ht="16" x14ac:dyDescent="0.2">
      <c r="A11287" s="18"/>
      <c r="B11287" s="18"/>
      <c r="C11287" s="18"/>
      <c r="D11287" s="18"/>
      <c r="E11287" s="18"/>
      <c r="F11287" s="18"/>
      <c r="G11287" s="18"/>
      <c r="H11287" s="18"/>
      <c r="I11287" s="18"/>
      <c r="J11287" s="18"/>
      <c r="K11287" s="18"/>
      <c r="L11287" s="18"/>
      <c r="M11287" s="18"/>
      <c r="N11287" s="18"/>
      <c r="O11287" s="14" t="str">
        <f>HYPERLINK("https://otsuka-europe-crm.veevavault.com/ui/#object/email_activity__v/V8C00000003W057", "EN-002096758")</f>
        <v>EN-002096758</v>
      </c>
    </row>
    <row r="11288" spans="1:15" ht="16" x14ac:dyDescent="0.2">
      <c r="A11288" s="19"/>
      <c r="B11288" s="19"/>
      <c r="C11288" s="19"/>
      <c r="D11288" s="19"/>
      <c r="E11288" s="19"/>
      <c r="F11288" s="19"/>
      <c r="G11288" s="19"/>
      <c r="H11288" s="19"/>
      <c r="I11288" s="19"/>
      <c r="J11288" s="19"/>
      <c r="K11288" s="19"/>
      <c r="L11288" s="19"/>
      <c r="M11288" s="19"/>
      <c r="N11288" s="19"/>
      <c r="O11288" s="14" t="str">
        <f>HYPERLINK("https://otsuka-europe-crm.veevavault.com/ui/#object/email_activity__v/V8C00000003W058", "EN-002096759")</f>
        <v>EN-002096759</v>
      </c>
    </row>
    <row r="11289" spans="1:15" ht="32" x14ac:dyDescent="0.2">
      <c r="A11289" s="7" t="str">
        <f>HYPERLINK("https://otsuka-europe-crm.veevavault.com/ui/#object/account__v/V4TZ025E88Z0MTT", "JOSE JULIAN SEGURA DE LA MORENA")</f>
        <v>JOSE JULIAN SEGURA DE LA MORENA</v>
      </c>
      <c r="B11289" s="7" t="str">
        <f t="shared" ref="B11289:B11295" si="878">HYPERLINK("https://otsuka-europe-crm.veevavault.com/ui/#object/vcountry__v/VENZ000004SONF5", "ES")</f>
        <v>ES</v>
      </c>
      <c r="C11289" s="8" t="s">
        <v>41</v>
      </c>
      <c r="D11289" s="9" t="str">
        <f t="shared" ref="D11289:D11295" si="879">HYPERLINK("https://otsuka-europe-crm.veevavault.com/ui/#object/approved_document__v/V5O00000001A037", "LUP - VAE Póster Adelphi - Nefro")</f>
        <v>LUP - VAE Póster Adelphi - Nefro</v>
      </c>
      <c r="E11289" s="10" t="str">
        <f>HYPERLINK("https://otsuka-europe-crm.veevavault.com/ui/#object/sent_email__v/VBL00000002V195", "SE-001437084")</f>
        <v>SE-001437084</v>
      </c>
      <c r="F11289" s="11"/>
      <c r="G11289" s="12">
        <v>0</v>
      </c>
      <c r="H11289" s="12">
        <v>0</v>
      </c>
      <c r="I11289" s="12">
        <v>0</v>
      </c>
      <c r="J11289" s="11"/>
      <c r="K11289" s="12">
        <v>0</v>
      </c>
      <c r="L11289" s="10" t="str">
        <f t="shared" ref="L11289:L11295" si="880">HYPERLINK("https://otsuka-europe-crm.veevavault.com/ui/#object/approved_document__v/V5O00000001A037", "LUP - VAE Póster Adelphi - Nefro")</f>
        <v>LUP - VAE Póster Adelphi - Nefro</v>
      </c>
      <c r="M11289" s="10" t="str">
        <f t="shared" ref="M11289:M11295" si="881">HYPERLINK("mailto:jguri@crm.otsuka-europe.com", "jguri@crm.otsuka-europe.com")</f>
        <v>jguri@crm.otsuka-europe.com</v>
      </c>
      <c r="N11289" s="13">
        <v>46188.79488425926</v>
      </c>
      <c r="O11289" s="14" t="str">
        <f>HYPERLINK("https://otsuka-europe-crm.veevavault.com/ui/#object/email_activity__v/V8C00000003U850", "EN-002096660")</f>
        <v>EN-002096660</v>
      </c>
    </row>
    <row r="11290" spans="1:15" ht="32" x14ac:dyDescent="0.2">
      <c r="A11290" s="7" t="str">
        <f>HYPERLINK("https://otsuka-europe-crm.veevavault.com/ui/#object/account__v/V4TZ025E87AHJX3", "MARIA CARMEN SANCHEZ GONZALEZ")</f>
        <v>MARIA CARMEN SANCHEZ GONZALEZ</v>
      </c>
      <c r="B11290" s="7" t="str">
        <f t="shared" si="878"/>
        <v>ES</v>
      </c>
      <c r="C11290" s="8" t="s">
        <v>41</v>
      </c>
      <c r="D11290" s="9" t="str">
        <f t="shared" si="879"/>
        <v>LUP - VAE Póster Adelphi - Nefro</v>
      </c>
      <c r="E11290" s="10" t="str">
        <f>HYPERLINK("https://otsuka-europe-crm.veevavault.com/ui/#object/sent_email__v/VBL00000002V196", "SE-001437085")</f>
        <v>SE-001437085</v>
      </c>
      <c r="F11290" s="11"/>
      <c r="G11290" s="12">
        <v>0</v>
      </c>
      <c r="H11290" s="12">
        <v>0</v>
      </c>
      <c r="I11290" s="12">
        <v>0</v>
      </c>
      <c r="J11290" s="11"/>
      <c r="K11290" s="12">
        <v>0</v>
      </c>
      <c r="L11290" s="10" t="str">
        <f t="shared" si="880"/>
        <v>LUP - VAE Póster Adelphi - Nefro</v>
      </c>
      <c r="M11290" s="10" t="str">
        <f t="shared" si="881"/>
        <v>jguri@crm.otsuka-europe.com</v>
      </c>
      <c r="N11290" s="13">
        <v>46188.79488425926</v>
      </c>
      <c r="O11290" s="14" t="str">
        <f>HYPERLINK("https://otsuka-europe-crm.veevavault.com/ui/#object/email_activity__v/V8C00000003V955", "EN-002096592")</f>
        <v>EN-002096592</v>
      </c>
    </row>
    <row r="11291" spans="1:15" ht="32" x14ac:dyDescent="0.2">
      <c r="A11291" s="7" t="str">
        <f>HYPERLINK("https://otsuka-europe-crm.veevavault.com/ui/#object/account__v/V4TZ06G6O71TCBM", "LAURA SALANOVA VILLANUEVA")</f>
        <v>LAURA SALANOVA VILLANUEVA</v>
      </c>
      <c r="B11291" s="7" t="str">
        <f t="shared" si="878"/>
        <v>ES</v>
      </c>
      <c r="C11291" s="8" t="s">
        <v>41</v>
      </c>
      <c r="D11291" s="9" t="str">
        <f t="shared" si="879"/>
        <v>LUP - VAE Póster Adelphi - Nefro</v>
      </c>
      <c r="E11291" s="10" t="str">
        <f>HYPERLINK("https://otsuka-europe-crm.veevavault.com/ui/#object/sent_email__v/VBL00000002V197", "SE-001437086")</f>
        <v>SE-001437086</v>
      </c>
      <c r="F11291" s="11"/>
      <c r="G11291" s="12">
        <v>0</v>
      </c>
      <c r="H11291" s="12">
        <v>0</v>
      </c>
      <c r="I11291" s="12">
        <v>0</v>
      </c>
      <c r="J11291" s="11"/>
      <c r="K11291" s="12">
        <v>0</v>
      </c>
      <c r="L11291" s="10" t="str">
        <f t="shared" si="880"/>
        <v>LUP - VAE Póster Adelphi - Nefro</v>
      </c>
      <c r="M11291" s="10" t="str">
        <f t="shared" si="881"/>
        <v>jguri@crm.otsuka-europe.com</v>
      </c>
      <c r="N11291" s="13">
        <v>46188.79488425926</v>
      </c>
      <c r="O11291" s="14" t="str">
        <f>HYPERLINK("https://otsuka-europe-crm.veevavault.com/ui/#object/email_activity__v/V8C00000003U846", "EN-002096656")</f>
        <v>EN-002096656</v>
      </c>
    </row>
    <row r="11292" spans="1:15" ht="32" x14ac:dyDescent="0.2">
      <c r="A11292" s="7" t="str">
        <f>HYPERLINK("https://otsuka-europe-crm.veevavault.com/ui/#object/account__v/V4TZ06G6O71TA10", "MARIA CARMEN FELIPE FERNANDEZ")</f>
        <v>MARIA CARMEN FELIPE FERNANDEZ</v>
      </c>
      <c r="B11292" s="7" t="str">
        <f t="shared" si="878"/>
        <v>ES</v>
      </c>
      <c r="C11292" s="8" t="s">
        <v>41</v>
      </c>
      <c r="D11292" s="9" t="str">
        <f t="shared" si="879"/>
        <v>LUP - VAE Póster Adelphi - Nefro</v>
      </c>
      <c r="E11292" s="10" t="str">
        <f>HYPERLINK("https://otsuka-europe-crm.veevavault.com/ui/#object/sent_email__v/VBL00000002V198", "SE-001437087")</f>
        <v>SE-001437087</v>
      </c>
      <c r="F11292" s="11"/>
      <c r="G11292" s="12">
        <v>0</v>
      </c>
      <c r="H11292" s="12">
        <v>0</v>
      </c>
      <c r="I11292" s="12">
        <v>0</v>
      </c>
      <c r="J11292" s="11"/>
      <c r="K11292" s="12">
        <v>0</v>
      </c>
      <c r="L11292" s="10" t="str">
        <f t="shared" si="880"/>
        <v>LUP - VAE Póster Adelphi - Nefro</v>
      </c>
      <c r="M11292" s="10" t="str">
        <f t="shared" si="881"/>
        <v>jguri@crm.otsuka-europe.com</v>
      </c>
      <c r="N11292" s="13">
        <v>46188.79488425926</v>
      </c>
      <c r="O11292" s="14" t="str">
        <f>HYPERLINK("https://otsuka-europe-crm.veevavault.com/ui/#object/email_activity__v/V8C00000003V993", "EN-002096647")</f>
        <v>EN-002096647</v>
      </c>
    </row>
    <row r="11293" spans="1:15" ht="32" x14ac:dyDescent="0.2">
      <c r="A11293" s="7" t="str">
        <f>HYPERLINK("https://otsuka-europe-crm.veevavault.com/ui/#object/account__v/V4TZ06G6O71UQQ0", "ANIKA TYSZKIEWICZ")</f>
        <v>ANIKA TYSZKIEWICZ</v>
      </c>
      <c r="B11293" s="7" t="str">
        <f t="shared" si="878"/>
        <v>ES</v>
      </c>
      <c r="C11293" s="8" t="s">
        <v>41</v>
      </c>
      <c r="D11293" s="9" t="str">
        <f t="shared" si="879"/>
        <v>LUP - VAE Póster Adelphi - Nefro</v>
      </c>
      <c r="E11293" s="10" t="str">
        <f>HYPERLINK("https://otsuka-europe-crm.veevavault.com/ui/#object/sent_email__v/VBL00000002V199", "SE-001437088")</f>
        <v>SE-001437088</v>
      </c>
      <c r="F11293" s="11"/>
      <c r="G11293" s="12">
        <v>0</v>
      </c>
      <c r="H11293" s="12">
        <v>0</v>
      </c>
      <c r="I11293" s="12">
        <v>0</v>
      </c>
      <c r="J11293" s="11"/>
      <c r="K11293" s="12">
        <v>0</v>
      </c>
      <c r="L11293" s="10" t="str">
        <f t="shared" si="880"/>
        <v>LUP - VAE Póster Adelphi - Nefro</v>
      </c>
      <c r="M11293" s="10" t="str">
        <f t="shared" si="881"/>
        <v>jguri@crm.otsuka-europe.com</v>
      </c>
      <c r="N11293" s="13">
        <v>46188.79488425926</v>
      </c>
      <c r="O11293" s="14" t="str">
        <f>HYPERLINK("https://otsuka-europe-crm.veevavault.com/ui/#object/email_activity__v/V8C00000003V995", "EN-002096649")</f>
        <v>EN-002096649</v>
      </c>
    </row>
    <row r="11294" spans="1:15" ht="32" x14ac:dyDescent="0.2">
      <c r="A11294" s="7" t="str">
        <f>HYPERLINK("https://otsuka-europe-crm.veevavault.com/ui/#object/account__v/V4TZ06G6O9VLU4J", "SILVIA SANCHEZ MONTERO")</f>
        <v>SILVIA SANCHEZ MONTERO</v>
      </c>
      <c r="B11294" s="7" t="str">
        <f t="shared" si="878"/>
        <v>ES</v>
      </c>
      <c r="C11294" s="8" t="s">
        <v>41</v>
      </c>
      <c r="D11294" s="9" t="str">
        <f t="shared" si="879"/>
        <v>LUP - VAE Póster Adelphi - Nefro</v>
      </c>
      <c r="E11294" s="10" t="str">
        <f>HYPERLINK("https://otsuka-europe-crm.veevavault.com/ui/#object/sent_email__v/VBL00000002V200", "SE-001437089")</f>
        <v>SE-001437089</v>
      </c>
      <c r="F11294" s="11"/>
      <c r="G11294" s="12">
        <v>0</v>
      </c>
      <c r="H11294" s="12">
        <v>0</v>
      </c>
      <c r="I11294" s="12">
        <v>0</v>
      </c>
      <c r="J11294" s="11"/>
      <c r="K11294" s="12">
        <v>0</v>
      </c>
      <c r="L11294" s="10" t="str">
        <f t="shared" si="880"/>
        <v>LUP - VAE Póster Adelphi - Nefro</v>
      </c>
      <c r="M11294" s="10" t="str">
        <f t="shared" si="881"/>
        <v>jguri@crm.otsuka-europe.com</v>
      </c>
      <c r="N11294" s="13">
        <v>46188.79488425926</v>
      </c>
      <c r="O11294" s="14" t="str">
        <f>HYPERLINK("https://otsuka-europe-crm.veevavault.com/ui/#object/email_activity__v/V8C00000003V951", "EN-002096588")</f>
        <v>EN-002096588</v>
      </c>
    </row>
    <row r="11295" spans="1:15" ht="16" x14ac:dyDescent="0.2">
      <c r="A11295" s="17" t="str">
        <f>HYPERLINK("https://otsuka-europe-crm.veevavault.com/ui/#object/account__v/V4TZ06G6OB47Q1G", "KAREN RIVERO GARCIA")</f>
        <v>KAREN RIVERO GARCIA</v>
      </c>
      <c r="B11295" s="17" t="str">
        <f t="shared" si="878"/>
        <v>ES</v>
      </c>
      <c r="C11295" s="20" t="s">
        <v>41</v>
      </c>
      <c r="D11295" s="21" t="str">
        <f t="shared" si="879"/>
        <v>LUP - VAE Póster Adelphi - Nefro</v>
      </c>
      <c r="E11295" s="22" t="str">
        <f>HYPERLINK("https://otsuka-europe-crm.veevavault.com/ui/#object/sent_email__v/VBL00000002V201", "SE-001437090")</f>
        <v>SE-001437090</v>
      </c>
      <c r="F11295" s="23">
        <v>46190.889062499999</v>
      </c>
      <c r="G11295" s="24">
        <v>1</v>
      </c>
      <c r="H11295" s="24">
        <v>2</v>
      </c>
      <c r="I11295" s="24">
        <v>1</v>
      </c>
      <c r="J11295" s="23">
        <v>46196.884780092594</v>
      </c>
      <c r="K11295" s="24">
        <v>1</v>
      </c>
      <c r="L11295" s="22" t="str">
        <f t="shared" si="880"/>
        <v>LUP - VAE Póster Adelphi - Nefro</v>
      </c>
      <c r="M11295" s="22" t="str">
        <f t="shared" si="881"/>
        <v>jguri@crm.otsuka-europe.com</v>
      </c>
      <c r="N11295" s="23">
        <v>46188.79488425926</v>
      </c>
      <c r="O11295" s="14" t="str">
        <f>HYPERLINK("https://otsuka-europe-crm.veevavault.com/ui/#object/email_activity__v/V8C00000003V970", "EN-002096612")</f>
        <v>EN-002096612</v>
      </c>
    </row>
    <row r="11296" spans="1:15" ht="16" x14ac:dyDescent="0.2">
      <c r="A11296" s="18"/>
      <c r="B11296" s="18"/>
      <c r="C11296" s="18"/>
      <c r="D11296" s="18"/>
      <c r="E11296" s="18"/>
      <c r="F11296" s="18"/>
      <c r="G11296" s="18"/>
      <c r="H11296" s="18"/>
      <c r="I11296" s="18"/>
      <c r="J11296" s="18"/>
      <c r="K11296" s="18"/>
      <c r="L11296" s="18"/>
      <c r="M11296" s="18"/>
      <c r="N11296" s="18"/>
      <c r="O11296" s="14" t="str">
        <f>HYPERLINK("https://otsuka-europe-crm.veevavault.com/ui/#object/email_activity__v/V8C00000003W113", "EN-002096865")</f>
        <v>EN-002096865</v>
      </c>
    </row>
    <row r="11297" spans="1:15" ht="16" x14ac:dyDescent="0.2">
      <c r="A11297" s="18"/>
      <c r="B11297" s="18"/>
      <c r="C11297" s="18"/>
      <c r="D11297" s="18"/>
      <c r="E11297" s="18"/>
      <c r="F11297" s="18"/>
      <c r="G11297" s="18"/>
      <c r="H11297" s="18"/>
      <c r="I11297" s="18"/>
      <c r="J11297" s="18"/>
      <c r="K11297" s="18"/>
      <c r="L11297" s="18"/>
      <c r="M11297" s="18"/>
      <c r="N11297" s="18"/>
      <c r="O11297" s="14" t="str">
        <f>HYPERLINK("https://otsuka-europe-crm.veevavault.com/ui/#object/email_activity__v/V8C00000003W750", "EN-002098492")</f>
        <v>EN-002098492</v>
      </c>
    </row>
    <row r="11298" spans="1:15" ht="16" x14ac:dyDescent="0.2">
      <c r="A11298" s="18"/>
      <c r="B11298" s="18"/>
      <c r="C11298" s="18"/>
      <c r="D11298" s="18"/>
      <c r="E11298" s="18"/>
      <c r="F11298" s="18"/>
      <c r="G11298" s="18"/>
      <c r="H11298" s="18"/>
      <c r="I11298" s="18"/>
      <c r="J11298" s="18"/>
      <c r="K11298" s="18"/>
      <c r="L11298" s="18"/>
      <c r="M11298" s="18"/>
      <c r="N11298" s="18"/>
      <c r="O11298" s="14" t="str">
        <f>HYPERLINK("https://otsuka-europe-crm.veevavault.com/ui/#object/email_activity__v/V8C000000040450", "EN-002099481")</f>
        <v>EN-002099481</v>
      </c>
    </row>
    <row r="11299" spans="1:15" ht="16" x14ac:dyDescent="0.2">
      <c r="A11299" s="19"/>
      <c r="B11299" s="19"/>
      <c r="C11299" s="19"/>
      <c r="D11299" s="19"/>
      <c r="E11299" s="19"/>
      <c r="F11299" s="19"/>
      <c r="G11299" s="19"/>
      <c r="H11299" s="19"/>
      <c r="I11299" s="19"/>
      <c r="J11299" s="19"/>
      <c r="K11299" s="19"/>
      <c r="L11299" s="19"/>
      <c r="M11299" s="19"/>
      <c r="N11299" s="19"/>
      <c r="O11299" s="14" t="str">
        <f>HYPERLINK("https://otsuka-europe-crm.veevavault.com/ui/#object/email_activity__v/V8C000000040452", "EN-002099484")</f>
        <v>EN-002099484</v>
      </c>
    </row>
    <row r="11300" spans="1:15" ht="32" x14ac:dyDescent="0.2">
      <c r="A11300" s="7" t="str">
        <f>HYPERLINK("https://otsuka-europe-crm.veevavault.com/ui/#object/account__v/V4TZ06G6O71T901", "BEATRIZ ANDRES MARTIN")</f>
        <v>BEATRIZ ANDRES MARTIN</v>
      </c>
      <c r="B11300" s="7" t="str">
        <f>HYPERLINK("https://otsuka-europe-crm.veevavault.com/ui/#object/vcountry__v/VENZ000004SONF5", "ES")</f>
        <v>ES</v>
      </c>
      <c r="C11300" s="8" t="s">
        <v>41</v>
      </c>
      <c r="D11300" s="9" t="str">
        <f>HYPERLINK("https://otsuka-europe-crm.veevavault.com/ui/#object/approved_document__v/V5O00000001A037", "LUP - VAE Póster Adelphi - Nefro")</f>
        <v>LUP - VAE Póster Adelphi - Nefro</v>
      </c>
      <c r="E11300" s="10" t="str">
        <f>HYPERLINK("https://otsuka-europe-crm.veevavault.com/ui/#object/sent_email__v/VBL00000002V202", "SE-001437091")</f>
        <v>SE-001437091</v>
      </c>
      <c r="F11300" s="11"/>
      <c r="G11300" s="12">
        <v>0</v>
      </c>
      <c r="H11300" s="12">
        <v>0</v>
      </c>
      <c r="I11300" s="12">
        <v>0</v>
      </c>
      <c r="J11300" s="11"/>
      <c r="K11300" s="12">
        <v>0</v>
      </c>
      <c r="L11300" s="10" t="str">
        <f>HYPERLINK("https://otsuka-europe-crm.veevavault.com/ui/#object/approved_document__v/V5O00000001A037", "LUP - VAE Póster Adelphi - Nefro")</f>
        <v>LUP - VAE Póster Adelphi - Nefro</v>
      </c>
      <c r="M11300" s="10" t="str">
        <f>HYPERLINK("mailto:jguri@crm.otsuka-europe.com", "jguri@crm.otsuka-europe.com")</f>
        <v>jguri@crm.otsuka-europe.com</v>
      </c>
      <c r="N11300" s="13">
        <v>46188.794872685183</v>
      </c>
      <c r="O11300" s="14" t="str">
        <f>HYPERLINK("https://otsuka-europe-crm.veevavault.com/ui/#object/email_activity__v/V8C00000003U833", "EN-002096624")</f>
        <v>EN-002096624</v>
      </c>
    </row>
    <row r="11301" spans="1:15" ht="16" x14ac:dyDescent="0.2">
      <c r="A11301" s="17" t="str">
        <f>HYPERLINK("https://otsuka-europe-crm.veevavault.com/ui/#object/account__v/V4TZ06G6O71T8MR", "RAMON JESUS MIRANDA HERNANDEZ")</f>
        <v>RAMON JESUS MIRANDA HERNANDEZ</v>
      </c>
      <c r="B11301" s="17" t="str">
        <f>HYPERLINK("https://otsuka-europe-crm.veevavault.com/ui/#object/vcountry__v/VENZ000004SONF5", "ES")</f>
        <v>ES</v>
      </c>
      <c r="C11301" s="20" t="s">
        <v>41</v>
      </c>
      <c r="D11301" s="21" t="str">
        <f>HYPERLINK("https://otsuka-europe-crm.veevavault.com/ui/#object/approved_document__v/V5O00000001A037", "LUP - VAE Póster Adelphi - Nefro")</f>
        <v>LUP - VAE Póster Adelphi - Nefro</v>
      </c>
      <c r="E11301" s="22" t="str">
        <f>HYPERLINK("https://otsuka-europe-crm.veevavault.com/ui/#object/sent_email__v/VBL00000002V203", "SE-001437092")</f>
        <v>SE-001437092</v>
      </c>
      <c r="F11301" s="23">
        <v>46189.314479166664</v>
      </c>
      <c r="G11301" s="24">
        <v>1</v>
      </c>
      <c r="H11301" s="24">
        <v>1</v>
      </c>
      <c r="I11301" s="24">
        <v>0</v>
      </c>
      <c r="J11301" s="25"/>
      <c r="K11301" s="24">
        <v>0</v>
      </c>
      <c r="L11301" s="22" t="str">
        <f>HYPERLINK("https://otsuka-europe-crm.veevavault.com/ui/#object/approved_document__v/V5O00000001A037", "LUP - VAE Póster Adelphi - Nefro")</f>
        <v>LUP - VAE Póster Adelphi - Nefro</v>
      </c>
      <c r="M11301" s="22" t="str">
        <f>HYPERLINK("mailto:jguri@crm.otsuka-europe.com", "jguri@crm.otsuka-europe.com")</f>
        <v>jguri@crm.otsuka-europe.com</v>
      </c>
      <c r="N11301" s="23">
        <v>46188.79483796296</v>
      </c>
      <c r="O11301" s="14" t="str">
        <f>HYPERLINK("https://otsuka-europe-crm.veevavault.com/ui/#object/email_activity__v/V8C00000003U829", "EN-002096615")</f>
        <v>EN-002096615</v>
      </c>
    </row>
    <row r="11302" spans="1:15" ht="16" x14ac:dyDescent="0.2">
      <c r="A11302" s="19"/>
      <c r="B11302" s="19"/>
      <c r="C11302" s="19"/>
      <c r="D11302" s="19"/>
      <c r="E11302" s="19"/>
      <c r="F11302" s="19"/>
      <c r="G11302" s="19"/>
      <c r="H11302" s="19"/>
      <c r="I11302" s="19"/>
      <c r="J11302" s="19"/>
      <c r="K11302" s="19"/>
      <c r="L11302" s="19"/>
      <c r="M11302" s="19"/>
      <c r="N11302" s="19"/>
      <c r="O11302" s="14" t="str">
        <f>HYPERLINK("https://otsuka-europe-crm.veevavault.com/ui/#object/email_activity__v/V8C00000003W143", "EN-002096916")</f>
        <v>EN-002096916</v>
      </c>
    </row>
    <row r="11303" spans="1:15" ht="32" x14ac:dyDescent="0.2">
      <c r="A11303" s="7" t="str">
        <f>HYPERLINK("https://otsuka-europe-crm.veevavault.com/ui/#object/account__v/V4TZ06G6O95XGQS", "SELENE NUÑEZ GASPAR")</f>
        <v>SELENE NUÑEZ GASPAR</v>
      </c>
      <c r="B11303" s="7" t="str">
        <f>HYPERLINK("https://otsuka-europe-crm.veevavault.com/ui/#object/vcountry__v/VENZ000004SONF5", "ES")</f>
        <v>ES</v>
      </c>
      <c r="C11303" s="8" t="s">
        <v>41</v>
      </c>
      <c r="D11303" s="9" t="str">
        <f>HYPERLINK("https://otsuka-europe-crm.veevavault.com/ui/#object/approved_document__v/V5O00000001A037", "LUP - VAE Póster Adelphi - Nefro")</f>
        <v>LUP - VAE Póster Adelphi - Nefro</v>
      </c>
      <c r="E11303" s="10" t="str">
        <f>HYPERLINK("https://otsuka-europe-crm.veevavault.com/ui/#object/sent_email__v/VBL00000002V204", "SE-001437093")</f>
        <v>SE-001437093</v>
      </c>
      <c r="F11303" s="11"/>
      <c r="G11303" s="12">
        <v>0</v>
      </c>
      <c r="H11303" s="12">
        <v>0</v>
      </c>
      <c r="I11303" s="12">
        <v>0</v>
      </c>
      <c r="J11303" s="11"/>
      <c r="K11303" s="12">
        <v>0</v>
      </c>
      <c r="L11303" s="10" t="str">
        <f>HYPERLINK("https://otsuka-europe-crm.veevavault.com/ui/#object/approved_document__v/V5O00000001A037", "LUP - VAE Póster Adelphi - Nefro")</f>
        <v>LUP - VAE Póster Adelphi - Nefro</v>
      </c>
      <c r="M11303" s="10" t="str">
        <f>HYPERLINK("mailto:jguri@crm.otsuka-europe.com", "jguri@crm.otsuka-europe.com")</f>
        <v>jguri@crm.otsuka-europe.com</v>
      </c>
      <c r="N11303" s="13">
        <v>46188.79483796296</v>
      </c>
      <c r="O11303" s="14" t="str">
        <f>HYPERLINK("https://otsuka-europe-crm.veevavault.com/ui/#object/email_activity__v/V8C00000003V964", "EN-002096601")</f>
        <v>EN-002096601</v>
      </c>
    </row>
    <row r="11304" spans="1:15" ht="16" x14ac:dyDescent="0.2">
      <c r="A11304" s="17" t="str">
        <f>HYPERLINK("https://otsuka-europe-crm.veevavault.com/ui/#object/account__v/V4TZ06G6O71T964", "MARIA AUXILIADORA BAJO RUBIO")</f>
        <v>MARIA AUXILIADORA BAJO RUBIO</v>
      </c>
      <c r="B11304" s="17" t="str">
        <f>HYPERLINK("https://otsuka-europe-crm.veevavault.com/ui/#object/vcountry__v/VENZ000004SONF5", "ES")</f>
        <v>ES</v>
      </c>
      <c r="C11304" s="20" t="s">
        <v>41</v>
      </c>
      <c r="D11304" s="21" t="str">
        <f>HYPERLINK("https://otsuka-europe-crm.veevavault.com/ui/#object/approved_document__v/V5O00000001A037", "LUP - VAE Póster Adelphi - Nefro")</f>
        <v>LUP - VAE Póster Adelphi - Nefro</v>
      </c>
      <c r="E11304" s="22" t="str">
        <f>HYPERLINK("https://otsuka-europe-crm.veevavault.com/ui/#object/sent_email__v/VBL00000002V205", "SE-001437094")</f>
        <v>SE-001437094</v>
      </c>
      <c r="F11304" s="23">
        <v>46188.825578703705</v>
      </c>
      <c r="G11304" s="24">
        <v>1</v>
      </c>
      <c r="H11304" s="24">
        <v>4</v>
      </c>
      <c r="I11304" s="24">
        <v>1</v>
      </c>
      <c r="J11304" s="23">
        <v>46188.824953703705</v>
      </c>
      <c r="K11304" s="24">
        <v>1</v>
      </c>
      <c r="L11304" s="22" t="str">
        <f>HYPERLINK("https://otsuka-europe-crm.veevavault.com/ui/#object/approved_document__v/V5O00000001A037", "LUP - VAE Póster Adelphi - Nefro")</f>
        <v>LUP - VAE Póster Adelphi - Nefro</v>
      </c>
      <c r="M11304" s="22" t="str">
        <f>HYPERLINK("mailto:jguri@crm.otsuka-europe.com", "jguri@crm.otsuka-europe.com")</f>
        <v>jguri@crm.otsuka-europe.com</v>
      </c>
      <c r="N11304" s="23">
        <v>46188.794872685183</v>
      </c>
      <c r="O11304" s="14" t="str">
        <f>HYPERLINK("https://otsuka-europe-crm.veevavault.com/ui/#object/email_activity__v/V8C00000003U834", "EN-002096625")</f>
        <v>EN-002096625</v>
      </c>
    </row>
    <row r="11305" spans="1:15" ht="16" x14ac:dyDescent="0.2">
      <c r="A11305" s="18"/>
      <c r="B11305" s="18"/>
      <c r="C11305" s="18"/>
      <c r="D11305" s="18"/>
      <c r="E11305" s="18"/>
      <c r="F11305" s="18"/>
      <c r="G11305" s="18"/>
      <c r="H11305" s="18"/>
      <c r="I11305" s="18"/>
      <c r="J11305" s="18"/>
      <c r="K11305" s="18"/>
      <c r="L11305" s="18"/>
      <c r="M11305" s="18"/>
      <c r="N11305" s="18"/>
      <c r="O11305" s="14" t="str">
        <f>HYPERLINK("https://otsuka-europe-crm.veevavault.com/ui/#object/email_activity__v/V8C00000003U892", "EN-002096773")</f>
        <v>EN-002096773</v>
      </c>
    </row>
    <row r="11306" spans="1:15" ht="16" x14ac:dyDescent="0.2">
      <c r="A11306" s="18"/>
      <c r="B11306" s="18"/>
      <c r="C11306" s="18"/>
      <c r="D11306" s="18"/>
      <c r="E11306" s="18"/>
      <c r="F11306" s="18"/>
      <c r="G11306" s="18"/>
      <c r="H11306" s="18"/>
      <c r="I11306" s="18"/>
      <c r="J11306" s="18"/>
      <c r="K11306" s="18"/>
      <c r="L11306" s="18"/>
      <c r="M11306" s="18"/>
      <c r="N11306" s="18"/>
      <c r="O11306" s="14" t="str">
        <f>HYPERLINK("https://otsuka-europe-crm.veevavault.com/ui/#object/email_activity__v/V8C00000003U893", "EN-002096774")</f>
        <v>EN-002096774</v>
      </c>
    </row>
    <row r="11307" spans="1:15" ht="16" x14ac:dyDescent="0.2">
      <c r="A11307" s="18"/>
      <c r="B11307" s="18"/>
      <c r="C11307" s="18"/>
      <c r="D11307" s="18"/>
      <c r="E11307" s="18"/>
      <c r="F11307" s="18"/>
      <c r="G11307" s="18"/>
      <c r="H11307" s="18"/>
      <c r="I11307" s="18"/>
      <c r="J11307" s="18"/>
      <c r="K11307" s="18"/>
      <c r="L11307" s="18"/>
      <c r="M11307" s="18"/>
      <c r="N11307" s="18"/>
      <c r="O11307" s="14" t="str">
        <f>HYPERLINK("https://otsuka-europe-crm.veevavault.com/ui/#object/email_activity__v/V8C00000003U902", "EN-002096786")</f>
        <v>EN-002096786</v>
      </c>
    </row>
    <row r="11308" spans="1:15" ht="16" x14ac:dyDescent="0.2">
      <c r="A11308" s="18"/>
      <c r="B11308" s="18"/>
      <c r="C11308" s="18"/>
      <c r="D11308" s="18"/>
      <c r="E11308" s="18"/>
      <c r="F11308" s="18"/>
      <c r="G11308" s="18"/>
      <c r="H11308" s="18"/>
      <c r="I11308" s="18"/>
      <c r="J11308" s="18"/>
      <c r="K11308" s="18"/>
      <c r="L11308" s="18"/>
      <c r="M11308" s="18"/>
      <c r="N11308" s="18"/>
      <c r="O11308" s="14" t="str">
        <f>HYPERLINK("https://otsuka-europe-crm.veevavault.com/ui/#object/email_activity__v/V8C00000003W066", "EN-002096770")</f>
        <v>EN-002096770</v>
      </c>
    </row>
    <row r="11309" spans="1:15" ht="16" x14ac:dyDescent="0.2">
      <c r="A11309" s="18"/>
      <c r="B11309" s="18"/>
      <c r="C11309" s="18"/>
      <c r="D11309" s="18"/>
      <c r="E11309" s="18"/>
      <c r="F11309" s="18"/>
      <c r="G11309" s="18"/>
      <c r="H11309" s="18"/>
      <c r="I11309" s="18"/>
      <c r="J11309" s="18"/>
      <c r="K11309" s="18"/>
      <c r="L11309" s="18"/>
      <c r="M11309" s="18"/>
      <c r="N11309" s="18"/>
      <c r="O11309" s="14" t="str">
        <f>HYPERLINK("https://otsuka-europe-crm.veevavault.com/ui/#object/email_activity__v/V8C00000003W067", "EN-002096771")</f>
        <v>EN-002096771</v>
      </c>
    </row>
    <row r="11310" spans="1:15" ht="16" x14ac:dyDescent="0.2">
      <c r="A11310" s="18"/>
      <c r="B11310" s="18"/>
      <c r="C11310" s="18"/>
      <c r="D11310" s="18"/>
      <c r="E11310" s="18"/>
      <c r="F11310" s="18"/>
      <c r="G11310" s="18"/>
      <c r="H11310" s="18"/>
      <c r="I11310" s="18"/>
      <c r="J11310" s="18"/>
      <c r="K11310" s="18"/>
      <c r="L11310" s="18"/>
      <c r="M11310" s="18"/>
      <c r="N11310" s="18"/>
      <c r="O11310" s="14" t="str">
        <f>HYPERLINK("https://otsuka-europe-crm.veevavault.com/ui/#object/email_activity__v/V8C00000003W068", "EN-002096772")</f>
        <v>EN-002096772</v>
      </c>
    </row>
    <row r="11311" spans="1:15" ht="16" x14ac:dyDescent="0.2">
      <c r="A11311" s="19"/>
      <c r="B11311" s="19"/>
      <c r="C11311" s="19"/>
      <c r="D11311" s="19"/>
      <c r="E11311" s="19"/>
      <c r="F11311" s="19"/>
      <c r="G11311" s="19"/>
      <c r="H11311" s="19"/>
      <c r="I11311" s="19"/>
      <c r="J11311" s="19"/>
      <c r="K11311" s="19"/>
      <c r="L11311" s="19"/>
      <c r="M11311" s="19"/>
      <c r="N11311" s="19"/>
      <c r="O11311" s="14" t="str">
        <f>HYPERLINK("https://otsuka-europe-crm.veevavault.com/ui/#object/email_activity__v/V8C00000003X957", "EN-002098523")</f>
        <v>EN-002098523</v>
      </c>
    </row>
    <row r="11312" spans="1:15" ht="16" x14ac:dyDescent="0.2">
      <c r="A11312" s="17" t="str">
        <f>HYPERLINK("https://otsuka-europe-crm.veevavault.com/ui/#object/account__v/V4TZ06G6O71T8VF", "CRISTINA GONZALEZ RUIZ-MOYANO")</f>
        <v>CRISTINA GONZALEZ RUIZ-MOYANO</v>
      </c>
      <c r="B11312" s="17" t="str">
        <f>HYPERLINK("https://otsuka-europe-crm.veevavault.com/ui/#object/vcountry__v/VENZ000004SONF5", "ES")</f>
        <v>ES</v>
      </c>
      <c r="C11312" s="20" t="s">
        <v>41</v>
      </c>
      <c r="D11312" s="21" t="str">
        <f>HYPERLINK("https://otsuka-europe-crm.veevavault.com/ui/#object/approved_document__v/V5O00000001A037", "LUP - VAE Póster Adelphi - Nefro")</f>
        <v>LUP - VAE Póster Adelphi - Nefro</v>
      </c>
      <c r="E11312" s="22" t="str">
        <f>HYPERLINK("https://otsuka-europe-crm.veevavault.com/ui/#object/sent_email__v/VBL00000002V206", "SE-001437095")</f>
        <v>SE-001437095</v>
      </c>
      <c r="F11312" s="23">
        <v>46188.81181712963</v>
      </c>
      <c r="G11312" s="24">
        <v>1</v>
      </c>
      <c r="H11312" s="24">
        <v>2</v>
      </c>
      <c r="I11312" s="24">
        <v>0</v>
      </c>
      <c r="J11312" s="25"/>
      <c r="K11312" s="24">
        <v>0</v>
      </c>
      <c r="L11312" s="22" t="str">
        <f>HYPERLINK("https://otsuka-europe-crm.veevavault.com/ui/#object/approved_document__v/V5O00000001A037", "LUP - VAE Póster Adelphi - Nefro")</f>
        <v>LUP - VAE Póster Adelphi - Nefro</v>
      </c>
      <c r="M11312" s="22" t="str">
        <f>HYPERLINK("mailto:jguri@crm.otsuka-europe.com", "jguri@crm.otsuka-europe.com")</f>
        <v>jguri@crm.otsuka-europe.com</v>
      </c>
      <c r="N11312" s="23">
        <v>46188.79488425926</v>
      </c>
      <c r="O11312" s="14" t="str">
        <f>HYPERLINK("https://otsuka-europe-crm.veevavault.com/ui/#object/email_activity__v/V8C00000003U822", "EN-002096556")</f>
        <v>EN-002096556</v>
      </c>
    </row>
    <row r="11313" spans="1:15" ht="16" x14ac:dyDescent="0.2">
      <c r="A11313" s="18"/>
      <c r="B11313" s="18"/>
      <c r="C11313" s="18"/>
      <c r="D11313" s="18"/>
      <c r="E11313" s="18"/>
      <c r="F11313" s="18"/>
      <c r="G11313" s="18"/>
      <c r="H11313" s="18"/>
      <c r="I11313" s="18"/>
      <c r="J11313" s="18"/>
      <c r="K11313" s="18"/>
      <c r="L11313" s="18"/>
      <c r="M11313" s="18"/>
      <c r="N11313" s="18"/>
      <c r="O11313" s="14" t="str">
        <f>HYPERLINK("https://otsuka-europe-crm.veevavault.com/ui/#object/email_activity__v/V8C00000003V950", "EN-002096587")</f>
        <v>EN-002096587</v>
      </c>
    </row>
    <row r="11314" spans="1:15" ht="16" x14ac:dyDescent="0.2">
      <c r="A11314" s="18"/>
      <c r="B11314" s="18"/>
      <c r="C11314" s="18"/>
      <c r="D11314" s="18"/>
      <c r="E11314" s="18"/>
      <c r="F11314" s="18"/>
      <c r="G11314" s="18"/>
      <c r="H11314" s="18"/>
      <c r="I11314" s="18"/>
      <c r="J11314" s="18"/>
      <c r="K11314" s="18"/>
      <c r="L11314" s="18"/>
      <c r="M11314" s="18"/>
      <c r="N11314" s="18"/>
      <c r="O11314" s="14" t="str">
        <f>HYPERLINK("https://otsuka-europe-crm.veevavault.com/ui/#object/email_activity__v/V8C00000003W054", "EN-002096751")</f>
        <v>EN-002096751</v>
      </c>
    </row>
    <row r="11315" spans="1:15" ht="16" x14ac:dyDescent="0.2">
      <c r="A11315" s="19"/>
      <c r="B11315" s="19"/>
      <c r="C11315" s="19"/>
      <c r="D11315" s="19"/>
      <c r="E11315" s="19"/>
      <c r="F11315" s="19"/>
      <c r="G11315" s="19"/>
      <c r="H11315" s="19"/>
      <c r="I11315" s="19"/>
      <c r="J11315" s="19"/>
      <c r="K11315" s="19"/>
      <c r="L11315" s="19"/>
      <c r="M11315" s="19"/>
      <c r="N11315" s="19"/>
      <c r="O11315" s="14" t="str">
        <f>HYPERLINK("https://otsuka-europe-crm.veevavault.com/ui/#object/email_activity__v/V8C00000003X220", "EN-002097334")</f>
        <v>EN-002097334</v>
      </c>
    </row>
    <row r="11316" spans="1:15" ht="16" x14ac:dyDescent="0.2">
      <c r="A11316" s="17" t="str">
        <f>HYPERLINK("https://otsuka-europe-crm.veevavault.com/ui/#object/account__v/V4TZ06G6O71TCFH", "MIGUEL ANGEL SUAREZ SANTIESTEBAN")</f>
        <v>MIGUEL ANGEL SUAREZ SANTIESTEBAN</v>
      </c>
      <c r="B11316" s="17" t="str">
        <f>HYPERLINK("https://otsuka-europe-crm.veevavault.com/ui/#object/vcountry__v/VENZ000004SONF5", "ES")</f>
        <v>ES</v>
      </c>
      <c r="C11316" s="20" t="s">
        <v>41</v>
      </c>
      <c r="D11316" s="21" t="str">
        <f>HYPERLINK("https://otsuka-europe-crm.veevavault.com/ui/#object/approved_document__v/V5O00000001A037", "LUP - VAE Póster Adelphi - Nefro")</f>
        <v>LUP - VAE Póster Adelphi - Nefro</v>
      </c>
      <c r="E11316" s="22" t="str">
        <f>HYPERLINK("https://otsuka-europe-crm.veevavault.com/ui/#object/sent_email__v/VBL00000002V207", "SE-001437096")</f>
        <v>SE-001437096</v>
      </c>
      <c r="F11316" s="23">
        <v>46194.814502314817</v>
      </c>
      <c r="G11316" s="24">
        <v>1</v>
      </c>
      <c r="H11316" s="24">
        <v>2</v>
      </c>
      <c r="I11316" s="24">
        <v>0</v>
      </c>
      <c r="J11316" s="25"/>
      <c r="K11316" s="24">
        <v>0</v>
      </c>
      <c r="L11316" s="22" t="str">
        <f>HYPERLINK("https://otsuka-europe-crm.veevavault.com/ui/#object/approved_document__v/V5O00000001A037", "LUP - VAE Póster Adelphi - Nefro")</f>
        <v>LUP - VAE Póster Adelphi - Nefro</v>
      </c>
      <c r="M11316" s="22" t="str">
        <f>HYPERLINK("mailto:jguri@crm.otsuka-europe.com", "jguri@crm.otsuka-europe.com")</f>
        <v>jguri@crm.otsuka-europe.com</v>
      </c>
      <c r="N11316" s="23">
        <v>46188.79488425926</v>
      </c>
      <c r="O11316" s="14" t="str">
        <f>HYPERLINK("https://otsuka-europe-crm.veevavault.com/ui/#object/email_activity__v/V8C00000003U873", "EN-002096725")</f>
        <v>EN-002096725</v>
      </c>
    </row>
    <row r="11317" spans="1:15" ht="16" x14ac:dyDescent="0.2">
      <c r="A11317" s="18"/>
      <c r="B11317" s="18"/>
      <c r="C11317" s="18"/>
      <c r="D11317" s="18"/>
      <c r="E11317" s="18"/>
      <c r="F11317" s="18"/>
      <c r="G11317" s="18"/>
      <c r="H11317" s="18"/>
      <c r="I11317" s="18"/>
      <c r="J11317" s="18"/>
      <c r="K11317" s="18"/>
      <c r="L11317" s="18"/>
      <c r="M11317" s="18"/>
      <c r="N11317" s="18"/>
      <c r="O11317" s="14" t="str">
        <f>HYPERLINK("https://otsuka-europe-crm.veevavault.com/ui/#object/email_activity__v/V8C00000003V935", "EN-002096572")</f>
        <v>EN-002096572</v>
      </c>
    </row>
    <row r="11318" spans="1:15" ht="16" x14ac:dyDescent="0.2">
      <c r="A11318" s="19"/>
      <c r="B11318" s="19"/>
      <c r="C11318" s="19"/>
      <c r="D11318" s="19"/>
      <c r="E11318" s="19"/>
      <c r="F11318" s="19"/>
      <c r="G11318" s="19"/>
      <c r="H11318" s="19"/>
      <c r="I11318" s="19"/>
      <c r="J11318" s="19"/>
      <c r="K11318" s="19"/>
      <c r="L11318" s="19"/>
      <c r="M11318" s="19"/>
      <c r="N11318" s="19"/>
      <c r="O11318" s="14" t="str">
        <f>HYPERLINK("https://otsuka-europe-crm.veevavault.com/ui/#object/email_activity__v/V8C00000003Z185", "EN-002098971")</f>
        <v>EN-002098971</v>
      </c>
    </row>
    <row r="11319" spans="1:15" ht="16" x14ac:dyDescent="0.2">
      <c r="A11319" s="17" t="str">
        <f>HYPERLINK("https://otsuka-europe-crm.veevavault.com/ui/#object/account__v/V4TZ06G6O71TAXL", "JOSE LUIS MERINO RIVAS")</f>
        <v>JOSE LUIS MERINO RIVAS</v>
      </c>
      <c r="B11319" s="17" t="str">
        <f>HYPERLINK("https://otsuka-europe-crm.veevavault.com/ui/#object/vcountry__v/VENZ000004SONF5", "ES")</f>
        <v>ES</v>
      </c>
      <c r="C11319" s="20" t="s">
        <v>41</v>
      </c>
      <c r="D11319" s="21" t="str">
        <f>HYPERLINK("https://otsuka-europe-crm.veevavault.com/ui/#object/approved_document__v/V5O00000001A037", "LUP - VAE Póster Adelphi - Nefro")</f>
        <v>LUP - VAE Póster Adelphi - Nefro</v>
      </c>
      <c r="E11319" s="22" t="str">
        <f>HYPERLINK("https://otsuka-europe-crm.veevavault.com/ui/#object/sent_email__v/VBL00000002V208", "SE-001437097")</f>
        <v>SE-001437097</v>
      </c>
      <c r="F11319" s="23">
        <v>46189.376817129632</v>
      </c>
      <c r="G11319" s="24">
        <v>1</v>
      </c>
      <c r="H11319" s="24">
        <v>2</v>
      </c>
      <c r="I11319" s="24">
        <v>0</v>
      </c>
      <c r="J11319" s="25"/>
      <c r="K11319" s="24">
        <v>0</v>
      </c>
      <c r="L11319" s="22" t="str">
        <f>HYPERLINK("https://otsuka-europe-crm.veevavault.com/ui/#object/approved_document__v/V5O00000001A037", "LUP - VAE Póster Adelphi - Nefro")</f>
        <v>LUP - VAE Póster Adelphi - Nefro</v>
      </c>
      <c r="M11319" s="22" t="str">
        <f>HYPERLINK("mailto:jguri@crm.otsuka-europe.com", "jguri@crm.otsuka-europe.com")</f>
        <v>jguri@crm.otsuka-europe.com</v>
      </c>
      <c r="N11319" s="23">
        <v>46188.79488425926</v>
      </c>
      <c r="O11319" s="14" t="str">
        <f>HYPERLINK("https://otsuka-europe-crm.veevavault.com/ui/#object/email_activity__v/V8C00000003U976", "EN-002096936")</f>
        <v>EN-002096936</v>
      </c>
    </row>
    <row r="11320" spans="1:15" ht="16" x14ac:dyDescent="0.2">
      <c r="A11320" s="18"/>
      <c r="B11320" s="18"/>
      <c r="C11320" s="18"/>
      <c r="D11320" s="18"/>
      <c r="E11320" s="18"/>
      <c r="F11320" s="18"/>
      <c r="G11320" s="18"/>
      <c r="H11320" s="18"/>
      <c r="I11320" s="18"/>
      <c r="J11320" s="18"/>
      <c r="K11320" s="18"/>
      <c r="L11320" s="18"/>
      <c r="M11320" s="18"/>
      <c r="N11320" s="18"/>
      <c r="O11320" s="14" t="str">
        <f>HYPERLINK("https://otsuka-europe-crm.veevavault.com/ui/#object/email_activity__v/V8C00000003V989", "EN-002096643")</f>
        <v>EN-002096643</v>
      </c>
    </row>
    <row r="11321" spans="1:15" ht="16" x14ac:dyDescent="0.2">
      <c r="A11321" s="19"/>
      <c r="B11321" s="19"/>
      <c r="C11321" s="19"/>
      <c r="D11321" s="19"/>
      <c r="E11321" s="19"/>
      <c r="F11321" s="19"/>
      <c r="G11321" s="19"/>
      <c r="H11321" s="19"/>
      <c r="I11321" s="19"/>
      <c r="J11321" s="19"/>
      <c r="K11321" s="19"/>
      <c r="L11321" s="19"/>
      <c r="M11321" s="19"/>
      <c r="N11321" s="19"/>
      <c r="O11321" s="14" t="str">
        <f>HYPERLINK("https://otsuka-europe-crm.veevavault.com/ui/#object/email_activity__v/V8C00000003W149", "EN-002096937")</f>
        <v>EN-002096937</v>
      </c>
    </row>
    <row r="11322" spans="1:15" ht="32" x14ac:dyDescent="0.2">
      <c r="A11322" s="7" t="str">
        <f>HYPERLINK("https://otsuka-europe-crm.veevavault.com/ui/#object/account__v/V4TZ04ASG79QYWV", "KATIA LOPEZ REVUELTA")</f>
        <v>KATIA LOPEZ REVUELTA</v>
      </c>
      <c r="B11322" s="7" t="str">
        <f>HYPERLINK("https://otsuka-europe-crm.veevavault.com/ui/#object/vcountry__v/VENZ000004SONF5", "ES")</f>
        <v>ES</v>
      </c>
      <c r="C11322" s="8" t="s">
        <v>41</v>
      </c>
      <c r="D11322" s="9" t="str">
        <f>HYPERLINK("https://otsuka-europe-crm.veevavault.com/ui/#object/approved_document__v/V5O00000001A037", "LUP - VAE Póster Adelphi - Nefro")</f>
        <v>LUP - VAE Póster Adelphi - Nefro</v>
      </c>
      <c r="E11322" s="10" t="str">
        <f>HYPERLINK("https://otsuka-europe-crm.veevavault.com/ui/#object/sent_email__v/VBL00000002V209", "SE-001437098")</f>
        <v>SE-001437098</v>
      </c>
      <c r="F11322" s="11"/>
      <c r="G11322" s="12">
        <v>0</v>
      </c>
      <c r="H11322" s="12">
        <v>0</v>
      </c>
      <c r="I11322" s="12">
        <v>0</v>
      </c>
      <c r="J11322" s="11"/>
      <c r="K11322" s="12">
        <v>0</v>
      </c>
      <c r="L11322" s="10" t="str">
        <f>HYPERLINK("https://otsuka-europe-crm.veevavault.com/ui/#object/approved_document__v/V5O00000001A037", "LUP - VAE Póster Adelphi - Nefro")</f>
        <v>LUP - VAE Póster Adelphi - Nefro</v>
      </c>
      <c r="M11322" s="10" t="str">
        <f>HYPERLINK("mailto:jguri@crm.otsuka-europe.com", "jguri@crm.otsuka-europe.com")</f>
        <v>jguri@crm.otsuka-europe.com</v>
      </c>
      <c r="N11322" s="13">
        <v>46188.79488425926</v>
      </c>
      <c r="O11322" s="14" t="str">
        <f>HYPERLINK("https://otsuka-europe-crm.veevavault.com/ui/#object/email_activity__v/V8C00000003V966", "EN-002096603")</f>
        <v>EN-002096603</v>
      </c>
    </row>
    <row r="11323" spans="1:15" ht="32" x14ac:dyDescent="0.2">
      <c r="A11323" s="7" t="str">
        <f>HYPERLINK("https://otsuka-europe-crm.veevavault.com/ui/#object/account__v/V4TZ06G6OCEHPOR", "MARTA ALVAREZ NADAL")</f>
        <v>MARTA ALVAREZ NADAL</v>
      </c>
      <c r="B11323" s="7" t="str">
        <f>HYPERLINK("https://otsuka-europe-crm.veevavault.com/ui/#object/vcountry__v/VENZ000004SONF5", "ES")</f>
        <v>ES</v>
      </c>
      <c r="C11323" s="8" t="s">
        <v>41</v>
      </c>
      <c r="D11323" s="9" t="str">
        <f>HYPERLINK("https://otsuka-europe-crm.veevavault.com/ui/#object/approved_document__v/V5O00000001A037", "LUP - VAE Póster Adelphi - Nefro")</f>
        <v>LUP - VAE Póster Adelphi - Nefro</v>
      </c>
      <c r="E11323" s="10" t="str">
        <f>HYPERLINK("https://otsuka-europe-crm.veevavault.com/ui/#object/sent_email__v/VBL00000002V210", "SE-001437099")</f>
        <v>SE-001437099</v>
      </c>
      <c r="F11323" s="11"/>
      <c r="G11323" s="12">
        <v>0</v>
      </c>
      <c r="H11323" s="12">
        <v>0</v>
      </c>
      <c r="I11323" s="12">
        <v>0</v>
      </c>
      <c r="J11323" s="11"/>
      <c r="K11323" s="12">
        <v>0</v>
      </c>
      <c r="L11323" s="10" t="str">
        <f>HYPERLINK("https://otsuka-europe-crm.veevavault.com/ui/#object/approved_document__v/V5O00000001A037", "LUP - VAE Póster Adelphi - Nefro")</f>
        <v>LUP - VAE Póster Adelphi - Nefro</v>
      </c>
      <c r="M11323" s="10" t="str">
        <f>HYPERLINK("mailto:jguri@crm.otsuka-europe.com", "jguri@crm.otsuka-europe.com")</f>
        <v>jguri@crm.otsuka-europe.com</v>
      </c>
      <c r="N11323" s="13">
        <v>46188.79488425926</v>
      </c>
      <c r="O11323" s="14" t="str">
        <f>HYPERLINK("https://otsuka-europe-crm.veevavault.com/ui/#object/email_activity__v/V8C00000003V924", "EN-002096561")</f>
        <v>EN-002096561</v>
      </c>
    </row>
    <row r="11324" spans="1:15" ht="32" x14ac:dyDescent="0.2">
      <c r="A11324" s="7" t="str">
        <f>HYPERLINK("https://otsuka-europe-crm.veevavault.com/ui/#object/account__v/V4TZ025E88PSIKT", "JUAN ANTONIO SANCHEZ VILLORIA")</f>
        <v>JUAN ANTONIO SANCHEZ VILLORIA</v>
      </c>
      <c r="B11324" s="7" t="str">
        <f>HYPERLINK("https://otsuka-europe-crm.veevavault.com/ui/#object/vcountry__v/VENZ000004SONF5", "ES")</f>
        <v>ES</v>
      </c>
      <c r="C11324" s="8" t="s">
        <v>41</v>
      </c>
      <c r="D11324" s="9" t="str">
        <f>HYPERLINK("https://otsuka-europe-crm.veevavault.com/ui/#object/approved_document__v/V5O00000001A037", "LUP - VAE Póster Adelphi - Nefro")</f>
        <v>LUP - VAE Póster Adelphi - Nefro</v>
      </c>
      <c r="E11324" s="10" t="str">
        <f>HYPERLINK("https://otsuka-europe-crm.veevavault.com/ui/#object/sent_email__v/VBL00000002V211", "SE-001437100")</f>
        <v>SE-001437100</v>
      </c>
      <c r="F11324" s="11"/>
      <c r="G11324" s="12">
        <v>0</v>
      </c>
      <c r="H11324" s="12">
        <v>0</v>
      </c>
      <c r="I11324" s="12">
        <v>0</v>
      </c>
      <c r="J11324" s="11"/>
      <c r="K11324" s="12">
        <v>0</v>
      </c>
      <c r="L11324" s="10" t="str">
        <f>HYPERLINK("https://otsuka-europe-crm.veevavault.com/ui/#object/approved_document__v/V5O00000001A037", "LUP - VAE Póster Adelphi - Nefro")</f>
        <v>LUP - VAE Póster Adelphi - Nefro</v>
      </c>
      <c r="M11324" s="10" t="str">
        <f>HYPERLINK("mailto:jguri@crm.otsuka-europe.com", "jguri@crm.otsuka-europe.com")</f>
        <v>jguri@crm.otsuka-europe.com</v>
      </c>
      <c r="N11324" s="13">
        <v>46188.79488425926</v>
      </c>
      <c r="O11324" s="14" t="str">
        <f>HYPERLINK("https://otsuka-europe-crm.veevavault.com/ui/#object/email_activity__v/V8C00000003V947", "EN-002096584")</f>
        <v>EN-002096584</v>
      </c>
    </row>
    <row r="11325" spans="1:15" ht="32" x14ac:dyDescent="0.2">
      <c r="A11325" s="7" t="str">
        <f>HYPERLINK("https://otsuka-europe-crm.veevavault.com/ui/#object/account__v/V4TZ04ASG9GXDQ4", "MARIA PILAR MORAN MAGRO")</f>
        <v>MARIA PILAR MORAN MAGRO</v>
      </c>
      <c r="B11325" s="7" t="str">
        <f>HYPERLINK("https://otsuka-europe-crm.veevavault.com/ui/#object/vcountry__v/VENZ000004SONF5", "ES")</f>
        <v>ES</v>
      </c>
      <c r="C11325" s="8" t="s">
        <v>41</v>
      </c>
      <c r="D11325" s="9" t="str">
        <f>HYPERLINK("https://otsuka-europe-crm.veevavault.com/ui/#object/approved_document__v/V5O00000001A037", "LUP - VAE Póster Adelphi - Nefro")</f>
        <v>LUP - VAE Póster Adelphi - Nefro</v>
      </c>
      <c r="E11325" s="10" t="str">
        <f>HYPERLINK("https://otsuka-europe-crm.veevavault.com/ui/#object/sent_email__v/VBL00000002V212", "SE-001437101")</f>
        <v>SE-001437101</v>
      </c>
      <c r="F11325" s="11"/>
      <c r="G11325" s="12">
        <v>0</v>
      </c>
      <c r="H11325" s="12">
        <v>0</v>
      </c>
      <c r="I11325" s="12">
        <v>0</v>
      </c>
      <c r="J11325" s="11"/>
      <c r="K11325" s="12">
        <v>0</v>
      </c>
      <c r="L11325" s="10" t="str">
        <f>HYPERLINK("https://otsuka-europe-crm.veevavault.com/ui/#object/approved_document__v/V5O00000001A037", "LUP - VAE Póster Adelphi - Nefro")</f>
        <v>LUP - VAE Póster Adelphi - Nefro</v>
      </c>
      <c r="M11325" s="10" t="str">
        <f>HYPERLINK("mailto:jguri@crm.otsuka-europe.com", "jguri@crm.otsuka-europe.com")</f>
        <v>jguri@crm.otsuka-europe.com</v>
      </c>
      <c r="N11325" s="13">
        <v>46188.79488425926</v>
      </c>
      <c r="O11325" s="14" t="str">
        <f>HYPERLINK("https://otsuka-europe-crm.veevavault.com/ui/#object/email_activity__v/V8C00000003V949", "EN-002096586")</f>
        <v>EN-002096586</v>
      </c>
    </row>
    <row r="11326" spans="1:15" ht="16" x14ac:dyDescent="0.2">
      <c r="A11326" s="17" t="str">
        <f>HYPERLINK("https://otsuka-europe-crm.veevavault.com/ui/#object/account__v/V4TZ06G6O71T7AU", "MARIA CRISTINA VEGA CABRERA")</f>
        <v>MARIA CRISTINA VEGA CABRERA</v>
      </c>
      <c r="B11326" s="17" t="str">
        <f>HYPERLINK("https://otsuka-europe-crm.veevavault.com/ui/#object/vcountry__v/VENZ000004SONF5", "ES")</f>
        <v>ES</v>
      </c>
      <c r="C11326" s="20" t="s">
        <v>41</v>
      </c>
      <c r="D11326" s="21" t="str">
        <f>HYPERLINK("https://otsuka-europe-crm.veevavault.com/ui/#object/approved_document__v/V5O00000001A037", "LUP - VAE Póster Adelphi - Nefro")</f>
        <v>LUP - VAE Póster Adelphi - Nefro</v>
      </c>
      <c r="E11326" s="22" t="str">
        <f>HYPERLINK("https://otsuka-europe-crm.veevavault.com/ui/#object/sent_email__v/VBL00000002V213", "SE-001437102")</f>
        <v>SE-001437102</v>
      </c>
      <c r="F11326" s="25"/>
      <c r="G11326" s="24">
        <v>0</v>
      </c>
      <c r="H11326" s="24">
        <v>0</v>
      </c>
      <c r="I11326" s="24">
        <v>0</v>
      </c>
      <c r="J11326" s="25"/>
      <c r="K11326" s="24">
        <v>0</v>
      </c>
      <c r="L11326" s="22" t="str">
        <f>HYPERLINK("https://otsuka-europe-crm.veevavault.com/ui/#object/approved_document__v/V5O00000001A037", "LUP - VAE Póster Adelphi - Nefro")</f>
        <v>LUP - VAE Póster Adelphi - Nefro</v>
      </c>
      <c r="M11326" s="22" t="str">
        <f>HYPERLINK("mailto:jguri@crm.otsuka-europe.com", "jguri@crm.otsuka-europe.com")</f>
        <v>jguri@crm.otsuka-europe.com</v>
      </c>
      <c r="N11326" s="23">
        <v>46188.794907407406</v>
      </c>
      <c r="O11326" s="14" t="str">
        <f>HYPERLINK("https://otsuka-europe-crm.veevavault.com/ui/#object/email_activity__v/V8C00000003U838", "EN-002096638")</f>
        <v>EN-002096638</v>
      </c>
    </row>
    <row r="11327" spans="1:15" ht="16" x14ac:dyDescent="0.2">
      <c r="A11327" s="18"/>
      <c r="B11327" s="18"/>
      <c r="C11327" s="18"/>
      <c r="D11327" s="18"/>
      <c r="E11327" s="18"/>
      <c r="F11327" s="18"/>
      <c r="G11327" s="18"/>
      <c r="H11327" s="18"/>
      <c r="I11327" s="18"/>
      <c r="J11327" s="18"/>
      <c r="K11327" s="18"/>
      <c r="L11327" s="18"/>
      <c r="M11327" s="18"/>
      <c r="N11327" s="18"/>
      <c r="O11327" s="14" t="str">
        <f>HYPERLINK("https://otsuka-europe-crm.veevavault.com/ui/#object/email_activity__v/V8C00000003U909", "EN-002096797")</f>
        <v>EN-002096797</v>
      </c>
    </row>
    <row r="11328" spans="1:15" ht="16" x14ac:dyDescent="0.2">
      <c r="A11328" s="19"/>
      <c r="B11328" s="19"/>
      <c r="C11328" s="19"/>
      <c r="D11328" s="19"/>
      <c r="E11328" s="19"/>
      <c r="F11328" s="19"/>
      <c r="G11328" s="19"/>
      <c r="H11328" s="19"/>
      <c r="I11328" s="19"/>
      <c r="J11328" s="19"/>
      <c r="K11328" s="19"/>
      <c r="L11328" s="19"/>
      <c r="M11328" s="19"/>
      <c r="N11328" s="19"/>
      <c r="O11328" s="14" t="str">
        <f>HYPERLINK("https://otsuka-europe-crm.veevavault.com/ui/#object/email_activity__v/V8C00000003W301", "EN-002097325")</f>
        <v>EN-002097325</v>
      </c>
    </row>
    <row r="11329" spans="1:15" ht="16" x14ac:dyDescent="0.2">
      <c r="A11329" s="17" t="str">
        <f>HYPERLINK("https://otsuka-europe-crm.veevavault.com/ui/#object/account__v/V4TZ06G6O71T9UH", "PILAR FRAILE GOMEZ")</f>
        <v>PILAR FRAILE GOMEZ</v>
      </c>
      <c r="B11329" s="17" t="str">
        <f>HYPERLINK("https://otsuka-europe-crm.veevavault.com/ui/#object/vcountry__v/VENZ000004SONF5", "ES")</f>
        <v>ES</v>
      </c>
      <c r="C11329" s="20" t="s">
        <v>41</v>
      </c>
      <c r="D11329" s="21" t="str">
        <f>HYPERLINK("https://otsuka-europe-crm.veevavault.com/ui/#object/approved_document__v/V5O00000001A037", "LUP - VAE Póster Adelphi - Nefro")</f>
        <v>LUP - VAE Póster Adelphi - Nefro</v>
      </c>
      <c r="E11329" s="22" t="str">
        <f>HYPERLINK("https://otsuka-europe-crm.veevavault.com/ui/#object/sent_email__v/VBL00000002V214", "SE-001437103")</f>
        <v>SE-001437103</v>
      </c>
      <c r="F11329" s="23">
        <v>46188.977395833332</v>
      </c>
      <c r="G11329" s="24">
        <v>1</v>
      </c>
      <c r="H11329" s="24">
        <v>1</v>
      </c>
      <c r="I11329" s="24">
        <v>0</v>
      </c>
      <c r="J11329" s="25"/>
      <c r="K11329" s="24">
        <v>0</v>
      </c>
      <c r="L11329" s="22" t="str">
        <f>HYPERLINK("https://otsuka-europe-crm.veevavault.com/ui/#object/approved_document__v/V5O00000001A037", "LUP - VAE Póster Adelphi - Nefro")</f>
        <v>LUP - VAE Póster Adelphi - Nefro</v>
      </c>
      <c r="M11329" s="22" t="str">
        <f>HYPERLINK("mailto:jguri@crm.otsuka-europe.com", "jguri@crm.otsuka-europe.com")</f>
        <v>jguri@crm.otsuka-europe.com</v>
      </c>
      <c r="N11329" s="23">
        <v>46188.79488425926</v>
      </c>
      <c r="O11329" s="14" t="str">
        <f>HYPERLINK("https://otsuka-europe-crm.veevavault.com/ui/#object/email_activity__v/V8C00000003V946", "EN-002096583")</f>
        <v>EN-002096583</v>
      </c>
    </row>
    <row r="11330" spans="1:15" ht="16" x14ac:dyDescent="0.2">
      <c r="A11330" s="19"/>
      <c r="B11330" s="19"/>
      <c r="C11330" s="19"/>
      <c r="D11330" s="19"/>
      <c r="E11330" s="19"/>
      <c r="F11330" s="19"/>
      <c r="G11330" s="19"/>
      <c r="H11330" s="19"/>
      <c r="I11330" s="19"/>
      <c r="J11330" s="19"/>
      <c r="K11330" s="19"/>
      <c r="L11330" s="19"/>
      <c r="M11330" s="19"/>
      <c r="N11330" s="19"/>
      <c r="O11330" s="14" t="str">
        <f>HYPERLINK("https://otsuka-europe-crm.veevavault.com/ui/#object/email_activity__v/V8C00000003W101", "EN-002096852")</f>
        <v>EN-002096852</v>
      </c>
    </row>
    <row r="11331" spans="1:15" ht="32" x14ac:dyDescent="0.2">
      <c r="A11331" s="7" t="str">
        <f>HYPERLINK("https://otsuka-europe-crm.veevavault.com/ui/#object/account__v/V4TZ06G6O71T7AZ", "JARA AMPUERO MENCIA")</f>
        <v>JARA AMPUERO MENCIA</v>
      </c>
      <c r="B11331" s="7" t="str">
        <f>HYPERLINK("https://otsuka-europe-crm.veevavault.com/ui/#object/vcountry__v/VENZ000004SONF5", "ES")</f>
        <v>ES</v>
      </c>
      <c r="C11331" s="8" t="s">
        <v>41</v>
      </c>
      <c r="D11331" s="9" t="str">
        <f>HYPERLINK("https://otsuka-europe-crm.veevavault.com/ui/#object/approved_document__v/V5O00000001A037", "LUP - VAE Póster Adelphi - Nefro")</f>
        <v>LUP - VAE Póster Adelphi - Nefro</v>
      </c>
      <c r="E11331" s="10" t="str">
        <f>HYPERLINK("https://otsuka-europe-crm.veevavault.com/ui/#object/sent_email__v/VBL00000002V215", "SE-001437104")</f>
        <v>SE-001437104</v>
      </c>
      <c r="F11331" s="11"/>
      <c r="G11331" s="12">
        <v>0</v>
      </c>
      <c r="H11331" s="12">
        <v>0</v>
      </c>
      <c r="I11331" s="12">
        <v>0</v>
      </c>
      <c r="J11331" s="11"/>
      <c r="K11331" s="12">
        <v>0</v>
      </c>
      <c r="L11331" s="10" t="str">
        <f>HYPERLINK("https://otsuka-europe-crm.veevavault.com/ui/#object/approved_document__v/V5O00000001A037", "LUP - VAE Póster Adelphi - Nefro")</f>
        <v>LUP - VAE Póster Adelphi - Nefro</v>
      </c>
      <c r="M11331" s="10" t="str">
        <f>HYPERLINK("mailto:jguri@crm.otsuka-europe.com", "jguri@crm.otsuka-europe.com")</f>
        <v>jguri@crm.otsuka-europe.com</v>
      </c>
      <c r="N11331" s="13">
        <v>46188.79488425926</v>
      </c>
      <c r="O11331" s="14" t="str">
        <f>HYPERLINK("https://otsuka-europe-crm.veevavault.com/ui/#object/email_activity__v/V8C00000003V952", "EN-002096589")</f>
        <v>EN-002096589</v>
      </c>
    </row>
    <row r="11332" spans="1:15" ht="32" x14ac:dyDescent="0.2">
      <c r="A11332" s="7" t="str">
        <f>HYPERLINK("https://otsuka-europe-crm.veevavault.com/ui/#object/account__v/V4TZ06G6O71TASG", "MIRIAM LOPEZ MATEOS")</f>
        <v>MIRIAM LOPEZ MATEOS</v>
      </c>
      <c r="B11332" s="7" t="str">
        <f>HYPERLINK("https://otsuka-europe-crm.veevavault.com/ui/#object/vcountry__v/VENZ000004SONF5", "ES")</f>
        <v>ES</v>
      </c>
      <c r="C11332" s="8" t="s">
        <v>41</v>
      </c>
      <c r="D11332" s="9" t="str">
        <f>HYPERLINK("https://otsuka-europe-crm.veevavault.com/ui/#object/approved_document__v/V5O00000001A037", "LUP - VAE Póster Adelphi - Nefro")</f>
        <v>LUP - VAE Póster Adelphi - Nefro</v>
      </c>
      <c r="E11332" s="10" t="str">
        <f>HYPERLINK("https://otsuka-europe-crm.veevavault.com/ui/#object/sent_email__v/VBL00000002V216", "SE-001437105")</f>
        <v>SE-001437105</v>
      </c>
      <c r="F11332" s="11"/>
      <c r="G11332" s="12">
        <v>0</v>
      </c>
      <c r="H11332" s="12">
        <v>0</v>
      </c>
      <c r="I11332" s="12">
        <v>0</v>
      </c>
      <c r="J11332" s="11"/>
      <c r="K11332" s="12">
        <v>0</v>
      </c>
      <c r="L11332" s="10" t="str">
        <f>HYPERLINK("https://otsuka-europe-crm.veevavault.com/ui/#object/approved_document__v/V5O00000001A037", "LUP - VAE Póster Adelphi - Nefro")</f>
        <v>LUP - VAE Póster Adelphi - Nefro</v>
      </c>
      <c r="M11332" s="10" t="str">
        <f>HYPERLINK("mailto:jguri@crm.otsuka-europe.com", "jguri@crm.otsuka-europe.com")</f>
        <v>jguri@crm.otsuka-europe.com</v>
      </c>
      <c r="N11332" s="13">
        <v>46188.79488425926</v>
      </c>
      <c r="O11332" s="14" t="str">
        <f>HYPERLINK("https://otsuka-europe-crm.veevavault.com/ui/#object/email_activity__v/V8C00000003V987", "EN-002096641")</f>
        <v>EN-002096641</v>
      </c>
    </row>
    <row r="11333" spans="1:15" ht="16" x14ac:dyDescent="0.2">
      <c r="A11333" s="17" t="str">
        <f>HYPERLINK("https://otsuka-europe-crm.veevavault.com/ui/#object/account__v/V4TZ06G6O71T7DE", "MARIA LORETO FERNANDEZ RODRIGUEZ")</f>
        <v>MARIA LORETO FERNANDEZ RODRIGUEZ</v>
      </c>
      <c r="B11333" s="17" t="str">
        <f>HYPERLINK("https://otsuka-europe-crm.veevavault.com/ui/#object/vcountry__v/VENZ000004SONF5", "ES")</f>
        <v>ES</v>
      </c>
      <c r="C11333" s="20" t="s">
        <v>41</v>
      </c>
      <c r="D11333" s="21" t="str">
        <f>HYPERLINK("https://otsuka-europe-crm.veevavault.com/ui/#object/approved_document__v/V5O00000001A037", "LUP - VAE Póster Adelphi - Nefro")</f>
        <v>LUP - VAE Póster Adelphi - Nefro</v>
      </c>
      <c r="E11333" s="22" t="str">
        <f>HYPERLINK("https://otsuka-europe-crm.veevavault.com/ui/#object/sent_email__v/VBL00000002V217", "SE-001437106")</f>
        <v>SE-001437106</v>
      </c>
      <c r="F11333" s="23">
        <v>46188.854756944442</v>
      </c>
      <c r="G11333" s="24">
        <v>1</v>
      </c>
      <c r="H11333" s="24">
        <v>3</v>
      </c>
      <c r="I11333" s="24">
        <v>0</v>
      </c>
      <c r="J11333" s="25"/>
      <c r="K11333" s="24">
        <v>0</v>
      </c>
      <c r="L11333" s="22" t="str">
        <f>HYPERLINK("https://otsuka-europe-crm.veevavault.com/ui/#object/approved_document__v/V5O00000001A037", "LUP - VAE Póster Adelphi - Nefro")</f>
        <v>LUP - VAE Póster Adelphi - Nefro</v>
      </c>
      <c r="M11333" s="22" t="str">
        <f>HYPERLINK("mailto:jguri@crm.otsuka-europe.com", "jguri@crm.otsuka-europe.com")</f>
        <v>jguri@crm.otsuka-europe.com</v>
      </c>
      <c r="N11333" s="23">
        <v>46188.79488425926</v>
      </c>
      <c r="O11333" s="14" t="str">
        <f>HYPERLINK("https://otsuka-europe-crm.veevavault.com/ui/#object/email_activity__v/V8C00000003U896", "EN-002096777")</f>
        <v>EN-002096777</v>
      </c>
    </row>
    <row r="11334" spans="1:15" ht="16" x14ac:dyDescent="0.2">
      <c r="A11334" s="18"/>
      <c r="B11334" s="18"/>
      <c r="C11334" s="18"/>
      <c r="D11334" s="18"/>
      <c r="E11334" s="18"/>
      <c r="F11334" s="18"/>
      <c r="G11334" s="18"/>
      <c r="H11334" s="18"/>
      <c r="I11334" s="18"/>
      <c r="J11334" s="18"/>
      <c r="K11334" s="18"/>
      <c r="L11334" s="18"/>
      <c r="M11334" s="18"/>
      <c r="N11334" s="18"/>
      <c r="O11334" s="14" t="str">
        <f>HYPERLINK("https://otsuka-europe-crm.veevavault.com/ui/#object/email_activity__v/V8C00000003V962", "EN-002096599")</f>
        <v>EN-002096599</v>
      </c>
    </row>
    <row r="11335" spans="1:15" ht="16" x14ac:dyDescent="0.2">
      <c r="A11335" s="18"/>
      <c r="B11335" s="18"/>
      <c r="C11335" s="18"/>
      <c r="D11335" s="18"/>
      <c r="E11335" s="18"/>
      <c r="F11335" s="18"/>
      <c r="G11335" s="18"/>
      <c r="H11335" s="18"/>
      <c r="I11335" s="18"/>
      <c r="J11335" s="18"/>
      <c r="K11335" s="18"/>
      <c r="L11335" s="18"/>
      <c r="M11335" s="18"/>
      <c r="N11335" s="18"/>
      <c r="O11335" s="14" t="str">
        <f>HYPERLINK("https://otsuka-europe-crm.veevavault.com/ui/#object/email_activity__v/V8C00000003W046", "EN-002096740")</f>
        <v>EN-002096740</v>
      </c>
    </row>
    <row r="11336" spans="1:15" ht="16" x14ac:dyDescent="0.2">
      <c r="A11336" s="19"/>
      <c r="B11336" s="19"/>
      <c r="C11336" s="19"/>
      <c r="D11336" s="19"/>
      <c r="E11336" s="19"/>
      <c r="F11336" s="19"/>
      <c r="G11336" s="19"/>
      <c r="H11336" s="19"/>
      <c r="I11336" s="19"/>
      <c r="J11336" s="19"/>
      <c r="K11336" s="19"/>
      <c r="L11336" s="19"/>
      <c r="M11336" s="19"/>
      <c r="N11336" s="19"/>
      <c r="O11336" s="14" t="str">
        <f>HYPERLINK("https://otsuka-europe-crm.veevavault.com/ui/#object/email_activity__v/V8C00000003W077", "EN-002096799")</f>
        <v>EN-002096799</v>
      </c>
    </row>
    <row r="11337" spans="1:15" ht="32" x14ac:dyDescent="0.2">
      <c r="A11337" s="7" t="str">
        <f>HYPERLINK("https://otsuka-europe-crm.veevavault.com/ui/#object/account__v/V4TZ06G6O71T7OA", "CLARA GARCIA CARRO")</f>
        <v>CLARA GARCIA CARRO</v>
      </c>
      <c r="B11337" s="7" t="str">
        <f>HYPERLINK("https://otsuka-europe-crm.veevavault.com/ui/#object/vcountry__v/VENZ000004SONF5", "ES")</f>
        <v>ES</v>
      </c>
      <c r="C11337" s="8" t="s">
        <v>41</v>
      </c>
      <c r="D11337" s="9" t="str">
        <f>HYPERLINK("https://otsuka-europe-crm.veevavault.com/ui/#object/approved_document__v/V5O00000001A037", "LUP - VAE Póster Adelphi - Nefro")</f>
        <v>LUP - VAE Póster Adelphi - Nefro</v>
      </c>
      <c r="E11337" s="10" t="str">
        <f>HYPERLINK("https://otsuka-europe-crm.veevavault.com/ui/#object/sent_email__v/VBL00000002V218", "SE-001437107")</f>
        <v>SE-001437107</v>
      </c>
      <c r="F11337" s="11"/>
      <c r="G11337" s="12">
        <v>0</v>
      </c>
      <c r="H11337" s="12">
        <v>0</v>
      </c>
      <c r="I11337" s="12">
        <v>0</v>
      </c>
      <c r="J11337" s="11"/>
      <c r="K11337" s="12">
        <v>0</v>
      </c>
      <c r="L11337" s="10" t="str">
        <f>HYPERLINK("https://otsuka-europe-crm.veevavault.com/ui/#object/approved_document__v/V5O00000001A037", "LUP - VAE Póster Adelphi - Nefro")</f>
        <v>LUP - VAE Póster Adelphi - Nefro</v>
      </c>
      <c r="M11337" s="10" t="str">
        <f>HYPERLINK("mailto:jguri@crm.otsuka-europe.com", "jguri@crm.otsuka-europe.com")</f>
        <v>jguri@crm.otsuka-europe.com</v>
      </c>
      <c r="N11337" s="13">
        <v>46188.79488425926</v>
      </c>
      <c r="O11337" s="14" t="str">
        <f>HYPERLINK("https://otsuka-europe-crm.veevavault.com/ui/#object/email_activity__v/V8C00000003V948", "EN-002096585")</f>
        <v>EN-002096585</v>
      </c>
    </row>
    <row r="11338" spans="1:15" ht="32" x14ac:dyDescent="0.2">
      <c r="A11338" s="7" t="str">
        <f>HYPERLINK("https://otsuka-europe-crm.veevavault.com/ui/#object/account__v/V4TZ04ASGDZZMPA", "ANA CRISTINA MENDOZA CEDEÑO")</f>
        <v>ANA CRISTINA MENDOZA CEDEÑO</v>
      </c>
      <c r="B11338" s="7" t="str">
        <f>HYPERLINK("https://otsuka-europe-crm.veevavault.com/ui/#object/vcountry__v/VENZ000004SONF5", "ES")</f>
        <v>ES</v>
      </c>
      <c r="C11338" s="8" t="s">
        <v>41</v>
      </c>
      <c r="D11338" s="9" t="str">
        <f>HYPERLINK("https://otsuka-europe-crm.veevavault.com/ui/#object/approved_document__v/V5O00000001A037", "LUP - VAE Póster Adelphi - Nefro")</f>
        <v>LUP - VAE Póster Adelphi - Nefro</v>
      </c>
      <c r="E11338" s="10" t="str">
        <f>HYPERLINK("https://otsuka-europe-crm.veevavault.com/ui/#object/sent_email__v/VBL00000002V219", "SE-001437108")</f>
        <v>SE-001437108</v>
      </c>
      <c r="F11338" s="11"/>
      <c r="G11338" s="12">
        <v>0</v>
      </c>
      <c r="H11338" s="12">
        <v>0</v>
      </c>
      <c r="I11338" s="12">
        <v>0</v>
      </c>
      <c r="J11338" s="11"/>
      <c r="K11338" s="12">
        <v>0</v>
      </c>
      <c r="L11338" s="10" t="str">
        <f>HYPERLINK("https://otsuka-europe-crm.veevavault.com/ui/#object/approved_document__v/V5O00000001A037", "LUP - VAE Póster Adelphi - Nefro")</f>
        <v>LUP - VAE Póster Adelphi - Nefro</v>
      </c>
      <c r="M11338" s="10" t="str">
        <f>HYPERLINK("mailto:jguri@crm.otsuka-europe.com", "jguri@crm.otsuka-europe.com")</f>
        <v>jguri@crm.otsuka-europe.com</v>
      </c>
      <c r="N11338" s="13">
        <v>46188.794918981483</v>
      </c>
      <c r="O11338" s="14" t="str">
        <f>HYPERLINK("https://otsuka-europe-crm.veevavault.com/ui/#object/email_activity__v/V8C00000003V982", "EN-002096630")</f>
        <v>EN-002096630</v>
      </c>
    </row>
    <row r="11339" spans="1:15" ht="16" x14ac:dyDescent="0.2">
      <c r="A11339" s="17" t="str">
        <f>HYPERLINK("https://otsuka-europe-crm.veevavault.com/ui/#object/account__v/V4TZ04ASGAZNNW7", "CELIA NOVAS MORENO")</f>
        <v>CELIA NOVAS MORENO</v>
      </c>
      <c r="B11339" s="17" t="str">
        <f>HYPERLINK("https://otsuka-europe-crm.veevavault.com/ui/#object/vcountry__v/VENZ000004SONF5", "ES")</f>
        <v>ES</v>
      </c>
      <c r="C11339" s="20" t="s">
        <v>41</v>
      </c>
      <c r="D11339" s="21" t="str">
        <f>HYPERLINK("https://otsuka-europe-crm.veevavault.com/ui/#object/approved_document__v/V5O00000001A037", "LUP - VAE Póster Adelphi - Nefro")</f>
        <v>LUP - VAE Póster Adelphi - Nefro</v>
      </c>
      <c r="E11339" s="22" t="str">
        <f>HYPERLINK("https://otsuka-europe-crm.veevavault.com/ui/#object/sent_email__v/VBL00000002V220", "SE-001437109")</f>
        <v>SE-001437109</v>
      </c>
      <c r="F11339" s="23">
        <v>46192.327627314815</v>
      </c>
      <c r="G11339" s="24">
        <v>1</v>
      </c>
      <c r="H11339" s="24">
        <v>2</v>
      </c>
      <c r="I11339" s="24">
        <v>0</v>
      </c>
      <c r="J11339" s="25"/>
      <c r="K11339" s="24">
        <v>0</v>
      </c>
      <c r="L11339" s="22" t="str">
        <f>HYPERLINK("https://otsuka-europe-crm.veevavault.com/ui/#object/approved_document__v/V5O00000001A037", "LUP - VAE Póster Adelphi - Nefro")</f>
        <v>LUP - VAE Póster Adelphi - Nefro</v>
      </c>
      <c r="M11339" s="22" t="str">
        <f>HYPERLINK("mailto:jguri@crm.otsuka-europe.com", "jguri@crm.otsuka-europe.com")</f>
        <v>jguri@crm.otsuka-europe.com</v>
      </c>
      <c r="N11339" s="23">
        <v>46188.79488425926</v>
      </c>
      <c r="O11339" s="14" t="str">
        <f>HYPERLINK("https://otsuka-europe-crm.veevavault.com/ui/#object/email_activity__v/V8C00000003U964", "EN-002096922")</f>
        <v>EN-002096922</v>
      </c>
    </row>
    <row r="11340" spans="1:15" ht="16" x14ac:dyDescent="0.2">
      <c r="A11340" s="18"/>
      <c r="B11340" s="18"/>
      <c r="C11340" s="18"/>
      <c r="D11340" s="18"/>
      <c r="E11340" s="18"/>
      <c r="F11340" s="18"/>
      <c r="G11340" s="18"/>
      <c r="H11340" s="18"/>
      <c r="I11340" s="18"/>
      <c r="J11340" s="18"/>
      <c r="K11340" s="18"/>
      <c r="L11340" s="18"/>
      <c r="M11340" s="18"/>
      <c r="N11340" s="18"/>
      <c r="O11340" s="14" t="str">
        <f>HYPERLINK("https://otsuka-europe-crm.veevavault.com/ui/#object/email_activity__v/V8C00000003V969", "EN-002096611")</f>
        <v>EN-002096611</v>
      </c>
    </row>
    <row r="11341" spans="1:15" ht="16" x14ac:dyDescent="0.2">
      <c r="A11341" s="18"/>
      <c r="B11341" s="18"/>
      <c r="C11341" s="18"/>
      <c r="D11341" s="18"/>
      <c r="E11341" s="18"/>
      <c r="F11341" s="18"/>
      <c r="G11341" s="18"/>
      <c r="H11341" s="18"/>
      <c r="I11341" s="18"/>
      <c r="J11341" s="18"/>
      <c r="K11341" s="18"/>
      <c r="L11341" s="18"/>
      <c r="M11341" s="18"/>
      <c r="N11341" s="18"/>
      <c r="O11341" s="14" t="str">
        <f>HYPERLINK("https://otsuka-europe-crm.veevavault.com/ui/#object/email_activity__v/V8C00000003W055", "EN-002096752")</f>
        <v>EN-002096752</v>
      </c>
    </row>
    <row r="11342" spans="1:15" ht="16" x14ac:dyDescent="0.2">
      <c r="A11342" s="19"/>
      <c r="B11342" s="19"/>
      <c r="C11342" s="19"/>
      <c r="D11342" s="19"/>
      <c r="E11342" s="19"/>
      <c r="F11342" s="19"/>
      <c r="G11342" s="19"/>
      <c r="H11342" s="19"/>
      <c r="I11342" s="19"/>
      <c r="J11342" s="19"/>
      <c r="K11342" s="19"/>
      <c r="L11342" s="19"/>
      <c r="M11342" s="19"/>
      <c r="N11342" s="19"/>
      <c r="O11342" s="14" t="str">
        <f>HYPERLINK("https://otsuka-europe-crm.veevavault.com/ui/#object/email_activity__v/V8C000000040012", "EN-002098715")</f>
        <v>EN-002098715</v>
      </c>
    </row>
    <row r="11343" spans="1:15" ht="16" x14ac:dyDescent="0.2">
      <c r="A11343" s="17" t="str">
        <f>HYPERLINK("https://otsuka-europe-crm.veevavault.com/ui/#object/account__v/V4TZ06G6O71T91X", "JOAQUIN ANTON MARTINEZ")</f>
        <v>JOAQUIN ANTON MARTINEZ</v>
      </c>
      <c r="B11343" s="17" t="str">
        <f>HYPERLINK("https://otsuka-europe-crm.veevavault.com/ui/#object/vcountry__v/VENZ000004SONF5", "ES")</f>
        <v>ES</v>
      </c>
      <c r="C11343" s="20" t="s">
        <v>41</v>
      </c>
      <c r="D11343" s="21" t="str">
        <f>HYPERLINK("https://otsuka-europe-crm.veevavault.com/ui/#object/approved_document__v/V5O00000001A037", "LUP - VAE Póster Adelphi - Nefro")</f>
        <v>LUP - VAE Póster Adelphi - Nefro</v>
      </c>
      <c r="E11343" s="22" t="str">
        <f>HYPERLINK("https://otsuka-europe-crm.veevavault.com/ui/#object/sent_email__v/VBL00000002V221", "SE-001437110")</f>
        <v>SE-001437110</v>
      </c>
      <c r="F11343" s="25"/>
      <c r="G11343" s="24">
        <v>0</v>
      </c>
      <c r="H11343" s="24">
        <v>0</v>
      </c>
      <c r="I11343" s="24">
        <v>0</v>
      </c>
      <c r="J11343" s="25"/>
      <c r="K11343" s="24">
        <v>0</v>
      </c>
      <c r="L11343" s="22" t="str">
        <f>HYPERLINK("https://otsuka-europe-crm.veevavault.com/ui/#object/approved_document__v/V5O00000001A037", "LUP - VAE Póster Adelphi - Nefro")</f>
        <v>LUP - VAE Póster Adelphi - Nefro</v>
      </c>
      <c r="M11343" s="22" t="str">
        <f>HYPERLINK("mailto:jguri@crm.otsuka-europe.com", "jguri@crm.otsuka-europe.com")</f>
        <v>jguri@crm.otsuka-europe.com</v>
      </c>
      <c r="N11343" s="23">
        <v>46188.79488425926</v>
      </c>
      <c r="O11343" s="14" t="str">
        <f>HYPERLINK("https://otsuka-europe-crm.veevavault.com/ui/#object/email_activity__v/V8C00000003V934", "EN-002096571")</f>
        <v>EN-002096571</v>
      </c>
    </row>
    <row r="11344" spans="1:15" ht="16" x14ac:dyDescent="0.2">
      <c r="A11344" s="18"/>
      <c r="B11344" s="18"/>
      <c r="C11344" s="18"/>
      <c r="D11344" s="18"/>
      <c r="E11344" s="18"/>
      <c r="F11344" s="18"/>
      <c r="G11344" s="18"/>
      <c r="H11344" s="18"/>
      <c r="I11344" s="18"/>
      <c r="J11344" s="18"/>
      <c r="K11344" s="18"/>
      <c r="L11344" s="18"/>
      <c r="M11344" s="18"/>
      <c r="N11344" s="18"/>
      <c r="O11344" s="14" t="str">
        <f>HYPERLINK("https://otsuka-europe-crm.veevavault.com/ui/#object/email_activity__v/V8C00000003W120", "EN-002096877")</f>
        <v>EN-002096877</v>
      </c>
    </row>
    <row r="11345" spans="1:15" ht="16" x14ac:dyDescent="0.2">
      <c r="A11345" s="19"/>
      <c r="B11345" s="19"/>
      <c r="C11345" s="19"/>
      <c r="D11345" s="19"/>
      <c r="E11345" s="19"/>
      <c r="F11345" s="19"/>
      <c r="G11345" s="19"/>
      <c r="H11345" s="19"/>
      <c r="I11345" s="19"/>
      <c r="J11345" s="19"/>
      <c r="K11345" s="19"/>
      <c r="L11345" s="19"/>
      <c r="M11345" s="19"/>
      <c r="N11345" s="19"/>
      <c r="O11345" s="14" t="str">
        <f>HYPERLINK("https://otsuka-europe-crm.veevavault.com/ui/#object/email_activity__v/V8C000000040091", "EN-002098865")</f>
        <v>EN-002098865</v>
      </c>
    </row>
    <row r="11346" spans="1:15" ht="16" x14ac:dyDescent="0.2">
      <c r="A11346" s="17" t="str">
        <f>HYPERLINK("https://otsuka-europe-crm.veevavault.com/ui/#object/account__v/V4TZ06G6O71TBYJ", "ANTOLINA RODRIGUEZ MORENO")</f>
        <v>ANTOLINA RODRIGUEZ MORENO</v>
      </c>
      <c r="B11346" s="17" t="str">
        <f>HYPERLINK("https://otsuka-europe-crm.veevavault.com/ui/#object/vcountry__v/VENZ000004SONF5", "ES")</f>
        <v>ES</v>
      </c>
      <c r="C11346" s="20" t="s">
        <v>41</v>
      </c>
      <c r="D11346" s="21" t="str">
        <f>HYPERLINK("https://otsuka-europe-crm.veevavault.com/ui/#object/approved_document__v/V5O00000001A037", "LUP - VAE Póster Adelphi - Nefro")</f>
        <v>LUP - VAE Póster Adelphi - Nefro</v>
      </c>
      <c r="E11346" s="22" t="str">
        <f>HYPERLINK("https://otsuka-europe-crm.veevavault.com/ui/#object/sent_email__v/VBL00000002V222", "SE-001437111")</f>
        <v>SE-001437111</v>
      </c>
      <c r="F11346" s="25"/>
      <c r="G11346" s="24">
        <v>0</v>
      </c>
      <c r="H11346" s="24">
        <v>0</v>
      </c>
      <c r="I11346" s="24">
        <v>0</v>
      </c>
      <c r="J11346" s="25"/>
      <c r="K11346" s="24">
        <v>0</v>
      </c>
      <c r="L11346" s="22" t="str">
        <f>HYPERLINK("https://otsuka-europe-crm.veevavault.com/ui/#object/approved_document__v/V5O00000001A037", "LUP - VAE Póster Adelphi - Nefro")</f>
        <v>LUP - VAE Póster Adelphi - Nefro</v>
      </c>
      <c r="M11346" s="22" t="str">
        <f>HYPERLINK("mailto:jguri@crm.otsuka-europe.com", "jguri@crm.otsuka-europe.com")</f>
        <v>jguri@crm.otsuka-europe.com</v>
      </c>
      <c r="N11346" s="23">
        <v>46188.79488425926</v>
      </c>
      <c r="O11346" s="14" t="str">
        <f>HYPERLINK("https://otsuka-europe-crm.veevavault.com/ui/#object/email_activity__v/V8C00000003U828", "EN-002096609")</f>
        <v>EN-002096609</v>
      </c>
    </row>
    <row r="11347" spans="1:15" ht="16" x14ac:dyDescent="0.2">
      <c r="A11347" s="19"/>
      <c r="B11347" s="19"/>
      <c r="C11347" s="19"/>
      <c r="D11347" s="19"/>
      <c r="E11347" s="19"/>
      <c r="F11347" s="19"/>
      <c r="G11347" s="19"/>
      <c r="H11347" s="19"/>
      <c r="I11347" s="19"/>
      <c r="J11347" s="19"/>
      <c r="K11347" s="19"/>
      <c r="L11347" s="19"/>
      <c r="M11347" s="19"/>
      <c r="N11347" s="19"/>
      <c r="O11347" s="14" t="str">
        <f>HYPERLINK("https://otsuka-europe-crm.veevavault.com/ui/#object/email_activity__v/V8C000000040176", "EN-002099010")</f>
        <v>EN-002099010</v>
      </c>
    </row>
    <row r="11348" spans="1:15" ht="16" x14ac:dyDescent="0.2">
      <c r="A11348" s="17" t="str">
        <f>HYPERLINK("https://otsuka-europe-crm.veevavault.com/ui/#object/account__v/V4TZ06G6O71TAC0", "JUAN RAMON GOMEZ-MARTINO ARROYO")</f>
        <v>JUAN RAMON GOMEZ-MARTINO ARROYO</v>
      </c>
      <c r="B11348" s="17" t="str">
        <f>HYPERLINK("https://otsuka-europe-crm.veevavault.com/ui/#object/vcountry__v/VENZ000004SONF5", "ES")</f>
        <v>ES</v>
      </c>
      <c r="C11348" s="20" t="s">
        <v>41</v>
      </c>
      <c r="D11348" s="21" t="str">
        <f>HYPERLINK("https://otsuka-europe-crm.veevavault.com/ui/#object/approved_document__v/V5O00000001A037", "LUP - VAE Póster Adelphi - Nefro")</f>
        <v>LUP - VAE Póster Adelphi - Nefro</v>
      </c>
      <c r="E11348" s="22" t="str">
        <f>HYPERLINK("https://otsuka-europe-crm.veevavault.com/ui/#object/sent_email__v/VBL00000002V223", "SE-001437112")</f>
        <v>SE-001437112</v>
      </c>
      <c r="F11348" s="23">
        <v>46190.791030092594</v>
      </c>
      <c r="G11348" s="24">
        <v>1</v>
      </c>
      <c r="H11348" s="24">
        <v>1</v>
      </c>
      <c r="I11348" s="24">
        <v>0</v>
      </c>
      <c r="J11348" s="25"/>
      <c r="K11348" s="24">
        <v>0</v>
      </c>
      <c r="L11348" s="22" t="str">
        <f>HYPERLINK("https://otsuka-europe-crm.veevavault.com/ui/#object/approved_document__v/V5O00000001A037", "LUP - VAE Póster Adelphi - Nefro")</f>
        <v>LUP - VAE Póster Adelphi - Nefro</v>
      </c>
      <c r="M11348" s="22" t="str">
        <f>HYPERLINK("mailto:jguri@crm.otsuka-europe.com", "jguri@crm.otsuka-europe.com")</f>
        <v>jguri@crm.otsuka-europe.com</v>
      </c>
      <c r="N11348" s="23">
        <v>46188.79488425926</v>
      </c>
      <c r="O11348" s="14" t="str">
        <f>HYPERLINK("https://otsuka-europe-crm.veevavault.com/ui/#object/email_activity__v/V8C00000003V928", "EN-002096565")</f>
        <v>EN-002096565</v>
      </c>
    </row>
    <row r="11349" spans="1:15" ht="16" x14ac:dyDescent="0.2">
      <c r="A11349" s="19"/>
      <c r="B11349" s="19"/>
      <c r="C11349" s="19"/>
      <c r="D11349" s="19"/>
      <c r="E11349" s="19"/>
      <c r="F11349" s="19"/>
      <c r="G11349" s="19"/>
      <c r="H11349" s="19"/>
      <c r="I11349" s="19"/>
      <c r="J11349" s="19"/>
      <c r="K11349" s="19"/>
      <c r="L11349" s="19"/>
      <c r="M11349" s="19"/>
      <c r="N11349" s="19"/>
      <c r="O11349" s="14" t="str">
        <f>HYPERLINK("https://otsuka-europe-crm.veevavault.com/ui/#object/email_activity__v/V8C00000003X932", "EN-002098480")</f>
        <v>EN-002098480</v>
      </c>
    </row>
    <row r="11350" spans="1:15" ht="16" x14ac:dyDescent="0.2">
      <c r="A11350" s="17" t="str">
        <f>HYPERLINK("https://otsuka-europe-crm.veevavault.com/ui/#object/account__v/V4TZ04ASG6ZLHYV", "MARIA DE LAS MERCEDES ACOSTA ROJAS")</f>
        <v>MARIA DE LAS MERCEDES ACOSTA ROJAS</v>
      </c>
      <c r="B11350" s="17" t="str">
        <f>HYPERLINK("https://otsuka-europe-crm.veevavault.com/ui/#object/vcountry__v/VENZ000004SONF5", "ES")</f>
        <v>ES</v>
      </c>
      <c r="C11350" s="20" t="s">
        <v>41</v>
      </c>
      <c r="D11350" s="21" t="str">
        <f>HYPERLINK("https://otsuka-europe-crm.veevavault.com/ui/#object/approved_document__v/V5O00000001A037", "LUP - VAE Póster Adelphi - Nefro")</f>
        <v>LUP - VAE Póster Adelphi - Nefro</v>
      </c>
      <c r="E11350" s="22" t="str">
        <f>HYPERLINK("https://otsuka-europe-crm.veevavault.com/ui/#object/sent_email__v/VBL00000002V224", "SE-001437113")</f>
        <v>SE-001437113</v>
      </c>
      <c r="F11350" s="25"/>
      <c r="G11350" s="24">
        <v>0</v>
      </c>
      <c r="H11350" s="24">
        <v>0</v>
      </c>
      <c r="I11350" s="24">
        <v>0</v>
      </c>
      <c r="J11350" s="25"/>
      <c r="K11350" s="24">
        <v>0</v>
      </c>
      <c r="L11350" s="22" t="str">
        <f>HYPERLINK("https://otsuka-europe-crm.veevavault.com/ui/#object/approved_document__v/V5O00000001A037", "LUP - VAE Póster Adelphi - Nefro")</f>
        <v>LUP - VAE Póster Adelphi - Nefro</v>
      </c>
      <c r="M11350" s="22" t="str">
        <f>HYPERLINK("mailto:jguri@crm.otsuka-europe.com", "jguri@crm.otsuka-europe.com")</f>
        <v>jguri@crm.otsuka-europe.com</v>
      </c>
      <c r="N11350" s="23">
        <v>46188.794907407406</v>
      </c>
      <c r="O11350" s="14" t="str">
        <f>HYPERLINK("https://otsuka-europe-crm.veevavault.com/ui/#object/email_activity__v/V8C00000003U836", "EN-002096636")</f>
        <v>EN-002096636</v>
      </c>
    </row>
    <row r="11351" spans="1:15" ht="16" x14ac:dyDescent="0.2">
      <c r="A11351" s="18"/>
      <c r="B11351" s="18"/>
      <c r="C11351" s="18"/>
      <c r="D11351" s="18"/>
      <c r="E11351" s="18"/>
      <c r="F11351" s="18"/>
      <c r="G11351" s="18"/>
      <c r="H11351" s="18"/>
      <c r="I11351" s="18"/>
      <c r="J11351" s="18"/>
      <c r="K11351" s="18"/>
      <c r="L11351" s="18"/>
      <c r="M11351" s="18"/>
      <c r="N11351" s="18"/>
      <c r="O11351" s="14" t="str">
        <f>HYPERLINK("https://otsuka-europe-crm.veevavault.com/ui/#object/email_activity__v/V8C00000003W100", "EN-002096851")</f>
        <v>EN-002096851</v>
      </c>
    </row>
    <row r="11352" spans="1:15" ht="16" x14ac:dyDescent="0.2">
      <c r="A11352" s="19"/>
      <c r="B11352" s="19"/>
      <c r="C11352" s="19"/>
      <c r="D11352" s="19"/>
      <c r="E11352" s="19"/>
      <c r="F11352" s="19"/>
      <c r="G11352" s="19"/>
      <c r="H11352" s="19"/>
      <c r="I11352" s="19"/>
      <c r="J11352" s="19"/>
      <c r="K11352" s="19"/>
      <c r="L11352" s="19"/>
      <c r="M11352" s="19"/>
      <c r="N11352" s="19"/>
      <c r="O11352" s="14" t="str">
        <f>HYPERLINK("https://otsuka-europe-crm.veevavault.com/ui/#object/email_activity__v/V8C00000003Z400", "EN-002099472")</f>
        <v>EN-002099472</v>
      </c>
    </row>
    <row r="11353" spans="1:15" ht="16" x14ac:dyDescent="0.2">
      <c r="A11353" s="17" t="str">
        <f>HYPERLINK("https://otsuka-europe-crm.veevavault.com/ui/#object/account__v/V4TZ06G6O71T85Q", "GONZALO CESAR DELGADO LAPEIRA")</f>
        <v>GONZALO CESAR DELGADO LAPEIRA</v>
      </c>
      <c r="B11353" s="17" t="str">
        <f>HYPERLINK("https://otsuka-europe-crm.veevavault.com/ui/#object/vcountry__v/VENZ000004SONF5", "ES")</f>
        <v>ES</v>
      </c>
      <c r="C11353" s="20" t="s">
        <v>41</v>
      </c>
      <c r="D11353" s="21" t="str">
        <f>HYPERLINK("https://otsuka-europe-crm.veevavault.com/ui/#object/approved_document__v/V5O00000001A037", "LUP - VAE Póster Adelphi - Nefro")</f>
        <v>LUP - VAE Póster Adelphi - Nefro</v>
      </c>
      <c r="E11353" s="22" t="str">
        <f>HYPERLINK("https://otsuka-europe-crm.veevavault.com/ui/#object/sent_email__v/VBL00000002V225", "SE-001437114")</f>
        <v>SE-001437114</v>
      </c>
      <c r="F11353" s="25"/>
      <c r="G11353" s="24">
        <v>0</v>
      </c>
      <c r="H11353" s="24">
        <v>0</v>
      </c>
      <c r="I11353" s="24">
        <v>0</v>
      </c>
      <c r="J11353" s="25"/>
      <c r="K11353" s="24">
        <v>0</v>
      </c>
      <c r="L11353" s="22" t="str">
        <f>HYPERLINK("https://otsuka-europe-crm.veevavault.com/ui/#object/approved_document__v/V5O00000001A037", "LUP - VAE Póster Adelphi - Nefro")</f>
        <v>LUP - VAE Póster Adelphi - Nefro</v>
      </c>
      <c r="M11353" s="22" t="str">
        <f>HYPERLINK("mailto:jguri@crm.otsuka-europe.com", "jguri@crm.otsuka-europe.com")</f>
        <v>jguri@crm.otsuka-europe.com</v>
      </c>
      <c r="N11353" s="23">
        <v>46188.79488425926</v>
      </c>
      <c r="O11353" s="14" t="str">
        <f>HYPERLINK("https://otsuka-europe-crm.veevavault.com/ui/#object/email_activity__v/V8C00000003U827", "EN-002096608")</f>
        <v>EN-002096608</v>
      </c>
    </row>
    <row r="11354" spans="1:15" ht="16" x14ac:dyDescent="0.2">
      <c r="A11354" s="19"/>
      <c r="B11354" s="19"/>
      <c r="C11354" s="19"/>
      <c r="D11354" s="19"/>
      <c r="E11354" s="19"/>
      <c r="F11354" s="19"/>
      <c r="G11354" s="19"/>
      <c r="H11354" s="19"/>
      <c r="I11354" s="19"/>
      <c r="J11354" s="19"/>
      <c r="K11354" s="19"/>
      <c r="L11354" s="19"/>
      <c r="M11354" s="19"/>
      <c r="N11354" s="19"/>
      <c r="O11354" s="14" t="str">
        <f>HYPERLINK("https://otsuka-europe-crm.veevavault.com/ui/#object/email_activity__v/V8C00000003U913", "EN-002096804")</f>
        <v>EN-002096804</v>
      </c>
    </row>
    <row r="11355" spans="1:15" ht="16" x14ac:dyDescent="0.2">
      <c r="A11355" s="17" t="str">
        <f>HYPERLINK("https://otsuka-europe-crm.veevavault.com/ui/#object/account__v/V4TZ04ASG9ZEOD3", "ANTONIO CARLOS FERNANDEZ PERPEN")</f>
        <v>ANTONIO CARLOS FERNANDEZ PERPEN</v>
      </c>
      <c r="B11355" s="17" t="str">
        <f>HYPERLINK("https://otsuka-europe-crm.veevavault.com/ui/#object/vcountry__v/VENZ000004SONF5", "ES")</f>
        <v>ES</v>
      </c>
      <c r="C11355" s="20" t="s">
        <v>41</v>
      </c>
      <c r="D11355" s="21" t="str">
        <f>HYPERLINK("https://otsuka-europe-crm.veevavault.com/ui/#object/approved_document__v/V5O00000001A037", "LUP - VAE Póster Adelphi - Nefro")</f>
        <v>LUP - VAE Póster Adelphi - Nefro</v>
      </c>
      <c r="E11355" s="22" t="str">
        <f>HYPERLINK("https://otsuka-europe-crm.veevavault.com/ui/#object/sent_email__v/VBL00000002V226", "SE-001437115")</f>
        <v>SE-001437115</v>
      </c>
      <c r="F11355" s="23">
        <v>46188.795208333337</v>
      </c>
      <c r="G11355" s="24">
        <v>1</v>
      </c>
      <c r="H11355" s="24">
        <v>1</v>
      </c>
      <c r="I11355" s="24">
        <v>0</v>
      </c>
      <c r="J11355" s="25"/>
      <c r="K11355" s="24">
        <v>0</v>
      </c>
      <c r="L11355" s="22" t="str">
        <f>HYPERLINK("https://otsuka-europe-crm.veevavault.com/ui/#object/approved_document__v/V5O00000001A037", "LUP - VAE Póster Adelphi - Nefro")</f>
        <v>LUP - VAE Póster Adelphi - Nefro</v>
      </c>
      <c r="M11355" s="22" t="str">
        <f>HYPERLINK("mailto:jguri@crm.otsuka-europe.com", "jguri@crm.otsuka-europe.com")</f>
        <v>jguri@crm.otsuka-europe.com</v>
      </c>
      <c r="N11355" s="23">
        <v>46188.794907407406</v>
      </c>
      <c r="O11355" s="14" t="str">
        <f>HYPERLINK("https://otsuka-europe-crm.veevavault.com/ui/#object/email_activity__v/V8C00000003U837", "EN-002096637")</f>
        <v>EN-002096637</v>
      </c>
    </row>
    <row r="11356" spans="1:15" ht="16" x14ac:dyDescent="0.2">
      <c r="A11356" s="19"/>
      <c r="B11356" s="19"/>
      <c r="C11356" s="19"/>
      <c r="D11356" s="19"/>
      <c r="E11356" s="19"/>
      <c r="F11356" s="19"/>
      <c r="G11356" s="19"/>
      <c r="H11356" s="19"/>
      <c r="I11356" s="19"/>
      <c r="J11356" s="19"/>
      <c r="K11356" s="19"/>
      <c r="L11356" s="19"/>
      <c r="M11356" s="19"/>
      <c r="N11356" s="19"/>
      <c r="O11356" s="14" t="str">
        <f>HYPERLINK("https://otsuka-europe-crm.veevavault.com/ui/#object/email_activity__v/V8C00000003V998", "EN-002096663")</f>
        <v>EN-002096663</v>
      </c>
    </row>
    <row r="11357" spans="1:15" ht="16" x14ac:dyDescent="0.2">
      <c r="A11357" s="17" t="str">
        <f>HYPERLINK("https://otsuka-europe-crm.veevavault.com/ui/#object/account__v/V4TZ06G6O71TC76", "ANA ISABEL SANCHEZ FRUCTUOSO")</f>
        <v>ANA ISABEL SANCHEZ FRUCTUOSO</v>
      </c>
      <c r="B11357" s="17" t="str">
        <f>HYPERLINK("https://otsuka-europe-crm.veevavault.com/ui/#object/vcountry__v/VENZ000004SONF5", "ES")</f>
        <v>ES</v>
      </c>
      <c r="C11357" s="20" t="s">
        <v>41</v>
      </c>
      <c r="D11357" s="21" t="str">
        <f>HYPERLINK("https://otsuka-europe-crm.veevavault.com/ui/#object/approved_document__v/V5O00000001A037", "LUP - VAE Póster Adelphi - Nefro")</f>
        <v>LUP - VAE Póster Adelphi - Nefro</v>
      </c>
      <c r="E11357" s="22" t="str">
        <f>HYPERLINK("https://otsuka-europe-crm.veevavault.com/ui/#object/sent_email__v/VBL00000002V227", "SE-001437116")</f>
        <v>SE-001437116</v>
      </c>
      <c r="F11357" s="23">
        <v>46189.338495370372</v>
      </c>
      <c r="G11357" s="24">
        <v>1</v>
      </c>
      <c r="H11357" s="24">
        <v>1</v>
      </c>
      <c r="I11357" s="24">
        <v>0</v>
      </c>
      <c r="J11357" s="25"/>
      <c r="K11357" s="24">
        <v>0</v>
      </c>
      <c r="L11357" s="22" t="str">
        <f>HYPERLINK("https://otsuka-europe-crm.veevavault.com/ui/#object/approved_document__v/V5O00000001A037", "LUP - VAE Póster Adelphi - Nefro")</f>
        <v>LUP - VAE Póster Adelphi - Nefro</v>
      </c>
      <c r="M11357" s="22" t="str">
        <f>HYPERLINK("mailto:jguri@crm.otsuka-europe.com", "jguri@crm.otsuka-europe.com")</f>
        <v>jguri@crm.otsuka-europe.com</v>
      </c>
      <c r="N11357" s="23">
        <v>46188.79488425926</v>
      </c>
      <c r="O11357" s="14" t="str">
        <f>HYPERLINK("https://otsuka-europe-crm.veevavault.com/ui/#object/email_activity__v/V8C00000003U845", "EN-002096655")</f>
        <v>EN-002096655</v>
      </c>
    </row>
    <row r="11358" spans="1:15" ht="16" x14ac:dyDescent="0.2">
      <c r="A11358" s="19"/>
      <c r="B11358" s="19"/>
      <c r="C11358" s="19"/>
      <c r="D11358" s="19"/>
      <c r="E11358" s="19"/>
      <c r="F11358" s="19"/>
      <c r="G11358" s="19"/>
      <c r="H11358" s="19"/>
      <c r="I11358" s="19"/>
      <c r="J11358" s="19"/>
      <c r="K11358" s="19"/>
      <c r="L11358" s="19"/>
      <c r="M11358" s="19"/>
      <c r="N11358" s="19"/>
      <c r="O11358" s="14" t="str">
        <f>HYPERLINK("https://otsuka-europe-crm.veevavault.com/ui/#object/email_activity__v/V8C00000003W147", "EN-002096923")</f>
        <v>EN-002096923</v>
      </c>
    </row>
    <row r="11359" spans="1:15" ht="16" x14ac:dyDescent="0.2">
      <c r="A11359" s="17" t="str">
        <f>HYPERLINK("https://otsuka-europe-crm.veevavault.com/ui/#object/account__v/V4TZ06G6O71T7S2", "AMIR SHABAKA FERNANDEZ")</f>
        <v>AMIR SHABAKA FERNANDEZ</v>
      </c>
      <c r="B11359" s="17" t="str">
        <f>HYPERLINK("https://otsuka-europe-crm.veevavault.com/ui/#object/vcountry__v/VENZ000004SONF5", "ES")</f>
        <v>ES</v>
      </c>
      <c r="C11359" s="20" t="s">
        <v>41</v>
      </c>
      <c r="D11359" s="21" t="str">
        <f>HYPERLINK("https://otsuka-europe-crm.veevavault.com/ui/#object/approved_document__v/V5O00000001A037", "LUP - VAE Póster Adelphi - Nefro")</f>
        <v>LUP - VAE Póster Adelphi - Nefro</v>
      </c>
      <c r="E11359" s="22" t="str">
        <f>HYPERLINK("https://otsuka-europe-crm.veevavault.com/ui/#object/sent_email__v/VBL00000002V228", "SE-001437117")</f>
        <v>SE-001437117</v>
      </c>
      <c r="F11359" s="23">
        <v>46188.798587962963</v>
      </c>
      <c r="G11359" s="24">
        <v>1</v>
      </c>
      <c r="H11359" s="24">
        <v>1</v>
      </c>
      <c r="I11359" s="24">
        <v>1</v>
      </c>
      <c r="J11359" s="23">
        <v>46188.798692129632</v>
      </c>
      <c r="K11359" s="24">
        <v>1</v>
      </c>
      <c r="L11359" s="22" t="str">
        <f>HYPERLINK("https://otsuka-europe-crm.veevavault.com/ui/#object/approved_document__v/V5O00000001A037", "LUP - VAE Póster Adelphi - Nefro")</f>
        <v>LUP - VAE Póster Adelphi - Nefro</v>
      </c>
      <c r="M11359" s="22" t="str">
        <f>HYPERLINK("mailto:jguri@crm.otsuka-europe.com", "jguri@crm.otsuka-europe.com")</f>
        <v>jguri@crm.otsuka-europe.com</v>
      </c>
      <c r="N11359" s="23">
        <v>46188.79488425926</v>
      </c>
      <c r="O11359" s="14" t="str">
        <f>HYPERLINK("https://otsuka-europe-crm.veevavault.com/ui/#object/email_activity__v/V8C00000003U880", "EN-002096733")</f>
        <v>EN-002096733</v>
      </c>
    </row>
    <row r="11360" spans="1:15" ht="16" x14ac:dyDescent="0.2">
      <c r="A11360" s="18"/>
      <c r="B11360" s="18"/>
      <c r="C11360" s="18"/>
      <c r="D11360" s="18"/>
      <c r="E11360" s="18"/>
      <c r="F11360" s="18"/>
      <c r="G11360" s="18"/>
      <c r="H11360" s="18"/>
      <c r="I11360" s="18"/>
      <c r="J11360" s="18"/>
      <c r="K11360" s="18"/>
      <c r="L11360" s="18"/>
      <c r="M11360" s="18"/>
      <c r="N11360" s="18"/>
      <c r="O11360" s="14" t="str">
        <f>HYPERLINK("https://otsuka-europe-crm.veevavault.com/ui/#object/email_activity__v/V8C00000003U881", "EN-002096737")</f>
        <v>EN-002096737</v>
      </c>
    </row>
    <row r="11361" spans="1:15" ht="16" x14ac:dyDescent="0.2">
      <c r="A11361" s="18"/>
      <c r="B11361" s="18"/>
      <c r="C11361" s="18"/>
      <c r="D11361" s="18"/>
      <c r="E11361" s="18"/>
      <c r="F11361" s="18"/>
      <c r="G11361" s="18"/>
      <c r="H11361" s="18"/>
      <c r="I11361" s="18"/>
      <c r="J11361" s="18"/>
      <c r="K11361" s="18"/>
      <c r="L11361" s="18"/>
      <c r="M11361" s="18"/>
      <c r="N11361" s="18"/>
      <c r="O11361" s="14" t="str">
        <f>HYPERLINK("https://otsuka-europe-crm.veevavault.com/ui/#object/email_activity__v/V8C00000003V959", "EN-002096596")</f>
        <v>EN-002096596</v>
      </c>
    </row>
    <row r="11362" spans="1:15" ht="16" x14ac:dyDescent="0.2">
      <c r="A11362" s="19"/>
      <c r="B11362" s="19"/>
      <c r="C11362" s="19"/>
      <c r="D11362" s="19"/>
      <c r="E11362" s="19"/>
      <c r="F11362" s="19"/>
      <c r="G11362" s="19"/>
      <c r="H11362" s="19"/>
      <c r="I11362" s="19"/>
      <c r="J11362" s="19"/>
      <c r="K11362" s="19"/>
      <c r="L11362" s="19"/>
      <c r="M11362" s="19"/>
      <c r="N11362" s="19"/>
      <c r="O11362" s="14" t="str">
        <f>HYPERLINK("https://otsuka-europe-crm.veevavault.com/ui/#object/email_activity__v/V8C00000003W041", "EN-002096734")</f>
        <v>EN-002096734</v>
      </c>
    </row>
    <row r="11363" spans="1:15" ht="16" x14ac:dyDescent="0.2">
      <c r="A11363" s="17" t="str">
        <f>HYPERLINK("https://otsuka-europe-crm.veevavault.com/ui/#object/account__v/V4TZ04ASG7RXDJC", "MARTA RIVERO MARTINEZ")</f>
        <v>MARTA RIVERO MARTINEZ</v>
      </c>
      <c r="B11363" s="17" t="str">
        <f>HYPERLINK("https://otsuka-europe-crm.veevavault.com/ui/#object/vcountry__v/VENZ000004SONF5", "ES")</f>
        <v>ES</v>
      </c>
      <c r="C11363" s="20" t="s">
        <v>41</v>
      </c>
      <c r="D11363" s="21" t="str">
        <f>HYPERLINK("https://otsuka-europe-crm.veevavault.com/ui/#object/approved_document__v/V5O00000001A037", "LUP - VAE Póster Adelphi - Nefro")</f>
        <v>LUP - VAE Póster Adelphi - Nefro</v>
      </c>
      <c r="E11363" s="22" t="str">
        <f>HYPERLINK("https://otsuka-europe-crm.veevavault.com/ui/#object/sent_email__v/VBL00000002V229", "SE-001437118")</f>
        <v>SE-001437118</v>
      </c>
      <c r="F11363" s="23">
        <v>46193.707013888888</v>
      </c>
      <c r="G11363" s="24">
        <v>1</v>
      </c>
      <c r="H11363" s="24">
        <v>2</v>
      </c>
      <c r="I11363" s="24">
        <v>0</v>
      </c>
      <c r="J11363" s="25"/>
      <c r="K11363" s="24">
        <v>0</v>
      </c>
      <c r="L11363" s="22" t="str">
        <f>HYPERLINK("https://otsuka-europe-crm.veevavault.com/ui/#object/approved_document__v/V5O00000001A037", "LUP - VAE Póster Adelphi - Nefro")</f>
        <v>LUP - VAE Póster Adelphi - Nefro</v>
      </c>
      <c r="M11363" s="22" t="str">
        <f>HYPERLINK("mailto:jguri@crm.otsuka-europe.com", "jguri@crm.otsuka-europe.com")</f>
        <v>jguri@crm.otsuka-europe.com</v>
      </c>
      <c r="N11363" s="23">
        <v>46188.794907407406</v>
      </c>
      <c r="O11363" s="14" t="str">
        <f>HYPERLINK("https://otsuka-europe-crm.veevavault.com/ui/#object/email_activity__v/V8C00000003U840", "EN-002096640")</f>
        <v>EN-002096640</v>
      </c>
    </row>
    <row r="11364" spans="1:15" ht="16" x14ac:dyDescent="0.2">
      <c r="A11364" s="18"/>
      <c r="B11364" s="18"/>
      <c r="C11364" s="18"/>
      <c r="D11364" s="18"/>
      <c r="E11364" s="18"/>
      <c r="F11364" s="18"/>
      <c r="G11364" s="18"/>
      <c r="H11364" s="18"/>
      <c r="I11364" s="18"/>
      <c r="J11364" s="18"/>
      <c r="K11364" s="18"/>
      <c r="L11364" s="18"/>
      <c r="M11364" s="18"/>
      <c r="N11364" s="18"/>
      <c r="O11364" s="14" t="str">
        <f>HYPERLINK("https://otsuka-europe-crm.veevavault.com/ui/#object/email_activity__v/V8C00000003W001", "EN-002096667")</f>
        <v>EN-002096667</v>
      </c>
    </row>
    <row r="11365" spans="1:15" ht="16" x14ac:dyDescent="0.2">
      <c r="A11365" s="19"/>
      <c r="B11365" s="19"/>
      <c r="C11365" s="19"/>
      <c r="D11365" s="19"/>
      <c r="E11365" s="19"/>
      <c r="F11365" s="19"/>
      <c r="G11365" s="19"/>
      <c r="H11365" s="19"/>
      <c r="I11365" s="19"/>
      <c r="J11365" s="19"/>
      <c r="K11365" s="19"/>
      <c r="L11365" s="19"/>
      <c r="M11365" s="19"/>
      <c r="N11365" s="19"/>
      <c r="O11365" s="14" t="str">
        <f>HYPERLINK("https://otsuka-europe-crm.veevavault.com/ui/#object/email_activity__v/V8C000000040106", "EN-002098893")</f>
        <v>EN-002098893</v>
      </c>
    </row>
    <row r="11366" spans="1:15" ht="32" x14ac:dyDescent="0.2">
      <c r="A11366" s="7" t="str">
        <f>HYPERLINK("https://otsuka-europe-crm.veevavault.com/ui/#object/account__v/V4TZ025E86GCP4Q", "ROCIO GIMENA MUÑOZ")</f>
        <v>ROCIO GIMENA MUÑOZ</v>
      </c>
      <c r="B11366" s="7" t="str">
        <f>HYPERLINK("https://otsuka-europe-crm.veevavault.com/ui/#object/vcountry__v/VENZ000004SONF5", "ES")</f>
        <v>ES</v>
      </c>
      <c r="C11366" s="8" t="s">
        <v>41</v>
      </c>
      <c r="D11366" s="9" t="str">
        <f>HYPERLINK("https://otsuka-europe-crm.veevavault.com/ui/#object/approved_document__v/V5O00000001A037", "LUP - VAE Póster Adelphi - Nefro")</f>
        <v>LUP - VAE Póster Adelphi - Nefro</v>
      </c>
      <c r="E11366" s="10" t="str">
        <f>HYPERLINK("https://otsuka-europe-crm.veevavault.com/ui/#object/sent_email__v/VBL00000002V230", "SE-001437119")</f>
        <v>SE-001437119</v>
      </c>
      <c r="F11366" s="11"/>
      <c r="G11366" s="12">
        <v>0</v>
      </c>
      <c r="H11366" s="12">
        <v>0</v>
      </c>
      <c r="I11366" s="12">
        <v>0</v>
      </c>
      <c r="J11366" s="11"/>
      <c r="K11366" s="12">
        <v>0</v>
      </c>
      <c r="L11366" s="10" t="str">
        <f>HYPERLINK("https://otsuka-europe-crm.veevavault.com/ui/#object/approved_document__v/V5O00000001A037", "LUP - VAE Póster Adelphi - Nefro")</f>
        <v>LUP - VAE Póster Adelphi - Nefro</v>
      </c>
      <c r="M11366" s="10" t="str">
        <f>HYPERLINK("mailto:jguri@crm.otsuka-europe.com", "jguri@crm.otsuka-europe.com")</f>
        <v>jguri@crm.otsuka-europe.com</v>
      </c>
      <c r="N11366" s="13">
        <v>46188.79488425926</v>
      </c>
      <c r="O11366" s="14" t="str">
        <f>HYPERLINK("https://otsuka-europe-crm.veevavault.com/ui/#object/email_activity__v/V8C00000003V957", "EN-002096594")</f>
        <v>EN-002096594</v>
      </c>
    </row>
    <row r="11367" spans="1:15" ht="32" x14ac:dyDescent="0.2">
      <c r="A11367" s="7" t="str">
        <f>HYPERLINK("https://otsuka-europe-crm.veevavault.com/ui/#object/account__v/V4TZ04ASGEC2KXO", "JAVIER OCAÑA VILLEGAS")</f>
        <v>JAVIER OCAÑA VILLEGAS</v>
      </c>
      <c r="B11367" s="7" t="str">
        <f>HYPERLINK("https://otsuka-europe-crm.veevavault.com/ui/#object/vcountry__v/VENZ000004SONF5", "ES")</f>
        <v>ES</v>
      </c>
      <c r="C11367" s="8" t="s">
        <v>41</v>
      </c>
      <c r="D11367" s="9" t="str">
        <f>HYPERLINK("https://otsuka-europe-crm.veevavault.com/ui/#object/approved_document__v/V5O00000001A037", "LUP - VAE Póster Adelphi - Nefro")</f>
        <v>LUP - VAE Póster Adelphi - Nefro</v>
      </c>
      <c r="E11367" s="10" t="str">
        <f>HYPERLINK("https://otsuka-europe-crm.veevavault.com/ui/#object/sent_email__v/VBL00000002V231", "SE-001437120")</f>
        <v>SE-001437120</v>
      </c>
      <c r="F11367" s="11"/>
      <c r="G11367" s="12">
        <v>0</v>
      </c>
      <c r="H11367" s="12">
        <v>0</v>
      </c>
      <c r="I11367" s="12">
        <v>0</v>
      </c>
      <c r="J11367" s="11"/>
      <c r="K11367" s="12">
        <v>0</v>
      </c>
      <c r="L11367" s="10" t="str">
        <f>HYPERLINK("https://otsuka-europe-crm.veevavault.com/ui/#object/approved_document__v/V5O00000001A037", "LUP - VAE Póster Adelphi - Nefro")</f>
        <v>LUP - VAE Póster Adelphi - Nefro</v>
      </c>
      <c r="M11367" s="10" t="str">
        <f>HYPERLINK("mailto:jguri@crm.otsuka-europe.com", "jguri@crm.otsuka-europe.com")</f>
        <v>jguri@crm.otsuka-europe.com</v>
      </c>
      <c r="N11367" s="13">
        <v>46188.79488425926</v>
      </c>
      <c r="O11367" s="14" t="str">
        <f>HYPERLINK("https://otsuka-europe-crm.veevavault.com/ui/#object/email_activity__v/V8C00000003U824", "EN-002096605")</f>
        <v>EN-002096605</v>
      </c>
    </row>
    <row r="11368" spans="1:15" ht="16" x14ac:dyDescent="0.2">
      <c r="A11368" s="17" t="str">
        <f>HYPERLINK("https://otsuka-europe-crm.veevavault.com/ui/#object/account__v/V4TZ025E82FQTVA", "JAVIER AZORES MORENO")</f>
        <v>JAVIER AZORES MORENO</v>
      </c>
      <c r="B11368" s="17" t="str">
        <f>HYPERLINK("https://otsuka-europe-crm.veevavault.com/ui/#object/vcountry__v/VENZ000004SONF5", "ES")</f>
        <v>ES</v>
      </c>
      <c r="C11368" s="20" t="s">
        <v>41</v>
      </c>
      <c r="D11368" s="21" t="str">
        <f>HYPERLINK("https://otsuka-europe-crm.veevavault.com/ui/#object/approved_document__v/V5O00000001A037", "LUP - VAE Póster Adelphi - Nefro")</f>
        <v>LUP - VAE Póster Adelphi - Nefro</v>
      </c>
      <c r="E11368" s="22" t="str">
        <f>HYPERLINK("https://otsuka-europe-crm.veevavault.com/ui/#object/sent_email__v/VBL00000002V232", "SE-001437121")</f>
        <v>SE-001437121</v>
      </c>
      <c r="F11368" s="23">
        <v>46188.851412037038</v>
      </c>
      <c r="G11368" s="24">
        <v>1</v>
      </c>
      <c r="H11368" s="24">
        <v>1</v>
      </c>
      <c r="I11368" s="24">
        <v>0</v>
      </c>
      <c r="J11368" s="25"/>
      <c r="K11368" s="24">
        <v>0</v>
      </c>
      <c r="L11368" s="22" t="str">
        <f>HYPERLINK("https://otsuka-europe-crm.veevavault.com/ui/#object/approved_document__v/V5O00000001A037", "LUP - VAE Póster Adelphi - Nefro")</f>
        <v>LUP - VAE Póster Adelphi - Nefro</v>
      </c>
      <c r="M11368" s="22" t="str">
        <f>HYPERLINK("mailto:jguri@crm.otsuka-europe.com", "jguri@crm.otsuka-europe.com")</f>
        <v>jguri@crm.otsuka-europe.com</v>
      </c>
      <c r="N11368" s="23">
        <v>46188.79488425926</v>
      </c>
      <c r="O11368" s="14" t="str">
        <f>HYPERLINK("https://otsuka-europe-crm.veevavault.com/ui/#object/email_activity__v/V8C00000003U907", "EN-002096795")</f>
        <v>EN-002096795</v>
      </c>
    </row>
    <row r="11369" spans="1:15" ht="16" x14ac:dyDescent="0.2">
      <c r="A11369" s="19"/>
      <c r="B11369" s="19"/>
      <c r="C11369" s="19"/>
      <c r="D11369" s="19"/>
      <c r="E11369" s="19"/>
      <c r="F11369" s="19"/>
      <c r="G11369" s="19"/>
      <c r="H11369" s="19"/>
      <c r="I11369" s="19"/>
      <c r="J11369" s="19"/>
      <c r="K11369" s="19"/>
      <c r="L11369" s="19"/>
      <c r="M11369" s="19"/>
      <c r="N11369" s="19"/>
      <c r="O11369" s="14" t="str">
        <f>HYPERLINK("https://otsuka-europe-crm.veevavault.com/ui/#object/email_activity__v/V8C00000003V936", "EN-002096573")</f>
        <v>EN-002096573</v>
      </c>
    </row>
    <row r="11370" spans="1:15" ht="16" x14ac:dyDescent="0.2">
      <c r="A11370" s="17" t="str">
        <f>HYPERLINK("https://otsuka-europe-crm.veevavault.com/ui/#object/account__v/V4TZ06G6O71T7QV", "DAVID MENENDEZ GONZALEZ")</f>
        <v>DAVID MENENDEZ GONZALEZ</v>
      </c>
      <c r="B11370" s="17" t="str">
        <f>HYPERLINK("https://otsuka-europe-crm.veevavault.com/ui/#object/vcountry__v/VENZ000004SONF5", "ES")</f>
        <v>ES</v>
      </c>
      <c r="C11370" s="20" t="s">
        <v>41</v>
      </c>
      <c r="D11370" s="21" t="str">
        <f>HYPERLINK("https://otsuka-europe-crm.veevavault.com/ui/#object/approved_document__v/V5O00000001A037", "LUP - VAE Póster Adelphi - Nefro")</f>
        <v>LUP - VAE Póster Adelphi - Nefro</v>
      </c>
      <c r="E11370" s="22" t="str">
        <f>HYPERLINK("https://otsuka-europe-crm.veevavault.com/ui/#object/sent_email__v/VBL00000002V233", "SE-001437122")</f>
        <v>SE-001437122</v>
      </c>
      <c r="F11370" s="23">
        <v>46189.355405092596</v>
      </c>
      <c r="G11370" s="24">
        <v>1</v>
      </c>
      <c r="H11370" s="24">
        <v>1</v>
      </c>
      <c r="I11370" s="24">
        <v>0</v>
      </c>
      <c r="J11370" s="25"/>
      <c r="K11370" s="24">
        <v>0</v>
      </c>
      <c r="L11370" s="22" t="str">
        <f>HYPERLINK("https://otsuka-europe-crm.veevavault.com/ui/#object/approved_document__v/V5O00000001A037", "LUP - VAE Póster Adelphi - Nefro")</f>
        <v>LUP - VAE Póster Adelphi - Nefro</v>
      </c>
      <c r="M11370" s="22" t="str">
        <f>HYPERLINK("mailto:jguri@crm.otsuka-europe.com", "jguri@crm.otsuka-europe.com")</f>
        <v>jguri@crm.otsuka-europe.com</v>
      </c>
      <c r="N11370" s="23">
        <v>46188.79488425926</v>
      </c>
      <c r="O11370" s="14" t="str">
        <f>HYPERLINK("https://otsuka-europe-crm.veevavault.com/ui/#object/email_activity__v/V8C00000003U844", "EN-002096654")</f>
        <v>EN-002096654</v>
      </c>
    </row>
    <row r="11371" spans="1:15" ht="16" x14ac:dyDescent="0.2">
      <c r="A11371" s="19"/>
      <c r="B11371" s="19"/>
      <c r="C11371" s="19"/>
      <c r="D11371" s="19"/>
      <c r="E11371" s="19"/>
      <c r="F11371" s="19"/>
      <c r="G11371" s="19"/>
      <c r="H11371" s="19"/>
      <c r="I11371" s="19"/>
      <c r="J11371" s="19"/>
      <c r="K11371" s="19"/>
      <c r="L11371" s="19"/>
      <c r="M11371" s="19"/>
      <c r="N11371" s="19"/>
      <c r="O11371" s="14" t="str">
        <f>HYPERLINK("https://otsuka-europe-crm.veevavault.com/ui/#object/email_activity__v/V8C00000003U971", "EN-002096931")</f>
        <v>EN-002096931</v>
      </c>
    </row>
    <row r="11372" spans="1:15" ht="16" x14ac:dyDescent="0.2">
      <c r="A11372" s="17" t="str">
        <f>HYPERLINK("https://otsuka-europe-crm.veevavault.com/ui/#object/account__v/V4TZ06G6O71TC25", "CONSOLACION ROSADO RUBIO")</f>
        <v>CONSOLACION ROSADO RUBIO</v>
      </c>
      <c r="B11372" s="17" t="str">
        <f>HYPERLINK("https://otsuka-europe-crm.veevavault.com/ui/#object/vcountry__v/VENZ000004SONF5", "ES")</f>
        <v>ES</v>
      </c>
      <c r="C11372" s="20" t="s">
        <v>41</v>
      </c>
      <c r="D11372" s="21" t="str">
        <f>HYPERLINK("https://otsuka-europe-crm.veevavault.com/ui/#object/approved_document__v/V5O00000001A037", "LUP - VAE Póster Adelphi - Nefro")</f>
        <v>LUP - VAE Póster Adelphi - Nefro</v>
      </c>
      <c r="E11372" s="22" t="str">
        <f>HYPERLINK("https://otsuka-europe-crm.veevavault.com/ui/#object/sent_email__v/VBL00000002V234", "SE-001437123")</f>
        <v>SE-001437123</v>
      </c>
      <c r="F11372" s="25"/>
      <c r="G11372" s="24">
        <v>0</v>
      </c>
      <c r="H11372" s="24">
        <v>0</v>
      </c>
      <c r="I11372" s="24">
        <v>0</v>
      </c>
      <c r="J11372" s="25"/>
      <c r="K11372" s="24">
        <v>0</v>
      </c>
      <c r="L11372" s="22" t="str">
        <f>HYPERLINK("https://otsuka-europe-crm.veevavault.com/ui/#object/approved_document__v/V5O00000001A037", "LUP - VAE Póster Adelphi - Nefro")</f>
        <v>LUP - VAE Póster Adelphi - Nefro</v>
      </c>
      <c r="M11372" s="22" t="str">
        <f>HYPERLINK("mailto:jguri@crm.otsuka-europe.com", "jguri@crm.otsuka-europe.com")</f>
        <v>jguri@crm.otsuka-europe.com</v>
      </c>
      <c r="N11372" s="23">
        <v>46188.79488425926</v>
      </c>
      <c r="O11372" s="14" t="str">
        <f>HYPERLINK("https://otsuka-europe-crm.veevavault.com/ui/#object/email_activity__v/V8C00000003U914", "EN-002096805")</f>
        <v>EN-002096805</v>
      </c>
    </row>
    <row r="11373" spans="1:15" ht="16" x14ac:dyDescent="0.2">
      <c r="A11373" s="18"/>
      <c r="B11373" s="18"/>
      <c r="C11373" s="18"/>
      <c r="D11373" s="18"/>
      <c r="E11373" s="18"/>
      <c r="F11373" s="18"/>
      <c r="G11373" s="18"/>
      <c r="H11373" s="18"/>
      <c r="I11373" s="18"/>
      <c r="J11373" s="18"/>
      <c r="K11373" s="18"/>
      <c r="L11373" s="18"/>
      <c r="M11373" s="18"/>
      <c r="N11373" s="18"/>
      <c r="O11373" s="14" t="str">
        <f>HYPERLINK("https://otsuka-europe-crm.veevavault.com/ui/#object/email_activity__v/V8C00000003V921", "EN-002096558")</f>
        <v>EN-002096558</v>
      </c>
    </row>
    <row r="11374" spans="1:15" ht="16" x14ac:dyDescent="0.2">
      <c r="A11374" s="19"/>
      <c r="B11374" s="19"/>
      <c r="C11374" s="19"/>
      <c r="D11374" s="19"/>
      <c r="E11374" s="19"/>
      <c r="F11374" s="19"/>
      <c r="G11374" s="19"/>
      <c r="H11374" s="19"/>
      <c r="I11374" s="19"/>
      <c r="J11374" s="19"/>
      <c r="K11374" s="19"/>
      <c r="L11374" s="19"/>
      <c r="M11374" s="19"/>
      <c r="N11374" s="19"/>
      <c r="O11374" s="14" t="str">
        <f>HYPERLINK("https://otsuka-europe-crm.veevavault.com/ui/#object/email_activity__v/V8C00000003W316", "EN-002097351")</f>
        <v>EN-002097351</v>
      </c>
    </row>
    <row r="11375" spans="1:15" ht="32" x14ac:dyDescent="0.2">
      <c r="A11375" s="7" t="str">
        <f>HYPERLINK("https://otsuka-europe-crm.veevavault.com/ui/#object/account__v/V4TZ025E82G5H0Y", "AFRODITI MARIA KONSTANTOULI")</f>
        <v>AFRODITI MARIA KONSTANTOULI</v>
      </c>
      <c r="B11375" s="7" t="str">
        <f t="shared" ref="B11375:B11380" si="882">HYPERLINK("https://otsuka-europe-crm.veevavault.com/ui/#object/vcountry__v/VENZ000004SONF5", "ES")</f>
        <v>ES</v>
      </c>
      <c r="C11375" s="8" t="s">
        <v>41</v>
      </c>
      <c r="D11375" s="9" t="str">
        <f t="shared" ref="D11375:D11380" si="883">HYPERLINK("https://otsuka-europe-crm.veevavault.com/ui/#object/approved_document__v/V5O00000001A037", "LUP - VAE Póster Adelphi - Nefro")</f>
        <v>LUP - VAE Póster Adelphi - Nefro</v>
      </c>
      <c r="E11375" s="10" t="str">
        <f>HYPERLINK("https://otsuka-europe-crm.veevavault.com/ui/#object/sent_email__v/VBL00000002V235", "SE-001437124")</f>
        <v>SE-001437124</v>
      </c>
      <c r="F11375" s="11"/>
      <c r="G11375" s="12">
        <v>0</v>
      </c>
      <c r="H11375" s="12">
        <v>0</v>
      </c>
      <c r="I11375" s="12">
        <v>0</v>
      </c>
      <c r="J11375" s="11"/>
      <c r="K11375" s="12">
        <v>0</v>
      </c>
      <c r="L11375" s="10" t="str">
        <f t="shared" ref="L11375:L11380" si="884">HYPERLINK("https://otsuka-europe-crm.veevavault.com/ui/#object/approved_document__v/V5O00000001A037", "LUP - VAE Póster Adelphi - Nefro")</f>
        <v>LUP - VAE Póster Adelphi - Nefro</v>
      </c>
      <c r="M11375" s="10" t="str">
        <f t="shared" ref="M11375:M11380" si="885">HYPERLINK("mailto:jguri@crm.otsuka-europe.com", "jguri@crm.otsuka-europe.com")</f>
        <v>jguri@crm.otsuka-europe.com</v>
      </c>
      <c r="N11375" s="13">
        <v>46188.79488425926</v>
      </c>
      <c r="O11375" s="14" t="str">
        <f>HYPERLINK("https://otsuka-europe-crm.veevavault.com/ui/#object/email_activity__v/V8C00000003U842", "EN-002096652")</f>
        <v>EN-002096652</v>
      </c>
    </row>
    <row r="11376" spans="1:15" ht="32" x14ac:dyDescent="0.2">
      <c r="A11376" s="7" t="str">
        <f>HYPERLINK("https://otsuka-europe-crm.veevavault.com/ui/#object/account__v/V4TZ06G6O9VKR35", "JOSE CARLOS AGUILAR AGUILAR")</f>
        <v>JOSE CARLOS AGUILAR AGUILAR</v>
      </c>
      <c r="B11376" s="7" t="str">
        <f t="shared" si="882"/>
        <v>ES</v>
      </c>
      <c r="C11376" s="8" t="s">
        <v>41</v>
      </c>
      <c r="D11376" s="9" t="str">
        <f t="shared" si="883"/>
        <v>LUP - VAE Póster Adelphi - Nefro</v>
      </c>
      <c r="E11376" s="10" t="str">
        <f>HYPERLINK("https://otsuka-europe-crm.veevavault.com/ui/#object/sent_email__v/VBL00000002V236", "SE-001437125")</f>
        <v>SE-001437125</v>
      </c>
      <c r="F11376" s="11"/>
      <c r="G11376" s="12">
        <v>0</v>
      </c>
      <c r="H11376" s="12">
        <v>0</v>
      </c>
      <c r="I11376" s="12">
        <v>0</v>
      </c>
      <c r="J11376" s="11"/>
      <c r="K11376" s="12">
        <v>0</v>
      </c>
      <c r="L11376" s="10" t="str">
        <f t="shared" si="884"/>
        <v>LUP - VAE Póster Adelphi - Nefro</v>
      </c>
      <c r="M11376" s="10" t="str">
        <f t="shared" si="885"/>
        <v>jguri@crm.otsuka-europe.com</v>
      </c>
      <c r="N11376" s="13">
        <v>46188.79488425926</v>
      </c>
      <c r="O11376" s="14" t="str">
        <f>HYPERLINK("https://otsuka-europe-crm.veevavault.com/ui/#object/email_activity__v/V8C00000003U830", "EN-002096616")</f>
        <v>EN-002096616</v>
      </c>
    </row>
    <row r="11377" spans="1:15" ht="32" x14ac:dyDescent="0.2">
      <c r="A11377" s="7" t="str">
        <f>HYPERLINK("https://otsuka-europe-crm.veevavault.com/ui/#object/account__v/V4TZ06G6O71T98Q", "JESUS BENITO GARCIA")</f>
        <v>JESUS BENITO GARCIA</v>
      </c>
      <c r="B11377" s="7" t="str">
        <f t="shared" si="882"/>
        <v>ES</v>
      </c>
      <c r="C11377" s="8" t="s">
        <v>41</v>
      </c>
      <c r="D11377" s="9" t="str">
        <f t="shared" si="883"/>
        <v>LUP - VAE Póster Adelphi - Nefro</v>
      </c>
      <c r="E11377" s="10" t="str">
        <f>HYPERLINK("https://otsuka-europe-crm.veevavault.com/ui/#object/sent_email__v/VBL00000002V237", "SE-001437126")</f>
        <v>SE-001437126</v>
      </c>
      <c r="F11377" s="11"/>
      <c r="G11377" s="12">
        <v>0</v>
      </c>
      <c r="H11377" s="12">
        <v>0</v>
      </c>
      <c r="I11377" s="12">
        <v>0</v>
      </c>
      <c r="J11377" s="11"/>
      <c r="K11377" s="12">
        <v>0</v>
      </c>
      <c r="L11377" s="10" t="str">
        <f t="shared" si="884"/>
        <v>LUP - VAE Póster Adelphi - Nefro</v>
      </c>
      <c r="M11377" s="10" t="str">
        <f t="shared" si="885"/>
        <v>jguri@crm.otsuka-europe.com</v>
      </c>
      <c r="N11377" s="13">
        <v>46188.79488425926</v>
      </c>
      <c r="O11377" s="14" t="str">
        <f>HYPERLINK("https://otsuka-europe-crm.veevavault.com/ui/#object/email_activity__v/V8C00000003V967", "EN-002096604")</f>
        <v>EN-002096604</v>
      </c>
    </row>
    <row r="11378" spans="1:15" ht="32" x14ac:dyDescent="0.2">
      <c r="A11378" s="7" t="str">
        <f>HYPERLINK("https://otsuka-europe-crm.veevavault.com/ui/#object/account__v/V4TZ06G6O71U985", "JOSE MARIA SANCHEZ MONTALBAN")</f>
        <v>JOSE MARIA SANCHEZ MONTALBAN</v>
      </c>
      <c r="B11378" s="7" t="str">
        <f t="shared" si="882"/>
        <v>ES</v>
      </c>
      <c r="C11378" s="8" t="s">
        <v>41</v>
      </c>
      <c r="D11378" s="9" t="str">
        <f t="shared" si="883"/>
        <v>LUP - VAE Póster Adelphi - Nefro</v>
      </c>
      <c r="E11378" s="10" t="str">
        <f>HYPERLINK("https://otsuka-europe-crm.veevavault.com/ui/#object/sent_email__v/VBL00000002V238", "SE-001437127")</f>
        <v>SE-001437127</v>
      </c>
      <c r="F11378" s="11"/>
      <c r="G11378" s="12">
        <v>0</v>
      </c>
      <c r="H11378" s="12">
        <v>0</v>
      </c>
      <c r="I11378" s="12">
        <v>0</v>
      </c>
      <c r="J11378" s="11"/>
      <c r="K11378" s="12">
        <v>0</v>
      </c>
      <c r="L11378" s="10" t="str">
        <f t="shared" si="884"/>
        <v>LUP - VAE Póster Adelphi - Nefro</v>
      </c>
      <c r="M11378" s="10" t="str">
        <f t="shared" si="885"/>
        <v>jguri@crm.otsuka-europe.com</v>
      </c>
      <c r="N11378" s="13">
        <v>46188.79488425926</v>
      </c>
      <c r="O11378" s="14" t="str">
        <f>HYPERLINK("https://otsuka-europe-crm.veevavault.com/ui/#object/email_activity__v/V8C00000003V961", "EN-002096598")</f>
        <v>EN-002096598</v>
      </c>
    </row>
    <row r="11379" spans="1:15" ht="32" x14ac:dyDescent="0.2">
      <c r="A11379" s="7" t="str">
        <f>HYPERLINK("https://otsuka-europe-crm.veevavault.com/ui/#object/account__v/V4TZ025E86MCPOE", "CAROLINA CRISTINA CHACON VELEZ")</f>
        <v>CAROLINA CRISTINA CHACON VELEZ</v>
      </c>
      <c r="B11379" s="7" t="str">
        <f t="shared" si="882"/>
        <v>ES</v>
      </c>
      <c r="C11379" s="8" t="s">
        <v>41</v>
      </c>
      <c r="D11379" s="9" t="str">
        <f t="shared" si="883"/>
        <v>LUP - VAE Póster Adelphi - Nefro</v>
      </c>
      <c r="E11379" s="10" t="str">
        <f>HYPERLINK("https://otsuka-europe-crm.veevavault.com/ui/#object/sent_email__v/VBL00000002V239", "SE-001437128")</f>
        <v>SE-001437128</v>
      </c>
      <c r="F11379" s="11"/>
      <c r="G11379" s="12">
        <v>0</v>
      </c>
      <c r="H11379" s="12">
        <v>0</v>
      </c>
      <c r="I11379" s="12">
        <v>0</v>
      </c>
      <c r="J11379" s="11"/>
      <c r="K11379" s="12">
        <v>0</v>
      </c>
      <c r="L11379" s="10" t="str">
        <f t="shared" si="884"/>
        <v>LUP - VAE Póster Adelphi - Nefro</v>
      </c>
      <c r="M11379" s="10" t="str">
        <f t="shared" si="885"/>
        <v>jguri@crm.otsuka-europe.com</v>
      </c>
      <c r="N11379" s="13">
        <v>46188.79488425926</v>
      </c>
      <c r="O11379" s="14" t="str">
        <f>HYPERLINK("https://otsuka-europe-crm.veevavault.com/ui/#object/email_activity__v/V8C00000003V943", "EN-002096580")</f>
        <v>EN-002096580</v>
      </c>
    </row>
    <row r="11380" spans="1:15" ht="16" x14ac:dyDescent="0.2">
      <c r="A11380" s="17" t="str">
        <f>HYPERLINK("https://otsuka-europe-crm.veevavault.com/ui/#object/account__v/V4TZ04ASGEC2KJF", "CLARA MARIA CASES CORONA")</f>
        <v>CLARA MARIA CASES CORONA</v>
      </c>
      <c r="B11380" s="17" t="str">
        <f t="shared" si="882"/>
        <v>ES</v>
      </c>
      <c r="C11380" s="20" t="s">
        <v>41</v>
      </c>
      <c r="D11380" s="21" t="str">
        <f t="shared" si="883"/>
        <v>LUP - VAE Póster Adelphi - Nefro</v>
      </c>
      <c r="E11380" s="22" t="str">
        <f>HYPERLINK("https://otsuka-europe-crm.veevavault.com/ui/#object/sent_email__v/VBL00000002V240", "SE-001437129")</f>
        <v>SE-001437129</v>
      </c>
      <c r="F11380" s="23">
        <v>46188.821597222224</v>
      </c>
      <c r="G11380" s="24">
        <v>1</v>
      </c>
      <c r="H11380" s="24">
        <v>2</v>
      </c>
      <c r="I11380" s="24">
        <v>0</v>
      </c>
      <c r="J11380" s="25"/>
      <c r="K11380" s="24">
        <v>0</v>
      </c>
      <c r="L11380" s="22" t="str">
        <f t="shared" si="884"/>
        <v>LUP - VAE Póster Adelphi - Nefro</v>
      </c>
      <c r="M11380" s="22" t="str">
        <f t="shared" si="885"/>
        <v>jguri@crm.otsuka-europe.com</v>
      </c>
      <c r="N11380" s="23">
        <v>46188.79488425926</v>
      </c>
      <c r="O11380" s="14" t="str">
        <f>HYPERLINK("https://otsuka-europe-crm.veevavault.com/ui/#object/email_activity__v/V8C00000003U841", "EN-002096651")</f>
        <v>EN-002096651</v>
      </c>
    </row>
    <row r="11381" spans="1:15" ht="16" x14ac:dyDescent="0.2">
      <c r="A11381" s="18"/>
      <c r="B11381" s="18"/>
      <c r="C11381" s="18"/>
      <c r="D11381" s="18"/>
      <c r="E11381" s="18"/>
      <c r="F11381" s="18"/>
      <c r="G11381" s="18"/>
      <c r="H11381" s="18"/>
      <c r="I11381" s="18"/>
      <c r="J11381" s="18"/>
      <c r="K11381" s="18"/>
      <c r="L11381" s="18"/>
      <c r="M11381" s="18"/>
      <c r="N11381" s="18"/>
      <c r="O11381" s="14" t="str">
        <f>HYPERLINK("https://otsuka-europe-crm.veevavault.com/ui/#object/email_activity__v/V8C00000003W040", "EN-002096726")</f>
        <v>EN-002096726</v>
      </c>
    </row>
    <row r="11382" spans="1:15" ht="16" x14ac:dyDescent="0.2">
      <c r="A11382" s="18"/>
      <c r="B11382" s="18"/>
      <c r="C11382" s="18"/>
      <c r="D11382" s="18"/>
      <c r="E11382" s="18"/>
      <c r="F11382" s="18"/>
      <c r="G11382" s="18"/>
      <c r="H11382" s="18"/>
      <c r="I11382" s="18"/>
      <c r="J11382" s="18"/>
      <c r="K11382" s="18"/>
      <c r="L11382" s="18"/>
      <c r="M11382" s="18"/>
      <c r="N11382" s="18"/>
      <c r="O11382" s="14" t="str">
        <f>HYPERLINK("https://otsuka-europe-crm.veevavault.com/ui/#object/email_activity__v/V8C00000003W060", "EN-002096761")</f>
        <v>EN-002096761</v>
      </c>
    </row>
    <row r="11383" spans="1:15" ht="16" x14ac:dyDescent="0.2">
      <c r="A11383" s="19"/>
      <c r="B11383" s="19"/>
      <c r="C11383" s="19"/>
      <c r="D11383" s="19"/>
      <c r="E11383" s="19"/>
      <c r="F11383" s="19"/>
      <c r="G11383" s="19"/>
      <c r="H11383" s="19"/>
      <c r="I11383" s="19"/>
      <c r="J11383" s="19"/>
      <c r="K11383" s="19"/>
      <c r="L11383" s="19"/>
      <c r="M11383" s="19"/>
      <c r="N11383" s="19"/>
      <c r="O11383" s="14" t="str">
        <f>HYPERLINK("https://otsuka-europe-crm.veevavault.com/ui/#object/email_activity__v/V8C000000040166", "EN-002098985")</f>
        <v>EN-002098985</v>
      </c>
    </row>
    <row r="11384" spans="1:15" ht="32" x14ac:dyDescent="0.2">
      <c r="A11384" s="7" t="str">
        <f>HYPERLINK("https://otsuka-europe-crm.veevavault.com/ui/#object/account__v/V4TZ04ASGCDKCUK", "MARIA ALEJANDRA CORTIÑAS ARANZABAL")</f>
        <v>MARIA ALEJANDRA CORTIÑAS ARANZABAL</v>
      </c>
      <c r="B11384" s="7" t="str">
        <f>HYPERLINK("https://otsuka-europe-crm.veevavault.com/ui/#object/vcountry__v/VENZ000004SONF5", "ES")</f>
        <v>ES</v>
      </c>
      <c r="C11384" s="8" t="s">
        <v>41</v>
      </c>
      <c r="D11384" s="9" t="str">
        <f>HYPERLINK("https://otsuka-europe-crm.veevavault.com/ui/#object/approved_document__v/V5O00000001A037", "LUP - VAE Póster Adelphi - Nefro")</f>
        <v>LUP - VAE Póster Adelphi - Nefro</v>
      </c>
      <c r="E11384" s="10" t="str">
        <f>HYPERLINK("https://otsuka-europe-crm.veevavault.com/ui/#object/sent_email__v/VBL00000002V241", "SE-001437130")</f>
        <v>SE-001437130</v>
      </c>
      <c r="F11384" s="11"/>
      <c r="G11384" s="12">
        <v>0</v>
      </c>
      <c r="H11384" s="12">
        <v>0</v>
      </c>
      <c r="I11384" s="12">
        <v>0</v>
      </c>
      <c r="J11384" s="11"/>
      <c r="K11384" s="12">
        <v>0</v>
      </c>
      <c r="L11384" s="10" t="str">
        <f>HYPERLINK("https://otsuka-europe-crm.veevavault.com/ui/#object/approved_document__v/V5O00000001A037", "LUP - VAE Póster Adelphi - Nefro")</f>
        <v>LUP - VAE Póster Adelphi - Nefro</v>
      </c>
      <c r="M11384" s="10" t="str">
        <f>HYPERLINK("mailto:jguri@crm.otsuka-europe.com", "jguri@crm.otsuka-europe.com")</f>
        <v>jguri@crm.otsuka-europe.com</v>
      </c>
      <c r="N11384" s="13">
        <v>46188.79488425926</v>
      </c>
      <c r="O11384" s="14" t="str">
        <f>HYPERLINK("https://otsuka-europe-crm.veevavault.com/ui/#object/email_activity__v/V8C00000003V933", "EN-002096570")</f>
        <v>EN-002096570</v>
      </c>
    </row>
    <row r="11385" spans="1:15" ht="32" x14ac:dyDescent="0.2">
      <c r="A11385" s="7" t="str">
        <f>HYPERLINK("https://otsuka-europe-crm.veevavault.com/ui/#object/account__v/V4TZ06G6O71T7SJ", "MARIA FERNANDEZ NIETO")</f>
        <v>MARIA FERNANDEZ NIETO</v>
      </c>
      <c r="B11385" s="7" t="str">
        <f>HYPERLINK("https://otsuka-europe-crm.veevavault.com/ui/#object/vcountry__v/VENZ000004SONF5", "ES")</f>
        <v>ES</v>
      </c>
      <c r="C11385" s="8" t="s">
        <v>41</v>
      </c>
      <c r="D11385" s="9" t="str">
        <f>HYPERLINK("https://otsuka-europe-crm.veevavault.com/ui/#object/approved_document__v/V5O00000001A037", "LUP - VAE Póster Adelphi - Nefro")</f>
        <v>LUP - VAE Póster Adelphi - Nefro</v>
      </c>
      <c r="E11385" s="10" t="str">
        <f>HYPERLINK("https://otsuka-europe-crm.veevavault.com/ui/#object/sent_email__v/VBL00000002V242", "SE-001437131")</f>
        <v>SE-001437131</v>
      </c>
      <c r="F11385" s="11"/>
      <c r="G11385" s="12">
        <v>0</v>
      </c>
      <c r="H11385" s="12">
        <v>0</v>
      </c>
      <c r="I11385" s="12">
        <v>0</v>
      </c>
      <c r="J11385" s="11"/>
      <c r="K11385" s="12">
        <v>0</v>
      </c>
      <c r="L11385" s="10" t="str">
        <f>HYPERLINK("https://otsuka-europe-crm.veevavault.com/ui/#object/approved_document__v/V5O00000001A037", "LUP - VAE Póster Adelphi - Nefro")</f>
        <v>LUP - VAE Póster Adelphi - Nefro</v>
      </c>
      <c r="M11385" s="10" t="str">
        <f>HYPERLINK("mailto:jguri@crm.otsuka-europe.com", "jguri@crm.otsuka-europe.com")</f>
        <v>jguri@crm.otsuka-europe.com</v>
      </c>
      <c r="N11385" s="13">
        <v>46188.79488425926</v>
      </c>
      <c r="O11385" s="14" t="str">
        <f>HYPERLINK("https://otsuka-europe-crm.veevavault.com/ui/#object/email_activity__v/V8C00000003U849", "EN-002096659")</f>
        <v>EN-002096659</v>
      </c>
    </row>
    <row r="11386" spans="1:15" ht="32" x14ac:dyDescent="0.2">
      <c r="A11386" s="7" t="str">
        <f>HYPERLINK("https://otsuka-europe-crm.veevavault.com/ui/#object/account__v/V4TZ06G6O71T8U3", "LINA MARIA LEON MACHADO")</f>
        <v>LINA MARIA LEON MACHADO</v>
      </c>
      <c r="B11386" s="7" t="str">
        <f>HYPERLINK("https://otsuka-europe-crm.veevavault.com/ui/#object/vcountry__v/VENZ000004SONF5", "ES")</f>
        <v>ES</v>
      </c>
      <c r="C11386" s="8" t="s">
        <v>41</v>
      </c>
      <c r="D11386" s="9" t="str">
        <f>HYPERLINK("https://otsuka-europe-crm.veevavault.com/ui/#object/approved_document__v/V5O00000001A037", "LUP - VAE Póster Adelphi - Nefro")</f>
        <v>LUP - VAE Póster Adelphi - Nefro</v>
      </c>
      <c r="E11386" s="10" t="str">
        <f>HYPERLINK("https://otsuka-europe-crm.veevavault.com/ui/#object/sent_email__v/VBL00000002V243", "SE-001437132")</f>
        <v>SE-001437132</v>
      </c>
      <c r="F11386" s="11"/>
      <c r="G11386" s="12">
        <v>0</v>
      </c>
      <c r="H11386" s="12">
        <v>0</v>
      </c>
      <c r="I11386" s="12">
        <v>0</v>
      </c>
      <c r="J11386" s="11"/>
      <c r="K11386" s="12">
        <v>0</v>
      </c>
      <c r="L11386" s="10" t="str">
        <f>HYPERLINK("https://otsuka-europe-crm.veevavault.com/ui/#object/approved_document__v/V5O00000001A037", "LUP - VAE Póster Adelphi - Nefro")</f>
        <v>LUP - VAE Póster Adelphi - Nefro</v>
      </c>
      <c r="M11386" s="10" t="str">
        <f>HYPERLINK("mailto:jguri@crm.otsuka-europe.com", "jguri@crm.otsuka-europe.com")</f>
        <v>jguri@crm.otsuka-europe.com</v>
      </c>
      <c r="N11386" s="13">
        <v>46188.79488425926</v>
      </c>
      <c r="O11386" s="14" t="str">
        <f>HYPERLINK("https://otsuka-europe-crm.veevavault.com/ui/#object/email_activity__v/V8C00000003V963", "EN-002096600")</f>
        <v>EN-002096600</v>
      </c>
    </row>
    <row r="11387" spans="1:15" ht="16" x14ac:dyDescent="0.2">
      <c r="A11387" s="17" t="str">
        <f>HYPERLINK("https://otsuka-europe-crm.veevavault.com/ui/#object/account__v/V4TZ04ASGG6J80W", "CARLOS FERNANDEZ FERNANDEZ")</f>
        <v>CARLOS FERNANDEZ FERNANDEZ</v>
      </c>
      <c r="B11387" s="17" t="str">
        <f>HYPERLINK("https://otsuka-europe-crm.veevavault.com/ui/#object/vcountry__v/VENZ000004SONF5", "ES")</f>
        <v>ES</v>
      </c>
      <c r="C11387" s="20" t="s">
        <v>41</v>
      </c>
      <c r="D11387" s="21" t="str">
        <f>HYPERLINK("https://otsuka-europe-crm.veevavault.com/ui/#object/approved_document__v/V5O00000001A037", "LUP - VAE Póster Adelphi - Nefro")</f>
        <v>LUP - VAE Póster Adelphi - Nefro</v>
      </c>
      <c r="E11387" s="22" t="str">
        <f>HYPERLINK("https://otsuka-europe-crm.veevavault.com/ui/#object/sent_email__v/VBL00000002V244", "SE-001437133")</f>
        <v>SE-001437133</v>
      </c>
      <c r="F11387" s="25"/>
      <c r="G11387" s="24">
        <v>0</v>
      </c>
      <c r="H11387" s="24">
        <v>0</v>
      </c>
      <c r="I11387" s="24">
        <v>0</v>
      </c>
      <c r="J11387" s="25"/>
      <c r="K11387" s="24">
        <v>0</v>
      </c>
      <c r="L11387" s="22" t="str">
        <f>HYPERLINK("https://otsuka-europe-crm.veevavault.com/ui/#object/approved_document__v/V5O00000001A037", "LUP - VAE Póster Adelphi - Nefro")</f>
        <v>LUP - VAE Póster Adelphi - Nefro</v>
      </c>
      <c r="M11387" s="22" t="str">
        <f>HYPERLINK("mailto:jguri@crm.otsuka-europe.com", "jguri@crm.otsuka-europe.com")</f>
        <v>jguri@crm.otsuka-europe.com</v>
      </c>
      <c r="N11387" s="23">
        <v>46188.79488425926</v>
      </c>
      <c r="O11387" s="14" t="str">
        <f>HYPERLINK("https://otsuka-europe-crm.veevavault.com/ui/#object/email_activity__v/V8C00000003U917", "EN-002096813")</f>
        <v>EN-002096813</v>
      </c>
    </row>
    <row r="11388" spans="1:15" ht="16" x14ac:dyDescent="0.2">
      <c r="A11388" s="19"/>
      <c r="B11388" s="19"/>
      <c r="C11388" s="19"/>
      <c r="D11388" s="19"/>
      <c r="E11388" s="19"/>
      <c r="F11388" s="19"/>
      <c r="G11388" s="19"/>
      <c r="H11388" s="19"/>
      <c r="I11388" s="19"/>
      <c r="J11388" s="19"/>
      <c r="K11388" s="19"/>
      <c r="L11388" s="19"/>
      <c r="M11388" s="19"/>
      <c r="N11388" s="19"/>
      <c r="O11388" s="14" t="str">
        <f>HYPERLINK("https://otsuka-europe-crm.veevavault.com/ui/#object/email_activity__v/V8C00000003V925", "EN-002096562")</f>
        <v>EN-002096562</v>
      </c>
    </row>
    <row r="11389" spans="1:15" ht="32" x14ac:dyDescent="0.2">
      <c r="A11389" s="7" t="str">
        <f>HYPERLINK("https://otsuka-europe-crm.veevavault.com/ui/#object/account__v/V4TZ06G6O71T8N0", "MARIA PEREZ FERNANDEZ")</f>
        <v>MARIA PEREZ FERNANDEZ</v>
      </c>
      <c r="B11389" s="7" t="str">
        <f>HYPERLINK("https://otsuka-europe-crm.veevavault.com/ui/#object/vcountry__v/VENZ000004SONF5", "ES")</f>
        <v>ES</v>
      </c>
      <c r="C11389" s="8" t="s">
        <v>41</v>
      </c>
      <c r="D11389" s="9" t="str">
        <f>HYPERLINK("https://otsuka-europe-crm.veevavault.com/ui/#object/approved_document__v/V5O00000001A037", "LUP - VAE Póster Adelphi - Nefro")</f>
        <v>LUP - VAE Póster Adelphi - Nefro</v>
      </c>
      <c r="E11389" s="10" t="str">
        <f>HYPERLINK("https://otsuka-europe-crm.veevavault.com/ui/#object/sent_email__v/VBL00000002V245", "SE-001437134")</f>
        <v>SE-001437134</v>
      </c>
      <c r="F11389" s="11"/>
      <c r="G11389" s="12">
        <v>0</v>
      </c>
      <c r="H11389" s="12">
        <v>0</v>
      </c>
      <c r="I11389" s="12">
        <v>0</v>
      </c>
      <c r="J11389" s="11"/>
      <c r="K11389" s="12">
        <v>0</v>
      </c>
      <c r="L11389" s="10" t="str">
        <f>HYPERLINK("https://otsuka-europe-crm.veevavault.com/ui/#object/approved_document__v/V5O00000001A037", "LUP - VAE Póster Adelphi - Nefro")</f>
        <v>LUP - VAE Póster Adelphi - Nefro</v>
      </c>
      <c r="M11389" s="10" t="str">
        <f>HYPERLINK("mailto:jguri@crm.otsuka-europe.com", "jguri@crm.otsuka-europe.com")</f>
        <v>jguri@crm.otsuka-europe.com</v>
      </c>
      <c r="N11389" s="13">
        <v>46188.79488425926</v>
      </c>
      <c r="O11389" s="14" t="str">
        <f>HYPERLINK("https://otsuka-europe-crm.veevavault.com/ui/#object/email_activity__v/V8C00000003V975", "EN-002096621")</f>
        <v>EN-002096621</v>
      </c>
    </row>
    <row r="11390" spans="1:15" ht="32" x14ac:dyDescent="0.2">
      <c r="A11390" s="7" t="str">
        <f>HYPERLINK("https://otsuka-europe-crm.veevavault.com/ui/#object/account__v/V4TZ06G6OBU8UR5", "ANDRE ROCHA RODRIGUES")</f>
        <v>ANDRE ROCHA RODRIGUES</v>
      </c>
      <c r="B11390" s="7" t="str">
        <f>HYPERLINK("https://otsuka-europe-crm.veevavault.com/ui/#object/vcountry__v/VENZ000004SONF5", "ES")</f>
        <v>ES</v>
      </c>
      <c r="C11390" s="8" t="s">
        <v>41</v>
      </c>
      <c r="D11390" s="9" t="str">
        <f>HYPERLINK("https://otsuka-europe-crm.veevavault.com/ui/#object/approved_document__v/V5O00000001A037", "LUP - VAE Póster Adelphi - Nefro")</f>
        <v>LUP - VAE Póster Adelphi - Nefro</v>
      </c>
      <c r="E11390" s="10" t="str">
        <f>HYPERLINK("https://otsuka-europe-crm.veevavault.com/ui/#object/sent_email__v/VBL00000002V246", "SE-001437135")</f>
        <v>SE-001437135</v>
      </c>
      <c r="F11390" s="11"/>
      <c r="G11390" s="12">
        <v>0</v>
      </c>
      <c r="H11390" s="12">
        <v>0</v>
      </c>
      <c r="I11390" s="12">
        <v>0</v>
      </c>
      <c r="J11390" s="11"/>
      <c r="K11390" s="12">
        <v>0</v>
      </c>
      <c r="L11390" s="10" t="str">
        <f>HYPERLINK("https://otsuka-europe-crm.veevavault.com/ui/#object/approved_document__v/V5O00000001A037", "LUP - VAE Póster Adelphi - Nefro")</f>
        <v>LUP - VAE Póster Adelphi - Nefro</v>
      </c>
      <c r="M11390" s="10" t="str">
        <f>HYPERLINK("mailto:jguri@crm.otsuka-europe.com", "jguri@crm.otsuka-europe.com")</f>
        <v>jguri@crm.otsuka-europe.com</v>
      </c>
      <c r="N11390" s="13">
        <v>46188.794895833336</v>
      </c>
      <c r="O11390" s="14" t="str">
        <f>HYPERLINK("https://otsuka-europe-crm.veevavault.com/ui/#object/email_activity__v/V8C00000003V980", "EN-002096628")</f>
        <v>EN-002096628</v>
      </c>
    </row>
    <row r="11391" spans="1:15" ht="32" x14ac:dyDescent="0.2">
      <c r="A11391" s="7" t="str">
        <f>HYPERLINK("https://otsuka-europe-crm.veevavault.com/ui/#object/account__v/V4TZ06G6O8A8I8D", "TERESA BADA BOSCH")</f>
        <v>TERESA BADA BOSCH</v>
      </c>
      <c r="B11391" s="7" t="str">
        <f>HYPERLINK("https://otsuka-europe-crm.veevavault.com/ui/#object/vcountry__v/VENZ000004SONF5", "ES")</f>
        <v>ES</v>
      </c>
      <c r="C11391" s="8" t="s">
        <v>41</v>
      </c>
      <c r="D11391" s="9" t="str">
        <f>HYPERLINK("https://otsuka-europe-crm.veevavault.com/ui/#object/approved_document__v/V5O00000001A037", "LUP - VAE Póster Adelphi - Nefro")</f>
        <v>LUP - VAE Póster Adelphi - Nefro</v>
      </c>
      <c r="E11391" s="10" t="str">
        <f>HYPERLINK("https://otsuka-europe-crm.veevavault.com/ui/#object/sent_email__v/VBL00000002V247", "SE-001437136")</f>
        <v>SE-001437136</v>
      </c>
      <c r="F11391" s="11"/>
      <c r="G11391" s="12">
        <v>0</v>
      </c>
      <c r="H11391" s="12">
        <v>0</v>
      </c>
      <c r="I11391" s="12">
        <v>0</v>
      </c>
      <c r="J11391" s="11"/>
      <c r="K11391" s="12">
        <v>0</v>
      </c>
      <c r="L11391" s="10" t="str">
        <f>HYPERLINK("https://otsuka-europe-crm.veevavault.com/ui/#object/approved_document__v/V5O00000001A037", "LUP - VAE Póster Adelphi - Nefro")</f>
        <v>LUP - VAE Póster Adelphi - Nefro</v>
      </c>
      <c r="M11391" s="10" t="str">
        <f>HYPERLINK("mailto:jguri@crm.otsuka-europe.com", "jguri@crm.otsuka-europe.com")</f>
        <v>jguri@crm.otsuka-europe.com</v>
      </c>
      <c r="N11391" s="13">
        <v>46188.79488425926</v>
      </c>
      <c r="O11391" s="14" t="str">
        <f>HYPERLINK("https://otsuka-europe-crm.veevavault.com/ui/#object/email_activity__v/V8C00000003V977", "EN-002096623")</f>
        <v>EN-002096623</v>
      </c>
    </row>
    <row r="11392" spans="1:15" ht="32" x14ac:dyDescent="0.2">
      <c r="A11392" s="7" t="str">
        <f>HYPERLINK("https://otsuka-europe-crm.veevavault.com/ui/#object/account__v/V4TZ06G6O71T761", "ADRIANA PUENTE GARCIA")</f>
        <v>ADRIANA PUENTE GARCIA</v>
      </c>
      <c r="B11392" s="7" t="str">
        <f>HYPERLINK("https://otsuka-europe-crm.veevavault.com/ui/#object/vcountry__v/VENZ000004SONF5", "ES")</f>
        <v>ES</v>
      </c>
      <c r="C11392" s="8" t="s">
        <v>41</v>
      </c>
      <c r="D11392" s="9" t="str">
        <f>HYPERLINK("https://otsuka-europe-crm.veevavault.com/ui/#object/approved_document__v/V5O00000001A037", "LUP - VAE Póster Adelphi - Nefro")</f>
        <v>LUP - VAE Póster Adelphi - Nefro</v>
      </c>
      <c r="E11392" s="10" t="str">
        <f>HYPERLINK("https://otsuka-europe-crm.veevavault.com/ui/#object/sent_email__v/VBL00000002V248", "SE-001437137")</f>
        <v>SE-001437137</v>
      </c>
      <c r="F11392" s="11"/>
      <c r="G11392" s="12">
        <v>0</v>
      </c>
      <c r="H11392" s="12">
        <v>0</v>
      </c>
      <c r="I11392" s="12">
        <v>0</v>
      </c>
      <c r="J11392" s="11"/>
      <c r="K11392" s="12">
        <v>0</v>
      </c>
      <c r="L11392" s="10" t="str">
        <f>HYPERLINK("https://otsuka-europe-crm.veevavault.com/ui/#object/approved_document__v/V5O00000001A037", "LUP - VAE Póster Adelphi - Nefro")</f>
        <v>LUP - VAE Póster Adelphi - Nefro</v>
      </c>
      <c r="M11392" s="10" t="str">
        <f>HYPERLINK("mailto:jguri@crm.otsuka-europe.com", "jguri@crm.otsuka-europe.com")</f>
        <v>jguri@crm.otsuka-europe.com</v>
      </c>
      <c r="N11392" s="13">
        <v>46188.794907407406</v>
      </c>
      <c r="O11392" s="14" t="str">
        <f>HYPERLINK("https://otsuka-europe-crm.veevavault.com/ui/#object/email_activity__v/V8C00000003U839", "EN-002096639")</f>
        <v>EN-002096639</v>
      </c>
    </row>
    <row r="11393" spans="1:15" ht="16" x14ac:dyDescent="0.2">
      <c r="A11393" s="17" t="str">
        <f>HYPERLINK("https://otsuka-europe-crm.veevavault.com/ui/#object/account__v/V4TZ06G6O71TAQ8", "PEDRO JESUS LABRADOR GOMEZ")</f>
        <v>PEDRO JESUS LABRADOR GOMEZ</v>
      </c>
      <c r="B11393" s="17" t="str">
        <f>HYPERLINK("https://otsuka-europe-crm.veevavault.com/ui/#object/vcountry__v/VENZ000004SONF5", "ES")</f>
        <v>ES</v>
      </c>
      <c r="C11393" s="20" t="s">
        <v>41</v>
      </c>
      <c r="D11393" s="21" t="str">
        <f>HYPERLINK("https://otsuka-europe-crm.veevavault.com/ui/#object/approved_document__v/V5O00000001A037", "LUP - VAE Póster Adelphi - Nefro")</f>
        <v>LUP - VAE Póster Adelphi - Nefro</v>
      </c>
      <c r="E11393" s="22" t="str">
        <f>HYPERLINK("https://otsuka-europe-crm.veevavault.com/ui/#object/sent_email__v/VBL00000002V249", "SE-001437138")</f>
        <v>SE-001437138</v>
      </c>
      <c r="F11393" s="23">
        <v>46198.530011574076</v>
      </c>
      <c r="G11393" s="24">
        <v>1</v>
      </c>
      <c r="H11393" s="24">
        <v>10</v>
      </c>
      <c r="I11393" s="24">
        <v>0</v>
      </c>
      <c r="J11393" s="25"/>
      <c r="K11393" s="24">
        <v>0</v>
      </c>
      <c r="L11393" s="22" t="str">
        <f>HYPERLINK("https://otsuka-europe-crm.veevavault.com/ui/#object/approved_document__v/V5O00000001A037", "LUP - VAE Póster Adelphi - Nefro")</f>
        <v>LUP - VAE Póster Adelphi - Nefro</v>
      </c>
      <c r="M11393" s="22" t="str">
        <f>HYPERLINK("mailto:jguri@crm.otsuka-europe.com", "jguri@crm.otsuka-europe.com")</f>
        <v>jguri@crm.otsuka-europe.com</v>
      </c>
      <c r="N11393" s="23">
        <v>46188.79488425926</v>
      </c>
      <c r="O11393" s="14" t="str">
        <f>HYPERLINK("https://otsuka-europe-crm.veevavault.com/ui/#object/email_activity__v/V8C00000003V945", "EN-002096582")</f>
        <v>EN-002096582</v>
      </c>
    </row>
    <row r="11394" spans="1:15" ht="16" x14ac:dyDescent="0.2">
      <c r="A11394" s="18"/>
      <c r="B11394" s="18"/>
      <c r="C11394" s="18"/>
      <c r="D11394" s="18"/>
      <c r="E11394" s="18"/>
      <c r="F11394" s="18"/>
      <c r="G11394" s="18"/>
      <c r="H11394" s="18"/>
      <c r="I11394" s="18"/>
      <c r="J11394" s="18"/>
      <c r="K11394" s="18"/>
      <c r="L11394" s="18"/>
      <c r="M11394" s="18"/>
      <c r="N11394" s="18"/>
      <c r="O11394" s="14" t="str">
        <f>HYPERLINK("https://otsuka-europe-crm.veevavault.com/ui/#object/email_activity__v/V8C00000003W328", "EN-002097371")</f>
        <v>EN-002097371</v>
      </c>
    </row>
    <row r="11395" spans="1:15" ht="16" x14ac:dyDescent="0.2">
      <c r="A11395" s="18"/>
      <c r="B11395" s="18"/>
      <c r="C11395" s="18"/>
      <c r="D11395" s="18"/>
      <c r="E11395" s="18"/>
      <c r="F11395" s="18"/>
      <c r="G11395" s="18"/>
      <c r="H11395" s="18"/>
      <c r="I11395" s="18"/>
      <c r="J11395" s="18"/>
      <c r="K11395" s="18"/>
      <c r="L11395" s="18"/>
      <c r="M11395" s="18"/>
      <c r="N11395" s="18"/>
      <c r="O11395" s="14" t="str">
        <f>HYPERLINK("https://otsuka-europe-crm.veevavault.com/ui/#object/email_activity__v/V8C00000003W737", "EN-002098466")</f>
        <v>EN-002098466</v>
      </c>
    </row>
    <row r="11396" spans="1:15" ht="16" x14ac:dyDescent="0.2">
      <c r="A11396" s="18"/>
      <c r="B11396" s="18"/>
      <c r="C11396" s="18"/>
      <c r="D11396" s="18"/>
      <c r="E11396" s="18"/>
      <c r="F11396" s="18"/>
      <c r="G11396" s="18"/>
      <c r="H11396" s="18"/>
      <c r="I11396" s="18"/>
      <c r="J11396" s="18"/>
      <c r="K11396" s="18"/>
      <c r="L11396" s="18"/>
      <c r="M11396" s="18"/>
      <c r="N11396" s="18"/>
      <c r="O11396" s="14" t="str">
        <f>HYPERLINK("https://otsuka-europe-crm.veevavault.com/ui/#object/email_activity__v/V8C00000003X924", "EN-002098465")</f>
        <v>EN-002098465</v>
      </c>
    </row>
    <row r="11397" spans="1:15" ht="16" x14ac:dyDescent="0.2">
      <c r="A11397" s="18"/>
      <c r="B11397" s="18"/>
      <c r="C11397" s="18"/>
      <c r="D11397" s="18"/>
      <c r="E11397" s="18"/>
      <c r="F11397" s="18"/>
      <c r="G11397" s="18"/>
      <c r="H11397" s="18"/>
      <c r="I11397" s="18"/>
      <c r="J11397" s="18"/>
      <c r="K11397" s="18"/>
      <c r="L11397" s="18"/>
      <c r="M11397" s="18"/>
      <c r="N11397" s="18"/>
      <c r="O11397" s="14" t="str">
        <f>HYPERLINK("https://otsuka-europe-crm.veevavault.com/ui/#object/email_activity__v/V8C00000003X925", "EN-002098467")</f>
        <v>EN-002098467</v>
      </c>
    </row>
    <row r="11398" spans="1:15" ht="16" x14ac:dyDescent="0.2">
      <c r="A11398" s="18"/>
      <c r="B11398" s="18"/>
      <c r="C11398" s="18"/>
      <c r="D11398" s="18"/>
      <c r="E11398" s="18"/>
      <c r="F11398" s="18"/>
      <c r="G11398" s="18"/>
      <c r="H11398" s="18"/>
      <c r="I11398" s="18"/>
      <c r="J11398" s="18"/>
      <c r="K11398" s="18"/>
      <c r="L11398" s="18"/>
      <c r="M11398" s="18"/>
      <c r="N11398" s="18"/>
      <c r="O11398" s="14" t="str">
        <f>HYPERLINK("https://otsuka-europe-crm.veevavault.com/ui/#object/email_activity__v/V8C00000003Z037", "EN-002098705")</f>
        <v>EN-002098705</v>
      </c>
    </row>
    <row r="11399" spans="1:15" ht="16" x14ac:dyDescent="0.2">
      <c r="A11399" s="18"/>
      <c r="B11399" s="18"/>
      <c r="C11399" s="18"/>
      <c r="D11399" s="18"/>
      <c r="E11399" s="18"/>
      <c r="F11399" s="18"/>
      <c r="G11399" s="18"/>
      <c r="H11399" s="18"/>
      <c r="I11399" s="18"/>
      <c r="J11399" s="18"/>
      <c r="K11399" s="18"/>
      <c r="L11399" s="18"/>
      <c r="M11399" s="18"/>
      <c r="N11399" s="18"/>
      <c r="O11399" s="14" t="str">
        <f>HYPERLINK("https://otsuka-europe-crm.veevavault.com/ui/#object/email_activity__v/V8C00000003Z071", "EN-002098765")</f>
        <v>EN-002098765</v>
      </c>
    </row>
    <row r="11400" spans="1:15" ht="16" x14ac:dyDescent="0.2">
      <c r="A11400" s="18"/>
      <c r="B11400" s="18"/>
      <c r="C11400" s="18"/>
      <c r="D11400" s="18"/>
      <c r="E11400" s="18"/>
      <c r="F11400" s="18"/>
      <c r="G11400" s="18"/>
      <c r="H11400" s="18"/>
      <c r="I11400" s="18"/>
      <c r="J11400" s="18"/>
      <c r="K11400" s="18"/>
      <c r="L11400" s="18"/>
      <c r="M11400" s="18"/>
      <c r="N11400" s="18"/>
      <c r="O11400" s="14" t="str">
        <f>HYPERLINK("https://otsuka-europe-crm.veevavault.com/ui/#object/email_activity__v/V8C000000040004", "EN-002098696")</f>
        <v>EN-002098696</v>
      </c>
    </row>
    <row r="11401" spans="1:15" ht="16" x14ac:dyDescent="0.2">
      <c r="A11401" s="18"/>
      <c r="B11401" s="18"/>
      <c r="C11401" s="18"/>
      <c r="D11401" s="18"/>
      <c r="E11401" s="18"/>
      <c r="F11401" s="18"/>
      <c r="G11401" s="18"/>
      <c r="H11401" s="18"/>
      <c r="I11401" s="18"/>
      <c r="J11401" s="18"/>
      <c r="K11401" s="18"/>
      <c r="L11401" s="18"/>
      <c r="M11401" s="18"/>
      <c r="N11401" s="18"/>
      <c r="O11401" s="14" t="str">
        <f>HYPERLINK("https://otsuka-europe-crm.veevavault.com/ui/#object/email_activity__v/V8C000000040008", "EN-002098706")</f>
        <v>EN-002098706</v>
      </c>
    </row>
    <row r="11402" spans="1:15" ht="16" x14ac:dyDescent="0.2">
      <c r="A11402" s="18"/>
      <c r="B11402" s="18"/>
      <c r="C11402" s="18"/>
      <c r="D11402" s="18"/>
      <c r="E11402" s="18"/>
      <c r="F11402" s="18"/>
      <c r="G11402" s="18"/>
      <c r="H11402" s="18"/>
      <c r="I11402" s="18"/>
      <c r="J11402" s="18"/>
      <c r="K11402" s="18"/>
      <c r="L11402" s="18"/>
      <c r="M11402" s="18"/>
      <c r="N11402" s="18"/>
      <c r="O11402" s="14" t="str">
        <f>HYPERLINK("https://otsuka-europe-crm.veevavault.com/ui/#object/email_activity__v/V8C000000040214", "EN-002099088")</f>
        <v>EN-002099088</v>
      </c>
    </row>
    <row r="11403" spans="1:15" ht="16" x14ac:dyDescent="0.2">
      <c r="A11403" s="19"/>
      <c r="B11403" s="19"/>
      <c r="C11403" s="19"/>
      <c r="D11403" s="19"/>
      <c r="E11403" s="19"/>
      <c r="F11403" s="19"/>
      <c r="G11403" s="19"/>
      <c r="H11403" s="19"/>
      <c r="I11403" s="19"/>
      <c r="J11403" s="19"/>
      <c r="K11403" s="19"/>
      <c r="L11403" s="19"/>
      <c r="M11403" s="19"/>
      <c r="N11403" s="19"/>
      <c r="O11403" s="14" t="str">
        <f>HYPERLINK("https://otsuka-europe-crm.veevavault.com/ui/#object/email_activity__v/V8C000000040557", "EN-002099677")</f>
        <v>EN-002099677</v>
      </c>
    </row>
    <row r="11404" spans="1:15" ht="16" x14ac:dyDescent="0.2">
      <c r="A11404" s="17" t="str">
        <f>HYPERLINK("https://otsuka-europe-crm.veevavault.com/ui/#object/account__v/V4TZ04ASG6ZSVSS", "MARIA GARCIA GARCIA")</f>
        <v>MARIA GARCIA GARCIA</v>
      </c>
      <c r="B11404" s="17" t="str">
        <f>HYPERLINK("https://otsuka-europe-crm.veevavault.com/ui/#object/vcountry__v/VENZ000004SONF5", "ES")</f>
        <v>ES</v>
      </c>
      <c r="C11404" s="20" t="s">
        <v>41</v>
      </c>
      <c r="D11404" s="21" t="str">
        <f>HYPERLINK("https://otsuka-europe-crm.veevavault.com/ui/#object/approved_document__v/V5O00000001A037", "LUP - VAE Póster Adelphi - Nefro")</f>
        <v>LUP - VAE Póster Adelphi - Nefro</v>
      </c>
      <c r="E11404" s="22" t="str">
        <f>HYPERLINK("https://otsuka-europe-crm.veevavault.com/ui/#object/sent_email__v/VBL00000002V250", "SE-001437139")</f>
        <v>SE-001437139</v>
      </c>
      <c r="F11404" s="25"/>
      <c r="G11404" s="24">
        <v>0</v>
      </c>
      <c r="H11404" s="24">
        <v>0</v>
      </c>
      <c r="I11404" s="24">
        <v>0</v>
      </c>
      <c r="J11404" s="25"/>
      <c r="K11404" s="24">
        <v>0</v>
      </c>
      <c r="L11404" s="22" t="str">
        <f>HYPERLINK("https://otsuka-europe-crm.veevavault.com/ui/#object/approved_document__v/V5O00000001A037", "LUP - VAE Póster Adelphi - Nefro")</f>
        <v>LUP - VAE Póster Adelphi - Nefro</v>
      </c>
      <c r="M11404" s="22" t="str">
        <f>HYPERLINK("mailto:jguri@crm.otsuka-europe.com", "jguri@crm.otsuka-europe.com")</f>
        <v>jguri@crm.otsuka-europe.com</v>
      </c>
      <c r="N11404" s="23">
        <v>46188.79488425926</v>
      </c>
      <c r="O11404" s="14" t="str">
        <f>HYPERLINK("https://otsuka-europe-crm.veevavault.com/ui/#object/email_activity__v/V8C00000003V972", "EN-002096614")</f>
        <v>EN-002096614</v>
      </c>
    </row>
    <row r="11405" spans="1:15" ht="16" x14ac:dyDescent="0.2">
      <c r="A11405" s="19"/>
      <c r="B11405" s="19"/>
      <c r="C11405" s="19"/>
      <c r="D11405" s="19"/>
      <c r="E11405" s="19"/>
      <c r="F11405" s="19"/>
      <c r="G11405" s="19"/>
      <c r="H11405" s="19"/>
      <c r="I11405" s="19"/>
      <c r="J11405" s="19"/>
      <c r="K11405" s="19"/>
      <c r="L11405" s="19"/>
      <c r="M11405" s="19"/>
      <c r="N11405" s="19"/>
      <c r="O11405" s="14" t="str">
        <f>HYPERLINK("https://otsuka-europe-crm.veevavault.com/ui/#object/email_activity__v/V8C00000003W095", "EN-002096834")</f>
        <v>EN-002096834</v>
      </c>
    </row>
    <row r="11406" spans="1:15" ht="16" x14ac:dyDescent="0.2">
      <c r="A11406" s="17" t="str">
        <f>HYPERLINK("https://otsuka-europe-crm.veevavault.com/ui/#object/account__v/V4TZ025E82EN0J5", "RUTH MARTINEZ GALINDO")</f>
        <v>RUTH MARTINEZ GALINDO</v>
      </c>
      <c r="B11406" s="17" t="str">
        <f>HYPERLINK("https://otsuka-europe-crm.veevavault.com/ui/#object/vcountry__v/VENZ000004SONF5", "ES")</f>
        <v>ES</v>
      </c>
      <c r="C11406" s="20" t="s">
        <v>41</v>
      </c>
      <c r="D11406" s="21" t="str">
        <f>HYPERLINK("https://otsuka-europe-crm.veevavault.com/ui/#object/approved_document__v/V5O00000001A037", "LUP - VAE Póster Adelphi - Nefro")</f>
        <v>LUP - VAE Póster Adelphi - Nefro</v>
      </c>
      <c r="E11406" s="22" t="str">
        <f>HYPERLINK("https://otsuka-europe-crm.veevavault.com/ui/#object/sent_email__v/VBL00000002V251", "SE-001437140")</f>
        <v>SE-001437140</v>
      </c>
      <c r="F11406" s="23">
        <v>46189.288425925923</v>
      </c>
      <c r="G11406" s="24">
        <v>1</v>
      </c>
      <c r="H11406" s="24">
        <v>2</v>
      </c>
      <c r="I11406" s="24">
        <v>0</v>
      </c>
      <c r="J11406" s="25"/>
      <c r="K11406" s="24">
        <v>0</v>
      </c>
      <c r="L11406" s="22" t="str">
        <f>HYPERLINK("https://otsuka-europe-crm.veevavault.com/ui/#object/approved_document__v/V5O00000001A037", "LUP - VAE Póster Adelphi - Nefro")</f>
        <v>LUP - VAE Póster Adelphi - Nefro</v>
      </c>
      <c r="M11406" s="22" t="str">
        <f>HYPERLINK("mailto:jguri@crm.otsuka-europe.com", "jguri@crm.otsuka-europe.com")</f>
        <v>jguri@crm.otsuka-europe.com</v>
      </c>
      <c r="N11406" s="23">
        <v>46188.79488425926</v>
      </c>
      <c r="O11406" s="14" t="str">
        <f>HYPERLINK("https://otsuka-europe-crm.veevavault.com/ui/#object/email_activity__v/V8C00000003U832", "EN-002096618")</f>
        <v>EN-002096618</v>
      </c>
    </row>
    <row r="11407" spans="1:15" ht="16" x14ac:dyDescent="0.2">
      <c r="A11407" s="18"/>
      <c r="B11407" s="18"/>
      <c r="C11407" s="18"/>
      <c r="D11407" s="18"/>
      <c r="E11407" s="18"/>
      <c r="F11407" s="18"/>
      <c r="G11407" s="18"/>
      <c r="H11407" s="18"/>
      <c r="I11407" s="18"/>
      <c r="J11407" s="18"/>
      <c r="K11407" s="18"/>
      <c r="L11407" s="18"/>
      <c r="M11407" s="18"/>
      <c r="N11407" s="18"/>
      <c r="O11407" s="14" t="str">
        <f>HYPERLINK("https://otsuka-europe-crm.veevavault.com/ui/#object/email_activity__v/V8C00000003U954", "EN-002096892")</f>
        <v>EN-002096892</v>
      </c>
    </row>
    <row r="11408" spans="1:15" ht="16" x14ac:dyDescent="0.2">
      <c r="A11408" s="19"/>
      <c r="B11408" s="19"/>
      <c r="C11408" s="19"/>
      <c r="D11408" s="19"/>
      <c r="E11408" s="19"/>
      <c r="F11408" s="19"/>
      <c r="G11408" s="19"/>
      <c r="H11408" s="19"/>
      <c r="I11408" s="19"/>
      <c r="J11408" s="19"/>
      <c r="K11408" s="19"/>
      <c r="L11408" s="19"/>
      <c r="M11408" s="19"/>
      <c r="N11408" s="19"/>
      <c r="O11408" s="14" t="str">
        <f>HYPERLINK("https://otsuka-europe-crm.veevavault.com/ui/#object/email_activity__v/V8C00000003V999", "EN-002096666")</f>
        <v>EN-002096666</v>
      </c>
    </row>
    <row r="11409" spans="1:15" ht="32" x14ac:dyDescent="0.2">
      <c r="A11409" s="7" t="str">
        <f>HYPERLINK("https://otsuka-europe-crm.veevavault.com/ui/#object/account__v/V4TZ025E83KBX0L", "MARIA MALDONADO MARTIN")</f>
        <v>MARIA MALDONADO MARTIN</v>
      </c>
      <c r="B11409" s="7" t="str">
        <f>HYPERLINK("https://otsuka-europe-crm.veevavault.com/ui/#object/vcountry__v/VENZ000004SONF5", "ES")</f>
        <v>ES</v>
      </c>
      <c r="C11409" s="8" t="s">
        <v>41</v>
      </c>
      <c r="D11409" s="9" t="str">
        <f>HYPERLINK("https://otsuka-europe-crm.veevavault.com/ui/#object/approved_document__v/V5O00000001A037", "LUP - VAE Póster Adelphi - Nefro")</f>
        <v>LUP - VAE Póster Adelphi - Nefro</v>
      </c>
      <c r="E11409" s="10" t="str">
        <f>HYPERLINK("https://otsuka-europe-crm.veevavault.com/ui/#object/sent_email__v/VBL00000002V252", "SE-001437141")</f>
        <v>SE-001437141</v>
      </c>
      <c r="F11409" s="11"/>
      <c r="G11409" s="12">
        <v>0</v>
      </c>
      <c r="H11409" s="12">
        <v>0</v>
      </c>
      <c r="I11409" s="12">
        <v>0</v>
      </c>
      <c r="J11409" s="11"/>
      <c r="K11409" s="12">
        <v>0</v>
      </c>
      <c r="L11409" s="10" t="str">
        <f>HYPERLINK("https://otsuka-europe-crm.veevavault.com/ui/#object/approved_document__v/V5O00000001A037", "LUP - VAE Póster Adelphi - Nefro")</f>
        <v>LUP - VAE Póster Adelphi - Nefro</v>
      </c>
      <c r="M11409" s="10" t="str">
        <f>HYPERLINK("mailto:jguri@crm.otsuka-europe.com", "jguri@crm.otsuka-europe.com")</f>
        <v>jguri@crm.otsuka-europe.com</v>
      </c>
      <c r="N11409" s="13">
        <v>46188.79488425926</v>
      </c>
      <c r="O11409" s="14" t="str">
        <f>HYPERLINK("https://otsuka-europe-crm.veevavault.com/ui/#object/email_activity__v/V8C00000003V960", "EN-002096597")</f>
        <v>EN-002096597</v>
      </c>
    </row>
    <row r="11410" spans="1:15" ht="16" x14ac:dyDescent="0.2">
      <c r="A11410" s="17" t="str">
        <f>HYPERLINK("https://otsuka-europe-crm.veevavault.com/ui/#object/account__v/V4TZ04ASGCDI29W", "MARIA ROCIO PEREZ PALACIO")</f>
        <v>MARIA ROCIO PEREZ PALACIO</v>
      </c>
      <c r="B11410" s="17" t="str">
        <f>HYPERLINK("https://otsuka-europe-crm.veevavault.com/ui/#object/vcountry__v/VENZ000004SONF5", "ES")</f>
        <v>ES</v>
      </c>
      <c r="C11410" s="20" t="s">
        <v>41</v>
      </c>
      <c r="D11410" s="21" t="str">
        <f>HYPERLINK("https://otsuka-europe-crm.veevavault.com/ui/#object/approved_document__v/V5O00000001A037", "LUP - VAE Póster Adelphi - Nefro")</f>
        <v>LUP - VAE Póster Adelphi - Nefro</v>
      </c>
      <c r="E11410" s="22" t="str">
        <f>HYPERLINK("https://otsuka-europe-crm.veevavault.com/ui/#object/sent_email__v/VBL00000002V253", "SE-001437142")</f>
        <v>SE-001437142</v>
      </c>
      <c r="F11410" s="23">
        <v>46189.51253472222</v>
      </c>
      <c r="G11410" s="24">
        <v>1</v>
      </c>
      <c r="H11410" s="24">
        <v>2</v>
      </c>
      <c r="I11410" s="24">
        <v>0</v>
      </c>
      <c r="J11410" s="25"/>
      <c r="K11410" s="24">
        <v>0</v>
      </c>
      <c r="L11410" s="22" t="str">
        <f>HYPERLINK("https://otsuka-europe-crm.veevavault.com/ui/#object/approved_document__v/V5O00000001A037", "LUP - VAE Póster Adelphi - Nefro")</f>
        <v>LUP - VAE Póster Adelphi - Nefro</v>
      </c>
      <c r="M11410" s="22" t="str">
        <f>HYPERLINK("mailto:jguri@crm.otsuka-europe.com", "jguri@crm.otsuka-europe.com")</f>
        <v>jguri@crm.otsuka-europe.com</v>
      </c>
      <c r="N11410" s="23">
        <v>46188.79488425926</v>
      </c>
      <c r="O11410" s="14" t="str">
        <f>HYPERLINK("https://otsuka-europe-crm.veevavault.com/ui/#object/email_activity__v/V8C00000003U951", "EN-002096885")</f>
        <v>EN-002096885</v>
      </c>
    </row>
    <row r="11411" spans="1:15" ht="16" x14ac:dyDescent="0.2">
      <c r="A11411" s="18"/>
      <c r="B11411" s="18"/>
      <c r="C11411" s="18"/>
      <c r="D11411" s="18"/>
      <c r="E11411" s="18"/>
      <c r="F11411" s="18"/>
      <c r="G11411" s="18"/>
      <c r="H11411" s="18"/>
      <c r="I11411" s="18"/>
      <c r="J11411" s="18"/>
      <c r="K11411" s="18"/>
      <c r="L11411" s="18"/>
      <c r="M11411" s="18"/>
      <c r="N11411" s="18"/>
      <c r="O11411" s="14" t="str">
        <f>HYPERLINK("https://otsuka-europe-crm.veevavault.com/ui/#object/email_activity__v/V8C00000003V953", "EN-002096590")</f>
        <v>EN-002096590</v>
      </c>
    </row>
    <row r="11412" spans="1:15" ht="16" x14ac:dyDescent="0.2">
      <c r="A11412" s="19"/>
      <c r="B11412" s="19"/>
      <c r="C11412" s="19"/>
      <c r="D11412" s="19"/>
      <c r="E11412" s="19"/>
      <c r="F11412" s="19"/>
      <c r="G11412" s="19"/>
      <c r="H11412" s="19"/>
      <c r="I11412" s="19"/>
      <c r="J11412" s="19"/>
      <c r="K11412" s="19"/>
      <c r="L11412" s="19"/>
      <c r="M11412" s="19"/>
      <c r="N11412" s="19"/>
      <c r="O11412" s="14" t="str">
        <f>HYPERLINK("https://otsuka-europe-crm.veevavault.com/ui/#object/email_activity__v/V8C00000003W220", "EN-002097173")</f>
        <v>EN-002097173</v>
      </c>
    </row>
    <row r="11413" spans="1:15" ht="32" x14ac:dyDescent="0.2">
      <c r="A11413" s="7" t="str">
        <f>HYPERLINK("https://otsuka-europe-crm.veevavault.com/ui/#object/account__v/V4TZ04ASGCYP3XF", "JORGE MOLLA CUADRILLERO")</f>
        <v>JORGE MOLLA CUADRILLERO</v>
      </c>
      <c r="B11413" s="7" t="str">
        <f>HYPERLINK("https://otsuka-europe-crm.veevavault.com/ui/#object/vcountry__v/VENZ000004SONF5", "ES")</f>
        <v>ES</v>
      </c>
      <c r="C11413" s="8" t="s">
        <v>41</v>
      </c>
      <c r="D11413" s="9" t="str">
        <f>HYPERLINK("https://otsuka-europe-crm.veevavault.com/ui/#object/approved_document__v/V5O00000001A037", "LUP - VAE Póster Adelphi - Nefro")</f>
        <v>LUP - VAE Póster Adelphi - Nefro</v>
      </c>
      <c r="E11413" s="10" t="str">
        <f>HYPERLINK("https://otsuka-europe-crm.veevavault.com/ui/#object/sent_email__v/VBL00000002V254", "SE-001437143")</f>
        <v>SE-001437143</v>
      </c>
      <c r="F11413" s="11"/>
      <c r="G11413" s="12">
        <v>0</v>
      </c>
      <c r="H11413" s="12">
        <v>0</v>
      </c>
      <c r="I11413" s="12">
        <v>0</v>
      </c>
      <c r="J11413" s="11"/>
      <c r="K11413" s="12">
        <v>0</v>
      </c>
      <c r="L11413" s="10" t="str">
        <f>HYPERLINK("https://otsuka-europe-crm.veevavault.com/ui/#object/approved_document__v/V5O00000001A037", "LUP - VAE Póster Adelphi - Nefro")</f>
        <v>LUP - VAE Póster Adelphi - Nefro</v>
      </c>
      <c r="M11413" s="10" t="str">
        <f>HYPERLINK("mailto:jguri@crm.otsuka-europe.com", "jguri@crm.otsuka-europe.com")</f>
        <v>jguri@crm.otsuka-europe.com</v>
      </c>
      <c r="N11413" s="13">
        <v>46188.79488425926</v>
      </c>
      <c r="O11413" s="14" t="str">
        <f>HYPERLINK("https://otsuka-europe-crm.veevavault.com/ui/#object/email_activity__v/V8C00000003V922", "EN-002096559")</f>
        <v>EN-002096559</v>
      </c>
    </row>
    <row r="11414" spans="1:15" ht="16" x14ac:dyDescent="0.2">
      <c r="A11414" s="17" t="str">
        <f>HYPERLINK("https://otsuka-europe-crm.veevavault.com/ui/#object/account__v/V4TZ06G6O71TAGN", "LEONARDO CALLE GARCIA")</f>
        <v>LEONARDO CALLE GARCIA</v>
      </c>
      <c r="B11414" s="17" t="str">
        <f>HYPERLINK("https://otsuka-europe-crm.veevavault.com/ui/#object/vcountry__v/VENZ000004SONF5", "ES")</f>
        <v>ES</v>
      </c>
      <c r="C11414" s="20" t="s">
        <v>41</v>
      </c>
      <c r="D11414" s="21" t="str">
        <f>HYPERLINK("https://otsuka-europe-crm.veevavault.com/ui/#object/approved_document__v/V5O00000001A037", "LUP - VAE Póster Adelphi - Nefro")</f>
        <v>LUP - VAE Póster Adelphi - Nefro</v>
      </c>
      <c r="E11414" s="22" t="str">
        <f>HYPERLINK("https://otsuka-europe-crm.veevavault.com/ui/#object/sent_email__v/VBL00000002V255", "SE-001437144")</f>
        <v>SE-001437144</v>
      </c>
      <c r="F11414" s="23">
        <v>46188.95925925926</v>
      </c>
      <c r="G11414" s="24">
        <v>1</v>
      </c>
      <c r="H11414" s="24">
        <v>1</v>
      </c>
      <c r="I11414" s="24">
        <v>0</v>
      </c>
      <c r="J11414" s="25"/>
      <c r="K11414" s="24">
        <v>0</v>
      </c>
      <c r="L11414" s="22" t="str">
        <f>HYPERLINK("https://otsuka-europe-crm.veevavault.com/ui/#object/approved_document__v/V5O00000001A037", "LUP - VAE Póster Adelphi - Nefro")</f>
        <v>LUP - VAE Póster Adelphi - Nefro</v>
      </c>
      <c r="M11414" s="22" t="str">
        <f>HYPERLINK("mailto:jguri@crm.otsuka-europe.com", "jguri@crm.otsuka-europe.com")</f>
        <v>jguri@crm.otsuka-europe.com</v>
      </c>
      <c r="N11414" s="23">
        <v>46188.79488425926</v>
      </c>
      <c r="O11414" s="14" t="str">
        <f>HYPERLINK("https://otsuka-europe-crm.veevavault.com/ui/#object/email_activity__v/V8C00000003U935", "EN-002096846")</f>
        <v>EN-002096846</v>
      </c>
    </row>
    <row r="11415" spans="1:15" ht="16" x14ac:dyDescent="0.2">
      <c r="A11415" s="19"/>
      <c r="B11415" s="19"/>
      <c r="C11415" s="19"/>
      <c r="D11415" s="19"/>
      <c r="E11415" s="19"/>
      <c r="F11415" s="19"/>
      <c r="G11415" s="19"/>
      <c r="H11415" s="19"/>
      <c r="I11415" s="19"/>
      <c r="J11415" s="19"/>
      <c r="K11415" s="19"/>
      <c r="L11415" s="19"/>
      <c r="M11415" s="19"/>
      <c r="N11415" s="19"/>
      <c r="O11415" s="14" t="str">
        <f>HYPERLINK("https://otsuka-europe-crm.veevavault.com/ui/#object/email_activity__v/V8C00000003V954", "EN-002096591")</f>
        <v>EN-002096591</v>
      </c>
    </row>
    <row r="11416" spans="1:15" ht="32" x14ac:dyDescent="0.2">
      <c r="A11416" s="7" t="str">
        <f>HYPERLINK("https://otsuka-europe-crm.veevavault.com/ui/#object/account__v/V4TZ025E83BMBTH", "MARIA SORIANO GUILLEN")</f>
        <v>MARIA SORIANO GUILLEN</v>
      </c>
      <c r="B11416" s="7" t="str">
        <f>HYPERLINK("https://otsuka-europe-crm.veevavault.com/ui/#object/vcountry__v/VENZ000004SONF5", "ES")</f>
        <v>ES</v>
      </c>
      <c r="C11416" s="8" t="s">
        <v>41</v>
      </c>
      <c r="D11416" s="9" t="str">
        <f>HYPERLINK("https://otsuka-europe-crm.veevavault.com/ui/#object/approved_document__v/V5O00000001A037", "LUP - VAE Póster Adelphi - Nefro")</f>
        <v>LUP - VAE Póster Adelphi - Nefro</v>
      </c>
      <c r="E11416" s="10" t="str">
        <f>HYPERLINK("https://otsuka-europe-crm.veevavault.com/ui/#object/sent_email__v/VBL00000002V256", "SE-001437145")</f>
        <v>SE-001437145</v>
      </c>
      <c r="F11416" s="11"/>
      <c r="G11416" s="12">
        <v>0</v>
      </c>
      <c r="H11416" s="12">
        <v>0</v>
      </c>
      <c r="I11416" s="12">
        <v>0</v>
      </c>
      <c r="J11416" s="11"/>
      <c r="K11416" s="12">
        <v>0</v>
      </c>
      <c r="L11416" s="10" t="str">
        <f>HYPERLINK("https://otsuka-europe-crm.veevavault.com/ui/#object/approved_document__v/V5O00000001A037", "LUP - VAE Póster Adelphi - Nefro")</f>
        <v>LUP - VAE Póster Adelphi - Nefro</v>
      </c>
      <c r="M11416" s="10" t="str">
        <f>HYPERLINK("mailto:jguri@crm.otsuka-europe.com", "jguri@crm.otsuka-europe.com")</f>
        <v>jguri@crm.otsuka-europe.com</v>
      </c>
      <c r="N11416" s="13">
        <v>46188.79488425926</v>
      </c>
      <c r="O11416" s="14" t="str">
        <f>HYPERLINK("https://otsuka-europe-crm.veevavault.com/ui/#object/email_activity__v/V8C00000003V973", "EN-002096619")</f>
        <v>EN-002096619</v>
      </c>
    </row>
    <row r="11417" spans="1:15" ht="32" x14ac:dyDescent="0.2">
      <c r="A11417" s="7" t="str">
        <f>HYPERLINK("https://otsuka-europe-crm.veevavault.com/ui/#object/account__v/V4TZ06G6O71T93I", "LAURA ALEGRE ZAHONERO")</f>
        <v>LAURA ALEGRE ZAHONERO</v>
      </c>
      <c r="B11417" s="7" t="str">
        <f>HYPERLINK("https://otsuka-europe-crm.veevavault.com/ui/#object/vcountry__v/VENZ000004SONF5", "ES")</f>
        <v>ES</v>
      </c>
      <c r="C11417" s="8" t="s">
        <v>41</v>
      </c>
      <c r="D11417" s="9" t="str">
        <f>HYPERLINK("https://otsuka-europe-crm.veevavault.com/ui/#object/approved_document__v/V5O00000001A037", "LUP - VAE Póster Adelphi - Nefro")</f>
        <v>LUP - VAE Póster Adelphi - Nefro</v>
      </c>
      <c r="E11417" s="10" t="str">
        <f>HYPERLINK("https://otsuka-europe-crm.veevavault.com/ui/#object/sent_email__v/VBL00000002V257", "SE-001437146")</f>
        <v>SE-001437146</v>
      </c>
      <c r="F11417" s="11"/>
      <c r="G11417" s="12">
        <v>0</v>
      </c>
      <c r="H11417" s="12">
        <v>0</v>
      </c>
      <c r="I11417" s="12">
        <v>0</v>
      </c>
      <c r="J11417" s="11"/>
      <c r="K11417" s="12">
        <v>0</v>
      </c>
      <c r="L11417" s="10" t="str">
        <f>HYPERLINK("https://otsuka-europe-crm.veevavault.com/ui/#object/approved_document__v/V5O00000001A037", "LUP - VAE Póster Adelphi - Nefro")</f>
        <v>LUP - VAE Póster Adelphi - Nefro</v>
      </c>
      <c r="M11417" s="10" t="str">
        <f>HYPERLINK("mailto:jguri@crm.otsuka-europe.com", "jguri@crm.otsuka-europe.com")</f>
        <v>jguri@crm.otsuka-europe.com</v>
      </c>
      <c r="N11417" s="13">
        <v>46188.79488425926</v>
      </c>
      <c r="O11417" s="14" t="str">
        <f>HYPERLINK("https://otsuka-europe-crm.veevavault.com/ui/#object/email_activity__v/V8C00000003U843", "EN-002096653")</f>
        <v>EN-002096653</v>
      </c>
    </row>
    <row r="11418" spans="1:15" ht="16" x14ac:dyDescent="0.2">
      <c r="A11418" s="17" t="str">
        <f>HYPERLINK("https://otsuka-europe-crm.veevavault.com/ui/#object/account__v/V4TZ06G6O71T8D6", "RAQUEL ESTERAS RUBIO")</f>
        <v>RAQUEL ESTERAS RUBIO</v>
      </c>
      <c r="B11418" s="17" t="str">
        <f>HYPERLINK("https://otsuka-europe-crm.veevavault.com/ui/#object/vcountry__v/VENZ000004SONF5", "ES")</f>
        <v>ES</v>
      </c>
      <c r="C11418" s="20" t="s">
        <v>41</v>
      </c>
      <c r="D11418" s="21" t="str">
        <f>HYPERLINK("https://otsuka-europe-crm.veevavault.com/ui/#object/approved_document__v/V5O00000001A037", "LUP - VAE Póster Adelphi - Nefro")</f>
        <v>LUP - VAE Póster Adelphi - Nefro</v>
      </c>
      <c r="E11418" s="22" t="str">
        <f>HYPERLINK("https://otsuka-europe-crm.veevavault.com/ui/#object/sent_email__v/VBL00000002V258", "SE-001437147")</f>
        <v>SE-001437147</v>
      </c>
      <c r="F11418" s="25"/>
      <c r="G11418" s="24">
        <v>0</v>
      </c>
      <c r="H11418" s="24">
        <v>0</v>
      </c>
      <c r="I11418" s="24">
        <v>0</v>
      </c>
      <c r="J11418" s="25"/>
      <c r="K11418" s="24">
        <v>0</v>
      </c>
      <c r="L11418" s="22" t="str">
        <f>HYPERLINK("https://otsuka-europe-crm.veevavault.com/ui/#object/approved_document__v/V5O00000001A037", "LUP - VAE Póster Adelphi - Nefro")</f>
        <v>LUP - VAE Póster Adelphi - Nefro</v>
      </c>
      <c r="M11418" s="22" t="str">
        <f>HYPERLINK("mailto:jguri@crm.otsuka-europe.com", "jguri@crm.otsuka-europe.com")</f>
        <v>jguri@crm.otsuka-europe.com</v>
      </c>
      <c r="N11418" s="23">
        <v>46188.794918981483</v>
      </c>
      <c r="O11418" s="14" t="str">
        <f>HYPERLINK("https://otsuka-europe-crm.veevavault.com/ui/#object/email_activity__v/V8C00000003V986", "EN-002096634")</f>
        <v>EN-002096634</v>
      </c>
    </row>
    <row r="11419" spans="1:15" ht="16" x14ac:dyDescent="0.2">
      <c r="A11419" s="19"/>
      <c r="B11419" s="19"/>
      <c r="C11419" s="19"/>
      <c r="D11419" s="19"/>
      <c r="E11419" s="19"/>
      <c r="F11419" s="19"/>
      <c r="G11419" s="19"/>
      <c r="H11419" s="19"/>
      <c r="I11419" s="19"/>
      <c r="J11419" s="19"/>
      <c r="K11419" s="19"/>
      <c r="L11419" s="19"/>
      <c r="M11419" s="19"/>
      <c r="N11419" s="19"/>
      <c r="O11419" s="14" t="str">
        <f>HYPERLINK("https://otsuka-europe-crm.veevavault.com/ui/#object/email_activity__v/V8C00000003X219", "EN-002097332")</f>
        <v>EN-002097332</v>
      </c>
    </row>
    <row r="11420" spans="1:15" ht="16" x14ac:dyDescent="0.2">
      <c r="A11420" s="17" t="str">
        <f>HYPERLINK("https://otsuka-europe-crm.veevavault.com/ui/#object/account__v/V4TZ06G6O71T892", "MARIA CARMEN PECERO HORMIGO")</f>
        <v>MARIA CARMEN PECERO HORMIGO</v>
      </c>
      <c r="B11420" s="17" t="str">
        <f>HYPERLINK("https://otsuka-europe-crm.veevavault.com/ui/#object/vcountry__v/VENZ000004SONF5", "ES")</f>
        <v>ES</v>
      </c>
      <c r="C11420" s="20" t="s">
        <v>41</v>
      </c>
      <c r="D11420" s="21" t="str">
        <f>HYPERLINK("https://otsuka-europe-crm.veevavault.com/ui/#object/approved_document__v/V5O00000001A037", "LUP - VAE Póster Adelphi - Nefro")</f>
        <v>LUP - VAE Póster Adelphi - Nefro</v>
      </c>
      <c r="E11420" s="22" t="str">
        <f>HYPERLINK("https://otsuka-europe-crm.veevavault.com/ui/#object/sent_email__v/VBL00000002V259", "SE-001437148")</f>
        <v>SE-001437148</v>
      </c>
      <c r="F11420" s="25"/>
      <c r="G11420" s="24">
        <v>0</v>
      </c>
      <c r="H11420" s="24">
        <v>0</v>
      </c>
      <c r="I11420" s="24">
        <v>0</v>
      </c>
      <c r="J11420" s="25"/>
      <c r="K11420" s="24">
        <v>0</v>
      </c>
      <c r="L11420" s="22" t="str">
        <f>HYPERLINK("https://otsuka-europe-crm.veevavault.com/ui/#object/approved_document__v/V5O00000001A037", "LUP - VAE Póster Adelphi - Nefro")</f>
        <v>LUP - VAE Póster Adelphi - Nefro</v>
      </c>
      <c r="M11420" s="22" t="str">
        <f>HYPERLINK("mailto:jguri@crm.otsuka-europe.com", "jguri@crm.otsuka-europe.com")</f>
        <v>jguri@crm.otsuka-europe.com</v>
      </c>
      <c r="N11420" s="23">
        <v>46188.79488425926</v>
      </c>
      <c r="O11420" s="14" t="str">
        <f>HYPERLINK("https://otsuka-europe-crm.veevavault.com/ui/#object/email_activity__v/V8C00000003U851", "EN-002096662")</f>
        <v>EN-002096662</v>
      </c>
    </row>
    <row r="11421" spans="1:15" ht="16" x14ac:dyDescent="0.2">
      <c r="A11421" s="19"/>
      <c r="B11421" s="19"/>
      <c r="C11421" s="19"/>
      <c r="D11421" s="19"/>
      <c r="E11421" s="19"/>
      <c r="F11421" s="19"/>
      <c r="G11421" s="19"/>
      <c r="H11421" s="19"/>
      <c r="I11421" s="19"/>
      <c r="J11421" s="19"/>
      <c r="K11421" s="19"/>
      <c r="L11421" s="19"/>
      <c r="M11421" s="19"/>
      <c r="N11421" s="19"/>
      <c r="O11421" s="14" t="str">
        <f>HYPERLINK("https://otsuka-europe-crm.veevavault.com/ui/#object/email_activity__v/V8C00000003X999", "EN-002098600")</f>
        <v>EN-002098600</v>
      </c>
    </row>
    <row r="11422" spans="1:15" ht="16" x14ac:dyDescent="0.2">
      <c r="A11422" s="17" t="str">
        <f>HYPERLINK("https://otsuka-europe-crm.veevavault.com/ui/#object/account__v/V4TZ025E89ATN26", "MARIA MELISSA VASQUEZ GRATELLY")</f>
        <v>MARIA MELISSA VASQUEZ GRATELLY</v>
      </c>
      <c r="B11422" s="17" t="str">
        <f>HYPERLINK("https://otsuka-europe-crm.veevavault.com/ui/#object/vcountry__v/VENZ000004SONF5", "ES")</f>
        <v>ES</v>
      </c>
      <c r="C11422" s="20" t="s">
        <v>41</v>
      </c>
      <c r="D11422" s="21" t="str">
        <f>HYPERLINK("https://otsuka-europe-crm.veevavault.com/ui/#object/approved_document__v/V5O00000001A037", "LUP - VAE Póster Adelphi - Nefro")</f>
        <v>LUP - VAE Póster Adelphi - Nefro</v>
      </c>
      <c r="E11422" s="22" t="str">
        <f>HYPERLINK("https://otsuka-europe-crm.veevavault.com/ui/#object/sent_email__v/VBL00000002V260", "SE-001437149")</f>
        <v>SE-001437149</v>
      </c>
      <c r="F11422" s="23">
        <v>46189.406550925924</v>
      </c>
      <c r="G11422" s="24">
        <v>1</v>
      </c>
      <c r="H11422" s="24">
        <v>4</v>
      </c>
      <c r="I11422" s="24">
        <v>0</v>
      </c>
      <c r="J11422" s="25"/>
      <c r="K11422" s="24">
        <v>0</v>
      </c>
      <c r="L11422" s="22" t="str">
        <f>HYPERLINK("https://otsuka-europe-crm.veevavault.com/ui/#object/approved_document__v/V5O00000001A037", "LUP - VAE Póster Adelphi - Nefro")</f>
        <v>LUP - VAE Póster Adelphi - Nefro</v>
      </c>
      <c r="M11422" s="22" t="str">
        <f>HYPERLINK("mailto:jguri@crm.otsuka-europe.com", "jguri@crm.otsuka-europe.com")</f>
        <v>jguri@crm.otsuka-europe.com</v>
      </c>
      <c r="N11422" s="23">
        <v>46188.79488425926</v>
      </c>
      <c r="O11422" s="14" t="str">
        <f>HYPERLINK("https://otsuka-europe-crm.veevavault.com/ui/#object/email_activity__v/V8C00000003U876", "EN-002096729")</f>
        <v>EN-002096729</v>
      </c>
    </row>
    <row r="11423" spans="1:15" ht="16" x14ac:dyDescent="0.2">
      <c r="A11423" s="18"/>
      <c r="B11423" s="18"/>
      <c r="C11423" s="18"/>
      <c r="D11423" s="18"/>
      <c r="E11423" s="18"/>
      <c r="F11423" s="18"/>
      <c r="G11423" s="18"/>
      <c r="H11423" s="18"/>
      <c r="I11423" s="18"/>
      <c r="J11423" s="18"/>
      <c r="K11423" s="18"/>
      <c r="L11423" s="18"/>
      <c r="M11423" s="18"/>
      <c r="N11423" s="18"/>
      <c r="O11423" s="14" t="str">
        <f>HYPERLINK("https://otsuka-europe-crm.veevavault.com/ui/#object/email_activity__v/V8C00000003U877", "EN-002096730")</f>
        <v>EN-002096730</v>
      </c>
    </row>
    <row r="11424" spans="1:15" ht="16" x14ac:dyDescent="0.2">
      <c r="A11424" s="18"/>
      <c r="B11424" s="18"/>
      <c r="C11424" s="18"/>
      <c r="D11424" s="18"/>
      <c r="E11424" s="18"/>
      <c r="F11424" s="18"/>
      <c r="G11424" s="18"/>
      <c r="H11424" s="18"/>
      <c r="I11424" s="18"/>
      <c r="J11424" s="18"/>
      <c r="K11424" s="18"/>
      <c r="L11424" s="18"/>
      <c r="M11424" s="18"/>
      <c r="N11424" s="18"/>
      <c r="O11424" s="14" t="str">
        <f>HYPERLINK("https://otsuka-europe-crm.veevavault.com/ui/#object/email_activity__v/V8C00000003U938", "EN-002096850")</f>
        <v>EN-002096850</v>
      </c>
    </row>
    <row r="11425" spans="1:15" ht="16" x14ac:dyDescent="0.2">
      <c r="A11425" s="18"/>
      <c r="B11425" s="18"/>
      <c r="C11425" s="18"/>
      <c r="D11425" s="18"/>
      <c r="E11425" s="18"/>
      <c r="F11425" s="18"/>
      <c r="G11425" s="18"/>
      <c r="H11425" s="18"/>
      <c r="I11425" s="18"/>
      <c r="J11425" s="18"/>
      <c r="K11425" s="18"/>
      <c r="L11425" s="18"/>
      <c r="M11425" s="18"/>
      <c r="N11425" s="18"/>
      <c r="O11425" s="14" t="str">
        <f>HYPERLINK("https://otsuka-europe-crm.veevavault.com/ui/#object/email_activity__v/V8C00000003V956", "EN-002096593")</f>
        <v>EN-002096593</v>
      </c>
    </row>
    <row r="11426" spans="1:15" ht="16" x14ac:dyDescent="0.2">
      <c r="A11426" s="19"/>
      <c r="B11426" s="19"/>
      <c r="C11426" s="19"/>
      <c r="D11426" s="19"/>
      <c r="E11426" s="19"/>
      <c r="F11426" s="19"/>
      <c r="G11426" s="19"/>
      <c r="H11426" s="19"/>
      <c r="I11426" s="19"/>
      <c r="J11426" s="19"/>
      <c r="K11426" s="19"/>
      <c r="L11426" s="19"/>
      <c r="M11426" s="19"/>
      <c r="N11426" s="19"/>
      <c r="O11426" s="14" t="str">
        <f>HYPERLINK("https://otsuka-europe-crm.veevavault.com/ui/#object/email_activity__v/V8C00000003W155", "EN-002097036")</f>
        <v>EN-002097036</v>
      </c>
    </row>
    <row r="11427" spans="1:15" ht="16" x14ac:dyDescent="0.2">
      <c r="A11427" s="17" t="str">
        <f>HYPERLINK("https://otsuka-europe-crm.veevavault.com/ui/#object/account__v/V4TZ025E86XJ86O", "RAQUEL MARTIN HIGUERAS")</f>
        <v>RAQUEL MARTIN HIGUERAS</v>
      </c>
      <c r="B11427" s="17" t="str">
        <f>HYPERLINK("https://otsuka-europe-crm.veevavault.com/ui/#object/vcountry__v/VENZ000004SONF5", "ES")</f>
        <v>ES</v>
      </c>
      <c r="C11427" s="20" t="s">
        <v>41</v>
      </c>
      <c r="D11427" s="21" t="str">
        <f>HYPERLINK("https://otsuka-europe-crm.veevavault.com/ui/#object/approved_document__v/V5O00000001A037", "LUP - VAE Póster Adelphi - Nefro")</f>
        <v>LUP - VAE Póster Adelphi - Nefro</v>
      </c>
      <c r="E11427" s="22" t="str">
        <f>HYPERLINK("https://otsuka-europe-crm.veevavault.com/ui/#object/sent_email__v/VBL00000002V261", "SE-001437150")</f>
        <v>SE-001437150</v>
      </c>
      <c r="F11427" s="23">
        <v>46189.517858796295</v>
      </c>
      <c r="G11427" s="24">
        <v>1</v>
      </c>
      <c r="H11427" s="24">
        <v>3</v>
      </c>
      <c r="I11427" s="24">
        <v>0</v>
      </c>
      <c r="J11427" s="25"/>
      <c r="K11427" s="24">
        <v>0</v>
      </c>
      <c r="L11427" s="22" t="str">
        <f>HYPERLINK("https://otsuka-europe-crm.veevavault.com/ui/#object/approved_document__v/V5O00000001A037", "LUP - VAE Póster Adelphi - Nefro")</f>
        <v>LUP - VAE Póster Adelphi - Nefro</v>
      </c>
      <c r="M11427" s="22" t="str">
        <f>HYPERLINK("mailto:jguri@crm.otsuka-europe.com", "jguri@crm.otsuka-europe.com")</f>
        <v>jguri@crm.otsuka-europe.com</v>
      </c>
      <c r="N11427" s="23">
        <v>46188.79488425926</v>
      </c>
      <c r="O11427" s="14" t="str">
        <f>HYPERLINK("https://otsuka-europe-crm.veevavault.com/ui/#object/email_activity__v/V8C00000003V930", "EN-002096567")</f>
        <v>EN-002096567</v>
      </c>
    </row>
    <row r="11428" spans="1:15" ht="16" x14ac:dyDescent="0.2">
      <c r="A11428" s="18"/>
      <c r="B11428" s="18"/>
      <c r="C11428" s="18"/>
      <c r="D11428" s="18"/>
      <c r="E11428" s="18"/>
      <c r="F11428" s="18"/>
      <c r="G11428" s="18"/>
      <c r="H11428" s="18"/>
      <c r="I11428" s="18"/>
      <c r="J11428" s="18"/>
      <c r="K11428" s="18"/>
      <c r="L11428" s="18"/>
      <c r="M11428" s="18"/>
      <c r="N11428" s="18"/>
      <c r="O11428" s="14" t="str">
        <f>HYPERLINK("https://otsuka-europe-crm.veevavault.com/ui/#object/email_activity__v/V8C00000003W223", "EN-002097178")</f>
        <v>EN-002097178</v>
      </c>
    </row>
    <row r="11429" spans="1:15" ht="16" x14ac:dyDescent="0.2">
      <c r="A11429" s="18"/>
      <c r="B11429" s="18"/>
      <c r="C11429" s="18"/>
      <c r="D11429" s="18"/>
      <c r="E11429" s="18"/>
      <c r="F11429" s="18"/>
      <c r="G11429" s="18"/>
      <c r="H11429" s="18"/>
      <c r="I11429" s="18"/>
      <c r="J11429" s="18"/>
      <c r="K11429" s="18"/>
      <c r="L11429" s="18"/>
      <c r="M11429" s="18"/>
      <c r="N11429" s="18"/>
      <c r="O11429" s="14" t="str">
        <f>HYPERLINK("https://otsuka-europe-crm.veevavault.com/ui/#object/email_activity__v/V8C00000003W224", "EN-002097179")</f>
        <v>EN-002097179</v>
      </c>
    </row>
    <row r="11430" spans="1:15" ht="16" x14ac:dyDescent="0.2">
      <c r="A11430" s="19"/>
      <c r="B11430" s="19"/>
      <c r="C11430" s="19"/>
      <c r="D11430" s="19"/>
      <c r="E11430" s="19"/>
      <c r="F11430" s="19"/>
      <c r="G11430" s="19"/>
      <c r="H11430" s="19"/>
      <c r="I11430" s="19"/>
      <c r="J11430" s="19"/>
      <c r="K11430" s="19"/>
      <c r="L11430" s="19"/>
      <c r="M11430" s="19"/>
      <c r="N11430" s="19"/>
      <c r="O11430" s="14" t="str">
        <f>HYPERLINK("https://otsuka-europe-crm.veevavault.com/ui/#object/email_activity__v/V8C00000003W225", "EN-002097180")</f>
        <v>EN-002097180</v>
      </c>
    </row>
    <row r="11431" spans="1:15" ht="32" x14ac:dyDescent="0.2">
      <c r="A11431" s="7" t="str">
        <f>HYPERLINK("https://otsuka-europe-crm.veevavault.com/ui/#object/account__v/V4TZ06G6O71TBB3", "MARIA TERESA NAYA NIETO")</f>
        <v>MARIA TERESA NAYA NIETO</v>
      </c>
      <c r="B11431" s="7" t="str">
        <f>HYPERLINK("https://otsuka-europe-crm.veevavault.com/ui/#object/vcountry__v/VENZ000004SONF5", "ES")</f>
        <v>ES</v>
      </c>
      <c r="C11431" s="8" t="s">
        <v>41</v>
      </c>
      <c r="D11431" s="9" t="str">
        <f>HYPERLINK("https://otsuka-europe-crm.veevavault.com/ui/#object/approved_document__v/V5O00000001A037", "LUP - VAE Póster Adelphi - Nefro")</f>
        <v>LUP - VAE Póster Adelphi - Nefro</v>
      </c>
      <c r="E11431" s="10" t="str">
        <f>HYPERLINK("https://otsuka-europe-crm.veevavault.com/ui/#object/sent_email__v/VBL00000002V262", "SE-001437151")</f>
        <v>SE-001437151</v>
      </c>
      <c r="F11431" s="11"/>
      <c r="G11431" s="12">
        <v>0</v>
      </c>
      <c r="H11431" s="12">
        <v>0</v>
      </c>
      <c r="I11431" s="12">
        <v>0</v>
      </c>
      <c r="J11431" s="11"/>
      <c r="K11431" s="12">
        <v>0</v>
      </c>
      <c r="L11431" s="10" t="str">
        <f>HYPERLINK("https://otsuka-europe-crm.veevavault.com/ui/#object/approved_document__v/V5O00000001A037", "LUP - VAE Póster Adelphi - Nefro")</f>
        <v>LUP - VAE Póster Adelphi - Nefro</v>
      </c>
      <c r="M11431" s="10" t="str">
        <f>HYPERLINK("mailto:jguri@crm.otsuka-europe.com", "jguri@crm.otsuka-europe.com")</f>
        <v>jguri@crm.otsuka-europe.com</v>
      </c>
      <c r="N11431" s="13">
        <v>46188.79488425926</v>
      </c>
      <c r="O11431" s="14" t="str">
        <f>HYPERLINK("https://otsuka-europe-crm.veevavault.com/ui/#object/email_activity__v/V8C00000003V992", "EN-002096646")</f>
        <v>EN-002096646</v>
      </c>
    </row>
    <row r="11432" spans="1:15" ht="16" x14ac:dyDescent="0.2">
      <c r="A11432" s="17" t="str">
        <f>HYPERLINK("https://otsuka-europe-crm.veevavault.com/ui/#object/account__v/V4TZ04ASG6TKB3P", "TATIANA CAROLINA NIÑO MOJICA")</f>
        <v>TATIANA CAROLINA NIÑO MOJICA</v>
      </c>
      <c r="B11432" s="17" t="str">
        <f>HYPERLINK("https://otsuka-europe-crm.veevavault.com/ui/#object/vcountry__v/VENZ000004SONF5", "ES")</f>
        <v>ES</v>
      </c>
      <c r="C11432" s="20" t="s">
        <v>41</v>
      </c>
      <c r="D11432" s="21" t="str">
        <f>HYPERLINK("https://otsuka-europe-crm.veevavault.com/ui/#object/approved_document__v/V5O00000001A037", "LUP - VAE Póster Adelphi - Nefro")</f>
        <v>LUP - VAE Póster Adelphi - Nefro</v>
      </c>
      <c r="E11432" s="22" t="str">
        <f>HYPERLINK("https://otsuka-europe-crm.veevavault.com/ui/#object/sent_email__v/VBL00000002V263", "SE-001437152")</f>
        <v>SE-001437152</v>
      </c>
      <c r="F11432" s="23">
        <v>46189.249166666668</v>
      </c>
      <c r="G11432" s="24">
        <v>1</v>
      </c>
      <c r="H11432" s="24">
        <v>3</v>
      </c>
      <c r="I11432" s="24">
        <v>0</v>
      </c>
      <c r="J11432" s="25"/>
      <c r="K11432" s="24">
        <v>0</v>
      </c>
      <c r="L11432" s="22" t="str">
        <f>HYPERLINK("https://otsuka-europe-crm.veevavault.com/ui/#object/approved_document__v/V5O00000001A037", "LUP - VAE Póster Adelphi - Nefro")</f>
        <v>LUP - VAE Póster Adelphi - Nefro</v>
      </c>
      <c r="M11432" s="22" t="str">
        <f>HYPERLINK("mailto:jguri@crm.otsuka-europe.com", "jguri@crm.otsuka-europe.com")</f>
        <v>jguri@crm.otsuka-europe.com</v>
      </c>
      <c r="N11432" s="23">
        <v>46188.79488425926</v>
      </c>
      <c r="O11432" s="14" t="str">
        <f>HYPERLINK("https://otsuka-europe-crm.veevavault.com/ui/#object/email_activity__v/V8C00000003U835", "EN-002096635")</f>
        <v>EN-002096635</v>
      </c>
    </row>
    <row r="11433" spans="1:15" ht="16" x14ac:dyDescent="0.2">
      <c r="A11433" s="18"/>
      <c r="B11433" s="18"/>
      <c r="C11433" s="18"/>
      <c r="D11433" s="18"/>
      <c r="E11433" s="18"/>
      <c r="F11433" s="18"/>
      <c r="G11433" s="18"/>
      <c r="H11433" s="18"/>
      <c r="I11433" s="18"/>
      <c r="J11433" s="18"/>
      <c r="K11433" s="18"/>
      <c r="L11433" s="18"/>
      <c r="M11433" s="18"/>
      <c r="N11433" s="18"/>
      <c r="O11433" s="14" t="str">
        <f>HYPERLINK("https://otsuka-europe-crm.veevavault.com/ui/#object/email_activity__v/V8C00000003U853", "EN-002096665")</f>
        <v>EN-002096665</v>
      </c>
    </row>
    <row r="11434" spans="1:15" ht="16" x14ac:dyDescent="0.2">
      <c r="A11434" s="18"/>
      <c r="B11434" s="18"/>
      <c r="C11434" s="18"/>
      <c r="D11434" s="18"/>
      <c r="E11434" s="18"/>
      <c r="F11434" s="18"/>
      <c r="G11434" s="18"/>
      <c r="H11434" s="18"/>
      <c r="I11434" s="18"/>
      <c r="J11434" s="18"/>
      <c r="K11434" s="18"/>
      <c r="L11434" s="18"/>
      <c r="M11434" s="18"/>
      <c r="N11434" s="18"/>
      <c r="O11434" s="14" t="str">
        <f>HYPERLINK("https://otsuka-europe-crm.veevavault.com/ui/#object/email_activity__v/V8C00000003V974", "EN-002096620")</f>
        <v>EN-002096620</v>
      </c>
    </row>
    <row r="11435" spans="1:15" ht="16" x14ac:dyDescent="0.2">
      <c r="A11435" s="19"/>
      <c r="B11435" s="19"/>
      <c r="C11435" s="19"/>
      <c r="D11435" s="19"/>
      <c r="E11435" s="19"/>
      <c r="F11435" s="19"/>
      <c r="G11435" s="19"/>
      <c r="H11435" s="19"/>
      <c r="I11435" s="19"/>
      <c r="J11435" s="19"/>
      <c r="K11435" s="19"/>
      <c r="L11435" s="19"/>
      <c r="M11435" s="19"/>
      <c r="N11435" s="19"/>
      <c r="O11435" s="14" t="str">
        <f>HYPERLINK("https://otsuka-europe-crm.veevavault.com/ui/#object/email_activity__v/V8C00000003W121", "EN-002096883")</f>
        <v>EN-002096883</v>
      </c>
    </row>
    <row r="11436" spans="1:15" ht="16" x14ac:dyDescent="0.2">
      <c r="A11436" s="17" t="str">
        <f>HYPERLINK("https://otsuka-europe-crm.veevavault.com/ui/#object/account__v/V4T00000000L023", "ANA ALONSO FUENTE")</f>
        <v>ANA ALONSO FUENTE</v>
      </c>
      <c r="B11436" s="17" t="str">
        <f>HYPERLINK("https://otsuka-europe-crm.veevavault.com/ui/#object/vcountry__v/VENZ000004SONF5", "ES")</f>
        <v>ES</v>
      </c>
      <c r="C11436" s="20" t="s">
        <v>41</v>
      </c>
      <c r="D11436" s="21" t="str">
        <f>HYPERLINK("https://otsuka-europe-crm.veevavault.com/ui/#object/approved_document__v/V5O00000001A037", "LUP - VAE Póster Adelphi - Nefro")</f>
        <v>LUP - VAE Póster Adelphi - Nefro</v>
      </c>
      <c r="E11436" s="22" t="str">
        <f>HYPERLINK("https://otsuka-europe-crm.veevavault.com/ui/#object/sent_email__v/VBL00000002V264", "SE-001437153")</f>
        <v>SE-001437153</v>
      </c>
      <c r="F11436" s="23">
        <v>46189.254502314812</v>
      </c>
      <c r="G11436" s="24">
        <v>1</v>
      </c>
      <c r="H11436" s="24">
        <v>2</v>
      </c>
      <c r="I11436" s="24">
        <v>1</v>
      </c>
      <c r="J11436" s="23">
        <v>46189.26972222222</v>
      </c>
      <c r="K11436" s="24">
        <v>1</v>
      </c>
      <c r="L11436" s="22" t="str">
        <f>HYPERLINK("https://otsuka-europe-crm.veevavault.com/ui/#object/approved_document__v/V5O00000001A037", "LUP - VAE Póster Adelphi - Nefro")</f>
        <v>LUP - VAE Póster Adelphi - Nefro</v>
      </c>
      <c r="M11436" s="22" t="str">
        <f>HYPERLINK("mailto:jguri@crm.otsuka-europe.com", "jguri@crm.otsuka-europe.com")</f>
        <v>jguri@crm.otsuka-europe.com</v>
      </c>
      <c r="N11436" s="23">
        <v>46188.794895833336</v>
      </c>
      <c r="O11436" s="14" t="str">
        <f>HYPERLINK("https://otsuka-europe-crm.veevavault.com/ui/#object/email_activity__v/V8C00000003U918", "EN-002096814")</f>
        <v>EN-002096814</v>
      </c>
    </row>
    <row r="11437" spans="1:15" ht="16" x14ac:dyDescent="0.2">
      <c r="A11437" s="18"/>
      <c r="B11437" s="18"/>
      <c r="C11437" s="18"/>
      <c r="D11437" s="18"/>
      <c r="E11437" s="18"/>
      <c r="F11437" s="18"/>
      <c r="G11437" s="18"/>
      <c r="H11437" s="18"/>
      <c r="I11437" s="18"/>
      <c r="J11437" s="18"/>
      <c r="K11437" s="18"/>
      <c r="L11437" s="18"/>
      <c r="M11437" s="18"/>
      <c r="N11437" s="18"/>
      <c r="O11437" s="14" t="str">
        <f>HYPERLINK("https://otsuka-europe-crm.veevavault.com/ui/#object/email_activity__v/V8C00000003U942", "EN-002096872")</f>
        <v>EN-002096872</v>
      </c>
    </row>
    <row r="11438" spans="1:15" ht="16" x14ac:dyDescent="0.2">
      <c r="A11438" s="18"/>
      <c r="B11438" s="18"/>
      <c r="C11438" s="18"/>
      <c r="D11438" s="18"/>
      <c r="E11438" s="18"/>
      <c r="F11438" s="18"/>
      <c r="G11438" s="18"/>
      <c r="H11438" s="18"/>
      <c r="I11438" s="18"/>
      <c r="J11438" s="18"/>
      <c r="K11438" s="18"/>
      <c r="L11438" s="18"/>
      <c r="M11438" s="18"/>
      <c r="N11438" s="18"/>
      <c r="O11438" s="14" t="str">
        <f>HYPERLINK("https://otsuka-europe-crm.veevavault.com/ui/#object/email_activity__v/V8C00000003V979", "EN-002096627")</f>
        <v>EN-002096627</v>
      </c>
    </row>
    <row r="11439" spans="1:15" ht="16" x14ac:dyDescent="0.2">
      <c r="A11439" s="18"/>
      <c r="B11439" s="18"/>
      <c r="C11439" s="18"/>
      <c r="D11439" s="18"/>
      <c r="E11439" s="18"/>
      <c r="F11439" s="18"/>
      <c r="G11439" s="18"/>
      <c r="H11439" s="18"/>
      <c r="I11439" s="18"/>
      <c r="J11439" s="18"/>
      <c r="K11439" s="18"/>
      <c r="L11439" s="18"/>
      <c r="M11439" s="18"/>
      <c r="N11439" s="18"/>
      <c r="O11439" s="14" t="str">
        <f>HYPERLINK("https://otsuka-europe-crm.veevavault.com/ui/#object/email_activity__v/V8C00000003W122", "EN-002096884")</f>
        <v>EN-002096884</v>
      </c>
    </row>
    <row r="11440" spans="1:15" ht="16" x14ac:dyDescent="0.2">
      <c r="A11440" s="18"/>
      <c r="B11440" s="18"/>
      <c r="C11440" s="18"/>
      <c r="D11440" s="18"/>
      <c r="E11440" s="18"/>
      <c r="F11440" s="18"/>
      <c r="G11440" s="18"/>
      <c r="H11440" s="18"/>
      <c r="I11440" s="18"/>
      <c r="J11440" s="18"/>
      <c r="K11440" s="18"/>
      <c r="L11440" s="18"/>
      <c r="M11440" s="18"/>
      <c r="N11440" s="18"/>
      <c r="O11440" s="14" t="str">
        <f>HYPERLINK("https://otsuka-europe-crm.veevavault.com/ui/#object/email_activity__v/V8C00000003W123", "EN-002096886")</f>
        <v>EN-002096886</v>
      </c>
    </row>
    <row r="11441" spans="1:15" ht="16" x14ac:dyDescent="0.2">
      <c r="A11441" s="18"/>
      <c r="B11441" s="18"/>
      <c r="C11441" s="18"/>
      <c r="D11441" s="18"/>
      <c r="E11441" s="18"/>
      <c r="F11441" s="18"/>
      <c r="G11441" s="18"/>
      <c r="H11441" s="18"/>
      <c r="I11441" s="18"/>
      <c r="J11441" s="18"/>
      <c r="K11441" s="18"/>
      <c r="L11441" s="18"/>
      <c r="M11441" s="18"/>
      <c r="N11441" s="18"/>
      <c r="O11441" s="14" t="str">
        <f>HYPERLINK("https://otsuka-europe-crm.veevavault.com/ui/#object/email_activity__v/V8C00000003W131", "EN-002096898")</f>
        <v>EN-002096898</v>
      </c>
    </row>
    <row r="11442" spans="1:15" ht="16" x14ac:dyDescent="0.2">
      <c r="A11442" s="18"/>
      <c r="B11442" s="18"/>
      <c r="C11442" s="18"/>
      <c r="D11442" s="18"/>
      <c r="E11442" s="18"/>
      <c r="F11442" s="18"/>
      <c r="G11442" s="18"/>
      <c r="H11442" s="18"/>
      <c r="I11442" s="18"/>
      <c r="J11442" s="18"/>
      <c r="K11442" s="18"/>
      <c r="L11442" s="18"/>
      <c r="M11442" s="18"/>
      <c r="N11442" s="18"/>
      <c r="O11442" s="14" t="str">
        <f>HYPERLINK("https://otsuka-europe-crm.veevavault.com/ui/#object/email_activity__v/V8C00000003W132", "EN-002096899")</f>
        <v>EN-002096899</v>
      </c>
    </row>
    <row r="11443" spans="1:15" ht="16" x14ac:dyDescent="0.2">
      <c r="A11443" s="19"/>
      <c r="B11443" s="19"/>
      <c r="C11443" s="19"/>
      <c r="D11443" s="19"/>
      <c r="E11443" s="19"/>
      <c r="F11443" s="19"/>
      <c r="G11443" s="19"/>
      <c r="H11443" s="19"/>
      <c r="I11443" s="19"/>
      <c r="J11443" s="19"/>
      <c r="K11443" s="19"/>
      <c r="L11443" s="19"/>
      <c r="M11443" s="19"/>
      <c r="N11443" s="19"/>
      <c r="O11443" s="14" t="str">
        <f>HYPERLINK("https://otsuka-europe-crm.veevavault.com/ui/#object/email_activity__v/V8C00000003W134", "EN-002096901")</f>
        <v>EN-002096901</v>
      </c>
    </row>
    <row r="11444" spans="1:15" ht="16" x14ac:dyDescent="0.2">
      <c r="A11444" s="17" t="str">
        <f>HYPERLINK("https://otsuka-europe-crm.veevavault.com/ui/#object/account__v/V4TZ06G6O71T7K5", "BORJA QUIROGA GILI")</f>
        <v>BORJA QUIROGA GILI</v>
      </c>
      <c r="B11444" s="17" t="str">
        <f>HYPERLINK("https://otsuka-europe-crm.veevavault.com/ui/#object/vcountry__v/VENZ000004SONF5", "ES")</f>
        <v>ES</v>
      </c>
      <c r="C11444" s="20" t="s">
        <v>41</v>
      </c>
      <c r="D11444" s="21" t="str">
        <f>HYPERLINK("https://otsuka-europe-crm.veevavault.com/ui/#object/approved_document__v/V5O00000001A037", "LUP - VAE Póster Adelphi - Nefro")</f>
        <v>LUP - VAE Póster Adelphi - Nefro</v>
      </c>
      <c r="E11444" s="22" t="str">
        <f>HYPERLINK("https://otsuka-europe-crm.veevavault.com/ui/#object/sent_email__v/VBL00000002V265", "SE-001437154")</f>
        <v>SE-001437154</v>
      </c>
      <c r="F11444" s="23">
        <v>46188.795300925929</v>
      </c>
      <c r="G11444" s="24">
        <v>1</v>
      </c>
      <c r="H11444" s="24">
        <v>2</v>
      </c>
      <c r="I11444" s="24">
        <v>0</v>
      </c>
      <c r="J11444" s="25"/>
      <c r="K11444" s="24">
        <v>0</v>
      </c>
      <c r="L11444" s="22" t="str">
        <f>HYPERLINK("https://otsuka-europe-crm.veevavault.com/ui/#object/approved_document__v/V5O00000001A037", "LUP - VAE Póster Adelphi - Nefro")</f>
        <v>LUP - VAE Póster Adelphi - Nefro</v>
      </c>
      <c r="M11444" s="22" t="str">
        <f>HYPERLINK("mailto:jguri@crm.otsuka-europe.com", "jguri@crm.otsuka-europe.com")</f>
        <v>jguri@crm.otsuka-europe.com</v>
      </c>
      <c r="N11444" s="23">
        <v>46188.79488425926</v>
      </c>
      <c r="O11444" s="14" t="str">
        <f>HYPERLINK("https://otsuka-europe-crm.veevavault.com/ui/#object/email_activity__v/V8C00000003U823", "EN-002096557")</f>
        <v>EN-002096557</v>
      </c>
    </row>
    <row r="11445" spans="1:15" ht="16" x14ac:dyDescent="0.2">
      <c r="A11445" s="18"/>
      <c r="B11445" s="18"/>
      <c r="C11445" s="18"/>
      <c r="D11445" s="18"/>
      <c r="E11445" s="18"/>
      <c r="F11445" s="18"/>
      <c r="G11445" s="18"/>
      <c r="H11445" s="18"/>
      <c r="I11445" s="18"/>
      <c r="J11445" s="18"/>
      <c r="K11445" s="18"/>
      <c r="L11445" s="18"/>
      <c r="M11445" s="18"/>
      <c r="N11445" s="18"/>
      <c r="O11445" s="14" t="str">
        <f>HYPERLINK("https://otsuka-europe-crm.veevavault.com/ui/#object/email_activity__v/V8C00000003V991", "EN-002096645")</f>
        <v>EN-002096645</v>
      </c>
    </row>
    <row r="11446" spans="1:15" ht="16" x14ac:dyDescent="0.2">
      <c r="A11446" s="19"/>
      <c r="B11446" s="19"/>
      <c r="C11446" s="19"/>
      <c r="D11446" s="19"/>
      <c r="E11446" s="19"/>
      <c r="F11446" s="19"/>
      <c r="G11446" s="19"/>
      <c r="H11446" s="19"/>
      <c r="I11446" s="19"/>
      <c r="J11446" s="19"/>
      <c r="K11446" s="19"/>
      <c r="L11446" s="19"/>
      <c r="M11446" s="19"/>
      <c r="N11446" s="19"/>
      <c r="O11446" s="14" t="str">
        <f>HYPERLINK("https://otsuka-europe-crm.veevavault.com/ui/#object/email_activity__v/V8C00000003W002", "EN-002096668")</f>
        <v>EN-002096668</v>
      </c>
    </row>
    <row r="11447" spans="1:15" ht="32" x14ac:dyDescent="0.2">
      <c r="A11447" s="7" t="str">
        <f>HYPERLINK("https://otsuka-europe-crm.veevavault.com/ui/#object/account__v/V4TZ06G6OBIJK7D", "ANGELO ROBERTO FALCONI SARMIENTO")</f>
        <v>ANGELO ROBERTO FALCONI SARMIENTO</v>
      </c>
      <c r="B11447" s="7" t="str">
        <f>HYPERLINK("https://otsuka-europe-crm.veevavault.com/ui/#object/vcountry__v/VENZ000004SONF5", "ES")</f>
        <v>ES</v>
      </c>
      <c r="C11447" s="8" t="s">
        <v>41</v>
      </c>
      <c r="D11447" s="9" t="str">
        <f>HYPERLINK("https://otsuka-europe-crm.veevavault.com/ui/#object/approved_document__v/V5O00000001A037", "LUP - VAE Póster Adelphi - Nefro")</f>
        <v>LUP - VAE Póster Adelphi - Nefro</v>
      </c>
      <c r="E11447" s="10" t="str">
        <f>HYPERLINK("https://otsuka-europe-crm.veevavault.com/ui/#object/sent_email__v/VBL00000002V266", "SE-001437155")</f>
        <v>SE-001437155</v>
      </c>
      <c r="F11447" s="11"/>
      <c r="G11447" s="12">
        <v>0</v>
      </c>
      <c r="H11447" s="12">
        <v>0</v>
      </c>
      <c r="I11447" s="12">
        <v>0</v>
      </c>
      <c r="J11447" s="11"/>
      <c r="K11447" s="12">
        <v>0</v>
      </c>
      <c r="L11447" s="10" t="str">
        <f>HYPERLINK("https://otsuka-europe-crm.veevavault.com/ui/#object/approved_document__v/V5O00000001A037", "LUP - VAE Póster Adelphi - Nefro")</f>
        <v>LUP - VAE Póster Adelphi - Nefro</v>
      </c>
      <c r="M11447" s="10" t="str">
        <f>HYPERLINK("mailto:jguri@crm.otsuka-europe.com", "jguri@crm.otsuka-europe.com")</f>
        <v>jguri@crm.otsuka-europe.com</v>
      </c>
      <c r="N11447" s="13">
        <v>46188.79488425926</v>
      </c>
      <c r="O11447" s="14" t="str">
        <f>HYPERLINK("https://otsuka-europe-crm.veevavault.com/ui/#object/email_activity__v/V8C00000003V926", "EN-002096563")</f>
        <v>EN-002096563</v>
      </c>
    </row>
    <row r="11448" spans="1:15" ht="32" x14ac:dyDescent="0.2">
      <c r="A11448" s="7" t="str">
        <f>HYPERLINK("https://otsuka-europe-crm.veevavault.com/ui/#object/account__v/V4TZ04ASG6ZJENK", "MANUELA CHIQUERO PALOMO")</f>
        <v>MANUELA CHIQUERO PALOMO</v>
      </c>
      <c r="B11448" s="7" t="str">
        <f>HYPERLINK("https://otsuka-europe-crm.veevavault.com/ui/#object/vcountry__v/VENZ000004SONF5", "ES")</f>
        <v>ES</v>
      </c>
      <c r="C11448" s="8" t="s">
        <v>41</v>
      </c>
      <c r="D11448" s="9" t="str">
        <f>HYPERLINK("https://otsuka-europe-crm.veevavault.com/ui/#object/approved_document__v/V5O00000001A037", "LUP - VAE Póster Adelphi - Nefro")</f>
        <v>LUP - VAE Póster Adelphi - Nefro</v>
      </c>
      <c r="E11448" s="10" t="str">
        <f>HYPERLINK("https://otsuka-europe-crm.veevavault.com/ui/#object/sent_email__v/VBL00000002V267", "SE-001437156")</f>
        <v>SE-001437156</v>
      </c>
      <c r="F11448" s="11"/>
      <c r="G11448" s="12">
        <v>0</v>
      </c>
      <c r="H11448" s="12">
        <v>0</v>
      </c>
      <c r="I11448" s="12">
        <v>0</v>
      </c>
      <c r="J11448" s="11"/>
      <c r="K11448" s="12">
        <v>0</v>
      </c>
      <c r="L11448" s="10" t="str">
        <f>HYPERLINK("https://otsuka-europe-crm.veevavault.com/ui/#object/approved_document__v/V5O00000001A037", "LUP - VAE Póster Adelphi - Nefro")</f>
        <v>LUP - VAE Póster Adelphi - Nefro</v>
      </c>
      <c r="M11448" s="10" t="str">
        <f>HYPERLINK("mailto:jguri@crm.otsuka-europe.com", "jguri@crm.otsuka-europe.com")</f>
        <v>jguri@crm.otsuka-europe.com</v>
      </c>
      <c r="N11448" s="13">
        <v>46188.79488425926</v>
      </c>
      <c r="O11448" s="14" t="str">
        <f>HYPERLINK("https://otsuka-europe-crm.veevavault.com/ui/#object/email_activity__v/V8C00000003V939", "EN-002096576")</f>
        <v>EN-002096576</v>
      </c>
    </row>
    <row r="11449" spans="1:15" ht="16" x14ac:dyDescent="0.2">
      <c r="A11449" s="17" t="str">
        <f>HYPERLINK("https://otsuka-europe-crm.veevavault.com/ui/#object/account__v/V4TZ04ASG9UATU5", "MIGUEL ANGEL ABAD HERNANDEZ")</f>
        <v>MIGUEL ANGEL ABAD HERNANDEZ</v>
      </c>
      <c r="B11449" s="17" t="str">
        <f>HYPERLINK("https://otsuka-europe-crm.veevavault.com/ui/#object/vcountry__v/VENZ000004SONF5", "ES")</f>
        <v>ES</v>
      </c>
      <c r="C11449" s="20" t="s">
        <v>41</v>
      </c>
      <c r="D11449" s="21" t="str">
        <f>HYPERLINK("https://otsuka-europe-crm.veevavault.com/ui/#object/approved_document__v/V5O00000001B037", "LUP - VAE Póster Adelphi - Reuma")</f>
        <v>LUP - VAE Póster Adelphi - Reuma</v>
      </c>
      <c r="E11449" s="22" t="str">
        <f>HYPERLINK("https://otsuka-europe-crm.veevavault.com/ui/#object/sent_email__v/VBL00000002V268", "SE-001437157")</f>
        <v>SE-001437157</v>
      </c>
      <c r="F11449" s="23">
        <v>46188.884421296294</v>
      </c>
      <c r="G11449" s="24">
        <v>1</v>
      </c>
      <c r="H11449" s="24">
        <v>2</v>
      </c>
      <c r="I11449" s="24">
        <v>1</v>
      </c>
      <c r="J11449" s="23">
        <v>46188.884456018517</v>
      </c>
      <c r="K11449" s="24">
        <v>1</v>
      </c>
      <c r="L11449" s="22" t="str">
        <f>HYPERLINK("https://otsuka-europe-crm.veevavault.com/ui/#object/approved_document__v/V5O00000001B037", "LUP - VAE Póster Adelphi - Reuma")</f>
        <v>LUP - VAE Póster Adelphi - Reuma</v>
      </c>
      <c r="M11449" s="22" t="str">
        <f>HYPERLINK("mailto:jguri@crm.otsuka-europe.com", "jguri@crm.otsuka-europe.com")</f>
        <v>jguri@crm.otsuka-europe.com</v>
      </c>
      <c r="N11449" s="23">
        <v>46188.795416666668</v>
      </c>
      <c r="O11449" s="14" t="str">
        <f>HYPERLINK("https://otsuka-europe-crm.veevavault.com/ui/#object/email_activity__v/V8C00000003U915", "EN-002096809")</f>
        <v>EN-002096809</v>
      </c>
    </row>
    <row r="11450" spans="1:15" ht="16" x14ac:dyDescent="0.2">
      <c r="A11450" s="18"/>
      <c r="B11450" s="18"/>
      <c r="C11450" s="18"/>
      <c r="D11450" s="18"/>
      <c r="E11450" s="18"/>
      <c r="F11450" s="18"/>
      <c r="G11450" s="18"/>
      <c r="H11450" s="18"/>
      <c r="I11450" s="18"/>
      <c r="J11450" s="18"/>
      <c r="K11450" s="18"/>
      <c r="L11450" s="18"/>
      <c r="M11450" s="18"/>
      <c r="N11450" s="18"/>
      <c r="O11450" s="14" t="str">
        <f>HYPERLINK("https://otsuka-europe-crm.veevavault.com/ui/#object/email_activity__v/V8C00000003U924", "EN-002096827")</f>
        <v>EN-002096827</v>
      </c>
    </row>
    <row r="11451" spans="1:15" ht="16" x14ac:dyDescent="0.2">
      <c r="A11451" s="18"/>
      <c r="B11451" s="18"/>
      <c r="C11451" s="18"/>
      <c r="D11451" s="18"/>
      <c r="E11451" s="18"/>
      <c r="F11451" s="18"/>
      <c r="G11451" s="18"/>
      <c r="H11451" s="18"/>
      <c r="I11451" s="18"/>
      <c r="J11451" s="18"/>
      <c r="K11451" s="18"/>
      <c r="L11451" s="18"/>
      <c r="M11451" s="18"/>
      <c r="N11451" s="18"/>
      <c r="O11451" s="14" t="str">
        <f>HYPERLINK("https://otsuka-europe-crm.veevavault.com/ui/#object/email_activity__v/V8C00000003W037", "EN-002096722")</f>
        <v>EN-002096722</v>
      </c>
    </row>
    <row r="11452" spans="1:15" ht="16" x14ac:dyDescent="0.2">
      <c r="A11452" s="18"/>
      <c r="B11452" s="18"/>
      <c r="C11452" s="18"/>
      <c r="D11452" s="18"/>
      <c r="E11452" s="18"/>
      <c r="F11452" s="18"/>
      <c r="G11452" s="18"/>
      <c r="H11452" s="18"/>
      <c r="I11452" s="18"/>
      <c r="J11452" s="18"/>
      <c r="K11452" s="18"/>
      <c r="L11452" s="18"/>
      <c r="M11452" s="18"/>
      <c r="N11452" s="18"/>
      <c r="O11452" s="14" t="str">
        <f>HYPERLINK("https://otsuka-europe-crm.veevavault.com/ui/#object/email_activity__v/V8C00000003W080", "EN-002096807")</f>
        <v>EN-002096807</v>
      </c>
    </row>
    <row r="11453" spans="1:15" ht="16" x14ac:dyDescent="0.2">
      <c r="A11453" s="19"/>
      <c r="B11453" s="19"/>
      <c r="C11453" s="19"/>
      <c r="D11453" s="19"/>
      <c r="E11453" s="19"/>
      <c r="F11453" s="19"/>
      <c r="G11453" s="19"/>
      <c r="H11453" s="19"/>
      <c r="I11453" s="19"/>
      <c r="J11453" s="19"/>
      <c r="K11453" s="19"/>
      <c r="L11453" s="19"/>
      <c r="M11453" s="19"/>
      <c r="N11453" s="19"/>
      <c r="O11453" s="14" t="str">
        <f>HYPERLINK("https://otsuka-europe-crm.veevavault.com/ui/#object/email_activity__v/V8C00000003W081", "EN-002096808")</f>
        <v>EN-002096808</v>
      </c>
    </row>
    <row r="11454" spans="1:15" ht="16" x14ac:dyDescent="0.2">
      <c r="A11454" s="17" t="str">
        <f>HYPERLINK("https://otsuka-europe-crm.veevavault.com/ui/#object/account__v/V4TZ04ASG9UCFT5", "CRISTINA BOHORQUEZ HERAS")</f>
        <v>CRISTINA BOHORQUEZ HERAS</v>
      </c>
      <c r="B11454" s="17" t="str">
        <f>HYPERLINK("https://otsuka-europe-crm.veevavault.com/ui/#object/vcountry__v/VENZ000004SONF5", "ES")</f>
        <v>ES</v>
      </c>
      <c r="C11454" s="20" t="s">
        <v>41</v>
      </c>
      <c r="D11454" s="21" t="str">
        <f>HYPERLINK("https://otsuka-europe-crm.veevavault.com/ui/#object/approved_document__v/V5O00000001B037", "LUP - VAE Póster Adelphi - Reuma")</f>
        <v>LUP - VAE Póster Adelphi - Reuma</v>
      </c>
      <c r="E11454" s="22" t="str">
        <f>HYPERLINK("https://otsuka-europe-crm.veevavault.com/ui/#object/sent_email__v/VBL00000002V269", "SE-001437158")</f>
        <v>SE-001437158</v>
      </c>
      <c r="F11454" s="23">
        <v>46188.910486111112</v>
      </c>
      <c r="G11454" s="24">
        <v>1</v>
      </c>
      <c r="H11454" s="24">
        <v>2</v>
      </c>
      <c r="I11454" s="24">
        <v>0</v>
      </c>
      <c r="J11454" s="25"/>
      <c r="K11454" s="24">
        <v>0</v>
      </c>
      <c r="L11454" s="22" t="str">
        <f>HYPERLINK("https://otsuka-europe-crm.veevavault.com/ui/#object/approved_document__v/V5O00000001B037", "LUP - VAE Póster Adelphi - Reuma")</f>
        <v>LUP - VAE Póster Adelphi - Reuma</v>
      </c>
      <c r="M11454" s="22" t="str">
        <f>HYPERLINK("mailto:jguri@crm.otsuka-europe.com", "jguri@crm.otsuka-europe.com")</f>
        <v>jguri@crm.otsuka-europe.com</v>
      </c>
      <c r="N11454" s="23">
        <v>46188.795416666668</v>
      </c>
      <c r="O11454" s="14" t="str">
        <f>HYPERLINK("https://otsuka-europe-crm.veevavault.com/ui/#object/email_activity__v/V8C00000003U869", "EN-002096714")</f>
        <v>EN-002096714</v>
      </c>
    </row>
    <row r="11455" spans="1:15" ht="16" x14ac:dyDescent="0.2">
      <c r="A11455" s="18"/>
      <c r="B11455" s="18"/>
      <c r="C11455" s="18"/>
      <c r="D11455" s="18"/>
      <c r="E11455" s="18"/>
      <c r="F11455" s="18"/>
      <c r="G11455" s="18"/>
      <c r="H11455" s="18"/>
      <c r="I11455" s="18"/>
      <c r="J11455" s="18"/>
      <c r="K11455" s="18"/>
      <c r="L11455" s="18"/>
      <c r="M11455" s="18"/>
      <c r="N11455" s="18"/>
      <c r="O11455" s="14" t="str">
        <f>HYPERLINK("https://otsuka-europe-crm.veevavault.com/ui/#object/email_activity__v/V8C00000003U920", "EN-002096820")</f>
        <v>EN-002096820</v>
      </c>
    </row>
    <row r="11456" spans="1:15" ht="16" x14ac:dyDescent="0.2">
      <c r="A11456" s="19"/>
      <c r="B11456" s="19"/>
      <c r="C11456" s="19"/>
      <c r="D11456" s="19"/>
      <c r="E11456" s="19"/>
      <c r="F11456" s="19"/>
      <c r="G11456" s="19"/>
      <c r="H11456" s="19"/>
      <c r="I11456" s="19"/>
      <c r="J11456" s="19"/>
      <c r="K11456" s="19"/>
      <c r="L11456" s="19"/>
      <c r="M11456" s="19"/>
      <c r="N11456" s="19"/>
      <c r="O11456" s="14" t="str">
        <f>HYPERLINK("https://otsuka-europe-crm.veevavault.com/ui/#object/email_activity__v/V8C00000003W052", "EN-002096748")</f>
        <v>EN-002096748</v>
      </c>
    </row>
    <row r="11457" spans="1:15" ht="32" x14ac:dyDescent="0.2">
      <c r="A11457" s="7" t="str">
        <f>HYPERLINK("https://otsuka-europe-crm.veevavault.com/ui/#object/account__v/V4TZ025E84XGITZ", "PATRICIA LOPEZ VIEJO")</f>
        <v>PATRICIA LOPEZ VIEJO</v>
      </c>
      <c r="B11457" s="7" t="str">
        <f>HYPERLINK("https://otsuka-europe-crm.veevavault.com/ui/#object/vcountry__v/VENZ000004SONF5", "ES")</f>
        <v>ES</v>
      </c>
      <c r="C11457" s="8" t="s">
        <v>41</v>
      </c>
      <c r="D11457" s="9" t="str">
        <f>HYPERLINK("https://otsuka-europe-crm.veevavault.com/ui/#object/approved_document__v/V5O00000001B037", "LUP - VAE Póster Adelphi - Reuma")</f>
        <v>LUP - VAE Póster Adelphi - Reuma</v>
      </c>
      <c r="E11457" s="10" t="str">
        <f>HYPERLINK("https://otsuka-europe-crm.veevavault.com/ui/#object/sent_email__v/VBL00000002V270", "SE-001437159")</f>
        <v>SE-001437159</v>
      </c>
      <c r="F11457" s="11"/>
      <c r="G11457" s="12">
        <v>0</v>
      </c>
      <c r="H11457" s="12">
        <v>0</v>
      </c>
      <c r="I11457" s="12">
        <v>0</v>
      </c>
      <c r="J11457" s="11"/>
      <c r="K11457" s="12">
        <v>0</v>
      </c>
      <c r="L11457" s="10" t="str">
        <f>HYPERLINK("https://otsuka-europe-crm.veevavault.com/ui/#object/approved_document__v/V5O00000001B037", "LUP - VAE Póster Adelphi - Reuma")</f>
        <v>LUP - VAE Póster Adelphi - Reuma</v>
      </c>
      <c r="M11457" s="10" t="str">
        <f>HYPERLINK("mailto:jguri@crm.otsuka-europe.com", "jguri@crm.otsuka-europe.com")</f>
        <v>jguri@crm.otsuka-europe.com</v>
      </c>
      <c r="N11457" s="13">
        <v>46188.795416666668</v>
      </c>
      <c r="O11457" s="14" t="str">
        <f>HYPERLINK("https://otsuka-europe-crm.veevavault.com/ui/#object/email_activity__v/V8C00000003W032", "EN-002096708")</f>
        <v>EN-002096708</v>
      </c>
    </row>
    <row r="11458" spans="1:15" ht="32" x14ac:dyDescent="0.2">
      <c r="A11458" s="7" t="str">
        <f>HYPERLINK("https://otsuka-europe-crm.veevavault.com/ui/#object/account__v/V4TZ025E86JDZUQ", "MARIA JESUS MARTINEZ BLASCO")</f>
        <v>MARIA JESUS MARTINEZ BLASCO</v>
      </c>
      <c r="B11458" s="7" t="str">
        <f>HYPERLINK("https://otsuka-europe-crm.veevavault.com/ui/#object/vcountry__v/VENZ000004SONF5", "ES")</f>
        <v>ES</v>
      </c>
      <c r="C11458" s="8" t="s">
        <v>41</v>
      </c>
      <c r="D11458" s="9" t="str">
        <f>HYPERLINK("https://otsuka-europe-crm.veevavault.com/ui/#object/approved_document__v/V5O00000001B037", "LUP - VAE Póster Adelphi - Reuma")</f>
        <v>LUP - VAE Póster Adelphi - Reuma</v>
      </c>
      <c r="E11458" s="10" t="str">
        <f>HYPERLINK("https://otsuka-europe-crm.veevavault.com/ui/#object/sent_email__v/VBL00000002V271", "SE-001437160")</f>
        <v>SE-001437160</v>
      </c>
      <c r="F11458" s="11"/>
      <c r="G11458" s="12">
        <v>0</v>
      </c>
      <c r="H11458" s="12">
        <v>0</v>
      </c>
      <c r="I11458" s="12">
        <v>0</v>
      </c>
      <c r="J11458" s="11"/>
      <c r="K11458" s="12">
        <v>0</v>
      </c>
      <c r="L11458" s="10" t="str">
        <f>HYPERLINK("https://otsuka-europe-crm.veevavault.com/ui/#object/approved_document__v/V5O00000001B037", "LUP - VAE Póster Adelphi - Reuma")</f>
        <v>LUP - VAE Póster Adelphi - Reuma</v>
      </c>
      <c r="M11458" s="10" t="str">
        <f>HYPERLINK("mailto:jguri@crm.otsuka-europe.com", "jguri@crm.otsuka-europe.com")</f>
        <v>jguri@crm.otsuka-europe.com</v>
      </c>
      <c r="N11458" s="13">
        <v>46188.795416666668</v>
      </c>
      <c r="O11458" s="14" t="str">
        <f>HYPERLINK("https://otsuka-europe-crm.veevavault.com/ui/#object/email_activity__v/V8C00000003W020", "EN-002096686")</f>
        <v>EN-002096686</v>
      </c>
    </row>
    <row r="11459" spans="1:15" ht="32" x14ac:dyDescent="0.2">
      <c r="A11459" s="7" t="str">
        <f>HYPERLINK("https://otsuka-europe-crm.veevavault.com/ui/#object/account__v/V4TZ04ASGBTZCJT", "ELISA FERNANDEZ FERNANDEZ")</f>
        <v>ELISA FERNANDEZ FERNANDEZ</v>
      </c>
      <c r="B11459" s="7" t="str">
        <f>HYPERLINK("https://otsuka-europe-crm.veevavault.com/ui/#object/vcountry__v/VENZ000004SONF5", "ES")</f>
        <v>ES</v>
      </c>
      <c r="C11459" s="8" t="s">
        <v>41</v>
      </c>
      <c r="D11459" s="9" t="str">
        <f>HYPERLINK("https://otsuka-europe-crm.veevavault.com/ui/#object/approved_document__v/V5O00000001B037", "LUP - VAE Póster Adelphi - Reuma")</f>
        <v>LUP - VAE Póster Adelphi - Reuma</v>
      </c>
      <c r="E11459" s="10" t="str">
        <f>HYPERLINK("https://otsuka-europe-crm.veevavault.com/ui/#object/sent_email__v/VBL00000002V272", "SE-001437161")</f>
        <v>SE-001437161</v>
      </c>
      <c r="F11459" s="11"/>
      <c r="G11459" s="12">
        <v>0</v>
      </c>
      <c r="H11459" s="12">
        <v>0</v>
      </c>
      <c r="I11459" s="12">
        <v>0</v>
      </c>
      <c r="J11459" s="11"/>
      <c r="K11459" s="12">
        <v>0</v>
      </c>
      <c r="L11459" s="10" t="str">
        <f>HYPERLINK("https://otsuka-europe-crm.veevavault.com/ui/#object/approved_document__v/V5O00000001B037", "LUP - VAE Póster Adelphi - Reuma")</f>
        <v>LUP - VAE Póster Adelphi - Reuma</v>
      </c>
      <c r="M11459" s="10" t="str">
        <f>HYPERLINK("mailto:jguri@crm.otsuka-europe.com", "jguri@crm.otsuka-europe.com")</f>
        <v>jguri@crm.otsuka-europe.com</v>
      </c>
      <c r="N11459" s="13">
        <v>46188.795416666668</v>
      </c>
      <c r="O11459" s="14" t="str">
        <f>HYPERLINK("https://otsuka-europe-crm.veevavault.com/ui/#object/email_activity__v/V8C00000003U856", "EN-002096692")</f>
        <v>EN-002096692</v>
      </c>
    </row>
    <row r="11460" spans="1:15" ht="32" x14ac:dyDescent="0.2">
      <c r="A11460" s="7" t="str">
        <f>HYPERLINK("https://otsuka-europe-crm.veevavault.com/ui/#object/account__v/V4TZ04ASGB9IXXV", "MIGUEL ANGEL DUARTE MILLAN")</f>
        <v>MIGUEL ANGEL DUARTE MILLAN</v>
      </c>
      <c r="B11460" s="7" t="str">
        <f>HYPERLINK("https://otsuka-europe-crm.veevavault.com/ui/#object/vcountry__v/VENZ000004SONF5", "ES")</f>
        <v>ES</v>
      </c>
      <c r="C11460" s="8" t="s">
        <v>41</v>
      </c>
      <c r="D11460" s="9" t="str">
        <f>HYPERLINK("https://otsuka-europe-crm.veevavault.com/ui/#object/approved_document__v/V5O00000001B037", "LUP - VAE Póster Adelphi - Reuma")</f>
        <v>LUP - VAE Póster Adelphi - Reuma</v>
      </c>
      <c r="E11460" s="10" t="str">
        <f>HYPERLINK("https://otsuka-europe-crm.veevavault.com/ui/#object/sent_email__v/VBL00000002V273", "SE-001437162")</f>
        <v>SE-001437162</v>
      </c>
      <c r="F11460" s="11"/>
      <c r="G11460" s="12">
        <v>0</v>
      </c>
      <c r="H11460" s="12">
        <v>0</v>
      </c>
      <c r="I11460" s="12">
        <v>0</v>
      </c>
      <c r="J11460" s="11"/>
      <c r="K11460" s="12">
        <v>0</v>
      </c>
      <c r="L11460" s="10" t="str">
        <f>HYPERLINK("https://otsuka-europe-crm.veevavault.com/ui/#object/approved_document__v/V5O00000001B037", "LUP - VAE Póster Adelphi - Reuma")</f>
        <v>LUP - VAE Póster Adelphi - Reuma</v>
      </c>
      <c r="M11460" s="10" t="str">
        <f>HYPERLINK("mailto:jguri@crm.otsuka-europe.com", "jguri@crm.otsuka-europe.com")</f>
        <v>jguri@crm.otsuka-europe.com</v>
      </c>
      <c r="N11460" s="13">
        <v>46188.795416666668</v>
      </c>
      <c r="O11460" s="14" t="str">
        <f>HYPERLINK("https://otsuka-europe-crm.veevavault.com/ui/#object/email_activity__v/V8C00000003W028", "EN-002096704")</f>
        <v>EN-002096704</v>
      </c>
    </row>
    <row r="11461" spans="1:15" ht="16" x14ac:dyDescent="0.2">
      <c r="A11461" s="17" t="str">
        <f>HYPERLINK("https://otsuka-europe-crm.veevavault.com/ui/#object/account__v/V4TZ04ASG9UCG0W", "PAULA PRETEL RUIZ")</f>
        <v>PAULA PRETEL RUIZ</v>
      </c>
      <c r="B11461" s="17" t="str">
        <f>HYPERLINK("https://otsuka-europe-crm.veevavault.com/ui/#object/vcountry__v/VENZ000004SONF5", "ES")</f>
        <v>ES</v>
      </c>
      <c r="C11461" s="20" t="s">
        <v>41</v>
      </c>
      <c r="D11461" s="21" t="str">
        <f>HYPERLINK("https://otsuka-europe-crm.veevavault.com/ui/#object/approved_document__v/V5O00000001B037", "LUP - VAE Póster Adelphi - Reuma")</f>
        <v>LUP - VAE Póster Adelphi - Reuma</v>
      </c>
      <c r="E11461" s="22" t="str">
        <f>HYPERLINK("https://otsuka-europe-crm.veevavault.com/ui/#object/sent_email__v/VBL00000002V274", "SE-001437163")</f>
        <v>SE-001437163</v>
      </c>
      <c r="F11461" s="25"/>
      <c r="G11461" s="24">
        <v>0</v>
      </c>
      <c r="H11461" s="24">
        <v>0</v>
      </c>
      <c r="I11461" s="24">
        <v>0</v>
      </c>
      <c r="J11461" s="25"/>
      <c r="K11461" s="24">
        <v>0</v>
      </c>
      <c r="L11461" s="22" t="str">
        <f>HYPERLINK("https://otsuka-europe-crm.veevavault.com/ui/#object/approved_document__v/V5O00000001B037", "LUP - VAE Póster Adelphi - Reuma")</f>
        <v>LUP - VAE Póster Adelphi - Reuma</v>
      </c>
      <c r="M11461" s="22" t="str">
        <f>HYPERLINK("mailto:jguri@crm.otsuka-europe.com", "jguri@crm.otsuka-europe.com")</f>
        <v>jguri@crm.otsuka-europe.com</v>
      </c>
      <c r="N11461" s="23">
        <v>46188.795416666668</v>
      </c>
      <c r="O11461" s="14" t="str">
        <f>HYPERLINK("https://otsuka-europe-crm.veevavault.com/ui/#object/email_activity__v/V8C00000003W008", "EN-002096674")</f>
        <v>EN-002096674</v>
      </c>
    </row>
    <row r="11462" spans="1:15" ht="16" x14ac:dyDescent="0.2">
      <c r="A11462" s="19"/>
      <c r="B11462" s="19"/>
      <c r="C11462" s="19"/>
      <c r="D11462" s="19"/>
      <c r="E11462" s="19"/>
      <c r="F11462" s="19"/>
      <c r="G11462" s="19"/>
      <c r="H11462" s="19"/>
      <c r="I11462" s="19"/>
      <c r="J11462" s="19"/>
      <c r="K11462" s="19"/>
      <c r="L11462" s="19"/>
      <c r="M11462" s="19"/>
      <c r="N11462" s="19"/>
      <c r="O11462" s="14" t="str">
        <f>HYPERLINK("https://otsuka-europe-crm.veevavault.com/ui/#object/email_activity__v/V8C00000003W075", "EN-002096792")</f>
        <v>EN-002096792</v>
      </c>
    </row>
    <row r="11463" spans="1:15" ht="32" x14ac:dyDescent="0.2">
      <c r="A11463" s="7" t="str">
        <f>HYPERLINK("https://otsuka-europe-crm.veevavault.com/ui/#object/account__v/V4TZ04ASGE05LGU", "DALIFER DAYANIRA FREITES NUÑEZ")</f>
        <v>DALIFER DAYANIRA FREITES NUÑEZ</v>
      </c>
      <c r="B11463" s="7" t="str">
        <f>HYPERLINK("https://otsuka-europe-crm.veevavault.com/ui/#object/vcountry__v/VENZ000004SONF5", "ES")</f>
        <v>ES</v>
      </c>
      <c r="C11463" s="8" t="s">
        <v>41</v>
      </c>
      <c r="D11463" s="9" t="str">
        <f>HYPERLINK("https://otsuka-europe-crm.veevavault.com/ui/#object/approved_document__v/V5O00000001B037", "LUP - VAE Póster Adelphi - Reuma")</f>
        <v>LUP - VAE Póster Adelphi - Reuma</v>
      </c>
      <c r="E11463" s="10" t="str">
        <f>HYPERLINK("https://otsuka-europe-crm.veevavault.com/ui/#object/sent_email__v/VBL00000002V275", "SE-001437164")</f>
        <v>SE-001437164</v>
      </c>
      <c r="F11463" s="11"/>
      <c r="G11463" s="12">
        <v>0</v>
      </c>
      <c r="H11463" s="12">
        <v>0</v>
      </c>
      <c r="I11463" s="12">
        <v>0</v>
      </c>
      <c r="J11463" s="11"/>
      <c r="K11463" s="12">
        <v>0</v>
      </c>
      <c r="L11463" s="10" t="str">
        <f>HYPERLINK("https://otsuka-europe-crm.veevavault.com/ui/#object/approved_document__v/V5O00000001B037", "LUP - VAE Póster Adelphi - Reuma")</f>
        <v>LUP - VAE Póster Adelphi - Reuma</v>
      </c>
      <c r="M11463" s="10" t="str">
        <f>HYPERLINK("mailto:jguri@crm.otsuka-europe.com", "jguri@crm.otsuka-europe.com")</f>
        <v>jguri@crm.otsuka-europe.com</v>
      </c>
      <c r="N11463" s="13">
        <v>46188.795416666668</v>
      </c>
      <c r="O11463" s="14" t="str">
        <f>HYPERLINK("https://otsuka-europe-crm.veevavault.com/ui/#object/email_activity__v/V8C00000003W025", "EN-002096701")</f>
        <v>EN-002096701</v>
      </c>
    </row>
    <row r="11464" spans="1:15" ht="16" x14ac:dyDescent="0.2">
      <c r="A11464" s="17" t="str">
        <f>HYPERLINK("https://otsuka-europe-crm.veevavault.com/ui/#object/account__v/V4TZ04ASGAAGMZJ", "PATRICIA CASTRO PEREZ")</f>
        <v>PATRICIA CASTRO PEREZ</v>
      </c>
      <c r="B11464" s="17" t="str">
        <f>HYPERLINK("https://otsuka-europe-crm.veevavault.com/ui/#object/vcountry__v/VENZ000004SONF5", "ES")</f>
        <v>ES</v>
      </c>
      <c r="C11464" s="20" t="s">
        <v>41</v>
      </c>
      <c r="D11464" s="21" t="str">
        <f>HYPERLINK("https://otsuka-europe-crm.veevavault.com/ui/#object/approved_document__v/V5O00000001B037", "LUP - VAE Póster Adelphi - Reuma")</f>
        <v>LUP - VAE Póster Adelphi - Reuma</v>
      </c>
      <c r="E11464" s="22" t="str">
        <f>HYPERLINK("https://otsuka-europe-crm.veevavault.com/ui/#object/sent_email__v/VBL00000002V276", "SE-001437165")</f>
        <v>SE-001437165</v>
      </c>
      <c r="F11464" s="25"/>
      <c r="G11464" s="24">
        <v>0</v>
      </c>
      <c r="H11464" s="24">
        <v>0</v>
      </c>
      <c r="I11464" s="24">
        <v>0</v>
      </c>
      <c r="J11464" s="25"/>
      <c r="K11464" s="24">
        <v>0</v>
      </c>
      <c r="L11464" s="22" t="str">
        <f>HYPERLINK("https://otsuka-europe-crm.veevavault.com/ui/#object/approved_document__v/V5O00000001B037", "LUP - VAE Póster Adelphi - Reuma")</f>
        <v>LUP - VAE Póster Adelphi - Reuma</v>
      </c>
      <c r="M11464" s="22" t="str">
        <f>HYPERLINK("mailto:jguri@crm.otsuka-europe.com", "jguri@crm.otsuka-europe.com")</f>
        <v>jguri@crm.otsuka-europe.com</v>
      </c>
      <c r="N11464" s="23">
        <v>46188.795416666668</v>
      </c>
      <c r="O11464" s="14" t="str">
        <f>HYPERLINK("https://otsuka-europe-crm.veevavault.com/ui/#object/email_activity__v/V8C00000003U857", "EN-002096693")</f>
        <v>EN-002096693</v>
      </c>
    </row>
    <row r="11465" spans="1:15" ht="16" x14ac:dyDescent="0.2">
      <c r="A11465" s="19"/>
      <c r="B11465" s="19"/>
      <c r="C11465" s="19"/>
      <c r="D11465" s="19"/>
      <c r="E11465" s="19"/>
      <c r="F11465" s="19"/>
      <c r="G11465" s="19"/>
      <c r="H11465" s="19"/>
      <c r="I11465" s="19"/>
      <c r="J11465" s="19"/>
      <c r="K11465" s="19"/>
      <c r="L11465" s="19"/>
      <c r="M11465" s="19"/>
      <c r="N11465" s="19"/>
      <c r="O11465" s="14" t="str">
        <f>HYPERLINK("https://otsuka-europe-crm.veevavault.com/ui/#object/email_activity__v/V8C00000003W062", "EN-002096766")</f>
        <v>EN-002096766</v>
      </c>
    </row>
    <row r="11466" spans="1:15" ht="16" x14ac:dyDescent="0.2">
      <c r="A11466" s="17" t="str">
        <f>HYPERLINK("https://otsuka-europe-crm.veevavault.com/ui/#object/account__v/V4TZ04ASG6LNDP5", "CRISTINA HIDALGO CALLEJA")</f>
        <v>CRISTINA HIDALGO CALLEJA</v>
      </c>
      <c r="B11466" s="17" t="str">
        <f>HYPERLINK("https://otsuka-europe-crm.veevavault.com/ui/#object/vcountry__v/VENZ000004SONF5", "ES")</f>
        <v>ES</v>
      </c>
      <c r="C11466" s="20" t="s">
        <v>41</v>
      </c>
      <c r="D11466" s="21" t="str">
        <f>HYPERLINK("https://otsuka-europe-crm.veevavault.com/ui/#object/approved_document__v/V5O00000001B037", "LUP - VAE Póster Adelphi - Reuma")</f>
        <v>LUP - VAE Póster Adelphi - Reuma</v>
      </c>
      <c r="E11466" s="22" t="str">
        <f>HYPERLINK("https://otsuka-europe-crm.veevavault.com/ui/#object/sent_email__v/VBL00000002V277", "SE-001437166")</f>
        <v>SE-001437166</v>
      </c>
      <c r="F11466" s="23">
        <v>46188.801793981482</v>
      </c>
      <c r="G11466" s="24">
        <v>1</v>
      </c>
      <c r="H11466" s="24">
        <v>1</v>
      </c>
      <c r="I11466" s="24">
        <v>0</v>
      </c>
      <c r="J11466" s="25"/>
      <c r="K11466" s="24">
        <v>0</v>
      </c>
      <c r="L11466" s="22" t="str">
        <f>HYPERLINK("https://otsuka-europe-crm.veevavault.com/ui/#object/approved_document__v/V5O00000001B037", "LUP - VAE Póster Adelphi - Reuma")</f>
        <v>LUP - VAE Póster Adelphi - Reuma</v>
      </c>
      <c r="M11466" s="22" t="str">
        <f>HYPERLINK("mailto:jguri@crm.otsuka-europe.com", "jguri@crm.otsuka-europe.com")</f>
        <v>jguri@crm.otsuka-europe.com</v>
      </c>
      <c r="N11466" s="23">
        <v>46188.795416666668</v>
      </c>
      <c r="O11466" s="14" t="str">
        <f>HYPERLINK("https://otsuka-europe-crm.veevavault.com/ui/#object/email_activity__v/V8C00000003W027", "EN-002096703")</f>
        <v>EN-002096703</v>
      </c>
    </row>
    <row r="11467" spans="1:15" ht="16" x14ac:dyDescent="0.2">
      <c r="A11467" s="19"/>
      <c r="B11467" s="19"/>
      <c r="C11467" s="19"/>
      <c r="D11467" s="19"/>
      <c r="E11467" s="19"/>
      <c r="F11467" s="19"/>
      <c r="G11467" s="19"/>
      <c r="H11467" s="19"/>
      <c r="I11467" s="19"/>
      <c r="J11467" s="19"/>
      <c r="K11467" s="19"/>
      <c r="L11467" s="19"/>
      <c r="M11467" s="19"/>
      <c r="N11467" s="19"/>
      <c r="O11467" s="14" t="str">
        <f>HYPERLINK("https://otsuka-europe-crm.veevavault.com/ui/#object/email_activity__v/V8C00000003W048", "EN-002096742")</f>
        <v>EN-002096742</v>
      </c>
    </row>
    <row r="11468" spans="1:15" ht="32" x14ac:dyDescent="0.2">
      <c r="A11468" s="7" t="str">
        <f>HYPERLINK("https://otsuka-europe-crm.veevavault.com/ui/#object/account__v/V4TZ025E885S4VN", "ATUSA MOVASAT HAJKHAN")</f>
        <v>ATUSA MOVASAT HAJKHAN</v>
      </c>
      <c r="B11468" s="7" t="str">
        <f>HYPERLINK("https://otsuka-europe-crm.veevavault.com/ui/#object/vcountry__v/VENZ000004SONF5", "ES")</f>
        <v>ES</v>
      </c>
      <c r="C11468" s="8" t="s">
        <v>41</v>
      </c>
      <c r="D11468" s="9" t="str">
        <f>HYPERLINK("https://otsuka-europe-crm.veevavault.com/ui/#object/approved_document__v/V5O00000001B037", "LUP - VAE Póster Adelphi - Reuma")</f>
        <v>LUP - VAE Póster Adelphi - Reuma</v>
      </c>
      <c r="E11468" s="10" t="str">
        <f>HYPERLINK("https://otsuka-europe-crm.veevavault.com/ui/#object/sent_email__v/VBL00000002V278", "SE-001437167")</f>
        <v>SE-001437167</v>
      </c>
      <c r="F11468" s="11"/>
      <c r="G11468" s="12">
        <v>0</v>
      </c>
      <c r="H11468" s="12">
        <v>0</v>
      </c>
      <c r="I11468" s="12">
        <v>0</v>
      </c>
      <c r="J11468" s="11"/>
      <c r="K11468" s="12">
        <v>0</v>
      </c>
      <c r="L11468" s="10" t="str">
        <f>HYPERLINK("https://otsuka-europe-crm.veevavault.com/ui/#object/approved_document__v/V5O00000001B037", "LUP - VAE Póster Adelphi - Reuma")</f>
        <v>LUP - VAE Póster Adelphi - Reuma</v>
      </c>
      <c r="M11468" s="10" t="str">
        <f>HYPERLINK("mailto:jguri@crm.otsuka-europe.com", "jguri@crm.otsuka-europe.com")</f>
        <v>jguri@crm.otsuka-europe.com</v>
      </c>
      <c r="N11468" s="13">
        <v>46188.795416666668</v>
      </c>
      <c r="O11468" s="14" t="str">
        <f>HYPERLINK("https://otsuka-europe-crm.veevavault.com/ui/#object/email_activity__v/V8C00000003U854", "EN-002096690")</f>
        <v>EN-002096690</v>
      </c>
    </row>
    <row r="11469" spans="1:15" ht="16" x14ac:dyDescent="0.2">
      <c r="A11469" s="17" t="str">
        <f>HYPERLINK("https://otsuka-europe-crm.veevavault.com/ui/#object/account__v/V4TZ04ASGAZZYJK", "CELIA ARCONADA LOPEZ")</f>
        <v>CELIA ARCONADA LOPEZ</v>
      </c>
      <c r="B11469" s="17" t="str">
        <f>HYPERLINK("https://otsuka-europe-crm.veevavault.com/ui/#object/vcountry__v/VENZ000004SONF5", "ES")</f>
        <v>ES</v>
      </c>
      <c r="C11469" s="20" t="s">
        <v>41</v>
      </c>
      <c r="D11469" s="21" t="str">
        <f>HYPERLINK("https://otsuka-europe-crm.veevavault.com/ui/#object/approved_document__v/V5O00000001B037", "LUP - VAE Póster Adelphi - Reuma")</f>
        <v>LUP - VAE Póster Adelphi - Reuma</v>
      </c>
      <c r="E11469" s="22" t="str">
        <f>HYPERLINK("https://otsuka-europe-crm.veevavault.com/ui/#object/sent_email__v/VBL00000002V279", "SE-001437168")</f>
        <v>SE-001437168</v>
      </c>
      <c r="F11469" s="25"/>
      <c r="G11469" s="24">
        <v>0</v>
      </c>
      <c r="H11469" s="24">
        <v>0</v>
      </c>
      <c r="I11469" s="24">
        <v>0</v>
      </c>
      <c r="J11469" s="25"/>
      <c r="K11469" s="24">
        <v>0</v>
      </c>
      <c r="L11469" s="22" t="str">
        <f>HYPERLINK("https://otsuka-europe-crm.veevavault.com/ui/#object/approved_document__v/V5O00000001B037", "LUP - VAE Póster Adelphi - Reuma")</f>
        <v>LUP - VAE Póster Adelphi - Reuma</v>
      </c>
      <c r="M11469" s="22" t="str">
        <f>HYPERLINK("mailto:jguri@crm.otsuka-europe.com", "jguri@crm.otsuka-europe.com")</f>
        <v>jguri@crm.otsuka-europe.com</v>
      </c>
      <c r="N11469" s="23">
        <v>46188.795416666668</v>
      </c>
      <c r="O11469" s="14" t="str">
        <f>HYPERLINK("https://otsuka-europe-crm.veevavault.com/ui/#object/email_activity__v/V8C00000003U861", "EN-002096697")</f>
        <v>EN-002096697</v>
      </c>
    </row>
    <row r="11470" spans="1:15" ht="16" x14ac:dyDescent="0.2">
      <c r="A11470" s="19"/>
      <c r="B11470" s="19"/>
      <c r="C11470" s="19"/>
      <c r="D11470" s="19"/>
      <c r="E11470" s="19"/>
      <c r="F11470" s="19"/>
      <c r="G11470" s="19"/>
      <c r="H11470" s="19"/>
      <c r="I11470" s="19"/>
      <c r="J11470" s="19"/>
      <c r="K11470" s="19"/>
      <c r="L11470" s="19"/>
      <c r="M11470" s="19"/>
      <c r="N11470" s="19"/>
      <c r="O11470" s="14" t="str">
        <f>HYPERLINK("https://otsuka-europe-crm.veevavault.com/ui/#object/email_activity__v/V8C00000003U933", "EN-002096842")</f>
        <v>EN-002096842</v>
      </c>
    </row>
    <row r="11471" spans="1:15" ht="16" x14ac:dyDescent="0.2">
      <c r="A11471" s="17" t="str">
        <f>HYPERLINK("https://otsuka-europe-crm.veevavault.com/ui/#object/account__v/V4TZ04ASGALKWZK", "MARTA RAMIREZ LAPAUSA")</f>
        <v>MARTA RAMIREZ LAPAUSA</v>
      </c>
      <c r="B11471" s="17" t="str">
        <f>HYPERLINK("https://otsuka-europe-crm.veevavault.com/ui/#object/vcountry__v/VENZ000004SONF5", "ES")</f>
        <v>ES</v>
      </c>
      <c r="C11471" s="20" t="s">
        <v>41</v>
      </c>
      <c r="D11471" s="21" t="str">
        <f>HYPERLINK("https://otsuka-europe-crm.veevavault.com/ui/#object/approved_document__v/V5O00000001B037", "LUP - VAE Póster Adelphi - Reuma")</f>
        <v>LUP - VAE Póster Adelphi - Reuma</v>
      </c>
      <c r="E11471" s="22" t="str">
        <f>HYPERLINK("https://otsuka-europe-crm.veevavault.com/ui/#object/sent_email__v/VBL00000002V280", "SE-001437169")</f>
        <v>SE-001437169</v>
      </c>
      <c r="F11471" s="25"/>
      <c r="G11471" s="24">
        <v>0</v>
      </c>
      <c r="H11471" s="24">
        <v>0</v>
      </c>
      <c r="I11471" s="24">
        <v>0</v>
      </c>
      <c r="J11471" s="25"/>
      <c r="K11471" s="24">
        <v>0</v>
      </c>
      <c r="L11471" s="22" t="str">
        <f>HYPERLINK("https://otsuka-europe-crm.veevavault.com/ui/#object/approved_document__v/V5O00000001B037", "LUP - VAE Póster Adelphi - Reuma")</f>
        <v>LUP - VAE Póster Adelphi - Reuma</v>
      </c>
      <c r="M11471" s="22" t="str">
        <f>HYPERLINK("mailto:jguri@crm.otsuka-europe.com", "jguri@crm.otsuka-europe.com")</f>
        <v>jguri@crm.otsuka-europe.com</v>
      </c>
      <c r="N11471" s="23">
        <v>46188.795416666668</v>
      </c>
      <c r="O11471" s="14" t="str">
        <f>HYPERLINK("https://otsuka-europe-crm.veevavault.com/ui/#object/email_activity__v/V8C00000003W013", "EN-002096679")</f>
        <v>EN-002096679</v>
      </c>
    </row>
    <row r="11472" spans="1:15" ht="16" x14ac:dyDescent="0.2">
      <c r="A11472" s="19"/>
      <c r="B11472" s="19"/>
      <c r="C11472" s="19"/>
      <c r="D11472" s="19"/>
      <c r="E11472" s="19"/>
      <c r="F11472" s="19"/>
      <c r="G11472" s="19"/>
      <c r="H11472" s="19"/>
      <c r="I11472" s="19"/>
      <c r="J11472" s="19"/>
      <c r="K11472" s="19"/>
      <c r="L11472" s="19"/>
      <c r="M11472" s="19"/>
      <c r="N11472" s="19"/>
      <c r="O11472" s="14" t="str">
        <f>HYPERLINK("https://otsuka-europe-crm.veevavault.com/ui/#object/email_activity__v/V8C000000040118", "EN-002098912")</f>
        <v>EN-002098912</v>
      </c>
    </row>
    <row r="11473" spans="1:15" ht="32" x14ac:dyDescent="0.2">
      <c r="A11473" s="7" t="str">
        <f>HYPERLINK("https://otsuka-europe-crm.veevavault.com/ui/#object/account__v/V4TZ04ASG95OJU4", "CRISTINA JESUS LAJAS PETISCO")</f>
        <v>CRISTINA JESUS LAJAS PETISCO</v>
      </c>
      <c r="B11473" s="7" t="str">
        <f>HYPERLINK("https://otsuka-europe-crm.veevavault.com/ui/#object/vcountry__v/VENZ000004SONF5", "ES")</f>
        <v>ES</v>
      </c>
      <c r="C11473" s="8" t="s">
        <v>41</v>
      </c>
      <c r="D11473" s="9" t="str">
        <f>HYPERLINK("https://otsuka-europe-crm.veevavault.com/ui/#object/approved_document__v/V5O00000001B037", "LUP - VAE Póster Adelphi - Reuma")</f>
        <v>LUP - VAE Póster Adelphi - Reuma</v>
      </c>
      <c r="E11473" s="10" t="str">
        <f>HYPERLINK("https://otsuka-europe-crm.veevavault.com/ui/#object/sent_email__v/VBL00000002V281", "SE-001437170")</f>
        <v>SE-001437170</v>
      </c>
      <c r="F11473" s="11"/>
      <c r="G11473" s="12">
        <v>0</v>
      </c>
      <c r="H11473" s="12">
        <v>0</v>
      </c>
      <c r="I11473" s="12">
        <v>0</v>
      </c>
      <c r="J11473" s="11"/>
      <c r="K11473" s="12">
        <v>0</v>
      </c>
      <c r="L11473" s="10" t="str">
        <f>HYPERLINK("https://otsuka-europe-crm.veevavault.com/ui/#object/approved_document__v/V5O00000001B037", "LUP - VAE Póster Adelphi - Reuma")</f>
        <v>LUP - VAE Póster Adelphi - Reuma</v>
      </c>
      <c r="M11473" s="10" t="str">
        <f>HYPERLINK("mailto:jguri@crm.otsuka-europe.com", "jguri@crm.otsuka-europe.com")</f>
        <v>jguri@crm.otsuka-europe.com</v>
      </c>
      <c r="N11473" s="13">
        <v>46188.795416666668</v>
      </c>
      <c r="O11473" s="14" t="str">
        <f>HYPERLINK("https://otsuka-europe-crm.veevavault.com/ui/#object/email_activity__v/V8C00000003W029", "EN-002096705")</f>
        <v>EN-002096705</v>
      </c>
    </row>
    <row r="11474" spans="1:15" ht="32" x14ac:dyDescent="0.2">
      <c r="A11474" s="7" t="str">
        <f>HYPERLINK("https://otsuka-europe-crm.veevavault.com/ui/#object/account__v/V4TZ04ASGAAGQD0", "ANGEL GALLEGOS CID")</f>
        <v>ANGEL GALLEGOS CID</v>
      </c>
      <c r="B11474" s="7" t="str">
        <f>HYPERLINK("https://otsuka-europe-crm.veevavault.com/ui/#object/vcountry__v/VENZ000004SONF5", "ES")</f>
        <v>ES</v>
      </c>
      <c r="C11474" s="8" t="s">
        <v>41</v>
      </c>
      <c r="D11474" s="9" t="str">
        <f>HYPERLINK("https://otsuka-europe-crm.veevavault.com/ui/#object/approved_document__v/V5O00000001B037", "LUP - VAE Póster Adelphi - Reuma")</f>
        <v>LUP - VAE Póster Adelphi - Reuma</v>
      </c>
      <c r="E11474" s="10" t="str">
        <f>HYPERLINK("https://otsuka-europe-crm.veevavault.com/ui/#object/sent_email__v/VBL00000002V282", "SE-001437171")</f>
        <v>SE-001437171</v>
      </c>
      <c r="F11474" s="11"/>
      <c r="G11474" s="12">
        <v>0</v>
      </c>
      <c r="H11474" s="12">
        <v>0</v>
      </c>
      <c r="I11474" s="12">
        <v>0</v>
      </c>
      <c r="J11474" s="11"/>
      <c r="K11474" s="12">
        <v>0</v>
      </c>
      <c r="L11474" s="10" t="str">
        <f>HYPERLINK("https://otsuka-europe-crm.veevavault.com/ui/#object/approved_document__v/V5O00000001B037", "LUP - VAE Póster Adelphi - Reuma")</f>
        <v>LUP - VAE Póster Adelphi - Reuma</v>
      </c>
      <c r="M11474" s="10" t="str">
        <f>HYPERLINK("mailto:jguri@crm.otsuka-europe.com", "jguri@crm.otsuka-europe.com")</f>
        <v>jguri@crm.otsuka-europe.com</v>
      </c>
      <c r="N11474" s="13">
        <v>46188.795416666668</v>
      </c>
      <c r="O11474" s="14" t="str">
        <f>HYPERLINK("https://otsuka-europe-crm.veevavault.com/ui/#object/email_activity__v/V8C00000003W004", "EN-002096670")</f>
        <v>EN-002096670</v>
      </c>
    </row>
    <row r="11475" spans="1:15" ht="32" x14ac:dyDescent="0.2">
      <c r="A11475" s="7" t="str">
        <f>HYPERLINK("https://otsuka-europe-crm.veevavault.com/ui/#object/account__v/V4TZ04ASG9U8TBF", "MARIA PUERTO MORENO GIL")</f>
        <v>MARIA PUERTO MORENO GIL</v>
      </c>
      <c r="B11475" s="7" t="str">
        <f>HYPERLINK("https://otsuka-europe-crm.veevavault.com/ui/#object/vcountry__v/VENZ000004SONF5", "ES")</f>
        <v>ES</v>
      </c>
      <c r="C11475" s="8" t="s">
        <v>41</v>
      </c>
      <c r="D11475" s="9" t="str">
        <f>HYPERLINK("https://otsuka-europe-crm.veevavault.com/ui/#object/approved_document__v/V5O00000001B037", "LUP - VAE Póster Adelphi - Reuma")</f>
        <v>LUP - VAE Póster Adelphi - Reuma</v>
      </c>
      <c r="E11475" s="10" t="str">
        <f>HYPERLINK("https://otsuka-europe-crm.veevavault.com/ui/#object/sent_email__v/VBL00000002V283", "SE-001437172")</f>
        <v>SE-001437172</v>
      </c>
      <c r="F11475" s="11"/>
      <c r="G11475" s="12">
        <v>0</v>
      </c>
      <c r="H11475" s="12">
        <v>0</v>
      </c>
      <c r="I11475" s="12">
        <v>0</v>
      </c>
      <c r="J11475" s="11"/>
      <c r="K11475" s="12">
        <v>0</v>
      </c>
      <c r="L11475" s="10" t="str">
        <f>HYPERLINK("https://otsuka-europe-crm.veevavault.com/ui/#object/approved_document__v/V5O00000001B037", "LUP - VAE Póster Adelphi - Reuma")</f>
        <v>LUP - VAE Póster Adelphi - Reuma</v>
      </c>
      <c r="M11475" s="10" t="str">
        <f>HYPERLINK("mailto:jguri@crm.otsuka-europe.com", "jguri@crm.otsuka-europe.com")</f>
        <v>jguri@crm.otsuka-europe.com</v>
      </c>
      <c r="N11475" s="13">
        <v>46188.795416666668</v>
      </c>
      <c r="O11475" s="14" t="str">
        <f>HYPERLINK("https://otsuka-europe-crm.veevavault.com/ui/#object/email_activity__v/V8C00000003W009", "EN-002096675")</f>
        <v>EN-002096675</v>
      </c>
    </row>
    <row r="11476" spans="1:15" ht="32" x14ac:dyDescent="0.2">
      <c r="A11476" s="7" t="str">
        <f>HYPERLINK("https://otsuka-europe-crm.veevavault.com/ui/#object/account__v/V4TZ025E86GSW01", "EMILIO RICO SANCHEZ-MATEOS")</f>
        <v>EMILIO RICO SANCHEZ-MATEOS</v>
      </c>
      <c r="B11476" s="7" t="str">
        <f>HYPERLINK("https://otsuka-europe-crm.veevavault.com/ui/#object/vcountry__v/VENZ000004SONF5", "ES")</f>
        <v>ES</v>
      </c>
      <c r="C11476" s="8" t="s">
        <v>41</v>
      </c>
      <c r="D11476" s="9" t="str">
        <f>HYPERLINK("https://otsuka-europe-crm.veevavault.com/ui/#object/approved_document__v/V5O00000001B037", "LUP - VAE Póster Adelphi - Reuma")</f>
        <v>LUP - VAE Póster Adelphi - Reuma</v>
      </c>
      <c r="E11476" s="10" t="str">
        <f>HYPERLINK("https://otsuka-europe-crm.veevavault.com/ui/#object/sent_email__v/VBL00000002V284", "SE-001437173")</f>
        <v>SE-001437173</v>
      </c>
      <c r="F11476" s="11"/>
      <c r="G11476" s="12">
        <v>0</v>
      </c>
      <c r="H11476" s="12">
        <v>0</v>
      </c>
      <c r="I11476" s="12">
        <v>0</v>
      </c>
      <c r="J11476" s="11"/>
      <c r="K11476" s="12">
        <v>0</v>
      </c>
      <c r="L11476" s="10" t="str">
        <f>HYPERLINK("https://otsuka-europe-crm.veevavault.com/ui/#object/approved_document__v/V5O00000001B037", "LUP - VAE Póster Adelphi - Reuma")</f>
        <v>LUP - VAE Póster Adelphi - Reuma</v>
      </c>
      <c r="M11476" s="10" t="str">
        <f>HYPERLINK("mailto:jguri@crm.otsuka-europe.com", "jguri@crm.otsuka-europe.com")</f>
        <v>jguri@crm.otsuka-europe.com</v>
      </c>
      <c r="N11476" s="13">
        <v>46188.795416666668</v>
      </c>
      <c r="O11476" s="14" t="str">
        <f>HYPERLINK("https://otsuka-europe-crm.veevavault.com/ui/#object/email_activity__v/V8C00000003W035", "EN-002096720")</f>
        <v>EN-002096720</v>
      </c>
    </row>
    <row r="11477" spans="1:15" ht="16" x14ac:dyDescent="0.2">
      <c r="A11477" s="17" t="str">
        <f>HYPERLINK("https://otsuka-europe-crm.veevavault.com/ui/#object/account__v/V4TZ025E8484OM1", "ADRIAN ABBASI PEREZ")</f>
        <v>ADRIAN ABBASI PEREZ</v>
      </c>
      <c r="B11477" s="17" t="str">
        <f>HYPERLINK("https://otsuka-europe-crm.veevavault.com/ui/#object/vcountry__v/VENZ000004SONF5", "ES")</f>
        <v>ES</v>
      </c>
      <c r="C11477" s="20" t="s">
        <v>41</v>
      </c>
      <c r="D11477" s="21" t="str">
        <f>HYPERLINK("https://otsuka-europe-crm.veevavault.com/ui/#object/approved_document__v/V5O00000001B037", "LUP - VAE Póster Adelphi - Reuma")</f>
        <v>LUP - VAE Póster Adelphi - Reuma</v>
      </c>
      <c r="E11477" s="22" t="str">
        <f>HYPERLINK("https://otsuka-europe-crm.veevavault.com/ui/#object/sent_email__v/VBL00000002V285", "SE-001437174")</f>
        <v>SE-001437174</v>
      </c>
      <c r="F11477" s="23">
        <v>46189.674317129633</v>
      </c>
      <c r="G11477" s="24">
        <v>1</v>
      </c>
      <c r="H11477" s="24">
        <v>4</v>
      </c>
      <c r="I11477" s="24">
        <v>0</v>
      </c>
      <c r="J11477" s="25"/>
      <c r="K11477" s="24">
        <v>0</v>
      </c>
      <c r="L11477" s="22" t="str">
        <f>HYPERLINK("https://otsuka-europe-crm.veevavault.com/ui/#object/approved_document__v/V5O00000001B037", "LUP - VAE Póster Adelphi - Reuma")</f>
        <v>LUP - VAE Póster Adelphi - Reuma</v>
      </c>
      <c r="M11477" s="22" t="str">
        <f>HYPERLINK("mailto:jguri@crm.otsuka-europe.com", "jguri@crm.otsuka-europe.com")</f>
        <v>jguri@crm.otsuka-europe.com</v>
      </c>
      <c r="N11477" s="23">
        <v>46188.795416666668</v>
      </c>
      <c r="O11477" s="14" t="str">
        <f>HYPERLINK("https://otsuka-europe-crm.veevavault.com/ui/#object/email_activity__v/V8C00000003U888", "EN-002096756")</f>
        <v>EN-002096756</v>
      </c>
    </row>
    <row r="11478" spans="1:15" ht="16" x14ac:dyDescent="0.2">
      <c r="A11478" s="18"/>
      <c r="B11478" s="18"/>
      <c r="C11478" s="18"/>
      <c r="D11478" s="18"/>
      <c r="E11478" s="18"/>
      <c r="F11478" s="18"/>
      <c r="G11478" s="18"/>
      <c r="H11478" s="18"/>
      <c r="I11478" s="18"/>
      <c r="J11478" s="18"/>
      <c r="K11478" s="18"/>
      <c r="L11478" s="18"/>
      <c r="M11478" s="18"/>
      <c r="N11478" s="18"/>
      <c r="O11478" s="14" t="str">
        <f>HYPERLINK("https://otsuka-europe-crm.veevavault.com/ui/#object/email_activity__v/V8C00000003U897", "EN-002096778")</f>
        <v>EN-002096778</v>
      </c>
    </row>
    <row r="11479" spans="1:15" ht="16" x14ac:dyDescent="0.2">
      <c r="A11479" s="18"/>
      <c r="B11479" s="18"/>
      <c r="C11479" s="18"/>
      <c r="D11479" s="18"/>
      <c r="E11479" s="18"/>
      <c r="F11479" s="18"/>
      <c r="G11479" s="18"/>
      <c r="H11479" s="18"/>
      <c r="I11479" s="18"/>
      <c r="J11479" s="18"/>
      <c r="K11479" s="18"/>
      <c r="L11479" s="18"/>
      <c r="M11479" s="18"/>
      <c r="N11479" s="18"/>
      <c r="O11479" s="14" t="str">
        <f>HYPERLINK("https://otsuka-europe-crm.veevavault.com/ui/#object/email_activity__v/V8C00000003U898", "EN-002096779")</f>
        <v>EN-002096779</v>
      </c>
    </row>
    <row r="11480" spans="1:15" ht="16" x14ac:dyDescent="0.2">
      <c r="A11480" s="18"/>
      <c r="B11480" s="18"/>
      <c r="C11480" s="18"/>
      <c r="D11480" s="18"/>
      <c r="E11480" s="18"/>
      <c r="F11480" s="18"/>
      <c r="G11480" s="18"/>
      <c r="H11480" s="18"/>
      <c r="I11480" s="18"/>
      <c r="J11480" s="18"/>
      <c r="K11480" s="18"/>
      <c r="L11480" s="18"/>
      <c r="M11480" s="18"/>
      <c r="N11480" s="18"/>
      <c r="O11480" s="14" t="str">
        <f>HYPERLINK("https://otsuka-europe-crm.veevavault.com/ui/#object/email_activity__v/V8C00000003W005", "EN-002096671")</f>
        <v>EN-002096671</v>
      </c>
    </row>
    <row r="11481" spans="1:15" ht="16" x14ac:dyDescent="0.2">
      <c r="A11481" s="19"/>
      <c r="B11481" s="19"/>
      <c r="C11481" s="19"/>
      <c r="D11481" s="19"/>
      <c r="E11481" s="19"/>
      <c r="F11481" s="19"/>
      <c r="G11481" s="19"/>
      <c r="H11481" s="19"/>
      <c r="I11481" s="19"/>
      <c r="J11481" s="19"/>
      <c r="K11481" s="19"/>
      <c r="L11481" s="19"/>
      <c r="M11481" s="19"/>
      <c r="N11481" s="19"/>
      <c r="O11481" s="14" t="str">
        <f>HYPERLINK("https://otsuka-europe-crm.veevavault.com/ui/#object/email_activity__v/V8C00000003W282", "EN-002097278")</f>
        <v>EN-002097278</v>
      </c>
    </row>
    <row r="11482" spans="1:15" ht="32" x14ac:dyDescent="0.2">
      <c r="A11482" s="7" t="str">
        <f>HYPERLINK("https://otsuka-europe-crm.veevavault.com/ui/#object/account__v/V4TZ025E83ASNDO", "PIA MERCEDES LOIS BERMEJO")</f>
        <v>PIA MERCEDES LOIS BERMEJO</v>
      </c>
      <c r="B11482" s="7" t="str">
        <f>HYPERLINK("https://otsuka-europe-crm.veevavault.com/ui/#object/vcountry__v/VENZ000004SONF5", "ES")</f>
        <v>ES</v>
      </c>
      <c r="C11482" s="8" t="s">
        <v>41</v>
      </c>
      <c r="D11482" s="9" t="str">
        <f>HYPERLINK("https://otsuka-europe-crm.veevavault.com/ui/#object/approved_document__v/V5O00000001B037", "LUP - VAE Póster Adelphi - Reuma")</f>
        <v>LUP - VAE Póster Adelphi - Reuma</v>
      </c>
      <c r="E11482" s="10" t="str">
        <f>HYPERLINK("https://otsuka-europe-crm.veevavault.com/ui/#object/sent_email__v/VBL00000002V286", "SE-001437175")</f>
        <v>SE-001437175</v>
      </c>
      <c r="F11482" s="11"/>
      <c r="G11482" s="12">
        <v>0</v>
      </c>
      <c r="H11482" s="12">
        <v>0</v>
      </c>
      <c r="I11482" s="12">
        <v>0</v>
      </c>
      <c r="J11482" s="11"/>
      <c r="K11482" s="12">
        <v>0</v>
      </c>
      <c r="L11482" s="10" t="str">
        <f>HYPERLINK("https://otsuka-europe-crm.veevavault.com/ui/#object/approved_document__v/V5O00000001B037", "LUP - VAE Póster Adelphi - Reuma")</f>
        <v>LUP - VAE Póster Adelphi - Reuma</v>
      </c>
      <c r="M11482" s="10" t="str">
        <f>HYPERLINK("mailto:jguri@crm.otsuka-europe.com", "jguri@crm.otsuka-europe.com")</f>
        <v>jguri@crm.otsuka-europe.com</v>
      </c>
      <c r="N11482" s="13">
        <v>46188.795416666668</v>
      </c>
      <c r="O11482" s="14" t="str">
        <f>HYPERLINK("https://otsuka-europe-crm.veevavault.com/ui/#object/email_activity__v/V8C00000003U865", "EN-002096710")</f>
        <v>EN-002096710</v>
      </c>
    </row>
    <row r="11483" spans="1:15" ht="16" x14ac:dyDescent="0.2">
      <c r="A11483" s="17" t="str">
        <f>HYPERLINK("https://otsuka-europe-crm.veevavault.com/ui/#object/account__v/V4TZ06G6O71T9D5", "DAVID BERNAL BELLO")</f>
        <v>DAVID BERNAL BELLO</v>
      </c>
      <c r="B11483" s="17" t="str">
        <f>HYPERLINK("https://otsuka-europe-crm.veevavault.com/ui/#object/vcountry__v/VENZ000004SONF5", "ES")</f>
        <v>ES</v>
      </c>
      <c r="C11483" s="20" t="s">
        <v>41</v>
      </c>
      <c r="D11483" s="21" t="str">
        <f>HYPERLINK("https://otsuka-europe-crm.veevavault.com/ui/#object/approved_document__v/V5O00000001B037", "LUP - VAE Póster Adelphi - Reuma")</f>
        <v>LUP - VAE Póster Adelphi - Reuma</v>
      </c>
      <c r="E11483" s="22" t="str">
        <f>HYPERLINK("https://otsuka-europe-crm.veevavault.com/ui/#object/sent_email__v/VBL00000002V287", "SE-001437176")</f>
        <v>SE-001437176</v>
      </c>
      <c r="F11483" s="23">
        <v>46189.497372685182</v>
      </c>
      <c r="G11483" s="24">
        <v>1</v>
      </c>
      <c r="H11483" s="24">
        <v>1</v>
      </c>
      <c r="I11483" s="24">
        <v>0</v>
      </c>
      <c r="J11483" s="25"/>
      <c r="K11483" s="24">
        <v>0</v>
      </c>
      <c r="L11483" s="22" t="str">
        <f>HYPERLINK("https://otsuka-europe-crm.veevavault.com/ui/#object/approved_document__v/V5O00000001B037", "LUP - VAE Póster Adelphi - Reuma")</f>
        <v>LUP - VAE Póster Adelphi - Reuma</v>
      </c>
      <c r="M11483" s="22" t="str">
        <f>HYPERLINK("mailto:jguri@crm.otsuka-europe.com", "jguri@crm.otsuka-europe.com")</f>
        <v>jguri@crm.otsuka-europe.com</v>
      </c>
      <c r="N11483" s="23">
        <v>46188.795416666668</v>
      </c>
      <c r="O11483" s="14" t="str">
        <f>HYPERLINK("https://otsuka-europe-crm.veevavault.com/ui/#object/email_activity__v/V8C00000003W006", "EN-002096672")</f>
        <v>EN-002096672</v>
      </c>
    </row>
    <row r="11484" spans="1:15" ht="16" x14ac:dyDescent="0.2">
      <c r="A11484" s="18"/>
      <c r="B11484" s="18"/>
      <c r="C11484" s="18"/>
      <c r="D11484" s="18"/>
      <c r="E11484" s="18"/>
      <c r="F11484" s="18"/>
      <c r="G11484" s="18"/>
      <c r="H11484" s="18"/>
      <c r="I11484" s="18"/>
      <c r="J11484" s="18"/>
      <c r="K11484" s="18"/>
      <c r="L11484" s="18"/>
      <c r="M11484" s="18"/>
      <c r="N11484" s="18"/>
      <c r="O11484" s="14" t="str">
        <f>HYPERLINK("https://otsuka-europe-crm.veevavault.com/ui/#object/email_activity__v/V8C00000003W073", "EN-002096789")</f>
        <v>EN-002096789</v>
      </c>
    </row>
    <row r="11485" spans="1:15" ht="16" x14ac:dyDescent="0.2">
      <c r="A11485" s="19"/>
      <c r="B11485" s="19"/>
      <c r="C11485" s="19"/>
      <c r="D11485" s="19"/>
      <c r="E11485" s="19"/>
      <c r="F11485" s="19"/>
      <c r="G11485" s="19"/>
      <c r="H11485" s="19"/>
      <c r="I11485" s="19"/>
      <c r="J11485" s="19"/>
      <c r="K11485" s="19"/>
      <c r="L11485" s="19"/>
      <c r="M11485" s="19"/>
      <c r="N11485" s="19"/>
      <c r="O11485" s="14" t="str">
        <f>HYPERLINK("https://otsuka-europe-crm.veevavault.com/ui/#object/email_activity__v/V8C00000003W211", "EN-002097161")</f>
        <v>EN-002097161</v>
      </c>
    </row>
    <row r="11486" spans="1:15" ht="32" x14ac:dyDescent="0.2">
      <c r="A11486" s="7" t="str">
        <f>HYPERLINK("https://otsuka-europe-crm.veevavault.com/ui/#object/account__v/V4TZ025E837V42M", "FERNANDO ALBARRAN HERNANDEZ")</f>
        <v>FERNANDO ALBARRAN HERNANDEZ</v>
      </c>
      <c r="B11486" s="7" t="str">
        <f>HYPERLINK("https://otsuka-europe-crm.veevavault.com/ui/#object/vcountry__v/VENZ000004SONF5", "ES")</f>
        <v>ES</v>
      </c>
      <c r="C11486" s="8" t="s">
        <v>41</v>
      </c>
      <c r="D11486" s="9" t="str">
        <f>HYPERLINK("https://otsuka-europe-crm.veevavault.com/ui/#object/approved_document__v/V5O00000001B037", "LUP - VAE Póster Adelphi - Reuma")</f>
        <v>LUP - VAE Póster Adelphi - Reuma</v>
      </c>
      <c r="E11486" s="10" t="str">
        <f>HYPERLINK("https://otsuka-europe-crm.veevavault.com/ui/#object/sent_email__v/VBL00000002V288", "SE-001437177")</f>
        <v>SE-001437177</v>
      </c>
      <c r="F11486" s="11"/>
      <c r="G11486" s="12">
        <v>0</v>
      </c>
      <c r="H11486" s="12">
        <v>0</v>
      </c>
      <c r="I11486" s="12">
        <v>0</v>
      </c>
      <c r="J11486" s="11"/>
      <c r="K11486" s="12">
        <v>0</v>
      </c>
      <c r="L11486" s="10" t="str">
        <f>HYPERLINK("https://otsuka-europe-crm.veevavault.com/ui/#object/approved_document__v/V5O00000001B037", "LUP - VAE Póster Adelphi - Reuma")</f>
        <v>LUP - VAE Póster Adelphi - Reuma</v>
      </c>
      <c r="M11486" s="10" t="str">
        <f>HYPERLINK("mailto:jguri@crm.otsuka-europe.com", "jguri@crm.otsuka-europe.com")</f>
        <v>jguri@crm.otsuka-europe.com</v>
      </c>
      <c r="N11486" s="13">
        <v>46188.795416666668</v>
      </c>
      <c r="O11486" s="14" t="str">
        <f>HYPERLINK("https://otsuka-europe-crm.veevavault.com/ui/#object/email_activity__v/V8C00000003W011", "EN-002096677")</f>
        <v>EN-002096677</v>
      </c>
    </row>
    <row r="11487" spans="1:15" ht="16" x14ac:dyDescent="0.2">
      <c r="A11487" s="17" t="str">
        <f>HYPERLINK("https://otsuka-europe-crm.veevavault.com/ui/#object/account__v/V4TZ04ASG9UCG39", "ELENA RABADAN RUBIO")</f>
        <v>ELENA RABADAN RUBIO</v>
      </c>
      <c r="B11487" s="17" t="str">
        <f>HYPERLINK("https://otsuka-europe-crm.veevavault.com/ui/#object/vcountry__v/VENZ000004SONF5", "ES")</f>
        <v>ES</v>
      </c>
      <c r="C11487" s="20" t="s">
        <v>41</v>
      </c>
      <c r="D11487" s="21" t="str">
        <f>HYPERLINK("https://otsuka-europe-crm.veevavault.com/ui/#object/approved_document__v/V5O00000001B037", "LUP - VAE Póster Adelphi - Reuma")</f>
        <v>LUP - VAE Póster Adelphi - Reuma</v>
      </c>
      <c r="E11487" s="22" t="str">
        <f>HYPERLINK("https://otsuka-europe-crm.veevavault.com/ui/#object/sent_email__v/VBL00000002V289", "SE-001437178")</f>
        <v>SE-001437178</v>
      </c>
      <c r="F11487" s="25"/>
      <c r="G11487" s="24">
        <v>0</v>
      </c>
      <c r="H11487" s="24">
        <v>0</v>
      </c>
      <c r="I11487" s="24">
        <v>0</v>
      </c>
      <c r="J11487" s="25"/>
      <c r="K11487" s="24">
        <v>0</v>
      </c>
      <c r="L11487" s="22" t="str">
        <f>HYPERLINK("https://otsuka-europe-crm.veevavault.com/ui/#object/approved_document__v/V5O00000001B037", "LUP - VAE Póster Adelphi - Reuma")</f>
        <v>LUP - VAE Póster Adelphi - Reuma</v>
      </c>
      <c r="M11487" s="22" t="str">
        <f>HYPERLINK("mailto:jguri@crm.otsuka-europe.com", "jguri@crm.otsuka-europe.com")</f>
        <v>jguri@crm.otsuka-europe.com</v>
      </c>
      <c r="N11487" s="23">
        <v>46188.795416666668</v>
      </c>
      <c r="O11487" s="14" t="str">
        <f>HYPERLINK("https://otsuka-europe-crm.veevavault.com/ui/#object/email_activity__v/V8C00000003U958", "EN-002096905")</f>
        <v>EN-002096905</v>
      </c>
    </row>
    <row r="11488" spans="1:15" ht="16" x14ac:dyDescent="0.2">
      <c r="A11488" s="19"/>
      <c r="B11488" s="19"/>
      <c r="C11488" s="19"/>
      <c r="D11488" s="19"/>
      <c r="E11488" s="19"/>
      <c r="F11488" s="19"/>
      <c r="G11488" s="19"/>
      <c r="H11488" s="19"/>
      <c r="I11488" s="19"/>
      <c r="J11488" s="19"/>
      <c r="K11488" s="19"/>
      <c r="L11488" s="19"/>
      <c r="M11488" s="19"/>
      <c r="N11488" s="19"/>
      <c r="O11488" s="14" t="str">
        <f>HYPERLINK("https://otsuka-europe-crm.veevavault.com/ui/#object/email_activity__v/V8C00000003W017", "EN-002096683")</f>
        <v>EN-002096683</v>
      </c>
    </row>
    <row r="11489" spans="1:15" ht="32" x14ac:dyDescent="0.2">
      <c r="A11489" s="7" t="str">
        <f>HYPERLINK("https://otsuka-europe-crm.veevavault.com/ui/#object/account__v/V4TZ04ASGAPA4WR", "CRISTINA MARTINEZ PRADA")</f>
        <v>CRISTINA MARTINEZ PRADA</v>
      </c>
      <c r="B11489" s="7" t="str">
        <f>HYPERLINK("https://otsuka-europe-crm.veevavault.com/ui/#object/vcountry__v/VENZ000004SONF5", "ES")</f>
        <v>ES</v>
      </c>
      <c r="C11489" s="8" t="s">
        <v>41</v>
      </c>
      <c r="D11489" s="9" t="str">
        <f>HYPERLINK("https://otsuka-europe-crm.veevavault.com/ui/#object/approved_document__v/V5O00000001B037", "LUP - VAE Póster Adelphi - Reuma")</f>
        <v>LUP - VAE Póster Adelphi - Reuma</v>
      </c>
      <c r="E11489" s="10" t="str">
        <f>HYPERLINK("https://otsuka-europe-crm.veevavault.com/ui/#object/sent_email__v/VBL00000002V290", "SE-001437179")</f>
        <v>SE-001437179</v>
      </c>
      <c r="F11489" s="11"/>
      <c r="G11489" s="12">
        <v>0</v>
      </c>
      <c r="H11489" s="12">
        <v>0</v>
      </c>
      <c r="I11489" s="12">
        <v>0</v>
      </c>
      <c r="J11489" s="11"/>
      <c r="K11489" s="12">
        <v>0</v>
      </c>
      <c r="L11489" s="10" t="str">
        <f>HYPERLINK("https://otsuka-europe-crm.veevavault.com/ui/#object/approved_document__v/V5O00000001B037", "LUP - VAE Póster Adelphi - Reuma")</f>
        <v>LUP - VAE Póster Adelphi - Reuma</v>
      </c>
      <c r="M11489" s="10" t="str">
        <f>HYPERLINK("mailto:jguri@crm.otsuka-europe.com", "jguri@crm.otsuka-europe.com")</f>
        <v>jguri@crm.otsuka-europe.com</v>
      </c>
      <c r="N11489" s="13">
        <v>46188.795393518521</v>
      </c>
      <c r="O11489" s="14" t="str">
        <f>HYPERLINK("https://otsuka-europe-crm.veevavault.com/ui/#object/email_activity__v/V8C00000003W022", "EN-002096688")</f>
        <v>EN-002096688</v>
      </c>
    </row>
    <row r="11490" spans="1:15" ht="16" x14ac:dyDescent="0.2">
      <c r="A11490" s="17" t="str">
        <f>HYPERLINK("https://otsuka-europe-crm.veevavault.com/ui/#object/account__v/V4TZ04ASGB4W29K", "ANGEL PEDRO CRISOLINO POZAS")</f>
        <v>ANGEL PEDRO CRISOLINO POZAS</v>
      </c>
      <c r="B11490" s="17" t="str">
        <f>HYPERLINK("https://otsuka-europe-crm.veevavault.com/ui/#object/vcountry__v/VENZ000004SONF5", "ES")</f>
        <v>ES</v>
      </c>
      <c r="C11490" s="20" t="s">
        <v>41</v>
      </c>
      <c r="D11490" s="21" t="str">
        <f>HYPERLINK("https://otsuka-europe-crm.veevavault.com/ui/#object/approved_document__v/V5O00000001B037", "LUP - VAE Póster Adelphi - Reuma")</f>
        <v>LUP - VAE Póster Adelphi - Reuma</v>
      </c>
      <c r="E11490" s="22" t="str">
        <f>HYPERLINK("https://otsuka-europe-crm.veevavault.com/ui/#object/sent_email__v/VBL00000002V291", "SE-001437180")</f>
        <v>SE-001437180</v>
      </c>
      <c r="F11490" s="23">
        <v>46189.281585648147</v>
      </c>
      <c r="G11490" s="24">
        <v>1</v>
      </c>
      <c r="H11490" s="24">
        <v>1</v>
      </c>
      <c r="I11490" s="24">
        <v>0</v>
      </c>
      <c r="J11490" s="25"/>
      <c r="K11490" s="24">
        <v>0</v>
      </c>
      <c r="L11490" s="22" t="str">
        <f>HYPERLINK("https://otsuka-europe-crm.veevavault.com/ui/#object/approved_document__v/V5O00000001B037", "LUP - VAE Póster Adelphi - Reuma")</f>
        <v>LUP - VAE Póster Adelphi - Reuma</v>
      </c>
      <c r="M11490" s="22" t="str">
        <f>HYPERLINK("mailto:jguri@crm.otsuka-europe.com", "jguri@crm.otsuka-europe.com")</f>
        <v>jguri@crm.otsuka-europe.com</v>
      </c>
      <c r="N11490" s="23">
        <v>46188.795393518521</v>
      </c>
      <c r="O11490" s="14" t="str">
        <f>HYPERLINK("https://otsuka-europe-crm.veevavault.com/ui/#object/email_activity__v/V8C00000003W007", "EN-002096673")</f>
        <v>EN-002096673</v>
      </c>
    </row>
    <row r="11491" spans="1:15" ht="16" x14ac:dyDescent="0.2">
      <c r="A11491" s="19"/>
      <c r="B11491" s="19"/>
      <c r="C11491" s="19"/>
      <c r="D11491" s="19"/>
      <c r="E11491" s="19"/>
      <c r="F11491" s="19"/>
      <c r="G11491" s="19"/>
      <c r="H11491" s="19"/>
      <c r="I11491" s="19"/>
      <c r="J11491" s="19"/>
      <c r="K11491" s="19"/>
      <c r="L11491" s="19"/>
      <c r="M11491" s="19"/>
      <c r="N11491" s="19"/>
      <c r="O11491" s="14" t="str">
        <f>HYPERLINK("https://otsuka-europe-crm.veevavault.com/ui/#object/email_activity__v/V8C00000003W126", "EN-002096891")</f>
        <v>EN-002096891</v>
      </c>
    </row>
    <row r="11492" spans="1:15" ht="32" x14ac:dyDescent="0.2">
      <c r="A11492" s="7" t="str">
        <f>HYPERLINK("https://otsuka-europe-crm.veevavault.com/ui/#object/account__v/V4TZ04ASG9UATWS", "MARIA ANGELES GANTES PEDRAZA")</f>
        <v>MARIA ANGELES GANTES PEDRAZA</v>
      </c>
      <c r="B11492" s="7" t="str">
        <f>HYPERLINK("https://otsuka-europe-crm.veevavault.com/ui/#object/vcountry__v/VENZ000004SONF5", "ES")</f>
        <v>ES</v>
      </c>
      <c r="C11492" s="8" t="s">
        <v>41</v>
      </c>
      <c r="D11492" s="9" t="str">
        <f>HYPERLINK("https://otsuka-europe-crm.veevavault.com/ui/#object/approved_document__v/V5O00000001B037", "LUP - VAE Póster Adelphi - Reuma")</f>
        <v>LUP - VAE Póster Adelphi - Reuma</v>
      </c>
      <c r="E11492" s="10" t="str">
        <f>HYPERLINK("https://otsuka-europe-crm.veevavault.com/ui/#object/sent_email__v/VBL00000002V292", "SE-001437181")</f>
        <v>SE-001437181</v>
      </c>
      <c r="F11492" s="11"/>
      <c r="G11492" s="12">
        <v>0</v>
      </c>
      <c r="H11492" s="12">
        <v>0</v>
      </c>
      <c r="I11492" s="12">
        <v>0</v>
      </c>
      <c r="J11492" s="11"/>
      <c r="K11492" s="12">
        <v>0</v>
      </c>
      <c r="L11492" s="10" t="str">
        <f>HYPERLINK("https://otsuka-europe-crm.veevavault.com/ui/#object/approved_document__v/V5O00000001B037", "LUP - VAE Póster Adelphi - Reuma")</f>
        <v>LUP - VAE Póster Adelphi - Reuma</v>
      </c>
      <c r="M11492" s="10" t="str">
        <f>HYPERLINK("mailto:jguri@crm.otsuka-europe.com", "jguri@crm.otsuka-europe.com")</f>
        <v>jguri@crm.otsuka-europe.com</v>
      </c>
      <c r="N11492" s="13">
        <v>46188.795393518521</v>
      </c>
      <c r="O11492" s="14" t="str">
        <f>HYPERLINK("https://otsuka-europe-crm.veevavault.com/ui/#object/email_activity__v/V8C00000003W039", "EN-002096724")</f>
        <v>EN-002096724</v>
      </c>
    </row>
    <row r="11493" spans="1:15" ht="32" x14ac:dyDescent="0.2">
      <c r="A11493" s="7" t="str">
        <f>HYPERLINK("https://otsuka-europe-crm.veevavault.com/ui/#object/account__v/V4TZ025E86JEFD2", "LUIS GONZAGA SALA ICARDO")</f>
        <v>LUIS GONZAGA SALA ICARDO</v>
      </c>
      <c r="B11493" s="7" t="str">
        <f>HYPERLINK("https://otsuka-europe-crm.veevavault.com/ui/#object/vcountry__v/VENZ000004SONF5", "ES")</f>
        <v>ES</v>
      </c>
      <c r="C11493" s="8" t="s">
        <v>41</v>
      </c>
      <c r="D11493" s="9" t="str">
        <f>HYPERLINK("https://otsuka-europe-crm.veevavault.com/ui/#object/approved_document__v/V5O00000001B037", "LUP - VAE Póster Adelphi - Reuma")</f>
        <v>LUP - VAE Póster Adelphi - Reuma</v>
      </c>
      <c r="E11493" s="10" t="str">
        <f>HYPERLINK("https://otsuka-europe-crm.veevavault.com/ui/#object/sent_email__v/VBL00000002V293", "SE-001437182")</f>
        <v>SE-001437182</v>
      </c>
      <c r="F11493" s="11"/>
      <c r="G11493" s="12">
        <v>0</v>
      </c>
      <c r="H11493" s="12">
        <v>0</v>
      </c>
      <c r="I11493" s="12">
        <v>0</v>
      </c>
      <c r="J11493" s="11"/>
      <c r="K11493" s="12">
        <v>0</v>
      </c>
      <c r="L11493" s="10" t="str">
        <f>HYPERLINK("https://otsuka-europe-crm.veevavault.com/ui/#object/approved_document__v/V5O00000001B037", "LUP - VAE Póster Adelphi - Reuma")</f>
        <v>LUP - VAE Póster Adelphi - Reuma</v>
      </c>
      <c r="M11493" s="10" t="str">
        <f>HYPERLINK("mailto:jguri@crm.otsuka-europe.com", "jguri@crm.otsuka-europe.com")</f>
        <v>jguri@crm.otsuka-europe.com</v>
      </c>
      <c r="N11493" s="13">
        <v>46188.795381944445</v>
      </c>
      <c r="O11493" s="14" t="str">
        <f>HYPERLINK("https://otsuka-europe-crm.veevavault.com/ui/#object/email_activity__v/V8C00000003W016", "EN-002096682")</f>
        <v>EN-002096682</v>
      </c>
    </row>
    <row r="11494" spans="1:15" ht="16" x14ac:dyDescent="0.2">
      <c r="A11494" s="17" t="str">
        <f>HYPERLINK("https://otsuka-europe-crm.veevavault.com/ui/#object/account__v/V4TZ025E87BV290", "ANTONIO CERDAN MORALA")</f>
        <v>ANTONIO CERDAN MORALA</v>
      </c>
      <c r="B11494" s="17" t="str">
        <f>HYPERLINK("https://otsuka-europe-crm.veevavault.com/ui/#object/vcountry__v/VENZ000004SONF5", "ES")</f>
        <v>ES</v>
      </c>
      <c r="C11494" s="20" t="s">
        <v>41</v>
      </c>
      <c r="D11494" s="21" t="str">
        <f>HYPERLINK("https://otsuka-europe-crm.veevavault.com/ui/#object/approved_document__v/V5O00000001B037", "LUP - VAE Póster Adelphi - Reuma")</f>
        <v>LUP - VAE Póster Adelphi - Reuma</v>
      </c>
      <c r="E11494" s="22" t="str">
        <f>HYPERLINK("https://otsuka-europe-crm.veevavault.com/ui/#object/sent_email__v/VBL00000002V294", "SE-001437183")</f>
        <v>SE-001437183</v>
      </c>
      <c r="F11494" s="23">
        <v>46188.802893518521</v>
      </c>
      <c r="G11494" s="24">
        <v>1</v>
      </c>
      <c r="H11494" s="24">
        <v>1</v>
      </c>
      <c r="I11494" s="24">
        <v>1</v>
      </c>
      <c r="J11494" s="23">
        <v>46188.802986111114</v>
      </c>
      <c r="K11494" s="24">
        <v>1</v>
      </c>
      <c r="L11494" s="22" t="str">
        <f>HYPERLINK("https://otsuka-europe-crm.veevavault.com/ui/#object/approved_document__v/V5O00000001B037", "LUP - VAE Póster Adelphi - Reuma")</f>
        <v>LUP - VAE Póster Adelphi - Reuma</v>
      </c>
      <c r="M11494" s="22" t="str">
        <f>HYPERLINK("mailto:jguri@crm.otsuka-europe.com", "jguri@crm.otsuka-europe.com")</f>
        <v>jguri@crm.otsuka-europe.com</v>
      </c>
      <c r="N11494" s="23">
        <v>46188.795381944445</v>
      </c>
      <c r="O11494" s="14" t="str">
        <f>HYPERLINK("https://otsuka-europe-crm.veevavault.com/ui/#object/email_activity__v/V8C00000003U900", "EN-002096784")</f>
        <v>EN-002096784</v>
      </c>
    </row>
    <row r="11495" spans="1:15" ht="16" x14ac:dyDescent="0.2">
      <c r="A11495" s="18"/>
      <c r="B11495" s="18"/>
      <c r="C11495" s="18"/>
      <c r="D11495" s="18"/>
      <c r="E11495" s="18"/>
      <c r="F11495" s="18"/>
      <c r="G11495" s="18"/>
      <c r="H11495" s="18"/>
      <c r="I11495" s="18"/>
      <c r="J11495" s="18"/>
      <c r="K11495" s="18"/>
      <c r="L11495" s="18"/>
      <c r="M11495" s="18"/>
      <c r="N11495" s="18"/>
      <c r="O11495" s="14" t="str">
        <f>HYPERLINK("https://otsuka-europe-crm.veevavault.com/ui/#object/email_activity__v/V8C00000003W003", "EN-002096669")</f>
        <v>EN-002096669</v>
      </c>
    </row>
    <row r="11496" spans="1:15" ht="16" x14ac:dyDescent="0.2">
      <c r="A11496" s="18"/>
      <c r="B11496" s="18"/>
      <c r="C11496" s="18"/>
      <c r="D11496" s="18"/>
      <c r="E11496" s="18"/>
      <c r="F11496" s="18"/>
      <c r="G11496" s="18"/>
      <c r="H11496" s="18"/>
      <c r="I11496" s="18"/>
      <c r="J11496" s="18"/>
      <c r="K11496" s="18"/>
      <c r="L11496" s="18"/>
      <c r="M11496" s="18"/>
      <c r="N11496" s="18"/>
      <c r="O11496" s="14" t="str">
        <f>HYPERLINK("https://otsuka-europe-crm.veevavault.com/ui/#object/email_activity__v/V8C00000003W050", "EN-002096745")</f>
        <v>EN-002096745</v>
      </c>
    </row>
    <row r="11497" spans="1:15" ht="16" x14ac:dyDescent="0.2">
      <c r="A11497" s="19"/>
      <c r="B11497" s="19"/>
      <c r="C11497" s="19"/>
      <c r="D11497" s="19"/>
      <c r="E11497" s="19"/>
      <c r="F11497" s="19"/>
      <c r="G11497" s="19"/>
      <c r="H11497" s="19"/>
      <c r="I11497" s="19"/>
      <c r="J11497" s="19"/>
      <c r="K11497" s="19"/>
      <c r="L11497" s="19"/>
      <c r="M11497" s="19"/>
      <c r="N11497" s="19"/>
      <c r="O11497" s="14" t="str">
        <f>HYPERLINK("https://otsuka-europe-crm.veevavault.com/ui/#object/email_activity__v/V8C00000003W051", "EN-002096746")</f>
        <v>EN-002096746</v>
      </c>
    </row>
    <row r="11498" spans="1:15" ht="32" x14ac:dyDescent="0.2">
      <c r="A11498" s="7" t="str">
        <f>HYPERLINK("https://otsuka-europe-crm.veevavault.com/ui/#object/account__v/V4TZ04ASGBJHXOM", "MARINA GONZALEZ PEÑAS")</f>
        <v>MARINA GONZALEZ PEÑAS</v>
      </c>
      <c r="B11498" s="7" t="str">
        <f>HYPERLINK("https://otsuka-europe-crm.veevavault.com/ui/#object/vcountry__v/VENZ000004SONF5", "ES")</f>
        <v>ES</v>
      </c>
      <c r="C11498" s="8" t="s">
        <v>41</v>
      </c>
      <c r="D11498" s="9" t="str">
        <f>HYPERLINK("https://otsuka-europe-crm.veevavault.com/ui/#object/approved_document__v/V5O00000001B037", "LUP - VAE Póster Adelphi - Reuma")</f>
        <v>LUP - VAE Póster Adelphi - Reuma</v>
      </c>
      <c r="E11498" s="10" t="str">
        <f>HYPERLINK("https://otsuka-europe-crm.veevavault.com/ui/#object/sent_email__v/VBL00000002V295", "SE-001437184")</f>
        <v>SE-001437184</v>
      </c>
      <c r="F11498" s="11"/>
      <c r="G11498" s="12">
        <v>0</v>
      </c>
      <c r="H11498" s="12">
        <v>0</v>
      </c>
      <c r="I11498" s="12">
        <v>0</v>
      </c>
      <c r="J11498" s="11"/>
      <c r="K11498" s="12">
        <v>0</v>
      </c>
      <c r="L11498" s="10" t="str">
        <f>HYPERLINK("https://otsuka-europe-crm.veevavault.com/ui/#object/approved_document__v/V5O00000001B037", "LUP - VAE Póster Adelphi - Reuma")</f>
        <v>LUP - VAE Póster Adelphi - Reuma</v>
      </c>
      <c r="M11498" s="10" t="str">
        <f>HYPERLINK("mailto:jguri@crm.otsuka-europe.com", "jguri@crm.otsuka-europe.com")</f>
        <v>jguri@crm.otsuka-europe.com</v>
      </c>
      <c r="N11498" s="13">
        <v>46188.795381944445</v>
      </c>
      <c r="O11498" s="14" t="str">
        <f>HYPERLINK("https://otsuka-europe-crm.veevavault.com/ui/#object/email_activity__v/V8C00000003U860", "EN-002096696")</f>
        <v>EN-002096696</v>
      </c>
    </row>
    <row r="11499" spans="1:15" ht="32" x14ac:dyDescent="0.2">
      <c r="A11499" s="7" t="str">
        <f>HYPERLINK("https://otsuka-europe-crm.veevavault.com/ui/#object/account__v/V4TZ06G6OBUD7C5", "JOSE GARCIA TORON")</f>
        <v>JOSE GARCIA TORON</v>
      </c>
      <c r="B11499" s="7" t="str">
        <f>HYPERLINK("https://otsuka-europe-crm.veevavault.com/ui/#object/vcountry__v/VENZ000004SONF5", "ES")</f>
        <v>ES</v>
      </c>
      <c r="C11499" s="8" t="s">
        <v>41</v>
      </c>
      <c r="D11499" s="9" t="str">
        <f>HYPERLINK("https://otsuka-europe-crm.veevavault.com/ui/#object/approved_document__v/V5O00000001B037", "LUP - VAE Póster Adelphi - Reuma")</f>
        <v>LUP - VAE Póster Adelphi - Reuma</v>
      </c>
      <c r="E11499" s="10" t="str">
        <f>HYPERLINK("https://otsuka-europe-crm.veevavault.com/ui/#object/sent_email__v/VBL00000002V296", "SE-001437185")</f>
        <v>SE-001437185</v>
      </c>
      <c r="F11499" s="11"/>
      <c r="G11499" s="12">
        <v>0</v>
      </c>
      <c r="H11499" s="12">
        <v>0</v>
      </c>
      <c r="I11499" s="12">
        <v>0</v>
      </c>
      <c r="J11499" s="11"/>
      <c r="K11499" s="12">
        <v>0</v>
      </c>
      <c r="L11499" s="10" t="str">
        <f>HYPERLINK("https://otsuka-europe-crm.veevavault.com/ui/#object/approved_document__v/V5O00000001B037", "LUP - VAE Póster Adelphi - Reuma")</f>
        <v>LUP - VAE Póster Adelphi - Reuma</v>
      </c>
      <c r="M11499" s="10" t="str">
        <f>HYPERLINK("mailto:jguri@crm.otsuka-europe.com", "jguri@crm.otsuka-europe.com")</f>
        <v>jguri@crm.otsuka-europe.com</v>
      </c>
      <c r="N11499" s="13">
        <v>46188.795381944445</v>
      </c>
      <c r="O11499" s="14" t="str">
        <f>HYPERLINK("https://otsuka-europe-crm.veevavault.com/ui/#object/email_activity__v/V8C00000003W038", "EN-002096723")</f>
        <v>EN-002096723</v>
      </c>
    </row>
    <row r="11500" spans="1:15" ht="16" x14ac:dyDescent="0.2">
      <c r="A11500" s="17" t="str">
        <f>HYPERLINK("https://otsuka-europe-crm.veevavault.com/ui/#object/account__v/V4TZ025E86NY4VR", "LUCIA RUIZ GUTIERREZ")</f>
        <v>LUCIA RUIZ GUTIERREZ</v>
      </c>
      <c r="B11500" s="17" t="str">
        <f>HYPERLINK("https://otsuka-europe-crm.veevavault.com/ui/#object/vcountry__v/VENZ000004SONF5", "ES")</f>
        <v>ES</v>
      </c>
      <c r="C11500" s="20" t="s">
        <v>41</v>
      </c>
      <c r="D11500" s="21" t="str">
        <f>HYPERLINK("https://otsuka-europe-crm.veevavault.com/ui/#object/approved_document__v/V5O00000001B037", "LUP - VAE Póster Adelphi - Reuma")</f>
        <v>LUP - VAE Póster Adelphi - Reuma</v>
      </c>
      <c r="E11500" s="22" t="str">
        <f>HYPERLINK("https://otsuka-europe-crm.veevavault.com/ui/#object/sent_email__v/VBL00000002V297", "SE-001437186")</f>
        <v>SE-001437186</v>
      </c>
      <c r="F11500" s="23">
        <v>46189.473460648151</v>
      </c>
      <c r="G11500" s="24">
        <v>1</v>
      </c>
      <c r="H11500" s="24">
        <v>3</v>
      </c>
      <c r="I11500" s="24">
        <v>0</v>
      </c>
      <c r="J11500" s="25"/>
      <c r="K11500" s="24">
        <v>0</v>
      </c>
      <c r="L11500" s="22" t="str">
        <f>HYPERLINK("https://otsuka-europe-crm.veevavault.com/ui/#object/approved_document__v/V5O00000001B037", "LUP - VAE Póster Adelphi - Reuma")</f>
        <v>LUP - VAE Póster Adelphi - Reuma</v>
      </c>
      <c r="M11500" s="22" t="str">
        <f>HYPERLINK("mailto:jguri@crm.otsuka-europe.com", "jguri@crm.otsuka-europe.com")</f>
        <v>jguri@crm.otsuka-europe.com</v>
      </c>
      <c r="N11500" s="23">
        <v>46188.795381944445</v>
      </c>
      <c r="O11500" s="14" t="str">
        <f>HYPERLINK("https://otsuka-europe-crm.veevavault.com/ui/#object/email_activity__v/V8C00000003U872", "EN-002096717")</f>
        <v>EN-002096717</v>
      </c>
    </row>
    <row r="11501" spans="1:15" ht="16" x14ac:dyDescent="0.2">
      <c r="A11501" s="18"/>
      <c r="B11501" s="18"/>
      <c r="C11501" s="18"/>
      <c r="D11501" s="18"/>
      <c r="E11501" s="18"/>
      <c r="F11501" s="18"/>
      <c r="G11501" s="18"/>
      <c r="H11501" s="18"/>
      <c r="I11501" s="18"/>
      <c r="J11501" s="18"/>
      <c r="K11501" s="18"/>
      <c r="L11501" s="18"/>
      <c r="M11501" s="18"/>
      <c r="N11501" s="18"/>
      <c r="O11501" s="14" t="str">
        <f>HYPERLINK("https://otsuka-europe-crm.veevavault.com/ui/#object/email_activity__v/V8C00000003U906", "EN-002096794")</f>
        <v>EN-002096794</v>
      </c>
    </row>
    <row r="11502" spans="1:15" ht="16" x14ac:dyDescent="0.2">
      <c r="A11502" s="18"/>
      <c r="B11502" s="18"/>
      <c r="C11502" s="18"/>
      <c r="D11502" s="18"/>
      <c r="E11502" s="18"/>
      <c r="F11502" s="18"/>
      <c r="G11502" s="18"/>
      <c r="H11502" s="18"/>
      <c r="I11502" s="18"/>
      <c r="J11502" s="18"/>
      <c r="K11502" s="18"/>
      <c r="L11502" s="18"/>
      <c r="M11502" s="18"/>
      <c r="N11502" s="18"/>
      <c r="O11502" s="14" t="str">
        <f>HYPERLINK("https://otsuka-europe-crm.veevavault.com/ui/#object/email_activity__v/V8C00000003W047", "EN-002096741")</f>
        <v>EN-002096741</v>
      </c>
    </row>
    <row r="11503" spans="1:15" ht="16" x14ac:dyDescent="0.2">
      <c r="A11503" s="19"/>
      <c r="B11503" s="19"/>
      <c r="C11503" s="19"/>
      <c r="D11503" s="19"/>
      <c r="E11503" s="19"/>
      <c r="F11503" s="19"/>
      <c r="G11503" s="19"/>
      <c r="H11503" s="19"/>
      <c r="I11503" s="19"/>
      <c r="J11503" s="19"/>
      <c r="K11503" s="19"/>
      <c r="L11503" s="19"/>
      <c r="M11503" s="19"/>
      <c r="N11503" s="19"/>
      <c r="O11503" s="14" t="str">
        <f>HYPERLINK("https://otsuka-europe-crm.veevavault.com/ui/#object/email_activity__v/V8C00000003W205", "EN-002097151")</f>
        <v>EN-002097151</v>
      </c>
    </row>
    <row r="11504" spans="1:15" ht="16" x14ac:dyDescent="0.2">
      <c r="A11504" s="17" t="str">
        <f>HYPERLINK("https://otsuka-europe-crm.veevavault.com/ui/#object/account__v/V4TZ025E853JOL2", "MARIA PILAR AHIJADO GUZMAN")</f>
        <v>MARIA PILAR AHIJADO GUZMAN</v>
      </c>
      <c r="B11504" s="17" t="str">
        <f>HYPERLINK("https://otsuka-europe-crm.veevavault.com/ui/#object/vcountry__v/VENZ000004SONF5", "ES")</f>
        <v>ES</v>
      </c>
      <c r="C11504" s="20" t="s">
        <v>41</v>
      </c>
      <c r="D11504" s="21" t="str">
        <f>HYPERLINK("https://otsuka-europe-crm.veevavault.com/ui/#object/approved_document__v/V5O00000001B037", "LUP - VAE Póster Adelphi - Reuma")</f>
        <v>LUP - VAE Póster Adelphi - Reuma</v>
      </c>
      <c r="E11504" s="22" t="str">
        <f>HYPERLINK("https://otsuka-europe-crm.veevavault.com/ui/#object/sent_email__v/VBL00000002V298", "SE-001437187")</f>
        <v>SE-001437187</v>
      </c>
      <c r="F11504" s="25"/>
      <c r="G11504" s="24">
        <v>0</v>
      </c>
      <c r="H11504" s="24">
        <v>0</v>
      </c>
      <c r="I11504" s="24">
        <v>0</v>
      </c>
      <c r="J11504" s="25"/>
      <c r="K11504" s="24">
        <v>0</v>
      </c>
      <c r="L11504" s="22" t="str">
        <f>HYPERLINK("https://otsuka-europe-crm.veevavault.com/ui/#object/approved_document__v/V5O00000001B037", "LUP - VAE Póster Adelphi - Reuma")</f>
        <v>LUP - VAE Póster Adelphi - Reuma</v>
      </c>
      <c r="M11504" s="22" t="str">
        <f>HYPERLINK("mailto:jguri@crm.otsuka-europe.com", "jguri@crm.otsuka-europe.com")</f>
        <v>jguri@crm.otsuka-europe.com</v>
      </c>
      <c r="N11504" s="23">
        <v>46188.795381944445</v>
      </c>
      <c r="O11504" s="14" t="str">
        <f>HYPERLINK("https://otsuka-europe-crm.veevavault.com/ui/#object/email_activity__v/V8C00000003U858", "EN-002096694")</f>
        <v>EN-002096694</v>
      </c>
    </row>
    <row r="11505" spans="1:15" ht="16" x14ac:dyDescent="0.2">
      <c r="A11505" s="19"/>
      <c r="B11505" s="19"/>
      <c r="C11505" s="19"/>
      <c r="D11505" s="19"/>
      <c r="E11505" s="19"/>
      <c r="F11505" s="19"/>
      <c r="G11505" s="19"/>
      <c r="H11505" s="19"/>
      <c r="I11505" s="19"/>
      <c r="J11505" s="19"/>
      <c r="K11505" s="19"/>
      <c r="L11505" s="19"/>
      <c r="M11505" s="19"/>
      <c r="N11505" s="19"/>
      <c r="O11505" s="14" t="str">
        <f>HYPERLINK("https://otsuka-europe-crm.veevavault.com/ui/#object/email_activity__v/V8C00000003U939", "EN-002096863")</f>
        <v>EN-002096863</v>
      </c>
    </row>
    <row r="11506" spans="1:15" ht="16" x14ac:dyDescent="0.2">
      <c r="A11506" s="17" t="str">
        <f>HYPERLINK("https://otsuka-europe-crm.veevavault.com/ui/#object/account__v/V4TZ06G6O71TCJO", "ANTONIO ZAPATERO GAVIRIA")</f>
        <v>ANTONIO ZAPATERO GAVIRIA</v>
      </c>
      <c r="B11506" s="17" t="str">
        <f>HYPERLINK("https://otsuka-europe-crm.veevavault.com/ui/#object/vcountry__v/VENZ000004SONF5", "ES")</f>
        <v>ES</v>
      </c>
      <c r="C11506" s="20" t="s">
        <v>41</v>
      </c>
      <c r="D11506" s="21" t="str">
        <f>HYPERLINK("https://otsuka-europe-crm.veevavault.com/ui/#object/approved_document__v/V5O00000001B037", "LUP - VAE Póster Adelphi - Reuma")</f>
        <v>LUP - VAE Póster Adelphi - Reuma</v>
      </c>
      <c r="E11506" s="22" t="str">
        <f>HYPERLINK("https://otsuka-europe-crm.veevavault.com/ui/#object/sent_email__v/VBL00000002V299", "SE-001437188")</f>
        <v>SE-001437188</v>
      </c>
      <c r="F11506" s="25"/>
      <c r="G11506" s="24">
        <v>0</v>
      </c>
      <c r="H11506" s="24">
        <v>0</v>
      </c>
      <c r="I11506" s="24">
        <v>0</v>
      </c>
      <c r="J11506" s="25"/>
      <c r="K11506" s="24">
        <v>0</v>
      </c>
      <c r="L11506" s="22" t="str">
        <f>HYPERLINK("https://otsuka-europe-crm.veevavault.com/ui/#object/approved_document__v/V5O00000001B037", "LUP - VAE Póster Adelphi - Reuma")</f>
        <v>LUP - VAE Póster Adelphi - Reuma</v>
      </c>
      <c r="M11506" s="22" t="str">
        <f>HYPERLINK("mailto:jguri@crm.otsuka-europe.com", "jguri@crm.otsuka-europe.com")</f>
        <v>jguri@crm.otsuka-europe.com</v>
      </c>
      <c r="N11506" s="23">
        <v>46188.795381944445</v>
      </c>
      <c r="O11506" s="14" t="str">
        <f>HYPERLINK("https://otsuka-europe-crm.veevavault.com/ui/#object/email_activity__v/V8C00000003U859", "EN-002096695")</f>
        <v>EN-002096695</v>
      </c>
    </row>
    <row r="11507" spans="1:15" ht="16" x14ac:dyDescent="0.2">
      <c r="A11507" s="18"/>
      <c r="B11507" s="18"/>
      <c r="C11507" s="18"/>
      <c r="D11507" s="18"/>
      <c r="E11507" s="18"/>
      <c r="F11507" s="18"/>
      <c r="G11507" s="18"/>
      <c r="H11507" s="18"/>
      <c r="I11507" s="18"/>
      <c r="J11507" s="18"/>
      <c r="K11507" s="18"/>
      <c r="L11507" s="18"/>
      <c r="M11507" s="18"/>
      <c r="N11507" s="18"/>
      <c r="O11507" s="14" t="str">
        <f>HYPERLINK("https://otsuka-europe-crm.veevavault.com/ui/#object/email_activity__v/V8C00000003U899", "EN-002096783")</f>
        <v>EN-002096783</v>
      </c>
    </row>
    <row r="11508" spans="1:15" ht="16" x14ac:dyDescent="0.2">
      <c r="A11508" s="18"/>
      <c r="B11508" s="18"/>
      <c r="C11508" s="18"/>
      <c r="D11508" s="18"/>
      <c r="E11508" s="18"/>
      <c r="F11508" s="18"/>
      <c r="G11508" s="18"/>
      <c r="H11508" s="18"/>
      <c r="I11508" s="18"/>
      <c r="J11508" s="18"/>
      <c r="K11508" s="18"/>
      <c r="L11508" s="18"/>
      <c r="M11508" s="18"/>
      <c r="N11508" s="18"/>
      <c r="O11508" s="14" t="str">
        <f>HYPERLINK("https://otsuka-europe-crm.veevavault.com/ui/#object/email_activity__v/V8C00000003W079", "EN-002096806")</f>
        <v>EN-002096806</v>
      </c>
    </row>
    <row r="11509" spans="1:15" ht="16" x14ac:dyDescent="0.2">
      <c r="A11509" s="19"/>
      <c r="B11509" s="19"/>
      <c r="C11509" s="19"/>
      <c r="D11509" s="19"/>
      <c r="E11509" s="19"/>
      <c r="F11509" s="19"/>
      <c r="G11509" s="19"/>
      <c r="H11509" s="19"/>
      <c r="I11509" s="19"/>
      <c r="J11509" s="19"/>
      <c r="K11509" s="19"/>
      <c r="L11509" s="19"/>
      <c r="M11509" s="19"/>
      <c r="N11509" s="19"/>
      <c r="O11509" s="14" t="str">
        <f>HYPERLINK("https://otsuka-europe-crm.veevavault.com/ui/#object/email_activity__v/V8C00000003W305", "EN-002097333")</f>
        <v>EN-002097333</v>
      </c>
    </row>
    <row r="11510" spans="1:15" ht="32" x14ac:dyDescent="0.2">
      <c r="A11510" s="7" t="str">
        <f>HYPERLINK("https://otsuka-europe-crm.veevavault.com/ui/#object/account__v/V4TZ04ASGE77EI5", "ESPERANZA PATO COUR")</f>
        <v>ESPERANZA PATO COUR</v>
      </c>
      <c r="B11510" s="7" t="str">
        <f>HYPERLINK("https://otsuka-europe-crm.veevavault.com/ui/#object/vcountry__v/VENZ000004SONF5", "ES")</f>
        <v>ES</v>
      </c>
      <c r="C11510" s="8" t="s">
        <v>41</v>
      </c>
      <c r="D11510" s="9" t="str">
        <f>HYPERLINK("https://otsuka-europe-crm.veevavault.com/ui/#object/approved_document__v/V5O00000001B037", "LUP - VAE Póster Adelphi - Reuma")</f>
        <v>LUP - VAE Póster Adelphi - Reuma</v>
      </c>
      <c r="E11510" s="10" t="str">
        <f>HYPERLINK("https://otsuka-europe-crm.veevavault.com/ui/#object/sent_email__v/VBL00000002V300", "SE-001437189")</f>
        <v>SE-001437189</v>
      </c>
      <c r="F11510" s="11"/>
      <c r="G11510" s="12">
        <v>0</v>
      </c>
      <c r="H11510" s="12">
        <v>0</v>
      </c>
      <c r="I11510" s="12">
        <v>0</v>
      </c>
      <c r="J11510" s="11"/>
      <c r="K11510" s="12">
        <v>0</v>
      </c>
      <c r="L11510" s="10" t="str">
        <f>HYPERLINK("https://otsuka-europe-crm.veevavault.com/ui/#object/approved_document__v/V5O00000001B037", "LUP - VAE Póster Adelphi - Reuma")</f>
        <v>LUP - VAE Póster Adelphi - Reuma</v>
      </c>
      <c r="M11510" s="10" t="str">
        <f>HYPERLINK("mailto:jguri@crm.otsuka-europe.com", "jguri@crm.otsuka-europe.com")</f>
        <v>jguri@crm.otsuka-europe.com</v>
      </c>
      <c r="N11510" s="13">
        <v>46188.795416666668</v>
      </c>
      <c r="O11510" s="14" t="str">
        <f>HYPERLINK("https://otsuka-europe-crm.veevavault.com/ui/#object/email_activity__v/V8C00000003W010", "EN-002096676")</f>
        <v>EN-002096676</v>
      </c>
    </row>
    <row r="11511" spans="1:15" ht="16" x14ac:dyDescent="0.2">
      <c r="A11511" s="17" t="str">
        <f>HYPERLINK("https://otsuka-europe-crm.veevavault.com/ui/#object/account__v/V4TZ04ASG9ZN0LL", "MARINA SALIDO OLIVARES")</f>
        <v>MARINA SALIDO OLIVARES</v>
      </c>
      <c r="B11511" s="17" t="str">
        <f>HYPERLINK("https://otsuka-europe-crm.veevavault.com/ui/#object/vcountry__v/VENZ000004SONF5", "ES")</f>
        <v>ES</v>
      </c>
      <c r="C11511" s="20" t="s">
        <v>41</v>
      </c>
      <c r="D11511" s="21" t="str">
        <f>HYPERLINK("https://otsuka-europe-crm.veevavault.com/ui/#object/approved_document__v/V5O00000001B037", "LUP - VAE Póster Adelphi - Reuma")</f>
        <v>LUP - VAE Póster Adelphi - Reuma</v>
      </c>
      <c r="E11511" s="22" t="str">
        <f>HYPERLINK("https://otsuka-europe-crm.veevavault.com/ui/#object/sent_email__v/VBL00000002V301", "SE-001437190")</f>
        <v>SE-001437190</v>
      </c>
      <c r="F11511" s="23">
        <v>46189.830300925925</v>
      </c>
      <c r="G11511" s="24">
        <v>1</v>
      </c>
      <c r="H11511" s="24">
        <v>1</v>
      </c>
      <c r="I11511" s="24">
        <v>0</v>
      </c>
      <c r="J11511" s="25"/>
      <c r="K11511" s="24">
        <v>0</v>
      </c>
      <c r="L11511" s="22" t="str">
        <f>HYPERLINK("https://otsuka-europe-crm.veevavault.com/ui/#object/approved_document__v/V5O00000001B037", "LUP - VAE Póster Adelphi - Reuma")</f>
        <v>LUP - VAE Póster Adelphi - Reuma</v>
      </c>
      <c r="M11511" s="22" t="str">
        <f>HYPERLINK("mailto:jguri@crm.otsuka-europe.com", "jguri@crm.otsuka-europe.com")</f>
        <v>jguri@crm.otsuka-europe.com</v>
      </c>
      <c r="N11511" s="23">
        <v>46188.795416666668</v>
      </c>
      <c r="O11511" s="14" t="str">
        <f>HYPERLINK("https://otsuka-europe-crm.veevavault.com/ui/#object/email_activity__v/V8C00000003W021", "EN-002096687")</f>
        <v>EN-002096687</v>
      </c>
    </row>
    <row r="11512" spans="1:15" ht="16" x14ac:dyDescent="0.2">
      <c r="A11512" s="19"/>
      <c r="B11512" s="19"/>
      <c r="C11512" s="19"/>
      <c r="D11512" s="19"/>
      <c r="E11512" s="19"/>
      <c r="F11512" s="19"/>
      <c r="G11512" s="19"/>
      <c r="H11512" s="19"/>
      <c r="I11512" s="19"/>
      <c r="J11512" s="19"/>
      <c r="K11512" s="19"/>
      <c r="L11512" s="19"/>
      <c r="M11512" s="19"/>
      <c r="N11512" s="19"/>
      <c r="O11512" s="14" t="str">
        <f>HYPERLINK("https://otsuka-europe-crm.veevavault.com/ui/#object/email_activity__v/V8C00000003W299", "EN-002097320")</f>
        <v>EN-002097320</v>
      </c>
    </row>
    <row r="11513" spans="1:15" ht="16" x14ac:dyDescent="0.2">
      <c r="A11513" s="17" t="str">
        <f>HYPERLINK("https://otsuka-europe-crm.veevavault.com/ui/#object/account__v/V4TZ04ASGALKW70", "RAQUEL ALVAREZ FRANCO")</f>
        <v>RAQUEL ALVAREZ FRANCO</v>
      </c>
      <c r="B11513" s="17" t="str">
        <f>HYPERLINK("https://otsuka-europe-crm.veevavault.com/ui/#object/vcountry__v/VENZ000004SONF5", "ES")</f>
        <v>ES</v>
      </c>
      <c r="C11513" s="20" t="s">
        <v>41</v>
      </c>
      <c r="D11513" s="21" t="str">
        <f>HYPERLINK("https://otsuka-europe-crm.veevavault.com/ui/#object/approved_document__v/V5O00000001B037", "LUP - VAE Póster Adelphi - Reuma")</f>
        <v>LUP - VAE Póster Adelphi - Reuma</v>
      </c>
      <c r="E11513" s="22" t="str">
        <f>HYPERLINK("https://otsuka-europe-crm.veevavault.com/ui/#object/sent_email__v/VBL00000002V302", "SE-001437191")</f>
        <v>SE-001437191</v>
      </c>
      <c r="F11513" s="25"/>
      <c r="G11513" s="24">
        <v>0</v>
      </c>
      <c r="H11513" s="24">
        <v>0</v>
      </c>
      <c r="I11513" s="24">
        <v>0</v>
      </c>
      <c r="J11513" s="25"/>
      <c r="K11513" s="24">
        <v>0</v>
      </c>
      <c r="L11513" s="22" t="str">
        <f>HYPERLINK("https://otsuka-europe-crm.veevavault.com/ui/#object/approved_document__v/V5O00000001B037", "LUP - VAE Póster Adelphi - Reuma")</f>
        <v>LUP - VAE Póster Adelphi - Reuma</v>
      </c>
      <c r="M11513" s="22" t="str">
        <f>HYPERLINK("mailto:jguri@crm.otsuka-europe.com", "jguri@crm.otsuka-europe.com")</f>
        <v>jguri@crm.otsuka-europe.com</v>
      </c>
      <c r="N11513" s="23">
        <v>46188.795416666668</v>
      </c>
      <c r="O11513" s="14" t="str">
        <f>HYPERLINK("https://otsuka-europe-crm.veevavault.com/ui/#object/email_activity__v/V8C00000003U866", "EN-002096711")</f>
        <v>EN-002096711</v>
      </c>
    </row>
    <row r="11514" spans="1:15" ht="16" x14ac:dyDescent="0.2">
      <c r="A11514" s="19"/>
      <c r="B11514" s="19"/>
      <c r="C11514" s="19"/>
      <c r="D11514" s="19"/>
      <c r="E11514" s="19"/>
      <c r="F11514" s="19"/>
      <c r="G11514" s="19"/>
      <c r="H11514" s="19"/>
      <c r="I11514" s="19"/>
      <c r="J11514" s="19"/>
      <c r="K11514" s="19"/>
      <c r="L11514" s="19"/>
      <c r="M11514" s="19"/>
      <c r="N11514" s="19"/>
      <c r="O11514" s="14" t="str">
        <f>HYPERLINK("https://otsuka-europe-crm.veevavault.com/ui/#object/email_activity__v/V8C00000003W112", "EN-002096864")</f>
        <v>EN-002096864</v>
      </c>
    </row>
    <row r="11515" spans="1:15" ht="16" x14ac:dyDescent="0.2">
      <c r="A11515" s="17" t="str">
        <f>HYPERLINK("https://otsuka-europe-crm.veevavault.com/ui/#object/account__v/V4TZ04ASG9R9KOK", "ANA PEREZ GOMEZ")</f>
        <v>ANA PEREZ GOMEZ</v>
      </c>
      <c r="B11515" s="17" t="str">
        <f>HYPERLINK("https://otsuka-europe-crm.veevavault.com/ui/#object/vcountry__v/VENZ000004SONF5", "ES")</f>
        <v>ES</v>
      </c>
      <c r="C11515" s="20" t="s">
        <v>41</v>
      </c>
      <c r="D11515" s="21" t="str">
        <f>HYPERLINK("https://otsuka-europe-crm.veevavault.com/ui/#object/approved_document__v/V5O00000001B037", "LUP - VAE Póster Adelphi - Reuma")</f>
        <v>LUP - VAE Póster Adelphi - Reuma</v>
      </c>
      <c r="E11515" s="22" t="str">
        <f>HYPERLINK("https://otsuka-europe-crm.veevavault.com/ui/#object/sent_email__v/VBL00000002V303", "SE-001437192")</f>
        <v>SE-001437192</v>
      </c>
      <c r="F11515" s="25"/>
      <c r="G11515" s="24">
        <v>0</v>
      </c>
      <c r="H11515" s="24">
        <v>0</v>
      </c>
      <c r="I11515" s="24">
        <v>0</v>
      </c>
      <c r="J11515" s="25"/>
      <c r="K11515" s="24">
        <v>0</v>
      </c>
      <c r="L11515" s="22" t="str">
        <f>HYPERLINK("https://otsuka-europe-crm.veevavault.com/ui/#object/approved_document__v/V5O00000001B037", "LUP - VAE Póster Adelphi - Reuma")</f>
        <v>LUP - VAE Póster Adelphi - Reuma</v>
      </c>
      <c r="M11515" s="22" t="str">
        <f>HYPERLINK("mailto:jguri@crm.otsuka-europe.com", "jguri@crm.otsuka-europe.com")</f>
        <v>jguri@crm.otsuka-europe.com</v>
      </c>
      <c r="N11515" s="23">
        <v>46188.795416666668</v>
      </c>
      <c r="O11515" s="14" t="str">
        <f>HYPERLINK("https://otsuka-europe-crm.veevavault.com/ui/#object/email_activity__v/V8C00000003U884", "EN-002096749")</f>
        <v>EN-002096749</v>
      </c>
    </row>
    <row r="11516" spans="1:15" ht="16" x14ac:dyDescent="0.2">
      <c r="A11516" s="18"/>
      <c r="B11516" s="18"/>
      <c r="C11516" s="18"/>
      <c r="D11516" s="18"/>
      <c r="E11516" s="18"/>
      <c r="F11516" s="18"/>
      <c r="G11516" s="18"/>
      <c r="H11516" s="18"/>
      <c r="I11516" s="18"/>
      <c r="J11516" s="18"/>
      <c r="K11516" s="18"/>
      <c r="L11516" s="18"/>
      <c r="M11516" s="18"/>
      <c r="N11516" s="18"/>
      <c r="O11516" s="14" t="str">
        <f>HYPERLINK("https://otsuka-europe-crm.veevavault.com/ui/#object/email_activity__v/V8C00000003W033", "EN-002096718")</f>
        <v>EN-002096718</v>
      </c>
    </row>
    <row r="11517" spans="1:15" ht="16" x14ac:dyDescent="0.2">
      <c r="A11517" s="19"/>
      <c r="B11517" s="19"/>
      <c r="C11517" s="19"/>
      <c r="D11517" s="19"/>
      <c r="E11517" s="19"/>
      <c r="F11517" s="19"/>
      <c r="G11517" s="19"/>
      <c r="H11517" s="19"/>
      <c r="I11517" s="19"/>
      <c r="J11517" s="19"/>
      <c r="K11517" s="19"/>
      <c r="L11517" s="19"/>
      <c r="M11517" s="19"/>
      <c r="N11517" s="19"/>
      <c r="O11517" s="14" t="str">
        <f>HYPERLINK("https://otsuka-europe-crm.veevavault.com/ui/#object/email_activity__v/V8C00000003W116", "EN-002096870")</f>
        <v>EN-002096870</v>
      </c>
    </row>
    <row r="11518" spans="1:15" ht="16" x14ac:dyDescent="0.2">
      <c r="A11518" s="17" t="str">
        <f>HYPERLINK("https://otsuka-europe-crm.veevavault.com/ui/#object/account__v/V4TZ06G6O71TA8R", "ANTONIO JAVIER CHAMORRO FERNANDEZ")</f>
        <v>ANTONIO JAVIER CHAMORRO FERNANDEZ</v>
      </c>
      <c r="B11518" s="17" t="str">
        <f>HYPERLINK("https://otsuka-europe-crm.veevavault.com/ui/#object/vcountry__v/VENZ000004SONF5", "ES")</f>
        <v>ES</v>
      </c>
      <c r="C11518" s="20" t="s">
        <v>41</v>
      </c>
      <c r="D11518" s="21" t="str">
        <f>HYPERLINK("https://otsuka-europe-crm.veevavault.com/ui/#object/approved_document__v/V5O00000001B037", "LUP - VAE Póster Adelphi - Reuma")</f>
        <v>LUP - VAE Póster Adelphi - Reuma</v>
      </c>
      <c r="E11518" s="22" t="str">
        <f>HYPERLINK("https://otsuka-europe-crm.veevavault.com/ui/#object/sent_email__v/VBL00000002V304", "SE-001437193")</f>
        <v>SE-001437193</v>
      </c>
      <c r="F11518" s="23">
        <v>46188.798194444447</v>
      </c>
      <c r="G11518" s="24">
        <v>1</v>
      </c>
      <c r="H11518" s="24">
        <v>1</v>
      </c>
      <c r="I11518" s="24">
        <v>0</v>
      </c>
      <c r="J11518" s="25"/>
      <c r="K11518" s="24">
        <v>0</v>
      </c>
      <c r="L11518" s="22" t="str">
        <f>HYPERLINK("https://otsuka-europe-crm.veevavault.com/ui/#object/approved_document__v/V5O00000001B037", "LUP - VAE Póster Adelphi - Reuma")</f>
        <v>LUP - VAE Póster Adelphi - Reuma</v>
      </c>
      <c r="M11518" s="22" t="str">
        <f>HYPERLINK("mailto:jguri@crm.otsuka-europe.com", "jguri@crm.otsuka-europe.com")</f>
        <v>jguri@crm.otsuka-europe.com</v>
      </c>
      <c r="N11518" s="23">
        <v>46188.795416666668</v>
      </c>
      <c r="O11518" s="14" t="str">
        <f>HYPERLINK("https://otsuka-europe-crm.veevavault.com/ui/#object/email_activity__v/V8C00000003U867", "EN-002096712")</f>
        <v>EN-002096712</v>
      </c>
    </row>
    <row r="11519" spans="1:15" ht="16" x14ac:dyDescent="0.2">
      <c r="A11519" s="19"/>
      <c r="B11519" s="19"/>
      <c r="C11519" s="19"/>
      <c r="D11519" s="19"/>
      <c r="E11519" s="19"/>
      <c r="F11519" s="19"/>
      <c r="G11519" s="19"/>
      <c r="H11519" s="19"/>
      <c r="I11519" s="19"/>
      <c r="J11519" s="19"/>
      <c r="K11519" s="19"/>
      <c r="L11519" s="19"/>
      <c r="M11519" s="19"/>
      <c r="N11519" s="19"/>
      <c r="O11519" s="14" t="str">
        <f>HYPERLINK("https://otsuka-europe-crm.veevavault.com/ui/#object/email_activity__v/V8C00000003U879", "EN-002096732")</f>
        <v>EN-002096732</v>
      </c>
    </row>
    <row r="11520" spans="1:15" ht="32" x14ac:dyDescent="0.2">
      <c r="A11520" s="7" t="str">
        <f>HYPERLINK("https://otsuka-europe-crm.veevavault.com/ui/#object/account__v/V4TZ04ASG9UAT00", "JANIRE MALAVE CALZADA")</f>
        <v>JANIRE MALAVE CALZADA</v>
      </c>
      <c r="B11520" s="7" t="str">
        <f>HYPERLINK("https://otsuka-europe-crm.veevavault.com/ui/#object/vcountry__v/VENZ000004SONF5", "ES")</f>
        <v>ES</v>
      </c>
      <c r="C11520" s="8" t="s">
        <v>41</v>
      </c>
      <c r="D11520" s="9" t="str">
        <f>HYPERLINK("https://otsuka-europe-crm.veevavault.com/ui/#object/approved_document__v/V5O00000001B037", "LUP - VAE Póster Adelphi - Reuma")</f>
        <v>LUP - VAE Póster Adelphi - Reuma</v>
      </c>
      <c r="E11520" s="10" t="str">
        <f>HYPERLINK("https://otsuka-europe-crm.veevavault.com/ui/#object/sent_email__v/VBL00000002V305", "SE-001437194")</f>
        <v>SE-001437194</v>
      </c>
      <c r="F11520" s="11"/>
      <c r="G11520" s="12">
        <v>0</v>
      </c>
      <c r="H11520" s="12">
        <v>0</v>
      </c>
      <c r="I11520" s="12">
        <v>0</v>
      </c>
      <c r="J11520" s="11"/>
      <c r="K11520" s="12">
        <v>0</v>
      </c>
      <c r="L11520" s="10" t="str">
        <f>HYPERLINK("https://otsuka-europe-crm.veevavault.com/ui/#object/approved_document__v/V5O00000001B037", "LUP - VAE Póster Adelphi - Reuma")</f>
        <v>LUP - VAE Póster Adelphi - Reuma</v>
      </c>
      <c r="M11520" s="10" t="str">
        <f>HYPERLINK("mailto:jguri@crm.otsuka-europe.com", "jguri@crm.otsuka-europe.com")</f>
        <v>jguri@crm.otsuka-europe.com</v>
      </c>
      <c r="N11520" s="13">
        <v>46188.795416666668</v>
      </c>
      <c r="O11520" s="14" t="str">
        <f>HYPERLINK("https://otsuka-europe-crm.veevavault.com/ui/#object/email_activity__v/V8C00000003U871", "EN-002096716")</f>
        <v>EN-002096716</v>
      </c>
    </row>
    <row r="11521" spans="1:15" ht="32" x14ac:dyDescent="0.2">
      <c r="A11521" s="7" t="str">
        <f>HYPERLINK("https://otsuka-europe-crm.veevavault.com/ui/#object/account__v/V4TZ04ASGABZCPT", "BEGOÑA GUADALUPE FRUTOS PEREZ")</f>
        <v>BEGOÑA GUADALUPE FRUTOS PEREZ</v>
      </c>
      <c r="B11521" s="7" t="str">
        <f>HYPERLINK("https://otsuka-europe-crm.veevavault.com/ui/#object/vcountry__v/VENZ000004SONF5", "ES")</f>
        <v>ES</v>
      </c>
      <c r="C11521" s="8" t="s">
        <v>41</v>
      </c>
      <c r="D11521" s="9" t="str">
        <f>HYPERLINK("https://otsuka-europe-crm.veevavault.com/ui/#object/approved_document__v/V5O00000001B037", "LUP - VAE Póster Adelphi - Reuma")</f>
        <v>LUP - VAE Póster Adelphi - Reuma</v>
      </c>
      <c r="E11521" s="10" t="str">
        <f>HYPERLINK("https://otsuka-europe-crm.veevavault.com/ui/#object/sent_email__v/VBL00000002V306", "SE-001437195")</f>
        <v>SE-001437195</v>
      </c>
      <c r="F11521" s="11"/>
      <c r="G11521" s="12">
        <v>0</v>
      </c>
      <c r="H11521" s="12">
        <v>0</v>
      </c>
      <c r="I11521" s="12">
        <v>0</v>
      </c>
      <c r="J11521" s="11"/>
      <c r="K11521" s="12">
        <v>0</v>
      </c>
      <c r="L11521" s="10" t="str">
        <f>HYPERLINK("https://otsuka-europe-crm.veevavault.com/ui/#object/approved_document__v/V5O00000001B037", "LUP - VAE Póster Adelphi - Reuma")</f>
        <v>LUP - VAE Póster Adelphi - Reuma</v>
      </c>
      <c r="M11521" s="10" t="str">
        <f>HYPERLINK("mailto:jguri@crm.otsuka-europe.com", "jguri@crm.otsuka-europe.com")</f>
        <v>jguri@crm.otsuka-europe.com</v>
      </c>
      <c r="N11521" s="13">
        <v>46188.795416666668</v>
      </c>
      <c r="O11521" s="14" t="str">
        <f>HYPERLINK("https://otsuka-europe-crm.veevavault.com/ui/#object/email_activity__v/V8C00000003W036", "EN-002096721")</f>
        <v>EN-002096721</v>
      </c>
    </row>
    <row r="11522" spans="1:15" ht="16" x14ac:dyDescent="0.2">
      <c r="A11522" s="17" t="str">
        <f>HYPERLINK("https://otsuka-europe-crm.veevavault.com/ui/#object/account__v/V4TZ04ASGAPA4VX", "MARIA ESTHER TOLEDANO MARTINEZ")</f>
        <v>MARIA ESTHER TOLEDANO MARTINEZ</v>
      </c>
      <c r="B11522" s="17" t="str">
        <f>HYPERLINK("https://otsuka-europe-crm.veevavault.com/ui/#object/vcountry__v/VENZ000004SONF5", "ES")</f>
        <v>ES</v>
      </c>
      <c r="C11522" s="20" t="s">
        <v>41</v>
      </c>
      <c r="D11522" s="21" t="str">
        <f>HYPERLINK("https://otsuka-europe-crm.veevavault.com/ui/#object/approved_document__v/V5O00000001B037", "LUP - VAE Póster Adelphi - Reuma")</f>
        <v>LUP - VAE Póster Adelphi - Reuma</v>
      </c>
      <c r="E11522" s="22" t="str">
        <f>HYPERLINK("https://otsuka-europe-crm.veevavault.com/ui/#object/sent_email__v/VBL00000002V307", "SE-001437196")</f>
        <v>SE-001437196</v>
      </c>
      <c r="F11522" s="25"/>
      <c r="G11522" s="24">
        <v>0</v>
      </c>
      <c r="H11522" s="24">
        <v>0</v>
      </c>
      <c r="I11522" s="24">
        <v>0</v>
      </c>
      <c r="J11522" s="25"/>
      <c r="K11522" s="24">
        <v>0</v>
      </c>
      <c r="L11522" s="22" t="str">
        <f>HYPERLINK("https://otsuka-europe-crm.veevavault.com/ui/#object/approved_document__v/V5O00000001B037", "LUP - VAE Póster Adelphi - Reuma")</f>
        <v>LUP - VAE Póster Adelphi - Reuma</v>
      </c>
      <c r="M11522" s="22" t="str">
        <f>HYPERLINK("mailto:jguri@crm.otsuka-europe.com", "jguri@crm.otsuka-europe.com")</f>
        <v>jguri@crm.otsuka-europe.com</v>
      </c>
      <c r="N11522" s="23">
        <v>46188.795416666668</v>
      </c>
      <c r="O11522" s="14" t="str">
        <f>HYPERLINK("https://otsuka-europe-crm.veevavault.com/ui/#object/email_activity__v/V8C00000003U870", "EN-002096715")</f>
        <v>EN-002096715</v>
      </c>
    </row>
    <row r="11523" spans="1:15" ht="16" x14ac:dyDescent="0.2">
      <c r="A11523" s="19"/>
      <c r="B11523" s="19"/>
      <c r="C11523" s="19"/>
      <c r="D11523" s="19"/>
      <c r="E11523" s="19"/>
      <c r="F11523" s="19"/>
      <c r="G11523" s="19"/>
      <c r="H11523" s="19"/>
      <c r="I11523" s="19"/>
      <c r="J11523" s="19"/>
      <c r="K11523" s="19"/>
      <c r="L11523" s="19"/>
      <c r="M11523" s="19"/>
      <c r="N11523" s="19"/>
      <c r="O11523" s="14" t="str">
        <f>HYPERLINK("https://otsuka-europe-crm.veevavault.com/ui/#object/email_activity__v/V8C00000003W319", "EN-002097358")</f>
        <v>EN-002097358</v>
      </c>
    </row>
    <row r="11524" spans="1:15" ht="32" x14ac:dyDescent="0.2">
      <c r="A11524" s="7" t="str">
        <f>HYPERLINK("https://otsuka-europe-crm.veevavault.com/ui/#object/account__v/V4TZ04ASG9UAU21", "MARIA TORRESANO ANDRES")</f>
        <v>MARIA TORRESANO ANDRES</v>
      </c>
      <c r="B11524" s="7" t="str">
        <f>HYPERLINK("https://otsuka-europe-crm.veevavault.com/ui/#object/vcountry__v/VENZ000004SONF5", "ES")</f>
        <v>ES</v>
      </c>
      <c r="C11524" s="8" t="s">
        <v>41</v>
      </c>
      <c r="D11524" s="9" t="str">
        <f>HYPERLINK("https://otsuka-europe-crm.veevavault.com/ui/#object/approved_document__v/V5O00000001B037", "LUP - VAE Póster Adelphi - Reuma")</f>
        <v>LUP - VAE Póster Adelphi - Reuma</v>
      </c>
      <c r="E11524" s="10" t="str">
        <f>HYPERLINK("https://otsuka-europe-crm.veevavault.com/ui/#object/sent_email__v/VBL00000002V308", "SE-001437197")</f>
        <v>SE-001437197</v>
      </c>
      <c r="F11524" s="11"/>
      <c r="G11524" s="12">
        <v>0</v>
      </c>
      <c r="H11524" s="12">
        <v>0</v>
      </c>
      <c r="I11524" s="12">
        <v>0</v>
      </c>
      <c r="J11524" s="11"/>
      <c r="K11524" s="12">
        <v>0</v>
      </c>
      <c r="L11524" s="10" t="str">
        <f>HYPERLINK("https://otsuka-europe-crm.veevavault.com/ui/#object/approved_document__v/V5O00000001B037", "LUP - VAE Póster Adelphi - Reuma")</f>
        <v>LUP - VAE Póster Adelphi - Reuma</v>
      </c>
      <c r="M11524" s="10" t="str">
        <f>HYPERLINK("mailto:jguri@crm.otsuka-europe.com", "jguri@crm.otsuka-europe.com")</f>
        <v>jguri@crm.otsuka-europe.com</v>
      </c>
      <c r="N11524" s="13">
        <v>46188.795416666668</v>
      </c>
      <c r="O11524" s="14" t="str">
        <f>HYPERLINK("https://otsuka-europe-crm.veevavault.com/ui/#object/email_activity__v/V8C00000003W026", "EN-002096702")</f>
        <v>EN-002096702</v>
      </c>
    </row>
    <row r="11525" spans="1:15" ht="32" x14ac:dyDescent="0.2">
      <c r="A11525" s="7" t="str">
        <f>HYPERLINK("https://otsuka-europe-crm.veevavault.com/ui/#object/account__v/V4TZ04ASG9U5CNS", "ESTHER DEL RINCON PADILLA")</f>
        <v>ESTHER DEL RINCON PADILLA</v>
      </c>
      <c r="B11525" s="7" t="str">
        <f>HYPERLINK("https://otsuka-europe-crm.veevavault.com/ui/#object/vcountry__v/VENZ000004SONF5", "ES")</f>
        <v>ES</v>
      </c>
      <c r="C11525" s="8" t="s">
        <v>41</v>
      </c>
      <c r="D11525" s="9" t="str">
        <f>HYPERLINK("https://otsuka-europe-crm.veevavault.com/ui/#object/approved_document__v/V5O00000001B037", "LUP - VAE Póster Adelphi - Reuma")</f>
        <v>LUP - VAE Póster Adelphi - Reuma</v>
      </c>
      <c r="E11525" s="10" t="str">
        <f>HYPERLINK("https://otsuka-europe-crm.veevavault.com/ui/#object/sent_email__v/VBL00000002V309", "SE-001437198")</f>
        <v>SE-001437198</v>
      </c>
      <c r="F11525" s="11"/>
      <c r="G11525" s="12">
        <v>0</v>
      </c>
      <c r="H11525" s="12">
        <v>0</v>
      </c>
      <c r="I11525" s="12">
        <v>0</v>
      </c>
      <c r="J11525" s="11"/>
      <c r="K11525" s="12">
        <v>0</v>
      </c>
      <c r="L11525" s="10" t="str">
        <f>HYPERLINK("https://otsuka-europe-crm.veevavault.com/ui/#object/approved_document__v/V5O00000001B037", "LUP - VAE Póster Adelphi - Reuma")</f>
        <v>LUP - VAE Póster Adelphi - Reuma</v>
      </c>
      <c r="M11525" s="10" t="str">
        <f>HYPERLINK("mailto:jguri@crm.otsuka-europe.com", "jguri@crm.otsuka-europe.com")</f>
        <v>jguri@crm.otsuka-europe.com</v>
      </c>
      <c r="N11525" s="13">
        <v>46188.795416666668</v>
      </c>
      <c r="O11525" s="14" t="str">
        <f>HYPERLINK("https://otsuka-europe-crm.veevavault.com/ui/#object/email_activity__v/V8C00000003W023", "EN-002096689")</f>
        <v>EN-002096689</v>
      </c>
    </row>
    <row r="11526" spans="1:15" ht="16" x14ac:dyDescent="0.2">
      <c r="A11526" s="17" t="str">
        <f>HYPERLINK("https://otsuka-europe-crm.veevavault.com/ui/#object/account__v/V4TZ025E891H1BC", "MIGUEL SEBASTIAN PEDROMINGO KUS")</f>
        <v>MIGUEL SEBASTIAN PEDROMINGO KUS</v>
      </c>
      <c r="B11526" s="17" t="str">
        <f>HYPERLINK("https://otsuka-europe-crm.veevavault.com/ui/#object/vcountry__v/VENZ000004SONF5", "ES")</f>
        <v>ES</v>
      </c>
      <c r="C11526" s="20" t="s">
        <v>41</v>
      </c>
      <c r="D11526" s="21" t="str">
        <f>HYPERLINK("https://otsuka-europe-crm.veevavault.com/ui/#object/approved_document__v/V5O00000001B037", "LUP - VAE Póster Adelphi - Reuma")</f>
        <v>LUP - VAE Póster Adelphi - Reuma</v>
      </c>
      <c r="E11526" s="22" t="str">
        <f>HYPERLINK("https://otsuka-europe-crm.veevavault.com/ui/#object/sent_email__v/VBL00000002V310", "SE-001437199")</f>
        <v>SE-001437199</v>
      </c>
      <c r="F11526" s="23">
        <v>46188.842662037037</v>
      </c>
      <c r="G11526" s="24">
        <v>1</v>
      </c>
      <c r="H11526" s="24">
        <v>1</v>
      </c>
      <c r="I11526" s="24">
        <v>0</v>
      </c>
      <c r="J11526" s="25"/>
      <c r="K11526" s="24">
        <v>0</v>
      </c>
      <c r="L11526" s="22" t="str">
        <f>HYPERLINK("https://otsuka-europe-crm.veevavault.com/ui/#object/approved_document__v/V5O00000001B037", "LUP - VAE Póster Adelphi - Reuma")</f>
        <v>LUP - VAE Póster Adelphi - Reuma</v>
      </c>
      <c r="M11526" s="22" t="str">
        <f>HYPERLINK("mailto:jguri@crm.otsuka-europe.com", "jguri@crm.otsuka-europe.com")</f>
        <v>jguri@crm.otsuka-europe.com</v>
      </c>
      <c r="N11526" s="23">
        <v>46188.795416666668</v>
      </c>
      <c r="O11526" s="14" t="str">
        <f>HYPERLINK("https://otsuka-europe-crm.veevavault.com/ui/#object/email_activity__v/V8C00000003U904", "EN-002096791")</f>
        <v>EN-002096791</v>
      </c>
    </row>
    <row r="11527" spans="1:15" ht="16" x14ac:dyDescent="0.2">
      <c r="A11527" s="19"/>
      <c r="B11527" s="19"/>
      <c r="C11527" s="19"/>
      <c r="D11527" s="19"/>
      <c r="E11527" s="19"/>
      <c r="F11527" s="19"/>
      <c r="G11527" s="19"/>
      <c r="H11527" s="19"/>
      <c r="I11527" s="19"/>
      <c r="J11527" s="19"/>
      <c r="K11527" s="19"/>
      <c r="L11527" s="19"/>
      <c r="M11527" s="19"/>
      <c r="N11527" s="19"/>
      <c r="O11527" s="14" t="str">
        <f>HYPERLINK("https://otsuka-europe-crm.veevavault.com/ui/#object/email_activity__v/V8C00000003W014", "EN-002096680")</f>
        <v>EN-002096680</v>
      </c>
    </row>
    <row r="11528" spans="1:15" ht="32" x14ac:dyDescent="0.2">
      <c r="A11528" s="7" t="str">
        <f>HYPERLINK("https://otsuka-europe-crm.veevavault.com/ui/#object/account__v/V4TZ04ASG95OK44", "CRISTINA VADILLO FONT")</f>
        <v>CRISTINA VADILLO FONT</v>
      </c>
      <c r="B11528" s="7" t="str">
        <f>HYPERLINK("https://otsuka-europe-crm.veevavault.com/ui/#object/vcountry__v/VENZ000004SONF5", "ES")</f>
        <v>ES</v>
      </c>
      <c r="C11528" s="8" t="s">
        <v>41</v>
      </c>
      <c r="D11528" s="9" t="str">
        <f>HYPERLINK("https://otsuka-europe-crm.veevavault.com/ui/#object/approved_document__v/V5O00000001B037", "LUP - VAE Póster Adelphi - Reuma")</f>
        <v>LUP - VAE Póster Adelphi - Reuma</v>
      </c>
      <c r="E11528" s="10" t="str">
        <f>HYPERLINK("https://otsuka-europe-crm.veevavault.com/ui/#object/sent_email__v/VBL00000002V311", "SE-001437200")</f>
        <v>SE-001437200</v>
      </c>
      <c r="F11528" s="11"/>
      <c r="G11528" s="12">
        <v>0</v>
      </c>
      <c r="H11528" s="12">
        <v>0</v>
      </c>
      <c r="I11528" s="12">
        <v>0</v>
      </c>
      <c r="J11528" s="11"/>
      <c r="K11528" s="12">
        <v>0</v>
      </c>
      <c r="L11528" s="10" t="str">
        <f>HYPERLINK("https://otsuka-europe-crm.veevavault.com/ui/#object/approved_document__v/V5O00000001B037", "LUP - VAE Póster Adelphi - Reuma")</f>
        <v>LUP - VAE Póster Adelphi - Reuma</v>
      </c>
      <c r="M11528" s="10" t="str">
        <f>HYPERLINK("mailto:jguri@crm.otsuka-europe.com", "jguri@crm.otsuka-europe.com")</f>
        <v>jguri@crm.otsuka-europe.com</v>
      </c>
      <c r="N11528" s="13">
        <v>46188.795416666668</v>
      </c>
      <c r="O11528" s="14" t="str">
        <f>HYPERLINK("https://otsuka-europe-crm.veevavault.com/ui/#object/email_activity__v/V8C00000003U863", "EN-002096699")</f>
        <v>EN-002096699</v>
      </c>
    </row>
    <row r="11529" spans="1:15" ht="16" x14ac:dyDescent="0.2">
      <c r="A11529" s="17" t="str">
        <f>HYPERLINK("https://otsuka-europe-crm.veevavault.com/ui/#object/account__v/V4TZ04ASG9UCG7Z", "MELCHOR ALVAREZ DE MON SOTO")</f>
        <v>MELCHOR ALVAREZ DE MON SOTO</v>
      </c>
      <c r="B11529" s="17" t="str">
        <f>HYPERLINK("https://otsuka-europe-crm.veevavault.com/ui/#object/vcountry__v/VENZ000004SONF5", "ES")</f>
        <v>ES</v>
      </c>
      <c r="C11529" s="20" t="s">
        <v>41</v>
      </c>
      <c r="D11529" s="21" t="str">
        <f>HYPERLINK("https://otsuka-europe-crm.veevavault.com/ui/#object/approved_document__v/V5O00000001B037", "LUP - VAE Póster Adelphi - Reuma")</f>
        <v>LUP - VAE Póster Adelphi - Reuma</v>
      </c>
      <c r="E11529" s="22" t="str">
        <f>HYPERLINK("https://otsuka-europe-crm.veevavault.com/ui/#object/sent_email__v/VBL00000002V312", "SE-001437201")</f>
        <v>SE-001437201</v>
      </c>
      <c r="F11529" s="25"/>
      <c r="G11529" s="24">
        <v>0</v>
      </c>
      <c r="H11529" s="24">
        <v>0</v>
      </c>
      <c r="I11529" s="24">
        <v>0</v>
      </c>
      <c r="J11529" s="25"/>
      <c r="K11529" s="24">
        <v>0</v>
      </c>
      <c r="L11529" s="22" t="str">
        <f>HYPERLINK("https://otsuka-europe-crm.veevavault.com/ui/#object/approved_document__v/V5O00000001B037", "LUP - VAE Póster Adelphi - Reuma")</f>
        <v>LUP - VAE Póster Adelphi - Reuma</v>
      </c>
      <c r="M11529" s="22" t="str">
        <f>HYPERLINK("mailto:jguri@crm.otsuka-europe.com", "jguri@crm.otsuka-europe.com")</f>
        <v>jguri@crm.otsuka-europe.com</v>
      </c>
      <c r="N11529" s="23">
        <v>46188.795416666668</v>
      </c>
      <c r="O11529" s="14" t="str">
        <f>HYPERLINK("https://otsuka-europe-crm.veevavault.com/ui/#object/email_activity__v/V8C00000003U864", "EN-002096709")</f>
        <v>EN-002096709</v>
      </c>
    </row>
    <row r="11530" spans="1:15" ht="16" x14ac:dyDescent="0.2">
      <c r="A11530" s="18"/>
      <c r="B11530" s="18"/>
      <c r="C11530" s="18"/>
      <c r="D11530" s="18"/>
      <c r="E11530" s="18"/>
      <c r="F11530" s="18"/>
      <c r="G11530" s="18"/>
      <c r="H11530" s="18"/>
      <c r="I11530" s="18"/>
      <c r="J11530" s="18"/>
      <c r="K11530" s="18"/>
      <c r="L11530" s="18"/>
      <c r="M11530" s="18"/>
      <c r="N11530" s="18"/>
      <c r="O11530" s="14" t="str">
        <f>HYPERLINK("https://otsuka-europe-crm.veevavault.com/ui/#object/email_activity__v/V8C00000003U941", "EN-002096869")</f>
        <v>EN-002096869</v>
      </c>
    </row>
    <row r="11531" spans="1:15" ht="16" x14ac:dyDescent="0.2">
      <c r="A11531" s="18"/>
      <c r="B11531" s="18"/>
      <c r="C11531" s="18"/>
      <c r="D11531" s="18"/>
      <c r="E11531" s="18"/>
      <c r="F11531" s="18"/>
      <c r="G11531" s="18"/>
      <c r="H11531" s="18"/>
      <c r="I11531" s="18"/>
      <c r="J11531" s="18"/>
      <c r="K11531" s="18"/>
      <c r="L11531" s="18"/>
      <c r="M11531" s="18"/>
      <c r="N11531" s="18"/>
      <c r="O11531" s="14" t="str">
        <f>HYPERLINK("https://otsuka-europe-crm.veevavault.com/ui/#object/email_activity__v/V8C00000003Z178", "EN-002098954")</f>
        <v>EN-002098954</v>
      </c>
    </row>
    <row r="11532" spans="1:15" ht="16" x14ac:dyDescent="0.2">
      <c r="A11532" s="19"/>
      <c r="B11532" s="19"/>
      <c r="C11532" s="19"/>
      <c r="D11532" s="19"/>
      <c r="E11532" s="19"/>
      <c r="F11532" s="19"/>
      <c r="G11532" s="19"/>
      <c r="H11532" s="19"/>
      <c r="I11532" s="19"/>
      <c r="J11532" s="19"/>
      <c r="K11532" s="19"/>
      <c r="L11532" s="19"/>
      <c r="M11532" s="19"/>
      <c r="N11532" s="19"/>
      <c r="O11532" s="14" t="str">
        <f>HYPERLINK("https://otsuka-europe-crm.veevavault.com/ui/#object/email_activity__v/V8C000000041301", "EN-002100275")</f>
        <v>EN-002100275</v>
      </c>
    </row>
    <row r="11533" spans="1:15" ht="32" x14ac:dyDescent="0.2">
      <c r="A11533" s="7" t="str">
        <f>HYPERLINK("https://otsuka-europe-crm.veevavault.com/ui/#object/account__v/V4TZ06G6OB4BK1Z", "MARIA ISABEL MARTIN MARTIN")</f>
        <v>MARIA ISABEL MARTIN MARTIN</v>
      </c>
      <c r="B11533" s="7" t="str">
        <f>HYPERLINK("https://otsuka-europe-crm.veevavault.com/ui/#object/vcountry__v/VENZ000004SONF5", "ES")</f>
        <v>ES</v>
      </c>
      <c r="C11533" s="8" t="s">
        <v>41</v>
      </c>
      <c r="D11533" s="9" t="str">
        <f>HYPERLINK("https://otsuka-europe-crm.veevavault.com/ui/#object/approved_document__v/V5O00000001B037", "LUP - VAE Póster Adelphi - Reuma")</f>
        <v>LUP - VAE Póster Adelphi - Reuma</v>
      </c>
      <c r="E11533" s="10" t="str">
        <f>HYPERLINK("https://otsuka-europe-crm.veevavault.com/ui/#object/sent_email__v/VBL00000002V313", "SE-001437202")</f>
        <v>SE-001437202</v>
      </c>
      <c r="F11533" s="11"/>
      <c r="G11533" s="12">
        <v>0</v>
      </c>
      <c r="H11533" s="12">
        <v>0</v>
      </c>
      <c r="I11533" s="12">
        <v>0</v>
      </c>
      <c r="J11533" s="11"/>
      <c r="K11533" s="12">
        <v>0</v>
      </c>
      <c r="L11533" s="10" t="str">
        <f>HYPERLINK("https://otsuka-europe-crm.veevavault.com/ui/#object/approved_document__v/V5O00000001B037", "LUP - VAE Póster Adelphi - Reuma")</f>
        <v>LUP - VAE Póster Adelphi - Reuma</v>
      </c>
      <c r="M11533" s="10" t="str">
        <f>HYPERLINK("mailto:jguri@crm.otsuka-europe.com", "jguri@crm.otsuka-europe.com")</f>
        <v>jguri@crm.otsuka-europe.com</v>
      </c>
      <c r="N11533" s="13">
        <v>46188.795416666668</v>
      </c>
      <c r="O11533" s="14" t="str">
        <f>HYPERLINK("https://otsuka-europe-crm.veevavault.com/ui/#object/email_activity__v/V8C00000003W030", "EN-002096706")</f>
        <v>EN-002096706</v>
      </c>
    </row>
    <row r="11534" spans="1:15" ht="32" x14ac:dyDescent="0.2">
      <c r="A11534" s="7" t="str">
        <f>HYPERLINK("https://otsuka-europe-crm.veevavault.com/ui/#object/account__v/V4TZ04ASG9UATYL", "NATALIA LUCAS COLLADO")</f>
        <v>NATALIA LUCAS COLLADO</v>
      </c>
      <c r="B11534" s="7" t="str">
        <f>HYPERLINK("https://otsuka-europe-crm.veevavault.com/ui/#object/vcountry__v/VENZ000004SONF5", "ES")</f>
        <v>ES</v>
      </c>
      <c r="C11534" s="8" t="s">
        <v>41</v>
      </c>
      <c r="D11534" s="9" t="str">
        <f>HYPERLINK("https://otsuka-europe-crm.veevavault.com/ui/#object/approved_document__v/V5O00000001B037", "LUP - VAE Póster Adelphi - Reuma")</f>
        <v>LUP - VAE Póster Adelphi - Reuma</v>
      </c>
      <c r="E11534" s="10" t="str">
        <f>HYPERLINK("https://otsuka-europe-crm.veevavault.com/ui/#object/sent_email__v/VBL00000002V314", "SE-001437203")</f>
        <v>SE-001437203</v>
      </c>
      <c r="F11534" s="11"/>
      <c r="G11534" s="12">
        <v>0</v>
      </c>
      <c r="H11534" s="12">
        <v>0</v>
      </c>
      <c r="I11534" s="12">
        <v>0</v>
      </c>
      <c r="J11534" s="11"/>
      <c r="K11534" s="12">
        <v>0</v>
      </c>
      <c r="L11534" s="10" t="str">
        <f>HYPERLINK("https://otsuka-europe-crm.veevavault.com/ui/#object/approved_document__v/V5O00000001B037", "LUP - VAE Póster Adelphi - Reuma")</f>
        <v>LUP - VAE Póster Adelphi - Reuma</v>
      </c>
      <c r="M11534" s="10" t="str">
        <f>HYPERLINK("mailto:jguri@crm.otsuka-europe.com", "jguri@crm.otsuka-europe.com")</f>
        <v>jguri@crm.otsuka-europe.com</v>
      </c>
      <c r="N11534" s="13">
        <v>46188.795416666668</v>
      </c>
      <c r="O11534" s="14" t="str">
        <f>HYPERLINK("https://otsuka-europe-crm.veevavault.com/ui/#object/email_activity__v/V8C00000003W034", "EN-002096719")</f>
        <v>EN-002096719</v>
      </c>
    </row>
    <row r="11535" spans="1:15" ht="16" x14ac:dyDescent="0.2">
      <c r="A11535" s="17" t="str">
        <f>HYPERLINK("https://otsuka-europe-crm.veevavault.com/ui/#object/account__v/V4TZ04ASGBTZCJS", "MARIA GEMA BONILLA HERNAN")</f>
        <v>MARIA GEMA BONILLA HERNAN</v>
      </c>
      <c r="B11535" s="17" t="str">
        <f>HYPERLINK("https://otsuka-europe-crm.veevavault.com/ui/#object/vcountry__v/VENZ000004SONF5", "ES")</f>
        <v>ES</v>
      </c>
      <c r="C11535" s="20" t="s">
        <v>41</v>
      </c>
      <c r="D11535" s="21" t="str">
        <f>HYPERLINK("https://otsuka-europe-crm.veevavault.com/ui/#object/approved_document__v/V5O00000001B037", "LUP - VAE Póster Adelphi - Reuma")</f>
        <v>LUP - VAE Póster Adelphi - Reuma</v>
      </c>
      <c r="E11535" s="22" t="str">
        <f>HYPERLINK("https://otsuka-europe-crm.veevavault.com/ui/#object/sent_email__v/VBL00000002V315", "SE-001437204")</f>
        <v>SE-001437204</v>
      </c>
      <c r="F11535" s="25"/>
      <c r="G11535" s="24">
        <v>0</v>
      </c>
      <c r="H11535" s="24">
        <v>0</v>
      </c>
      <c r="I11535" s="24">
        <v>0</v>
      </c>
      <c r="J11535" s="25"/>
      <c r="K11535" s="24">
        <v>0</v>
      </c>
      <c r="L11535" s="22" t="str">
        <f>HYPERLINK("https://otsuka-europe-crm.veevavault.com/ui/#object/approved_document__v/V5O00000001B037", "LUP - VAE Póster Adelphi - Reuma")</f>
        <v>LUP - VAE Póster Adelphi - Reuma</v>
      </c>
      <c r="M11535" s="22" t="str">
        <f>HYPERLINK("mailto:jguri@crm.otsuka-europe.com", "jguri@crm.otsuka-europe.com")</f>
        <v>jguri@crm.otsuka-europe.com</v>
      </c>
      <c r="N11535" s="23">
        <v>46188.795416666668</v>
      </c>
      <c r="O11535" s="14" t="str">
        <f>HYPERLINK("https://otsuka-europe-crm.veevavault.com/ui/#object/email_activity__v/V8C00000003W031", "EN-002096707")</f>
        <v>EN-002096707</v>
      </c>
    </row>
    <row r="11536" spans="1:15" ht="16" x14ac:dyDescent="0.2">
      <c r="A11536" s="19"/>
      <c r="B11536" s="19"/>
      <c r="C11536" s="19"/>
      <c r="D11536" s="19"/>
      <c r="E11536" s="19"/>
      <c r="F11536" s="19"/>
      <c r="G11536" s="19"/>
      <c r="H11536" s="19"/>
      <c r="I11536" s="19"/>
      <c r="J11536" s="19"/>
      <c r="K11536" s="19"/>
      <c r="L11536" s="19"/>
      <c r="M11536" s="19"/>
      <c r="N11536" s="19"/>
      <c r="O11536" s="14" t="str">
        <f>HYPERLINK("https://otsuka-europe-crm.veevavault.com/ui/#object/email_activity__v/V8C00000003X227", "EN-002097353")</f>
        <v>EN-002097353</v>
      </c>
    </row>
    <row r="11537" spans="1:15" ht="16" x14ac:dyDescent="0.2">
      <c r="A11537" s="17" t="str">
        <f>HYPERLINK("https://otsuka-europe-crm.veevavault.com/ui/#object/account__v/V4TZ025E86JEEZ5", "ANA MELISSA ANZOLA ALFARO")</f>
        <v>ANA MELISSA ANZOLA ALFARO</v>
      </c>
      <c r="B11537" s="17" t="str">
        <f>HYPERLINK("https://otsuka-europe-crm.veevavault.com/ui/#object/vcountry__v/VENZ000004SONF5", "ES")</f>
        <v>ES</v>
      </c>
      <c r="C11537" s="20" t="s">
        <v>41</v>
      </c>
      <c r="D11537" s="21" t="str">
        <f>HYPERLINK("https://otsuka-europe-crm.veevavault.com/ui/#object/approved_document__v/V5O00000001B037", "LUP - VAE Póster Adelphi - Reuma")</f>
        <v>LUP - VAE Póster Adelphi - Reuma</v>
      </c>
      <c r="E11537" s="22" t="str">
        <f>HYPERLINK("https://otsuka-europe-crm.veevavault.com/ui/#object/sent_email__v/VBL00000002V316", "SE-001437205")</f>
        <v>SE-001437205</v>
      </c>
      <c r="F11537" s="25"/>
      <c r="G11537" s="24">
        <v>0</v>
      </c>
      <c r="H11537" s="24">
        <v>0</v>
      </c>
      <c r="I11537" s="24">
        <v>0</v>
      </c>
      <c r="J11537" s="25"/>
      <c r="K11537" s="24">
        <v>0</v>
      </c>
      <c r="L11537" s="22" t="str">
        <f>HYPERLINK("https://otsuka-europe-crm.veevavault.com/ui/#object/approved_document__v/V5O00000001B037", "LUP - VAE Póster Adelphi - Reuma")</f>
        <v>LUP - VAE Póster Adelphi - Reuma</v>
      </c>
      <c r="M11537" s="22" t="str">
        <f>HYPERLINK("mailto:jguri@crm.otsuka-europe.com", "jguri@crm.otsuka-europe.com")</f>
        <v>jguri@crm.otsuka-europe.com</v>
      </c>
      <c r="N11537" s="23">
        <v>46188.795416666668</v>
      </c>
      <c r="O11537" s="14" t="str">
        <f>HYPERLINK("https://otsuka-europe-crm.veevavault.com/ui/#object/email_activity__v/V8C00000003U862", "EN-002096698")</f>
        <v>EN-002096698</v>
      </c>
    </row>
    <row r="11538" spans="1:15" ht="16" x14ac:dyDescent="0.2">
      <c r="A11538" s="18"/>
      <c r="B11538" s="18"/>
      <c r="C11538" s="18"/>
      <c r="D11538" s="18"/>
      <c r="E11538" s="18"/>
      <c r="F11538" s="18"/>
      <c r="G11538" s="18"/>
      <c r="H11538" s="18"/>
      <c r="I11538" s="18"/>
      <c r="J11538" s="18"/>
      <c r="K11538" s="18"/>
      <c r="L11538" s="18"/>
      <c r="M11538" s="18"/>
      <c r="N11538" s="18"/>
      <c r="O11538" s="14" t="str">
        <f>HYPERLINK("https://otsuka-europe-crm.veevavault.com/ui/#object/email_activity__v/V8C00000003U947", "EN-002096879")</f>
        <v>EN-002096879</v>
      </c>
    </row>
    <row r="11539" spans="1:15" ht="16" x14ac:dyDescent="0.2">
      <c r="A11539" s="18"/>
      <c r="B11539" s="18"/>
      <c r="C11539" s="18"/>
      <c r="D11539" s="18"/>
      <c r="E11539" s="18"/>
      <c r="F11539" s="18"/>
      <c r="G11539" s="18"/>
      <c r="H11539" s="18"/>
      <c r="I11539" s="18"/>
      <c r="J11539" s="18"/>
      <c r="K11539" s="18"/>
      <c r="L11539" s="18"/>
      <c r="M11539" s="18"/>
      <c r="N11539" s="18"/>
      <c r="O11539" s="14" t="str">
        <f>HYPERLINK("https://otsuka-europe-crm.veevavault.com/ui/#object/email_activity__v/V8C000000040152", "EN-002098969")</f>
        <v>EN-002098969</v>
      </c>
    </row>
    <row r="11540" spans="1:15" ht="16" x14ac:dyDescent="0.2">
      <c r="A11540" s="19"/>
      <c r="B11540" s="19"/>
      <c r="C11540" s="19"/>
      <c r="D11540" s="19"/>
      <c r="E11540" s="19"/>
      <c r="F11540" s="19"/>
      <c r="G11540" s="19"/>
      <c r="H11540" s="19"/>
      <c r="I11540" s="19"/>
      <c r="J11540" s="19"/>
      <c r="K11540" s="19"/>
      <c r="L11540" s="19"/>
      <c r="M11540" s="19"/>
      <c r="N11540" s="19"/>
      <c r="O11540" s="14" t="str">
        <f>HYPERLINK("https://otsuka-europe-crm.veevavault.com/ui/#object/email_activity__v/V8C000000042237", "EN-002100181")</f>
        <v>EN-002100181</v>
      </c>
    </row>
    <row r="11541" spans="1:15" ht="16" x14ac:dyDescent="0.2">
      <c r="A11541" s="17" t="str">
        <f>HYPERLINK("https://otsuka-europe-crm.veevavault.com/ui/#object/account__v/V4TZ025E86L31XA", "JOSE CAMPOS ESTEBAN")</f>
        <v>JOSE CAMPOS ESTEBAN</v>
      </c>
      <c r="B11541" s="17" t="str">
        <f>HYPERLINK("https://otsuka-europe-crm.veevavault.com/ui/#object/vcountry__v/VENZ000004SONF5", "ES")</f>
        <v>ES</v>
      </c>
      <c r="C11541" s="20" t="s">
        <v>41</v>
      </c>
      <c r="D11541" s="21" t="str">
        <f>HYPERLINK("https://otsuka-europe-crm.veevavault.com/ui/#object/approved_document__v/V5O00000001B037", "LUP - VAE Póster Adelphi - Reuma")</f>
        <v>LUP - VAE Póster Adelphi - Reuma</v>
      </c>
      <c r="E11541" s="22" t="str">
        <f>HYPERLINK("https://otsuka-europe-crm.veevavault.com/ui/#object/sent_email__v/VBL00000002V317", "SE-001437206")</f>
        <v>SE-001437206</v>
      </c>
      <c r="F11541" s="23">
        <v>46189.276932870373</v>
      </c>
      <c r="G11541" s="24">
        <v>1</v>
      </c>
      <c r="H11541" s="24">
        <v>1</v>
      </c>
      <c r="I11541" s="24">
        <v>1</v>
      </c>
      <c r="J11541" s="23">
        <v>46189.276932870373</v>
      </c>
      <c r="K11541" s="24">
        <v>1</v>
      </c>
      <c r="L11541" s="22" t="str">
        <f>HYPERLINK("https://otsuka-europe-crm.veevavault.com/ui/#object/approved_document__v/V5O00000001B037", "LUP - VAE Póster Adelphi - Reuma")</f>
        <v>LUP - VAE Póster Adelphi - Reuma</v>
      </c>
      <c r="M11541" s="22" t="str">
        <f>HYPERLINK("mailto:jguri@crm.otsuka-europe.com", "jguri@crm.otsuka-europe.com")</f>
        <v>jguri@crm.otsuka-europe.com</v>
      </c>
      <c r="N11541" s="23">
        <v>46188.795416666668</v>
      </c>
      <c r="O11541" s="14" t="str">
        <f>HYPERLINK("https://otsuka-europe-crm.veevavault.com/ui/#object/email_activity__v/V8C00000003U952", "EN-002096890")</f>
        <v>EN-002096890</v>
      </c>
    </row>
    <row r="11542" spans="1:15" ht="16" x14ac:dyDescent="0.2">
      <c r="A11542" s="18"/>
      <c r="B11542" s="18"/>
      <c r="C11542" s="18"/>
      <c r="D11542" s="18"/>
      <c r="E11542" s="18"/>
      <c r="F11542" s="18"/>
      <c r="G11542" s="18"/>
      <c r="H11542" s="18"/>
      <c r="I11542" s="18"/>
      <c r="J11542" s="18"/>
      <c r="K11542" s="18"/>
      <c r="L11542" s="18"/>
      <c r="M11542" s="18"/>
      <c r="N11542" s="18"/>
      <c r="O11542" s="14" t="str">
        <f>HYPERLINK("https://otsuka-europe-crm.veevavault.com/ui/#object/email_activity__v/V8C00000003U953", "EN-002096889")</f>
        <v>EN-002096889</v>
      </c>
    </row>
    <row r="11543" spans="1:15" ht="16" x14ac:dyDescent="0.2">
      <c r="A11543" s="18"/>
      <c r="B11543" s="18"/>
      <c r="C11543" s="18"/>
      <c r="D11543" s="18"/>
      <c r="E11543" s="18"/>
      <c r="F11543" s="18"/>
      <c r="G11543" s="18"/>
      <c r="H11543" s="18"/>
      <c r="I11543" s="18"/>
      <c r="J11543" s="18"/>
      <c r="K11543" s="18"/>
      <c r="L11543" s="18"/>
      <c r="M11543" s="18"/>
      <c r="N11543" s="18"/>
      <c r="O11543" s="14" t="str">
        <f>HYPERLINK("https://otsuka-europe-crm.veevavault.com/ui/#object/email_activity__v/V8C00000003W019", "EN-002096685")</f>
        <v>EN-002096685</v>
      </c>
    </row>
    <row r="11544" spans="1:15" ht="16" x14ac:dyDescent="0.2">
      <c r="A11544" s="18"/>
      <c r="B11544" s="18"/>
      <c r="C11544" s="18"/>
      <c r="D11544" s="18"/>
      <c r="E11544" s="18"/>
      <c r="F11544" s="18"/>
      <c r="G11544" s="18"/>
      <c r="H11544" s="18"/>
      <c r="I11544" s="18"/>
      <c r="J11544" s="18"/>
      <c r="K11544" s="18"/>
      <c r="L11544" s="18"/>
      <c r="M11544" s="18"/>
      <c r="N11544" s="18"/>
      <c r="O11544" s="14" t="str">
        <f>HYPERLINK("https://otsuka-europe-crm.veevavault.com/ui/#object/email_activity__v/V8C00000003W130", "EN-002096897")</f>
        <v>EN-002096897</v>
      </c>
    </row>
    <row r="11545" spans="1:15" ht="16" x14ac:dyDescent="0.2">
      <c r="A11545" s="18"/>
      <c r="B11545" s="18"/>
      <c r="C11545" s="18"/>
      <c r="D11545" s="18"/>
      <c r="E11545" s="18"/>
      <c r="F11545" s="18"/>
      <c r="G11545" s="18"/>
      <c r="H11545" s="18"/>
      <c r="I11545" s="18"/>
      <c r="J11545" s="18"/>
      <c r="K11545" s="18"/>
      <c r="L11545" s="18"/>
      <c r="M11545" s="18"/>
      <c r="N11545" s="18"/>
      <c r="O11545" s="14" t="str">
        <f>HYPERLINK("https://otsuka-europe-crm.veevavault.com/ui/#object/email_activity__v/V8C00000003W133", "EN-002096900")</f>
        <v>EN-002096900</v>
      </c>
    </row>
    <row r="11546" spans="1:15" ht="16" x14ac:dyDescent="0.2">
      <c r="A11546" s="19"/>
      <c r="B11546" s="19"/>
      <c r="C11546" s="19"/>
      <c r="D11546" s="19"/>
      <c r="E11546" s="19"/>
      <c r="F11546" s="19"/>
      <c r="G11546" s="19"/>
      <c r="H11546" s="19"/>
      <c r="I11546" s="19"/>
      <c r="J11546" s="19"/>
      <c r="K11546" s="19"/>
      <c r="L11546" s="19"/>
      <c r="M11546" s="19"/>
      <c r="N11546" s="19"/>
      <c r="O11546" s="14" t="str">
        <f>HYPERLINK("https://otsuka-europe-crm.veevavault.com/ui/#object/email_activity__v/V8C00000003W135", "EN-002096902")</f>
        <v>EN-002096902</v>
      </c>
    </row>
    <row r="11547" spans="1:15" ht="16" x14ac:dyDescent="0.2">
      <c r="A11547" s="17" t="str">
        <f>HYPERLINK("https://otsuka-europe-crm.veevavault.com/ui/#object/account__v/V4TZ04ASG9ZBEGG", "MARIA CARMEN ORTEGA DE LA O")</f>
        <v>MARIA CARMEN ORTEGA DE LA O</v>
      </c>
      <c r="B11547" s="17" t="str">
        <f>HYPERLINK("https://otsuka-europe-crm.veevavault.com/ui/#object/vcountry__v/VENZ000004SONF5", "ES")</f>
        <v>ES</v>
      </c>
      <c r="C11547" s="20" t="s">
        <v>41</v>
      </c>
      <c r="D11547" s="21" t="str">
        <f>HYPERLINK("https://otsuka-europe-crm.veevavault.com/ui/#object/approved_document__v/V5O00000001B037", "LUP - VAE Póster Adelphi - Reuma")</f>
        <v>LUP - VAE Póster Adelphi - Reuma</v>
      </c>
      <c r="E11547" s="22" t="str">
        <f>HYPERLINK("https://otsuka-europe-crm.veevavault.com/ui/#object/sent_email__v/VBL00000002V318", "SE-001437207")</f>
        <v>SE-001437207</v>
      </c>
      <c r="F11547" s="25"/>
      <c r="G11547" s="24">
        <v>0</v>
      </c>
      <c r="H11547" s="24">
        <v>0</v>
      </c>
      <c r="I11547" s="24">
        <v>0</v>
      </c>
      <c r="J11547" s="25"/>
      <c r="K11547" s="24">
        <v>0</v>
      </c>
      <c r="L11547" s="22" t="str">
        <f>HYPERLINK("https://otsuka-europe-crm.veevavault.com/ui/#object/approved_document__v/V5O00000001B037", "LUP - VAE Póster Adelphi - Reuma")</f>
        <v>LUP - VAE Póster Adelphi - Reuma</v>
      </c>
      <c r="M11547" s="22" t="str">
        <f>HYPERLINK("mailto:jguri@crm.otsuka-europe.com", "jguri@crm.otsuka-europe.com")</f>
        <v>jguri@crm.otsuka-europe.com</v>
      </c>
      <c r="N11547" s="23">
        <v>46188.795416666668</v>
      </c>
      <c r="O11547" s="14" t="str">
        <f>HYPERLINK("https://otsuka-europe-crm.veevavault.com/ui/#object/email_activity__v/V8C00000003U934", "EN-002096845")</f>
        <v>EN-002096845</v>
      </c>
    </row>
    <row r="11548" spans="1:15" ht="16" x14ac:dyDescent="0.2">
      <c r="A11548" s="18"/>
      <c r="B11548" s="18"/>
      <c r="C11548" s="18"/>
      <c r="D11548" s="18"/>
      <c r="E11548" s="18"/>
      <c r="F11548" s="18"/>
      <c r="G11548" s="18"/>
      <c r="H11548" s="18"/>
      <c r="I11548" s="18"/>
      <c r="J11548" s="18"/>
      <c r="K11548" s="18"/>
      <c r="L11548" s="18"/>
      <c r="M11548" s="18"/>
      <c r="N11548" s="18"/>
      <c r="O11548" s="14" t="str">
        <f>HYPERLINK("https://otsuka-europe-crm.veevavault.com/ui/#object/email_activity__v/V8C00000003W015", "EN-002096681")</f>
        <v>EN-002096681</v>
      </c>
    </row>
    <row r="11549" spans="1:15" ht="16" x14ac:dyDescent="0.2">
      <c r="A11549" s="18"/>
      <c r="B11549" s="18"/>
      <c r="C11549" s="18"/>
      <c r="D11549" s="18"/>
      <c r="E11549" s="18"/>
      <c r="F11549" s="18"/>
      <c r="G11549" s="18"/>
      <c r="H11549" s="18"/>
      <c r="I11549" s="18"/>
      <c r="J11549" s="18"/>
      <c r="K11549" s="18"/>
      <c r="L11549" s="18"/>
      <c r="M11549" s="18"/>
      <c r="N11549" s="18"/>
      <c r="O11549" s="14" t="str">
        <f>HYPERLINK("https://otsuka-europe-crm.veevavault.com/ui/#object/email_activity__v/V8C00000003W264", "EN-002097246")</f>
        <v>EN-002097246</v>
      </c>
    </row>
    <row r="11550" spans="1:15" ht="16" x14ac:dyDescent="0.2">
      <c r="A11550" s="18"/>
      <c r="B11550" s="18"/>
      <c r="C11550" s="18"/>
      <c r="D11550" s="18"/>
      <c r="E11550" s="18"/>
      <c r="F11550" s="18"/>
      <c r="G11550" s="18"/>
      <c r="H11550" s="18"/>
      <c r="I11550" s="18"/>
      <c r="J11550" s="18"/>
      <c r="K11550" s="18"/>
      <c r="L11550" s="18"/>
      <c r="M11550" s="18"/>
      <c r="N11550" s="18"/>
      <c r="O11550" s="14" t="str">
        <f>HYPERLINK("https://otsuka-europe-crm.veevavault.com/ui/#object/email_activity__v/V8C00000003X903", "EN-002098433")</f>
        <v>EN-002098433</v>
      </c>
    </row>
    <row r="11551" spans="1:15" ht="16" x14ac:dyDescent="0.2">
      <c r="A11551" s="19"/>
      <c r="B11551" s="19"/>
      <c r="C11551" s="19"/>
      <c r="D11551" s="19"/>
      <c r="E11551" s="19"/>
      <c r="F11551" s="19"/>
      <c r="G11551" s="19"/>
      <c r="H11551" s="19"/>
      <c r="I11551" s="19"/>
      <c r="J11551" s="19"/>
      <c r="K11551" s="19"/>
      <c r="L11551" s="19"/>
      <c r="M11551" s="19"/>
      <c r="N11551" s="19"/>
      <c r="O11551" s="14" t="str">
        <f>HYPERLINK("https://otsuka-europe-crm.veevavault.com/ui/#object/email_activity__v/V8C00000003X923", "EN-002098464")</f>
        <v>EN-002098464</v>
      </c>
    </row>
    <row r="11552" spans="1:15" ht="16" x14ac:dyDescent="0.2">
      <c r="A11552" s="17" t="str">
        <f>HYPERLINK("https://otsuka-europe-crm.veevavault.com/ui/#object/account__v/V4TZ06G6O71TYGS", "XAVIER RIVAS REGAIRA")</f>
        <v>XAVIER RIVAS REGAIRA</v>
      </c>
      <c r="B11552" s="17" t="str">
        <f>HYPERLINK("https://otsuka-europe-crm.veevavault.com/ui/#object/vcountry__v/VENZ000004SONF5", "ES")</f>
        <v>ES</v>
      </c>
      <c r="C11552" s="20" t="s">
        <v>41</v>
      </c>
      <c r="D11552" s="21" t="str">
        <f>HYPERLINK("https://otsuka-europe-crm.veevavault.com/ui/#object/approved_document__v/V5O00000001B037", "LUP - VAE Póster Adelphi - Reuma")</f>
        <v>LUP - VAE Póster Adelphi - Reuma</v>
      </c>
      <c r="E11552" s="22" t="str">
        <f>HYPERLINK("https://otsuka-europe-crm.veevavault.com/ui/#object/sent_email__v/VBL00000002V319", "SE-001437208")</f>
        <v>SE-001437208</v>
      </c>
      <c r="F11552" s="25"/>
      <c r="G11552" s="24">
        <v>0</v>
      </c>
      <c r="H11552" s="24">
        <v>0</v>
      </c>
      <c r="I11552" s="24">
        <v>0</v>
      </c>
      <c r="J11552" s="25"/>
      <c r="K11552" s="24">
        <v>0</v>
      </c>
      <c r="L11552" s="22" t="str">
        <f>HYPERLINK("https://otsuka-europe-crm.veevavault.com/ui/#object/approved_document__v/V5O00000001B037", "LUP - VAE Póster Adelphi - Reuma")</f>
        <v>LUP - VAE Póster Adelphi - Reuma</v>
      </c>
      <c r="M11552" s="22" t="str">
        <f>HYPERLINK("mailto:jguri@crm.otsuka-europe.com", "jguri@crm.otsuka-europe.com")</f>
        <v>jguri@crm.otsuka-europe.com</v>
      </c>
      <c r="N11552" s="23">
        <v>46188.795416666668</v>
      </c>
      <c r="O11552" s="14" t="str">
        <f>HYPERLINK("https://otsuka-europe-crm.veevavault.com/ui/#object/email_activity__v/V8C00000003U868", "EN-002096713")</f>
        <v>EN-002096713</v>
      </c>
    </row>
    <row r="11553" spans="1:15" ht="16" x14ac:dyDescent="0.2">
      <c r="A11553" s="19"/>
      <c r="B11553" s="19"/>
      <c r="C11553" s="19"/>
      <c r="D11553" s="19"/>
      <c r="E11553" s="19"/>
      <c r="F11553" s="19"/>
      <c r="G11553" s="19"/>
      <c r="H11553" s="19"/>
      <c r="I11553" s="19"/>
      <c r="J11553" s="19"/>
      <c r="K11553" s="19"/>
      <c r="L11553" s="19"/>
      <c r="M11553" s="19"/>
      <c r="N11553" s="19"/>
      <c r="O11553" s="14" t="str">
        <f>HYPERLINK("https://otsuka-europe-crm.veevavault.com/ui/#object/email_activity__v/V8C00000003U923", "EN-002096826")</f>
        <v>EN-002096826</v>
      </c>
    </row>
    <row r="11554" spans="1:15" ht="16" x14ac:dyDescent="0.2">
      <c r="A11554" s="17" t="str">
        <f>HYPERLINK("https://otsuka-europe-crm.veevavault.com/ui/#object/account__v/V4TZ06G6O71TB2H", "MIGUEL MARCOS MARTIN")</f>
        <v>MIGUEL MARCOS MARTIN</v>
      </c>
      <c r="B11554" s="17" t="str">
        <f>HYPERLINK("https://otsuka-europe-crm.veevavault.com/ui/#object/vcountry__v/VENZ000004SONF5", "ES")</f>
        <v>ES</v>
      </c>
      <c r="C11554" s="20" t="s">
        <v>41</v>
      </c>
      <c r="D11554" s="21" t="str">
        <f>HYPERLINK("https://otsuka-europe-crm.veevavault.com/ui/#object/approved_document__v/V5O00000001B037", "LUP - VAE Póster Adelphi - Reuma")</f>
        <v>LUP - VAE Póster Adelphi - Reuma</v>
      </c>
      <c r="E11554" s="22" t="str">
        <f>HYPERLINK("https://otsuka-europe-crm.veevavault.com/ui/#object/sent_email__v/VBL00000002V320", "SE-001437209")</f>
        <v>SE-001437209</v>
      </c>
      <c r="F11554" s="23">
        <v>46188.810937499999</v>
      </c>
      <c r="G11554" s="24">
        <v>1</v>
      </c>
      <c r="H11554" s="24">
        <v>2</v>
      </c>
      <c r="I11554" s="24">
        <v>0</v>
      </c>
      <c r="J11554" s="25"/>
      <c r="K11554" s="24">
        <v>0</v>
      </c>
      <c r="L11554" s="22" t="str">
        <f>HYPERLINK("https://otsuka-europe-crm.veevavault.com/ui/#object/approved_document__v/V5O00000001B037", "LUP - VAE Póster Adelphi - Reuma")</f>
        <v>LUP - VAE Póster Adelphi - Reuma</v>
      </c>
      <c r="M11554" s="22" t="str">
        <f>HYPERLINK("mailto:jguri@crm.otsuka-europe.com", "jguri@crm.otsuka-europe.com")</f>
        <v>jguri@crm.otsuka-europe.com</v>
      </c>
      <c r="N11554" s="23">
        <v>46188.795416666668</v>
      </c>
      <c r="O11554" s="14" t="str">
        <f>HYPERLINK("https://otsuka-europe-crm.veevavault.com/ui/#object/email_activity__v/V8C00000003U883", "EN-002096747")</f>
        <v>EN-002096747</v>
      </c>
    </row>
    <row r="11555" spans="1:15" ht="16" x14ac:dyDescent="0.2">
      <c r="A11555" s="18"/>
      <c r="B11555" s="18"/>
      <c r="C11555" s="18"/>
      <c r="D11555" s="18"/>
      <c r="E11555" s="18"/>
      <c r="F11555" s="18"/>
      <c r="G11555" s="18"/>
      <c r="H11555" s="18"/>
      <c r="I11555" s="18"/>
      <c r="J11555" s="18"/>
      <c r="K11555" s="18"/>
      <c r="L11555" s="18"/>
      <c r="M11555" s="18"/>
      <c r="N11555" s="18"/>
      <c r="O11555" s="14" t="str">
        <f>HYPERLINK("https://otsuka-europe-crm.veevavault.com/ui/#object/email_activity__v/V8C00000003W018", "EN-002096684")</f>
        <v>EN-002096684</v>
      </c>
    </row>
    <row r="11556" spans="1:15" ht="16" x14ac:dyDescent="0.2">
      <c r="A11556" s="19"/>
      <c r="B11556" s="19"/>
      <c r="C11556" s="19"/>
      <c r="D11556" s="19"/>
      <c r="E11556" s="19"/>
      <c r="F11556" s="19"/>
      <c r="G11556" s="19"/>
      <c r="H11556" s="19"/>
      <c r="I11556" s="19"/>
      <c r="J11556" s="19"/>
      <c r="K11556" s="19"/>
      <c r="L11556" s="19"/>
      <c r="M11556" s="19"/>
      <c r="N11556" s="19"/>
      <c r="O11556" s="14" t="str">
        <f>HYPERLINK("https://otsuka-europe-crm.veevavault.com/ui/#object/email_activity__v/V8C00000003W053", "EN-002096750")</f>
        <v>EN-002096750</v>
      </c>
    </row>
    <row r="11557" spans="1:15" ht="16" x14ac:dyDescent="0.2">
      <c r="A11557" s="17" t="str">
        <f>HYPERLINK("https://otsuka-europe-crm.veevavault.com/ui/#object/account__v/V4TZ04ASGB4G2W4", "ANGELA HERRANZ VARELA")</f>
        <v>ANGELA HERRANZ VARELA</v>
      </c>
      <c r="B11557" s="17" t="str">
        <f>HYPERLINK("https://otsuka-europe-crm.veevavault.com/ui/#object/vcountry__v/VENZ000004SONF5", "ES")</f>
        <v>ES</v>
      </c>
      <c r="C11557" s="20" t="s">
        <v>41</v>
      </c>
      <c r="D11557" s="21" t="str">
        <f>HYPERLINK("https://otsuka-europe-crm.veevavault.com/ui/#object/approved_document__v/V5O00000001B037", "LUP - VAE Póster Adelphi - Reuma")</f>
        <v>LUP - VAE Póster Adelphi - Reuma</v>
      </c>
      <c r="E11557" s="22" t="str">
        <f>HYPERLINK("https://otsuka-europe-crm.veevavault.com/ui/#object/sent_email__v/VBL00000002V321", "SE-001437210")</f>
        <v>SE-001437210</v>
      </c>
      <c r="F11557" s="23">
        <v>46188.826435185183</v>
      </c>
      <c r="G11557" s="24">
        <v>1</v>
      </c>
      <c r="H11557" s="24">
        <v>1</v>
      </c>
      <c r="I11557" s="24">
        <v>0</v>
      </c>
      <c r="J11557" s="25"/>
      <c r="K11557" s="24">
        <v>0</v>
      </c>
      <c r="L11557" s="22" t="str">
        <f>HYPERLINK("https://otsuka-europe-crm.veevavault.com/ui/#object/approved_document__v/V5O00000001B037", "LUP - VAE Póster Adelphi - Reuma")</f>
        <v>LUP - VAE Póster Adelphi - Reuma</v>
      </c>
      <c r="M11557" s="22" t="str">
        <f>HYPERLINK("mailto:jguri@crm.otsuka-europe.com", "jguri@crm.otsuka-europe.com")</f>
        <v>jguri@crm.otsuka-europe.com</v>
      </c>
      <c r="N11557" s="23">
        <v>46188.795416666668</v>
      </c>
      <c r="O11557" s="14" t="str">
        <f>HYPERLINK("https://otsuka-europe-crm.veevavault.com/ui/#object/email_activity__v/V8C00000003U895", "EN-002096776")</f>
        <v>EN-002096776</v>
      </c>
    </row>
    <row r="11558" spans="1:15" ht="16" x14ac:dyDescent="0.2">
      <c r="A11558" s="19"/>
      <c r="B11558" s="19"/>
      <c r="C11558" s="19"/>
      <c r="D11558" s="19"/>
      <c r="E11558" s="19"/>
      <c r="F11558" s="19"/>
      <c r="G11558" s="19"/>
      <c r="H11558" s="19"/>
      <c r="I11558" s="19"/>
      <c r="J11558" s="19"/>
      <c r="K11558" s="19"/>
      <c r="L11558" s="19"/>
      <c r="M11558" s="19"/>
      <c r="N11558" s="19"/>
      <c r="O11558" s="14" t="str">
        <f>HYPERLINK("https://otsuka-europe-crm.veevavault.com/ui/#object/email_activity__v/V8C00000003W012", "EN-002096678")</f>
        <v>EN-002096678</v>
      </c>
    </row>
    <row r="11559" spans="1:15" ht="32" x14ac:dyDescent="0.2">
      <c r="A11559" s="7" t="str">
        <f>HYPERLINK("https://otsuka-europe-crm.veevavault.com/ui/#object/account__v/V4TZ04ASG95OKJU", "ZULEMA ROSALES ROSADO")</f>
        <v>ZULEMA ROSALES ROSADO</v>
      </c>
      <c r="B11559" s="7" t="str">
        <f>HYPERLINK("https://otsuka-europe-crm.veevavault.com/ui/#object/vcountry__v/VENZ000004SONF5", "ES")</f>
        <v>ES</v>
      </c>
      <c r="C11559" s="8" t="s">
        <v>41</v>
      </c>
      <c r="D11559" s="9" t="str">
        <f>HYPERLINK("https://otsuka-europe-crm.veevavault.com/ui/#object/approved_document__v/V5O00000001B037", "LUP - VAE Póster Adelphi - Reuma")</f>
        <v>LUP - VAE Póster Adelphi - Reuma</v>
      </c>
      <c r="E11559" s="10" t="str">
        <f>HYPERLINK("https://otsuka-europe-crm.veevavault.com/ui/#object/sent_email__v/VBL00000002V322", "SE-001437211")</f>
        <v>SE-001437211</v>
      </c>
      <c r="F11559" s="11"/>
      <c r="G11559" s="12">
        <v>0</v>
      </c>
      <c r="H11559" s="12">
        <v>0</v>
      </c>
      <c r="I11559" s="12">
        <v>0</v>
      </c>
      <c r="J11559" s="11"/>
      <c r="K11559" s="12">
        <v>0</v>
      </c>
      <c r="L11559" s="10" t="str">
        <f>HYPERLINK("https://otsuka-europe-crm.veevavault.com/ui/#object/approved_document__v/V5O00000001B037", "LUP - VAE Póster Adelphi - Reuma")</f>
        <v>LUP - VAE Póster Adelphi - Reuma</v>
      </c>
      <c r="M11559" s="10" t="str">
        <f>HYPERLINK("mailto:jguri@crm.otsuka-europe.com", "jguri@crm.otsuka-europe.com")</f>
        <v>jguri@crm.otsuka-europe.com</v>
      </c>
      <c r="N11559" s="13">
        <v>46188.795416666668</v>
      </c>
      <c r="O11559" s="14" t="str">
        <f>HYPERLINK("https://otsuka-europe-crm.veevavault.com/ui/#object/email_activity__v/V8C00000003U855", "EN-002096691")</f>
        <v>EN-002096691</v>
      </c>
    </row>
    <row r="11560" spans="1:15" ht="16" x14ac:dyDescent="0.2">
      <c r="A11560" s="17" t="str">
        <f>HYPERLINK("https://otsuka-europe-crm.veevavault.com/ui/#object/account__v/V4TZ025E87PLR49", "MERCEDES TERESA ALFARO TEJEDA")</f>
        <v>MERCEDES TERESA ALFARO TEJEDA</v>
      </c>
      <c r="B11560" s="17" t="str">
        <f>HYPERLINK("https://otsuka-europe-crm.veevavault.com/ui/#object/vcountry__v/VENZ000004SONF5", "ES")</f>
        <v>ES</v>
      </c>
      <c r="C11560" s="20" t="s">
        <v>41</v>
      </c>
      <c r="D11560" s="21" t="str">
        <f>HYPERLINK("https://otsuka-europe-crm.veevavault.com/ui/#object/approved_document__v/V5O00000000D100", "Spain - Consent Email 1 Aug 25")</f>
        <v>Spain - Consent Email 1 Aug 25</v>
      </c>
      <c r="E11560" s="22" t="str">
        <f>HYPERLINK("https://otsuka-europe-crm.veevavault.com/ui/#object/sent_email__v/VBL00000002V323", "SE-001437212")</f>
        <v>SE-001437212</v>
      </c>
      <c r="F11560" s="25"/>
      <c r="G11560" s="24">
        <v>0</v>
      </c>
      <c r="H11560" s="24">
        <v>0</v>
      </c>
      <c r="I11560" s="24">
        <v>1</v>
      </c>
      <c r="J11560" s="23">
        <v>46190.691689814812</v>
      </c>
      <c r="K11560" s="24">
        <v>2</v>
      </c>
      <c r="L11560" s="22" t="str">
        <f>HYPERLINK("https://otsuka-europe-crm.veevavault.com/ui/#object/approved_document__v/V5O00000000D100", "Spain - Consent Email 1 Aug 25")</f>
        <v>Spain - Consent Email 1 Aug 25</v>
      </c>
      <c r="M11560" s="22" t="str">
        <f>HYPERLINK("mailto:jguri@crm.otsuka-europe.com", "jguri@crm.otsuka-europe.com")</f>
        <v>jguri@crm.otsuka-europe.com</v>
      </c>
      <c r="N11560" s="23">
        <v>46188.7969212963</v>
      </c>
      <c r="O11560" s="14" t="str">
        <f>HYPERLINK("https://otsuka-europe-crm.veevavault.com/ui/#object/email_activity__v/V8C00000003U874", "EN-002096727")</f>
        <v>EN-002096727</v>
      </c>
    </row>
    <row r="11561" spans="1:15" ht="16" x14ac:dyDescent="0.2">
      <c r="A11561" s="18"/>
      <c r="B11561" s="18"/>
      <c r="C11561" s="18"/>
      <c r="D11561" s="18"/>
      <c r="E11561" s="18"/>
      <c r="F11561" s="18"/>
      <c r="G11561" s="18"/>
      <c r="H11561" s="18"/>
      <c r="I11561" s="18"/>
      <c r="J11561" s="18"/>
      <c r="K11561" s="18"/>
      <c r="L11561" s="18"/>
      <c r="M11561" s="18"/>
      <c r="N11561" s="18"/>
      <c r="O11561" s="14" t="str">
        <f>HYPERLINK("https://otsuka-europe-crm.veevavault.com/ui/#object/email_activity__v/V8C00000003U886", "EN-002096754")</f>
        <v>EN-002096754</v>
      </c>
    </row>
    <row r="11562" spans="1:15" ht="16" x14ac:dyDescent="0.2">
      <c r="A11562" s="18"/>
      <c r="B11562" s="18"/>
      <c r="C11562" s="18"/>
      <c r="D11562" s="18"/>
      <c r="E11562" s="18"/>
      <c r="F11562" s="18"/>
      <c r="G11562" s="18"/>
      <c r="H11562" s="18"/>
      <c r="I11562" s="18"/>
      <c r="J11562" s="18"/>
      <c r="K11562" s="18"/>
      <c r="L11562" s="18"/>
      <c r="M11562" s="18"/>
      <c r="N11562" s="18"/>
      <c r="O11562" s="14" t="str">
        <f>HYPERLINK("https://otsuka-europe-crm.veevavault.com/ui/#object/email_activity__v/V8C00000003W230", "EN-002097191")</f>
        <v>EN-002097191</v>
      </c>
    </row>
    <row r="11563" spans="1:15" ht="16" x14ac:dyDescent="0.2">
      <c r="A11563" s="19"/>
      <c r="B11563" s="19"/>
      <c r="C11563" s="19"/>
      <c r="D11563" s="19"/>
      <c r="E11563" s="19"/>
      <c r="F11563" s="19"/>
      <c r="G11563" s="19"/>
      <c r="H11563" s="19"/>
      <c r="I11563" s="19"/>
      <c r="J11563" s="19"/>
      <c r="K11563" s="19"/>
      <c r="L11563" s="19"/>
      <c r="M11563" s="19"/>
      <c r="N11563" s="19"/>
      <c r="O11563" s="14" t="str">
        <f>HYPERLINK("https://otsuka-europe-crm.veevavault.com/ui/#object/email_activity__v/V8C00000003W734", "EN-002098452")</f>
        <v>EN-002098452</v>
      </c>
    </row>
    <row r="11564" spans="1:15" ht="32" x14ac:dyDescent="0.2">
      <c r="A11564" s="7" t="str">
        <f>HYPERLINK("https://otsuka-europe-crm.veevavault.com/ui/#object/account__v/V4TZ00000633XHQ", "JORO RAMILITIANA")</f>
        <v>JORO RAMILITIANA</v>
      </c>
      <c r="B11564" s="7" t="str">
        <f>HYPERLINK("https://otsuka-europe-crm.veevavault.com/ui/#object/vcountry__v/VENZ000004SONFA", "FR")</f>
        <v>FR</v>
      </c>
      <c r="C11564" s="8" t="s">
        <v>42</v>
      </c>
      <c r="D11564" s="9" t="str">
        <f>HYPERLINK("https://otsuka-europe-crm.veevavault.com/ui/#object/approved_document__v/V5OZ04ASG4G02Y6", "INVITATION_VAD_2023")</f>
        <v>INVITATION_VAD_2023</v>
      </c>
      <c r="E11564" s="10" t="str">
        <f>HYPERLINK("https://otsuka-europe-crm.veevavault.com/ui/#object/sent_email__v/VBL00000002V324", "SE-001437213")</f>
        <v>SE-001437213</v>
      </c>
      <c r="F11564" s="11"/>
      <c r="G11564" s="12">
        <v>0</v>
      </c>
      <c r="H11564" s="12">
        <v>0</v>
      </c>
      <c r="I11564" s="12">
        <v>0</v>
      </c>
      <c r="J11564" s="11"/>
      <c r="K11564" s="12">
        <v>0</v>
      </c>
      <c r="L11564" s="10" t="str">
        <f>HYPERLINK("https://otsuka-europe-crm.veevavault.com/ui/#object/approved_document__v/V5OZ04ASG4G02Y6", "INVITATION_VAD_2023")</f>
        <v>INVITATION_VAD_2023</v>
      </c>
      <c r="M11564" s="10" t="str">
        <f>HYPERLINK("mailto:sblancheland@crm.otsuka-europe.com", "sblancheland@crm.otsuka-europe.com")</f>
        <v>sblancheland@crm.otsuka-europe.com</v>
      </c>
      <c r="N11564" s="13">
        <v>46189.274016203701</v>
      </c>
      <c r="O11564" s="14" t="str">
        <f>HYPERLINK("https://otsuka-europe-crm.veevavault.com/ui/#object/email_activity__v/V8C00000003W124", "EN-002096887")</f>
        <v>EN-002096887</v>
      </c>
    </row>
    <row r="11565" spans="1:15" ht="16" x14ac:dyDescent="0.2">
      <c r="A11565" s="17" t="str">
        <f>HYPERLINK("https://otsuka-europe-crm.veevavault.com/ui/#object/account__v/V4TZ00000633YX6", "ALEKSANDRA MADEJSKA SOLTANI")</f>
        <v>ALEKSANDRA MADEJSKA SOLTANI</v>
      </c>
      <c r="B11565" s="17" t="str">
        <f>HYPERLINK("https://otsuka-europe-crm.veevavault.com/ui/#object/vcountry__v/VENZ000004SONFA", "FR")</f>
        <v>FR</v>
      </c>
      <c r="C11565" s="20" t="s">
        <v>42</v>
      </c>
      <c r="D11565" s="21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E11565" s="22" t="str">
        <f>HYPERLINK("https://otsuka-europe-crm.veevavault.com/ui/#object/sent_email__v/VBL00000002V325", "SE-001437214")</f>
        <v>SE-001437214</v>
      </c>
      <c r="F11565" s="23">
        <v>46193.283437500002</v>
      </c>
      <c r="G11565" s="24">
        <v>1</v>
      </c>
      <c r="H11565" s="24">
        <v>1</v>
      </c>
      <c r="I11565" s="24">
        <v>0</v>
      </c>
      <c r="J11565" s="25"/>
      <c r="K11565" s="24">
        <v>0</v>
      </c>
      <c r="L11565" s="22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M11565" s="22" t="str">
        <f>HYPERLINK("mailto:cchevalliermiserole@crm.otsuka-europe.com", "cchevalliermiserole@crm.otsuka-europe.com")</f>
        <v>cchevalliermiserole@crm.otsuka-europe.com</v>
      </c>
      <c r="N11565" s="23">
        <v>46193.133842592593</v>
      </c>
      <c r="O11565" s="14" t="str">
        <f>HYPERLINK("https://otsuka-europe-crm.veevavault.com/ui/#object/email_activity__v/V8C000000040095", "EN-002098872")</f>
        <v>EN-002098872</v>
      </c>
    </row>
    <row r="11566" spans="1:15" ht="16" x14ac:dyDescent="0.2">
      <c r="A11566" s="19"/>
      <c r="B11566" s="19"/>
      <c r="C11566" s="19"/>
      <c r="D11566" s="19"/>
      <c r="E11566" s="19"/>
      <c r="F11566" s="19"/>
      <c r="G11566" s="19"/>
      <c r="H11566" s="19"/>
      <c r="I11566" s="19"/>
      <c r="J11566" s="19"/>
      <c r="K11566" s="19"/>
      <c r="L11566" s="19"/>
      <c r="M11566" s="19"/>
      <c r="N11566" s="19"/>
      <c r="O11566" s="14" t="str">
        <f>HYPERLINK("https://otsuka-europe-crm.veevavault.com/ui/#object/email_activity__v/V8C000000040097", "EN-002098875")</f>
        <v>EN-002098875</v>
      </c>
    </row>
    <row r="11567" spans="1:15" ht="32" x14ac:dyDescent="0.2">
      <c r="A11567" s="7" t="str">
        <f>HYPERLINK("https://otsuka-europe-crm.veevavault.com/ui/#object/account__v/V4TZ00000633YX6", "ALEKSANDRA MADEJSKA SOLTANI")</f>
        <v>ALEKSANDRA MADEJSKA SOLTANI</v>
      </c>
      <c r="B11567" s="7" t="str">
        <f>HYPERLINK("https://otsuka-europe-crm.veevavault.com/ui/#object/vcountry__v/VENZ000004SONFA", "FR")</f>
        <v>FR</v>
      </c>
      <c r="C11567" s="8" t="s">
        <v>42</v>
      </c>
      <c r="D11567" s="9" t="str">
        <f>HYPERLINK("https://otsuka-europe-crm.veevavault.com/ui/#object/approved_document__v/V5OZ04ASG4G02Y7", "REMERCIEMENTS_VAD_2023")</f>
        <v>REMERCIEMENTS_VAD_2023</v>
      </c>
      <c r="E11567" s="10" t="str">
        <f>HYPERLINK("https://otsuka-europe-crm.veevavault.com/ui/#object/sent_email__v/VBL00000002V326", "SE-001437215")</f>
        <v>SE-001437215</v>
      </c>
      <c r="F11567" s="11"/>
      <c r="G11567" s="12">
        <v>0</v>
      </c>
      <c r="H11567" s="12">
        <v>0</v>
      </c>
      <c r="I11567" s="12">
        <v>0</v>
      </c>
      <c r="J11567" s="11"/>
      <c r="K11567" s="12">
        <v>0</v>
      </c>
      <c r="L11567" s="10" t="str">
        <f>HYPERLINK("https://otsuka-europe-crm.veevavault.com/ui/#object/approved_document__v/V5OZ04ASG4G02Y7", "REMERCIEMENTS_VAD_2023")</f>
        <v>REMERCIEMENTS_VAD_2023</v>
      </c>
      <c r="M11567" s="10" t="str">
        <f>HYPERLINK("mailto:cchevalliermiserole@crm.otsuka-europe.com", "cchevalliermiserole@crm.otsuka-europe.com")</f>
        <v>cchevalliermiserole@crm.otsuka-europe.com</v>
      </c>
      <c r="N11567" s="13">
        <v>46189.328414351854</v>
      </c>
      <c r="O11567" s="14" t="str">
        <f>HYPERLINK("https://otsuka-europe-crm.veevavault.com/ui/#object/email_activity__v/V8C00000003W146", "EN-002096921")</f>
        <v>EN-002096921</v>
      </c>
    </row>
    <row r="11568" spans="1:15" ht="16" x14ac:dyDescent="0.2">
      <c r="A11568" s="17" t="str">
        <f>HYPERLINK("https://otsuka-europe-crm.veevavault.com/ui/#object/account__v/V4TZ00000633MLJ", "VALERIE BELVA")</f>
        <v>VALERIE BELVA</v>
      </c>
      <c r="B11568" s="17" t="str">
        <f>HYPERLINK("https://otsuka-europe-crm.veevavault.com/ui/#object/vcountry__v/VENZ000004SONFA", "FR")</f>
        <v>FR</v>
      </c>
      <c r="C11568" s="20" t="s">
        <v>42</v>
      </c>
      <c r="D11568" s="21" t="str">
        <f>HYPERLINK("https://otsuka-europe-crm.veevavault.com/ui/#object/approved_document__v/V5OZ04ASG4G02Y7", "REMERCIEMENTS_VAD_2023")</f>
        <v>REMERCIEMENTS_VAD_2023</v>
      </c>
      <c r="E11568" s="22" t="str">
        <f>HYPERLINK("https://otsuka-europe-crm.veevavault.com/ui/#object/sent_email__v/VBL00000002V327", "SE-001437216")</f>
        <v>SE-001437216</v>
      </c>
      <c r="F11568" s="23">
        <v>46189.528680555559</v>
      </c>
      <c r="G11568" s="24">
        <v>1</v>
      </c>
      <c r="H11568" s="24">
        <v>1</v>
      </c>
      <c r="I11568" s="24">
        <v>0</v>
      </c>
      <c r="J11568" s="25"/>
      <c r="K11568" s="24">
        <v>0</v>
      </c>
      <c r="L11568" s="22" t="str">
        <f>HYPERLINK("https://otsuka-europe-crm.veevavault.com/ui/#object/approved_document__v/V5OZ04ASG4G02Y7", "REMERCIEMENTS_VAD_2023")</f>
        <v>REMERCIEMENTS_VAD_2023</v>
      </c>
      <c r="M11568" s="22" t="str">
        <f>HYPERLINK("mailto:cchevalliermiserole@crm.otsuka-europe.com", "cchevalliermiserole@crm.otsuka-europe.com")</f>
        <v>cchevalliermiserole@crm.otsuka-europe.com</v>
      </c>
      <c r="N11568" s="23">
        <v>46189.34579861111</v>
      </c>
      <c r="O11568" s="14" t="str">
        <f>HYPERLINK("https://otsuka-europe-crm.veevavault.com/ui/#object/email_activity__v/V8C00000003U970", "EN-002096929")</f>
        <v>EN-002096929</v>
      </c>
    </row>
    <row r="11569" spans="1:15" ht="16" x14ac:dyDescent="0.2">
      <c r="A11569" s="19"/>
      <c r="B11569" s="19"/>
      <c r="C11569" s="19"/>
      <c r="D11569" s="19"/>
      <c r="E11569" s="19"/>
      <c r="F11569" s="19"/>
      <c r="G11569" s="19"/>
      <c r="H11569" s="19"/>
      <c r="I11569" s="19"/>
      <c r="J11569" s="19"/>
      <c r="K11569" s="19"/>
      <c r="L11569" s="19"/>
      <c r="M11569" s="19"/>
      <c r="N11569" s="19"/>
      <c r="O11569" s="14" t="str">
        <f>HYPERLINK("https://otsuka-europe-crm.veevavault.com/ui/#object/email_activity__v/V8C00000003X150", "EN-002097188")</f>
        <v>EN-002097188</v>
      </c>
    </row>
    <row r="11570" spans="1:15" ht="16" x14ac:dyDescent="0.2">
      <c r="A11570" s="17" t="str">
        <f>HYPERLINK("https://otsuka-europe-crm.veevavault.com/ui/#object/account__v/V4TZ00000633MLJ", "VALERIE BELVA")</f>
        <v>VALERIE BELVA</v>
      </c>
      <c r="B11570" s="17" t="str">
        <f>HYPERLINK("https://otsuka-europe-crm.veevavault.com/ui/#object/vcountry__v/VENZ000004SONFA", "FR")</f>
        <v>FR</v>
      </c>
      <c r="C11570" s="20" t="s">
        <v>42</v>
      </c>
      <c r="D11570" s="21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E11570" s="22" t="str">
        <f>HYPERLINK("https://otsuka-europe-crm.veevavault.com/ui/#object/sent_email__v/VBL00000002V328", "SE-001437217")</f>
        <v>SE-001437217</v>
      </c>
      <c r="F11570" s="23">
        <v>46190.30190972222</v>
      </c>
      <c r="G11570" s="24">
        <v>1</v>
      </c>
      <c r="H11570" s="24">
        <v>2</v>
      </c>
      <c r="I11570" s="24">
        <v>0</v>
      </c>
      <c r="J11570" s="25"/>
      <c r="K11570" s="24">
        <v>0</v>
      </c>
      <c r="L11570" s="22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M11570" s="22" t="str">
        <f>HYPERLINK("mailto:cchevalliermiserole@crm.otsuka-europe.com", "cchevalliermiserole@crm.otsuka-europe.com")</f>
        <v>cchevalliermiserole@crm.otsuka-europe.com</v>
      </c>
      <c r="N11570" s="23">
        <v>46190.050567129627</v>
      </c>
      <c r="O11570" s="14" t="str">
        <f>HYPERLINK("https://otsuka-europe-crm.veevavault.com/ui/#object/email_activity__v/V8C00000003W326", "EN-002097369")</f>
        <v>EN-002097369</v>
      </c>
    </row>
    <row r="11571" spans="1:15" ht="16" x14ac:dyDescent="0.2">
      <c r="A11571" s="18"/>
      <c r="B11571" s="18"/>
      <c r="C11571" s="18"/>
      <c r="D11571" s="18"/>
      <c r="E11571" s="18"/>
      <c r="F11571" s="18"/>
      <c r="G11571" s="18"/>
      <c r="H11571" s="18"/>
      <c r="I11571" s="18"/>
      <c r="J11571" s="18"/>
      <c r="K11571" s="18"/>
      <c r="L11571" s="18"/>
      <c r="M11571" s="18"/>
      <c r="N11571" s="18"/>
      <c r="O11571" s="14" t="str">
        <f>HYPERLINK("https://otsuka-europe-crm.veevavault.com/ui/#object/email_activity__v/V8C00000003W327", "EN-002097370")</f>
        <v>EN-002097370</v>
      </c>
    </row>
    <row r="11572" spans="1:15" ht="16" x14ac:dyDescent="0.2">
      <c r="A11572" s="19"/>
      <c r="B11572" s="19"/>
      <c r="C11572" s="19"/>
      <c r="D11572" s="19"/>
      <c r="E11572" s="19"/>
      <c r="F11572" s="19"/>
      <c r="G11572" s="19"/>
      <c r="H11572" s="19"/>
      <c r="I11572" s="19"/>
      <c r="J11572" s="19"/>
      <c r="K11572" s="19"/>
      <c r="L11572" s="19"/>
      <c r="M11572" s="19"/>
      <c r="N11572" s="19"/>
      <c r="O11572" s="14" t="str">
        <f>HYPERLINK("https://otsuka-europe-crm.veevavault.com/ui/#object/email_activity__v/V8C00000003X230", "EN-002097357")</f>
        <v>EN-002097357</v>
      </c>
    </row>
    <row r="11573" spans="1:15" ht="16" x14ac:dyDescent="0.2">
      <c r="A11573" s="17" t="str">
        <f>HYPERLINK("https://otsuka-europe-crm.veevavault.com/ui/#object/account__v/V4TZ025E871A6LM", "Ines del Carmen Viaud Medina")</f>
        <v>Ines del Carmen Viaud Medina</v>
      </c>
      <c r="B11573" s="17" t="str">
        <f>HYPERLINK("https://otsuka-europe-crm.veevavault.com/ui/#object/vcountry__v/VENZ000004SONFN", "CH")</f>
        <v>CH</v>
      </c>
      <c r="C11573" s="20" t="s">
        <v>45</v>
      </c>
      <c r="D11573" s="21" t="str">
        <f>HYPERLINK("https://otsuka-europe-crm.veevavault.com/ui/#object/approved_document__v/V5O00000001L017", "ALL_Flexibilität_Ferienplanung_2026_AA_fr")</f>
        <v>ALL_Flexibilität_Ferienplanung_2026_AA_fr</v>
      </c>
      <c r="E11573" s="22" t="str">
        <f>HYPERLINK("https://otsuka-europe-crm.veevavault.com/ui/#object/sent_email__v/VBL00000002T427", "SE-001437218")</f>
        <v>SE-001437218</v>
      </c>
      <c r="F11573" s="23">
        <v>46189.389965277776</v>
      </c>
      <c r="G11573" s="24">
        <v>1</v>
      </c>
      <c r="H11573" s="24">
        <v>2</v>
      </c>
      <c r="I11573" s="24">
        <v>0</v>
      </c>
      <c r="J11573" s="25"/>
      <c r="K11573" s="24">
        <v>0</v>
      </c>
      <c r="L11573" s="22" t="str">
        <f>HYPERLINK("https://otsuka-europe-crm.veevavault.com/ui/#object/approved_document__v/V5O00000001L017", "ALL_Flexibilität_Ferienplanung_2026_AA_fr")</f>
        <v>ALL_Flexibilität_Ferienplanung_2026_AA_fr</v>
      </c>
      <c r="M11573" s="22" t="str">
        <f>HYPERLINK("mailto:yvergari@crm.otsuka-europe.com", "yvergari@crm.otsuka-europe.com")</f>
        <v>yvergari@crm.otsuka-europe.com</v>
      </c>
      <c r="N11573" s="23">
        <v>46189.38722222222</v>
      </c>
      <c r="O11573" s="14" t="str">
        <f>HYPERLINK("https://otsuka-europe-crm.veevavault.com/ui/#object/email_activity__v/V8C00000003U990", "EN-002096951")</f>
        <v>EN-002096951</v>
      </c>
    </row>
    <row r="11574" spans="1:15" ht="16" x14ac:dyDescent="0.2">
      <c r="A11574" s="18"/>
      <c r="B11574" s="18"/>
      <c r="C11574" s="18"/>
      <c r="D11574" s="18"/>
      <c r="E11574" s="18"/>
      <c r="F11574" s="18"/>
      <c r="G11574" s="18"/>
      <c r="H11574" s="18"/>
      <c r="I11574" s="18"/>
      <c r="J11574" s="18"/>
      <c r="K11574" s="18"/>
      <c r="L11574" s="18"/>
      <c r="M11574" s="18"/>
      <c r="N11574" s="18"/>
      <c r="O11574" s="14" t="str">
        <f>HYPERLINK("https://otsuka-europe-crm.veevavault.com/ui/#object/email_activity__v/V8C00000003W151", "EN-002097023")</f>
        <v>EN-002097023</v>
      </c>
    </row>
    <row r="11575" spans="1:15" ht="16" x14ac:dyDescent="0.2">
      <c r="A11575" s="19"/>
      <c r="B11575" s="19"/>
      <c r="C11575" s="19"/>
      <c r="D11575" s="19"/>
      <c r="E11575" s="19"/>
      <c r="F11575" s="19"/>
      <c r="G11575" s="19"/>
      <c r="H11575" s="19"/>
      <c r="I11575" s="19"/>
      <c r="J11575" s="19"/>
      <c r="K11575" s="19"/>
      <c r="L11575" s="19"/>
      <c r="M11575" s="19"/>
      <c r="N11575" s="19"/>
      <c r="O11575" s="14" t="str">
        <f>HYPERLINK("https://otsuka-europe-crm.veevavault.com/ui/#object/email_activity__v/V8C00000003X061", "EN-002097022")</f>
        <v>EN-002097022</v>
      </c>
    </row>
    <row r="11576" spans="1:15" ht="32" x14ac:dyDescent="0.2">
      <c r="A11576" s="7" t="str">
        <f>HYPERLINK("https://otsuka-europe-crm.veevavault.com/ui/#object/account__v/V4TZ0000062SGI0", "Josto Sotgia")</f>
        <v>Josto Sotgia</v>
      </c>
      <c r="B11576" s="7" t="str">
        <f>HYPERLINK("https://otsuka-europe-crm.veevavault.com/ui/#object/vcountry__v/VENZ000004SONFN", "CH")</f>
        <v>CH</v>
      </c>
      <c r="C11576" s="8" t="s">
        <v>45</v>
      </c>
      <c r="D11576" s="9" t="str">
        <f>HYPERLINK("https://otsuka-europe-crm.veevavault.com/ui/#object/approved_document__v/V5O00000001L017", "ALL_Flexibilität_Ferienplanung_2026_AA_fr")</f>
        <v>ALL_Flexibilität_Ferienplanung_2026_AA_fr</v>
      </c>
      <c r="E11576" s="10" t="str">
        <f>HYPERLINK("https://otsuka-europe-crm.veevavault.com/ui/#object/sent_email__v/VBL00000002T428", "SE-001437219")</f>
        <v>SE-001437219</v>
      </c>
      <c r="F11576" s="11"/>
      <c r="G11576" s="12">
        <v>0</v>
      </c>
      <c r="H11576" s="12">
        <v>0</v>
      </c>
      <c r="I11576" s="12">
        <v>0</v>
      </c>
      <c r="J11576" s="11"/>
      <c r="K11576" s="12">
        <v>0</v>
      </c>
      <c r="L11576" s="10" t="str">
        <f>HYPERLINK("https://otsuka-europe-crm.veevavault.com/ui/#object/approved_document__v/V5O00000001L017", "ALL_Flexibilität_Ferienplanung_2026_AA_fr")</f>
        <v>ALL_Flexibilität_Ferienplanung_2026_AA_fr</v>
      </c>
      <c r="M11576" s="10" t="str">
        <f>HYPERLINK("mailto:yvergari@crm.otsuka-europe.com", "yvergari@crm.otsuka-europe.com")</f>
        <v>yvergari@crm.otsuka-europe.com</v>
      </c>
      <c r="N11576" s="13">
        <v>46189.387256944443</v>
      </c>
      <c r="O11576" s="14" t="str">
        <f>HYPERLINK("https://otsuka-europe-crm.veevavault.com/ui/#object/email_activity__v/V8C00000003X029", "EN-002096989")</f>
        <v>EN-002096989</v>
      </c>
    </row>
    <row r="11577" spans="1:15" ht="16" x14ac:dyDescent="0.2">
      <c r="A11577" s="17" t="str">
        <f>HYPERLINK("https://otsuka-europe-crm.veevavault.com/ui/#object/account__v/V4TZ0000062R65M", "Mehdi Ziadi Trives")</f>
        <v>Mehdi Ziadi Trives</v>
      </c>
      <c r="B11577" s="17" t="str">
        <f>HYPERLINK("https://otsuka-europe-crm.veevavault.com/ui/#object/vcountry__v/VENZ000004SONFN", "CH")</f>
        <v>CH</v>
      </c>
      <c r="C11577" s="20" t="s">
        <v>45</v>
      </c>
      <c r="D11577" s="21" t="str">
        <f>HYPERLINK("https://otsuka-europe-crm.veevavault.com/ui/#object/approved_document__v/V5O00000001L017", "ALL_Flexibilität_Ferienplanung_2026_AA_fr")</f>
        <v>ALL_Flexibilität_Ferienplanung_2026_AA_fr</v>
      </c>
      <c r="E11577" s="22" t="str">
        <f>HYPERLINK("https://otsuka-europe-crm.veevavault.com/ui/#object/sent_email__v/VBL00000002T429", "SE-001437220")</f>
        <v>SE-001437220</v>
      </c>
      <c r="F11577" s="23">
        <v>46189.737291666665</v>
      </c>
      <c r="G11577" s="24">
        <v>1</v>
      </c>
      <c r="H11577" s="24">
        <v>2</v>
      </c>
      <c r="I11577" s="24">
        <v>0</v>
      </c>
      <c r="J11577" s="25"/>
      <c r="K11577" s="24">
        <v>0</v>
      </c>
      <c r="L11577" s="22" t="str">
        <f>HYPERLINK("https://otsuka-europe-crm.veevavault.com/ui/#object/approved_document__v/V5O00000001L017", "ALL_Flexibilität_Ferienplanung_2026_AA_fr")</f>
        <v>ALL_Flexibilität_Ferienplanung_2026_AA_fr</v>
      </c>
      <c r="M11577" s="22" t="str">
        <f>HYPERLINK("mailto:yvergari@crm.otsuka-europe.com", "yvergari@crm.otsuka-europe.com")</f>
        <v>yvergari@crm.otsuka-europe.com</v>
      </c>
      <c r="N11577" s="23">
        <v>46189.387256944443</v>
      </c>
      <c r="O11577" s="14" t="str">
        <f>HYPERLINK("https://otsuka-europe-crm.veevavault.com/ui/#object/email_activity__v/V8C00000003W154", "EN-002097032")</f>
        <v>EN-002097032</v>
      </c>
    </row>
    <row r="11578" spans="1:15" ht="16" x14ac:dyDescent="0.2">
      <c r="A11578" s="18"/>
      <c r="B11578" s="18"/>
      <c r="C11578" s="18"/>
      <c r="D11578" s="18"/>
      <c r="E11578" s="18"/>
      <c r="F11578" s="18"/>
      <c r="G11578" s="18"/>
      <c r="H11578" s="18"/>
      <c r="I11578" s="18"/>
      <c r="J11578" s="18"/>
      <c r="K11578" s="18"/>
      <c r="L11578" s="18"/>
      <c r="M11578" s="18"/>
      <c r="N11578" s="18"/>
      <c r="O11578" s="14" t="str">
        <f>HYPERLINK("https://otsuka-europe-crm.veevavault.com/ui/#object/email_activity__v/V8C00000003X019", "EN-002096979")</f>
        <v>EN-002096979</v>
      </c>
    </row>
    <row r="11579" spans="1:15" ht="16" x14ac:dyDescent="0.2">
      <c r="A11579" s="19"/>
      <c r="B11579" s="19"/>
      <c r="C11579" s="19"/>
      <c r="D11579" s="19"/>
      <c r="E11579" s="19"/>
      <c r="F11579" s="19"/>
      <c r="G11579" s="19"/>
      <c r="H11579" s="19"/>
      <c r="I11579" s="19"/>
      <c r="J11579" s="19"/>
      <c r="K11579" s="19"/>
      <c r="L11579" s="19"/>
      <c r="M11579" s="19"/>
      <c r="N11579" s="19"/>
      <c r="O11579" s="14" t="str">
        <f>HYPERLINK("https://otsuka-europe-crm.veevavault.com/ui/#object/email_activity__v/V8C00000003X204", "EN-002097305")</f>
        <v>EN-002097305</v>
      </c>
    </row>
    <row r="11580" spans="1:15" ht="32" x14ac:dyDescent="0.2">
      <c r="A11580" s="7" t="str">
        <f>HYPERLINK("https://otsuka-europe-crm.veevavault.com/ui/#object/account__v/V4TZ04ASG9UHH5A", "Prisca Restauri")</f>
        <v>Prisca Restauri</v>
      </c>
      <c r="B11580" s="7" t="str">
        <f>HYPERLINK("https://otsuka-europe-crm.veevavault.com/ui/#object/vcountry__v/VENZ000004SONFN", "CH")</f>
        <v>CH</v>
      </c>
      <c r="C11580" s="8" t="s">
        <v>45</v>
      </c>
      <c r="D11580" s="9" t="str">
        <f>HYPERLINK("https://otsuka-europe-crm.veevavault.com/ui/#object/approved_document__v/V5O00000001L017", "ALL_Flexibilität_Ferienplanung_2026_AA_fr")</f>
        <v>ALL_Flexibilität_Ferienplanung_2026_AA_fr</v>
      </c>
      <c r="E11580" s="10" t="str">
        <f>HYPERLINK("https://otsuka-europe-crm.veevavault.com/ui/#object/sent_email__v/VBL00000002T430", "SE-001437221")</f>
        <v>SE-001437221</v>
      </c>
      <c r="F11580" s="11"/>
      <c r="G11580" s="12">
        <v>0</v>
      </c>
      <c r="H11580" s="12">
        <v>0</v>
      </c>
      <c r="I11580" s="12">
        <v>0</v>
      </c>
      <c r="J11580" s="11"/>
      <c r="K11580" s="12">
        <v>0</v>
      </c>
      <c r="L11580" s="10" t="str">
        <f>HYPERLINK("https://otsuka-europe-crm.veevavault.com/ui/#object/approved_document__v/V5O00000001L017", "ALL_Flexibilität_Ferienplanung_2026_AA_fr")</f>
        <v>ALL_Flexibilität_Ferienplanung_2026_AA_fr</v>
      </c>
      <c r="M11580" s="10" t="str">
        <f>HYPERLINK("mailto:yvergari@crm.otsuka-europe.com", "yvergari@crm.otsuka-europe.com")</f>
        <v>yvergari@crm.otsuka-europe.com</v>
      </c>
      <c r="N11580" s="13">
        <v>46189.387256944443</v>
      </c>
      <c r="O11580" s="14" t="str">
        <f>HYPERLINK("https://otsuka-europe-crm.veevavault.com/ui/#object/email_activity__v/V8C00000003U994", "EN-002096955")</f>
        <v>EN-002096955</v>
      </c>
    </row>
    <row r="11581" spans="1:15" ht="32" x14ac:dyDescent="0.2">
      <c r="A11581" s="7" t="str">
        <f>HYPERLINK("https://otsuka-europe-crm.veevavault.com/ui/#object/account__v/V4TZ0000062SGDN", "Christoph Salathé")</f>
        <v>Christoph Salathé</v>
      </c>
      <c r="B11581" s="7" t="str">
        <f>HYPERLINK("https://otsuka-europe-crm.veevavault.com/ui/#object/vcountry__v/VENZ000004SONFN", "CH")</f>
        <v>CH</v>
      </c>
      <c r="C11581" s="8" t="s">
        <v>45</v>
      </c>
      <c r="D11581" s="9" t="str">
        <f>HYPERLINK("https://otsuka-europe-crm.veevavault.com/ui/#object/approved_document__v/V5O00000001L017", "ALL_Flexibilität_Ferienplanung_2026_AA_fr")</f>
        <v>ALL_Flexibilität_Ferienplanung_2026_AA_fr</v>
      </c>
      <c r="E11581" s="10" t="str">
        <f>HYPERLINK("https://otsuka-europe-crm.veevavault.com/ui/#object/sent_email__v/VBL00000002T431", "SE-001437222")</f>
        <v>SE-001437222</v>
      </c>
      <c r="F11581" s="11"/>
      <c r="G11581" s="12">
        <v>0</v>
      </c>
      <c r="H11581" s="12">
        <v>0</v>
      </c>
      <c r="I11581" s="12">
        <v>0</v>
      </c>
      <c r="J11581" s="11"/>
      <c r="K11581" s="12">
        <v>0</v>
      </c>
      <c r="L11581" s="10" t="str">
        <f>HYPERLINK("https://otsuka-europe-crm.veevavault.com/ui/#object/approved_document__v/V5O00000001L017", "ALL_Flexibilität_Ferienplanung_2026_AA_fr")</f>
        <v>ALL_Flexibilität_Ferienplanung_2026_AA_fr</v>
      </c>
      <c r="M11581" s="10" t="str">
        <f>HYPERLINK("mailto:yvergari@crm.otsuka-europe.com", "yvergari@crm.otsuka-europe.com")</f>
        <v>yvergari@crm.otsuka-europe.com</v>
      </c>
      <c r="N11581" s="13">
        <v>46189.387256944443</v>
      </c>
      <c r="O11581" s="14" t="str">
        <f>HYPERLINK("https://otsuka-europe-crm.veevavault.com/ui/#object/email_activity__v/V8C00000003X005", "EN-002096965")</f>
        <v>EN-002096965</v>
      </c>
    </row>
    <row r="11582" spans="1:15" ht="32" x14ac:dyDescent="0.2">
      <c r="A11582" s="7" t="str">
        <f>HYPERLINK("https://otsuka-europe-crm.veevavault.com/ui/#object/account__v/V4TZ025E87XXAJB", "Ioana-Cleopatra Rogojan")</f>
        <v>Ioana-Cleopatra Rogojan</v>
      </c>
      <c r="B11582" s="7" t="str">
        <f>HYPERLINK("https://otsuka-europe-crm.veevavault.com/ui/#object/vcountry__v/VENZ000004SONFN", "CH")</f>
        <v>CH</v>
      </c>
      <c r="C11582" s="8" t="s">
        <v>45</v>
      </c>
      <c r="D11582" s="9" t="str">
        <f>HYPERLINK("https://otsuka-europe-crm.veevavault.com/ui/#object/approved_document__v/V5O00000001L017", "ALL_Flexibilität_Ferienplanung_2026_AA_fr")</f>
        <v>ALL_Flexibilität_Ferienplanung_2026_AA_fr</v>
      </c>
      <c r="E11582" s="10" t="str">
        <f>HYPERLINK("https://otsuka-europe-crm.veevavault.com/ui/#object/sent_email__v/VBL00000002T432", "SE-001437223")</f>
        <v>SE-001437223</v>
      </c>
      <c r="F11582" s="11"/>
      <c r="G11582" s="12">
        <v>0</v>
      </c>
      <c r="H11582" s="12">
        <v>0</v>
      </c>
      <c r="I11582" s="12">
        <v>0</v>
      </c>
      <c r="J11582" s="11"/>
      <c r="K11582" s="12">
        <v>0</v>
      </c>
      <c r="L11582" s="10" t="str">
        <f>HYPERLINK("https://otsuka-europe-crm.veevavault.com/ui/#object/approved_document__v/V5O00000001L017", "ALL_Flexibilität_Ferienplanung_2026_AA_fr")</f>
        <v>ALL_Flexibilität_Ferienplanung_2026_AA_fr</v>
      </c>
      <c r="M11582" s="10" t="str">
        <f>HYPERLINK("mailto:yvergari@crm.otsuka-europe.com", "yvergari@crm.otsuka-europe.com")</f>
        <v>yvergari@crm.otsuka-europe.com</v>
      </c>
      <c r="N11582" s="13">
        <v>46189.387291666666</v>
      </c>
      <c r="O11582" s="14" t="str">
        <f>HYPERLINK("https://otsuka-europe-crm.veevavault.com/ui/#object/email_activity__v/V8C00000003X033", "EN-002096993")</f>
        <v>EN-002096993</v>
      </c>
    </row>
    <row r="11583" spans="1:15" ht="16" x14ac:dyDescent="0.2">
      <c r="A11583" s="17" t="str">
        <f>HYPERLINK("https://otsuka-europe-crm.veevavault.com/ui/#object/account__v/V4TZ0000062SG4C", "Philippe Rey-Bellet")</f>
        <v>Philippe Rey-Bellet</v>
      </c>
      <c r="B11583" s="17" t="str">
        <f>HYPERLINK("https://otsuka-europe-crm.veevavault.com/ui/#object/vcountry__v/VENZ000004SONFN", "CH")</f>
        <v>CH</v>
      </c>
      <c r="C11583" s="20" t="s">
        <v>45</v>
      </c>
      <c r="D11583" s="21" t="str">
        <f>HYPERLINK("https://otsuka-europe-crm.veevavault.com/ui/#object/approved_document__v/V5O00000001L017", "ALL_Flexibilität_Ferienplanung_2026_AA_fr")</f>
        <v>ALL_Flexibilität_Ferienplanung_2026_AA_fr</v>
      </c>
      <c r="E11583" s="22" t="str">
        <f>HYPERLINK("https://otsuka-europe-crm.veevavault.com/ui/#object/sent_email__v/VBL00000002T433", "SE-001437224")</f>
        <v>SE-001437224</v>
      </c>
      <c r="F11583" s="23">
        <v>46189.40730324074</v>
      </c>
      <c r="G11583" s="24">
        <v>1</v>
      </c>
      <c r="H11583" s="24">
        <v>1</v>
      </c>
      <c r="I11583" s="24">
        <v>0</v>
      </c>
      <c r="J11583" s="25"/>
      <c r="K11583" s="24">
        <v>0</v>
      </c>
      <c r="L11583" s="22" t="str">
        <f>HYPERLINK("https://otsuka-europe-crm.veevavault.com/ui/#object/approved_document__v/V5O00000001L017", "ALL_Flexibilität_Ferienplanung_2026_AA_fr")</f>
        <v>ALL_Flexibilität_Ferienplanung_2026_AA_fr</v>
      </c>
      <c r="M11583" s="22" t="str">
        <f>HYPERLINK("mailto:yvergari@crm.otsuka-europe.com", "yvergari@crm.otsuka-europe.com")</f>
        <v>yvergari@crm.otsuka-europe.com</v>
      </c>
      <c r="N11583" s="23">
        <v>46189.387256944443</v>
      </c>
      <c r="O11583" s="14" t="str">
        <f>HYPERLINK("https://otsuka-europe-crm.veevavault.com/ui/#object/email_activity__v/V8C00000003U998", "EN-002096959")</f>
        <v>EN-002096959</v>
      </c>
    </row>
    <row r="11584" spans="1:15" ht="16" x14ac:dyDescent="0.2">
      <c r="A11584" s="18"/>
      <c r="B11584" s="18"/>
      <c r="C11584" s="18"/>
      <c r="D11584" s="18"/>
      <c r="E11584" s="18"/>
      <c r="F11584" s="18"/>
      <c r="G11584" s="18"/>
      <c r="H11584" s="18"/>
      <c r="I11584" s="18"/>
      <c r="J11584" s="18"/>
      <c r="K11584" s="18"/>
      <c r="L11584" s="18"/>
      <c r="M11584" s="18"/>
      <c r="N11584" s="18"/>
      <c r="O11584" s="14" t="str">
        <f>HYPERLINK("https://otsuka-europe-crm.veevavault.com/ui/#object/email_activity__v/V8C00000003W159", "EN-002097040")</f>
        <v>EN-002097040</v>
      </c>
    </row>
    <row r="11585" spans="1:15" ht="16" x14ac:dyDescent="0.2">
      <c r="A11585" s="18"/>
      <c r="B11585" s="18"/>
      <c r="C11585" s="18"/>
      <c r="D11585" s="18"/>
      <c r="E11585" s="18"/>
      <c r="F11585" s="18"/>
      <c r="G11585" s="18"/>
      <c r="H11585" s="18"/>
      <c r="I11585" s="18"/>
      <c r="J11585" s="18"/>
      <c r="K11585" s="18"/>
      <c r="L11585" s="18"/>
      <c r="M11585" s="18"/>
      <c r="N11585" s="18"/>
      <c r="O11585" s="14" t="str">
        <f>HYPERLINK("https://otsuka-europe-crm.veevavault.com/ui/#object/email_activity__v/V8C00000003W297", "EN-002097315")</f>
        <v>EN-002097315</v>
      </c>
    </row>
    <row r="11586" spans="1:15" ht="16" x14ac:dyDescent="0.2">
      <c r="A11586" s="18"/>
      <c r="B11586" s="18"/>
      <c r="C11586" s="18"/>
      <c r="D11586" s="18"/>
      <c r="E11586" s="18"/>
      <c r="F11586" s="18"/>
      <c r="G11586" s="18"/>
      <c r="H11586" s="18"/>
      <c r="I11586" s="18"/>
      <c r="J11586" s="18"/>
      <c r="K11586" s="18"/>
      <c r="L11586" s="18"/>
      <c r="M11586" s="18"/>
      <c r="N11586" s="18"/>
      <c r="O11586" s="14" t="str">
        <f>HYPERLINK("https://otsuka-europe-crm.veevavault.com/ui/#object/email_activity__v/V8C00000003X070", "EN-002097035")</f>
        <v>EN-002097035</v>
      </c>
    </row>
    <row r="11587" spans="1:15" ht="16" x14ac:dyDescent="0.2">
      <c r="A11587" s="18"/>
      <c r="B11587" s="18"/>
      <c r="C11587" s="18"/>
      <c r="D11587" s="18"/>
      <c r="E11587" s="18"/>
      <c r="F11587" s="18"/>
      <c r="G11587" s="18"/>
      <c r="H11587" s="18"/>
      <c r="I11587" s="18"/>
      <c r="J11587" s="18"/>
      <c r="K11587" s="18"/>
      <c r="L11587" s="18"/>
      <c r="M11587" s="18"/>
      <c r="N11587" s="18"/>
      <c r="O11587" s="14" t="str">
        <f>HYPERLINK("https://otsuka-europe-crm.veevavault.com/ui/#object/email_activity__v/V8C00000003X071", "EN-002097041")</f>
        <v>EN-002097041</v>
      </c>
    </row>
    <row r="11588" spans="1:15" ht="16" x14ac:dyDescent="0.2">
      <c r="A11588" s="19"/>
      <c r="B11588" s="19"/>
      <c r="C11588" s="19"/>
      <c r="D11588" s="19"/>
      <c r="E11588" s="19"/>
      <c r="F11588" s="19"/>
      <c r="G11588" s="19"/>
      <c r="H11588" s="19"/>
      <c r="I11588" s="19"/>
      <c r="J11588" s="19"/>
      <c r="K11588" s="19"/>
      <c r="L11588" s="19"/>
      <c r="M11588" s="19"/>
      <c r="N11588" s="19"/>
      <c r="O11588" s="14" t="str">
        <f>HYPERLINK("https://otsuka-europe-crm.veevavault.com/ui/#object/email_activity__v/V8C00000003X200", "EN-002097300")</f>
        <v>EN-002097300</v>
      </c>
    </row>
    <row r="11589" spans="1:15" ht="32" x14ac:dyDescent="0.2">
      <c r="A11589" s="7" t="str">
        <f>HYPERLINK("https://otsuka-europe-crm.veevavault.com/ui/#object/account__v/V4TZ0000062SGE3", "Stéphane Saillant")</f>
        <v>Stéphane Saillant</v>
      </c>
      <c r="B11589" s="7" t="str">
        <f>HYPERLINK("https://otsuka-europe-crm.veevavault.com/ui/#object/vcountry__v/VENZ000004SONFN", "CH")</f>
        <v>CH</v>
      </c>
      <c r="C11589" s="8" t="s">
        <v>45</v>
      </c>
      <c r="D11589" s="9" t="str">
        <f>HYPERLINK("https://otsuka-europe-crm.veevavault.com/ui/#object/approved_document__v/V5O00000001L017", "ALL_Flexibilität_Ferienplanung_2026_AA_fr")</f>
        <v>ALL_Flexibilität_Ferienplanung_2026_AA_fr</v>
      </c>
      <c r="E11589" s="10" t="str">
        <f>HYPERLINK("https://otsuka-europe-crm.veevavault.com/ui/#object/sent_email__v/VBL00000002T434", "SE-001437225")</f>
        <v>SE-001437225</v>
      </c>
      <c r="F11589" s="11"/>
      <c r="G11589" s="12">
        <v>0</v>
      </c>
      <c r="H11589" s="12">
        <v>0</v>
      </c>
      <c r="I11589" s="12">
        <v>0</v>
      </c>
      <c r="J11589" s="11"/>
      <c r="K11589" s="12">
        <v>0</v>
      </c>
      <c r="L11589" s="10" t="str">
        <f>HYPERLINK("https://otsuka-europe-crm.veevavault.com/ui/#object/approved_document__v/V5O00000001L017", "ALL_Flexibilität_Ferienplanung_2026_AA_fr")</f>
        <v>ALL_Flexibilität_Ferienplanung_2026_AA_fr</v>
      </c>
      <c r="M11589" s="10" t="str">
        <f>HYPERLINK("mailto:yvergari@crm.otsuka-europe.com", "yvergari@crm.otsuka-europe.com")</f>
        <v>yvergari@crm.otsuka-europe.com</v>
      </c>
      <c r="N11589" s="13">
        <v>46189.387256944443</v>
      </c>
      <c r="O11589" s="14" t="str">
        <f>HYPERLINK("https://otsuka-europe-crm.veevavault.com/ui/#object/email_activity__v/V8C00000003X026", "EN-002096986")</f>
        <v>EN-002096986</v>
      </c>
    </row>
    <row r="11590" spans="1:15" ht="32" x14ac:dyDescent="0.2">
      <c r="A11590" s="7" t="str">
        <f>HYPERLINK("https://otsuka-europe-crm.veevavault.com/ui/#object/account__v/V4TZ025E86LAYKK", "Eva Saranti")</f>
        <v>Eva Saranti</v>
      </c>
      <c r="B11590" s="7" t="str">
        <f>HYPERLINK("https://otsuka-europe-crm.veevavault.com/ui/#object/vcountry__v/VENZ000004SONFN", "CH")</f>
        <v>CH</v>
      </c>
      <c r="C11590" s="8" t="s">
        <v>45</v>
      </c>
      <c r="D11590" s="9" t="str">
        <f>HYPERLINK("https://otsuka-europe-crm.veevavault.com/ui/#object/approved_document__v/V5O00000001L017", "ALL_Flexibilität_Ferienplanung_2026_AA_fr")</f>
        <v>ALL_Flexibilität_Ferienplanung_2026_AA_fr</v>
      </c>
      <c r="E11590" s="10" t="str">
        <f>HYPERLINK("https://otsuka-europe-crm.veevavault.com/ui/#object/sent_email__v/VBL00000002T435", "SE-001437226")</f>
        <v>SE-001437226</v>
      </c>
      <c r="F11590" s="11"/>
      <c r="G11590" s="12">
        <v>0</v>
      </c>
      <c r="H11590" s="12">
        <v>0</v>
      </c>
      <c r="I11590" s="12">
        <v>0</v>
      </c>
      <c r="J11590" s="11"/>
      <c r="K11590" s="12">
        <v>0</v>
      </c>
      <c r="L11590" s="10" t="str">
        <f>HYPERLINK("https://otsuka-europe-crm.veevavault.com/ui/#object/approved_document__v/V5O00000001L017", "ALL_Flexibilität_Ferienplanung_2026_AA_fr")</f>
        <v>ALL_Flexibilität_Ferienplanung_2026_AA_fr</v>
      </c>
      <c r="M11590" s="10" t="str">
        <f>HYPERLINK("mailto:yvergari@crm.otsuka-europe.com", "yvergari@crm.otsuka-europe.com")</f>
        <v>yvergari@crm.otsuka-europe.com</v>
      </c>
      <c r="N11590" s="13">
        <v>46189.387256944443</v>
      </c>
      <c r="O11590" s="14" t="str">
        <f>HYPERLINK("https://otsuka-europe-crm.veevavault.com/ui/#object/email_activity__v/V8C00000003X011", "EN-002096971")</f>
        <v>EN-002096971</v>
      </c>
    </row>
    <row r="11591" spans="1:15" ht="16" x14ac:dyDescent="0.2">
      <c r="A11591" s="17" t="str">
        <f>HYPERLINK("https://otsuka-europe-crm.veevavault.com/ui/#object/account__v/V4TZ0000062SG4D", "Philippe Ray")</f>
        <v>Philippe Ray</v>
      </c>
      <c r="B11591" s="17" t="str">
        <f>HYPERLINK("https://otsuka-europe-crm.veevavault.com/ui/#object/vcountry__v/VENZ000004SONFN", "CH")</f>
        <v>CH</v>
      </c>
      <c r="C11591" s="20" t="s">
        <v>45</v>
      </c>
      <c r="D11591" s="21" t="str">
        <f>HYPERLINK("https://otsuka-europe-crm.veevavault.com/ui/#object/approved_document__v/V5O00000001L017", "ALL_Flexibilität_Ferienplanung_2026_AA_fr")</f>
        <v>ALL_Flexibilität_Ferienplanung_2026_AA_fr</v>
      </c>
      <c r="E11591" s="22" t="str">
        <f>HYPERLINK("https://otsuka-europe-crm.veevavault.com/ui/#object/sent_email__v/VBL00000002T436", "SE-001437227")</f>
        <v>SE-001437227</v>
      </c>
      <c r="F11591" s="23">
        <v>46190.323425925926</v>
      </c>
      <c r="G11591" s="24">
        <v>1</v>
      </c>
      <c r="H11591" s="24">
        <v>1</v>
      </c>
      <c r="I11591" s="24">
        <v>0</v>
      </c>
      <c r="J11591" s="25"/>
      <c r="K11591" s="24">
        <v>0</v>
      </c>
      <c r="L11591" s="22" t="str">
        <f>HYPERLINK("https://otsuka-europe-crm.veevavault.com/ui/#object/approved_document__v/V5O00000001L017", "ALL_Flexibilität_Ferienplanung_2026_AA_fr")</f>
        <v>ALL_Flexibilität_Ferienplanung_2026_AA_fr</v>
      </c>
      <c r="M11591" s="22" t="str">
        <f>HYPERLINK("mailto:yvergari@crm.otsuka-europe.com", "yvergari@crm.otsuka-europe.com")</f>
        <v>yvergari@crm.otsuka-europe.com</v>
      </c>
      <c r="N11591" s="23">
        <v>46189.387256944443</v>
      </c>
      <c r="O11591" s="14" t="str">
        <f>HYPERLINK("https://otsuka-europe-crm.veevavault.com/ui/#object/email_activity__v/V8C00000003W330", "EN-002097374")</f>
        <v>EN-002097374</v>
      </c>
    </row>
    <row r="11592" spans="1:15" ht="16" x14ac:dyDescent="0.2">
      <c r="A11592" s="19"/>
      <c r="B11592" s="19"/>
      <c r="C11592" s="19"/>
      <c r="D11592" s="19"/>
      <c r="E11592" s="19"/>
      <c r="F11592" s="19"/>
      <c r="G11592" s="19"/>
      <c r="H11592" s="19"/>
      <c r="I11592" s="19"/>
      <c r="J11592" s="19"/>
      <c r="K11592" s="19"/>
      <c r="L11592" s="19"/>
      <c r="M11592" s="19"/>
      <c r="N11592" s="19"/>
      <c r="O11592" s="14" t="str">
        <f>HYPERLINK("https://otsuka-europe-crm.veevavault.com/ui/#object/email_activity__v/V8C00000003X020", "EN-002096980")</f>
        <v>EN-002096980</v>
      </c>
    </row>
    <row r="11593" spans="1:15" ht="32" x14ac:dyDescent="0.2">
      <c r="A11593" s="7" t="str">
        <f>HYPERLINK("https://otsuka-europe-crm.veevavault.com/ui/#object/account__v/V4TZ06G6O8S58C3", "Irene Santana")</f>
        <v>Irene Santana</v>
      </c>
      <c r="B11593" s="7" t="str">
        <f>HYPERLINK("https://otsuka-europe-crm.veevavault.com/ui/#object/vcountry__v/VENZ000004SONFN", "CH")</f>
        <v>CH</v>
      </c>
      <c r="C11593" s="8" t="s">
        <v>45</v>
      </c>
      <c r="D11593" s="9" t="str">
        <f>HYPERLINK("https://otsuka-europe-crm.veevavault.com/ui/#object/approved_document__v/V5O00000001L017", "ALL_Flexibilität_Ferienplanung_2026_AA_fr")</f>
        <v>ALL_Flexibilität_Ferienplanung_2026_AA_fr</v>
      </c>
      <c r="E11593" s="10" t="str">
        <f>HYPERLINK("https://otsuka-europe-crm.veevavault.com/ui/#object/sent_email__v/VBL00000002T437", "SE-001437228")</f>
        <v>SE-001437228</v>
      </c>
      <c r="F11593" s="11"/>
      <c r="G11593" s="12">
        <v>0</v>
      </c>
      <c r="H11593" s="12">
        <v>0</v>
      </c>
      <c r="I11593" s="12">
        <v>0</v>
      </c>
      <c r="J11593" s="11"/>
      <c r="K11593" s="12">
        <v>0</v>
      </c>
      <c r="L11593" s="10" t="str">
        <f>HYPERLINK("https://otsuka-europe-crm.veevavault.com/ui/#object/approved_document__v/V5O00000001L017", "ALL_Flexibilität_Ferienplanung_2026_AA_fr")</f>
        <v>ALL_Flexibilität_Ferienplanung_2026_AA_fr</v>
      </c>
      <c r="M11593" s="10" t="str">
        <f>HYPERLINK("mailto:yvergari@crm.otsuka-europe.com", "yvergari@crm.otsuka-europe.com")</f>
        <v>yvergari@crm.otsuka-europe.com</v>
      </c>
      <c r="N11593" s="13">
        <v>46189.387256944443</v>
      </c>
      <c r="O11593" s="14" t="str">
        <f>HYPERLINK("https://otsuka-europe-crm.veevavault.com/ui/#object/email_activity__v/V8C00000003U999", "EN-002096960")</f>
        <v>EN-002096960</v>
      </c>
    </row>
    <row r="11594" spans="1:15" ht="16" x14ac:dyDescent="0.2">
      <c r="A11594" s="17" t="str">
        <f>HYPERLINK("https://otsuka-europe-crm.veevavault.com/ui/#object/account__v/V4TZ0000062SGUI", "Mélita Vassiliadi")</f>
        <v>Mélita Vassiliadi</v>
      </c>
      <c r="B11594" s="17" t="str">
        <f>HYPERLINK("https://otsuka-europe-crm.veevavault.com/ui/#object/vcountry__v/VENZ000004SONFN", "CH")</f>
        <v>CH</v>
      </c>
      <c r="C11594" s="20" t="s">
        <v>45</v>
      </c>
      <c r="D11594" s="21" t="str">
        <f>HYPERLINK("https://otsuka-europe-crm.veevavault.com/ui/#object/approved_document__v/V5O00000001L017", "ALL_Flexibilität_Ferienplanung_2026_AA_fr")</f>
        <v>ALL_Flexibilität_Ferienplanung_2026_AA_fr</v>
      </c>
      <c r="E11594" s="22" t="str">
        <f>HYPERLINK("https://otsuka-europe-crm.veevavault.com/ui/#object/sent_email__v/VBL00000002T438", "SE-001437229")</f>
        <v>SE-001437229</v>
      </c>
      <c r="F11594" s="23">
        <v>46189.399155092593</v>
      </c>
      <c r="G11594" s="24">
        <v>1</v>
      </c>
      <c r="H11594" s="24">
        <v>1</v>
      </c>
      <c r="I11594" s="24">
        <v>0</v>
      </c>
      <c r="J11594" s="25"/>
      <c r="K11594" s="24">
        <v>0</v>
      </c>
      <c r="L11594" s="22" t="str">
        <f>HYPERLINK("https://otsuka-europe-crm.veevavault.com/ui/#object/approved_document__v/V5O00000001L017", "ALL_Flexibilität_Ferienplanung_2026_AA_fr")</f>
        <v>ALL_Flexibilität_Ferienplanung_2026_AA_fr</v>
      </c>
      <c r="M11594" s="22" t="str">
        <f>HYPERLINK("mailto:yvergari@crm.otsuka-europe.com", "yvergari@crm.otsuka-europe.com")</f>
        <v>yvergari@crm.otsuka-europe.com</v>
      </c>
      <c r="N11594" s="23">
        <v>46189.387256944443</v>
      </c>
      <c r="O11594" s="14" t="str">
        <f>HYPERLINK("https://otsuka-europe-crm.veevavault.com/ui/#object/email_activity__v/V8C00000003X052", "EN-002097012")</f>
        <v>EN-002097012</v>
      </c>
    </row>
    <row r="11595" spans="1:15" ht="16" x14ac:dyDescent="0.2">
      <c r="A11595" s="18"/>
      <c r="B11595" s="18"/>
      <c r="C11595" s="18"/>
      <c r="D11595" s="18"/>
      <c r="E11595" s="18"/>
      <c r="F11595" s="18"/>
      <c r="G11595" s="18"/>
      <c r="H11595" s="18"/>
      <c r="I11595" s="18"/>
      <c r="J11595" s="18"/>
      <c r="K11595" s="18"/>
      <c r="L11595" s="18"/>
      <c r="M11595" s="18"/>
      <c r="N11595" s="18"/>
      <c r="O11595" s="14" t="str">
        <f>HYPERLINK("https://otsuka-europe-crm.veevavault.com/ui/#object/email_activity__v/V8C00000003X068", "EN-002097033")</f>
        <v>EN-002097033</v>
      </c>
    </row>
    <row r="11596" spans="1:15" ht="16" x14ac:dyDescent="0.2">
      <c r="A11596" s="19"/>
      <c r="B11596" s="19"/>
      <c r="C11596" s="19"/>
      <c r="D11596" s="19"/>
      <c r="E11596" s="19"/>
      <c r="F11596" s="19"/>
      <c r="G11596" s="19"/>
      <c r="H11596" s="19"/>
      <c r="I11596" s="19"/>
      <c r="J11596" s="19"/>
      <c r="K11596" s="19"/>
      <c r="L11596" s="19"/>
      <c r="M11596" s="19"/>
      <c r="N11596" s="19"/>
      <c r="O11596" s="14" t="str">
        <f>HYPERLINK("https://otsuka-europe-crm.veevavault.com/ui/#object/email_activity__v/V8C00000003X914", "EN-002098454")</f>
        <v>EN-002098454</v>
      </c>
    </row>
    <row r="11597" spans="1:15" ht="16" x14ac:dyDescent="0.2">
      <c r="A11597" s="17" t="str">
        <f>HYPERLINK("https://otsuka-europe-crm.veevavault.com/ui/#object/account__v/V4TZ0000062SGMF", "Nora Souici-Makrouf")</f>
        <v>Nora Souici-Makrouf</v>
      </c>
      <c r="B11597" s="17" t="str">
        <f>HYPERLINK("https://otsuka-europe-crm.veevavault.com/ui/#object/vcountry__v/VENZ000004SONFN", "CH")</f>
        <v>CH</v>
      </c>
      <c r="C11597" s="20" t="s">
        <v>45</v>
      </c>
      <c r="D11597" s="21" t="str">
        <f>HYPERLINK("https://otsuka-europe-crm.veevavault.com/ui/#object/approved_document__v/V5O00000001L017", "ALL_Flexibilität_Ferienplanung_2026_AA_fr")</f>
        <v>ALL_Flexibilität_Ferienplanung_2026_AA_fr</v>
      </c>
      <c r="E11597" s="22" t="str">
        <f>HYPERLINK("https://otsuka-europe-crm.veevavault.com/ui/#object/sent_email__v/VBL00000002T439", "SE-001437230")</f>
        <v>SE-001437230</v>
      </c>
      <c r="F11597" s="25"/>
      <c r="G11597" s="24">
        <v>0</v>
      </c>
      <c r="H11597" s="24">
        <v>0</v>
      </c>
      <c r="I11597" s="24">
        <v>0</v>
      </c>
      <c r="J11597" s="25"/>
      <c r="K11597" s="24">
        <v>0</v>
      </c>
      <c r="L11597" s="22" t="str">
        <f>HYPERLINK("https://otsuka-europe-crm.veevavault.com/ui/#object/approved_document__v/V5O00000001L017", "ALL_Flexibilität_Ferienplanung_2026_AA_fr")</f>
        <v>ALL_Flexibilität_Ferienplanung_2026_AA_fr</v>
      </c>
      <c r="M11597" s="22" t="str">
        <f>HYPERLINK("mailto:yvergari@crm.otsuka-europe.com", "yvergari@crm.otsuka-europe.com")</f>
        <v>yvergari@crm.otsuka-europe.com</v>
      </c>
      <c r="N11597" s="23">
        <v>46189.387256944443</v>
      </c>
      <c r="O11597" s="14" t="str">
        <f>HYPERLINK("https://otsuka-europe-crm.veevavault.com/ui/#object/email_activity__v/V8C00000003U993", "EN-002096954")</f>
        <v>EN-002096954</v>
      </c>
    </row>
    <row r="11598" spans="1:15" ht="16" x14ac:dyDescent="0.2">
      <c r="A11598" s="19"/>
      <c r="B11598" s="19"/>
      <c r="C11598" s="19"/>
      <c r="D11598" s="19"/>
      <c r="E11598" s="19"/>
      <c r="F11598" s="19"/>
      <c r="G11598" s="19"/>
      <c r="H11598" s="19"/>
      <c r="I11598" s="19"/>
      <c r="J11598" s="19"/>
      <c r="K11598" s="19"/>
      <c r="L11598" s="19"/>
      <c r="M11598" s="19"/>
      <c r="N11598" s="19"/>
      <c r="O11598" s="14" t="str">
        <f>HYPERLINK("https://otsuka-europe-crm.veevavault.com/ui/#object/email_activity__v/V8C00000003W322", "EN-002097364")</f>
        <v>EN-002097364</v>
      </c>
    </row>
    <row r="11599" spans="1:15" ht="16" x14ac:dyDescent="0.2">
      <c r="A11599" s="17" t="str">
        <f>HYPERLINK("https://otsuka-europe-crm.veevavault.com/ui/#object/account__v/V4TZ0000062R4G2", "Adrian Sutu")</f>
        <v>Adrian Sutu</v>
      </c>
      <c r="B11599" s="17" t="str">
        <f>HYPERLINK("https://otsuka-europe-crm.veevavault.com/ui/#object/vcountry__v/VENZ000004SONFN", "CH")</f>
        <v>CH</v>
      </c>
      <c r="C11599" s="20" t="s">
        <v>45</v>
      </c>
      <c r="D11599" s="21" t="str">
        <f>HYPERLINK("https://otsuka-europe-crm.veevavault.com/ui/#object/approved_document__v/V5O00000001L017", "ALL_Flexibilität_Ferienplanung_2026_AA_fr")</f>
        <v>ALL_Flexibilität_Ferienplanung_2026_AA_fr</v>
      </c>
      <c r="E11599" s="22" t="str">
        <f>HYPERLINK("https://otsuka-europe-crm.veevavault.com/ui/#object/sent_email__v/VBL00000002T440", "SE-001437231")</f>
        <v>SE-001437231</v>
      </c>
      <c r="F11599" s="25"/>
      <c r="G11599" s="24">
        <v>0</v>
      </c>
      <c r="H11599" s="24">
        <v>0</v>
      </c>
      <c r="I11599" s="24">
        <v>0</v>
      </c>
      <c r="J11599" s="25"/>
      <c r="K11599" s="24">
        <v>0</v>
      </c>
      <c r="L11599" s="22" t="str">
        <f>HYPERLINK("https://otsuka-europe-crm.veevavault.com/ui/#object/approved_document__v/V5O00000001L017", "ALL_Flexibilität_Ferienplanung_2026_AA_fr")</f>
        <v>ALL_Flexibilität_Ferienplanung_2026_AA_fr</v>
      </c>
      <c r="M11599" s="22" t="str">
        <f>HYPERLINK("mailto:yvergari@crm.otsuka-europe.com", "yvergari@crm.otsuka-europe.com")</f>
        <v>yvergari@crm.otsuka-europe.com</v>
      </c>
      <c r="N11599" s="23">
        <v>46189.387256944443</v>
      </c>
      <c r="O11599" s="14" t="str">
        <f>HYPERLINK("https://otsuka-europe-crm.veevavault.com/ui/#object/email_activity__v/V8C00000003X063", "EN-002097027")</f>
        <v>EN-002097027</v>
      </c>
    </row>
    <row r="11600" spans="1:15" ht="16" x14ac:dyDescent="0.2">
      <c r="A11600" s="19"/>
      <c r="B11600" s="19"/>
      <c r="C11600" s="19"/>
      <c r="D11600" s="19"/>
      <c r="E11600" s="19"/>
      <c r="F11600" s="19"/>
      <c r="G11600" s="19"/>
      <c r="H11600" s="19"/>
      <c r="I11600" s="19"/>
      <c r="J11600" s="19"/>
      <c r="K11600" s="19"/>
      <c r="L11600" s="19"/>
      <c r="M11600" s="19"/>
      <c r="N11600" s="19"/>
      <c r="O11600" s="14" t="str">
        <f>HYPERLINK("https://otsuka-europe-crm.veevavault.com/ui/#object/email_activity__v/V8C00000003X073", "EN-002097047")</f>
        <v>EN-002097047</v>
      </c>
    </row>
    <row r="11601" spans="1:15" ht="32" x14ac:dyDescent="0.2">
      <c r="A11601" s="7" t="str">
        <f>HYPERLINK("https://otsuka-europe-crm.veevavault.com/ui/#object/account__v/V4TZ025E871A6LE", "Caterina Sillac-Schröder")</f>
        <v>Caterina Sillac-Schröder</v>
      </c>
      <c r="B11601" s="7" t="str">
        <f>HYPERLINK("https://otsuka-europe-crm.veevavault.com/ui/#object/vcountry__v/VENZ000004SONFN", "CH")</f>
        <v>CH</v>
      </c>
      <c r="C11601" s="8" t="s">
        <v>45</v>
      </c>
      <c r="D11601" s="9" t="str">
        <f>HYPERLINK("https://otsuka-europe-crm.veevavault.com/ui/#object/approved_document__v/V5O00000001L017", "ALL_Flexibilität_Ferienplanung_2026_AA_fr")</f>
        <v>ALL_Flexibilität_Ferienplanung_2026_AA_fr</v>
      </c>
      <c r="E11601" s="10" t="str">
        <f>HYPERLINK("https://otsuka-europe-crm.veevavault.com/ui/#object/sent_email__v/VBL00000002T441", "SE-001437232")</f>
        <v>SE-001437232</v>
      </c>
      <c r="F11601" s="11"/>
      <c r="G11601" s="12">
        <v>0</v>
      </c>
      <c r="H11601" s="12">
        <v>0</v>
      </c>
      <c r="I11601" s="12">
        <v>0</v>
      </c>
      <c r="J11601" s="11"/>
      <c r="K11601" s="12">
        <v>0</v>
      </c>
      <c r="L11601" s="10" t="str">
        <f>HYPERLINK("https://otsuka-europe-crm.veevavault.com/ui/#object/approved_document__v/V5O00000001L017", "ALL_Flexibilität_Ferienplanung_2026_AA_fr")</f>
        <v>ALL_Flexibilität_Ferienplanung_2026_AA_fr</v>
      </c>
      <c r="M11601" s="10" t="str">
        <f>HYPERLINK("mailto:yvergari@crm.otsuka-europe.com", "yvergari@crm.otsuka-europe.com")</f>
        <v>yvergari@crm.otsuka-europe.com</v>
      </c>
      <c r="N11601" s="13">
        <v>46189.387256944443</v>
      </c>
      <c r="O11601" s="14" t="str">
        <f>HYPERLINK("https://otsuka-europe-crm.veevavault.com/ui/#object/email_activity__v/V8C00000003U996", "EN-002096957")</f>
        <v>EN-002096957</v>
      </c>
    </row>
    <row r="11602" spans="1:15" ht="16" x14ac:dyDescent="0.2">
      <c r="A11602" s="17" t="str">
        <f>HYPERLINK("https://otsuka-europe-crm.veevavault.com/ui/#object/account__v/V4TZ0000062SGR1", "Gorica Velickovic")</f>
        <v>Gorica Velickovic</v>
      </c>
      <c r="B11602" s="17" t="str">
        <f>HYPERLINK("https://otsuka-europe-crm.veevavault.com/ui/#object/vcountry__v/VENZ000004SONFN", "CH")</f>
        <v>CH</v>
      </c>
      <c r="C11602" s="20" t="s">
        <v>45</v>
      </c>
      <c r="D11602" s="21" t="str">
        <f>HYPERLINK("https://otsuka-europe-crm.veevavault.com/ui/#object/approved_document__v/V5O00000001L017", "ALL_Flexibilität_Ferienplanung_2026_AA_fr")</f>
        <v>ALL_Flexibilität_Ferienplanung_2026_AA_fr</v>
      </c>
      <c r="E11602" s="22" t="str">
        <f>HYPERLINK("https://otsuka-europe-crm.veevavault.com/ui/#object/sent_email__v/VBL00000002T442", "SE-001437233")</f>
        <v>SE-001437233</v>
      </c>
      <c r="F11602" s="25"/>
      <c r="G11602" s="24">
        <v>0</v>
      </c>
      <c r="H11602" s="24">
        <v>0</v>
      </c>
      <c r="I11602" s="24">
        <v>0</v>
      </c>
      <c r="J11602" s="25"/>
      <c r="K11602" s="24">
        <v>0</v>
      </c>
      <c r="L11602" s="22" t="str">
        <f>HYPERLINK("https://otsuka-europe-crm.veevavault.com/ui/#object/approved_document__v/V5O00000001L017", "ALL_Flexibilität_Ferienplanung_2026_AA_fr")</f>
        <v>ALL_Flexibilität_Ferienplanung_2026_AA_fr</v>
      </c>
      <c r="M11602" s="22" t="str">
        <f>HYPERLINK("mailto:yvergari@crm.otsuka-europe.com", "yvergari@crm.otsuka-europe.com")</f>
        <v>yvergari@crm.otsuka-europe.com</v>
      </c>
      <c r="N11602" s="23">
        <v>46189.387256944443</v>
      </c>
      <c r="O11602" s="14" t="str">
        <f>HYPERLINK("https://otsuka-europe-crm.veevavault.com/ui/#object/email_activity__v/V8C00000003X003", "EN-002096963")</f>
        <v>EN-002096963</v>
      </c>
    </row>
    <row r="11603" spans="1:15" ht="16" x14ac:dyDescent="0.2">
      <c r="A11603" s="18"/>
      <c r="B11603" s="18"/>
      <c r="C11603" s="18"/>
      <c r="D11603" s="18"/>
      <c r="E11603" s="18"/>
      <c r="F11603" s="18"/>
      <c r="G11603" s="18"/>
      <c r="H11603" s="18"/>
      <c r="I11603" s="18"/>
      <c r="J11603" s="18"/>
      <c r="K11603" s="18"/>
      <c r="L11603" s="18"/>
      <c r="M11603" s="18"/>
      <c r="N11603" s="18"/>
      <c r="O11603" s="14" t="str">
        <f>HYPERLINK("https://otsuka-europe-crm.veevavault.com/ui/#object/email_activity__v/V8C000000040094", "EN-002098870")</f>
        <v>EN-002098870</v>
      </c>
    </row>
    <row r="11604" spans="1:15" ht="16" x14ac:dyDescent="0.2">
      <c r="A11604" s="19"/>
      <c r="B11604" s="19"/>
      <c r="C11604" s="19"/>
      <c r="D11604" s="19"/>
      <c r="E11604" s="19"/>
      <c r="F11604" s="19"/>
      <c r="G11604" s="19"/>
      <c r="H11604" s="19"/>
      <c r="I11604" s="19"/>
      <c r="J11604" s="19"/>
      <c r="K11604" s="19"/>
      <c r="L11604" s="19"/>
      <c r="M11604" s="19"/>
      <c r="N11604" s="19"/>
      <c r="O11604" s="14" t="str">
        <f>HYPERLINK("https://otsuka-europe-crm.veevavault.com/ui/#object/email_activity__v/V8C000000040103", "EN-002098882")</f>
        <v>EN-002098882</v>
      </c>
    </row>
    <row r="11605" spans="1:15" ht="32" x14ac:dyDescent="0.2">
      <c r="A11605" s="7" t="str">
        <f>HYPERLINK("https://otsuka-europe-crm.veevavault.com/ui/#object/account__v/V4TZ0000062SGR0", "Alfredo Velardi")</f>
        <v>Alfredo Velardi</v>
      </c>
      <c r="B11605" s="7" t="str">
        <f>HYPERLINK("https://otsuka-europe-crm.veevavault.com/ui/#object/vcountry__v/VENZ000004SONFN", "CH")</f>
        <v>CH</v>
      </c>
      <c r="C11605" s="8" t="s">
        <v>45</v>
      </c>
      <c r="D11605" s="9" t="str">
        <f>HYPERLINK("https://otsuka-europe-crm.veevavault.com/ui/#object/approved_document__v/V5O00000001L017", "ALL_Flexibilität_Ferienplanung_2026_AA_fr")</f>
        <v>ALL_Flexibilität_Ferienplanung_2026_AA_fr</v>
      </c>
      <c r="E11605" s="10" t="str">
        <f>HYPERLINK("https://otsuka-europe-crm.veevavault.com/ui/#object/sent_email__v/VBL00000002T443", "SE-001437234")</f>
        <v>SE-001437234</v>
      </c>
      <c r="F11605" s="11"/>
      <c r="G11605" s="12">
        <v>0</v>
      </c>
      <c r="H11605" s="12">
        <v>0</v>
      </c>
      <c r="I11605" s="12">
        <v>0</v>
      </c>
      <c r="J11605" s="11"/>
      <c r="K11605" s="12">
        <v>0</v>
      </c>
      <c r="L11605" s="10" t="str">
        <f>HYPERLINK("https://otsuka-europe-crm.veevavault.com/ui/#object/approved_document__v/V5O00000001L017", "ALL_Flexibilität_Ferienplanung_2026_AA_fr")</f>
        <v>ALL_Flexibilität_Ferienplanung_2026_AA_fr</v>
      </c>
      <c r="M11605" s="10" t="str">
        <f>HYPERLINK("mailto:yvergari@crm.otsuka-europe.com", "yvergari@crm.otsuka-europe.com")</f>
        <v>yvergari@crm.otsuka-europe.com</v>
      </c>
      <c r="N11605" s="13">
        <v>46189.387256944443</v>
      </c>
      <c r="O11605" s="14" t="str">
        <f>HYPERLINK("https://otsuka-europe-crm.veevavault.com/ui/#object/email_activity__v/V8C00000003W153", "EN-002097026")</f>
        <v>EN-002097026</v>
      </c>
    </row>
    <row r="11606" spans="1:15" ht="32" x14ac:dyDescent="0.2">
      <c r="A11606" s="7" t="str">
        <f>HYPERLINK("https://otsuka-europe-crm.veevavault.com/ui/#object/account__v/V4TZ025E87U9G03", "Patricia-Maria Vasu")</f>
        <v>Patricia-Maria Vasu</v>
      </c>
      <c r="B11606" s="7" t="str">
        <f>HYPERLINK("https://otsuka-europe-crm.veevavault.com/ui/#object/vcountry__v/VENZ000004SONFN", "CH")</f>
        <v>CH</v>
      </c>
      <c r="C11606" s="8" t="s">
        <v>45</v>
      </c>
      <c r="D11606" s="9" t="str">
        <f>HYPERLINK("https://otsuka-europe-crm.veevavault.com/ui/#object/approved_document__v/V5O00000001L017", "ALL_Flexibilität_Ferienplanung_2026_AA_fr")</f>
        <v>ALL_Flexibilität_Ferienplanung_2026_AA_fr</v>
      </c>
      <c r="E11606" s="10" t="str">
        <f>HYPERLINK("https://otsuka-europe-crm.veevavault.com/ui/#object/sent_email__v/VBL00000002T444", "SE-001437235")</f>
        <v>SE-001437235</v>
      </c>
      <c r="F11606" s="11"/>
      <c r="G11606" s="12">
        <v>0</v>
      </c>
      <c r="H11606" s="12">
        <v>0</v>
      </c>
      <c r="I11606" s="12">
        <v>0</v>
      </c>
      <c r="J11606" s="11"/>
      <c r="K11606" s="12">
        <v>0</v>
      </c>
      <c r="L11606" s="10" t="str">
        <f>HYPERLINK("https://otsuka-europe-crm.veevavault.com/ui/#object/approved_document__v/V5O00000001L017", "ALL_Flexibilität_Ferienplanung_2026_AA_fr")</f>
        <v>ALL_Flexibilität_Ferienplanung_2026_AA_fr</v>
      </c>
      <c r="M11606" s="10" t="str">
        <f>HYPERLINK("mailto:yvergari@crm.otsuka-europe.com", "yvergari@crm.otsuka-europe.com")</f>
        <v>yvergari@crm.otsuka-europe.com</v>
      </c>
      <c r="N11606" s="13">
        <v>46189.387256944443</v>
      </c>
      <c r="O11606" s="14" t="str">
        <f>HYPERLINK("https://otsuka-europe-crm.veevavault.com/ui/#object/email_activity__v/V8C00000003U984", "EN-002096945")</f>
        <v>EN-002096945</v>
      </c>
    </row>
    <row r="11607" spans="1:15" ht="32" x14ac:dyDescent="0.2">
      <c r="A11607" s="7" t="str">
        <f>HYPERLINK("https://otsuka-europe-crm.veevavault.com/ui/#object/account__v/V4TZ0000062SGR3", "Marie-Theres Wellinger")</f>
        <v>Marie-Theres Wellinger</v>
      </c>
      <c r="B11607" s="7" t="str">
        <f>HYPERLINK("https://otsuka-europe-crm.veevavault.com/ui/#object/vcountry__v/VENZ000004SONFN", "CH")</f>
        <v>CH</v>
      </c>
      <c r="C11607" s="8" t="s">
        <v>45</v>
      </c>
      <c r="D11607" s="9" t="str">
        <f>HYPERLINK("https://otsuka-europe-crm.veevavault.com/ui/#object/approved_document__v/V5O00000001L017", "ALL_Flexibilität_Ferienplanung_2026_AA_fr")</f>
        <v>ALL_Flexibilität_Ferienplanung_2026_AA_fr</v>
      </c>
      <c r="E11607" s="10" t="str">
        <f>HYPERLINK("https://otsuka-europe-crm.veevavault.com/ui/#object/sent_email__v/VBL00000002T445", "SE-001437236")</f>
        <v>SE-001437236</v>
      </c>
      <c r="F11607" s="11"/>
      <c r="G11607" s="12">
        <v>0</v>
      </c>
      <c r="H11607" s="12">
        <v>0</v>
      </c>
      <c r="I11607" s="12">
        <v>0</v>
      </c>
      <c r="J11607" s="11"/>
      <c r="K11607" s="12">
        <v>0</v>
      </c>
      <c r="L11607" s="10" t="str">
        <f>HYPERLINK("https://otsuka-europe-crm.veevavault.com/ui/#object/approved_document__v/V5O00000001L017", "ALL_Flexibilität_Ferienplanung_2026_AA_fr")</f>
        <v>ALL_Flexibilität_Ferienplanung_2026_AA_fr</v>
      </c>
      <c r="M11607" s="10" t="str">
        <f>HYPERLINK("mailto:yvergari@crm.otsuka-europe.com", "yvergari@crm.otsuka-europe.com")</f>
        <v>yvergari@crm.otsuka-europe.com</v>
      </c>
      <c r="N11607" s="13">
        <v>46189.387256944443</v>
      </c>
      <c r="O11607" s="14" t="str">
        <f>HYPERLINK("https://otsuka-europe-crm.veevavault.com/ui/#object/email_activity__v/V8C00000003X022", "EN-002096982")</f>
        <v>EN-002096982</v>
      </c>
    </row>
    <row r="11608" spans="1:15" ht="16" x14ac:dyDescent="0.2">
      <c r="A11608" s="17" t="str">
        <f>HYPERLINK("https://otsuka-europe-crm.veevavault.com/ui/#object/account__v/V4TZ0000062SG99", "Grégoire Rubovszky")</f>
        <v>Grégoire Rubovszky</v>
      </c>
      <c r="B11608" s="17" t="str">
        <f>HYPERLINK("https://otsuka-europe-crm.veevavault.com/ui/#object/vcountry__v/VENZ000004SONFN", "CH")</f>
        <v>CH</v>
      </c>
      <c r="C11608" s="20" t="s">
        <v>45</v>
      </c>
      <c r="D11608" s="21" t="str">
        <f>HYPERLINK("https://otsuka-europe-crm.veevavault.com/ui/#object/approved_document__v/V5O00000001L017", "ALL_Flexibilität_Ferienplanung_2026_AA_fr")</f>
        <v>ALL_Flexibilität_Ferienplanung_2026_AA_fr</v>
      </c>
      <c r="E11608" s="22" t="str">
        <f>HYPERLINK("https://otsuka-europe-crm.veevavault.com/ui/#object/sent_email__v/VBL00000002T446", "SE-001437237")</f>
        <v>SE-001437237</v>
      </c>
      <c r="F11608" s="25"/>
      <c r="G11608" s="24">
        <v>0</v>
      </c>
      <c r="H11608" s="24">
        <v>0</v>
      </c>
      <c r="I11608" s="24">
        <v>0</v>
      </c>
      <c r="J11608" s="25"/>
      <c r="K11608" s="24">
        <v>0</v>
      </c>
      <c r="L11608" s="22" t="str">
        <f>HYPERLINK("https://otsuka-europe-crm.veevavault.com/ui/#object/approved_document__v/V5O00000001L017", "ALL_Flexibilität_Ferienplanung_2026_AA_fr")</f>
        <v>ALL_Flexibilität_Ferienplanung_2026_AA_fr</v>
      </c>
      <c r="M11608" s="22" t="str">
        <f>HYPERLINK("mailto:yvergari@crm.otsuka-europe.com", "yvergari@crm.otsuka-europe.com")</f>
        <v>yvergari@crm.otsuka-europe.com</v>
      </c>
      <c r="N11608" s="23">
        <v>46189.387256944443</v>
      </c>
      <c r="O11608" s="14" t="str">
        <f>HYPERLINK("https://otsuka-europe-crm.veevavault.com/ui/#object/email_activity__v/V8C00000003U981", "EN-002096941")</f>
        <v>EN-002096941</v>
      </c>
    </row>
    <row r="11609" spans="1:15" ht="16" x14ac:dyDescent="0.2">
      <c r="A11609" s="18"/>
      <c r="B11609" s="18"/>
      <c r="C11609" s="18"/>
      <c r="D11609" s="18"/>
      <c r="E11609" s="18"/>
      <c r="F11609" s="18"/>
      <c r="G11609" s="18"/>
      <c r="H11609" s="18"/>
      <c r="I11609" s="18"/>
      <c r="J11609" s="18"/>
      <c r="K11609" s="18"/>
      <c r="L11609" s="18"/>
      <c r="M11609" s="18"/>
      <c r="N11609" s="18"/>
      <c r="O11609" s="14" t="str">
        <f>HYPERLINK("https://otsuka-europe-crm.veevavault.com/ui/#object/email_activity__v/V8C00000003W292", "EN-002097302")</f>
        <v>EN-002097302</v>
      </c>
    </row>
    <row r="11610" spans="1:15" ht="16" x14ac:dyDescent="0.2">
      <c r="A11610" s="18"/>
      <c r="B11610" s="18"/>
      <c r="C11610" s="18"/>
      <c r="D11610" s="18"/>
      <c r="E11610" s="18"/>
      <c r="F11610" s="18"/>
      <c r="G11610" s="18"/>
      <c r="H11610" s="18"/>
      <c r="I11610" s="18"/>
      <c r="J11610" s="18"/>
      <c r="K11610" s="18"/>
      <c r="L11610" s="18"/>
      <c r="M11610" s="18"/>
      <c r="N11610" s="18"/>
      <c r="O11610" s="14" t="str">
        <f>HYPERLINK("https://otsuka-europe-crm.veevavault.com/ui/#object/email_activity__v/V8C00000003W704", "EN-002098389")</f>
        <v>EN-002098389</v>
      </c>
    </row>
    <row r="11611" spans="1:15" ht="16" x14ac:dyDescent="0.2">
      <c r="A11611" s="18"/>
      <c r="B11611" s="18"/>
      <c r="C11611" s="18"/>
      <c r="D11611" s="18"/>
      <c r="E11611" s="18"/>
      <c r="F11611" s="18"/>
      <c r="G11611" s="18"/>
      <c r="H11611" s="18"/>
      <c r="I11611" s="18"/>
      <c r="J11611" s="18"/>
      <c r="K11611" s="18"/>
      <c r="L11611" s="18"/>
      <c r="M11611" s="18"/>
      <c r="N11611" s="18"/>
      <c r="O11611" s="14" t="str">
        <f>HYPERLINK("https://otsuka-europe-crm.veevavault.com/ui/#object/email_activity__v/V8C00000003X233", "EN-002097363")</f>
        <v>EN-002097363</v>
      </c>
    </row>
    <row r="11612" spans="1:15" ht="16" x14ac:dyDescent="0.2">
      <c r="A11612" s="19"/>
      <c r="B11612" s="19"/>
      <c r="C11612" s="19"/>
      <c r="D11612" s="19"/>
      <c r="E11612" s="19"/>
      <c r="F11612" s="19"/>
      <c r="G11612" s="19"/>
      <c r="H11612" s="19"/>
      <c r="I11612" s="19"/>
      <c r="J11612" s="19"/>
      <c r="K11612" s="19"/>
      <c r="L11612" s="19"/>
      <c r="M11612" s="19"/>
      <c r="N11612" s="19"/>
      <c r="O11612" s="14" t="str">
        <f>HYPERLINK("https://otsuka-europe-crm.veevavault.com/ui/#object/email_activity__v/V8C00000003X886", "EN-002098403")</f>
        <v>EN-002098403</v>
      </c>
    </row>
    <row r="11613" spans="1:15" ht="32" x14ac:dyDescent="0.2">
      <c r="A11613" s="7" t="str">
        <f>HYPERLINK("https://otsuka-europe-crm.veevavault.com/ui/#object/account__v/V4TZ0000062SGQS", "Gerrit Weber")</f>
        <v>Gerrit Weber</v>
      </c>
      <c r="B11613" s="7" t="str">
        <f>HYPERLINK("https://otsuka-europe-crm.veevavault.com/ui/#object/vcountry__v/VENZ000004SONFN", "CH")</f>
        <v>CH</v>
      </c>
      <c r="C11613" s="8" t="s">
        <v>45</v>
      </c>
      <c r="D11613" s="9" t="str">
        <f>HYPERLINK("https://otsuka-europe-crm.veevavault.com/ui/#object/approved_document__v/V5O00000001L017", "ALL_Flexibilität_Ferienplanung_2026_AA_fr")</f>
        <v>ALL_Flexibilität_Ferienplanung_2026_AA_fr</v>
      </c>
      <c r="E11613" s="10" t="str">
        <f>HYPERLINK("https://otsuka-europe-crm.veevavault.com/ui/#object/sent_email__v/VBL00000002T447", "SE-001437238")</f>
        <v>SE-001437238</v>
      </c>
      <c r="F11613" s="11"/>
      <c r="G11613" s="12">
        <v>0</v>
      </c>
      <c r="H11613" s="12">
        <v>0</v>
      </c>
      <c r="I11613" s="12">
        <v>0</v>
      </c>
      <c r="J11613" s="11"/>
      <c r="K11613" s="12">
        <v>0</v>
      </c>
      <c r="L11613" s="10" t="str">
        <f>HYPERLINK("https://otsuka-europe-crm.veevavault.com/ui/#object/approved_document__v/V5O00000001L017", "ALL_Flexibilität_Ferienplanung_2026_AA_fr")</f>
        <v>ALL_Flexibilität_Ferienplanung_2026_AA_fr</v>
      </c>
      <c r="M11613" s="10" t="str">
        <f>HYPERLINK("mailto:yvergari@crm.otsuka-europe.com", "yvergari@crm.otsuka-europe.com")</f>
        <v>yvergari@crm.otsuka-europe.com</v>
      </c>
      <c r="N11613" s="13">
        <v>46189.387256944443</v>
      </c>
      <c r="O11613" s="14" t="str">
        <f>HYPERLINK("https://otsuka-europe-crm.veevavault.com/ui/#object/email_activity__v/V8C00000003X021", "EN-002096981")</f>
        <v>EN-002096981</v>
      </c>
    </row>
    <row r="11614" spans="1:15" ht="16" x14ac:dyDescent="0.2">
      <c r="A11614" s="17" t="str">
        <f>HYPERLINK("https://otsuka-europe-crm.veevavault.com/ui/#object/account__v/V4TZ0000062SH0T", "Daniele Fabio Zullino")</f>
        <v>Daniele Fabio Zullino</v>
      </c>
      <c r="B11614" s="17" t="str">
        <f>HYPERLINK("https://otsuka-europe-crm.veevavault.com/ui/#object/vcountry__v/VENZ000004SONFN", "CH")</f>
        <v>CH</v>
      </c>
      <c r="C11614" s="20" t="s">
        <v>45</v>
      </c>
      <c r="D11614" s="21" t="str">
        <f>HYPERLINK("https://otsuka-europe-crm.veevavault.com/ui/#object/approved_document__v/V5O00000001L017", "ALL_Flexibilität_Ferienplanung_2026_AA_fr")</f>
        <v>ALL_Flexibilität_Ferienplanung_2026_AA_fr</v>
      </c>
      <c r="E11614" s="22" t="str">
        <f>HYPERLINK("https://otsuka-europe-crm.veevavault.com/ui/#object/sent_email__v/VBL00000002T448", "SE-001437239")</f>
        <v>SE-001437239</v>
      </c>
      <c r="F11614" s="25"/>
      <c r="G11614" s="24">
        <v>0</v>
      </c>
      <c r="H11614" s="24">
        <v>0</v>
      </c>
      <c r="I11614" s="24">
        <v>0</v>
      </c>
      <c r="J11614" s="25"/>
      <c r="K11614" s="24">
        <v>0</v>
      </c>
      <c r="L11614" s="22" t="str">
        <f>HYPERLINK("https://otsuka-europe-crm.veevavault.com/ui/#object/approved_document__v/V5O00000001L017", "ALL_Flexibilität_Ferienplanung_2026_AA_fr")</f>
        <v>ALL_Flexibilität_Ferienplanung_2026_AA_fr</v>
      </c>
      <c r="M11614" s="22" t="str">
        <f>HYPERLINK("mailto:yvergari@crm.otsuka-europe.com", "yvergari@crm.otsuka-europe.com")</f>
        <v>yvergari@crm.otsuka-europe.com</v>
      </c>
      <c r="N11614" s="23">
        <v>46189.387256944443</v>
      </c>
      <c r="O11614" s="14" t="str">
        <f>HYPERLINK("https://otsuka-europe-crm.veevavault.com/ui/#object/email_activity__v/V8C00000003W293", "EN-002097308")</f>
        <v>EN-002097308</v>
      </c>
    </row>
    <row r="11615" spans="1:15" ht="16" x14ac:dyDescent="0.2">
      <c r="A11615" s="19"/>
      <c r="B11615" s="19"/>
      <c r="C11615" s="19"/>
      <c r="D11615" s="19"/>
      <c r="E11615" s="19"/>
      <c r="F11615" s="19"/>
      <c r="G11615" s="19"/>
      <c r="H11615" s="19"/>
      <c r="I11615" s="19"/>
      <c r="J11615" s="19"/>
      <c r="K11615" s="19"/>
      <c r="L11615" s="19"/>
      <c r="M11615" s="19"/>
      <c r="N11615" s="19"/>
      <c r="O11615" s="14" t="str">
        <f>HYPERLINK("https://otsuka-europe-crm.veevavault.com/ui/#object/email_activity__v/V8C00000003X008", "EN-002096968")</f>
        <v>EN-002096968</v>
      </c>
    </row>
    <row r="11616" spans="1:15" ht="32" x14ac:dyDescent="0.2">
      <c r="A11616" s="7" t="str">
        <f>HYPERLINK("https://otsuka-europe-crm.veevavault.com/ui/#object/account__v/V4TZ025E87ZONPG", "Roberta Russo")</f>
        <v>Roberta Russo</v>
      </c>
      <c r="B11616" s="7" t="str">
        <f>HYPERLINK("https://otsuka-europe-crm.veevavault.com/ui/#object/vcountry__v/VENZ000004SONFN", "CH")</f>
        <v>CH</v>
      </c>
      <c r="C11616" s="8" t="s">
        <v>45</v>
      </c>
      <c r="D11616" s="9" t="str">
        <f>HYPERLINK("https://otsuka-europe-crm.veevavault.com/ui/#object/approved_document__v/V5O00000001L017", "ALL_Flexibilität_Ferienplanung_2026_AA_fr")</f>
        <v>ALL_Flexibilität_Ferienplanung_2026_AA_fr</v>
      </c>
      <c r="E11616" s="10" t="str">
        <f>HYPERLINK("https://otsuka-europe-crm.veevavault.com/ui/#object/sent_email__v/VBL00000002T449", "SE-001437240")</f>
        <v>SE-001437240</v>
      </c>
      <c r="F11616" s="11"/>
      <c r="G11616" s="12">
        <v>0</v>
      </c>
      <c r="H11616" s="12">
        <v>0</v>
      </c>
      <c r="I11616" s="12">
        <v>0</v>
      </c>
      <c r="J11616" s="11"/>
      <c r="K11616" s="12">
        <v>0</v>
      </c>
      <c r="L11616" s="10" t="str">
        <f>HYPERLINK("https://otsuka-europe-crm.veevavault.com/ui/#object/approved_document__v/V5O00000001L017", "ALL_Flexibilität_Ferienplanung_2026_AA_fr")</f>
        <v>ALL_Flexibilität_Ferienplanung_2026_AA_fr</v>
      </c>
      <c r="M11616" s="10" t="str">
        <f>HYPERLINK("mailto:yvergari@crm.otsuka-europe.com", "yvergari@crm.otsuka-europe.com")</f>
        <v>yvergari@crm.otsuka-europe.com</v>
      </c>
      <c r="N11616" s="13">
        <v>46189.387256944443</v>
      </c>
      <c r="O11616" s="14" t="str">
        <f>HYPERLINK("https://otsuka-europe-crm.veevavault.com/ui/#object/email_activity__v/V8C00000003X047", "EN-002097007")</f>
        <v>EN-002097007</v>
      </c>
    </row>
    <row r="11617" spans="1:15" ht="16" x14ac:dyDescent="0.2">
      <c r="A11617" s="17" t="str">
        <f>HYPERLINK("https://otsuka-europe-crm.veevavault.com/ui/#object/account__v/V4TZ04ASG6ZQRQX", "Alexandre Viala")</f>
        <v>Alexandre Viala</v>
      </c>
      <c r="B11617" s="17" t="str">
        <f>HYPERLINK("https://otsuka-europe-crm.veevavault.com/ui/#object/vcountry__v/VENZ000004SONFN", "CH")</f>
        <v>CH</v>
      </c>
      <c r="C11617" s="20" t="s">
        <v>45</v>
      </c>
      <c r="D11617" s="21" t="str">
        <f>HYPERLINK("https://otsuka-europe-crm.veevavault.com/ui/#object/approved_document__v/V5O00000001L017", "ALL_Flexibilität_Ferienplanung_2026_AA_fr")</f>
        <v>ALL_Flexibilität_Ferienplanung_2026_AA_fr</v>
      </c>
      <c r="E11617" s="22" t="str">
        <f>HYPERLINK("https://otsuka-europe-crm.veevavault.com/ui/#object/sent_email__v/VBL00000002T450", "SE-001437241")</f>
        <v>SE-001437241</v>
      </c>
      <c r="F11617" s="23">
        <v>46189.388124999998</v>
      </c>
      <c r="G11617" s="24">
        <v>1</v>
      </c>
      <c r="H11617" s="24">
        <v>3</v>
      </c>
      <c r="I11617" s="24">
        <v>0</v>
      </c>
      <c r="J11617" s="25"/>
      <c r="K11617" s="24">
        <v>0</v>
      </c>
      <c r="L11617" s="22" t="str">
        <f>HYPERLINK("https://otsuka-europe-crm.veevavault.com/ui/#object/approved_document__v/V5O00000001L017", "ALL_Flexibilität_Ferienplanung_2026_AA_fr")</f>
        <v>ALL_Flexibilität_Ferienplanung_2026_AA_fr</v>
      </c>
      <c r="M11617" s="22" t="str">
        <f>HYPERLINK("mailto:yvergari@crm.otsuka-europe.com", "yvergari@crm.otsuka-europe.com")</f>
        <v>yvergari@crm.otsuka-europe.com</v>
      </c>
      <c r="N11617" s="23">
        <v>46189.387291666666</v>
      </c>
      <c r="O11617" s="14" t="str">
        <f>HYPERLINK("https://otsuka-europe-crm.veevavault.com/ui/#object/email_activity__v/V8C00000003X036", "EN-002096996")</f>
        <v>EN-002096996</v>
      </c>
    </row>
    <row r="11618" spans="1:15" ht="16" x14ac:dyDescent="0.2">
      <c r="A11618" s="18"/>
      <c r="B11618" s="18"/>
      <c r="C11618" s="18"/>
      <c r="D11618" s="18"/>
      <c r="E11618" s="18"/>
      <c r="F11618" s="18"/>
      <c r="G11618" s="18"/>
      <c r="H11618" s="18"/>
      <c r="I11618" s="18"/>
      <c r="J11618" s="18"/>
      <c r="K11618" s="18"/>
      <c r="L11618" s="18"/>
      <c r="M11618" s="18"/>
      <c r="N11618" s="18"/>
      <c r="O11618" s="14" t="str">
        <f>HYPERLINK("https://otsuka-europe-crm.veevavault.com/ui/#object/email_activity__v/V8C00000003X040", "EN-002097000")</f>
        <v>EN-002097000</v>
      </c>
    </row>
    <row r="11619" spans="1:15" ht="16" x14ac:dyDescent="0.2">
      <c r="A11619" s="18"/>
      <c r="B11619" s="18"/>
      <c r="C11619" s="18"/>
      <c r="D11619" s="18"/>
      <c r="E11619" s="18"/>
      <c r="F11619" s="18"/>
      <c r="G11619" s="18"/>
      <c r="H11619" s="18"/>
      <c r="I11619" s="18"/>
      <c r="J11619" s="18"/>
      <c r="K11619" s="18"/>
      <c r="L11619" s="18"/>
      <c r="M11619" s="18"/>
      <c r="N11619" s="18"/>
      <c r="O11619" s="14" t="str">
        <f>HYPERLINK("https://otsuka-europe-crm.veevavault.com/ui/#object/email_activity__v/V8C00000003X055", "EN-002097015")</f>
        <v>EN-002097015</v>
      </c>
    </row>
    <row r="11620" spans="1:15" ht="16" x14ac:dyDescent="0.2">
      <c r="A11620" s="19"/>
      <c r="B11620" s="19"/>
      <c r="C11620" s="19"/>
      <c r="D11620" s="19"/>
      <c r="E11620" s="19"/>
      <c r="F11620" s="19"/>
      <c r="G11620" s="19"/>
      <c r="H11620" s="19"/>
      <c r="I11620" s="19"/>
      <c r="J11620" s="19"/>
      <c r="K11620" s="19"/>
      <c r="L11620" s="19"/>
      <c r="M11620" s="19"/>
      <c r="N11620" s="19"/>
      <c r="O11620" s="14" t="str">
        <f>HYPERLINK("https://otsuka-europe-crm.veevavault.com/ui/#object/email_activity__v/V8C00000003X059", "EN-002097019")</f>
        <v>EN-002097019</v>
      </c>
    </row>
    <row r="11621" spans="1:15" ht="32" x14ac:dyDescent="0.2">
      <c r="A11621" s="7" t="str">
        <f>HYPERLINK("https://otsuka-europe-crm.veevavault.com/ui/#object/account__v/V4TZ04ASGEBWT5Q", "Dylan Toledo")</f>
        <v>Dylan Toledo</v>
      </c>
      <c r="B11621" s="7" t="str">
        <f>HYPERLINK("https://otsuka-europe-crm.veevavault.com/ui/#object/vcountry__v/VENZ000004SONFN", "CH")</f>
        <v>CH</v>
      </c>
      <c r="C11621" s="8" t="s">
        <v>45</v>
      </c>
      <c r="D11621" s="9" t="str">
        <f>HYPERLINK("https://otsuka-europe-crm.veevavault.com/ui/#object/approved_document__v/V5O00000001L017", "ALL_Flexibilität_Ferienplanung_2026_AA_fr")</f>
        <v>ALL_Flexibilität_Ferienplanung_2026_AA_fr</v>
      </c>
      <c r="E11621" s="10" t="str">
        <f>HYPERLINK("https://otsuka-europe-crm.veevavault.com/ui/#object/sent_email__v/VBL00000002T451", "SE-001437242")</f>
        <v>SE-001437242</v>
      </c>
      <c r="F11621" s="11"/>
      <c r="G11621" s="12">
        <v>0</v>
      </c>
      <c r="H11621" s="12">
        <v>0</v>
      </c>
      <c r="I11621" s="12">
        <v>0</v>
      </c>
      <c r="J11621" s="11"/>
      <c r="K11621" s="12">
        <v>0</v>
      </c>
      <c r="L11621" s="10" t="str">
        <f>HYPERLINK("https://otsuka-europe-crm.veevavault.com/ui/#object/approved_document__v/V5O00000001L017", "ALL_Flexibilität_Ferienplanung_2026_AA_fr")</f>
        <v>ALL_Flexibilität_Ferienplanung_2026_AA_fr</v>
      </c>
      <c r="M11621" s="10" t="str">
        <f>HYPERLINK("mailto:yvergari@crm.otsuka-europe.com", "yvergari@crm.otsuka-europe.com")</f>
        <v>yvergari@crm.otsuka-europe.com</v>
      </c>
      <c r="N11621" s="13">
        <v>46189.387256944443</v>
      </c>
      <c r="O11621" s="14" t="str">
        <f>HYPERLINK("https://otsuka-europe-crm.veevavault.com/ui/#object/email_activity__v/V8C00000003X044", "EN-002097004")</f>
        <v>EN-002097004</v>
      </c>
    </row>
    <row r="11622" spans="1:15" ht="16" x14ac:dyDescent="0.2">
      <c r="A11622" s="17" t="str">
        <f>HYPERLINK("https://otsuka-europe-crm.veevavault.com/ui/#object/account__v/V4TZ025E85QVMJS", "Valérie Thomazic")</f>
        <v>Valérie Thomazic</v>
      </c>
      <c r="B11622" s="17" t="str">
        <f>HYPERLINK("https://otsuka-europe-crm.veevavault.com/ui/#object/vcountry__v/VENZ000004SONFN", "CH")</f>
        <v>CH</v>
      </c>
      <c r="C11622" s="20" t="s">
        <v>45</v>
      </c>
      <c r="D11622" s="21" t="str">
        <f>HYPERLINK("https://otsuka-europe-crm.veevavault.com/ui/#object/approved_document__v/V5O00000001L017", "ALL_Flexibilität_Ferienplanung_2026_AA_fr")</f>
        <v>ALL_Flexibilität_Ferienplanung_2026_AA_fr</v>
      </c>
      <c r="E11622" s="22" t="str">
        <f>HYPERLINK("https://otsuka-europe-crm.veevavault.com/ui/#object/sent_email__v/VBL00000002T452", "SE-001437243")</f>
        <v>SE-001437243</v>
      </c>
      <c r="F11622" s="25"/>
      <c r="G11622" s="24">
        <v>0</v>
      </c>
      <c r="H11622" s="24">
        <v>0</v>
      </c>
      <c r="I11622" s="24">
        <v>0</v>
      </c>
      <c r="J11622" s="25"/>
      <c r="K11622" s="24">
        <v>0</v>
      </c>
      <c r="L11622" s="22" t="str">
        <f>HYPERLINK("https://otsuka-europe-crm.veevavault.com/ui/#object/approved_document__v/V5O00000001L017", "ALL_Flexibilität_Ferienplanung_2026_AA_fr")</f>
        <v>ALL_Flexibilität_Ferienplanung_2026_AA_fr</v>
      </c>
      <c r="M11622" s="22" t="str">
        <f>HYPERLINK("mailto:yvergari@crm.otsuka-europe.com", "yvergari@crm.otsuka-europe.com")</f>
        <v>yvergari@crm.otsuka-europe.com</v>
      </c>
      <c r="N11622" s="23">
        <v>46189.387256944443</v>
      </c>
      <c r="O11622" s="14" t="str">
        <f>HYPERLINK("https://otsuka-europe-crm.veevavault.com/ui/#object/email_activity__v/V8C00000003W163", "EN-002097045")</f>
        <v>EN-002097045</v>
      </c>
    </row>
    <row r="11623" spans="1:15" ht="16" x14ac:dyDescent="0.2">
      <c r="A11623" s="19"/>
      <c r="B11623" s="19"/>
      <c r="C11623" s="19"/>
      <c r="D11623" s="19"/>
      <c r="E11623" s="19"/>
      <c r="F11623" s="19"/>
      <c r="G11623" s="19"/>
      <c r="H11623" s="19"/>
      <c r="I11623" s="19"/>
      <c r="J11623" s="19"/>
      <c r="K11623" s="19"/>
      <c r="L11623" s="19"/>
      <c r="M11623" s="19"/>
      <c r="N11623" s="19"/>
      <c r="O11623" s="14" t="str">
        <f>HYPERLINK("https://otsuka-europe-crm.veevavault.com/ui/#object/email_activity__v/V8C00000003X041", "EN-002097001")</f>
        <v>EN-002097001</v>
      </c>
    </row>
    <row r="11624" spans="1:15" ht="32" x14ac:dyDescent="0.2">
      <c r="A11624" s="7" t="str">
        <f>HYPERLINK("https://otsuka-europe-crm.veevavault.com/ui/#object/account__v/V4TZ025E87ZOS0Z", "Jérôme Salamoni")</f>
        <v>Jérôme Salamoni</v>
      </c>
      <c r="B11624" s="7" t="str">
        <f t="shared" ref="B11624:B11629" si="886">HYPERLINK("https://otsuka-europe-crm.veevavault.com/ui/#object/vcountry__v/VENZ000004SONFN", "CH")</f>
        <v>CH</v>
      </c>
      <c r="C11624" s="8" t="s">
        <v>45</v>
      </c>
      <c r="D11624" s="9" t="str">
        <f t="shared" ref="D11624:D11629" si="887">HYPERLINK("https://otsuka-europe-crm.veevavault.com/ui/#object/approved_document__v/V5O00000001L017", "ALL_Flexibilität_Ferienplanung_2026_AA_fr")</f>
        <v>ALL_Flexibilität_Ferienplanung_2026_AA_fr</v>
      </c>
      <c r="E11624" s="10" t="str">
        <f>HYPERLINK("https://otsuka-europe-crm.veevavault.com/ui/#object/sent_email__v/VBL00000002T453", "SE-001437244")</f>
        <v>SE-001437244</v>
      </c>
      <c r="F11624" s="11"/>
      <c r="G11624" s="12">
        <v>0</v>
      </c>
      <c r="H11624" s="12">
        <v>0</v>
      </c>
      <c r="I11624" s="12">
        <v>0</v>
      </c>
      <c r="J11624" s="11"/>
      <c r="K11624" s="12">
        <v>0</v>
      </c>
      <c r="L11624" s="10" t="str">
        <f t="shared" ref="L11624:L11629" si="888">HYPERLINK("https://otsuka-europe-crm.veevavault.com/ui/#object/approved_document__v/V5O00000001L017", "ALL_Flexibilität_Ferienplanung_2026_AA_fr")</f>
        <v>ALL_Flexibilität_Ferienplanung_2026_AA_fr</v>
      </c>
      <c r="M11624" s="10" t="str">
        <f t="shared" ref="M11624:M11629" si="889">HYPERLINK("mailto:yvergari@crm.otsuka-europe.com", "yvergari@crm.otsuka-europe.com")</f>
        <v>yvergari@crm.otsuka-europe.com</v>
      </c>
      <c r="N11624" s="13">
        <v>46189.387256944443</v>
      </c>
      <c r="O11624" s="14" t="str">
        <f>HYPERLINK("https://otsuka-europe-crm.veevavault.com/ui/#object/email_activity__v/V8C00000003U986", "EN-002096947")</f>
        <v>EN-002096947</v>
      </c>
    </row>
    <row r="11625" spans="1:15" ht="32" x14ac:dyDescent="0.2">
      <c r="A11625" s="7" t="str">
        <f>HYPERLINK("https://otsuka-europe-crm.veevavault.com/ui/#object/account__v/V4TZ06G6O9BKSTY", "Estelle Rollin-Simon")</f>
        <v>Estelle Rollin-Simon</v>
      </c>
      <c r="B11625" s="7" t="str">
        <f t="shared" si="886"/>
        <v>CH</v>
      </c>
      <c r="C11625" s="8" t="s">
        <v>45</v>
      </c>
      <c r="D11625" s="9" t="str">
        <f t="shared" si="887"/>
        <v>ALL_Flexibilität_Ferienplanung_2026_AA_fr</v>
      </c>
      <c r="E11625" s="10" t="str">
        <f>HYPERLINK("https://otsuka-europe-crm.veevavault.com/ui/#object/sent_email__v/VBL00000002T454", "SE-001437245")</f>
        <v>SE-001437245</v>
      </c>
      <c r="F11625" s="11"/>
      <c r="G11625" s="12">
        <v>0</v>
      </c>
      <c r="H11625" s="12">
        <v>0</v>
      </c>
      <c r="I11625" s="12">
        <v>0</v>
      </c>
      <c r="J11625" s="11"/>
      <c r="K11625" s="12">
        <v>0</v>
      </c>
      <c r="L11625" s="10" t="str">
        <f t="shared" si="888"/>
        <v>ALL_Flexibilität_Ferienplanung_2026_AA_fr</v>
      </c>
      <c r="M11625" s="10" t="str">
        <f t="shared" si="889"/>
        <v>yvergari@crm.otsuka-europe.com</v>
      </c>
      <c r="N11625" s="13">
        <v>46189.387256944443</v>
      </c>
      <c r="O11625" s="14" t="str">
        <f>HYPERLINK("https://otsuka-europe-crm.veevavault.com/ui/#object/email_activity__v/V8C00000003U985", "EN-002096946")</f>
        <v>EN-002096946</v>
      </c>
    </row>
    <row r="11626" spans="1:15" ht="32" x14ac:dyDescent="0.2">
      <c r="A11626" s="7" t="str">
        <f>HYPERLINK("https://otsuka-europe-crm.veevavault.com/ui/#object/account__v/V4TZ0000062SGD0", "Gabriel Sanchez-Mazas")</f>
        <v>Gabriel Sanchez-Mazas</v>
      </c>
      <c r="B11626" s="7" t="str">
        <f t="shared" si="886"/>
        <v>CH</v>
      </c>
      <c r="C11626" s="8" t="s">
        <v>45</v>
      </c>
      <c r="D11626" s="9" t="str">
        <f t="shared" si="887"/>
        <v>ALL_Flexibilität_Ferienplanung_2026_AA_fr</v>
      </c>
      <c r="E11626" s="10" t="str">
        <f>HYPERLINK("https://otsuka-europe-crm.veevavault.com/ui/#object/sent_email__v/VBL00000002T455", "SE-001437246")</f>
        <v>SE-001437246</v>
      </c>
      <c r="F11626" s="11"/>
      <c r="G11626" s="12">
        <v>0</v>
      </c>
      <c r="H11626" s="12">
        <v>0</v>
      </c>
      <c r="I11626" s="12">
        <v>0</v>
      </c>
      <c r="J11626" s="11"/>
      <c r="K11626" s="12">
        <v>0</v>
      </c>
      <c r="L11626" s="10" t="str">
        <f t="shared" si="888"/>
        <v>ALL_Flexibilität_Ferienplanung_2026_AA_fr</v>
      </c>
      <c r="M11626" s="10" t="str">
        <f t="shared" si="889"/>
        <v>yvergari@crm.otsuka-europe.com</v>
      </c>
      <c r="N11626" s="13">
        <v>46189.387256944443</v>
      </c>
      <c r="O11626" s="14" t="str">
        <f>HYPERLINK("https://otsuka-europe-crm.veevavault.com/ui/#object/email_activity__v/V8C00000003X012", "EN-002096972")</f>
        <v>EN-002096972</v>
      </c>
    </row>
    <row r="11627" spans="1:15" ht="32" x14ac:dyDescent="0.2">
      <c r="A11627" s="7" t="str">
        <f>HYPERLINK("https://otsuka-europe-crm.veevavault.com/ui/#object/account__v/V4TZ025E85QVMJT", "Suzana Zivkovic")</f>
        <v>Suzana Zivkovic</v>
      </c>
      <c r="B11627" s="7" t="str">
        <f t="shared" si="886"/>
        <v>CH</v>
      </c>
      <c r="C11627" s="8" t="s">
        <v>45</v>
      </c>
      <c r="D11627" s="9" t="str">
        <f t="shared" si="887"/>
        <v>ALL_Flexibilität_Ferienplanung_2026_AA_fr</v>
      </c>
      <c r="E11627" s="10" t="str">
        <f>HYPERLINK("https://otsuka-europe-crm.veevavault.com/ui/#object/sent_email__v/VBL00000002T456", "SE-001437247")</f>
        <v>SE-001437247</v>
      </c>
      <c r="F11627" s="11"/>
      <c r="G11627" s="12">
        <v>0</v>
      </c>
      <c r="H11627" s="12">
        <v>0</v>
      </c>
      <c r="I11627" s="12">
        <v>0</v>
      </c>
      <c r="J11627" s="11"/>
      <c r="K11627" s="12">
        <v>0</v>
      </c>
      <c r="L11627" s="10" t="str">
        <f t="shared" si="888"/>
        <v>ALL_Flexibilität_Ferienplanung_2026_AA_fr</v>
      </c>
      <c r="M11627" s="10" t="str">
        <f t="shared" si="889"/>
        <v>yvergari@crm.otsuka-europe.com</v>
      </c>
      <c r="N11627" s="13">
        <v>46189.387256944443</v>
      </c>
      <c r="O11627" s="14" t="str">
        <f>HYPERLINK("https://otsuka-europe-crm.veevavault.com/ui/#object/email_activity__v/V8C00000003U995", "EN-002096956")</f>
        <v>EN-002096956</v>
      </c>
    </row>
    <row r="11628" spans="1:15" ht="32" x14ac:dyDescent="0.2">
      <c r="A11628" s="7" t="str">
        <f>HYPERLINK("https://otsuka-europe-crm.veevavault.com/ui/#object/account__v/V4TZ025E87YOJH0", "Rosa Tesoro")</f>
        <v>Rosa Tesoro</v>
      </c>
      <c r="B11628" s="7" t="str">
        <f t="shared" si="886"/>
        <v>CH</v>
      </c>
      <c r="C11628" s="8" t="s">
        <v>45</v>
      </c>
      <c r="D11628" s="9" t="str">
        <f t="shared" si="887"/>
        <v>ALL_Flexibilität_Ferienplanung_2026_AA_fr</v>
      </c>
      <c r="E11628" s="10" t="str">
        <f>HYPERLINK("https://otsuka-europe-crm.veevavault.com/ui/#object/sent_email__v/VBL00000002T457", "SE-001437248")</f>
        <v>SE-001437248</v>
      </c>
      <c r="F11628" s="11"/>
      <c r="G11628" s="12">
        <v>0</v>
      </c>
      <c r="H11628" s="12">
        <v>0</v>
      </c>
      <c r="I11628" s="12">
        <v>0</v>
      </c>
      <c r="J11628" s="11"/>
      <c r="K11628" s="12">
        <v>0</v>
      </c>
      <c r="L11628" s="10" t="str">
        <f t="shared" si="888"/>
        <v>ALL_Flexibilität_Ferienplanung_2026_AA_fr</v>
      </c>
      <c r="M11628" s="10" t="str">
        <f t="shared" si="889"/>
        <v>yvergari@crm.otsuka-europe.com</v>
      </c>
      <c r="N11628" s="13">
        <v>46189.387256944443</v>
      </c>
      <c r="O11628" s="14" t="str">
        <f>HYPERLINK("https://otsuka-europe-crm.veevavault.com/ui/#object/email_activity__v/V8C00000003X027", "EN-002096987")</f>
        <v>EN-002096987</v>
      </c>
    </row>
    <row r="11629" spans="1:15" ht="16" x14ac:dyDescent="0.2">
      <c r="A11629" s="17" t="str">
        <f>HYPERLINK("https://otsuka-europe-crm.veevavault.com/ui/#object/account__v/V4TZ025E85QVMJR", "Denis Rentsch")</f>
        <v>Denis Rentsch</v>
      </c>
      <c r="B11629" s="17" t="str">
        <f t="shared" si="886"/>
        <v>CH</v>
      </c>
      <c r="C11629" s="20" t="s">
        <v>45</v>
      </c>
      <c r="D11629" s="21" t="str">
        <f t="shared" si="887"/>
        <v>ALL_Flexibilität_Ferienplanung_2026_AA_fr</v>
      </c>
      <c r="E11629" s="22" t="str">
        <f>HYPERLINK("https://otsuka-europe-crm.veevavault.com/ui/#object/sent_email__v/VBL00000002T458", "SE-001437249")</f>
        <v>SE-001437249</v>
      </c>
      <c r="F11629" s="25"/>
      <c r="G11629" s="24">
        <v>0</v>
      </c>
      <c r="H11629" s="24">
        <v>0</v>
      </c>
      <c r="I11629" s="24">
        <v>0</v>
      </c>
      <c r="J11629" s="25"/>
      <c r="K11629" s="24">
        <v>0</v>
      </c>
      <c r="L11629" s="22" t="str">
        <f t="shared" si="888"/>
        <v>ALL_Flexibilität_Ferienplanung_2026_AA_fr</v>
      </c>
      <c r="M11629" s="22" t="str">
        <f t="shared" si="889"/>
        <v>yvergari@crm.otsuka-europe.com</v>
      </c>
      <c r="N11629" s="23">
        <v>46189.387256944443</v>
      </c>
      <c r="O11629" s="14" t="str">
        <f>HYPERLINK("https://otsuka-europe-crm.veevavault.com/ui/#object/email_activity__v/V8C00000003W227", "EN-002097185")</f>
        <v>EN-002097185</v>
      </c>
    </row>
    <row r="11630" spans="1:15" ht="16" x14ac:dyDescent="0.2">
      <c r="A11630" s="19"/>
      <c r="B11630" s="19"/>
      <c r="C11630" s="19"/>
      <c r="D11630" s="19"/>
      <c r="E11630" s="19"/>
      <c r="F11630" s="19"/>
      <c r="G11630" s="19"/>
      <c r="H11630" s="19"/>
      <c r="I11630" s="19"/>
      <c r="J11630" s="19"/>
      <c r="K11630" s="19"/>
      <c r="L11630" s="19"/>
      <c r="M11630" s="19"/>
      <c r="N11630" s="19"/>
      <c r="O11630" s="14" t="str">
        <f>HYPERLINK("https://otsuka-europe-crm.veevavault.com/ui/#object/email_activity__v/V8C00000003X009", "EN-002096969")</f>
        <v>EN-002096969</v>
      </c>
    </row>
    <row r="11631" spans="1:15" ht="32" x14ac:dyDescent="0.2">
      <c r="A11631" s="7" t="str">
        <f>HYPERLINK("https://otsuka-europe-crm.veevavault.com/ui/#object/account__v/V4TZ06G6OCEO27G", "Claudia Remy")</f>
        <v>Claudia Remy</v>
      </c>
      <c r="B11631" s="7" t="str">
        <f>HYPERLINK("https://otsuka-europe-crm.veevavault.com/ui/#object/vcountry__v/VENZ000004SONFN", "CH")</f>
        <v>CH</v>
      </c>
      <c r="C11631" s="8" t="s">
        <v>45</v>
      </c>
      <c r="D11631" s="9" t="str">
        <f>HYPERLINK("https://otsuka-europe-crm.veevavault.com/ui/#object/approved_document__v/V5O00000001L017", "ALL_Flexibilität_Ferienplanung_2026_AA_fr")</f>
        <v>ALL_Flexibilität_Ferienplanung_2026_AA_fr</v>
      </c>
      <c r="E11631" s="10" t="str">
        <f>HYPERLINK("https://otsuka-europe-crm.veevavault.com/ui/#object/sent_email__v/VBL00000002T459", "SE-001437250")</f>
        <v>SE-001437250</v>
      </c>
      <c r="F11631" s="11"/>
      <c r="G11631" s="12">
        <v>0</v>
      </c>
      <c r="H11631" s="12">
        <v>0</v>
      </c>
      <c r="I11631" s="12">
        <v>0</v>
      </c>
      <c r="J11631" s="11"/>
      <c r="K11631" s="12">
        <v>0</v>
      </c>
      <c r="L11631" s="10" t="str">
        <f>HYPERLINK("https://otsuka-europe-crm.veevavault.com/ui/#object/approved_document__v/V5O00000001L017", "ALL_Flexibilität_Ferienplanung_2026_AA_fr")</f>
        <v>ALL_Flexibilität_Ferienplanung_2026_AA_fr</v>
      </c>
      <c r="M11631" s="10" t="str">
        <f>HYPERLINK("mailto:yvergari@crm.otsuka-europe.com", "yvergari@crm.otsuka-europe.com")</f>
        <v>yvergari@crm.otsuka-europe.com</v>
      </c>
      <c r="N11631" s="13">
        <v>46189.387256944443</v>
      </c>
      <c r="O11631" s="14" t="str">
        <f>HYPERLINK("https://otsuka-europe-crm.veevavault.com/ui/#object/email_activity__v/V8C00000003X049", "EN-002097009")</f>
        <v>EN-002097009</v>
      </c>
    </row>
    <row r="11632" spans="1:15" ht="32" x14ac:dyDescent="0.2">
      <c r="A11632" s="7" t="str">
        <f>HYPERLINK("https://otsuka-europe-crm.veevavault.com/ui/#object/account__v/V4TZ0000062SGGW", "Alessandra Solida")</f>
        <v>Alessandra Solida</v>
      </c>
      <c r="B11632" s="7" t="str">
        <f>HYPERLINK("https://otsuka-europe-crm.veevavault.com/ui/#object/vcountry__v/VENZ000004SONFN", "CH")</f>
        <v>CH</v>
      </c>
      <c r="C11632" s="8" t="s">
        <v>45</v>
      </c>
      <c r="D11632" s="9" t="str">
        <f>HYPERLINK("https://otsuka-europe-crm.veevavault.com/ui/#object/approved_document__v/V5O00000001L017", "ALL_Flexibilität_Ferienplanung_2026_AA_fr")</f>
        <v>ALL_Flexibilität_Ferienplanung_2026_AA_fr</v>
      </c>
      <c r="E11632" s="10" t="str">
        <f>HYPERLINK("https://otsuka-europe-crm.veevavault.com/ui/#object/sent_email__v/VBL00000002T460", "SE-001437251")</f>
        <v>SE-001437251</v>
      </c>
      <c r="F11632" s="11"/>
      <c r="G11632" s="12">
        <v>0</v>
      </c>
      <c r="H11632" s="12">
        <v>0</v>
      </c>
      <c r="I11632" s="12">
        <v>0</v>
      </c>
      <c r="J11632" s="11"/>
      <c r="K11632" s="12">
        <v>0</v>
      </c>
      <c r="L11632" s="10" t="str">
        <f>HYPERLINK("https://otsuka-europe-crm.veevavault.com/ui/#object/approved_document__v/V5O00000001L017", "ALL_Flexibilität_Ferienplanung_2026_AA_fr")</f>
        <v>ALL_Flexibilität_Ferienplanung_2026_AA_fr</v>
      </c>
      <c r="M11632" s="10" t="str">
        <f>HYPERLINK("mailto:yvergari@crm.otsuka-europe.com", "yvergari@crm.otsuka-europe.com")</f>
        <v>yvergari@crm.otsuka-europe.com</v>
      </c>
      <c r="N11632" s="13">
        <v>46189.387256944443</v>
      </c>
      <c r="O11632" s="14" t="str">
        <f>HYPERLINK("https://otsuka-europe-crm.veevavault.com/ui/#object/email_activity__v/V8C00000003X045", "EN-002097005")</f>
        <v>EN-002097005</v>
      </c>
    </row>
    <row r="11633" spans="1:15" ht="32" x14ac:dyDescent="0.2">
      <c r="A11633" s="7" t="str">
        <f>HYPERLINK("https://otsuka-europe-crm.veevavault.com/ui/#object/account__v/V4TZ0000062SGD7", "Stella Saavedra")</f>
        <v>Stella Saavedra</v>
      </c>
      <c r="B11633" s="7" t="str">
        <f>HYPERLINK("https://otsuka-europe-crm.veevavault.com/ui/#object/vcountry__v/VENZ000004SONFN", "CH")</f>
        <v>CH</v>
      </c>
      <c r="C11633" s="8" t="s">
        <v>45</v>
      </c>
      <c r="D11633" s="9" t="str">
        <f>HYPERLINK("https://otsuka-europe-crm.veevavault.com/ui/#object/approved_document__v/V5O00000001L017", "ALL_Flexibilität_Ferienplanung_2026_AA_fr")</f>
        <v>ALL_Flexibilität_Ferienplanung_2026_AA_fr</v>
      </c>
      <c r="E11633" s="10" t="str">
        <f>HYPERLINK("https://otsuka-europe-crm.veevavault.com/ui/#object/sent_email__v/VBL00000002T461", "SE-001437252")</f>
        <v>SE-001437252</v>
      </c>
      <c r="F11633" s="11"/>
      <c r="G11633" s="12">
        <v>0</v>
      </c>
      <c r="H11633" s="12">
        <v>0</v>
      </c>
      <c r="I11633" s="12">
        <v>0</v>
      </c>
      <c r="J11633" s="11"/>
      <c r="K11633" s="12">
        <v>0</v>
      </c>
      <c r="L11633" s="10" t="str">
        <f>HYPERLINK("https://otsuka-europe-crm.veevavault.com/ui/#object/approved_document__v/V5O00000001L017", "ALL_Flexibilität_Ferienplanung_2026_AA_fr")</f>
        <v>ALL_Flexibilität_Ferienplanung_2026_AA_fr</v>
      </c>
      <c r="M11633" s="10" t="str">
        <f>HYPERLINK("mailto:yvergari@crm.otsuka-europe.com", "yvergari@crm.otsuka-europe.com")</f>
        <v>yvergari@crm.otsuka-europe.com</v>
      </c>
      <c r="N11633" s="13">
        <v>46189.387256944443</v>
      </c>
      <c r="O11633" s="14" t="str">
        <f>HYPERLINK("https://otsuka-europe-crm.veevavault.com/ui/#object/email_activity__v/V8C00000003X032", "EN-002096992")</f>
        <v>EN-002096992</v>
      </c>
    </row>
    <row r="11634" spans="1:15" ht="16" x14ac:dyDescent="0.2">
      <c r="A11634" s="17" t="str">
        <f>HYPERLINK("https://otsuka-europe-crm.veevavault.com/ui/#object/account__v/V4TZ0000062R6MR", "Nure Santoro-Becirevic")</f>
        <v>Nure Santoro-Becirevic</v>
      </c>
      <c r="B11634" s="17" t="str">
        <f>HYPERLINK("https://otsuka-europe-crm.veevavault.com/ui/#object/vcountry__v/VENZ000004SONFN", "CH")</f>
        <v>CH</v>
      </c>
      <c r="C11634" s="20" t="s">
        <v>45</v>
      </c>
      <c r="D11634" s="21" t="str">
        <f>HYPERLINK("https://otsuka-europe-crm.veevavault.com/ui/#object/approved_document__v/V5O00000001L017", "ALL_Flexibilität_Ferienplanung_2026_AA_fr")</f>
        <v>ALL_Flexibilität_Ferienplanung_2026_AA_fr</v>
      </c>
      <c r="E11634" s="22" t="str">
        <f>HYPERLINK("https://otsuka-europe-crm.veevavault.com/ui/#object/sent_email__v/VBL00000002T462", "SE-001437253")</f>
        <v>SE-001437253</v>
      </c>
      <c r="F11634" s="23">
        <v>46189.420752314814</v>
      </c>
      <c r="G11634" s="24">
        <v>1</v>
      </c>
      <c r="H11634" s="24">
        <v>2</v>
      </c>
      <c r="I11634" s="24">
        <v>0</v>
      </c>
      <c r="J11634" s="25"/>
      <c r="K11634" s="24">
        <v>0</v>
      </c>
      <c r="L11634" s="22" t="str">
        <f>HYPERLINK("https://otsuka-europe-crm.veevavault.com/ui/#object/approved_document__v/V5O00000001L017", "ALL_Flexibilität_Ferienplanung_2026_AA_fr")</f>
        <v>ALL_Flexibilität_Ferienplanung_2026_AA_fr</v>
      </c>
      <c r="M11634" s="22" t="str">
        <f>HYPERLINK("mailto:yvergari@crm.otsuka-europe.com", "yvergari@crm.otsuka-europe.com")</f>
        <v>yvergari@crm.otsuka-europe.com</v>
      </c>
      <c r="N11634" s="23">
        <v>46189.387256944443</v>
      </c>
      <c r="O11634" s="14" t="str">
        <f>HYPERLINK("https://otsuka-europe-crm.veevavault.com/ui/#object/email_activity__v/V8C00000003W164", "EN-002097048")</f>
        <v>EN-002097048</v>
      </c>
    </row>
    <row r="11635" spans="1:15" ht="16" x14ac:dyDescent="0.2">
      <c r="A11635" s="18"/>
      <c r="B11635" s="18"/>
      <c r="C11635" s="18"/>
      <c r="D11635" s="18"/>
      <c r="E11635" s="18"/>
      <c r="F11635" s="18"/>
      <c r="G11635" s="18"/>
      <c r="H11635" s="18"/>
      <c r="I11635" s="18"/>
      <c r="J11635" s="18"/>
      <c r="K11635" s="18"/>
      <c r="L11635" s="18"/>
      <c r="M11635" s="18"/>
      <c r="N11635" s="18"/>
      <c r="O11635" s="14" t="str">
        <f>HYPERLINK("https://otsuka-europe-crm.veevavault.com/ui/#object/email_activity__v/V8C00000003X030", "EN-002096990")</f>
        <v>EN-002096990</v>
      </c>
    </row>
    <row r="11636" spans="1:15" ht="16" x14ac:dyDescent="0.2">
      <c r="A11636" s="19"/>
      <c r="B11636" s="19"/>
      <c r="C11636" s="19"/>
      <c r="D11636" s="19"/>
      <c r="E11636" s="19"/>
      <c r="F11636" s="19"/>
      <c r="G11636" s="19"/>
      <c r="H11636" s="19"/>
      <c r="I11636" s="19"/>
      <c r="J11636" s="19"/>
      <c r="K11636" s="19"/>
      <c r="L11636" s="19"/>
      <c r="M11636" s="19"/>
      <c r="N11636" s="19"/>
      <c r="O11636" s="14" t="str">
        <f>HYPERLINK("https://otsuka-europe-crm.veevavault.com/ui/#object/email_activity__v/V8C00000003X060", "EN-002097020")</f>
        <v>EN-002097020</v>
      </c>
    </row>
    <row r="11637" spans="1:15" ht="32" x14ac:dyDescent="0.2">
      <c r="A11637" s="7" t="str">
        <f>HYPERLINK("https://otsuka-europe-crm.veevavault.com/ui/#object/account__v/V4TZ025E87BL95Q", "Marie Aimée Rabetokotany Randrianasolo")</f>
        <v>Marie Aimée Rabetokotany Randrianasolo</v>
      </c>
      <c r="B11637" s="7" t="str">
        <f>HYPERLINK("https://otsuka-europe-crm.veevavault.com/ui/#object/vcountry__v/VENZ000004SONFN", "CH")</f>
        <v>CH</v>
      </c>
      <c r="C11637" s="8" t="s">
        <v>45</v>
      </c>
      <c r="D11637" s="9" t="str">
        <f>HYPERLINK("https://otsuka-europe-crm.veevavault.com/ui/#object/approved_document__v/V5O00000001L017", "ALL_Flexibilität_Ferienplanung_2026_AA_fr")</f>
        <v>ALL_Flexibilität_Ferienplanung_2026_AA_fr</v>
      </c>
      <c r="E11637" s="10" t="str">
        <f>HYPERLINK("https://otsuka-europe-crm.veevavault.com/ui/#object/sent_email__v/VBL00000002T463", "SE-001437254")</f>
        <v>SE-001437254</v>
      </c>
      <c r="F11637" s="11"/>
      <c r="G11637" s="12">
        <v>0</v>
      </c>
      <c r="H11637" s="12">
        <v>0</v>
      </c>
      <c r="I11637" s="12">
        <v>0</v>
      </c>
      <c r="J11637" s="11"/>
      <c r="K11637" s="12">
        <v>0</v>
      </c>
      <c r="L11637" s="10" t="str">
        <f>HYPERLINK("https://otsuka-europe-crm.veevavault.com/ui/#object/approved_document__v/V5O00000001L017", "ALL_Flexibilität_Ferienplanung_2026_AA_fr")</f>
        <v>ALL_Flexibilität_Ferienplanung_2026_AA_fr</v>
      </c>
      <c r="M11637" s="10" t="str">
        <f>HYPERLINK("mailto:yvergari@crm.otsuka-europe.com", "yvergari@crm.otsuka-europe.com")</f>
        <v>yvergari@crm.otsuka-europe.com</v>
      </c>
      <c r="N11637" s="13">
        <v>46189.387256944443</v>
      </c>
      <c r="O11637" s="14" t="str">
        <f>HYPERLINK("https://otsuka-europe-crm.veevavault.com/ui/#object/email_activity__v/V8C00000003X017", "EN-002096977")</f>
        <v>EN-002096977</v>
      </c>
    </row>
    <row r="11638" spans="1:15" ht="32" x14ac:dyDescent="0.2">
      <c r="A11638" s="7" t="str">
        <f>HYPERLINK("https://otsuka-europe-crm.veevavault.com/ui/#object/account__v/V4TZ025E87BL962", "Theddy Rugero")</f>
        <v>Theddy Rugero</v>
      </c>
      <c r="B11638" s="7" t="str">
        <f>HYPERLINK("https://otsuka-europe-crm.veevavault.com/ui/#object/vcountry__v/VENZ000004SONFN", "CH")</f>
        <v>CH</v>
      </c>
      <c r="C11638" s="8" t="s">
        <v>45</v>
      </c>
      <c r="D11638" s="9" t="str">
        <f>HYPERLINK("https://otsuka-europe-crm.veevavault.com/ui/#object/approved_document__v/V5O00000001L017", "ALL_Flexibilität_Ferienplanung_2026_AA_fr")</f>
        <v>ALL_Flexibilität_Ferienplanung_2026_AA_fr</v>
      </c>
      <c r="E11638" s="10" t="str">
        <f>HYPERLINK("https://otsuka-europe-crm.veevavault.com/ui/#object/sent_email__v/VBL00000002T464", "SE-001437255")</f>
        <v>SE-001437255</v>
      </c>
      <c r="F11638" s="11"/>
      <c r="G11638" s="12">
        <v>0</v>
      </c>
      <c r="H11638" s="12">
        <v>0</v>
      </c>
      <c r="I11638" s="12">
        <v>0</v>
      </c>
      <c r="J11638" s="11"/>
      <c r="K11638" s="12">
        <v>0</v>
      </c>
      <c r="L11638" s="10" t="str">
        <f>HYPERLINK("https://otsuka-europe-crm.veevavault.com/ui/#object/approved_document__v/V5O00000001L017", "ALL_Flexibilität_Ferienplanung_2026_AA_fr")</f>
        <v>ALL_Flexibilität_Ferienplanung_2026_AA_fr</v>
      </c>
      <c r="M11638" s="10" t="str">
        <f>HYPERLINK("mailto:yvergari@crm.otsuka-europe.com", "yvergari@crm.otsuka-europe.com")</f>
        <v>yvergari@crm.otsuka-europe.com</v>
      </c>
      <c r="N11638" s="13">
        <v>46189.387256944443</v>
      </c>
      <c r="O11638" s="14" t="str">
        <f>HYPERLINK("https://otsuka-europe-crm.veevavault.com/ui/#object/email_activity__v/V8C00000003X010", "EN-002096970")</f>
        <v>EN-002096970</v>
      </c>
    </row>
    <row r="11639" spans="1:15" ht="16" x14ac:dyDescent="0.2">
      <c r="A11639" s="17" t="str">
        <f>HYPERLINK("https://otsuka-europe-crm.veevavault.com/ui/#object/account__v/V4TZ025E83MZG52", "Youna Rahard-Guillaumont")</f>
        <v>Youna Rahard-Guillaumont</v>
      </c>
      <c r="B11639" s="17" t="str">
        <f>HYPERLINK("https://otsuka-europe-crm.veevavault.com/ui/#object/vcountry__v/VENZ000004SONFN", "CH")</f>
        <v>CH</v>
      </c>
      <c r="C11639" s="20" t="s">
        <v>45</v>
      </c>
      <c r="D11639" s="21" t="str">
        <f>HYPERLINK("https://otsuka-europe-crm.veevavault.com/ui/#object/approved_document__v/V5O00000001L017", "ALL_Flexibilität_Ferienplanung_2026_AA_fr")</f>
        <v>ALL_Flexibilität_Ferienplanung_2026_AA_fr</v>
      </c>
      <c r="E11639" s="22" t="str">
        <f>HYPERLINK("https://otsuka-europe-crm.veevavault.com/ui/#object/sent_email__v/VBL00000002T465", "SE-001437256")</f>
        <v>SE-001437256</v>
      </c>
      <c r="F11639" s="25"/>
      <c r="G11639" s="24">
        <v>0</v>
      </c>
      <c r="H11639" s="24">
        <v>0</v>
      </c>
      <c r="I11639" s="24">
        <v>0</v>
      </c>
      <c r="J11639" s="25"/>
      <c r="K11639" s="24">
        <v>0</v>
      </c>
      <c r="L11639" s="22" t="str">
        <f>HYPERLINK("https://otsuka-europe-crm.veevavault.com/ui/#object/approved_document__v/V5O00000001L017", "ALL_Flexibilität_Ferienplanung_2026_AA_fr")</f>
        <v>ALL_Flexibilität_Ferienplanung_2026_AA_fr</v>
      </c>
      <c r="M11639" s="22" t="str">
        <f>HYPERLINK("mailto:yvergari@crm.otsuka-europe.com", "yvergari@crm.otsuka-europe.com")</f>
        <v>yvergari@crm.otsuka-europe.com</v>
      </c>
      <c r="N11639" s="23">
        <v>46189.387291666666</v>
      </c>
      <c r="O11639" s="14" t="str">
        <f>HYPERLINK("https://otsuka-europe-crm.veevavault.com/ui/#object/email_activity__v/V8C00000003X034", "EN-002096994")</f>
        <v>EN-002096994</v>
      </c>
    </row>
    <row r="11640" spans="1:15" ht="16" x14ac:dyDescent="0.2">
      <c r="A11640" s="19"/>
      <c r="B11640" s="19"/>
      <c r="C11640" s="19"/>
      <c r="D11640" s="19"/>
      <c r="E11640" s="19"/>
      <c r="F11640" s="19"/>
      <c r="G11640" s="19"/>
      <c r="H11640" s="19"/>
      <c r="I11640" s="19"/>
      <c r="J11640" s="19"/>
      <c r="K11640" s="19"/>
      <c r="L11640" s="19"/>
      <c r="M11640" s="19"/>
      <c r="N11640" s="19"/>
      <c r="O11640" s="14" t="str">
        <f>HYPERLINK("https://otsuka-europe-crm.veevavault.com/ui/#object/email_activity__v/V8C00000003X205", "EN-002097306")</f>
        <v>EN-002097306</v>
      </c>
    </row>
    <row r="11641" spans="1:15" ht="32" x14ac:dyDescent="0.2">
      <c r="A11641" s="7" t="str">
        <f>HYPERLINK("https://otsuka-europe-crm.veevavault.com/ui/#object/account__v/V4TZ06G6OBUANYA", "Sana Souissi")</f>
        <v>Sana Souissi</v>
      </c>
      <c r="B11641" s="7" t="str">
        <f t="shared" ref="B11641:B11646" si="890">HYPERLINK("https://otsuka-europe-crm.veevavault.com/ui/#object/vcountry__v/VENZ000004SONFN", "CH")</f>
        <v>CH</v>
      </c>
      <c r="C11641" s="8" t="s">
        <v>45</v>
      </c>
      <c r="D11641" s="9" t="str">
        <f t="shared" ref="D11641:D11646" si="891">HYPERLINK("https://otsuka-europe-crm.veevavault.com/ui/#object/approved_document__v/V5O00000001L017", "ALL_Flexibilität_Ferienplanung_2026_AA_fr")</f>
        <v>ALL_Flexibilität_Ferienplanung_2026_AA_fr</v>
      </c>
      <c r="E11641" s="10" t="str">
        <f>HYPERLINK("https://otsuka-europe-crm.veevavault.com/ui/#object/sent_email__v/VBL00000002T466", "SE-001437257")</f>
        <v>SE-001437257</v>
      </c>
      <c r="F11641" s="11"/>
      <c r="G11641" s="12">
        <v>0</v>
      </c>
      <c r="H11641" s="12">
        <v>0</v>
      </c>
      <c r="I11641" s="12">
        <v>0</v>
      </c>
      <c r="J11641" s="11"/>
      <c r="K11641" s="12">
        <v>0</v>
      </c>
      <c r="L11641" s="10" t="str">
        <f t="shared" ref="L11641:L11646" si="892">HYPERLINK("https://otsuka-europe-crm.veevavault.com/ui/#object/approved_document__v/V5O00000001L017", "ALL_Flexibilität_Ferienplanung_2026_AA_fr")</f>
        <v>ALL_Flexibilität_Ferienplanung_2026_AA_fr</v>
      </c>
      <c r="M11641" s="10" t="str">
        <f t="shared" ref="M11641:M11646" si="893">HYPERLINK("mailto:yvergari@crm.otsuka-europe.com", "yvergari@crm.otsuka-europe.com")</f>
        <v>yvergari@crm.otsuka-europe.com</v>
      </c>
      <c r="N11641" s="13">
        <v>46189.387233796297</v>
      </c>
      <c r="O11641" s="14" t="str">
        <f>HYPERLINK("https://otsuka-europe-crm.veevavault.com/ui/#object/email_activity__v/V8C00000003U991", "EN-002096952")</f>
        <v>EN-002096952</v>
      </c>
    </row>
    <row r="11642" spans="1:15" ht="32" x14ac:dyDescent="0.2">
      <c r="A11642" s="7" t="str">
        <f>HYPERLINK("https://otsuka-europe-crm.veevavault.com/ui/#object/account__v/V4TZ025E83MZG4Z", "Suranthaniy Sivalingam Sathiapalan")</f>
        <v>Suranthaniy Sivalingam Sathiapalan</v>
      </c>
      <c r="B11642" s="7" t="str">
        <f t="shared" si="890"/>
        <v>CH</v>
      </c>
      <c r="C11642" s="8" t="s">
        <v>45</v>
      </c>
      <c r="D11642" s="9" t="str">
        <f t="shared" si="891"/>
        <v>ALL_Flexibilität_Ferienplanung_2026_AA_fr</v>
      </c>
      <c r="E11642" s="10" t="str">
        <f>HYPERLINK("https://otsuka-europe-crm.veevavault.com/ui/#object/sent_email__v/VBL00000002T467", "SE-001437258")</f>
        <v>SE-001437258</v>
      </c>
      <c r="F11642" s="11"/>
      <c r="G11642" s="12">
        <v>0</v>
      </c>
      <c r="H11642" s="12">
        <v>0</v>
      </c>
      <c r="I11642" s="12">
        <v>0</v>
      </c>
      <c r="J11642" s="11"/>
      <c r="K11642" s="12">
        <v>0</v>
      </c>
      <c r="L11642" s="10" t="str">
        <f t="shared" si="892"/>
        <v>ALL_Flexibilität_Ferienplanung_2026_AA_fr</v>
      </c>
      <c r="M11642" s="10" t="str">
        <f t="shared" si="893"/>
        <v>yvergari@crm.otsuka-europe.com</v>
      </c>
      <c r="N11642" s="13">
        <v>46189.387233796297</v>
      </c>
      <c r="O11642" s="14" t="str">
        <f>HYPERLINK("https://otsuka-europe-crm.veevavault.com/ui/#object/email_activity__v/V8C00000003U992", "EN-002096953")</f>
        <v>EN-002096953</v>
      </c>
    </row>
    <row r="11643" spans="1:15" ht="32" x14ac:dyDescent="0.2">
      <c r="A11643" s="7" t="str">
        <f>HYPERLINK("https://otsuka-europe-crm.veevavault.com/ui/#object/account__v/V4TZ025E87BL95X", "Lalatiana Rajaonarivelo")</f>
        <v>Lalatiana Rajaonarivelo</v>
      </c>
      <c r="B11643" s="7" t="str">
        <f t="shared" si="890"/>
        <v>CH</v>
      </c>
      <c r="C11643" s="8" t="s">
        <v>45</v>
      </c>
      <c r="D11643" s="9" t="str">
        <f t="shared" si="891"/>
        <v>ALL_Flexibilität_Ferienplanung_2026_AA_fr</v>
      </c>
      <c r="E11643" s="10" t="str">
        <f>HYPERLINK("https://otsuka-europe-crm.veevavault.com/ui/#object/sent_email__v/VBL00000002T468", "SE-001437259")</f>
        <v>SE-001437259</v>
      </c>
      <c r="F11643" s="11"/>
      <c r="G11643" s="12">
        <v>0</v>
      </c>
      <c r="H11643" s="12">
        <v>0</v>
      </c>
      <c r="I11643" s="12">
        <v>0</v>
      </c>
      <c r="J11643" s="11"/>
      <c r="K11643" s="12">
        <v>0</v>
      </c>
      <c r="L11643" s="10" t="str">
        <f t="shared" si="892"/>
        <v>ALL_Flexibilität_Ferienplanung_2026_AA_fr</v>
      </c>
      <c r="M11643" s="10" t="str">
        <f t="shared" si="893"/>
        <v>yvergari@crm.otsuka-europe.com</v>
      </c>
      <c r="N11643" s="13">
        <v>46189.38722222222</v>
      </c>
      <c r="O11643" s="14" t="str">
        <f>HYPERLINK("https://otsuka-europe-crm.veevavault.com/ui/#object/email_activity__v/V8C00000003X006", "EN-002096966")</f>
        <v>EN-002096966</v>
      </c>
    </row>
    <row r="11644" spans="1:15" ht="32" x14ac:dyDescent="0.2">
      <c r="A11644" s="7" t="str">
        <f>HYPERLINK("https://otsuka-europe-crm.veevavault.com/ui/#object/account__v/V4TZ0000062SGY9", "Raphaël Voide")</f>
        <v>Raphaël Voide</v>
      </c>
      <c r="B11644" s="7" t="str">
        <f t="shared" si="890"/>
        <v>CH</v>
      </c>
      <c r="C11644" s="8" t="s">
        <v>45</v>
      </c>
      <c r="D11644" s="9" t="str">
        <f t="shared" si="891"/>
        <v>ALL_Flexibilität_Ferienplanung_2026_AA_fr</v>
      </c>
      <c r="E11644" s="10" t="str">
        <f>HYPERLINK("https://otsuka-europe-crm.veevavault.com/ui/#object/sent_email__v/VBL00000002T469", "SE-001437260")</f>
        <v>SE-001437260</v>
      </c>
      <c r="F11644" s="11"/>
      <c r="G11644" s="12">
        <v>0</v>
      </c>
      <c r="H11644" s="12">
        <v>0</v>
      </c>
      <c r="I11644" s="12">
        <v>0</v>
      </c>
      <c r="J11644" s="11"/>
      <c r="K11644" s="12">
        <v>0</v>
      </c>
      <c r="L11644" s="10" t="str">
        <f t="shared" si="892"/>
        <v>ALL_Flexibilität_Ferienplanung_2026_AA_fr</v>
      </c>
      <c r="M11644" s="10" t="str">
        <f t="shared" si="893"/>
        <v>yvergari@crm.otsuka-europe.com</v>
      </c>
      <c r="N11644" s="13">
        <v>46189.38722222222</v>
      </c>
      <c r="O11644" s="14" t="str">
        <f>HYPERLINK("https://otsuka-europe-crm.veevavault.com/ui/#object/email_activity__v/V8C00000003X031", "EN-002096991")</f>
        <v>EN-002096991</v>
      </c>
    </row>
    <row r="11645" spans="1:15" ht="32" x14ac:dyDescent="0.2">
      <c r="A11645" s="7" t="str">
        <f>HYPERLINK("https://otsuka-europe-crm.veevavault.com/ui/#object/account__v/V4TZ0000062R3RI", "Afrim Telaku")</f>
        <v>Afrim Telaku</v>
      </c>
      <c r="B11645" s="7" t="str">
        <f t="shared" si="890"/>
        <v>CH</v>
      </c>
      <c r="C11645" s="8" t="s">
        <v>45</v>
      </c>
      <c r="D11645" s="9" t="str">
        <f t="shared" si="891"/>
        <v>ALL_Flexibilität_Ferienplanung_2026_AA_fr</v>
      </c>
      <c r="E11645" s="10" t="str">
        <f>HYPERLINK("https://otsuka-europe-crm.veevavault.com/ui/#object/sent_email__v/VBL00000002T470", "SE-001437261")</f>
        <v>SE-001437261</v>
      </c>
      <c r="F11645" s="11"/>
      <c r="G11645" s="12">
        <v>0</v>
      </c>
      <c r="H11645" s="12">
        <v>0</v>
      </c>
      <c r="I11645" s="12">
        <v>0</v>
      </c>
      <c r="J11645" s="11"/>
      <c r="K11645" s="12">
        <v>0</v>
      </c>
      <c r="L11645" s="10" t="str">
        <f t="shared" si="892"/>
        <v>ALL_Flexibilität_Ferienplanung_2026_AA_fr</v>
      </c>
      <c r="M11645" s="10" t="str">
        <f t="shared" si="893"/>
        <v>yvergari@crm.otsuka-europe.com</v>
      </c>
      <c r="N11645" s="13">
        <v>46189.387256944443</v>
      </c>
      <c r="O11645" s="14" t="str">
        <f>HYPERLINK("https://otsuka-europe-crm.veevavault.com/ui/#object/email_activity__v/V8C00000003X024", "EN-002096984")</f>
        <v>EN-002096984</v>
      </c>
    </row>
    <row r="11646" spans="1:15" ht="16" x14ac:dyDescent="0.2">
      <c r="A11646" s="17" t="str">
        <f>HYPERLINK("https://otsuka-europe-crm.veevavault.com/ui/#object/account__v/V4TZ0000062R3ZQ", "Othman Sentissi El Idrissi")</f>
        <v>Othman Sentissi El Idrissi</v>
      </c>
      <c r="B11646" s="17" t="str">
        <f t="shared" si="890"/>
        <v>CH</v>
      </c>
      <c r="C11646" s="20" t="s">
        <v>45</v>
      </c>
      <c r="D11646" s="21" t="str">
        <f t="shared" si="891"/>
        <v>ALL_Flexibilität_Ferienplanung_2026_AA_fr</v>
      </c>
      <c r="E11646" s="22" t="str">
        <f>HYPERLINK("https://otsuka-europe-crm.veevavault.com/ui/#object/sent_email__v/VBL00000002T471", "SE-001437262")</f>
        <v>SE-001437262</v>
      </c>
      <c r="F11646" s="25"/>
      <c r="G11646" s="24">
        <v>0</v>
      </c>
      <c r="H11646" s="24">
        <v>0</v>
      </c>
      <c r="I11646" s="24">
        <v>0</v>
      </c>
      <c r="J11646" s="25"/>
      <c r="K11646" s="24">
        <v>0</v>
      </c>
      <c r="L11646" s="22" t="str">
        <f t="shared" si="892"/>
        <v>ALL_Flexibilität_Ferienplanung_2026_AA_fr</v>
      </c>
      <c r="M11646" s="22" t="str">
        <f t="shared" si="893"/>
        <v>yvergari@crm.otsuka-europe.com</v>
      </c>
      <c r="N11646" s="23">
        <v>46189.387256944443</v>
      </c>
      <c r="O11646" s="14" t="str">
        <f>HYPERLINK("https://otsuka-europe-crm.veevavault.com/ui/#object/email_activity__v/V8C00000003W176", "EN-002097077")</f>
        <v>EN-002097077</v>
      </c>
    </row>
    <row r="11647" spans="1:15" ht="16" x14ac:dyDescent="0.2">
      <c r="A11647" s="19"/>
      <c r="B11647" s="19"/>
      <c r="C11647" s="19"/>
      <c r="D11647" s="19"/>
      <c r="E11647" s="19"/>
      <c r="F11647" s="19"/>
      <c r="G11647" s="19"/>
      <c r="H11647" s="19"/>
      <c r="I11647" s="19"/>
      <c r="J11647" s="19"/>
      <c r="K11647" s="19"/>
      <c r="L11647" s="19"/>
      <c r="M11647" s="19"/>
      <c r="N11647" s="19"/>
      <c r="O11647" s="14" t="str">
        <f>HYPERLINK("https://otsuka-europe-crm.veevavault.com/ui/#object/email_activity__v/V8C00000003X015", "EN-002096975")</f>
        <v>EN-002096975</v>
      </c>
    </row>
    <row r="11648" spans="1:15" ht="32" x14ac:dyDescent="0.2">
      <c r="A11648" s="7" t="str">
        <f>HYPERLINK("https://otsuka-europe-crm.veevavault.com/ui/#object/account__v/V4TZ06G6O9VL236", "Michel Sabe")</f>
        <v>Michel Sabe</v>
      </c>
      <c r="B11648" s="7" t="str">
        <f>HYPERLINK("https://otsuka-europe-crm.veevavault.com/ui/#object/vcountry__v/VENZ000004SONFN", "CH")</f>
        <v>CH</v>
      </c>
      <c r="C11648" s="8" t="s">
        <v>45</v>
      </c>
      <c r="D11648" s="9" t="str">
        <f>HYPERLINK("https://otsuka-europe-crm.veevavault.com/ui/#object/approved_document__v/V5O00000001L017", "ALL_Flexibilität_Ferienplanung_2026_AA_fr")</f>
        <v>ALL_Flexibilität_Ferienplanung_2026_AA_fr</v>
      </c>
      <c r="E11648" s="10" t="str">
        <f>HYPERLINK("https://otsuka-europe-crm.veevavault.com/ui/#object/sent_email__v/VBL00000002T472", "SE-001437263")</f>
        <v>SE-001437263</v>
      </c>
      <c r="F11648" s="11"/>
      <c r="G11648" s="12">
        <v>0</v>
      </c>
      <c r="H11648" s="12">
        <v>0</v>
      </c>
      <c r="I11648" s="12">
        <v>0</v>
      </c>
      <c r="J11648" s="11"/>
      <c r="K11648" s="12">
        <v>0</v>
      </c>
      <c r="L11648" s="10" t="str">
        <f>HYPERLINK("https://otsuka-europe-crm.veevavault.com/ui/#object/approved_document__v/V5O00000001L017", "ALL_Flexibilität_Ferienplanung_2026_AA_fr")</f>
        <v>ALL_Flexibilität_Ferienplanung_2026_AA_fr</v>
      </c>
      <c r="M11648" s="10" t="str">
        <f>HYPERLINK("mailto:yvergari@crm.otsuka-europe.com", "yvergari@crm.otsuka-europe.com")</f>
        <v>yvergari@crm.otsuka-europe.com</v>
      </c>
      <c r="N11648" s="13">
        <v>46189.387256944443</v>
      </c>
      <c r="O11648" s="14" t="str">
        <f>HYPERLINK("https://otsuka-europe-crm.veevavault.com/ui/#object/email_activity__v/V8C00000003X014", "EN-002096974")</f>
        <v>EN-002096974</v>
      </c>
    </row>
    <row r="11649" spans="1:15" ht="32" x14ac:dyDescent="0.2">
      <c r="A11649" s="7" t="str">
        <f>HYPERLINK("https://otsuka-europe-crm.veevavault.com/ui/#object/account__v/V4TZ0000062R5AY", "Hélène Richard-Lepouriel")</f>
        <v>Hélène Richard-Lepouriel</v>
      </c>
      <c r="B11649" s="7" t="str">
        <f>HYPERLINK("https://otsuka-europe-crm.veevavault.com/ui/#object/vcountry__v/VENZ000004SONFN", "CH")</f>
        <v>CH</v>
      </c>
      <c r="C11649" s="8" t="s">
        <v>45</v>
      </c>
      <c r="D11649" s="9" t="str">
        <f>HYPERLINK("https://otsuka-europe-crm.veevavault.com/ui/#object/approved_document__v/V5O00000001L017", "ALL_Flexibilität_Ferienplanung_2026_AA_fr")</f>
        <v>ALL_Flexibilität_Ferienplanung_2026_AA_fr</v>
      </c>
      <c r="E11649" s="10" t="str">
        <f>HYPERLINK("https://otsuka-europe-crm.veevavault.com/ui/#object/sent_email__v/VBL00000002T473", "SE-001437264")</f>
        <v>SE-001437264</v>
      </c>
      <c r="F11649" s="11"/>
      <c r="G11649" s="12">
        <v>0</v>
      </c>
      <c r="H11649" s="12">
        <v>0</v>
      </c>
      <c r="I11649" s="12">
        <v>0</v>
      </c>
      <c r="J11649" s="11"/>
      <c r="K11649" s="12">
        <v>0</v>
      </c>
      <c r="L11649" s="10" t="str">
        <f>HYPERLINK("https://otsuka-europe-crm.veevavault.com/ui/#object/approved_document__v/V5O00000001L017", "ALL_Flexibilität_Ferienplanung_2026_AA_fr")</f>
        <v>ALL_Flexibilität_Ferienplanung_2026_AA_fr</v>
      </c>
      <c r="M11649" s="10" t="str">
        <f>HYPERLINK("mailto:yvergari@crm.otsuka-europe.com", "yvergari@crm.otsuka-europe.com")</f>
        <v>yvergari@crm.otsuka-europe.com</v>
      </c>
      <c r="N11649" s="13">
        <v>46189.387256944443</v>
      </c>
      <c r="O11649" s="14" t="str">
        <f>HYPERLINK("https://otsuka-europe-crm.veevavault.com/ui/#object/email_activity__v/V8C00000003U997", "EN-002096958")</f>
        <v>EN-002096958</v>
      </c>
    </row>
    <row r="11650" spans="1:15" ht="32" x14ac:dyDescent="0.2">
      <c r="A11650" s="7" t="str">
        <f>HYPERLINK("https://otsuka-europe-crm.veevavault.com/ui/#object/account__v/V4TZ025E86LB0F9", "Angeliki Terpina")</f>
        <v>Angeliki Terpina</v>
      </c>
      <c r="B11650" s="7" t="str">
        <f>HYPERLINK("https://otsuka-europe-crm.veevavault.com/ui/#object/vcountry__v/VENZ000004SONFN", "CH")</f>
        <v>CH</v>
      </c>
      <c r="C11650" s="8" t="s">
        <v>45</v>
      </c>
      <c r="D11650" s="9" t="str">
        <f>HYPERLINK("https://otsuka-europe-crm.veevavault.com/ui/#object/approved_document__v/V5O00000001L017", "ALL_Flexibilität_Ferienplanung_2026_AA_fr")</f>
        <v>ALL_Flexibilität_Ferienplanung_2026_AA_fr</v>
      </c>
      <c r="E11650" s="10" t="str">
        <f>HYPERLINK("https://otsuka-europe-crm.veevavault.com/ui/#object/sent_email__v/VBL00000002T474", "SE-001437265")</f>
        <v>SE-001437265</v>
      </c>
      <c r="F11650" s="11"/>
      <c r="G11650" s="12">
        <v>0</v>
      </c>
      <c r="H11650" s="12">
        <v>0</v>
      </c>
      <c r="I11650" s="12">
        <v>0</v>
      </c>
      <c r="J11650" s="11"/>
      <c r="K11650" s="12">
        <v>0</v>
      </c>
      <c r="L11650" s="10" t="str">
        <f>HYPERLINK("https://otsuka-europe-crm.veevavault.com/ui/#object/approved_document__v/V5O00000001L017", "ALL_Flexibilität_Ferienplanung_2026_AA_fr")</f>
        <v>ALL_Flexibilität_Ferienplanung_2026_AA_fr</v>
      </c>
      <c r="M11650" s="10" t="str">
        <f>HYPERLINK("mailto:yvergari@crm.otsuka-europe.com", "yvergari@crm.otsuka-europe.com")</f>
        <v>yvergari@crm.otsuka-europe.com</v>
      </c>
      <c r="N11650" s="13">
        <v>46189.387256944443</v>
      </c>
      <c r="O11650" s="14" t="str">
        <f>HYPERLINK("https://otsuka-europe-crm.veevavault.com/ui/#object/email_activity__v/V8C00000003U979", "EN-002096943")</f>
        <v>EN-002096943</v>
      </c>
    </row>
    <row r="11651" spans="1:15" ht="16" x14ac:dyDescent="0.2">
      <c r="A11651" s="17" t="str">
        <f>HYPERLINK("https://otsuka-europe-crm.veevavault.com/ui/#object/account__v/V4TZ0000062SGK4", "Marian Stanila")</f>
        <v>Marian Stanila</v>
      </c>
      <c r="B11651" s="17" t="str">
        <f>HYPERLINK("https://otsuka-europe-crm.veevavault.com/ui/#object/vcountry__v/VENZ000004SONFN", "CH")</f>
        <v>CH</v>
      </c>
      <c r="C11651" s="20" t="s">
        <v>45</v>
      </c>
      <c r="D11651" s="21" t="str">
        <f>HYPERLINK("https://otsuka-europe-crm.veevavault.com/ui/#object/approved_document__v/V5O00000001L017", "ALL_Flexibilität_Ferienplanung_2026_AA_fr")</f>
        <v>ALL_Flexibilität_Ferienplanung_2026_AA_fr</v>
      </c>
      <c r="E11651" s="22" t="str">
        <f>HYPERLINK("https://otsuka-europe-crm.veevavault.com/ui/#object/sent_email__v/VBL00000002T475", "SE-001437266")</f>
        <v>SE-001437266</v>
      </c>
      <c r="F11651" s="23">
        <v>46190.60659722222</v>
      </c>
      <c r="G11651" s="24">
        <v>1</v>
      </c>
      <c r="H11651" s="24">
        <v>2</v>
      </c>
      <c r="I11651" s="24">
        <v>0</v>
      </c>
      <c r="J11651" s="25"/>
      <c r="K11651" s="24">
        <v>0</v>
      </c>
      <c r="L11651" s="22" t="str">
        <f>HYPERLINK("https://otsuka-europe-crm.veevavault.com/ui/#object/approved_document__v/V5O00000001L017", "ALL_Flexibilität_Ferienplanung_2026_AA_fr")</f>
        <v>ALL_Flexibilität_Ferienplanung_2026_AA_fr</v>
      </c>
      <c r="M11651" s="22" t="str">
        <f>HYPERLINK("mailto:yvergari@crm.otsuka-europe.com", "yvergari@crm.otsuka-europe.com")</f>
        <v>yvergari@crm.otsuka-europe.com</v>
      </c>
      <c r="N11651" s="23">
        <v>46189.387256944443</v>
      </c>
      <c r="O11651" s="14" t="str">
        <f>HYPERLINK("https://otsuka-europe-crm.veevavault.com/ui/#object/email_activity__v/V8C00000003W226", "EN-002097181")</f>
        <v>EN-002097181</v>
      </c>
    </row>
    <row r="11652" spans="1:15" ht="16" x14ac:dyDescent="0.2">
      <c r="A11652" s="18"/>
      <c r="B11652" s="18"/>
      <c r="C11652" s="18"/>
      <c r="D11652" s="18"/>
      <c r="E11652" s="18"/>
      <c r="F11652" s="18"/>
      <c r="G11652" s="18"/>
      <c r="H11652" s="18"/>
      <c r="I11652" s="18"/>
      <c r="J11652" s="18"/>
      <c r="K11652" s="18"/>
      <c r="L11652" s="18"/>
      <c r="M11652" s="18"/>
      <c r="N11652" s="18"/>
      <c r="O11652" s="14" t="str">
        <f>HYPERLINK("https://otsuka-europe-crm.veevavault.com/ui/#object/email_activity__v/V8C00000003W421", "EN-002097700")</f>
        <v>EN-002097700</v>
      </c>
    </row>
    <row r="11653" spans="1:15" ht="16" x14ac:dyDescent="0.2">
      <c r="A11653" s="18"/>
      <c r="B11653" s="18"/>
      <c r="C11653" s="18"/>
      <c r="D11653" s="18"/>
      <c r="E11653" s="18"/>
      <c r="F11653" s="18"/>
      <c r="G11653" s="18"/>
      <c r="H11653" s="18"/>
      <c r="I11653" s="18"/>
      <c r="J11653" s="18"/>
      <c r="K11653" s="18"/>
      <c r="L11653" s="18"/>
      <c r="M11653" s="18"/>
      <c r="N11653" s="18"/>
      <c r="O11653" s="14" t="str">
        <f>HYPERLINK("https://otsuka-europe-crm.veevavault.com/ui/#object/email_activity__v/V8C00000003X002", "EN-002096962")</f>
        <v>EN-002096962</v>
      </c>
    </row>
    <row r="11654" spans="1:15" ht="16" x14ac:dyDescent="0.2">
      <c r="A11654" s="19"/>
      <c r="B11654" s="19"/>
      <c r="C11654" s="19"/>
      <c r="D11654" s="19"/>
      <c r="E11654" s="19"/>
      <c r="F11654" s="19"/>
      <c r="G11654" s="19"/>
      <c r="H11654" s="19"/>
      <c r="I11654" s="19"/>
      <c r="J11654" s="19"/>
      <c r="K11654" s="19"/>
      <c r="L11654" s="19"/>
      <c r="M11654" s="19"/>
      <c r="N11654" s="19"/>
      <c r="O11654" s="14" t="str">
        <f>HYPERLINK("https://otsuka-europe-crm.veevavault.com/ui/#object/email_activity__v/V8C00000003X896", "EN-002098420")</f>
        <v>EN-002098420</v>
      </c>
    </row>
    <row r="11655" spans="1:15" ht="32" x14ac:dyDescent="0.2">
      <c r="A11655" s="7" t="str">
        <f>HYPERLINK("https://otsuka-europe-crm.veevavault.com/ui/#object/account__v/V4TZ025E85QVRBZ", "Samir Souihi")</f>
        <v>Samir Souihi</v>
      </c>
      <c r="B11655" s="7" t="str">
        <f>HYPERLINK("https://otsuka-europe-crm.veevavault.com/ui/#object/vcountry__v/VENZ000004SONFN", "CH")</f>
        <v>CH</v>
      </c>
      <c r="C11655" s="8" t="s">
        <v>45</v>
      </c>
      <c r="D11655" s="9" t="str">
        <f>HYPERLINK("https://otsuka-europe-crm.veevavault.com/ui/#object/approved_document__v/V5O00000001L017", "ALL_Flexibilität_Ferienplanung_2026_AA_fr")</f>
        <v>ALL_Flexibilität_Ferienplanung_2026_AA_fr</v>
      </c>
      <c r="E11655" s="10" t="str">
        <f>HYPERLINK("https://otsuka-europe-crm.veevavault.com/ui/#object/sent_email__v/VBL00000002T476", "SE-001437267")</f>
        <v>SE-001437267</v>
      </c>
      <c r="F11655" s="11"/>
      <c r="G11655" s="12">
        <v>0</v>
      </c>
      <c r="H11655" s="12">
        <v>0</v>
      </c>
      <c r="I11655" s="12">
        <v>0</v>
      </c>
      <c r="J11655" s="11"/>
      <c r="K11655" s="12">
        <v>0</v>
      </c>
      <c r="L11655" s="10" t="str">
        <f>HYPERLINK("https://otsuka-europe-crm.veevavault.com/ui/#object/approved_document__v/V5O00000001L017", "ALL_Flexibilität_Ferienplanung_2026_AA_fr")</f>
        <v>ALL_Flexibilität_Ferienplanung_2026_AA_fr</v>
      </c>
      <c r="M11655" s="10" t="str">
        <f>HYPERLINK("mailto:yvergari@crm.otsuka-europe.com", "yvergari@crm.otsuka-europe.com")</f>
        <v>yvergari@crm.otsuka-europe.com</v>
      </c>
      <c r="N11655" s="13">
        <v>46189.387256944443</v>
      </c>
      <c r="O11655" s="14" t="str">
        <f>HYPERLINK("https://otsuka-europe-crm.veevavault.com/ui/#object/email_activity__v/V8C00000003X048", "EN-002097008")</f>
        <v>EN-002097008</v>
      </c>
    </row>
    <row r="11656" spans="1:15" ht="32" x14ac:dyDescent="0.2">
      <c r="A11656" s="7" t="str">
        <f>HYPERLINK("https://otsuka-europe-crm.veevavault.com/ui/#object/account__v/V4TZ0000062SGBJ", "Bistra Sekulic-Dimova")</f>
        <v>Bistra Sekulic-Dimova</v>
      </c>
      <c r="B11656" s="7" t="str">
        <f>HYPERLINK("https://otsuka-europe-crm.veevavault.com/ui/#object/vcountry__v/VENZ000004SONFN", "CH")</f>
        <v>CH</v>
      </c>
      <c r="C11656" s="8" t="s">
        <v>45</v>
      </c>
      <c r="D11656" s="9" t="str">
        <f>HYPERLINK("https://otsuka-europe-crm.veevavault.com/ui/#object/approved_document__v/V5O00000001L017", "ALL_Flexibilität_Ferienplanung_2026_AA_fr")</f>
        <v>ALL_Flexibilität_Ferienplanung_2026_AA_fr</v>
      </c>
      <c r="E11656" s="10" t="str">
        <f>HYPERLINK("https://otsuka-europe-crm.veevavault.com/ui/#object/sent_email__v/VBL00000002T477", "SE-001437268")</f>
        <v>SE-001437268</v>
      </c>
      <c r="F11656" s="11"/>
      <c r="G11656" s="12">
        <v>0</v>
      </c>
      <c r="H11656" s="12">
        <v>0</v>
      </c>
      <c r="I11656" s="12">
        <v>0</v>
      </c>
      <c r="J11656" s="11"/>
      <c r="K11656" s="12">
        <v>0</v>
      </c>
      <c r="L11656" s="10" t="str">
        <f>HYPERLINK("https://otsuka-europe-crm.veevavault.com/ui/#object/approved_document__v/V5O00000001L017", "ALL_Flexibilität_Ferienplanung_2026_AA_fr")</f>
        <v>ALL_Flexibilität_Ferienplanung_2026_AA_fr</v>
      </c>
      <c r="M11656" s="10" t="str">
        <f>HYPERLINK("mailto:yvergari@crm.otsuka-europe.com", "yvergari@crm.otsuka-europe.com")</f>
        <v>yvergari@crm.otsuka-europe.com</v>
      </c>
      <c r="N11656" s="13">
        <v>46189.387256944443</v>
      </c>
      <c r="O11656" s="14" t="str">
        <f>HYPERLINK("https://otsuka-europe-crm.veevavault.com/ui/#object/email_activity__v/V8C00000003X050", "EN-002097010")</f>
        <v>EN-002097010</v>
      </c>
    </row>
    <row r="11657" spans="1:15" ht="16" x14ac:dyDescent="0.2">
      <c r="A11657" s="17" t="str">
        <f>HYPERLINK("https://otsuka-europe-crm.veevavault.com/ui/#object/account__v/V4TZ0000062SGO9", "Gabriel Maurice Thorens")</f>
        <v>Gabriel Maurice Thorens</v>
      </c>
      <c r="B11657" s="17" t="str">
        <f>HYPERLINK("https://otsuka-europe-crm.veevavault.com/ui/#object/vcountry__v/VENZ000004SONFN", "CH")</f>
        <v>CH</v>
      </c>
      <c r="C11657" s="20" t="s">
        <v>45</v>
      </c>
      <c r="D11657" s="21" t="str">
        <f>HYPERLINK("https://otsuka-europe-crm.veevavault.com/ui/#object/approved_document__v/V5O00000001L017", "ALL_Flexibilität_Ferienplanung_2026_AA_fr")</f>
        <v>ALL_Flexibilität_Ferienplanung_2026_AA_fr</v>
      </c>
      <c r="E11657" s="22" t="str">
        <f>HYPERLINK("https://otsuka-europe-crm.veevavault.com/ui/#object/sent_email__v/VBL00000002T478", "SE-001437269")</f>
        <v>SE-001437269</v>
      </c>
      <c r="F11657" s="25"/>
      <c r="G11657" s="24">
        <v>0</v>
      </c>
      <c r="H11657" s="24">
        <v>0</v>
      </c>
      <c r="I11657" s="24">
        <v>0</v>
      </c>
      <c r="J11657" s="25"/>
      <c r="K11657" s="24">
        <v>0</v>
      </c>
      <c r="L11657" s="22" t="str">
        <f>HYPERLINK("https://otsuka-europe-crm.veevavault.com/ui/#object/approved_document__v/V5O00000001L017", "ALL_Flexibilität_Ferienplanung_2026_AA_fr")</f>
        <v>ALL_Flexibilität_Ferienplanung_2026_AA_fr</v>
      </c>
      <c r="M11657" s="22" t="str">
        <f>HYPERLINK("mailto:yvergari@crm.otsuka-europe.com", "yvergari@crm.otsuka-europe.com")</f>
        <v>yvergari@crm.otsuka-europe.com</v>
      </c>
      <c r="N11657" s="23">
        <v>46189.387256944443</v>
      </c>
      <c r="O11657" s="14" t="str">
        <f>HYPERLINK("https://otsuka-europe-crm.veevavault.com/ui/#object/email_activity__v/V8C00000003X013", "EN-002096973")</f>
        <v>EN-002096973</v>
      </c>
    </row>
    <row r="11658" spans="1:15" ht="16" x14ac:dyDescent="0.2">
      <c r="A11658" s="19"/>
      <c r="B11658" s="19"/>
      <c r="C11658" s="19"/>
      <c r="D11658" s="19"/>
      <c r="E11658" s="19"/>
      <c r="F11658" s="19"/>
      <c r="G11658" s="19"/>
      <c r="H11658" s="19"/>
      <c r="I11658" s="19"/>
      <c r="J11658" s="19"/>
      <c r="K11658" s="19"/>
      <c r="L11658" s="19"/>
      <c r="M11658" s="19"/>
      <c r="N11658" s="19"/>
      <c r="O11658" s="14" t="str">
        <f>HYPERLINK("https://otsuka-europe-crm.veevavault.com/ui/#object/email_activity__v/V8C000000041721", "EN-002101124")</f>
        <v>EN-002101124</v>
      </c>
    </row>
    <row r="11659" spans="1:15" ht="16" x14ac:dyDescent="0.2">
      <c r="A11659" s="17" t="str">
        <f>HYPERLINK("https://otsuka-europe-crm.veevavault.com/ui/#object/account__v/V4TZ0000062SGWA", "Isaline Willemin Jacot")</f>
        <v>Isaline Willemin Jacot</v>
      </c>
      <c r="B11659" s="17" t="str">
        <f>HYPERLINK("https://otsuka-europe-crm.veevavault.com/ui/#object/vcountry__v/VENZ000004SONFN", "CH")</f>
        <v>CH</v>
      </c>
      <c r="C11659" s="20" t="s">
        <v>45</v>
      </c>
      <c r="D11659" s="21" t="str">
        <f>HYPERLINK("https://otsuka-europe-crm.veevavault.com/ui/#object/approved_document__v/V5O00000001L017", "ALL_Flexibilität_Ferienplanung_2026_AA_fr")</f>
        <v>ALL_Flexibilität_Ferienplanung_2026_AA_fr</v>
      </c>
      <c r="E11659" s="22" t="str">
        <f>HYPERLINK("https://otsuka-europe-crm.veevavault.com/ui/#object/sent_email__v/VBL00000002T479", "SE-001437270")</f>
        <v>SE-001437270</v>
      </c>
      <c r="F11659" s="23">
        <v>46189.387928240743</v>
      </c>
      <c r="G11659" s="24">
        <v>1</v>
      </c>
      <c r="H11659" s="24">
        <v>3</v>
      </c>
      <c r="I11659" s="24">
        <v>0</v>
      </c>
      <c r="J11659" s="25"/>
      <c r="K11659" s="24">
        <v>0</v>
      </c>
      <c r="L11659" s="22" t="str">
        <f>HYPERLINK("https://otsuka-europe-crm.veevavault.com/ui/#object/approved_document__v/V5O00000001L017", "ALL_Flexibilität_Ferienplanung_2026_AA_fr")</f>
        <v>ALL_Flexibilität_Ferienplanung_2026_AA_fr</v>
      </c>
      <c r="M11659" s="22" t="str">
        <f>HYPERLINK("mailto:yvergari@crm.otsuka-europe.com", "yvergari@crm.otsuka-europe.com")</f>
        <v>yvergari@crm.otsuka-europe.com</v>
      </c>
      <c r="N11659" s="23">
        <v>46189.387256944443</v>
      </c>
      <c r="O11659" s="14" t="str">
        <f>HYPERLINK("https://otsuka-europe-crm.veevavault.com/ui/#object/email_activity__v/V8C00000003X004", "EN-002096964")</f>
        <v>EN-002096964</v>
      </c>
    </row>
    <row r="11660" spans="1:15" ht="16" x14ac:dyDescent="0.2">
      <c r="A11660" s="18"/>
      <c r="B11660" s="18"/>
      <c r="C11660" s="18"/>
      <c r="D11660" s="18"/>
      <c r="E11660" s="18"/>
      <c r="F11660" s="18"/>
      <c r="G11660" s="18"/>
      <c r="H11660" s="18"/>
      <c r="I11660" s="18"/>
      <c r="J11660" s="18"/>
      <c r="K11660" s="18"/>
      <c r="L11660" s="18"/>
      <c r="M11660" s="18"/>
      <c r="N11660" s="18"/>
      <c r="O11660" s="14" t="str">
        <f>HYPERLINK("https://otsuka-europe-crm.veevavault.com/ui/#object/email_activity__v/V8C00000003X042", "EN-002097002")</f>
        <v>EN-002097002</v>
      </c>
    </row>
    <row r="11661" spans="1:15" ht="16" x14ac:dyDescent="0.2">
      <c r="A11661" s="18"/>
      <c r="B11661" s="18"/>
      <c r="C11661" s="18"/>
      <c r="D11661" s="18"/>
      <c r="E11661" s="18"/>
      <c r="F11661" s="18"/>
      <c r="G11661" s="18"/>
      <c r="H11661" s="18"/>
      <c r="I11661" s="18"/>
      <c r="J11661" s="18"/>
      <c r="K11661" s="18"/>
      <c r="L11661" s="18"/>
      <c r="M11661" s="18"/>
      <c r="N11661" s="18"/>
      <c r="O11661" s="14" t="str">
        <f>HYPERLINK("https://otsuka-europe-crm.veevavault.com/ui/#object/email_activity__v/V8C00000003X054", "EN-002097014")</f>
        <v>EN-002097014</v>
      </c>
    </row>
    <row r="11662" spans="1:15" ht="16" x14ac:dyDescent="0.2">
      <c r="A11662" s="19"/>
      <c r="B11662" s="19"/>
      <c r="C11662" s="19"/>
      <c r="D11662" s="19"/>
      <c r="E11662" s="19"/>
      <c r="F11662" s="19"/>
      <c r="G11662" s="19"/>
      <c r="H11662" s="19"/>
      <c r="I11662" s="19"/>
      <c r="J11662" s="19"/>
      <c r="K11662" s="19"/>
      <c r="L11662" s="19"/>
      <c r="M11662" s="19"/>
      <c r="N11662" s="19"/>
      <c r="O11662" s="14" t="str">
        <f>HYPERLINK("https://otsuka-europe-crm.veevavault.com/ui/#object/email_activity__v/V8C00000003X057", "EN-002097017")</f>
        <v>EN-002097017</v>
      </c>
    </row>
    <row r="11663" spans="1:15" ht="32" x14ac:dyDescent="0.2">
      <c r="A11663" s="7" t="str">
        <f>HYPERLINK("https://otsuka-europe-crm.veevavault.com/ui/#object/account__v/V4TZ025E87U9EJA", "Alessandro Vanni")</f>
        <v>Alessandro Vanni</v>
      </c>
      <c r="B11663" s="7" t="str">
        <f t="shared" ref="B11663:B11668" si="894">HYPERLINK("https://otsuka-europe-crm.veevavault.com/ui/#object/vcountry__v/VENZ000004SONFN", "CH")</f>
        <v>CH</v>
      </c>
      <c r="C11663" s="8" t="s">
        <v>45</v>
      </c>
      <c r="D11663" s="9" t="str">
        <f t="shared" ref="D11663:D11668" si="895">HYPERLINK("https://otsuka-europe-crm.veevavault.com/ui/#object/approved_document__v/V5O00000001L017", "ALL_Flexibilität_Ferienplanung_2026_AA_fr")</f>
        <v>ALL_Flexibilität_Ferienplanung_2026_AA_fr</v>
      </c>
      <c r="E11663" s="10" t="str">
        <f>HYPERLINK("https://otsuka-europe-crm.veevavault.com/ui/#object/sent_email__v/VBL00000002T480", "SE-001437271")</f>
        <v>SE-001437271</v>
      </c>
      <c r="F11663" s="11"/>
      <c r="G11663" s="12">
        <v>0</v>
      </c>
      <c r="H11663" s="12">
        <v>0</v>
      </c>
      <c r="I11663" s="12">
        <v>0</v>
      </c>
      <c r="J11663" s="11"/>
      <c r="K11663" s="12">
        <v>0</v>
      </c>
      <c r="L11663" s="10" t="str">
        <f t="shared" ref="L11663:L11668" si="896">HYPERLINK("https://otsuka-europe-crm.veevavault.com/ui/#object/approved_document__v/V5O00000001L017", "ALL_Flexibilität_Ferienplanung_2026_AA_fr")</f>
        <v>ALL_Flexibilität_Ferienplanung_2026_AA_fr</v>
      </c>
      <c r="M11663" s="10" t="str">
        <f t="shared" ref="M11663:M11668" si="897">HYPERLINK("mailto:yvergari@crm.otsuka-europe.com", "yvergari@crm.otsuka-europe.com")</f>
        <v>yvergari@crm.otsuka-europe.com</v>
      </c>
      <c r="N11663" s="13">
        <v>46189.387256944443</v>
      </c>
      <c r="O11663" s="14" t="str">
        <f>HYPERLINK("https://otsuka-europe-crm.veevavault.com/ui/#object/email_activity__v/V8C00000003U980", "EN-002096940")</f>
        <v>EN-002096940</v>
      </c>
    </row>
    <row r="11664" spans="1:15" ht="32" x14ac:dyDescent="0.2">
      <c r="A11664" s="7" t="str">
        <f>HYPERLINK("https://otsuka-europe-crm.veevavault.com/ui/#object/account__v/V4TZ04ASGEHXK08", "Paulo Vicente Batista")</f>
        <v>Paulo Vicente Batista</v>
      </c>
      <c r="B11664" s="7" t="str">
        <f t="shared" si="894"/>
        <v>CH</v>
      </c>
      <c r="C11664" s="8" t="s">
        <v>45</v>
      </c>
      <c r="D11664" s="9" t="str">
        <f t="shared" si="895"/>
        <v>ALL_Flexibilität_Ferienplanung_2026_AA_fr</v>
      </c>
      <c r="E11664" s="10" t="str">
        <f>HYPERLINK("https://otsuka-europe-crm.veevavault.com/ui/#object/sent_email__v/VBL00000002T481", "SE-001437272")</f>
        <v>SE-001437272</v>
      </c>
      <c r="F11664" s="11"/>
      <c r="G11664" s="12">
        <v>0</v>
      </c>
      <c r="H11664" s="12">
        <v>0</v>
      </c>
      <c r="I11664" s="12">
        <v>0</v>
      </c>
      <c r="J11664" s="11"/>
      <c r="K11664" s="12">
        <v>0</v>
      </c>
      <c r="L11664" s="10" t="str">
        <f t="shared" si="896"/>
        <v>ALL_Flexibilität_Ferienplanung_2026_AA_fr</v>
      </c>
      <c r="M11664" s="10" t="str">
        <f t="shared" si="897"/>
        <v>yvergari@crm.otsuka-europe.com</v>
      </c>
      <c r="N11664" s="13">
        <v>46189.387256944443</v>
      </c>
      <c r="O11664" s="14" t="str">
        <f>HYPERLINK("https://otsuka-europe-crm.veevavault.com/ui/#object/email_activity__v/V8C00000003U982", "EN-002096942")</f>
        <v>EN-002096942</v>
      </c>
    </row>
    <row r="11665" spans="1:15" ht="32" x14ac:dyDescent="0.2">
      <c r="A11665" s="7" t="str">
        <f>HYPERLINK("https://otsuka-europe-crm.veevavault.com/ui/#object/account__v/V4TZ06G6OBI6FHG", "Olivier Tible")</f>
        <v>Olivier Tible</v>
      </c>
      <c r="B11665" s="7" t="str">
        <f t="shared" si="894"/>
        <v>CH</v>
      </c>
      <c r="C11665" s="8" t="s">
        <v>45</v>
      </c>
      <c r="D11665" s="9" t="str">
        <f t="shared" si="895"/>
        <v>ALL_Flexibilität_Ferienplanung_2026_AA_fr</v>
      </c>
      <c r="E11665" s="10" t="str">
        <f>HYPERLINK("https://otsuka-europe-crm.veevavault.com/ui/#object/sent_email__v/VBL00000002T482", "SE-001437273")</f>
        <v>SE-001437273</v>
      </c>
      <c r="F11665" s="11"/>
      <c r="G11665" s="12">
        <v>0</v>
      </c>
      <c r="H11665" s="12">
        <v>0</v>
      </c>
      <c r="I11665" s="12">
        <v>0</v>
      </c>
      <c r="J11665" s="11"/>
      <c r="K11665" s="12">
        <v>0</v>
      </c>
      <c r="L11665" s="10" t="str">
        <f t="shared" si="896"/>
        <v>ALL_Flexibilität_Ferienplanung_2026_AA_fr</v>
      </c>
      <c r="M11665" s="10" t="str">
        <f t="shared" si="897"/>
        <v>yvergari@crm.otsuka-europe.com</v>
      </c>
      <c r="N11665" s="13">
        <v>46189.387303240743</v>
      </c>
      <c r="O11665" s="14" t="str">
        <f>HYPERLINK("https://otsuka-europe-crm.veevavault.com/ui/#object/email_activity__v/V8C00000003X037", "EN-002096997")</f>
        <v>EN-002096997</v>
      </c>
    </row>
    <row r="11666" spans="1:15" ht="32" x14ac:dyDescent="0.2">
      <c r="A11666" s="7" t="str">
        <f>HYPERLINK("https://otsuka-europe-crm.veevavault.com/ui/#object/account__v/V4TZ0000062SG73", "Paul-Bernard Roduit")</f>
        <v>Paul-Bernard Roduit</v>
      </c>
      <c r="B11666" s="7" t="str">
        <f t="shared" si="894"/>
        <v>CH</v>
      </c>
      <c r="C11666" s="8" t="s">
        <v>45</v>
      </c>
      <c r="D11666" s="9" t="str">
        <f t="shared" si="895"/>
        <v>ALL_Flexibilität_Ferienplanung_2026_AA_fr</v>
      </c>
      <c r="E11666" s="10" t="str">
        <f>HYPERLINK("https://otsuka-europe-crm.veevavault.com/ui/#object/sent_email__v/VBL00000002T483", "SE-001437274")</f>
        <v>SE-001437274</v>
      </c>
      <c r="F11666" s="11"/>
      <c r="G11666" s="12">
        <v>0</v>
      </c>
      <c r="H11666" s="12">
        <v>0</v>
      </c>
      <c r="I11666" s="12">
        <v>0</v>
      </c>
      <c r="J11666" s="11"/>
      <c r="K11666" s="12">
        <v>0</v>
      </c>
      <c r="L11666" s="10" t="str">
        <f t="shared" si="896"/>
        <v>ALL_Flexibilität_Ferienplanung_2026_AA_fr</v>
      </c>
      <c r="M11666" s="10" t="str">
        <f t="shared" si="897"/>
        <v>yvergari@crm.otsuka-europe.com</v>
      </c>
      <c r="N11666" s="13">
        <v>46189.387256944443</v>
      </c>
      <c r="O11666" s="14" t="str">
        <f>HYPERLINK("https://otsuka-europe-crm.veevavault.com/ui/#object/email_activity__v/V8C00000003X051", "EN-002097011")</f>
        <v>EN-002097011</v>
      </c>
    </row>
    <row r="11667" spans="1:15" ht="32" x14ac:dyDescent="0.2">
      <c r="A11667" s="7" t="str">
        <f>HYPERLINK("https://otsuka-europe-crm.veevavault.com/ui/#object/account__v/V4TZ025E87ZONPM", "Catheline Joana Christine Stancu")</f>
        <v>Catheline Joana Christine Stancu</v>
      </c>
      <c r="B11667" s="7" t="str">
        <f t="shared" si="894"/>
        <v>CH</v>
      </c>
      <c r="C11667" s="8" t="s">
        <v>45</v>
      </c>
      <c r="D11667" s="9" t="str">
        <f t="shared" si="895"/>
        <v>ALL_Flexibilität_Ferienplanung_2026_AA_fr</v>
      </c>
      <c r="E11667" s="10" t="str">
        <f>HYPERLINK("https://otsuka-europe-crm.veevavault.com/ui/#object/sent_email__v/VBL00000002T484", "SE-001437275")</f>
        <v>SE-001437275</v>
      </c>
      <c r="F11667" s="11"/>
      <c r="G11667" s="12">
        <v>0</v>
      </c>
      <c r="H11667" s="12">
        <v>0</v>
      </c>
      <c r="I11667" s="12">
        <v>0</v>
      </c>
      <c r="J11667" s="11"/>
      <c r="K11667" s="12">
        <v>0</v>
      </c>
      <c r="L11667" s="10" t="str">
        <f t="shared" si="896"/>
        <v>ALL_Flexibilität_Ferienplanung_2026_AA_fr</v>
      </c>
      <c r="M11667" s="10" t="str">
        <f t="shared" si="897"/>
        <v>yvergari@crm.otsuka-europe.com</v>
      </c>
      <c r="N11667" s="13">
        <v>46189.387256944443</v>
      </c>
      <c r="O11667" s="14" t="str">
        <f>HYPERLINK("https://otsuka-europe-crm.veevavault.com/ui/#object/email_activity__v/V8C00000003U983", "EN-002096944")</f>
        <v>EN-002096944</v>
      </c>
    </row>
    <row r="11668" spans="1:15" ht="16" x14ac:dyDescent="0.2">
      <c r="A11668" s="17" t="str">
        <f>HYPERLINK("https://otsuka-europe-crm.veevavault.com/ui/#object/account__v/V4TZ06G6O8S4320", "Tomy Solomon")</f>
        <v>Tomy Solomon</v>
      </c>
      <c r="B11668" s="17" t="str">
        <f t="shared" si="894"/>
        <v>CH</v>
      </c>
      <c r="C11668" s="20" t="s">
        <v>45</v>
      </c>
      <c r="D11668" s="21" t="str">
        <f t="shared" si="895"/>
        <v>ALL_Flexibilität_Ferienplanung_2026_AA_fr</v>
      </c>
      <c r="E11668" s="22" t="str">
        <f>HYPERLINK("https://otsuka-europe-crm.veevavault.com/ui/#object/sent_email__v/VBL00000002T485", "SE-001437276")</f>
        <v>SE-001437276</v>
      </c>
      <c r="F11668" s="23">
        <v>46189.388206018521</v>
      </c>
      <c r="G11668" s="24">
        <v>1</v>
      </c>
      <c r="H11668" s="24">
        <v>3</v>
      </c>
      <c r="I11668" s="24">
        <v>0</v>
      </c>
      <c r="J11668" s="25"/>
      <c r="K11668" s="24">
        <v>0</v>
      </c>
      <c r="L11668" s="22" t="str">
        <f t="shared" si="896"/>
        <v>ALL_Flexibilität_Ferienplanung_2026_AA_fr</v>
      </c>
      <c r="M11668" s="22" t="str">
        <f t="shared" si="897"/>
        <v>yvergari@crm.otsuka-europe.com</v>
      </c>
      <c r="N11668" s="23">
        <v>46189.387256944443</v>
      </c>
      <c r="O11668" s="14" t="str">
        <f>HYPERLINK("https://otsuka-europe-crm.veevavault.com/ui/#object/email_activity__v/V8C00000003X025", "EN-002096985")</f>
        <v>EN-002096985</v>
      </c>
    </row>
    <row r="11669" spans="1:15" ht="16" x14ac:dyDescent="0.2">
      <c r="A11669" s="18"/>
      <c r="B11669" s="18"/>
      <c r="C11669" s="18"/>
      <c r="D11669" s="18"/>
      <c r="E11669" s="18"/>
      <c r="F11669" s="18"/>
      <c r="G11669" s="18"/>
      <c r="H11669" s="18"/>
      <c r="I11669" s="18"/>
      <c r="J11669" s="18"/>
      <c r="K11669" s="18"/>
      <c r="L11669" s="18"/>
      <c r="M11669" s="18"/>
      <c r="N11669" s="18"/>
      <c r="O11669" s="14" t="str">
        <f>HYPERLINK("https://otsuka-europe-crm.veevavault.com/ui/#object/email_activity__v/V8C00000003X053", "EN-002097013")</f>
        <v>EN-002097013</v>
      </c>
    </row>
    <row r="11670" spans="1:15" ht="16" x14ac:dyDescent="0.2">
      <c r="A11670" s="18"/>
      <c r="B11670" s="18"/>
      <c r="C11670" s="18"/>
      <c r="D11670" s="18"/>
      <c r="E11670" s="18"/>
      <c r="F11670" s="18"/>
      <c r="G11670" s="18"/>
      <c r="H11670" s="18"/>
      <c r="I11670" s="18"/>
      <c r="J11670" s="18"/>
      <c r="K11670" s="18"/>
      <c r="L11670" s="18"/>
      <c r="M11670" s="18"/>
      <c r="N11670" s="18"/>
      <c r="O11670" s="14" t="str">
        <f>HYPERLINK("https://otsuka-europe-crm.veevavault.com/ui/#object/email_activity__v/V8C00000003X056", "EN-002097016")</f>
        <v>EN-002097016</v>
      </c>
    </row>
    <row r="11671" spans="1:15" ht="16" x14ac:dyDescent="0.2">
      <c r="A11671" s="19"/>
      <c r="B11671" s="19"/>
      <c r="C11671" s="19"/>
      <c r="D11671" s="19"/>
      <c r="E11671" s="19"/>
      <c r="F11671" s="19"/>
      <c r="G11671" s="19"/>
      <c r="H11671" s="19"/>
      <c r="I11671" s="19"/>
      <c r="J11671" s="19"/>
      <c r="K11671" s="19"/>
      <c r="L11671" s="19"/>
      <c r="M11671" s="19"/>
      <c r="N11671" s="19"/>
      <c r="O11671" s="14" t="str">
        <f>HYPERLINK("https://otsuka-europe-crm.veevavault.com/ui/#object/email_activity__v/V8C00000003X058", "EN-002097018")</f>
        <v>EN-002097018</v>
      </c>
    </row>
    <row r="11672" spans="1:15" ht="16" x14ac:dyDescent="0.2">
      <c r="A11672" s="17" t="str">
        <f>HYPERLINK("https://otsuka-europe-crm.veevavault.com/ui/#object/account__v/V4TZ04ASGBUD5PV", "Marco Solcà")</f>
        <v>Marco Solcà</v>
      </c>
      <c r="B11672" s="17" t="str">
        <f>HYPERLINK("https://otsuka-europe-crm.veevavault.com/ui/#object/vcountry__v/VENZ000004SONFN", "CH")</f>
        <v>CH</v>
      </c>
      <c r="C11672" s="20" t="s">
        <v>45</v>
      </c>
      <c r="D11672" s="21" t="str">
        <f>HYPERLINK("https://otsuka-europe-crm.veevavault.com/ui/#object/approved_document__v/V5O00000001L017", "ALL_Flexibilität_Ferienplanung_2026_AA_fr")</f>
        <v>ALL_Flexibilität_Ferienplanung_2026_AA_fr</v>
      </c>
      <c r="E11672" s="22" t="str">
        <f>HYPERLINK("https://otsuka-europe-crm.veevavault.com/ui/#object/sent_email__v/VBL00000002T486", "SE-001437277")</f>
        <v>SE-001437277</v>
      </c>
      <c r="F11672" s="23">
        <v>46189.401562500003</v>
      </c>
      <c r="G11672" s="24">
        <v>1</v>
      </c>
      <c r="H11672" s="24">
        <v>1</v>
      </c>
      <c r="I11672" s="24">
        <v>0</v>
      </c>
      <c r="J11672" s="25"/>
      <c r="K11672" s="24">
        <v>0</v>
      </c>
      <c r="L11672" s="22" t="str">
        <f>HYPERLINK("https://otsuka-europe-crm.veevavault.com/ui/#object/approved_document__v/V5O00000001L017", "ALL_Flexibilität_Ferienplanung_2026_AA_fr")</f>
        <v>ALL_Flexibilität_Ferienplanung_2026_AA_fr</v>
      </c>
      <c r="M11672" s="22" t="str">
        <f>HYPERLINK("mailto:yvergari@crm.otsuka-europe.com", "yvergari@crm.otsuka-europe.com")</f>
        <v>yvergari@crm.otsuka-europe.com</v>
      </c>
      <c r="N11672" s="23">
        <v>46189.387256944443</v>
      </c>
      <c r="O11672" s="14" t="str">
        <f>HYPERLINK("https://otsuka-europe-crm.veevavault.com/ui/#object/email_activity__v/V8C00000003X046", "EN-002097006")</f>
        <v>EN-002097006</v>
      </c>
    </row>
    <row r="11673" spans="1:15" ht="16" x14ac:dyDescent="0.2">
      <c r="A11673" s="19"/>
      <c r="B11673" s="19"/>
      <c r="C11673" s="19"/>
      <c r="D11673" s="19"/>
      <c r="E11673" s="19"/>
      <c r="F11673" s="19"/>
      <c r="G11673" s="19"/>
      <c r="H11673" s="19"/>
      <c r="I11673" s="19"/>
      <c r="J11673" s="19"/>
      <c r="K11673" s="19"/>
      <c r="L11673" s="19"/>
      <c r="M11673" s="19"/>
      <c r="N11673" s="19"/>
      <c r="O11673" s="14" t="str">
        <f>HYPERLINK("https://otsuka-europe-crm.veevavault.com/ui/#object/email_activity__v/V8C00000003X069", "EN-002097034")</f>
        <v>EN-002097034</v>
      </c>
    </row>
    <row r="11674" spans="1:15" ht="32" x14ac:dyDescent="0.2">
      <c r="A11674" s="7" t="str">
        <f>HYPERLINK("https://otsuka-europe-crm.veevavault.com/ui/#object/account__v/V4TZ0000062SG79", "Christian Rollini")</f>
        <v>Christian Rollini</v>
      </c>
      <c r="B11674" s="7" t="str">
        <f t="shared" ref="B11674:B11680" si="898">HYPERLINK("https://otsuka-europe-crm.veevavault.com/ui/#object/vcountry__v/VENZ000004SONFN", "CH")</f>
        <v>CH</v>
      </c>
      <c r="C11674" s="8" t="s">
        <v>45</v>
      </c>
      <c r="D11674" s="9" t="str">
        <f t="shared" ref="D11674:D11680" si="899">HYPERLINK("https://otsuka-europe-crm.veevavault.com/ui/#object/approved_document__v/V5O00000001L017", "ALL_Flexibilität_Ferienplanung_2026_AA_fr")</f>
        <v>ALL_Flexibilität_Ferienplanung_2026_AA_fr</v>
      </c>
      <c r="E11674" s="10" t="str">
        <f>HYPERLINK("https://otsuka-europe-crm.veevavault.com/ui/#object/sent_email__v/VBL00000002T487", "SE-001437278")</f>
        <v>SE-001437278</v>
      </c>
      <c r="F11674" s="11"/>
      <c r="G11674" s="12">
        <v>0</v>
      </c>
      <c r="H11674" s="12">
        <v>0</v>
      </c>
      <c r="I11674" s="12">
        <v>0</v>
      </c>
      <c r="J11674" s="11"/>
      <c r="K11674" s="12">
        <v>0</v>
      </c>
      <c r="L11674" s="10" t="str">
        <f t="shared" ref="L11674:L11680" si="900">HYPERLINK("https://otsuka-europe-crm.veevavault.com/ui/#object/approved_document__v/V5O00000001L017", "ALL_Flexibilität_Ferienplanung_2026_AA_fr")</f>
        <v>ALL_Flexibilität_Ferienplanung_2026_AA_fr</v>
      </c>
      <c r="M11674" s="10" t="str">
        <f t="shared" ref="M11674:M11680" si="901">HYPERLINK("mailto:yvergari@crm.otsuka-europe.com", "yvergari@crm.otsuka-europe.com")</f>
        <v>yvergari@crm.otsuka-europe.com</v>
      </c>
      <c r="N11674" s="13">
        <v>46189.387256944443</v>
      </c>
      <c r="O11674" s="14" t="str">
        <f>HYPERLINK("https://otsuka-europe-crm.veevavault.com/ui/#object/email_activity__v/V8C00000003X039", "EN-002096999")</f>
        <v>EN-002096999</v>
      </c>
    </row>
    <row r="11675" spans="1:15" ht="32" x14ac:dyDescent="0.2">
      <c r="A11675" s="7" t="str">
        <f>HYPERLINK("https://otsuka-europe-crm.veevavault.com/ui/#object/account__v/V4TZ0000062R4WM", "Liana Sutu")</f>
        <v>Liana Sutu</v>
      </c>
      <c r="B11675" s="7" t="str">
        <f t="shared" si="898"/>
        <v>CH</v>
      </c>
      <c r="C11675" s="8" t="s">
        <v>45</v>
      </c>
      <c r="D11675" s="9" t="str">
        <f t="shared" si="899"/>
        <v>ALL_Flexibilität_Ferienplanung_2026_AA_fr</v>
      </c>
      <c r="E11675" s="10" t="str">
        <f>HYPERLINK("https://otsuka-europe-crm.veevavault.com/ui/#object/sent_email__v/VBL00000002T488", "SE-001437279")</f>
        <v>SE-001437279</v>
      </c>
      <c r="F11675" s="11"/>
      <c r="G11675" s="12">
        <v>0</v>
      </c>
      <c r="H11675" s="12">
        <v>0</v>
      </c>
      <c r="I11675" s="12">
        <v>0</v>
      </c>
      <c r="J11675" s="11"/>
      <c r="K11675" s="12">
        <v>0</v>
      </c>
      <c r="L11675" s="10" t="str">
        <f t="shared" si="900"/>
        <v>ALL_Flexibilität_Ferienplanung_2026_AA_fr</v>
      </c>
      <c r="M11675" s="10" t="str">
        <f t="shared" si="901"/>
        <v>yvergari@crm.otsuka-europe.com</v>
      </c>
      <c r="N11675" s="13">
        <v>46189.387256944443</v>
      </c>
      <c r="O11675" s="14" t="str">
        <f>HYPERLINK("https://otsuka-europe-crm.veevavault.com/ui/#object/email_activity__v/V8C00000003U987", "EN-002096948")</f>
        <v>EN-002096948</v>
      </c>
    </row>
    <row r="11676" spans="1:15" ht="32" x14ac:dyDescent="0.2">
      <c r="A11676" s="7" t="str">
        <f>HYPERLINK("https://otsuka-europe-crm.veevavault.com/ui/#object/account__v/V4TZ025E87X1VL5", "Nadia Rita Sa' A Enganembeng")</f>
        <v>Nadia Rita Sa' A Enganembeng</v>
      </c>
      <c r="B11676" s="7" t="str">
        <f t="shared" si="898"/>
        <v>CH</v>
      </c>
      <c r="C11676" s="8" t="s">
        <v>45</v>
      </c>
      <c r="D11676" s="9" t="str">
        <f t="shared" si="899"/>
        <v>ALL_Flexibilität_Ferienplanung_2026_AA_fr</v>
      </c>
      <c r="E11676" s="10" t="str">
        <f>HYPERLINK("https://otsuka-europe-crm.veevavault.com/ui/#object/sent_email__v/VBL00000002T489", "SE-001437280")</f>
        <v>SE-001437280</v>
      </c>
      <c r="F11676" s="11"/>
      <c r="G11676" s="12">
        <v>0</v>
      </c>
      <c r="H11676" s="12">
        <v>0</v>
      </c>
      <c r="I11676" s="12">
        <v>0</v>
      </c>
      <c r="J11676" s="11"/>
      <c r="K11676" s="12">
        <v>0</v>
      </c>
      <c r="L11676" s="10" t="str">
        <f t="shared" si="900"/>
        <v>ALL_Flexibilität_Ferienplanung_2026_AA_fr</v>
      </c>
      <c r="M11676" s="10" t="str">
        <f t="shared" si="901"/>
        <v>yvergari@crm.otsuka-europe.com</v>
      </c>
      <c r="N11676" s="13">
        <v>46189.387291666666</v>
      </c>
      <c r="O11676" s="14" t="str">
        <f>HYPERLINK("https://otsuka-europe-crm.veevavault.com/ui/#object/email_activity__v/V8C00000003X035", "EN-002096995")</f>
        <v>EN-002096995</v>
      </c>
    </row>
    <row r="11677" spans="1:15" ht="32" x14ac:dyDescent="0.2">
      <c r="A11677" s="7" t="str">
        <f>HYPERLINK("https://otsuka-europe-crm.veevavault.com/ui/#object/account__v/V4TZ0000062SGMY", "Pierre Sindelar")</f>
        <v>Pierre Sindelar</v>
      </c>
      <c r="B11677" s="7" t="str">
        <f t="shared" si="898"/>
        <v>CH</v>
      </c>
      <c r="C11677" s="8" t="s">
        <v>45</v>
      </c>
      <c r="D11677" s="9" t="str">
        <f t="shared" si="899"/>
        <v>ALL_Flexibilität_Ferienplanung_2026_AA_fr</v>
      </c>
      <c r="E11677" s="10" t="str">
        <f>HYPERLINK("https://otsuka-europe-crm.veevavault.com/ui/#object/sent_email__v/VBL00000002T490", "SE-001437281")</f>
        <v>SE-001437281</v>
      </c>
      <c r="F11677" s="11"/>
      <c r="G11677" s="12">
        <v>0</v>
      </c>
      <c r="H11677" s="12">
        <v>0</v>
      </c>
      <c r="I11677" s="12">
        <v>0</v>
      </c>
      <c r="J11677" s="11"/>
      <c r="K11677" s="12">
        <v>0</v>
      </c>
      <c r="L11677" s="10" t="str">
        <f t="shared" si="900"/>
        <v>ALL_Flexibilität_Ferienplanung_2026_AA_fr</v>
      </c>
      <c r="M11677" s="10" t="str">
        <f t="shared" si="901"/>
        <v>yvergari@crm.otsuka-europe.com</v>
      </c>
      <c r="N11677" s="13">
        <v>46189.387256944443</v>
      </c>
      <c r="O11677" s="14" t="str">
        <f>HYPERLINK("https://otsuka-europe-crm.veevavault.com/ui/#object/email_activity__v/V8C00000003X028", "EN-002096988")</f>
        <v>EN-002096988</v>
      </c>
    </row>
    <row r="11678" spans="1:15" ht="32" x14ac:dyDescent="0.2">
      <c r="A11678" s="7" t="str">
        <f>HYPERLINK("https://otsuka-europe-crm.veevavault.com/ui/#object/account__v/V4TZ04ASGGDMC6L", "Dorian Tornay")</f>
        <v>Dorian Tornay</v>
      </c>
      <c r="B11678" s="7" t="str">
        <f t="shared" si="898"/>
        <v>CH</v>
      </c>
      <c r="C11678" s="8" t="s">
        <v>45</v>
      </c>
      <c r="D11678" s="9" t="str">
        <f t="shared" si="899"/>
        <v>ALL_Flexibilität_Ferienplanung_2026_AA_fr</v>
      </c>
      <c r="E11678" s="10" t="str">
        <f>HYPERLINK("https://otsuka-europe-crm.veevavault.com/ui/#object/sent_email__v/VBL00000002T491", "SE-001437282")</f>
        <v>SE-001437282</v>
      </c>
      <c r="F11678" s="11"/>
      <c r="G11678" s="12">
        <v>0</v>
      </c>
      <c r="H11678" s="12">
        <v>0</v>
      </c>
      <c r="I11678" s="12">
        <v>0</v>
      </c>
      <c r="J11678" s="11"/>
      <c r="K11678" s="12">
        <v>0</v>
      </c>
      <c r="L11678" s="10" t="str">
        <f t="shared" si="900"/>
        <v>ALL_Flexibilität_Ferienplanung_2026_AA_fr</v>
      </c>
      <c r="M11678" s="10" t="str">
        <f t="shared" si="901"/>
        <v>yvergari@crm.otsuka-europe.com</v>
      </c>
      <c r="N11678" s="13">
        <v>46189.387256944443</v>
      </c>
      <c r="O11678" s="14" t="str">
        <f>HYPERLINK("https://otsuka-europe-crm.veevavault.com/ui/#object/email_activity__v/V8C00000003X023", "EN-002096983")</f>
        <v>EN-002096983</v>
      </c>
    </row>
    <row r="11679" spans="1:15" ht="32" x14ac:dyDescent="0.2">
      <c r="A11679" s="7" t="str">
        <f>HYPERLINK("https://otsuka-europe-crm.veevavault.com/ui/#object/account__v/V4TZ0000062R5J4", "Mounia Sriti")</f>
        <v>Mounia Sriti</v>
      </c>
      <c r="B11679" s="7" t="str">
        <f t="shared" si="898"/>
        <v>CH</v>
      </c>
      <c r="C11679" s="8" t="s">
        <v>45</v>
      </c>
      <c r="D11679" s="9" t="str">
        <f t="shared" si="899"/>
        <v>ALL_Flexibilität_Ferienplanung_2026_AA_fr</v>
      </c>
      <c r="E11679" s="10" t="str">
        <f>HYPERLINK("https://otsuka-europe-crm.veevavault.com/ui/#object/sent_email__v/VBL00000002T492", "SE-001437283")</f>
        <v>SE-001437283</v>
      </c>
      <c r="F11679" s="11"/>
      <c r="G11679" s="12">
        <v>0</v>
      </c>
      <c r="H11679" s="12">
        <v>0</v>
      </c>
      <c r="I11679" s="12">
        <v>0</v>
      </c>
      <c r="J11679" s="11"/>
      <c r="K11679" s="12">
        <v>0</v>
      </c>
      <c r="L11679" s="10" t="str">
        <f t="shared" si="900"/>
        <v>ALL_Flexibilität_Ferienplanung_2026_AA_fr</v>
      </c>
      <c r="M11679" s="10" t="str">
        <f t="shared" si="901"/>
        <v>yvergari@crm.otsuka-europe.com</v>
      </c>
      <c r="N11679" s="13">
        <v>46189.387256944443</v>
      </c>
      <c r="O11679" s="14" t="str">
        <f>HYPERLINK("https://otsuka-europe-crm.veevavault.com/ui/#object/email_activity__v/V8C00000003U978", "EN-002096939")</f>
        <v>EN-002096939</v>
      </c>
    </row>
    <row r="11680" spans="1:15" ht="16" x14ac:dyDescent="0.2">
      <c r="A11680" s="17" t="str">
        <f>HYPERLINK("https://otsuka-europe-crm.veevavault.com/ui/#object/account__v/V4TZ0000062SGW2", "Liliane Vittoz")</f>
        <v>Liliane Vittoz</v>
      </c>
      <c r="B11680" s="17" t="str">
        <f t="shared" si="898"/>
        <v>CH</v>
      </c>
      <c r="C11680" s="20" t="s">
        <v>45</v>
      </c>
      <c r="D11680" s="21" t="str">
        <f t="shared" si="899"/>
        <v>ALL_Flexibilität_Ferienplanung_2026_AA_fr</v>
      </c>
      <c r="E11680" s="22" t="str">
        <f>HYPERLINK("https://otsuka-europe-crm.veevavault.com/ui/#object/sent_email__v/VBL00000002T493", "SE-001437284")</f>
        <v>SE-001437284</v>
      </c>
      <c r="F11680" s="25"/>
      <c r="G11680" s="24">
        <v>0</v>
      </c>
      <c r="H11680" s="24">
        <v>0</v>
      </c>
      <c r="I11680" s="24">
        <v>0</v>
      </c>
      <c r="J11680" s="25"/>
      <c r="K11680" s="24">
        <v>0</v>
      </c>
      <c r="L11680" s="22" t="str">
        <f t="shared" si="900"/>
        <v>ALL_Flexibilität_Ferienplanung_2026_AA_fr</v>
      </c>
      <c r="M11680" s="22" t="str">
        <f t="shared" si="901"/>
        <v>yvergari@crm.otsuka-europe.com</v>
      </c>
      <c r="N11680" s="23">
        <v>46189.387256944443</v>
      </c>
      <c r="O11680" s="14" t="str">
        <f>HYPERLINK("https://otsuka-europe-crm.veevavault.com/ui/#object/email_activity__v/V8C00000003W231", "EN-002097192")</f>
        <v>EN-002097192</v>
      </c>
    </row>
    <row r="11681" spans="1:15" ht="16" x14ac:dyDescent="0.2">
      <c r="A11681" s="18"/>
      <c r="B11681" s="18"/>
      <c r="C11681" s="18"/>
      <c r="D11681" s="18"/>
      <c r="E11681" s="18"/>
      <c r="F11681" s="18"/>
      <c r="G11681" s="18"/>
      <c r="H11681" s="18"/>
      <c r="I11681" s="18"/>
      <c r="J11681" s="18"/>
      <c r="K11681" s="18"/>
      <c r="L11681" s="18"/>
      <c r="M11681" s="18"/>
      <c r="N11681" s="18"/>
      <c r="O11681" s="14" t="str">
        <f>HYPERLINK("https://otsuka-europe-crm.veevavault.com/ui/#object/email_activity__v/V8C00000003X007", "EN-002096967")</f>
        <v>EN-002096967</v>
      </c>
    </row>
    <row r="11682" spans="1:15" ht="16" x14ac:dyDescent="0.2">
      <c r="A11682" s="19"/>
      <c r="B11682" s="19"/>
      <c r="C11682" s="19"/>
      <c r="D11682" s="19"/>
      <c r="E11682" s="19"/>
      <c r="F11682" s="19"/>
      <c r="G11682" s="19"/>
      <c r="H11682" s="19"/>
      <c r="I11682" s="19"/>
      <c r="J11682" s="19"/>
      <c r="K11682" s="19"/>
      <c r="L11682" s="19"/>
      <c r="M11682" s="19"/>
      <c r="N11682" s="19"/>
      <c r="O11682" s="14" t="str">
        <f>HYPERLINK("https://otsuka-europe-crm.veevavault.com/ui/#object/email_activity__v/V8C00000003Z214", "EN-002099017")</f>
        <v>EN-002099017</v>
      </c>
    </row>
    <row r="11683" spans="1:15" ht="32" x14ac:dyDescent="0.2">
      <c r="A11683" s="7" t="str">
        <f>HYPERLINK("https://otsuka-europe-crm.veevavault.com/ui/#object/account__v/V4TZ0000062R6D1", "Jean-Marie Sengelen")</f>
        <v>Jean-Marie Sengelen</v>
      </c>
      <c r="B11683" s="7" t="str">
        <f>HYPERLINK("https://otsuka-europe-crm.veevavault.com/ui/#object/vcountry__v/VENZ000004SONFN", "CH")</f>
        <v>CH</v>
      </c>
      <c r="C11683" s="8" t="s">
        <v>45</v>
      </c>
      <c r="D11683" s="9" t="str">
        <f>HYPERLINK("https://otsuka-europe-crm.veevavault.com/ui/#object/approved_document__v/V5O00000001L017", "ALL_Flexibilität_Ferienplanung_2026_AA_fr")</f>
        <v>ALL_Flexibilität_Ferienplanung_2026_AA_fr</v>
      </c>
      <c r="E11683" s="10" t="str">
        <f>HYPERLINK("https://otsuka-europe-crm.veevavault.com/ui/#object/sent_email__v/VBL00000002T494", "SE-001437285")</f>
        <v>SE-001437285</v>
      </c>
      <c r="F11683" s="11"/>
      <c r="G11683" s="12">
        <v>0</v>
      </c>
      <c r="H11683" s="12">
        <v>0</v>
      </c>
      <c r="I11683" s="12">
        <v>0</v>
      </c>
      <c r="J11683" s="11"/>
      <c r="K11683" s="12">
        <v>0</v>
      </c>
      <c r="L11683" s="10" t="str">
        <f>HYPERLINK("https://otsuka-europe-crm.veevavault.com/ui/#object/approved_document__v/V5O00000001L017", "ALL_Flexibilität_Ferienplanung_2026_AA_fr")</f>
        <v>ALL_Flexibilität_Ferienplanung_2026_AA_fr</v>
      </c>
      <c r="M11683" s="10" t="str">
        <f>HYPERLINK("mailto:yvergari@crm.otsuka-europe.com", "yvergari@crm.otsuka-europe.com")</f>
        <v>yvergari@crm.otsuka-europe.com</v>
      </c>
      <c r="N11683" s="13">
        <v>46189.387256944443</v>
      </c>
      <c r="O11683" s="14" t="str">
        <f>HYPERLINK("https://otsuka-europe-crm.veevavault.com/ui/#object/email_activity__v/V8C00000003X016", "EN-002096976")</f>
        <v>EN-002096976</v>
      </c>
    </row>
    <row r="11684" spans="1:15" ht="16" x14ac:dyDescent="0.2">
      <c r="A11684" s="17" t="str">
        <f>HYPERLINK("https://otsuka-europe-crm.veevavault.com/ui/#object/account__v/V4TZ0000062SG65", "Thomas Rathelot")</f>
        <v>Thomas Rathelot</v>
      </c>
      <c r="B11684" s="17" t="str">
        <f>HYPERLINK("https://otsuka-europe-crm.veevavault.com/ui/#object/vcountry__v/VENZ000004SONFN", "CH")</f>
        <v>CH</v>
      </c>
      <c r="C11684" s="20" t="s">
        <v>45</v>
      </c>
      <c r="D11684" s="21" t="str">
        <f>HYPERLINK("https://otsuka-europe-crm.veevavault.com/ui/#object/approved_document__v/V5O00000001L017", "ALL_Flexibilität_Ferienplanung_2026_AA_fr")</f>
        <v>ALL_Flexibilität_Ferienplanung_2026_AA_fr</v>
      </c>
      <c r="E11684" s="22" t="str">
        <f>HYPERLINK("https://otsuka-europe-crm.veevavault.com/ui/#object/sent_email__v/VBL00000002T495", "SE-001437286")</f>
        <v>SE-001437286</v>
      </c>
      <c r="F11684" s="25"/>
      <c r="G11684" s="24">
        <v>0</v>
      </c>
      <c r="H11684" s="24">
        <v>0</v>
      </c>
      <c r="I11684" s="24">
        <v>0</v>
      </c>
      <c r="J11684" s="25"/>
      <c r="K11684" s="24">
        <v>0</v>
      </c>
      <c r="L11684" s="22" t="str">
        <f>HYPERLINK("https://otsuka-europe-crm.veevavault.com/ui/#object/approved_document__v/V5O00000001L017", "ALL_Flexibilität_Ferienplanung_2026_AA_fr")</f>
        <v>ALL_Flexibilität_Ferienplanung_2026_AA_fr</v>
      </c>
      <c r="M11684" s="22" t="str">
        <f>HYPERLINK("mailto:yvergari@crm.otsuka-europe.com", "yvergari@crm.otsuka-europe.com")</f>
        <v>yvergari@crm.otsuka-europe.com</v>
      </c>
      <c r="N11684" s="23">
        <v>46189.387256944443</v>
      </c>
      <c r="O11684" s="14" t="str">
        <f>HYPERLINK("https://otsuka-europe-crm.veevavault.com/ui/#object/email_activity__v/V8C00000003W289", "EN-002097297")</f>
        <v>EN-002097297</v>
      </c>
    </row>
    <row r="11685" spans="1:15" ht="16" x14ac:dyDescent="0.2">
      <c r="A11685" s="18"/>
      <c r="B11685" s="18"/>
      <c r="C11685" s="18"/>
      <c r="D11685" s="18"/>
      <c r="E11685" s="18"/>
      <c r="F11685" s="18"/>
      <c r="G11685" s="18"/>
      <c r="H11685" s="18"/>
      <c r="I11685" s="18"/>
      <c r="J11685" s="18"/>
      <c r="K11685" s="18"/>
      <c r="L11685" s="18"/>
      <c r="M11685" s="18"/>
      <c r="N11685" s="18"/>
      <c r="O11685" s="14" t="str">
        <f>HYPERLINK("https://otsuka-europe-crm.veevavault.com/ui/#object/email_activity__v/V8C00000003X018", "EN-002096978")</f>
        <v>EN-002096978</v>
      </c>
    </row>
    <row r="11686" spans="1:15" ht="16" x14ac:dyDescent="0.2">
      <c r="A11686" s="19"/>
      <c r="B11686" s="19"/>
      <c r="C11686" s="19"/>
      <c r="D11686" s="19"/>
      <c r="E11686" s="19"/>
      <c r="F11686" s="19"/>
      <c r="G11686" s="19"/>
      <c r="H11686" s="19"/>
      <c r="I11686" s="19"/>
      <c r="J11686" s="19"/>
      <c r="K11686" s="19"/>
      <c r="L11686" s="19"/>
      <c r="M11686" s="19"/>
      <c r="N11686" s="19"/>
      <c r="O11686" s="14" t="str">
        <f>HYPERLINK("https://otsuka-europe-crm.veevavault.com/ui/#object/email_activity__v/V8C00000003Z009", "EN-002098671")</f>
        <v>EN-002098671</v>
      </c>
    </row>
    <row r="11687" spans="1:15" ht="32" x14ac:dyDescent="0.2">
      <c r="A11687" s="7" t="str">
        <f>HYPERLINK("https://otsuka-europe-crm.veevavault.com/ui/#object/account__v/V4TZ0000062SG5V", "Suzette Raharinivo Chochard")</f>
        <v>Suzette Raharinivo Chochard</v>
      </c>
      <c r="B11687" s="7" t="str">
        <f>HYPERLINK("https://otsuka-europe-crm.veevavault.com/ui/#object/vcountry__v/VENZ000004SONFN", "CH")</f>
        <v>CH</v>
      </c>
      <c r="C11687" s="8" t="s">
        <v>45</v>
      </c>
      <c r="D11687" s="9" t="str">
        <f>HYPERLINK("https://otsuka-europe-crm.veevavault.com/ui/#object/approved_document__v/V5O00000001L017", "ALL_Flexibilität_Ferienplanung_2026_AA_fr")</f>
        <v>ALL_Flexibilität_Ferienplanung_2026_AA_fr</v>
      </c>
      <c r="E11687" s="10" t="str">
        <f>HYPERLINK("https://otsuka-europe-crm.veevavault.com/ui/#object/sent_email__v/VBL00000002T496", "SE-001437287")</f>
        <v>SE-001437287</v>
      </c>
      <c r="F11687" s="11"/>
      <c r="G11687" s="12">
        <v>0</v>
      </c>
      <c r="H11687" s="12">
        <v>0</v>
      </c>
      <c r="I11687" s="12">
        <v>0</v>
      </c>
      <c r="J11687" s="11"/>
      <c r="K11687" s="12">
        <v>0</v>
      </c>
      <c r="L11687" s="10" t="str">
        <f>HYPERLINK("https://otsuka-europe-crm.veevavault.com/ui/#object/approved_document__v/V5O00000001L017", "ALL_Flexibilität_Ferienplanung_2026_AA_fr")</f>
        <v>ALL_Flexibilität_Ferienplanung_2026_AA_fr</v>
      </c>
      <c r="M11687" s="10" t="str">
        <f>HYPERLINK("mailto:yvergari@crm.otsuka-europe.com", "yvergari@crm.otsuka-europe.com")</f>
        <v>yvergari@crm.otsuka-europe.com</v>
      </c>
      <c r="N11687" s="13">
        <v>46189.387256944443</v>
      </c>
      <c r="O11687" s="14" t="str">
        <f>HYPERLINK("https://otsuka-europe-crm.veevavault.com/ui/#object/email_activity__v/V8C00000003U988", "EN-002096949")</f>
        <v>EN-002096949</v>
      </c>
    </row>
    <row r="11688" spans="1:15" ht="16" x14ac:dyDescent="0.2">
      <c r="A11688" s="17" t="str">
        <f>HYPERLINK("https://otsuka-europe-crm.veevavault.com/ui/#object/account__v/V4TZ025E82HAJQC", "Peter Uestuener")</f>
        <v>Peter Uestuener</v>
      </c>
      <c r="B11688" s="17" t="str">
        <f>HYPERLINK("https://otsuka-europe-crm.veevavault.com/ui/#object/vcountry__v/VENZ000004SONFN", "CH")</f>
        <v>CH</v>
      </c>
      <c r="C11688" s="20" t="s">
        <v>45</v>
      </c>
      <c r="D11688" s="21" t="str">
        <f>HYPERLINK("https://otsuka-europe-crm.veevavault.com/ui/#object/approved_document__v/V5O00000001L017", "ALL_Flexibilität_Ferienplanung_2026_AA_fr")</f>
        <v>ALL_Flexibilität_Ferienplanung_2026_AA_fr</v>
      </c>
      <c r="E11688" s="22" t="str">
        <f>HYPERLINK("https://otsuka-europe-crm.veevavault.com/ui/#object/sent_email__v/VBL00000002T497", "SE-001437288")</f>
        <v>SE-001437288</v>
      </c>
      <c r="F11688" s="23">
        <v>46189.490636574075</v>
      </c>
      <c r="G11688" s="24">
        <v>1</v>
      </c>
      <c r="H11688" s="24">
        <v>2</v>
      </c>
      <c r="I11688" s="24">
        <v>0</v>
      </c>
      <c r="J11688" s="25"/>
      <c r="K11688" s="24">
        <v>0</v>
      </c>
      <c r="L11688" s="22" t="str">
        <f>HYPERLINK("https://otsuka-europe-crm.veevavault.com/ui/#object/approved_document__v/V5O00000001L017", "ALL_Flexibilität_Ferienplanung_2026_AA_fr")</f>
        <v>ALL_Flexibilität_Ferienplanung_2026_AA_fr</v>
      </c>
      <c r="M11688" s="22" t="str">
        <f>HYPERLINK("mailto:yvergari@crm.otsuka-europe.com", "yvergari@crm.otsuka-europe.com")</f>
        <v>yvergari@crm.otsuka-europe.com</v>
      </c>
      <c r="N11688" s="23">
        <v>46189.387256944443</v>
      </c>
      <c r="O11688" s="14" t="str">
        <f>HYPERLINK("https://otsuka-europe-crm.veevavault.com/ui/#object/email_activity__v/V8C00000003X038", "EN-002096998")</f>
        <v>EN-002096998</v>
      </c>
    </row>
    <row r="11689" spans="1:15" ht="16" x14ac:dyDescent="0.2">
      <c r="A11689" s="18"/>
      <c r="B11689" s="18"/>
      <c r="C11689" s="18"/>
      <c r="D11689" s="18"/>
      <c r="E11689" s="18"/>
      <c r="F11689" s="18"/>
      <c r="G11689" s="18"/>
      <c r="H11689" s="18"/>
      <c r="I11689" s="18"/>
      <c r="J11689" s="18"/>
      <c r="K11689" s="18"/>
      <c r="L11689" s="18"/>
      <c r="M11689" s="18"/>
      <c r="N11689" s="18"/>
      <c r="O11689" s="14" t="str">
        <f>HYPERLINK("https://otsuka-europe-crm.veevavault.com/ui/#object/email_activity__v/V8C00000003X138", "EN-002097158")</f>
        <v>EN-002097158</v>
      </c>
    </row>
    <row r="11690" spans="1:15" ht="16" x14ac:dyDescent="0.2">
      <c r="A11690" s="19"/>
      <c r="B11690" s="19"/>
      <c r="C11690" s="19"/>
      <c r="D11690" s="19"/>
      <c r="E11690" s="19"/>
      <c r="F11690" s="19"/>
      <c r="G11690" s="19"/>
      <c r="H11690" s="19"/>
      <c r="I11690" s="19"/>
      <c r="J11690" s="19"/>
      <c r="K11690" s="19"/>
      <c r="L11690" s="19"/>
      <c r="M11690" s="19"/>
      <c r="N11690" s="19"/>
      <c r="O11690" s="14" t="str">
        <f>HYPERLINK("https://otsuka-europe-crm.veevavault.com/ui/#object/email_activity__v/V8C00000003X139", "EN-002097159")</f>
        <v>EN-002097159</v>
      </c>
    </row>
    <row r="11691" spans="1:15" ht="16" x14ac:dyDescent="0.2">
      <c r="A11691" s="17" t="str">
        <f>HYPERLINK("https://otsuka-europe-crm.veevavault.com/ui/#object/account__v/V4TZ0000062R7IY", "Bruno Schwartz")</f>
        <v>Bruno Schwartz</v>
      </c>
      <c r="B11691" s="17" t="str">
        <f>HYPERLINK("https://otsuka-europe-crm.veevavault.com/ui/#object/vcountry__v/VENZ000004SONFN", "CH")</f>
        <v>CH</v>
      </c>
      <c r="C11691" s="20" t="s">
        <v>45</v>
      </c>
      <c r="D11691" s="21" t="str">
        <f>HYPERLINK("https://otsuka-europe-crm.veevavault.com/ui/#object/approved_document__v/V5O00000001L017", "ALL_Flexibilität_Ferienplanung_2026_AA_fr")</f>
        <v>ALL_Flexibilität_Ferienplanung_2026_AA_fr</v>
      </c>
      <c r="E11691" s="22" t="str">
        <f>HYPERLINK("https://otsuka-europe-crm.veevavault.com/ui/#object/sent_email__v/VBL00000002T498", "SE-001437289")</f>
        <v>SE-001437289</v>
      </c>
      <c r="F11691" s="23">
        <v>46189.387349537035</v>
      </c>
      <c r="G11691" s="24">
        <v>1</v>
      </c>
      <c r="H11691" s="24">
        <v>1</v>
      </c>
      <c r="I11691" s="24">
        <v>0</v>
      </c>
      <c r="J11691" s="25"/>
      <c r="K11691" s="24">
        <v>0</v>
      </c>
      <c r="L11691" s="22" t="str">
        <f>HYPERLINK("https://otsuka-europe-crm.veevavault.com/ui/#object/approved_document__v/V5O00000001L017", "ALL_Flexibilität_Ferienplanung_2026_AA_fr")</f>
        <v>ALL_Flexibilität_Ferienplanung_2026_AA_fr</v>
      </c>
      <c r="M11691" s="22" t="str">
        <f>HYPERLINK("mailto:yvergari@crm.otsuka-europe.com", "yvergari@crm.otsuka-europe.com")</f>
        <v>yvergari@crm.otsuka-europe.com</v>
      </c>
      <c r="N11691" s="23">
        <v>46189.387256944443</v>
      </c>
      <c r="O11691" s="14" t="str">
        <f>HYPERLINK("https://otsuka-europe-crm.veevavault.com/ui/#object/email_activity__v/V8C00000003U989", "EN-002096950")</f>
        <v>EN-002096950</v>
      </c>
    </row>
    <row r="11692" spans="1:15" ht="16" x14ac:dyDescent="0.2">
      <c r="A11692" s="19"/>
      <c r="B11692" s="19"/>
      <c r="C11692" s="19"/>
      <c r="D11692" s="19"/>
      <c r="E11692" s="19"/>
      <c r="F11692" s="19"/>
      <c r="G11692" s="19"/>
      <c r="H11692" s="19"/>
      <c r="I11692" s="19"/>
      <c r="J11692" s="19"/>
      <c r="K11692" s="19"/>
      <c r="L11692" s="19"/>
      <c r="M11692" s="19"/>
      <c r="N11692" s="19"/>
      <c r="O11692" s="14" t="str">
        <f>HYPERLINK("https://otsuka-europe-crm.veevavault.com/ui/#object/email_activity__v/V8C00000003X043", "EN-002097003")</f>
        <v>EN-002097003</v>
      </c>
    </row>
    <row r="11693" spans="1:15" ht="32" x14ac:dyDescent="0.2">
      <c r="A11693" s="7" t="str">
        <f>HYPERLINK("https://otsuka-europe-crm.veevavault.com/ui/#object/account__v/V4TZ06G6OBI6HA9", "Sandra Vuichard")</f>
        <v>Sandra Vuichard</v>
      </c>
      <c r="B11693" s="7" t="str">
        <f>HYPERLINK("https://otsuka-europe-crm.veevavault.com/ui/#object/vcountry__v/VENZ000004SONFN", "CH")</f>
        <v>CH</v>
      </c>
      <c r="C11693" s="8" t="s">
        <v>45</v>
      </c>
      <c r="D11693" s="9" t="str">
        <f>HYPERLINK("https://otsuka-europe-crm.veevavault.com/ui/#object/approved_document__v/V5O00000001L017", "ALL_Flexibilität_Ferienplanung_2026_AA_fr")</f>
        <v>ALL_Flexibilität_Ferienplanung_2026_AA_fr</v>
      </c>
      <c r="E11693" s="10" t="str">
        <f>HYPERLINK("https://otsuka-europe-crm.veevavault.com/ui/#object/sent_email__v/VBL00000002T499", "SE-001437290")</f>
        <v>SE-001437290</v>
      </c>
      <c r="F11693" s="11"/>
      <c r="G11693" s="12">
        <v>0</v>
      </c>
      <c r="H11693" s="12">
        <v>0</v>
      </c>
      <c r="I11693" s="12">
        <v>0</v>
      </c>
      <c r="J11693" s="11"/>
      <c r="K11693" s="12">
        <v>0</v>
      </c>
      <c r="L11693" s="10" t="str">
        <f>HYPERLINK("https://otsuka-europe-crm.veevavault.com/ui/#object/approved_document__v/V5O00000001L017", "ALL_Flexibilität_Ferienplanung_2026_AA_fr")</f>
        <v>ALL_Flexibilität_Ferienplanung_2026_AA_fr</v>
      </c>
      <c r="M11693" s="10" t="str">
        <f>HYPERLINK("mailto:yvergari@crm.otsuka-europe.com", "yvergari@crm.otsuka-europe.com")</f>
        <v>yvergari@crm.otsuka-europe.com</v>
      </c>
      <c r="N11693" s="13">
        <v>46189.387256944443</v>
      </c>
      <c r="O11693" s="14" t="str">
        <f>HYPERLINK("https://otsuka-europe-crm.veevavault.com/ui/#object/email_activity__v/V8C00000003X001", "EN-002096961")</f>
        <v>EN-002096961</v>
      </c>
    </row>
    <row r="11694" spans="1:15" ht="16" x14ac:dyDescent="0.2">
      <c r="A11694" s="17" t="str">
        <f>HYPERLINK("https://otsuka-europe-crm.veevavault.com/ui/#object/account__v/V4T000000020050", "Kathrin Schön")</f>
        <v>Kathrin Schön</v>
      </c>
      <c r="B11694" s="17" t="str">
        <f>HYPERLINK("https://otsuka-europe-crm.veevavault.com/ui/#object/vcountry__v/VENZ000004SONFP", "DE")</f>
        <v>DE</v>
      </c>
      <c r="C11694" s="20" t="s">
        <v>43</v>
      </c>
      <c r="D11694" s="21" t="str">
        <f>HYPERLINK("https://otsuka-europe-crm.veevavault.com/ui/#object/approved_document__v/V5OZ025E82KAO62", "Disclosure-Consent__Veeva-CRM__DE")</f>
        <v>Disclosure-Consent__Veeva-CRM__DE</v>
      </c>
      <c r="E11694" s="22" t="str">
        <f>HYPERLINK("https://otsuka-europe-crm.veevavault.com/ui/#object/sent_email__v/VBL00000002T500", "SE-001437291")</f>
        <v>SE-001437291</v>
      </c>
      <c r="F11694" s="23">
        <v>46196.448680555557</v>
      </c>
      <c r="G11694" s="24">
        <v>1</v>
      </c>
      <c r="H11694" s="24">
        <v>2</v>
      </c>
      <c r="I11694" s="24">
        <v>1</v>
      </c>
      <c r="J11694" s="23">
        <v>46196.448252314818</v>
      </c>
      <c r="K11694" s="24">
        <v>1</v>
      </c>
      <c r="L11694" s="22" t="str">
        <f>HYPERLINK("https://otsuka-europe-crm.veevavault.com/ui/#object/approved_document__v/V5OZ025E82KAO62", "Disclosure-Consent__Veeva-CRM__DE")</f>
        <v>Disclosure-Consent__Veeva-CRM__DE</v>
      </c>
      <c r="M11694" s="22" t="str">
        <f>HYPERLINK("mailto:pstenert@crm.otsuka-europe.com", "pstenert@crm.otsuka-europe.com")</f>
        <v>pstenert@crm.otsuka-europe.com</v>
      </c>
      <c r="N11694" s="23">
        <v>46189.406898148147</v>
      </c>
      <c r="O11694" s="14" t="str">
        <f>HYPERLINK("https://otsuka-europe-crm.veevavault.com/ui/#object/email_activity__v/V8C00000003W158", "EN-002097039")</f>
        <v>EN-002097039</v>
      </c>
    </row>
    <row r="11695" spans="1:15" ht="16" x14ac:dyDescent="0.2">
      <c r="A11695" s="18"/>
      <c r="B11695" s="18"/>
      <c r="C11695" s="18"/>
      <c r="D11695" s="18"/>
      <c r="E11695" s="18"/>
      <c r="F11695" s="18"/>
      <c r="G11695" s="18"/>
      <c r="H11695" s="18"/>
      <c r="I11695" s="18"/>
      <c r="J11695" s="18"/>
      <c r="K11695" s="18"/>
      <c r="L11695" s="18"/>
      <c r="M11695" s="18"/>
      <c r="N11695" s="18"/>
      <c r="O11695" s="14" t="str">
        <f>HYPERLINK("https://otsuka-europe-crm.veevavault.com/ui/#object/email_activity__v/V8C00000003Z341", "EN-002099342")</f>
        <v>EN-002099342</v>
      </c>
    </row>
    <row r="11696" spans="1:15" ht="16" x14ac:dyDescent="0.2">
      <c r="A11696" s="18"/>
      <c r="B11696" s="18"/>
      <c r="C11696" s="18"/>
      <c r="D11696" s="18"/>
      <c r="E11696" s="18"/>
      <c r="F11696" s="18"/>
      <c r="G11696" s="18"/>
      <c r="H11696" s="18"/>
      <c r="I11696" s="18"/>
      <c r="J11696" s="18"/>
      <c r="K11696" s="18"/>
      <c r="L11696" s="18"/>
      <c r="M11696" s="18"/>
      <c r="N11696" s="18"/>
      <c r="O11696" s="14" t="str">
        <f>HYPERLINK("https://otsuka-europe-crm.veevavault.com/ui/#object/email_activity__v/V8C000000040372", "EN-002099336")</f>
        <v>EN-002099336</v>
      </c>
    </row>
    <row r="11697" spans="1:15" ht="16" x14ac:dyDescent="0.2">
      <c r="A11697" s="19"/>
      <c r="B11697" s="19"/>
      <c r="C11697" s="19"/>
      <c r="D11697" s="19"/>
      <c r="E11697" s="19"/>
      <c r="F11697" s="19"/>
      <c r="G11697" s="19"/>
      <c r="H11697" s="19"/>
      <c r="I11697" s="19"/>
      <c r="J11697" s="19"/>
      <c r="K11697" s="19"/>
      <c r="L11697" s="19"/>
      <c r="M11697" s="19"/>
      <c r="N11697" s="19"/>
      <c r="O11697" s="14" t="str">
        <f>HYPERLINK("https://otsuka-europe-crm.veevavault.com/ui/#object/email_activity__v/V8C000000040373", "EN-002099338")</f>
        <v>EN-002099338</v>
      </c>
    </row>
    <row r="11698" spans="1:15" ht="16" x14ac:dyDescent="0.2">
      <c r="A11698" s="17" t="str">
        <f>HYPERLINK("https://otsuka-europe-crm.veevavault.com/ui/#object/account__v/V4T000000020050", "Kathrin Schön")</f>
        <v>Kathrin Schön</v>
      </c>
      <c r="B11698" s="17" t="str">
        <f>HYPERLINK("https://otsuka-europe-crm.veevavault.com/ui/#object/vcountry__v/VENZ000004SONFP", "DE")</f>
        <v>DE</v>
      </c>
      <c r="C11698" s="20" t="s">
        <v>43</v>
      </c>
      <c r="D11698" s="21" t="str">
        <f>HYPERLINK("https://otsuka-europe-crm.veevavault.com/ui/#object/approved_document__v/V5OZ04ASG4FZ1H4", "DE - HCP Einwilligung für Remote Calls Deutschland")</f>
        <v>DE - HCP Einwilligung für Remote Calls Deutschland</v>
      </c>
      <c r="E11698" s="22" t="str">
        <f>HYPERLINK("https://otsuka-europe-crm.veevavault.com/ui/#object/sent_email__v/VBL00000002T501", "SE-001437292")</f>
        <v>SE-001437292</v>
      </c>
      <c r="F11698" s="23">
        <v>46196.448310185187</v>
      </c>
      <c r="G11698" s="24">
        <v>1</v>
      </c>
      <c r="H11698" s="24">
        <v>1</v>
      </c>
      <c r="I11698" s="24">
        <v>1</v>
      </c>
      <c r="J11698" s="23">
        <v>46196.44840277778</v>
      </c>
      <c r="K11698" s="24">
        <v>1</v>
      </c>
      <c r="L11698" s="22" t="str">
        <f>HYPERLINK("https://otsuka-europe-crm.veevavault.com/ui/#object/approved_document__v/V5OZ04ASG4FZ1H4", "DE - HCP Einwilligung für Remote Calls Deutschland")</f>
        <v>DE - HCP Einwilligung für Remote Calls Deutschland</v>
      </c>
      <c r="M11698" s="22" t="str">
        <f>HYPERLINK("mailto:pstenert@crm.otsuka-europe.com", "pstenert@crm.otsuka-europe.com")</f>
        <v>pstenert@crm.otsuka-europe.com</v>
      </c>
      <c r="N11698" s="23">
        <v>46189.40693287037</v>
      </c>
      <c r="O11698" s="14" t="str">
        <f>HYPERLINK("https://otsuka-europe-crm.veevavault.com/ui/#object/email_activity__v/V8C00000003W157", "EN-002097038")</f>
        <v>EN-002097038</v>
      </c>
    </row>
    <row r="11699" spans="1:15" ht="16" x14ac:dyDescent="0.2">
      <c r="A11699" s="18"/>
      <c r="B11699" s="18"/>
      <c r="C11699" s="18"/>
      <c r="D11699" s="18"/>
      <c r="E11699" s="18"/>
      <c r="F11699" s="18"/>
      <c r="G11699" s="18"/>
      <c r="H11699" s="18"/>
      <c r="I11699" s="18"/>
      <c r="J11699" s="18"/>
      <c r="K11699" s="18"/>
      <c r="L11699" s="18"/>
      <c r="M11699" s="18"/>
      <c r="N11699" s="18"/>
      <c r="O11699" s="14" t="str">
        <f>HYPERLINK("https://otsuka-europe-crm.veevavault.com/ui/#object/email_activity__v/V8C00000003Z339", "EN-002099337")</f>
        <v>EN-002099337</v>
      </c>
    </row>
    <row r="11700" spans="1:15" ht="16" x14ac:dyDescent="0.2">
      <c r="A11700" s="19"/>
      <c r="B11700" s="19"/>
      <c r="C11700" s="19"/>
      <c r="D11700" s="19"/>
      <c r="E11700" s="19"/>
      <c r="F11700" s="19"/>
      <c r="G11700" s="19"/>
      <c r="H11700" s="19"/>
      <c r="I11700" s="19"/>
      <c r="J11700" s="19"/>
      <c r="K11700" s="19"/>
      <c r="L11700" s="19"/>
      <c r="M11700" s="19"/>
      <c r="N11700" s="19"/>
      <c r="O11700" s="14" t="str">
        <f>HYPERLINK("https://otsuka-europe-crm.veevavault.com/ui/#object/email_activity__v/V8C00000003Z340", "EN-002099340")</f>
        <v>EN-002099340</v>
      </c>
    </row>
    <row r="11701" spans="1:15" ht="16" x14ac:dyDescent="0.2">
      <c r="A11701" s="17" t="str">
        <f>HYPERLINK("https://otsuka-europe-crm.veevavault.com/ui/#object/account__v/V4T000000020050", "Kathrin Schön")</f>
        <v>Kathrin Schön</v>
      </c>
      <c r="B11701" s="17" t="str">
        <f>HYPERLINK("https://otsuka-europe-crm.veevavault.com/ui/#object/vcountry__v/VENZ000004SONFP", "DE")</f>
        <v>DE</v>
      </c>
      <c r="C11701" s="20" t="s">
        <v>43</v>
      </c>
      <c r="D11701" s="21" t="str">
        <f>HYPERLINK("https://otsuka-europe-crm.veevavault.com/ui/#object/approved_document__v/V5O00000000V003", "Germany Consent Email  v4")</f>
        <v>Germany Consent Email  v4</v>
      </c>
      <c r="E11701" s="22" t="str">
        <f>HYPERLINK("https://otsuka-europe-crm.veevavault.com/ui/#object/sent_email__v/VBL00000002T502", "SE-001437293")</f>
        <v>SE-001437293</v>
      </c>
      <c r="F11701" s="23">
        <v>46196.449016203704</v>
      </c>
      <c r="G11701" s="24">
        <v>1</v>
      </c>
      <c r="H11701" s="24">
        <v>2</v>
      </c>
      <c r="I11701" s="24">
        <v>1</v>
      </c>
      <c r="J11701" s="23">
        <v>46196.448506944442</v>
      </c>
      <c r="K11701" s="24">
        <v>1</v>
      </c>
      <c r="L11701" s="22" t="str">
        <f>HYPERLINK("https://otsuka-europe-crm.veevavault.com/ui/#object/approved_document__v/V5O00000000V003", "Germany Consent Email  v4")</f>
        <v>Germany Consent Email  v4</v>
      </c>
      <c r="M11701" s="22" t="str">
        <f>HYPERLINK("mailto:pstenert@crm.otsuka-europe.com", "pstenert@crm.otsuka-europe.com")</f>
        <v>pstenert@crm.otsuka-europe.com</v>
      </c>
      <c r="N11701" s="23">
        <v>46189.40693287037</v>
      </c>
      <c r="O11701" s="14" t="str">
        <f>HYPERLINK("https://otsuka-europe-crm.veevavault.com/ui/#object/email_activity__v/V8C00000003W156", "EN-002097037")</f>
        <v>EN-002097037</v>
      </c>
    </row>
    <row r="11702" spans="1:15" ht="16" x14ac:dyDescent="0.2">
      <c r="A11702" s="18"/>
      <c r="B11702" s="18"/>
      <c r="C11702" s="18"/>
      <c r="D11702" s="18"/>
      <c r="E11702" s="18"/>
      <c r="F11702" s="18"/>
      <c r="G11702" s="18"/>
      <c r="H11702" s="18"/>
      <c r="I11702" s="18"/>
      <c r="J11702" s="18"/>
      <c r="K11702" s="18"/>
      <c r="L11702" s="18"/>
      <c r="M11702" s="18"/>
      <c r="N11702" s="18"/>
      <c r="O11702" s="14" t="str">
        <f>HYPERLINK("https://otsuka-europe-crm.veevavault.com/ui/#object/email_activity__v/V8C000000040374", "EN-002099339")</f>
        <v>EN-002099339</v>
      </c>
    </row>
    <row r="11703" spans="1:15" ht="16" x14ac:dyDescent="0.2">
      <c r="A11703" s="18"/>
      <c r="B11703" s="18"/>
      <c r="C11703" s="18"/>
      <c r="D11703" s="18"/>
      <c r="E11703" s="18"/>
      <c r="F11703" s="18"/>
      <c r="G11703" s="18"/>
      <c r="H11703" s="18"/>
      <c r="I11703" s="18"/>
      <c r="J11703" s="18"/>
      <c r="K11703" s="18"/>
      <c r="L11703" s="18"/>
      <c r="M11703" s="18"/>
      <c r="N11703" s="18"/>
      <c r="O11703" s="14" t="str">
        <f>HYPERLINK("https://otsuka-europe-crm.veevavault.com/ui/#object/email_activity__v/V8C000000040375", "EN-002099341")</f>
        <v>EN-002099341</v>
      </c>
    </row>
    <row r="11704" spans="1:15" ht="16" x14ac:dyDescent="0.2">
      <c r="A11704" s="19"/>
      <c r="B11704" s="19"/>
      <c r="C11704" s="19"/>
      <c r="D11704" s="19"/>
      <c r="E11704" s="19"/>
      <c r="F11704" s="19"/>
      <c r="G11704" s="19"/>
      <c r="H11704" s="19"/>
      <c r="I11704" s="19"/>
      <c r="J11704" s="19"/>
      <c r="K11704" s="19"/>
      <c r="L11704" s="19"/>
      <c r="M11704" s="19"/>
      <c r="N11704" s="19"/>
      <c r="O11704" s="14" t="str">
        <f>HYPERLINK("https://otsuka-europe-crm.veevavault.com/ui/#object/email_activity__v/V8C000000040376", "EN-002099343")</f>
        <v>EN-002099343</v>
      </c>
    </row>
    <row r="11705" spans="1:15" ht="32" x14ac:dyDescent="0.2">
      <c r="A11705" s="7" t="str">
        <f>HYPERLINK("https://otsuka-europe-crm.veevavault.com/ui/#object/account__v/V4T00000001X218", "SARA SANCHEZ SANCHEZ")</f>
        <v>SARA SANCHEZ SANCHEZ</v>
      </c>
      <c r="B11705" s="7" t="str">
        <f>HYPERLINK("https://otsuka-europe-crm.veevavault.com/ui/#object/vcountry__v/VENZ000004SONF5", "ES")</f>
        <v>ES</v>
      </c>
      <c r="C11705" s="8" t="s">
        <v>41</v>
      </c>
      <c r="D11705" s="9" t="str">
        <f>HYPERLINK("https://otsuka-europe-crm.veevavault.com/ui/#object/approved_document__v/V5O00000000D100", "Spain - Consent Email 1 Aug 25")</f>
        <v>Spain - Consent Email 1 Aug 25</v>
      </c>
      <c r="E11705" s="10" t="str">
        <f>HYPERLINK("https://otsuka-europe-crm.veevavault.com/ui/#object/sent_email__v/VBL00000002V329", "SE-001437294")</f>
        <v>SE-001437294</v>
      </c>
      <c r="F11705" s="11"/>
      <c r="G11705" s="12">
        <v>0</v>
      </c>
      <c r="H11705" s="12">
        <v>0</v>
      </c>
      <c r="I11705" s="12">
        <v>0</v>
      </c>
      <c r="J11705" s="11"/>
      <c r="K11705" s="12">
        <v>0</v>
      </c>
      <c r="L11705" s="10" t="str">
        <f>HYPERLINK("https://otsuka-europe-crm.veevavault.com/ui/#object/approved_document__v/V5O00000000D100", "Spain - Consent Email 1 Aug 25")</f>
        <v>Spain - Consent Email 1 Aug 25</v>
      </c>
      <c r="M11705" s="10" t="str">
        <f>HYPERLINK("mailto:ccalero@crm.otsuka-europe.com", "ccalero@crm.otsuka-europe.com")</f>
        <v>ccalero@crm.otsuka-europe.com</v>
      </c>
      <c r="N11705" s="13">
        <v>46189.417060185187</v>
      </c>
      <c r="O11705" s="14" t="str">
        <f>HYPERLINK("https://otsuka-europe-crm.veevavault.com/ui/#object/email_activity__v/V8C00000003W161", "EN-002097043")</f>
        <v>EN-002097043</v>
      </c>
    </row>
    <row r="11706" spans="1:15" ht="32" x14ac:dyDescent="0.2">
      <c r="A11706" s="7" t="str">
        <f>HYPERLINK("https://otsuka-europe-crm.veevavault.com/ui/#object/account__v/V4T00000001X218", "SARA SANCHEZ SANCHEZ")</f>
        <v>SARA SANCHEZ SANCHEZ</v>
      </c>
      <c r="B11706" s="7" t="str">
        <f>HYPERLINK("https://otsuka-europe-crm.veevavault.com/ui/#object/vcountry__v/VENZ000004SONF5", "ES")</f>
        <v>ES</v>
      </c>
      <c r="C11706" s="8" t="s">
        <v>41</v>
      </c>
      <c r="D11706" s="9" t="str">
        <f>HYPERLINK("https://otsuka-europe-crm.veevavault.com/ui/#object/approved_document__v/V5OZ04ASG4FWKA7", "Reuniones Online Consent - 2")</f>
        <v>Reuniones Online Consent - 2</v>
      </c>
      <c r="E11706" s="10" t="str">
        <f>HYPERLINK("https://otsuka-europe-crm.veevavault.com/ui/#object/sent_email__v/VBL00000002V330", "SE-001437295")</f>
        <v>SE-001437295</v>
      </c>
      <c r="F11706" s="11"/>
      <c r="G11706" s="12">
        <v>0</v>
      </c>
      <c r="H11706" s="12">
        <v>0</v>
      </c>
      <c r="I11706" s="12">
        <v>0</v>
      </c>
      <c r="J11706" s="11"/>
      <c r="K11706" s="12">
        <v>0</v>
      </c>
      <c r="L11706" s="10" t="str">
        <f>HYPERLINK("https://otsuka-europe-crm.veevavault.com/ui/#object/approved_document__v/V5OZ04ASG4FWKA7", "Reuniones Online Consent - 2")</f>
        <v>Reuniones Online Consent - 2</v>
      </c>
      <c r="M11706" s="10" t="str">
        <f>HYPERLINK("mailto:ccalero@crm.otsuka-europe.com", "ccalero@crm.otsuka-europe.com")</f>
        <v>ccalero@crm.otsuka-europe.com</v>
      </c>
      <c r="N11706" s="13">
        <v>46189.417060185187</v>
      </c>
      <c r="O11706" s="14" t="str">
        <f>HYPERLINK("https://otsuka-europe-crm.veevavault.com/ui/#object/email_activity__v/V8C00000003W160", "EN-002097042")</f>
        <v>EN-002097042</v>
      </c>
    </row>
    <row r="11707" spans="1:15" ht="32" x14ac:dyDescent="0.2">
      <c r="A11707" s="7" t="str">
        <f>HYPERLINK("https://otsuka-europe-crm.veevavault.com/ui/#object/account__v/V4T00000001X218", "SARA SANCHEZ SANCHEZ")</f>
        <v>SARA SANCHEZ SANCHEZ</v>
      </c>
      <c r="B11707" s="7" t="str">
        <f>HYPERLINK("https://otsuka-europe-crm.veevavault.com/ui/#object/vcountry__v/VENZ000004SONF5", "ES")</f>
        <v>ES</v>
      </c>
      <c r="C11707" s="8" t="s">
        <v>41</v>
      </c>
      <c r="D11707" s="9" t="str">
        <f>HYPERLINK("https://otsuka-europe-crm.veevavault.com/ui/#object/approved_document__v/V5OZ04ASG4FWKA9", "Documento Autorizaciขn Centro Empleador")</f>
        <v>Documento Autorizaciขn Centro Empleador</v>
      </c>
      <c r="E11707" s="10" t="str">
        <f>HYPERLINK("https://otsuka-europe-crm.veevavault.com/ui/#object/sent_email__v/VBL00000002V331", "SE-001437296")</f>
        <v>SE-001437296</v>
      </c>
      <c r="F11707" s="11"/>
      <c r="G11707" s="12">
        <v>0</v>
      </c>
      <c r="H11707" s="12">
        <v>0</v>
      </c>
      <c r="I11707" s="12">
        <v>0</v>
      </c>
      <c r="J11707" s="11"/>
      <c r="K11707" s="12">
        <v>0</v>
      </c>
      <c r="L11707" s="10" t="str">
        <f>HYPERLINK("https://otsuka-europe-crm.veevavault.com/ui/#object/approved_document__v/V5OZ04ASG4FWKA9", "Documento Autorizaciขn Centro Empleador")</f>
        <v>Documento Autorizaciขn Centro Empleador</v>
      </c>
      <c r="M11707" s="10" t="str">
        <f>HYPERLINK("mailto:ccalero@crm.otsuka-europe.com", "ccalero@crm.otsuka-europe.com")</f>
        <v>ccalero@crm.otsuka-europe.com</v>
      </c>
      <c r="N11707" s="13">
        <v>46189.417083333334</v>
      </c>
      <c r="O11707" s="14" t="str">
        <f>HYPERLINK("https://otsuka-europe-crm.veevavault.com/ui/#object/email_activity__v/V8C00000003W162", "EN-002097044")</f>
        <v>EN-002097044</v>
      </c>
    </row>
    <row r="11708" spans="1:15" ht="32" x14ac:dyDescent="0.2">
      <c r="A11708" s="7" t="str">
        <f>HYPERLINK("https://otsuka-europe-crm.veevavault.com/ui/#object/account__v/V4T000000025032", "Ravinder Sangha")</f>
        <v>Ravinder Sangha</v>
      </c>
      <c r="B11708" s="7" t="str">
        <f>HYPERLINK("https://otsuka-europe-crm.veevavault.com/ui/#object/vcountry__v/VENZ000004SONFK", "GB")</f>
        <v>GB</v>
      </c>
      <c r="C11708" s="8" t="s">
        <v>39</v>
      </c>
      <c r="D11708" s="9" t="str">
        <f>HYPERLINK("https://otsuka-europe-crm.veevavault.com/ui/#object/approved_document__v/V5O00000000D081", "UK - Consent Email 1 Aug 25")</f>
        <v>UK - Consent Email 1 Aug 25</v>
      </c>
      <c r="E11708" s="10" t="str">
        <f>HYPERLINK("https://otsuka-europe-crm.veevavault.com/ui/#object/sent_email__v/VBL00000002V332", "SE-001437297")</f>
        <v>SE-001437297</v>
      </c>
      <c r="F11708" s="11"/>
      <c r="G11708" s="12">
        <v>0</v>
      </c>
      <c r="H11708" s="12">
        <v>0</v>
      </c>
      <c r="I11708" s="12">
        <v>0</v>
      </c>
      <c r="J11708" s="11"/>
      <c r="K11708" s="12">
        <v>0</v>
      </c>
      <c r="L11708" s="10" t="str">
        <f>HYPERLINK("https://otsuka-europe-crm.veevavault.com/ui/#object/approved_document__v/V5O00000000D081", "UK - Consent Email 1 Aug 25")</f>
        <v>UK - Consent Email 1 Aug 25</v>
      </c>
      <c r="M11708" s="10" t="str">
        <f>HYPERLINK("mailto:ldimambro@crm.otsuka-europe.com", "ldimambro@crm.otsuka-europe.com")</f>
        <v>ldimambro@crm.otsuka-europe.com</v>
      </c>
      <c r="N11708" s="13">
        <v>46189.418576388889</v>
      </c>
      <c r="O11708" s="14" t="str">
        <f>HYPERLINK("https://otsuka-europe-crm.veevavault.com/ui/#object/email_activity__v/V8C00000003X072", "EN-002097046")</f>
        <v>EN-002097046</v>
      </c>
    </row>
    <row r="11709" spans="1:15" ht="32" x14ac:dyDescent="0.2">
      <c r="A11709" s="7" t="str">
        <f>HYPERLINK("https://otsuka-europe-crm.veevavault.com/ui/#object/account__v/V4T000000024032", "June Milne")</f>
        <v>June Milne</v>
      </c>
      <c r="B11709" s="7" t="str">
        <f>HYPERLINK("https://otsuka-europe-crm.veevavault.com/ui/#object/vcountry__v/VENZ000004SONFK", "GB")</f>
        <v>GB</v>
      </c>
      <c r="C11709" s="8" t="s">
        <v>39</v>
      </c>
      <c r="D11709" s="9" t="str">
        <f>HYPERLINK("https://otsuka-europe-crm.veevavault.com/ui/#object/approved_document__v/V5OZ025E82UYOBH", "Aripiprazole 300mg PFS Available VAE")</f>
        <v>Aripiprazole 300mg PFS Available VAE</v>
      </c>
      <c r="E11709" s="10" t="str">
        <f>HYPERLINK("https://otsuka-europe-crm.veevavault.com/ui/#object/sent_email__v/VBL00000002T503", "SE-001437298")</f>
        <v>SE-001437298</v>
      </c>
      <c r="F11709" s="11"/>
      <c r="G11709" s="12">
        <v>0</v>
      </c>
      <c r="H11709" s="12">
        <v>0</v>
      </c>
      <c r="I11709" s="12">
        <v>0</v>
      </c>
      <c r="J11709" s="11"/>
      <c r="K11709" s="12">
        <v>0</v>
      </c>
      <c r="L11709" s="10" t="str">
        <f>HYPERLINK("https://otsuka-europe-crm.veevavault.com/ui/#object/approved_document__v/V5OZ025E82UYOBH", "Aripiprazole 300mg PFS Available VAE")</f>
        <v>Aripiprazole 300mg PFS Available VAE</v>
      </c>
      <c r="M11709" s="10" t="str">
        <f>HYPERLINK("mailto:ldimambro@crm.otsuka-europe.com", "ldimambro@crm.otsuka-europe.com")</f>
        <v>ldimambro@crm.otsuka-europe.com</v>
      </c>
      <c r="N11709" s="13">
        <v>46189.421342592592</v>
      </c>
      <c r="O11709" s="14" t="str">
        <f>HYPERLINK("https://otsuka-europe-crm.veevavault.com/ui/#object/email_activity__v/V8C00000003W165", "EN-002097049")</f>
        <v>EN-002097049</v>
      </c>
    </row>
    <row r="11710" spans="1:15" ht="32" x14ac:dyDescent="0.2">
      <c r="A11710" s="7" t="str">
        <f>HYPERLINK("https://otsuka-europe-crm.veevavault.com/ui/#object/account__v/V4T000000024032", "June Milne")</f>
        <v>June Milne</v>
      </c>
      <c r="B11710" s="7" t="str">
        <f>HYPERLINK("https://otsuka-europe-crm.veevavault.com/ui/#object/vcountry__v/VENZ000004SONFK", "GB")</f>
        <v>GB</v>
      </c>
      <c r="C11710" s="8" t="s">
        <v>39</v>
      </c>
      <c r="D11710" s="9" t="str">
        <f>HYPERLINK("https://otsuka-europe-crm.veevavault.com/ui/#object/approved_document__v/V5OZ025E82TSZBI", "Aripiprazole 960mg Fragment VAE")</f>
        <v>Aripiprazole 960mg Fragment VAE</v>
      </c>
      <c r="E11710" s="10" t="str">
        <f>HYPERLINK("https://otsuka-europe-crm.veevavault.com/ui/#object/sent_email__v/VBL00000002T504", "SE-001437299")</f>
        <v>SE-001437299</v>
      </c>
      <c r="F11710" s="11"/>
      <c r="G11710" s="12">
        <v>0</v>
      </c>
      <c r="H11710" s="12">
        <v>0</v>
      </c>
      <c r="I11710" s="12">
        <v>0</v>
      </c>
      <c r="J11710" s="11"/>
      <c r="K11710" s="12">
        <v>0</v>
      </c>
      <c r="L11710" s="10" t="str">
        <f>HYPERLINK("https://otsuka-europe-crm.veevavault.com/ui/#object/approved_document__v/V5OZ025E82TSZBI", "Aripiprazole 960mg Fragment VAE")</f>
        <v>Aripiprazole 960mg Fragment VAE</v>
      </c>
      <c r="M11710" s="10" t="str">
        <f>HYPERLINK("mailto:ldimambro@crm.otsuka-europe.com", "ldimambro@crm.otsuka-europe.com")</f>
        <v>ldimambro@crm.otsuka-europe.com</v>
      </c>
      <c r="N11710" s="13">
        <v>46189.421643518515</v>
      </c>
      <c r="O11710" s="14" t="str">
        <f>HYPERLINK("https://otsuka-europe-crm.veevavault.com/ui/#object/email_activity__v/V8C00000003W166", "EN-002097050")</f>
        <v>EN-002097050</v>
      </c>
    </row>
    <row r="11711" spans="1:15" ht="16" x14ac:dyDescent="0.2">
      <c r="A11711" s="17" t="str">
        <f>HYPERLINK("https://otsuka-europe-crm.veevavault.com/ui/#object/account__v/V4TZ00000633K3Z", "SARAH ZITOUN")</f>
        <v>SARAH ZITOUN</v>
      </c>
      <c r="B11711" s="17" t="str">
        <f>HYPERLINK("https://otsuka-europe-crm.veevavault.com/ui/#object/vcountry__v/VENZ000004SONFA", "FR")</f>
        <v>FR</v>
      </c>
      <c r="C11711" s="20" t="s">
        <v>42</v>
      </c>
      <c r="D11711" s="21" t="str">
        <f>HYPERLINK("https://otsuka-europe-crm.veevavault.com/ui/#object/approved_document__v/V5OZ04ASG4G02Y6", "INVITATION_VAD_2023")</f>
        <v>INVITATION_VAD_2023</v>
      </c>
      <c r="E11711" s="22" t="str">
        <f>HYPERLINK("https://otsuka-europe-crm.veevavault.com/ui/#object/sent_email__v/VBL00000002T505", "SE-001437300")</f>
        <v>SE-001437300</v>
      </c>
      <c r="F11711" s="23">
        <v>46203.793854166666</v>
      </c>
      <c r="G11711" s="24">
        <v>1</v>
      </c>
      <c r="H11711" s="24">
        <v>8</v>
      </c>
      <c r="I11711" s="24">
        <v>0</v>
      </c>
      <c r="J11711" s="25"/>
      <c r="K11711" s="24">
        <v>0</v>
      </c>
      <c r="L11711" s="22" t="str">
        <f>HYPERLINK("https://otsuka-europe-crm.veevavault.com/ui/#object/approved_document__v/V5OZ04ASG4G02Y6", "INVITATION_VAD_2023")</f>
        <v>INVITATION_VAD_2023</v>
      </c>
      <c r="M11711" s="22" t="str">
        <f>HYPERLINK("mailto:mperrin@crm.otsuka-europe.com", "mperrin@crm.otsuka-europe.com")</f>
        <v>mperrin@crm.otsuka-europe.com</v>
      </c>
      <c r="N11711" s="23">
        <v>46189.426747685182</v>
      </c>
      <c r="O11711" s="14" t="str">
        <f>HYPERLINK("https://otsuka-europe-crm.veevavault.com/ui/#object/email_activity__v/V8C00000003X074", "EN-002097057")</f>
        <v>EN-002097057</v>
      </c>
    </row>
    <row r="11712" spans="1:15" ht="16" x14ac:dyDescent="0.2">
      <c r="A11712" s="18"/>
      <c r="B11712" s="18"/>
      <c r="C11712" s="18"/>
      <c r="D11712" s="18"/>
      <c r="E11712" s="18"/>
      <c r="F11712" s="18"/>
      <c r="G11712" s="18"/>
      <c r="H11712" s="18"/>
      <c r="I11712" s="18"/>
      <c r="J11712" s="18"/>
      <c r="K11712" s="18"/>
      <c r="L11712" s="18"/>
      <c r="M11712" s="18"/>
      <c r="N11712" s="18"/>
      <c r="O11712" s="14" t="str">
        <f>HYPERLINK("https://otsuka-europe-crm.veevavault.com/ui/#object/email_activity__v/V8C00000003X075", "EN-002097058")</f>
        <v>EN-002097058</v>
      </c>
    </row>
    <row r="11713" spans="1:15" ht="16" x14ac:dyDescent="0.2">
      <c r="A11713" s="18"/>
      <c r="B11713" s="18"/>
      <c r="C11713" s="18"/>
      <c r="D11713" s="18"/>
      <c r="E11713" s="18"/>
      <c r="F11713" s="18"/>
      <c r="G11713" s="18"/>
      <c r="H11713" s="18"/>
      <c r="I11713" s="18"/>
      <c r="J11713" s="18"/>
      <c r="K11713" s="18"/>
      <c r="L11713" s="18"/>
      <c r="M11713" s="18"/>
      <c r="N11713" s="18"/>
      <c r="O11713" s="14" t="str">
        <f>HYPERLINK("https://otsuka-europe-crm.veevavault.com/ui/#object/email_activity__v/V8C000000041591", "EN-002100830")</f>
        <v>EN-002100830</v>
      </c>
    </row>
    <row r="11714" spans="1:15" ht="16" x14ac:dyDescent="0.2">
      <c r="A11714" s="18"/>
      <c r="B11714" s="18"/>
      <c r="C11714" s="18"/>
      <c r="D11714" s="18"/>
      <c r="E11714" s="18"/>
      <c r="F11714" s="18"/>
      <c r="G11714" s="18"/>
      <c r="H11714" s="18"/>
      <c r="I11714" s="18"/>
      <c r="J11714" s="18"/>
      <c r="K11714" s="18"/>
      <c r="L11714" s="18"/>
      <c r="M11714" s="18"/>
      <c r="N11714" s="18"/>
      <c r="O11714" s="14" t="str">
        <f>HYPERLINK("https://otsuka-europe-crm.veevavault.com/ui/#object/email_activity__v/V8C000000042553", "EN-002100827")</f>
        <v>EN-002100827</v>
      </c>
    </row>
    <row r="11715" spans="1:15" ht="16" x14ac:dyDescent="0.2">
      <c r="A11715" s="18"/>
      <c r="B11715" s="18"/>
      <c r="C11715" s="18"/>
      <c r="D11715" s="18"/>
      <c r="E11715" s="18"/>
      <c r="F11715" s="18"/>
      <c r="G11715" s="18"/>
      <c r="H11715" s="18"/>
      <c r="I11715" s="18"/>
      <c r="J11715" s="18"/>
      <c r="K11715" s="18"/>
      <c r="L11715" s="18"/>
      <c r="M11715" s="18"/>
      <c r="N11715" s="18"/>
      <c r="O11715" s="14" t="str">
        <f>HYPERLINK("https://otsuka-europe-crm.veevavault.com/ui/#object/email_activity__v/V8C000000042556", "EN-002100831")</f>
        <v>EN-002100831</v>
      </c>
    </row>
    <row r="11716" spans="1:15" ht="16" x14ac:dyDescent="0.2">
      <c r="A11716" s="18"/>
      <c r="B11716" s="18"/>
      <c r="C11716" s="18"/>
      <c r="D11716" s="18"/>
      <c r="E11716" s="18"/>
      <c r="F11716" s="18"/>
      <c r="G11716" s="18"/>
      <c r="H11716" s="18"/>
      <c r="I11716" s="18"/>
      <c r="J11716" s="18"/>
      <c r="K11716" s="18"/>
      <c r="L11716" s="18"/>
      <c r="M11716" s="18"/>
      <c r="N11716" s="18"/>
      <c r="O11716" s="14" t="str">
        <f>HYPERLINK("https://otsuka-europe-crm.veevavault.com/ui/#object/email_activity__v/V8C000000042704", "EN-002101074")</f>
        <v>EN-002101074</v>
      </c>
    </row>
    <row r="11717" spans="1:15" ht="16" x14ac:dyDescent="0.2">
      <c r="A11717" s="18"/>
      <c r="B11717" s="18"/>
      <c r="C11717" s="18"/>
      <c r="D11717" s="18"/>
      <c r="E11717" s="18"/>
      <c r="F11717" s="18"/>
      <c r="G11717" s="18"/>
      <c r="H11717" s="18"/>
      <c r="I11717" s="18"/>
      <c r="J11717" s="18"/>
      <c r="K11717" s="18"/>
      <c r="L11717" s="18"/>
      <c r="M11717" s="18"/>
      <c r="N11717" s="18"/>
      <c r="O11717" s="14" t="str">
        <f>HYPERLINK("https://otsuka-europe-crm.veevavault.com/ui/#object/email_activity__v/V8C000000042705", "EN-002101075")</f>
        <v>EN-002101075</v>
      </c>
    </row>
    <row r="11718" spans="1:15" ht="16" x14ac:dyDescent="0.2">
      <c r="A11718" s="18"/>
      <c r="B11718" s="18"/>
      <c r="C11718" s="18"/>
      <c r="D11718" s="18"/>
      <c r="E11718" s="18"/>
      <c r="F11718" s="18"/>
      <c r="G11718" s="18"/>
      <c r="H11718" s="18"/>
      <c r="I11718" s="18"/>
      <c r="J11718" s="18"/>
      <c r="K11718" s="18"/>
      <c r="L11718" s="18"/>
      <c r="M11718" s="18"/>
      <c r="N11718" s="18"/>
      <c r="O11718" s="14" t="str">
        <f>HYPERLINK("https://otsuka-europe-crm.veevavault.com/ui/#object/email_activity__v/V8C000000042707", "EN-002101077")</f>
        <v>EN-002101077</v>
      </c>
    </row>
    <row r="11719" spans="1:15" ht="16" x14ac:dyDescent="0.2">
      <c r="A11719" s="19"/>
      <c r="B11719" s="19"/>
      <c r="C11719" s="19"/>
      <c r="D11719" s="19"/>
      <c r="E11719" s="19"/>
      <c r="F11719" s="19"/>
      <c r="G11719" s="19"/>
      <c r="H11719" s="19"/>
      <c r="I11719" s="19"/>
      <c r="J11719" s="19"/>
      <c r="K11719" s="19"/>
      <c r="L11719" s="19"/>
      <c r="M11719" s="19"/>
      <c r="N11719" s="19"/>
      <c r="O11719" s="14" t="str">
        <f>HYPERLINK("https://otsuka-europe-crm.veevavault.com/ui/#object/email_activity__v/V8C000000042723", "EN-002101102")</f>
        <v>EN-002101102</v>
      </c>
    </row>
    <row r="11720" spans="1:15" ht="32" x14ac:dyDescent="0.2">
      <c r="A11720" s="7" t="str">
        <f>HYPERLINK("https://otsuka-europe-crm.veevavault.com/ui/#object/account__v/V4TZ06G6O71S9JK", "STEFANIA TOFANI")</f>
        <v>STEFANIA TOFANI</v>
      </c>
      <c r="B11720" s="7" t="str">
        <f>HYPERLINK("https://otsuka-europe-crm.veevavault.com/ui/#object/vcountry__v/VENZ000004SONFQ", "IT")</f>
        <v>IT</v>
      </c>
      <c r="C11720" s="8" t="s">
        <v>44</v>
      </c>
      <c r="D11720" s="9" t="str">
        <f>HYPERLINK("https://otsuka-europe-crm.veevavault.com/ui/#object/approved_document__v/V5OZ025E82JJ7FL", "NL AE HCP Portal")</f>
        <v>NL AE HCP Portal</v>
      </c>
      <c r="E11720" s="10" t="str">
        <f>HYPERLINK("https://otsuka-europe-crm.veevavault.com/ui/#object/sent_email__v/VBL00000002V333", "SE-001437301")</f>
        <v>SE-001437301</v>
      </c>
      <c r="F11720" s="11"/>
      <c r="G11720" s="12">
        <v>0</v>
      </c>
      <c r="H11720" s="12">
        <v>0</v>
      </c>
      <c r="I11720" s="12">
        <v>0</v>
      </c>
      <c r="J11720" s="11"/>
      <c r="K11720" s="12">
        <v>0</v>
      </c>
      <c r="L11720" s="10" t="str">
        <f>HYPERLINK("https://otsuka-europe-crm.veevavault.com/ui/#object/approved_document__v/V5OZ025E82JJ7FL", "NL AE HCP Portal")</f>
        <v>NL AE HCP Portal</v>
      </c>
      <c r="M11720" s="10" t="str">
        <f>HYPERLINK("mailto:tiziana.faini@crm.otsuka-europe.com", "tiziana.faini@crm.otsuka-europe.com")</f>
        <v>tiziana.faini@crm.otsuka-europe.com</v>
      </c>
      <c r="N11720" s="13">
        <v>46189.439236111109</v>
      </c>
      <c r="O11720" s="14" t="str">
        <f>HYPERLINK("https://otsuka-europe-crm.veevavault.com/ui/#object/email_activity__v/V8C00000003X092", "EN-002097081")</f>
        <v>EN-002097081</v>
      </c>
    </row>
    <row r="11721" spans="1:15" ht="16" x14ac:dyDescent="0.2">
      <c r="A11721" s="17" t="str">
        <f>HYPERLINK("https://otsuka-europe-crm.veevavault.com/ui/#object/account__v/V4TZ00000633KVS", "ROBIN RYCKEBUSCH")</f>
        <v>ROBIN RYCKEBUSCH</v>
      </c>
      <c r="B11721" s="17" t="str">
        <f>HYPERLINK("https://otsuka-europe-crm.veevavault.com/ui/#object/vcountry__v/VENZ000004SONFA", "FR")</f>
        <v>FR</v>
      </c>
      <c r="C11721" s="20" t="s">
        <v>42</v>
      </c>
      <c r="D11721" s="21" t="str">
        <f>HYPERLINK("https://otsuka-europe-crm.veevavault.com/ui/#object/approved_document__v/V5OZ04ASG4G02Y7", "REMERCIEMENTS_VAD_2023")</f>
        <v>REMERCIEMENTS_VAD_2023</v>
      </c>
      <c r="E11721" s="22" t="str">
        <f>HYPERLINK("https://otsuka-europe-crm.veevavault.com/ui/#object/sent_email__v/VBL00000002T506", "SE-001437302")</f>
        <v>SE-001437302</v>
      </c>
      <c r="F11721" s="23">
        <v>46189.446863425925</v>
      </c>
      <c r="G11721" s="24">
        <v>1</v>
      </c>
      <c r="H11721" s="24">
        <v>4</v>
      </c>
      <c r="I11721" s="24">
        <v>1</v>
      </c>
      <c r="J11721" s="23">
        <v>46189.444421296299</v>
      </c>
      <c r="K11721" s="24">
        <v>19</v>
      </c>
      <c r="L11721" s="22" t="str">
        <f>HYPERLINK("https://otsuka-europe-crm.veevavault.com/ui/#object/approved_document__v/V5OZ04ASG4G02Y7", "REMERCIEMENTS_VAD_2023")</f>
        <v>REMERCIEMENTS_VAD_2023</v>
      </c>
      <c r="M11721" s="22" t="str">
        <f>HYPERLINK("mailto:cchevalliermiserole@crm.otsuka-europe.com", "cchevalliermiserole@crm.otsuka-europe.com")</f>
        <v>cchevalliermiserole@crm.otsuka-europe.com</v>
      </c>
      <c r="N11721" s="23">
        <v>46189.441655092596</v>
      </c>
      <c r="O11721" s="14" t="str">
        <f>HYPERLINK("https://otsuka-europe-crm.veevavault.com/ui/#object/email_activity__v/V8C00000003W181", "EN-002097088")</f>
        <v>EN-002097088</v>
      </c>
    </row>
    <row r="11722" spans="1:15" ht="16" x14ac:dyDescent="0.2">
      <c r="A11722" s="18"/>
      <c r="B11722" s="18"/>
      <c r="C11722" s="18"/>
      <c r="D11722" s="18"/>
      <c r="E11722" s="18"/>
      <c r="F11722" s="18"/>
      <c r="G11722" s="18"/>
      <c r="H11722" s="18"/>
      <c r="I11722" s="18"/>
      <c r="J11722" s="18"/>
      <c r="K11722" s="18"/>
      <c r="L11722" s="18"/>
      <c r="M11722" s="18"/>
      <c r="N11722" s="18"/>
      <c r="O11722" s="14" t="str">
        <f>HYPERLINK("https://otsuka-europe-crm.veevavault.com/ui/#object/email_activity__v/V8C00000003W182", "EN-002097085")</f>
        <v>EN-002097085</v>
      </c>
    </row>
    <row r="11723" spans="1:15" ht="16" x14ac:dyDescent="0.2">
      <c r="A11723" s="18"/>
      <c r="B11723" s="18"/>
      <c r="C11723" s="18"/>
      <c r="D11723" s="18"/>
      <c r="E11723" s="18"/>
      <c r="F11723" s="18"/>
      <c r="G11723" s="18"/>
      <c r="H11723" s="18"/>
      <c r="I11723" s="18"/>
      <c r="J11723" s="18"/>
      <c r="K11723" s="18"/>
      <c r="L11723" s="18"/>
      <c r="M11723" s="18"/>
      <c r="N11723" s="18"/>
      <c r="O11723" s="14" t="str">
        <f>HYPERLINK("https://otsuka-europe-crm.veevavault.com/ui/#object/email_activity__v/V8C00000003W183", "EN-002097089")</f>
        <v>EN-002097089</v>
      </c>
    </row>
    <row r="11724" spans="1:15" ht="16" x14ac:dyDescent="0.2">
      <c r="A11724" s="18"/>
      <c r="B11724" s="18"/>
      <c r="C11724" s="18"/>
      <c r="D11724" s="18"/>
      <c r="E11724" s="18"/>
      <c r="F11724" s="18"/>
      <c r="G11724" s="18"/>
      <c r="H11724" s="18"/>
      <c r="I11724" s="18"/>
      <c r="J11724" s="18"/>
      <c r="K11724" s="18"/>
      <c r="L11724" s="18"/>
      <c r="M11724" s="18"/>
      <c r="N11724" s="18"/>
      <c r="O11724" s="14" t="str">
        <f>HYPERLINK("https://otsuka-europe-crm.veevavault.com/ui/#object/email_activity__v/V8C00000003W184", "EN-002097094")</f>
        <v>EN-002097094</v>
      </c>
    </row>
    <row r="11725" spans="1:15" ht="16" x14ac:dyDescent="0.2">
      <c r="A11725" s="18"/>
      <c r="B11725" s="18"/>
      <c r="C11725" s="18"/>
      <c r="D11725" s="18"/>
      <c r="E11725" s="18"/>
      <c r="F11725" s="18"/>
      <c r="G11725" s="18"/>
      <c r="H11725" s="18"/>
      <c r="I11725" s="18"/>
      <c r="J11725" s="18"/>
      <c r="K11725" s="18"/>
      <c r="L11725" s="18"/>
      <c r="M11725" s="18"/>
      <c r="N11725" s="18"/>
      <c r="O11725" s="14" t="str">
        <f>HYPERLINK("https://otsuka-europe-crm.veevavault.com/ui/#object/email_activity__v/V8C00000003W185", "EN-002097096")</f>
        <v>EN-002097096</v>
      </c>
    </row>
    <row r="11726" spans="1:15" ht="16" x14ac:dyDescent="0.2">
      <c r="A11726" s="18"/>
      <c r="B11726" s="18"/>
      <c r="C11726" s="18"/>
      <c r="D11726" s="18"/>
      <c r="E11726" s="18"/>
      <c r="F11726" s="18"/>
      <c r="G11726" s="18"/>
      <c r="H11726" s="18"/>
      <c r="I11726" s="18"/>
      <c r="J11726" s="18"/>
      <c r="K11726" s="18"/>
      <c r="L11726" s="18"/>
      <c r="M11726" s="18"/>
      <c r="N11726" s="18"/>
      <c r="O11726" s="14" t="str">
        <f>HYPERLINK("https://otsuka-europe-crm.veevavault.com/ui/#object/email_activity__v/V8C00000003W187", "EN-002097102")</f>
        <v>EN-002097102</v>
      </c>
    </row>
    <row r="11727" spans="1:15" ht="16" x14ac:dyDescent="0.2">
      <c r="A11727" s="18"/>
      <c r="B11727" s="18"/>
      <c r="C11727" s="18"/>
      <c r="D11727" s="18"/>
      <c r="E11727" s="18"/>
      <c r="F11727" s="18"/>
      <c r="G11727" s="18"/>
      <c r="H11727" s="18"/>
      <c r="I11727" s="18"/>
      <c r="J11727" s="18"/>
      <c r="K11727" s="18"/>
      <c r="L11727" s="18"/>
      <c r="M11727" s="18"/>
      <c r="N11727" s="18"/>
      <c r="O11727" s="14" t="str">
        <f>HYPERLINK("https://otsuka-europe-crm.veevavault.com/ui/#object/email_activity__v/V8C00000003W188", "EN-002097103")</f>
        <v>EN-002097103</v>
      </c>
    </row>
    <row r="11728" spans="1:15" ht="16" x14ac:dyDescent="0.2">
      <c r="A11728" s="18"/>
      <c r="B11728" s="18"/>
      <c r="C11728" s="18"/>
      <c r="D11728" s="18"/>
      <c r="E11728" s="18"/>
      <c r="F11728" s="18"/>
      <c r="G11728" s="18"/>
      <c r="H11728" s="18"/>
      <c r="I11728" s="18"/>
      <c r="J11728" s="18"/>
      <c r="K11728" s="18"/>
      <c r="L11728" s="18"/>
      <c r="M11728" s="18"/>
      <c r="N11728" s="18"/>
      <c r="O11728" s="14" t="str">
        <f>HYPERLINK("https://otsuka-europe-crm.veevavault.com/ui/#object/email_activity__v/V8C00000003W189", "EN-002097104")</f>
        <v>EN-002097104</v>
      </c>
    </row>
    <row r="11729" spans="1:15" ht="16" x14ac:dyDescent="0.2">
      <c r="A11729" s="18"/>
      <c r="B11729" s="18"/>
      <c r="C11729" s="18"/>
      <c r="D11729" s="18"/>
      <c r="E11729" s="18"/>
      <c r="F11729" s="18"/>
      <c r="G11729" s="18"/>
      <c r="H11729" s="18"/>
      <c r="I11729" s="18"/>
      <c r="J11729" s="18"/>
      <c r="K11729" s="18"/>
      <c r="L11729" s="18"/>
      <c r="M11729" s="18"/>
      <c r="N11729" s="18"/>
      <c r="O11729" s="14" t="str">
        <f>HYPERLINK("https://otsuka-europe-crm.veevavault.com/ui/#object/email_activity__v/V8C00000003W190", "EN-002097105")</f>
        <v>EN-002097105</v>
      </c>
    </row>
    <row r="11730" spans="1:15" ht="16" x14ac:dyDescent="0.2">
      <c r="A11730" s="18"/>
      <c r="B11730" s="18"/>
      <c r="C11730" s="18"/>
      <c r="D11730" s="18"/>
      <c r="E11730" s="18"/>
      <c r="F11730" s="18"/>
      <c r="G11730" s="18"/>
      <c r="H11730" s="18"/>
      <c r="I11730" s="18"/>
      <c r="J11730" s="18"/>
      <c r="K11730" s="18"/>
      <c r="L11730" s="18"/>
      <c r="M11730" s="18"/>
      <c r="N11730" s="18"/>
      <c r="O11730" s="14" t="str">
        <f>HYPERLINK("https://otsuka-europe-crm.veevavault.com/ui/#object/email_activity__v/V8C00000003W191", "EN-002097106")</f>
        <v>EN-002097106</v>
      </c>
    </row>
    <row r="11731" spans="1:15" ht="16" x14ac:dyDescent="0.2">
      <c r="A11731" s="18"/>
      <c r="B11731" s="18"/>
      <c r="C11731" s="18"/>
      <c r="D11731" s="18"/>
      <c r="E11731" s="18"/>
      <c r="F11731" s="18"/>
      <c r="G11731" s="18"/>
      <c r="H11731" s="18"/>
      <c r="I11731" s="18"/>
      <c r="J11731" s="18"/>
      <c r="K11731" s="18"/>
      <c r="L11731" s="18"/>
      <c r="M11731" s="18"/>
      <c r="N11731" s="18"/>
      <c r="O11731" s="14" t="str">
        <f>HYPERLINK("https://otsuka-europe-crm.veevavault.com/ui/#object/email_activity__v/V8C00000003W192", "EN-002097107")</f>
        <v>EN-002097107</v>
      </c>
    </row>
    <row r="11732" spans="1:15" ht="16" x14ac:dyDescent="0.2">
      <c r="A11732" s="18"/>
      <c r="B11732" s="18"/>
      <c r="C11732" s="18"/>
      <c r="D11732" s="18"/>
      <c r="E11732" s="18"/>
      <c r="F11732" s="18"/>
      <c r="G11732" s="18"/>
      <c r="H11732" s="18"/>
      <c r="I11732" s="18"/>
      <c r="J11732" s="18"/>
      <c r="K11732" s="18"/>
      <c r="L11732" s="18"/>
      <c r="M11732" s="18"/>
      <c r="N11732" s="18"/>
      <c r="O11732" s="14" t="str">
        <f>HYPERLINK("https://otsuka-europe-crm.veevavault.com/ui/#object/email_activity__v/V8C00000003W193", "EN-002097108")</f>
        <v>EN-002097108</v>
      </c>
    </row>
    <row r="11733" spans="1:15" ht="16" x14ac:dyDescent="0.2">
      <c r="A11733" s="18"/>
      <c r="B11733" s="18"/>
      <c r="C11733" s="18"/>
      <c r="D11733" s="18"/>
      <c r="E11733" s="18"/>
      <c r="F11733" s="18"/>
      <c r="G11733" s="18"/>
      <c r="H11733" s="18"/>
      <c r="I11733" s="18"/>
      <c r="J11733" s="18"/>
      <c r="K11733" s="18"/>
      <c r="L11733" s="18"/>
      <c r="M11733" s="18"/>
      <c r="N11733" s="18"/>
      <c r="O11733" s="14" t="str">
        <f>HYPERLINK("https://otsuka-europe-crm.veevavault.com/ui/#object/email_activity__v/V8C00000003W196", "EN-002097114")</f>
        <v>EN-002097114</v>
      </c>
    </row>
    <row r="11734" spans="1:15" ht="16" x14ac:dyDescent="0.2">
      <c r="A11734" s="18"/>
      <c r="B11734" s="18"/>
      <c r="C11734" s="18"/>
      <c r="D11734" s="18"/>
      <c r="E11734" s="18"/>
      <c r="F11734" s="18"/>
      <c r="G11734" s="18"/>
      <c r="H11734" s="18"/>
      <c r="I11734" s="18"/>
      <c r="J11734" s="18"/>
      <c r="K11734" s="18"/>
      <c r="L11734" s="18"/>
      <c r="M11734" s="18"/>
      <c r="N11734" s="18"/>
      <c r="O11734" s="14" t="str">
        <f>HYPERLINK("https://otsuka-europe-crm.veevavault.com/ui/#object/email_activity__v/V8C00000003X093", "EN-002097084")</f>
        <v>EN-002097084</v>
      </c>
    </row>
    <row r="11735" spans="1:15" ht="16" x14ac:dyDescent="0.2">
      <c r="A11735" s="18"/>
      <c r="B11735" s="18"/>
      <c r="C11735" s="18"/>
      <c r="D11735" s="18"/>
      <c r="E11735" s="18"/>
      <c r="F11735" s="18"/>
      <c r="G11735" s="18"/>
      <c r="H11735" s="18"/>
      <c r="I11735" s="18"/>
      <c r="J11735" s="18"/>
      <c r="K11735" s="18"/>
      <c r="L11735" s="18"/>
      <c r="M11735" s="18"/>
      <c r="N11735" s="18"/>
      <c r="O11735" s="14" t="str">
        <f>HYPERLINK("https://otsuka-europe-crm.veevavault.com/ui/#object/email_activity__v/V8C00000003X094", "EN-002097090")</f>
        <v>EN-002097090</v>
      </c>
    </row>
    <row r="11736" spans="1:15" ht="16" x14ac:dyDescent="0.2">
      <c r="A11736" s="18"/>
      <c r="B11736" s="18"/>
      <c r="C11736" s="18"/>
      <c r="D11736" s="18"/>
      <c r="E11736" s="18"/>
      <c r="F11736" s="18"/>
      <c r="G11736" s="18"/>
      <c r="H11736" s="18"/>
      <c r="I11736" s="18"/>
      <c r="J11736" s="18"/>
      <c r="K11736" s="18"/>
      <c r="L11736" s="18"/>
      <c r="M11736" s="18"/>
      <c r="N11736" s="18"/>
      <c r="O11736" s="14" t="str">
        <f>HYPERLINK("https://otsuka-europe-crm.veevavault.com/ui/#object/email_activity__v/V8C00000003X095", "EN-002097086")</f>
        <v>EN-002097086</v>
      </c>
    </row>
    <row r="11737" spans="1:15" ht="16" x14ac:dyDescent="0.2">
      <c r="A11737" s="18"/>
      <c r="B11737" s="18"/>
      <c r="C11737" s="18"/>
      <c r="D11737" s="18"/>
      <c r="E11737" s="18"/>
      <c r="F11737" s="18"/>
      <c r="G11737" s="18"/>
      <c r="H11737" s="18"/>
      <c r="I11737" s="18"/>
      <c r="J11737" s="18"/>
      <c r="K11737" s="18"/>
      <c r="L11737" s="18"/>
      <c r="M11737" s="18"/>
      <c r="N11737" s="18"/>
      <c r="O11737" s="14" t="str">
        <f>HYPERLINK("https://otsuka-europe-crm.veevavault.com/ui/#object/email_activity__v/V8C00000003X096", "EN-002097091")</f>
        <v>EN-002097091</v>
      </c>
    </row>
    <row r="11738" spans="1:15" ht="16" x14ac:dyDescent="0.2">
      <c r="A11738" s="18"/>
      <c r="B11738" s="18"/>
      <c r="C11738" s="18"/>
      <c r="D11738" s="18"/>
      <c r="E11738" s="18"/>
      <c r="F11738" s="18"/>
      <c r="G11738" s="18"/>
      <c r="H11738" s="18"/>
      <c r="I11738" s="18"/>
      <c r="J11738" s="18"/>
      <c r="K11738" s="18"/>
      <c r="L11738" s="18"/>
      <c r="M11738" s="18"/>
      <c r="N11738" s="18"/>
      <c r="O11738" s="14" t="str">
        <f>HYPERLINK("https://otsuka-europe-crm.veevavault.com/ui/#object/email_activity__v/V8C00000003X097", "EN-002097087")</f>
        <v>EN-002097087</v>
      </c>
    </row>
    <row r="11739" spans="1:15" ht="16" x14ac:dyDescent="0.2">
      <c r="A11739" s="18"/>
      <c r="B11739" s="18"/>
      <c r="C11739" s="18"/>
      <c r="D11739" s="18"/>
      <c r="E11739" s="18"/>
      <c r="F11739" s="18"/>
      <c r="G11739" s="18"/>
      <c r="H11739" s="18"/>
      <c r="I11739" s="18"/>
      <c r="J11739" s="18"/>
      <c r="K11739" s="18"/>
      <c r="L11739" s="18"/>
      <c r="M11739" s="18"/>
      <c r="N11739" s="18"/>
      <c r="O11739" s="14" t="str">
        <f>HYPERLINK("https://otsuka-europe-crm.veevavault.com/ui/#object/email_activity__v/V8C00000003X098", "EN-002097092")</f>
        <v>EN-002097092</v>
      </c>
    </row>
    <row r="11740" spans="1:15" ht="16" x14ac:dyDescent="0.2">
      <c r="A11740" s="18"/>
      <c r="B11740" s="18"/>
      <c r="C11740" s="18"/>
      <c r="D11740" s="18"/>
      <c r="E11740" s="18"/>
      <c r="F11740" s="18"/>
      <c r="G11740" s="18"/>
      <c r="H11740" s="18"/>
      <c r="I11740" s="18"/>
      <c r="J11740" s="18"/>
      <c r="K11740" s="18"/>
      <c r="L11740" s="18"/>
      <c r="M11740" s="18"/>
      <c r="N11740" s="18"/>
      <c r="O11740" s="14" t="str">
        <f>HYPERLINK("https://otsuka-europe-crm.veevavault.com/ui/#object/email_activity__v/V8C00000003X099", "EN-002097093")</f>
        <v>EN-002097093</v>
      </c>
    </row>
    <row r="11741" spans="1:15" ht="16" x14ac:dyDescent="0.2">
      <c r="A11741" s="18"/>
      <c r="B11741" s="18"/>
      <c r="C11741" s="18"/>
      <c r="D11741" s="18"/>
      <c r="E11741" s="18"/>
      <c r="F11741" s="18"/>
      <c r="G11741" s="18"/>
      <c r="H11741" s="18"/>
      <c r="I11741" s="18"/>
      <c r="J11741" s="18"/>
      <c r="K11741" s="18"/>
      <c r="L11741" s="18"/>
      <c r="M11741" s="18"/>
      <c r="N11741" s="18"/>
      <c r="O11741" s="14" t="str">
        <f>HYPERLINK("https://otsuka-europe-crm.veevavault.com/ui/#object/email_activity__v/V8C00000003X100", "EN-002097095")</f>
        <v>EN-002097095</v>
      </c>
    </row>
    <row r="11742" spans="1:15" ht="16" x14ac:dyDescent="0.2">
      <c r="A11742" s="18"/>
      <c r="B11742" s="18"/>
      <c r="C11742" s="18"/>
      <c r="D11742" s="18"/>
      <c r="E11742" s="18"/>
      <c r="F11742" s="18"/>
      <c r="G11742" s="18"/>
      <c r="H11742" s="18"/>
      <c r="I11742" s="18"/>
      <c r="J11742" s="18"/>
      <c r="K11742" s="18"/>
      <c r="L11742" s="18"/>
      <c r="M11742" s="18"/>
      <c r="N11742" s="18"/>
      <c r="O11742" s="14" t="str">
        <f>HYPERLINK("https://otsuka-europe-crm.veevavault.com/ui/#object/email_activity__v/V8C00000003X101", "EN-002097097")</f>
        <v>EN-002097097</v>
      </c>
    </row>
    <row r="11743" spans="1:15" ht="16" x14ac:dyDescent="0.2">
      <c r="A11743" s="18"/>
      <c r="B11743" s="18"/>
      <c r="C11743" s="18"/>
      <c r="D11743" s="18"/>
      <c r="E11743" s="18"/>
      <c r="F11743" s="18"/>
      <c r="G11743" s="18"/>
      <c r="H11743" s="18"/>
      <c r="I11743" s="18"/>
      <c r="J11743" s="18"/>
      <c r="K11743" s="18"/>
      <c r="L11743" s="18"/>
      <c r="M11743" s="18"/>
      <c r="N11743" s="18"/>
      <c r="O11743" s="14" t="str">
        <f>HYPERLINK("https://otsuka-europe-crm.veevavault.com/ui/#object/email_activity__v/V8C00000003X102", "EN-002097098")</f>
        <v>EN-002097098</v>
      </c>
    </row>
    <row r="11744" spans="1:15" ht="16" x14ac:dyDescent="0.2">
      <c r="A11744" s="19"/>
      <c r="B11744" s="19"/>
      <c r="C11744" s="19"/>
      <c r="D11744" s="19"/>
      <c r="E11744" s="19"/>
      <c r="F11744" s="19"/>
      <c r="G11744" s="19"/>
      <c r="H11744" s="19"/>
      <c r="I11744" s="19"/>
      <c r="J11744" s="19"/>
      <c r="K11744" s="19"/>
      <c r="L11744" s="19"/>
      <c r="M11744" s="19"/>
      <c r="N11744" s="19"/>
      <c r="O11744" s="14" t="str">
        <f>HYPERLINK("https://otsuka-europe-crm.veevavault.com/ui/#object/email_activity__v/V8C00000003X103", "EN-002097100")</f>
        <v>EN-002097100</v>
      </c>
    </row>
    <row r="11745" spans="1:15" ht="16" x14ac:dyDescent="0.2">
      <c r="A11745" s="17" t="str">
        <f>HYPERLINK("https://otsuka-europe-crm.veevavault.com/ui/#object/account__v/V4TZ00000633KVS", "ROBIN RYCKEBUSCH")</f>
        <v>ROBIN RYCKEBUSCH</v>
      </c>
      <c r="B11745" s="17" t="str">
        <f>HYPERLINK("https://otsuka-europe-crm.veevavault.com/ui/#object/vcountry__v/VENZ000004SONFA", "FR")</f>
        <v>FR</v>
      </c>
      <c r="C11745" s="20" t="s">
        <v>42</v>
      </c>
      <c r="D11745" s="21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E11745" s="22" t="str">
        <f>HYPERLINK("https://otsuka-europe-crm.veevavault.com/ui/#object/sent_email__v/VBL00000002V334", "SE-001437303")</f>
        <v>SE-001437303</v>
      </c>
      <c r="F11745" s="23">
        <v>46190.605162037034</v>
      </c>
      <c r="G11745" s="24">
        <v>1</v>
      </c>
      <c r="H11745" s="24">
        <v>2</v>
      </c>
      <c r="I11745" s="24">
        <v>1</v>
      </c>
      <c r="J11745" s="23">
        <v>46190.509652777779</v>
      </c>
      <c r="K11745" s="24">
        <v>27</v>
      </c>
      <c r="L11745" s="22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M11745" s="22" t="str">
        <f>HYPERLINK("mailto:cchevalliermiserole@crm.otsuka-europe.com", "cchevalliermiserole@crm.otsuka-europe.com")</f>
        <v>cchevalliermiserole@crm.otsuka-europe.com</v>
      </c>
      <c r="N11745" s="23">
        <v>46190.509004629632</v>
      </c>
      <c r="O11745" s="14" t="str">
        <f>HYPERLINK("https://otsuka-europe-crm.veevavault.com/ui/#object/email_activity__v/V8C00000003W690", "EN-002098361")</f>
        <v>EN-002098361</v>
      </c>
    </row>
    <row r="11746" spans="1:15" ht="16" x14ac:dyDescent="0.2">
      <c r="A11746" s="18"/>
      <c r="B11746" s="18"/>
      <c r="C11746" s="18"/>
      <c r="D11746" s="18"/>
      <c r="E11746" s="18"/>
      <c r="F11746" s="18"/>
      <c r="G11746" s="18"/>
      <c r="H11746" s="18"/>
      <c r="I11746" s="18"/>
      <c r="J11746" s="18"/>
      <c r="K11746" s="18"/>
      <c r="L11746" s="18"/>
      <c r="M11746" s="18"/>
      <c r="N11746" s="18"/>
      <c r="O11746" s="14" t="str">
        <f>HYPERLINK("https://otsuka-europe-crm.veevavault.com/ui/#object/email_activity__v/V8C00000003W691", "EN-002098362")</f>
        <v>EN-002098362</v>
      </c>
    </row>
    <row r="11747" spans="1:15" ht="16" x14ac:dyDescent="0.2">
      <c r="A11747" s="18"/>
      <c r="B11747" s="18"/>
      <c r="C11747" s="18"/>
      <c r="D11747" s="18"/>
      <c r="E11747" s="18"/>
      <c r="F11747" s="18"/>
      <c r="G11747" s="18"/>
      <c r="H11747" s="18"/>
      <c r="I11747" s="18"/>
      <c r="J11747" s="18"/>
      <c r="K11747" s="18"/>
      <c r="L11747" s="18"/>
      <c r="M11747" s="18"/>
      <c r="N11747" s="18"/>
      <c r="O11747" s="14" t="str">
        <f>HYPERLINK("https://otsuka-europe-crm.veevavault.com/ui/#object/email_activity__v/V8C00000003W692", "EN-002098363")</f>
        <v>EN-002098363</v>
      </c>
    </row>
    <row r="11748" spans="1:15" ht="16" x14ac:dyDescent="0.2">
      <c r="A11748" s="18"/>
      <c r="B11748" s="18"/>
      <c r="C11748" s="18"/>
      <c r="D11748" s="18"/>
      <c r="E11748" s="18"/>
      <c r="F11748" s="18"/>
      <c r="G11748" s="18"/>
      <c r="H11748" s="18"/>
      <c r="I11748" s="18"/>
      <c r="J11748" s="18"/>
      <c r="K11748" s="18"/>
      <c r="L11748" s="18"/>
      <c r="M11748" s="18"/>
      <c r="N11748" s="18"/>
      <c r="O11748" s="14" t="str">
        <f>HYPERLINK("https://otsuka-europe-crm.veevavault.com/ui/#object/email_activity__v/V8C00000003W693", "EN-002098365")</f>
        <v>EN-002098365</v>
      </c>
    </row>
    <row r="11749" spans="1:15" ht="16" x14ac:dyDescent="0.2">
      <c r="A11749" s="18"/>
      <c r="B11749" s="18"/>
      <c r="C11749" s="18"/>
      <c r="D11749" s="18"/>
      <c r="E11749" s="18"/>
      <c r="F11749" s="18"/>
      <c r="G11749" s="18"/>
      <c r="H11749" s="18"/>
      <c r="I11749" s="18"/>
      <c r="J11749" s="18"/>
      <c r="K11749" s="18"/>
      <c r="L11749" s="18"/>
      <c r="M11749" s="18"/>
      <c r="N11749" s="18"/>
      <c r="O11749" s="14" t="str">
        <f>HYPERLINK("https://otsuka-europe-crm.veevavault.com/ui/#object/email_activity__v/V8C00000003W694", "EN-002098367")</f>
        <v>EN-002098367</v>
      </c>
    </row>
    <row r="11750" spans="1:15" ht="16" x14ac:dyDescent="0.2">
      <c r="A11750" s="18"/>
      <c r="B11750" s="18"/>
      <c r="C11750" s="18"/>
      <c r="D11750" s="18"/>
      <c r="E11750" s="18"/>
      <c r="F11750" s="18"/>
      <c r="G11750" s="18"/>
      <c r="H11750" s="18"/>
      <c r="I11750" s="18"/>
      <c r="J11750" s="18"/>
      <c r="K11750" s="18"/>
      <c r="L11750" s="18"/>
      <c r="M11750" s="18"/>
      <c r="N11750" s="18"/>
      <c r="O11750" s="14" t="str">
        <f>HYPERLINK("https://otsuka-europe-crm.veevavault.com/ui/#object/email_activity__v/V8C00000003W695", "EN-002098368")</f>
        <v>EN-002098368</v>
      </c>
    </row>
    <row r="11751" spans="1:15" ht="16" x14ac:dyDescent="0.2">
      <c r="A11751" s="18"/>
      <c r="B11751" s="18"/>
      <c r="C11751" s="18"/>
      <c r="D11751" s="18"/>
      <c r="E11751" s="18"/>
      <c r="F11751" s="18"/>
      <c r="G11751" s="18"/>
      <c r="H11751" s="18"/>
      <c r="I11751" s="18"/>
      <c r="J11751" s="18"/>
      <c r="K11751" s="18"/>
      <c r="L11751" s="18"/>
      <c r="M11751" s="18"/>
      <c r="N11751" s="18"/>
      <c r="O11751" s="14" t="str">
        <f>HYPERLINK("https://otsuka-europe-crm.veevavault.com/ui/#object/email_activity__v/V8C00000003W696", "EN-002098369")</f>
        <v>EN-002098369</v>
      </c>
    </row>
    <row r="11752" spans="1:15" ht="16" x14ac:dyDescent="0.2">
      <c r="A11752" s="18"/>
      <c r="B11752" s="18"/>
      <c r="C11752" s="18"/>
      <c r="D11752" s="18"/>
      <c r="E11752" s="18"/>
      <c r="F11752" s="18"/>
      <c r="G11752" s="18"/>
      <c r="H11752" s="18"/>
      <c r="I11752" s="18"/>
      <c r="J11752" s="18"/>
      <c r="K11752" s="18"/>
      <c r="L11752" s="18"/>
      <c r="M11752" s="18"/>
      <c r="N11752" s="18"/>
      <c r="O11752" s="14" t="str">
        <f>HYPERLINK("https://otsuka-europe-crm.veevavault.com/ui/#object/email_activity__v/V8C00000003W697", "EN-002098371")</f>
        <v>EN-002098371</v>
      </c>
    </row>
    <row r="11753" spans="1:15" ht="16" x14ac:dyDescent="0.2">
      <c r="A11753" s="18"/>
      <c r="B11753" s="18"/>
      <c r="C11753" s="18"/>
      <c r="D11753" s="18"/>
      <c r="E11753" s="18"/>
      <c r="F11753" s="18"/>
      <c r="G11753" s="18"/>
      <c r="H11753" s="18"/>
      <c r="I11753" s="18"/>
      <c r="J11753" s="18"/>
      <c r="K11753" s="18"/>
      <c r="L11753" s="18"/>
      <c r="M11753" s="18"/>
      <c r="N11753" s="18"/>
      <c r="O11753" s="14" t="str">
        <f>HYPERLINK("https://otsuka-europe-crm.veevavault.com/ui/#object/email_activity__v/V8C00000003W698", "EN-002098375")</f>
        <v>EN-002098375</v>
      </c>
    </row>
    <row r="11754" spans="1:15" ht="16" x14ac:dyDescent="0.2">
      <c r="A11754" s="18"/>
      <c r="B11754" s="18"/>
      <c r="C11754" s="18"/>
      <c r="D11754" s="18"/>
      <c r="E11754" s="18"/>
      <c r="F11754" s="18"/>
      <c r="G11754" s="18"/>
      <c r="H11754" s="18"/>
      <c r="I11754" s="18"/>
      <c r="J11754" s="18"/>
      <c r="K11754" s="18"/>
      <c r="L11754" s="18"/>
      <c r="M11754" s="18"/>
      <c r="N11754" s="18"/>
      <c r="O11754" s="14" t="str">
        <f>HYPERLINK("https://otsuka-europe-crm.veevavault.com/ui/#object/email_activity__v/V8C00000003W699", "EN-002098377")</f>
        <v>EN-002098377</v>
      </c>
    </row>
    <row r="11755" spans="1:15" ht="16" x14ac:dyDescent="0.2">
      <c r="A11755" s="18"/>
      <c r="B11755" s="18"/>
      <c r="C11755" s="18"/>
      <c r="D11755" s="18"/>
      <c r="E11755" s="18"/>
      <c r="F11755" s="18"/>
      <c r="G11755" s="18"/>
      <c r="H11755" s="18"/>
      <c r="I11755" s="18"/>
      <c r="J11755" s="18"/>
      <c r="K11755" s="18"/>
      <c r="L11755" s="18"/>
      <c r="M11755" s="18"/>
      <c r="N11755" s="18"/>
      <c r="O11755" s="14" t="str">
        <f>HYPERLINK("https://otsuka-europe-crm.veevavault.com/ui/#object/email_activity__v/V8C00000003W700", "EN-002098379")</f>
        <v>EN-002098379</v>
      </c>
    </row>
    <row r="11756" spans="1:15" ht="16" x14ac:dyDescent="0.2">
      <c r="A11756" s="18"/>
      <c r="B11756" s="18"/>
      <c r="C11756" s="18"/>
      <c r="D11756" s="18"/>
      <c r="E11756" s="18"/>
      <c r="F11756" s="18"/>
      <c r="G11756" s="18"/>
      <c r="H11756" s="18"/>
      <c r="I11756" s="18"/>
      <c r="J11756" s="18"/>
      <c r="K11756" s="18"/>
      <c r="L11756" s="18"/>
      <c r="M11756" s="18"/>
      <c r="N11756" s="18"/>
      <c r="O11756" s="14" t="str">
        <f>HYPERLINK("https://otsuka-europe-crm.veevavault.com/ui/#object/email_activity__v/V8C00000003W716", "EN-002098419")</f>
        <v>EN-002098419</v>
      </c>
    </row>
    <row r="11757" spans="1:15" ht="16" x14ac:dyDescent="0.2">
      <c r="A11757" s="18"/>
      <c r="B11757" s="18"/>
      <c r="C11757" s="18"/>
      <c r="D11757" s="18"/>
      <c r="E11757" s="18"/>
      <c r="F11757" s="18"/>
      <c r="G11757" s="18"/>
      <c r="H11757" s="18"/>
      <c r="I11757" s="18"/>
      <c r="J11757" s="18"/>
      <c r="K11757" s="18"/>
      <c r="L11757" s="18"/>
      <c r="M11757" s="18"/>
      <c r="N11757" s="18"/>
      <c r="O11757" s="14" t="str">
        <f>HYPERLINK("https://otsuka-europe-crm.veevavault.com/ui/#object/email_activity__v/V8C00000003X858", "EN-002098355")</f>
        <v>EN-002098355</v>
      </c>
    </row>
    <row r="11758" spans="1:15" ht="16" x14ac:dyDescent="0.2">
      <c r="A11758" s="18"/>
      <c r="B11758" s="18"/>
      <c r="C11758" s="18"/>
      <c r="D11758" s="18"/>
      <c r="E11758" s="18"/>
      <c r="F11758" s="18"/>
      <c r="G11758" s="18"/>
      <c r="H11758" s="18"/>
      <c r="I11758" s="18"/>
      <c r="J11758" s="18"/>
      <c r="K11758" s="18"/>
      <c r="L11758" s="18"/>
      <c r="M11758" s="18"/>
      <c r="N11758" s="18"/>
      <c r="O11758" s="14" t="str">
        <f>HYPERLINK("https://otsuka-europe-crm.veevavault.com/ui/#object/email_activity__v/V8C00000003X859", "EN-002098357")</f>
        <v>EN-002098357</v>
      </c>
    </row>
    <row r="11759" spans="1:15" ht="16" x14ac:dyDescent="0.2">
      <c r="A11759" s="18"/>
      <c r="B11759" s="18"/>
      <c r="C11759" s="18"/>
      <c r="D11759" s="18"/>
      <c r="E11759" s="18"/>
      <c r="F11759" s="18"/>
      <c r="G11759" s="18"/>
      <c r="H11759" s="18"/>
      <c r="I11759" s="18"/>
      <c r="J11759" s="18"/>
      <c r="K11759" s="18"/>
      <c r="L11759" s="18"/>
      <c r="M11759" s="18"/>
      <c r="N11759" s="18"/>
      <c r="O11759" s="14" t="str">
        <f>HYPERLINK("https://otsuka-europe-crm.veevavault.com/ui/#object/email_activity__v/V8C00000003X860", "EN-002098356")</f>
        <v>EN-002098356</v>
      </c>
    </row>
    <row r="11760" spans="1:15" ht="16" x14ac:dyDescent="0.2">
      <c r="A11760" s="18"/>
      <c r="B11760" s="18"/>
      <c r="C11760" s="18"/>
      <c r="D11760" s="18"/>
      <c r="E11760" s="18"/>
      <c r="F11760" s="18"/>
      <c r="G11760" s="18"/>
      <c r="H11760" s="18"/>
      <c r="I11760" s="18"/>
      <c r="J11760" s="18"/>
      <c r="K11760" s="18"/>
      <c r="L11760" s="18"/>
      <c r="M11760" s="18"/>
      <c r="N11760" s="18"/>
      <c r="O11760" s="14" t="str">
        <f>HYPERLINK("https://otsuka-europe-crm.veevavault.com/ui/#object/email_activity__v/V8C00000003X861", "EN-002098358")</f>
        <v>EN-002098358</v>
      </c>
    </row>
    <row r="11761" spans="1:15" ht="16" x14ac:dyDescent="0.2">
      <c r="A11761" s="18"/>
      <c r="B11761" s="18"/>
      <c r="C11761" s="18"/>
      <c r="D11761" s="18"/>
      <c r="E11761" s="18"/>
      <c r="F11761" s="18"/>
      <c r="G11761" s="18"/>
      <c r="H11761" s="18"/>
      <c r="I11761" s="18"/>
      <c r="J11761" s="18"/>
      <c r="K11761" s="18"/>
      <c r="L11761" s="18"/>
      <c r="M11761" s="18"/>
      <c r="N11761" s="18"/>
      <c r="O11761" s="14" t="str">
        <f>HYPERLINK("https://otsuka-europe-crm.veevavault.com/ui/#object/email_activity__v/V8C00000003X862", "EN-002098359")</f>
        <v>EN-002098359</v>
      </c>
    </row>
    <row r="11762" spans="1:15" ht="16" x14ac:dyDescent="0.2">
      <c r="A11762" s="18"/>
      <c r="B11762" s="18"/>
      <c r="C11762" s="18"/>
      <c r="D11762" s="18"/>
      <c r="E11762" s="18"/>
      <c r="F11762" s="18"/>
      <c r="G11762" s="18"/>
      <c r="H11762" s="18"/>
      <c r="I11762" s="18"/>
      <c r="J11762" s="18"/>
      <c r="K11762" s="18"/>
      <c r="L11762" s="18"/>
      <c r="M11762" s="18"/>
      <c r="N11762" s="18"/>
      <c r="O11762" s="14" t="str">
        <f>HYPERLINK("https://otsuka-europe-crm.veevavault.com/ui/#object/email_activity__v/V8C00000003X863", "EN-002098360")</f>
        <v>EN-002098360</v>
      </c>
    </row>
    <row r="11763" spans="1:15" ht="16" x14ac:dyDescent="0.2">
      <c r="A11763" s="18"/>
      <c r="B11763" s="18"/>
      <c r="C11763" s="18"/>
      <c r="D11763" s="18"/>
      <c r="E11763" s="18"/>
      <c r="F11763" s="18"/>
      <c r="G11763" s="18"/>
      <c r="H11763" s="18"/>
      <c r="I11763" s="18"/>
      <c r="J11763" s="18"/>
      <c r="K11763" s="18"/>
      <c r="L11763" s="18"/>
      <c r="M11763" s="18"/>
      <c r="N11763" s="18"/>
      <c r="O11763" s="14" t="str">
        <f>HYPERLINK("https://otsuka-europe-crm.veevavault.com/ui/#object/email_activity__v/V8C00000003X864", "EN-002098364")</f>
        <v>EN-002098364</v>
      </c>
    </row>
    <row r="11764" spans="1:15" ht="16" x14ac:dyDescent="0.2">
      <c r="A11764" s="18"/>
      <c r="B11764" s="18"/>
      <c r="C11764" s="18"/>
      <c r="D11764" s="18"/>
      <c r="E11764" s="18"/>
      <c r="F11764" s="18"/>
      <c r="G11764" s="18"/>
      <c r="H11764" s="18"/>
      <c r="I11764" s="18"/>
      <c r="J11764" s="18"/>
      <c r="K11764" s="18"/>
      <c r="L11764" s="18"/>
      <c r="M11764" s="18"/>
      <c r="N11764" s="18"/>
      <c r="O11764" s="14" t="str">
        <f>HYPERLINK("https://otsuka-europe-crm.veevavault.com/ui/#object/email_activity__v/V8C00000003X865", "EN-002098366")</f>
        <v>EN-002098366</v>
      </c>
    </row>
    <row r="11765" spans="1:15" ht="16" x14ac:dyDescent="0.2">
      <c r="A11765" s="18"/>
      <c r="B11765" s="18"/>
      <c r="C11765" s="18"/>
      <c r="D11765" s="18"/>
      <c r="E11765" s="18"/>
      <c r="F11765" s="18"/>
      <c r="G11765" s="18"/>
      <c r="H11765" s="18"/>
      <c r="I11765" s="18"/>
      <c r="J11765" s="18"/>
      <c r="K11765" s="18"/>
      <c r="L11765" s="18"/>
      <c r="M11765" s="18"/>
      <c r="N11765" s="18"/>
      <c r="O11765" s="14" t="str">
        <f>HYPERLINK("https://otsuka-europe-crm.veevavault.com/ui/#object/email_activity__v/V8C00000003X866", "EN-002098370")</f>
        <v>EN-002098370</v>
      </c>
    </row>
    <row r="11766" spans="1:15" ht="16" x14ac:dyDescent="0.2">
      <c r="A11766" s="18"/>
      <c r="B11766" s="18"/>
      <c r="C11766" s="18"/>
      <c r="D11766" s="18"/>
      <c r="E11766" s="18"/>
      <c r="F11766" s="18"/>
      <c r="G11766" s="18"/>
      <c r="H11766" s="18"/>
      <c r="I11766" s="18"/>
      <c r="J11766" s="18"/>
      <c r="K11766" s="18"/>
      <c r="L11766" s="18"/>
      <c r="M11766" s="18"/>
      <c r="N11766" s="18"/>
      <c r="O11766" s="14" t="str">
        <f>HYPERLINK("https://otsuka-europe-crm.veevavault.com/ui/#object/email_activity__v/V8C00000003X867", "EN-002098372")</f>
        <v>EN-002098372</v>
      </c>
    </row>
    <row r="11767" spans="1:15" ht="16" x14ac:dyDescent="0.2">
      <c r="A11767" s="18"/>
      <c r="B11767" s="18"/>
      <c r="C11767" s="18"/>
      <c r="D11767" s="18"/>
      <c r="E11767" s="18"/>
      <c r="F11767" s="18"/>
      <c r="G11767" s="18"/>
      <c r="H11767" s="18"/>
      <c r="I11767" s="18"/>
      <c r="J11767" s="18"/>
      <c r="K11767" s="18"/>
      <c r="L11767" s="18"/>
      <c r="M11767" s="18"/>
      <c r="N11767" s="18"/>
      <c r="O11767" s="14" t="str">
        <f>HYPERLINK("https://otsuka-europe-crm.veevavault.com/ui/#object/email_activity__v/V8C00000003X868", "EN-002098373")</f>
        <v>EN-002098373</v>
      </c>
    </row>
    <row r="11768" spans="1:15" ht="16" x14ac:dyDescent="0.2">
      <c r="A11768" s="18"/>
      <c r="B11768" s="18"/>
      <c r="C11768" s="18"/>
      <c r="D11768" s="18"/>
      <c r="E11768" s="18"/>
      <c r="F11768" s="18"/>
      <c r="G11768" s="18"/>
      <c r="H11768" s="18"/>
      <c r="I11768" s="18"/>
      <c r="J11768" s="18"/>
      <c r="K11768" s="18"/>
      <c r="L11768" s="18"/>
      <c r="M11768" s="18"/>
      <c r="N11768" s="18"/>
      <c r="O11768" s="14" t="str">
        <f>HYPERLINK("https://otsuka-europe-crm.veevavault.com/ui/#object/email_activity__v/V8C00000003X869", "EN-002098374")</f>
        <v>EN-002098374</v>
      </c>
    </row>
    <row r="11769" spans="1:15" ht="16" x14ac:dyDescent="0.2">
      <c r="A11769" s="18"/>
      <c r="B11769" s="18"/>
      <c r="C11769" s="18"/>
      <c r="D11769" s="18"/>
      <c r="E11769" s="18"/>
      <c r="F11769" s="18"/>
      <c r="G11769" s="18"/>
      <c r="H11769" s="18"/>
      <c r="I11769" s="18"/>
      <c r="J11769" s="18"/>
      <c r="K11769" s="18"/>
      <c r="L11769" s="18"/>
      <c r="M11769" s="18"/>
      <c r="N11769" s="18"/>
      <c r="O11769" s="14" t="str">
        <f>HYPERLINK("https://otsuka-europe-crm.veevavault.com/ui/#object/email_activity__v/V8C00000003X870", "EN-002098376")</f>
        <v>EN-002098376</v>
      </c>
    </row>
    <row r="11770" spans="1:15" ht="16" x14ac:dyDescent="0.2">
      <c r="A11770" s="18"/>
      <c r="B11770" s="18"/>
      <c r="C11770" s="18"/>
      <c r="D11770" s="18"/>
      <c r="E11770" s="18"/>
      <c r="F11770" s="18"/>
      <c r="G11770" s="18"/>
      <c r="H11770" s="18"/>
      <c r="I11770" s="18"/>
      <c r="J11770" s="18"/>
      <c r="K11770" s="18"/>
      <c r="L11770" s="18"/>
      <c r="M11770" s="18"/>
      <c r="N11770" s="18"/>
      <c r="O11770" s="14" t="str">
        <f>HYPERLINK("https://otsuka-europe-crm.veevavault.com/ui/#object/email_activity__v/V8C00000003X871", "EN-002098378")</f>
        <v>EN-002098378</v>
      </c>
    </row>
    <row r="11771" spans="1:15" ht="16" x14ac:dyDescent="0.2">
      <c r="A11771" s="18"/>
      <c r="B11771" s="18"/>
      <c r="C11771" s="18"/>
      <c r="D11771" s="18"/>
      <c r="E11771" s="18"/>
      <c r="F11771" s="18"/>
      <c r="G11771" s="18"/>
      <c r="H11771" s="18"/>
      <c r="I11771" s="18"/>
      <c r="J11771" s="18"/>
      <c r="K11771" s="18"/>
      <c r="L11771" s="18"/>
      <c r="M11771" s="18"/>
      <c r="N11771" s="18"/>
      <c r="O11771" s="14" t="str">
        <f>HYPERLINK("https://otsuka-europe-crm.veevavault.com/ui/#object/email_activity__v/V8C00000003X872", "EN-002098380")</f>
        <v>EN-002098380</v>
      </c>
    </row>
    <row r="11772" spans="1:15" ht="16" x14ac:dyDescent="0.2">
      <c r="A11772" s="18"/>
      <c r="B11772" s="18"/>
      <c r="C11772" s="18"/>
      <c r="D11772" s="18"/>
      <c r="E11772" s="18"/>
      <c r="F11772" s="18"/>
      <c r="G11772" s="18"/>
      <c r="H11772" s="18"/>
      <c r="I11772" s="18"/>
      <c r="J11772" s="18"/>
      <c r="K11772" s="18"/>
      <c r="L11772" s="18"/>
      <c r="M11772" s="18"/>
      <c r="N11772" s="18"/>
      <c r="O11772" s="14" t="str">
        <f>HYPERLINK("https://otsuka-europe-crm.veevavault.com/ui/#object/email_activity__v/V8C00000003X873", "EN-002098381")</f>
        <v>EN-002098381</v>
      </c>
    </row>
    <row r="11773" spans="1:15" ht="16" x14ac:dyDescent="0.2">
      <c r="A11773" s="18"/>
      <c r="B11773" s="18"/>
      <c r="C11773" s="18"/>
      <c r="D11773" s="18"/>
      <c r="E11773" s="18"/>
      <c r="F11773" s="18"/>
      <c r="G11773" s="18"/>
      <c r="H11773" s="18"/>
      <c r="I11773" s="18"/>
      <c r="J11773" s="18"/>
      <c r="K11773" s="18"/>
      <c r="L11773" s="18"/>
      <c r="M11773" s="18"/>
      <c r="N11773" s="18"/>
      <c r="O11773" s="14" t="str">
        <f>HYPERLINK("https://otsuka-europe-crm.veevavault.com/ui/#object/email_activity__v/V8C00000003X874", "EN-002098382")</f>
        <v>EN-002098382</v>
      </c>
    </row>
    <row r="11774" spans="1:15" ht="16" x14ac:dyDescent="0.2">
      <c r="A11774" s="19"/>
      <c r="B11774" s="19"/>
      <c r="C11774" s="19"/>
      <c r="D11774" s="19"/>
      <c r="E11774" s="19"/>
      <c r="F11774" s="19"/>
      <c r="G11774" s="19"/>
      <c r="H11774" s="19"/>
      <c r="I11774" s="19"/>
      <c r="J11774" s="19"/>
      <c r="K11774" s="19"/>
      <c r="L11774" s="19"/>
      <c r="M11774" s="19"/>
      <c r="N11774" s="19"/>
      <c r="O11774" s="14" t="str">
        <f>HYPERLINK("https://otsuka-europe-crm.veevavault.com/ui/#object/email_activity__v/V8C00000003X875", "EN-002098383")</f>
        <v>EN-002098383</v>
      </c>
    </row>
    <row r="11775" spans="1:15" ht="16" x14ac:dyDescent="0.2">
      <c r="A11775" s="17" t="str">
        <f>HYPERLINK("https://otsuka-europe-crm.veevavault.com/ui/#object/account__v/V4T000000023002", "CARMEN GUTIERREZ FERNANDEZ")</f>
        <v>CARMEN GUTIERREZ FERNANDEZ</v>
      </c>
      <c r="B11775" s="17" t="str">
        <f>HYPERLINK("https://otsuka-europe-crm.veevavault.com/ui/#object/vcountry__v/VENZ000004SONF5", "ES")</f>
        <v>ES</v>
      </c>
      <c r="C11775" s="20" t="s">
        <v>41</v>
      </c>
      <c r="D11775" s="21" t="str">
        <f>HYPERLINK("https://otsuka-europe-crm.veevavault.com/ui/#object/approved_document__v/V5OZ06G6O6RFL1P", "ES Veeva Privacy Notice Email")</f>
        <v>ES Veeva Privacy Notice Email</v>
      </c>
      <c r="E11775" s="22" t="str">
        <f>HYPERLINK("https://otsuka-europe-crm.veevavault.com/ui/#object/sent_email__v/VBL00000002T507", "SE-001437304")</f>
        <v>SE-001437304</v>
      </c>
      <c r="F11775" s="23">
        <v>46189.458726851852</v>
      </c>
      <c r="G11775" s="24">
        <v>1</v>
      </c>
      <c r="H11775" s="24">
        <v>1</v>
      </c>
      <c r="I11775" s="24">
        <v>0</v>
      </c>
      <c r="J11775" s="25"/>
      <c r="K11775" s="24">
        <v>0</v>
      </c>
      <c r="L11775" s="22" t="str">
        <f>HYPERLINK("https://otsuka-europe-crm.veevavault.com/ui/#object/approved_document__v/V5OZ06G6O6RFL1P", "ES Veeva Privacy Notice Email")</f>
        <v>ES Veeva Privacy Notice Email</v>
      </c>
      <c r="M11775" s="22" t="str">
        <f>HYPERLINK("mailto:jblazquez@crm.otsuka-europe.com", "jblazquez@crm.otsuka-europe.com")</f>
        <v>jblazquez@crm.otsuka-europe.com</v>
      </c>
      <c r="N11775" s="23">
        <v>46189.443564814814</v>
      </c>
      <c r="O11775" s="14" t="str">
        <f>HYPERLINK("https://otsuka-europe-crm.veevavault.com/ui/#object/email_activity__v/V8C00000003X104", "EN-002097101")</f>
        <v>EN-002097101</v>
      </c>
    </row>
    <row r="11776" spans="1:15" ht="16" x14ac:dyDescent="0.2">
      <c r="A11776" s="19"/>
      <c r="B11776" s="19"/>
      <c r="C11776" s="19"/>
      <c r="D11776" s="19"/>
      <c r="E11776" s="19"/>
      <c r="F11776" s="19"/>
      <c r="G11776" s="19"/>
      <c r="H11776" s="19"/>
      <c r="I11776" s="19"/>
      <c r="J11776" s="19"/>
      <c r="K11776" s="19"/>
      <c r="L11776" s="19"/>
      <c r="M11776" s="19"/>
      <c r="N11776" s="19"/>
      <c r="O11776" s="14" t="str">
        <f>HYPERLINK("https://otsuka-europe-crm.veevavault.com/ui/#object/email_activity__v/V8C00000003X114", "EN-002097128")</f>
        <v>EN-002097128</v>
      </c>
    </row>
    <row r="11777" spans="1:15" ht="16" x14ac:dyDescent="0.2">
      <c r="A11777" s="17" t="str">
        <f>HYPERLINK("https://otsuka-europe-crm.veevavault.com/ui/#object/account__v/V4T000000022002", "MARIA DOLORES ROMERO GONZALEZ")</f>
        <v>MARIA DOLORES ROMERO GONZALEZ</v>
      </c>
      <c r="B11777" s="17" t="str">
        <f>HYPERLINK("https://otsuka-europe-crm.veevavault.com/ui/#object/vcountry__v/VENZ000004SONF5", "ES")</f>
        <v>ES</v>
      </c>
      <c r="C11777" s="20" t="s">
        <v>41</v>
      </c>
      <c r="D11777" s="21" t="str">
        <f>HYPERLINK("https://otsuka-europe-crm.veevavault.com/ui/#object/approved_document__v/V5OZ06G6O6RFL1P", "ES Veeva Privacy Notice Email")</f>
        <v>ES Veeva Privacy Notice Email</v>
      </c>
      <c r="E11777" s="22" t="str">
        <f>HYPERLINK("https://otsuka-europe-crm.veevavault.com/ui/#object/sent_email__v/VBL00000002T508", "SE-001437305")</f>
        <v>SE-001437305</v>
      </c>
      <c r="F11777" s="23">
        <v>46189.44630787037</v>
      </c>
      <c r="G11777" s="24">
        <v>1</v>
      </c>
      <c r="H11777" s="24">
        <v>1</v>
      </c>
      <c r="I11777" s="24">
        <v>0</v>
      </c>
      <c r="J11777" s="25"/>
      <c r="K11777" s="24">
        <v>0</v>
      </c>
      <c r="L11777" s="22" t="str">
        <f>HYPERLINK("https://otsuka-europe-crm.veevavault.com/ui/#object/approved_document__v/V5OZ06G6O6RFL1P", "ES Veeva Privacy Notice Email")</f>
        <v>ES Veeva Privacy Notice Email</v>
      </c>
      <c r="M11777" s="22" t="str">
        <f>HYPERLINK("mailto:jblazquez@crm.otsuka-europe.com", "jblazquez@crm.otsuka-europe.com")</f>
        <v>jblazquez@crm.otsuka-europe.com</v>
      </c>
      <c r="N11777" s="23">
        <v>46189.444664351853</v>
      </c>
      <c r="O11777" s="14" t="str">
        <f>HYPERLINK("https://otsuka-europe-crm.veevavault.com/ui/#object/email_activity__v/V8C00000003W195", "EN-002097113")</f>
        <v>EN-002097113</v>
      </c>
    </row>
    <row r="11778" spans="1:15" ht="16" x14ac:dyDescent="0.2">
      <c r="A11778" s="19"/>
      <c r="B11778" s="19"/>
      <c r="C11778" s="19"/>
      <c r="D11778" s="19"/>
      <c r="E11778" s="19"/>
      <c r="F11778" s="19"/>
      <c r="G11778" s="19"/>
      <c r="H11778" s="19"/>
      <c r="I11778" s="19"/>
      <c r="J11778" s="19"/>
      <c r="K11778" s="19"/>
      <c r="L11778" s="19"/>
      <c r="M11778" s="19"/>
      <c r="N11778" s="19"/>
      <c r="O11778" s="14" t="str">
        <f>HYPERLINK("https://otsuka-europe-crm.veevavault.com/ui/#object/email_activity__v/V8C00000003X105", "EN-002097109")</f>
        <v>EN-002097109</v>
      </c>
    </row>
    <row r="11779" spans="1:15" ht="16" x14ac:dyDescent="0.2">
      <c r="A11779" s="17" t="str">
        <f>HYPERLINK("https://otsuka-europe-crm.veevavault.com/ui/#object/account__v/V4T000000023001", "MARTA VILLAR IZQUIERDO")</f>
        <v>MARTA VILLAR IZQUIERDO</v>
      </c>
      <c r="B11779" s="17" t="str">
        <f>HYPERLINK("https://otsuka-europe-crm.veevavault.com/ui/#object/vcountry__v/VENZ000004SONF5", "ES")</f>
        <v>ES</v>
      </c>
      <c r="C11779" s="20" t="s">
        <v>41</v>
      </c>
      <c r="D11779" s="21" t="str">
        <f>HYPERLINK("https://otsuka-europe-crm.veevavault.com/ui/#object/approved_document__v/V5OZ06G6O6RFL1P", "ES Veeva Privacy Notice Email")</f>
        <v>ES Veeva Privacy Notice Email</v>
      </c>
      <c r="E11779" s="22" t="str">
        <f>HYPERLINK("https://otsuka-europe-crm.veevavault.com/ui/#object/sent_email__v/VBL00000002V335", "SE-001437306")</f>
        <v>SE-001437306</v>
      </c>
      <c r="F11779" s="23">
        <v>46189.641527777778</v>
      </c>
      <c r="G11779" s="24">
        <v>1</v>
      </c>
      <c r="H11779" s="24">
        <v>3</v>
      </c>
      <c r="I11779" s="24">
        <v>0</v>
      </c>
      <c r="J11779" s="25"/>
      <c r="K11779" s="24">
        <v>0</v>
      </c>
      <c r="L11779" s="22" t="str">
        <f>HYPERLINK("https://otsuka-europe-crm.veevavault.com/ui/#object/approved_document__v/V5OZ06G6O6RFL1P", "ES Veeva Privacy Notice Email")</f>
        <v>ES Veeva Privacy Notice Email</v>
      </c>
      <c r="M11779" s="22" t="str">
        <f>HYPERLINK("mailto:jblazquez@crm.otsuka-europe.com", "jblazquez@crm.otsuka-europe.com")</f>
        <v>jblazquez@crm.otsuka-europe.com</v>
      </c>
      <c r="N11779" s="23">
        <v>46189.445532407408</v>
      </c>
      <c r="O11779" s="14" t="str">
        <f>HYPERLINK("https://otsuka-europe-crm.veevavault.com/ui/#object/email_activity__v/V8C00000003W194", "EN-002097112")</f>
        <v>EN-002097112</v>
      </c>
    </row>
    <row r="11780" spans="1:15" ht="16" x14ac:dyDescent="0.2">
      <c r="A11780" s="18"/>
      <c r="B11780" s="18"/>
      <c r="C11780" s="18"/>
      <c r="D11780" s="18"/>
      <c r="E11780" s="18"/>
      <c r="F11780" s="18"/>
      <c r="G11780" s="18"/>
      <c r="H11780" s="18"/>
      <c r="I11780" s="18"/>
      <c r="J11780" s="18"/>
      <c r="K11780" s="18"/>
      <c r="L11780" s="18"/>
      <c r="M11780" s="18"/>
      <c r="N11780" s="18"/>
      <c r="O11780" s="14" t="str">
        <f>HYPERLINK("https://otsuka-europe-crm.veevavault.com/ui/#object/email_activity__v/V8C00000003W312", "EN-002097341")</f>
        <v>EN-002097341</v>
      </c>
    </row>
    <row r="11781" spans="1:15" ht="16" x14ac:dyDescent="0.2">
      <c r="A11781" s="18"/>
      <c r="B11781" s="18"/>
      <c r="C11781" s="18"/>
      <c r="D11781" s="18"/>
      <c r="E11781" s="18"/>
      <c r="F11781" s="18"/>
      <c r="G11781" s="18"/>
      <c r="H11781" s="18"/>
      <c r="I11781" s="18"/>
      <c r="J11781" s="18"/>
      <c r="K11781" s="18"/>
      <c r="L11781" s="18"/>
      <c r="M11781" s="18"/>
      <c r="N11781" s="18"/>
      <c r="O11781" s="14" t="str">
        <f>HYPERLINK("https://otsuka-europe-crm.veevavault.com/ui/#object/email_activity__v/V8C00000003X108", "EN-002097116")</f>
        <v>EN-002097116</v>
      </c>
    </row>
    <row r="11782" spans="1:15" ht="16" x14ac:dyDescent="0.2">
      <c r="A11782" s="18"/>
      <c r="B11782" s="18"/>
      <c r="C11782" s="18"/>
      <c r="D11782" s="18"/>
      <c r="E11782" s="18"/>
      <c r="F11782" s="18"/>
      <c r="G11782" s="18"/>
      <c r="H11782" s="18"/>
      <c r="I11782" s="18"/>
      <c r="J11782" s="18"/>
      <c r="K11782" s="18"/>
      <c r="L11782" s="18"/>
      <c r="M11782" s="18"/>
      <c r="N11782" s="18"/>
      <c r="O11782" s="14" t="str">
        <f>HYPERLINK("https://otsuka-europe-crm.veevavault.com/ui/#object/email_activity__v/V8C00000003X109", "EN-002097117")</f>
        <v>EN-002097117</v>
      </c>
    </row>
    <row r="11783" spans="1:15" ht="16" x14ac:dyDescent="0.2">
      <c r="A11783" s="19"/>
      <c r="B11783" s="19"/>
      <c r="C11783" s="19"/>
      <c r="D11783" s="19"/>
      <c r="E11783" s="19"/>
      <c r="F11783" s="19"/>
      <c r="G11783" s="19"/>
      <c r="H11783" s="19"/>
      <c r="I11783" s="19"/>
      <c r="J11783" s="19"/>
      <c r="K11783" s="19"/>
      <c r="L11783" s="19"/>
      <c r="M11783" s="19"/>
      <c r="N11783" s="19"/>
      <c r="O11783" s="14" t="str">
        <f>HYPERLINK("https://otsuka-europe-crm.veevavault.com/ui/#object/email_activity__v/V8C00000003X177", "EN-002097251")</f>
        <v>EN-002097251</v>
      </c>
    </row>
    <row r="11784" spans="1:15" ht="32" x14ac:dyDescent="0.2">
      <c r="A11784" s="7" t="str">
        <f>HYPERLINK("https://otsuka-europe-crm.veevavault.com/ui/#object/account__v/V4TZ00000633IIE", "CATHERINE ADINS AVINEE")</f>
        <v>CATHERINE ADINS AVINEE</v>
      </c>
      <c r="B11784" s="7" t="str">
        <f>HYPERLINK("https://otsuka-europe-crm.veevavault.com/ui/#object/vcountry__v/VENZ000004SONFA", "FR")</f>
        <v>FR</v>
      </c>
      <c r="C11784" s="8" t="s">
        <v>42</v>
      </c>
      <c r="D11784" s="9" t="str">
        <f>HYPERLINK("https://otsuka-europe-crm.veevavault.com/ui/#object/approved_document__v/V5OZ04ASG4G02Y6", "INVITATION_VAD_2023")</f>
        <v>INVITATION_VAD_2023</v>
      </c>
      <c r="E11784" s="10" t="str">
        <f>HYPERLINK("https://otsuka-europe-crm.veevavault.com/ui/#object/sent_email__v/VBL00000002T509", "SE-001437307")</f>
        <v>SE-001437307</v>
      </c>
      <c r="F11784" s="11"/>
      <c r="G11784" s="12">
        <v>0</v>
      </c>
      <c r="H11784" s="12">
        <v>0</v>
      </c>
      <c r="I11784" s="12">
        <v>0</v>
      </c>
      <c r="J11784" s="11"/>
      <c r="K11784" s="12">
        <v>0</v>
      </c>
      <c r="L11784" s="10" t="str">
        <f>HYPERLINK("https://otsuka-europe-crm.veevavault.com/ui/#object/approved_document__v/V5OZ04ASG4G02Y6", "INVITATION_VAD_2023")</f>
        <v>INVITATION_VAD_2023</v>
      </c>
      <c r="M11784" s="10" t="str">
        <f>HYPERLINK("mailto:cchevalliermiserole@crm.otsuka-europe.com", "cchevalliermiserole@crm.otsuka-europe.com")</f>
        <v>cchevalliermiserole@crm.otsuka-europe.com</v>
      </c>
      <c r="N11784" s="13">
        <v>46189.456342592595</v>
      </c>
      <c r="O11784" s="14" t="str">
        <f>HYPERLINK("https://otsuka-europe-crm.veevavault.com/ui/#object/email_activity__v/V8C00000003X112", "EN-002097122")</f>
        <v>EN-002097122</v>
      </c>
    </row>
    <row r="11785" spans="1:15" ht="32" x14ac:dyDescent="0.2">
      <c r="A11785" s="7" t="str">
        <f>HYPERLINK("https://otsuka-europe-crm.veevavault.com/ui/#object/account__v/V4TZ00000633IIE", "CATHERINE ADINS AVINEE")</f>
        <v>CATHERINE ADINS AVINEE</v>
      </c>
      <c r="B11785" s="7" t="str">
        <f>HYPERLINK("https://otsuka-europe-crm.veevavault.com/ui/#object/vcountry__v/VENZ000004SONFA", "FR")</f>
        <v>FR</v>
      </c>
      <c r="C11785" s="8" t="s">
        <v>42</v>
      </c>
      <c r="D11785" s="9" t="str">
        <f>HYPERLINK("https://otsuka-europe-crm.veevavault.com/ui/#object/approved_document__v/V5OZ04ASG4G02Y6", "INVITATION_VAD_2023")</f>
        <v>INVITATION_VAD_2023</v>
      </c>
      <c r="E11785" s="10" t="str">
        <f>HYPERLINK("https://otsuka-europe-crm.veevavault.com/ui/#object/sent_email__v/VBL00000002V336", "SE-001437308")</f>
        <v>SE-001437308</v>
      </c>
      <c r="F11785" s="11"/>
      <c r="G11785" s="12">
        <v>0</v>
      </c>
      <c r="H11785" s="12">
        <v>0</v>
      </c>
      <c r="I11785" s="12">
        <v>0</v>
      </c>
      <c r="J11785" s="11"/>
      <c r="K11785" s="12">
        <v>0</v>
      </c>
      <c r="L11785" s="10" t="str">
        <f>HYPERLINK("https://otsuka-europe-crm.veevavault.com/ui/#object/approved_document__v/V5OZ04ASG4G02Y6", "INVITATION_VAD_2023")</f>
        <v>INVITATION_VAD_2023</v>
      </c>
      <c r="M11785" s="10" t="str">
        <f>HYPERLINK("mailto:cchevalliermiserole@crm.otsuka-europe.com", "cchevalliermiserole@crm.otsuka-europe.com")</f>
        <v>cchevalliermiserole@crm.otsuka-europe.com</v>
      </c>
      <c r="N11785" s="13">
        <v>46189.456678240742</v>
      </c>
      <c r="O11785" s="14" t="str">
        <f>HYPERLINK("https://otsuka-europe-crm.veevavault.com/ui/#object/email_activity__v/V8C00000003W200", "EN-002097123")</f>
        <v>EN-002097123</v>
      </c>
    </row>
    <row r="11786" spans="1:15" ht="32" x14ac:dyDescent="0.2">
      <c r="A11786" s="7" t="str">
        <f>HYPERLINK("https://otsuka-europe-crm.veevavault.com/ui/#object/account__v/V4TZ00000633IIE", "CATHERINE ADINS AVINEE")</f>
        <v>CATHERINE ADINS AVINEE</v>
      </c>
      <c r="B11786" s="7" t="str">
        <f>HYPERLINK("https://otsuka-europe-crm.veevavault.com/ui/#object/vcountry__v/VENZ000004SONFA", "FR")</f>
        <v>FR</v>
      </c>
      <c r="C11786" s="8" t="s">
        <v>42</v>
      </c>
      <c r="D11786" s="9" t="str">
        <f>HYPERLINK("https://otsuka-europe-crm.veevavault.com/ui/#object/approved_document__v/V5OZ04ASG4G02Y6", "INVITATION_VAD_2023")</f>
        <v>INVITATION_VAD_2023</v>
      </c>
      <c r="E11786" s="10" t="str">
        <f>HYPERLINK("https://otsuka-europe-crm.veevavault.com/ui/#object/sent_email__v/VBL00000002V337", "SE-001437309")</f>
        <v>SE-001437309</v>
      </c>
      <c r="F11786" s="11"/>
      <c r="G11786" s="12">
        <v>0</v>
      </c>
      <c r="H11786" s="12">
        <v>0</v>
      </c>
      <c r="I11786" s="12">
        <v>0</v>
      </c>
      <c r="J11786" s="11"/>
      <c r="K11786" s="12">
        <v>0</v>
      </c>
      <c r="L11786" s="10" t="str">
        <f>HYPERLINK("https://otsuka-europe-crm.veevavault.com/ui/#object/approved_document__v/V5OZ04ASG4G02Y6", "INVITATION_VAD_2023")</f>
        <v>INVITATION_VAD_2023</v>
      </c>
      <c r="M11786" s="10" t="str">
        <f>HYPERLINK("mailto:cchevalliermiserole@crm.otsuka-europe.com", "cchevalliermiserole@crm.otsuka-europe.com")</f>
        <v>cchevalliermiserole@crm.otsuka-europe.com</v>
      </c>
      <c r="N11786" s="13">
        <v>46189.456956018519</v>
      </c>
      <c r="O11786" s="14" t="str">
        <f>HYPERLINK("https://otsuka-europe-crm.veevavault.com/ui/#object/email_activity__v/V8C00000003X113", "EN-002097124")</f>
        <v>EN-002097124</v>
      </c>
    </row>
    <row r="11787" spans="1:15" ht="32" x14ac:dyDescent="0.2">
      <c r="A11787" s="7" t="str">
        <f>HYPERLINK("https://otsuka-europe-crm.veevavault.com/ui/#object/account__v/V4T000000025043", "MARIA ANGELES FARALDO VALLES")</f>
        <v>MARIA ANGELES FARALDO VALLES</v>
      </c>
      <c r="B11787" s="7" t="str">
        <f>HYPERLINK("https://otsuka-europe-crm.veevavault.com/ui/#object/vcountry__v/VENZ000004SONF5", "ES")</f>
        <v>ES</v>
      </c>
      <c r="C11787" s="8" t="s">
        <v>41</v>
      </c>
      <c r="D11787" s="9" t="str">
        <f>HYPERLINK("https://otsuka-europe-crm.veevavault.com/ui/#object/approved_document__v/V5OZ06G6O6RFL1P", "ES Veeva Privacy Notice Email")</f>
        <v>ES Veeva Privacy Notice Email</v>
      </c>
      <c r="E11787" s="10" t="str">
        <f>HYPERLINK("https://otsuka-europe-crm.veevavault.com/ui/#object/sent_email__v/VBL00000002T510", "SE-001437310")</f>
        <v>SE-001437310</v>
      </c>
      <c r="F11787" s="11"/>
      <c r="G11787" s="12">
        <v>0</v>
      </c>
      <c r="H11787" s="12">
        <v>0</v>
      </c>
      <c r="I11787" s="12">
        <v>0</v>
      </c>
      <c r="J11787" s="11"/>
      <c r="K11787" s="12">
        <v>0</v>
      </c>
      <c r="L11787" s="10" t="str">
        <f>HYPERLINK("https://otsuka-europe-crm.veevavault.com/ui/#object/approved_document__v/V5OZ06G6O6RFL1P", "ES Veeva Privacy Notice Email")</f>
        <v>ES Veeva Privacy Notice Email</v>
      </c>
      <c r="M11787" s="10" t="str">
        <f>HYPERLINK("mailto:sruizlemos@crm.otsuka-europe.com", "sruizlemos@crm.otsuka-europe.com")</f>
        <v>sruizlemos@crm.otsuka-europe.com</v>
      </c>
      <c r="N11787" s="13">
        <v>46189.458182870374</v>
      </c>
      <c r="O11787" s="14" t="str">
        <f>HYPERLINK("https://otsuka-europe-crm.veevavault.com/ui/#object/email_activity__v/V8C00000003W201", "EN-002097125")</f>
        <v>EN-002097125</v>
      </c>
    </row>
    <row r="11788" spans="1:15" ht="32" x14ac:dyDescent="0.2">
      <c r="A11788" s="7" t="str">
        <f>HYPERLINK("https://otsuka-europe-crm.veevavault.com/ui/#object/account__v/V4T000000024053", "DENYS GUANTE HENRIQUEZ")</f>
        <v>DENYS GUANTE HENRIQUEZ</v>
      </c>
      <c r="B11788" s="7" t="str">
        <f>HYPERLINK("https://otsuka-europe-crm.veevavault.com/ui/#object/vcountry__v/VENZ000004SONFQ", "IT")</f>
        <v>IT</v>
      </c>
      <c r="C11788" s="8" t="s">
        <v>44</v>
      </c>
      <c r="D11788" s="9" t="str">
        <f>HYPERLINK("https://otsuka-europe-crm.veevavault.com/ui/#object/approved_document__v/V5OZ06G6O6RG2EV", "IT Veeva Privacy Notice Email")</f>
        <v>IT Veeva Privacy Notice Email</v>
      </c>
      <c r="E11788" s="10" t="str">
        <f>HYPERLINK("https://otsuka-europe-crm.veevavault.com/ui/#object/sent_email__v/VBL00000002T511", "SE-001437311")</f>
        <v>SE-001437311</v>
      </c>
      <c r="F11788" s="11"/>
      <c r="G11788" s="12">
        <v>0</v>
      </c>
      <c r="H11788" s="12">
        <v>0</v>
      </c>
      <c r="I11788" s="12">
        <v>0</v>
      </c>
      <c r="J11788" s="11"/>
      <c r="K11788" s="12">
        <v>0</v>
      </c>
      <c r="L11788" s="10" t="str">
        <f>HYPERLINK("https://otsuka-europe-crm.veevavault.com/ui/#object/approved_document__v/V5OZ06G6O6RG2EV", "IT Veeva Privacy Notice Email")</f>
        <v>IT Veeva Privacy Notice Email</v>
      </c>
      <c r="M11788" s="10" t="str">
        <f>HYPERLINK("mailto:laura.mallia@crm.otsuka-europe.com", "laura.mallia@crm.otsuka-europe.com")</f>
        <v>laura.mallia@crm.otsuka-europe.com</v>
      </c>
      <c r="N11788" s="13">
        <v>46189.458541666667</v>
      </c>
      <c r="O11788" s="14" t="str">
        <f>HYPERLINK("https://otsuka-europe-crm.veevavault.com/ui/#object/email_activity__v/V8C00000003W202", "EN-002097126")</f>
        <v>EN-002097126</v>
      </c>
    </row>
    <row r="11789" spans="1:15" ht="32" x14ac:dyDescent="0.2">
      <c r="A11789" s="7" t="str">
        <f>HYPERLINK("https://otsuka-europe-crm.veevavault.com/ui/#object/account__v/V4TZ00000633IIE", "CATHERINE ADINS AVINEE")</f>
        <v>CATHERINE ADINS AVINEE</v>
      </c>
      <c r="B11789" s="7" t="str">
        <f>HYPERLINK("https://otsuka-europe-crm.veevavault.com/ui/#object/vcountry__v/VENZ000004SONFA", "FR")</f>
        <v>FR</v>
      </c>
      <c r="C11789" s="8" t="s">
        <v>42</v>
      </c>
      <c r="D11789" s="9" t="str">
        <f>HYPERLINK("https://otsuka-europe-crm.veevavault.com/ui/#object/approved_document__v/V5OZ04ASG4G02Y6", "INVITATION_VAD_2023")</f>
        <v>INVITATION_VAD_2023</v>
      </c>
      <c r="E11789" s="10" t="str">
        <f>HYPERLINK("https://otsuka-europe-crm.veevavault.com/ui/#object/sent_email__v/VBL00000002T512", "SE-001437312")</f>
        <v>SE-001437312</v>
      </c>
      <c r="F11789" s="11"/>
      <c r="G11789" s="12">
        <v>0</v>
      </c>
      <c r="H11789" s="12">
        <v>0</v>
      </c>
      <c r="I11789" s="12">
        <v>0</v>
      </c>
      <c r="J11789" s="11"/>
      <c r="K11789" s="12">
        <v>0</v>
      </c>
      <c r="L11789" s="10" t="str">
        <f>HYPERLINK("https://otsuka-europe-crm.veevavault.com/ui/#object/approved_document__v/V5OZ04ASG4G02Y6", "INVITATION_VAD_2023")</f>
        <v>INVITATION_VAD_2023</v>
      </c>
      <c r="M11789" s="10" t="str">
        <f>HYPERLINK("mailto:cchevalliermiserole@crm.otsuka-europe.com", "cchevalliermiserole@crm.otsuka-europe.com")</f>
        <v>cchevalliermiserole@crm.otsuka-europe.com</v>
      </c>
      <c r="N11789" s="13">
        <v>46189.458541666667</v>
      </c>
      <c r="O11789" s="14" t="str">
        <f>HYPERLINK("https://otsuka-europe-crm.veevavault.com/ui/#object/email_activity__v/V8C00000003W203", "EN-002097127")</f>
        <v>EN-002097127</v>
      </c>
    </row>
    <row r="11790" spans="1:15" ht="16" x14ac:dyDescent="0.2">
      <c r="A11790" s="17" t="str">
        <f>HYPERLINK("https://otsuka-europe-crm.veevavault.com/ui/#object/account__v/V4TZ00000633IIE", "CATHERINE ADINS AVINEE")</f>
        <v>CATHERINE ADINS AVINEE</v>
      </c>
      <c r="B11790" s="17" t="str">
        <f>HYPERLINK("https://otsuka-europe-crm.veevavault.com/ui/#object/vcountry__v/VENZ000004SONFA", "FR")</f>
        <v>FR</v>
      </c>
      <c r="C11790" s="20" t="s">
        <v>42</v>
      </c>
      <c r="D11790" s="21" t="str">
        <f>HYPERLINK("https://otsuka-europe-crm.veevavault.com/ui/#object/approved_document__v/V5OZ04ASG4G02Y7", "REMERCIEMENTS_VAD_2023")</f>
        <v>REMERCIEMENTS_VAD_2023</v>
      </c>
      <c r="E11790" s="22" t="str">
        <f>HYPERLINK("https://otsuka-europe-crm.veevavault.com/ui/#object/sent_email__v/VBL00000002T513", "SE-001437313")</f>
        <v>SE-001437313</v>
      </c>
      <c r="F11790" s="23">
        <v>46189.471562500003</v>
      </c>
      <c r="G11790" s="24">
        <v>1</v>
      </c>
      <c r="H11790" s="24">
        <v>1</v>
      </c>
      <c r="I11790" s="24">
        <v>1</v>
      </c>
      <c r="J11790" s="23">
        <v>46189.471956018519</v>
      </c>
      <c r="K11790" s="24">
        <v>18</v>
      </c>
      <c r="L11790" s="22" t="str">
        <f>HYPERLINK("https://otsuka-europe-crm.veevavault.com/ui/#object/approved_document__v/V5OZ04ASG4G02Y7", "REMERCIEMENTS_VAD_2023")</f>
        <v>REMERCIEMENTS_VAD_2023</v>
      </c>
      <c r="M11790" s="22" t="str">
        <f>HYPERLINK("mailto:cchevalliermiserole@crm.otsuka-europe.com", "cchevalliermiserole@crm.otsuka-europe.com")</f>
        <v>cchevalliermiserole@crm.otsuka-europe.com</v>
      </c>
      <c r="N11790" s="23">
        <v>46189.470763888887</v>
      </c>
      <c r="O11790" s="14" t="str">
        <f>HYPERLINK("https://otsuka-europe-crm.veevavault.com/ui/#object/email_activity__v/V8C00000003X116", "EN-002097131")</f>
        <v>EN-002097131</v>
      </c>
    </row>
    <row r="11791" spans="1:15" ht="16" x14ac:dyDescent="0.2">
      <c r="A11791" s="18"/>
      <c r="B11791" s="18"/>
      <c r="C11791" s="18"/>
      <c r="D11791" s="18"/>
      <c r="E11791" s="18"/>
      <c r="F11791" s="18"/>
      <c r="G11791" s="18"/>
      <c r="H11791" s="18"/>
      <c r="I11791" s="18"/>
      <c r="J11791" s="18"/>
      <c r="K11791" s="18"/>
      <c r="L11791" s="18"/>
      <c r="M11791" s="18"/>
      <c r="N11791" s="18"/>
      <c r="O11791" s="14" t="str">
        <f>HYPERLINK("https://otsuka-europe-crm.veevavault.com/ui/#object/email_activity__v/V8C00000003X117", "EN-002097133")</f>
        <v>EN-002097133</v>
      </c>
    </row>
    <row r="11792" spans="1:15" ht="16" x14ac:dyDescent="0.2">
      <c r="A11792" s="18"/>
      <c r="B11792" s="18"/>
      <c r="C11792" s="18"/>
      <c r="D11792" s="18"/>
      <c r="E11792" s="18"/>
      <c r="F11792" s="18"/>
      <c r="G11792" s="18"/>
      <c r="H11792" s="18"/>
      <c r="I11792" s="18"/>
      <c r="J11792" s="18"/>
      <c r="K11792" s="18"/>
      <c r="L11792" s="18"/>
      <c r="M11792" s="18"/>
      <c r="N11792" s="18"/>
      <c r="O11792" s="14" t="str">
        <f>HYPERLINK("https://otsuka-europe-crm.veevavault.com/ui/#object/email_activity__v/V8C00000003X118", "EN-002097132")</f>
        <v>EN-002097132</v>
      </c>
    </row>
    <row r="11793" spans="1:15" ht="16" x14ac:dyDescent="0.2">
      <c r="A11793" s="18"/>
      <c r="B11793" s="18"/>
      <c r="C11793" s="18"/>
      <c r="D11793" s="18"/>
      <c r="E11793" s="18"/>
      <c r="F11793" s="18"/>
      <c r="G11793" s="18"/>
      <c r="H11793" s="18"/>
      <c r="I11793" s="18"/>
      <c r="J11793" s="18"/>
      <c r="K11793" s="18"/>
      <c r="L11793" s="18"/>
      <c r="M11793" s="18"/>
      <c r="N11793" s="18"/>
      <c r="O11793" s="14" t="str">
        <f>HYPERLINK("https://otsuka-europe-crm.veevavault.com/ui/#object/email_activity__v/V8C00000003X119", "EN-002097134")</f>
        <v>EN-002097134</v>
      </c>
    </row>
    <row r="11794" spans="1:15" ht="16" x14ac:dyDescent="0.2">
      <c r="A11794" s="18"/>
      <c r="B11794" s="18"/>
      <c r="C11794" s="18"/>
      <c r="D11794" s="18"/>
      <c r="E11794" s="18"/>
      <c r="F11794" s="18"/>
      <c r="G11794" s="18"/>
      <c r="H11794" s="18"/>
      <c r="I11794" s="18"/>
      <c r="J11794" s="18"/>
      <c r="K11794" s="18"/>
      <c r="L11794" s="18"/>
      <c r="M11794" s="18"/>
      <c r="N11794" s="18"/>
      <c r="O11794" s="14" t="str">
        <f>HYPERLINK("https://otsuka-europe-crm.veevavault.com/ui/#object/email_activity__v/V8C00000003X120", "EN-002097135")</f>
        <v>EN-002097135</v>
      </c>
    </row>
    <row r="11795" spans="1:15" ht="16" x14ac:dyDescent="0.2">
      <c r="A11795" s="18"/>
      <c r="B11795" s="18"/>
      <c r="C11795" s="18"/>
      <c r="D11795" s="18"/>
      <c r="E11795" s="18"/>
      <c r="F11795" s="18"/>
      <c r="G11795" s="18"/>
      <c r="H11795" s="18"/>
      <c r="I11795" s="18"/>
      <c r="J11795" s="18"/>
      <c r="K11795" s="18"/>
      <c r="L11795" s="18"/>
      <c r="M11795" s="18"/>
      <c r="N11795" s="18"/>
      <c r="O11795" s="14" t="str">
        <f>HYPERLINK("https://otsuka-europe-crm.veevavault.com/ui/#object/email_activity__v/V8C00000003X121", "EN-002097136")</f>
        <v>EN-002097136</v>
      </c>
    </row>
    <row r="11796" spans="1:15" ht="16" x14ac:dyDescent="0.2">
      <c r="A11796" s="18"/>
      <c r="B11796" s="18"/>
      <c r="C11796" s="18"/>
      <c r="D11796" s="18"/>
      <c r="E11796" s="18"/>
      <c r="F11796" s="18"/>
      <c r="G11796" s="18"/>
      <c r="H11796" s="18"/>
      <c r="I11796" s="18"/>
      <c r="J11796" s="18"/>
      <c r="K11796" s="18"/>
      <c r="L11796" s="18"/>
      <c r="M11796" s="18"/>
      <c r="N11796" s="18"/>
      <c r="O11796" s="14" t="str">
        <f>HYPERLINK("https://otsuka-europe-crm.veevavault.com/ui/#object/email_activity__v/V8C00000003X122", "EN-002097137")</f>
        <v>EN-002097137</v>
      </c>
    </row>
    <row r="11797" spans="1:15" ht="16" x14ac:dyDescent="0.2">
      <c r="A11797" s="18"/>
      <c r="B11797" s="18"/>
      <c r="C11797" s="18"/>
      <c r="D11797" s="18"/>
      <c r="E11797" s="18"/>
      <c r="F11797" s="18"/>
      <c r="G11797" s="18"/>
      <c r="H11797" s="18"/>
      <c r="I11797" s="18"/>
      <c r="J11797" s="18"/>
      <c r="K11797" s="18"/>
      <c r="L11797" s="18"/>
      <c r="M11797" s="18"/>
      <c r="N11797" s="18"/>
      <c r="O11797" s="14" t="str">
        <f>HYPERLINK("https://otsuka-europe-crm.veevavault.com/ui/#object/email_activity__v/V8C00000003X123", "EN-002097138")</f>
        <v>EN-002097138</v>
      </c>
    </row>
    <row r="11798" spans="1:15" ht="16" x14ac:dyDescent="0.2">
      <c r="A11798" s="18"/>
      <c r="B11798" s="18"/>
      <c r="C11798" s="18"/>
      <c r="D11798" s="18"/>
      <c r="E11798" s="18"/>
      <c r="F11798" s="18"/>
      <c r="G11798" s="18"/>
      <c r="H11798" s="18"/>
      <c r="I11798" s="18"/>
      <c r="J11798" s="18"/>
      <c r="K11798" s="18"/>
      <c r="L11798" s="18"/>
      <c r="M11798" s="18"/>
      <c r="N11798" s="18"/>
      <c r="O11798" s="14" t="str">
        <f>HYPERLINK("https://otsuka-europe-crm.veevavault.com/ui/#object/email_activity__v/V8C00000003X124", "EN-002097139")</f>
        <v>EN-002097139</v>
      </c>
    </row>
    <row r="11799" spans="1:15" ht="16" x14ac:dyDescent="0.2">
      <c r="A11799" s="18"/>
      <c r="B11799" s="18"/>
      <c r="C11799" s="18"/>
      <c r="D11799" s="18"/>
      <c r="E11799" s="18"/>
      <c r="F11799" s="18"/>
      <c r="G11799" s="18"/>
      <c r="H11799" s="18"/>
      <c r="I11799" s="18"/>
      <c r="J11799" s="18"/>
      <c r="K11799" s="18"/>
      <c r="L11799" s="18"/>
      <c r="M11799" s="18"/>
      <c r="N11799" s="18"/>
      <c r="O11799" s="14" t="str">
        <f>HYPERLINK("https://otsuka-europe-crm.veevavault.com/ui/#object/email_activity__v/V8C00000003X125", "EN-002097140")</f>
        <v>EN-002097140</v>
      </c>
    </row>
    <row r="11800" spans="1:15" ht="16" x14ac:dyDescent="0.2">
      <c r="A11800" s="18"/>
      <c r="B11800" s="18"/>
      <c r="C11800" s="18"/>
      <c r="D11800" s="18"/>
      <c r="E11800" s="18"/>
      <c r="F11800" s="18"/>
      <c r="G11800" s="18"/>
      <c r="H11800" s="18"/>
      <c r="I11800" s="18"/>
      <c r="J11800" s="18"/>
      <c r="K11800" s="18"/>
      <c r="L11800" s="18"/>
      <c r="M11800" s="18"/>
      <c r="N11800" s="18"/>
      <c r="O11800" s="14" t="str">
        <f>HYPERLINK("https://otsuka-europe-crm.veevavault.com/ui/#object/email_activity__v/V8C00000003X126", "EN-002097141")</f>
        <v>EN-002097141</v>
      </c>
    </row>
    <row r="11801" spans="1:15" ht="16" x14ac:dyDescent="0.2">
      <c r="A11801" s="18"/>
      <c r="B11801" s="18"/>
      <c r="C11801" s="18"/>
      <c r="D11801" s="18"/>
      <c r="E11801" s="18"/>
      <c r="F11801" s="18"/>
      <c r="G11801" s="18"/>
      <c r="H11801" s="18"/>
      <c r="I11801" s="18"/>
      <c r="J11801" s="18"/>
      <c r="K11801" s="18"/>
      <c r="L11801" s="18"/>
      <c r="M11801" s="18"/>
      <c r="N11801" s="18"/>
      <c r="O11801" s="14" t="str">
        <f>HYPERLINK("https://otsuka-europe-crm.veevavault.com/ui/#object/email_activity__v/V8C00000003X127", "EN-002097142")</f>
        <v>EN-002097142</v>
      </c>
    </row>
    <row r="11802" spans="1:15" ht="16" x14ac:dyDescent="0.2">
      <c r="A11802" s="18"/>
      <c r="B11802" s="18"/>
      <c r="C11802" s="18"/>
      <c r="D11802" s="18"/>
      <c r="E11802" s="18"/>
      <c r="F11802" s="18"/>
      <c r="G11802" s="18"/>
      <c r="H11802" s="18"/>
      <c r="I11802" s="18"/>
      <c r="J11802" s="18"/>
      <c r="K11802" s="18"/>
      <c r="L11802" s="18"/>
      <c r="M11802" s="18"/>
      <c r="N11802" s="18"/>
      <c r="O11802" s="14" t="str">
        <f>HYPERLINK("https://otsuka-europe-crm.veevavault.com/ui/#object/email_activity__v/V8C00000003X128", "EN-002097143")</f>
        <v>EN-002097143</v>
      </c>
    </row>
    <row r="11803" spans="1:15" ht="16" x14ac:dyDescent="0.2">
      <c r="A11803" s="18"/>
      <c r="B11803" s="18"/>
      <c r="C11803" s="18"/>
      <c r="D11803" s="18"/>
      <c r="E11803" s="18"/>
      <c r="F11803" s="18"/>
      <c r="G11803" s="18"/>
      <c r="H11803" s="18"/>
      <c r="I11803" s="18"/>
      <c r="J11803" s="18"/>
      <c r="K11803" s="18"/>
      <c r="L11803" s="18"/>
      <c r="M11803" s="18"/>
      <c r="N11803" s="18"/>
      <c r="O11803" s="14" t="str">
        <f>HYPERLINK("https://otsuka-europe-crm.veevavault.com/ui/#object/email_activity__v/V8C00000003X129", "EN-002097144")</f>
        <v>EN-002097144</v>
      </c>
    </row>
    <row r="11804" spans="1:15" ht="16" x14ac:dyDescent="0.2">
      <c r="A11804" s="18"/>
      <c r="B11804" s="18"/>
      <c r="C11804" s="18"/>
      <c r="D11804" s="18"/>
      <c r="E11804" s="18"/>
      <c r="F11804" s="18"/>
      <c r="G11804" s="18"/>
      <c r="H11804" s="18"/>
      <c r="I11804" s="18"/>
      <c r="J11804" s="18"/>
      <c r="K11804" s="18"/>
      <c r="L11804" s="18"/>
      <c r="M11804" s="18"/>
      <c r="N11804" s="18"/>
      <c r="O11804" s="14" t="str">
        <f>HYPERLINK("https://otsuka-europe-crm.veevavault.com/ui/#object/email_activity__v/V8C00000003X130", "EN-002097145")</f>
        <v>EN-002097145</v>
      </c>
    </row>
    <row r="11805" spans="1:15" ht="16" x14ac:dyDescent="0.2">
      <c r="A11805" s="18"/>
      <c r="B11805" s="18"/>
      <c r="C11805" s="18"/>
      <c r="D11805" s="18"/>
      <c r="E11805" s="18"/>
      <c r="F11805" s="18"/>
      <c r="G11805" s="18"/>
      <c r="H11805" s="18"/>
      <c r="I11805" s="18"/>
      <c r="J11805" s="18"/>
      <c r="K11805" s="18"/>
      <c r="L11805" s="18"/>
      <c r="M11805" s="18"/>
      <c r="N11805" s="18"/>
      <c r="O11805" s="14" t="str">
        <f>HYPERLINK("https://otsuka-europe-crm.veevavault.com/ui/#object/email_activity__v/V8C00000003X131", "EN-002097146")</f>
        <v>EN-002097146</v>
      </c>
    </row>
    <row r="11806" spans="1:15" ht="16" x14ac:dyDescent="0.2">
      <c r="A11806" s="18"/>
      <c r="B11806" s="18"/>
      <c r="C11806" s="18"/>
      <c r="D11806" s="18"/>
      <c r="E11806" s="18"/>
      <c r="F11806" s="18"/>
      <c r="G11806" s="18"/>
      <c r="H11806" s="18"/>
      <c r="I11806" s="18"/>
      <c r="J11806" s="18"/>
      <c r="K11806" s="18"/>
      <c r="L11806" s="18"/>
      <c r="M11806" s="18"/>
      <c r="N11806" s="18"/>
      <c r="O11806" s="14" t="str">
        <f>HYPERLINK("https://otsuka-europe-crm.veevavault.com/ui/#object/email_activity__v/V8C00000003X132", "EN-002097147")</f>
        <v>EN-002097147</v>
      </c>
    </row>
    <row r="11807" spans="1:15" ht="16" x14ac:dyDescent="0.2">
      <c r="A11807" s="18"/>
      <c r="B11807" s="18"/>
      <c r="C11807" s="18"/>
      <c r="D11807" s="18"/>
      <c r="E11807" s="18"/>
      <c r="F11807" s="18"/>
      <c r="G11807" s="18"/>
      <c r="H11807" s="18"/>
      <c r="I11807" s="18"/>
      <c r="J11807" s="18"/>
      <c r="K11807" s="18"/>
      <c r="L11807" s="18"/>
      <c r="M11807" s="18"/>
      <c r="N11807" s="18"/>
      <c r="O11807" s="14" t="str">
        <f>HYPERLINK("https://otsuka-europe-crm.veevavault.com/ui/#object/email_activity__v/V8C00000003X133", "EN-002097148")</f>
        <v>EN-002097148</v>
      </c>
    </row>
    <row r="11808" spans="1:15" ht="16" x14ac:dyDescent="0.2">
      <c r="A11808" s="18"/>
      <c r="B11808" s="18"/>
      <c r="C11808" s="18"/>
      <c r="D11808" s="18"/>
      <c r="E11808" s="18"/>
      <c r="F11808" s="18"/>
      <c r="G11808" s="18"/>
      <c r="H11808" s="18"/>
      <c r="I11808" s="18"/>
      <c r="J11808" s="18"/>
      <c r="K11808" s="18"/>
      <c r="L11808" s="18"/>
      <c r="M11808" s="18"/>
      <c r="N11808" s="18"/>
      <c r="O11808" s="14" t="str">
        <f>HYPERLINK("https://otsuka-europe-crm.veevavault.com/ui/#object/email_activity__v/V8C00000003X134", "EN-002097149")</f>
        <v>EN-002097149</v>
      </c>
    </row>
    <row r="11809" spans="1:15" ht="16" x14ac:dyDescent="0.2">
      <c r="A11809" s="19"/>
      <c r="B11809" s="19"/>
      <c r="C11809" s="19"/>
      <c r="D11809" s="19"/>
      <c r="E11809" s="19"/>
      <c r="F11809" s="19"/>
      <c r="G11809" s="19"/>
      <c r="H11809" s="19"/>
      <c r="I11809" s="19"/>
      <c r="J11809" s="19"/>
      <c r="K11809" s="19"/>
      <c r="L11809" s="19"/>
      <c r="M11809" s="19"/>
      <c r="N11809" s="19"/>
      <c r="O11809" s="14" t="str">
        <f>HYPERLINK("https://otsuka-europe-crm.veevavault.com/ui/#object/email_activity__v/V8C00000003X135", "EN-002097150")</f>
        <v>EN-002097150</v>
      </c>
    </row>
    <row r="11810" spans="1:15" ht="48" x14ac:dyDescent="0.2">
      <c r="A11810" s="7" t="str">
        <f>HYPERLINK("https://otsuka-europe-crm.veevavault.com/ui/#object/account__v/V4TZ00000633IIE", "CATHERINE ADINS AVINEE")</f>
        <v>CATHERINE ADINS AVINEE</v>
      </c>
      <c r="B11810" s="7" t="str">
        <f>HYPERLINK("https://otsuka-europe-crm.veevavault.com/ui/#object/vcountry__v/VENZ000004SONFA", "FR")</f>
        <v>FR</v>
      </c>
      <c r="C11810" s="8" t="s">
        <v>42</v>
      </c>
      <c r="D11810" s="9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E11810" s="10" t="str">
        <f>HYPERLINK("https://otsuka-europe-crm.veevavault.com/ui/#object/sent_email__v/VBL00000002V338", "SE-001437314")</f>
        <v>SE-001437314</v>
      </c>
      <c r="F11810" s="11"/>
      <c r="G11810" s="12">
        <v>0</v>
      </c>
      <c r="H11810" s="12">
        <v>0</v>
      </c>
      <c r="I11810" s="12">
        <v>0</v>
      </c>
      <c r="J11810" s="11"/>
      <c r="K11810" s="12">
        <v>0</v>
      </c>
      <c r="L11810" s="10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M11810" s="10" t="str">
        <f>HYPERLINK("mailto:cchevalliermiserole@crm.otsuka-europe.com", "cchevalliermiserole@crm.otsuka-europe.com")</f>
        <v>cchevalliermiserole@crm.otsuka-europe.com</v>
      </c>
      <c r="N11810" s="13">
        <v>46190.508981481478</v>
      </c>
      <c r="O11810" s="14" t="str">
        <f>HYPERLINK("https://otsuka-europe-crm.veevavault.com/ui/#object/email_activity__v/V8C00000003W689", "EN-002098354")</f>
        <v>EN-002098354</v>
      </c>
    </row>
    <row r="11811" spans="1:15" ht="32" x14ac:dyDescent="0.2">
      <c r="A11811" s="7" t="str">
        <f>HYPERLINK("https://otsuka-europe-crm.veevavault.com/ui/#object/account__v/V4T000000024054", "PATRICIA CADAHIA FERNANDEZ")</f>
        <v>PATRICIA CADAHIA FERNANDEZ</v>
      </c>
      <c r="B11811" s="7" t="str">
        <f>HYPERLINK("https://otsuka-europe-crm.veevavault.com/ui/#object/vcountry__v/VENZ000004SONF5", "ES")</f>
        <v>ES</v>
      </c>
      <c r="C11811" s="8" t="s">
        <v>41</v>
      </c>
      <c r="D11811" s="9" t="str">
        <f>HYPERLINK("https://otsuka-europe-crm.veevavault.com/ui/#object/approved_document__v/V5OZ06G6O6RFL1P", "ES Veeva Privacy Notice Email")</f>
        <v>ES Veeva Privacy Notice Email</v>
      </c>
      <c r="E11811" s="10" t="str">
        <f>HYPERLINK("https://otsuka-europe-crm.veevavault.com/ui/#object/sent_email__v/VBL00000002V349", "SE-001437315")</f>
        <v>SE-001437315</v>
      </c>
      <c r="F11811" s="11"/>
      <c r="G11811" s="12">
        <v>0</v>
      </c>
      <c r="H11811" s="12">
        <v>0</v>
      </c>
      <c r="I11811" s="12">
        <v>0</v>
      </c>
      <c r="J11811" s="11"/>
      <c r="K11811" s="12">
        <v>0</v>
      </c>
      <c r="L11811" s="10" t="str">
        <f>HYPERLINK("https://otsuka-europe-crm.veevavault.com/ui/#object/approved_document__v/V5OZ06G6O6RFL1P", "ES Veeva Privacy Notice Email")</f>
        <v>ES Veeva Privacy Notice Email</v>
      </c>
      <c r="M11811" s="10" t="str">
        <f>HYPERLINK("mailto:sruizlemos@crm.otsuka-europe.com", "sruizlemos@crm.otsuka-europe.com")</f>
        <v>sruizlemos@crm.otsuka-europe.com</v>
      </c>
      <c r="N11811" s="13">
        <v>46189.484652777777</v>
      </c>
      <c r="O11811" s="14" t="str">
        <f>HYPERLINK("https://otsuka-europe-crm.veevavault.com/ui/#object/email_activity__v/V8C00000003W206", "EN-002097154")</f>
        <v>EN-002097154</v>
      </c>
    </row>
    <row r="11812" spans="1:15" ht="32" x14ac:dyDescent="0.2">
      <c r="A11812" s="7" t="str">
        <f>HYPERLINK("https://otsuka-europe-crm.veevavault.com/ui/#object/account__v/V4T000000025044", "ISORA CARLOS RODRIGUEZ")</f>
        <v>ISORA CARLOS RODRIGUEZ</v>
      </c>
      <c r="B11812" s="7" t="str">
        <f>HYPERLINK("https://otsuka-europe-crm.veevavault.com/ui/#object/vcountry__v/VENZ000004SONF5", "ES")</f>
        <v>ES</v>
      </c>
      <c r="C11812" s="8" t="s">
        <v>41</v>
      </c>
      <c r="D11812" s="9" t="str">
        <f>HYPERLINK("https://otsuka-europe-crm.veevavault.com/ui/#object/approved_document__v/V5OZ06G6O6RFL1P", "ES Veeva Privacy Notice Email")</f>
        <v>ES Veeva Privacy Notice Email</v>
      </c>
      <c r="E11812" s="10" t="str">
        <f>HYPERLINK("https://otsuka-europe-crm.veevavault.com/ui/#object/sent_email__v/VBL00000002V350", "SE-001437316")</f>
        <v>SE-001437316</v>
      </c>
      <c r="F11812" s="11"/>
      <c r="G11812" s="12">
        <v>0</v>
      </c>
      <c r="H11812" s="12">
        <v>0</v>
      </c>
      <c r="I11812" s="12">
        <v>0</v>
      </c>
      <c r="J11812" s="11"/>
      <c r="K11812" s="12">
        <v>0</v>
      </c>
      <c r="L11812" s="10" t="str">
        <f>HYPERLINK("https://otsuka-europe-crm.veevavault.com/ui/#object/approved_document__v/V5OZ06G6O6RFL1P", "ES Veeva Privacy Notice Email")</f>
        <v>ES Veeva Privacy Notice Email</v>
      </c>
      <c r="M11812" s="10" t="str">
        <f>HYPERLINK("mailto:sruizlemos@crm.otsuka-europe.com", "sruizlemos@crm.otsuka-europe.com")</f>
        <v>sruizlemos@crm.otsuka-europe.com</v>
      </c>
      <c r="N11812" s="13">
        <v>46189.485312500001</v>
      </c>
      <c r="O11812" s="14" t="str">
        <f>HYPERLINK("https://otsuka-europe-crm.veevavault.com/ui/#object/email_activity__v/V8C00000003W207", "EN-002097155")</f>
        <v>EN-002097155</v>
      </c>
    </row>
    <row r="11813" spans="1:15" ht="32" x14ac:dyDescent="0.2">
      <c r="A11813" s="7" t="str">
        <f>HYPERLINK("https://otsuka-europe-crm.veevavault.com/ui/#object/account__v/V4T000000024055", "DANIELA RODRIGUEZ FERIA")</f>
        <v>DANIELA RODRIGUEZ FERIA</v>
      </c>
      <c r="B11813" s="7" t="str">
        <f>HYPERLINK("https://otsuka-europe-crm.veevavault.com/ui/#object/vcountry__v/VENZ000004SONF5", "ES")</f>
        <v>ES</v>
      </c>
      <c r="C11813" s="8" t="s">
        <v>41</v>
      </c>
      <c r="D11813" s="9" t="str">
        <f>HYPERLINK("https://otsuka-europe-crm.veevavault.com/ui/#object/approved_document__v/V5OZ06G6O6RFL1P", "ES Veeva Privacy Notice Email")</f>
        <v>ES Veeva Privacy Notice Email</v>
      </c>
      <c r="E11813" s="10" t="str">
        <f>HYPERLINK("https://otsuka-europe-crm.veevavault.com/ui/#object/sent_email__v/VBL00000002V351", "SE-001437317")</f>
        <v>SE-001437317</v>
      </c>
      <c r="F11813" s="11"/>
      <c r="G11813" s="12">
        <v>0</v>
      </c>
      <c r="H11813" s="12">
        <v>0</v>
      </c>
      <c r="I11813" s="12">
        <v>0</v>
      </c>
      <c r="J11813" s="11"/>
      <c r="K11813" s="12">
        <v>0</v>
      </c>
      <c r="L11813" s="10" t="str">
        <f>HYPERLINK("https://otsuka-europe-crm.veevavault.com/ui/#object/approved_document__v/V5OZ06G6O6RFL1P", "ES Veeva Privacy Notice Email")</f>
        <v>ES Veeva Privacy Notice Email</v>
      </c>
      <c r="M11813" s="10" t="str">
        <f>HYPERLINK("mailto:sruizlemos@crm.otsuka-europe.com", "sruizlemos@crm.otsuka-europe.com")</f>
        <v>sruizlemos@crm.otsuka-europe.com</v>
      </c>
      <c r="N11813" s="13">
        <v>46189.486354166664</v>
      </c>
      <c r="O11813" s="14" t="str">
        <f>HYPERLINK("https://otsuka-europe-crm.veevavault.com/ui/#object/email_activity__v/V8C00000003W208", "EN-002097156")</f>
        <v>EN-002097156</v>
      </c>
    </row>
    <row r="11814" spans="1:15" ht="16" x14ac:dyDescent="0.2">
      <c r="A11814" s="17" t="str">
        <f>HYPERLINK("https://otsuka-europe-crm.veevavault.com/ui/#object/account__v/V4TZ00000633HA4", "PIERRE MESSENDE")</f>
        <v>PIERRE MESSENDE</v>
      </c>
      <c r="B11814" s="17" t="str">
        <f>HYPERLINK("https://otsuka-europe-crm.veevavault.com/ui/#object/vcountry__v/VENZ000004SONFA", "FR")</f>
        <v>FR</v>
      </c>
      <c r="C11814" s="20" t="s">
        <v>42</v>
      </c>
      <c r="D11814" s="21" t="str">
        <f>HYPERLINK("https://otsuka-europe-crm.veevavault.com/ui/#object/approved_document__v/V5OZ04ASG4G02Y6", "INVITATION_VAD_2023")</f>
        <v>INVITATION_VAD_2023</v>
      </c>
      <c r="E11814" s="22" t="str">
        <f>HYPERLINK("https://otsuka-europe-crm.veevavault.com/ui/#object/sent_email__v/VBL00000002V352", "SE-001437318")</f>
        <v>SE-001437318</v>
      </c>
      <c r="F11814" s="23">
        <v>46189.503483796296</v>
      </c>
      <c r="G11814" s="24">
        <v>1</v>
      </c>
      <c r="H11814" s="24">
        <v>2</v>
      </c>
      <c r="I11814" s="24">
        <v>0</v>
      </c>
      <c r="J11814" s="25"/>
      <c r="K11814" s="24">
        <v>0</v>
      </c>
      <c r="L11814" s="22" t="str">
        <f>HYPERLINK("https://otsuka-europe-crm.veevavault.com/ui/#object/approved_document__v/V5OZ04ASG4G02Y6", "INVITATION_VAD_2023")</f>
        <v>INVITATION_VAD_2023</v>
      </c>
      <c r="M11814" s="22" t="str">
        <f>HYPERLINK("mailto:cchevalliermiserole@crm.otsuka-europe.com", "cchevalliermiserole@crm.otsuka-europe.com")</f>
        <v>cchevalliermiserole@crm.otsuka-europe.com</v>
      </c>
      <c r="N11814" s="23">
        <v>46189.502905092595</v>
      </c>
      <c r="O11814" s="14" t="str">
        <f>HYPERLINK("https://otsuka-europe-crm.veevavault.com/ui/#object/email_activity__v/V8C00000003X141", "EN-002097164")</f>
        <v>EN-002097164</v>
      </c>
    </row>
    <row r="11815" spans="1:15" ht="16" x14ac:dyDescent="0.2">
      <c r="A11815" s="18"/>
      <c r="B11815" s="18"/>
      <c r="C11815" s="18"/>
      <c r="D11815" s="18"/>
      <c r="E11815" s="18"/>
      <c r="F11815" s="18"/>
      <c r="G11815" s="18"/>
      <c r="H11815" s="18"/>
      <c r="I11815" s="18"/>
      <c r="J11815" s="18"/>
      <c r="K11815" s="18"/>
      <c r="L11815" s="18"/>
      <c r="M11815" s="18"/>
      <c r="N11815" s="18"/>
      <c r="O11815" s="14" t="str">
        <f>HYPERLINK("https://otsuka-europe-crm.veevavault.com/ui/#object/email_activity__v/V8C00000003X142", "EN-002097165")</f>
        <v>EN-002097165</v>
      </c>
    </row>
    <row r="11816" spans="1:15" ht="16" x14ac:dyDescent="0.2">
      <c r="A11816" s="19"/>
      <c r="B11816" s="19"/>
      <c r="C11816" s="19"/>
      <c r="D11816" s="19"/>
      <c r="E11816" s="19"/>
      <c r="F11816" s="19"/>
      <c r="G11816" s="19"/>
      <c r="H11816" s="19"/>
      <c r="I11816" s="19"/>
      <c r="J11816" s="19"/>
      <c r="K11816" s="19"/>
      <c r="L11816" s="19"/>
      <c r="M11816" s="19"/>
      <c r="N11816" s="19"/>
      <c r="O11816" s="14" t="str">
        <f>HYPERLINK("https://otsuka-europe-crm.veevavault.com/ui/#object/email_activity__v/V8C00000003X143", "EN-002097166")</f>
        <v>EN-002097166</v>
      </c>
    </row>
    <row r="11817" spans="1:15" ht="16" x14ac:dyDescent="0.2">
      <c r="A11817" s="17" t="str">
        <f>HYPERLINK("https://otsuka-europe-crm.veevavault.com/ui/#object/account__v/V4TZ06G6OBIHCMO", "FRANCESCO FINATTI")</f>
        <v>FRANCESCO FINATTI</v>
      </c>
      <c r="B11817" s="17" t="str">
        <f>HYPERLINK("https://otsuka-europe-crm.veevavault.com/ui/#object/vcountry__v/VENZ000004SONFQ", "IT")</f>
        <v>IT</v>
      </c>
      <c r="C11817" s="20" t="s">
        <v>44</v>
      </c>
      <c r="D11817" s="21" t="str">
        <f>HYPERLINK("https://otsuka-europe-crm.veevavault.com/ui/#object/approved_document__v/V5OZ025E82JJ7FL", "NL AE HCP Portal")</f>
        <v>NL AE HCP Portal</v>
      </c>
      <c r="E11817" s="22" t="str">
        <f>HYPERLINK("https://otsuka-europe-crm.veevavault.com/ui/#object/sent_email__v/VBL00000002V353", "SE-001437319")</f>
        <v>SE-001437319</v>
      </c>
      <c r="F11817" s="23">
        <v>46189.535810185182</v>
      </c>
      <c r="G11817" s="24">
        <v>1</v>
      </c>
      <c r="H11817" s="24">
        <v>3</v>
      </c>
      <c r="I11817" s="24">
        <v>1</v>
      </c>
      <c r="J11817" s="23">
        <v>46189.535821759258</v>
      </c>
      <c r="K11817" s="24">
        <v>3</v>
      </c>
      <c r="L11817" s="22" t="str">
        <f>HYPERLINK("https://otsuka-europe-crm.veevavault.com/ui/#object/approved_document__v/V5OZ025E82JJ7FL", "NL AE HCP Portal")</f>
        <v>NL AE HCP Portal</v>
      </c>
      <c r="M11817" s="22" t="str">
        <f>HYPERLINK("mailto:chiara.possamai@crm.otsuka-europe.com", "chiara.possamai@crm.otsuka-europe.com")</f>
        <v>chiara.possamai@crm.otsuka-europe.com</v>
      </c>
      <c r="N11817" s="23">
        <v>46189.509884259256</v>
      </c>
      <c r="O11817" s="14" t="str">
        <f>HYPERLINK("https://otsuka-europe-crm.veevavault.com/ui/#object/email_activity__v/V8C00000003W228", "EN-002097186")</f>
        <v>EN-002097186</v>
      </c>
    </row>
    <row r="11818" spans="1:15" ht="16" x14ac:dyDescent="0.2">
      <c r="A11818" s="18"/>
      <c r="B11818" s="18"/>
      <c r="C11818" s="18"/>
      <c r="D11818" s="18"/>
      <c r="E11818" s="18"/>
      <c r="F11818" s="18"/>
      <c r="G11818" s="18"/>
      <c r="H11818" s="18"/>
      <c r="I11818" s="18"/>
      <c r="J11818" s="18"/>
      <c r="K11818" s="18"/>
      <c r="L11818" s="18"/>
      <c r="M11818" s="18"/>
      <c r="N11818" s="18"/>
      <c r="O11818" s="14" t="str">
        <f>HYPERLINK("https://otsuka-europe-crm.veevavault.com/ui/#object/email_activity__v/V8C00000003W229", "EN-002097187")</f>
        <v>EN-002097187</v>
      </c>
    </row>
    <row r="11819" spans="1:15" ht="16" x14ac:dyDescent="0.2">
      <c r="A11819" s="18"/>
      <c r="B11819" s="18"/>
      <c r="C11819" s="18"/>
      <c r="D11819" s="18"/>
      <c r="E11819" s="18"/>
      <c r="F11819" s="18"/>
      <c r="G11819" s="18"/>
      <c r="H11819" s="18"/>
      <c r="I11819" s="18"/>
      <c r="J11819" s="18"/>
      <c r="K11819" s="18"/>
      <c r="L11819" s="18"/>
      <c r="M11819" s="18"/>
      <c r="N11819" s="18"/>
      <c r="O11819" s="14" t="str">
        <f>HYPERLINK("https://otsuka-europe-crm.veevavault.com/ui/#object/email_activity__v/V8C00000003X144", "EN-002097167")</f>
        <v>EN-002097167</v>
      </c>
    </row>
    <row r="11820" spans="1:15" ht="16" x14ac:dyDescent="0.2">
      <c r="A11820" s="18"/>
      <c r="B11820" s="18"/>
      <c r="C11820" s="18"/>
      <c r="D11820" s="18"/>
      <c r="E11820" s="18"/>
      <c r="F11820" s="18"/>
      <c r="G11820" s="18"/>
      <c r="H11820" s="18"/>
      <c r="I11820" s="18"/>
      <c r="J11820" s="18"/>
      <c r="K11820" s="18"/>
      <c r="L11820" s="18"/>
      <c r="M11820" s="18"/>
      <c r="N11820" s="18"/>
      <c r="O11820" s="14" t="str">
        <f>HYPERLINK("https://otsuka-europe-crm.veevavault.com/ui/#object/email_activity__v/V8C00000003X148", "EN-002097183")</f>
        <v>EN-002097183</v>
      </c>
    </row>
    <row r="11821" spans="1:15" ht="16" x14ac:dyDescent="0.2">
      <c r="A11821" s="18"/>
      <c r="B11821" s="18"/>
      <c r="C11821" s="18"/>
      <c r="D11821" s="18"/>
      <c r="E11821" s="18"/>
      <c r="F11821" s="18"/>
      <c r="G11821" s="18"/>
      <c r="H11821" s="18"/>
      <c r="I11821" s="18"/>
      <c r="J11821" s="18"/>
      <c r="K11821" s="18"/>
      <c r="L11821" s="18"/>
      <c r="M11821" s="18"/>
      <c r="N11821" s="18"/>
      <c r="O11821" s="14" t="str">
        <f>HYPERLINK("https://otsuka-europe-crm.veevavault.com/ui/#object/email_activity__v/V8C00000003X149", "EN-002097184")</f>
        <v>EN-002097184</v>
      </c>
    </row>
    <row r="11822" spans="1:15" ht="16" x14ac:dyDescent="0.2">
      <c r="A11822" s="18"/>
      <c r="B11822" s="18"/>
      <c r="C11822" s="18"/>
      <c r="D11822" s="18"/>
      <c r="E11822" s="18"/>
      <c r="F11822" s="18"/>
      <c r="G11822" s="18"/>
      <c r="H11822" s="18"/>
      <c r="I11822" s="18"/>
      <c r="J11822" s="18"/>
      <c r="K11822" s="18"/>
      <c r="L11822" s="18"/>
      <c r="M11822" s="18"/>
      <c r="N11822" s="18"/>
      <c r="O11822" s="14" t="str">
        <f>HYPERLINK("https://otsuka-europe-crm.veevavault.com/ui/#object/email_activity__v/V8C00000003X151", "EN-002097189")</f>
        <v>EN-002097189</v>
      </c>
    </row>
    <row r="11823" spans="1:15" ht="16" x14ac:dyDescent="0.2">
      <c r="A11823" s="19"/>
      <c r="B11823" s="19"/>
      <c r="C11823" s="19"/>
      <c r="D11823" s="19"/>
      <c r="E11823" s="19"/>
      <c r="F11823" s="19"/>
      <c r="G11823" s="19"/>
      <c r="H11823" s="19"/>
      <c r="I11823" s="19"/>
      <c r="J11823" s="19"/>
      <c r="K11823" s="19"/>
      <c r="L11823" s="19"/>
      <c r="M11823" s="19"/>
      <c r="N11823" s="19"/>
      <c r="O11823" s="14" t="str">
        <f>HYPERLINK("https://otsuka-europe-crm.veevavault.com/ui/#object/email_activity__v/V8C00000003X152", "EN-002097190")</f>
        <v>EN-002097190</v>
      </c>
    </row>
    <row r="11824" spans="1:15" ht="16" x14ac:dyDescent="0.2">
      <c r="A11824" s="17" t="str">
        <f>HYPERLINK("https://otsuka-europe-crm.veevavault.com/ui/#object/account__v/V4TZ04ASGFQ2Q6M", "ELIA MASCHIETTO")</f>
        <v>ELIA MASCHIETTO</v>
      </c>
      <c r="B11824" s="17" t="str">
        <f>HYPERLINK("https://otsuka-europe-crm.veevavault.com/ui/#object/vcountry__v/VENZ000004SONFQ", "IT")</f>
        <v>IT</v>
      </c>
      <c r="C11824" s="20" t="s">
        <v>44</v>
      </c>
      <c r="D11824" s="21" t="str">
        <f>HYPERLINK("https://otsuka-europe-crm.veevavault.com/ui/#object/approved_document__v/V5OZ025E82JJ7FL", "NL AE HCP Portal")</f>
        <v>NL AE HCP Portal</v>
      </c>
      <c r="E11824" s="22" t="str">
        <f>HYPERLINK("https://otsuka-europe-crm.veevavault.com/ui/#object/sent_email__v/VBL00000002V354", "SE-001437320")</f>
        <v>SE-001437320</v>
      </c>
      <c r="F11824" s="23">
        <v>46189.520173611112</v>
      </c>
      <c r="G11824" s="24">
        <v>1</v>
      </c>
      <c r="H11824" s="24">
        <v>1</v>
      </c>
      <c r="I11824" s="24">
        <v>0</v>
      </c>
      <c r="J11824" s="25"/>
      <c r="K11824" s="24">
        <v>0</v>
      </c>
      <c r="L11824" s="22" t="str">
        <f>HYPERLINK("https://otsuka-europe-crm.veevavault.com/ui/#object/approved_document__v/V5OZ025E82JJ7FL", "NL AE HCP Portal")</f>
        <v>NL AE HCP Portal</v>
      </c>
      <c r="M11824" s="22" t="str">
        <f>HYPERLINK("mailto:chiara.possamai@crm.otsuka-europe.com", "chiara.possamai@crm.otsuka-europe.com")</f>
        <v>chiara.possamai@crm.otsuka-europe.com</v>
      </c>
      <c r="N11824" s="23">
        <v>46189.510416666664</v>
      </c>
      <c r="O11824" s="14" t="str">
        <f>HYPERLINK("https://otsuka-europe-crm.veevavault.com/ui/#object/email_activity__v/V8C00000003W213", "EN-002097168")</f>
        <v>EN-002097168</v>
      </c>
    </row>
    <row r="11825" spans="1:15" ht="16" x14ac:dyDescent="0.2">
      <c r="A11825" s="19"/>
      <c r="B11825" s="19"/>
      <c r="C11825" s="19"/>
      <c r="D11825" s="19"/>
      <c r="E11825" s="19"/>
      <c r="F11825" s="19"/>
      <c r="G11825" s="19"/>
      <c r="H11825" s="19"/>
      <c r="I11825" s="19"/>
      <c r="J11825" s="19"/>
      <c r="K11825" s="19"/>
      <c r="L11825" s="19"/>
      <c r="M11825" s="19"/>
      <c r="N11825" s="19"/>
      <c r="O11825" s="14" t="str">
        <f>HYPERLINK("https://otsuka-europe-crm.veevavault.com/ui/#object/email_activity__v/V8C00000003X147", "EN-002097182")</f>
        <v>EN-002097182</v>
      </c>
    </row>
    <row r="11826" spans="1:15" ht="16" x14ac:dyDescent="0.2">
      <c r="A11826" s="17" t="str">
        <f>HYPERLINK("https://otsuka-europe-crm.veevavault.com/ui/#object/account__v/V4T000000010013", "PIETRO DI COSTANZO")</f>
        <v>PIETRO DI COSTANZO</v>
      </c>
      <c r="B11826" s="17" t="str">
        <f>HYPERLINK("https://otsuka-europe-crm.veevavault.com/ui/#object/vcountry__v/VENZ000004SONFQ", "IT")</f>
        <v>IT</v>
      </c>
      <c r="C11826" s="20" t="s">
        <v>44</v>
      </c>
      <c r="D11826" s="21" t="str">
        <f>HYPERLINK("https://otsuka-europe-crm.veevavault.com/ui/#object/approved_document__v/V5OZ025E82JJ7FL", "NL AE HCP Portal")</f>
        <v>NL AE HCP Portal</v>
      </c>
      <c r="E11826" s="22" t="str">
        <f>HYPERLINK("https://otsuka-europe-crm.veevavault.com/ui/#object/sent_email__v/VBL00000002V355", "SE-001437321")</f>
        <v>SE-001437321</v>
      </c>
      <c r="F11826" s="23">
        <v>46190.348275462966</v>
      </c>
      <c r="G11826" s="24">
        <v>1</v>
      </c>
      <c r="H11826" s="24">
        <v>1</v>
      </c>
      <c r="I11826" s="24">
        <v>0</v>
      </c>
      <c r="J11826" s="25"/>
      <c r="K11826" s="24">
        <v>0</v>
      </c>
      <c r="L11826" s="22" t="str">
        <f>HYPERLINK("https://otsuka-europe-crm.veevavault.com/ui/#object/approved_document__v/V5OZ025E82JJ7FL", "NL AE HCP Portal")</f>
        <v>NL AE HCP Portal</v>
      </c>
      <c r="M11826" s="22" t="str">
        <f>HYPERLINK("mailto:chiara.possamai@crm.otsuka-europe.com", "chiara.possamai@crm.otsuka-europe.com")</f>
        <v>chiara.possamai@crm.otsuka-europe.com</v>
      </c>
      <c r="N11826" s="23">
        <v>46189.510879629626</v>
      </c>
      <c r="O11826" s="14" t="str">
        <f>HYPERLINK("https://otsuka-europe-crm.veevavault.com/ui/#object/email_activity__v/V8C00000003W214", "EN-002097169")</f>
        <v>EN-002097169</v>
      </c>
    </row>
    <row r="11827" spans="1:15" ht="16" x14ac:dyDescent="0.2">
      <c r="A11827" s="19"/>
      <c r="B11827" s="19"/>
      <c r="C11827" s="19"/>
      <c r="D11827" s="19"/>
      <c r="E11827" s="19"/>
      <c r="F11827" s="19"/>
      <c r="G11827" s="19"/>
      <c r="H11827" s="19"/>
      <c r="I11827" s="19"/>
      <c r="J11827" s="19"/>
      <c r="K11827" s="19"/>
      <c r="L11827" s="19"/>
      <c r="M11827" s="19"/>
      <c r="N11827" s="19"/>
      <c r="O11827" s="14" t="str">
        <f>HYPERLINK("https://otsuka-europe-crm.veevavault.com/ui/#object/email_activity__v/V8C00000003X816", "EN-002098250")</f>
        <v>EN-002098250</v>
      </c>
    </row>
    <row r="11828" spans="1:15" ht="32" x14ac:dyDescent="0.2">
      <c r="A11828" s="7" t="str">
        <f>HYPERLINK("https://otsuka-europe-crm.veevavault.com/ui/#object/account__v/V4T00000000A072", "BEATRICE BERO")</f>
        <v>BEATRICE BERO</v>
      </c>
      <c r="B11828" s="7" t="str">
        <f>HYPERLINK("https://otsuka-europe-crm.veevavault.com/ui/#object/vcountry__v/VENZ000004SONFQ", "IT")</f>
        <v>IT</v>
      </c>
      <c r="C11828" s="8" t="s">
        <v>44</v>
      </c>
      <c r="D11828" s="9" t="str">
        <f>HYPERLINK("https://otsuka-europe-crm.veevavault.com/ui/#object/approved_document__v/V5OZ025E82JJ7FL", "NL AE HCP Portal")</f>
        <v>NL AE HCP Portal</v>
      </c>
      <c r="E11828" s="10" t="str">
        <f>HYPERLINK("https://otsuka-europe-crm.veevavault.com/ui/#object/sent_email__v/VBL00000002T518", "SE-001437322")</f>
        <v>SE-001437322</v>
      </c>
      <c r="F11828" s="11"/>
      <c r="G11828" s="12">
        <v>0</v>
      </c>
      <c r="H11828" s="12">
        <v>0</v>
      </c>
      <c r="I11828" s="12">
        <v>0</v>
      </c>
      <c r="J11828" s="11"/>
      <c r="K11828" s="12">
        <v>0</v>
      </c>
      <c r="L11828" s="10" t="str">
        <f>HYPERLINK("https://otsuka-europe-crm.veevavault.com/ui/#object/approved_document__v/V5OZ025E82JJ7FL", "NL AE HCP Portal")</f>
        <v>NL AE HCP Portal</v>
      </c>
      <c r="M11828" s="10" t="str">
        <f>HYPERLINK("mailto:chiara.possamai@crm.otsuka-europe.com", "chiara.possamai@crm.otsuka-europe.com")</f>
        <v>chiara.possamai@crm.otsuka-europe.com</v>
      </c>
      <c r="N11828" s="13">
        <v>46189.511238425926</v>
      </c>
      <c r="O11828" s="14" t="str">
        <f>HYPERLINK("https://otsuka-europe-crm.veevavault.com/ui/#object/email_activity__v/V8C00000003W215", "EN-002097170")</f>
        <v>EN-002097170</v>
      </c>
    </row>
    <row r="11829" spans="1:15" ht="16" x14ac:dyDescent="0.2">
      <c r="A11829" s="17" t="str">
        <f>HYPERLINK("https://otsuka-europe-crm.veevavault.com/ui/#object/account__v/V4TZ00000633HA4", "PIERRE MESSENDE")</f>
        <v>PIERRE MESSENDE</v>
      </c>
      <c r="B11829" s="17" t="str">
        <f>HYPERLINK("https://otsuka-europe-crm.veevavault.com/ui/#object/vcountry__v/VENZ000004SONFA", "FR")</f>
        <v>FR</v>
      </c>
      <c r="C11829" s="20" t="s">
        <v>42</v>
      </c>
      <c r="D11829" s="21" t="str">
        <f>HYPERLINK("https://otsuka-europe-crm.veevavault.com/ui/#object/approved_document__v/V5OZ04ASG4G02Y7", "REMERCIEMENTS_VAD_2023")</f>
        <v>REMERCIEMENTS_VAD_2023</v>
      </c>
      <c r="E11829" s="22" t="str">
        <f>HYPERLINK("https://otsuka-europe-crm.veevavault.com/ui/#object/sent_email__v/VBL00000002V356", "SE-001437323")</f>
        <v>SE-001437323</v>
      </c>
      <c r="F11829" s="23">
        <v>46189.552094907405</v>
      </c>
      <c r="G11829" s="24">
        <v>1</v>
      </c>
      <c r="H11829" s="24">
        <v>1</v>
      </c>
      <c r="I11829" s="24">
        <v>0</v>
      </c>
      <c r="J11829" s="25"/>
      <c r="K11829" s="24">
        <v>0</v>
      </c>
      <c r="L11829" s="22" t="str">
        <f>HYPERLINK("https://otsuka-europe-crm.veevavault.com/ui/#object/approved_document__v/V5OZ04ASG4G02Y7", "REMERCIEMENTS_VAD_2023")</f>
        <v>REMERCIEMENTS_VAD_2023</v>
      </c>
      <c r="M11829" s="22" t="str">
        <f>HYPERLINK("mailto:cchevalliermiserole@crm.otsuka-europe.com", "cchevalliermiserole@crm.otsuka-europe.com")</f>
        <v>cchevalliermiserole@crm.otsuka-europe.com</v>
      </c>
      <c r="N11829" s="23">
        <v>46189.514722222222</v>
      </c>
      <c r="O11829" s="14" t="str">
        <f>HYPERLINK("https://otsuka-europe-crm.veevavault.com/ui/#object/email_activity__v/V8C00000003W222", "EN-002097176")</f>
        <v>EN-002097176</v>
      </c>
    </row>
    <row r="11830" spans="1:15" ht="16" x14ac:dyDescent="0.2">
      <c r="A11830" s="19"/>
      <c r="B11830" s="19"/>
      <c r="C11830" s="19"/>
      <c r="D11830" s="19"/>
      <c r="E11830" s="19"/>
      <c r="F11830" s="19"/>
      <c r="G11830" s="19"/>
      <c r="H11830" s="19"/>
      <c r="I11830" s="19"/>
      <c r="J11830" s="19"/>
      <c r="K11830" s="19"/>
      <c r="L11830" s="19"/>
      <c r="M11830" s="19"/>
      <c r="N11830" s="19"/>
      <c r="O11830" s="14" t="str">
        <f>HYPERLINK("https://otsuka-europe-crm.veevavault.com/ui/#object/email_activity__v/V8C00000003W232", "EN-002097193")</f>
        <v>EN-002097193</v>
      </c>
    </row>
    <row r="11831" spans="1:15" ht="16" x14ac:dyDescent="0.2">
      <c r="A11831" s="17" t="str">
        <f>HYPERLINK("https://otsuka-europe-crm.veevavault.com/ui/#object/account__v/V4TZ00000633HA4", "PIERRE MESSENDE")</f>
        <v>PIERRE MESSENDE</v>
      </c>
      <c r="B11831" s="17" t="str">
        <f>HYPERLINK("https://otsuka-europe-crm.veevavault.com/ui/#object/vcountry__v/VENZ000004SONFA", "FR")</f>
        <v>FR</v>
      </c>
      <c r="C11831" s="20" t="s">
        <v>42</v>
      </c>
      <c r="D11831" s="21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E11831" s="22" t="str">
        <f>HYPERLINK("https://otsuka-europe-crm.veevavault.com/ui/#object/sent_email__v/VBL00000002V357", "SE-001437324")</f>
        <v>SE-001437324</v>
      </c>
      <c r="F11831" s="23">
        <v>46189.667060185187</v>
      </c>
      <c r="G11831" s="24">
        <v>1</v>
      </c>
      <c r="H11831" s="24">
        <v>4</v>
      </c>
      <c r="I11831" s="24">
        <v>0</v>
      </c>
      <c r="J11831" s="25"/>
      <c r="K11831" s="24">
        <v>0</v>
      </c>
      <c r="L11831" s="22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M11831" s="22" t="str">
        <f>HYPERLINK("mailto:cchevalliermiserole@crm.otsuka-europe.com", "cchevalliermiserole@crm.otsuka-europe.com")</f>
        <v>cchevalliermiserole@crm.otsuka-europe.com</v>
      </c>
      <c r="N11831" s="23">
        <v>46189.592314814814</v>
      </c>
      <c r="O11831" s="14" t="str">
        <f>HYPERLINK("https://otsuka-europe-crm.veevavault.com/ui/#object/email_activity__v/V8C00000003W238", "EN-002097209")</f>
        <v>EN-002097209</v>
      </c>
    </row>
    <row r="11832" spans="1:15" ht="16" x14ac:dyDescent="0.2">
      <c r="A11832" s="18"/>
      <c r="B11832" s="18"/>
      <c r="C11832" s="18"/>
      <c r="D11832" s="18"/>
      <c r="E11832" s="18"/>
      <c r="F11832" s="18"/>
      <c r="G11832" s="18"/>
      <c r="H11832" s="18"/>
      <c r="I11832" s="18"/>
      <c r="J11832" s="18"/>
      <c r="K11832" s="18"/>
      <c r="L11832" s="18"/>
      <c r="M11832" s="18"/>
      <c r="N11832" s="18"/>
      <c r="O11832" s="14" t="str">
        <f>HYPERLINK("https://otsuka-europe-crm.veevavault.com/ui/#object/email_activity__v/V8C00000003W242", "EN-002097219")</f>
        <v>EN-002097219</v>
      </c>
    </row>
    <row r="11833" spans="1:15" ht="16" x14ac:dyDescent="0.2">
      <c r="A11833" s="18"/>
      <c r="B11833" s="18"/>
      <c r="C11833" s="18"/>
      <c r="D11833" s="18"/>
      <c r="E11833" s="18"/>
      <c r="F11833" s="18"/>
      <c r="G11833" s="18"/>
      <c r="H11833" s="18"/>
      <c r="I11833" s="18"/>
      <c r="J11833" s="18"/>
      <c r="K11833" s="18"/>
      <c r="L11833" s="18"/>
      <c r="M11833" s="18"/>
      <c r="N11833" s="18"/>
      <c r="O11833" s="14" t="str">
        <f>HYPERLINK("https://otsuka-europe-crm.veevavault.com/ui/#object/email_activity__v/V8C00000003X169", "EN-002097222")</f>
        <v>EN-002097222</v>
      </c>
    </row>
    <row r="11834" spans="1:15" ht="16" x14ac:dyDescent="0.2">
      <c r="A11834" s="18"/>
      <c r="B11834" s="18"/>
      <c r="C11834" s="18"/>
      <c r="D11834" s="18"/>
      <c r="E11834" s="18"/>
      <c r="F11834" s="18"/>
      <c r="G11834" s="18"/>
      <c r="H11834" s="18"/>
      <c r="I11834" s="18"/>
      <c r="J11834" s="18"/>
      <c r="K11834" s="18"/>
      <c r="L11834" s="18"/>
      <c r="M11834" s="18"/>
      <c r="N11834" s="18"/>
      <c r="O11834" s="14" t="str">
        <f>HYPERLINK("https://otsuka-europe-crm.veevavault.com/ui/#object/email_activity__v/V8C00000003X173", "EN-002097245")</f>
        <v>EN-002097245</v>
      </c>
    </row>
    <row r="11835" spans="1:15" ht="16" x14ac:dyDescent="0.2">
      <c r="A11835" s="19"/>
      <c r="B11835" s="19"/>
      <c r="C11835" s="19"/>
      <c r="D11835" s="19"/>
      <c r="E11835" s="19"/>
      <c r="F11835" s="19"/>
      <c r="G11835" s="19"/>
      <c r="H11835" s="19"/>
      <c r="I11835" s="19"/>
      <c r="J11835" s="19"/>
      <c r="K11835" s="19"/>
      <c r="L11835" s="19"/>
      <c r="M11835" s="19"/>
      <c r="N11835" s="19"/>
      <c r="O11835" s="14" t="str">
        <f>HYPERLINK("https://otsuka-europe-crm.veevavault.com/ui/#object/email_activity__v/V8C00000003X186", "EN-002097275")</f>
        <v>EN-002097275</v>
      </c>
    </row>
    <row r="11836" spans="1:15" ht="32" x14ac:dyDescent="0.2">
      <c r="A11836" s="7" t="str">
        <f>HYPERLINK("https://otsuka-europe-crm.veevavault.com/ui/#object/account__v/V4TZ00000633XHQ", "JORO RAMILITIANA")</f>
        <v>JORO RAMILITIANA</v>
      </c>
      <c r="B11836" s="7" t="str">
        <f>HYPERLINK("https://otsuka-europe-crm.veevavault.com/ui/#object/vcountry__v/VENZ000004SONFA", "FR")</f>
        <v>FR</v>
      </c>
      <c r="C11836" s="8" t="s">
        <v>42</v>
      </c>
      <c r="D11836" s="9" t="str">
        <f>HYPERLINK("https://otsuka-europe-crm.veevavault.com/ui/#object/approved_document__v/V5OZ04ASG4G02Y6", "INVITATION_VAD_2023")</f>
        <v>INVITATION_VAD_2023</v>
      </c>
      <c r="E11836" s="10" t="str">
        <f>HYPERLINK("https://otsuka-europe-crm.veevavault.com/ui/#object/sent_email__v/VBL00000002V358", "SE-001437325")</f>
        <v>SE-001437325</v>
      </c>
      <c r="F11836" s="11"/>
      <c r="G11836" s="12">
        <v>0</v>
      </c>
      <c r="H11836" s="12">
        <v>0</v>
      </c>
      <c r="I11836" s="12">
        <v>0</v>
      </c>
      <c r="J11836" s="11"/>
      <c r="K11836" s="12">
        <v>0</v>
      </c>
      <c r="L11836" s="10" t="str">
        <f>HYPERLINK("https://otsuka-europe-crm.veevavault.com/ui/#object/approved_document__v/V5OZ04ASG4G02Y6", "INVITATION_VAD_2023")</f>
        <v>INVITATION_VAD_2023</v>
      </c>
      <c r="M11836" s="10" t="str">
        <f>HYPERLINK("mailto:sblancheland@crm.otsuka-europe.com", "sblancheland@crm.otsuka-europe.com")</f>
        <v>sblancheland@crm.otsuka-europe.com</v>
      </c>
      <c r="N11836" s="13">
        <v>46189.514722222222</v>
      </c>
      <c r="O11836" s="14" t="str">
        <f>HYPERLINK("https://otsuka-europe-crm.veevavault.com/ui/#object/email_activity__v/V8C00000003X145", "EN-002097175")</f>
        <v>EN-002097175</v>
      </c>
    </row>
    <row r="11837" spans="1:15" ht="16" x14ac:dyDescent="0.2">
      <c r="A11837" s="17" t="str">
        <f>HYPERLINK("https://otsuka-europe-crm.veevavault.com/ui/#object/account__v/V4TZ00000633IRY", "SOUMIA IDRIS KHODJA")</f>
        <v>SOUMIA IDRIS KHODJA</v>
      </c>
      <c r="B11837" s="17" t="str">
        <f>HYPERLINK("https://otsuka-europe-crm.veevavault.com/ui/#object/vcountry__v/VENZ000004SONFA", "FR")</f>
        <v>FR</v>
      </c>
      <c r="C11837" s="20" t="s">
        <v>42</v>
      </c>
      <c r="D11837" s="21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E11837" s="22" t="str">
        <f>HYPERLINK("https://otsuka-europe-crm.veevavault.com/ui/#object/sent_email__v/VBL00000002T519", "SE-001437326")</f>
        <v>SE-001437326</v>
      </c>
      <c r="F11837" s="25"/>
      <c r="G11837" s="24">
        <v>0</v>
      </c>
      <c r="H11837" s="24">
        <v>0</v>
      </c>
      <c r="I11837" s="24">
        <v>0</v>
      </c>
      <c r="J11837" s="25"/>
      <c r="K11837" s="24">
        <v>0</v>
      </c>
      <c r="L11837" s="22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M11837" s="22" t="str">
        <f>HYPERLINK("mailto:ijardy@crm.otsuka-europe.com", "ijardy@crm.otsuka-europe.com")</f>
        <v>ijardy@crm.otsuka-europe.com</v>
      </c>
      <c r="N11837" s="23">
        <v>46189.675659722219</v>
      </c>
      <c r="O11837" s="14" t="str">
        <f>HYPERLINK("https://otsuka-europe-crm.veevavault.com/ui/#object/email_activity__v/V8C00000003X189", "EN-002097280")</f>
        <v>EN-002097280</v>
      </c>
    </row>
    <row r="11838" spans="1:15" ht="16" x14ac:dyDescent="0.2">
      <c r="A11838" s="19"/>
      <c r="B11838" s="19"/>
      <c r="C11838" s="19"/>
      <c r="D11838" s="19"/>
      <c r="E11838" s="19"/>
      <c r="F11838" s="19"/>
      <c r="G11838" s="19"/>
      <c r="H11838" s="19"/>
      <c r="I11838" s="19"/>
      <c r="J11838" s="19"/>
      <c r="K11838" s="19"/>
      <c r="L11838" s="19"/>
      <c r="M11838" s="19"/>
      <c r="N11838" s="19"/>
      <c r="O11838" s="14" t="str">
        <f>HYPERLINK("https://otsuka-europe-crm.veevavault.com/ui/#object/email_activity__v/V8C00000003X199", "EN-002097296")</f>
        <v>EN-002097296</v>
      </c>
    </row>
    <row r="11839" spans="1:15" ht="32" x14ac:dyDescent="0.2">
      <c r="A11839" s="7" t="str">
        <f>HYPERLINK("https://otsuka-europe-crm.veevavault.com/ui/#object/account__v/V4T000000025047", "Clare Durbin")</f>
        <v>Clare Durbin</v>
      </c>
      <c r="B11839" s="7" t="str">
        <f>HYPERLINK("https://otsuka-europe-crm.veevavault.com/ui/#object/vcountry__v/VENZ000004SONFK", "GB")</f>
        <v>GB</v>
      </c>
      <c r="C11839" s="8" t="s">
        <v>39</v>
      </c>
      <c r="D11839" s="9" t="str">
        <f>HYPERLINK("https://otsuka-europe-crm.veevavault.com/ui/#object/approved_document__v/V5OZ025E82PXJSL", "Otsuka Privacy Notice - UK (v2)")</f>
        <v>Otsuka Privacy Notice - UK (v2)</v>
      </c>
      <c r="E11839" s="10" t="str">
        <f>HYPERLINK("https://otsuka-europe-crm.veevavault.com/ui/#object/sent_email__v/VBL00000002T520", "SE-001437327")</f>
        <v>SE-001437327</v>
      </c>
      <c r="F11839" s="11"/>
      <c r="G11839" s="12">
        <v>0</v>
      </c>
      <c r="H11839" s="12">
        <v>0</v>
      </c>
      <c r="I11839" s="12">
        <v>0</v>
      </c>
      <c r="J11839" s="11"/>
      <c r="K11839" s="12">
        <v>0</v>
      </c>
      <c r="L11839" s="10" t="str">
        <f>HYPERLINK("https://otsuka-europe-crm.veevavault.com/ui/#object/approved_document__v/V5OZ025E82PXJSL", "Otsuka Privacy Notice - UK (v2)")</f>
        <v>Otsuka Privacy Notice - UK (v2)</v>
      </c>
      <c r="M11839" s="10" t="str">
        <f>HYPERLINK("mailto:ldimambro@crm.otsuka-europe.com", "ldimambro@crm.otsuka-europe.com")</f>
        <v>ldimambro@crm.otsuka-europe.com</v>
      </c>
      <c r="N11839" s="13">
        <v>46189.559525462966</v>
      </c>
      <c r="O11839" s="14" t="str">
        <f>HYPERLINK("https://otsuka-europe-crm.veevavault.com/ui/#object/email_activity__v/V8C00000003X153", "EN-002097194")</f>
        <v>EN-002097194</v>
      </c>
    </row>
    <row r="11840" spans="1:15" ht="16" x14ac:dyDescent="0.2">
      <c r="A11840" s="17" t="str">
        <f>HYPERLINK("https://otsuka-europe-crm.veevavault.com/ui/#object/account__v/V4T000000025047", "Clare Durbin")</f>
        <v>Clare Durbin</v>
      </c>
      <c r="B11840" s="17" t="str">
        <f>HYPERLINK("https://otsuka-europe-crm.veevavault.com/ui/#object/vcountry__v/VENZ000004SONFK", "GB")</f>
        <v>GB</v>
      </c>
      <c r="C11840" s="20" t="s">
        <v>39</v>
      </c>
      <c r="D11840" s="21" t="str">
        <f>HYPERLINK("https://otsuka-europe-crm.veevavault.com/ui/#object/approved_document__v/V5O00000000D081", "UK - Consent Email 1 Aug 25")</f>
        <v>UK - Consent Email 1 Aug 25</v>
      </c>
      <c r="E11840" s="22" t="str">
        <f>HYPERLINK("https://otsuka-europe-crm.veevavault.com/ui/#object/sent_email__v/VBL00000002T521", "SE-001437328")</f>
        <v>SE-001437328</v>
      </c>
      <c r="F11840" s="23">
        <v>46189.560601851852</v>
      </c>
      <c r="G11840" s="24">
        <v>1</v>
      </c>
      <c r="H11840" s="24">
        <v>1</v>
      </c>
      <c r="I11840" s="24">
        <v>0</v>
      </c>
      <c r="J11840" s="25"/>
      <c r="K11840" s="24">
        <v>0</v>
      </c>
      <c r="L11840" s="22" t="str">
        <f>HYPERLINK("https://otsuka-europe-crm.veevavault.com/ui/#object/approved_document__v/V5O00000000D081", "UK - Consent Email 1 Aug 25")</f>
        <v>UK - Consent Email 1 Aug 25</v>
      </c>
      <c r="M11840" s="22" t="str">
        <f>HYPERLINK("mailto:ldimambro@crm.otsuka-europe.com", "ldimambro@crm.otsuka-europe.com")</f>
        <v>ldimambro@crm.otsuka-europe.com</v>
      </c>
      <c r="N11840" s="23">
        <v>46189.560543981483</v>
      </c>
      <c r="O11840" s="14" t="str">
        <f>HYPERLINK("https://otsuka-europe-crm.veevavault.com/ui/#object/email_activity__v/V8C00000003W233", "EN-002097195")</f>
        <v>EN-002097195</v>
      </c>
    </row>
    <row r="11841" spans="1:15" ht="16" x14ac:dyDescent="0.2">
      <c r="A11841" s="19"/>
      <c r="B11841" s="19"/>
      <c r="C11841" s="19"/>
      <c r="D11841" s="19"/>
      <c r="E11841" s="19"/>
      <c r="F11841" s="19"/>
      <c r="G11841" s="19"/>
      <c r="H11841" s="19"/>
      <c r="I11841" s="19"/>
      <c r="J11841" s="19"/>
      <c r="K11841" s="19"/>
      <c r="L11841" s="19"/>
      <c r="M11841" s="19"/>
      <c r="N11841" s="19"/>
      <c r="O11841" s="14" t="str">
        <f>HYPERLINK("https://otsuka-europe-crm.veevavault.com/ui/#object/email_activity__v/V8C00000003X154", "EN-002097196")</f>
        <v>EN-002097196</v>
      </c>
    </row>
    <row r="11842" spans="1:15" ht="16" x14ac:dyDescent="0.2">
      <c r="A11842" s="17" t="str">
        <f>HYPERLINK("https://otsuka-europe-crm.veevavault.com/ui/#object/account__v/V4T000000024059", "MARIA CARMEN PEREZ FRANCES")</f>
        <v>MARIA CARMEN PEREZ FRANCES</v>
      </c>
      <c r="B11842" s="17" t="str">
        <f>HYPERLINK("https://otsuka-europe-crm.veevavault.com/ui/#object/vcountry__v/VENZ000004SONF5", "ES")</f>
        <v>ES</v>
      </c>
      <c r="C11842" s="20" t="s">
        <v>41</v>
      </c>
      <c r="D11842" s="21" t="str">
        <f>HYPERLINK("https://otsuka-europe-crm.veevavault.com/ui/#object/approved_document__v/V5OZ06G6O6RFL1P", "ES Veeva Privacy Notice Email")</f>
        <v>ES Veeva Privacy Notice Email</v>
      </c>
      <c r="E11842" s="22" t="str">
        <f>HYPERLINK("https://otsuka-europe-crm.veevavault.com/ui/#object/sent_email__v/VBL00000002V359", "SE-001437329")</f>
        <v>SE-001437329</v>
      </c>
      <c r="F11842" s="25"/>
      <c r="G11842" s="24">
        <v>0</v>
      </c>
      <c r="H11842" s="24">
        <v>0</v>
      </c>
      <c r="I11842" s="24">
        <v>0</v>
      </c>
      <c r="J11842" s="25"/>
      <c r="K11842" s="24">
        <v>0</v>
      </c>
      <c r="L11842" s="22" t="str">
        <f>HYPERLINK("https://otsuka-europe-crm.veevavault.com/ui/#object/approved_document__v/V5OZ06G6O6RFL1P", "ES Veeva Privacy Notice Email")</f>
        <v>ES Veeva Privacy Notice Email</v>
      </c>
      <c r="M11842" s="22" t="str">
        <f>HYPERLINK("mailto:barroyo@crm.otsuka-europe.com", "barroyo@crm.otsuka-europe.com")</f>
        <v>barroyo@crm.otsuka-europe.com</v>
      </c>
      <c r="N11842" s="23">
        <v>46189.572905092595</v>
      </c>
      <c r="O11842" s="14" t="str">
        <f>HYPERLINK("https://otsuka-europe-crm.veevavault.com/ui/#object/email_activity__v/V8C00000003W304", "EN-002097331")</f>
        <v>EN-002097331</v>
      </c>
    </row>
    <row r="11843" spans="1:15" ht="16" x14ac:dyDescent="0.2">
      <c r="A11843" s="18"/>
      <c r="B11843" s="18"/>
      <c r="C11843" s="18"/>
      <c r="D11843" s="18"/>
      <c r="E11843" s="18"/>
      <c r="F11843" s="18"/>
      <c r="G11843" s="18"/>
      <c r="H11843" s="18"/>
      <c r="I11843" s="18"/>
      <c r="J11843" s="18"/>
      <c r="K11843" s="18"/>
      <c r="L11843" s="18"/>
      <c r="M11843" s="18"/>
      <c r="N11843" s="18"/>
      <c r="O11843" s="14" t="str">
        <f>HYPERLINK("https://otsuka-europe-crm.veevavault.com/ui/#object/email_activity__v/V8C00000003W310", "EN-002097339")</f>
        <v>EN-002097339</v>
      </c>
    </row>
    <row r="11844" spans="1:15" ht="16" x14ac:dyDescent="0.2">
      <c r="A11844" s="18"/>
      <c r="B11844" s="18"/>
      <c r="C11844" s="18"/>
      <c r="D11844" s="18"/>
      <c r="E11844" s="18"/>
      <c r="F11844" s="18"/>
      <c r="G11844" s="18"/>
      <c r="H11844" s="18"/>
      <c r="I11844" s="18"/>
      <c r="J11844" s="18"/>
      <c r="K11844" s="18"/>
      <c r="L11844" s="18"/>
      <c r="M11844" s="18"/>
      <c r="N11844" s="18"/>
      <c r="O11844" s="14" t="str">
        <f>HYPERLINK("https://otsuka-europe-crm.veevavault.com/ui/#object/email_activity__v/V8C00000003X155", "EN-002097197")</f>
        <v>EN-002097197</v>
      </c>
    </row>
    <row r="11845" spans="1:15" ht="16" x14ac:dyDescent="0.2">
      <c r="A11845" s="19"/>
      <c r="B11845" s="19"/>
      <c r="C11845" s="19"/>
      <c r="D11845" s="19"/>
      <c r="E11845" s="19"/>
      <c r="F11845" s="19"/>
      <c r="G11845" s="19"/>
      <c r="H11845" s="19"/>
      <c r="I11845" s="19"/>
      <c r="J11845" s="19"/>
      <c r="K11845" s="19"/>
      <c r="L11845" s="19"/>
      <c r="M11845" s="19"/>
      <c r="N11845" s="19"/>
      <c r="O11845" s="14" t="str">
        <f>HYPERLINK("https://otsuka-europe-crm.veevavault.com/ui/#object/email_activity__v/V8C000000040079", "EN-002098842")</f>
        <v>EN-002098842</v>
      </c>
    </row>
    <row r="11846" spans="1:15" ht="16" x14ac:dyDescent="0.2">
      <c r="A11846" s="17" t="str">
        <f>HYPERLINK("https://otsuka-europe-crm.veevavault.com/ui/#object/account__v/V4T000000024059", "MARIA CARMEN PEREZ FRANCES")</f>
        <v>MARIA CARMEN PEREZ FRANCES</v>
      </c>
      <c r="B11846" s="17" t="str">
        <f>HYPERLINK("https://otsuka-europe-crm.veevavault.com/ui/#object/vcountry__v/VENZ000004SONF5", "ES")</f>
        <v>ES</v>
      </c>
      <c r="C11846" s="20" t="s">
        <v>41</v>
      </c>
      <c r="D11846" s="21" t="str">
        <f>HYPERLINK("https://otsuka-europe-crm.veevavault.com/ui/#object/approved_document__v/V5O00000000D100", "Spain - Consent Email 1 Aug 25")</f>
        <v>Spain - Consent Email 1 Aug 25</v>
      </c>
      <c r="E11846" s="22" t="str">
        <f>HYPERLINK("https://otsuka-europe-crm.veevavault.com/ui/#object/sent_email__v/VBL00000002V360", "SE-001437330")</f>
        <v>SE-001437330</v>
      </c>
      <c r="F11846" s="25"/>
      <c r="G11846" s="24">
        <v>0</v>
      </c>
      <c r="H11846" s="24">
        <v>0</v>
      </c>
      <c r="I11846" s="24">
        <v>0</v>
      </c>
      <c r="J11846" s="25"/>
      <c r="K11846" s="24">
        <v>0</v>
      </c>
      <c r="L11846" s="22" t="str">
        <f>HYPERLINK("https://otsuka-europe-crm.veevavault.com/ui/#object/approved_document__v/V5O00000000D100", "Spain - Consent Email 1 Aug 25")</f>
        <v>Spain - Consent Email 1 Aug 25</v>
      </c>
      <c r="M11846" s="22" t="str">
        <f>HYPERLINK("mailto:barroyo@crm.otsuka-europe.com", "barroyo@crm.otsuka-europe.com")</f>
        <v>barroyo@crm.otsuka-europe.com</v>
      </c>
      <c r="N11846" s="23">
        <v>46189.573761574073</v>
      </c>
      <c r="O11846" s="14" t="str">
        <f>HYPERLINK("https://otsuka-europe-crm.veevavault.com/ui/#object/email_activity__v/V8C00000003W303", "EN-002097330")</f>
        <v>EN-002097330</v>
      </c>
    </row>
    <row r="11847" spans="1:15" ht="16" x14ac:dyDescent="0.2">
      <c r="A11847" s="18"/>
      <c r="B11847" s="18"/>
      <c r="C11847" s="18"/>
      <c r="D11847" s="18"/>
      <c r="E11847" s="18"/>
      <c r="F11847" s="18"/>
      <c r="G11847" s="18"/>
      <c r="H11847" s="18"/>
      <c r="I11847" s="18"/>
      <c r="J11847" s="18"/>
      <c r="K11847" s="18"/>
      <c r="L11847" s="18"/>
      <c r="M11847" s="18"/>
      <c r="N11847" s="18"/>
      <c r="O11847" s="14" t="str">
        <f>HYPERLINK("https://otsuka-europe-crm.veevavault.com/ui/#object/email_activity__v/V8C00000003X156", "EN-002097198")</f>
        <v>EN-002097198</v>
      </c>
    </row>
    <row r="11848" spans="1:15" ht="16" x14ac:dyDescent="0.2">
      <c r="A11848" s="18"/>
      <c r="B11848" s="18"/>
      <c r="C11848" s="18"/>
      <c r="D11848" s="18"/>
      <c r="E11848" s="18"/>
      <c r="F11848" s="18"/>
      <c r="G11848" s="18"/>
      <c r="H11848" s="18"/>
      <c r="I11848" s="18"/>
      <c r="J11848" s="18"/>
      <c r="K11848" s="18"/>
      <c r="L11848" s="18"/>
      <c r="M11848" s="18"/>
      <c r="N11848" s="18"/>
      <c r="O11848" s="14" t="str">
        <f>HYPERLINK("https://otsuka-europe-crm.veevavault.com/ui/#object/email_activity__v/V8C00000003X224", "EN-002097348")</f>
        <v>EN-002097348</v>
      </c>
    </row>
    <row r="11849" spans="1:15" ht="16" x14ac:dyDescent="0.2">
      <c r="A11849" s="19"/>
      <c r="B11849" s="19"/>
      <c r="C11849" s="19"/>
      <c r="D11849" s="19"/>
      <c r="E11849" s="19"/>
      <c r="F11849" s="19"/>
      <c r="G11849" s="19"/>
      <c r="H11849" s="19"/>
      <c r="I11849" s="19"/>
      <c r="J11849" s="19"/>
      <c r="K11849" s="19"/>
      <c r="L11849" s="19"/>
      <c r="M11849" s="19"/>
      <c r="N11849" s="19"/>
      <c r="O11849" s="14" t="str">
        <f>HYPERLINK("https://otsuka-europe-crm.veevavault.com/ui/#object/email_activity__v/V8C000000040077", "EN-002098840")</f>
        <v>EN-002098840</v>
      </c>
    </row>
    <row r="11850" spans="1:15" ht="16" x14ac:dyDescent="0.2">
      <c r="A11850" s="17" t="str">
        <f>HYPERLINK("https://otsuka-europe-crm.veevavault.com/ui/#object/account__v/V4T000000024059", "MARIA CARMEN PEREZ FRANCES")</f>
        <v>MARIA CARMEN PEREZ FRANCES</v>
      </c>
      <c r="B11850" s="17" t="str">
        <f>HYPERLINK("https://otsuka-europe-crm.veevavault.com/ui/#object/vcountry__v/VENZ000004SONF5", "ES")</f>
        <v>ES</v>
      </c>
      <c r="C11850" s="20" t="s">
        <v>41</v>
      </c>
      <c r="D11850" s="21" t="str">
        <f>HYPERLINK("https://otsuka-europe-crm.veevavault.com/ui/#object/approved_document__v/V5OZ04ASG4FWKA7", "Reuniones Online Consent - 2")</f>
        <v>Reuniones Online Consent - 2</v>
      </c>
      <c r="E11850" s="22" t="str">
        <f>HYPERLINK("https://otsuka-europe-crm.veevavault.com/ui/#object/sent_email__v/VBL00000002V361", "SE-001437331")</f>
        <v>SE-001437331</v>
      </c>
      <c r="F11850" s="23">
        <v>46194.71502314815</v>
      </c>
      <c r="G11850" s="24">
        <v>1</v>
      </c>
      <c r="H11850" s="24">
        <v>1</v>
      </c>
      <c r="I11850" s="24">
        <v>1</v>
      </c>
      <c r="J11850" s="23">
        <v>46194.715462962966</v>
      </c>
      <c r="K11850" s="24">
        <v>3</v>
      </c>
      <c r="L11850" s="22" t="str">
        <f>HYPERLINK("https://otsuka-europe-crm.veevavault.com/ui/#object/approved_document__v/V5OZ04ASG4FWKA7", "Reuniones Online Consent - 2")</f>
        <v>Reuniones Online Consent - 2</v>
      </c>
      <c r="M11850" s="22" t="str">
        <f>HYPERLINK("mailto:barroyo@crm.otsuka-europe.com", "barroyo@crm.otsuka-europe.com")</f>
        <v>barroyo@crm.otsuka-europe.com</v>
      </c>
      <c r="N11850" s="23">
        <v>46189.573796296296</v>
      </c>
      <c r="O11850" s="14" t="str">
        <f>HYPERLINK("https://otsuka-europe-crm.veevavault.com/ui/#object/email_activity__v/V8C00000003W235", "EN-002097200")</f>
        <v>EN-002097200</v>
      </c>
    </row>
    <row r="11851" spans="1:15" ht="16" x14ac:dyDescent="0.2">
      <c r="A11851" s="18"/>
      <c r="B11851" s="18"/>
      <c r="C11851" s="18"/>
      <c r="D11851" s="18"/>
      <c r="E11851" s="18"/>
      <c r="F11851" s="18"/>
      <c r="G11851" s="18"/>
      <c r="H11851" s="18"/>
      <c r="I11851" s="18"/>
      <c r="J11851" s="18"/>
      <c r="K11851" s="18"/>
      <c r="L11851" s="18"/>
      <c r="M11851" s="18"/>
      <c r="N11851" s="18"/>
      <c r="O11851" s="14" t="str">
        <f>HYPERLINK("https://otsuka-europe-crm.veevavault.com/ui/#object/email_activity__v/V8C00000003X223", "EN-002097346")</f>
        <v>EN-002097346</v>
      </c>
    </row>
    <row r="11852" spans="1:15" ht="16" x14ac:dyDescent="0.2">
      <c r="A11852" s="18"/>
      <c r="B11852" s="18"/>
      <c r="C11852" s="18"/>
      <c r="D11852" s="18"/>
      <c r="E11852" s="18"/>
      <c r="F11852" s="18"/>
      <c r="G11852" s="18"/>
      <c r="H11852" s="18"/>
      <c r="I11852" s="18"/>
      <c r="J11852" s="18"/>
      <c r="K11852" s="18"/>
      <c r="L11852" s="18"/>
      <c r="M11852" s="18"/>
      <c r="N11852" s="18"/>
      <c r="O11852" s="14" t="str">
        <f>HYPERLINK("https://otsuka-europe-crm.veevavault.com/ui/#object/email_activity__v/V8C00000003Z102", "EN-002098839")</f>
        <v>EN-002098839</v>
      </c>
    </row>
    <row r="11853" spans="1:15" ht="16" x14ac:dyDescent="0.2">
      <c r="A11853" s="18"/>
      <c r="B11853" s="18"/>
      <c r="C11853" s="18"/>
      <c r="D11853" s="18"/>
      <c r="E11853" s="18"/>
      <c r="F11853" s="18"/>
      <c r="G11853" s="18"/>
      <c r="H11853" s="18"/>
      <c r="I11853" s="18"/>
      <c r="J11853" s="18"/>
      <c r="K11853" s="18"/>
      <c r="L11853" s="18"/>
      <c r="M11853" s="18"/>
      <c r="N11853" s="18"/>
      <c r="O11853" s="14" t="str">
        <f>HYPERLINK("https://otsuka-europe-crm.veevavault.com/ui/#object/email_activity__v/V8C00000003Z103", "EN-002098843")</f>
        <v>EN-002098843</v>
      </c>
    </row>
    <row r="11854" spans="1:15" ht="16" x14ac:dyDescent="0.2">
      <c r="A11854" s="18"/>
      <c r="B11854" s="18"/>
      <c r="C11854" s="18"/>
      <c r="D11854" s="18"/>
      <c r="E11854" s="18"/>
      <c r="F11854" s="18"/>
      <c r="G11854" s="18"/>
      <c r="H11854" s="18"/>
      <c r="I11854" s="18"/>
      <c r="J11854" s="18"/>
      <c r="K11854" s="18"/>
      <c r="L11854" s="18"/>
      <c r="M11854" s="18"/>
      <c r="N11854" s="18"/>
      <c r="O11854" s="14" t="str">
        <f>HYPERLINK("https://otsuka-europe-crm.veevavault.com/ui/#object/email_activity__v/V8C00000003Z182", "EN-002098960")</f>
        <v>EN-002098960</v>
      </c>
    </row>
    <row r="11855" spans="1:15" ht="16" x14ac:dyDescent="0.2">
      <c r="A11855" s="18"/>
      <c r="B11855" s="18"/>
      <c r="C11855" s="18"/>
      <c r="D11855" s="18"/>
      <c r="E11855" s="18"/>
      <c r="F11855" s="18"/>
      <c r="G11855" s="18"/>
      <c r="H11855" s="18"/>
      <c r="I11855" s="18"/>
      <c r="J11855" s="18"/>
      <c r="K11855" s="18"/>
      <c r="L11855" s="18"/>
      <c r="M11855" s="18"/>
      <c r="N11855" s="18"/>
      <c r="O11855" s="14" t="str">
        <f>HYPERLINK("https://otsuka-europe-crm.veevavault.com/ui/#object/email_activity__v/V8C00000003Z183", "EN-002098961")</f>
        <v>EN-002098961</v>
      </c>
    </row>
    <row r="11856" spans="1:15" ht="16" x14ac:dyDescent="0.2">
      <c r="A11856" s="18"/>
      <c r="B11856" s="18"/>
      <c r="C11856" s="18"/>
      <c r="D11856" s="18"/>
      <c r="E11856" s="18"/>
      <c r="F11856" s="18"/>
      <c r="G11856" s="18"/>
      <c r="H11856" s="18"/>
      <c r="I11856" s="18"/>
      <c r="J11856" s="18"/>
      <c r="K11856" s="18"/>
      <c r="L11856" s="18"/>
      <c r="M11856" s="18"/>
      <c r="N11856" s="18"/>
      <c r="O11856" s="14" t="str">
        <f>HYPERLINK("https://otsuka-europe-crm.veevavault.com/ui/#object/email_activity__v/V8C000000040146", "EN-002098962")</f>
        <v>EN-002098962</v>
      </c>
    </row>
    <row r="11857" spans="1:15" ht="16" x14ac:dyDescent="0.2">
      <c r="A11857" s="19"/>
      <c r="B11857" s="19"/>
      <c r="C11857" s="19"/>
      <c r="D11857" s="19"/>
      <c r="E11857" s="19"/>
      <c r="F11857" s="19"/>
      <c r="G11857" s="19"/>
      <c r="H11857" s="19"/>
      <c r="I11857" s="19"/>
      <c r="J11857" s="19"/>
      <c r="K11857" s="19"/>
      <c r="L11857" s="19"/>
      <c r="M11857" s="19"/>
      <c r="N11857" s="19"/>
      <c r="O11857" s="14" t="str">
        <f>HYPERLINK("https://otsuka-europe-crm.veevavault.com/ui/#object/email_activity__v/V8C000000040147", "EN-002098963")</f>
        <v>EN-002098963</v>
      </c>
    </row>
    <row r="11858" spans="1:15" ht="16" x14ac:dyDescent="0.2">
      <c r="A11858" s="17" t="str">
        <f>HYPERLINK("https://otsuka-europe-crm.veevavault.com/ui/#object/account__v/V4T000000024059", "MARIA CARMEN PEREZ FRANCES")</f>
        <v>MARIA CARMEN PEREZ FRANCES</v>
      </c>
      <c r="B11858" s="17" t="str">
        <f>HYPERLINK("https://otsuka-europe-crm.veevavault.com/ui/#object/vcountry__v/VENZ000004SONF5", "ES")</f>
        <v>ES</v>
      </c>
      <c r="C11858" s="20" t="s">
        <v>41</v>
      </c>
      <c r="D11858" s="21" t="str">
        <f>HYPERLINK("https://otsuka-europe-crm.veevavault.com/ui/#object/approved_document__v/V5OZ04ASG4FWKA9", "Documento Autorizaciขn Centro Empleador")</f>
        <v>Documento Autorizaciขn Centro Empleador</v>
      </c>
      <c r="E11858" s="22" t="str">
        <f>HYPERLINK("https://otsuka-europe-crm.veevavault.com/ui/#object/sent_email__v/VBL00000002V362", "SE-001437332")</f>
        <v>SE-001437332</v>
      </c>
      <c r="F11858" s="25"/>
      <c r="G11858" s="24">
        <v>0</v>
      </c>
      <c r="H11858" s="24">
        <v>0</v>
      </c>
      <c r="I11858" s="24">
        <v>1</v>
      </c>
      <c r="J11858" s="23">
        <v>46194.715624999997</v>
      </c>
      <c r="K11858" s="24">
        <v>1</v>
      </c>
      <c r="L11858" s="22" t="str">
        <f>HYPERLINK("https://otsuka-europe-crm.veevavault.com/ui/#object/approved_document__v/V5OZ04ASG4FWKA9", "Documento Autorizaciขn Centro Empleador")</f>
        <v>Documento Autorizaciขn Centro Empleador</v>
      </c>
      <c r="M11858" s="22" t="str">
        <f>HYPERLINK("mailto:barroyo@crm.otsuka-europe.com", "barroyo@crm.otsuka-europe.com")</f>
        <v>barroyo@crm.otsuka-europe.com</v>
      </c>
      <c r="N11858" s="23">
        <v>46189.573784722219</v>
      </c>
      <c r="O11858" s="14" t="str">
        <f>HYPERLINK("https://otsuka-europe-crm.veevavault.com/ui/#object/email_activity__v/V8C00000003W234", "EN-002097199")</f>
        <v>EN-002097199</v>
      </c>
    </row>
    <row r="11859" spans="1:15" ht="16" x14ac:dyDescent="0.2">
      <c r="A11859" s="18"/>
      <c r="B11859" s="18"/>
      <c r="C11859" s="18"/>
      <c r="D11859" s="18"/>
      <c r="E11859" s="18"/>
      <c r="F11859" s="18"/>
      <c r="G11859" s="18"/>
      <c r="H11859" s="18"/>
      <c r="I11859" s="18"/>
      <c r="J11859" s="18"/>
      <c r="K11859" s="18"/>
      <c r="L11859" s="18"/>
      <c r="M11859" s="18"/>
      <c r="N11859" s="18"/>
      <c r="O11859" s="14" t="str">
        <f>HYPERLINK("https://otsuka-europe-crm.veevavault.com/ui/#object/email_activity__v/V8C00000003W311", "EN-002097340")</f>
        <v>EN-002097340</v>
      </c>
    </row>
    <row r="11860" spans="1:15" ht="16" x14ac:dyDescent="0.2">
      <c r="A11860" s="18"/>
      <c r="B11860" s="18"/>
      <c r="C11860" s="18"/>
      <c r="D11860" s="18"/>
      <c r="E11860" s="18"/>
      <c r="F11860" s="18"/>
      <c r="G11860" s="18"/>
      <c r="H11860" s="18"/>
      <c r="I11860" s="18"/>
      <c r="J11860" s="18"/>
      <c r="K11860" s="18"/>
      <c r="L11860" s="18"/>
      <c r="M11860" s="18"/>
      <c r="N11860" s="18"/>
      <c r="O11860" s="14" t="str">
        <f>HYPERLINK("https://otsuka-europe-crm.veevavault.com/ui/#object/email_activity__v/V8C00000003X218", "EN-002097329")</f>
        <v>EN-002097329</v>
      </c>
    </row>
    <row r="11861" spans="1:15" ht="16" x14ac:dyDescent="0.2">
      <c r="A11861" s="18"/>
      <c r="B11861" s="18"/>
      <c r="C11861" s="18"/>
      <c r="D11861" s="18"/>
      <c r="E11861" s="18"/>
      <c r="F11861" s="18"/>
      <c r="G11861" s="18"/>
      <c r="H11861" s="18"/>
      <c r="I11861" s="18"/>
      <c r="J11861" s="18"/>
      <c r="K11861" s="18"/>
      <c r="L11861" s="18"/>
      <c r="M11861" s="18"/>
      <c r="N11861" s="18"/>
      <c r="O11861" s="14" t="str">
        <f>HYPERLINK("https://otsuka-europe-crm.veevavault.com/ui/#object/email_activity__v/V8C000000040078", "EN-002098841")</f>
        <v>EN-002098841</v>
      </c>
    </row>
    <row r="11862" spans="1:15" ht="16" x14ac:dyDescent="0.2">
      <c r="A11862" s="19"/>
      <c r="B11862" s="19"/>
      <c r="C11862" s="19"/>
      <c r="D11862" s="19"/>
      <c r="E11862" s="19"/>
      <c r="F11862" s="19"/>
      <c r="G11862" s="19"/>
      <c r="H11862" s="19"/>
      <c r="I11862" s="19"/>
      <c r="J11862" s="19"/>
      <c r="K11862" s="19"/>
      <c r="L11862" s="19"/>
      <c r="M11862" s="19"/>
      <c r="N11862" s="19"/>
      <c r="O11862" s="14" t="str">
        <f>HYPERLINK("https://otsuka-europe-crm.veevavault.com/ui/#object/email_activity__v/V8C000000040148", "EN-002098964")</f>
        <v>EN-002098964</v>
      </c>
    </row>
    <row r="11863" spans="1:15" ht="32" x14ac:dyDescent="0.2">
      <c r="A11863" s="7" t="str">
        <f>HYPERLINK("https://otsuka-europe-crm.veevavault.com/ui/#object/account__v/V4TZ00000633XHQ", "JORO RAMILITIANA")</f>
        <v>JORO RAMILITIANA</v>
      </c>
      <c r="B11863" s="7" t="str">
        <f>HYPERLINK("https://otsuka-europe-crm.veevavault.com/ui/#object/vcountry__v/VENZ000004SONFA", "FR")</f>
        <v>FR</v>
      </c>
      <c r="C11863" s="8" t="s">
        <v>42</v>
      </c>
      <c r="D11863" s="9" t="str">
        <f>HYPERLINK("https://otsuka-europe-crm.veevavault.com/ui/#object/approved_document__v/V5OZ04ASG4G02Y7", "REMERCIEMENTS_VAD_2023")</f>
        <v>REMERCIEMENTS_VAD_2023</v>
      </c>
      <c r="E11863" s="10" t="str">
        <f>HYPERLINK("https://otsuka-europe-crm.veevavault.com/ui/#object/sent_email__v/VBL00000002T522", "SE-001437333")</f>
        <v>SE-001437333</v>
      </c>
      <c r="F11863" s="11"/>
      <c r="G11863" s="12">
        <v>0</v>
      </c>
      <c r="H11863" s="12">
        <v>0</v>
      </c>
      <c r="I11863" s="12">
        <v>0</v>
      </c>
      <c r="J11863" s="11"/>
      <c r="K11863" s="12">
        <v>0</v>
      </c>
      <c r="L11863" s="10" t="str">
        <f>HYPERLINK("https://otsuka-europe-crm.veevavault.com/ui/#object/approved_document__v/V5OZ04ASG4G02Y7", "REMERCIEMENTS_VAD_2023")</f>
        <v>REMERCIEMENTS_VAD_2023</v>
      </c>
      <c r="M11863" s="10" t="str">
        <f>HYPERLINK("mailto:sblancheland@crm.otsuka-europe.com", "sblancheland@crm.otsuka-europe.com")</f>
        <v>sblancheland@crm.otsuka-europe.com</v>
      </c>
      <c r="N11863" s="13">
        <v>46189.596898148149</v>
      </c>
      <c r="O11863" s="14" t="str">
        <f>HYPERLINK("https://otsuka-europe-crm.veevavault.com/ui/#object/email_activity__v/V8C00000003X164", "EN-002097211")</f>
        <v>EN-002097211</v>
      </c>
    </row>
    <row r="11864" spans="1:15" ht="48" x14ac:dyDescent="0.2">
      <c r="A11864" s="7" t="str">
        <f>HYPERLINK("https://otsuka-europe-crm.veevavault.com/ui/#object/account__v/V4TZ0000062SY6D", "Martin Vogel")</f>
        <v>Martin Vogel</v>
      </c>
      <c r="B11864" s="7" t="str">
        <f>HYPERLINK("https://otsuka-europe-crm.veevavault.com/ui/#object/vcountry__v/VENZ000004SONFP", "DE")</f>
        <v>DE</v>
      </c>
      <c r="C11864" s="8" t="s">
        <v>43</v>
      </c>
      <c r="D11864" s="9" t="str">
        <f>HYPERLINK("https://otsuka-europe-crm.veevavault.com/ui/#object/approved_document__v/V5O00000001H029", "VAE DE AM960 - Podcast-Interview Prof. Dr. Köhler_2026-05")</f>
        <v>VAE DE AM960 - Podcast-Interview Prof. Dr. Köhler_2026-05</v>
      </c>
      <c r="E11864" s="10" t="str">
        <f>HYPERLINK("https://otsuka-europe-crm.veevavault.com/ui/#object/sent_email__v/VBL00000002T523", "SE-001437334")</f>
        <v>SE-001437334</v>
      </c>
      <c r="F11864" s="11"/>
      <c r="G11864" s="12">
        <v>0</v>
      </c>
      <c r="H11864" s="12">
        <v>0</v>
      </c>
      <c r="I11864" s="12">
        <v>0</v>
      </c>
      <c r="J11864" s="11"/>
      <c r="K11864" s="12">
        <v>0</v>
      </c>
      <c r="L11864" s="10" t="str">
        <f>HYPERLINK("https://otsuka-europe-crm.veevavault.com/ui/#object/approved_document__v/V5O00000001H029", "VAE DE AM960 - Podcast-Interview Prof. Dr. Köhler_2026-05")</f>
        <v>VAE DE AM960 - Podcast-Interview Prof. Dr. Köhler_2026-05</v>
      </c>
      <c r="M11864" s="10" t="str">
        <f>HYPERLINK("mailto:apein@crm.otsuka-europe.com", "apein@crm.otsuka-europe.com")</f>
        <v>apein@crm.otsuka-europe.com</v>
      </c>
      <c r="N11864" s="13">
        <v>46189.606145833335</v>
      </c>
      <c r="O11864" s="14" t="str">
        <f>HYPERLINK("https://otsuka-europe-crm.veevavault.com/ui/#object/email_activity__v/V8C00000003W244", "EN-002097221")</f>
        <v>EN-002097221</v>
      </c>
    </row>
    <row r="11865" spans="1:15" ht="48" x14ac:dyDescent="0.2">
      <c r="A11865" s="7" t="str">
        <f>HYPERLINK("https://otsuka-europe-crm.veevavault.com/ui/#object/account__v/V4TZ0000062TAYU", "Judith Umbach")</f>
        <v>Judith Umbach</v>
      </c>
      <c r="B11865" s="7" t="str">
        <f>HYPERLINK("https://otsuka-europe-crm.veevavault.com/ui/#object/vcountry__v/VENZ000004SONFP", "DE")</f>
        <v>DE</v>
      </c>
      <c r="C11865" s="8" t="s">
        <v>43</v>
      </c>
      <c r="D11865" s="9" t="str">
        <f>HYPERLINK("https://otsuka-europe-crm.veevavault.com/ui/#object/approved_document__v/V5O00000001H029", "VAE DE AM960 - Podcast-Interview Prof. Dr. Köhler_2026-05")</f>
        <v>VAE DE AM960 - Podcast-Interview Prof. Dr. Köhler_2026-05</v>
      </c>
      <c r="E11865" s="10" t="str">
        <f>HYPERLINK("https://otsuka-europe-crm.veevavault.com/ui/#object/sent_email__v/VBL00000002T524", "SE-001437335")</f>
        <v>SE-001437335</v>
      </c>
      <c r="F11865" s="11"/>
      <c r="G11865" s="12">
        <v>0</v>
      </c>
      <c r="H11865" s="12">
        <v>0</v>
      </c>
      <c r="I11865" s="12">
        <v>0</v>
      </c>
      <c r="J11865" s="11"/>
      <c r="K11865" s="12">
        <v>0</v>
      </c>
      <c r="L11865" s="10" t="str">
        <f>HYPERLINK("https://otsuka-europe-crm.veevavault.com/ui/#object/approved_document__v/V5O00000001H029", "VAE DE AM960 - Podcast-Interview Prof. Dr. Köhler_2026-05")</f>
        <v>VAE DE AM960 - Podcast-Interview Prof. Dr. Köhler_2026-05</v>
      </c>
      <c r="M11865" s="10" t="str">
        <f>HYPERLINK("mailto:apein@crm.otsuka-europe.com", "apein@crm.otsuka-europe.com")</f>
        <v>apein@crm.otsuka-europe.com</v>
      </c>
      <c r="N11865" s="13">
        <v>46189.606747685182</v>
      </c>
      <c r="O11865" s="14" t="str">
        <f>HYPERLINK("https://otsuka-europe-crm.veevavault.com/ui/#object/email_activity__v/V8C00000003X167", "EN-002097215")</f>
        <v>EN-002097215</v>
      </c>
    </row>
    <row r="11866" spans="1:15" ht="32" x14ac:dyDescent="0.2">
      <c r="A11866" s="7" t="str">
        <f>HYPERLINK("https://otsuka-europe-crm.veevavault.com/ui/#object/account__v/V4TZ000006353B6", "Andreas Stadelmann")</f>
        <v>Andreas Stadelmann</v>
      </c>
      <c r="B11866" s="7" t="str">
        <f>HYPERLINK("https://otsuka-europe-crm.veevavault.com/ui/#object/vcountry__v/VENZ000004SONFP", "DE")</f>
        <v>DE</v>
      </c>
      <c r="C11866" s="8" t="s">
        <v>43</v>
      </c>
      <c r="D11866" s="9" t="str">
        <f>HYPERLINK("https://otsuka-europe-crm.veevavault.com/ui/#object/approved_document__v/V5O00000001E001", "VAE DE AM960 - Erfahrungswerte")</f>
        <v>VAE DE AM960 - Erfahrungswerte</v>
      </c>
      <c r="E11866" s="10" t="str">
        <f>HYPERLINK("https://otsuka-europe-crm.veevavault.com/ui/#object/sent_email__v/VBL00000002V363", "SE-001437336")</f>
        <v>SE-001437336</v>
      </c>
      <c r="F11866" s="11"/>
      <c r="G11866" s="12">
        <v>0</v>
      </c>
      <c r="H11866" s="12">
        <v>0</v>
      </c>
      <c r="I11866" s="12">
        <v>0</v>
      </c>
      <c r="J11866" s="11"/>
      <c r="K11866" s="12">
        <v>0</v>
      </c>
      <c r="L11866" s="10" t="str">
        <f>HYPERLINK("https://otsuka-europe-crm.veevavault.com/ui/#object/approved_document__v/V5O00000001E001", "VAE DE AM960 - Erfahrungswerte")</f>
        <v>VAE DE AM960 - Erfahrungswerte</v>
      </c>
      <c r="M11866" s="10" t="str">
        <f>HYPERLINK("mailto:apein@crm.otsuka-europe.com", "apein@crm.otsuka-europe.com")</f>
        <v>apein@crm.otsuka-europe.com</v>
      </c>
      <c r="N11866" s="13">
        <v>46189.607291666667</v>
      </c>
      <c r="O11866" s="14" t="str">
        <f>HYPERLINK("https://otsuka-europe-crm.veevavault.com/ui/#object/email_activity__v/V8C00000003X168", "EN-002097216")</f>
        <v>EN-002097216</v>
      </c>
    </row>
    <row r="11867" spans="1:15" ht="16" x14ac:dyDescent="0.2">
      <c r="A11867" s="17" t="str">
        <f>HYPERLINK("https://otsuka-europe-crm.veevavault.com/ui/#object/account__v/V4TZ0000062T9X0", "Juri Sloboda")</f>
        <v>Juri Sloboda</v>
      </c>
      <c r="B11867" s="17" t="str">
        <f>HYPERLINK("https://otsuka-europe-crm.veevavault.com/ui/#object/vcountry__v/VENZ000004SONFP", "DE")</f>
        <v>DE</v>
      </c>
      <c r="C11867" s="20" t="s">
        <v>43</v>
      </c>
      <c r="D11867" s="21" t="str">
        <f>HYPERLINK("https://otsuka-europe-crm.veevavault.com/ui/#object/approved_document__v/V5O00000001E001", "VAE DE AM960 - Erfahrungswerte")</f>
        <v>VAE DE AM960 - Erfahrungswerte</v>
      </c>
      <c r="E11867" s="22" t="str">
        <f>HYPERLINK("https://otsuka-europe-crm.veevavault.com/ui/#object/sent_email__v/VBL00000002T525", "SE-001437337")</f>
        <v>SE-001437337</v>
      </c>
      <c r="F11867" s="23">
        <v>46189.737199074072</v>
      </c>
      <c r="G11867" s="24">
        <v>1</v>
      </c>
      <c r="H11867" s="24">
        <v>3</v>
      </c>
      <c r="I11867" s="24">
        <v>0</v>
      </c>
      <c r="J11867" s="25"/>
      <c r="K11867" s="24">
        <v>0</v>
      </c>
      <c r="L11867" s="22" t="str">
        <f>HYPERLINK("https://otsuka-europe-crm.veevavault.com/ui/#object/approved_document__v/V5O00000001E001", "VAE DE AM960 - Erfahrungswerte")</f>
        <v>VAE DE AM960 - Erfahrungswerte</v>
      </c>
      <c r="M11867" s="22" t="str">
        <f>HYPERLINK("mailto:apein@crm.otsuka-europe.com", "apein@crm.otsuka-europe.com")</f>
        <v>apein@crm.otsuka-europe.com</v>
      </c>
      <c r="N11867" s="23">
        <v>46189.607615740744</v>
      </c>
      <c r="O11867" s="14" t="str">
        <f>HYPERLINK("https://otsuka-europe-crm.veevavault.com/ui/#object/email_activity__v/V8C00000003W240", "EN-002097217")</f>
        <v>EN-002097217</v>
      </c>
    </row>
    <row r="11868" spans="1:15" ht="16" x14ac:dyDescent="0.2">
      <c r="A11868" s="18"/>
      <c r="B11868" s="18"/>
      <c r="C11868" s="18"/>
      <c r="D11868" s="18"/>
      <c r="E11868" s="18"/>
      <c r="F11868" s="18"/>
      <c r="G11868" s="18"/>
      <c r="H11868" s="18"/>
      <c r="I11868" s="18"/>
      <c r="J11868" s="18"/>
      <c r="K11868" s="18"/>
      <c r="L11868" s="18"/>
      <c r="M11868" s="18"/>
      <c r="N11868" s="18"/>
      <c r="O11868" s="14" t="str">
        <f>HYPERLINK("https://otsuka-europe-crm.veevavault.com/ui/#object/email_activity__v/V8C00000003W243", "EN-002097220")</f>
        <v>EN-002097220</v>
      </c>
    </row>
    <row r="11869" spans="1:15" ht="16" x14ac:dyDescent="0.2">
      <c r="A11869" s="18"/>
      <c r="B11869" s="18"/>
      <c r="C11869" s="18"/>
      <c r="D11869" s="18"/>
      <c r="E11869" s="18"/>
      <c r="F11869" s="18"/>
      <c r="G11869" s="18"/>
      <c r="H11869" s="18"/>
      <c r="I11869" s="18"/>
      <c r="J11869" s="18"/>
      <c r="K11869" s="18"/>
      <c r="L11869" s="18"/>
      <c r="M11869" s="18"/>
      <c r="N11869" s="18"/>
      <c r="O11869" s="14" t="str">
        <f>HYPERLINK("https://otsuka-europe-crm.veevavault.com/ui/#object/email_activity__v/V8C00000003X202", "EN-002097303")</f>
        <v>EN-002097303</v>
      </c>
    </row>
    <row r="11870" spans="1:15" ht="16" x14ac:dyDescent="0.2">
      <c r="A11870" s="19"/>
      <c r="B11870" s="19"/>
      <c r="C11870" s="19"/>
      <c r="D11870" s="19"/>
      <c r="E11870" s="19"/>
      <c r="F11870" s="19"/>
      <c r="G11870" s="19"/>
      <c r="H11870" s="19"/>
      <c r="I11870" s="19"/>
      <c r="J11870" s="19"/>
      <c r="K11870" s="19"/>
      <c r="L11870" s="19"/>
      <c r="M11870" s="19"/>
      <c r="N11870" s="19"/>
      <c r="O11870" s="14" t="str">
        <f>HYPERLINK("https://otsuka-europe-crm.veevavault.com/ui/#object/email_activity__v/V8C00000003X203", "EN-002097304")</f>
        <v>EN-002097304</v>
      </c>
    </row>
    <row r="11871" spans="1:15" ht="48" x14ac:dyDescent="0.2">
      <c r="A11871" s="7" t="str">
        <f>HYPERLINK("https://otsuka-europe-crm.veevavault.com/ui/#object/account__v/V4TZ0000062T91G", "Michael Pytlik")</f>
        <v>Michael Pytlik</v>
      </c>
      <c r="B11871" s="7" t="str">
        <f>HYPERLINK("https://otsuka-europe-crm.veevavault.com/ui/#object/vcountry__v/VENZ000004SONFP", "DE")</f>
        <v>DE</v>
      </c>
      <c r="C11871" s="8" t="s">
        <v>43</v>
      </c>
      <c r="D11871" s="9" t="str">
        <f>HYPERLINK("https://otsuka-europe-crm.veevavault.com/ui/#object/approved_document__v/V5O00000001H029", "VAE DE AM960 - Podcast-Interview Prof. Dr. Köhler_2026-05")</f>
        <v>VAE DE AM960 - Podcast-Interview Prof. Dr. Köhler_2026-05</v>
      </c>
      <c r="E11871" s="10" t="str">
        <f>HYPERLINK("https://otsuka-europe-crm.veevavault.com/ui/#object/sent_email__v/VBL00000002T526", "SE-001437338")</f>
        <v>SE-001437338</v>
      </c>
      <c r="F11871" s="11"/>
      <c r="G11871" s="12">
        <v>0</v>
      </c>
      <c r="H11871" s="12">
        <v>0</v>
      </c>
      <c r="I11871" s="12">
        <v>0</v>
      </c>
      <c r="J11871" s="11"/>
      <c r="K11871" s="12">
        <v>0</v>
      </c>
      <c r="L11871" s="10" t="str">
        <f>HYPERLINK("https://otsuka-europe-crm.veevavault.com/ui/#object/approved_document__v/V5O00000001H029", "VAE DE AM960 - Podcast-Interview Prof. Dr. Köhler_2026-05")</f>
        <v>VAE DE AM960 - Podcast-Interview Prof. Dr. Köhler_2026-05</v>
      </c>
      <c r="M11871" s="10" t="str">
        <f>HYPERLINK("mailto:apein@crm.otsuka-europe.com", "apein@crm.otsuka-europe.com")</f>
        <v>apein@crm.otsuka-europe.com</v>
      </c>
      <c r="N11871" s="13">
        <v>46189.608229166668</v>
      </c>
      <c r="O11871" s="14" t="str">
        <f>HYPERLINK("https://otsuka-europe-crm.veevavault.com/ui/#object/email_activity__v/V8C00000003W241", "EN-002097218")</f>
        <v>EN-002097218</v>
      </c>
    </row>
    <row r="11872" spans="1:15" ht="16" x14ac:dyDescent="0.2">
      <c r="A11872" s="17" t="str">
        <f>HYPERLINK("https://otsuka-europe-crm.veevavault.com/ui/#object/account__v/V4T000000024062", "SANTIAGO DANS CABALLERO")</f>
        <v>SANTIAGO DANS CABALLERO</v>
      </c>
      <c r="B11872" s="17" t="str">
        <f>HYPERLINK("https://otsuka-europe-crm.veevavault.com/ui/#object/vcountry__v/VENZ000004SONF5", "ES")</f>
        <v>ES</v>
      </c>
      <c r="C11872" s="20" t="s">
        <v>41</v>
      </c>
      <c r="D11872" s="21" t="str">
        <f>HYPERLINK("https://otsuka-europe-crm.veevavault.com/ui/#object/approved_document__v/V5OZ06G6O6RFL1P", "ES Veeva Privacy Notice Email")</f>
        <v>ES Veeva Privacy Notice Email</v>
      </c>
      <c r="E11872" s="22" t="str">
        <f>HYPERLINK("https://otsuka-europe-crm.veevavault.com/ui/#object/sent_email__v/VBL00000002T527", "SE-001437339")</f>
        <v>SE-001437339</v>
      </c>
      <c r="F11872" s="23">
        <v>46189.618460648147</v>
      </c>
      <c r="G11872" s="24">
        <v>1</v>
      </c>
      <c r="H11872" s="24">
        <v>2</v>
      </c>
      <c r="I11872" s="24">
        <v>0</v>
      </c>
      <c r="J11872" s="25"/>
      <c r="K11872" s="24">
        <v>0</v>
      </c>
      <c r="L11872" s="22" t="str">
        <f>HYPERLINK("https://otsuka-europe-crm.veevavault.com/ui/#object/approved_document__v/V5OZ06G6O6RFL1P", "ES Veeva Privacy Notice Email")</f>
        <v>ES Veeva Privacy Notice Email</v>
      </c>
      <c r="M11872" s="22" t="str">
        <f>HYPERLINK("mailto:oriballo@crm.otsuka-europe.com", "oriballo@crm.otsuka-europe.com")</f>
        <v>oriballo@crm.otsuka-europe.com</v>
      </c>
      <c r="N11872" s="23">
        <v>46189.614259259259</v>
      </c>
      <c r="O11872" s="14" t="str">
        <f>HYPERLINK("https://otsuka-europe-crm.veevavault.com/ui/#object/email_activity__v/V8C00000003W250", "EN-002097230")</f>
        <v>EN-002097230</v>
      </c>
    </row>
    <row r="11873" spans="1:15" ht="16" x14ac:dyDescent="0.2">
      <c r="A11873" s="18"/>
      <c r="B11873" s="18"/>
      <c r="C11873" s="18"/>
      <c r="D11873" s="18"/>
      <c r="E11873" s="18"/>
      <c r="F11873" s="18"/>
      <c r="G11873" s="18"/>
      <c r="H11873" s="18"/>
      <c r="I11873" s="18"/>
      <c r="J11873" s="18"/>
      <c r="K11873" s="18"/>
      <c r="L11873" s="18"/>
      <c r="M11873" s="18"/>
      <c r="N11873" s="18"/>
      <c r="O11873" s="14" t="str">
        <f>HYPERLINK("https://otsuka-europe-crm.veevavault.com/ui/#object/email_activity__v/V8C00000003W251", "EN-002097231")</f>
        <v>EN-002097231</v>
      </c>
    </row>
    <row r="11874" spans="1:15" ht="16" x14ac:dyDescent="0.2">
      <c r="A11874" s="19"/>
      <c r="B11874" s="19"/>
      <c r="C11874" s="19"/>
      <c r="D11874" s="19"/>
      <c r="E11874" s="19"/>
      <c r="F11874" s="19"/>
      <c r="G11874" s="19"/>
      <c r="H11874" s="19"/>
      <c r="I11874" s="19"/>
      <c r="J11874" s="19"/>
      <c r="K11874" s="19"/>
      <c r="L11874" s="19"/>
      <c r="M11874" s="19"/>
      <c r="N11874" s="19"/>
      <c r="O11874" s="14" t="str">
        <f>HYPERLINK("https://otsuka-europe-crm.veevavault.com/ui/#object/email_activity__v/V8C00000003X170", "EN-002097223")</f>
        <v>EN-002097223</v>
      </c>
    </row>
    <row r="11875" spans="1:15" ht="16" x14ac:dyDescent="0.2">
      <c r="A11875" s="17" t="str">
        <f>HYPERLINK("https://otsuka-europe-crm.veevavault.com/ui/#object/account__v/V4T000000024062", "SANTIAGO DANS CABALLERO")</f>
        <v>SANTIAGO DANS CABALLERO</v>
      </c>
      <c r="B11875" s="17" t="str">
        <f>HYPERLINK("https://otsuka-europe-crm.veevavault.com/ui/#object/vcountry__v/VENZ000004SONF5", "ES")</f>
        <v>ES</v>
      </c>
      <c r="C11875" s="20" t="s">
        <v>41</v>
      </c>
      <c r="D11875" s="21" t="str">
        <f>HYPERLINK("https://otsuka-europe-crm.veevavault.com/ui/#object/approved_document__v/V5O00000000D100", "Spain - Consent Email 1 Aug 25")</f>
        <v>Spain - Consent Email 1 Aug 25</v>
      </c>
      <c r="E11875" s="22" t="str">
        <f>HYPERLINK("https://otsuka-europe-crm.veevavault.com/ui/#object/sent_email__v/VBL00000002T528", "SE-001437340")</f>
        <v>SE-001437340</v>
      </c>
      <c r="F11875" s="23">
        <v>46189.618726851855</v>
      </c>
      <c r="G11875" s="24">
        <v>1</v>
      </c>
      <c r="H11875" s="24">
        <v>3</v>
      </c>
      <c r="I11875" s="24">
        <v>1</v>
      </c>
      <c r="J11875" s="23">
        <v>46189.618506944447</v>
      </c>
      <c r="K11875" s="24">
        <v>1</v>
      </c>
      <c r="L11875" s="22" t="str">
        <f>HYPERLINK("https://otsuka-europe-crm.veevavault.com/ui/#object/approved_document__v/V5O00000000D100", "Spain - Consent Email 1 Aug 25")</f>
        <v>Spain - Consent Email 1 Aug 25</v>
      </c>
      <c r="M11875" s="22" t="str">
        <f>HYPERLINK("mailto:oriballo@crm.otsuka-europe.com", "oriballo@crm.otsuka-europe.com")</f>
        <v>oriballo@crm.otsuka-europe.com</v>
      </c>
      <c r="N11875" s="23">
        <v>46189.615115740744</v>
      </c>
      <c r="O11875" s="14" t="str">
        <f>HYPERLINK("https://otsuka-europe-crm.veevavault.com/ui/#object/email_activity__v/V8C00000003W245", "EN-002097224")</f>
        <v>EN-002097224</v>
      </c>
    </row>
    <row r="11876" spans="1:15" ht="16" x14ac:dyDescent="0.2">
      <c r="A11876" s="18"/>
      <c r="B11876" s="18"/>
      <c r="C11876" s="18"/>
      <c r="D11876" s="18"/>
      <c r="E11876" s="18"/>
      <c r="F11876" s="18"/>
      <c r="G11876" s="18"/>
      <c r="H11876" s="18"/>
      <c r="I11876" s="18"/>
      <c r="J11876" s="18"/>
      <c r="K11876" s="18"/>
      <c r="L11876" s="18"/>
      <c r="M11876" s="18"/>
      <c r="N11876" s="18"/>
      <c r="O11876" s="14" t="str">
        <f>HYPERLINK("https://otsuka-europe-crm.veevavault.com/ui/#object/email_activity__v/V8C00000003W248", "EN-002097228")</f>
        <v>EN-002097228</v>
      </c>
    </row>
    <row r="11877" spans="1:15" ht="16" x14ac:dyDescent="0.2">
      <c r="A11877" s="18"/>
      <c r="B11877" s="18"/>
      <c r="C11877" s="18"/>
      <c r="D11877" s="18"/>
      <c r="E11877" s="18"/>
      <c r="F11877" s="18"/>
      <c r="G11877" s="18"/>
      <c r="H11877" s="18"/>
      <c r="I11877" s="18"/>
      <c r="J11877" s="18"/>
      <c r="K11877" s="18"/>
      <c r="L11877" s="18"/>
      <c r="M11877" s="18"/>
      <c r="N11877" s="18"/>
      <c r="O11877" s="14" t="str">
        <f>HYPERLINK("https://otsuka-europe-crm.veevavault.com/ui/#object/email_activity__v/V8C00000003W249", "EN-002097229")</f>
        <v>EN-002097229</v>
      </c>
    </row>
    <row r="11878" spans="1:15" ht="16" x14ac:dyDescent="0.2">
      <c r="A11878" s="18"/>
      <c r="B11878" s="18"/>
      <c r="C11878" s="18"/>
      <c r="D11878" s="18"/>
      <c r="E11878" s="18"/>
      <c r="F11878" s="18"/>
      <c r="G11878" s="18"/>
      <c r="H11878" s="18"/>
      <c r="I11878" s="18"/>
      <c r="J11878" s="18"/>
      <c r="K11878" s="18"/>
      <c r="L11878" s="18"/>
      <c r="M11878" s="18"/>
      <c r="N11878" s="18"/>
      <c r="O11878" s="14" t="str">
        <f>HYPERLINK("https://otsuka-europe-crm.veevavault.com/ui/#object/email_activity__v/V8C00000003W252", "EN-002097232")</f>
        <v>EN-002097232</v>
      </c>
    </row>
    <row r="11879" spans="1:15" ht="16" x14ac:dyDescent="0.2">
      <c r="A11879" s="19"/>
      <c r="B11879" s="19"/>
      <c r="C11879" s="19"/>
      <c r="D11879" s="19"/>
      <c r="E11879" s="19"/>
      <c r="F11879" s="19"/>
      <c r="G11879" s="19"/>
      <c r="H11879" s="19"/>
      <c r="I11879" s="19"/>
      <c r="J11879" s="19"/>
      <c r="K11879" s="19"/>
      <c r="L11879" s="19"/>
      <c r="M11879" s="19"/>
      <c r="N11879" s="19"/>
      <c r="O11879" s="14" t="str">
        <f>HYPERLINK("https://otsuka-europe-crm.veevavault.com/ui/#object/email_activity__v/V8C00000003W257", "EN-002097237")</f>
        <v>EN-002097237</v>
      </c>
    </row>
    <row r="11880" spans="1:15" ht="16" x14ac:dyDescent="0.2">
      <c r="A11880" s="17" t="str">
        <f>HYPERLINK("https://otsuka-europe-crm.veevavault.com/ui/#object/account__v/V4T000000024062", "SANTIAGO DANS CABALLERO")</f>
        <v>SANTIAGO DANS CABALLERO</v>
      </c>
      <c r="B11880" s="17" t="str">
        <f>HYPERLINK("https://otsuka-europe-crm.veevavault.com/ui/#object/vcountry__v/VENZ000004SONF5", "ES")</f>
        <v>ES</v>
      </c>
      <c r="C11880" s="20" t="s">
        <v>41</v>
      </c>
      <c r="D11880" s="21" t="str">
        <f>HYPERLINK("https://otsuka-europe-crm.veevavault.com/ui/#object/approved_document__v/V5OZ04ASG4FWKA7", "Reuniones Online Consent - 2")</f>
        <v>Reuniones Online Consent - 2</v>
      </c>
      <c r="E11880" s="22" t="str">
        <f>HYPERLINK("https://otsuka-europe-crm.veevavault.com/ui/#object/sent_email__v/VBL00000002T529", "SE-001437341")</f>
        <v>SE-001437341</v>
      </c>
      <c r="F11880" s="23">
        <v>46189.618888888886</v>
      </c>
      <c r="G11880" s="24">
        <v>1</v>
      </c>
      <c r="H11880" s="24">
        <v>3</v>
      </c>
      <c r="I11880" s="24">
        <v>1</v>
      </c>
      <c r="J11880" s="23">
        <v>46189.618761574071</v>
      </c>
      <c r="K11880" s="24">
        <v>1</v>
      </c>
      <c r="L11880" s="22" t="str">
        <f>HYPERLINK("https://otsuka-europe-crm.veevavault.com/ui/#object/approved_document__v/V5OZ04ASG4FWKA7", "Reuniones Online Consent - 2")</f>
        <v>Reuniones Online Consent - 2</v>
      </c>
      <c r="M11880" s="22" t="str">
        <f>HYPERLINK("mailto:oriballo@crm.otsuka-europe.com", "oriballo@crm.otsuka-europe.com")</f>
        <v>oriballo@crm.otsuka-europe.com</v>
      </c>
      <c r="N11880" s="23">
        <v>46189.615127314813</v>
      </c>
      <c r="O11880" s="14" t="str">
        <f>HYPERLINK("https://otsuka-europe-crm.veevavault.com/ui/#object/email_activity__v/V8C00000003W246", "EN-002097226")</f>
        <v>EN-002097226</v>
      </c>
    </row>
    <row r="11881" spans="1:15" ht="16" x14ac:dyDescent="0.2">
      <c r="A11881" s="18"/>
      <c r="B11881" s="18"/>
      <c r="C11881" s="18"/>
      <c r="D11881" s="18"/>
      <c r="E11881" s="18"/>
      <c r="F11881" s="18"/>
      <c r="G11881" s="18"/>
      <c r="H11881" s="18"/>
      <c r="I11881" s="18"/>
      <c r="J11881" s="18"/>
      <c r="K11881" s="18"/>
      <c r="L11881" s="18"/>
      <c r="M11881" s="18"/>
      <c r="N11881" s="18"/>
      <c r="O11881" s="14" t="str">
        <f>HYPERLINK("https://otsuka-europe-crm.veevavault.com/ui/#object/email_activity__v/V8C00000003W253", "EN-002097233")</f>
        <v>EN-002097233</v>
      </c>
    </row>
    <row r="11882" spans="1:15" ht="16" x14ac:dyDescent="0.2">
      <c r="A11882" s="18"/>
      <c r="B11882" s="18"/>
      <c r="C11882" s="18"/>
      <c r="D11882" s="18"/>
      <c r="E11882" s="18"/>
      <c r="F11882" s="18"/>
      <c r="G11882" s="18"/>
      <c r="H11882" s="18"/>
      <c r="I11882" s="18"/>
      <c r="J11882" s="18"/>
      <c r="K11882" s="18"/>
      <c r="L11882" s="18"/>
      <c r="M11882" s="18"/>
      <c r="N11882" s="18"/>
      <c r="O11882" s="14" t="str">
        <f>HYPERLINK("https://otsuka-europe-crm.veevavault.com/ui/#object/email_activity__v/V8C00000003W255", "EN-002097235")</f>
        <v>EN-002097235</v>
      </c>
    </row>
    <row r="11883" spans="1:15" ht="16" x14ac:dyDescent="0.2">
      <c r="A11883" s="18"/>
      <c r="B11883" s="18"/>
      <c r="C11883" s="18"/>
      <c r="D11883" s="18"/>
      <c r="E11883" s="18"/>
      <c r="F11883" s="18"/>
      <c r="G11883" s="18"/>
      <c r="H11883" s="18"/>
      <c r="I11883" s="18"/>
      <c r="J11883" s="18"/>
      <c r="K11883" s="18"/>
      <c r="L11883" s="18"/>
      <c r="M11883" s="18"/>
      <c r="N11883" s="18"/>
      <c r="O11883" s="14" t="str">
        <f>HYPERLINK("https://otsuka-europe-crm.veevavault.com/ui/#object/email_activity__v/V8C00000003W258", "EN-002097238")</f>
        <v>EN-002097238</v>
      </c>
    </row>
    <row r="11884" spans="1:15" ht="16" x14ac:dyDescent="0.2">
      <c r="A11884" s="19"/>
      <c r="B11884" s="19"/>
      <c r="C11884" s="19"/>
      <c r="D11884" s="19"/>
      <c r="E11884" s="19"/>
      <c r="F11884" s="19"/>
      <c r="G11884" s="19"/>
      <c r="H11884" s="19"/>
      <c r="I11884" s="19"/>
      <c r="J11884" s="19"/>
      <c r="K11884" s="19"/>
      <c r="L11884" s="19"/>
      <c r="M11884" s="19"/>
      <c r="N11884" s="19"/>
      <c r="O11884" s="14" t="str">
        <f>HYPERLINK("https://otsuka-europe-crm.veevavault.com/ui/#object/email_activity__v/V8C00000003W259", "EN-002097239")</f>
        <v>EN-002097239</v>
      </c>
    </row>
    <row r="11885" spans="1:15" ht="16" x14ac:dyDescent="0.2">
      <c r="A11885" s="17" t="str">
        <f>HYPERLINK("https://otsuka-europe-crm.veevavault.com/ui/#object/account__v/V4T000000024062", "SANTIAGO DANS CABALLERO")</f>
        <v>SANTIAGO DANS CABALLERO</v>
      </c>
      <c r="B11885" s="17" t="str">
        <f>HYPERLINK("https://otsuka-europe-crm.veevavault.com/ui/#object/vcountry__v/VENZ000004SONF5", "ES")</f>
        <v>ES</v>
      </c>
      <c r="C11885" s="20" t="s">
        <v>41</v>
      </c>
      <c r="D11885" s="21" t="str">
        <f>HYPERLINK("https://otsuka-europe-crm.veevavault.com/ui/#object/approved_document__v/V5OZ04ASG4FWKA9", "Documento Autorizaciขn Centro Empleador")</f>
        <v>Documento Autorizaciขn Centro Empleador</v>
      </c>
      <c r="E11885" s="22" t="str">
        <f>HYPERLINK("https://otsuka-europe-crm.veevavault.com/ui/#object/sent_email__v/VBL00000002T530", "SE-001437342")</f>
        <v>SE-001437342</v>
      </c>
      <c r="F11885" s="23">
        <v>46189.618888888886</v>
      </c>
      <c r="G11885" s="24">
        <v>1</v>
      </c>
      <c r="H11885" s="24">
        <v>3</v>
      </c>
      <c r="I11885" s="24">
        <v>1</v>
      </c>
      <c r="J11885" s="23">
        <v>46189.618958333333</v>
      </c>
      <c r="K11885" s="24">
        <v>1</v>
      </c>
      <c r="L11885" s="22" t="str">
        <f>HYPERLINK("https://otsuka-europe-crm.veevavault.com/ui/#object/approved_document__v/V5OZ04ASG4FWKA9", "Documento Autorizaciขn Centro Empleador")</f>
        <v>Documento Autorizaciขn Centro Empleador</v>
      </c>
      <c r="M11885" s="22" t="str">
        <f>HYPERLINK("mailto:oriballo@crm.otsuka-europe.com", "oriballo@crm.otsuka-europe.com")</f>
        <v>oriballo@crm.otsuka-europe.com</v>
      </c>
      <c r="N11885" s="23">
        <v>46189.61515046296</v>
      </c>
      <c r="O11885" s="14" t="str">
        <f>HYPERLINK("https://otsuka-europe-crm.veevavault.com/ui/#object/email_activity__v/V8C00000003W254", "EN-002097234")</f>
        <v>EN-002097234</v>
      </c>
    </row>
    <row r="11886" spans="1:15" ht="16" x14ac:dyDescent="0.2">
      <c r="A11886" s="18"/>
      <c r="B11886" s="18"/>
      <c r="C11886" s="18"/>
      <c r="D11886" s="18"/>
      <c r="E11886" s="18"/>
      <c r="F11886" s="18"/>
      <c r="G11886" s="18"/>
      <c r="H11886" s="18"/>
      <c r="I11886" s="18"/>
      <c r="J11886" s="18"/>
      <c r="K11886" s="18"/>
      <c r="L11886" s="18"/>
      <c r="M11886" s="18"/>
      <c r="N11886" s="18"/>
      <c r="O11886" s="14" t="str">
        <f>HYPERLINK("https://otsuka-europe-crm.veevavault.com/ui/#object/email_activity__v/V8C00000003W256", "EN-002097236")</f>
        <v>EN-002097236</v>
      </c>
    </row>
    <row r="11887" spans="1:15" ht="16" x14ac:dyDescent="0.2">
      <c r="A11887" s="18"/>
      <c r="B11887" s="18"/>
      <c r="C11887" s="18"/>
      <c r="D11887" s="18"/>
      <c r="E11887" s="18"/>
      <c r="F11887" s="18"/>
      <c r="G11887" s="18"/>
      <c r="H11887" s="18"/>
      <c r="I11887" s="18"/>
      <c r="J11887" s="18"/>
      <c r="K11887" s="18"/>
      <c r="L11887" s="18"/>
      <c r="M11887" s="18"/>
      <c r="N11887" s="18"/>
      <c r="O11887" s="14" t="str">
        <f>HYPERLINK("https://otsuka-europe-crm.veevavault.com/ui/#object/email_activity__v/V8C00000003W260", "EN-002097240")</f>
        <v>EN-002097240</v>
      </c>
    </row>
    <row r="11888" spans="1:15" ht="16" x14ac:dyDescent="0.2">
      <c r="A11888" s="18"/>
      <c r="B11888" s="18"/>
      <c r="C11888" s="18"/>
      <c r="D11888" s="18"/>
      <c r="E11888" s="18"/>
      <c r="F11888" s="18"/>
      <c r="G11888" s="18"/>
      <c r="H11888" s="18"/>
      <c r="I11888" s="18"/>
      <c r="J11888" s="18"/>
      <c r="K11888" s="18"/>
      <c r="L11888" s="18"/>
      <c r="M11888" s="18"/>
      <c r="N11888" s="18"/>
      <c r="O11888" s="14" t="str">
        <f>HYPERLINK("https://otsuka-europe-crm.veevavault.com/ui/#object/email_activity__v/V8C00000003W261", "EN-002097241")</f>
        <v>EN-002097241</v>
      </c>
    </row>
    <row r="11889" spans="1:15" ht="16" x14ac:dyDescent="0.2">
      <c r="A11889" s="19"/>
      <c r="B11889" s="19"/>
      <c r="C11889" s="19"/>
      <c r="D11889" s="19"/>
      <c r="E11889" s="19"/>
      <c r="F11889" s="19"/>
      <c r="G11889" s="19"/>
      <c r="H11889" s="19"/>
      <c r="I11889" s="19"/>
      <c r="J11889" s="19"/>
      <c r="K11889" s="19"/>
      <c r="L11889" s="19"/>
      <c r="M11889" s="19"/>
      <c r="N11889" s="19"/>
      <c r="O11889" s="14" t="str">
        <f>HYPERLINK("https://otsuka-europe-crm.veevavault.com/ui/#object/email_activity__v/V8C00000003X171", "EN-002097225")</f>
        <v>EN-002097225</v>
      </c>
    </row>
    <row r="11890" spans="1:15" ht="16" x14ac:dyDescent="0.2">
      <c r="A11890" s="17" t="str">
        <f>HYPERLINK("https://otsuka-europe-crm.veevavault.com/ui/#object/account__v/V4TZ0000062WFHM", "Dummy HCP")</f>
        <v>Dummy HCP</v>
      </c>
      <c r="B11890" s="17" t="str">
        <f>HYPERLINK("https://otsuka-europe-crm.veevavault.com/ui/#object/vcountry__v/VENZ000004SONFK", "GB")</f>
        <v>GB</v>
      </c>
      <c r="C11890" s="20" t="s">
        <v>39</v>
      </c>
      <c r="D11890" s="21" t="str">
        <f>HYPERLINK("https://otsuka-europe-crm.veevavault.com/ui/#object/approved_document__v/V5O00000000D081", "UK - Consent Email 1 Aug 25")</f>
        <v>UK - Consent Email 1 Aug 25</v>
      </c>
      <c r="E11890" s="22" t="str">
        <f>HYPERLINK("https://otsuka-europe-crm.veevavault.com/ui/#object/sent_email__v/VBL00000002V364", "SE-001437343")</f>
        <v>SE-001437343</v>
      </c>
      <c r="F11890" s="23">
        <v>46192.692546296297</v>
      </c>
      <c r="G11890" s="24">
        <v>1</v>
      </c>
      <c r="H11890" s="24">
        <v>28</v>
      </c>
      <c r="I11890" s="24">
        <v>0</v>
      </c>
      <c r="J11890" s="25"/>
      <c r="K11890" s="24">
        <v>0</v>
      </c>
      <c r="L11890" s="22" t="str">
        <f>HYPERLINK("https://otsuka-europe-crm.veevavault.com/ui/#object/approved_document__v/V5O00000000D081", "UK - Consent Email 1 Aug 25")</f>
        <v>UK - Consent Email 1 Aug 25</v>
      </c>
      <c r="M11890" s="22" t="str">
        <f>HYPERLINK("mailto:SPaul@crm.otsuka-europe.com", "SPaul@crm.otsuka-europe.com")</f>
        <v>SPaul@crm.otsuka-europe.com</v>
      </c>
      <c r="N11890" s="23">
        <v>46189.617268518516</v>
      </c>
      <c r="O11890" s="14" t="str">
        <f>HYPERLINK("https://otsuka-europe-crm.veevavault.com/ui/#object/email_activity__v/V8C00000003W247", "EN-002097227")</f>
        <v>EN-002097227</v>
      </c>
    </row>
    <row r="11891" spans="1:15" ht="16" x14ac:dyDescent="0.2">
      <c r="A11891" s="18"/>
      <c r="B11891" s="18"/>
      <c r="C11891" s="18"/>
      <c r="D11891" s="18"/>
      <c r="E11891" s="18"/>
      <c r="F11891" s="18"/>
      <c r="G11891" s="18"/>
      <c r="H11891" s="18"/>
      <c r="I11891" s="18"/>
      <c r="J11891" s="18"/>
      <c r="K11891" s="18"/>
      <c r="L11891" s="18"/>
      <c r="M11891" s="18"/>
      <c r="N11891" s="18"/>
      <c r="O11891" s="14" t="str">
        <f>HYPERLINK("https://otsuka-europe-crm.veevavault.com/ui/#object/email_activity__v/V8C00000003W271", "EN-002097262")</f>
        <v>EN-002097262</v>
      </c>
    </row>
    <row r="11892" spans="1:15" ht="16" x14ac:dyDescent="0.2">
      <c r="A11892" s="18"/>
      <c r="B11892" s="18"/>
      <c r="C11892" s="18"/>
      <c r="D11892" s="18"/>
      <c r="E11892" s="18"/>
      <c r="F11892" s="18"/>
      <c r="G11892" s="18"/>
      <c r="H11892" s="18"/>
      <c r="I11892" s="18"/>
      <c r="J11892" s="18"/>
      <c r="K11892" s="18"/>
      <c r="L11892" s="18"/>
      <c r="M11892" s="18"/>
      <c r="N11892" s="18"/>
      <c r="O11892" s="14" t="str">
        <f>HYPERLINK("https://otsuka-europe-crm.veevavault.com/ui/#object/email_activity__v/V8C00000003W273", "EN-002097264")</f>
        <v>EN-002097264</v>
      </c>
    </row>
    <row r="11893" spans="1:15" ht="16" x14ac:dyDescent="0.2">
      <c r="A11893" s="18"/>
      <c r="B11893" s="18"/>
      <c r="C11893" s="18"/>
      <c r="D11893" s="18"/>
      <c r="E11893" s="18"/>
      <c r="F11893" s="18"/>
      <c r="G11893" s="18"/>
      <c r="H11893" s="18"/>
      <c r="I11893" s="18"/>
      <c r="J11893" s="18"/>
      <c r="K11893" s="18"/>
      <c r="L11893" s="18"/>
      <c r="M11893" s="18"/>
      <c r="N11893" s="18"/>
      <c r="O11893" s="14" t="str">
        <f>HYPERLINK("https://otsuka-europe-crm.veevavault.com/ui/#object/email_activity__v/V8C00000003W274", "EN-002097265")</f>
        <v>EN-002097265</v>
      </c>
    </row>
    <row r="11894" spans="1:15" ht="16" x14ac:dyDescent="0.2">
      <c r="A11894" s="18"/>
      <c r="B11894" s="18"/>
      <c r="C11894" s="18"/>
      <c r="D11894" s="18"/>
      <c r="E11894" s="18"/>
      <c r="F11894" s="18"/>
      <c r="G11894" s="18"/>
      <c r="H11894" s="18"/>
      <c r="I11894" s="18"/>
      <c r="J11894" s="18"/>
      <c r="K11894" s="18"/>
      <c r="L11894" s="18"/>
      <c r="M11894" s="18"/>
      <c r="N11894" s="18"/>
      <c r="O11894" s="14" t="str">
        <f>HYPERLINK("https://otsuka-europe-crm.veevavault.com/ui/#object/email_activity__v/V8C00000003W276", "EN-002097270")</f>
        <v>EN-002097270</v>
      </c>
    </row>
    <row r="11895" spans="1:15" ht="16" x14ac:dyDescent="0.2">
      <c r="A11895" s="18"/>
      <c r="B11895" s="18"/>
      <c r="C11895" s="18"/>
      <c r="D11895" s="18"/>
      <c r="E11895" s="18"/>
      <c r="F11895" s="18"/>
      <c r="G11895" s="18"/>
      <c r="H11895" s="18"/>
      <c r="I11895" s="18"/>
      <c r="J11895" s="18"/>
      <c r="K11895" s="18"/>
      <c r="L11895" s="18"/>
      <c r="M11895" s="18"/>
      <c r="N11895" s="18"/>
      <c r="O11895" s="14" t="str">
        <f>HYPERLINK("https://otsuka-europe-crm.veevavault.com/ui/#object/email_activity__v/V8C00000003W277", "EN-002097271")</f>
        <v>EN-002097271</v>
      </c>
    </row>
    <row r="11896" spans="1:15" ht="16" x14ac:dyDescent="0.2">
      <c r="A11896" s="18"/>
      <c r="B11896" s="18"/>
      <c r="C11896" s="18"/>
      <c r="D11896" s="18"/>
      <c r="E11896" s="18"/>
      <c r="F11896" s="18"/>
      <c r="G11896" s="18"/>
      <c r="H11896" s="18"/>
      <c r="I11896" s="18"/>
      <c r="J11896" s="18"/>
      <c r="K11896" s="18"/>
      <c r="L11896" s="18"/>
      <c r="M11896" s="18"/>
      <c r="N11896" s="18"/>
      <c r="O11896" s="14" t="str">
        <f>HYPERLINK("https://otsuka-europe-crm.veevavault.com/ui/#object/email_activity__v/V8C00000003W283", "EN-002097281")</f>
        <v>EN-002097281</v>
      </c>
    </row>
    <row r="11897" spans="1:15" ht="16" x14ac:dyDescent="0.2">
      <c r="A11897" s="18"/>
      <c r="B11897" s="18"/>
      <c r="C11897" s="18"/>
      <c r="D11897" s="18"/>
      <c r="E11897" s="18"/>
      <c r="F11897" s="18"/>
      <c r="G11897" s="18"/>
      <c r="H11897" s="18"/>
      <c r="I11897" s="18"/>
      <c r="J11897" s="18"/>
      <c r="K11897" s="18"/>
      <c r="L11897" s="18"/>
      <c r="M11897" s="18"/>
      <c r="N11897" s="18"/>
      <c r="O11897" s="14" t="str">
        <f>HYPERLINK("https://otsuka-europe-crm.veevavault.com/ui/#object/email_activity__v/V8C00000003W284", "EN-002097282")</f>
        <v>EN-002097282</v>
      </c>
    </row>
    <row r="11898" spans="1:15" ht="16" x14ac:dyDescent="0.2">
      <c r="A11898" s="18"/>
      <c r="B11898" s="18"/>
      <c r="C11898" s="18"/>
      <c r="D11898" s="18"/>
      <c r="E11898" s="18"/>
      <c r="F11898" s="18"/>
      <c r="G11898" s="18"/>
      <c r="H11898" s="18"/>
      <c r="I11898" s="18"/>
      <c r="J11898" s="18"/>
      <c r="K11898" s="18"/>
      <c r="L11898" s="18"/>
      <c r="M11898" s="18"/>
      <c r="N11898" s="18"/>
      <c r="O11898" s="14" t="str">
        <f>HYPERLINK("https://otsuka-europe-crm.veevavault.com/ui/#object/email_activity__v/V8C00000003W286", "EN-002097291")</f>
        <v>EN-002097291</v>
      </c>
    </row>
    <row r="11899" spans="1:15" ht="16" x14ac:dyDescent="0.2">
      <c r="A11899" s="18"/>
      <c r="B11899" s="18"/>
      <c r="C11899" s="18"/>
      <c r="D11899" s="18"/>
      <c r="E11899" s="18"/>
      <c r="F11899" s="18"/>
      <c r="G11899" s="18"/>
      <c r="H11899" s="18"/>
      <c r="I11899" s="18"/>
      <c r="J11899" s="18"/>
      <c r="K11899" s="18"/>
      <c r="L11899" s="18"/>
      <c r="M11899" s="18"/>
      <c r="N11899" s="18"/>
      <c r="O11899" s="14" t="str">
        <f>HYPERLINK("https://otsuka-europe-crm.veevavault.com/ui/#object/email_activity__v/V8C00000003W291", "EN-002097299")</f>
        <v>EN-002097299</v>
      </c>
    </row>
    <row r="11900" spans="1:15" ht="16" x14ac:dyDescent="0.2">
      <c r="A11900" s="18"/>
      <c r="B11900" s="18"/>
      <c r="C11900" s="18"/>
      <c r="D11900" s="18"/>
      <c r="E11900" s="18"/>
      <c r="F11900" s="18"/>
      <c r="G11900" s="18"/>
      <c r="H11900" s="18"/>
      <c r="I11900" s="18"/>
      <c r="J11900" s="18"/>
      <c r="K11900" s="18"/>
      <c r="L11900" s="18"/>
      <c r="M11900" s="18"/>
      <c r="N11900" s="18"/>
      <c r="O11900" s="14" t="str">
        <f>HYPERLINK("https://otsuka-europe-crm.veevavault.com/ui/#object/email_activity__v/V8C00000003W294", "EN-002097311")</f>
        <v>EN-002097311</v>
      </c>
    </row>
    <row r="11901" spans="1:15" ht="16" x14ac:dyDescent="0.2">
      <c r="A11901" s="18"/>
      <c r="B11901" s="18"/>
      <c r="C11901" s="18"/>
      <c r="D11901" s="18"/>
      <c r="E11901" s="18"/>
      <c r="F11901" s="18"/>
      <c r="G11901" s="18"/>
      <c r="H11901" s="18"/>
      <c r="I11901" s="18"/>
      <c r="J11901" s="18"/>
      <c r="K11901" s="18"/>
      <c r="L11901" s="18"/>
      <c r="M11901" s="18"/>
      <c r="N11901" s="18"/>
      <c r="O11901" s="14" t="str">
        <f>HYPERLINK("https://otsuka-europe-crm.veevavault.com/ui/#object/email_activity__v/V8C00000003W295", "EN-002097312")</f>
        <v>EN-002097312</v>
      </c>
    </row>
    <row r="11902" spans="1:15" ht="16" x14ac:dyDescent="0.2">
      <c r="A11902" s="18"/>
      <c r="B11902" s="18"/>
      <c r="C11902" s="18"/>
      <c r="D11902" s="18"/>
      <c r="E11902" s="18"/>
      <c r="F11902" s="18"/>
      <c r="G11902" s="18"/>
      <c r="H11902" s="18"/>
      <c r="I11902" s="18"/>
      <c r="J11902" s="18"/>
      <c r="K11902" s="18"/>
      <c r="L11902" s="18"/>
      <c r="M11902" s="18"/>
      <c r="N11902" s="18"/>
      <c r="O11902" s="14" t="str">
        <f>HYPERLINK("https://otsuka-europe-crm.veevavault.com/ui/#object/email_activity__v/V8C00000003W296", "EN-002097313")</f>
        <v>EN-002097313</v>
      </c>
    </row>
    <row r="11903" spans="1:15" ht="16" x14ac:dyDescent="0.2">
      <c r="A11903" s="18"/>
      <c r="B11903" s="18"/>
      <c r="C11903" s="18"/>
      <c r="D11903" s="18"/>
      <c r="E11903" s="18"/>
      <c r="F11903" s="18"/>
      <c r="G11903" s="18"/>
      <c r="H11903" s="18"/>
      <c r="I11903" s="18"/>
      <c r="J11903" s="18"/>
      <c r="K11903" s="18"/>
      <c r="L11903" s="18"/>
      <c r="M11903" s="18"/>
      <c r="N11903" s="18"/>
      <c r="O11903" s="14" t="str">
        <f>HYPERLINK("https://otsuka-europe-crm.veevavault.com/ui/#object/email_activity__v/V8C00000003W298", "EN-002097318")</f>
        <v>EN-002097318</v>
      </c>
    </row>
    <row r="11904" spans="1:15" ht="16" x14ac:dyDescent="0.2">
      <c r="A11904" s="18"/>
      <c r="B11904" s="18"/>
      <c r="C11904" s="18"/>
      <c r="D11904" s="18"/>
      <c r="E11904" s="18"/>
      <c r="F11904" s="18"/>
      <c r="G11904" s="18"/>
      <c r="H11904" s="18"/>
      <c r="I11904" s="18"/>
      <c r="J11904" s="18"/>
      <c r="K11904" s="18"/>
      <c r="L11904" s="18"/>
      <c r="M11904" s="18"/>
      <c r="N11904" s="18"/>
      <c r="O11904" s="14" t="str">
        <f>HYPERLINK("https://otsuka-europe-crm.veevavault.com/ui/#object/email_activity__v/V8C00000003W641", "EN-002098272")</f>
        <v>EN-002098272</v>
      </c>
    </row>
    <row r="11905" spans="1:15" ht="16" x14ac:dyDescent="0.2">
      <c r="A11905" s="18"/>
      <c r="B11905" s="18"/>
      <c r="C11905" s="18"/>
      <c r="D11905" s="18"/>
      <c r="E11905" s="18"/>
      <c r="F11905" s="18"/>
      <c r="G11905" s="18"/>
      <c r="H11905" s="18"/>
      <c r="I11905" s="18"/>
      <c r="J11905" s="18"/>
      <c r="K11905" s="18"/>
      <c r="L11905" s="18"/>
      <c r="M11905" s="18"/>
      <c r="N11905" s="18"/>
      <c r="O11905" s="14" t="str">
        <f>HYPERLINK("https://otsuka-europe-crm.veevavault.com/ui/#object/email_activity__v/V8C00000003W642", "EN-002098273")</f>
        <v>EN-002098273</v>
      </c>
    </row>
    <row r="11906" spans="1:15" ht="16" x14ac:dyDescent="0.2">
      <c r="A11906" s="18"/>
      <c r="B11906" s="18"/>
      <c r="C11906" s="18"/>
      <c r="D11906" s="18"/>
      <c r="E11906" s="18"/>
      <c r="F11906" s="18"/>
      <c r="G11906" s="18"/>
      <c r="H11906" s="18"/>
      <c r="I11906" s="18"/>
      <c r="J11906" s="18"/>
      <c r="K11906" s="18"/>
      <c r="L11906" s="18"/>
      <c r="M11906" s="18"/>
      <c r="N11906" s="18"/>
      <c r="O11906" s="14" t="str">
        <f>HYPERLINK("https://otsuka-europe-crm.veevavault.com/ui/#object/email_activity__v/V8C00000003W643", "EN-002098274")</f>
        <v>EN-002098274</v>
      </c>
    </row>
    <row r="11907" spans="1:15" ht="16" x14ac:dyDescent="0.2">
      <c r="A11907" s="18"/>
      <c r="B11907" s="18"/>
      <c r="C11907" s="18"/>
      <c r="D11907" s="18"/>
      <c r="E11907" s="18"/>
      <c r="F11907" s="18"/>
      <c r="G11907" s="18"/>
      <c r="H11907" s="18"/>
      <c r="I11907" s="18"/>
      <c r="J11907" s="18"/>
      <c r="K11907" s="18"/>
      <c r="L11907" s="18"/>
      <c r="M11907" s="18"/>
      <c r="N11907" s="18"/>
      <c r="O11907" s="14" t="str">
        <f>HYPERLINK("https://otsuka-europe-crm.veevavault.com/ui/#object/email_activity__v/V8C00000003X183", "EN-002097267")</f>
        <v>EN-002097267</v>
      </c>
    </row>
    <row r="11908" spans="1:15" ht="16" x14ac:dyDescent="0.2">
      <c r="A11908" s="18"/>
      <c r="B11908" s="18"/>
      <c r="C11908" s="18"/>
      <c r="D11908" s="18"/>
      <c r="E11908" s="18"/>
      <c r="F11908" s="18"/>
      <c r="G11908" s="18"/>
      <c r="H11908" s="18"/>
      <c r="I11908" s="18"/>
      <c r="J11908" s="18"/>
      <c r="K11908" s="18"/>
      <c r="L11908" s="18"/>
      <c r="M11908" s="18"/>
      <c r="N11908" s="18"/>
      <c r="O11908" s="14" t="str">
        <f>HYPERLINK("https://otsuka-europe-crm.veevavault.com/ui/#object/email_activity__v/V8C00000003X187", "EN-002097276")</f>
        <v>EN-002097276</v>
      </c>
    </row>
    <row r="11909" spans="1:15" ht="16" x14ac:dyDescent="0.2">
      <c r="A11909" s="18"/>
      <c r="B11909" s="18"/>
      <c r="C11909" s="18"/>
      <c r="D11909" s="18"/>
      <c r="E11909" s="18"/>
      <c r="F11909" s="18"/>
      <c r="G11909" s="18"/>
      <c r="H11909" s="18"/>
      <c r="I11909" s="18"/>
      <c r="J11909" s="18"/>
      <c r="K11909" s="18"/>
      <c r="L11909" s="18"/>
      <c r="M11909" s="18"/>
      <c r="N11909" s="18"/>
      <c r="O11909" s="14" t="str">
        <f>HYPERLINK("https://otsuka-europe-crm.veevavault.com/ui/#object/email_activity__v/V8C00000003X190", "EN-002097284")</f>
        <v>EN-002097284</v>
      </c>
    </row>
    <row r="11910" spans="1:15" ht="16" x14ac:dyDescent="0.2">
      <c r="A11910" s="18"/>
      <c r="B11910" s="18"/>
      <c r="C11910" s="18"/>
      <c r="D11910" s="18"/>
      <c r="E11910" s="18"/>
      <c r="F11910" s="18"/>
      <c r="G11910" s="18"/>
      <c r="H11910" s="18"/>
      <c r="I11910" s="18"/>
      <c r="J11910" s="18"/>
      <c r="K11910" s="18"/>
      <c r="L11910" s="18"/>
      <c r="M11910" s="18"/>
      <c r="N11910" s="18"/>
      <c r="O11910" s="14" t="str">
        <f>HYPERLINK("https://otsuka-europe-crm.veevavault.com/ui/#object/email_activity__v/V8C00000003X191", "EN-002097285")</f>
        <v>EN-002097285</v>
      </c>
    </row>
    <row r="11911" spans="1:15" ht="16" x14ac:dyDescent="0.2">
      <c r="A11911" s="18"/>
      <c r="B11911" s="18"/>
      <c r="C11911" s="18"/>
      <c r="D11911" s="18"/>
      <c r="E11911" s="18"/>
      <c r="F11911" s="18"/>
      <c r="G11911" s="18"/>
      <c r="H11911" s="18"/>
      <c r="I11911" s="18"/>
      <c r="J11911" s="18"/>
      <c r="K11911" s="18"/>
      <c r="L11911" s="18"/>
      <c r="M11911" s="18"/>
      <c r="N11911" s="18"/>
      <c r="O11911" s="14" t="str">
        <f>HYPERLINK("https://otsuka-europe-crm.veevavault.com/ui/#object/email_activity__v/V8C00000003X192", "EN-002097286")</f>
        <v>EN-002097286</v>
      </c>
    </row>
    <row r="11912" spans="1:15" ht="16" x14ac:dyDescent="0.2">
      <c r="A11912" s="18"/>
      <c r="B11912" s="18"/>
      <c r="C11912" s="18"/>
      <c r="D11912" s="18"/>
      <c r="E11912" s="18"/>
      <c r="F11912" s="18"/>
      <c r="G11912" s="18"/>
      <c r="H11912" s="18"/>
      <c r="I11912" s="18"/>
      <c r="J11912" s="18"/>
      <c r="K11912" s="18"/>
      <c r="L11912" s="18"/>
      <c r="M11912" s="18"/>
      <c r="N11912" s="18"/>
      <c r="O11912" s="14" t="str">
        <f>HYPERLINK("https://otsuka-europe-crm.veevavault.com/ui/#object/email_activity__v/V8C00000003X193", "EN-002097287")</f>
        <v>EN-002097287</v>
      </c>
    </row>
    <row r="11913" spans="1:15" ht="16" x14ac:dyDescent="0.2">
      <c r="A11913" s="18"/>
      <c r="B11913" s="18"/>
      <c r="C11913" s="18"/>
      <c r="D11913" s="18"/>
      <c r="E11913" s="18"/>
      <c r="F11913" s="18"/>
      <c r="G11913" s="18"/>
      <c r="H11913" s="18"/>
      <c r="I11913" s="18"/>
      <c r="J11913" s="18"/>
      <c r="K11913" s="18"/>
      <c r="L11913" s="18"/>
      <c r="M11913" s="18"/>
      <c r="N11913" s="18"/>
      <c r="O11913" s="14" t="str">
        <f>HYPERLINK("https://otsuka-europe-crm.veevavault.com/ui/#object/email_activity__v/V8C00000003X194", "EN-002097288")</f>
        <v>EN-002097288</v>
      </c>
    </row>
    <row r="11914" spans="1:15" ht="16" x14ac:dyDescent="0.2">
      <c r="A11914" s="18"/>
      <c r="B11914" s="18"/>
      <c r="C11914" s="18"/>
      <c r="D11914" s="18"/>
      <c r="E11914" s="18"/>
      <c r="F11914" s="18"/>
      <c r="G11914" s="18"/>
      <c r="H11914" s="18"/>
      <c r="I11914" s="18"/>
      <c r="J11914" s="18"/>
      <c r="K11914" s="18"/>
      <c r="L11914" s="18"/>
      <c r="M11914" s="18"/>
      <c r="N11914" s="18"/>
      <c r="O11914" s="14" t="str">
        <f>HYPERLINK("https://otsuka-europe-crm.veevavault.com/ui/#object/email_activity__v/V8C00000003X195", "EN-002097289")</f>
        <v>EN-002097289</v>
      </c>
    </row>
    <row r="11915" spans="1:15" ht="16" x14ac:dyDescent="0.2">
      <c r="A11915" s="18"/>
      <c r="B11915" s="18"/>
      <c r="C11915" s="18"/>
      <c r="D11915" s="18"/>
      <c r="E11915" s="18"/>
      <c r="F11915" s="18"/>
      <c r="G11915" s="18"/>
      <c r="H11915" s="18"/>
      <c r="I11915" s="18"/>
      <c r="J11915" s="18"/>
      <c r="K11915" s="18"/>
      <c r="L11915" s="18"/>
      <c r="M11915" s="18"/>
      <c r="N11915" s="18"/>
      <c r="O11915" s="14" t="str">
        <f>HYPERLINK("https://otsuka-europe-crm.veevavault.com/ui/#object/email_activity__v/V8C00000003X196", "EN-002097290")</f>
        <v>EN-002097290</v>
      </c>
    </row>
    <row r="11916" spans="1:15" ht="16" x14ac:dyDescent="0.2">
      <c r="A11916" s="18"/>
      <c r="B11916" s="18"/>
      <c r="C11916" s="18"/>
      <c r="D11916" s="18"/>
      <c r="E11916" s="18"/>
      <c r="F11916" s="18"/>
      <c r="G11916" s="18"/>
      <c r="H11916" s="18"/>
      <c r="I11916" s="18"/>
      <c r="J11916" s="18"/>
      <c r="K11916" s="18"/>
      <c r="L11916" s="18"/>
      <c r="M11916" s="18"/>
      <c r="N11916" s="18"/>
      <c r="O11916" s="14" t="str">
        <f>HYPERLINK("https://otsuka-europe-crm.veevavault.com/ui/#object/email_activity__v/V8C00000003X197", "EN-002097292")</f>
        <v>EN-002097292</v>
      </c>
    </row>
    <row r="11917" spans="1:15" ht="16" x14ac:dyDescent="0.2">
      <c r="A11917" s="18"/>
      <c r="B11917" s="18"/>
      <c r="C11917" s="18"/>
      <c r="D11917" s="18"/>
      <c r="E11917" s="18"/>
      <c r="F11917" s="18"/>
      <c r="G11917" s="18"/>
      <c r="H11917" s="18"/>
      <c r="I11917" s="18"/>
      <c r="J11917" s="18"/>
      <c r="K11917" s="18"/>
      <c r="L11917" s="18"/>
      <c r="M11917" s="18"/>
      <c r="N11917" s="18"/>
      <c r="O11917" s="14" t="str">
        <f>HYPERLINK("https://otsuka-europe-crm.veevavault.com/ui/#object/email_activity__v/V8C00000003X209", "EN-002097314")</f>
        <v>EN-002097314</v>
      </c>
    </row>
    <row r="11918" spans="1:15" ht="16" x14ac:dyDescent="0.2">
      <c r="A11918" s="19"/>
      <c r="B11918" s="19"/>
      <c r="C11918" s="19"/>
      <c r="D11918" s="19"/>
      <c r="E11918" s="19"/>
      <c r="F11918" s="19"/>
      <c r="G11918" s="19"/>
      <c r="H11918" s="19"/>
      <c r="I11918" s="19"/>
      <c r="J11918" s="19"/>
      <c r="K11918" s="19"/>
      <c r="L11918" s="19"/>
      <c r="M11918" s="19"/>
      <c r="N11918" s="19"/>
      <c r="O11918" s="14" t="str">
        <f>HYPERLINK("https://otsuka-europe-crm.veevavault.com/ui/#object/email_activity__v/V8C000000040084", "EN-002098852")</f>
        <v>EN-002098852</v>
      </c>
    </row>
    <row r="11919" spans="1:15" ht="16" x14ac:dyDescent="0.2">
      <c r="A11919" s="17" t="str">
        <f>HYPERLINK("https://otsuka-europe-crm.veevavault.com/ui/#object/account__v/V4TZ0000062WFHM", "Dummy HCP")</f>
        <v>Dummy HCP</v>
      </c>
      <c r="B11919" s="17" t="str">
        <f>HYPERLINK("https://otsuka-europe-crm.veevavault.com/ui/#object/vcountry__v/VENZ000004SONFK", "GB")</f>
        <v>GB</v>
      </c>
      <c r="C11919" s="20" t="s">
        <v>39</v>
      </c>
      <c r="D11919" s="21" t="str">
        <f>HYPERLINK("https://otsuka-europe-crm.veevavault.com/ui/#object/approved_document__v/V5OZ025E82PXJSL", "Otsuka Privacy Notice - UK (v2)")</f>
        <v>Otsuka Privacy Notice - UK (v2)</v>
      </c>
      <c r="E11919" s="22" t="str">
        <f>HYPERLINK("https://otsuka-europe-crm.veevavault.com/ui/#object/sent_email__v/VBL00000002T531", "SE-001437344")</f>
        <v>SE-001437344</v>
      </c>
      <c r="F11919" s="23">
        <v>46189.65011574074</v>
      </c>
      <c r="G11919" s="24">
        <v>1</v>
      </c>
      <c r="H11919" s="24">
        <v>6</v>
      </c>
      <c r="I11919" s="24">
        <v>0</v>
      </c>
      <c r="J11919" s="25"/>
      <c r="K11919" s="24">
        <v>0</v>
      </c>
      <c r="L11919" s="22" t="str">
        <f>HYPERLINK("https://otsuka-europe-crm.veevavault.com/ui/#object/approved_document__v/V5OZ025E82PXJSL", "Otsuka Privacy Notice - UK (v2)")</f>
        <v>Otsuka Privacy Notice - UK (v2)</v>
      </c>
      <c r="M11919" s="22" t="str">
        <f>HYPERLINK("mailto:SPaul@crm.otsuka-europe.com", "SPaul@crm.otsuka-europe.com")</f>
        <v>SPaul@crm.otsuka-europe.com</v>
      </c>
      <c r="N11919" s="23">
        <v>46189.619803240741</v>
      </c>
      <c r="O11919" s="14" t="str">
        <f>HYPERLINK("https://otsuka-europe-crm.veevavault.com/ui/#object/email_activity__v/V8C00000003W262", "EN-002097242")</f>
        <v>EN-002097242</v>
      </c>
    </row>
    <row r="11920" spans="1:15" ht="16" x14ac:dyDescent="0.2">
      <c r="A11920" s="18"/>
      <c r="B11920" s="18"/>
      <c r="C11920" s="18"/>
      <c r="D11920" s="18"/>
      <c r="E11920" s="18"/>
      <c r="F11920" s="18"/>
      <c r="G11920" s="18"/>
      <c r="H11920" s="18"/>
      <c r="I11920" s="18"/>
      <c r="J11920" s="18"/>
      <c r="K11920" s="18"/>
      <c r="L11920" s="18"/>
      <c r="M11920" s="18"/>
      <c r="N11920" s="18"/>
      <c r="O11920" s="14" t="str">
        <f>HYPERLINK("https://otsuka-europe-crm.veevavault.com/ui/#object/email_activity__v/V8C00000003W270", "EN-002097260")</f>
        <v>EN-002097260</v>
      </c>
    </row>
    <row r="11921" spans="1:15" ht="16" x14ac:dyDescent="0.2">
      <c r="A11921" s="18"/>
      <c r="B11921" s="18"/>
      <c r="C11921" s="18"/>
      <c r="D11921" s="18"/>
      <c r="E11921" s="18"/>
      <c r="F11921" s="18"/>
      <c r="G11921" s="18"/>
      <c r="H11921" s="18"/>
      <c r="I11921" s="18"/>
      <c r="J11921" s="18"/>
      <c r="K11921" s="18"/>
      <c r="L11921" s="18"/>
      <c r="M11921" s="18"/>
      <c r="N11921" s="18"/>
      <c r="O11921" s="14" t="str">
        <f>HYPERLINK("https://otsuka-europe-crm.veevavault.com/ui/#object/email_activity__v/V8C00000003W272", "EN-002097263")</f>
        <v>EN-002097263</v>
      </c>
    </row>
    <row r="11922" spans="1:15" ht="16" x14ac:dyDescent="0.2">
      <c r="A11922" s="18"/>
      <c r="B11922" s="18"/>
      <c r="C11922" s="18"/>
      <c r="D11922" s="18"/>
      <c r="E11922" s="18"/>
      <c r="F11922" s="18"/>
      <c r="G11922" s="18"/>
      <c r="H11922" s="18"/>
      <c r="I11922" s="18"/>
      <c r="J11922" s="18"/>
      <c r="K11922" s="18"/>
      <c r="L11922" s="18"/>
      <c r="M11922" s="18"/>
      <c r="N11922" s="18"/>
      <c r="O11922" s="14" t="str">
        <f>HYPERLINK("https://otsuka-europe-crm.veevavault.com/ui/#object/email_activity__v/V8C00000003W275", "EN-002097266")</f>
        <v>EN-002097266</v>
      </c>
    </row>
    <row r="11923" spans="1:15" ht="16" x14ac:dyDescent="0.2">
      <c r="A11923" s="18"/>
      <c r="B11923" s="18"/>
      <c r="C11923" s="18"/>
      <c r="D11923" s="18"/>
      <c r="E11923" s="18"/>
      <c r="F11923" s="18"/>
      <c r="G11923" s="18"/>
      <c r="H11923" s="18"/>
      <c r="I11923" s="18"/>
      <c r="J11923" s="18"/>
      <c r="K11923" s="18"/>
      <c r="L11923" s="18"/>
      <c r="M11923" s="18"/>
      <c r="N11923" s="18"/>
      <c r="O11923" s="14" t="str">
        <f>HYPERLINK("https://otsuka-europe-crm.veevavault.com/ui/#object/email_activity__v/V8C00000003X181", "EN-002097259")</f>
        <v>EN-002097259</v>
      </c>
    </row>
    <row r="11924" spans="1:15" ht="16" x14ac:dyDescent="0.2">
      <c r="A11924" s="18"/>
      <c r="B11924" s="18"/>
      <c r="C11924" s="18"/>
      <c r="D11924" s="18"/>
      <c r="E11924" s="18"/>
      <c r="F11924" s="18"/>
      <c r="G11924" s="18"/>
      <c r="H11924" s="18"/>
      <c r="I11924" s="18"/>
      <c r="J11924" s="18"/>
      <c r="K11924" s="18"/>
      <c r="L11924" s="18"/>
      <c r="M11924" s="18"/>
      <c r="N11924" s="18"/>
      <c r="O11924" s="14" t="str">
        <f>HYPERLINK("https://otsuka-europe-crm.veevavault.com/ui/#object/email_activity__v/V8C00000003X182", "EN-002097261")</f>
        <v>EN-002097261</v>
      </c>
    </row>
    <row r="11925" spans="1:15" ht="16" x14ac:dyDescent="0.2">
      <c r="A11925" s="19"/>
      <c r="B11925" s="19"/>
      <c r="C11925" s="19"/>
      <c r="D11925" s="19"/>
      <c r="E11925" s="19"/>
      <c r="F11925" s="19"/>
      <c r="G11925" s="19"/>
      <c r="H11925" s="19"/>
      <c r="I11925" s="19"/>
      <c r="J11925" s="19"/>
      <c r="K11925" s="19"/>
      <c r="L11925" s="19"/>
      <c r="M11925" s="19"/>
      <c r="N11925" s="19"/>
      <c r="O11925" s="14" t="str">
        <f>HYPERLINK("https://otsuka-europe-crm.veevavault.com/ui/#object/email_activity__v/V8C00000003X185", "EN-002097269")</f>
        <v>EN-002097269</v>
      </c>
    </row>
    <row r="11926" spans="1:15" ht="16" x14ac:dyDescent="0.2">
      <c r="A11926" s="17" t="str">
        <f>HYPERLINK("https://otsuka-europe-crm.veevavault.com/ui/#object/account__v/V4T000000025049", "ANTONIO JAVIER RAMOS GUERRERO")</f>
        <v>ANTONIO JAVIER RAMOS GUERRERO</v>
      </c>
      <c r="B11926" s="17" t="str">
        <f>HYPERLINK("https://otsuka-europe-crm.veevavault.com/ui/#object/vcountry__v/VENZ000004SONF5", "ES")</f>
        <v>ES</v>
      </c>
      <c r="C11926" s="20" t="s">
        <v>41</v>
      </c>
      <c r="D11926" s="21" t="str">
        <f>HYPERLINK("https://otsuka-europe-crm.veevavault.com/ui/#object/approved_document__v/V5OZ06G6O6RFL1P", "ES Veeva Privacy Notice Email")</f>
        <v>ES Veeva Privacy Notice Email</v>
      </c>
      <c r="E11926" s="22" t="str">
        <f>HYPERLINK("https://otsuka-europe-crm.veevavault.com/ui/#object/sent_email__v/VBL00000002T532", "SE-001437345")</f>
        <v>SE-001437345</v>
      </c>
      <c r="F11926" s="25"/>
      <c r="G11926" s="24">
        <v>0</v>
      </c>
      <c r="H11926" s="24">
        <v>0</v>
      </c>
      <c r="I11926" s="24">
        <v>0</v>
      </c>
      <c r="J11926" s="25"/>
      <c r="K11926" s="24">
        <v>0</v>
      </c>
      <c r="L11926" s="22" t="str">
        <f>HYPERLINK("https://otsuka-europe-crm.veevavault.com/ui/#object/approved_document__v/V5OZ06G6O6RFL1P", "ES Veeva Privacy Notice Email")</f>
        <v>ES Veeva Privacy Notice Email</v>
      </c>
      <c r="M11926" s="22" t="str">
        <f>HYPERLINK("mailto:oriballo@crm.otsuka-europe.com", "oriballo@crm.otsuka-europe.com")</f>
        <v>oriballo@crm.otsuka-europe.com</v>
      </c>
      <c r="N11926" s="23">
        <v>46189.638935185183</v>
      </c>
      <c r="O11926" s="14" t="str">
        <f>HYPERLINK("https://otsuka-europe-crm.veevavault.com/ui/#object/email_activity__v/V8C00000003W265", "EN-002097248")</f>
        <v>EN-002097248</v>
      </c>
    </row>
    <row r="11927" spans="1:15" ht="16" x14ac:dyDescent="0.2">
      <c r="A11927" s="18"/>
      <c r="B11927" s="18"/>
      <c r="C11927" s="18"/>
      <c r="D11927" s="18"/>
      <c r="E11927" s="18"/>
      <c r="F11927" s="18"/>
      <c r="G11927" s="18"/>
      <c r="H11927" s="18"/>
      <c r="I11927" s="18"/>
      <c r="J11927" s="18"/>
      <c r="K11927" s="18"/>
      <c r="L11927" s="18"/>
      <c r="M11927" s="18"/>
      <c r="N11927" s="18"/>
      <c r="O11927" s="14" t="str">
        <f>HYPERLINK("https://otsuka-europe-crm.veevavault.com/ui/#object/email_activity__v/V8C00000003X174", "EN-002097247")</f>
        <v>EN-002097247</v>
      </c>
    </row>
    <row r="11928" spans="1:15" ht="16" x14ac:dyDescent="0.2">
      <c r="A11928" s="19"/>
      <c r="B11928" s="19"/>
      <c r="C11928" s="19"/>
      <c r="D11928" s="19"/>
      <c r="E11928" s="19"/>
      <c r="F11928" s="19"/>
      <c r="G11928" s="19"/>
      <c r="H11928" s="19"/>
      <c r="I11928" s="19"/>
      <c r="J11928" s="19"/>
      <c r="K11928" s="19"/>
      <c r="L11928" s="19"/>
      <c r="M11928" s="19"/>
      <c r="N11928" s="19"/>
      <c r="O11928" s="14" t="str">
        <f>HYPERLINK("https://otsuka-europe-crm.veevavault.com/ui/#object/email_activity__v/V8C00000003X215", "EN-002097324")</f>
        <v>EN-002097324</v>
      </c>
    </row>
    <row r="11929" spans="1:15" ht="16" x14ac:dyDescent="0.2">
      <c r="A11929" s="17" t="str">
        <f>HYPERLINK("https://otsuka-europe-crm.veevavault.com/ui/#object/account__v/V4T000000025049", "ANTONIO JAVIER RAMOS GUERRERO")</f>
        <v>ANTONIO JAVIER RAMOS GUERRERO</v>
      </c>
      <c r="B11929" s="17" t="str">
        <f>HYPERLINK("https://otsuka-europe-crm.veevavault.com/ui/#object/vcountry__v/VENZ000004SONF5", "ES")</f>
        <v>ES</v>
      </c>
      <c r="C11929" s="20" t="s">
        <v>41</v>
      </c>
      <c r="D11929" s="21" t="str">
        <f>HYPERLINK("https://otsuka-europe-crm.veevavault.com/ui/#object/approved_document__v/V5O00000000D100", "Spain - Consent Email 1 Aug 25")</f>
        <v>Spain - Consent Email 1 Aug 25</v>
      </c>
      <c r="E11929" s="22" t="str">
        <f>HYPERLINK("https://otsuka-europe-crm.veevavault.com/ui/#object/sent_email__v/VBL00000002T533", "SE-001437346")</f>
        <v>SE-001437346</v>
      </c>
      <c r="F11929" s="25"/>
      <c r="G11929" s="24">
        <v>0</v>
      </c>
      <c r="H11929" s="24">
        <v>0</v>
      </c>
      <c r="I11929" s="24">
        <v>1</v>
      </c>
      <c r="J11929" s="23">
        <v>46189.642835648148</v>
      </c>
      <c r="K11929" s="24">
        <v>1</v>
      </c>
      <c r="L11929" s="22" t="str">
        <f>HYPERLINK("https://otsuka-europe-crm.veevavault.com/ui/#object/approved_document__v/V5O00000000D100", "Spain - Consent Email 1 Aug 25")</f>
        <v>Spain - Consent Email 1 Aug 25</v>
      </c>
      <c r="M11929" s="22" t="str">
        <f>HYPERLINK("mailto:oriballo@crm.otsuka-europe.com", "oriballo@crm.otsuka-europe.com")</f>
        <v>oriballo@crm.otsuka-europe.com</v>
      </c>
      <c r="N11929" s="23">
        <v>46189.641412037039</v>
      </c>
      <c r="O11929" s="14" t="str">
        <f>HYPERLINK("https://otsuka-europe-crm.veevavault.com/ui/#object/email_activity__v/V8C00000003W266", "EN-002097252")</f>
        <v>EN-002097252</v>
      </c>
    </row>
    <row r="11930" spans="1:15" ht="16" x14ac:dyDescent="0.2">
      <c r="A11930" s="18"/>
      <c r="B11930" s="18"/>
      <c r="C11930" s="18"/>
      <c r="D11930" s="18"/>
      <c r="E11930" s="18"/>
      <c r="F11930" s="18"/>
      <c r="G11930" s="18"/>
      <c r="H11930" s="18"/>
      <c r="I11930" s="18"/>
      <c r="J11930" s="18"/>
      <c r="K11930" s="18"/>
      <c r="L11930" s="18"/>
      <c r="M11930" s="18"/>
      <c r="N11930" s="18"/>
      <c r="O11930" s="14" t="str">
        <f>HYPERLINK("https://otsuka-europe-crm.veevavault.com/ui/#object/email_activity__v/V8C00000003W269", "EN-002097258")</f>
        <v>EN-002097258</v>
      </c>
    </row>
    <row r="11931" spans="1:15" ht="16" x14ac:dyDescent="0.2">
      <c r="A11931" s="18"/>
      <c r="B11931" s="18"/>
      <c r="C11931" s="18"/>
      <c r="D11931" s="18"/>
      <c r="E11931" s="18"/>
      <c r="F11931" s="18"/>
      <c r="G11931" s="18"/>
      <c r="H11931" s="18"/>
      <c r="I11931" s="18"/>
      <c r="J11931" s="18"/>
      <c r="K11931" s="18"/>
      <c r="L11931" s="18"/>
      <c r="M11931" s="18"/>
      <c r="N11931" s="18"/>
      <c r="O11931" s="14" t="str">
        <f>HYPERLINK("https://otsuka-europe-crm.veevavault.com/ui/#object/email_activity__v/V8C00000003X180", "EN-002097257")</f>
        <v>EN-002097257</v>
      </c>
    </row>
    <row r="11932" spans="1:15" ht="16" x14ac:dyDescent="0.2">
      <c r="A11932" s="19"/>
      <c r="B11932" s="19"/>
      <c r="C11932" s="19"/>
      <c r="D11932" s="19"/>
      <c r="E11932" s="19"/>
      <c r="F11932" s="19"/>
      <c r="G11932" s="19"/>
      <c r="H11932" s="19"/>
      <c r="I11932" s="19"/>
      <c r="J11932" s="19"/>
      <c r="K11932" s="19"/>
      <c r="L11932" s="19"/>
      <c r="M11932" s="19"/>
      <c r="N11932" s="19"/>
      <c r="O11932" s="14" t="str">
        <f>HYPERLINK("https://otsuka-europe-crm.veevavault.com/ui/#object/email_activity__v/V8C00000003X213", "EN-002097322")</f>
        <v>EN-002097322</v>
      </c>
    </row>
    <row r="11933" spans="1:15" ht="16" x14ac:dyDescent="0.2">
      <c r="A11933" s="17" t="str">
        <f>HYPERLINK("https://otsuka-europe-crm.veevavault.com/ui/#object/account__v/V4T000000025049", "ANTONIO JAVIER RAMOS GUERRERO")</f>
        <v>ANTONIO JAVIER RAMOS GUERRERO</v>
      </c>
      <c r="B11933" s="17" t="str">
        <f>HYPERLINK("https://otsuka-europe-crm.veevavault.com/ui/#object/vcountry__v/VENZ000004SONF5", "ES")</f>
        <v>ES</v>
      </c>
      <c r="C11933" s="20" t="s">
        <v>41</v>
      </c>
      <c r="D11933" s="21" t="str">
        <f>HYPERLINK("https://otsuka-europe-crm.veevavault.com/ui/#object/approved_document__v/V5OZ04ASG4FWKA7", "Reuniones Online Consent - 2")</f>
        <v>Reuniones Online Consent - 2</v>
      </c>
      <c r="E11933" s="22" t="str">
        <f>HYPERLINK("https://otsuka-europe-crm.veevavault.com/ui/#object/sent_email__v/VBL00000002T534", "SE-001437347")</f>
        <v>SE-001437347</v>
      </c>
      <c r="F11933" s="25"/>
      <c r="G11933" s="24">
        <v>0</v>
      </c>
      <c r="H11933" s="24">
        <v>0</v>
      </c>
      <c r="I11933" s="24">
        <v>1</v>
      </c>
      <c r="J11933" s="23">
        <v>46189.64203703704</v>
      </c>
      <c r="K11933" s="24">
        <v>1</v>
      </c>
      <c r="L11933" s="22" t="str">
        <f>HYPERLINK("https://otsuka-europe-crm.veevavault.com/ui/#object/approved_document__v/V5OZ04ASG4FWKA7", "Reuniones Online Consent - 2")</f>
        <v>Reuniones Online Consent - 2</v>
      </c>
      <c r="M11933" s="22" t="str">
        <f>HYPERLINK("mailto:oriballo@crm.otsuka-europe.com", "oriballo@crm.otsuka-europe.com")</f>
        <v>oriballo@crm.otsuka-europe.com</v>
      </c>
      <c r="N11933" s="23">
        <v>46189.641435185185</v>
      </c>
      <c r="O11933" s="14" t="str">
        <f>HYPERLINK("https://otsuka-europe-crm.veevavault.com/ui/#object/email_activity__v/V8C00000003W267", "EN-002097254")</f>
        <v>EN-002097254</v>
      </c>
    </row>
    <row r="11934" spans="1:15" ht="16" x14ac:dyDescent="0.2">
      <c r="A11934" s="18"/>
      <c r="B11934" s="18"/>
      <c r="C11934" s="18"/>
      <c r="D11934" s="18"/>
      <c r="E11934" s="18"/>
      <c r="F11934" s="18"/>
      <c r="G11934" s="18"/>
      <c r="H11934" s="18"/>
      <c r="I11934" s="18"/>
      <c r="J11934" s="18"/>
      <c r="K11934" s="18"/>
      <c r="L11934" s="18"/>
      <c r="M11934" s="18"/>
      <c r="N11934" s="18"/>
      <c r="O11934" s="14" t="str">
        <f>HYPERLINK("https://otsuka-europe-crm.veevavault.com/ui/#object/email_activity__v/V8C00000003W300", "EN-002097321")</f>
        <v>EN-002097321</v>
      </c>
    </row>
    <row r="11935" spans="1:15" ht="16" x14ac:dyDescent="0.2">
      <c r="A11935" s="18"/>
      <c r="B11935" s="18"/>
      <c r="C11935" s="18"/>
      <c r="D11935" s="18"/>
      <c r="E11935" s="18"/>
      <c r="F11935" s="18"/>
      <c r="G11935" s="18"/>
      <c r="H11935" s="18"/>
      <c r="I11935" s="18"/>
      <c r="J11935" s="18"/>
      <c r="K11935" s="18"/>
      <c r="L11935" s="18"/>
      <c r="M11935" s="18"/>
      <c r="N11935" s="18"/>
      <c r="O11935" s="14" t="str">
        <f>HYPERLINK("https://otsuka-europe-crm.veevavault.com/ui/#object/email_activity__v/V8C00000003X175", "EN-002097249")</f>
        <v>EN-002097249</v>
      </c>
    </row>
    <row r="11936" spans="1:15" ht="16" x14ac:dyDescent="0.2">
      <c r="A11936" s="19"/>
      <c r="B11936" s="19"/>
      <c r="C11936" s="19"/>
      <c r="D11936" s="19"/>
      <c r="E11936" s="19"/>
      <c r="F11936" s="19"/>
      <c r="G11936" s="19"/>
      <c r="H11936" s="19"/>
      <c r="I11936" s="19"/>
      <c r="J11936" s="19"/>
      <c r="K11936" s="19"/>
      <c r="L11936" s="19"/>
      <c r="M11936" s="19"/>
      <c r="N11936" s="19"/>
      <c r="O11936" s="14" t="str">
        <f>HYPERLINK("https://otsuka-europe-crm.veevavault.com/ui/#object/email_activity__v/V8C00000003X178", "EN-002097253")</f>
        <v>EN-002097253</v>
      </c>
    </row>
    <row r="11937" spans="1:15" ht="16" x14ac:dyDescent="0.2">
      <c r="A11937" s="17" t="str">
        <f>HYPERLINK("https://otsuka-europe-crm.veevavault.com/ui/#object/account__v/V4T000000025049", "ANTONIO JAVIER RAMOS GUERRERO")</f>
        <v>ANTONIO JAVIER RAMOS GUERRERO</v>
      </c>
      <c r="B11937" s="17" t="str">
        <f>HYPERLINK("https://otsuka-europe-crm.veevavault.com/ui/#object/vcountry__v/VENZ000004SONF5", "ES")</f>
        <v>ES</v>
      </c>
      <c r="C11937" s="20" t="s">
        <v>41</v>
      </c>
      <c r="D11937" s="21" t="str">
        <f>HYPERLINK("https://otsuka-europe-crm.veevavault.com/ui/#object/approved_document__v/V5OZ04ASG4FWKA9", "Documento Autorizaciขn Centro Empleador")</f>
        <v>Documento Autorizaciขn Centro Empleador</v>
      </c>
      <c r="E11937" s="22" t="str">
        <f>HYPERLINK("https://otsuka-europe-crm.veevavault.com/ui/#object/sent_email__v/VBL00000002T535", "SE-001437348")</f>
        <v>SE-001437348</v>
      </c>
      <c r="F11937" s="25"/>
      <c r="G11937" s="24">
        <v>0</v>
      </c>
      <c r="H11937" s="24">
        <v>0</v>
      </c>
      <c r="I11937" s="24">
        <v>1</v>
      </c>
      <c r="J11937" s="23">
        <v>46189.642534722225</v>
      </c>
      <c r="K11937" s="24">
        <v>1</v>
      </c>
      <c r="L11937" s="22" t="str">
        <f>HYPERLINK("https://otsuka-europe-crm.veevavault.com/ui/#object/approved_document__v/V5OZ04ASG4FWKA9", "Documento Autorizaciขn Centro Empleador")</f>
        <v>Documento Autorizaciขn Centro Empleador</v>
      </c>
      <c r="M11937" s="22" t="str">
        <f>HYPERLINK("mailto:oriballo@crm.otsuka-europe.com", "oriballo@crm.otsuka-europe.com")</f>
        <v>oriballo@crm.otsuka-europe.com</v>
      </c>
      <c r="N11937" s="23">
        <v>46189.641423611109</v>
      </c>
      <c r="O11937" s="14" t="str">
        <f>HYPERLINK("https://otsuka-europe-crm.veevavault.com/ui/#object/email_activity__v/V8C00000003W268", "EN-002097255")</f>
        <v>EN-002097255</v>
      </c>
    </row>
    <row r="11938" spans="1:15" ht="16" x14ac:dyDescent="0.2">
      <c r="A11938" s="18"/>
      <c r="B11938" s="18"/>
      <c r="C11938" s="18"/>
      <c r="D11938" s="18"/>
      <c r="E11938" s="18"/>
      <c r="F11938" s="18"/>
      <c r="G11938" s="18"/>
      <c r="H11938" s="18"/>
      <c r="I11938" s="18"/>
      <c r="J11938" s="18"/>
      <c r="K11938" s="18"/>
      <c r="L11938" s="18"/>
      <c r="M11938" s="18"/>
      <c r="N11938" s="18"/>
      <c r="O11938" s="14" t="str">
        <f>HYPERLINK("https://otsuka-europe-crm.veevavault.com/ui/#object/email_activity__v/V8C00000003X176", "EN-002097250")</f>
        <v>EN-002097250</v>
      </c>
    </row>
    <row r="11939" spans="1:15" ht="16" x14ac:dyDescent="0.2">
      <c r="A11939" s="18"/>
      <c r="B11939" s="18"/>
      <c r="C11939" s="18"/>
      <c r="D11939" s="18"/>
      <c r="E11939" s="18"/>
      <c r="F11939" s="18"/>
      <c r="G11939" s="18"/>
      <c r="H11939" s="18"/>
      <c r="I11939" s="18"/>
      <c r="J11939" s="18"/>
      <c r="K11939" s="18"/>
      <c r="L11939" s="18"/>
      <c r="M11939" s="18"/>
      <c r="N11939" s="18"/>
      <c r="O11939" s="14" t="str">
        <f>HYPERLINK("https://otsuka-europe-crm.veevavault.com/ui/#object/email_activity__v/V8C00000003X179", "EN-002097256")</f>
        <v>EN-002097256</v>
      </c>
    </row>
    <row r="11940" spans="1:15" ht="16" x14ac:dyDescent="0.2">
      <c r="A11940" s="19"/>
      <c r="B11940" s="19"/>
      <c r="C11940" s="19"/>
      <c r="D11940" s="19"/>
      <c r="E11940" s="19"/>
      <c r="F11940" s="19"/>
      <c r="G11940" s="19"/>
      <c r="H11940" s="19"/>
      <c r="I11940" s="19"/>
      <c r="J11940" s="19"/>
      <c r="K11940" s="19"/>
      <c r="L11940" s="19"/>
      <c r="M11940" s="19"/>
      <c r="N11940" s="19"/>
      <c r="O11940" s="14" t="str">
        <f>HYPERLINK("https://otsuka-europe-crm.veevavault.com/ui/#object/email_activity__v/V8C00000003X214", "EN-002097323")</f>
        <v>EN-002097323</v>
      </c>
    </row>
    <row r="11941" spans="1:15" ht="32" x14ac:dyDescent="0.2">
      <c r="A11941" s="7" t="str">
        <f>HYPERLINK("https://otsuka-europe-crm.veevavault.com/ui/#object/account__v/V4T000000024063", "Amanda Kelsey")</f>
        <v>Amanda Kelsey</v>
      </c>
      <c r="B11941" s="7" t="str">
        <f>HYPERLINK("https://otsuka-europe-crm.veevavault.com/ui/#object/vcountry__v/VENZ000004SONFK", "GB")</f>
        <v>GB</v>
      </c>
      <c r="C11941" s="8" t="s">
        <v>39</v>
      </c>
      <c r="D11941" s="9" t="str">
        <f>HYPERLINK("https://otsuka-europe-crm.veevavault.com/ui/#object/approved_document__v/V5OZ025E82PXJSL", "Otsuka Privacy Notice - UK (v2)")</f>
        <v>Otsuka Privacy Notice - UK (v2)</v>
      </c>
      <c r="E11941" s="10" t="str">
        <f>HYPERLINK("https://otsuka-europe-crm.veevavault.com/ui/#object/sent_email__v/VBL00000002T536", "SE-001437349")</f>
        <v>SE-001437349</v>
      </c>
      <c r="F11941" s="11"/>
      <c r="G11941" s="12">
        <v>0</v>
      </c>
      <c r="H11941" s="12">
        <v>0</v>
      </c>
      <c r="I11941" s="12">
        <v>0</v>
      </c>
      <c r="J11941" s="11"/>
      <c r="K11941" s="12">
        <v>0</v>
      </c>
      <c r="L11941" s="10" t="str">
        <f>HYPERLINK("https://otsuka-europe-crm.veevavault.com/ui/#object/approved_document__v/V5OZ025E82PXJSL", "Otsuka Privacy Notice - UK (v2)")</f>
        <v>Otsuka Privacy Notice - UK (v2)</v>
      </c>
      <c r="M11941" s="10" t="str">
        <f>HYPERLINK("mailto:ldimambro@crm.otsuka-europe.com", "ldimambro@crm.otsuka-europe.com")</f>
        <v>ldimambro@crm.otsuka-europe.com</v>
      </c>
      <c r="N11941" s="13">
        <v>46189.674803240741</v>
      </c>
      <c r="O11941" s="14" t="str">
        <f>HYPERLINK("https://otsuka-europe-crm.veevavault.com/ui/#object/email_activity__v/V8C00000003X188", "EN-002097279")</f>
        <v>EN-002097279</v>
      </c>
    </row>
    <row r="11942" spans="1:15" ht="16" x14ac:dyDescent="0.2">
      <c r="A11942" s="17" t="str">
        <f>HYPERLINK("https://otsuka-europe-crm.veevavault.com/ui/#object/account__v/V4TZ00000633LTX", "ABDELKADER HARRACHE")</f>
        <v>ABDELKADER HARRACHE</v>
      </c>
      <c r="B11942" s="17" t="str">
        <f>HYPERLINK("https://otsuka-europe-crm.veevavault.com/ui/#object/vcountry__v/VENZ000004SONFA", "FR")</f>
        <v>FR</v>
      </c>
      <c r="C11942" s="20" t="s">
        <v>42</v>
      </c>
      <c r="D11942" s="21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11942" s="22" t="str">
        <f>HYPERLINK("https://otsuka-europe-crm.veevavault.com/ui/#object/sent_email__v/VBL00000002V365", "SE-001437350")</f>
        <v>SE-001437350</v>
      </c>
      <c r="F11942" s="25"/>
      <c r="G11942" s="24">
        <v>0</v>
      </c>
      <c r="H11942" s="24">
        <v>0</v>
      </c>
      <c r="I11942" s="24">
        <v>0</v>
      </c>
      <c r="J11942" s="25"/>
      <c r="K11942" s="24">
        <v>0</v>
      </c>
      <c r="L11942" s="22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11942" s="22" t="str">
        <f>HYPERLINK("mailto:mperrin@crm.otsuka-europe.com", "mperrin@crm.otsuka-europe.com")</f>
        <v>mperrin@crm.otsuka-europe.com</v>
      </c>
      <c r="N11942" s="23">
        <v>46189.717743055553</v>
      </c>
      <c r="O11942" s="14" t="str">
        <f>HYPERLINK("https://otsuka-europe-crm.veevavault.com/ui/#object/email_activity__v/V8C00000003W752", "EN-002098496")</f>
        <v>EN-002098496</v>
      </c>
    </row>
    <row r="11943" spans="1:15" ht="16" x14ac:dyDescent="0.2">
      <c r="A11943" s="19"/>
      <c r="B11943" s="19"/>
      <c r="C11943" s="19"/>
      <c r="D11943" s="19"/>
      <c r="E11943" s="19"/>
      <c r="F11943" s="19"/>
      <c r="G11943" s="19"/>
      <c r="H11943" s="19"/>
      <c r="I11943" s="19"/>
      <c r="J11943" s="19"/>
      <c r="K11943" s="19"/>
      <c r="L11943" s="19"/>
      <c r="M11943" s="19"/>
      <c r="N11943" s="19"/>
      <c r="O11943" s="14" t="str">
        <f>HYPERLINK("https://otsuka-europe-crm.veevavault.com/ui/#object/email_activity__v/V8C00000003X201", "EN-002097301")</f>
        <v>EN-002097301</v>
      </c>
    </row>
    <row r="11944" spans="1:15" ht="16" x14ac:dyDescent="0.2">
      <c r="A11944" s="17" t="str">
        <f>HYPERLINK("https://otsuka-europe-crm.veevavault.com/ui/#object/account__v/V4T00000001D066", "JAVIER ORTIZ MARTIN")</f>
        <v>JAVIER ORTIZ MARTIN</v>
      </c>
      <c r="B11944" s="17" t="str">
        <f>HYPERLINK("https://otsuka-europe-crm.veevavault.com/ui/#object/vcountry__v/VENZ000004SONF5", "ES")</f>
        <v>ES</v>
      </c>
      <c r="C11944" s="20" t="s">
        <v>41</v>
      </c>
      <c r="D11944" s="21" t="str">
        <f>HYPERLINK("https://otsuka-europe-crm.veevavault.com/ui/#object/approved_document__v/V5O00000000D100", "Spain - Consent Email 1 Aug 25")</f>
        <v>Spain - Consent Email 1 Aug 25</v>
      </c>
      <c r="E11944" s="22" t="str">
        <f>HYPERLINK("https://otsuka-europe-crm.veevavault.com/ui/#object/sent_email__v/VBL00000002V374", "SE-001437351")</f>
        <v>SE-001437351</v>
      </c>
      <c r="F11944" s="23">
        <v>46191.703379629631</v>
      </c>
      <c r="G11944" s="24">
        <v>1</v>
      </c>
      <c r="H11944" s="24">
        <v>1</v>
      </c>
      <c r="I11944" s="24">
        <v>1</v>
      </c>
      <c r="J11944" s="23">
        <v>46191.703541666669</v>
      </c>
      <c r="K11944" s="24">
        <v>1</v>
      </c>
      <c r="L11944" s="22" t="str">
        <f>HYPERLINK("https://otsuka-europe-crm.veevavault.com/ui/#object/approved_document__v/V5O00000000D100", "Spain - Consent Email 1 Aug 25")</f>
        <v>Spain - Consent Email 1 Aug 25</v>
      </c>
      <c r="M11944" s="22" t="str">
        <f>HYPERLINK("mailto:jguri@crm.otsuka-europe.com", "jguri@crm.otsuka-europe.com")</f>
        <v>jguri@crm.otsuka-europe.com</v>
      </c>
      <c r="N11944" s="23">
        <v>46190.330358796295</v>
      </c>
      <c r="O11944" s="14" t="str">
        <f>HYPERLINK("https://otsuka-europe-crm.veevavault.com/ui/#object/email_activity__v/V8C00000003W331", "EN-002097375")</f>
        <v>EN-002097375</v>
      </c>
    </row>
    <row r="11945" spans="1:15" ht="16" x14ac:dyDescent="0.2">
      <c r="A11945" s="18"/>
      <c r="B11945" s="18"/>
      <c r="C11945" s="18"/>
      <c r="D11945" s="18"/>
      <c r="E11945" s="18"/>
      <c r="F11945" s="18"/>
      <c r="G11945" s="18"/>
      <c r="H11945" s="18"/>
      <c r="I11945" s="18"/>
      <c r="J11945" s="18"/>
      <c r="K11945" s="18"/>
      <c r="L11945" s="18"/>
      <c r="M11945" s="18"/>
      <c r="N11945" s="18"/>
      <c r="O11945" s="14" t="str">
        <f>HYPERLINK("https://otsuka-europe-crm.veevavault.com/ui/#object/email_activity__v/V8C00000003Y029", "EN-002098656")</f>
        <v>EN-002098656</v>
      </c>
    </row>
    <row r="11946" spans="1:15" ht="16" x14ac:dyDescent="0.2">
      <c r="A11946" s="19"/>
      <c r="B11946" s="19"/>
      <c r="C11946" s="19"/>
      <c r="D11946" s="19"/>
      <c r="E11946" s="19"/>
      <c r="F11946" s="19"/>
      <c r="G11946" s="19"/>
      <c r="H11946" s="19"/>
      <c r="I11946" s="19"/>
      <c r="J11946" s="19"/>
      <c r="K11946" s="19"/>
      <c r="L11946" s="19"/>
      <c r="M11946" s="19"/>
      <c r="N11946" s="19"/>
      <c r="O11946" s="14" t="str">
        <f>HYPERLINK("https://otsuka-europe-crm.veevavault.com/ui/#object/email_activity__v/V8C00000003Y030", "EN-002098657")</f>
        <v>EN-002098657</v>
      </c>
    </row>
    <row r="11947" spans="1:15" ht="32" x14ac:dyDescent="0.2">
      <c r="A11947" s="7" t="str">
        <f>HYPERLINK("https://otsuka-europe-crm.veevavault.com/ui/#object/account__v/V4T000000025062", "MARCO FALCONE")</f>
        <v>MARCO FALCONE</v>
      </c>
      <c r="B11947" s="7" t="str">
        <f>HYPERLINK("https://otsuka-europe-crm.veevavault.com/ui/#object/vcountry__v/VENZ000004SONFQ", "IT")</f>
        <v>IT</v>
      </c>
      <c r="C11947" s="8" t="s">
        <v>44</v>
      </c>
      <c r="D11947" s="9" t="str">
        <f>HYPERLINK("https://otsuka-europe-crm.veevavault.com/ui/#object/approved_document__v/V5OZ06G6O6RG2ES", "IT Veeva Double Opt-In Remote Meetings")</f>
        <v>IT Veeva Double Opt-In Remote Meetings</v>
      </c>
      <c r="E11947" s="10" t="str">
        <f>HYPERLINK("https://otsuka-europe-crm.veevavault.com/ui/#object/sent_email__v/VBL00000002V375", "SE-001437352")</f>
        <v>SE-001437352</v>
      </c>
      <c r="F11947" s="11"/>
      <c r="G11947" s="12">
        <v>0</v>
      </c>
      <c r="H11947" s="12">
        <v>0</v>
      </c>
      <c r="I11947" s="12">
        <v>0</v>
      </c>
      <c r="J11947" s="11"/>
      <c r="K11947" s="12">
        <v>0</v>
      </c>
      <c r="L11947" s="10" t="str">
        <f>HYPERLINK("https://otsuka-europe-crm.veevavault.com/ui/#object/approved_document__v/V5OZ06G6O6RG2ES", "IT Veeva Double Opt-In Remote Meetings")</f>
        <v>IT Veeva Double Opt-In Remote Meetings</v>
      </c>
      <c r="M11947" s="10" t="str">
        <f>HYPERLINK("mailto:daniela.velati@crm.otsuka-europe.com", "daniela.velati@crm.otsuka-europe.com")</f>
        <v>daniela.velati@crm.otsuka-europe.com</v>
      </c>
      <c r="N11947" s="13">
        <v>46190.369849537034</v>
      </c>
      <c r="O11947" s="14" t="str">
        <f>HYPERLINK("https://otsuka-europe-crm.veevavault.com/ui/#object/email_activity__v/V8C00000003W646", "EN-002098279")</f>
        <v>EN-002098279</v>
      </c>
    </row>
    <row r="11948" spans="1:15" ht="32" x14ac:dyDescent="0.2">
      <c r="A11948" s="7" t="str">
        <f>HYPERLINK("https://otsuka-europe-crm.veevavault.com/ui/#object/account__v/V4T000000025062", "MARCO FALCONE")</f>
        <v>MARCO FALCONE</v>
      </c>
      <c r="B11948" s="7" t="str">
        <f>HYPERLINK("https://otsuka-europe-crm.veevavault.com/ui/#object/vcountry__v/VENZ000004SONFQ", "IT")</f>
        <v>IT</v>
      </c>
      <c r="C11948" s="8" t="s">
        <v>44</v>
      </c>
      <c r="D11948" s="9" t="str">
        <f>HYPERLINK("https://otsuka-europe-crm.veevavault.com/ui/#object/approved_document__v/V5OZ06G6O6RG2EU", "IT Veeva Double Opt-In Market Med+Sci")</f>
        <v>IT Veeva Double Opt-In Market Med+Sci</v>
      </c>
      <c r="E11948" s="10" t="str">
        <f>HYPERLINK("https://otsuka-europe-crm.veevavault.com/ui/#object/sent_email__v/VBL00000002V376", "SE-001437353")</f>
        <v>SE-001437353</v>
      </c>
      <c r="F11948" s="11"/>
      <c r="G11948" s="12">
        <v>0</v>
      </c>
      <c r="H11948" s="12">
        <v>0</v>
      </c>
      <c r="I11948" s="12">
        <v>0</v>
      </c>
      <c r="J11948" s="11"/>
      <c r="K11948" s="12">
        <v>0</v>
      </c>
      <c r="L11948" s="10" t="str">
        <f>HYPERLINK("https://otsuka-europe-crm.veevavault.com/ui/#object/approved_document__v/V5OZ06G6O6RG2EU", "IT Veeva Double Opt-In Market Med+Sci")</f>
        <v>IT Veeva Double Opt-In Market Med+Sci</v>
      </c>
      <c r="M11948" s="10" t="str">
        <f>HYPERLINK("mailto:daniela.velati@crm.otsuka-europe.com", "daniela.velati@crm.otsuka-europe.com")</f>
        <v>daniela.velati@crm.otsuka-europe.com</v>
      </c>
      <c r="N11948" s="13">
        <v>46190.369849537034</v>
      </c>
      <c r="O11948" s="14" t="str">
        <f>HYPERLINK("https://otsuka-europe-crm.veevavault.com/ui/#object/email_activity__v/V8C00000003W647", "EN-002098281")</f>
        <v>EN-002098281</v>
      </c>
    </row>
    <row r="11949" spans="1:15" ht="32" x14ac:dyDescent="0.2">
      <c r="A11949" s="7" t="str">
        <f>HYPERLINK("https://otsuka-europe-crm.veevavault.com/ui/#object/account__v/V4T000000025062", "MARCO FALCONE")</f>
        <v>MARCO FALCONE</v>
      </c>
      <c r="B11949" s="7" t="str">
        <f>HYPERLINK("https://otsuka-europe-crm.veevavault.com/ui/#object/vcountry__v/VENZ000004SONFQ", "IT")</f>
        <v>IT</v>
      </c>
      <c r="C11949" s="8" t="s">
        <v>44</v>
      </c>
      <c r="D11949" s="9" t="str">
        <f>HYPERLINK("https://otsuka-europe-crm.veevavault.com/ui/#object/approved_document__v/V5O00000000K007", "Italy - Consent Email Aug 25 v2")</f>
        <v>Italy - Consent Email Aug 25 v2</v>
      </c>
      <c r="E11949" s="10" t="str">
        <f>HYPERLINK("https://otsuka-europe-crm.veevavault.com/ui/#object/sent_email__v/VBL00000002V377", "SE-001437354")</f>
        <v>SE-001437354</v>
      </c>
      <c r="F11949" s="11"/>
      <c r="G11949" s="12">
        <v>0</v>
      </c>
      <c r="H11949" s="12">
        <v>0</v>
      </c>
      <c r="I11949" s="12">
        <v>0</v>
      </c>
      <c r="J11949" s="11"/>
      <c r="K11949" s="12">
        <v>0</v>
      </c>
      <c r="L11949" s="10" t="str">
        <f>HYPERLINK("https://otsuka-europe-crm.veevavault.com/ui/#object/approved_document__v/V5O00000000K007", "Italy - Consent Email Aug 25 v2")</f>
        <v>Italy - Consent Email Aug 25 v2</v>
      </c>
      <c r="M11949" s="10" t="str">
        <f>HYPERLINK("mailto:daniela.velati@crm.otsuka-europe.com", "daniela.velati@crm.otsuka-europe.com")</f>
        <v>daniela.velati@crm.otsuka-europe.com</v>
      </c>
      <c r="N11949" s="13">
        <v>46190.36986111111</v>
      </c>
      <c r="O11949" s="14" t="str">
        <f>HYPERLINK("https://otsuka-europe-crm.veevavault.com/ui/#object/email_activity__v/V8C00000003X826", "EN-002098280")</f>
        <v>EN-002098280</v>
      </c>
    </row>
    <row r="11950" spans="1:15" ht="16" x14ac:dyDescent="0.2">
      <c r="A11950" s="17" t="str">
        <f>HYPERLINK("https://otsuka-europe-crm.veevavault.com/ui/#object/account__v/V4TZ06G6O8KU1W1", "Mehtab Rahman")</f>
        <v>Mehtab Rahman</v>
      </c>
      <c r="B11950" s="17" t="str">
        <f>HYPERLINK("https://otsuka-europe-crm.veevavault.com/ui/#object/vcountry__v/VENZ000004SONFK", "GB")</f>
        <v>GB</v>
      </c>
      <c r="C11950" s="20" t="s">
        <v>39</v>
      </c>
      <c r="D11950" s="21" t="str">
        <f>HYPERLINK("https://otsuka-europe-crm.veevavault.com/ui/#object/approved_document__v/V5O00000001H007", "DR P2P Invite 18-Jun-26 [digital]")</f>
        <v>DR P2P Invite 18-Jun-26 [digital]</v>
      </c>
      <c r="E11950" s="22" t="str">
        <f>HYPERLINK("https://otsuka-europe-crm.veevavault.com/ui/#object/sent_email__v/VBL00000002V378", "SE-001437355")</f>
        <v>SE-001437355</v>
      </c>
      <c r="F11950" s="23">
        <v>46190.384687500002</v>
      </c>
      <c r="G11950" s="24">
        <v>1</v>
      </c>
      <c r="H11950" s="24">
        <v>3</v>
      </c>
      <c r="I11950" s="24">
        <v>0</v>
      </c>
      <c r="J11950" s="25"/>
      <c r="K11950" s="24">
        <v>0</v>
      </c>
      <c r="L11950" s="22" t="str">
        <f>HYPERLINK("https://otsuka-europe-crm.veevavault.com/ui/#object/approved_document__v/V5O00000001H007", "DR P2P Invite 18-Jun-26 [digital]")</f>
        <v>DR P2P Invite 18-Jun-26 [digital]</v>
      </c>
      <c r="M11950" s="22" t="str">
        <f>HYPERLINK("mailto:draval@crm.otsuka-europe.com", "draval@crm.otsuka-europe.com")</f>
        <v>draval@crm.otsuka-europe.com</v>
      </c>
      <c r="N11950" s="23">
        <v>46190.378321759257</v>
      </c>
      <c r="O11950" s="14" t="str">
        <f>HYPERLINK("https://otsuka-europe-crm.veevavault.com/ui/#object/email_activity__v/V8C00000003W648", "EN-002098282")</f>
        <v>EN-002098282</v>
      </c>
    </row>
    <row r="11951" spans="1:15" ht="16" x14ac:dyDescent="0.2">
      <c r="A11951" s="18"/>
      <c r="B11951" s="18"/>
      <c r="C11951" s="18"/>
      <c r="D11951" s="18"/>
      <c r="E11951" s="18"/>
      <c r="F11951" s="18"/>
      <c r="G11951" s="18"/>
      <c r="H11951" s="18"/>
      <c r="I11951" s="18"/>
      <c r="J11951" s="18"/>
      <c r="K11951" s="18"/>
      <c r="L11951" s="18"/>
      <c r="M11951" s="18"/>
      <c r="N11951" s="18"/>
      <c r="O11951" s="14" t="str">
        <f>HYPERLINK("https://otsuka-europe-crm.veevavault.com/ui/#object/email_activity__v/V8C00000003W650", "EN-002098286")</f>
        <v>EN-002098286</v>
      </c>
    </row>
    <row r="11952" spans="1:15" ht="16" x14ac:dyDescent="0.2">
      <c r="A11952" s="18"/>
      <c r="B11952" s="18"/>
      <c r="C11952" s="18"/>
      <c r="D11952" s="18"/>
      <c r="E11952" s="18"/>
      <c r="F11952" s="18"/>
      <c r="G11952" s="18"/>
      <c r="H11952" s="18"/>
      <c r="I11952" s="18"/>
      <c r="J11952" s="18"/>
      <c r="K11952" s="18"/>
      <c r="L11952" s="18"/>
      <c r="M11952" s="18"/>
      <c r="N11952" s="18"/>
      <c r="O11952" s="14" t="str">
        <f>HYPERLINK("https://otsuka-europe-crm.veevavault.com/ui/#object/email_activity__v/V8C00000003W651", "EN-002098287")</f>
        <v>EN-002098287</v>
      </c>
    </row>
    <row r="11953" spans="1:15" ht="16" x14ac:dyDescent="0.2">
      <c r="A11953" s="18"/>
      <c r="B11953" s="18"/>
      <c r="C11953" s="18"/>
      <c r="D11953" s="18"/>
      <c r="E11953" s="18"/>
      <c r="F11953" s="18"/>
      <c r="G11953" s="18"/>
      <c r="H11953" s="18"/>
      <c r="I11953" s="18"/>
      <c r="J11953" s="18"/>
      <c r="K11953" s="18"/>
      <c r="L11953" s="18"/>
      <c r="M11953" s="18"/>
      <c r="N11953" s="18"/>
      <c r="O11953" s="14" t="str">
        <f>HYPERLINK("https://otsuka-europe-crm.veevavault.com/ui/#object/email_activity__v/V8C00000003W652", "EN-002098288")</f>
        <v>EN-002098288</v>
      </c>
    </row>
    <row r="11954" spans="1:15" ht="16" x14ac:dyDescent="0.2">
      <c r="A11954" s="19"/>
      <c r="B11954" s="19"/>
      <c r="C11954" s="19"/>
      <c r="D11954" s="19"/>
      <c r="E11954" s="19"/>
      <c r="F11954" s="19"/>
      <c r="G11954" s="19"/>
      <c r="H11954" s="19"/>
      <c r="I11954" s="19"/>
      <c r="J11954" s="19"/>
      <c r="K11954" s="19"/>
      <c r="L11954" s="19"/>
      <c r="M11954" s="19"/>
      <c r="N11954" s="19"/>
      <c r="O11954" s="14" t="str">
        <f>HYPERLINK("https://otsuka-europe-crm.veevavault.com/ui/#object/email_activity__v/V8C00000003Z176", "EN-002098952")</f>
        <v>EN-002098952</v>
      </c>
    </row>
    <row r="11955" spans="1:15" ht="16" x14ac:dyDescent="0.2">
      <c r="A11955" s="17" t="str">
        <f>HYPERLINK("https://otsuka-europe-crm.veevavault.com/ui/#object/account__v/V4TZ06G6O8KU1W1", "Mehtab Rahman")</f>
        <v>Mehtab Rahman</v>
      </c>
      <c r="B11955" s="17" t="str">
        <f>HYPERLINK("https://otsuka-europe-crm.veevavault.com/ui/#object/vcountry__v/VENZ000004SONFK", "GB")</f>
        <v>GB</v>
      </c>
      <c r="C11955" s="20" t="s">
        <v>39</v>
      </c>
      <c r="D11955" s="21" t="str">
        <f>HYPERLINK("https://otsuka-europe-crm.veevavault.com/ui/#object/approved_document__v/V5O00000001H005", "LDM DR P2P Invite 23-Jun-26 [digital]")</f>
        <v>LDM DR P2P Invite 23-Jun-26 [digital]</v>
      </c>
      <c r="E11955" s="22" t="str">
        <f>HYPERLINK("https://otsuka-europe-crm.veevavault.com/ui/#object/sent_email__v/VBL00000002V379", "SE-001437356")</f>
        <v>SE-001437356</v>
      </c>
      <c r="F11955" s="23">
        <v>46190.384629629632</v>
      </c>
      <c r="G11955" s="24">
        <v>1</v>
      </c>
      <c r="H11955" s="24">
        <v>2</v>
      </c>
      <c r="I11955" s="24">
        <v>0</v>
      </c>
      <c r="J11955" s="25"/>
      <c r="K11955" s="24">
        <v>0</v>
      </c>
      <c r="L11955" s="22" t="str">
        <f>HYPERLINK("https://otsuka-europe-crm.veevavault.com/ui/#object/approved_document__v/V5O00000001H005", "LDM DR P2P Invite 23-Jun-26 [digital]")</f>
        <v>LDM DR P2P Invite 23-Jun-26 [digital]</v>
      </c>
      <c r="M11955" s="22" t="str">
        <f>HYPERLINK("mailto:draval@crm.otsuka-europe.com", "draval@crm.otsuka-europe.com")</f>
        <v>draval@crm.otsuka-europe.com</v>
      </c>
      <c r="N11955" s="23">
        <v>46190.378310185188</v>
      </c>
      <c r="O11955" s="14" t="str">
        <f>HYPERLINK("https://otsuka-europe-crm.veevavault.com/ui/#object/email_activity__v/V8C00000003W649", "EN-002098283")</f>
        <v>EN-002098283</v>
      </c>
    </row>
    <row r="11956" spans="1:15" ht="16" x14ac:dyDescent="0.2">
      <c r="A11956" s="18"/>
      <c r="B11956" s="18"/>
      <c r="C11956" s="18"/>
      <c r="D11956" s="18"/>
      <c r="E11956" s="18"/>
      <c r="F11956" s="18"/>
      <c r="G11956" s="18"/>
      <c r="H11956" s="18"/>
      <c r="I11956" s="18"/>
      <c r="J11956" s="18"/>
      <c r="K11956" s="18"/>
      <c r="L11956" s="18"/>
      <c r="M11956" s="18"/>
      <c r="N11956" s="18"/>
      <c r="O11956" s="14" t="str">
        <f>HYPERLINK("https://otsuka-europe-crm.veevavault.com/ui/#object/email_activity__v/V8C00000003W653", "EN-002098289")</f>
        <v>EN-002098289</v>
      </c>
    </row>
    <row r="11957" spans="1:15" ht="16" x14ac:dyDescent="0.2">
      <c r="A11957" s="18"/>
      <c r="B11957" s="18"/>
      <c r="C11957" s="18"/>
      <c r="D11957" s="18"/>
      <c r="E11957" s="18"/>
      <c r="F11957" s="18"/>
      <c r="G11957" s="18"/>
      <c r="H11957" s="18"/>
      <c r="I11957" s="18"/>
      <c r="J11957" s="18"/>
      <c r="K11957" s="18"/>
      <c r="L11957" s="18"/>
      <c r="M11957" s="18"/>
      <c r="N11957" s="18"/>
      <c r="O11957" s="14" t="str">
        <f>HYPERLINK("https://otsuka-europe-crm.veevavault.com/ui/#object/email_activity__v/V8C00000003W654", "EN-002098290")</f>
        <v>EN-002098290</v>
      </c>
    </row>
    <row r="11958" spans="1:15" ht="16" x14ac:dyDescent="0.2">
      <c r="A11958" s="19"/>
      <c r="B11958" s="19"/>
      <c r="C11958" s="19"/>
      <c r="D11958" s="19"/>
      <c r="E11958" s="19"/>
      <c r="F11958" s="19"/>
      <c r="G11958" s="19"/>
      <c r="H11958" s="19"/>
      <c r="I11958" s="19"/>
      <c r="J11958" s="19"/>
      <c r="K11958" s="19"/>
      <c r="L11958" s="19"/>
      <c r="M11958" s="19"/>
      <c r="N11958" s="19"/>
      <c r="O11958" s="14" t="str">
        <f>HYPERLINK("https://otsuka-europe-crm.veevavault.com/ui/#object/email_activity__v/V8C00000003Z177", "EN-002098953")</f>
        <v>EN-002098953</v>
      </c>
    </row>
    <row r="11959" spans="1:15" ht="16" x14ac:dyDescent="0.2">
      <c r="A11959" s="17" t="str">
        <f>HYPERLINK("https://otsuka-europe-crm.veevavault.com/ui/#object/account__v/V4T00000000R009", "Tsz Law")</f>
        <v>Tsz Law</v>
      </c>
      <c r="B11959" s="17" t="str">
        <f>HYPERLINK("https://otsuka-europe-crm.veevavault.com/ui/#object/vcountry__v/VENZ000004SONFK", "GB")</f>
        <v>GB</v>
      </c>
      <c r="C11959" s="20" t="s">
        <v>39</v>
      </c>
      <c r="D11959" s="21" t="str">
        <f>HYPERLINK("https://otsuka-europe-crm.veevavault.com/ui/#object/approved_document__v/V5O00000001H005", "LDM DR P2P Invite 23-Jun-26 [digital]")</f>
        <v>LDM DR P2P Invite 23-Jun-26 [digital]</v>
      </c>
      <c r="E11959" s="22" t="str">
        <f>HYPERLINK("https://otsuka-europe-crm.veevavault.com/ui/#object/sent_email__v/VBL00000002T543", "SE-001437357")</f>
        <v>SE-001437357</v>
      </c>
      <c r="F11959" s="25"/>
      <c r="G11959" s="24">
        <v>0</v>
      </c>
      <c r="H11959" s="24">
        <v>0</v>
      </c>
      <c r="I11959" s="24">
        <v>0</v>
      </c>
      <c r="J11959" s="25"/>
      <c r="K11959" s="24">
        <v>0</v>
      </c>
      <c r="L11959" s="22" t="str">
        <f>HYPERLINK("https://otsuka-europe-crm.veevavault.com/ui/#object/approved_document__v/V5O00000001H005", "LDM DR P2P Invite 23-Jun-26 [digital]")</f>
        <v>LDM DR P2P Invite 23-Jun-26 [digital]</v>
      </c>
      <c r="M11959" s="22" t="str">
        <f>HYPERLINK("mailto:draval@crm.otsuka-europe.com", "draval@crm.otsuka-europe.com")</f>
        <v>draval@crm.otsuka-europe.com</v>
      </c>
      <c r="N11959" s="23">
        <v>46190.383333333331</v>
      </c>
      <c r="O11959" s="14" t="str">
        <f>HYPERLINK("https://otsuka-europe-crm.veevavault.com/ui/#object/email_activity__v/V8C00000003X828", "EN-002098285")</f>
        <v>EN-002098285</v>
      </c>
    </row>
    <row r="11960" spans="1:15" ht="16" x14ac:dyDescent="0.2">
      <c r="A11960" s="19"/>
      <c r="B11960" s="19"/>
      <c r="C11960" s="19"/>
      <c r="D11960" s="19"/>
      <c r="E11960" s="19"/>
      <c r="F11960" s="19"/>
      <c r="G11960" s="19"/>
      <c r="H11960" s="19"/>
      <c r="I11960" s="19"/>
      <c r="J11960" s="19"/>
      <c r="K11960" s="19"/>
      <c r="L11960" s="19"/>
      <c r="M11960" s="19"/>
      <c r="N11960" s="19"/>
      <c r="O11960" s="14" t="str">
        <f>HYPERLINK("https://otsuka-europe-crm.veevavault.com/ui/#object/email_activity__v/V8C00000003X951", "EN-002098511")</f>
        <v>EN-002098511</v>
      </c>
    </row>
    <row r="11961" spans="1:15" ht="16" x14ac:dyDescent="0.2">
      <c r="A11961" s="17" t="str">
        <f>HYPERLINK("https://otsuka-europe-crm.veevavault.com/ui/#object/account__v/V4TZ06G6O71SBL7", "ANTONELLA MAURO")</f>
        <v>ANTONELLA MAURO</v>
      </c>
      <c r="B11961" s="17" t="str">
        <f>HYPERLINK("https://otsuka-europe-crm.veevavault.com/ui/#object/vcountry__v/VENZ000004SONFQ", "IT")</f>
        <v>IT</v>
      </c>
      <c r="C11961" s="20" t="s">
        <v>44</v>
      </c>
      <c r="D11961" s="21" t="str">
        <f>HYPERLINK("https://otsuka-europe-crm.veevavault.com/ui/#object/approved_document__v/V5OZ025E82JJ7FL", "NL AE HCP Portal")</f>
        <v>NL AE HCP Portal</v>
      </c>
      <c r="E11961" s="22" t="str">
        <f>HYPERLINK("https://otsuka-europe-crm.veevavault.com/ui/#object/sent_email__v/VBL00000002T544", "SE-001437358")</f>
        <v>SE-001437358</v>
      </c>
      <c r="F11961" s="23">
        <v>46190.410844907405</v>
      </c>
      <c r="G11961" s="24">
        <v>1</v>
      </c>
      <c r="H11961" s="24">
        <v>1</v>
      </c>
      <c r="I11961" s="24">
        <v>1</v>
      </c>
      <c r="J11961" s="23">
        <v>46190.420486111114</v>
      </c>
      <c r="K11961" s="24">
        <v>6</v>
      </c>
      <c r="L11961" s="22" t="str">
        <f>HYPERLINK("https://otsuka-europe-crm.veevavault.com/ui/#object/approved_document__v/V5OZ025E82JJ7FL", "NL AE HCP Portal")</f>
        <v>NL AE HCP Portal</v>
      </c>
      <c r="M11961" s="22" t="str">
        <f>HYPERLINK("mailto:tiziana.faini@crm.otsuka-europe.com", "tiziana.faini@crm.otsuka-europe.com")</f>
        <v>tiziana.faini@crm.otsuka-europe.com</v>
      </c>
      <c r="N11961" s="23">
        <v>46190.400763888887</v>
      </c>
      <c r="O11961" s="14" t="str">
        <f>HYPERLINK("https://otsuka-europe-crm.veevavault.com/ui/#object/email_activity__v/V8C00000003W657", "EN-002098295")</f>
        <v>EN-002098295</v>
      </c>
    </row>
    <row r="11962" spans="1:15" ht="16" x14ac:dyDescent="0.2">
      <c r="A11962" s="18"/>
      <c r="B11962" s="18"/>
      <c r="C11962" s="18"/>
      <c r="D11962" s="18"/>
      <c r="E11962" s="18"/>
      <c r="F11962" s="18"/>
      <c r="G11962" s="18"/>
      <c r="H11962" s="18"/>
      <c r="I11962" s="18"/>
      <c r="J11962" s="18"/>
      <c r="K11962" s="18"/>
      <c r="L11962" s="18"/>
      <c r="M11962" s="18"/>
      <c r="N11962" s="18"/>
      <c r="O11962" s="14" t="str">
        <f>HYPERLINK("https://otsuka-europe-crm.veevavault.com/ui/#object/email_activity__v/V8C00000003W661", "EN-002098305")</f>
        <v>EN-002098305</v>
      </c>
    </row>
    <row r="11963" spans="1:15" ht="16" x14ac:dyDescent="0.2">
      <c r="A11963" s="18"/>
      <c r="B11963" s="18"/>
      <c r="C11963" s="18"/>
      <c r="D11963" s="18"/>
      <c r="E11963" s="18"/>
      <c r="F11963" s="18"/>
      <c r="G11963" s="18"/>
      <c r="H11963" s="18"/>
      <c r="I11963" s="18"/>
      <c r="J11963" s="18"/>
      <c r="K11963" s="18"/>
      <c r="L11963" s="18"/>
      <c r="M11963" s="18"/>
      <c r="N11963" s="18"/>
      <c r="O11963" s="14" t="str">
        <f>HYPERLINK("https://otsuka-europe-crm.veevavault.com/ui/#object/email_activity__v/V8C00000003W662", "EN-002098304")</f>
        <v>EN-002098304</v>
      </c>
    </row>
    <row r="11964" spans="1:15" ht="16" x14ac:dyDescent="0.2">
      <c r="A11964" s="18"/>
      <c r="B11964" s="18"/>
      <c r="C11964" s="18"/>
      <c r="D11964" s="18"/>
      <c r="E11964" s="18"/>
      <c r="F11964" s="18"/>
      <c r="G11964" s="18"/>
      <c r="H11964" s="18"/>
      <c r="I11964" s="18"/>
      <c r="J11964" s="18"/>
      <c r="K11964" s="18"/>
      <c r="L11964" s="18"/>
      <c r="M11964" s="18"/>
      <c r="N11964" s="18"/>
      <c r="O11964" s="14" t="str">
        <f>HYPERLINK("https://otsuka-europe-crm.veevavault.com/ui/#object/email_activity__v/V8C00000003W664", "EN-002098307")</f>
        <v>EN-002098307</v>
      </c>
    </row>
    <row r="11965" spans="1:15" ht="16" x14ac:dyDescent="0.2">
      <c r="A11965" s="18"/>
      <c r="B11965" s="18"/>
      <c r="C11965" s="18"/>
      <c r="D11965" s="18"/>
      <c r="E11965" s="18"/>
      <c r="F11965" s="18"/>
      <c r="G11965" s="18"/>
      <c r="H11965" s="18"/>
      <c r="I11965" s="18"/>
      <c r="J11965" s="18"/>
      <c r="K11965" s="18"/>
      <c r="L11965" s="18"/>
      <c r="M11965" s="18"/>
      <c r="N11965" s="18"/>
      <c r="O11965" s="14" t="str">
        <f>HYPERLINK("https://otsuka-europe-crm.veevavault.com/ui/#object/email_activity__v/V8C00000003W668", "EN-002098313")</f>
        <v>EN-002098313</v>
      </c>
    </row>
    <row r="11966" spans="1:15" ht="16" x14ac:dyDescent="0.2">
      <c r="A11966" s="18"/>
      <c r="B11966" s="18"/>
      <c r="C11966" s="18"/>
      <c r="D11966" s="18"/>
      <c r="E11966" s="18"/>
      <c r="F11966" s="18"/>
      <c r="G11966" s="18"/>
      <c r="H11966" s="18"/>
      <c r="I11966" s="18"/>
      <c r="J11966" s="18"/>
      <c r="K11966" s="18"/>
      <c r="L11966" s="18"/>
      <c r="M11966" s="18"/>
      <c r="N11966" s="18"/>
      <c r="O11966" s="14" t="str">
        <f>HYPERLINK("https://otsuka-europe-crm.veevavault.com/ui/#object/email_activity__v/V8C00000003W670", "EN-002098315")</f>
        <v>EN-002098315</v>
      </c>
    </row>
    <row r="11967" spans="1:15" ht="16" x14ac:dyDescent="0.2">
      <c r="A11967" s="18"/>
      <c r="B11967" s="18"/>
      <c r="C11967" s="18"/>
      <c r="D11967" s="18"/>
      <c r="E11967" s="18"/>
      <c r="F11967" s="18"/>
      <c r="G11967" s="18"/>
      <c r="H11967" s="18"/>
      <c r="I11967" s="18"/>
      <c r="J11967" s="18"/>
      <c r="K11967" s="18"/>
      <c r="L11967" s="18"/>
      <c r="M11967" s="18"/>
      <c r="N11967" s="18"/>
      <c r="O11967" s="14" t="str">
        <f>HYPERLINK("https://otsuka-europe-crm.veevavault.com/ui/#object/email_activity__v/V8C00000003X836", "EN-002098310")</f>
        <v>EN-002098310</v>
      </c>
    </row>
    <row r="11968" spans="1:15" ht="16" x14ac:dyDescent="0.2">
      <c r="A11968" s="19"/>
      <c r="B11968" s="19"/>
      <c r="C11968" s="19"/>
      <c r="D11968" s="19"/>
      <c r="E11968" s="19"/>
      <c r="F11968" s="19"/>
      <c r="G11968" s="19"/>
      <c r="H11968" s="19"/>
      <c r="I11968" s="19"/>
      <c r="J11968" s="19"/>
      <c r="K11968" s="19"/>
      <c r="L11968" s="19"/>
      <c r="M11968" s="19"/>
      <c r="N11968" s="19"/>
      <c r="O11968" s="14" t="str">
        <f>HYPERLINK("https://otsuka-europe-crm.veevavault.com/ui/#object/email_activity__v/V8C00000003X837", "EN-002098311")</f>
        <v>EN-002098311</v>
      </c>
    </row>
    <row r="11969" spans="1:15" ht="32" x14ac:dyDescent="0.2">
      <c r="A11969" s="7" t="str">
        <f>HYPERLINK("https://otsuka-europe-crm.veevavault.com/ui/#object/account__v/V4T000000025064", "MARTA GOMEZ HERNANDO")</f>
        <v>MARTA GOMEZ HERNANDO</v>
      </c>
      <c r="B11969" s="7" t="str">
        <f>HYPERLINK("https://otsuka-europe-crm.veevavault.com/ui/#object/vcountry__v/VENZ000004SONF5", "ES")</f>
        <v>ES</v>
      </c>
      <c r="C11969" s="8" t="s">
        <v>41</v>
      </c>
      <c r="D11969" s="9" t="str">
        <f>HYPERLINK("https://otsuka-europe-crm.veevavault.com/ui/#object/approved_document__v/V5OZ06G6O6RFL1P", "ES Veeva Privacy Notice Email")</f>
        <v>ES Veeva Privacy Notice Email</v>
      </c>
      <c r="E11969" s="10" t="str">
        <f>HYPERLINK("https://otsuka-europe-crm.veevavault.com/ui/#object/sent_email__v/VBL00000002V380", "SE-001437359")</f>
        <v>SE-001437359</v>
      </c>
      <c r="F11969" s="11"/>
      <c r="G11969" s="12">
        <v>0</v>
      </c>
      <c r="H11969" s="12">
        <v>0</v>
      </c>
      <c r="I11969" s="12">
        <v>0</v>
      </c>
      <c r="J11969" s="11"/>
      <c r="K11969" s="12">
        <v>0</v>
      </c>
      <c r="L11969" s="10" t="str">
        <f>HYPERLINK("https://otsuka-europe-crm.veevavault.com/ui/#object/approved_document__v/V5OZ06G6O6RFL1P", "ES Veeva Privacy Notice Email")</f>
        <v>ES Veeva Privacy Notice Email</v>
      </c>
      <c r="M11969" s="10" t="str">
        <f>HYPERLINK("mailto:gsammali@crm.otsuka-europe.com", "gsammali@crm.otsuka-europe.com")</f>
        <v>gsammali@crm.otsuka-europe.com</v>
      </c>
      <c r="N11969" s="13">
        <v>46190.42114583333</v>
      </c>
      <c r="O11969" s="14" t="str">
        <f>HYPERLINK("https://otsuka-europe-crm.veevavault.com/ui/#object/email_activity__v/V8C00000003W671", "EN-002098316")</f>
        <v>EN-002098316</v>
      </c>
    </row>
    <row r="11970" spans="1:15" ht="32" x14ac:dyDescent="0.2">
      <c r="A11970" s="7" t="str">
        <f>HYPERLINK("https://otsuka-europe-crm.veevavault.com/ui/#object/account__v/V4TZ06G6OBILB6B", "FRANCOIS KAZOUR")</f>
        <v>FRANCOIS KAZOUR</v>
      </c>
      <c r="B11970" s="7" t="str">
        <f>HYPERLINK("https://otsuka-europe-crm.veevavault.com/ui/#object/vcountry__v/VENZ000004SONFA", "FR")</f>
        <v>FR</v>
      </c>
      <c r="C11970" s="8" t="s">
        <v>42</v>
      </c>
      <c r="D11970" s="9" t="str">
        <f>HYPERLINK("https://otsuka-europe-crm.veevavault.com/ui/#object/approved_document__v/V5OZ04ASG4G02Y6", "INVITATION_VAD_2023")</f>
        <v>INVITATION_VAD_2023</v>
      </c>
      <c r="E11970" s="10" t="str">
        <f>HYPERLINK("https://otsuka-europe-crm.veevavault.com/ui/#object/sent_email__v/VBL00000002T545", "SE-001437360")</f>
        <v>SE-001437360</v>
      </c>
      <c r="F11970" s="11"/>
      <c r="G11970" s="12">
        <v>0</v>
      </c>
      <c r="H11970" s="12">
        <v>0</v>
      </c>
      <c r="I11970" s="12">
        <v>0</v>
      </c>
      <c r="J11970" s="11"/>
      <c r="K11970" s="12">
        <v>0</v>
      </c>
      <c r="L11970" s="10" t="str">
        <f>HYPERLINK("https://otsuka-europe-crm.veevavault.com/ui/#object/approved_document__v/V5OZ04ASG4G02Y6", "INVITATION_VAD_2023")</f>
        <v>INVITATION_VAD_2023</v>
      </c>
      <c r="M11970" s="10" t="str">
        <f>HYPERLINK("mailto:kpoperen@crm.otsuka-europe.com", "kpoperen@crm.otsuka-europe.com")</f>
        <v>kpoperen@crm.otsuka-europe.com</v>
      </c>
      <c r="N11970" s="13">
        <v>46190.424409722225</v>
      </c>
      <c r="O11970" s="14" t="str">
        <f>HYPERLINK("https://otsuka-europe-crm.veevavault.com/ui/#object/email_activity__v/V8C00000003W674", "EN-002098321")</f>
        <v>EN-002098321</v>
      </c>
    </row>
    <row r="11971" spans="1:15" ht="32" x14ac:dyDescent="0.2">
      <c r="A11971" s="7" t="str">
        <f>HYPERLINK("https://otsuka-europe-crm.veevavault.com/ui/#object/account__v/V4TZ0000062P4W3", "Joanna Peacock")</f>
        <v>Joanna Peacock</v>
      </c>
      <c r="B11971" s="7" t="str">
        <f>HYPERLINK("https://otsuka-europe-crm.veevavault.com/ui/#object/vcountry__v/VENZ000004SONFK", "GB")</f>
        <v>GB</v>
      </c>
      <c r="C11971" s="8" t="s">
        <v>39</v>
      </c>
      <c r="D11971" s="9" t="str">
        <f>HYPERLINK("https://otsuka-europe-crm.veevavault.com/ui/#object/approved_document__v/V5OZ025E82UYOBH", "Aripiprazole 300mg PFS Available VAE")</f>
        <v>Aripiprazole 300mg PFS Available VAE</v>
      </c>
      <c r="E11971" s="10" t="str">
        <f>HYPERLINK("https://otsuka-europe-crm.veevavault.com/ui/#object/sent_email__v/VBL00000002T546", "SE-001437361")</f>
        <v>SE-001437361</v>
      </c>
      <c r="F11971" s="11"/>
      <c r="G11971" s="12">
        <v>0</v>
      </c>
      <c r="H11971" s="12">
        <v>0</v>
      </c>
      <c r="I11971" s="12">
        <v>0</v>
      </c>
      <c r="J11971" s="11"/>
      <c r="K11971" s="12">
        <v>0</v>
      </c>
      <c r="L11971" s="10" t="str">
        <f>HYPERLINK("https://otsuka-europe-crm.veevavault.com/ui/#object/approved_document__v/V5OZ025E82UYOBH", "Aripiprazole 300mg PFS Available VAE")</f>
        <v>Aripiprazole 300mg PFS Available VAE</v>
      </c>
      <c r="M11971" s="10" t="str">
        <f>HYPERLINK("mailto:ldimambro@crm.otsuka-europe.com", "ldimambro@crm.otsuka-europe.com")</f>
        <v>ldimambro@crm.otsuka-europe.com</v>
      </c>
      <c r="N11971" s="13">
        <v>46190.438240740739</v>
      </c>
      <c r="O11971" s="14" t="str">
        <f>HYPERLINK("https://otsuka-europe-crm.veevavault.com/ui/#object/email_activity__v/V8C00000003W677", "EN-002098325")</f>
        <v>EN-002098325</v>
      </c>
    </row>
    <row r="11972" spans="1:15" ht="32" x14ac:dyDescent="0.2">
      <c r="A11972" s="7" t="str">
        <f>HYPERLINK("https://otsuka-europe-crm.veevavault.com/ui/#object/account__v/V4TZ0000062P4W3", "Joanna Peacock")</f>
        <v>Joanna Peacock</v>
      </c>
      <c r="B11972" s="7" t="str">
        <f>HYPERLINK("https://otsuka-europe-crm.veevavault.com/ui/#object/vcountry__v/VENZ000004SONFK", "GB")</f>
        <v>GB</v>
      </c>
      <c r="C11972" s="8" t="s">
        <v>39</v>
      </c>
      <c r="D11972" s="9" t="str">
        <f>HYPERLINK("https://otsuka-europe-crm.veevavault.com/ui/#object/approved_document__v/V5OZ025E82TSZBI", "Aripiprazole 960mg Fragment VAE")</f>
        <v>Aripiprazole 960mg Fragment VAE</v>
      </c>
      <c r="E11972" s="10" t="str">
        <f>HYPERLINK("https://otsuka-europe-crm.veevavault.com/ui/#object/sent_email__v/VBL00000002T547", "SE-001437362")</f>
        <v>SE-001437362</v>
      </c>
      <c r="F11972" s="11"/>
      <c r="G11972" s="12">
        <v>0</v>
      </c>
      <c r="H11972" s="12">
        <v>0</v>
      </c>
      <c r="I11972" s="12">
        <v>0</v>
      </c>
      <c r="J11972" s="11"/>
      <c r="K11972" s="12">
        <v>0</v>
      </c>
      <c r="L11972" s="10" t="str">
        <f>HYPERLINK("https://otsuka-europe-crm.veevavault.com/ui/#object/approved_document__v/V5OZ025E82TSZBI", "Aripiprazole 960mg Fragment VAE")</f>
        <v>Aripiprazole 960mg Fragment VAE</v>
      </c>
      <c r="M11972" s="10" t="str">
        <f>HYPERLINK("mailto:ldimambro@crm.otsuka-europe.com", "ldimambro@crm.otsuka-europe.com")</f>
        <v>ldimambro@crm.otsuka-europe.com</v>
      </c>
      <c r="N11972" s="13">
        <v>46190.438680555555</v>
      </c>
      <c r="O11972" s="14" t="str">
        <f>HYPERLINK("https://otsuka-europe-crm.veevavault.com/ui/#object/email_activity__v/V8C00000003W678", "EN-002098326")</f>
        <v>EN-002098326</v>
      </c>
    </row>
    <row r="11973" spans="1:15" ht="48" x14ac:dyDescent="0.2">
      <c r="A11973" s="7" t="str">
        <f>HYPERLINK("https://otsuka-europe-crm.veevavault.com/ui/#object/account__v/V4TZ025E886QEYR", "Martono Suharni-Hardt")</f>
        <v>Martono Suharni-Hardt</v>
      </c>
      <c r="B11973" s="7" t="str">
        <f t="shared" ref="B11973:B11978" si="902">HYPERLINK("https://otsuka-europe-crm.veevavault.com/ui/#object/vcountry__v/VENZ000004SONFP", "DE")</f>
        <v>DE</v>
      </c>
      <c r="C11973" s="8" t="s">
        <v>43</v>
      </c>
      <c r="D11973" s="9" t="str">
        <f t="shared" ref="D11973:D11978" si="903">HYPERLINK("https://otsuka-europe-crm.veevavault.com/ui/#object/approved_document__v/V5O00000001H029", "VAE DE AM960 - Podcast-Interview Prof. Dr. Köhler_2026-05")</f>
        <v>VAE DE AM960 - Podcast-Interview Prof. Dr. Köhler_2026-05</v>
      </c>
      <c r="E11973" s="10" t="str">
        <f>HYPERLINK("https://otsuka-europe-crm.veevavault.com/ui/#object/sent_email__v/VBL00000002V381", "SE-001437363")</f>
        <v>SE-001437363</v>
      </c>
      <c r="F11973" s="11"/>
      <c r="G11973" s="12">
        <v>0</v>
      </c>
      <c r="H11973" s="12">
        <v>0</v>
      </c>
      <c r="I11973" s="12">
        <v>0</v>
      </c>
      <c r="J11973" s="11"/>
      <c r="K11973" s="12">
        <v>0</v>
      </c>
      <c r="L11973" s="10" t="str">
        <f t="shared" ref="L11973:L11978" si="904">HYPERLINK("https://otsuka-europe-crm.veevavault.com/ui/#object/approved_document__v/V5O00000001H029", "VAE DE AM960 - Podcast-Interview Prof. Dr. Köhler_2026-05")</f>
        <v>VAE DE AM960 - Podcast-Interview Prof. Dr. Köhler_2026-05</v>
      </c>
      <c r="M11973" s="10" t="str">
        <f t="shared" ref="M11973:M11978" si="905">HYPERLINK("mailto:emachholz@crm.otsuka-europe.com", "emachholz@crm.otsuka-europe.com")</f>
        <v>emachholz@crm.otsuka-europe.com</v>
      </c>
      <c r="N11973" s="13">
        <v>46190.463969907411</v>
      </c>
      <c r="O11973" s="14" t="str">
        <f>HYPERLINK("https://otsuka-europe-crm.veevavault.com/ui/#object/email_activity__v/V8C00000003W681", "EN-002098332")</f>
        <v>EN-002098332</v>
      </c>
    </row>
    <row r="11974" spans="1:15" ht="48" x14ac:dyDescent="0.2">
      <c r="A11974" s="7" t="str">
        <f>HYPERLINK("https://otsuka-europe-crm.veevavault.com/ui/#object/account__v/V4TZ06G6O9N4UOJ", "Winfried Sporns")</f>
        <v>Winfried Sporns</v>
      </c>
      <c r="B11974" s="7" t="str">
        <f t="shared" si="902"/>
        <v>DE</v>
      </c>
      <c r="C11974" s="8" t="s">
        <v>43</v>
      </c>
      <c r="D11974" s="9" t="str">
        <f t="shared" si="903"/>
        <v>VAE DE AM960 - Podcast-Interview Prof. Dr. Köhler_2026-05</v>
      </c>
      <c r="E11974" s="10" t="str">
        <f>HYPERLINK("https://otsuka-europe-crm.veevavault.com/ui/#object/sent_email__v/VBL00000002V382", "SE-001437364")</f>
        <v>SE-001437364</v>
      </c>
      <c r="F11974" s="11"/>
      <c r="G11974" s="12">
        <v>0</v>
      </c>
      <c r="H11974" s="12">
        <v>0</v>
      </c>
      <c r="I11974" s="12">
        <v>0</v>
      </c>
      <c r="J11974" s="11"/>
      <c r="K11974" s="12">
        <v>0</v>
      </c>
      <c r="L11974" s="10" t="str">
        <f t="shared" si="904"/>
        <v>VAE DE AM960 - Podcast-Interview Prof. Dr. Köhler_2026-05</v>
      </c>
      <c r="M11974" s="10" t="str">
        <f t="shared" si="905"/>
        <v>emachholz@crm.otsuka-europe.com</v>
      </c>
      <c r="N11974" s="13">
        <v>46190.463969907411</v>
      </c>
      <c r="O11974" s="14" t="str">
        <f>HYPERLINK("https://otsuka-europe-crm.veevavault.com/ui/#object/email_activity__v/V8C00000003W683", "EN-002098334")</f>
        <v>EN-002098334</v>
      </c>
    </row>
    <row r="11975" spans="1:15" ht="48" x14ac:dyDescent="0.2">
      <c r="A11975" s="7" t="str">
        <f>HYPERLINK("https://otsuka-europe-crm.veevavault.com/ui/#object/account__v/V4TZ000006352YG", "Christoph Riech")</f>
        <v>Christoph Riech</v>
      </c>
      <c r="B11975" s="7" t="str">
        <f t="shared" si="902"/>
        <v>DE</v>
      </c>
      <c r="C11975" s="8" t="s">
        <v>43</v>
      </c>
      <c r="D11975" s="9" t="str">
        <f t="shared" si="903"/>
        <v>VAE DE AM960 - Podcast-Interview Prof. Dr. Köhler_2026-05</v>
      </c>
      <c r="E11975" s="10" t="str">
        <f>HYPERLINK("https://otsuka-europe-crm.veevavault.com/ui/#object/sent_email__v/VBL00000002V383", "SE-001437365")</f>
        <v>SE-001437365</v>
      </c>
      <c r="F11975" s="11"/>
      <c r="G11975" s="12">
        <v>0</v>
      </c>
      <c r="H11975" s="12">
        <v>0</v>
      </c>
      <c r="I11975" s="12">
        <v>0</v>
      </c>
      <c r="J11975" s="11"/>
      <c r="K11975" s="12">
        <v>0</v>
      </c>
      <c r="L11975" s="10" t="str">
        <f t="shared" si="904"/>
        <v>VAE DE AM960 - Podcast-Interview Prof. Dr. Köhler_2026-05</v>
      </c>
      <c r="M11975" s="10" t="str">
        <f t="shared" si="905"/>
        <v>emachholz@crm.otsuka-europe.com</v>
      </c>
      <c r="N11975" s="13">
        <v>46190.463969907411</v>
      </c>
      <c r="O11975" s="14" t="str">
        <f>HYPERLINK("https://otsuka-europe-crm.veevavault.com/ui/#object/email_activity__v/V8C00000003X844", "EN-002098335")</f>
        <v>EN-002098335</v>
      </c>
    </row>
    <row r="11976" spans="1:15" ht="48" x14ac:dyDescent="0.2">
      <c r="A11976" s="7" t="str">
        <f>HYPERLINK("https://otsuka-europe-crm.veevavault.com/ui/#object/account__v/V4TZ00000634VD4", "Ramneet Arneja")</f>
        <v>Ramneet Arneja</v>
      </c>
      <c r="B11976" s="7" t="str">
        <f t="shared" si="902"/>
        <v>DE</v>
      </c>
      <c r="C11976" s="8" t="s">
        <v>43</v>
      </c>
      <c r="D11976" s="9" t="str">
        <f t="shared" si="903"/>
        <v>VAE DE AM960 - Podcast-Interview Prof. Dr. Köhler_2026-05</v>
      </c>
      <c r="E11976" s="10" t="str">
        <f>HYPERLINK("https://otsuka-europe-crm.veevavault.com/ui/#object/sent_email__v/VBL00000002V384", "SE-001437366")</f>
        <v>SE-001437366</v>
      </c>
      <c r="F11976" s="11"/>
      <c r="G11976" s="12">
        <v>0</v>
      </c>
      <c r="H11976" s="12">
        <v>0</v>
      </c>
      <c r="I11976" s="12">
        <v>0</v>
      </c>
      <c r="J11976" s="11"/>
      <c r="K11976" s="12">
        <v>0</v>
      </c>
      <c r="L11976" s="10" t="str">
        <f t="shared" si="904"/>
        <v>VAE DE AM960 - Podcast-Interview Prof. Dr. Köhler_2026-05</v>
      </c>
      <c r="M11976" s="10" t="str">
        <f t="shared" si="905"/>
        <v>emachholz@crm.otsuka-europe.com</v>
      </c>
      <c r="N11976" s="13">
        <v>46190.463969907411</v>
      </c>
      <c r="O11976" s="14" t="str">
        <f>HYPERLINK("https://otsuka-europe-crm.veevavault.com/ui/#object/email_activity__v/V8C00000003W682", "EN-002098333")</f>
        <v>EN-002098333</v>
      </c>
    </row>
    <row r="11977" spans="1:15" ht="48" x14ac:dyDescent="0.2">
      <c r="A11977" s="7" t="str">
        <f>HYPERLINK("https://otsuka-europe-crm.veevavault.com/ui/#object/account__v/V4TZ0000062T9VH", "Waldemar Signus")</f>
        <v>Waldemar Signus</v>
      </c>
      <c r="B11977" s="7" t="str">
        <f t="shared" si="902"/>
        <v>DE</v>
      </c>
      <c r="C11977" s="8" t="s">
        <v>43</v>
      </c>
      <c r="D11977" s="9" t="str">
        <f t="shared" si="903"/>
        <v>VAE DE AM960 - Podcast-Interview Prof. Dr. Köhler_2026-05</v>
      </c>
      <c r="E11977" s="10" t="str">
        <f>HYPERLINK("https://otsuka-europe-crm.veevavault.com/ui/#object/sent_email__v/VBL00000002V385", "SE-001437367")</f>
        <v>SE-001437367</v>
      </c>
      <c r="F11977" s="11"/>
      <c r="G11977" s="12">
        <v>0</v>
      </c>
      <c r="H11977" s="12">
        <v>0</v>
      </c>
      <c r="I11977" s="12">
        <v>0</v>
      </c>
      <c r="J11977" s="11"/>
      <c r="K11977" s="12">
        <v>0</v>
      </c>
      <c r="L11977" s="10" t="str">
        <f t="shared" si="904"/>
        <v>VAE DE AM960 - Podcast-Interview Prof. Dr. Köhler_2026-05</v>
      </c>
      <c r="M11977" s="10" t="str">
        <f t="shared" si="905"/>
        <v>emachholz@crm.otsuka-europe.com</v>
      </c>
      <c r="N11977" s="13">
        <v>46190.463969907411</v>
      </c>
      <c r="O11977" s="14" t="str">
        <f>HYPERLINK("https://otsuka-europe-crm.veevavault.com/ui/#object/email_activity__v/V8C00000003W685", "EN-002098339")</f>
        <v>EN-002098339</v>
      </c>
    </row>
    <row r="11978" spans="1:15" ht="48" x14ac:dyDescent="0.2">
      <c r="A11978" s="7" t="str">
        <f>HYPERLINK("https://otsuka-europe-crm.veevavault.com/ui/#object/account__v/V4TZ025E895DZXD", "Tino Fischbach")</f>
        <v>Tino Fischbach</v>
      </c>
      <c r="B11978" s="7" t="str">
        <f t="shared" si="902"/>
        <v>DE</v>
      </c>
      <c r="C11978" s="8" t="s">
        <v>43</v>
      </c>
      <c r="D11978" s="9" t="str">
        <f t="shared" si="903"/>
        <v>VAE DE AM960 - Podcast-Interview Prof. Dr. Köhler_2026-05</v>
      </c>
      <c r="E11978" s="10" t="str">
        <f>HYPERLINK("https://otsuka-europe-crm.veevavault.com/ui/#object/sent_email__v/VBL00000002V386", "SE-001437368")</f>
        <v>SE-001437368</v>
      </c>
      <c r="F11978" s="11"/>
      <c r="G11978" s="12">
        <v>0</v>
      </c>
      <c r="H11978" s="12">
        <v>0</v>
      </c>
      <c r="I11978" s="12">
        <v>0</v>
      </c>
      <c r="J11978" s="11"/>
      <c r="K11978" s="12">
        <v>0</v>
      </c>
      <c r="L11978" s="10" t="str">
        <f t="shared" si="904"/>
        <v>VAE DE AM960 - Podcast-Interview Prof. Dr. Köhler_2026-05</v>
      </c>
      <c r="M11978" s="10" t="str">
        <f t="shared" si="905"/>
        <v>emachholz@crm.otsuka-europe.com</v>
      </c>
      <c r="N11978" s="13">
        <v>46190.463969907411</v>
      </c>
      <c r="O11978" s="14" t="str">
        <f>HYPERLINK("https://otsuka-europe-crm.veevavault.com/ui/#object/email_activity__v/V8C00000003X845", "EN-002098336")</f>
        <v>EN-002098336</v>
      </c>
    </row>
    <row r="11979" spans="1:15" ht="48" x14ac:dyDescent="0.2">
      <c r="A11979" s="7" t="str">
        <f>HYPERLINK("https://otsuka-europe-crm.veevavault.com/ui/#object/account__v/V4TZ025E8703O4G", "APRIL MIRANDA SPINOSO LEOPARDI")</f>
        <v>APRIL MIRANDA SPINOSO LEOPARDI</v>
      </c>
      <c r="B11979" s="7" t="str">
        <f>HYPERLINK("https://otsuka-europe-crm.veevavault.com/ui/#object/vcountry__v/VENZ000004SONF5", "ES")</f>
        <v>ES</v>
      </c>
      <c r="C11979" s="8" t="s">
        <v>41</v>
      </c>
      <c r="D11979" s="9" t="str">
        <f>HYPERLINK("https://otsuka-europe-crm.veevavault.com/ui/#object/approved_document__v/V5O00000000R011", "AM2M - ENFERMERÍA - Guía manejo práctico AM2M")</f>
        <v>AM2M - ENFERMERÍA - Guía manejo práctico AM2M</v>
      </c>
      <c r="E11979" s="10" t="str">
        <f>HYPERLINK("https://otsuka-europe-crm.veevavault.com/ui/#object/sent_email__v/VBL00000002T548", "SE-001437369")</f>
        <v>SE-001437369</v>
      </c>
      <c r="F11979" s="11"/>
      <c r="G11979" s="12">
        <v>0</v>
      </c>
      <c r="H11979" s="12">
        <v>0</v>
      </c>
      <c r="I11979" s="12">
        <v>0</v>
      </c>
      <c r="J11979" s="11"/>
      <c r="K11979" s="12">
        <v>0</v>
      </c>
      <c r="L11979" s="10" t="str">
        <f>HYPERLINK("https://otsuka-europe-crm.veevavault.com/ui/#object/approved_document__v/V5O00000000R011", "AM2M - ENFERMERÍA - Guía manejo práctico AM2M")</f>
        <v>AM2M - ENFERMERÍA - Guía manejo práctico AM2M</v>
      </c>
      <c r="M11979" s="10" t="str">
        <f>HYPERLINK("mailto:fdiaz@crm.otsuka-europe.com", "fdiaz@crm.otsuka-europe.com")</f>
        <v>fdiaz@crm.otsuka-europe.com</v>
      </c>
      <c r="N11979" s="13">
        <v>46190.470173611109</v>
      </c>
      <c r="O11979" s="14" t="str">
        <f>HYPERLINK("https://otsuka-europe-crm.veevavault.com/ui/#object/email_activity__v/V8C00000003X846", "EN-002098338")</f>
        <v>EN-002098338</v>
      </c>
    </row>
    <row r="11980" spans="1:15" ht="32" x14ac:dyDescent="0.2">
      <c r="A11980" s="7" t="str">
        <f>HYPERLINK("https://otsuka-europe-crm.veevavault.com/ui/#object/account__v/V4T000000024079", "GIACOMO GERMAGNOLI")</f>
        <v>GIACOMO GERMAGNOLI</v>
      </c>
      <c r="B11980" s="7" t="str">
        <f>HYPERLINK("https://otsuka-europe-crm.veevavault.com/ui/#object/vcountry__v/VENZ000004SONFQ", "IT")</f>
        <v>IT</v>
      </c>
      <c r="C11980" s="8" t="s">
        <v>44</v>
      </c>
      <c r="D11980" s="9" t="str">
        <f>HYPERLINK("https://otsuka-europe-crm.veevavault.com/ui/#object/approved_document__v/V5OZ06G6O6RG2EV", "IT Veeva Privacy Notice Email")</f>
        <v>IT Veeva Privacy Notice Email</v>
      </c>
      <c r="E11980" s="10" t="str">
        <f>HYPERLINK("https://otsuka-europe-crm.veevavault.com/ui/#object/sent_email__v/VBL00000002T549", "SE-001437370")</f>
        <v>SE-001437370</v>
      </c>
      <c r="F11980" s="11"/>
      <c r="G11980" s="12">
        <v>0</v>
      </c>
      <c r="H11980" s="12">
        <v>0</v>
      </c>
      <c r="I11980" s="12">
        <v>0</v>
      </c>
      <c r="J11980" s="11"/>
      <c r="K11980" s="12">
        <v>0</v>
      </c>
      <c r="L11980" s="10" t="str">
        <f>HYPERLINK("https://otsuka-europe-crm.veevavault.com/ui/#object/approved_document__v/V5OZ06G6O6RG2EV", "IT Veeva Privacy Notice Email")</f>
        <v>IT Veeva Privacy Notice Email</v>
      </c>
      <c r="M11980" s="10" t="str">
        <f>HYPERLINK("mailto:laura.mallia@crm.otsuka-europe.com", "laura.mallia@crm.otsuka-europe.com")</f>
        <v>laura.mallia@crm.otsuka-europe.com</v>
      </c>
      <c r="N11980" s="13">
        <v>46190.471446759257</v>
      </c>
      <c r="O11980" s="14" t="str">
        <f>HYPERLINK("https://otsuka-europe-crm.veevavault.com/ui/#object/email_activity__v/V8C00000003X847", "EN-002098340")</f>
        <v>EN-002098340</v>
      </c>
    </row>
    <row r="11981" spans="1:15" ht="32" x14ac:dyDescent="0.2">
      <c r="A11981" s="7" t="str">
        <f>HYPERLINK("https://otsuka-europe-crm.veevavault.com/ui/#object/account__v/V4T000000025067", "Claire Martin")</f>
        <v>Claire Martin</v>
      </c>
      <c r="B11981" s="7" t="str">
        <f>HYPERLINK("https://otsuka-europe-crm.veevavault.com/ui/#object/vcountry__v/VENZ000004SONFK", "GB")</f>
        <v>GB</v>
      </c>
      <c r="C11981" s="8" t="s">
        <v>39</v>
      </c>
      <c r="D11981" s="9" t="str">
        <f>HYPERLINK("https://otsuka-europe-crm.veevavault.com/ui/#object/approved_document__v/V5OZ025E82PXJSL", "Otsuka Privacy Notice - UK (v2)")</f>
        <v>Otsuka Privacy Notice - UK (v2)</v>
      </c>
      <c r="E11981" s="10" t="str">
        <f>HYPERLINK("https://otsuka-europe-crm.veevavault.com/ui/#object/sent_email__v/VBL00000002V387", "SE-001437371")</f>
        <v>SE-001437371</v>
      </c>
      <c r="F11981" s="11"/>
      <c r="G11981" s="12">
        <v>0</v>
      </c>
      <c r="H11981" s="12">
        <v>0</v>
      </c>
      <c r="I11981" s="12">
        <v>0</v>
      </c>
      <c r="J11981" s="11"/>
      <c r="K11981" s="12">
        <v>0</v>
      </c>
      <c r="L11981" s="10" t="str">
        <f>HYPERLINK("https://otsuka-europe-crm.veevavault.com/ui/#object/approved_document__v/V5OZ025E82PXJSL", "Otsuka Privacy Notice - UK (v2)")</f>
        <v>Otsuka Privacy Notice - UK (v2)</v>
      </c>
      <c r="M11981" s="10" t="str">
        <f>HYPERLINK("mailto:ldimambro@crm.otsuka-europe.com", "ldimambro@crm.otsuka-europe.com")</f>
        <v>ldimambro@crm.otsuka-europe.com</v>
      </c>
      <c r="N11981" s="13">
        <v>46190.497199074074</v>
      </c>
      <c r="O11981" s="14" t="str">
        <f>HYPERLINK("https://otsuka-europe-crm.veevavault.com/ui/#object/email_activity__v/V8C00000003W686", "EN-002098347")</f>
        <v>EN-002098347</v>
      </c>
    </row>
    <row r="11982" spans="1:15" ht="32" x14ac:dyDescent="0.2">
      <c r="A11982" s="7" t="str">
        <f>HYPERLINK("https://otsuka-europe-crm.veevavault.com/ui/#object/account__v/V4T000000025067", "Claire Martin")</f>
        <v>Claire Martin</v>
      </c>
      <c r="B11982" s="7" t="str">
        <f>HYPERLINK("https://otsuka-europe-crm.veevavault.com/ui/#object/vcountry__v/VENZ000004SONFK", "GB")</f>
        <v>GB</v>
      </c>
      <c r="C11982" s="8" t="s">
        <v>39</v>
      </c>
      <c r="D11982" s="9" t="str">
        <f>HYPERLINK("https://otsuka-europe-crm.veevavault.com/ui/#object/approved_document__v/V5O00000000D081", "UK - Consent Email 1 Aug 25")</f>
        <v>UK - Consent Email 1 Aug 25</v>
      </c>
      <c r="E11982" s="10" t="str">
        <f>HYPERLINK("https://otsuka-europe-crm.veevavault.com/ui/#object/sent_email__v/VBL00000002V388", "SE-001437372")</f>
        <v>SE-001437372</v>
      </c>
      <c r="F11982" s="11"/>
      <c r="G11982" s="12">
        <v>0</v>
      </c>
      <c r="H11982" s="12">
        <v>0</v>
      </c>
      <c r="I11982" s="12">
        <v>0</v>
      </c>
      <c r="J11982" s="11"/>
      <c r="K11982" s="12">
        <v>0</v>
      </c>
      <c r="L11982" s="10" t="str">
        <f>HYPERLINK("https://otsuka-europe-crm.veevavault.com/ui/#object/approved_document__v/V5O00000000D081", "UK - Consent Email 1 Aug 25")</f>
        <v>UK - Consent Email 1 Aug 25</v>
      </c>
      <c r="M11982" s="10" t="str">
        <f>HYPERLINK("mailto:ldimambro@crm.otsuka-europe.com", "ldimambro@crm.otsuka-europe.com")</f>
        <v>ldimambro@crm.otsuka-europe.com</v>
      </c>
      <c r="N11982" s="13">
        <v>46190.498182870368</v>
      </c>
      <c r="O11982" s="14" t="str">
        <f>HYPERLINK("https://otsuka-europe-crm.veevavault.com/ui/#object/email_activity__v/V8C00000003X855", "EN-002098349")</f>
        <v>EN-002098349</v>
      </c>
    </row>
    <row r="11983" spans="1:15" ht="32" x14ac:dyDescent="0.2">
      <c r="A11983" s="7" t="str">
        <f>HYPERLINK("https://otsuka-europe-crm.veevavault.com/ui/#object/account__v/V4TZ06G6OBILB6B", "FRANCOIS KAZOUR")</f>
        <v>FRANCOIS KAZOUR</v>
      </c>
      <c r="B11983" s="7" t="str">
        <f>HYPERLINK("https://otsuka-europe-crm.veevavault.com/ui/#object/vcountry__v/VENZ000004SONFA", "FR")</f>
        <v>FR</v>
      </c>
      <c r="C11983" s="8" t="s">
        <v>42</v>
      </c>
      <c r="D11983" s="9" t="str">
        <f>HYPERLINK("https://otsuka-europe-crm.veevavault.com/ui/#object/approved_document__v/V5OZ04ASG4G02Y6", "INVITATION_VAD_2023")</f>
        <v>INVITATION_VAD_2023</v>
      </c>
      <c r="E11983" s="10" t="str">
        <f>HYPERLINK("https://otsuka-europe-crm.veevavault.com/ui/#object/sent_email__v/VBL00000002V389", "SE-001437373")</f>
        <v>SE-001437373</v>
      </c>
      <c r="F11983" s="11"/>
      <c r="G11983" s="12">
        <v>0</v>
      </c>
      <c r="H11983" s="12">
        <v>0</v>
      </c>
      <c r="I11983" s="12">
        <v>0</v>
      </c>
      <c r="J11983" s="11"/>
      <c r="K11983" s="12">
        <v>0</v>
      </c>
      <c r="L11983" s="10" t="str">
        <f>HYPERLINK("https://otsuka-europe-crm.veevavault.com/ui/#object/approved_document__v/V5OZ04ASG4G02Y6", "INVITATION_VAD_2023")</f>
        <v>INVITATION_VAD_2023</v>
      </c>
      <c r="M11983" s="10" t="str">
        <f>HYPERLINK("mailto:kpoperen@crm.otsuka-europe.com", "kpoperen@crm.otsuka-europe.com")</f>
        <v>kpoperen@crm.otsuka-europe.com</v>
      </c>
      <c r="N11983" s="13">
        <v>46190.531631944446</v>
      </c>
      <c r="O11983" s="14" t="str">
        <f>HYPERLINK("https://otsuka-europe-crm.veevavault.com/ui/#object/email_activity__v/V8C00000003X878", "EN-002098390")</f>
        <v>EN-002098390</v>
      </c>
    </row>
    <row r="11984" spans="1:15" ht="32" x14ac:dyDescent="0.2">
      <c r="A11984" s="7" t="str">
        <f>HYPERLINK("https://otsuka-europe-crm.veevavault.com/ui/#object/account__v/V4T000000024083", "Carolyn Zierer")</f>
        <v>Carolyn Zierer</v>
      </c>
      <c r="B11984" s="7" t="str">
        <f>HYPERLINK("https://otsuka-europe-crm.veevavault.com/ui/#object/vcountry__v/VENZ000004SONFK", "GB")</f>
        <v>GB</v>
      </c>
      <c r="C11984" s="8" t="s">
        <v>39</v>
      </c>
      <c r="D11984" s="9" t="str">
        <f>HYPERLINK("https://otsuka-europe-crm.veevavault.com/ui/#object/approved_document__v/V5OZ025E82PXJSL", "Otsuka Privacy Notice - UK (v2)")</f>
        <v>Otsuka Privacy Notice - UK (v2)</v>
      </c>
      <c r="E11984" s="10" t="str">
        <f>HYPERLINK("https://otsuka-europe-crm.veevavault.com/ui/#object/sent_email__v/VBL00000002V390", "SE-001437374")</f>
        <v>SE-001437374</v>
      </c>
      <c r="F11984" s="11"/>
      <c r="G11984" s="12">
        <v>0</v>
      </c>
      <c r="H11984" s="12">
        <v>0</v>
      </c>
      <c r="I11984" s="12">
        <v>0</v>
      </c>
      <c r="J11984" s="11"/>
      <c r="K11984" s="12">
        <v>0</v>
      </c>
      <c r="L11984" s="10" t="str">
        <f>HYPERLINK("https://otsuka-europe-crm.veevavault.com/ui/#object/approved_document__v/V5OZ025E82PXJSL", "Otsuka Privacy Notice - UK (v2)")</f>
        <v>Otsuka Privacy Notice - UK (v2)</v>
      </c>
      <c r="M11984" s="10" t="str">
        <f>HYPERLINK("mailto:ldimambro@crm.otsuka-europe.com", "ldimambro@crm.otsuka-europe.com")</f>
        <v>ldimambro@crm.otsuka-europe.com</v>
      </c>
      <c r="N11984" s="13">
        <v>46190.547962962963</v>
      </c>
      <c r="O11984" s="14" t="str">
        <f>HYPERLINK("https://otsuka-europe-crm.veevavault.com/ui/#object/email_activity__v/V8C00000003X882", "EN-002098397")</f>
        <v>EN-002098397</v>
      </c>
    </row>
    <row r="11985" spans="1:15" ht="16" x14ac:dyDescent="0.2">
      <c r="A11985" s="17" t="str">
        <f>HYPERLINK("https://otsuka-europe-crm.veevavault.com/ui/#object/account__v/V4T000000024083", "Carolyn Zierer")</f>
        <v>Carolyn Zierer</v>
      </c>
      <c r="B11985" s="17" t="str">
        <f>HYPERLINK("https://otsuka-europe-crm.veevavault.com/ui/#object/vcountry__v/VENZ000004SONFK", "GB")</f>
        <v>GB</v>
      </c>
      <c r="C11985" s="20" t="s">
        <v>39</v>
      </c>
      <c r="D11985" s="21" t="str">
        <f>HYPERLINK("https://otsuka-europe-crm.veevavault.com/ui/#object/approved_document__v/V5O00000000D081", "UK - Consent Email 1 Aug 25")</f>
        <v>UK - Consent Email 1 Aug 25</v>
      </c>
      <c r="E11985" s="22" t="str">
        <f>HYPERLINK("https://otsuka-europe-crm.veevavault.com/ui/#object/sent_email__v/VBL00000002V391", "SE-001437375")</f>
        <v>SE-001437375</v>
      </c>
      <c r="F11985" s="23">
        <v>46190.612743055557</v>
      </c>
      <c r="G11985" s="24">
        <v>1</v>
      </c>
      <c r="H11985" s="24">
        <v>1</v>
      </c>
      <c r="I11985" s="24">
        <v>1</v>
      </c>
      <c r="J11985" s="23">
        <v>46190.612743055557</v>
      </c>
      <c r="K11985" s="24">
        <v>1</v>
      </c>
      <c r="L11985" s="22" t="str">
        <f>HYPERLINK("https://otsuka-europe-crm.veevavault.com/ui/#object/approved_document__v/V5O00000000D081", "UK - Consent Email 1 Aug 25")</f>
        <v>UK - Consent Email 1 Aug 25</v>
      </c>
      <c r="M11985" s="22" t="str">
        <f>HYPERLINK("mailto:ldimambro@crm.otsuka-europe.com", "ldimambro@crm.otsuka-europe.com")</f>
        <v>ldimambro@crm.otsuka-europe.com</v>
      </c>
      <c r="N11985" s="23">
        <v>46190.549004629633</v>
      </c>
      <c r="O11985" s="14" t="str">
        <f>HYPERLINK("https://otsuka-europe-crm.veevavault.com/ui/#object/email_activity__v/V8C00000003X883", "EN-002098399")</f>
        <v>EN-002098399</v>
      </c>
    </row>
    <row r="11986" spans="1:15" ht="16" x14ac:dyDescent="0.2">
      <c r="A11986" s="18"/>
      <c r="B11986" s="18"/>
      <c r="C11986" s="18"/>
      <c r="D11986" s="18"/>
      <c r="E11986" s="18"/>
      <c r="F11986" s="18"/>
      <c r="G11986" s="18"/>
      <c r="H11986" s="18"/>
      <c r="I11986" s="18"/>
      <c r="J11986" s="18"/>
      <c r="K11986" s="18"/>
      <c r="L11986" s="18"/>
      <c r="M11986" s="18"/>
      <c r="N11986" s="18"/>
      <c r="O11986" s="14" t="str">
        <f>HYPERLINK("https://otsuka-europe-crm.veevavault.com/ui/#object/email_activity__v/V8C00000003X898", "EN-002098424")</f>
        <v>EN-002098424</v>
      </c>
    </row>
    <row r="11987" spans="1:15" ht="16" x14ac:dyDescent="0.2">
      <c r="A11987" s="19"/>
      <c r="B11987" s="19"/>
      <c r="C11987" s="19"/>
      <c r="D11987" s="19"/>
      <c r="E11987" s="19"/>
      <c r="F11987" s="19"/>
      <c r="G11987" s="19"/>
      <c r="H11987" s="19"/>
      <c r="I11987" s="19"/>
      <c r="J11987" s="19"/>
      <c r="K11987" s="19"/>
      <c r="L11987" s="19"/>
      <c r="M11987" s="19"/>
      <c r="N11987" s="19"/>
      <c r="O11987" s="14" t="str">
        <f>HYPERLINK("https://otsuka-europe-crm.veevavault.com/ui/#object/email_activity__v/V8C00000003X899", "EN-002098423")</f>
        <v>EN-002098423</v>
      </c>
    </row>
    <row r="11988" spans="1:15" ht="32" x14ac:dyDescent="0.2">
      <c r="A11988" s="7" t="str">
        <f>HYPERLINK("https://otsuka-europe-crm.veevavault.com/ui/#object/account__v/V4TZ06G6OBILB6B", "FRANCOIS KAZOUR")</f>
        <v>FRANCOIS KAZOUR</v>
      </c>
      <c r="B11988" s="7" t="str">
        <f>HYPERLINK("https://otsuka-europe-crm.veevavault.com/ui/#object/vcountry__v/VENZ000004SONFA", "FR")</f>
        <v>FR</v>
      </c>
      <c r="C11988" s="8" t="s">
        <v>42</v>
      </c>
      <c r="D11988" s="9" t="str">
        <f>HYPERLINK("https://otsuka-europe-crm.veevavault.com/ui/#object/approved_document__v/V5OZ04ASG4G02Y7", "REMERCIEMENTS_VAD_2023")</f>
        <v>REMERCIEMENTS_VAD_2023</v>
      </c>
      <c r="E11988" s="10" t="str">
        <f>HYPERLINK("https://otsuka-europe-crm.veevavault.com/ui/#object/sent_email__v/VBL00000002T550", "SE-001437376")</f>
        <v>SE-001437376</v>
      </c>
      <c r="F11988" s="11"/>
      <c r="G11988" s="12">
        <v>0</v>
      </c>
      <c r="H11988" s="12">
        <v>0</v>
      </c>
      <c r="I11988" s="12">
        <v>0</v>
      </c>
      <c r="J11988" s="11"/>
      <c r="K11988" s="12">
        <v>0</v>
      </c>
      <c r="L11988" s="10" t="str">
        <f>HYPERLINK("https://otsuka-europe-crm.veevavault.com/ui/#object/approved_document__v/V5OZ04ASG4G02Y7", "REMERCIEMENTS_VAD_2023")</f>
        <v>REMERCIEMENTS_VAD_2023</v>
      </c>
      <c r="M11988" s="10" t="str">
        <f>HYPERLINK("mailto:kpoperen@crm.otsuka-europe.com", "kpoperen@crm.otsuka-europe.com")</f>
        <v>kpoperen@crm.otsuka-europe.com</v>
      </c>
      <c r="N11988" s="13">
        <v>46190.561712962961</v>
      </c>
      <c r="O11988" s="14" t="str">
        <f>HYPERLINK("https://otsuka-europe-crm.veevavault.com/ui/#object/email_activity__v/V8C00000003X887", "EN-002098405")</f>
        <v>EN-002098405</v>
      </c>
    </row>
    <row r="11989" spans="1:15" ht="16" x14ac:dyDescent="0.2">
      <c r="A11989" s="17" t="str">
        <f>HYPERLINK("https://otsuka-europe-crm.veevavault.com/ui/#object/account__v/V4T000000014108", "DAVIDE FACCHINELLI")</f>
        <v>DAVIDE FACCHINELLI</v>
      </c>
      <c r="B11989" s="17" t="str">
        <f>HYPERLINK("https://otsuka-europe-crm.veevavault.com/ui/#object/vcountry__v/VENZ000004SONFQ", "IT")</f>
        <v>IT</v>
      </c>
      <c r="C11989" s="20" t="s">
        <v>44</v>
      </c>
      <c r="D11989" s="21" t="str">
        <f>HYPERLINK("https://otsuka-europe-crm.veevavault.com/ui/#object/approved_document__v/V5O00000000K007", "Italy - Consent Email Aug 25 v2")</f>
        <v>Italy - Consent Email Aug 25 v2</v>
      </c>
      <c r="E11989" s="22" t="str">
        <f>HYPERLINK("https://otsuka-europe-crm.veevavault.com/ui/#object/sent_email__v/VBL00000002V392", "SE-001437377")</f>
        <v>SE-001437377</v>
      </c>
      <c r="F11989" s="23">
        <v>46190.673101851855</v>
      </c>
      <c r="G11989" s="24">
        <v>1</v>
      </c>
      <c r="H11989" s="24">
        <v>1</v>
      </c>
      <c r="I11989" s="24">
        <v>0</v>
      </c>
      <c r="J11989" s="25"/>
      <c r="K11989" s="24">
        <v>0</v>
      </c>
      <c r="L11989" s="22" t="str">
        <f>HYPERLINK("https://otsuka-europe-crm.veevavault.com/ui/#object/approved_document__v/V5O00000000K007", "Italy - Consent Email Aug 25 v2")</f>
        <v>Italy - Consent Email Aug 25 v2</v>
      </c>
      <c r="M11989" s="22" t="str">
        <f>HYPERLINK("mailto:daniela.velati@crm.otsuka-europe.com", "daniela.velati@crm.otsuka-europe.com")</f>
        <v>daniela.velati@crm.otsuka-europe.com</v>
      </c>
      <c r="N11989" s="23">
        <v>46190.581921296296</v>
      </c>
      <c r="O11989" s="14" t="str">
        <f>HYPERLINK("https://otsuka-europe-crm.veevavault.com/ui/#object/email_activity__v/V8C00000003W726", "EN-002098437")</f>
        <v>EN-002098437</v>
      </c>
    </row>
    <row r="11990" spans="1:15" ht="16" x14ac:dyDescent="0.2">
      <c r="A11990" s="19"/>
      <c r="B11990" s="19"/>
      <c r="C11990" s="19"/>
      <c r="D11990" s="19"/>
      <c r="E11990" s="19"/>
      <c r="F11990" s="19"/>
      <c r="G11990" s="19"/>
      <c r="H11990" s="19"/>
      <c r="I11990" s="19"/>
      <c r="J11990" s="19"/>
      <c r="K11990" s="19"/>
      <c r="L11990" s="19"/>
      <c r="M11990" s="19"/>
      <c r="N11990" s="19"/>
      <c r="O11990" s="14" t="str">
        <f>HYPERLINK("https://otsuka-europe-crm.veevavault.com/ui/#object/email_activity__v/V8C00000003X889", "EN-002098411")</f>
        <v>EN-002098411</v>
      </c>
    </row>
    <row r="11991" spans="1:15" ht="32" x14ac:dyDescent="0.2">
      <c r="A11991" s="7" t="str">
        <f>HYPERLINK("https://otsuka-europe-crm.veevavault.com/ui/#object/account__v/V4TZ0000062PK9F", "Noeleen Gribben")</f>
        <v>Noeleen Gribben</v>
      </c>
      <c r="B11991" s="7" t="str">
        <f>HYPERLINK("https://otsuka-europe-crm.veevavault.com/ui/#object/vcountry__v/VENZ000004SONFK", "GB")</f>
        <v>GB</v>
      </c>
      <c r="C11991" s="8" t="s">
        <v>39</v>
      </c>
      <c r="D11991" s="9" t="str">
        <f>HYPERLINK("https://otsuka-europe-crm.veevavault.com/ui/#object/approved_document__v/V5OZ025E82UYOBH", "Aripiprazole 300mg PFS Available VAE")</f>
        <v>Aripiprazole 300mg PFS Available VAE</v>
      </c>
      <c r="E11991" s="10" t="str">
        <f>HYPERLINK("https://otsuka-europe-crm.veevavault.com/ui/#object/sent_email__v/VBL00000002V393", "SE-001437378")</f>
        <v>SE-001437378</v>
      </c>
      <c r="F11991" s="11"/>
      <c r="G11991" s="12">
        <v>0</v>
      </c>
      <c r="H11991" s="12">
        <v>0</v>
      </c>
      <c r="I11991" s="12">
        <v>0</v>
      </c>
      <c r="J11991" s="11"/>
      <c r="K11991" s="12">
        <v>0</v>
      </c>
      <c r="L11991" s="10" t="str">
        <f>HYPERLINK("https://otsuka-europe-crm.veevavault.com/ui/#object/approved_document__v/V5OZ025E82UYOBH", "Aripiprazole 300mg PFS Available VAE")</f>
        <v>Aripiprazole 300mg PFS Available VAE</v>
      </c>
      <c r="M11991" s="10" t="str">
        <f>HYPERLINK("mailto:ldimambro@crm.otsuka-europe.com", "ldimambro@crm.otsuka-europe.com")</f>
        <v>ldimambro@crm.otsuka-europe.com</v>
      </c>
      <c r="N11991" s="13">
        <v>46190.586747685185</v>
      </c>
      <c r="O11991" s="14" t="str">
        <f>HYPERLINK("https://otsuka-europe-crm.veevavault.com/ui/#object/email_activity__v/V8C00000003X891", "EN-002098413")</f>
        <v>EN-002098413</v>
      </c>
    </row>
    <row r="11992" spans="1:15" ht="32" x14ac:dyDescent="0.2">
      <c r="A11992" s="7" t="str">
        <f>HYPERLINK("https://otsuka-europe-crm.veevavault.com/ui/#object/account__v/V4TZ0000062PK9F", "Noeleen Gribben")</f>
        <v>Noeleen Gribben</v>
      </c>
      <c r="B11992" s="7" t="str">
        <f>HYPERLINK("https://otsuka-europe-crm.veevavault.com/ui/#object/vcountry__v/VENZ000004SONFK", "GB")</f>
        <v>GB</v>
      </c>
      <c r="C11992" s="8" t="s">
        <v>39</v>
      </c>
      <c r="D11992" s="9" t="str">
        <f>HYPERLINK("https://otsuka-europe-crm.veevavault.com/ui/#object/approved_document__v/V5OZ025E82TSZBI", "Aripiprazole 960mg Fragment VAE")</f>
        <v>Aripiprazole 960mg Fragment VAE</v>
      </c>
      <c r="E11992" s="10" t="str">
        <f>HYPERLINK("https://otsuka-europe-crm.veevavault.com/ui/#object/sent_email__v/VBL00000002V394", "SE-001437379")</f>
        <v>SE-001437379</v>
      </c>
      <c r="F11992" s="11"/>
      <c r="G11992" s="12">
        <v>0</v>
      </c>
      <c r="H11992" s="12">
        <v>0</v>
      </c>
      <c r="I11992" s="12">
        <v>0</v>
      </c>
      <c r="J11992" s="11"/>
      <c r="K11992" s="12">
        <v>0</v>
      </c>
      <c r="L11992" s="10" t="str">
        <f>HYPERLINK("https://otsuka-europe-crm.veevavault.com/ui/#object/approved_document__v/V5OZ025E82TSZBI", "Aripiprazole 960mg Fragment VAE")</f>
        <v>Aripiprazole 960mg Fragment VAE</v>
      </c>
      <c r="M11992" s="10" t="str">
        <f>HYPERLINK("mailto:ldimambro@crm.otsuka-europe.com", "ldimambro@crm.otsuka-europe.com")</f>
        <v>ldimambro@crm.otsuka-europe.com</v>
      </c>
      <c r="N11992" s="13">
        <v>46190.588506944441</v>
      </c>
      <c r="O11992" s="14" t="str">
        <f>HYPERLINK("https://otsuka-europe-crm.veevavault.com/ui/#object/email_activity__v/V8C00000003W715", "EN-002098415")</f>
        <v>EN-002098415</v>
      </c>
    </row>
    <row r="11993" spans="1:15" ht="16" x14ac:dyDescent="0.2">
      <c r="A11993" s="17" t="str">
        <f>HYPERLINK("https://otsuka-europe-crm.veevavault.com/ui/#object/account__v/V4TZ00000633QUQ", "MONIQUE DELVINCOURT BARTHES")</f>
        <v>MONIQUE DELVINCOURT BARTHES</v>
      </c>
      <c r="B11993" s="17" t="str">
        <f>HYPERLINK("https://otsuka-europe-crm.veevavault.com/ui/#object/vcountry__v/VENZ000004SONFA", "FR")</f>
        <v>FR</v>
      </c>
      <c r="C11993" s="20" t="s">
        <v>42</v>
      </c>
      <c r="D11993" s="21" t="str">
        <f>HYPERLINK("https://otsuka-europe-crm.veevavault.com/ui/#object/approved_document__v/V5OZ04ASG4G02Y6", "INVITATION_VAD_2023")</f>
        <v>INVITATION_VAD_2023</v>
      </c>
      <c r="E11993" s="22" t="str">
        <f>HYPERLINK("https://otsuka-europe-crm.veevavault.com/ui/#object/sent_email__v/VBL00000002T551", "SE-001437380")</f>
        <v>SE-001437380</v>
      </c>
      <c r="F11993" s="23">
        <v>46191.321817129632</v>
      </c>
      <c r="G11993" s="24">
        <v>1</v>
      </c>
      <c r="H11993" s="24">
        <v>1</v>
      </c>
      <c r="I11993" s="24">
        <v>0</v>
      </c>
      <c r="J11993" s="25"/>
      <c r="K11993" s="24">
        <v>0</v>
      </c>
      <c r="L11993" s="22" t="str">
        <f>HYPERLINK("https://otsuka-europe-crm.veevavault.com/ui/#object/approved_document__v/V5OZ04ASG4G02Y6", "INVITATION_VAD_2023")</f>
        <v>INVITATION_VAD_2023</v>
      </c>
      <c r="M11993" s="22" t="str">
        <f>HYPERLINK("mailto:cchevalliermiserole@crm.otsuka-europe.com", "cchevalliermiserole@crm.otsuka-europe.com")</f>
        <v>cchevalliermiserole@crm.otsuka-europe.com</v>
      </c>
      <c r="N11993" s="23">
        <v>46190.678124999999</v>
      </c>
      <c r="O11993" s="14" t="str">
        <f>HYPERLINK("https://otsuka-europe-crm.veevavault.com/ui/#object/email_activity__v/V8C00000003W730", "EN-002098442")</f>
        <v>EN-002098442</v>
      </c>
    </row>
    <row r="11994" spans="1:15" ht="16" x14ac:dyDescent="0.2">
      <c r="A11994" s="19"/>
      <c r="B11994" s="19"/>
      <c r="C11994" s="19"/>
      <c r="D11994" s="19"/>
      <c r="E11994" s="19"/>
      <c r="F11994" s="19"/>
      <c r="G11994" s="19"/>
      <c r="H11994" s="19"/>
      <c r="I11994" s="19"/>
      <c r="J11994" s="19"/>
      <c r="K11994" s="19"/>
      <c r="L11994" s="19"/>
      <c r="M11994" s="19"/>
      <c r="N11994" s="19"/>
      <c r="O11994" s="14" t="str">
        <f>HYPERLINK("https://otsuka-europe-crm.veevavault.com/ui/#object/email_activity__v/V8C00000003W762", "EN-002098525")</f>
        <v>EN-002098525</v>
      </c>
    </row>
    <row r="11995" spans="1:15" ht="32" x14ac:dyDescent="0.2">
      <c r="A11995" s="7" t="str">
        <f>HYPERLINK("https://otsuka-europe-crm.veevavault.com/ui/#object/account__v/V4TZ00000633V1P", "SOPHIE MAYEUR")</f>
        <v>SOPHIE MAYEUR</v>
      </c>
      <c r="B11995" s="7" t="str">
        <f>HYPERLINK("https://otsuka-europe-crm.veevavault.com/ui/#object/vcountry__v/VENZ000004SONFA", "FR")</f>
        <v>FR</v>
      </c>
      <c r="C11995" s="8" t="s">
        <v>42</v>
      </c>
      <c r="D11995" s="9" t="str">
        <f>HYPERLINK("https://otsuka-europe-crm.veevavault.com/ui/#object/approved_document__v/V5OZ04ASG4G02Y6", "INVITATION_VAD_2023")</f>
        <v>INVITATION_VAD_2023</v>
      </c>
      <c r="E11995" s="10" t="str">
        <f>HYPERLINK("https://otsuka-europe-crm.veevavault.com/ui/#object/sent_email__v/VBL00000002V395", "SE-001437381")</f>
        <v>SE-001437381</v>
      </c>
      <c r="F11995" s="11"/>
      <c r="G11995" s="12">
        <v>0</v>
      </c>
      <c r="H11995" s="12">
        <v>0</v>
      </c>
      <c r="I11995" s="12">
        <v>0</v>
      </c>
      <c r="J11995" s="11"/>
      <c r="K11995" s="12">
        <v>0</v>
      </c>
      <c r="L11995" s="10" t="str">
        <f>HYPERLINK("https://otsuka-europe-crm.veevavault.com/ui/#object/approved_document__v/V5OZ04ASG4G02Y6", "INVITATION_VAD_2023")</f>
        <v>INVITATION_VAD_2023</v>
      </c>
      <c r="M11995" s="10" t="str">
        <f>HYPERLINK("mailto:cchevalliermiserole@crm.otsuka-europe.com", "cchevalliermiserole@crm.otsuka-europe.com")</f>
        <v>cchevalliermiserole@crm.otsuka-europe.com</v>
      </c>
      <c r="N11995" s="13">
        <v>46190.678229166668</v>
      </c>
      <c r="O11995" s="14" t="str">
        <f>HYPERLINK("https://otsuka-europe-crm.veevavault.com/ui/#object/email_activity__v/V8C00000003X908", "EN-002098443")</f>
        <v>EN-002098443</v>
      </c>
    </row>
    <row r="11996" spans="1:15" ht="32" x14ac:dyDescent="0.2">
      <c r="A11996" s="7" t="str">
        <f>HYPERLINK("https://otsuka-europe-crm.veevavault.com/ui/#object/account__v/V4T000000024083", "Carolyn Zierer")</f>
        <v>Carolyn Zierer</v>
      </c>
      <c r="B11996" s="7" t="str">
        <f>HYPERLINK("https://otsuka-europe-crm.veevavault.com/ui/#object/vcountry__v/VENZ000004SONFK", "GB")</f>
        <v>GB</v>
      </c>
      <c r="C11996" s="8" t="s">
        <v>39</v>
      </c>
      <c r="D11996" s="9" t="str">
        <f>HYPERLINK("https://otsuka-europe-crm.veevavault.com/ui/#object/approved_document__v/V5OZ025E82UYOBH", "Aripiprazole 300mg PFS Available VAE")</f>
        <v>Aripiprazole 300mg PFS Available VAE</v>
      </c>
      <c r="E11996" s="10" t="str">
        <f>HYPERLINK("https://otsuka-europe-crm.veevavault.com/ui/#object/sent_email__v/VBL00000002T552", "SE-001437382")</f>
        <v>SE-001437382</v>
      </c>
      <c r="F11996" s="11"/>
      <c r="G11996" s="12">
        <v>0</v>
      </c>
      <c r="H11996" s="12">
        <v>0</v>
      </c>
      <c r="I11996" s="12">
        <v>0</v>
      </c>
      <c r="J11996" s="11"/>
      <c r="K11996" s="12">
        <v>0</v>
      </c>
      <c r="L11996" s="10" t="str">
        <f>HYPERLINK("https://otsuka-europe-crm.veevavault.com/ui/#object/approved_document__v/V5OZ025E82UYOBH", "Aripiprazole 300mg PFS Available VAE")</f>
        <v>Aripiprazole 300mg PFS Available VAE</v>
      </c>
      <c r="M11996" s="10" t="str">
        <f>HYPERLINK("mailto:ldimambro@crm.otsuka-europe.com", "ldimambro@crm.otsuka-europe.com")</f>
        <v>ldimambro@crm.otsuka-europe.com</v>
      </c>
      <c r="N11996" s="13">
        <v>46190.683020833334</v>
      </c>
      <c r="O11996" s="14" t="str">
        <f>HYPERLINK("https://otsuka-europe-crm.veevavault.com/ui/#object/email_activity__v/V8C00000003W733", "EN-002098446")</f>
        <v>EN-002098446</v>
      </c>
    </row>
    <row r="11997" spans="1:15" ht="32" x14ac:dyDescent="0.2">
      <c r="A11997" s="7" t="str">
        <f>HYPERLINK("https://otsuka-europe-crm.veevavault.com/ui/#object/account__v/V4T000000024083", "Carolyn Zierer")</f>
        <v>Carolyn Zierer</v>
      </c>
      <c r="B11997" s="7" t="str">
        <f>HYPERLINK("https://otsuka-europe-crm.veevavault.com/ui/#object/vcountry__v/VENZ000004SONFK", "GB")</f>
        <v>GB</v>
      </c>
      <c r="C11997" s="8" t="s">
        <v>39</v>
      </c>
      <c r="D11997" s="9" t="str">
        <f>HYPERLINK("https://otsuka-europe-crm.veevavault.com/ui/#object/approved_document__v/V5OZ025E82TSZBI", "Aripiprazole 960mg Fragment VAE")</f>
        <v>Aripiprazole 960mg Fragment VAE</v>
      </c>
      <c r="E11997" s="10" t="str">
        <f>HYPERLINK("https://otsuka-europe-crm.veevavault.com/ui/#object/sent_email__v/VBL00000002T553", "SE-001437383")</f>
        <v>SE-001437383</v>
      </c>
      <c r="F11997" s="11"/>
      <c r="G11997" s="12">
        <v>0</v>
      </c>
      <c r="H11997" s="12">
        <v>0</v>
      </c>
      <c r="I11997" s="12">
        <v>0</v>
      </c>
      <c r="J11997" s="11"/>
      <c r="K11997" s="12">
        <v>0</v>
      </c>
      <c r="L11997" s="10" t="str">
        <f>HYPERLINK("https://otsuka-europe-crm.veevavault.com/ui/#object/approved_document__v/V5OZ025E82TSZBI", "Aripiprazole 960mg Fragment VAE")</f>
        <v>Aripiprazole 960mg Fragment VAE</v>
      </c>
      <c r="M11997" s="10" t="str">
        <f>HYPERLINK("mailto:ldimambro@crm.otsuka-europe.com", "ldimambro@crm.otsuka-europe.com")</f>
        <v>ldimambro@crm.otsuka-europe.com</v>
      </c>
      <c r="N11997" s="13">
        <v>46190.683368055557</v>
      </c>
      <c r="O11997" s="14" t="str">
        <f>HYPERLINK("https://otsuka-europe-crm.veevavault.com/ui/#object/email_activity__v/V8C00000003X909", "EN-002098447")</f>
        <v>EN-002098447</v>
      </c>
    </row>
    <row r="11998" spans="1:15" ht="48" x14ac:dyDescent="0.2">
      <c r="A11998" s="7" t="str">
        <f>HYPERLINK("https://otsuka-europe-crm.veevavault.com/ui/#object/account__v/V4TZ00000633K0W", "SOPHIE STREITH CORBINEAU")</f>
        <v>SOPHIE STREITH CORBINEAU</v>
      </c>
      <c r="B11998" s="7" t="str">
        <f>HYPERLINK("https://otsuka-europe-crm.veevavault.com/ui/#object/vcountry__v/VENZ000004SONFA", "FR")</f>
        <v>FR</v>
      </c>
      <c r="C11998" s="8" t="s">
        <v>42</v>
      </c>
      <c r="D11998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11998" s="10" t="str">
        <f>HYPERLINK("https://otsuka-europe-crm.veevavault.com/ui/#object/sent_email__v/VBL00000002V396", "SE-001437384")</f>
        <v>SE-001437384</v>
      </c>
      <c r="F11998" s="11"/>
      <c r="G11998" s="12">
        <v>0</v>
      </c>
      <c r="H11998" s="12">
        <v>0</v>
      </c>
      <c r="I11998" s="12">
        <v>0</v>
      </c>
      <c r="J11998" s="11"/>
      <c r="K11998" s="12">
        <v>0</v>
      </c>
      <c r="L11998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11998" s="10" t="str">
        <f>HYPERLINK("mailto:mperrin@crm.otsuka-europe.com", "mperrin@crm.otsuka-europe.com")</f>
        <v>mperrin@crm.otsuka-europe.com</v>
      </c>
      <c r="N11998" s="13">
        <v>46190.684201388889</v>
      </c>
      <c r="O11998" s="14" t="str">
        <f>HYPERLINK("https://otsuka-europe-crm.veevavault.com/ui/#object/email_activity__v/V8C00000003X910", "EN-002098448")</f>
        <v>EN-002098448</v>
      </c>
    </row>
    <row r="11999" spans="1:15" ht="32" x14ac:dyDescent="0.2">
      <c r="A11999" s="7" t="str">
        <f>HYPERLINK("https://otsuka-europe-crm.veevavault.com/ui/#object/account__v/V4TZ00000634COR", "DEDE ZANDIJI")</f>
        <v>DEDE ZANDIJI</v>
      </c>
      <c r="B11999" s="7" t="str">
        <f>HYPERLINK("https://otsuka-europe-crm.veevavault.com/ui/#object/vcountry__v/VENZ000004SONFA", "FR")</f>
        <v>FR</v>
      </c>
      <c r="C11999" s="8" t="s">
        <v>42</v>
      </c>
      <c r="D11999" s="9" t="str">
        <f>HYPERLINK("https://otsuka-europe-crm.veevavault.com/ui/#object/approved_document__v/V5O00000000P003", "FR-AM2-2500027")</f>
        <v>FR-AM2-2500027</v>
      </c>
      <c r="E11999" s="10" t="str">
        <f>HYPERLINK("https://otsuka-europe-crm.veevavault.com/ui/#object/sent_email__v/VBL00000002V397", "SE-001437385")</f>
        <v>SE-001437385</v>
      </c>
      <c r="F11999" s="11"/>
      <c r="G11999" s="12">
        <v>0</v>
      </c>
      <c r="H11999" s="12">
        <v>0</v>
      </c>
      <c r="I11999" s="12">
        <v>0</v>
      </c>
      <c r="J11999" s="11"/>
      <c r="K11999" s="12">
        <v>0</v>
      </c>
      <c r="L11999" s="10" t="str">
        <f>HYPERLINK("https://otsuka-europe-crm.veevavault.com/ui/#object/approved_document__v/V5O00000000P003", "FR-AM2-2500027")</f>
        <v>FR-AM2-2500027</v>
      </c>
      <c r="M11999" s="10" t="str">
        <f>HYPERLINK("mailto:sblancheland@crm.otsuka-europe.com", "sblancheland@crm.otsuka-europe.com")</f>
        <v>sblancheland@crm.otsuka-europe.com</v>
      </c>
      <c r="N11999" s="13">
        <v>46190.684895833336</v>
      </c>
      <c r="O11999" s="14" t="str">
        <f>HYPERLINK("https://otsuka-europe-crm.veevavault.com/ui/#object/email_activity__v/V8C00000003X911", "EN-002098449")</f>
        <v>EN-002098449</v>
      </c>
    </row>
    <row r="12000" spans="1:15" ht="16" x14ac:dyDescent="0.2">
      <c r="A12000" s="17" t="str">
        <f>HYPERLINK("https://otsuka-europe-crm.veevavault.com/ui/#object/account__v/V4TZ00000633KA3", "ESTHER CHAUGNE")</f>
        <v>ESTHER CHAUGNE</v>
      </c>
      <c r="B12000" s="17" t="str">
        <f>HYPERLINK("https://otsuka-europe-crm.veevavault.com/ui/#object/vcountry__v/VENZ000004SONFA", "FR")</f>
        <v>FR</v>
      </c>
      <c r="C12000" s="20" t="s">
        <v>42</v>
      </c>
      <c r="D12000" s="21" t="str">
        <f>HYPERLINK("https://otsuka-europe-crm.veevavault.com/ui/#object/approved_document__v/V5O00000000K003", "France - Opt In Email Aug 25 v2")</f>
        <v>France - Opt In Email Aug 25 v2</v>
      </c>
      <c r="E12000" s="22" t="str">
        <f>HYPERLINK("https://otsuka-europe-crm.veevavault.com/ui/#object/sent_email__v/VBL00000002V398", "SE-001437386")</f>
        <v>SE-001437386</v>
      </c>
      <c r="F12000" s="23">
        <v>46191.351342592592</v>
      </c>
      <c r="G12000" s="24">
        <v>1</v>
      </c>
      <c r="H12000" s="24">
        <v>1</v>
      </c>
      <c r="I12000" s="24">
        <v>0</v>
      </c>
      <c r="J12000" s="25"/>
      <c r="K12000" s="24">
        <v>0</v>
      </c>
      <c r="L12000" s="22" t="str">
        <f>HYPERLINK("https://otsuka-europe-crm.veevavault.com/ui/#object/approved_document__v/V5O00000000K003", "France - Opt In Email Aug 25 v2")</f>
        <v>France - Opt In Email Aug 25 v2</v>
      </c>
      <c r="M12000" s="22" t="str">
        <f>HYPERLINK("mailto:mperrin@crm.otsuka-europe.com", "mperrin@crm.otsuka-europe.com")</f>
        <v>mperrin@crm.otsuka-europe.com</v>
      </c>
      <c r="N12000" s="23">
        <v>46190.685474537036</v>
      </c>
      <c r="O12000" s="14" t="str">
        <f>HYPERLINK("https://otsuka-europe-crm.veevavault.com/ui/#object/email_activity__v/V8C00000003X912", "EN-002098450")</f>
        <v>EN-002098450</v>
      </c>
    </row>
    <row r="12001" spans="1:15" ht="16" x14ac:dyDescent="0.2">
      <c r="A12001" s="19"/>
      <c r="B12001" s="19"/>
      <c r="C12001" s="19"/>
      <c r="D12001" s="19"/>
      <c r="E12001" s="19"/>
      <c r="F12001" s="19"/>
      <c r="G12001" s="19"/>
      <c r="H12001" s="19"/>
      <c r="I12001" s="19"/>
      <c r="J12001" s="19"/>
      <c r="K12001" s="19"/>
      <c r="L12001" s="19"/>
      <c r="M12001" s="19"/>
      <c r="N12001" s="19"/>
      <c r="O12001" s="14" t="str">
        <f>HYPERLINK("https://otsuka-europe-crm.veevavault.com/ui/#object/email_activity__v/V8C00000003X970", "EN-002098538")</f>
        <v>EN-002098538</v>
      </c>
    </row>
    <row r="12002" spans="1:15" ht="32" x14ac:dyDescent="0.2">
      <c r="A12002" s="7" t="str">
        <f>HYPERLINK("https://otsuka-europe-crm.veevavault.com/ui/#object/account__v/V4T000000022028", "Claire Spinks")</f>
        <v>Claire Spinks</v>
      </c>
      <c r="B12002" s="7" t="str">
        <f>HYPERLINK("https://otsuka-europe-crm.veevavault.com/ui/#object/vcountry__v/VENZ000004SONFK", "GB")</f>
        <v>GB</v>
      </c>
      <c r="C12002" s="8" t="s">
        <v>39</v>
      </c>
      <c r="D12002" s="9" t="str">
        <f>HYPERLINK("https://otsuka-europe-crm.veevavault.com/ui/#object/approved_document__v/V5O00000000D081", "UK - Consent Email 1 Aug 25")</f>
        <v>UK - Consent Email 1 Aug 25</v>
      </c>
      <c r="E12002" s="10" t="str">
        <f>HYPERLINK("https://otsuka-europe-crm.veevavault.com/ui/#object/sent_email__v/VBL00000002V399", "SE-001437387")</f>
        <v>SE-001437387</v>
      </c>
      <c r="F12002" s="11"/>
      <c r="G12002" s="12">
        <v>0</v>
      </c>
      <c r="H12002" s="12">
        <v>0</v>
      </c>
      <c r="I12002" s="12">
        <v>0</v>
      </c>
      <c r="J12002" s="11"/>
      <c r="K12002" s="12">
        <v>0</v>
      </c>
      <c r="L12002" s="10" t="str">
        <f>HYPERLINK("https://otsuka-europe-crm.veevavault.com/ui/#object/approved_document__v/V5O00000000D081", "UK - Consent Email 1 Aug 25")</f>
        <v>UK - Consent Email 1 Aug 25</v>
      </c>
      <c r="M12002" s="10" t="str">
        <f>HYPERLINK("mailto:ldimambro@crm.otsuka-europe.com", "ldimambro@crm.otsuka-europe.com")</f>
        <v>ldimambro@crm.otsuka-europe.com</v>
      </c>
      <c r="N12002" s="13">
        <v>46190.686469907407</v>
      </c>
      <c r="O12002" s="14" t="str">
        <f>HYPERLINK("https://otsuka-europe-crm.veevavault.com/ui/#object/email_activity__v/V8C00000003X913", "EN-002098451")</f>
        <v>EN-002098451</v>
      </c>
    </row>
    <row r="12003" spans="1:15" ht="16" x14ac:dyDescent="0.2">
      <c r="A12003" s="17" t="str">
        <f>HYPERLINK("https://otsuka-europe-crm.veevavault.com/ui/#object/account__v/V4TZ00000633QUQ", "MONIQUE DELVINCOURT BARTHES")</f>
        <v>MONIQUE DELVINCOURT BARTHES</v>
      </c>
      <c r="B12003" s="17" t="str">
        <f>HYPERLINK("https://otsuka-europe-crm.veevavault.com/ui/#object/vcountry__v/VENZ000004SONFA", "FR")</f>
        <v>FR</v>
      </c>
      <c r="C12003" s="20" t="s">
        <v>42</v>
      </c>
      <c r="D12003" s="21" t="str">
        <f>HYPERLINK("https://otsuka-europe-crm.veevavault.com/ui/#object/approved_document__v/V5OZ04ASG4G02Y7", "REMERCIEMENTS_VAD_2023")</f>
        <v>REMERCIEMENTS_VAD_2023</v>
      </c>
      <c r="E12003" s="22" t="str">
        <f>HYPERLINK("https://otsuka-europe-crm.veevavault.com/ui/#object/sent_email__v/VBL00000002V400", "SE-001437388")</f>
        <v>SE-001437388</v>
      </c>
      <c r="F12003" s="23">
        <v>46191.851238425923</v>
      </c>
      <c r="G12003" s="24">
        <v>1</v>
      </c>
      <c r="H12003" s="24">
        <v>4</v>
      </c>
      <c r="I12003" s="24">
        <v>0</v>
      </c>
      <c r="J12003" s="25"/>
      <c r="K12003" s="24">
        <v>0</v>
      </c>
      <c r="L12003" s="22" t="str">
        <f>HYPERLINK("https://otsuka-europe-crm.veevavault.com/ui/#object/approved_document__v/V5OZ04ASG4G02Y7", "REMERCIEMENTS_VAD_2023")</f>
        <v>REMERCIEMENTS_VAD_2023</v>
      </c>
      <c r="M12003" s="22" t="str">
        <f>HYPERLINK("mailto:cchevalliermiserole@crm.otsuka-europe.com", "cchevalliermiserole@crm.otsuka-europe.com")</f>
        <v>cchevalliermiserole@crm.otsuka-europe.com</v>
      </c>
      <c r="N12003" s="23">
        <v>46191.340289351851</v>
      </c>
      <c r="O12003" s="14" t="str">
        <f>HYPERLINK("https://otsuka-europe-crm.veevavault.com/ui/#object/email_activity__v/V8C00000003W763", "EN-002098534")</f>
        <v>EN-002098534</v>
      </c>
    </row>
    <row r="12004" spans="1:15" ht="16" x14ac:dyDescent="0.2">
      <c r="A12004" s="18"/>
      <c r="B12004" s="18"/>
      <c r="C12004" s="18"/>
      <c r="D12004" s="18"/>
      <c r="E12004" s="18"/>
      <c r="F12004" s="18"/>
      <c r="G12004" s="18"/>
      <c r="H12004" s="18"/>
      <c r="I12004" s="18"/>
      <c r="J12004" s="18"/>
      <c r="K12004" s="18"/>
      <c r="L12004" s="18"/>
      <c r="M12004" s="18"/>
      <c r="N12004" s="18"/>
      <c r="O12004" s="14" t="str">
        <f>HYPERLINK("https://otsuka-europe-crm.veevavault.com/ui/#object/email_activity__v/V8C00000003X968", "EN-002098536")</f>
        <v>EN-002098536</v>
      </c>
    </row>
    <row r="12005" spans="1:15" ht="16" x14ac:dyDescent="0.2">
      <c r="A12005" s="18"/>
      <c r="B12005" s="18"/>
      <c r="C12005" s="18"/>
      <c r="D12005" s="18"/>
      <c r="E12005" s="18"/>
      <c r="F12005" s="18"/>
      <c r="G12005" s="18"/>
      <c r="H12005" s="18"/>
      <c r="I12005" s="18"/>
      <c r="J12005" s="18"/>
      <c r="K12005" s="18"/>
      <c r="L12005" s="18"/>
      <c r="M12005" s="18"/>
      <c r="N12005" s="18"/>
      <c r="O12005" s="14" t="str">
        <f>HYPERLINK("https://otsuka-europe-crm.veevavault.com/ui/#object/email_activity__v/V8C00000003X969", "EN-002098537")</f>
        <v>EN-002098537</v>
      </c>
    </row>
    <row r="12006" spans="1:15" ht="16" x14ac:dyDescent="0.2">
      <c r="A12006" s="18"/>
      <c r="B12006" s="18"/>
      <c r="C12006" s="18"/>
      <c r="D12006" s="18"/>
      <c r="E12006" s="18"/>
      <c r="F12006" s="18"/>
      <c r="G12006" s="18"/>
      <c r="H12006" s="18"/>
      <c r="I12006" s="18"/>
      <c r="J12006" s="18"/>
      <c r="K12006" s="18"/>
      <c r="L12006" s="18"/>
      <c r="M12006" s="18"/>
      <c r="N12006" s="18"/>
      <c r="O12006" s="14" t="str">
        <f>HYPERLINK("https://otsuka-europe-crm.veevavault.com/ui/#object/email_activity__v/V8C00000003Z023", "EN-002098686")</f>
        <v>EN-002098686</v>
      </c>
    </row>
    <row r="12007" spans="1:15" ht="16" x14ac:dyDescent="0.2">
      <c r="A12007" s="19"/>
      <c r="B12007" s="19"/>
      <c r="C12007" s="19"/>
      <c r="D12007" s="19"/>
      <c r="E12007" s="19"/>
      <c r="F12007" s="19"/>
      <c r="G12007" s="19"/>
      <c r="H12007" s="19"/>
      <c r="I12007" s="19"/>
      <c r="J12007" s="19"/>
      <c r="K12007" s="19"/>
      <c r="L12007" s="19"/>
      <c r="M12007" s="19"/>
      <c r="N12007" s="19"/>
      <c r="O12007" s="14" t="str">
        <f>HYPERLINK("https://otsuka-europe-crm.veevavault.com/ui/#object/email_activity__v/V8C000000042010", "EN-002099712")</f>
        <v>EN-002099712</v>
      </c>
    </row>
    <row r="12008" spans="1:15" ht="48" x14ac:dyDescent="0.2">
      <c r="A12008" s="7" t="str">
        <f>HYPERLINK("https://otsuka-europe-crm.veevavault.com/ui/#object/account__v/V4TZ00000633QUQ", "MONIQUE DELVINCOURT BARTHES")</f>
        <v>MONIQUE DELVINCOURT BARTHES</v>
      </c>
      <c r="B12008" s="7" t="str">
        <f>HYPERLINK("https://otsuka-europe-crm.veevavault.com/ui/#object/vcountry__v/VENZ000004SONFA", "FR")</f>
        <v>FR</v>
      </c>
      <c r="C12008" s="8" t="s">
        <v>42</v>
      </c>
      <c r="D12008" s="9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E12008" s="10" t="str">
        <f>HYPERLINK("https://otsuka-europe-crm.veevavault.com/ui/#object/sent_email__v/VBL00000002T554", "SE-001437389")</f>
        <v>SE-001437389</v>
      </c>
      <c r="F12008" s="11"/>
      <c r="G12008" s="12">
        <v>0</v>
      </c>
      <c r="H12008" s="12">
        <v>0</v>
      </c>
      <c r="I12008" s="12">
        <v>0</v>
      </c>
      <c r="J12008" s="11"/>
      <c r="K12008" s="12">
        <v>0</v>
      </c>
      <c r="L12008" s="10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M12008" s="10" t="str">
        <f>HYPERLINK("mailto:cchevalliermiserole@crm.otsuka-europe.com", "cchevalliermiserole@crm.otsuka-europe.com")</f>
        <v>cchevalliermiserole@crm.otsuka-europe.com</v>
      </c>
      <c r="N12008" s="13">
        <v>46192.967187499999</v>
      </c>
      <c r="O12008" s="14" t="str">
        <f>HYPERLINK("https://otsuka-europe-crm.veevavault.com/ui/#object/email_activity__v/V8C000000040093", "EN-002098868")</f>
        <v>EN-002098868</v>
      </c>
    </row>
    <row r="12009" spans="1:15" ht="16" x14ac:dyDescent="0.2">
      <c r="A12009" s="17" t="str">
        <f>HYPERLINK("https://otsuka-europe-crm.veevavault.com/ui/#object/account__v/V4T000000025079", "Russell Mackay")</f>
        <v>Russell Mackay</v>
      </c>
      <c r="B12009" s="17" t="str">
        <f>HYPERLINK("https://otsuka-europe-crm.veevavault.com/ui/#object/vcountry__v/VENZ000004SONFK", "GB")</f>
        <v>GB</v>
      </c>
      <c r="C12009" s="20" t="s">
        <v>39</v>
      </c>
      <c r="D12009" s="21" t="str">
        <f>HYPERLINK("https://otsuka-europe-crm.veevavault.com/ui/#object/approved_document__v/V5O00000000D081", "UK - Consent Email 1 Aug 25")</f>
        <v>UK - Consent Email 1 Aug 25</v>
      </c>
      <c r="E12009" s="22" t="str">
        <f>HYPERLINK("https://otsuka-europe-crm.veevavault.com/ui/#object/sent_email__v/VBL00000002T555", "SE-001437390")</f>
        <v>SE-001437390</v>
      </c>
      <c r="F12009" s="23">
        <v>46191.406770833331</v>
      </c>
      <c r="G12009" s="24">
        <v>1</v>
      </c>
      <c r="H12009" s="24">
        <v>1</v>
      </c>
      <c r="I12009" s="24">
        <v>1</v>
      </c>
      <c r="J12009" s="23">
        <v>46191.411180555559</v>
      </c>
      <c r="K12009" s="24">
        <v>1</v>
      </c>
      <c r="L12009" s="22" t="str">
        <f>HYPERLINK("https://otsuka-europe-crm.veevavault.com/ui/#object/approved_document__v/V5O00000000D081", "UK - Consent Email 1 Aug 25")</f>
        <v>UK - Consent Email 1 Aug 25</v>
      </c>
      <c r="M12009" s="22" t="str">
        <f>HYPERLINK("mailto:ldimambro@crm.otsuka-europe.com", "ldimambro@crm.otsuka-europe.com")</f>
        <v>ldimambro@crm.otsuka-europe.com</v>
      </c>
      <c r="N12009" s="23">
        <v>46191.406307870369</v>
      </c>
      <c r="O12009" s="14" t="str">
        <f>HYPERLINK("https://otsuka-europe-crm.veevavault.com/ui/#object/email_activity__v/V8C00000003W765", "EN-002098541")</f>
        <v>EN-002098541</v>
      </c>
    </row>
    <row r="12010" spans="1:15" ht="16" x14ac:dyDescent="0.2">
      <c r="A12010" s="18"/>
      <c r="B12010" s="18"/>
      <c r="C12010" s="18"/>
      <c r="D12010" s="18"/>
      <c r="E12010" s="18"/>
      <c r="F12010" s="18"/>
      <c r="G12010" s="18"/>
      <c r="H12010" s="18"/>
      <c r="I12010" s="18"/>
      <c r="J12010" s="18"/>
      <c r="K12010" s="18"/>
      <c r="L12010" s="18"/>
      <c r="M12010" s="18"/>
      <c r="N12010" s="18"/>
      <c r="O12010" s="14" t="str">
        <f>HYPERLINK("https://otsuka-europe-crm.veevavault.com/ui/#object/email_activity__v/V8C00000003X971", "EN-002098540")</f>
        <v>EN-002098540</v>
      </c>
    </row>
    <row r="12011" spans="1:15" ht="16" x14ac:dyDescent="0.2">
      <c r="A12011" s="19"/>
      <c r="B12011" s="19"/>
      <c r="C12011" s="19"/>
      <c r="D12011" s="19"/>
      <c r="E12011" s="19"/>
      <c r="F12011" s="19"/>
      <c r="G12011" s="19"/>
      <c r="H12011" s="19"/>
      <c r="I12011" s="19"/>
      <c r="J12011" s="19"/>
      <c r="K12011" s="19"/>
      <c r="L12011" s="19"/>
      <c r="M12011" s="19"/>
      <c r="N12011" s="19"/>
      <c r="O12011" s="14" t="str">
        <f>HYPERLINK("https://otsuka-europe-crm.veevavault.com/ui/#object/email_activity__v/V8C00000003X972", "EN-002098543")</f>
        <v>EN-002098543</v>
      </c>
    </row>
    <row r="12012" spans="1:15" ht="16" x14ac:dyDescent="0.2">
      <c r="A12012" s="17" t="str">
        <f>HYPERLINK("https://otsuka-europe-crm.veevavault.com/ui/#object/account__v/V4TZ0000062PKFF", "Claire McCartan")</f>
        <v>Claire McCartan</v>
      </c>
      <c r="B12012" s="17" t="str">
        <f>HYPERLINK("https://otsuka-europe-crm.veevavault.com/ui/#object/vcountry__v/VENZ000004SONFK", "GB")</f>
        <v>GB</v>
      </c>
      <c r="C12012" s="20" t="s">
        <v>39</v>
      </c>
      <c r="D12012" s="21" t="str">
        <f>HYPERLINK("https://otsuka-europe-crm.veevavault.com/ui/#object/approved_document__v/V5OZ025E82UYOBH", "Aripiprazole 300mg PFS Available VAE")</f>
        <v>Aripiprazole 300mg PFS Available VAE</v>
      </c>
      <c r="E12012" s="22" t="str">
        <f>HYPERLINK("https://otsuka-europe-crm.veevavault.com/ui/#object/sent_email__v/VBL00000002T556", "SE-001437391")</f>
        <v>SE-001437391</v>
      </c>
      <c r="F12012" s="23">
        <v>46192.546400462961</v>
      </c>
      <c r="G12012" s="24">
        <v>1</v>
      </c>
      <c r="H12012" s="24">
        <v>5</v>
      </c>
      <c r="I12012" s="24">
        <v>0</v>
      </c>
      <c r="J12012" s="25"/>
      <c r="K12012" s="24">
        <v>0</v>
      </c>
      <c r="L12012" s="22" t="str">
        <f>HYPERLINK("https://otsuka-europe-crm.veevavault.com/ui/#object/approved_document__v/V5OZ025E82UYOBH", "Aripiprazole 300mg PFS Available VAE")</f>
        <v>Aripiprazole 300mg PFS Available VAE</v>
      </c>
      <c r="M12012" s="22" t="str">
        <f>HYPERLINK("mailto:ldimambro@crm.otsuka-europe.com", "ldimambro@crm.otsuka-europe.com")</f>
        <v>ldimambro@crm.otsuka-europe.com</v>
      </c>
      <c r="N12012" s="23">
        <v>46191.42664351852</v>
      </c>
      <c r="O12012" s="14" t="str">
        <f>HYPERLINK("https://otsuka-europe-crm.veevavault.com/ui/#object/email_activity__v/V8C00000003W767", "EN-002098545")</f>
        <v>EN-002098545</v>
      </c>
    </row>
    <row r="12013" spans="1:15" ht="16" x14ac:dyDescent="0.2">
      <c r="A12013" s="18"/>
      <c r="B12013" s="18"/>
      <c r="C12013" s="18"/>
      <c r="D12013" s="18"/>
      <c r="E12013" s="18"/>
      <c r="F12013" s="18"/>
      <c r="G12013" s="18"/>
      <c r="H12013" s="18"/>
      <c r="I12013" s="18"/>
      <c r="J12013" s="18"/>
      <c r="K12013" s="18"/>
      <c r="L12013" s="18"/>
      <c r="M12013" s="18"/>
      <c r="N12013" s="18"/>
      <c r="O12013" s="14" t="str">
        <f>HYPERLINK("https://otsuka-europe-crm.veevavault.com/ui/#object/email_activity__v/V8C00000003W806", "EN-002098625")</f>
        <v>EN-002098625</v>
      </c>
    </row>
    <row r="12014" spans="1:15" ht="16" x14ac:dyDescent="0.2">
      <c r="A12014" s="18"/>
      <c r="B12014" s="18"/>
      <c r="C12014" s="18"/>
      <c r="D12014" s="18"/>
      <c r="E12014" s="18"/>
      <c r="F12014" s="18"/>
      <c r="G12014" s="18"/>
      <c r="H12014" s="18"/>
      <c r="I12014" s="18"/>
      <c r="J12014" s="18"/>
      <c r="K12014" s="18"/>
      <c r="L12014" s="18"/>
      <c r="M12014" s="18"/>
      <c r="N12014" s="18"/>
      <c r="O12014" s="14" t="str">
        <f>HYPERLINK("https://otsuka-europe-crm.veevavault.com/ui/#object/email_activity__v/V8C00000003Y016", "EN-002098626")</f>
        <v>EN-002098626</v>
      </c>
    </row>
    <row r="12015" spans="1:15" ht="16" x14ac:dyDescent="0.2">
      <c r="A12015" s="18"/>
      <c r="B12015" s="18"/>
      <c r="C12015" s="18"/>
      <c r="D12015" s="18"/>
      <c r="E12015" s="18"/>
      <c r="F12015" s="18"/>
      <c r="G12015" s="18"/>
      <c r="H12015" s="18"/>
      <c r="I12015" s="18"/>
      <c r="J12015" s="18"/>
      <c r="K12015" s="18"/>
      <c r="L12015" s="18"/>
      <c r="M12015" s="18"/>
      <c r="N12015" s="18"/>
      <c r="O12015" s="14" t="str">
        <f>HYPERLINK("https://otsuka-europe-crm.veevavault.com/ui/#object/email_activity__v/V8C00000003Y017", "EN-002098627")</f>
        <v>EN-002098627</v>
      </c>
    </row>
    <row r="12016" spans="1:15" ht="16" x14ac:dyDescent="0.2">
      <c r="A12016" s="18"/>
      <c r="B12016" s="18"/>
      <c r="C12016" s="18"/>
      <c r="D12016" s="18"/>
      <c r="E12016" s="18"/>
      <c r="F12016" s="18"/>
      <c r="G12016" s="18"/>
      <c r="H12016" s="18"/>
      <c r="I12016" s="18"/>
      <c r="J12016" s="18"/>
      <c r="K12016" s="18"/>
      <c r="L12016" s="18"/>
      <c r="M12016" s="18"/>
      <c r="N12016" s="18"/>
      <c r="O12016" s="14" t="str">
        <f>HYPERLINK("https://otsuka-europe-crm.veevavault.com/ui/#object/email_activity__v/V8C00000003Z078", "EN-002098781")</f>
        <v>EN-002098781</v>
      </c>
    </row>
    <row r="12017" spans="1:15" ht="16" x14ac:dyDescent="0.2">
      <c r="A12017" s="19"/>
      <c r="B12017" s="19"/>
      <c r="C12017" s="19"/>
      <c r="D12017" s="19"/>
      <c r="E12017" s="19"/>
      <c r="F12017" s="19"/>
      <c r="G12017" s="19"/>
      <c r="H12017" s="19"/>
      <c r="I12017" s="19"/>
      <c r="J12017" s="19"/>
      <c r="K12017" s="19"/>
      <c r="L12017" s="19"/>
      <c r="M12017" s="19"/>
      <c r="N12017" s="19"/>
      <c r="O12017" s="14" t="str">
        <f>HYPERLINK("https://otsuka-europe-crm.veevavault.com/ui/#object/email_activity__v/V8C00000003Z085", "EN-002098800")</f>
        <v>EN-002098800</v>
      </c>
    </row>
    <row r="12018" spans="1:15" ht="32" x14ac:dyDescent="0.2">
      <c r="A12018" s="7" t="str">
        <f>HYPERLINK("https://otsuka-europe-crm.veevavault.com/ui/#object/account__v/V4T000000025079", "Russell Mackay")</f>
        <v>Russell Mackay</v>
      </c>
      <c r="B12018" s="7" t="str">
        <f>HYPERLINK("https://otsuka-europe-crm.veevavault.com/ui/#object/vcountry__v/VENZ000004SONFK", "GB")</f>
        <v>GB</v>
      </c>
      <c r="C12018" s="8" t="s">
        <v>39</v>
      </c>
      <c r="D12018" s="9" t="str">
        <f>HYPERLINK("https://otsuka-europe-crm.veevavault.com/ui/#object/approved_document__v/V5OZ025E82UYOBH", "Aripiprazole 300mg PFS Available VAE")</f>
        <v>Aripiprazole 300mg PFS Available VAE</v>
      </c>
      <c r="E12018" s="10" t="str">
        <f>HYPERLINK("https://otsuka-europe-crm.veevavault.com/ui/#object/sent_email__v/VBL00000002T557", "SE-001437392")</f>
        <v>SE-001437392</v>
      </c>
      <c r="F12018" s="11"/>
      <c r="G12018" s="12">
        <v>0</v>
      </c>
      <c r="H12018" s="12">
        <v>0</v>
      </c>
      <c r="I12018" s="12">
        <v>0</v>
      </c>
      <c r="J12018" s="11"/>
      <c r="K12018" s="12">
        <v>0</v>
      </c>
      <c r="L12018" s="10" t="str">
        <f>HYPERLINK("https://otsuka-europe-crm.veevavault.com/ui/#object/approved_document__v/V5OZ025E82UYOBH", "Aripiprazole 300mg PFS Available VAE")</f>
        <v>Aripiprazole 300mg PFS Available VAE</v>
      </c>
      <c r="M12018" s="10" t="str">
        <f>HYPERLINK("mailto:ldimambro@crm.otsuka-europe.com", "ldimambro@crm.otsuka-europe.com")</f>
        <v>ldimambro@crm.otsuka-europe.com</v>
      </c>
      <c r="N12018" s="13">
        <v>46191.430821759262</v>
      </c>
      <c r="O12018" s="14" t="str">
        <f>HYPERLINK("https://otsuka-europe-crm.veevavault.com/ui/#object/email_activity__v/V8C00000003X974", "EN-002098546")</f>
        <v>EN-002098546</v>
      </c>
    </row>
    <row r="12019" spans="1:15" ht="16" x14ac:dyDescent="0.2">
      <c r="A12019" s="17" t="str">
        <f>HYPERLINK("https://otsuka-europe-crm.veevavault.com/ui/#object/account__v/V4TZ0000062PJXN", "Lee Griffiths")</f>
        <v>Lee Griffiths</v>
      </c>
      <c r="B12019" s="17" t="str">
        <f>HYPERLINK("https://otsuka-europe-crm.veevavault.com/ui/#object/vcountry__v/VENZ000004SONFK", "GB")</f>
        <v>GB</v>
      </c>
      <c r="C12019" s="20" t="s">
        <v>39</v>
      </c>
      <c r="D12019" s="21" t="str">
        <f>HYPERLINK("https://otsuka-europe-crm.veevavault.com/ui/#object/approved_document__v/V5OZ025E82UYOBH", "Aripiprazole 300mg PFS Available VAE")</f>
        <v>Aripiprazole 300mg PFS Available VAE</v>
      </c>
      <c r="E12019" s="22" t="str">
        <f>HYPERLINK("https://otsuka-europe-crm.veevavault.com/ui/#object/sent_email__v/VBL00000002T559", "SE-001437394")</f>
        <v>SE-001437394</v>
      </c>
      <c r="F12019" s="23">
        <v>46191.436226851853</v>
      </c>
      <c r="G12019" s="24">
        <v>1</v>
      </c>
      <c r="H12019" s="24">
        <v>1</v>
      </c>
      <c r="I12019" s="24">
        <v>0</v>
      </c>
      <c r="J12019" s="25"/>
      <c r="K12019" s="24">
        <v>0</v>
      </c>
      <c r="L12019" s="22" t="str">
        <f>HYPERLINK("https://otsuka-europe-crm.veevavault.com/ui/#object/approved_document__v/V5OZ025E82UYOBH", "Aripiprazole 300mg PFS Available VAE")</f>
        <v>Aripiprazole 300mg PFS Available VAE</v>
      </c>
      <c r="M12019" s="22" t="str">
        <f>HYPERLINK("mailto:ldimambro@crm.otsuka-europe.com", "ldimambro@crm.otsuka-europe.com")</f>
        <v>ldimambro@crm.otsuka-europe.com</v>
      </c>
      <c r="N12019" s="23">
        <v>46191.436064814814</v>
      </c>
      <c r="O12019" s="14" t="str">
        <f>HYPERLINK("https://otsuka-europe-crm.veevavault.com/ui/#object/email_activity__v/V8C00000003W768", "EN-002098547")</f>
        <v>EN-002098547</v>
      </c>
    </row>
    <row r="12020" spans="1:15" ht="16" x14ac:dyDescent="0.2">
      <c r="A12020" s="19"/>
      <c r="B12020" s="19"/>
      <c r="C12020" s="19"/>
      <c r="D12020" s="19"/>
      <c r="E12020" s="19"/>
      <c r="F12020" s="19"/>
      <c r="G12020" s="19"/>
      <c r="H12020" s="19"/>
      <c r="I12020" s="19"/>
      <c r="J12020" s="19"/>
      <c r="K12020" s="19"/>
      <c r="L12020" s="19"/>
      <c r="M12020" s="19"/>
      <c r="N12020" s="19"/>
      <c r="O12020" s="14" t="str">
        <f>HYPERLINK("https://otsuka-europe-crm.veevavault.com/ui/#object/email_activity__v/V8C00000003W769", "EN-002098548")</f>
        <v>EN-002098548</v>
      </c>
    </row>
    <row r="12021" spans="1:15" ht="32" x14ac:dyDescent="0.2">
      <c r="A12021" s="7" t="str">
        <f>HYPERLINK("https://otsuka-europe-crm.veevavault.com/ui/#object/account__v/V4TZ0000062PJXN", "Lee Griffiths")</f>
        <v>Lee Griffiths</v>
      </c>
      <c r="B12021" s="7" t="str">
        <f>HYPERLINK("https://otsuka-europe-crm.veevavault.com/ui/#object/vcountry__v/VENZ000004SONFK", "GB")</f>
        <v>GB</v>
      </c>
      <c r="C12021" s="8" t="s">
        <v>39</v>
      </c>
      <c r="D12021" s="9" t="str">
        <f>HYPERLINK("https://otsuka-europe-crm.veevavault.com/ui/#object/approved_document__v/V5OZ025E82TSZBI", "Aripiprazole 960mg Fragment VAE")</f>
        <v>Aripiprazole 960mg Fragment VAE</v>
      </c>
      <c r="E12021" s="10" t="str">
        <f>HYPERLINK("https://otsuka-europe-crm.veevavault.com/ui/#object/sent_email__v/VBL00000002T560", "SE-001437395")</f>
        <v>SE-001437395</v>
      </c>
      <c r="F12021" s="11"/>
      <c r="G12021" s="12">
        <v>0</v>
      </c>
      <c r="H12021" s="12">
        <v>0</v>
      </c>
      <c r="I12021" s="12">
        <v>0</v>
      </c>
      <c r="J12021" s="11"/>
      <c r="K12021" s="12">
        <v>0</v>
      </c>
      <c r="L12021" s="10" t="str">
        <f>HYPERLINK("https://otsuka-europe-crm.veevavault.com/ui/#object/approved_document__v/V5OZ025E82TSZBI", "Aripiprazole 960mg Fragment VAE")</f>
        <v>Aripiprazole 960mg Fragment VAE</v>
      </c>
      <c r="M12021" s="10" t="str">
        <f>HYPERLINK("mailto:ldimambro@crm.otsuka-europe.com", "ldimambro@crm.otsuka-europe.com")</f>
        <v>ldimambro@crm.otsuka-europe.com</v>
      </c>
      <c r="N12021" s="13">
        <v>46191.436307870368</v>
      </c>
      <c r="O12021" s="14" t="str">
        <f>HYPERLINK("https://otsuka-europe-crm.veevavault.com/ui/#object/email_activity__v/V8C00000003W770", "EN-002098549")</f>
        <v>EN-002098549</v>
      </c>
    </row>
    <row r="12022" spans="1:15" ht="16" x14ac:dyDescent="0.2">
      <c r="A12022" s="17" t="str">
        <f>HYPERLINK("https://otsuka-europe-crm.veevavault.com/ui/#object/account__v/V4TZ0000062PJXM", "Nathan Skyrme")</f>
        <v>Nathan Skyrme</v>
      </c>
      <c r="B12022" s="17" t="str">
        <f>HYPERLINK("https://otsuka-europe-crm.veevavault.com/ui/#object/vcountry__v/VENZ000004SONFK", "GB")</f>
        <v>GB</v>
      </c>
      <c r="C12022" s="20" t="s">
        <v>39</v>
      </c>
      <c r="D12022" s="21" t="str">
        <f>HYPERLINK("https://otsuka-europe-crm.veevavault.com/ui/#object/approved_document__v/V5O00000000D081", "UK - Consent Email 1 Aug 25")</f>
        <v>UK - Consent Email 1 Aug 25</v>
      </c>
      <c r="E12022" s="22" t="str">
        <f>HYPERLINK("https://otsuka-europe-crm.veevavault.com/ui/#object/sent_email__v/VBL00000002V401", "SE-001437396")</f>
        <v>SE-001437396</v>
      </c>
      <c r="F12022" s="23">
        <v>46191.463993055557</v>
      </c>
      <c r="G12022" s="24">
        <v>1</v>
      </c>
      <c r="H12022" s="24">
        <v>6</v>
      </c>
      <c r="I12022" s="24">
        <v>1</v>
      </c>
      <c r="J12022" s="23">
        <v>46191.454629629632</v>
      </c>
      <c r="K12022" s="24">
        <v>1</v>
      </c>
      <c r="L12022" s="22" t="str">
        <f>HYPERLINK("https://otsuka-europe-crm.veevavault.com/ui/#object/approved_document__v/V5O00000000D081", "UK - Consent Email 1 Aug 25")</f>
        <v>UK - Consent Email 1 Aug 25</v>
      </c>
      <c r="M12022" s="22" t="str">
        <f>HYPERLINK("mailto:ldimambro@crm.otsuka-europe.com", "ldimambro@crm.otsuka-europe.com")</f>
        <v>ldimambro@crm.otsuka-europe.com</v>
      </c>
      <c r="N12022" s="23">
        <v>46191.45417824074</v>
      </c>
      <c r="O12022" s="14" t="str">
        <f>HYPERLINK("https://otsuka-europe-crm.veevavault.com/ui/#object/email_activity__v/V8C00000003W771", "EN-002098555")</f>
        <v>EN-002098555</v>
      </c>
    </row>
    <row r="12023" spans="1:15" ht="16" x14ac:dyDescent="0.2">
      <c r="A12023" s="18"/>
      <c r="B12023" s="18"/>
      <c r="C12023" s="18"/>
      <c r="D12023" s="18"/>
      <c r="E12023" s="18"/>
      <c r="F12023" s="18"/>
      <c r="G12023" s="18"/>
      <c r="H12023" s="18"/>
      <c r="I12023" s="18"/>
      <c r="J12023" s="18"/>
      <c r="K12023" s="18"/>
      <c r="L12023" s="18"/>
      <c r="M12023" s="18"/>
      <c r="N12023" s="18"/>
      <c r="O12023" s="14" t="str">
        <f>HYPERLINK("https://otsuka-europe-crm.veevavault.com/ui/#object/email_activity__v/V8C00000003W787", "EN-002098576")</f>
        <v>EN-002098576</v>
      </c>
    </row>
    <row r="12024" spans="1:15" ht="16" x14ac:dyDescent="0.2">
      <c r="A12024" s="18"/>
      <c r="B12024" s="18"/>
      <c r="C12024" s="18"/>
      <c r="D12024" s="18"/>
      <c r="E12024" s="18"/>
      <c r="F12024" s="18"/>
      <c r="G12024" s="18"/>
      <c r="H12024" s="18"/>
      <c r="I12024" s="18"/>
      <c r="J12024" s="18"/>
      <c r="K12024" s="18"/>
      <c r="L12024" s="18"/>
      <c r="M12024" s="18"/>
      <c r="N12024" s="18"/>
      <c r="O12024" s="14" t="str">
        <f>HYPERLINK("https://otsuka-europe-crm.veevavault.com/ui/#object/email_activity__v/V8C00000003X975", "EN-002098550")</f>
        <v>EN-002098550</v>
      </c>
    </row>
    <row r="12025" spans="1:15" ht="16" x14ac:dyDescent="0.2">
      <c r="A12025" s="18"/>
      <c r="B12025" s="18"/>
      <c r="C12025" s="18"/>
      <c r="D12025" s="18"/>
      <c r="E12025" s="18"/>
      <c r="F12025" s="18"/>
      <c r="G12025" s="18"/>
      <c r="H12025" s="18"/>
      <c r="I12025" s="18"/>
      <c r="J12025" s="18"/>
      <c r="K12025" s="18"/>
      <c r="L12025" s="18"/>
      <c r="M12025" s="18"/>
      <c r="N12025" s="18"/>
      <c r="O12025" s="14" t="str">
        <f>HYPERLINK("https://otsuka-europe-crm.veevavault.com/ui/#object/email_activity__v/V8C00000003X976", "EN-002098551")</f>
        <v>EN-002098551</v>
      </c>
    </row>
    <row r="12026" spans="1:15" ht="16" x14ac:dyDescent="0.2">
      <c r="A12026" s="18"/>
      <c r="B12026" s="18"/>
      <c r="C12026" s="18"/>
      <c r="D12026" s="18"/>
      <c r="E12026" s="18"/>
      <c r="F12026" s="18"/>
      <c r="G12026" s="18"/>
      <c r="H12026" s="18"/>
      <c r="I12026" s="18"/>
      <c r="J12026" s="18"/>
      <c r="K12026" s="18"/>
      <c r="L12026" s="18"/>
      <c r="M12026" s="18"/>
      <c r="N12026" s="18"/>
      <c r="O12026" s="14" t="str">
        <f>HYPERLINK("https://otsuka-europe-crm.veevavault.com/ui/#object/email_activity__v/V8C00000003X977", "EN-002098552")</f>
        <v>EN-002098552</v>
      </c>
    </row>
    <row r="12027" spans="1:15" ht="16" x14ac:dyDescent="0.2">
      <c r="A12027" s="18"/>
      <c r="B12027" s="18"/>
      <c r="C12027" s="18"/>
      <c r="D12027" s="18"/>
      <c r="E12027" s="18"/>
      <c r="F12027" s="18"/>
      <c r="G12027" s="18"/>
      <c r="H12027" s="18"/>
      <c r="I12027" s="18"/>
      <c r="J12027" s="18"/>
      <c r="K12027" s="18"/>
      <c r="L12027" s="18"/>
      <c r="M12027" s="18"/>
      <c r="N12027" s="18"/>
      <c r="O12027" s="14" t="str">
        <f>HYPERLINK("https://otsuka-europe-crm.veevavault.com/ui/#object/email_activity__v/V8C00000003X978", "EN-002098553")</f>
        <v>EN-002098553</v>
      </c>
    </row>
    <row r="12028" spans="1:15" ht="16" x14ac:dyDescent="0.2">
      <c r="A12028" s="18"/>
      <c r="B12028" s="18"/>
      <c r="C12028" s="18"/>
      <c r="D12028" s="18"/>
      <c r="E12028" s="18"/>
      <c r="F12028" s="18"/>
      <c r="G12028" s="18"/>
      <c r="H12028" s="18"/>
      <c r="I12028" s="18"/>
      <c r="J12028" s="18"/>
      <c r="K12028" s="18"/>
      <c r="L12028" s="18"/>
      <c r="M12028" s="18"/>
      <c r="N12028" s="18"/>
      <c r="O12028" s="14" t="str">
        <f>HYPERLINK("https://otsuka-europe-crm.veevavault.com/ui/#object/email_activity__v/V8C00000003X979", "EN-002098554")</f>
        <v>EN-002098554</v>
      </c>
    </row>
    <row r="12029" spans="1:15" ht="16" x14ac:dyDescent="0.2">
      <c r="A12029" s="19"/>
      <c r="B12029" s="19"/>
      <c r="C12029" s="19"/>
      <c r="D12029" s="19"/>
      <c r="E12029" s="19"/>
      <c r="F12029" s="19"/>
      <c r="G12029" s="19"/>
      <c r="H12029" s="19"/>
      <c r="I12029" s="19"/>
      <c r="J12029" s="19"/>
      <c r="K12029" s="19"/>
      <c r="L12029" s="19"/>
      <c r="M12029" s="19"/>
      <c r="N12029" s="19"/>
      <c r="O12029" s="14" t="str">
        <f>HYPERLINK("https://otsuka-europe-crm.veevavault.com/ui/#object/email_activity__v/V8C00000003X984", "EN-002098575")</f>
        <v>EN-002098575</v>
      </c>
    </row>
    <row r="12030" spans="1:15" ht="16" x14ac:dyDescent="0.2">
      <c r="A12030" s="17" t="str">
        <f>HYPERLINK("https://otsuka-europe-crm.veevavault.com/ui/#object/account__v/V4TZ06G6O71TA4F", "CARLOS JAVIER GARCIA BRIÑOL")</f>
        <v>CARLOS JAVIER GARCIA BRIÑOL</v>
      </c>
      <c r="B12030" s="17" t="str">
        <f>HYPERLINK("https://otsuka-europe-crm.veevavault.com/ui/#object/vcountry__v/VENZ000004SONF5", "ES")</f>
        <v>ES</v>
      </c>
      <c r="C12030" s="20" t="s">
        <v>41</v>
      </c>
      <c r="D12030" s="21" t="str">
        <f>HYPERLINK("https://otsuka-europe-crm.veevavault.com/ui/#object/approved_document__v/V5O00000001H004", "Save the date X Jornada UHB 2026")</f>
        <v>Save the date X Jornada UHB 2026</v>
      </c>
      <c r="E12030" s="22" t="str">
        <f>HYPERLINK("https://otsuka-europe-crm.veevavault.com/ui/#object/sent_email__v/VBL00000002V402", "SE-001437397")</f>
        <v>SE-001437397</v>
      </c>
      <c r="F12030" s="23">
        <v>46192.459479166668</v>
      </c>
      <c r="G12030" s="24">
        <v>1</v>
      </c>
      <c r="H12030" s="24">
        <v>2</v>
      </c>
      <c r="I12030" s="24">
        <v>0</v>
      </c>
      <c r="J12030" s="25"/>
      <c r="K12030" s="24">
        <v>0</v>
      </c>
      <c r="L12030" s="22" t="str">
        <f>HYPERLINK("https://otsuka-europe-crm.veevavault.com/ui/#object/approved_document__v/V5O00000001H004", "Save the date X Jornada UHB 2026")</f>
        <v>Save the date X Jornada UHB 2026</v>
      </c>
      <c r="M12030" s="22" t="str">
        <f>HYPERLINK("mailto:sseco@crm.otsuka-europe.com", "sseco@crm.otsuka-europe.com")</f>
        <v>sseco@crm.otsuka-europe.com</v>
      </c>
      <c r="N12030" s="23">
        <v>46191.459976851853</v>
      </c>
      <c r="O12030" s="14" t="str">
        <f>HYPERLINK("https://otsuka-europe-crm.veevavault.com/ui/#object/email_activity__v/V8C00000003W785", "EN-002098570")</f>
        <v>EN-002098570</v>
      </c>
    </row>
    <row r="12031" spans="1:15" ht="16" x14ac:dyDescent="0.2">
      <c r="A12031" s="18"/>
      <c r="B12031" s="18"/>
      <c r="C12031" s="18"/>
      <c r="D12031" s="18"/>
      <c r="E12031" s="18"/>
      <c r="F12031" s="18"/>
      <c r="G12031" s="18"/>
      <c r="H12031" s="18"/>
      <c r="I12031" s="18"/>
      <c r="J12031" s="18"/>
      <c r="K12031" s="18"/>
      <c r="L12031" s="18"/>
      <c r="M12031" s="18"/>
      <c r="N12031" s="18"/>
      <c r="O12031" s="14" t="str">
        <f>HYPERLINK("https://otsuka-europe-crm.veevavault.com/ui/#object/email_activity__v/V8C00000003X980", "EN-002098556")</f>
        <v>EN-002098556</v>
      </c>
    </row>
    <row r="12032" spans="1:15" ht="16" x14ac:dyDescent="0.2">
      <c r="A12032" s="19"/>
      <c r="B12032" s="19"/>
      <c r="C12032" s="19"/>
      <c r="D12032" s="19"/>
      <c r="E12032" s="19"/>
      <c r="F12032" s="19"/>
      <c r="G12032" s="19"/>
      <c r="H12032" s="19"/>
      <c r="I12032" s="19"/>
      <c r="J12032" s="19"/>
      <c r="K12032" s="19"/>
      <c r="L12032" s="19"/>
      <c r="M12032" s="19"/>
      <c r="N12032" s="19"/>
      <c r="O12032" s="14" t="str">
        <f>HYPERLINK("https://otsuka-europe-crm.veevavault.com/ui/#object/email_activity__v/V8C000000040042", "EN-002098780")</f>
        <v>EN-002098780</v>
      </c>
    </row>
    <row r="12033" spans="1:15" ht="32" x14ac:dyDescent="0.2">
      <c r="A12033" s="7" t="str">
        <f>HYPERLINK("https://otsuka-europe-crm.veevavault.com/ui/#object/account__v/V4TZ06G6O71TBHX", "JOSE MANUEL PEÑALVER MELLADO")</f>
        <v>JOSE MANUEL PEÑALVER MELLADO</v>
      </c>
      <c r="B12033" s="7" t="str">
        <f>HYPERLINK("https://otsuka-europe-crm.veevavault.com/ui/#object/vcountry__v/VENZ000004SONF5", "ES")</f>
        <v>ES</v>
      </c>
      <c r="C12033" s="8" t="s">
        <v>41</v>
      </c>
      <c r="D12033" s="9" t="str">
        <f>HYPERLINK("https://otsuka-europe-crm.veevavault.com/ui/#object/approved_document__v/V5O00000001H004", "Save the date X Jornada UHB 2026")</f>
        <v>Save the date X Jornada UHB 2026</v>
      </c>
      <c r="E12033" s="10" t="str">
        <f>HYPERLINK("https://otsuka-europe-crm.veevavault.com/ui/#object/sent_email__v/VBL00000002V403", "SE-001437398")</f>
        <v>SE-001437398</v>
      </c>
      <c r="F12033" s="11"/>
      <c r="G12033" s="12">
        <v>0</v>
      </c>
      <c r="H12033" s="12">
        <v>0</v>
      </c>
      <c r="I12033" s="12">
        <v>0</v>
      </c>
      <c r="J12033" s="11"/>
      <c r="K12033" s="12">
        <v>0</v>
      </c>
      <c r="L12033" s="10" t="str">
        <f>HYPERLINK("https://otsuka-europe-crm.veevavault.com/ui/#object/approved_document__v/V5O00000001H004", "Save the date X Jornada UHB 2026")</f>
        <v>Save the date X Jornada UHB 2026</v>
      </c>
      <c r="M12033" s="10" t="str">
        <f>HYPERLINK("mailto:sseco@crm.otsuka-europe.com", "sseco@crm.otsuka-europe.com")</f>
        <v>sseco@crm.otsuka-europe.com</v>
      </c>
      <c r="N12033" s="13">
        <v>46191.459976851853</v>
      </c>
      <c r="O12033" s="14" t="str">
        <f>HYPERLINK("https://otsuka-europe-crm.veevavault.com/ui/#object/email_activity__v/V8C00000003W772", "EN-002098557")</f>
        <v>EN-002098557</v>
      </c>
    </row>
    <row r="12034" spans="1:15" ht="16" x14ac:dyDescent="0.2">
      <c r="A12034" s="17" t="str">
        <f>HYPERLINK("https://otsuka-europe-crm.veevavault.com/ui/#object/account__v/V4TZ06G6O8KYUZL", "PEDRO POZO ALEMAN")</f>
        <v>PEDRO POZO ALEMAN</v>
      </c>
      <c r="B12034" s="17" t="str">
        <f>HYPERLINK("https://otsuka-europe-crm.veevavault.com/ui/#object/vcountry__v/VENZ000004SONF5", "ES")</f>
        <v>ES</v>
      </c>
      <c r="C12034" s="20" t="s">
        <v>41</v>
      </c>
      <c r="D12034" s="21" t="str">
        <f>HYPERLINK("https://otsuka-europe-crm.veevavault.com/ui/#object/approved_document__v/V5O00000001H004", "Save the date X Jornada UHB 2026")</f>
        <v>Save the date X Jornada UHB 2026</v>
      </c>
      <c r="E12034" s="22" t="str">
        <f>HYPERLINK("https://otsuka-europe-crm.veevavault.com/ui/#object/sent_email__v/VBL00000002V404", "SE-001437399")</f>
        <v>SE-001437399</v>
      </c>
      <c r="F12034" s="23">
        <v>46191.566354166665</v>
      </c>
      <c r="G12034" s="24">
        <v>1</v>
      </c>
      <c r="H12034" s="24">
        <v>3</v>
      </c>
      <c r="I12034" s="24">
        <v>0</v>
      </c>
      <c r="J12034" s="25"/>
      <c r="K12034" s="24">
        <v>0</v>
      </c>
      <c r="L12034" s="22" t="str">
        <f>HYPERLINK("https://otsuka-europe-crm.veevavault.com/ui/#object/approved_document__v/V5O00000001H004", "Save the date X Jornada UHB 2026")</f>
        <v>Save the date X Jornada UHB 2026</v>
      </c>
      <c r="M12034" s="22" t="str">
        <f>HYPERLINK("mailto:sseco@crm.otsuka-europe.com", "sseco@crm.otsuka-europe.com")</f>
        <v>sseco@crm.otsuka-europe.com</v>
      </c>
      <c r="N12034" s="23">
        <v>46191.459988425922</v>
      </c>
      <c r="O12034" s="14" t="str">
        <f>HYPERLINK("https://otsuka-europe-crm.veevavault.com/ui/#object/email_activity__v/V8C00000003W773", "EN-002098558")</f>
        <v>EN-002098558</v>
      </c>
    </row>
    <row r="12035" spans="1:15" ht="16" x14ac:dyDescent="0.2">
      <c r="A12035" s="18"/>
      <c r="B12035" s="18"/>
      <c r="C12035" s="18"/>
      <c r="D12035" s="18"/>
      <c r="E12035" s="18"/>
      <c r="F12035" s="18"/>
      <c r="G12035" s="18"/>
      <c r="H12035" s="18"/>
      <c r="I12035" s="18"/>
      <c r="J12035" s="18"/>
      <c r="K12035" s="18"/>
      <c r="L12035" s="18"/>
      <c r="M12035" s="18"/>
      <c r="N12035" s="18"/>
      <c r="O12035" s="14" t="str">
        <f>HYPERLINK("https://otsuka-europe-crm.veevavault.com/ui/#object/email_activity__v/V8C00000003X982", "EN-002098572")</f>
        <v>EN-002098572</v>
      </c>
    </row>
    <row r="12036" spans="1:15" ht="16" x14ac:dyDescent="0.2">
      <c r="A12036" s="18"/>
      <c r="B12036" s="18"/>
      <c r="C12036" s="18"/>
      <c r="D12036" s="18"/>
      <c r="E12036" s="18"/>
      <c r="F12036" s="18"/>
      <c r="G12036" s="18"/>
      <c r="H12036" s="18"/>
      <c r="I12036" s="18"/>
      <c r="J12036" s="18"/>
      <c r="K12036" s="18"/>
      <c r="L12036" s="18"/>
      <c r="M12036" s="18"/>
      <c r="N12036" s="18"/>
      <c r="O12036" s="14" t="str">
        <f>HYPERLINK("https://otsuka-europe-crm.veevavault.com/ui/#object/email_activity__v/V8C00000003X983", "EN-002098574")</f>
        <v>EN-002098574</v>
      </c>
    </row>
    <row r="12037" spans="1:15" ht="16" x14ac:dyDescent="0.2">
      <c r="A12037" s="18"/>
      <c r="B12037" s="18"/>
      <c r="C12037" s="18"/>
      <c r="D12037" s="18"/>
      <c r="E12037" s="18"/>
      <c r="F12037" s="18"/>
      <c r="G12037" s="18"/>
      <c r="H12037" s="18"/>
      <c r="I12037" s="18"/>
      <c r="J12037" s="18"/>
      <c r="K12037" s="18"/>
      <c r="L12037" s="18"/>
      <c r="M12037" s="18"/>
      <c r="N12037" s="18"/>
      <c r="O12037" s="14" t="str">
        <f>HYPERLINK("https://otsuka-europe-crm.veevavault.com/ui/#object/email_activity__v/V8C00000003Y005", "EN-002098608")</f>
        <v>EN-002098608</v>
      </c>
    </row>
    <row r="12038" spans="1:15" ht="16" x14ac:dyDescent="0.2">
      <c r="A12038" s="19"/>
      <c r="B12038" s="19"/>
      <c r="C12038" s="19"/>
      <c r="D12038" s="19"/>
      <c r="E12038" s="19"/>
      <c r="F12038" s="19"/>
      <c r="G12038" s="19"/>
      <c r="H12038" s="19"/>
      <c r="I12038" s="19"/>
      <c r="J12038" s="19"/>
      <c r="K12038" s="19"/>
      <c r="L12038" s="19"/>
      <c r="M12038" s="19"/>
      <c r="N12038" s="19"/>
      <c r="O12038" s="14" t="str">
        <f>HYPERLINK("https://otsuka-europe-crm.veevavault.com/ui/#object/email_activity__v/V8C00000003Z008", "EN-002098670")</f>
        <v>EN-002098670</v>
      </c>
    </row>
    <row r="12039" spans="1:15" ht="16" x14ac:dyDescent="0.2">
      <c r="A12039" s="17" t="str">
        <f>HYPERLINK("https://otsuka-europe-crm.veevavault.com/ui/#object/account__v/V4TZ06G6O71T74I", "ALICIA MARTINEZ ROMERO")</f>
        <v>ALICIA MARTINEZ ROMERO</v>
      </c>
      <c r="B12039" s="17" t="str">
        <f>HYPERLINK("https://otsuka-europe-crm.veevavault.com/ui/#object/vcountry__v/VENZ000004SONF5", "ES")</f>
        <v>ES</v>
      </c>
      <c r="C12039" s="20" t="s">
        <v>41</v>
      </c>
      <c r="D12039" s="21" t="str">
        <f>HYPERLINK("https://otsuka-europe-crm.veevavault.com/ui/#object/approved_document__v/V5O00000001H004", "Save the date X Jornada UHB 2026")</f>
        <v>Save the date X Jornada UHB 2026</v>
      </c>
      <c r="E12039" s="22" t="str">
        <f>HYPERLINK("https://otsuka-europe-crm.veevavault.com/ui/#object/sent_email__v/VBL00000002V405", "SE-001437400")</f>
        <v>SE-001437400</v>
      </c>
      <c r="F12039" s="25"/>
      <c r="G12039" s="24">
        <v>0</v>
      </c>
      <c r="H12039" s="24">
        <v>0</v>
      </c>
      <c r="I12039" s="24">
        <v>0</v>
      </c>
      <c r="J12039" s="25"/>
      <c r="K12039" s="24">
        <v>0</v>
      </c>
      <c r="L12039" s="22" t="str">
        <f>HYPERLINK("https://otsuka-europe-crm.veevavault.com/ui/#object/approved_document__v/V5O00000001H004", "Save the date X Jornada UHB 2026")</f>
        <v>Save the date X Jornada UHB 2026</v>
      </c>
      <c r="M12039" s="22" t="str">
        <f>HYPERLINK("mailto:sseco@crm.otsuka-europe.com", "sseco@crm.otsuka-europe.com")</f>
        <v>sseco@crm.otsuka-europe.com</v>
      </c>
      <c r="N12039" s="23">
        <v>46191.459988425922</v>
      </c>
      <c r="O12039" s="14" t="str">
        <f>HYPERLINK("https://otsuka-europe-crm.veevavault.com/ui/#object/email_activity__v/V8C00000003W774", "EN-002098559")</f>
        <v>EN-002098559</v>
      </c>
    </row>
    <row r="12040" spans="1:15" ht="16" x14ac:dyDescent="0.2">
      <c r="A12040" s="19"/>
      <c r="B12040" s="19"/>
      <c r="C12040" s="19"/>
      <c r="D12040" s="19"/>
      <c r="E12040" s="19"/>
      <c r="F12040" s="19"/>
      <c r="G12040" s="19"/>
      <c r="H12040" s="19"/>
      <c r="I12040" s="19"/>
      <c r="J12040" s="19"/>
      <c r="K12040" s="19"/>
      <c r="L12040" s="19"/>
      <c r="M12040" s="19"/>
      <c r="N12040" s="19"/>
      <c r="O12040" s="14" t="str">
        <f>HYPERLINK("https://otsuka-europe-crm.veevavault.com/ui/#object/email_activity__v/V8C000000040076", "EN-002098837")</f>
        <v>EN-002098837</v>
      </c>
    </row>
    <row r="12041" spans="1:15" ht="32" x14ac:dyDescent="0.2">
      <c r="A12041" s="7" t="str">
        <f>HYPERLINK("https://otsuka-europe-crm.veevavault.com/ui/#object/account__v/V4TZ06G6O71UQQK", "ANGELA LOURDES MARTIN PEREZ")</f>
        <v>ANGELA LOURDES MARTIN PEREZ</v>
      </c>
      <c r="B12041" s="7" t="str">
        <f>HYPERLINK("https://otsuka-europe-crm.veevavault.com/ui/#object/vcountry__v/VENZ000004SONF5", "ES")</f>
        <v>ES</v>
      </c>
      <c r="C12041" s="8" t="s">
        <v>41</v>
      </c>
      <c r="D12041" s="9" t="str">
        <f>HYPERLINK("https://otsuka-europe-crm.veevavault.com/ui/#object/approved_document__v/V5O00000001H004", "Save the date X Jornada UHB 2026")</f>
        <v>Save the date X Jornada UHB 2026</v>
      </c>
      <c r="E12041" s="10" t="str">
        <f>HYPERLINK("https://otsuka-europe-crm.veevavault.com/ui/#object/sent_email__v/VBL00000002V406", "SE-001437401")</f>
        <v>SE-001437401</v>
      </c>
      <c r="F12041" s="11"/>
      <c r="G12041" s="12">
        <v>0</v>
      </c>
      <c r="H12041" s="12">
        <v>0</v>
      </c>
      <c r="I12041" s="12">
        <v>0</v>
      </c>
      <c r="J12041" s="11"/>
      <c r="K12041" s="12">
        <v>0</v>
      </c>
      <c r="L12041" s="10" t="str">
        <f>HYPERLINK("https://otsuka-europe-crm.veevavault.com/ui/#object/approved_document__v/V5O00000001H004", "Save the date X Jornada UHB 2026")</f>
        <v>Save the date X Jornada UHB 2026</v>
      </c>
      <c r="M12041" s="10" t="str">
        <f>HYPERLINK("mailto:sseco@crm.otsuka-europe.com", "sseco@crm.otsuka-europe.com")</f>
        <v>sseco@crm.otsuka-europe.com</v>
      </c>
      <c r="N12041" s="13">
        <v>46191.459988425922</v>
      </c>
      <c r="O12041" s="14" t="str">
        <f>HYPERLINK("https://otsuka-europe-crm.veevavault.com/ui/#object/email_activity__v/V8C00000003W780", "EN-002098565")</f>
        <v>EN-002098565</v>
      </c>
    </row>
    <row r="12042" spans="1:15" ht="16" x14ac:dyDescent="0.2">
      <c r="A12042" s="17" t="str">
        <f>HYPERLINK("https://otsuka-europe-crm.veevavault.com/ui/#object/account__v/V4TZ06G6O71UQQJ", "MARIA ASUNCION CUTILLAS FERNANDEZ")</f>
        <v>MARIA ASUNCION CUTILLAS FERNANDEZ</v>
      </c>
      <c r="B12042" s="17" t="str">
        <f>HYPERLINK("https://otsuka-europe-crm.veevavault.com/ui/#object/vcountry__v/VENZ000004SONF5", "ES")</f>
        <v>ES</v>
      </c>
      <c r="C12042" s="20" t="s">
        <v>41</v>
      </c>
      <c r="D12042" s="21" t="str">
        <f>HYPERLINK("https://otsuka-europe-crm.veevavault.com/ui/#object/approved_document__v/V5O00000001H004", "Save the date X Jornada UHB 2026")</f>
        <v>Save the date X Jornada UHB 2026</v>
      </c>
      <c r="E12042" s="22" t="str">
        <f>HYPERLINK("https://otsuka-europe-crm.veevavault.com/ui/#object/sent_email__v/VBL00000002V407", "SE-001437402")</f>
        <v>SE-001437402</v>
      </c>
      <c r="F12042" s="23">
        <v>46191.641585648147</v>
      </c>
      <c r="G12042" s="24">
        <v>1</v>
      </c>
      <c r="H12042" s="24">
        <v>2</v>
      </c>
      <c r="I12042" s="24">
        <v>0</v>
      </c>
      <c r="J12042" s="25"/>
      <c r="K12042" s="24">
        <v>0</v>
      </c>
      <c r="L12042" s="22" t="str">
        <f>HYPERLINK("https://otsuka-europe-crm.veevavault.com/ui/#object/approved_document__v/V5O00000001H004", "Save the date X Jornada UHB 2026")</f>
        <v>Save the date X Jornada UHB 2026</v>
      </c>
      <c r="M12042" s="22" t="str">
        <f>HYPERLINK("mailto:sseco@crm.otsuka-europe.com", "sseco@crm.otsuka-europe.com")</f>
        <v>sseco@crm.otsuka-europe.com</v>
      </c>
      <c r="N12042" s="23">
        <v>46191.459988425922</v>
      </c>
      <c r="O12042" s="14" t="str">
        <f>HYPERLINK("https://otsuka-europe-crm.veevavault.com/ui/#object/email_activity__v/V8C00000003W781", "EN-002098566")</f>
        <v>EN-002098566</v>
      </c>
    </row>
    <row r="12043" spans="1:15" ht="16" x14ac:dyDescent="0.2">
      <c r="A12043" s="18"/>
      <c r="B12043" s="18"/>
      <c r="C12043" s="18"/>
      <c r="D12043" s="18"/>
      <c r="E12043" s="18"/>
      <c r="F12043" s="18"/>
      <c r="G12043" s="18"/>
      <c r="H12043" s="18"/>
      <c r="I12043" s="18"/>
      <c r="J12043" s="18"/>
      <c r="K12043" s="18"/>
      <c r="L12043" s="18"/>
      <c r="M12043" s="18"/>
      <c r="N12043" s="18"/>
      <c r="O12043" s="14" t="str">
        <f>HYPERLINK("https://otsuka-europe-crm.veevavault.com/ui/#object/email_activity__v/V8C00000003W786", "EN-002098573")</f>
        <v>EN-002098573</v>
      </c>
    </row>
    <row r="12044" spans="1:15" ht="16" x14ac:dyDescent="0.2">
      <c r="A12044" s="19"/>
      <c r="B12044" s="19"/>
      <c r="C12044" s="19"/>
      <c r="D12044" s="19"/>
      <c r="E12044" s="19"/>
      <c r="F12044" s="19"/>
      <c r="G12044" s="19"/>
      <c r="H12044" s="19"/>
      <c r="I12044" s="19"/>
      <c r="J12044" s="19"/>
      <c r="K12044" s="19"/>
      <c r="L12044" s="19"/>
      <c r="M12044" s="19"/>
      <c r="N12044" s="19"/>
      <c r="O12044" s="14" t="str">
        <f>HYPERLINK("https://otsuka-europe-crm.veevavault.com/ui/#object/email_activity__v/V8C00000003W812", "EN-002098635")</f>
        <v>EN-002098635</v>
      </c>
    </row>
    <row r="12045" spans="1:15" ht="16" x14ac:dyDescent="0.2">
      <c r="A12045" s="17" t="str">
        <f>HYPERLINK("https://otsuka-europe-crm.veevavault.com/ui/#object/account__v/V4TZ06G6O71T8NT", "ELADIO APARICIO CASTRO")</f>
        <v>ELADIO APARICIO CASTRO</v>
      </c>
      <c r="B12045" s="17" t="str">
        <f>HYPERLINK("https://otsuka-europe-crm.veevavault.com/ui/#object/vcountry__v/VENZ000004SONF5", "ES")</f>
        <v>ES</v>
      </c>
      <c r="C12045" s="20" t="s">
        <v>41</v>
      </c>
      <c r="D12045" s="21" t="str">
        <f>HYPERLINK("https://otsuka-europe-crm.veevavault.com/ui/#object/approved_document__v/V5O00000001H004", "Save the date X Jornada UHB 2026")</f>
        <v>Save the date X Jornada UHB 2026</v>
      </c>
      <c r="E12045" s="22" t="str">
        <f>HYPERLINK("https://otsuka-europe-crm.veevavault.com/ui/#object/sent_email__v/VBL00000002V408", "SE-001437403")</f>
        <v>SE-001437403</v>
      </c>
      <c r="F12045" s="23">
        <v>46191.474328703705</v>
      </c>
      <c r="G12045" s="24">
        <v>1</v>
      </c>
      <c r="H12045" s="24">
        <v>2</v>
      </c>
      <c r="I12045" s="24">
        <v>0</v>
      </c>
      <c r="J12045" s="25"/>
      <c r="K12045" s="24">
        <v>0</v>
      </c>
      <c r="L12045" s="22" t="str">
        <f>HYPERLINK("https://otsuka-europe-crm.veevavault.com/ui/#object/approved_document__v/V5O00000001H004", "Save the date X Jornada UHB 2026")</f>
        <v>Save the date X Jornada UHB 2026</v>
      </c>
      <c r="M12045" s="22" t="str">
        <f>HYPERLINK("mailto:sseco@crm.otsuka-europe.com", "sseco@crm.otsuka-europe.com")</f>
        <v>sseco@crm.otsuka-europe.com</v>
      </c>
      <c r="N12045" s="23">
        <v>46191.459976851853</v>
      </c>
      <c r="O12045" s="14" t="str">
        <f>HYPERLINK("https://otsuka-europe-crm.veevavault.com/ui/#object/email_activity__v/V8C00000003W777", "EN-002098562")</f>
        <v>EN-002098562</v>
      </c>
    </row>
    <row r="12046" spans="1:15" ht="16" x14ac:dyDescent="0.2">
      <c r="A12046" s="18"/>
      <c r="B12046" s="18"/>
      <c r="C12046" s="18"/>
      <c r="D12046" s="18"/>
      <c r="E12046" s="18"/>
      <c r="F12046" s="18"/>
      <c r="G12046" s="18"/>
      <c r="H12046" s="18"/>
      <c r="I12046" s="18"/>
      <c r="J12046" s="18"/>
      <c r="K12046" s="18"/>
      <c r="L12046" s="18"/>
      <c r="M12046" s="18"/>
      <c r="N12046" s="18"/>
      <c r="O12046" s="14" t="str">
        <f>HYPERLINK("https://otsuka-europe-crm.veevavault.com/ui/#object/email_activity__v/V8C00000003X985", "EN-002098578")</f>
        <v>EN-002098578</v>
      </c>
    </row>
    <row r="12047" spans="1:15" ht="16" x14ac:dyDescent="0.2">
      <c r="A12047" s="18"/>
      <c r="B12047" s="18"/>
      <c r="C12047" s="18"/>
      <c r="D12047" s="18"/>
      <c r="E12047" s="18"/>
      <c r="F12047" s="18"/>
      <c r="G12047" s="18"/>
      <c r="H12047" s="18"/>
      <c r="I12047" s="18"/>
      <c r="J12047" s="18"/>
      <c r="K12047" s="18"/>
      <c r="L12047" s="18"/>
      <c r="M12047" s="18"/>
      <c r="N12047" s="18"/>
      <c r="O12047" s="14" t="str">
        <f>HYPERLINK("https://otsuka-europe-crm.veevavault.com/ui/#object/email_activity__v/V8C00000003X986", "EN-002098579")</f>
        <v>EN-002098579</v>
      </c>
    </row>
    <row r="12048" spans="1:15" ht="16" x14ac:dyDescent="0.2">
      <c r="A12048" s="19"/>
      <c r="B12048" s="19"/>
      <c r="C12048" s="19"/>
      <c r="D12048" s="19"/>
      <c r="E12048" s="19"/>
      <c r="F12048" s="19"/>
      <c r="G12048" s="19"/>
      <c r="H12048" s="19"/>
      <c r="I12048" s="19"/>
      <c r="J12048" s="19"/>
      <c r="K12048" s="19"/>
      <c r="L12048" s="19"/>
      <c r="M12048" s="19"/>
      <c r="N12048" s="19"/>
      <c r="O12048" s="14" t="str">
        <f>HYPERLINK("https://otsuka-europe-crm.veevavault.com/ui/#object/email_activity__v/V8C00000003Z004", "EN-002098665")</f>
        <v>EN-002098665</v>
      </c>
    </row>
    <row r="12049" spans="1:15" ht="32" x14ac:dyDescent="0.2">
      <c r="A12049" s="7" t="str">
        <f>HYPERLINK("https://otsuka-europe-crm.veevavault.com/ui/#object/account__v/V4TZ06G6O71TBEA", "RICARDO LUIS ORTEGA GARCIA")</f>
        <v>RICARDO LUIS ORTEGA GARCIA</v>
      </c>
      <c r="B12049" s="7" t="str">
        <f t="shared" ref="B12049:B12054" si="906">HYPERLINK("https://otsuka-europe-crm.veevavault.com/ui/#object/vcountry__v/VENZ000004SONF5", "ES")</f>
        <v>ES</v>
      </c>
      <c r="C12049" s="8" t="s">
        <v>41</v>
      </c>
      <c r="D12049" s="9" t="str">
        <f t="shared" ref="D12049:D12054" si="907">HYPERLINK("https://otsuka-europe-crm.veevavault.com/ui/#object/approved_document__v/V5O00000001H004", "Save the date X Jornada UHB 2026")</f>
        <v>Save the date X Jornada UHB 2026</v>
      </c>
      <c r="E12049" s="10" t="str">
        <f>HYPERLINK("https://otsuka-europe-crm.veevavault.com/ui/#object/sent_email__v/VBL00000002V409", "SE-001437404")</f>
        <v>SE-001437404</v>
      </c>
      <c r="F12049" s="11"/>
      <c r="G12049" s="12">
        <v>0</v>
      </c>
      <c r="H12049" s="12">
        <v>0</v>
      </c>
      <c r="I12049" s="12">
        <v>0</v>
      </c>
      <c r="J12049" s="11"/>
      <c r="K12049" s="12">
        <v>0</v>
      </c>
      <c r="L12049" s="10" t="str">
        <f t="shared" ref="L12049:L12054" si="908">HYPERLINK("https://otsuka-europe-crm.veevavault.com/ui/#object/approved_document__v/V5O00000001H004", "Save the date X Jornada UHB 2026")</f>
        <v>Save the date X Jornada UHB 2026</v>
      </c>
      <c r="M12049" s="10" t="str">
        <f t="shared" ref="M12049:M12054" si="909">HYPERLINK("mailto:sseco@crm.otsuka-europe.com", "sseco@crm.otsuka-europe.com")</f>
        <v>sseco@crm.otsuka-europe.com</v>
      </c>
      <c r="N12049" s="13">
        <v>46191.459976851853</v>
      </c>
      <c r="O12049" s="14" t="str">
        <f>HYPERLINK("https://otsuka-europe-crm.veevavault.com/ui/#object/email_activity__v/V8C00000003W776", "EN-002098561")</f>
        <v>EN-002098561</v>
      </c>
    </row>
    <row r="12050" spans="1:15" ht="32" x14ac:dyDescent="0.2">
      <c r="A12050" s="7" t="str">
        <f>HYPERLINK("https://otsuka-europe-crm.veevavault.com/ui/#object/account__v/V4TZ06G6O71T9BC", "LAURA BELINCHON ORTEGA")</f>
        <v>LAURA BELINCHON ORTEGA</v>
      </c>
      <c r="B12050" s="7" t="str">
        <f t="shared" si="906"/>
        <v>ES</v>
      </c>
      <c r="C12050" s="8" t="s">
        <v>41</v>
      </c>
      <c r="D12050" s="9" t="str">
        <f t="shared" si="907"/>
        <v>Save the date X Jornada UHB 2026</v>
      </c>
      <c r="E12050" s="10" t="str">
        <f>HYPERLINK("https://otsuka-europe-crm.veevavault.com/ui/#object/sent_email__v/VBL00000002V410", "SE-001437405")</f>
        <v>SE-001437405</v>
      </c>
      <c r="F12050" s="11"/>
      <c r="G12050" s="12">
        <v>0</v>
      </c>
      <c r="H12050" s="12">
        <v>0</v>
      </c>
      <c r="I12050" s="12">
        <v>0</v>
      </c>
      <c r="J12050" s="11"/>
      <c r="K12050" s="12">
        <v>0</v>
      </c>
      <c r="L12050" s="10" t="str">
        <f t="shared" si="908"/>
        <v>Save the date X Jornada UHB 2026</v>
      </c>
      <c r="M12050" s="10" t="str">
        <f t="shared" si="909"/>
        <v>sseco@crm.otsuka-europe.com</v>
      </c>
      <c r="N12050" s="13">
        <v>46191.459988425922</v>
      </c>
      <c r="O12050" s="14" t="str">
        <f>HYPERLINK("https://otsuka-europe-crm.veevavault.com/ui/#object/email_activity__v/V8C00000003W783", "EN-002098568")</f>
        <v>EN-002098568</v>
      </c>
    </row>
    <row r="12051" spans="1:15" ht="32" x14ac:dyDescent="0.2">
      <c r="A12051" s="7" t="str">
        <f>HYPERLINK("https://otsuka-europe-crm.veevavault.com/ui/#object/account__v/V4TZ06G6O71TC1I", "PILAR MARIA SALINAS PELEGRIN")</f>
        <v>PILAR MARIA SALINAS PELEGRIN</v>
      </c>
      <c r="B12051" s="7" t="str">
        <f t="shared" si="906"/>
        <v>ES</v>
      </c>
      <c r="C12051" s="8" t="s">
        <v>41</v>
      </c>
      <c r="D12051" s="9" t="str">
        <f t="shared" si="907"/>
        <v>Save the date X Jornada UHB 2026</v>
      </c>
      <c r="E12051" s="10" t="str">
        <f>HYPERLINK("https://otsuka-europe-crm.veevavault.com/ui/#object/sent_email__v/VBL00000002V411", "SE-001437406")</f>
        <v>SE-001437406</v>
      </c>
      <c r="F12051" s="11"/>
      <c r="G12051" s="12">
        <v>0</v>
      </c>
      <c r="H12051" s="12">
        <v>0</v>
      </c>
      <c r="I12051" s="12">
        <v>0</v>
      </c>
      <c r="J12051" s="11"/>
      <c r="K12051" s="12">
        <v>0</v>
      </c>
      <c r="L12051" s="10" t="str">
        <f t="shared" si="908"/>
        <v>Save the date X Jornada UHB 2026</v>
      </c>
      <c r="M12051" s="10" t="str">
        <f t="shared" si="909"/>
        <v>sseco@crm.otsuka-europe.com</v>
      </c>
      <c r="N12051" s="13">
        <v>46191.459976851853</v>
      </c>
      <c r="O12051" s="14" t="str">
        <f>HYPERLINK("https://otsuka-europe-crm.veevavault.com/ui/#object/email_activity__v/V8C00000003W775", "EN-002098560")</f>
        <v>EN-002098560</v>
      </c>
    </row>
    <row r="12052" spans="1:15" ht="32" x14ac:dyDescent="0.2">
      <c r="A12052" s="7" t="str">
        <f>HYPERLINK("https://otsuka-europe-crm.veevavault.com/ui/#object/account__v/V4TZ06G6O71T8KN", "MARIA PILAR CAMPOS NAVARRO")</f>
        <v>MARIA PILAR CAMPOS NAVARRO</v>
      </c>
      <c r="B12052" s="7" t="str">
        <f t="shared" si="906"/>
        <v>ES</v>
      </c>
      <c r="C12052" s="8" t="s">
        <v>41</v>
      </c>
      <c r="D12052" s="9" t="str">
        <f t="shared" si="907"/>
        <v>Save the date X Jornada UHB 2026</v>
      </c>
      <c r="E12052" s="10" t="str">
        <f>HYPERLINK("https://otsuka-europe-crm.veevavault.com/ui/#object/sent_email__v/VBL00000002V412", "SE-001437407")</f>
        <v>SE-001437407</v>
      </c>
      <c r="F12052" s="11"/>
      <c r="G12052" s="12">
        <v>0</v>
      </c>
      <c r="H12052" s="12">
        <v>0</v>
      </c>
      <c r="I12052" s="12">
        <v>0</v>
      </c>
      <c r="J12052" s="11"/>
      <c r="K12052" s="12">
        <v>0</v>
      </c>
      <c r="L12052" s="10" t="str">
        <f t="shared" si="908"/>
        <v>Save the date X Jornada UHB 2026</v>
      </c>
      <c r="M12052" s="10" t="str">
        <f t="shared" si="909"/>
        <v>sseco@crm.otsuka-europe.com</v>
      </c>
      <c r="N12052" s="13">
        <v>46191.459976851853</v>
      </c>
      <c r="O12052" s="14" t="str">
        <f>HYPERLINK("https://otsuka-europe-crm.veevavault.com/ui/#object/email_activity__v/V8C00000003W782", "EN-002098567")</f>
        <v>EN-002098567</v>
      </c>
    </row>
    <row r="12053" spans="1:15" ht="32" x14ac:dyDescent="0.2">
      <c r="A12053" s="7" t="str">
        <f>HYPERLINK("https://otsuka-europe-crm.veevavault.com/ui/#object/account__v/V4TZ06G6O71TB80", "ADAM MILLER")</f>
        <v>ADAM MILLER</v>
      </c>
      <c r="B12053" s="7" t="str">
        <f t="shared" si="906"/>
        <v>ES</v>
      </c>
      <c r="C12053" s="8" t="s">
        <v>41</v>
      </c>
      <c r="D12053" s="9" t="str">
        <f t="shared" si="907"/>
        <v>Save the date X Jornada UHB 2026</v>
      </c>
      <c r="E12053" s="10" t="str">
        <f>HYPERLINK("https://otsuka-europe-crm.veevavault.com/ui/#object/sent_email__v/VBL00000002V413", "SE-001437408")</f>
        <v>SE-001437408</v>
      </c>
      <c r="F12053" s="11"/>
      <c r="G12053" s="12">
        <v>0</v>
      </c>
      <c r="H12053" s="12">
        <v>0</v>
      </c>
      <c r="I12053" s="12">
        <v>0</v>
      </c>
      <c r="J12053" s="11"/>
      <c r="K12053" s="12">
        <v>0</v>
      </c>
      <c r="L12053" s="10" t="str">
        <f t="shared" si="908"/>
        <v>Save the date X Jornada UHB 2026</v>
      </c>
      <c r="M12053" s="10" t="str">
        <f t="shared" si="909"/>
        <v>sseco@crm.otsuka-europe.com</v>
      </c>
      <c r="N12053" s="13">
        <v>46191.459976851853</v>
      </c>
      <c r="O12053" s="14" t="str">
        <f>HYPERLINK("https://otsuka-europe-crm.veevavault.com/ui/#object/email_activity__v/V8C00000003X981", "EN-002098571")</f>
        <v>EN-002098571</v>
      </c>
    </row>
    <row r="12054" spans="1:15" ht="16" x14ac:dyDescent="0.2">
      <c r="A12054" s="17" t="str">
        <f>HYPERLINK("https://otsuka-europe-crm.veevavault.com/ui/#object/account__v/V4TZ06G6O71TAME", "FRANCISCO ASIS SANCHEZ YAGO")</f>
        <v>FRANCISCO ASIS SANCHEZ YAGO</v>
      </c>
      <c r="B12054" s="17" t="str">
        <f t="shared" si="906"/>
        <v>ES</v>
      </c>
      <c r="C12054" s="20" t="s">
        <v>41</v>
      </c>
      <c r="D12054" s="21" t="str">
        <f t="shared" si="907"/>
        <v>Save the date X Jornada UHB 2026</v>
      </c>
      <c r="E12054" s="22" t="str">
        <f>HYPERLINK("https://otsuka-europe-crm.veevavault.com/ui/#object/sent_email__v/VBL00000002V414", "SE-001437409")</f>
        <v>SE-001437409</v>
      </c>
      <c r="F12054" s="25"/>
      <c r="G12054" s="24">
        <v>0</v>
      </c>
      <c r="H12054" s="24">
        <v>0</v>
      </c>
      <c r="I12054" s="24">
        <v>0</v>
      </c>
      <c r="J12054" s="25"/>
      <c r="K12054" s="24">
        <v>0</v>
      </c>
      <c r="L12054" s="22" t="str">
        <f t="shared" si="908"/>
        <v>Save the date X Jornada UHB 2026</v>
      </c>
      <c r="M12054" s="22" t="str">
        <f t="shared" si="909"/>
        <v>sseco@crm.otsuka-europe.com</v>
      </c>
      <c r="N12054" s="23">
        <v>46191.459976851853</v>
      </c>
      <c r="O12054" s="14" t="str">
        <f>HYPERLINK("https://otsuka-europe-crm.veevavault.com/ui/#object/email_activity__v/V8C00000003W778", "EN-002098563")</f>
        <v>EN-002098563</v>
      </c>
    </row>
    <row r="12055" spans="1:15" ht="16" x14ac:dyDescent="0.2">
      <c r="A12055" s="19"/>
      <c r="B12055" s="19"/>
      <c r="C12055" s="19"/>
      <c r="D12055" s="19"/>
      <c r="E12055" s="19"/>
      <c r="F12055" s="19"/>
      <c r="G12055" s="19"/>
      <c r="H12055" s="19"/>
      <c r="I12055" s="19"/>
      <c r="J12055" s="19"/>
      <c r="K12055" s="19"/>
      <c r="L12055" s="19"/>
      <c r="M12055" s="19"/>
      <c r="N12055" s="19"/>
      <c r="O12055" s="14" t="str">
        <f>HYPERLINK("https://otsuka-europe-crm.veevavault.com/ui/#object/email_activity__v/V8C000000040002", "EN-002098672")</f>
        <v>EN-002098672</v>
      </c>
    </row>
    <row r="12056" spans="1:15" ht="32" x14ac:dyDescent="0.2">
      <c r="A12056" s="7" t="str">
        <f>HYPERLINK("https://otsuka-europe-crm.veevavault.com/ui/#object/account__v/V4TZ06G6O71ZK7C", "MARIA EGEA RODRIGUEZ")</f>
        <v>MARIA EGEA RODRIGUEZ</v>
      </c>
      <c r="B12056" s="7" t="str">
        <f>HYPERLINK("https://otsuka-europe-crm.veevavault.com/ui/#object/vcountry__v/VENZ000004SONF5", "ES")</f>
        <v>ES</v>
      </c>
      <c r="C12056" s="8" t="s">
        <v>41</v>
      </c>
      <c r="D12056" s="9" t="str">
        <f>HYPERLINK("https://otsuka-europe-crm.veevavault.com/ui/#object/approved_document__v/V5O00000001H004", "Save the date X Jornada UHB 2026")</f>
        <v>Save the date X Jornada UHB 2026</v>
      </c>
      <c r="E12056" s="10" t="str">
        <f>HYPERLINK("https://otsuka-europe-crm.veevavault.com/ui/#object/sent_email__v/VBL00000002V415", "SE-001437410")</f>
        <v>SE-001437410</v>
      </c>
      <c r="F12056" s="11"/>
      <c r="G12056" s="12">
        <v>0</v>
      </c>
      <c r="H12056" s="12">
        <v>0</v>
      </c>
      <c r="I12056" s="12">
        <v>0</v>
      </c>
      <c r="J12056" s="11"/>
      <c r="K12056" s="12">
        <v>0</v>
      </c>
      <c r="L12056" s="10" t="str">
        <f>HYPERLINK("https://otsuka-europe-crm.veevavault.com/ui/#object/approved_document__v/V5O00000001H004", "Save the date X Jornada UHB 2026")</f>
        <v>Save the date X Jornada UHB 2026</v>
      </c>
      <c r="M12056" s="10" t="str">
        <f>HYPERLINK("mailto:sseco@crm.otsuka-europe.com", "sseco@crm.otsuka-europe.com")</f>
        <v>sseco@crm.otsuka-europe.com</v>
      </c>
      <c r="N12056" s="13">
        <v>46191.459988425922</v>
      </c>
      <c r="O12056" s="14" t="str">
        <f>HYPERLINK("https://otsuka-europe-crm.veevavault.com/ui/#object/email_activity__v/V8C00000003W779", "EN-002098564")</f>
        <v>EN-002098564</v>
      </c>
    </row>
    <row r="12057" spans="1:15" ht="16" x14ac:dyDescent="0.2">
      <c r="A12057" s="17" t="str">
        <f>HYPERLINK("https://otsuka-europe-crm.veevavault.com/ui/#object/account__v/V4TZ06G6O71T8IF", "CARMEN GARCIA MORENO")</f>
        <v>CARMEN GARCIA MORENO</v>
      </c>
      <c r="B12057" s="17" t="str">
        <f>HYPERLINK("https://otsuka-europe-crm.veevavault.com/ui/#object/vcountry__v/VENZ000004SONF5", "ES")</f>
        <v>ES</v>
      </c>
      <c r="C12057" s="20" t="s">
        <v>41</v>
      </c>
      <c r="D12057" s="21" t="str">
        <f>HYPERLINK("https://otsuka-europe-crm.veevavault.com/ui/#object/approved_document__v/V5O00000001H004", "Save the date X Jornada UHB 2026")</f>
        <v>Save the date X Jornada UHB 2026</v>
      </c>
      <c r="E12057" s="22" t="str">
        <f>HYPERLINK("https://otsuka-europe-crm.veevavault.com/ui/#object/sent_email__v/VBL00000002V416", "SE-001437411")</f>
        <v>SE-001437411</v>
      </c>
      <c r="F12057" s="23">
        <v>46196.477337962962</v>
      </c>
      <c r="G12057" s="24">
        <v>1</v>
      </c>
      <c r="H12057" s="24">
        <v>1</v>
      </c>
      <c r="I12057" s="24">
        <v>0</v>
      </c>
      <c r="J12057" s="25"/>
      <c r="K12057" s="24">
        <v>0</v>
      </c>
      <c r="L12057" s="22" t="str">
        <f>HYPERLINK("https://otsuka-europe-crm.veevavault.com/ui/#object/approved_document__v/V5O00000001H004", "Save the date X Jornada UHB 2026")</f>
        <v>Save the date X Jornada UHB 2026</v>
      </c>
      <c r="M12057" s="22" t="str">
        <f>HYPERLINK("mailto:sseco@crm.otsuka-europe.com", "sseco@crm.otsuka-europe.com")</f>
        <v>sseco@crm.otsuka-europe.com</v>
      </c>
      <c r="N12057" s="23">
        <v>46191.459988425922</v>
      </c>
      <c r="O12057" s="14" t="str">
        <f>HYPERLINK("https://otsuka-europe-crm.veevavault.com/ui/#object/email_activity__v/V8C00000003W784", "EN-002098569")</f>
        <v>EN-002098569</v>
      </c>
    </row>
    <row r="12058" spans="1:15" ht="16" x14ac:dyDescent="0.2">
      <c r="A12058" s="19"/>
      <c r="B12058" s="19"/>
      <c r="C12058" s="19"/>
      <c r="D12058" s="19"/>
      <c r="E12058" s="19"/>
      <c r="F12058" s="19"/>
      <c r="G12058" s="19"/>
      <c r="H12058" s="19"/>
      <c r="I12058" s="19"/>
      <c r="J12058" s="19"/>
      <c r="K12058" s="19"/>
      <c r="L12058" s="19"/>
      <c r="M12058" s="19"/>
      <c r="N12058" s="19"/>
      <c r="O12058" s="14" t="str">
        <f>HYPERLINK("https://otsuka-europe-crm.veevavault.com/ui/#object/email_activity__v/V8C000000040384", "EN-002099356")</f>
        <v>EN-002099356</v>
      </c>
    </row>
    <row r="12059" spans="1:15" ht="48" x14ac:dyDescent="0.2">
      <c r="A12059" s="7" t="str">
        <f>HYPERLINK("https://otsuka-europe-crm.veevavault.com/ui/#object/account__v/V4T000000025077", "J.F.S. Meppelink")</f>
        <v>J.F.S. Meppelink</v>
      </c>
      <c r="B12059" s="7" t="str">
        <f>HYPERLINK("https://otsuka-europe-crm.veevavault.com/ui/#object/vcountry__v/VENZ000004SONF4", "NL")</f>
        <v>NL</v>
      </c>
      <c r="C12059" s="8" t="s">
        <v>46</v>
      </c>
      <c r="D12059" s="9" t="str">
        <f>HYPERLINK("https://otsuka-europe-crm.veevavault.com/ui/#object/approved_document__v/V5O00000000O009", "OPSAB Privacy Notice Email February 2026 - NOR-NPR-2500018")</f>
        <v>OPSAB Privacy Notice Email February 2026 - NOR-NPR-2500018</v>
      </c>
      <c r="E12059" s="10" t="str">
        <f>HYPERLINK("https://otsuka-europe-crm.veevavault.com/ui/#object/sent_email__v/VBL00000002T561", "SE-001437412")</f>
        <v>SE-001437412</v>
      </c>
      <c r="F12059" s="11"/>
      <c r="G12059" s="12">
        <v>0</v>
      </c>
      <c r="H12059" s="12">
        <v>0</v>
      </c>
      <c r="I12059" s="12">
        <v>0</v>
      </c>
      <c r="J12059" s="11"/>
      <c r="K12059" s="12">
        <v>0</v>
      </c>
      <c r="L12059" s="10" t="str">
        <f>HYPERLINK("https://otsuka-europe-crm.veevavault.com/ui/#object/approved_document__v/V5O00000000O009", "OPSAB Privacy Notice Email February 2026 - NOR-NPR-2500018")</f>
        <v>OPSAB Privacy Notice Email February 2026 - NOR-NPR-2500018</v>
      </c>
      <c r="M12059" s="10" t="str">
        <f>HYPERLINK("mailto:jana.bommelijn@crm.otsuka-europe.com", "jana.bommelijn@crm.otsuka-europe.com")</f>
        <v>jana.bommelijn@crm.otsuka-europe.com</v>
      </c>
      <c r="N12059" s="13">
        <v>46191.467268518521</v>
      </c>
      <c r="O12059" s="14" t="str">
        <f>HYPERLINK("https://otsuka-europe-crm.veevavault.com/ui/#object/email_activity__v/V8C00000003W788", "EN-002098577")</f>
        <v>EN-002098577</v>
      </c>
    </row>
    <row r="12060" spans="1:15" ht="16" x14ac:dyDescent="0.2">
      <c r="A12060" s="17" t="str">
        <f>HYPERLINK("https://otsuka-europe-crm.veevavault.com/ui/#object/account__v/V4TZ0000062T4X6", "Johannes Schulz-Holland")</f>
        <v>Johannes Schulz-Holland</v>
      </c>
      <c r="B12060" s="17" t="str">
        <f>HYPERLINK("https://otsuka-europe-crm.veevavault.com/ui/#object/vcountry__v/VENZ000004SONFP", "DE")</f>
        <v>DE</v>
      </c>
      <c r="C12060" s="20" t="s">
        <v>43</v>
      </c>
      <c r="D12060" s="21" t="str">
        <f>HYPERLINK("https://otsuka-europe-crm.veevavault.com/ui/#object/approved_document__v/V5O00000001H029", "VAE DE AM960 - Podcast-Interview Prof. Dr. Köhler_2026-05")</f>
        <v>VAE DE AM960 - Podcast-Interview Prof. Dr. Köhler_2026-05</v>
      </c>
      <c r="E12060" s="22" t="str">
        <f>HYPERLINK("https://otsuka-europe-crm.veevavault.com/ui/#object/sent_email__v/VBL00000002V417", "SE-001437413")</f>
        <v>SE-001437413</v>
      </c>
      <c r="F12060" s="23">
        <v>46194.972627314812</v>
      </c>
      <c r="G12060" s="24">
        <v>1</v>
      </c>
      <c r="H12060" s="24">
        <v>2</v>
      </c>
      <c r="I12060" s="24">
        <v>0</v>
      </c>
      <c r="J12060" s="25"/>
      <c r="K12060" s="24">
        <v>0</v>
      </c>
      <c r="L12060" s="22" t="str">
        <f>HYPERLINK("https://otsuka-europe-crm.veevavault.com/ui/#object/approved_document__v/V5O00000001H029", "VAE DE AM960 - Podcast-Interview Prof. Dr. Köhler_2026-05")</f>
        <v>VAE DE AM960 - Podcast-Interview Prof. Dr. Köhler_2026-05</v>
      </c>
      <c r="M12060" s="22" t="str">
        <f>HYPERLINK("mailto:emachholz@crm.otsuka-europe.com", "emachholz@crm.otsuka-europe.com")</f>
        <v>emachholz@crm.otsuka-europe.com</v>
      </c>
      <c r="N12060" s="23">
        <v>46191.4919212963</v>
      </c>
      <c r="O12060" s="14" t="str">
        <f>HYPERLINK("https://otsuka-europe-crm.veevavault.com/ui/#object/email_activity__v/V8C00000003W793", "EN-002098584")</f>
        <v>EN-002098584</v>
      </c>
    </row>
    <row r="12061" spans="1:15" ht="16" x14ac:dyDescent="0.2">
      <c r="A12061" s="18"/>
      <c r="B12061" s="18"/>
      <c r="C12061" s="18"/>
      <c r="D12061" s="18"/>
      <c r="E12061" s="18"/>
      <c r="F12061" s="18"/>
      <c r="G12061" s="18"/>
      <c r="H12061" s="18"/>
      <c r="I12061" s="18"/>
      <c r="J12061" s="18"/>
      <c r="K12061" s="18"/>
      <c r="L12061" s="18"/>
      <c r="M12061" s="18"/>
      <c r="N12061" s="18"/>
      <c r="O12061" s="14" t="str">
        <f>HYPERLINK("https://otsuka-europe-crm.veevavault.com/ui/#object/email_activity__v/V8C00000003W813", "EN-002098636")</f>
        <v>EN-002098636</v>
      </c>
    </row>
    <row r="12062" spans="1:15" ht="16" x14ac:dyDescent="0.2">
      <c r="A12062" s="18"/>
      <c r="B12062" s="18"/>
      <c r="C12062" s="18"/>
      <c r="D12062" s="18"/>
      <c r="E12062" s="18"/>
      <c r="F12062" s="18"/>
      <c r="G12062" s="18"/>
      <c r="H12062" s="18"/>
      <c r="I12062" s="18"/>
      <c r="J12062" s="18"/>
      <c r="K12062" s="18"/>
      <c r="L12062" s="18"/>
      <c r="M12062" s="18"/>
      <c r="N12062" s="18"/>
      <c r="O12062" s="14" t="str">
        <f>HYPERLINK("https://otsuka-europe-crm.veevavault.com/ui/#object/email_activity__v/V8C00000003Z191", "EN-002098986")</f>
        <v>EN-002098986</v>
      </c>
    </row>
    <row r="12063" spans="1:15" ht="16" x14ac:dyDescent="0.2">
      <c r="A12063" s="19"/>
      <c r="B12063" s="19"/>
      <c r="C12063" s="19"/>
      <c r="D12063" s="19"/>
      <c r="E12063" s="19"/>
      <c r="F12063" s="19"/>
      <c r="G12063" s="19"/>
      <c r="H12063" s="19"/>
      <c r="I12063" s="19"/>
      <c r="J12063" s="19"/>
      <c r="K12063" s="19"/>
      <c r="L12063" s="19"/>
      <c r="M12063" s="19"/>
      <c r="N12063" s="19"/>
      <c r="O12063" s="14" t="str">
        <f>HYPERLINK("https://otsuka-europe-crm.veevavault.com/ui/#object/email_activity__v/V8C000000040142", "EN-002098951")</f>
        <v>EN-002098951</v>
      </c>
    </row>
    <row r="12064" spans="1:15" ht="48" x14ac:dyDescent="0.2">
      <c r="A12064" s="7" t="str">
        <f>HYPERLINK("https://otsuka-europe-crm.veevavault.com/ui/#object/account__v/V4TZ06G6O8S927V", "Hendrik Bielau")</f>
        <v>Hendrik Bielau</v>
      </c>
      <c r="B12064" s="7" t="str">
        <f>HYPERLINK("https://otsuka-europe-crm.veevavault.com/ui/#object/vcountry__v/VENZ000004SONFP", "DE")</f>
        <v>DE</v>
      </c>
      <c r="C12064" s="8" t="s">
        <v>43</v>
      </c>
      <c r="D12064" s="9" t="str">
        <f>HYPERLINK("https://otsuka-europe-crm.veevavault.com/ui/#object/approved_document__v/V5O00000001H029", "VAE DE AM960 - Podcast-Interview Prof. Dr. Köhler_2026-05")</f>
        <v>VAE DE AM960 - Podcast-Interview Prof. Dr. Köhler_2026-05</v>
      </c>
      <c r="E12064" s="10" t="str">
        <f>HYPERLINK("https://otsuka-europe-crm.veevavault.com/ui/#object/sent_email__v/VBL00000002V418", "SE-001437414")</f>
        <v>SE-001437414</v>
      </c>
      <c r="F12064" s="11"/>
      <c r="G12064" s="12">
        <v>0</v>
      </c>
      <c r="H12064" s="12">
        <v>0</v>
      </c>
      <c r="I12064" s="12">
        <v>0</v>
      </c>
      <c r="J12064" s="11"/>
      <c r="K12064" s="12">
        <v>0</v>
      </c>
      <c r="L12064" s="10" t="str">
        <f>HYPERLINK("https://otsuka-europe-crm.veevavault.com/ui/#object/approved_document__v/V5O00000001H029", "VAE DE AM960 - Podcast-Interview Prof. Dr. Köhler_2026-05")</f>
        <v>VAE DE AM960 - Podcast-Interview Prof. Dr. Köhler_2026-05</v>
      </c>
      <c r="M12064" s="10" t="str">
        <f>HYPERLINK("mailto:emachholz@crm.otsuka-europe.com", "emachholz@crm.otsuka-europe.com")</f>
        <v>emachholz@crm.otsuka-europe.com</v>
      </c>
      <c r="N12064" s="13">
        <v>46191.4919212963</v>
      </c>
      <c r="O12064" s="14" t="str">
        <f>HYPERLINK("https://otsuka-europe-crm.veevavault.com/ui/#object/email_activity__v/V8C00000003W792", "EN-002098583")</f>
        <v>EN-002098583</v>
      </c>
    </row>
    <row r="12065" spans="1:15" ht="16" x14ac:dyDescent="0.2">
      <c r="A12065" s="17" t="str">
        <f>HYPERLINK("https://otsuka-europe-crm.veevavault.com/ui/#object/account__v/V4TZ06G6O9MZRYE", "Georg Winkelmann")</f>
        <v>Georg Winkelmann</v>
      </c>
      <c r="B12065" s="17" t="str">
        <f>HYPERLINK("https://otsuka-europe-crm.veevavault.com/ui/#object/vcountry__v/VENZ000004SONFP", "DE")</f>
        <v>DE</v>
      </c>
      <c r="C12065" s="20" t="s">
        <v>43</v>
      </c>
      <c r="D12065" s="21" t="str">
        <f>HYPERLINK("https://otsuka-europe-crm.veevavault.com/ui/#object/approved_document__v/V5O00000001H029", "VAE DE AM960 - Podcast-Interview Prof. Dr. Köhler_2026-05")</f>
        <v>VAE DE AM960 - Podcast-Interview Prof. Dr. Köhler_2026-05</v>
      </c>
      <c r="E12065" s="22" t="str">
        <f>HYPERLINK("https://otsuka-europe-crm.veevavault.com/ui/#object/sent_email__v/VBL00000002V419", "SE-001437415")</f>
        <v>SE-001437415</v>
      </c>
      <c r="F12065" s="23">
        <v>46197.401030092595</v>
      </c>
      <c r="G12065" s="24">
        <v>1</v>
      </c>
      <c r="H12065" s="24">
        <v>1</v>
      </c>
      <c r="I12065" s="24">
        <v>1</v>
      </c>
      <c r="J12065" s="23">
        <v>46197.401030092595</v>
      </c>
      <c r="K12065" s="24">
        <v>1</v>
      </c>
      <c r="L12065" s="22" t="str">
        <f>HYPERLINK("https://otsuka-europe-crm.veevavault.com/ui/#object/approved_document__v/V5O00000001H029", "VAE DE AM960 - Podcast-Interview Prof. Dr. Köhler_2026-05")</f>
        <v>VAE DE AM960 - Podcast-Interview Prof. Dr. Köhler_2026-05</v>
      </c>
      <c r="M12065" s="22" t="str">
        <f>HYPERLINK("mailto:emachholz@crm.otsuka-europe.com", "emachholz@crm.otsuka-europe.com")</f>
        <v>emachholz@crm.otsuka-europe.com</v>
      </c>
      <c r="N12065" s="23">
        <v>46191.4919212963</v>
      </c>
      <c r="O12065" s="14" t="str">
        <f>HYPERLINK("https://otsuka-europe-crm.veevavault.com/ui/#object/email_activity__v/V8C00000003W789", "EN-002098580")</f>
        <v>EN-002098580</v>
      </c>
    </row>
    <row r="12066" spans="1:15" ht="16" x14ac:dyDescent="0.2">
      <c r="A12066" s="18"/>
      <c r="B12066" s="18"/>
      <c r="C12066" s="18"/>
      <c r="D12066" s="18"/>
      <c r="E12066" s="18"/>
      <c r="F12066" s="18"/>
      <c r="G12066" s="18"/>
      <c r="H12066" s="18"/>
      <c r="I12066" s="18"/>
      <c r="J12066" s="18"/>
      <c r="K12066" s="18"/>
      <c r="L12066" s="18"/>
      <c r="M12066" s="18"/>
      <c r="N12066" s="18"/>
      <c r="O12066" s="14" t="str">
        <f>HYPERLINK("https://otsuka-europe-crm.veevavault.com/ui/#object/email_activity__v/V8C00000003Z422", "EN-002099522")</f>
        <v>EN-002099522</v>
      </c>
    </row>
    <row r="12067" spans="1:15" ht="16" x14ac:dyDescent="0.2">
      <c r="A12067" s="19"/>
      <c r="B12067" s="19"/>
      <c r="C12067" s="19"/>
      <c r="D12067" s="19"/>
      <c r="E12067" s="19"/>
      <c r="F12067" s="19"/>
      <c r="G12067" s="19"/>
      <c r="H12067" s="19"/>
      <c r="I12067" s="19"/>
      <c r="J12067" s="19"/>
      <c r="K12067" s="19"/>
      <c r="L12067" s="19"/>
      <c r="M12067" s="19"/>
      <c r="N12067" s="19"/>
      <c r="O12067" s="14" t="str">
        <f>HYPERLINK("https://otsuka-europe-crm.veevavault.com/ui/#object/email_activity__v/V8C00000003Z423", "EN-002099521")</f>
        <v>EN-002099521</v>
      </c>
    </row>
    <row r="12068" spans="1:15" ht="48" x14ac:dyDescent="0.2">
      <c r="A12068" s="7" t="str">
        <f>HYPERLINK("https://otsuka-europe-crm.veevavault.com/ui/#object/account__v/V4TZ0000062T7IC", "Bernhard Neumann")</f>
        <v>Bernhard Neumann</v>
      </c>
      <c r="B12068" s="7" t="str">
        <f>HYPERLINK("https://otsuka-europe-crm.veevavault.com/ui/#object/vcountry__v/VENZ000004SONFP", "DE")</f>
        <v>DE</v>
      </c>
      <c r="C12068" s="8" t="s">
        <v>43</v>
      </c>
      <c r="D12068" s="9" t="str">
        <f>HYPERLINK("https://otsuka-europe-crm.veevavault.com/ui/#object/approved_document__v/V5O00000001H029", "VAE DE AM960 - Podcast-Interview Prof. Dr. Köhler_2026-05")</f>
        <v>VAE DE AM960 - Podcast-Interview Prof. Dr. Köhler_2026-05</v>
      </c>
      <c r="E12068" s="10" t="str">
        <f>HYPERLINK("https://otsuka-europe-crm.veevavault.com/ui/#object/sent_email__v/VBL00000002V420", "SE-001437416")</f>
        <v>SE-001437416</v>
      </c>
      <c r="F12068" s="11"/>
      <c r="G12068" s="12">
        <v>0</v>
      </c>
      <c r="H12068" s="12">
        <v>0</v>
      </c>
      <c r="I12068" s="12">
        <v>0</v>
      </c>
      <c r="J12068" s="11"/>
      <c r="K12068" s="12">
        <v>0</v>
      </c>
      <c r="L12068" s="10" t="str">
        <f>HYPERLINK("https://otsuka-europe-crm.veevavault.com/ui/#object/approved_document__v/V5O00000001H029", "VAE DE AM960 - Podcast-Interview Prof. Dr. Köhler_2026-05")</f>
        <v>VAE DE AM960 - Podcast-Interview Prof. Dr. Köhler_2026-05</v>
      </c>
      <c r="M12068" s="10" t="str">
        <f>HYPERLINK("mailto:emachholz@crm.otsuka-europe.com", "emachholz@crm.otsuka-europe.com")</f>
        <v>emachholz@crm.otsuka-europe.com</v>
      </c>
      <c r="N12068" s="13">
        <v>46191.4919212963</v>
      </c>
      <c r="O12068" s="14" t="str">
        <f>HYPERLINK("https://otsuka-europe-crm.veevavault.com/ui/#object/email_activity__v/V8C00000003W794", "EN-002098585")</f>
        <v>EN-002098585</v>
      </c>
    </row>
    <row r="12069" spans="1:15" ht="48" x14ac:dyDescent="0.2">
      <c r="A12069" s="7" t="str">
        <f>HYPERLINK("https://otsuka-europe-crm.veevavault.com/ui/#object/account__v/V4TZ0000062SZ00", "Frank Buff")</f>
        <v>Frank Buff</v>
      </c>
      <c r="B12069" s="7" t="str">
        <f>HYPERLINK("https://otsuka-europe-crm.veevavault.com/ui/#object/vcountry__v/VENZ000004SONFP", "DE")</f>
        <v>DE</v>
      </c>
      <c r="C12069" s="8" t="s">
        <v>43</v>
      </c>
      <c r="D12069" s="9" t="str">
        <f>HYPERLINK("https://otsuka-europe-crm.veevavault.com/ui/#object/approved_document__v/V5O00000001H029", "VAE DE AM960 - Podcast-Interview Prof. Dr. Köhler_2026-05")</f>
        <v>VAE DE AM960 - Podcast-Interview Prof. Dr. Köhler_2026-05</v>
      </c>
      <c r="E12069" s="10" t="str">
        <f>HYPERLINK("https://otsuka-europe-crm.veevavault.com/ui/#object/sent_email__v/VBL00000002V421", "SE-001437417")</f>
        <v>SE-001437417</v>
      </c>
      <c r="F12069" s="11"/>
      <c r="G12069" s="12">
        <v>0</v>
      </c>
      <c r="H12069" s="12">
        <v>0</v>
      </c>
      <c r="I12069" s="12">
        <v>0</v>
      </c>
      <c r="J12069" s="11"/>
      <c r="K12069" s="12">
        <v>0</v>
      </c>
      <c r="L12069" s="10" t="str">
        <f>HYPERLINK("https://otsuka-europe-crm.veevavault.com/ui/#object/approved_document__v/V5O00000001H029", "VAE DE AM960 - Podcast-Interview Prof. Dr. Köhler_2026-05")</f>
        <v>VAE DE AM960 - Podcast-Interview Prof. Dr. Köhler_2026-05</v>
      </c>
      <c r="M12069" s="10" t="str">
        <f>HYPERLINK("mailto:emachholz@crm.otsuka-europe.com", "emachholz@crm.otsuka-europe.com")</f>
        <v>emachholz@crm.otsuka-europe.com</v>
      </c>
      <c r="N12069" s="13">
        <v>46191.4919212963</v>
      </c>
      <c r="O12069" s="14" t="str">
        <f>HYPERLINK("https://otsuka-europe-crm.veevavault.com/ui/#object/email_activity__v/V8C00000003W791", "EN-002098582")</f>
        <v>EN-002098582</v>
      </c>
    </row>
    <row r="12070" spans="1:15" ht="48" x14ac:dyDescent="0.2">
      <c r="A12070" s="7" t="str">
        <f>HYPERLINK("https://otsuka-europe-crm.veevavault.com/ui/#object/account__v/V4TZ0000062TAYY", "Jewgenij Wolfowski")</f>
        <v>Jewgenij Wolfowski</v>
      </c>
      <c r="B12070" s="7" t="str">
        <f>HYPERLINK("https://otsuka-europe-crm.veevavault.com/ui/#object/vcountry__v/VENZ000004SONFP", "DE")</f>
        <v>DE</v>
      </c>
      <c r="C12070" s="8" t="s">
        <v>43</v>
      </c>
      <c r="D12070" s="9" t="str">
        <f>HYPERLINK("https://otsuka-europe-crm.veevavault.com/ui/#object/approved_document__v/V5O00000001H029", "VAE DE AM960 - Podcast-Interview Prof. Dr. Köhler_2026-05")</f>
        <v>VAE DE AM960 - Podcast-Interview Prof. Dr. Köhler_2026-05</v>
      </c>
      <c r="E12070" s="10" t="str">
        <f>HYPERLINK("https://otsuka-europe-crm.veevavault.com/ui/#object/sent_email__v/VBL00000002V422", "SE-001437418")</f>
        <v>SE-001437418</v>
      </c>
      <c r="F12070" s="11"/>
      <c r="G12070" s="12">
        <v>0</v>
      </c>
      <c r="H12070" s="12">
        <v>0</v>
      </c>
      <c r="I12070" s="12">
        <v>0</v>
      </c>
      <c r="J12070" s="11"/>
      <c r="K12070" s="12">
        <v>0</v>
      </c>
      <c r="L12070" s="10" t="str">
        <f>HYPERLINK("https://otsuka-europe-crm.veevavault.com/ui/#object/approved_document__v/V5O00000001H029", "VAE DE AM960 - Podcast-Interview Prof. Dr. Köhler_2026-05")</f>
        <v>VAE DE AM960 - Podcast-Interview Prof. Dr. Köhler_2026-05</v>
      </c>
      <c r="M12070" s="10" t="str">
        <f>HYPERLINK("mailto:emachholz@crm.otsuka-europe.com", "emachholz@crm.otsuka-europe.com")</f>
        <v>emachholz@crm.otsuka-europe.com</v>
      </c>
      <c r="N12070" s="13">
        <v>46191.4919212963</v>
      </c>
      <c r="O12070" s="14" t="str">
        <f>HYPERLINK("https://otsuka-europe-crm.veevavault.com/ui/#object/email_activity__v/V8C00000003W790", "EN-002098581")</f>
        <v>EN-002098581</v>
      </c>
    </row>
    <row r="12071" spans="1:15" ht="32" x14ac:dyDescent="0.2">
      <c r="A12071" s="7" t="str">
        <f>HYPERLINK("https://otsuka-europe-crm.veevavault.com/ui/#object/account__v/V4TZ0000062PCS9", "Ishtiaq Ahmad")</f>
        <v>Ishtiaq Ahmad</v>
      </c>
      <c r="B12071" s="7" t="str">
        <f>HYPERLINK("https://otsuka-europe-crm.veevavault.com/ui/#object/vcountry__v/VENZ000004SONFK", "GB")</f>
        <v>GB</v>
      </c>
      <c r="C12071" s="8" t="s">
        <v>39</v>
      </c>
      <c r="D12071" s="9" t="str">
        <f>HYPERLINK("https://otsuka-europe-crm.veevavault.com/ui/#object/approved_document__v/V5OZ025E82KBNQL", "Disclosure-Consent__Veeva-CRM__UK")</f>
        <v>Disclosure-Consent__Veeva-CRM__UK</v>
      </c>
      <c r="E12071" s="10" t="str">
        <f>HYPERLINK("https://otsuka-europe-crm.veevavault.com/ui/#object/sent_email__v/VBL00000002T562", "SE-001437419")</f>
        <v>SE-001437419</v>
      </c>
      <c r="F12071" s="11"/>
      <c r="G12071" s="12">
        <v>0</v>
      </c>
      <c r="H12071" s="12">
        <v>0</v>
      </c>
      <c r="I12071" s="12">
        <v>0</v>
      </c>
      <c r="J12071" s="11"/>
      <c r="K12071" s="12">
        <v>0</v>
      </c>
      <c r="L12071" s="10" t="str">
        <f>HYPERLINK("https://otsuka-europe-crm.veevavault.com/ui/#object/approved_document__v/V5OZ025E82KBNQL", "Disclosure-Consent__Veeva-CRM__UK")</f>
        <v>Disclosure-Consent__Veeva-CRM__UK</v>
      </c>
      <c r="M12071" s="10" t="str">
        <f>HYPERLINK("mailto:gstewart@crm.otsuka-europe.com", "gstewart@crm.otsuka-europe.com")</f>
        <v>gstewart@crm.otsuka-europe.com</v>
      </c>
      <c r="N12071" s="13">
        <v>46191.51321759259</v>
      </c>
      <c r="O12071" s="14" t="str">
        <f>HYPERLINK("https://otsuka-europe-crm.veevavault.com/ui/#object/email_activity__v/V8C00000003X995", "EN-002098595")</f>
        <v>EN-002098595</v>
      </c>
    </row>
    <row r="12072" spans="1:15" ht="16" x14ac:dyDescent="0.2">
      <c r="A12072" s="17" t="str">
        <f>HYPERLINK("https://otsuka-europe-crm.veevavault.com/ui/#object/account__v/V4TZ04ASGAZURN0", "Grifith Marchan")</f>
        <v>Grifith Marchan</v>
      </c>
      <c r="B12072" s="17" t="str">
        <f>HYPERLINK("https://otsuka-europe-crm.veevavault.com/ui/#object/vcountry__v/VENZ000004SONFK", "GB")</f>
        <v>GB</v>
      </c>
      <c r="C12072" s="20" t="s">
        <v>39</v>
      </c>
      <c r="D12072" s="21" t="str">
        <f>HYPERLINK("https://otsuka-europe-crm.veevavault.com/ui/#object/approved_document__v/V5OZ025E82KBNQL", "Disclosure-Consent__Veeva-CRM__UK")</f>
        <v>Disclosure-Consent__Veeva-CRM__UK</v>
      </c>
      <c r="E12072" s="22" t="str">
        <f>HYPERLINK("https://otsuka-europe-crm.veevavault.com/ui/#object/sent_email__v/VBL00000002T563", "SE-001437420")</f>
        <v>SE-001437420</v>
      </c>
      <c r="F12072" s="23">
        <v>46191.529872685183</v>
      </c>
      <c r="G12072" s="24">
        <v>1</v>
      </c>
      <c r="H12072" s="24">
        <v>1</v>
      </c>
      <c r="I12072" s="24">
        <v>0</v>
      </c>
      <c r="J12072" s="25"/>
      <c r="K12072" s="24">
        <v>0</v>
      </c>
      <c r="L12072" s="22" t="str">
        <f>HYPERLINK("https://otsuka-europe-crm.veevavault.com/ui/#object/approved_document__v/V5OZ025E82KBNQL", "Disclosure-Consent__Veeva-CRM__UK")</f>
        <v>Disclosure-Consent__Veeva-CRM__UK</v>
      </c>
      <c r="M12072" s="22" t="str">
        <f>HYPERLINK("mailto:gstewart@crm.otsuka-europe.com", "gstewart@crm.otsuka-europe.com")</f>
        <v>gstewart@crm.otsuka-europe.com</v>
      </c>
      <c r="N12072" s="23">
        <v>46191.513275462959</v>
      </c>
      <c r="O12072" s="14" t="str">
        <f>HYPERLINK("https://otsuka-europe-crm.veevavault.com/ui/#object/email_activity__v/V8C00000003X996", "EN-002098596")</f>
        <v>EN-002098596</v>
      </c>
    </row>
    <row r="12073" spans="1:15" ht="16" x14ac:dyDescent="0.2">
      <c r="A12073" s="19"/>
      <c r="B12073" s="19"/>
      <c r="C12073" s="19"/>
      <c r="D12073" s="19"/>
      <c r="E12073" s="19"/>
      <c r="F12073" s="19"/>
      <c r="G12073" s="19"/>
      <c r="H12073" s="19"/>
      <c r="I12073" s="19"/>
      <c r="J12073" s="19"/>
      <c r="K12073" s="19"/>
      <c r="L12073" s="19"/>
      <c r="M12073" s="19"/>
      <c r="N12073" s="19"/>
      <c r="O12073" s="14" t="str">
        <f>HYPERLINK("https://otsuka-europe-crm.veevavault.com/ui/#object/email_activity__v/V8C00000003X997", "EN-002098598")</f>
        <v>EN-002098598</v>
      </c>
    </row>
    <row r="12074" spans="1:15" ht="16" x14ac:dyDescent="0.2">
      <c r="A12074" s="17" t="str">
        <f>HYPERLINK("https://otsuka-europe-crm.veevavault.com/ui/#object/account__v/V4TZ025E83POZ65", "MARTA POLO ZARZUELA")</f>
        <v>MARTA POLO ZARZUELA</v>
      </c>
      <c r="B12074" s="17" t="str">
        <f>HYPERLINK("https://otsuka-europe-crm.veevavault.com/ui/#object/vcountry__v/VENZ000004SONF5", "ES")</f>
        <v>ES</v>
      </c>
      <c r="C12074" s="20" t="s">
        <v>41</v>
      </c>
      <c r="D12074" s="21" t="str">
        <f>HYPERLINK("https://otsuka-europe-crm.veevavault.com/ui/#object/approved_document__v/V5OZ04ASG4FWKA9", "Documento Autorizaciขn Centro Empleador")</f>
        <v>Documento Autorizaciขn Centro Empleador</v>
      </c>
      <c r="E12074" s="22" t="str">
        <f>HYPERLINK("https://otsuka-europe-crm.veevavault.com/ui/#object/sent_email__v/VBL00000002T564", "SE-001437421")</f>
        <v>SE-001437421</v>
      </c>
      <c r="F12074" s="23">
        <v>46198.497060185182</v>
      </c>
      <c r="G12074" s="24">
        <v>1</v>
      </c>
      <c r="H12074" s="24">
        <v>5</v>
      </c>
      <c r="I12074" s="24">
        <v>1</v>
      </c>
      <c r="J12074" s="23">
        <v>46191.566365740742</v>
      </c>
      <c r="K12074" s="24">
        <v>1</v>
      </c>
      <c r="L12074" s="22" t="str">
        <f>HYPERLINK("https://otsuka-europe-crm.veevavault.com/ui/#object/approved_document__v/V5OZ04ASG4FWKA9", "Documento Autorizaciขn Centro Empleador")</f>
        <v>Documento Autorizaciขn Centro Empleador</v>
      </c>
      <c r="M12074" s="22" t="str">
        <f>HYPERLINK("mailto:jguri@crm.otsuka-europe.com", "jguri@crm.otsuka-europe.com")</f>
        <v>jguri@crm.otsuka-europe.com</v>
      </c>
      <c r="N12074" s="23">
        <v>46191.560300925928</v>
      </c>
      <c r="O12074" s="14" t="str">
        <f>HYPERLINK("https://otsuka-europe-crm.veevavault.com/ui/#object/email_activity__v/V8C00000003W799", "EN-002098607")</f>
        <v>EN-002098607</v>
      </c>
    </row>
    <row r="12075" spans="1:15" ht="16" x14ac:dyDescent="0.2">
      <c r="A12075" s="18"/>
      <c r="B12075" s="18"/>
      <c r="C12075" s="18"/>
      <c r="D12075" s="18"/>
      <c r="E12075" s="18"/>
      <c r="F12075" s="18"/>
      <c r="G12075" s="18"/>
      <c r="H12075" s="18"/>
      <c r="I12075" s="18"/>
      <c r="J12075" s="18"/>
      <c r="K12075" s="18"/>
      <c r="L12075" s="18"/>
      <c r="M12075" s="18"/>
      <c r="N12075" s="18"/>
      <c r="O12075" s="14" t="str">
        <f>HYPERLINK("https://otsuka-europe-crm.veevavault.com/ui/#object/email_activity__v/V8C00000003Y004", "EN-002098606")</f>
        <v>EN-002098606</v>
      </c>
    </row>
    <row r="12076" spans="1:15" ht="16" x14ac:dyDescent="0.2">
      <c r="A12076" s="18"/>
      <c r="B12076" s="18"/>
      <c r="C12076" s="18"/>
      <c r="D12076" s="18"/>
      <c r="E12076" s="18"/>
      <c r="F12076" s="18"/>
      <c r="G12076" s="18"/>
      <c r="H12076" s="18"/>
      <c r="I12076" s="18"/>
      <c r="J12076" s="18"/>
      <c r="K12076" s="18"/>
      <c r="L12076" s="18"/>
      <c r="M12076" s="18"/>
      <c r="N12076" s="18"/>
      <c r="O12076" s="14" t="str">
        <f>HYPERLINK("https://otsuka-europe-crm.veevavault.com/ui/#object/email_activity__v/V8C00000003Y006", "EN-002098609")</f>
        <v>EN-002098609</v>
      </c>
    </row>
    <row r="12077" spans="1:15" ht="16" x14ac:dyDescent="0.2">
      <c r="A12077" s="18"/>
      <c r="B12077" s="18"/>
      <c r="C12077" s="18"/>
      <c r="D12077" s="18"/>
      <c r="E12077" s="18"/>
      <c r="F12077" s="18"/>
      <c r="G12077" s="18"/>
      <c r="H12077" s="18"/>
      <c r="I12077" s="18"/>
      <c r="J12077" s="18"/>
      <c r="K12077" s="18"/>
      <c r="L12077" s="18"/>
      <c r="M12077" s="18"/>
      <c r="N12077" s="18"/>
      <c r="O12077" s="14" t="str">
        <f>HYPERLINK("https://otsuka-europe-crm.veevavault.com/ui/#object/email_activity__v/V8C00000003Z490", "EN-002099672")</f>
        <v>EN-002099672</v>
      </c>
    </row>
    <row r="12078" spans="1:15" ht="16" x14ac:dyDescent="0.2">
      <c r="A12078" s="18"/>
      <c r="B12078" s="18"/>
      <c r="C12078" s="18"/>
      <c r="D12078" s="18"/>
      <c r="E12078" s="18"/>
      <c r="F12078" s="18"/>
      <c r="G12078" s="18"/>
      <c r="H12078" s="18"/>
      <c r="I12078" s="18"/>
      <c r="J12078" s="18"/>
      <c r="K12078" s="18"/>
      <c r="L12078" s="18"/>
      <c r="M12078" s="18"/>
      <c r="N12078" s="18"/>
      <c r="O12078" s="14" t="str">
        <f>HYPERLINK("https://otsuka-europe-crm.veevavault.com/ui/#object/email_activity__v/V8C000000040053", "EN-002098798")</f>
        <v>EN-002098798</v>
      </c>
    </row>
    <row r="12079" spans="1:15" ht="16" x14ac:dyDescent="0.2">
      <c r="A12079" s="18"/>
      <c r="B12079" s="18"/>
      <c r="C12079" s="18"/>
      <c r="D12079" s="18"/>
      <c r="E12079" s="18"/>
      <c r="F12079" s="18"/>
      <c r="G12079" s="18"/>
      <c r="H12079" s="18"/>
      <c r="I12079" s="18"/>
      <c r="J12079" s="18"/>
      <c r="K12079" s="18"/>
      <c r="L12079" s="18"/>
      <c r="M12079" s="18"/>
      <c r="N12079" s="18"/>
      <c r="O12079" s="14" t="str">
        <f>HYPERLINK("https://otsuka-europe-crm.veevavault.com/ui/#object/email_activity__v/V8C000000040054", "EN-002098799")</f>
        <v>EN-002098799</v>
      </c>
    </row>
    <row r="12080" spans="1:15" ht="16" x14ac:dyDescent="0.2">
      <c r="A12080" s="19"/>
      <c r="B12080" s="19"/>
      <c r="C12080" s="19"/>
      <c r="D12080" s="19"/>
      <c r="E12080" s="19"/>
      <c r="F12080" s="19"/>
      <c r="G12080" s="19"/>
      <c r="H12080" s="19"/>
      <c r="I12080" s="19"/>
      <c r="J12080" s="19"/>
      <c r="K12080" s="19"/>
      <c r="L12080" s="19"/>
      <c r="M12080" s="19"/>
      <c r="N12080" s="19"/>
      <c r="O12080" s="14" t="str">
        <f>HYPERLINK("https://otsuka-europe-crm.veevavault.com/ui/#object/email_activity__v/V8C000000040153", "EN-002098970")</f>
        <v>EN-002098970</v>
      </c>
    </row>
    <row r="12081" spans="1:15" ht="16" x14ac:dyDescent="0.2">
      <c r="A12081" s="17" t="str">
        <f>HYPERLINK("https://otsuka-europe-crm.veevavault.com/ui/#object/account__v/V4T000000025082", "Hannah Howells")</f>
        <v>Hannah Howells</v>
      </c>
      <c r="B12081" s="17" t="str">
        <f>HYPERLINK("https://otsuka-europe-crm.veevavault.com/ui/#object/vcountry__v/VENZ000004SONFK", "GB")</f>
        <v>GB</v>
      </c>
      <c r="C12081" s="20" t="s">
        <v>39</v>
      </c>
      <c r="D12081" s="21" t="str">
        <f>HYPERLINK("https://otsuka-europe-crm.veevavault.com/ui/#object/approved_document__v/V5OZ025E82PXJSL", "Otsuka Privacy Notice - UK (v2)")</f>
        <v>Otsuka Privacy Notice - UK (v2)</v>
      </c>
      <c r="E12081" s="22" t="str">
        <f>HYPERLINK("https://otsuka-europe-crm.veevavault.com/ui/#object/sent_email__v/VBL00000002T565", "SE-001437422")</f>
        <v>SE-001437422</v>
      </c>
      <c r="F12081" s="23">
        <v>46191.596620370372</v>
      </c>
      <c r="G12081" s="24">
        <v>1</v>
      </c>
      <c r="H12081" s="24">
        <v>1</v>
      </c>
      <c r="I12081" s="24">
        <v>0</v>
      </c>
      <c r="J12081" s="25"/>
      <c r="K12081" s="24">
        <v>0</v>
      </c>
      <c r="L12081" s="22" t="str">
        <f>HYPERLINK("https://otsuka-europe-crm.veevavault.com/ui/#object/approved_document__v/V5OZ025E82PXJSL", "Otsuka Privacy Notice - UK (v2)")</f>
        <v>Otsuka Privacy Notice - UK (v2)</v>
      </c>
      <c r="M12081" s="22" t="str">
        <f>HYPERLINK("mailto:ldimambro@crm.otsuka-europe.com", "ldimambro@crm.otsuka-europe.com")</f>
        <v>ldimambro@crm.otsuka-europe.com</v>
      </c>
      <c r="N12081" s="23">
        <v>46191.59646990741</v>
      </c>
      <c r="O12081" s="14" t="str">
        <f>HYPERLINK("https://otsuka-europe-crm.veevavault.com/ui/#object/email_activity__v/V8C00000003W803", "EN-002098617")</f>
        <v>EN-002098617</v>
      </c>
    </row>
    <row r="12082" spans="1:15" ht="16" x14ac:dyDescent="0.2">
      <c r="A12082" s="19"/>
      <c r="B12082" s="19"/>
      <c r="C12082" s="19"/>
      <c r="D12082" s="19"/>
      <c r="E12082" s="19"/>
      <c r="F12082" s="19"/>
      <c r="G12082" s="19"/>
      <c r="H12082" s="19"/>
      <c r="I12082" s="19"/>
      <c r="J12082" s="19"/>
      <c r="K12082" s="19"/>
      <c r="L12082" s="19"/>
      <c r="M12082" s="19"/>
      <c r="N12082" s="19"/>
      <c r="O12082" s="14" t="str">
        <f>HYPERLINK("https://otsuka-europe-crm.veevavault.com/ui/#object/email_activity__v/V8C00000003W804", "EN-002098618")</f>
        <v>EN-002098618</v>
      </c>
    </row>
    <row r="12083" spans="1:15" ht="16" x14ac:dyDescent="0.2">
      <c r="A12083" s="17" t="str">
        <f>HYPERLINK("https://otsuka-europe-crm.veevavault.com/ui/#object/account__v/V4T000000025082", "Hannah Howells")</f>
        <v>Hannah Howells</v>
      </c>
      <c r="B12083" s="17" t="str">
        <f>HYPERLINK("https://otsuka-europe-crm.veevavault.com/ui/#object/vcountry__v/VENZ000004SONFK", "GB")</f>
        <v>GB</v>
      </c>
      <c r="C12083" s="20" t="s">
        <v>39</v>
      </c>
      <c r="D12083" s="21" t="str">
        <f>HYPERLINK("https://otsuka-europe-crm.veevavault.com/ui/#object/approved_document__v/V5O00000000D081", "UK - Consent Email 1 Aug 25")</f>
        <v>UK - Consent Email 1 Aug 25</v>
      </c>
      <c r="E12083" s="22" t="str">
        <f>HYPERLINK("https://otsuka-europe-crm.veevavault.com/ui/#object/sent_email__v/VBL00000002T566", "SE-001437423")</f>
        <v>SE-001437423</v>
      </c>
      <c r="F12083" s="23">
        <v>46191.606458333335</v>
      </c>
      <c r="G12083" s="24">
        <v>1</v>
      </c>
      <c r="H12083" s="24">
        <v>1</v>
      </c>
      <c r="I12083" s="24">
        <v>1</v>
      </c>
      <c r="J12083" s="23">
        <v>46191.606458333335</v>
      </c>
      <c r="K12083" s="24">
        <v>1</v>
      </c>
      <c r="L12083" s="22" t="str">
        <f>HYPERLINK("https://otsuka-europe-crm.veevavault.com/ui/#object/approved_document__v/V5O00000000D081", "UK - Consent Email 1 Aug 25")</f>
        <v>UK - Consent Email 1 Aug 25</v>
      </c>
      <c r="M12083" s="22" t="str">
        <f>HYPERLINK("mailto:ldimambro@crm.otsuka-europe.com", "ldimambro@crm.otsuka-europe.com")</f>
        <v>ldimambro@crm.otsuka-europe.com</v>
      </c>
      <c r="N12083" s="23">
        <v>46191.59752314815</v>
      </c>
      <c r="O12083" s="14" t="str">
        <f>HYPERLINK("https://otsuka-europe-crm.veevavault.com/ui/#object/email_activity__v/V8C00000003W805", "EN-002098619")</f>
        <v>EN-002098619</v>
      </c>
    </row>
    <row r="12084" spans="1:15" ht="16" x14ac:dyDescent="0.2">
      <c r="A12084" s="18"/>
      <c r="B12084" s="18"/>
      <c r="C12084" s="18"/>
      <c r="D12084" s="18"/>
      <c r="E12084" s="18"/>
      <c r="F12084" s="18"/>
      <c r="G12084" s="18"/>
      <c r="H12084" s="18"/>
      <c r="I12084" s="18"/>
      <c r="J12084" s="18"/>
      <c r="K12084" s="18"/>
      <c r="L12084" s="18"/>
      <c r="M12084" s="18"/>
      <c r="N12084" s="18"/>
      <c r="O12084" s="14" t="str">
        <f>HYPERLINK("https://otsuka-europe-crm.veevavault.com/ui/#object/email_activity__v/V8C00000003Y012", "EN-002098622")</f>
        <v>EN-002098622</v>
      </c>
    </row>
    <row r="12085" spans="1:15" ht="16" x14ac:dyDescent="0.2">
      <c r="A12085" s="19"/>
      <c r="B12085" s="19"/>
      <c r="C12085" s="19"/>
      <c r="D12085" s="19"/>
      <c r="E12085" s="19"/>
      <c r="F12085" s="19"/>
      <c r="G12085" s="19"/>
      <c r="H12085" s="19"/>
      <c r="I12085" s="19"/>
      <c r="J12085" s="19"/>
      <c r="K12085" s="19"/>
      <c r="L12085" s="19"/>
      <c r="M12085" s="19"/>
      <c r="N12085" s="19"/>
      <c r="O12085" s="14" t="str">
        <f>HYPERLINK("https://otsuka-europe-crm.veevavault.com/ui/#object/email_activity__v/V8C00000003Y013", "EN-002098621")</f>
        <v>EN-002098621</v>
      </c>
    </row>
    <row r="12086" spans="1:15" ht="16" x14ac:dyDescent="0.2">
      <c r="A12086" s="17" t="str">
        <f>HYPERLINK("https://otsuka-europe-crm.veevavault.com/ui/#object/account__v/V4T000000025082", "Hannah Howells")</f>
        <v>Hannah Howells</v>
      </c>
      <c r="B12086" s="17" t="str">
        <f>HYPERLINK("https://otsuka-europe-crm.veevavault.com/ui/#object/vcountry__v/VENZ000004SONFK", "GB")</f>
        <v>GB</v>
      </c>
      <c r="C12086" s="20" t="s">
        <v>39</v>
      </c>
      <c r="D12086" s="21" t="str">
        <f>HYPERLINK("https://otsuka-europe-crm.veevavault.com/ui/#object/approved_document__v/V5OZ025E82UYOBH", "Aripiprazole 300mg PFS Available VAE")</f>
        <v>Aripiprazole 300mg PFS Available VAE</v>
      </c>
      <c r="E12086" s="22" t="str">
        <f>HYPERLINK("https://otsuka-europe-crm.veevavault.com/ui/#object/sent_email__v/VBL00000002T567", "SE-001437428")</f>
        <v>SE-001437428</v>
      </c>
      <c r="F12086" s="23">
        <v>46192.691111111111</v>
      </c>
      <c r="G12086" s="24">
        <v>1</v>
      </c>
      <c r="H12086" s="24">
        <v>5</v>
      </c>
      <c r="I12086" s="24">
        <v>0</v>
      </c>
      <c r="J12086" s="25"/>
      <c r="K12086" s="24">
        <v>0</v>
      </c>
      <c r="L12086" s="22" t="str">
        <f>HYPERLINK("https://otsuka-europe-crm.veevavault.com/ui/#object/approved_document__v/V5OZ025E82UYOBH", "Aripiprazole 300mg PFS Available VAE")</f>
        <v>Aripiprazole 300mg PFS Available VAE</v>
      </c>
      <c r="M12086" s="22" t="str">
        <f>HYPERLINK("mailto:ldimambro@crm.otsuka-europe.com", "ldimambro@crm.otsuka-europe.com")</f>
        <v>ldimambro@crm.otsuka-europe.com</v>
      </c>
      <c r="N12086" s="23">
        <v>46191.654675925929</v>
      </c>
      <c r="O12086" s="14" t="str">
        <f>HYPERLINK("https://otsuka-europe-crm.veevavault.com/ui/#object/email_activity__v/V8C00000003W818", "EN-002098642")</f>
        <v>EN-002098642</v>
      </c>
    </row>
    <row r="12087" spans="1:15" ht="16" x14ac:dyDescent="0.2">
      <c r="A12087" s="18"/>
      <c r="B12087" s="18"/>
      <c r="C12087" s="18"/>
      <c r="D12087" s="18"/>
      <c r="E12087" s="18"/>
      <c r="F12087" s="18"/>
      <c r="G12087" s="18"/>
      <c r="H12087" s="18"/>
      <c r="I12087" s="18"/>
      <c r="J12087" s="18"/>
      <c r="K12087" s="18"/>
      <c r="L12087" s="18"/>
      <c r="M12087" s="18"/>
      <c r="N12087" s="18"/>
      <c r="O12087" s="14" t="str">
        <f>HYPERLINK("https://otsuka-europe-crm.veevavault.com/ui/#object/email_activity__v/V8C00000003Y020", "EN-002098639")</f>
        <v>EN-002098639</v>
      </c>
    </row>
    <row r="12088" spans="1:15" ht="16" x14ac:dyDescent="0.2">
      <c r="A12088" s="18"/>
      <c r="B12088" s="18"/>
      <c r="C12088" s="18"/>
      <c r="D12088" s="18"/>
      <c r="E12088" s="18"/>
      <c r="F12088" s="18"/>
      <c r="G12088" s="18"/>
      <c r="H12088" s="18"/>
      <c r="I12088" s="18"/>
      <c r="J12088" s="18"/>
      <c r="K12088" s="18"/>
      <c r="L12088" s="18"/>
      <c r="M12088" s="18"/>
      <c r="N12088" s="18"/>
      <c r="O12088" s="14" t="str">
        <f>HYPERLINK("https://otsuka-europe-crm.veevavault.com/ui/#object/email_activity__v/V8C00000003Y026", "EN-002098653")</f>
        <v>EN-002098653</v>
      </c>
    </row>
    <row r="12089" spans="1:15" ht="16" x14ac:dyDescent="0.2">
      <c r="A12089" s="18"/>
      <c r="B12089" s="18"/>
      <c r="C12089" s="18"/>
      <c r="D12089" s="18"/>
      <c r="E12089" s="18"/>
      <c r="F12089" s="18"/>
      <c r="G12089" s="18"/>
      <c r="H12089" s="18"/>
      <c r="I12089" s="18"/>
      <c r="J12089" s="18"/>
      <c r="K12089" s="18"/>
      <c r="L12089" s="18"/>
      <c r="M12089" s="18"/>
      <c r="N12089" s="18"/>
      <c r="O12089" s="14" t="str">
        <f>HYPERLINK("https://otsuka-europe-crm.veevavault.com/ui/#object/email_activity__v/V8C00000003Y027", "EN-002098654")</f>
        <v>EN-002098654</v>
      </c>
    </row>
    <row r="12090" spans="1:15" ht="16" x14ac:dyDescent="0.2">
      <c r="A12090" s="18"/>
      <c r="B12090" s="18"/>
      <c r="C12090" s="18"/>
      <c r="D12090" s="18"/>
      <c r="E12090" s="18"/>
      <c r="F12090" s="18"/>
      <c r="G12090" s="18"/>
      <c r="H12090" s="18"/>
      <c r="I12090" s="18"/>
      <c r="J12090" s="18"/>
      <c r="K12090" s="18"/>
      <c r="L12090" s="18"/>
      <c r="M12090" s="18"/>
      <c r="N12090" s="18"/>
      <c r="O12090" s="14" t="str">
        <f>HYPERLINK("https://otsuka-europe-crm.veevavault.com/ui/#object/email_activity__v/V8C000000040016", "EN-002098730")</f>
        <v>EN-002098730</v>
      </c>
    </row>
    <row r="12091" spans="1:15" ht="16" x14ac:dyDescent="0.2">
      <c r="A12091" s="19"/>
      <c r="B12091" s="19"/>
      <c r="C12091" s="19"/>
      <c r="D12091" s="19"/>
      <c r="E12091" s="19"/>
      <c r="F12091" s="19"/>
      <c r="G12091" s="19"/>
      <c r="H12091" s="19"/>
      <c r="I12091" s="19"/>
      <c r="J12091" s="19"/>
      <c r="K12091" s="19"/>
      <c r="L12091" s="19"/>
      <c r="M12091" s="19"/>
      <c r="N12091" s="19"/>
      <c r="O12091" s="14" t="str">
        <f>HYPERLINK("https://otsuka-europe-crm.veevavault.com/ui/#object/email_activity__v/V8C000000040083", "EN-002098851")</f>
        <v>EN-002098851</v>
      </c>
    </row>
    <row r="12092" spans="1:15" ht="16" x14ac:dyDescent="0.2">
      <c r="A12092" s="17" t="str">
        <f>HYPERLINK("https://otsuka-europe-crm.veevavault.com/ui/#object/account__v/V4T000000025082", "Hannah Howells")</f>
        <v>Hannah Howells</v>
      </c>
      <c r="B12092" s="17" t="str">
        <f>HYPERLINK("https://otsuka-europe-crm.veevavault.com/ui/#object/vcountry__v/VENZ000004SONFK", "GB")</f>
        <v>GB</v>
      </c>
      <c r="C12092" s="20" t="s">
        <v>39</v>
      </c>
      <c r="D12092" s="21" t="str">
        <f>HYPERLINK("https://otsuka-europe-crm.veevavault.com/ui/#object/approved_document__v/V5OZ025E82TSZBI", "Aripiprazole 960mg Fragment VAE")</f>
        <v>Aripiprazole 960mg Fragment VAE</v>
      </c>
      <c r="E12092" s="22" t="str">
        <f>HYPERLINK("https://otsuka-europe-crm.veevavault.com/ui/#object/sent_email__v/VBL00000002T568", "SE-001437429")</f>
        <v>SE-001437429</v>
      </c>
      <c r="F12092" s="23">
        <v>46191.68472222222</v>
      </c>
      <c r="G12092" s="24">
        <v>1</v>
      </c>
      <c r="H12092" s="24">
        <v>1</v>
      </c>
      <c r="I12092" s="24">
        <v>0</v>
      </c>
      <c r="J12092" s="25"/>
      <c r="K12092" s="24">
        <v>0</v>
      </c>
      <c r="L12092" s="22" t="str">
        <f>HYPERLINK("https://otsuka-europe-crm.veevavault.com/ui/#object/approved_document__v/V5OZ025E82TSZBI", "Aripiprazole 960mg Fragment VAE")</f>
        <v>Aripiprazole 960mg Fragment VAE</v>
      </c>
      <c r="M12092" s="22" t="str">
        <f>HYPERLINK("mailto:ldimambro@crm.otsuka-europe.com", "ldimambro@crm.otsuka-europe.com")</f>
        <v>ldimambro@crm.otsuka-europe.com</v>
      </c>
      <c r="N12092" s="23">
        <v>46191.655115740738</v>
      </c>
      <c r="O12092" s="14" t="str">
        <f>HYPERLINK("https://otsuka-europe-crm.veevavault.com/ui/#object/email_activity__v/V8C00000003W816", "EN-002098640")</f>
        <v>EN-002098640</v>
      </c>
    </row>
    <row r="12093" spans="1:15" ht="16" x14ac:dyDescent="0.2">
      <c r="A12093" s="19"/>
      <c r="B12093" s="19"/>
      <c r="C12093" s="19"/>
      <c r="D12093" s="19"/>
      <c r="E12093" s="19"/>
      <c r="F12093" s="19"/>
      <c r="G12093" s="19"/>
      <c r="H12093" s="19"/>
      <c r="I12093" s="19"/>
      <c r="J12093" s="19"/>
      <c r="K12093" s="19"/>
      <c r="L12093" s="19"/>
      <c r="M12093" s="19"/>
      <c r="N12093" s="19"/>
      <c r="O12093" s="14" t="str">
        <f>HYPERLINK("https://otsuka-europe-crm.veevavault.com/ui/#object/email_activity__v/V8C00000003W823", "EN-002098652")</f>
        <v>EN-002098652</v>
      </c>
    </row>
    <row r="12094" spans="1:15" ht="32" x14ac:dyDescent="0.2">
      <c r="A12094" s="7" t="str">
        <f>HYPERLINK("https://otsuka-europe-crm.veevavault.com/ui/#object/account__v/V4T00000001W052", "ELENA MARTIN FERNANDEZ")</f>
        <v>ELENA MARTIN FERNANDEZ</v>
      </c>
      <c r="B12094" s="7" t="str">
        <f>HYPERLINK("https://otsuka-europe-crm.veevavault.com/ui/#object/vcountry__v/VENZ000004SONF5", "ES")</f>
        <v>ES</v>
      </c>
      <c r="C12094" s="8" t="s">
        <v>41</v>
      </c>
      <c r="D12094" s="9" t="str">
        <f>HYPERLINK("https://otsuka-europe-crm.veevavault.com/ui/#object/approved_document__v/V5OZ06G6O6RFL1P", "ES Veeva Privacy Notice Email")</f>
        <v>ES Veeva Privacy Notice Email</v>
      </c>
      <c r="E12094" s="10" t="str">
        <f>HYPERLINK("https://otsuka-europe-crm.veevavault.com/ui/#object/sent_email__v/VBL00000002T569", "SE-001437430")</f>
        <v>SE-001437430</v>
      </c>
      <c r="F12094" s="11"/>
      <c r="G12094" s="12">
        <v>0</v>
      </c>
      <c r="H12094" s="12">
        <v>0</v>
      </c>
      <c r="I12094" s="12">
        <v>0</v>
      </c>
      <c r="J12094" s="11"/>
      <c r="K12094" s="12">
        <v>0</v>
      </c>
      <c r="L12094" s="10" t="str">
        <f>HYPERLINK("https://otsuka-europe-crm.veevavault.com/ui/#object/approved_document__v/V5OZ06G6O6RFL1P", "ES Veeva Privacy Notice Email")</f>
        <v>ES Veeva Privacy Notice Email</v>
      </c>
      <c r="M12094" s="10" t="str">
        <f>HYPERLINK("mailto:amartinez@crm.otsuka-europe.com", "amartinez@crm.otsuka-europe.com")</f>
        <v>amartinez@crm.otsuka-europe.com</v>
      </c>
      <c r="N12094" s="13">
        <v>46191.656145833331</v>
      </c>
      <c r="O12094" s="14" t="str">
        <f>HYPERLINK("https://otsuka-europe-crm.veevavault.com/ui/#object/email_activity__v/V8C00000003W817", "EN-002098641")</f>
        <v>EN-002098641</v>
      </c>
    </row>
    <row r="12095" spans="1:15" ht="16" x14ac:dyDescent="0.2">
      <c r="A12095" s="17" t="str">
        <f>HYPERLINK("https://otsuka-europe-crm.veevavault.com/ui/#object/account__v/V4TZ04ASGAVBTJJ", "ANNARITA BARONE")</f>
        <v>ANNARITA BARONE</v>
      </c>
      <c r="B12095" s="17" t="str">
        <f>HYPERLINK("https://otsuka-europe-crm.veevavault.com/ui/#object/vcountry__v/VENZ000004SONFQ", "IT")</f>
        <v>IT</v>
      </c>
      <c r="C12095" s="20" t="s">
        <v>44</v>
      </c>
      <c r="D12095" s="21" t="str">
        <f>HYPERLINK("https://otsuka-europe-crm.veevavault.com/ui/#object/approved_document__v/V5O00000001G004", "Branded_RXULTI_AE Ansia_IT-RXU-2500035")</f>
        <v>Branded_RXULTI_AE Ansia_IT-RXU-2500035</v>
      </c>
      <c r="E12095" s="22" t="str">
        <f>HYPERLINK("https://otsuka-europe-crm.veevavault.com/ui/#object/sent_email__v/VBL00000002W001", "SE-001437432")</f>
        <v>SE-001437432</v>
      </c>
      <c r="F12095" s="23">
        <v>46192.944409722222</v>
      </c>
      <c r="G12095" s="24">
        <v>1</v>
      </c>
      <c r="H12095" s="24">
        <v>1</v>
      </c>
      <c r="I12095" s="24">
        <v>0</v>
      </c>
      <c r="J12095" s="25"/>
      <c r="K12095" s="24">
        <v>0</v>
      </c>
      <c r="L12095" s="22" t="str">
        <f>HYPERLINK("https://otsuka-europe-crm.veevavault.com/ui/#object/approved_document__v/V5O00000001G004", "Branded_RXULTI_AE Ansia_IT-RXU-2500035")</f>
        <v>Branded_RXULTI_AE Ansia_IT-RXU-2500035</v>
      </c>
      <c r="M12095" s="22" t="str">
        <f>HYPERLINK("mailto:maria.gargiulo@crm.otsuka-europe.com", "maria.gargiulo@crm.otsuka-europe.com")</f>
        <v>maria.gargiulo@crm.otsuka-europe.com</v>
      </c>
      <c r="N12095" s="23">
        <v>46192.296006944445</v>
      </c>
      <c r="O12095" s="14" t="str">
        <f>HYPERLINK("https://otsuka-europe-crm.veevavault.com/ui/#object/email_activity__v/V8C000000040006", "EN-002098698")</f>
        <v>EN-002098698</v>
      </c>
    </row>
    <row r="12096" spans="1:15" ht="16" x14ac:dyDescent="0.2">
      <c r="A12096" s="19"/>
      <c r="B12096" s="19"/>
      <c r="C12096" s="19"/>
      <c r="D12096" s="19"/>
      <c r="E12096" s="19"/>
      <c r="F12096" s="19"/>
      <c r="G12096" s="19"/>
      <c r="H12096" s="19"/>
      <c r="I12096" s="19"/>
      <c r="J12096" s="19"/>
      <c r="K12096" s="19"/>
      <c r="L12096" s="19"/>
      <c r="M12096" s="19"/>
      <c r="N12096" s="19"/>
      <c r="O12096" s="14" t="str">
        <f>HYPERLINK("https://otsuka-europe-crm.veevavault.com/ui/#object/email_activity__v/V8C000000040092", "EN-002098866")</f>
        <v>EN-002098866</v>
      </c>
    </row>
    <row r="12097" spans="1:15" ht="16" x14ac:dyDescent="0.2">
      <c r="A12097" s="17" t="str">
        <f>HYPERLINK("https://otsuka-europe-crm.veevavault.com/ui/#object/account__v/V4TZ06G6O71S9ZV", "RENATO BELLINELLO")</f>
        <v>RENATO BELLINELLO</v>
      </c>
      <c r="B12097" s="17" t="str">
        <f>HYPERLINK("https://otsuka-europe-crm.veevavault.com/ui/#object/vcountry__v/VENZ000004SONFQ", "IT")</f>
        <v>IT</v>
      </c>
      <c r="C12097" s="20" t="s">
        <v>44</v>
      </c>
      <c r="D12097" s="21" t="str">
        <f>HYPERLINK("https://otsuka-europe-crm.veevavault.com/ui/#object/approved_document__v/V5O00000001G004", "Branded_RXULTI_AE Ansia_IT-RXU-2500035")</f>
        <v>Branded_RXULTI_AE Ansia_IT-RXU-2500035</v>
      </c>
      <c r="E12097" s="22" t="str">
        <f>HYPERLINK("https://otsuka-europe-crm.veevavault.com/ui/#object/sent_email__v/VBL00000002W002", "SE-001437433")</f>
        <v>SE-001437433</v>
      </c>
      <c r="F12097" s="25"/>
      <c r="G12097" s="24">
        <v>0</v>
      </c>
      <c r="H12097" s="24">
        <v>0</v>
      </c>
      <c r="I12097" s="24">
        <v>0</v>
      </c>
      <c r="J12097" s="25"/>
      <c r="K12097" s="24">
        <v>0</v>
      </c>
      <c r="L12097" s="22" t="str">
        <f>HYPERLINK("https://otsuka-europe-crm.veevavault.com/ui/#object/approved_document__v/V5O00000001G004", "Branded_RXULTI_AE Ansia_IT-RXU-2500035")</f>
        <v>Branded_RXULTI_AE Ansia_IT-RXU-2500035</v>
      </c>
      <c r="M12097" s="22" t="str">
        <f>HYPERLINK("mailto:maria.gargiulo@crm.otsuka-europe.com", "maria.gargiulo@crm.otsuka-europe.com")</f>
        <v>maria.gargiulo@crm.otsuka-europe.com</v>
      </c>
      <c r="N12097" s="23">
        <v>46192.296342592592</v>
      </c>
      <c r="O12097" s="14" t="str">
        <f>HYPERLINK("https://otsuka-europe-crm.veevavault.com/ui/#object/email_activity__v/V8C00000003Z055", "EN-002098734")</f>
        <v>EN-002098734</v>
      </c>
    </row>
    <row r="12098" spans="1:15" ht="16" x14ac:dyDescent="0.2">
      <c r="A12098" s="18"/>
      <c r="B12098" s="18"/>
      <c r="C12098" s="18"/>
      <c r="D12098" s="18"/>
      <c r="E12098" s="18"/>
      <c r="F12098" s="18"/>
      <c r="G12098" s="18"/>
      <c r="H12098" s="18"/>
      <c r="I12098" s="18"/>
      <c r="J12098" s="18"/>
      <c r="K12098" s="18"/>
      <c r="L12098" s="18"/>
      <c r="M12098" s="18"/>
      <c r="N12098" s="18"/>
      <c r="O12098" s="14" t="str">
        <f>HYPERLINK("https://otsuka-europe-crm.veevavault.com/ui/#object/email_activity__v/V8C000000040007", "EN-002098700")</f>
        <v>EN-002098700</v>
      </c>
    </row>
    <row r="12099" spans="1:15" ht="16" x14ac:dyDescent="0.2">
      <c r="A12099" s="18"/>
      <c r="B12099" s="18"/>
      <c r="C12099" s="18"/>
      <c r="D12099" s="18"/>
      <c r="E12099" s="18"/>
      <c r="F12099" s="18"/>
      <c r="G12099" s="18"/>
      <c r="H12099" s="18"/>
      <c r="I12099" s="18"/>
      <c r="J12099" s="18"/>
      <c r="K12099" s="18"/>
      <c r="L12099" s="18"/>
      <c r="M12099" s="18"/>
      <c r="N12099" s="18"/>
      <c r="O12099" s="14" t="str">
        <f>HYPERLINK("https://otsuka-europe-crm.veevavault.com/ui/#object/email_activity__v/V8C000000040009", "EN-002098707")</f>
        <v>EN-002098707</v>
      </c>
    </row>
    <row r="12100" spans="1:15" ht="16" x14ac:dyDescent="0.2">
      <c r="A12100" s="19"/>
      <c r="B12100" s="19"/>
      <c r="C12100" s="19"/>
      <c r="D12100" s="19"/>
      <c r="E12100" s="19"/>
      <c r="F12100" s="19"/>
      <c r="G12100" s="19"/>
      <c r="H12100" s="19"/>
      <c r="I12100" s="19"/>
      <c r="J12100" s="19"/>
      <c r="K12100" s="19"/>
      <c r="L12100" s="19"/>
      <c r="M12100" s="19"/>
      <c r="N12100" s="19"/>
      <c r="O12100" s="14" t="str">
        <f>HYPERLINK("https://otsuka-europe-crm.veevavault.com/ui/#object/email_activity__v/V8C000000042282", "EN-002100270")</f>
        <v>EN-002100270</v>
      </c>
    </row>
    <row r="12101" spans="1:15" ht="32" x14ac:dyDescent="0.2">
      <c r="A12101" s="7" t="str">
        <f>HYPERLINK("https://otsuka-europe-crm.veevavault.com/ui/#object/account__v/V4TZ06G6O71S9ZY", "CONCETTA BELLINI")</f>
        <v>CONCETTA BELLINI</v>
      </c>
      <c r="B12101" s="7" t="str">
        <f>HYPERLINK("https://otsuka-europe-crm.veevavault.com/ui/#object/vcountry__v/VENZ000004SONFQ", "IT")</f>
        <v>IT</v>
      </c>
      <c r="C12101" s="8" t="s">
        <v>44</v>
      </c>
      <c r="D12101" s="9" t="str">
        <f>HYPERLINK("https://otsuka-europe-crm.veevavault.com/ui/#object/approved_document__v/V5O00000001G004", "Branded_RXULTI_AE Ansia_IT-RXU-2500035")</f>
        <v>Branded_RXULTI_AE Ansia_IT-RXU-2500035</v>
      </c>
      <c r="E12101" s="10" t="str">
        <f>HYPERLINK("https://otsuka-europe-crm.veevavault.com/ui/#object/sent_email__v/VBL00000002W003", "SE-001437434")</f>
        <v>SE-001437434</v>
      </c>
      <c r="F12101" s="11"/>
      <c r="G12101" s="12">
        <v>0</v>
      </c>
      <c r="H12101" s="12">
        <v>0</v>
      </c>
      <c r="I12101" s="12">
        <v>0</v>
      </c>
      <c r="J12101" s="11"/>
      <c r="K12101" s="12">
        <v>0</v>
      </c>
      <c r="L12101" s="10" t="str">
        <f>HYPERLINK("https://otsuka-europe-crm.veevavault.com/ui/#object/approved_document__v/V5O00000001G004", "Branded_RXULTI_AE Ansia_IT-RXU-2500035")</f>
        <v>Branded_RXULTI_AE Ansia_IT-RXU-2500035</v>
      </c>
      <c r="M12101" s="10" t="str">
        <f>HYPERLINK("mailto:maria.gargiulo@crm.otsuka-europe.com", "maria.gargiulo@crm.otsuka-europe.com")</f>
        <v>maria.gargiulo@crm.otsuka-europe.com</v>
      </c>
      <c r="N12101" s="13">
        <v>46192.29650462963</v>
      </c>
      <c r="O12101" s="14" t="str">
        <f>HYPERLINK("https://otsuka-europe-crm.veevavault.com/ui/#object/email_activity__v/V8C00000003Z032", "EN-002098699")</f>
        <v>EN-002098699</v>
      </c>
    </row>
    <row r="12102" spans="1:15" ht="16" x14ac:dyDescent="0.2">
      <c r="A12102" s="17" t="str">
        <f>HYPERLINK("https://otsuka-europe-crm.veevavault.com/ui/#object/account__v/V4TZ06G6O71SB3Y", "MARIA TERESA VOSO")</f>
        <v>MARIA TERESA VOSO</v>
      </c>
      <c r="B12102" s="17" t="str">
        <f>HYPERLINK("https://otsuka-europe-crm.veevavault.com/ui/#object/vcountry__v/VENZ000004SONFQ", "IT")</f>
        <v>IT</v>
      </c>
      <c r="C12102" s="20" t="s">
        <v>44</v>
      </c>
      <c r="D12102" s="21" t="str">
        <f>HYPERLINK("https://otsuka-europe-crm.veevavault.com/ui/#object/approved_document__v/V5OZ06G6O6RG2ES", "IT Veeva Double Opt-In Remote Meetings")</f>
        <v>IT Veeva Double Opt-In Remote Meetings</v>
      </c>
      <c r="E12102" s="22" t="str">
        <f>HYPERLINK("https://otsuka-europe-crm.veevavault.com/ui/#object/sent_email__v/VBL00000002W004", "SE-001437435")</f>
        <v>SE-001437435</v>
      </c>
      <c r="F12102" s="23">
        <v>46192.327696759261</v>
      </c>
      <c r="G12102" s="24">
        <v>1</v>
      </c>
      <c r="H12102" s="24">
        <v>1</v>
      </c>
      <c r="I12102" s="24">
        <v>1</v>
      </c>
      <c r="J12102" s="23">
        <v>46192.328148148146</v>
      </c>
      <c r="K12102" s="24">
        <v>4</v>
      </c>
      <c r="L12102" s="22" t="str">
        <f>HYPERLINK("https://otsuka-europe-crm.veevavault.com/ui/#object/approved_document__v/V5OZ06G6O6RG2ES", "IT Veeva Double Opt-In Remote Meetings")</f>
        <v>IT Veeva Double Opt-In Remote Meetings</v>
      </c>
      <c r="M12102" s="22" t="str">
        <f>HYPERLINK("mailto:marcello.salis@crm.otsuka-europe.com", "marcello.salis@crm.otsuka-europe.com")</f>
        <v>marcello.salis@crm.otsuka-europe.com</v>
      </c>
      <c r="N12102" s="23">
        <v>46192.302974537037</v>
      </c>
      <c r="O12102" s="14" t="str">
        <f>HYPERLINK("https://otsuka-europe-crm.veevavault.com/ui/#object/email_activity__v/V8C00000003Z034", "EN-002098702")</f>
        <v>EN-002098702</v>
      </c>
    </row>
    <row r="12103" spans="1:15" ht="16" x14ac:dyDescent="0.2">
      <c r="A12103" s="18"/>
      <c r="B12103" s="18"/>
      <c r="C12103" s="18"/>
      <c r="D12103" s="18"/>
      <c r="E12103" s="18"/>
      <c r="F12103" s="18"/>
      <c r="G12103" s="18"/>
      <c r="H12103" s="18"/>
      <c r="I12103" s="18"/>
      <c r="J12103" s="18"/>
      <c r="K12103" s="18"/>
      <c r="L12103" s="18"/>
      <c r="M12103" s="18"/>
      <c r="N12103" s="18"/>
      <c r="O12103" s="14" t="str">
        <f>HYPERLINK("https://otsuka-europe-crm.veevavault.com/ui/#object/email_activity__v/V8C00000003Z043", "EN-002098718")</f>
        <v>EN-002098718</v>
      </c>
    </row>
    <row r="12104" spans="1:15" ht="16" x14ac:dyDescent="0.2">
      <c r="A12104" s="18"/>
      <c r="B12104" s="18"/>
      <c r="C12104" s="18"/>
      <c r="D12104" s="18"/>
      <c r="E12104" s="18"/>
      <c r="F12104" s="18"/>
      <c r="G12104" s="18"/>
      <c r="H12104" s="18"/>
      <c r="I12104" s="18"/>
      <c r="J12104" s="18"/>
      <c r="K12104" s="18"/>
      <c r="L12104" s="18"/>
      <c r="M12104" s="18"/>
      <c r="N12104" s="18"/>
      <c r="O12104" s="14" t="str">
        <f>HYPERLINK("https://otsuka-europe-crm.veevavault.com/ui/#object/email_activity__v/V8C000000040010", "EN-002098714")</f>
        <v>EN-002098714</v>
      </c>
    </row>
    <row r="12105" spans="1:15" ht="16" x14ac:dyDescent="0.2">
      <c r="A12105" s="18"/>
      <c r="B12105" s="18"/>
      <c r="C12105" s="18"/>
      <c r="D12105" s="18"/>
      <c r="E12105" s="18"/>
      <c r="F12105" s="18"/>
      <c r="G12105" s="18"/>
      <c r="H12105" s="18"/>
      <c r="I12105" s="18"/>
      <c r="J12105" s="18"/>
      <c r="K12105" s="18"/>
      <c r="L12105" s="18"/>
      <c r="M12105" s="18"/>
      <c r="N12105" s="18"/>
      <c r="O12105" s="14" t="str">
        <f>HYPERLINK("https://otsuka-europe-crm.veevavault.com/ui/#object/email_activity__v/V8C000000040011", "EN-002098713")</f>
        <v>EN-002098713</v>
      </c>
    </row>
    <row r="12106" spans="1:15" ht="16" x14ac:dyDescent="0.2">
      <c r="A12106" s="18"/>
      <c r="B12106" s="18"/>
      <c r="C12106" s="18"/>
      <c r="D12106" s="18"/>
      <c r="E12106" s="18"/>
      <c r="F12106" s="18"/>
      <c r="G12106" s="18"/>
      <c r="H12106" s="18"/>
      <c r="I12106" s="18"/>
      <c r="J12106" s="18"/>
      <c r="K12106" s="18"/>
      <c r="L12106" s="18"/>
      <c r="M12106" s="18"/>
      <c r="N12106" s="18"/>
      <c r="O12106" s="14" t="str">
        <f>HYPERLINK("https://otsuka-europe-crm.veevavault.com/ui/#object/email_activity__v/V8C000000040013", "EN-002098716")</f>
        <v>EN-002098716</v>
      </c>
    </row>
    <row r="12107" spans="1:15" ht="16" x14ac:dyDescent="0.2">
      <c r="A12107" s="19"/>
      <c r="B12107" s="19"/>
      <c r="C12107" s="19"/>
      <c r="D12107" s="19"/>
      <c r="E12107" s="19"/>
      <c r="F12107" s="19"/>
      <c r="G12107" s="19"/>
      <c r="H12107" s="19"/>
      <c r="I12107" s="19"/>
      <c r="J12107" s="19"/>
      <c r="K12107" s="19"/>
      <c r="L12107" s="19"/>
      <c r="M12107" s="19"/>
      <c r="N12107" s="19"/>
      <c r="O12107" s="14" t="str">
        <f>HYPERLINK("https://otsuka-europe-crm.veevavault.com/ui/#object/email_activity__v/V8C000000040014", "EN-002098717")</f>
        <v>EN-002098717</v>
      </c>
    </row>
    <row r="12108" spans="1:15" ht="32" x14ac:dyDescent="0.2">
      <c r="A12108" s="7" t="str">
        <f>HYPERLINK("https://otsuka-europe-crm.veevavault.com/ui/#object/account__v/V4TZ06G6O71SB3Y", "MARIA TERESA VOSO")</f>
        <v>MARIA TERESA VOSO</v>
      </c>
      <c r="B12108" s="7" t="str">
        <f>HYPERLINK("https://otsuka-europe-crm.veevavault.com/ui/#object/vcountry__v/VENZ000004SONFQ", "IT")</f>
        <v>IT</v>
      </c>
      <c r="C12108" s="8" t="s">
        <v>44</v>
      </c>
      <c r="D12108" s="9" t="str">
        <f>HYPERLINK("https://otsuka-europe-crm.veevavault.com/ui/#object/approved_document__v/V5OZ06G6O6RG2EU", "IT Veeva Double Opt-In Market Med+Sci")</f>
        <v>IT Veeva Double Opt-In Market Med+Sci</v>
      </c>
      <c r="E12108" s="10" t="str">
        <f>HYPERLINK("https://otsuka-europe-crm.veevavault.com/ui/#object/sent_email__v/VBL00000002W005", "SE-001437436")</f>
        <v>SE-001437436</v>
      </c>
      <c r="F12108" s="11"/>
      <c r="G12108" s="12">
        <v>0</v>
      </c>
      <c r="H12108" s="12">
        <v>0</v>
      </c>
      <c r="I12108" s="12">
        <v>0</v>
      </c>
      <c r="J12108" s="11"/>
      <c r="K12108" s="12">
        <v>0</v>
      </c>
      <c r="L12108" s="10" t="str">
        <f>HYPERLINK("https://otsuka-europe-crm.veevavault.com/ui/#object/approved_document__v/V5OZ06G6O6RG2EU", "IT Veeva Double Opt-In Market Med+Sci")</f>
        <v>IT Veeva Double Opt-In Market Med+Sci</v>
      </c>
      <c r="M12108" s="10" t="str">
        <f>HYPERLINK("mailto:marcello.salis@crm.otsuka-europe.com", "marcello.salis@crm.otsuka-europe.com")</f>
        <v>marcello.salis@crm.otsuka-europe.com</v>
      </c>
      <c r="N12108" s="13">
        <v>46192.302986111114</v>
      </c>
      <c r="O12108" s="14" t="str">
        <f>HYPERLINK("https://otsuka-europe-crm.veevavault.com/ui/#object/email_activity__v/V8C00000003Z035", "EN-002098703")</f>
        <v>EN-002098703</v>
      </c>
    </row>
    <row r="12109" spans="1:15" ht="16" x14ac:dyDescent="0.2">
      <c r="A12109" s="17" t="str">
        <f>HYPERLINK("https://otsuka-europe-crm.veevavault.com/ui/#object/account__v/V4TZ06G6O71SB3Y", "MARIA TERESA VOSO")</f>
        <v>MARIA TERESA VOSO</v>
      </c>
      <c r="B12109" s="17" t="str">
        <f>HYPERLINK("https://otsuka-europe-crm.veevavault.com/ui/#object/vcountry__v/VENZ000004SONFQ", "IT")</f>
        <v>IT</v>
      </c>
      <c r="C12109" s="20" t="s">
        <v>44</v>
      </c>
      <c r="D12109" s="21" t="str">
        <f>HYPERLINK("https://otsuka-europe-crm.veevavault.com/ui/#object/approved_document__v/V5O00000000K007", "Italy - Consent Email Aug 25 v2")</f>
        <v>Italy - Consent Email Aug 25 v2</v>
      </c>
      <c r="E12109" s="22" t="str">
        <f>HYPERLINK("https://otsuka-europe-crm.veevavault.com/ui/#object/sent_email__v/VBL00000002W006", "SE-001437437")</f>
        <v>SE-001437437</v>
      </c>
      <c r="F12109" s="23">
        <v>46192.3284375</v>
      </c>
      <c r="G12109" s="24">
        <v>1</v>
      </c>
      <c r="H12109" s="24">
        <v>1</v>
      </c>
      <c r="I12109" s="24">
        <v>1</v>
      </c>
      <c r="J12109" s="23">
        <v>46192.328483796293</v>
      </c>
      <c r="K12109" s="24">
        <v>2</v>
      </c>
      <c r="L12109" s="22" t="str">
        <f>HYPERLINK("https://otsuka-europe-crm.veevavault.com/ui/#object/approved_document__v/V5O00000000K007", "Italy - Consent Email Aug 25 v2")</f>
        <v>Italy - Consent Email Aug 25 v2</v>
      </c>
      <c r="M12109" s="22" t="str">
        <f>HYPERLINK("mailto:marcello.salis@crm.otsuka-europe.com", "marcello.salis@crm.otsuka-europe.com")</f>
        <v>marcello.salis@crm.otsuka-europe.com</v>
      </c>
      <c r="N12109" s="23">
        <v>46192.302974537037</v>
      </c>
      <c r="O12109" s="14" t="str">
        <f>HYPERLINK("https://otsuka-europe-crm.veevavault.com/ui/#object/email_activity__v/V8C00000003Z036", "EN-002098704")</f>
        <v>EN-002098704</v>
      </c>
    </row>
    <row r="12110" spans="1:15" ht="16" x14ac:dyDescent="0.2">
      <c r="A12110" s="18"/>
      <c r="B12110" s="18"/>
      <c r="C12110" s="18"/>
      <c r="D12110" s="18"/>
      <c r="E12110" s="18"/>
      <c r="F12110" s="18"/>
      <c r="G12110" s="18"/>
      <c r="H12110" s="18"/>
      <c r="I12110" s="18"/>
      <c r="J12110" s="18"/>
      <c r="K12110" s="18"/>
      <c r="L12110" s="18"/>
      <c r="M12110" s="18"/>
      <c r="N12110" s="18"/>
      <c r="O12110" s="14" t="str">
        <f>HYPERLINK("https://otsuka-europe-crm.veevavault.com/ui/#object/email_activity__v/V8C00000003Z044", "EN-002098720")</f>
        <v>EN-002098720</v>
      </c>
    </row>
    <row r="12111" spans="1:15" ht="16" x14ac:dyDescent="0.2">
      <c r="A12111" s="18"/>
      <c r="B12111" s="18"/>
      <c r="C12111" s="18"/>
      <c r="D12111" s="18"/>
      <c r="E12111" s="18"/>
      <c r="F12111" s="18"/>
      <c r="G12111" s="18"/>
      <c r="H12111" s="18"/>
      <c r="I12111" s="18"/>
      <c r="J12111" s="18"/>
      <c r="K12111" s="18"/>
      <c r="L12111" s="18"/>
      <c r="M12111" s="18"/>
      <c r="N12111" s="18"/>
      <c r="O12111" s="14" t="str">
        <f>HYPERLINK("https://otsuka-europe-crm.veevavault.com/ui/#object/email_activity__v/V8C00000003Z045", "EN-002098719")</f>
        <v>EN-002098719</v>
      </c>
    </row>
    <row r="12112" spans="1:15" ht="16" x14ac:dyDescent="0.2">
      <c r="A12112" s="19"/>
      <c r="B12112" s="19"/>
      <c r="C12112" s="19"/>
      <c r="D12112" s="19"/>
      <c r="E12112" s="19"/>
      <c r="F12112" s="19"/>
      <c r="G12112" s="19"/>
      <c r="H12112" s="19"/>
      <c r="I12112" s="19"/>
      <c r="J12112" s="19"/>
      <c r="K12112" s="19"/>
      <c r="L12112" s="19"/>
      <c r="M12112" s="19"/>
      <c r="N12112" s="19"/>
      <c r="O12112" s="14" t="str">
        <f>HYPERLINK("https://otsuka-europe-crm.veevavault.com/ui/#object/email_activity__v/V8C00000003Z046", "EN-002098721")</f>
        <v>EN-002098721</v>
      </c>
    </row>
    <row r="12113" spans="1:15" ht="16" x14ac:dyDescent="0.2">
      <c r="A12113" s="17" t="str">
        <f>HYPERLINK("https://otsuka-europe-crm.veevavault.com/ui/#object/account__v/V4TZ06G6O71SB3Y", "MARIA TERESA VOSO")</f>
        <v>MARIA TERESA VOSO</v>
      </c>
      <c r="B12113" s="17" t="str">
        <f>HYPERLINK("https://otsuka-europe-crm.veevavault.com/ui/#object/vcountry__v/VENZ000004SONFQ", "IT")</f>
        <v>IT</v>
      </c>
      <c r="C12113" s="20" t="s">
        <v>44</v>
      </c>
      <c r="D12113" s="21" t="str">
        <f>HYPERLINK("https://otsuka-europe-crm.veevavault.com/ui/#object/approved_document__v/V5OZ06G6O6RG2EU", "IT Veeva Double Opt-In Market Med+Sci")</f>
        <v>IT Veeva Double Opt-In Market Med+Sci</v>
      </c>
      <c r="E12113" s="22" t="str">
        <f>HYPERLINK("https://otsuka-europe-crm.veevavault.com/ui/#object/sent_email__v/VBL00000002X005", "SE-001437442")</f>
        <v>SE-001437442</v>
      </c>
      <c r="F12113" s="23">
        <v>46192.361967592595</v>
      </c>
      <c r="G12113" s="24">
        <v>1</v>
      </c>
      <c r="H12113" s="24">
        <v>2</v>
      </c>
      <c r="I12113" s="24">
        <v>1</v>
      </c>
      <c r="J12113" s="23">
        <v>46192.361967592595</v>
      </c>
      <c r="K12113" s="24">
        <v>2</v>
      </c>
      <c r="L12113" s="22" t="str">
        <f>HYPERLINK("https://otsuka-europe-crm.veevavault.com/ui/#object/approved_document__v/V5OZ06G6O6RG2EU", "IT Veeva Double Opt-In Market Med+Sci")</f>
        <v>IT Veeva Double Opt-In Market Med+Sci</v>
      </c>
      <c r="M12113" s="22" t="str">
        <f>HYPERLINK("mailto:marcello.salis@crm.otsuka-europe.com", "marcello.salis@crm.otsuka-europe.com")</f>
        <v>marcello.salis@crm.otsuka-europe.com</v>
      </c>
      <c r="N12113" s="23">
        <v>46192.33221064815</v>
      </c>
      <c r="O12113" s="14" t="str">
        <f>HYPERLINK("https://otsuka-europe-crm.veevavault.com/ui/#object/email_activity__v/V8C00000003Z047", "EN-002098722")</f>
        <v>EN-002098722</v>
      </c>
    </row>
    <row r="12114" spans="1:15" ht="16" x14ac:dyDescent="0.2">
      <c r="A12114" s="18"/>
      <c r="B12114" s="18"/>
      <c r="C12114" s="18"/>
      <c r="D12114" s="18"/>
      <c r="E12114" s="18"/>
      <c r="F12114" s="18"/>
      <c r="G12114" s="18"/>
      <c r="H12114" s="18"/>
      <c r="I12114" s="18"/>
      <c r="J12114" s="18"/>
      <c r="K12114" s="18"/>
      <c r="L12114" s="18"/>
      <c r="M12114" s="18"/>
      <c r="N12114" s="18"/>
      <c r="O12114" s="14" t="str">
        <f>HYPERLINK("https://otsuka-europe-crm.veevavault.com/ui/#object/email_activity__v/V8C00000003Z050", "EN-002098728")</f>
        <v>EN-002098728</v>
      </c>
    </row>
    <row r="12115" spans="1:15" ht="16" x14ac:dyDescent="0.2">
      <c r="A12115" s="18"/>
      <c r="B12115" s="18"/>
      <c r="C12115" s="18"/>
      <c r="D12115" s="18"/>
      <c r="E12115" s="18"/>
      <c r="F12115" s="18"/>
      <c r="G12115" s="18"/>
      <c r="H12115" s="18"/>
      <c r="I12115" s="18"/>
      <c r="J12115" s="18"/>
      <c r="K12115" s="18"/>
      <c r="L12115" s="18"/>
      <c r="M12115" s="18"/>
      <c r="N12115" s="18"/>
      <c r="O12115" s="14" t="str">
        <f>HYPERLINK("https://otsuka-europe-crm.veevavault.com/ui/#object/email_activity__v/V8C00000003Z051", "EN-002098726")</f>
        <v>EN-002098726</v>
      </c>
    </row>
    <row r="12116" spans="1:15" ht="16" x14ac:dyDescent="0.2">
      <c r="A12116" s="18"/>
      <c r="B12116" s="18"/>
      <c r="C12116" s="18"/>
      <c r="D12116" s="18"/>
      <c r="E12116" s="18"/>
      <c r="F12116" s="18"/>
      <c r="G12116" s="18"/>
      <c r="H12116" s="18"/>
      <c r="I12116" s="18"/>
      <c r="J12116" s="18"/>
      <c r="K12116" s="18"/>
      <c r="L12116" s="18"/>
      <c r="M12116" s="18"/>
      <c r="N12116" s="18"/>
      <c r="O12116" s="14" t="str">
        <f>HYPERLINK("https://otsuka-europe-crm.veevavault.com/ui/#object/email_activity__v/V8C00000003Z052", "EN-002098729")</f>
        <v>EN-002098729</v>
      </c>
    </row>
    <row r="12117" spans="1:15" ht="16" x14ac:dyDescent="0.2">
      <c r="A12117" s="19"/>
      <c r="B12117" s="19"/>
      <c r="C12117" s="19"/>
      <c r="D12117" s="19"/>
      <c r="E12117" s="19"/>
      <c r="F12117" s="19"/>
      <c r="G12117" s="19"/>
      <c r="H12117" s="19"/>
      <c r="I12117" s="19"/>
      <c r="J12117" s="19"/>
      <c r="K12117" s="19"/>
      <c r="L12117" s="19"/>
      <c r="M12117" s="19"/>
      <c r="N12117" s="19"/>
      <c r="O12117" s="14" t="str">
        <f>HYPERLINK("https://otsuka-europe-crm.veevavault.com/ui/#object/email_activity__v/V8C00000003Z053", "EN-002098727")</f>
        <v>EN-002098727</v>
      </c>
    </row>
    <row r="12118" spans="1:15" ht="16" x14ac:dyDescent="0.2">
      <c r="A12118" s="17" t="str">
        <f>HYPERLINK("https://otsuka-europe-crm.veevavault.com/ui/#object/account__v/V4TZ025E898T972", "MARIA DOLORES CABOT LOPEZ")</f>
        <v>MARIA DOLORES CABOT LOPEZ</v>
      </c>
      <c r="B12118" s="17" t="str">
        <f>HYPERLINK("https://otsuka-europe-crm.veevavault.com/ui/#object/vcountry__v/VENZ000004SONF5", "ES")</f>
        <v>ES</v>
      </c>
      <c r="C12118" s="20" t="s">
        <v>41</v>
      </c>
      <c r="D12118" s="21" t="str">
        <f>HYPERLINK("https://otsuka-europe-crm.veevavault.com/ui/#object/approved_document__v/V5O00000001K002", "Programa 4º edición Curso Simulación clínica en psiquiatría Hospital 12-Octubre")</f>
        <v>Programa 4º edición Curso Simulación clínica en psiquiatría Hospital 12-Octubre</v>
      </c>
      <c r="E12118" s="22" t="str">
        <f>HYPERLINK("https://otsuka-europe-crm.veevavault.com/ui/#object/sent_email__v/VBL00000002W007", "SE-001437443")</f>
        <v>SE-001437443</v>
      </c>
      <c r="F12118" s="23">
        <v>46197.532986111109</v>
      </c>
      <c r="G12118" s="24">
        <v>1</v>
      </c>
      <c r="H12118" s="24">
        <v>2</v>
      </c>
      <c r="I12118" s="24">
        <v>0</v>
      </c>
      <c r="J12118" s="25"/>
      <c r="K12118" s="24">
        <v>0</v>
      </c>
      <c r="L12118" s="22" t="str">
        <f>HYPERLINK("https://otsuka-europe-crm.veevavault.com/ui/#object/approved_document__v/V5O00000001K002", "Programa 4º edición Curso Simulación clínica en psiquiatría Hospital 12-Octubre")</f>
        <v>Programa 4º edición Curso Simulación clínica en psiquiatría Hospital 12-Octubre</v>
      </c>
      <c r="M12118" s="22" t="str">
        <f>HYPERLINK("mailto:cvila@crm.otsuka-europe.com", "cvila@crm.otsuka-europe.com")</f>
        <v>cvila@crm.otsuka-europe.com</v>
      </c>
      <c r="N12118" s="23">
        <v>46192.334097222221</v>
      </c>
      <c r="O12118" s="14" t="str">
        <f>HYPERLINK("https://otsuka-europe-crm.veevavault.com/ui/#object/email_activity__v/V8C000000040015", "EN-002098724")</f>
        <v>EN-002098724</v>
      </c>
    </row>
    <row r="12119" spans="1:15" ht="16" x14ac:dyDescent="0.2">
      <c r="A12119" s="18"/>
      <c r="B12119" s="18"/>
      <c r="C12119" s="18"/>
      <c r="D12119" s="18"/>
      <c r="E12119" s="18"/>
      <c r="F12119" s="18"/>
      <c r="G12119" s="18"/>
      <c r="H12119" s="18"/>
      <c r="I12119" s="18"/>
      <c r="J12119" s="18"/>
      <c r="K12119" s="18"/>
      <c r="L12119" s="18"/>
      <c r="M12119" s="18"/>
      <c r="N12119" s="18"/>
      <c r="O12119" s="14" t="str">
        <f>HYPERLINK("https://otsuka-europe-crm.veevavault.com/ui/#object/email_activity__v/V8C000000040490", "EN-002099556")</f>
        <v>EN-002099556</v>
      </c>
    </row>
    <row r="12120" spans="1:15" ht="16" x14ac:dyDescent="0.2">
      <c r="A12120" s="19"/>
      <c r="B12120" s="19"/>
      <c r="C12120" s="19"/>
      <c r="D12120" s="19"/>
      <c r="E12120" s="19"/>
      <c r="F12120" s="19"/>
      <c r="G12120" s="19"/>
      <c r="H12120" s="19"/>
      <c r="I12120" s="19"/>
      <c r="J12120" s="19"/>
      <c r="K12120" s="19"/>
      <c r="L12120" s="19"/>
      <c r="M12120" s="19"/>
      <c r="N12120" s="19"/>
      <c r="O12120" s="14" t="str">
        <f>HYPERLINK("https://otsuka-europe-crm.veevavault.com/ui/#object/email_activity__v/V8C000000040491", "EN-002099557")</f>
        <v>EN-002099557</v>
      </c>
    </row>
    <row r="12121" spans="1:15" ht="64" x14ac:dyDescent="0.2">
      <c r="A12121" s="7" t="str">
        <f>HYPERLINK("https://otsuka-europe-crm.veevavault.com/ui/#object/account__v/V4TZ025E898TDLD", "LAURA CALERO HORCAJO")</f>
        <v>LAURA CALERO HORCAJO</v>
      </c>
      <c r="B12121" s="7" t="str">
        <f>HYPERLINK("https://otsuka-europe-crm.veevavault.com/ui/#object/vcountry__v/VENZ000004SONF5", "ES")</f>
        <v>ES</v>
      </c>
      <c r="C12121" s="8" t="s">
        <v>41</v>
      </c>
      <c r="D12121" s="9" t="str">
        <f>HYPERLINK("https://otsuka-europe-crm.veevavault.com/ui/#object/approved_document__v/V5O00000001K002", "Programa 4º edición Curso Simulación clínica en psiquiatría Hospital 12-Octubre")</f>
        <v>Programa 4º edición Curso Simulación clínica en psiquiatría Hospital 12-Octubre</v>
      </c>
      <c r="E12121" s="10" t="str">
        <f>HYPERLINK("https://otsuka-europe-crm.veevavault.com/ui/#object/sent_email__v/VBL00000002W008", "SE-001437444")</f>
        <v>SE-001437444</v>
      </c>
      <c r="F12121" s="11"/>
      <c r="G12121" s="12">
        <v>0</v>
      </c>
      <c r="H12121" s="12">
        <v>0</v>
      </c>
      <c r="I12121" s="12">
        <v>0</v>
      </c>
      <c r="J12121" s="11"/>
      <c r="K12121" s="12">
        <v>0</v>
      </c>
      <c r="L12121" s="10" t="str">
        <f>HYPERLINK("https://otsuka-europe-crm.veevavault.com/ui/#object/approved_document__v/V5O00000001K002", "Programa 4º edición Curso Simulación clínica en psiquiatría Hospital 12-Octubre")</f>
        <v>Programa 4º edición Curso Simulación clínica en psiquiatría Hospital 12-Octubre</v>
      </c>
      <c r="M12121" s="10" t="str">
        <f>HYPERLINK("mailto:cvila@crm.otsuka-europe.com", "cvila@crm.otsuka-europe.com")</f>
        <v>cvila@crm.otsuka-europe.com</v>
      </c>
      <c r="N12121" s="13">
        <v>46192.334097222221</v>
      </c>
      <c r="O12121" s="14" t="str">
        <f>HYPERLINK("https://otsuka-europe-crm.veevavault.com/ui/#object/email_activity__v/V8C00000003Z049", "EN-002098725")</f>
        <v>EN-002098725</v>
      </c>
    </row>
    <row r="12122" spans="1:15" ht="32" x14ac:dyDescent="0.2">
      <c r="A12122" s="7" t="str">
        <f>HYPERLINK("https://otsuka-europe-crm.veevavault.com/ui/#object/account__v/V4TZ06G6O71S9ZY", "CONCETTA BELLINI")</f>
        <v>CONCETTA BELLINI</v>
      </c>
      <c r="B12122" s="7" t="str">
        <f>HYPERLINK("https://otsuka-europe-crm.veevavault.com/ui/#object/vcountry__v/VENZ000004SONFQ", "IT")</f>
        <v>IT</v>
      </c>
      <c r="C12122" s="8" t="s">
        <v>44</v>
      </c>
      <c r="D12122" s="9" t="str">
        <f>HYPERLINK("https://otsuka-europe-crm.veevavault.com/ui/#object/approved_document__v/V5O00000001G004", "Branded_RXULTI_AE Ansia_IT-RXU-2500035")</f>
        <v>Branded_RXULTI_AE Ansia_IT-RXU-2500035</v>
      </c>
      <c r="E12122" s="10" t="str">
        <f>HYPERLINK("https://otsuka-europe-crm.veevavault.com/ui/#object/sent_email__v/VBL00000002W009", "SE-001437445")</f>
        <v>SE-001437445</v>
      </c>
      <c r="F12122" s="11"/>
      <c r="G12122" s="12">
        <v>0</v>
      </c>
      <c r="H12122" s="12">
        <v>0</v>
      </c>
      <c r="I12122" s="12">
        <v>0</v>
      </c>
      <c r="J12122" s="11"/>
      <c r="K12122" s="12">
        <v>0</v>
      </c>
      <c r="L12122" s="10" t="str">
        <f>HYPERLINK("https://otsuka-europe-crm.veevavault.com/ui/#object/approved_document__v/V5O00000001G004", "Branded_RXULTI_AE Ansia_IT-RXU-2500035")</f>
        <v>Branded_RXULTI_AE Ansia_IT-RXU-2500035</v>
      </c>
      <c r="M12122" s="10" t="str">
        <f>HYPERLINK("mailto:maria.gargiulo@crm.otsuka-europe.com", "maria.gargiulo@crm.otsuka-europe.com")</f>
        <v>maria.gargiulo@crm.otsuka-europe.com</v>
      </c>
      <c r="N12122" s="13">
        <v>46192.390289351853</v>
      </c>
      <c r="O12122" s="14" t="str">
        <f>HYPERLINK("https://otsuka-europe-crm.veevavault.com/ui/#object/email_activity__v/V8C000000040018", "EN-002098732")</f>
        <v>EN-002098732</v>
      </c>
    </row>
    <row r="12123" spans="1:15" ht="16" x14ac:dyDescent="0.2">
      <c r="A12123" s="17" t="str">
        <f>HYPERLINK("https://otsuka-europe-crm.veevavault.com/ui/#object/account__v/V4TZ06G6O71SA5X", "FRANCESCA BORTOLOTTI")</f>
        <v>FRANCESCA BORTOLOTTI</v>
      </c>
      <c r="B12123" s="17" t="str">
        <f>HYPERLINK("https://otsuka-europe-crm.veevavault.com/ui/#object/vcountry__v/VENZ000004SONFQ", "IT")</f>
        <v>IT</v>
      </c>
      <c r="C12123" s="20" t="s">
        <v>44</v>
      </c>
      <c r="D12123" s="21" t="str">
        <f>HYPERLINK("https://otsuka-europe-crm.veevavault.com/ui/#object/approved_document__v/V5O00000001G004", "Branded_RXULTI_AE Ansia_IT-RXU-2500035")</f>
        <v>Branded_RXULTI_AE Ansia_IT-RXU-2500035</v>
      </c>
      <c r="E12123" s="22" t="str">
        <f>HYPERLINK("https://otsuka-europe-crm.veevavault.com/ui/#object/sent_email__v/VBL00000002X006", "SE-001437446")</f>
        <v>SE-001437446</v>
      </c>
      <c r="F12123" s="23">
        <v>46193.718217592592</v>
      </c>
      <c r="G12123" s="24">
        <v>1</v>
      </c>
      <c r="H12123" s="24">
        <v>1</v>
      </c>
      <c r="I12123" s="24">
        <v>0</v>
      </c>
      <c r="J12123" s="25"/>
      <c r="K12123" s="24">
        <v>0</v>
      </c>
      <c r="L12123" s="22" t="str">
        <f>HYPERLINK("https://otsuka-europe-crm.veevavault.com/ui/#object/approved_document__v/V5O00000001G004", "Branded_RXULTI_AE Ansia_IT-RXU-2500035")</f>
        <v>Branded_RXULTI_AE Ansia_IT-RXU-2500035</v>
      </c>
      <c r="M12123" s="22" t="str">
        <f>HYPERLINK("mailto:maria.gargiulo@crm.otsuka-europe.com", "maria.gargiulo@crm.otsuka-europe.com")</f>
        <v>maria.gargiulo@crm.otsuka-europe.com</v>
      </c>
      <c r="N12123" s="23">
        <v>46192.390625</v>
      </c>
      <c r="O12123" s="14" t="str">
        <f>HYPERLINK("https://otsuka-europe-crm.veevavault.com/ui/#object/email_activity__v/V8C00000003Z054", "EN-002098733")</f>
        <v>EN-002098733</v>
      </c>
    </row>
    <row r="12124" spans="1:15" ht="16" x14ac:dyDescent="0.2">
      <c r="A12124" s="19"/>
      <c r="B12124" s="19"/>
      <c r="C12124" s="19"/>
      <c r="D12124" s="19"/>
      <c r="E12124" s="19"/>
      <c r="F12124" s="19"/>
      <c r="G12124" s="19"/>
      <c r="H12124" s="19"/>
      <c r="I12124" s="19"/>
      <c r="J12124" s="19"/>
      <c r="K12124" s="19"/>
      <c r="L12124" s="19"/>
      <c r="M12124" s="19"/>
      <c r="N12124" s="19"/>
      <c r="O12124" s="14" t="str">
        <f>HYPERLINK("https://otsuka-europe-crm.veevavault.com/ui/#object/email_activity__v/V8C00000003Z128", "EN-002098895")</f>
        <v>EN-002098895</v>
      </c>
    </row>
    <row r="12125" spans="1:15" ht="16" x14ac:dyDescent="0.2">
      <c r="A12125" s="17" t="str">
        <f>HYPERLINK("https://otsuka-europe-crm.veevavault.com/ui/#object/account__v/V4T000000024064", "ROCIO GALLEGO RAMOS")</f>
        <v>ROCIO GALLEGO RAMOS</v>
      </c>
      <c r="B12125" s="17" t="str">
        <f>HYPERLINK("https://otsuka-europe-crm.veevavault.com/ui/#object/vcountry__v/VENZ000004SONF5", "ES")</f>
        <v>ES</v>
      </c>
      <c r="C12125" s="20" t="s">
        <v>41</v>
      </c>
      <c r="D12125" s="21" t="str">
        <f>HYPERLINK("https://otsuka-europe-crm.veevavault.com/ui/#object/approved_document__v/V5OZ06G6O6RFL1P", "ES Veeva Privacy Notice Email")</f>
        <v>ES Veeva Privacy Notice Email</v>
      </c>
      <c r="E12125" s="22" t="str">
        <f>HYPERLINK("https://otsuka-europe-crm.veevavault.com/ui/#object/sent_email__v/VBL00000002X008", "SE-001437448")</f>
        <v>SE-001437448</v>
      </c>
      <c r="F12125" s="23">
        <v>46192.404236111113</v>
      </c>
      <c r="G12125" s="24">
        <v>1</v>
      </c>
      <c r="H12125" s="24">
        <v>1</v>
      </c>
      <c r="I12125" s="24">
        <v>0</v>
      </c>
      <c r="J12125" s="25"/>
      <c r="K12125" s="24">
        <v>0</v>
      </c>
      <c r="L12125" s="22" t="str">
        <f>HYPERLINK("https://otsuka-europe-crm.veevavault.com/ui/#object/approved_document__v/V5OZ06G6O6RFL1P", "ES Veeva Privacy Notice Email")</f>
        <v>ES Veeva Privacy Notice Email</v>
      </c>
      <c r="M12125" s="22" t="str">
        <f>HYPERLINK("mailto:mgravan@crm.otsuka-europe.com", "mgravan@crm.otsuka-europe.com")</f>
        <v>mgravan@crm.otsuka-europe.com</v>
      </c>
      <c r="N12125" s="23">
        <v>46192.402650462966</v>
      </c>
      <c r="O12125" s="14" t="str">
        <f>HYPERLINK("https://otsuka-europe-crm.veevavault.com/ui/#object/email_activity__v/V8C00000003Z057", "EN-002098736")</f>
        <v>EN-002098736</v>
      </c>
    </row>
    <row r="12126" spans="1:15" ht="16" x14ac:dyDescent="0.2">
      <c r="A12126" s="19"/>
      <c r="B12126" s="19"/>
      <c r="C12126" s="19"/>
      <c r="D12126" s="19"/>
      <c r="E12126" s="19"/>
      <c r="F12126" s="19"/>
      <c r="G12126" s="19"/>
      <c r="H12126" s="19"/>
      <c r="I12126" s="19"/>
      <c r="J12126" s="19"/>
      <c r="K12126" s="19"/>
      <c r="L12126" s="19"/>
      <c r="M12126" s="19"/>
      <c r="N12126" s="19"/>
      <c r="O12126" s="14" t="str">
        <f>HYPERLINK("https://otsuka-europe-crm.veevavault.com/ui/#object/email_activity__v/V8C00000003Z058", "EN-002098740")</f>
        <v>EN-002098740</v>
      </c>
    </row>
    <row r="12127" spans="1:15" ht="16" x14ac:dyDescent="0.2">
      <c r="A12127" s="17" t="str">
        <f>HYPERLINK("https://otsuka-europe-crm.veevavault.com/ui/#object/account__v/V4T000000024064", "ROCIO GALLEGO RAMOS")</f>
        <v>ROCIO GALLEGO RAMOS</v>
      </c>
      <c r="B12127" s="17" t="str">
        <f>HYPERLINK("https://otsuka-europe-crm.veevavault.com/ui/#object/vcountry__v/VENZ000004SONF5", "ES")</f>
        <v>ES</v>
      </c>
      <c r="C12127" s="20" t="s">
        <v>41</v>
      </c>
      <c r="D12127" s="21" t="str">
        <f>HYPERLINK("https://otsuka-europe-crm.veevavault.com/ui/#object/approved_document__v/V5O00000000D100", "Spain - Consent Email 1 Aug 25")</f>
        <v>Spain - Consent Email 1 Aug 25</v>
      </c>
      <c r="E12127" s="22" t="str">
        <f>HYPERLINK("https://otsuka-europe-crm.veevavault.com/ui/#object/sent_email__v/VBL00000002X009", "SE-001437449")</f>
        <v>SE-001437449</v>
      </c>
      <c r="F12127" s="23">
        <v>46192.417546296296</v>
      </c>
      <c r="G12127" s="24">
        <v>1</v>
      </c>
      <c r="H12127" s="24">
        <v>1</v>
      </c>
      <c r="I12127" s="24">
        <v>1</v>
      </c>
      <c r="J12127" s="23">
        <v>46192.417546296296</v>
      </c>
      <c r="K12127" s="24">
        <v>1</v>
      </c>
      <c r="L12127" s="22" t="str">
        <f>HYPERLINK("https://otsuka-europe-crm.veevavault.com/ui/#object/approved_document__v/V5O00000000D100", "Spain - Consent Email 1 Aug 25")</f>
        <v>Spain - Consent Email 1 Aug 25</v>
      </c>
      <c r="M12127" s="22" t="str">
        <f>HYPERLINK("mailto:mgravan@crm.otsuka-europe.com", "mgravan@crm.otsuka-europe.com")</f>
        <v>mgravan@crm.otsuka-europe.com</v>
      </c>
      <c r="N12127" s="23">
        <v>46192.403715277775</v>
      </c>
      <c r="O12127" s="14" t="str">
        <f>HYPERLINK("https://otsuka-europe-crm.veevavault.com/ui/#object/email_activity__v/V8C00000003Z069", "EN-002098764")</f>
        <v>EN-002098764</v>
      </c>
    </row>
    <row r="12128" spans="1:15" ht="16" x14ac:dyDescent="0.2">
      <c r="A12128" s="18"/>
      <c r="B12128" s="18"/>
      <c r="C12128" s="18"/>
      <c r="D12128" s="18"/>
      <c r="E12128" s="18"/>
      <c r="F12128" s="18"/>
      <c r="G12128" s="18"/>
      <c r="H12128" s="18"/>
      <c r="I12128" s="18"/>
      <c r="J12128" s="18"/>
      <c r="K12128" s="18"/>
      <c r="L12128" s="18"/>
      <c r="M12128" s="18"/>
      <c r="N12128" s="18"/>
      <c r="O12128" s="14" t="str">
        <f>HYPERLINK("https://otsuka-europe-crm.veevavault.com/ui/#object/email_activity__v/V8C00000003Z070", "EN-002098763")</f>
        <v>EN-002098763</v>
      </c>
    </row>
    <row r="12129" spans="1:15" ht="16" x14ac:dyDescent="0.2">
      <c r="A12129" s="19"/>
      <c r="B12129" s="19"/>
      <c r="C12129" s="19"/>
      <c r="D12129" s="19"/>
      <c r="E12129" s="19"/>
      <c r="F12129" s="19"/>
      <c r="G12129" s="19"/>
      <c r="H12129" s="19"/>
      <c r="I12129" s="19"/>
      <c r="J12129" s="19"/>
      <c r="K12129" s="19"/>
      <c r="L12129" s="19"/>
      <c r="M12129" s="19"/>
      <c r="N12129" s="19"/>
      <c r="O12129" s="14" t="str">
        <f>HYPERLINK("https://otsuka-europe-crm.veevavault.com/ui/#object/email_activity__v/V8C000000040021", "EN-002098739")</f>
        <v>EN-002098739</v>
      </c>
    </row>
    <row r="12130" spans="1:15" ht="16" x14ac:dyDescent="0.2">
      <c r="A12130" s="17" t="str">
        <f>HYPERLINK("https://otsuka-europe-crm.veevavault.com/ui/#object/account__v/V4T000000024064", "ROCIO GALLEGO RAMOS")</f>
        <v>ROCIO GALLEGO RAMOS</v>
      </c>
      <c r="B12130" s="17" t="str">
        <f>HYPERLINK("https://otsuka-europe-crm.veevavault.com/ui/#object/vcountry__v/VENZ000004SONF5", "ES")</f>
        <v>ES</v>
      </c>
      <c r="C12130" s="20" t="s">
        <v>41</v>
      </c>
      <c r="D12130" s="21" t="str">
        <f>HYPERLINK("https://otsuka-europe-crm.veevavault.com/ui/#object/approved_document__v/V5OZ04ASG4FWKA7", "Reuniones Online Consent - 2")</f>
        <v>Reuniones Online Consent - 2</v>
      </c>
      <c r="E12130" s="22" t="str">
        <f>HYPERLINK("https://otsuka-europe-crm.veevavault.com/ui/#object/sent_email__v/VBL00000002X010", "SE-001437450")</f>
        <v>SE-001437450</v>
      </c>
      <c r="F12130" s="23">
        <v>46192.404490740744</v>
      </c>
      <c r="G12130" s="24">
        <v>1</v>
      </c>
      <c r="H12130" s="24">
        <v>1</v>
      </c>
      <c r="I12130" s="24">
        <v>1</v>
      </c>
      <c r="J12130" s="23">
        <v>46192.404490740744</v>
      </c>
      <c r="K12130" s="24">
        <v>1</v>
      </c>
      <c r="L12130" s="22" t="str">
        <f>HYPERLINK("https://otsuka-europe-crm.veevavault.com/ui/#object/approved_document__v/V5OZ04ASG4FWKA7", "Reuniones Online Consent - 2")</f>
        <v>Reuniones Online Consent - 2</v>
      </c>
      <c r="M12130" s="22" t="str">
        <f>HYPERLINK("mailto:mgravan@crm.otsuka-europe.com", "mgravan@crm.otsuka-europe.com")</f>
        <v>mgravan@crm.otsuka-europe.com</v>
      </c>
      <c r="N12130" s="23">
        <v>46192.403703703705</v>
      </c>
      <c r="O12130" s="14" t="str">
        <f>HYPERLINK("https://otsuka-europe-crm.veevavault.com/ui/#object/email_activity__v/V8C000000040020", "EN-002098738")</f>
        <v>EN-002098738</v>
      </c>
    </row>
    <row r="12131" spans="1:15" ht="16" x14ac:dyDescent="0.2">
      <c r="A12131" s="18"/>
      <c r="B12131" s="18"/>
      <c r="C12131" s="18"/>
      <c r="D12131" s="18"/>
      <c r="E12131" s="18"/>
      <c r="F12131" s="18"/>
      <c r="G12131" s="18"/>
      <c r="H12131" s="18"/>
      <c r="I12131" s="18"/>
      <c r="J12131" s="18"/>
      <c r="K12131" s="18"/>
      <c r="L12131" s="18"/>
      <c r="M12131" s="18"/>
      <c r="N12131" s="18"/>
      <c r="O12131" s="14" t="str">
        <f>HYPERLINK("https://otsuka-europe-crm.veevavault.com/ui/#object/email_activity__v/V8C000000040022", "EN-002098742")</f>
        <v>EN-002098742</v>
      </c>
    </row>
    <row r="12132" spans="1:15" ht="16" x14ac:dyDescent="0.2">
      <c r="A12132" s="19"/>
      <c r="B12132" s="19"/>
      <c r="C12132" s="19"/>
      <c r="D12132" s="19"/>
      <c r="E12132" s="19"/>
      <c r="F12132" s="19"/>
      <c r="G12132" s="19"/>
      <c r="H12132" s="19"/>
      <c r="I12132" s="19"/>
      <c r="J12132" s="19"/>
      <c r="K12132" s="19"/>
      <c r="L12132" s="19"/>
      <c r="M12132" s="19"/>
      <c r="N12132" s="19"/>
      <c r="O12132" s="14" t="str">
        <f>HYPERLINK("https://otsuka-europe-crm.veevavault.com/ui/#object/email_activity__v/V8C000000040023", "EN-002098741")</f>
        <v>EN-002098741</v>
      </c>
    </row>
    <row r="12133" spans="1:15" ht="16" x14ac:dyDescent="0.2">
      <c r="A12133" s="17" t="str">
        <f>HYPERLINK("https://otsuka-europe-crm.veevavault.com/ui/#object/account__v/V4T000000024067", "CARMEN MUÑOZ DE ARENILLAS RODRIGUEZ")</f>
        <v>CARMEN MUÑOZ DE ARENILLAS RODRIGUEZ</v>
      </c>
      <c r="B12133" s="17" t="str">
        <f>HYPERLINK("https://otsuka-europe-crm.veevavault.com/ui/#object/vcountry__v/VENZ000004SONF5", "ES")</f>
        <v>ES</v>
      </c>
      <c r="C12133" s="20" t="s">
        <v>41</v>
      </c>
      <c r="D12133" s="21" t="str">
        <f>HYPERLINK("https://otsuka-europe-crm.veevavault.com/ui/#object/approved_document__v/V5O00000000D100", "Spain - Consent Email 1 Aug 25")</f>
        <v>Spain - Consent Email 1 Aug 25</v>
      </c>
      <c r="E12133" s="22" t="str">
        <f>HYPERLINK("https://otsuka-europe-crm.veevavault.com/ui/#object/sent_email__v/VBL00000002W010", "SE-001437451")</f>
        <v>SE-001437451</v>
      </c>
      <c r="F12133" s="25"/>
      <c r="G12133" s="24">
        <v>0</v>
      </c>
      <c r="H12133" s="24">
        <v>0</v>
      </c>
      <c r="I12133" s="24">
        <v>1</v>
      </c>
      <c r="J12133" s="23">
        <v>46192.457754629628</v>
      </c>
      <c r="K12133" s="24">
        <v>1</v>
      </c>
      <c r="L12133" s="22" t="str">
        <f>HYPERLINK("https://otsuka-europe-crm.veevavault.com/ui/#object/approved_document__v/V5O00000000D100", "Spain - Consent Email 1 Aug 25")</f>
        <v>Spain - Consent Email 1 Aug 25</v>
      </c>
      <c r="M12133" s="22" t="str">
        <f>HYPERLINK("mailto:mgravan@crm.otsuka-europe.com", "mgravan@crm.otsuka-europe.com")</f>
        <v>mgravan@crm.otsuka-europe.com</v>
      </c>
      <c r="N12133" s="23">
        <v>46192.407696759263</v>
      </c>
      <c r="O12133" s="14" t="str">
        <f>HYPERLINK("https://otsuka-europe-crm.veevavault.com/ui/#object/email_activity__v/V8C00000003Z059", "EN-002098745")</f>
        <v>EN-002098745</v>
      </c>
    </row>
    <row r="12134" spans="1:15" ht="16" x14ac:dyDescent="0.2">
      <c r="A12134" s="18"/>
      <c r="B12134" s="18"/>
      <c r="C12134" s="18"/>
      <c r="D12134" s="18"/>
      <c r="E12134" s="18"/>
      <c r="F12134" s="18"/>
      <c r="G12134" s="18"/>
      <c r="H12134" s="18"/>
      <c r="I12134" s="18"/>
      <c r="J12134" s="18"/>
      <c r="K12134" s="18"/>
      <c r="L12134" s="18"/>
      <c r="M12134" s="18"/>
      <c r="N12134" s="18"/>
      <c r="O12134" s="14" t="str">
        <f>HYPERLINK("https://otsuka-europe-crm.veevavault.com/ui/#object/email_activity__v/V8C000000040039", "EN-002098777")</f>
        <v>EN-002098777</v>
      </c>
    </row>
    <row r="12135" spans="1:15" ht="16" x14ac:dyDescent="0.2">
      <c r="A12135" s="19"/>
      <c r="B12135" s="19"/>
      <c r="C12135" s="19"/>
      <c r="D12135" s="19"/>
      <c r="E12135" s="19"/>
      <c r="F12135" s="19"/>
      <c r="G12135" s="19"/>
      <c r="H12135" s="19"/>
      <c r="I12135" s="19"/>
      <c r="J12135" s="19"/>
      <c r="K12135" s="19"/>
      <c r="L12135" s="19"/>
      <c r="M12135" s="19"/>
      <c r="N12135" s="19"/>
      <c r="O12135" s="14" t="str">
        <f>HYPERLINK("https://otsuka-europe-crm.veevavault.com/ui/#object/email_activity__v/V8C000000040041", "EN-002098779")</f>
        <v>EN-002098779</v>
      </c>
    </row>
    <row r="12136" spans="1:15" ht="16" x14ac:dyDescent="0.2">
      <c r="A12136" s="17" t="str">
        <f>HYPERLINK("https://otsuka-europe-crm.veevavault.com/ui/#object/account__v/V4T000000024067", "CARMEN MUÑOZ DE ARENILLAS RODRIGUEZ")</f>
        <v>CARMEN MUÑOZ DE ARENILLAS RODRIGUEZ</v>
      </c>
      <c r="B12136" s="17" t="str">
        <f>HYPERLINK("https://otsuka-europe-crm.veevavault.com/ui/#object/vcountry__v/VENZ000004SONF5", "ES")</f>
        <v>ES</v>
      </c>
      <c r="C12136" s="20" t="s">
        <v>41</v>
      </c>
      <c r="D12136" s="21" t="str">
        <f>HYPERLINK("https://otsuka-europe-crm.veevavault.com/ui/#object/approved_document__v/V5OZ04ASG4FWKA7", "Reuniones Online Consent - 2")</f>
        <v>Reuniones Online Consent - 2</v>
      </c>
      <c r="E12136" s="22" t="str">
        <f>HYPERLINK("https://otsuka-europe-crm.veevavault.com/ui/#object/sent_email__v/VBL00000002W011", "SE-001437452")</f>
        <v>SE-001437452</v>
      </c>
      <c r="F12136" s="25"/>
      <c r="G12136" s="24">
        <v>0</v>
      </c>
      <c r="H12136" s="24">
        <v>0</v>
      </c>
      <c r="I12136" s="24">
        <v>1</v>
      </c>
      <c r="J12136" s="23">
        <v>46192.457569444443</v>
      </c>
      <c r="K12136" s="24">
        <v>1</v>
      </c>
      <c r="L12136" s="22" t="str">
        <f>HYPERLINK("https://otsuka-europe-crm.veevavault.com/ui/#object/approved_document__v/V5OZ04ASG4FWKA7", "Reuniones Online Consent - 2")</f>
        <v>Reuniones Online Consent - 2</v>
      </c>
      <c r="M12136" s="22" t="str">
        <f>HYPERLINK("mailto:mgravan@crm.otsuka-europe.com", "mgravan@crm.otsuka-europe.com")</f>
        <v>mgravan@crm.otsuka-europe.com</v>
      </c>
      <c r="N12136" s="23">
        <v>46192.407708333332</v>
      </c>
      <c r="O12136" s="14" t="str">
        <f>HYPERLINK("https://otsuka-europe-crm.veevavault.com/ui/#object/email_activity__v/V8C000000040025", "EN-002098744")</f>
        <v>EN-002098744</v>
      </c>
    </row>
    <row r="12137" spans="1:15" ht="16" x14ac:dyDescent="0.2">
      <c r="A12137" s="18"/>
      <c r="B12137" s="18"/>
      <c r="C12137" s="18"/>
      <c r="D12137" s="18"/>
      <c r="E12137" s="18"/>
      <c r="F12137" s="18"/>
      <c r="G12137" s="18"/>
      <c r="H12137" s="18"/>
      <c r="I12137" s="18"/>
      <c r="J12137" s="18"/>
      <c r="K12137" s="18"/>
      <c r="L12137" s="18"/>
      <c r="M12137" s="18"/>
      <c r="N12137" s="18"/>
      <c r="O12137" s="14" t="str">
        <f>HYPERLINK("https://otsuka-europe-crm.veevavault.com/ui/#object/email_activity__v/V8C000000040038", "EN-002098776")</f>
        <v>EN-002098776</v>
      </c>
    </row>
    <row r="12138" spans="1:15" ht="16" x14ac:dyDescent="0.2">
      <c r="A12138" s="19"/>
      <c r="B12138" s="19"/>
      <c r="C12138" s="19"/>
      <c r="D12138" s="19"/>
      <c r="E12138" s="19"/>
      <c r="F12138" s="19"/>
      <c r="G12138" s="19"/>
      <c r="H12138" s="19"/>
      <c r="I12138" s="19"/>
      <c r="J12138" s="19"/>
      <c r="K12138" s="19"/>
      <c r="L12138" s="19"/>
      <c r="M12138" s="19"/>
      <c r="N12138" s="19"/>
      <c r="O12138" s="14" t="str">
        <f>HYPERLINK("https://otsuka-europe-crm.veevavault.com/ui/#object/email_activity__v/V8C000000040040", "EN-002098778")</f>
        <v>EN-002098778</v>
      </c>
    </row>
    <row r="12139" spans="1:15" ht="16" x14ac:dyDescent="0.2">
      <c r="A12139" s="17" t="str">
        <f>HYPERLINK("https://otsuka-europe-crm.veevavault.com/ui/#object/account__v/V4T000000024067", "CARMEN MUÑOZ DE ARENILLAS RODRIGUEZ")</f>
        <v>CARMEN MUÑOZ DE ARENILLAS RODRIGUEZ</v>
      </c>
      <c r="B12139" s="17" t="str">
        <f>HYPERLINK("https://otsuka-europe-crm.veevavault.com/ui/#object/vcountry__v/VENZ000004SONF5", "ES")</f>
        <v>ES</v>
      </c>
      <c r="C12139" s="20" t="s">
        <v>41</v>
      </c>
      <c r="D12139" s="21" t="str">
        <f>HYPERLINK("https://otsuka-europe-crm.veevavault.com/ui/#object/approved_document__v/V5OZ04ASG4FWKA9", "Documento Autorizaciขn Centro Empleador")</f>
        <v>Documento Autorizaciขn Centro Empleador</v>
      </c>
      <c r="E12139" s="22" t="str">
        <f>HYPERLINK("https://otsuka-europe-crm.veevavault.com/ui/#object/sent_email__v/VBL00000002W012", "SE-001437453")</f>
        <v>SE-001437453</v>
      </c>
      <c r="F12139" s="23">
        <v>46192.457326388889</v>
      </c>
      <c r="G12139" s="24">
        <v>1</v>
      </c>
      <c r="H12139" s="24">
        <v>1</v>
      </c>
      <c r="I12139" s="24">
        <v>1</v>
      </c>
      <c r="J12139" s="23">
        <v>46192.457326388889</v>
      </c>
      <c r="K12139" s="24">
        <v>1</v>
      </c>
      <c r="L12139" s="22" t="str">
        <f>HYPERLINK("https://otsuka-europe-crm.veevavault.com/ui/#object/approved_document__v/V5OZ04ASG4FWKA9", "Documento Autorizaciขn Centro Empleador")</f>
        <v>Documento Autorizaciขn Centro Empleador</v>
      </c>
      <c r="M12139" s="22" t="str">
        <f>HYPERLINK("mailto:mgravan@crm.otsuka-europe.com", "mgravan@crm.otsuka-europe.com")</f>
        <v>mgravan@crm.otsuka-europe.com</v>
      </c>
      <c r="N12139" s="23">
        <v>46192.407754629632</v>
      </c>
      <c r="O12139" s="14" t="str">
        <f>HYPERLINK("https://otsuka-europe-crm.veevavault.com/ui/#object/email_activity__v/V8C000000040024", "EN-002098743")</f>
        <v>EN-002098743</v>
      </c>
    </row>
    <row r="12140" spans="1:15" ht="16" x14ac:dyDescent="0.2">
      <c r="A12140" s="18"/>
      <c r="B12140" s="18"/>
      <c r="C12140" s="18"/>
      <c r="D12140" s="18"/>
      <c r="E12140" s="18"/>
      <c r="F12140" s="18"/>
      <c r="G12140" s="18"/>
      <c r="H12140" s="18"/>
      <c r="I12140" s="18"/>
      <c r="J12140" s="18"/>
      <c r="K12140" s="18"/>
      <c r="L12140" s="18"/>
      <c r="M12140" s="18"/>
      <c r="N12140" s="18"/>
      <c r="O12140" s="14" t="str">
        <f>HYPERLINK("https://otsuka-europe-crm.veevavault.com/ui/#object/email_activity__v/V8C000000040035", "EN-002098775")</f>
        <v>EN-002098775</v>
      </c>
    </row>
    <row r="12141" spans="1:15" ht="16" x14ac:dyDescent="0.2">
      <c r="A12141" s="18"/>
      <c r="B12141" s="18"/>
      <c r="C12141" s="18"/>
      <c r="D12141" s="18"/>
      <c r="E12141" s="18"/>
      <c r="F12141" s="18"/>
      <c r="G12141" s="18"/>
      <c r="H12141" s="18"/>
      <c r="I12141" s="18"/>
      <c r="J12141" s="18"/>
      <c r="K12141" s="18"/>
      <c r="L12141" s="18"/>
      <c r="M12141" s="18"/>
      <c r="N12141" s="18"/>
      <c r="O12141" s="14" t="str">
        <f>HYPERLINK("https://otsuka-europe-crm.veevavault.com/ui/#object/email_activity__v/V8C000000040036", "EN-002098773")</f>
        <v>EN-002098773</v>
      </c>
    </row>
    <row r="12142" spans="1:15" ht="16" x14ac:dyDescent="0.2">
      <c r="A12142" s="19"/>
      <c r="B12142" s="19"/>
      <c r="C12142" s="19"/>
      <c r="D12142" s="19"/>
      <c r="E12142" s="19"/>
      <c r="F12142" s="19"/>
      <c r="G12142" s="19"/>
      <c r="H12142" s="19"/>
      <c r="I12142" s="19"/>
      <c r="J12142" s="19"/>
      <c r="K12142" s="19"/>
      <c r="L12142" s="19"/>
      <c r="M12142" s="19"/>
      <c r="N12142" s="19"/>
      <c r="O12142" s="14" t="str">
        <f>HYPERLINK("https://otsuka-europe-crm.veevavault.com/ui/#object/email_activity__v/V8C000000040037", "EN-002098774")</f>
        <v>EN-002098774</v>
      </c>
    </row>
    <row r="12143" spans="1:15" ht="16" x14ac:dyDescent="0.2">
      <c r="A12143" s="17" t="str">
        <f>HYPERLINK("https://otsuka-europe-crm.veevavault.com/ui/#object/account__v/V4T000000025051", "MARTA RAMIREZ MARQUEZ")</f>
        <v>MARTA RAMIREZ MARQUEZ</v>
      </c>
      <c r="B12143" s="17" t="str">
        <f>HYPERLINK("https://otsuka-europe-crm.veevavault.com/ui/#object/vcountry__v/VENZ000004SONF5", "ES")</f>
        <v>ES</v>
      </c>
      <c r="C12143" s="20" t="s">
        <v>41</v>
      </c>
      <c r="D12143" s="21" t="str">
        <f>HYPERLINK("https://otsuka-europe-crm.veevavault.com/ui/#object/approved_document__v/V5O00000000D100", "Spain - Consent Email 1 Aug 25")</f>
        <v>Spain - Consent Email 1 Aug 25</v>
      </c>
      <c r="E12143" s="22" t="str">
        <f>HYPERLINK("https://otsuka-europe-crm.veevavault.com/ui/#object/sent_email__v/VBL00000002W013", "SE-001437454")</f>
        <v>SE-001437454</v>
      </c>
      <c r="F12143" s="23">
        <v>46192.41505787037</v>
      </c>
      <c r="G12143" s="24">
        <v>1</v>
      </c>
      <c r="H12143" s="24">
        <v>1</v>
      </c>
      <c r="I12143" s="24">
        <v>1</v>
      </c>
      <c r="J12143" s="23">
        <v>46192.415127314816</v>
      </c>
      <c r="K12143" s="24">
        <v>1</v>
      </c>
      <c r="L12143" s="22" t="str">
        <f>HYPERLINK("https://otsuka-europe-crm.veevavault.com/ui/#object/approved_document__v/V5O00000000D100", "Spain - Consent Email 1 Aug 25")</f>
        <v>Spain - Consent Email 1 Aug 25</v>
      </c>
      <c r="M12143" s="22" t="str">
        <f>HYPERLINK("mailto:mgravan@crm.otsuka-europe.com", "mgravan@crm.otsuka-europe.com")</f>
        <v>mgravan@crm.otsuka-europe.com</v>
      </c>
      <c r="N12143" s="23">
        <v>46192.409629629627</v>
      </c>
      <c r="O12143" s="14" t="str">
        <f>HYPERLINK("https://otsuka-europe-crm.veevavault.com/ui/#object/email_activity__v/V8C00000003Z061", "EN-002098747")</f>
        <v>EN-002098747</v>
      </c>
    </row>
    <row r="12144" spans="1:15" ht="16" x14ac:dyDescent="0.2">
      <c r="A12144" s="18"/>
      <c r="B12144" s="18"/>
      <c r="C12144" s="18"/>
      <c r="D12144" s="18"/>
      <c r="E12144" s="18"/>
      <c r="F12144" s="18"/>
      <c r="G12144" s="18"/>
      <c r="H12144" s="18"/>
      <c r="I12144" s="18"/>
      <c r="J12144" s="18"/>
      <c r="K12144" s="18"/>
      <c r="L12144" s="18"/>
      <c r="M12144" s="18"/>
      <c r="N12144" s="18"/>
      <c r="O12144" s="14" t="str">
        <f>HYPERLINK("https://otsuka-europe-crm.veevavault.com/ui/#object/email_activity__v/V8C000000040032", "EN-002098759")</f>
        <v>EN-002098759</v>
      </c>
    </row>
    <row r="12145" spans="1:15" ht="16" x14ac:dyDescent="0.2">
      <c r="A12145" s="19"/>
      <c r="B12145" s="19"/>
      <c r="C12145" s="19"/>
      <c r="D12145" s="19"/>
      <c r="E12145" s="19"/>
      <c r="F12145" s="19"/>
      <c r="G12145" s="19"/>
      <c r="H12145" s="19"/>
      <c r="I12145" s="19"/>
      <c r="J12145" s="19"/>
      <c r="K12145" s="19"/>
      <c r="L12145" s="19"/>
      <c r="M12145" s="19"/>
      <c r="N12145" s="19"/>
      <c r="O12145" s="14" t="str">
        <f>HYPERLINK("https://otsuka-europe-crm.veevavault.com/ui/#object/email_activity__v/V8C000000040033", "EN-002098760")</f>
        <v>EN-002098760</v>
      </c>
    </row>
    <row r="12146" spans="1:15" ht="16" x14ac:dyDescent="0.2">
      <c r="A12146" s="17" t="str">
        <f>HYPERLINK("https://otsuka-europe-crm.veevavault.com/ui/#object/account__v/V4T000000025051", "MARTA RAMIREZ MARQUEZ")</f>
        <v>MARTA RAMIREZ MARQUEZ</v>
      </c>
      <c r="B12146" s="17" t="str">
        <f>HYPERLINK("https://otsuka-europe-crm.veevavault.com/ui/#object/vcountry__v/VENZ000004SONF5", "ES")</f>
        <v>ES</v>
      </c>
      <c r="C12146" s="20" t="s">
        <v>41</v>
      </c>
      <c r="D12146" s="21" t="str">
        <f>HYPERLINK("https://otsuka-europe-crm.veevavault.com/ui/#object/approved_document__v/V5OZ04ASG4FWKA7", "Reuniones Online Consent - 2")</f>
        <v>Reuniones Online Consent - 2</v>
      </c>
      <c r="E12146" s="22" t="str">
        <f>HYPERLINK("https://otsuka-europe-crm.veevavault.com/ui/#object/sent_email__v/VBL00000002W014", "SE-001437455")</f>
        <v>SE-001437455</v>
      </c>
      <c r="F12146" s="23">
        <v>46192.414895833332</v>
      </c>
      <c r="G12146" s="24">
        <v>1</v>
      </c>
      <c r="H12146" s="24">
        <v>1</v>
      </c>
      <c r="I12146" s="24">
        <v>1</v>
      </c>
      <c r="J12146" s="23">
        <v>46192.414942129632</v>
      </c>
      <c r="K12146" s="24">
        <v>1</v>
      </c>
      <c r="L12146" s="22" t="str">
        <f>HYPERLINK("https://otsuka-europe-crm.veevavault.com/ui/#object/approved_document__v/V5OZ04ASG4FWKA7", "Reuniones Online Consent - 2")</f>
        <v>Reuniones Online Consent - 2</v>
      </c>
      <c r="M12146" s="22" t="str">
        <f>HYPERLINK("mailto:mgravan@crm.otsuka-europe.com", "mgravan@crm.otsuka-europe.com")</f>
        <v>mgravan@crm.otsuka-europe.com</v>
      </c>
      <c r="N12146" s="23">
        <v>46192.409629629627</v>
      </c>
      <c r="O12146" s="14" t="str">
        <f>HYPERLINK("https://otsuka-europe-crm.veevavault.com/ui/#object/email_activity__v/V8C00000003Z060", "EN-002098746")</f>
        <v>EN-002098746</v>
      </c>
    </row>
    <row r="12147" spans="1:15" ht="16" x14ac:dyDescent="0.2">
      <c r="A12147" s="18"/>
      <c r="B12147" s="18"/>
      <c r="C12147" s="18"/>
      <c r="D12147" s="18"/>
      <c r="E12147" s="18"/>
      <c r="F12147" s="18"/>
      <c r="G12147" s="18"/>
      <c r="H12147" s="18"/>
      <c r="I12147" s="18"/>
      <c r="J12147" s="18"/>
      <c r="K12147" s="18"/>
      <c r="L12147" s="18"/>
      <c r="M12147" s="18"/>
      <c r="N12147" s="18"/>
      <c r="O12147" s="14" t="str">
        <f>HYPERLINK("https://otsuka-europe-crm.veevavault.com/ui/#object/email_activity__v/V8C00000003Z065", "EN-002098756")</f>
        <v>EN-002098756</v>
      </c>
    </row>
    <row r="12148" spans="1:15" ht="16" x14ac:dyDescent="0.2">
      <c r="A12148" s="19"/>
      <c r="B12148" s="19"/>
      <c r="C12148" s="19"/>
      <c r="D12148" s="19"/>
      <c r="E12148" s="19"/>
      <c r="F12148" s="19"/>
      <c r="G12148" s="19"/>
      <c r="H12148" s="19"/>
      <c r="I12148" s="19"/>
      <c r="J12148" s="19"/>
      <c r="K12148" s="19"/>
      <c r="L12148" s="19"/>
      <c r="M12148" s="19"/>
      <c r="N12148" s="19"/>
      <c r="O12148" s="14" t="str">
        <f>HYPERLINK("https://otsuka-europe-crm.veevavault.com/ui/#object/email_activity__v/V8C000000040031", "EN-002098758")</f>
        <v>EN-002098758</v>
      </c>
    </row>
    <row r="12149" spans="1:15" ht="16" x14ac:dyDescent="0.2">
      <c r="A12149" s="17" t="str">
        <f>HYPERLINK("https://otsuka-europe-crm.veevavault.com/ui/#object/account__v/V4T000000025051", "MARTA RAMIREZ MARQUEZ")</f>
        <v>MARTA RAMIREZ MARQUEZ</v>
      </c>
      <c r="B12149" s="17" t="str">
        <f>HYPERLINK("https://otsuka-europe-crm.veevavault.com/ui/#object/vcountry__v/VENZ000004SONF5", "ES")</f>
        <v>ES</v>
      </c>
      <c r="C12149" s="20" t="s">
        <v>41</v>
      </c>
      <c r="D12149" s="21" t="str">
        <f>HYPERLINK("https://otsuka-europe-crm.veevavault.com/ui/#object/approved_document__v/V5OZ04ASG4FWKA9", "Documento Autorizaciขn Centro Empleador")</f>
        <v>Documento Autorizaciขn Centro Empleador</v>
      </c>
      <c r="E12149" s="22" t="str">
        <f>HYPERLINK("https://otsuka-europe-crm.veevavault.com/ui/#object/sent_email__v/VBL00000002W015", "SE-001437456")</f>
        <v>SE-001437456</v>
      </c>
      <c r="F12149" s="23">
        <v>46192.414641203701</v>
      </c>
      <c r="G12149" s="24">
        <v>1</v>
      </c>
      <c r="H12149" s="24">
        <v>2</v>
      </c>
      <c r="I12149" s="24">
        <v>1</v>
      </c>
      <c r="J12149" s="23">
        <v>46192.414826388886</v>
      </c>
      <c r="K12149" s="24">
        <v>2</v>
      </c>
      <c r="L12149" s="22" t="str">
        <f>HYPERLINK("https://otsuka-europe-crm.veevavault.com/ui/#object/approved_document__v/V5OZ04ASG4FWKA9", "Documento Autorizaciขn Centro Empleador")</f>
        <v>Documento Autorizaciขn Centro Empleador</v>
      </c>
      <c r="M12149" s="22" t="str">
        <f>HYPERLINK("mailto:mgravan@crm.otsuka-europe.com", "mgravan@crm.otsuka-europe.com")</f>
        <v>mgravan@crm.otsuka-europe.com</v>
      </c>
      <c r="N12149" s="23">
        <v>46192.40965277778</v>
      </c>
      <c r="O12149" s="14" t="str">
        <f>HYPERLINK("https://otsuka-europe-crm.veevavault.com/ui/#object/email_activity__v/V8C00000003Z063", "EN-002098755")</f>
        <v>EN-002098755</v>
      </c>
    </row>
    <row r="12150" spans="1:15" ht="16" x14ac:dyDescent="0.2">
      <c r="A12150" s="18"/>
      <c r="B12150" s="18"/>
      <c r="C12150" s="18"/>
      <c r="D12150" s="18"/>
      <c r="E12150" s="18"/>
      <c r="F12150" s="18"/>
      <c r="G12150" s="18"/>
      <c r="H12150" s="18"/>
      <c r="I12150" s="18"/>
      <c r="J12150" s="18"/>
      <c r="K12150" s="18"/>
      <c r="L12150" s="18"/>
      <c r="M12150" s="18"/>
      <c r="N12150" s="18"/>
      <c r="O12150" s="14" t="str">
        <f>HYPERLINK("https://otsuka-europe-crm.veevavault.com/ui/#object/email_activity__v/V8C00000003Z064", "EN-002098753")</f>
        <v>EN-002098753</v>
      </c>
    </row>
    <row r="12151" spans="1:15" ht="16" x14ac:dyDescent="0.2">
      <c r="A12151" s="18"/>
      <c r="B12151" s="18"/>
      <c r="C12151" s="18"/>
      <c r="D12151" s="18"/>
      <c r="E12151" s="18"/>
      <c r="F12151" s="18"/>
      <c r="G12151" s="18"/>
      <c r="H12151" s="18"/>
      <c r="I12151" s="18"/>
      <c r="J12151" s="18"/>
      <c r="K12151" s="18"/>
      <c r="L12151" s="18"/>
      <c r="M12151" s="18"/>
      <c r="N12151" s="18"/>
      <c r="O12151" s="14" t="str">
        <f>HYPERLINK("https://otsuka-europe-crm.veevavault.com/ui/#object/email_activity__v/V8C00000003Z066", "EN-002098757")</f>
        <v>EN-002098757</v>
      </c>
    </row>
    <row r="12152" spans="1:15" ht="16" x14ac:dyDescent="0.2">
      <c r="A12152" s="18"/>
      <c r="B12152" s="18"/>
      <c r="C12152" s="18"/>
      <c r="D12152" s="18"/>
      <c r="E12152" s="18"/>
      <c r="F12152" s="18"/>
      <c r="G12152" s="18"/>
      <c r="H12152" s="18"/>
      <c r="I12152" s="18"/>
      <c r="J12152" s="18"/>
      <c r="K12152" s="18"/>
      <c r="L12152" s="18"/>
      <c r="M12152" s="18"/>
      <c r="N12152" s="18"/>
      <c r="O12152" s="14" t="str">
        <f>HYPERLINK("https://otsuka-europe-crm.veevavault.com/ui/#object/email_activity__v/V8C000000040026", "EN-002098748")</f>
        <v>EN-002098748</v>
      </c>
    </row>
    <row r="12153" spans="1:15" ht="16" x14ac:dyDescent="0.2">
      <c r="A12153" s="19"/>
      <c r="B12153" s="19"/>
      <c r="C12153" s="19"/>
      <c r="D12153" s="19"/>
      <c r="E12153" s="19"/>
      <c r="F12153" s="19"/>
      <c r="G12153" s="19"/>
      <c r="H12153" s="19"/>
      <c r="I12153" s="19"/>
      <c r="J12153" s="19"/>
      <c r="K12153" s="19"/>
      <c r="L12153" s="19"/>
      <c r="M12153" s="19"/>
      <c r="N12153" s="19"/>
      <c r="O12153" s="14" t="str">
        <f>HYPERLINK("https://otsuka-europe-crm.veevavault.com/ui/#object/email_activity__v/V8C000000040030", "EN-002098754")</f>
        <v>EN-002098754</v>
      </c>
    </row>
    <row r="12154" spans="1:15" ht="16" x14ac:dyDescent="0.2">
      <c r="A12154" s="17" t="str">
        <f>HYPERLINK("https://otsuka-europe-crm.veevavault.com/ui/#object/account__v/V4T000000024067", "CARMEN MUÑOZ DE ARENILLAS RODRIGUEZ")</f>
        <v>CARMEN MUÑOZ DE ARENILLAS RODRIGUEZ</v>
      </c>
      <c r="B12154" s="17" t="str">
        <f>HYPERLINK("https://otsuka-europe-crm.veevavault.com/ui/#object/vcountry__v/VENZ000004SONF5", "ES")</f>
        <v>ES</v>
      </c>
      <c r="C12154" s="20" t="s">
        <v>41</v>
      </c>
      <c r="D12154" s="21" t="str">
        <f>HYPERLINK("https://otsuka-europe-crm.veevavault.com/ui/#object/approved_document__v/V5OZ06G6O6RFL1P", "ES Veeva Privacy Notice Email")</f>
        <v>ES Veeva Privacy Notice Email</v>
      </c>
      <c r="E12154" s="22" t="str">
        <f>HYPERLINK("https://otsuka-europe-crm.veevavault.com/ui/#object/sent_email__v/VBL00000002X011", "SE-001437457")</f>
        <v>SE-001437457</v>
      </c>
      <c r="F12154" s="25"/>
      <c r="G12154" s="24">
        <v>0</v>
      </c>
      <c r="H12154" s="24">
        <v>0</v>
      </c>
      <c r="I12154" s="24">
        <v>0</v>
      </c>
      <c r="J12154" s="25"/>
      <c r="K12154" s="24">
        <v>0</v>
      </c>
      <c r="L12154" s="22" t="str">
        <f>HYPERLINK("https://otsuka-europe-crm.veevavault.com/ui/#object/approved_document__v/V5OZ06G6O6RFL1P", "ES Veeva Privacy Notice Email")</f>
        <v>ES Veeva Privacy Notice Email</v>
      </c>
      <c r="M12154" s="22" t="str">
        <f>HYPERLINK("mailto:mgravan@crm.otsuka-europe.com", "mgravan@crm.otsuka-europe.com")</f>
        <v>mgravan@crm.otsuka-europe.com</v>
      </c>
      <c r="N12154" s="23">
        <v>46192.41133101852</v>
      </c>
      <c r="O12154" s="14" t="str">
        <f>HYPERLINK("https://otsuka-europe-crm.veevavault.com/ui/#object/email_activity__v/V8C00000003Z062", "EN-002098750")</f>
        <v>EN-002098750</v>
      </c>
    </row>
    <row r="12155" spans="1:15" ht="16" x14ac:dyDescent="0.2">
      <c r="A12155" s="19"/>
      <c r="B12155" s="19"/>
      <c r="C12155" s="19"/>
      <c r="D12155" s="19"/>
      <c r="E12155" s="19"/>
      <c r="F12155" s="19"/>
      <c r="G12155" s="19"/>
      <c r="H12155" s="19"/>
      <c r="I12155" s="19"/>
      <c r="J12155" s="19"/>
      <c r="K12155" s="19"/>
      <c r="L12155" s="19"/>
      <c r="M12155" s="19"/>
      <c r="N12155" s="19"/>
      <c r="O12155" s="14" t="str">
        <f>HYPERLINK("https://otsuka-europe-crm.veevavault.com/ui/#object/email_activity__v/V8C000000040034", "EN-002098772")</f>
        <v>EN-002098772</v>
      </c>
    </row>
    <row r="12156" spans="1:15" ht="16" x14ac:dyDescent="0.2">
      <c r="A12156" s="17" t="str">
        <f>HYPERLINK("https://otsuka-europe-crm.veevavault.com/ui/#object/account__v/V4T000000025051", "MARTA RAMIREZ MARQUEZ")</f>
        <v>MARTA RAMIREZ MARQUEZ</v>
      </c>
      <c r="B12156" s="17" t="str">
        <f>HYPERLINK("https://otsuka-europe-crm.veevavault.com/ui/#object/vcountry__v/VENZ000004SONF5", "ES")</f>
        <v>ES</v>
      </c>
      <c r="C12156" s="20" t="s">
        <v>41</v>
      </c>
      <c r="D12156" s="21" t="str">
        <f>HYPERLINK("https://otsuka-europe-crm.veevavault.com/ui/#object/approved_document__v/V5OZ06G6O6RFL1P", "ES Veeva Privacy Notice Email")</f>
        <v>ES Veeva Privacy Notice Email</v>
      </c>
      <c r="E12156" s="22" t="str">
        <f>HYPERLINK("https://otsuka-europe-crm.veevavault.com/ui/#object/sent_email__v/VBL00000002X012", "SE-001437458")</f>
        <v>SE-001437458</v>
      </c>
      <c r="F12156" s="23">
        <v>46197.540648148148</v>
      </c>
      <c r="G12156" s="24">
        <v>1</v>
      </c>
      <c r="H12156" s="24">
        <v>4</v>
      </c>
      <c r="I12156" s="24">
        <v>0</v>
      </c>
      <c r="J12156" s="25"/>
      <c r="K12156" s="24">
        <v>0</v>
      </c>
      <c r="L12156" s="22" t="str">
        <f>HYPERLINK("https://otsuka-europe-crm.veevavault.com/ui/#object/approved_document__v/V5OZ06G6O6RFL1P", "ES Veeva Privacy Notice Email")</f>
        <v>ES Veeva Privacy Notice Email</v>
      </c>
      <c r="M12156" s="22" t="str">
        <f>HYPERLINK("mailto:mgravan@crm.otsuka-europe.com", "mgravan@crm.otsuka-europe.com")</f>
        <v>mgravan@crm.otsuka-europe.com</v>
      </c>
      <c r="N12156" s="23">
        <v>46192.41133101852</v>
      </c>
      <c r="O12156" s="14" t="str">
        <f>HYPERLINK("https://otsuka-europe-crm.veevavault.com/ui/#object/email_activity__v/V8C00000003Z067", "EN-002098761")</f>
        <v>EN-002098761</v>
      </c>
    </row>
    <row r="12157" spans="1:15" ht="16" x14ac:dyDescent="0.2">
      <c r="A12157" s="18"/>
      <c r="B12157" s="18"/>
      <c r="C12157" s="18"/>
      <c r="D12157" s="18"/>
      <c r="E12157" s="18"/>
      <c r="F12157" s="18"/>
      <c r="G12157" s="18"/>
      <c r="H12157" s="18"/>
      <c r="I12157" s="18"/>
      <c r="J12157" s="18"/>
      <c r="K12157" s="18"/>
      <c r="L12157" s="18"/>
      <c r="M12157" s="18"/>
      <c r="N12157" s="18"/>
      <c r="O12157" s="14" t="str">
        <f>HYPERLINK("https://otsuka-europe-crm.veevavault.com/ui/#object/email_activity__v/V8C000000040027", "EN-002098749")</f>
        <v>EN-002098749</v>
      </c>
    </row>
    <row r="12158" spans="1:15" ht="16" x14ac:dyDescent="0.2">
      <c r="A12158" s="18"/>
      <c r="B12158" s="18"/>
      <c r="C12158" s="18"/>
      <c r="D12158" s="18"/>
      <c r="E12158" s="18"/>
      <c r="F12158" s="18"/>
      <c r="G12158" s="18"/>
      <c r="H12158" s="18"/>
      <c r="I12158" s="18"/>
      <c r="J12158" s="18"/>
      <c r="K12158" s="18"/>
      <c r="L12158" s="18"/>
      <c r="M12158" s="18"/>
      <c r="N12158" s="18"/>
      <c r="O12158" s="14" t="str">
        <f>HYPERLINK("https://otsuka-europe-crm.veevavault.com/ui/#object/email_activity__v/V8C000000040028", "EN-002098751")</f>
        <v>EN-002098751</v>
      </c>
    </row>
    <row r="12159" spans="1:15" ht="16" x14ac:dyDescent="0.2">
      <c r="A12159" s="18"/>
      <c r="B12159" s="18"/>
      <c r="C12159" s="18"/>
      <c r="D12159" s="18"/>
      <c r="E12159" s="18"/>
      <c r="F12159" s="18"/>
      <c r="G12159" s="18"/>
      <c r="H12159" s="18"/>
      <c r="I12159" s="18"/>
      <c r="J12159" s="18"/>
      <c r="K12159" s="18"/>
      <c r="L12159" s="18"/>
      <c r="M12159" s="18"/>
      <c r="N12159" s="18"/>
      <c r="O12159" s="14" t="str">
        <f>HYPERLINK("https://otsuka-europe-crm.veevavault.com/ui/#object/email_activity__v/V8C000000040029", "EN-002098752")</f>
        <v>EN-002098752</v>
      </c>
    </row>
    <row r="12160" spans="1:15" ht="16" x14ac:dyDescent="0.2">
      <c r="A12160" s="19"/>
      <c r="B12160" s="19"/>
      <c r="C12160" s="19"/>
      <c r="D12160" s="19"/>
      <c r="E12160" s="19"/>
      <c r="F12160" s="19"/>
      <c r="G12160" s="19"/>
      <c r="H12160" s="19"/>
      <c r="I12160" s="19"/>
      <c r="J12160" s="19"/>
      <c r="K12160" s="19"/>
      <c r="L12160" s="19"/>
      <c r="M12160" s="19"/>
      <c r="N12160" s="19"/>
      <c r="O12160" s="14" t="str">
        <f>HYPERLINK("https://otsuka-europe-crm.veevavault.com/ui/#object/email_activity__v/V8C000000040493", "EN-002099559")</f>
        <v>EN-002099559</v>
      </c>
    </row>
    <row r="12161" spans="1:15" ht="32" x14ac:dyDescent="0.2">
      <c r="A12161" s="7" t="str">
        <f>HYPERLINK("https://otsuka-europe-crm.veevavault.com/ui/#object/account__v/V4T000000024064", "ROCIO GALLEGO RAMOS")</f>
        <v>ROCIO GALLEGO RAMOS</v>
      </c>
      <c r="B12161" s="7" t="str">
        <f>HYPERLINK("https://otsuka-europe-crm.veevavault.com/ui/#object/vcountry__v/VENZ000004SONF5", "ES")</f>
        <v>ES</v>
      </c>
      <c r="C12161" s="8" t="s">
        <v>41</v>
      </c>
      <c r="D12161" s="9" t="str">
        <f>HYPERLINK("https://otsuka-europe-crm.veevavault.com/ui/#object/approved_document__v/V5O00000000D100", "Spain - Consent Email 1 Aug 25")</f>
        <v>Spain - Consent Email 1 Aug 25</v>
      </c>
      <c r="E12161" s="10" t="str">
        <f>HYPERLINK("https://otsuka-europe-crm.veevavault.com/ui/#object/sent_email__v/VBL00000002X013", "SE-001437459")</f>
        <v>SE-001437459</v>
      </c>
      <c r="F12161" s="11"/>
      <c r="G12161" s="12">
        <v>0</v>
      </c>
      <c r="H12161" s="12">
        <v>0</v>
      </c>
      <c r="I12161" s="12">
        <v>0</v>
      </c>
      <c r="J12161" s="11"/>
      <c r="K12161" s="12">
        <v>0</v>
      </c>
      <c r="L12161" s="10" t="str">
        <f>HYPERLINK("https://otsuka-europe-crm.veevavault.com/ui/#object/approved_document__v/V5O00000000D100", "Spain - Consent Email 1 Aug 25")</f>
        <v>Spain - Consent Email 1 Aug 25</v>
      </c>
      <c r="M12161" s="10" t="str">
        <f>HYPERLINK("mailto:mgravan@crm.otsuka-europe.com", "mgravan@crm.otsuka-europe.com")</f>
        <v>mgravan@crm.otsuka-europe.com</v>
      </c>
      <c r="N12161" s="13">
        <v>46192.416238425925</v>
      </c>
      <c r="O12161" s="14" t="str">
        <f>HYPERLINK("https://otsuka-europe-crm.veevavault.com/ui/#object/email_activity__v/V8C00000003Z068", "EN-002098762")</f>
        <v>EN-002098762</v>
      </c>
    </row>
    <row r="12162" spans="1:15" ht="48" x14ac:dyDescent="0.2">
      <c r="A12162" s="7" t="str">
        <f>HYPERLINK("https://otsuka-europe-crm.veevavault.com/ui/#object/account__v/V4T000000024064", "ROCIO GALLEGO RAMOS")</f>
        <v>ROCIO GALLEGO RAMOS</v>
      </c>
      <c r="B12162" s="7" t="str">
        <f>HYPERLINK("https://otsuka-europe-crm.veevavault.com/ui/#object/vcountry__v/VENZ000004SONF5", "ES")</f>
        <v>ES</v>
      </c>
      <c r="C12162" s="8" t="s">
        <v>41</v>
      </c>
      <c r="D12162" s="9" t="str">
        <f>HYPERLINK("https://otsuka-europe-crm.veevavault.com/ui/#object/approved_document__v/V5OZ025E82GCBPH", "AM2M - ENFERMERÍA - ¿Sabes cómo se administra Abilify Maintena 960 mg?")</f>
        <v>AM2M - ENFERMERÍA - ¿Sabes cómo se administra Abilify Maintena 960 mg?</v>
      </c>
      <c r="E12162" s="10" t="str">
        <f>HYPERLINK("https://otsuka-europe-crm.veevavault.com/ui/#object/sent_email__v/VBL00000002W016", "SE-001437460")</f>
        <v>SE-001437460</v>
      </c>
      <c r="F12162" s="11"/>
      <c r="G12162" s="12">
        <v>0</v>
      </c>
      <c r="H12162" s="12">
        <v>0</v>
      </c>
      <c r="I12162" s="12">
        <v>0</v>
      </c>
      <c r="J12162" s="11"/>
      <c r="K12162" s="12">
        <v>0</v>
      </c>
      <c r="L12162" s="10" t="str">
        <f>HYPERLINK("https://otsuka-europe-crm.veevavault.com/ui/#object/approved_document__v/V5OZ025E82GCBPH", "AM2M - ENFERMERÍA - ¿Sabes cómo se administra Abilify Maintena 960 mg?")</f>
        <v>AM2M - ENFERMERÍA - ¿Sabes cómo se administra Abilify Maintena 960 mg?</v>
      </c>
      <c r="M12162" s="10" t="str">
        <f>HYPERLINK("mailto:mgravan@crm.otsuka-europe.com", "mgravan@crm.otsuka-europe.com")</f>
        <v>mgravan@crm.otsuka-europe.com</v>
      </c>
      <c r="N12162" s="13">
        <v>46192.429282407407</v>
      </c>
      <c r="O12162" s="14" t="str">
        <f>HYPERLINK("https://otsuka-europe-crm.veevavault.com/ui/#object/email_activity__v/V8C00000003Z072", "EN-002098766")</f>
        <v>EN-002098766</v>
      </c>
    </row>
    <row r="12163" spans="1:15" ht="32" x14ac:dyDescent="0.2">
      <c r="A12163" s="7" t="str">
        <f>HYPERLINK("https://otsuka-europe-crm.veevavault.com/ui/#object/account__v/V4T000000024064", "ROCIO GALLEGO RAMOS")</f>
        <v>ROCIO GALLEGO RAMOS</v>
      </c>
      <c r="B12163" s="7" t="str">
        <f>HYPERLINK("https://otsuka-europe-crm.veevavault.com/ui/#object/vcountry__v/VENZ000004SONF5", "ES")</f>
        <v>ES</v>
      </c>
      <c r="C12163" s="8" t="s">
        <v>41</v>
      </c>
      <c r="D12163" s="9" t="str">
        <f>HYPERLINK("https://otsuka-europe-crm.veevavault.com/ui/#object/approved_document__v/V5OZ025E82KUA9I", "Peplau - Registro a la web")</f>
        <v>Peplau - Registro a la web</v>
      </c>
      <c r="E12163" s="10" t="str">
        <f>HYPERLINK("https://otsuka-europe-crm.veevavault.com/ui/#object/sent_email__v/VBL00000002W017", "SE-001437461")</f>
        <v>SE-001437461</v>
      </c>
      <c r="F12163" s="11"/>
      <c r="G12163" s="12">
        <v>0</v>
      </c>
      <c r="H12163" s="12">
        <v>0</v>
      </c>
      <c r="I12163" s="12">
        <v>0</v>
      </c>
      <c r="J12163" s="11"/>
      <c r="K12163" s="12">
        <v>0</v>
      </c>
      <c r="L12163" s="10" t="str">
        <f>HYPERLINK("https://otsuka-europe-crm.veevavault.com/ui/#object/approved_document__v/V5OZ025E82KUA9I", "Peplau - Registro a la web")</f>
        <v>Peplau - Registro a la web</v>
      </c>
      <c r="M12163" s="10" t="str">
        <f>HYPERLINK("mailto:mgravan@crm.otsuka-europe.com", "mgravan@crm.otsuka-europe.com")</f>
        <v>mgravan@crm.otsuka-europe.com</v>
      </c>
      <c r="N12163" s="13">
        <v>46192.429270833331</v>
      </c>
      <c r="O12163" s="14" t="str">
        <f>HYPERLINK("https://otsuka-europe-crm.veevavault.com/ui/#object/email_activity__v/V8C00000003Z074", "EN-002098768")</f>
        <v>EN-002098768</v>
      </c>
    </row>
    <row r="12164" spans="1:15" ht="32" x14ac:dyDescent="0.2">
      <c r="A12164" s="7" t="str">
        <f>HYPERLINK("https://otsuka-europe-crm.veevavault.com/ui/#object/account__v/V4T000000024064", "ROCIO GALLEGO RAMOS")</f>
        <v>ROCIO GALLEGO RAMOS</v>
      </c>
      <c r="B12164" s="7" t="str">
        <f>HYPERLINK("https://otsuka-europe-crm.veevavault.com/ui/#object/vcountry__v/VENZ000004SONF5", "ES")</f>
        <v>ES</v>
      </c>
      <c r="C12164" s="8" t="s">
        <v>41</v>
      </c>
      <c r="D12164" s="9" t="str">
        <f>HYPERLINK("https://otsuka-europe-crm.veevavault.com/ui/#object/approved_document__v/V5OZ025E82N7CDL", "ENFERMERÍA - Curso acreditado RETO TMG")</f>
        <v>ENFERMERÍA - Curso acreditado RETO TMG</v>
      </c>
      <c r="E12164" s="10" t="str">
        <f>HYPERLINK("https://otsuka-europe-crm.veevavault.com/ui/#object/sent_email__v/VBL00000002W018", "SE-001437462")</f>
        <v>SE-001437462</v>
      </c>
      <c r="F12164" s="11"/>
      <c r="G12164" s="12">
        <v>0</v>
      </c>
      <c r="H12164" s="12">
        <v>0</v>
      </c>
      <c r="I12164" s="12">
        <v>0</v>
      </c>
      <c r="J12164" s="11"/>
      <c r="K12164" s="12">
        <v>0</v>
      </c>
      <c r="L12164" s="10" t="str">
        <f>HYPERLINK("https://otsuka-europe-crm.veevavault.com/ui/#object/approved_document__v/V5OZ025E82N7CDL", "ENFERMERÍA - Curso acreditado RETO TMG")</f>
        <v>ENFERMERÍA - Curso acreditado RETO TMG</v>
      </c>
      <c r="M12164" s="10" t="str">
        <f>HYPERLINK("mailto:mgravan@crm.otsuka-europe.com", "mgravan@crm.otsuka-europe.com")</f>
        <v>mgravan@crm.otsuka-europe.com</v>
      </c>
      <c r="N12164" s="13">
        <v>46192.429270833331</v>
      </c>
      <c r="O12164" s="14" t="str">
        <f>HYPERLINK("https://otsuka-europe-crm.veevavault.com/ui/#object/email_activity__v/V8C00000003Z073", "EN-002098767")</f>
        <v>EN-002098767</v>
      </c>
    </row>
    <row r="12165" spans="1:15" ht="32" x14ac:dyDescent="0.2">
      <c r="A12165" s="7" t="str">
        <f>HYPERLINK("https://otsuka-europe-crm.veevavault.com/ui/#object/account__v/V4T000000024064", "ROCIO GALLEGO RAMOS")</f>
        <v>ROCIO GALLEGO RAMOS</v>
      </c>
      <c r="B12165" s="7" t="str">
        <f>HYPERLINK("https://otsuka-europe-crm.veevavault.com/ui/#object/vcountry__v/VENZ000004SONF5", "ES")</f>
        <v>ES</v>
      </c>
      <c r="C12165" s="8" t="s">
        <v>41</v>
      </c>
      <c r="D12165" s="9" t="str">
        <f>HYPERLINK("https://otsuka-europe-crm.veevavault.com/ui/#object/approved_document__v/V5OZ025E82KUA9I", "Peplau - Registro a la web")</f>
        <v>Peplau - Registro a la web</v>
      </c>
      <c r="E12165" s="10" t="str">
        <f>HYPERLINK("https://otsuka-europe-crm.veevavault.com/ui/#object/sent_email__v/VBL00000002W019", "SE-001437463")</f>
        <v>SE-001437463</v>
      </c>
      <c r="F12165" s="11"/>
      <c r="G12165" s="12">
        <v>0</v>
      </c>
      <c r="H12165" s="12">
        <v>0</v>
      </c>
      <c r="I12165" s="12">
        <v>0</v>
      </c>
      <c r="J12165" s="11"/>
      <c r="K12165" s="12">
        <v>0</v>
      </c>
      <c r="L12165" s="10" t="str">
        <f>HYPERLINK("https://otsuka-europe-crm.veevavault.com/ui/#object/approved_document__v/V5OZ025E82KUA9I", "Peplau - Registro a la web")</f>
        <v>Peplau - Registro a la web</v>
      </c>
      <c r="M12165" s="10" t="str">
        <f>HYPERLINK("mailto:mgravan@crm.otsuka-europe.com", "mgravan@crm.otsuka-europe.com")</f>
        <v>mgravan@crm.otsuka-europe.com</v>
      </c>
      <c r="N12165" s="13">
        <v>46192.430300925924</v>
      </c>
      <c r="O12165" s="14" t="str">
        <f>HYPERLINK("https://otsuka-europe-crm.veevavault.com/ui/#object/email_activity__v/V8C00000003Z075", "EN-002098769")</f>
        <v>EN-002098769</v>
      </c>
    </row>
    <row r="12166" spans="1:15" ht="32" x14ac:dyDescent="0.2">
      <c r="A12166" s="7" t="str">
        <f>HYPERLINK("https://otsuka-europe-crm.veevavault.com/ui/#object/account__v/V4T000000027012", "Anna Shrimpton")</f>
        <v>Anna Shrimpton</v>
      </c>
      <c r="B12166" s="7" t="str">
        <f>HYPERLINK("https://otsuka-europe-crm.veevavault.com/ui/#object/vcountry__v/VENZ000004SONFK", "GB")</f>
        <v>GB</v>
      </c>
      <c r="C12166" s="8" t="s">
        <v>39</v>
      </c>
      <c r="D12166" s="9" t="str">
        <f>HYPERLINK("https://otsuka-europe-crm.veevavault.com/ui/#object/approved_document__v/V5OZ025E82PXJSL", "Otsuka Privacy Notice - UK (v2)")</f>
        <v>Otsuka Privacy Notice - UK (v2)</v>
      </c>
      <c r="E12166" s="10" t="str">
        <f>HYPERLINK("https://otsuka-europe-crm.veevavault.com/ui/#object/sent_email__v/VBL00000002X014", "SE-001437464")</f>
        <v>SE-001437464</v>
      </c>
      <c r="F12166" s="11"/>
      <c r="G12166" s="12">
        <v>0</v>
      </c>
      <c r="H12166" s="12">
        <v>0</v>
      </c>
      <c r="I12166" s="12">
        <v>0</v>
      </c>
      <c r="J12166" s="11"/>
      <c r="K12166" s="12">
        <v>0</v>
      </c>
      <c r="L12166" s="10" t="str">
        <f>HYPERLINK("https://otsuka-europe-crm.veevavault.com/ui/#object/approved_document__v/V5OZ025E82PXJSL", "Otsuka Privacy Notice - UK (v2)")</f>
        <v>Otsuka Privacy Notice - UK (v2)</v>
      </c>
      <c r="M12166" s="10" t="str">
        <f>HYPERLINK("mailto:KWood@crm.otsuka-europe.com", "KWood@crm.otsuka-europe.com")</f>
        <v>KWood@crm.otsuka-europe.com</v>
      </c>
      <c r="N12166" s="13">
        <v>46192.44458333333</v>
      </c>
      <c r="O12166" s="14" t="str">
        <f>HYPERLINK("https://otsuka-europe-crm.veevavault.com/ui/#object/email_activity__v/V8C00000003Z076", "EN-002098770")</f>
        <v>EN-002098770</v>
      </c>
    </row>
    <row r="12167" spans="1:15" ht="32" x14ac:dyDescent="0.2">
      <c r="A12167" s="7" t="str">
        <f>HYPERLINK("https://otsuka-europe-crm.veevavault.com/ui/#object/account__v/V4TZ06G6O90MCZP", "Celestine Buluma")</f>
        <v>Celestine Buluma</v>
      </c>
      <c r="B12167" s="7" t="str">
        <f>HYPERLINK("https://otsuka-europe-crm.veevavault.com/ui/#object/vcountry__v/VENZ000004SONFK", "GB")</f>
        <v>GB</v>
      </c>
      <c r="C12167" s="8" t="s">
        <v>39</v>
      </c>
      <c r="D12167" s="9" t="str">
        <f>HYPERLINK("https://otsuka-europe-crm.veevavault.com/ui/#object/approved_document__v/V5O00000001H005", "LDM DR P2P Invite 23-Jun-26 [digital]")</f>
        <v>LDM DR P2P Invite 23-Jun-26 [digital]</v>
      </c>
      <c r="E12167" s="10" t="str">
        <f>HYPERLINK("https://otsuka-europe-crm.veevavault.com/ui/#object/sent_email__v/VBL00000002W020", "SE-001437465")</f>
        <v>SE-001437465</v>
      </c>
      <c r="F12167" s="11"/>
      <c r="G12167" s="12">
        <v>0</v>
      </c>
      <c r="H12167" s="12">
        <v>0</v>
      </c>
      <c r="I12167" s="12">
        <v>0</v>
      </c>
      <c r="J12167" s="11"/>
      <c r="K12167" s="12">
        <v>0</v>
      </c>
      <c r="L12167" s="10" t="str">
        <f>HYPERLINK("https://otsuka-europe-crm.veevavault.com/ui/#object/approved_document__v/V5O00000001H005", "LDM DR P2P Invite 23-Jun-26 [digital]")</f>
        <v>LDM DR P2P Invite 23-Jun-26 [digital]</v>
      </c>
      <c r="M12167" s="10" t="str">
        <f>HYPERLINK("mailto:draval@crm.otsuka-europe.com", "draval@crm.otsuka-europe.com")</f>
        <v>draval@crm.otsuka-europe.com</v>
      </c>
      <c r="N12167" s="13">
        <v>46192.451516203706</v>
      </c>
      <c r="O12167" s="14" t="str">
        <f>HYPERLINK("https://otsuka-europe-crm.veevavault.com/ui/#object/email_activity__v/V8C00000003Z077", "EN-002098771")</f>
        <v>EN-002098771</v>
      </c>
    </row>
    <row r="12168" spans="1:15" ht="16" x14ac:dyDescent="0.2">
      <c r="A12168" s="17" t="str">
        <f>HYPERLINK("https://otsuka-europe-crm.veevavault.com/ui/#object/account__v/V4TZ025E84WOIWD", "ELENA MARIA LEONES GIL")</f>
        <v>ELENA MARIA LEONES GIL</v>
      </c>
      <c r="B12168" s="17" t="str">
        <f>HYPERLINK("https://otsuka-europe-crm.veevavault.com/ui/#object/vcountry__v/VENZ000004SONF5", "ES")</f>
        <v>ES</v>
      </c>
      <c r="C12168" s="20" t="s">
        <v>41</v>
      </c>
      <c r="D12168" s="21" t="str">
        <f>HYPERLINK("https://otsuka-europe-crm.veevavault.com/ui/#object/approved_document__v/V5OZ04ASG4FWKA9", "Documento Autorizaciขn Centro Empleador")</f>
        <v>Documento Autorizaciขn Centro Empleador</v>
      </c>
      <c r="E12168" s="22" t="str">
        <f>HYPERLINK("https://otsuka-europe-crm.veevavault.com/ui/#object/sent_email__v/VBL00000002X015", "SE-001437466")</f>
        <v>SE-001437466</v>
      </c>
      <c r="F12168" s="23">
        <v>46203.8753125</v>
      </c>
      <c r="G12168" s="24">
        <v>1</v>
      </c>
      <c r="H12168" s="24">
        <v>3</v>
      </c>
      <c r="I12168" s="24">
        <v>1</v>
      </c>
      <c r="J12168" s="23">
        <v>46192.586921296293</v>
      </c>
      <c r="K12168" s="24">
        <v>3</v>
      </c>
      <c r="L12168" s="22" t="str">
        <f>HYPERLINK("https://otsuka-europe-crm.veevavault.com/ui/#object/approved_document__v/V5OZ04ASG4FWKA9", "Documento Autorizaciขn Centro Empleador")</f>
        <v>Documento Autorizaciขn Centro Empleador</v>
      </c>
      <c r="M12168" s="22" t="str">
        <f>HYPERLINK("mailto:mgravan@crm.otsuka-europe.com", "mgravan@crm.otsuka-europe.com")</f>
        <v>mgravan@crm.otsuka-europe.com</v>
      </c>
      <c r="N12168" s="23">
        <v>46192.492615740739</v>
      </c>
      <c r="O12168" s="14" t="str">
        <f>HYPERLINK("https://otsuka-europe-crm.veevavault.com/ui/#object/email_activity__v/V8C00000003Z079", "EN-002098782")</f>
        <v>EN-002098782</v>
      </c>
    </row>
    <row r="12169" spans="1:15" ht="16" x14ac:dyDescent="0.2">
      <c r="A12169" s="18"/>
      <c r="B12169" s="18"/>
      <c r="C12169" s="18"/>
      <c r="D12169" s="18"/>
      <c r="E12169" s="18"/>
      <c r="F12169" s="18"/>
      <c r="G12169" s="18"/>
      <c r="H12169" s="18"/>
      <c r="I12169" s="18"/>
      <c r="J12169" s="18"/>
      <c r="K12169" s="18"/>
      <c r="L12169" s="18"/>
      <c r="M12169" s="18"/>
      <c r="N12169" s="18"/>
      <c r="O12169" s="14" t="str">
        <f>HYPERLINK("https://otsuka-europe-crm.veevavault.com/ui/#object/email_activity__v/V8C00000003Z095", "EN-002098828")</f>
        <v>EN-002098828</v>
      </c>
    </row>
    <row r="12170" spans="1:15" ht="16" x14ac:dyDescent="0.2">
      <c r="A12170" s="18"/>
      <c r="B12170" s="18"/>
      <c r="C12170" s="18"/>
      <c r="D12170" s="18"/>
      <c r="E12170" s="18"/>
      <c r="F12170" s="18"/>
      <c r="G12170" s="18"/>
      <c r="H12170" s="18"/>
      <c r="I12170" s="18"/>
      <c r="J12170" s="18"/>
      <c r="K12170" s="18"/>
      <c r="L12170" s="18"/>
      <c r="M12170" s="18"/>
      <c r="N12170" s="18"/>
      <c r="O12170" s="14" t="str">
        <f>HYPERLINK("https://otsuka-europe-crm.veevavault.com/ui/#object/email_activity__v/V8C00000003Z096", "EN-002098831")</f>
        <v>EN-002098831</v>
      </c>
    </row>
    <row r="12171" spans="1:15" ht="16" x14ac:dyDescent="0.2">
      <c r="A12171" s="18"/>
      <c r="B12171" s="18"/>
      <c r="C12171" s="18"/>
      <c r="D12171" s="18"/>
      <c r="E12171" s="18"/>
      <c r="F12171" s="18"/>
      <c r="G12171" s="18"/>
      <c r="H12171" s="18"/>
      <c r="I12171" s="18"/>
      <c r="J12171" s="18"/>
      <c r="K12171" s="18"/>
      <c r="L12171" s="18"/>
      <c r="M12171" s="18"/>
      <c r="N12171" s="18"/>
      <c r="O12171" s="14" t="str">
        <f>HYPERLINK("https://otsuka-europe-crm.veevavault.com/ui/#object/email_activity__v/V8C00000003Z097", "EN-002098829")</f>
        <v>EN-002098829</v>
      </c>
    </row>
    <row r="12172" spans="1:15" ht="16" x14ac:dyDescent="0.2">
      <c r="A12172" s="18"/>
      <c r="B12172" s="18"/>
      <c r="C12172" s="18"/>
      <c r="D12172" s="18"/>
      <c r="E12172" s="18"/>
      <c r="F12172" s="18"/>
      <c r="G12172" s="18"/>
      <c r="H12172" s="18"/>
      <c r="I12172" s="18"/>
      <c r="J12172" s="18"/>
      <c r="K12172" s="18"/>
      <c r="L12172" s="18"/>
      <c r="M12172" s="18"/>
      <c r="N12172" s="18"/>
      <c r="O12172" s="14" t="str">
        <f>HYPERLINK("https://otsuka-europe-crm.veevavault.com/ui/#object/email_activity__v/V8C00000003Z098", "EN-002098830")</f>
        <v>EN-002098830</v>
      </c>
    </row>
    <row r="12173" spans="1:15" ht="16" x14ac:dyDescent="0.2">
      <c r="A12173" s="18"/>
      <c r="B12173" s="18"/>
      <c r="C12173" s="18"/>
      <c r="D12173" s="18"/>
      <c r="E12173" s="18"/>
      <c r="F12173" s="18"/>
      <c r="G12173" s="18"/>
      <c r="H12173" s="18"/>
      <c r="I12173" s="18"/>
      <c r="J12173" s="18"/>
      <c r="K12173" s="18"/>
      <c r="L12173" s="18"/>
      <c r="M12173" s="18"/>
      <c r="N12173" s="18"/>
      <c r="O12173" s="14" t="str">
        <f>HYPERLINK("https://otsuka-europe-crm.veevavault.com/ui/#object/email_activity__v/V8C00000003Z099", "EN-002098832")</f>
        <v>EN-002098832</v>
      </c>
    </row>
    <row r="12174" spans="1:15" ht="16" x14ac:dyDescent="0.2">
      <c r="A12174" s="19"/>
      <c r="B12174" s="19"/>
      <c r="C12174" s="19"/>
      <c r="D12174" s="19"/>
      <c r="E12174" s="19"/>
      <c r="F12174" s="19"/>
      <c r="G12174" s="19"/>
      <c r="H12174" s="19"/>
      <c r="I12174" s="19"/>
      <c r="J12174" s="19"/>
      <c r="K12174" s="19"/>
      <c r="L12174" s="19"/>
      <c r="M12174" s="19"/>
      <c r="N12174" s="19"/>
      <c r="O12174" s="14" t="str">
        <f>HYPERLINK("https://otsuka-europe-crm.veevavault.com/ui/#object/email_activity__v/V8C000000042735", "EN-002101123")</f>
        <v>EN-002101123</v>
      </c>
    </row>
    <row r="12175" spans="1:15" ht="16" x14ac:dyDescent="0.2">
      <c r="A12175" s="17" t="str">
        <f>HYPERLINK("https://otsuka-europe-crm.veevavault.com/ui/#object/account__v/V4TZ06G6O71T7L4", "ANA MARIA ALVAREZ MONTOYA")</f>
        <v>ANA MARIA ALVAREZ MONTOYA</v>
      </c>
      <c r="B12175" s="17" t="str">
        <f>HYPERLINK("https://otsuka-europe-crm.veevavault.com/ui/#object/vcountry__v/VENZ000004SONF5", "ES")</f>
        <v>ES</v>
      </c>
      <c r="C12175" s="20" t="s">
        <v>41</v>
      </c>
      <c r="D12175" s="21" t="str">
        <f>HYPERLINK("https://otsuka-europe-crm.veevavault.com/ui/#object/approved_document__v/V5OZ04ASG4FWKA9", "Documento Autorizaciขn Centro Empleador")</f>
        <v>Documento Autorizaciขn Centro Empleador</v>
      </c>
      <c r="E12175" s="22" t="str">
        <f>HYPERLINK("https://otsuka-europe-crm.veevavault.com/ui/#object/sent_email__v/VBL00000002W021", "SE-001437467")</f>
        <v>SE-001437467</v>
      </c>
      <c r="F12175" s="23">
        <v>46192.555046296293</v>
      </c>
      <c r="G12175" s="24">
        <v>1</v>
      </c>
      <c r="H12175" s="24">
        <v>2</v>
      </c>
      <c r="I12175" s="24">
        <v>1</v>
      </c>
      <c r="J12175" s="23">
        <v>46192.555185185185</v>
      </c>
      <c r="K12175" s="24">
        <v>2</v>
      </c>
      <c r="L12175" s="22" t="str">
        <f>HYPERLINK("https://otsuka-europe-crm.veevavault.com/ui/#object/approved_document__v/V5OZ04ASG4FWKA9", "Documento Autorizaciขn Centro Empleador")</f>
        <v>Documento Autorizaciขn Centro Empleador</v>
      </c>
      <c r="M12175" s="22" t="str">
        <f>HYPERLINK("mailto:mgravan@crm.otsuka-europe.com", "mgravan@crm.otsuka-europe.com")</f>
        <v>mgravan@crm.otsuka-europe.com</v>
      </c>
      <c r="N12175" s="23">
        <v>46192.497824074075</v>
      </c>
      <c r="O12175" s="14" t="str">
        <f>HYPERLINK("https://otsuka-europe-crm.veevavault.com/ui/#object/email_activity__v/V8C00000003Z086", "EN-002098803")</f>
        <v>EN-002098803</v>
      </c>
    </row>
    <row r="12176" spans="1:15" ht="16" x14ac:dyDescent="0.2">
      <c r="A12176" s="18"/>
      <c r="B12176" s="18"/>
      <c r="C12176" s="18"/>
      <c r="D12176" s="18"/>
      <c r="E12176" s="18"/>
      <c r="F12176" s="18"/>
      <c r="G12176" s="18"/>
      <c r="H12176" s="18"/>
      <c r="I12176" s="18"/>
      <c r="J12176" s="18"/>
      <c r="K12176" s="18"/>
      <c r="L12176" s="18"/>
      <c r="M12176" s="18"/>
      <c r="N12176" s="18"/>
      <c r="O12176" s="14" t="str">
        <f>HYPERLINK("https://otsuka-europe-crm.veevavault.com/ui/#object/email_activity__v/V8C00000003Z116", "EN-002098871")</f>
        <v>EN-002098871</v>
      </c>
    </row>
    <row r="12177" spans="1:15" ht="16" x14ac:dyDescent="0.2">
      <c r="A12177" s="18"/>
      <c r="B12177" s="18"/>
      <c r="C12177" s="18"/>
      <c r="D12177" s="18"/>
      <c r="E12177" s="18"/>
      <c r="F12177" s="18"/>
      <c r="G12177" s="18"/>
      <c r="H12177" s="18"/>
      <c r="I12177" s="18"/>
      <c r="J12177" s="18"/>
      <c r="K12177" s="18"/>
      <c r="L12177" s="18"/>
      <c r="M12177" s="18"/>
      <c r="N12177" s="18"/>
      <c r="O12177" s="14" t="str">
        <f>HYPERLINK("https://otsuka-europe-crm.veevavault.com/ui/#object/email_activity__v/V8C000000040043", "EN-002098786")</f>
        <v>EN-002098786</v>
      </c>
    </row>
    <row r="12178" spans="1:15" ht="16" x14ac:dyDescent="0.2">
      <c r="A12178" s="18"/>
      <c r="B12178" s="18"/>
      <c r="C12178" s="18"/>
      <c r="D12178" s="18"/>
      <c r="E12178" s="18"/>
      <c r="F12178" s="18"/>
      <c r="G12178" s="18"/>
      <c r="H12178" s="18"/>
      <c r="I12178" s="18"/>
      <c r="J12178" s="18"/>
      <c r="K12178" s="18"/>
      <c r="L12178" s="18"/>
      <c r="M12178" s="18"/>
      <c r="N12178" s="18"/>
      <c r="O12178" s="14" t="str">
        <f>HYPERLINK("https://otsuka-europe-crm.veevavault.com/ui/#object/email_activity__v/V8C000000040044", "EN-002098787")</f>
        <v>EN-002098787</v>
      </c>
    </row>
    <row r="12179" spans="1:15" ht="16" x14ac:dyDescent="0.2">
      <c r="A12179" s="18"/>
      <c r="B12179" s="18"/>
      <c r="C12179" s="18"/>
      <c r="D12179" s="18"/>
      <c r="E12179" s="18"/>
      <c r="F12179" s="18"/>
      <c r="G12179" s="18"/>
      <c r="H12179" s="18"/>
      <c r="I12179" s="18"/>
      <c r="J12179" s="18"/>
      <c r="K12179" s="18"/>
      <c r="L12179" s="18"/>
      <c r="M12179" s="18"/>
      <c r="N12179" s="18"/>
      <c r="O12179" s="14" t="str">
        <f>HYPERLINK("https://otsuka-europe-crm.veevavault.com/ui/#object/email_activity__v/V8C000000040057", "EN-002098804")</f>
        <v>EN-002098804</v>
      </c>
    </row>
    <row r="12180" spans="1:15" ht="16" x14ac:dyDescent="0.2">
      <c r="A12180" s="18"/>
      <c r="B12180" s="18"/>
      <c r="C12180" s="18"/>
      <c r="D12180" s="18"/>
      <c r="E12180" s="18"/>
      <c r="F12180" s="18"/>
      <c r="G12180" s="18"/>
      <c r="H12180" s="18"/>
      <c r="I12180" s="18"/>
      <c r="J12180" s="18"/>
      <c r="K12180" s="18"/>
      <c r="L12180" s="18"/>
      <c r="M12180" s="18"/>
      <c r="N12180" s="18"/>
      <c r="O12180" s="14" t="str">
        <f>HYPERLINK("https://otsuka-europe-crm.veevavault.com/ui/#object/email_activity__v/V8C000000040058", "EN-002098805")</f>
        <v>EN-002098805</v>
      </c>
    </row>
    <row r="12181" spans="1:15" ht="16" x14ac:dyDescent="0.2">
      <c r="A12181" s="19"/>
      <c r="B12181" s="19"/>
      <c r="C12181" s="19"/>
      <c r="D12181" s="19"/>
      <c r="E12181" s="19"/>
      <c r="F12181" s="19"/>
      <c r="G12181" s="19"/>
      <c r="H12181" s="19"/>
      <c r="I12181" s="19"/>
      <c r="J12181" s="19"/>
      <c r="K12181" s="19"/>
      <c r="L12181" s="19"/>
      <c r="M12181" s="19"/>
      <c r="N12181" s="19"/>
      <c r="O12181" s="14" t="str">
        <f>HYPERLINK("https://otsuka-europe-crm.veevavault.com/ui/#object/email_activity__v/V8C000000042283", "EN-002100271")</f>
        <v>EN-002100271</v>
      </c>
    </row>
    <row r="12182" spans="1:15" ht="16" x14ac:dyDescent="0.2">
      <c r="A12182" s="17" t="str">
        <f>HYPERLINK("https://otsuka-europe-crm.veevavault.com/ui/#object/account__v/V4TZ0000062PPTS", "Mike Aurokium")</f>
        <v>Mike Aurokium</v>
      </c>
      <c r="B12182" s="17" t="str">
        <f>HYPERLINK("https://otsuka-europe-crm.veevavault.com/ui/#object/vcountry__v/VENZ000004SONFK", "GB")</f>
        <v>GB</v>
      </c>
      <c r="C12182" s="20" t="s">
        <v>39</v>
      </c>
      <c r="D12182" s="21" t="str">
        <f>HYPERLINK("https://otsuka-europe-crm.veevavault.com/ui/#object/approved_document__v/V5O00000000D081", "UK - Consent Email 1 Aug 25")</f>
        <v>UK - Consent Email 1 Aug 25</v>
      </c>
      <c r="E12182" s="22" t="str">
        <f>HYPERLINK("https://otsuka-europe-crm.veevavault.com/ui/#object/sent_email__v/VBL00000002X016", "SE-001437468")</f>
        <v>SE-001437468</v>
      </c>
      <c r="F12182" s="23">
        <v>46192.706180555557</v>
      </c>
      <c r="G12182" s="24">
        <v>1</v>
      </c>
      <c r="H12182" s="24">
        <v>1</v>
      </c>
      <c r="I12182" s="24">
        <v>0</v>
      </c>
      <c r="J12182" s="25"/>
      <c r="K12182" s="24">
        <v>0</v>
      </c>
      <c r="L12182" s="22" t="str">
        <f>HYPERLINK("https://otsuka-europe-crm.veevavault.com/ui/#object/approved_document__v/V5O00000000D081", "UK - Consent Email 1 Aug 25")</f>
        <v>UK - Consent Email 1 Aug 25</v>
      </c>
      <c r="M12182" s="22" t="str">
        <f>HYPERLINK("mailto:draval@crm.otsuka-europe.com", "draval@crm.otsuka-europe.com")</f>
        <v>draval@crm.otsuka-europe.com</v>
      </c>
      <c r="N12182" s="23">
        <v>46192.509629629632</v>
      </c>
      <c r="O12182" s="14" t="str">
        <f>HYPERLINK("https://otsuka-europe-crm.veevavault.com/ui/#object/email_activity__v/V8C000000040050", "EN-002098795")</f>
        <v>EN-002098795</v>
      </c>
    </row>
    <row r="12183" spans="1:15" ht="16" x14ac:dyDescent="0.2">
      <c r="A12183" s="19"/>
      <c r="B12183" s="19"/>
      <c r="C12183" s="19"/>
      <c r="D12183" s="19"/>
      <c r="E12183" s="19"/>
      <c r="F12183" s="19"/>
      <c r="G12183" s="19"/>
      <c r="H12183" s="19"/>
      <c r="I12183" s="19"/>
      <c r="J12183" s="19"/>
      <c r="K12183" s="19"/>
      <c r="L12183" s="19"/>
      <c r="M12183" s="19"/>
      <c r="N12183" s="19"/>
      <c r="O12183" s="14" t="str">
        <f>HYPERLINK("https://otsuka-europe-crm.veevavault.com/ui/#object/email_activity__v/V8C000000040085", "EN-002098853")</f>
        <v>EN-002098853</v>
      </c>
    </row>
    <row r="12184" spans="1:15" ht="16" x14ac:dyDescent="0.2">
      <c r="A12184" s="17" t="str">
        <f>HYPERLINK("https://otsuka-europe-crm.veevavault.com/ui/#object/account__v/V4T000000027014", "Elaine Mok")</f>
        <v>Elaine Mok</v>
      </c>
      <c r="B12184" s="17" t="str">
        <f>HYPERLINK("https://otsuka-europe-crm.veevavault.com/ui/#object/vcountry__v/VENZ000004SONFK", "GB")</f>
        <v>GB</v>
      </c>
      <c r="C12184" s="20" t="s">
        <v>39</v>
      </c>
      <c r="D12184" s="21" t="str">
        <f>HYPERLINK("https://otsuka-europe-crm.veevavault.com/ui/#object/approved_document__v/V5OZ025E82PXJSL", "Otsuka Privacy Notice - UK (v2)")</f>
        <v>Otsuka Privacy Notice - UK (v2)</v>
      </c>
      <c r="E12184" s="22" t="str">
        <f>HYPERLINK("https://otsuka-europe-crm.veevavault.com/ui/#object/sent_email__v/VBL00000002X017", "SE-001437469")</f>
        <v>SE-001437469</v>
      </c>
      <c r="F12184" s="25"/>
      <c r="G12184" s="24">
        <v>0</v>
      </c>
      <c r="H12184" s="24">
        <v>0</v>
      </c>
      <c r="I12184" s="24">
        <v>0</v>
      </c>
      <c r="J12184" s="25"/>
      <c r="K12184" s="24">
        <v>0</v>
      </c>
      <c r="L12184" s="22" t="str">
        <f>HYPERLINK("https://otsuka-europe-crm.veevavault.com/ui/#object/approved_document__v/V5OZ025E82PXJSL", "Otsuka Privacy Notice - UK (v2)")</f>
        <v>Otsuka Privacy Notice - UK (v2)</v>
      </c>
      <c r="M12184" s="22" t="str">
        <f>HYPERLINK("mailto:ldimambro@crm.otsuka-europe.com", "ldimambro@crm.otsuka-europe.com")</f>
        <v>ldimambro@crm.otsuka-europe.com</v>
      </c>
      <c r="N12184" s="23">
        <v>46192.513113425928</v>
      </c>
      <c r="O12184" s="14" t="str">
        <f>HYPERLINK("https://otsuka-europe-crm.veevavault.com/ui/#object/email_activity__v/V8C00000003Z130", "EN-002098897")</f>
        <v>EN-002098897</v>
      </c>
    </row>
    <row r="12185" spans="1:15" ht="16" x14ac:dyDescent="0.2">
      <c r="A12185" s="19"/>
      <c r="B12185" s="19"/>
      <c r="C12185" s="19"/>
      <c r="D12185" s="19"/>
      <c r="E12185" s="19"/>
      <c r="F12185" s="19"/>
      <c r="G12185" s="19"/>
      <c r="H12185" s="19"/>
      <c r="I12185" s="19"/>
      <c r="J12185" s="19"/>
      <c r="K12185" s="19"/>
      <c r="L12185" s="19"/>
      <c r="M12185" s="19"/>
      <c r="N12185" s="19"/>
      <c r="O12185" s="14" t="str">
        <f>HYPERLINK("https://otsuka-europe-crm.veevavault.com/ui/#object/email_activity__v/V8C000000040051", "EN-002098796")</f>
        <v>EN-002098796</v>
      </c>
    </row>
    <row r="12186" spans="1:15" ht="16" x14ac:dyDescent="0.2">
      <c r="A12186" s="17" t="str">
        <f>HYPERLINK("https://otsuka-europe-crm.veevavault.com/ui/#object/account__v/V4T000000027014", "Elaine Mok")</f>
        <v>Elaine Mok</v>
      </c>
      <c r="B12186" s="17" t="str">
        <f>HYPERLINK("https://otsuka-europe-crm.veevavault.com/ui/#object/vcountry__v/VENZ000004SONFK", "GB")</f>
        <v>GB</v>
      </c>
      <c r="C12186" s="20" t="s">
        <v>39</v>
      </c>
      <c r="D12186" s="21" t="str">
        <f>HYPERLINK("https://otsuka-europe-crm.veevavault.com/ui/#object/approved_document__v/V5O00000000D081", "UK - Consent Email 1 Aug 25")</f>
        <v>UK - Consent Email 1 Aug 25</v>
      </c>
      <c r="E12186" s="22" t="str">
        <f>HYPERLINK("https://otsuka-europe-crm.veevavault.com/ui/#object/sent_email__v/VBL00000002X018", "SE-001437470")</f>
        <v>SE-001437470</v>
      </c>
      <c r="F12186" s="25"/>
      <c r="G12186" s="24">
        <v>0</v>
      </c>
      <c r="H12186" s="24">
        <v>0</v>
      </c>
      <c r="I12186" s="24">
        <v>0</v>
      </c>
      <c r="J12186" s="25"/>
      <c r="K12186" s="24">
        <v>0</v>
      </c>
      <c r="L12186" s="22" t="str">
        <f>HYPERLINK("https://otsuka-europe-crm.veevavault.com/ui/#object/approved_document__v/V5O00000000D081", "UK - Consent Email 1 Aug 25")</f>
        <v>UK - Consent Email 1 Aug 25</v>
      </c>
      <c r="M12186" s="22" t="str">
        <f>HYPERLINK("mailto:ldimambro@crm.otsuka-europe.com", "ldimambro@crm.otsuka-europe.com")</f>
        <v>ldimambro@crm.otsuka-europe.com</v>
      </c>
      <c r="N12186" s="23">
        <v>46192.514155092591</v>
      </c>
      <c r="O12186" s="14" t="str">
        <f>HYPERLINK("https://otsuka-europe-crm.veevavault.com/ui/#object/email_activity__v/V8C00000003Z129", "EN-002098896")</f>
        <v>EN-002098896</v>
      </c>
    </row>
    <row r="12187" spans="1:15" ht="16" x14ac:dyDescent="0.2">
      <c r="A12187" s="19"/>
      <c r="B12187" s="19"/>
      <c r="C12187" s="19"/>
      <c r="D12187" s="19"/>
      <c r="E12187" s="19"/>
      <c r="F12187" s="19"/>
      <c r="G12187" s="19"/>
      <c r="H12187" s="19"/>
      <c r="I12187" s="19"/>
      <c r="J12187" s="19"/>
      <c r="K12187" s="19"/>
      <c r="L12187" s="19"/>
      <c r="M12187" s="19"/>
      <c r="N12187" s="19"/>
      <c r="O12187" s="14" t="str">
        <f>HYPERLINK("https://otsuka-europe-crm.veevavault.com/ui/#object/email_activity__v/V8C000000040052", "EN-002098797")</f>
        <v>EN-002098797</v>
      </c>
    </row>
    <row r="12188" spans="1:15" ht="48" x14ac:dyDescent="0.2">
      <c r="A12188" s="7" t="str">
        <f>HYPERLINK("https://otsuka-europe-crm.veevavault.com/ui/#object/account__v/V4TZ025E878FXJ5", "ATHANASIOS SARANTIS")</f>
        <v>ATHANASIOS SARANTIS</v>
      </c>
      <c r="B12188" s="7" t="str">
        <f>HYPERLINK("https://otsuka-europe-crm.veevavault.com/ui/#object/vcountry__v/VENZ000004SONFA", "FR")</f>
        <v>FR</v>
      </c>
      <c r="C12188" s="8" t="s">
        <v>42</v>
      </c>
      <c r="D12188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12188" s="10" t="str">
        <f>HYPERLINK("https://otsuka-europe-crm.veevavault.com/ui/#object/sent_email__v/VBL00000002X019", "SE-001437472")</f>
        <v>SE-001437472</v>
      </c>
      <c r="F12188" s="11"/>
      <c r="G12188" s="12">
        <v>0</v>
      </c>
      <c r="H12188" s="12">
        <v>0</v>
      </c>
      <c r="I12188" s="12">
        <v>0</v>
      </c>
      <c r="J12188" s="11"/>
      <c r="K12188" s="12">
        <v>0</v>
      </c>
      <c r="L12188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12188" s="10" t="str">
        <f>HYPERLINK("mailto:mperrin@crm.otsuka-europe.com", "mperrin@crm.otsuka-europe.com")</f>
        <v>mperrin@crm.otsuka-europe.com</v>
      </c>
      <c r="N12188" s="13">
        <v>46192.557662037034</v>
      </c>
      <c r="O12188" s="14" t="str">
        <f>HYPERLINK("https://otsuka-europe-crm.veevavault.com/ui/#object/email_activity__v/V8C000000040060", "EN-002098807")</f>
        <v>EN-002098807</v>
      </c>
    </row>
    <row r="12189" spans="1:15" ht="48" x14ac:dyDescent="0.2">
      <c r="A12189" s="7" t="str">
        <f>HYPERLINK("https://otsuka-europe-crm.veevavault.com/ui/#object/account__v/V4TZ04ASG6FU5PQ", "LOUISE PECHAUD")</f>
        <v>LOUISE PECHAUD</v>
      </c>
      <c r="B12189" s="7" t="str">
        <f>HYPERLINK("https://otsuka-europe-crm.veevavault.com/ui/#object/vcountry__v/VENZ000004SONFA", "FR")</f>
        <v>FR</v>
      </c>
      <c r="C12189" s="8" t="s">
        <v>42</v>
      </c>
      <c r="D12189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12189" s="10" t="str">
        <f>HYPERLINK("https://otsuka-europe-crm.veevavault.com/ui/#object/sent_email__v/VBL00000002W023", "SE-001437474")</f>
        <v>SE-001437474</v>
      </c>
      <c r="F12189" s="11"/>
      <c r="G12189" s="12">
        <v>0</v>
      </c>
      <c r="H12189" s="12">
        <v>0</v>
      </c>
      <c r="I12189" s="12">
        <v>0</v>
      </c>
      <c r="J12189" s="11"/>
      <c r="K12189" s="12">
        <v>0</v>
      </c>
      <c r="L12189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12189" s="10" t="str">
        <f>HYPERLINK("mailto:mperrin@crm.otsuka-europe.com", "mperrin@crm.otsuka-europe.com")</f>
        <v>mperrin@crm.otsuka-europe.com</v>
      </c>
      <c r="N12189" s="13">
        <v>46192.558148148149</v>
      </c>
      <c r="O12189" s="14" t="str">
        <f>HYPERLINK("https://otsuka-europe-crm.veevavault.com/ui/#object/email_activity__v/V8C000000040061", "EN-002098808")</f>
        <v>EN-002098808</v>
      </c>
    </row>
    <row r="12190" spans="1:15" ht="16" x14ac:dyDescent="0.2">
      <c r="A12190" s="17" t="str">
        <f>HYPERLINK("https://otsuka-europe-crm.veevavault.com/ui/#object/account__v/V4TZ0000062PO2S", "Ravindranath Ram")</f>
        <v>Ravindranath Ram</v>
      </c>
      <c r="B12190" s="17" t="str">
        <f>HYPERLINK("https://otsuka-europe-crm.veevavault.com/ui/#object/vcountry__v/VENZ000004SONFK", "GB")</f>
        <v>GB</v>
      </c>
      <c r="C12190" s="20" t="s">
        <v>39</v>
      </c>
      <c r="D12190" s="21" t="str">
        <f>HYPERLINK("https://otsuka-europe-crm.veevavault.com/ui/#object/approved_document__v/V5O00000000D081", "UK - Consent Email 1 Aug 25")</f>
        <v>UK - Consent Email 1 Aug 25</v>
      </c>
      <c r="E12190" s="22" t="str">
        <f>HYPERLINK("https://otsuka-europe-crm.veevavault.com/ui/#object/sent_email__v/VBL00000002W024", "SE-001437479")</f>
        <v>SE-001437479</v>
      </c>
      <c r="F12190" s="23">
        <v>46192.808067129627</v>
      </c>
      <c r="G12190" s="24">
        <v>1</v>
      </c>
      <c r="H12190" s="24">
        <v>1</v>
      </c>
      <c r="I12190" s="24">
        <v>1</v>
      </c>
      <c r="J12190" s="23">
        <v>46192.808067129627</v>
      </c>
      <c r="K12190" s="24">
        <v>1</v>
      </c>
      <c r="L12190" s="22" t="str">
        <f>HYPERLINK("https://otsuka-europe-crm.veevavault.com/ui/#object/approved_document__v/V5O00000000D081", "UK - Consent Email 1 Aug 25")</f>
        <v>UK - Consent Email 1 Aug 25</v>
      </c>
      <c r="M12190" s="22" t="str">
        <f>HYPERLINK("mailto:draval@crm.otsuka-europe.com", "draval@crm.otsuka-europe.com")</f>
        <v>draval@crm.otsuka-europe.com</v>
      </c>
      <c r="N12190" s="23">
        <v>46192.606203703705</v>
      </c>
      <c r="O12190" s="14" t="str">
        <f>HYPERLINK("https://otsuka-europe-crm.veevavault.com/ui/#object/email_activity__v/V8C00000003Z110", "EN-002098860")</f>
        <v>EN-002098860</v>
      </c>
    </row>
    <row r="12191" spans="1:15" ht="16" x14ac:dyDescent="0.2">
      <c r="A12191" s="18"/>
      <c r="B12191" s="18"/>
      <c r="C12191" s="18"/>
      <c r="D12191" s="18"/>
      <c r="E12191" s="18"/>
      <c r="F12191" s="18"/>
      <c r="G12191" s="18"/>
      <c r="H12191" s="18"/>
      <c r="I12191" s="18"/>
      <c r="J12191" s="18"/>
      <c r="K12191" s="18"/>
      <c r="L12191" s="18"/>
      <c r="M12191" s="18"/>
      <c r="N12191" s="18"/>
      <c r="O12191" s="14" t="str">
        <f>HYPERLINK("https://otsuka-europe-crm.veevavault.com/ui/#object/email_activity__v/V8C00000003Z111", "EN-002098859")</f>
        <v>EN-002098859</v>
      </c>
    </row>
    <row r="12192" spans="1:15" ht="16" x14ac:dyDescent="0.2">
      <c r="A12192" s="19"/>
      <c r="B12192" s="19"/>
      <c r="C12192" s="19"/>
      <c r="D12192" s="19"/>
      <c r="E12192" s="19"/>
      <c r="F12192" s="19"/>
      <c r="G12192" s="19"/>
      <c r="H12192" s="19"/>
      <c r="I12192" s="19"/>
      <c r="J12192" s="19"/>
      <c r="K12192" s="19"/>
      <c r="L12192" s="19"/>
      <c r="M12192" s="19"/>
      <c r="N12192" s="19"/>
      <c r="O12192" s="14" t="str">
        <f>HYPERLINK("https://otsuka-europe-crm.veevavault.com/ui/#object/email_activity__v/V8C000000040074", "EN-002098834")</f>
        <v>EN-002098834</v>
      </c>
    </row>
    <row r="12193" spans="1:15" ht="32" x14ac:dyDescent="0.2">
      <c r="A12193" s="7" t="str">
        <f>HYPERLINK("https://otsuka-europe-crm.veevavault.com/ui/#object/account__v/V4T000000027015", "Kavitha Sooriyakumar")</f>
        <v>Kavitha Sooriyakumar</v>
      </c>
      <c r="B12193" s="7" t="str">
        <f>HYPERLINK("https://otsuka-europe-crm.veevavault.com/ui/#object/vcountry__v/VENZ000004SONFK", "GB")</f>
        <v>GB</v>
      </c>
      <c r="C12193" s="8" t="s">
        <v>39</v>
      </c>
      <c r="D12193" s="9" t="str">
        <f>HYPERLINK("https://otsuka-europe-crm.veevavault.com/ui/#object/approved_document__v/V5OZ025E82PXJSL", "Otsuka Privacy Notice - UK (v2)")</f>
        <v>Otsuka Privacy Notice - UK (v2)</v>
      </c>
      <c r="E12193" s="10" t="str">
        <f>HYPERLINK("https://otsuka-europe-crm.veevavault.com/ui/#object/sent_email__v/VBL00000002X025", "SE-001437480")</f>
        <v>SE-001437480</v>
      </c>
      <c r="F12193" s="11"/>
      <c r="G12193" s="12">
        <v>0</v>
      </c>
      <c r="H12193" s="12">
        <v>0</v>
      </c>
      <c r="I12193" s="12">
        <v>0</v>
      </c>
      <c r="J12193" s="11"/>
      <c r="K12193" s="12">
        <v>0</v>
      </c>
      <c r="L12193" s="10" t="str">
        <f>HYPERLINK("https://otsuka-europe-crm.veevavault.com/ui/#object/approved_document__v/V5OZ025E82PXJSL", "Otsuka Privacy Notice - UK (v2)")</f>
        <v>Otsuka Privacy Notice - UK (v2)</v>
      </c>
      <c r="M12193" s="10" t="str">
        <f>HYPERLINK("mailto:sspahiu@crm.otsuka-europe.com", "sspahiu@crm.otsuka-europe.com")</f>
        <v>sspahiu@crm.otsuka-europe.com</v>
      </c>
      <c r="N12193" s="13">
        <v>46192.639930555553</v>
      </c>
      <c r="O12193" s="14" t="str">
        <f>HYPERLINK("https://otsuka-europe-crm.veevavault.com/ui/#object/email_activity__v/V8C00000003Z101", "EN-002098838")</f>
        <v>EN-002098838</v>
      </c>
    </row>
    <row r="12194" spans="1:15" ht="16" x14ac:dyDescent="0.2">
      <c r="A12194" s="17" t="str">
        <f>HYPERLINK("https://otsuka-europe-crm.veevavault.com/ui/#object/account__v/V4TZ025E83POQRE", "Eric Marchand")</f>
        <v>Eric Marchand</v>
      </c>
      <c r="B12194" s="17" t="str">
        <f>HYPERLINK("https://otsuka-europe-crm.veevavault.com/ui/#object/vcountry__v/VENZ000004SONFA", "FR")</f>
        <v>FR</v>
      </c>
      <c r="C12194" s="20" t="s">
        <v>42</v>
      </c>
      <c r="D12194" s="21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E12194" s="22" t="str">
        <f>HYPERLINK("https://otsuka-europe-crm.veevavault.com/ui/#object/sent_email__v/VBL00000002W025", "SE-001437483")</f>
        <v>SE-001437483</v>
      </c>
      <c r="F12194" s="23">
        <v>46197.814826388887</v>
      </c>
      <c r="G12194" s="24">
        <v>1</v>
      </c>
      <c r="H12194" s="24">
        <v>6</v>
      </c>
      <c r="I12194" s="24">
        <v>0</v>
      </c>
      <c r="J12194" s="25"/>
      <c r="K12194" s="24">
        <v>0</v>
      </c>
      <c r="L12194" s="22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M12194" s="22" t="str">
        <f>HYPERLINK("mailto:gloriod@crm.otsuka-europe.com", "gloriod@crm.otsuka-europe.com")</f>
        <v>gloriod@crm.otsuka-europe.com</v>
      </c>
      <c r="N12194" s="23">
        <v>46196.551018518519</v>
      </c>
      <c r="O12194" s="14" t="str">
        <f>HYPERLINK("https://otsuka-europe-crm.veevavault.com/ui/#object/email_activity__v/V8C00000003Z365", "EN-002099395")</f>
        <v>EN-002099395</v>
      </c>
    </row>
    <row r="12195" spans="1:15" ht="16" x14ac:dyDescent="0.2">
      <c r="A12195" s="18"/>
      <c r="B12195" s="18"/>
      <c r="C12195" s="18"/>
      <c r="D12195" s="18"/>
      <c r="E12195" s="18"/>
      <c r="F12195" s="18"/>
      <c r="G12195" s="18"/>
      <c r="H12195" s="18"/>
      <c r="I12195" s="18"/>
      <c r="J12195" s="18"/>
      <c r="K12195" s="18"/>
      <c r="L12195" s="18"/>
      <c r="M12195" s="18"/>
      <c r="N12195" s="18"/>
      <c r="O12195" s="14" t="str">
        <f>HYPERLINK("https://otsuka-europe-crm.veevavault.com/ui/#object/email_activity__v/V8C00000003Z372", "EN-002099414")</f>
        <v>EN-002099414</v>
      </c>
    </row>
    <row r="12196" spans="1:15" ht="16" x14ac:dyDescent="0.2">
      <c r="A12196" s="18"/>
      <c r="B12196" s="18"/>
      <c r="C12196" s="18"/>
      <c r="D12196" s="18"/>
      <c r="E12196" s="18"/>
      <c r="F12196" s="18"/>
      <c r="G12196" s="18"/>
      <c r="H12196" s="18"/>
      <c r="I12196" s="18"/>
      <c r="J12196" s="18"/>
      <c r="K12196" s="18"/>
      <c r="L12196" s="18"/>
      <c r="M12196" s="18"/>
      <c r="N12196" s="18"/>
      <c r="O12196" s="14" t="str">
        <f>HYPERLINK("https://otsuka-europe-crm.veevavault.com/ui/#object/email_activity__v/V8C00000003Z373", "EN-002099415")</f>
        <v>EN-002099415</v>
      </c>
    </row>
    <row r="12197" spans="1:15" ht="16" x14ac:dyDescent="0.2">
      <c r="A12197" s="18"/>
      <c r="B12197" s="18"/>
      <c r="C12197" s="18"/>
      <c r="D12197" s="18"/>
      <c r="E12197" s="18"/>
      <c r="F12197" s="18"/>
      <c r="G12197" s="18"/>
      <c r="H12197" s="18"/>
      <c r="I12197" s="18"/>
      <c r="J12197" s="18"/>
      <c r="K12197" s="18"/>
      <c r="L12197" s="18"/>
      <c r="M12197" s="18"/>
      <c r="N12197" s="18"/>
      <c r="O12197" s="14" t="str">
        <f>HYPERLINK("https://otsuka-europe-crm.veevavault.com/ui/#object/email_activity__v/V8C00000003Z457", "EN-002099595")</f>
        <v>EN-002099595</v>
      </c>
    </row>
    <row r="12198" spans="1:15" ht="16" x14ac:dyDescent="0.2">
      <c r="A12198" s="18"/>
      <c r="B12198" s="18"/>
      <c r="C12198" s="18"/>
      <c r="D12198" s="18"/>
      <c r="E12198" s="18"/>
      <c r="F12198" s="18"/>
      <c r="G12198" s="18"/>
      <c r="H12198" s="18"/>
      <c r="I12198" s="18"/>
      <c r="J12198" s="18"/>
      <c r="K12198" s="18"/>
      <c r="L12198" s="18"/>
      <c r="M12198" s="18"/>
      <c r="N12198" s="18"/>
      <c r="O12198" s="14" t="str">
        <f>HYPERLINK("https://otsuka-europe-crm.veevavault.com/ui/#object/email_activity__v/V8C00000003Z459", "EN-002099603")</f>
        <v>EN-002099603</v>
      </c>
    </row>
    <row r="12199" spans="1:15" ht="16" x14ac:dyDescent="0.2">
      <c r="A12199" s="18"/>
      <c r="B12199" s="18"/>
      <c r="C12199" s="18"/>
      <c r="D12199" s="18"/>
      <c r="E12199" s="18"/>
      <c r="F12199" s="18"/>
      <c r="G12199" s="18"/>
      <c r="H12199" s="18"/>
      <c r="I12199" s="18"/>
      <c r="J12199" s="18"/>
      <c r="K12199" s="18"/>
      <c r="L12199" s="18"/>
      <c r="M12199" s="18"/>
      <c r="N12199" s="18"/>
      <c r="O12199" s="14" t="str">
        <f>HYPERLINK("https://otsuka-europe-crm.veevavault.com/ui/#object/email_activity__v/V8C000000040459", "EN-002099504")</f>
        <v>EN-002099504</v>
      </c>
    </row>
    <row r="12200" spans="1:15" ht="16" x14ac:dyDescent="0.2">
      <c r="A12200" s="19"/>
      <c r="B12200" s="19"/>
      <c r="C12200" s="19"/>
      <c r="D12200" s="19"/>
      <c r="E12200" s="19"/>
      <c r="F12200" s="19"/>
      <c r="G12200" s="19"/>
      <c r="H12200" s="19"/>
      <c r="I12200" s="19"/>
      <c r="J12200" s="19"/>
      <c r="K12200" s="19"/>
      <c r="L12200" s="19"/>
      <c r="M12200" s="19"/>
      <c r="N12200" s="19"/>
      <c r="O12200" s="14" t="str">
        <f>HYPERLINK("https://otsuka-europe-crm.veevavault.com/ui/#object/email_activity__v/V8C000000040513", "EN-002099596")</f>
        <v>EN-002099596</v>
      </c>
    </row>
    <row r="12201" spans="1:15" ht="32" x14ac:dyDescent="0.2">
      <c r="A12201" s="7" t="str">
        <f>HYPERLINK("https://otsuka-europe-crm.veevavault.com/ui/#object/account__v/V4TZ06G6O71T8US", "ANDRES REBOLLO DIEZ")</f>
        <v>ANDRES REBOLLO DIEZ</v>
      </c>
      <c r="B12201" s="7" t="str">
        <f>HYPERLINK("https://otsuka-europe-crm.veevavault.com/ui/#object/vcountry__v/VENZ000004SONF5", "ES")</f>
        <v>ES</v>
      </c>
      <c r="C12201" s="8" t="s">
        <v>41</v>
      </c>
      <c r="D12201" s="9" t="str">
        <f>HYPERLINK("https://otsuka-europe-crm.veevavault.com/ui/#object/approved_document__v/V5O00000001H004", "Save the date X Jornada UHB 2026")</f>
        <v>Save the date X Jornada UHB 2026</v>
      </c>
      <c r="E12201" s="10" t="str">
        <f>HYPERLINK("https://otsuka-europe-crm.veevavault.com/ui/#object/sent_email__v/VBL00000002X037", "SE-001437493")</f>
        <v>SE-001437493</v>
      </c>
      <c r="F12201" s="11"/>
      <c r="G12201" s="12">
        <v>0</v>
      </c>
      <c r="H12201" s="12">
        <v>0</v>
      </c>
      <c r="I12201" s="12">
        <v>0</v>
      </c>
      <c r="J12201" s="11"/>
      <c r="K12201" s="12">
        <v>0</v>
      </c>
      <c r="L12201" s="10" t="str">
        <f>HYPERLINK("https://otsuka-europe-crm.veevavault.com/ui/#object/approved_document__v/V5O00000001H004", "Save the date X Jornada UHB 2026")</f>
        <v>Save the date X Jornada UHB 2026</v>
      </c>
      <c r="M12201" s="10" t="str">
        <f>HYPERLINK("mailto:fdiaz@crm.otsuka-europe.com", "fdiaz@crm.otsuka-europe.com")</f>
        <v>fdiaz@crm.otsuka-europe.com</v>
      </c>
      <c r="N12201" s="13">
        <v>46195.328587962962</v>
      </c>
      <c r="O12201" s="14" t="str">
        <f>HYPERLINK("https://otsuka-europe-crm.veevavault.com/ui/#object/email_activity__v/V8C000000040174", "EN-002099007")</f>
        <v>EN-002099007</v>
      </c>
    </row>
    <row r="12202" spans="1:15" ht="32" x14ac:dyDescent="0.2">
      <c r="A12202" s="7" t="str">
        <f>HYPERLINK("https://otsuka-europe-crm.veevavault.com/ui/#object/account__v/V4TZ06G6O71SA63", "ANGELA BORZACCHIELLO")</f>
        <v>ANGELA BORZACCHIELLO</v>
      </c>
      <c r="B12202" s="7" t="str">
        <f>HYPERLINK("https://otsuka-europe-crm.veevavault.com/ui/#object/vcountry__v/VENZ000004SONFQ", "IT")</f>
        <v>IT</v>
      </c>
      <c r="C12202" s="8" t="s">
        <v>44</v>
      </c>
      <c r="D12202" s="9" t="str">
        <f>HYPERLINK("https://otsuka-europe-crm.veevavault.com/ui/#object/approved_document__v/V5O00000001G004", "Branded_RXULTI_AE Ansia_IT-RXU-2500035")</f>
        <v>Branded_RXULTI_AE Ansia_IT-RXU-2500035</v>
      </c>
      <c r="E12202" s="10" t="str">
        <f>HYPERLINK("https://otsuka-europe-crm.veevavault.com/ui/#object/sent_email__v/VBL00000002X049", "SE-001437497")</f>
        <v>SE-001437497</v>
      </c>
      <c r="F12202" s="11"/>
      <c r="G12202" s="12">
        <v>0</v>
      </c>
      <c r="H12202" s="12">
        <v>0</v>
      </c>
      <c r="I12202" s="12">
        <v>0</v>
      </c>
      <c r="J12202" s="11"/>
      <c r="K12202" s="12">
        <v>0</v>
      </c>
      <c r="L12202" s="10" t="str">
        <f>HYPERLINK("https://otsuka-europe-crm.veevavault.com/ui/#object/approved_document__v/V5O00000001G004", "Branded_RXULTI_AE Ansia_IT-RXU-2500035")</f>
        <v>Branded_RXULTI_AE Ansia_IT-RXU-2500035</v>
      </c>
      <c r="M12202" s="10" t="str">
        <f>HYPERLINK("mailto:maria.gargiulo@crm.otsuka-europe.com", "maria.gargiulo@crm.otsuka-europe.com")</f>
        <v>maria.gargiulo@crm.otsuka-europe.com</v>
      </c>
      <c r="N12202" s="13">
        <v>46195.504351851851</v>
      </c>
      <c r="O12202" s="14" t="str">
        <f>HYPERLINK("https://otsuka-europe-crm.veevavault.com/ui/#object/email_activity__v/V8C000000040205", "EN-002099062")</f>
        <v>EN-002099062</v>
      </c>
    </row>
    <row r="12203" spans="1:15" ht="48" x14ac:dyDescent="0.2">
      <c r="A12203" s="7" t="str">
        <f>HYPERLINK("https://otsuka-europe-crm.veevavault.com/ui/#object/account__v/V4TZ025E87501CG", "FILIPPO BUCCIARELLI")</f>
        <v>FILIPPO BUCCIARELLI</v>
      </c>
      <c r="B12203" s="7" t="str">
        <f>HYPERLINK("https://otsuka-europe-crm.veevavault.com/ui/#object/vcountry__v/VENZ000004SONFQ", "IT")</f>
        <v>IT</v>
      </c>
      <c r="C12203" s="8" t="s">
        <v>44</v>
      </c>
      <c r="D12203" s="9" t="str">
        <f>HYPERLINK("https://otsuka-europe-crm.veevavault.com/ui/#object/approved_document__v/V5OZ025E82UFNWM", "ABILIFY 960720_Branded_AE Fagiolini_IT-AM2-2500131")</f>
        <v>ABILIFY 960720_Branded_AE Fagiolini_IT-AM2-2500131</v>
      </c>
      <c r="E12203" s="10" t="str">
        <f>HYPERLINK("https://otsuka-europe-crm.veevavault.com/ui/#object/sent_email__v/VBL00000002X050", "SE-001437498")</f>
        <v>SE-001437498</v>
      </c>
      <c r="F12203" s="11"/>
      <c r="G12203" s="12">
        <v>0</v>
      </c>
      <c r="H12203" s="12">
        <v>0</v>
      </c>
      <c r="I12203" s="12">
        <v>0</v>
      </c>
      <c r="J12203" s="11"/>
      <c r="K12203" s="12">
        <v>0</v>
      </c>
      <c r="L12203" s="10" t="str">
        <f>HYPERLINK("https://otsuka-europe-crm.veevavault.com/ui/#object/approved_document__v/V5OZ025E82UFNWM", "ABILIFY 960720_Branded_AE Fagiolini_IT-AM2-2500131")</f>
        <v>ABILIFY 960720_Branded_AE Fagiolini_IT-AM2-2500131</v>
      </c>
      <c r="M12203" s="10" t="str">
        <f>HYPERLINK("mailto:maria.gargiulo@crm.otsuka-europe.com", "maria.gargiulo@crm.otsuka-europe.com")</f>
        <v>maria.gargiulo@crm.otsuka-europe.com</v>
      </c>
      <c r="N12203" s="13">
        <v>46195.515763888892</v>
      </c>
      <c r="O12203" s="14" t="str">
        <f>HYPERLINK("https://otsuka-europe-crm.veevavault.com/ui/#object/email_activity__v/V8C00000003Z232", "EN-002099063")</f>
        <v>EN-002099063</v>
      </c>
    </row>
    <row r="12204" spans="1:15" ht="32" x14ac:dyDescent="0.2">
      <c r="A12204" s="7" t="str">
        <f>HYPERLINK("https://otsuka-europe-crm.veevavault.com/ui/#object/account__v/V4TZ06G6O9VM8CX", "MARIA FRANCESCA BUONOCORE")</f>
        <v>MARIA FRANCESCA BUONOCORE</v>
      </c>
      <c r="B12204" s="7" t="str">
        <f>HYPERLINK("https://otsuka-europe-crm.veevavault.com/ui/#object/vcountry__v/VENZ000004SONFQ", "IT")</f>
        <v>IT</v>
      </c>
      <c r="C12204" s="8" t="s">
        <v>44</v>
      </c>
      <c r="D12204" s="9" t="str">
        <f>HYPERLINK("https://otsuka-europe-crm.veevavault.com/ui/#object/approved_document__v/V5O00000001G004", "Branded_RXULTI_AE Ansia_IT-RXU-2500035")</f>
        <v>Branded_RXULTI_AE Ansia_IT-RXU-2500035</v>
      </c>
      <c r="E12204" s="10" t="str">
        <f>HYPERLINK("https://otsuka-europe-crm.veevavault.com/ui/#object/sent_email__v/VBL00000002W033", "SE-001437499")</f>
        <v>SE-001437499</v>
      </c>
      <c r="F12204" s="11"/>
      <c r="G12204" s="12">
        <v>0</v>
      </c>
      <c r="H12204" s="12">
        <v>0</v>
      </c>
      <c r="I12204" s="12">
        <v>0</v>
      </c>
      <c r="J12204" s="11"/>
      <c r="K12204" s="12">
        <v>0</v>
      </c>
      <c r="L12204" s="10" t="str">
        <f>HYPERLINK("https://otsuka-europe-crm.veevavault.com/ui/#object/approved_document__v/V5O00000001G004", "Branded_RXULTI_AE Ansia_IT-RXU-2500035")</f>
        <v>Branded_RXULTI_AE Ansia_IT-RXU-2500035</v>
      </c>
      <c r="M12204" s="10" t="str">
        <f>HYPERLINK("mailto:maria.gargiulo@crm.otsuka-europe.com", "maria.gargiulo@crm.otsuka-europe.com")</f>
        <v>maria.gargiulo@crm.otsuka-europe.com</v>
      </c>
      <c r="N12204" s="13">
        <v>46195.516076388885</v>
      </c>
      <c r="O12204" s="14" t="str">
        <f>HYPERLINK("https://otsuka-europe-crm.veevavault.com/ui/#object/email_activity__v/V8C00000003Z233", "EN-002099064")</f>
        <v>EN-002099064</v>
      </c>
    </row>
    <row r="12205" spans="1:15" ht="16" x14ac:dyDescent="0.2">
      <c r="A12205" s="17" t="str">
        <f>HYPERLINK("https://otsuka-europe-crm.veevavault.com/ui/#object/account__v/V4TZ06G6O71SAYY", "VITTORIO CAPPA")</f>
        <v>VITTORIO CAPPA</v>
      </c>
      <c r="B12205" s="17" t="str">
        <f>HYPERLINK("https://otsuka-europe-crm.veevavault.com/ui/#object/vcountry__v/VENZ000004SONFQ", "IT")</f>
        <v>IT</v>
      </c>
      <c r="C12205" s="20" t="s">
        <v>44</v>
      </c>
      <c r="D12205" s="21" t="str">
        <f>HYPERLINK("https://otsuka-europe-crm.veevavault.com/ui/#object/approved_document__v/V5O00000001G004", "Branded_RXULTI_AE Ansia_IT-RXU-2500035")</f>
        <v>Branded_RXULTI_AE Ansia_IT-RXU-2500035</v>
      </c>
      <c r="E12205" s="22" t="str">
        <f>HYPERLINK("https://otsuka-europe-crm.veevavault.com/ui/#object/sent_email__v/VBL00000002X051", "SE-001437500")</f>
        <v>SE-001437500</v>
      </c>
      <c r="F12205" s="23">
        <v>46196.640092592592</v>
      </c>
      <c r="G12205" s="24">
        <v>1</v>
      </c>
      <c r="H12205" s="24">
        <v>2</v>
      </c>
      <c r="I12205" s="24">
        <v>0</v>
      </c>
      <c r="J12205" s="25"/>
      <c r="K12205" s="24">
        <v>0</v>
      </c>
      <c r="L12205" s="22" t="str">
        <f>HYPERLINK("https://otsuka-europe-crm.veevavault.com/ui/#object/approved_document__v/V5O00000001G004", "Branded_RXULTI_AE Ansia_IT-RXU-2500035")</f>
        <v>Branded_RXULTI_AE Ansia_IT-RXU-2500035</v>
      </c>
      <c r="M12205" s="22" t="str">
        <f>HYPERLINK("mailto:maria.gargiulo@crm.otsuka-europe.com", "maria.gargiulo@crm.otsuka-europe.com")</f>
        <v>maria.gargiulo@crm.otsuka-europe.com</v>
      </c>
      <c r="N12205" s="23">
        <v>46195.516608796293</v>
      </c>
      <c r="O12205" s="14" t="str">
        <f>HYPERLINK("https://otsuka-europe-crm.veevavault.com/ui/#object/email_activity__v/V8C00000003Z234", "EN-002099065")</f>
        <v>EN-002099065</v>
      </c>
    </row>
    <row r="12206" spans="1:15" ht="16" x14ac:dyDescent="0.2">
      <c r="A12206" s="18"/>
      <c r="B12206" s="18"/>
      <c r="C12206" s="18"/>
      <c r="D12206" s="18"/>
      <c r="E12206" s="18"/>
      <c r="F12206" s="18"/>
      <c r="G12206" s="18"/>
      <c r="H12206" s="18"/>
      <c r="I12206" s="18"/>
      <c r="J12206" s="18"/>
      <c r="K12206" s="18"/>
      <c r="L12206" s="18"/>
      <c r="M12206" s="18"/>
      <c r="N12206" s="18"/>
      <c r="O12206" s="14" t="str">
        <f>HYPERLINK("https://otsuka-europe-crm.veevavault.com/ui/#object/email_activity__v/V8C00000003Z383", "EN-002099431")</f>
        <v>EN-002099431</v>
      </c>
    </row>
    <row r="12207" spans="1:15" ht="16" x14ac:dyDescent="0.2">
      <c r="A12207" s="19"/>
      <c r="B12207" s="19"/>
      <c r="C12207" s="19"/>
      <c r="D12207" s="19"/>
      <c r="E12207" s="19"/>
      <c r="F12207" s="19"/>
      <c r="G12207" s="19"/>
      <c r="H12207" s="19"/>
      <c r="I12207" s="19"/>
      <c r="J12207" s="19"/>
      <c r="K12207" s="19"/>
      <c r="L12207" s="19"/>
      <c r="M12207" s="19"/>
      <c r="N12207" s="19"/>
      <c r="O12207" s="14" t="str">
        <f>HYPERLINK("https://otsuka-europe-crm.veevavault.com/ui/#object/email_activity__v/V8C000000040400", "EN-002099378")</f>
        <v>EN-002099378</v>
      </c>
    </row>
    <row r="12208" spans="1:15" ht="16" x14ac:dyDescent="0.2">
      <c r="A12208" s="17" t="str">
        <f>HYPERLINK("https://otsuka-europe-crm.veevavault.com/ui/#object/account__v/V4T000000024080", "SAMUEL LEAL RODRIGUEZ")</f>
        <v>SAMUEL LEAL RODRIGUEZ</v>
      </c>
      <c r="B12208" s="17" t="str">
        <f>HYPERLINK("https://otsuka-europe-crm.veevavault.com/ui/#object/vcountry__v/VENZ000004SONF5", "ES")</f>
        <v>ES</v>
      </c>
      <c r="C12208" s="20" t="s">
        <v>41</v>
      </c>
      <c r="D12208" s="21" t="str">
        <f>HYPERLINK("https://otsuka-europe-crm.veevavault.com/ui/#object/approved_document__v/V5O00000000D100", "Spain - Consent Email 1 Aug 25")</f>
        <v>Spain - Consent Email 1 Aug 25</v>
      </c>
      <c r="E12208" s="22" t="str">
        <f>HYPERLINK("https://otsuka-europe-crm.veevavault.com/ui/#object/sent_email__v/VBL00000002W034", "SE-001437501")</f>
        <v>SE-001437501</v>
      </c>
      <c r="F12208" s="23">
        <v>46195.597893518519</v>
      </c>
      <c r="G12208" s="24">
        <v>1</v>
      </c>
      <c r="H12208" s="24">
        <v>2</v>
      </c>
      <c r="I12208" s="24">
        <v>0</v>
      </c>
      <c r="J12208" s="25"/>
      <c r="K12208" s="24">
        <v>0</v>
      </c>
      <c r="L12208" s="22" t="str">
        <f>HYPERLINK("https://otsuka-europe-crm.veevavault.com/ui/#object/approved_document__v/V5O00000000D100", "Spain - Consent Email 1 Aug 25")</f>
        <v>Spain - Consent Email 1 Aug 25</v>
      </c>
      <c r="M12208" s="22" t="str">
        <f>HYPERLINK("mailto:ccalero@crm.otsuka-europe.com", "ccalero@crm.otsuka-europe.com")</f>
        <v>ccalero@crm.otsuka-europe.com</v>
      </c>
      <c r="N12208" s="23">
        <v>46195.594560185185</v>
      </c>
      <c r="O12208" s="14" t="str">
        <f>HYPERLINK("https://otsuka-europe-crm.veevavault.com/ui/#object/email_activity__v/V8C00000003Z241", "EN-002099072")</f>
        <v>EN-002099072</v>
      </c>
    </row>
    <row r="12209" spans="1:15" ht="16" x14ac:dyDescent="0.2">
      <c r="A12209" s="18"/>
      <c r="B12209" s="18"/>
      <c r="C12209" s="18"/>
      <c r="D12209" s="18"/>
      <c r="E12209" s="18"/>
      <c r="F12209" s="18"/>
      <c r="G12209" s="18"/>
      <c r="H12209" s="18"/>
      <c r="I12209" s="18"/>
      <c r="J12209" s="18"/>
      <c r="K12209" s="18"/>
      <c r="L12209" s="18"/>
      <c r="M12209" s="18"/>
      <c r="N12209" s="18"/>
      <c r="O12209" s="14" t="str">
        <f>HYPERLINK("https://otsuka-europe-crm.veevavault.com/ui/#object/email_activity__v/V8C000000040206", "EN-002099073")</f>
        <v>EN-002099073</v>
      </c>
    </row>
    <row r="12210" spans="1:15" ht="16" x14ac:dyDescent="0.2">
      <c r="A12210" s="19"/>
      <c r="B12210" s="19"/>
      <c r="C12210" s="19"/>
      <c r="D12210" s="19"/>
      <c r="E12210" s="19"/>
      <c r="F12210" s="19"/>
      <c r="G12210" s="19"/>
      <c r="H12210" s="19"/>
      <c r="I12210" s="19"/>
      <c r="J12210" s="19"/>
      <c r="K12210" s="19"/>
      <c r="L12210" s="19"/>
      <c r="M12210" s="19"/>
      <c r="N12210" s="19"/>
      <c r="O12210" s="14" t="str">
        <f>HYPERLINK("https://otsuka-europe-crm.veevavault.com/ui/#object/email_activity__v/V8C000000040207", "EN-002099074")</f>
        <v>EN-002099074</v>
      </c>
    </row>
    <row r="12211" spans="1:15" ht="32" x14ac:dyDescent="0.2">
      <c r="A12211" s="7" t="str">
        <f>HYPERLINK("https://otsuka-europe-crm.veevavault.com/ui/#object/account__v/V4T000000024080", "SAMUEL LEAL RODRIGUEZ")</f>
        <v>SAMUEL LEAL RODRIGUEZ</v>
      </c>
      <c r="B12211" s="7" t="str">
        <f>HYPERLINK("https://otsuka-europe-crm.veevavault.com/ui/#object/vcountry__v/VENZ000004SONF5", "ES")</f>
        <v>ES</v>
      </c>
      <c r="C12211" s="8" t="s">
        <v>41</v>
      </c>
      <c r="D12211" s="9" t="str">
        <f>HYPERLINK("https://otsuka-europe-crm.veevavault.com/ui/#object/approved_document__v/V5OZ04ASG4FWKA7", "Reuniones Online Consent - 2")</f>
        <v>Reuniones Online Consent - 2</v>
      </c>
      <c r="E12211" s="10" t="str">
        <f>HYPERLINK("https://otsuka-europe-crm.veevavault.com/ui/#object/sent_email__v/VBL00000002W035", "SE-001437502")</f>
        <v>SE-001437502</v>
      </c>
      <c r="F12211" s="11"/>
      <c r="G12211" s="12">
        <v>0</v>
      </c>
      <c r="H12211" s="12">
        <v>0</v>
      </c>
      <c r="I12211" s="12">
        <v>0</v>
      </c>
      <c r="J12211" s="11"/>
      <c r="K12211" s="12">
        <v>0</v>
      </c>
      <c r="L12211" s="10" t="str">
        <f>HYPERLINK("https://otsuka-europe-crm.veevavault.com/ui/#object/approved_document__v/V5OZ04ASG4FWKA7", "Reuniones Online Consent - 2")</f>
        <v>Reuniones Online Consent - 2</v>
      </c>
      <c r="M12211" s="10" t="str">
        <f>HYPERLINK("mailto:ccalero@crm.otsuka-europe.com", "ccalero@crm.otsuka-europe.com")</f>
        <v>ccalero@crm.otsuka-europe.com</v>
      </c>
      <c r="N12211" s="13">
        <v>46195.594571759262</v>
      </c>
      <c r="O12211" s="14" t="str">
        <f>HYPERLINK("https://otsuka-europe-crm.veevavault.com/ui/#object/email_activity__v/V8C00000003Z239", "EN-002099070")</f>
        <v>EN-002099070</v>
      </c>
    </row>
    <row r="12212" spans="1:15" ht="32" x14ac:dyDescent="0.2">
      <c r="A12212" s="7" t="str">
        <f>HYPERLINK("https://otsuka-europe-crm.veevavault.com/ui/#object/account__v/V4T000000024080", "SAMUEL LEAL RODRIGUEZ")</f>
        <v>SAMUEL LEAL RODRIGUEZ</v>
      </c>
      <c r="B12212" s="7" t="str">
        <f>HYPERLINK("https://otsuka-europe-crm.veevavault.com/ui/#object/vcountry__v/VENZ000004SONF5", "ES")</f>
        <v>ES</v>
      </c>
      <c r="C12212" s="8" t="s">
        <v>41</v>
      </c>
      <c r="D12212" s="9" t="str">
        <f>HYPERLINK("https://otsuka-europe-crm.veevavault.com/ui/#object/approved_document__v/V5OZ04ASG4FWKA9", "Documento Autorizaciขn Centro Empleador")</f>
        <v>Documento Autorizaciขn Centro Empleador</v>
      </c>
      <c r="E12212" s="10" t="str">
        <f>HYPERLINK("https://otsuka-europe-crm.veevavault.com/ui/#object/sent_email__v/VBL00000002W036", "SE-001437503")</f>
        <v>SE-001437503</v>
      </c>
      <c r="F12212" s="11"/>
      <c r="G12212" s="12">
        <v>0</v>
      </c>
      <c r="H12212" s="12">
        <v>0</v>
      </c>
      <c r="I12212" s="12">
        <v>0</v>
      </c>
      <c r="J12212" s="11"/>
      <c r="K12212" s="12">
        <v>0</v>
      </c>
      <c r="L12212" s="10" t="str">
        <f>HYPERLINK("https://otsuka-europe-crm.veevavault.com/ui/#object/approved_document__v/V5OZ04ASG4FWKA9", "Documento Autorizaciขn Centro Empleador")</f>
        <v>Documento Autorizaciขn Centro Empleador</v>
      </c>
      <c r="M12212" s="10" t="str">
        <f>HYPERLINK("mailto:ccalero@crm.otsuka-europe.com", "ccalero@crm.otsuka-europe.com")</f>
        <v>ccalero@crm.otsuka-europe.com</v>
      </c>
      <c r="N12212" s="13">
        <v>46195.594583333332</v>
      </c>
      <c r="O12212" s="14" t="str">
        <f>HYPERLINK("https://otsuka-europe-crm.veevavault.com/ui/#object/email_activity__v/V8C00000003Z240", "EN-002099071")</f>
        <v>EN-002099071</v>
      </c>
    </row>
    <row r="12213" spans="1:15" ht="16" x14ac:dyDescent="0.2">
      <c r="A12213" s="17" t="str">
        <f>HYPERLINK("https://otsuka-europe-crm.veevavault.com/ui/#object/account__v/V4T00000000Z070", "TOKY RAZAFINDRAKOTO")</f>
        <v>TOKY RAZAFINDRAKOTO</v>
      </c>
      <c r="B12213" s="17" t="str">
        <f>HYPERLINK("https://otsuka-europe-crm.veevavault.com/ui/#object/vcountry__v/VENZ000004SONFA", "FR")</f>
        <v>FR</v>
      </c>
      <c r="C12213" s="20" t="s">
        <v>42</v>
      </c>
      <c r="D12213" s="21" t="str">
        <f>HYPERLINK("https://otsuka-europe-crm.veevavault.com/ui/#object/approved_document__v/V5O000000002002", "E-Mail de remerciements Perspectives-Septembre 2025 - Environnement - FR-CNS-2500025")</f>
        <v>E-Mail de remerciements Perspectives-Septembre 2025 - Environnement - FR-CNS-2500025</v>
      </c>
      <c r="E12213" s="22" t="str">
        <f>HYPERLINK("https://otsuka-europe-crm.veevavault.com/ui/#object/sent_email__v/VBL00000002W038", "SE-001437504")</f>
        <v>SE-001437504</v>
      </c>
      <c r="F12213" s="23">
        <v>46196.470416666663</v>
      </c>
      <c r="G12213" s="24">
        <v>1</v>
      </c>
      <c r="H12213" s="24">
        <v>5</v>
      </c>
      <c r="I12213" s="24">
        <v>0</v>
      </c>
      <c r="J12213" s="25"/>
      <c r="K12213" s="24">
        <v>0</v>
      </c>
      <c r="L12213" s="22" t="str">
        <f>HYPERLINK("https://otsuka-europe-crm.veevavault.com/ui/#object/approved_document__v/V5O000000002002", "E-Mail de remerciements Perspectives-Septembre 2025 - Environnement - FR-CNS-2500025")</f>
        <v>E-Mail de remerciements Perspectives-Septembre 2025 - Environnement - FR-CNS-2500025</v>
      </c>
      <c r="M12213" s="22" t="str">
        <f>HYPERLINK("mailto:sblancheland@crm.otsuka-europe.com", "sblancheland@crm.otsuka-europe.com")</f>
        <v>sblancheland@crm.otsuka-europe.com</v>
      </c>
      <c r="N12213" s="23">
        <v>46195.694062499999</v>
      </c>
      <c r="O12213" s="14" t="str">
        <f>HYPERLINK("https://otsuka-europe-crm.veevavault.com/ui/#object/email_activity__v/V8C00000003Z255", "EN-002099102")</f>
        <v>EN-002099102</v>
      </c>
    </row>
    <row r="12214" spans="1:15" ht="16" x14ac:dyDescent="0.2">
      <c r="A12214" s="18"/>
      <c r="B12214" s="18"/>
      <c r="C12214" s="18"/>
      <c r="D12214" s="18"/>
      <c r="E12214" s="18"/>
      <c r="F12214" s="18"/>
      <c r="G12214" s="18"/>
      <c r="H12214" s="18"/>
      <c r="I12214" s="18"/>
      <c r="J12214" s="18"/>
      <c r="K12214" s="18"/>
      <c r="L12214" s="18"/>
      <c r="M12214" s="18"/>
      <c r="N12214" s="18"/>
      <c r="O12214" s="14" t="str">
        <f>HYPERLINK("https://otsuka-europe-crm.veevavault.com/ui/#object/email_activity__v/V8C00000003Z273", "EN-002099145")</f>
        <v>EN-002099145</v>
      </c>
    </row>
    <row r="12215" spans="1:15" ht="16" x14ac:dyDescent="0.2">
      <c r="A12215" s="18"/>
      <c r="B12215" s="18"/>
      <c r="C12215" s="18"/>
      <c r="D12215" s="18"/>
      <c r="E12215" s="18"/>
      <c r="F12215" s="18"/>
      <c r="G12215" s="18"/>
      <c r="H12215" s="18"/>
      <c r="I12215" s="18"/>
      <c r="J12215" s="18"/>
      <c r="K12215" s="18"/>
      <c r="L12215" s="18"/>
      <c r="M12215" s="18"/>
      <c r="N12215" s="18"/>
      <c r="O12215" s="14" t="str">
        <f>HYPERLINK("https://otsuka-europe-crm.veevavault.com/ui/#object/email_activity__v/V8C00000003Z276", "EN-002099148")</f>
        <v>EN-002099148</v>
      </c>
    </row>
    <row r="12216" spans="1:15" ht="16" x14ac:dyDescent="0.2">
      <c r="A12216" s="18"/>
      <c r="B12216" s="18"/>
      <c r="C12216" s="18"/>
      <c r="D12216" s="18"/>
      <c r="E12216" s="18"/>
      <c r="F12216" s="18"/>
      <c r="G12216" s="18"/>
      <c r="H12216" s="18"/>
      <c r="I12216" s="18"/>
      <c r="J12216" s="18"/>
      <c r="K12216" s="18"/>
      <c r="L12216" s="18"/>
      <c r="M12216" s="18"/>
      <c r="N12216" s="18"/>
      <c r="O12216" s="14" t="str">
        <f>HYPERLINK("https://otsuka-europe-crm.veevavault.com/ui/#object/email_activity__v/V8C00000003Z343", "EN-002099350")</f>
        <v>EN-002099350</v>
      </c>
    </row>
    <row r="12217" spans="1:15" ht="16" x14ac:dyDescent="0.2">
      <c r="A12217" s="18"/>
      <c r="B12217" s="18"/>
      <c r="C12217" s="18"/>
      <c r="D12217" s="18"/>
      <c r="E12217" s="18"/>
      <c r="F12217" s="18"/>
      <c r="G12217" s="18"/>
      <c r="H12217" s="18"/>
      <c r="I12217" s="18"/>
      <c r="J12217" s="18"/>
      <c r="K12217" s="18"/>
      <c r="L12217" s="18"/>
      <c r="M12217" s="18"/>
      <c r="N12217" s="18"/>
      <c r="O12217" s="14" t="str">
        <f>HYPERLINK("https://otsuka-europe-crm.veevavault.com/ui/#object/email_activity__v/V8C000000040229", "EN-002099119")</f>
        <v>EN-002099119</v>
      </c>
    </row>
    <row r="12218" spans="1:15" ht="16" x14ac:dyDescent="0.2">
      <c r="A12218" s="19"/>
      <c r="B12218" s="19"/>
      <c r="C12218" s="19"/>
      <c r="D12218" s="19"/>
      <c r="E12218" s="19"/>
      <c r="F12218" s="19"/>
      <c r="G12218" s="19"/>
      <c r="H12218" s="19"/>
      <c r="I12218" s="19"/>
      <c r="J12218" s="19"/>
      <c r="K12218" s="19"/>
      <c r="L12218" s="19"/>
      <c r="M12218" s="19"/>
      <c r="N12218" s="19"/>
      <c r="O12218" s="14" t="str">
        <f>HYPERLINK("https://otsuka-europe-crm.veevavault.com/ui/#object/email_activity__v/V8C000000040230", "EN-002099120")</f>
        <v>EN-002099120</v>
      </c>
    </row>
    <row r="12219" spans="1:15" ht="16" x14ac:dyDescent="0.2">
      <c r="A12219" s="17" t="str">
        <f>HYPERLINK("https://otsuka-europe-crm.veevavault.com/ui/#object/account__v/V4T000000010010", "SANDRATRINIAVO GINAH RAZAFINDRAKOTO")</f>
        <v>SANDRATRINIAVO GINAH RAZAFINDRAKOTO</v>
      </c>
      <c r="B12219" s="17" t="str">
        <f>HYPERLINK("https://otsuka-europe-crm.veevavault.com/ui/#object/vcountry__v/VENZ000004SONFA", "FR")</f>
        <v>FR</v>
      </c>
      <c r="C12219" s="20" t="s">
        <v>42</v>
      </c>
      <c r="D12219" s="21" t="str">
        <f>HYPERLINK("https://otsuka-europe-crm.veevavault.com/ui/#object/approved_document__v/V5O000000002002", "E-Mail de remerciements Perspectives-Septembre 2025 - Environnement - FR-CNS-2500025")</f>
        <v>E-Mail de remerciements Perspectives-Septembre 2025 - Environnement - FR-CNS-2500025</v>
      </c>
      <c r="E12219" s="22" t="str">
        <f>HYPERLINK("https://otsuka-europe-crm.veevavault.com/ui/#object/sent_email__v/VBL00000002X056", "SE-001437505")</f>
        <v>SE-001437505</v>
      </c>
      <c r="F12219" s="23">
        <v>46196.76761574074</v>
      </c>
      <c r="G12219" s="24">
        <v>1</v>
      </c>
      <c r="H12219" s="24">
        <v>1</v>
      </c>
      <c r="I12219" s="24">
        <v>0</v>
      </c>
      <c r="J12219" s="25"/>
      <c r="K12219" s="24">
        <v>0</v>
      </c>
      <c r="L12219" s="22" t="str">
        <f>HYPERLINK("https://otsuka-europe-crm.veevavault.com/ui/#object/approved_document__v/V5O000000002002", "E-Mail de remerciements Perspectives-Septembre 2025 - Environnement - FR-CNS-2500025")</f>
        <v>E-Mail de remerciements Perspectives-Septembre 2025 - Environnement - FR-CNS-2500025</v>
      </c>
      <c r="M12219" s="22" t="str">
        <f>HYPERLINK("mailto:sblancheland@crm.otsuka-europe.com", "sblancheland@crm.otsuka-europe.com")</f>
        <v>sblancheland@crm.otsuka-europe.com</v>
      </c>
      <c r="N12219" s="23">
        <v>46195.694895833331</v>
      </c>
      <c r="O12219" s="14" t="str">
        <f>HYPERLINK("https://otsuka-europe-crm.veevavault.com/ui/#object/email_activity__v/V8C000000040222", "EN-002099103")</f>
        <v>EN-002099103</v>
      </c>
    </row>
    <row r="12220" spans="1:15" ht="16" x14ac:dyDescent="0.2">
      <c r="A12220" s="18"/>
      <c r="B12220" s="18"/>
      <c r="C12220" s="18"/>
      <c r="D12220" s="18"/>
      <c r="E12220" s="18"/>
      <c r="F12220" s="18"/>
      <c r="G12220" s="18"/>
      <c r="H12220" s="18"/>
      <c r="I12220" s="18"/>
      <c r="J12220" s="18"/>
      <c r="K12220" s="18"/>
      <c r="L12220" s="18"/>
      <c r="M12220" s="18"/>
      <c r="N12220" s="18"/>
      <c r="O12220" s="14" t="str">
        <f>HYPERLINK("https://otsuka-europe-crm.veevavault.com/ui/#object/email_activity__v/V8C000000040233", "EN-002099128")</f>
        <v>EN-002099128</v>
      </c>
    </row>
    <row r="12221" spans="1:15" ht="16" x14ac:dyDescent="0.2">
      <c r="A12221" s="19"/>
      <c r="B12221" s="19"/>
      <c r="C12221" s="19"/>
      <c r="D12221" s="19"/>
      <c r="E12221" s="19"/>
      <c r="F12221" s="19"/>
      <c r="G12221" s="19"/>
      <c r="H12221" s="19"/>
      <c r="I12221" s="19"/>
      <c r="J12221" s="19"/>
      <c r="K12221" s="19"/>
      <c r="L12221" s="19"/>
      <c r="M12221" s="19"/>
      <c r="N12221" s="19"/>
      <c r="O12221" s="14" t="str">
        <f>HYPERLINK("https://otsuka-europe-crm.veevavault.com/ui/#object/email_activity__v/V8C000000040445", "EN-002099466")</f>
        <v>EN-002099466</v>
      </c>
    </row>
    <row r="12222" spans="1:15" ht="64" x14ac:dyDescent="0.2">
      <c r="A12222" s="7" t="str">
        <f>HYPERLINK("https://otsuka-europe-crm.veevavault.com/ui/#object/account__v/V4TZ025E86FF69K", "YOLANDE RASOAVOLOLONIAINA")</f>
        <v>YOLANDE RASOAVOLOLONIAINA</v>
      </c>
      <c r="B12222" s="7" t="str">
        <f>HYPERLINK("https://otsuka-europe-crm.veevavault.com/ui/#object/vcountry__v/VENZ000004SONFA", "FR")</f>
        <v>FR</v>
      </c>
      <c r="C12222" s="8" t="s">
        <v>42</v>
      </c>
      <c r="D12222" s="9" t="str">
        <f>HYPERLINK("https://otsuka-europe-crm.veevavault.com/ui/#object/approved_document__v/V5O000000002002", "E-Mail de remerciements Perspectives-Septembre 2025 - Environnement - FR-CNS-2500025")</f>
        <v>E-Mail de remerciements Perspectives-Septembre 2025 - Environnement - FR-CNS-2500025</v>
      </c>
      <c r="E12222" s="10" t="str">
        <f>HYPERLINK("https://otsuka-europe-crm.veevavault.com/ui/#object/sent_email__v/VBL00000002X057", "SE-001437506")</f>
        <v>SE-001437506</v>
      </c>
      <c r="F12222" s="11"/>
      <c r="G12222" s="12">
        <v>0</v>
      </c>
      <c r="H12222" s="12">
        <v>0</v>
      </c>
      <c r="I12222" s="12">
        <v>0</v>
      </c>
      <c r="J12222" s="11"/>
      <c r="K12222" s="12">
        <v>0</v>
      </c>
      <c r="L12222" s="10" t="str">
        <f>HYPERLINK("https://otsuka-europe-crm.veevavault.com/ui/#object/approved_document__v/V5O000000002002", "E-Mail de remerciements Perspectives-Septembre 2025 - Environnement - FR-CNS-2500025")</f>
        <v>E-Mail de remerciements Perspectives-Septembre 2025 - Environnement - FR-CNS-2500025</v>
      </c>
      <c r="M12222" s="10" t="str">
        <f>HYPERLINK("mailto:sblancheland@crm.otsuka-europe.com", "sblancheland@crm.otsuka-europe.com")</f>
        <v>sblancheland@crm.otsuka-europe.com</v>
      </c>
      <c r="N12222" s="13">
        <v>46195.695601851854</v>
      </c>
      <c r="O12222" s="14" t="str">
        <f>HYPERLINK("https://otsuka-europe-crm.veevavault.com/ui/#object/email_activity__v/V8C000000040223", "EN-002099104")</f>
        <v>EN-002099104</v>
      </c>
    </row>
    <row r="12223" spans="1:15" ht="16" x14ac:dyDescent="0.2">
      <c r="A12223" s="17" t="str">
        <f>HYPERLINK("https://otsuka-europe-crm.veevavault.com/ui/#object/account__v/V4TZ06G6O71SAZ0", "FRANCESCO MARIA CAPUTO")</f>
        <v>FRANCESCO MARIA CAPUTO</v>
      </c>
      <c r="B12223" s="17" t="str">
        <f>HYPERLINK("https://otsuka-europe-crm.veevavault.com/ui/#object/vcountry__v/VENZ000004SONFQ", "IT")</f>
        <v>IT</v>
      </c>
      <c r="C12223" s="20" t="s">
        <v>44</v>
      </c>
      <c r="D12223" s="21" t="str">
        <f>HYPERLINK("https://otsuka-europe-crm.veevavault.com/ui/#object/approved_document__v/V5O00000001G004", "Branded_RXULTI_AE Ansia_IT-RXU-2500035")</f>
        <v>Branded_RXULTI_AE Ansia_IT-RXU-2500035</v>
      </c>
      <c r="E12223" s="22" t="str">
        <f>HYPERLINK("https://otsuka-europe-crm.veevavault.com/ui/#object/sent_email__v/VBL00000002X065", "SE-001437510")</f>
        <v>SE-001437510</v>
      </c>
      <c r="F12223" s="25"/>
      <c r="G12223" s="24">
        <v>0</v>
      </c>
      <c r="H12223" s="24">
        <v>0</v>
      </c>
      <c r="I12223" s="24">
        <v>0</v>
      </c>
      <c r="J12223" s="25"/>
      <c r="K12223" s="24">
        <v>0</v>
      </c>
      <c r="L12223" s="22" t="str">
        <f>HYPERLINK("https://otsuka-europe-crm.veevavault.com/ui/#object/approved_document__v/V5O00000001G004", "Branded_RXULTI_AE Ansia_IT-RXU-2500035")</f>
        <v>Branded_RXULTI_AE Ansia_IT-RXU-2500035</v>
      </c>
      <c r="M12223" s="22" t="str">
        <f>HYPERLINK("mailto:maria.gargiulo@crm.otsuka-europe.com", "maria.gargiulo@crm.otsuka-europe.com")</f>
        <v>maria.gargiulo@crm.otsuka-europe.com</v>
      </c>
      <c r="N12223" s="23">
        <v>46196.240960648145</v>
      </c>
      <c r="O12223" s="14" t="str">
        <f>HYPERLINK("https://otsuka-europe-crm.veevavault.com/ui/#object/email_activity__v/V8C00000003Z272", "EN-002099134")</f>
        <v>EN-002099134</v>
      </c>
    </row>
    <row r="12224" spans="1:15" ht="16" x14ac:dyDescent="0.2">
      <c r="A12224" s="19"/>
      <c r="B12224" s="19"/>
      <c r="C12224" s="19"/>
      <c r="D12224" s="19"/>
      <c r="E12224" s="19"/>
      <c r="F12224" s="19"/>
      <c r="G12224" s="19"/>
      <c r="H12224" s="19"/>
      <c r="I12224" s="19"/>
      <c r="J12224" s="19"/>
      <c r="K12224" s="19"/>
      <c r="L12224" s="19"/>
      <c r="M12224" s="19"/>
      <c r="N12224" s="19"/>
      <c r="O12224" s="14" t="str">
        <f>HYPERLINK("https://otsuka-europe-crm.veevavault.com/ui/#object/email_activity__v/V8C000000040246", "EN-002099144")</f>
        <v>EN-002099144</v>
      </c>
    </row>
    <row r="12225" spans="1:15" ht="32" x14ac:dyDescent="0.2">
      <c r="A12225" s="7" t="str">
        <f>HYPERLINK("https://otsuka-europe-crm.veevavault.com/ui/#object/account__v/V4TZ025E86HLRNT", "GIAMMARCO CASCONE")</f>
        <v>GIAMMARCO CASCONE</v>
      </c>
      <c r="B12225" s="7" t="str">
        <f>HYPERLINK("https://otsuka-europe-crm.veevavault.com/ui/#object/vcountry__v/VENZ000004SONFQ", "IT")</f>
        <v>IT</v>
      </c>
      <c r="C12225" s="8" t="s">
        <v>44</v>
      </c>
      <c r="D12225" s="9" t="str">
        <f>HYPERLINK("https://otsuka-europe-crm.veevavault.com/ui/#object/approved_document__v/V5O00000001G004", "Branded_RXULTI_AE Ansia_IT-RXU-2500035")</f>
        <v>Branded_RXULTI_AE Ansia_IT-RXU-2500035</v>
      </c>
      <c r="E12225" s="10" t="str">
        <f>HYPERLINK("https://otsuka-europe-crm.veevavault.com/ui/#object/sent_email__v/VBL00000002W040", "SE-001437511")</f>
        <v>SE-001437511</v>
      </c>
      <c r="F12225" s="11"/>
      <c r="G12225" s="12">
        <v>0</v>
      </c>
      <c r="H12225" s="12">
        <v>0</v>
      </c>
      <c r="I12225" s="12">
        <v>0</v>
      </c>
      <c r="J12225" s="11"/>
      <c r="K12225" s="12">
        <v>0</v>
      </c>
      <c r="L12225" s="10" t="str">
        <f>HYPERLINK("https://otsuka-europe-crm.veevavault.com/ui/#object/approved_document__v/V5O00000001G004", "Branded_RXULTI_AE Ansia_IT-RXU-2500035")</f>
        <v>Branded_RXULTI_AE Ansia_IT-RXU-2500035</v>
      </c>
      <c r="M12225" s="10" t="str">
        <f>HYPERLINK("mailto:maria.gargiulo@crm.otsuka-europe.com", "maria.gargiulo@crm.otsuka-europe.com")</f>
        <v>maria.gargiulo@crm.otsuka-europe.com</v>
      </c>
      <c r="N12225" s="13">
        <v>46196.24114583333</v>
      </c>
      <c r="O12225" s="14" t="str">
        <f>HYPERLINK("https://otsuka-europe-crm.veevavault.com/ui/#object/email_activity__v/V8C000000040237", "EN-002099135")</f>
        <v>EN-002099135</v>
      </c>
    </row>
    <row r="12226" spans="1:15" ht="32" x14ac:dyDescent="0.2">
      <c r="A12226" s="7" t="str">
        <f>HYPERLINK("https://otsuka-europe-crm.veevavault.com/ui/#object/account__v/V4TZ025E8705AG8", "MARIA BEATRICE CHIANESE")</f>
        <v>MARIA BEATRICE CHIANESE</v>
      </c>
      <c r="B12226" s="7" t="str">
        <f>HYPERLINK("https://otsuka-europe-crm.veevavault.com/ui/#object/vcountry__v/VENZ000004SONFQ", "IT")</f>
        <v>IT</v>
      </c>
      <c r="C12226" s="8" t="s">
        <v>44</v>
      </c>
      <c r="D12226" s="9" t="str">
        <f>HYPERLINK("https://otsuka-europe-crm.veevavault.com/ui/#object/approved_document__v/V5O00000001G004", "Branded_RXULTI_AE Ansia_IT-RXU-2500035")</f>
        <v>Branded_RXULTI_AE Ansia_IT-RXU-2500035</v>
      </c>
      <c r="E12226" s="10" t="str">
        <f>HYPERLINK("https://otsuka-europe-crm.veevavault.com/ui/#object/sent_email__v/VBL00000002W041", "SE-001437512")</f>
        <v>SE-001437512</v>
      </c>
      <c r="F12226" s="11"/>
      <c r="G12226" s="12">
        <v>0</v>
      </c>
      <c r="H12226" s="12">
        <v>0</v>
      </c>
      <c r="I12226" s="12">
        <v>0</v>
      </c>
      <c r="J12226" s="11"/>
      <c r="K12226" s="12">
        <v>0</v>
      </c>
      <c r="L12226" s="10" t="str">
        <f>HYPERLINK("https://otsuka-europe-crm.veevavault.com/ui/#object/approved_document__v/V5O00000001G004", "Branded_RXULTI_AE Ansia_IT-RXU-2500035")</f>
        <v>Branded_RXULTI_AE Ansia_IT-RXU-2500035</v>
      </c>
      <c r="M12226" s="10" t="str">
        <f>HYPERLINK("mailto:maria.gargiulo@crm.otsuka-europe.com", "maria.gargiulo@crm.otsuka-europe.com")</f>
        <v>maria.gargiulo@crm.otsuka-europe.com</v>
      </c>
      <c r="N12226" s="13">
        <v>46196.241446759261</v>
      </c>
      <c r="O12226" s="14" t="str">
        <f>HYPERLINK("https://otsuka-europe-crm.veevavault.com/ui/#object/email_activity__v/V8C000000040238", "EN-002099136")</f>
        <v>EN-002099136</v>
      </c>
    </row>
    <row r="12227" spans="1:15" ht="16" x14ac:dyDescent="0.2">
      <c r="A12227" s="17" t="str">
        <f>HYPERLINK("https://otsuka-europe-crm.veevavault.com/ui/#object/account__v/V4TZ025E85BG5V6", "GIUSEPPE CHIARIELLO")</f>
        <v>GIUSEPPE CHIARIELLO</v>
      </c>
      <c r="B12227" s="17" t="str">
        <f>HYPERLINK("https://otsuka-europe-crm.veevavault.com/ui/#object/vcountry__v/VENZ000004SONFQ", "IT")</f>
        <v>IT</v>
      </c>
      <c r="C12227" s="20" t="s">
        <v>44</v>
      </c>
      <c r="D12227" s="21" t="str">
        <f>HYPERLINK("https://otsuka-europe-crm.veevavault.com/ui/#object/approved_document__v/V5O00000001G004", "Branded_RXULTI_AE Ansia_IT-RXU-2500035")</f>
        <v>Branded_RXULTI_AE Ansia_IT-RXU-2500035</v>
      </c>
      <c r="E12227" s="22" t="str">
        <f>HYPERLINK("https://otsuka-europe-crm.veevavault.com/ui/#object/sent_email__v/VBL00000002W042", "SE-001437513")</f>
        <v>SE-001437513</v>
      </c>
      <c r="F12227" s="23">
        <v>46196.241782407407</v>
      </c>
      <c r="G12227" s="24">
        <v>1</v>
      </c>
      <c r="H12227" s="24">
        <v>1</v>
      </c>
      <c r="I12227" s="24">
        <v>0</v>
      </c>
      <c r="J12227" s="25"/>
      <c r="K12227" s="24">
        <v>0</v>
      </c>
      <c r="L12227" s="22" t="str">
        <f>HYPERLINK("https://otsuka-europe-crm.veevavault.com/ui/#object/approved_document__v/V5O00000001G004", "Branded_RXULTI_AE Ansia_IT-RXU-2500035")</f>
        <v>Branded_RXULTI_AE Ansia_IT-RXU-2500035</v>
      </c>
      <c r="M12227" s="22" t="str">
        <f>HYPERLINK("mailto:maria.gargiulo@crm.otsuka-europe.com", "maria.gargiulo@crm.otsuka-europe.com")</f>
        <v>maria.gargiulo@crm.otsuka-europe.com</v>
      </c>
      <c r="N12227" s="23">
        <v>46196.241666666669</v>
      </c>
      <c r="O12227" s="14" t="str">
        <f>HYPERLINK("https://otsuka-europe-crm.veevavault.com/ui/#object/email_activity__v/V8C000000040239", "EN-002099137")</f>
        <v>EN-002099137</v>
      </c>
    </row>
    <row r="12228" spans="1:15" ht="16" x14ac:dyDescent="0.2">
      <c r="A12228" s="19"/>
      <c r="B12228" s="19"/>
      <c r="C12228" s="19"/>
      <c r="D12228" s="19"/>
      <c r="E12228" s="19"/>
      <c r="F12228" s="19"/>
      <c r="G12228" s="19"/>
      <c r="H12228" s="19"/>
      <c r="I12228" s="19"/>
      <c r="J12228" s="19"/>
      <c r="K12228" s="19"/>
      <c r="L12228" s="19"/>
      <c r="M12228" s="19"/>
      <c r="N12228" s="19"/>
      <c r="O12228" s="14" t="str">
        <f>HYPERLINK("https://otsuka-europe-crm.veevavault.com/ui/#object/email_activity__v/V8C000000040240", "EN-002099138")</f>
        <v>EN-002099138</v>
      </c>
    </row>
    <row r="12229" spans="1:15" ht="16" x14ac:dyDescent="0.2">
      <c r="A12229" s="17" t="str">
        <f>HYPERLINK("https://otsuka-europe-crm.veevavault.com/ui/#object/account__v/V4TZ06G6O71SCCZ", "SARA CIMMAROSA")</f>
        <v>SARA CIMMAROSA</v>
      </c>
      <c r="B12229" s="17" t="str">
        <f>HYPERLINK("https://otsuka-europe-crm.veevavault.com/ui/#object/vcountry__v/VENZ000004SONFQ", "IT")</f>
        <v>IT</v>
      </c>
      <c r="C12229" s="20" t="s">
        <v>44</v>
      </c>
      <c r="D12229" s="21" t="str">
        <f>HYPERLINK("https://otsuka-europe-crm.veevavault.com/ui/#object/approved_document__v/V5O00000001G004", "Branded_RXULTI_AE Ansia_IT-RXU-2500035")</f>
        <v>Branded_RXULTI_AE Ansia_IT-RXU-2500035</v>
      </c>
      <c r="E12229" s="22" t="str">
        <f>HYPERLINK("https://otsuka-europe-crm.veevavault.com/ui/#object/sent_email__v/VBL00000002W043", "SE-001437514")</f>
        <v>SE-001437514</v>
      </c>
      <c r="F12229" s="25"/>
      <c r="G12229" s="24">
        <v>0</v>
      </c>
      <c r="H12229" s="24">
        <v>0</v>
      </c>
      <c r="I12229" s="24">
        <v>0</v>
      </c>
      <c r="J12229" s="25"/>
      <c r="K12229" s="24">
        <v>0</v>
      </c>
      <c r="L12229" s="22" t="str">
        <f>HYPERLINK("https://otsuka-europe-crm.veevavault.com/ui/#object/approved_document__v/V5O00000001G004", "Branded_RXULTI_AE Ansia_IT-RXU-2500035")</f>
        <v>Branded_RXULTI_AE Ansia_IT-RXU-2500035</v>
      </c>
      <c r="M12229" s="22" t="str">
        <f>HYPERLINK("mailto:maria.gargiulo@crm.otsuka-europe.com", "maria.gargiulo@crm.otsuka-europe.com")</f>
        <v>maria.gargiulo@crm.otsuka-europe.com</v>
      </c>
      <c r="N12229" s="23">
        <v>46196.241979166669</v>
      </c>
      <c r="O12229" s="14" t="str">
        <f>HYPERLINK("https://otsuka-europe-crm.veevavault.com/ui/#object/email_activity__v/V8C00000003Z278", "EN-002099150")</f>
        <v>EN-002099150</v>
      </c>
    </row>
    <row r="12230" spans="1:15" ht="16" x14ac:dyDescent="0.2">
      <c r="A12230" s="18"/>
      <c r="B12230" s="18"/>
      <c r="C12230" s="18"/>
      <c r="D12230" s="18"/>
      <c r="E12230" s="18"/>
      <c r="F12230" s="18"/>
      <c r="G12230" s="18"/>
      <c r="H12230" s="18"/>
      <c r="I12230" s="18"/>
      <c r="J12230" s="18"/>
      <c r="K12230" s="18"/>
      <c r="L12230" s="18"/>
      <c r="M12230" s="18"/>
      <c r="N12230" s="18"/>
      <c r="O12230" s="14" t="str">
        <f>HYPERLINK("https://otsuka-europe-crm.veevavault.com/ui/#object/email_activity__v/V8C000000040241", "EN-002099139")</f>
        <v>EN-002099139</v>
      </c>
    </row>
    <row r="12231" spans="1:15" ht="16" x14ac:dyDescent="0.2">
      <c r="A12231" s="19"/>
      <c r="B12231" s="19"/>
      <c r="C12231" s="19"/>
      <c r="D12231" s="19"/>
      <c r="E12231" s="19"/>
      <c r="F12231" s="19"/>
      <c r="G12231" s="19"/>
      <c r="H12231" s="19"/>
      <c r="I12231" s="19"/>
      <c r="J12231" s="19"/>
      <c r="K12231" s="19"/>
      <c r="L12231" s="19"/>
      <c r="M12231" s="19"/>
      <c r="N12231" s="19"/>
      <c r="O12231" s="14" t="str">
        <f>HYPERLINK("https://otsuka-europe-crm.veevavault.com/ui/#object/email_activity__v/V8C000000041300", "EN-002100272")</f>
        <v>EN-002100272</v>
      </c>
    </row>
    <row r="12232" spans="1:15" ht="32" x14ac:dyDescent="0.2">
      <c r="A12232" s="7" t="str">
        <f>HYPERLINK("https://otsuka-europe-crm.veevavault.com/ui/#object/account__v/V4TZ025E86I3M6G", "ALESSANDRA CIRINO")</f>
        <v>ALESSANDRA CIRINO</v>
      </c>
      <c r="B12232" s="7" t="str">
        <f>HYPERLINK("https://otsuka-europe-crm.veevavault.com/ui/#object/vcountry__v/VENZ000004SONFQ", "IT")</f>
        <v>IT</v>
      </c>
      <c r="C12232" s="8" t="s">
        <v>44</v>
      </c>
      <c r="D12232" s="9" t="str">
        <f>HYPERLINK("https://otsuka-europe-crm.veevavault.com/ui/#object/approved_document__v/V5O00000001G004", "Branded_RXULTI_AE Ansia_IT-RXU-2500035")</f>
        <v>Branded_RXULTI_AE Ansia_IT-RXU-2500035</v>
      </c>
      <c r="E12232" s="10" t="str">
        <f>HYPERLINK("https://otsuka-europe-crm.veevavault.com/ui/#object/sent_email__v/VBL00000002W044", "SE-001437515")</f>
        <v>SE-001437515</v>
      </c>
      <c r="F12232" s="11"/>
      <c r="G12232" s="12">
        <v>0</v>
      </c>
      <c r="H12232" s="12">
        <v>0</v>
      </c>
      <c r="I12232" s="12">
        <v>0</v>
      </c>
      <c r="J12232" s="11"/>
      <c r="K12232" s="12">
        <v>0</v>
      </c>
      <c r="L12232" s="10" t="str">
        <f>HYPERLINK("https://otsuka-europe-crm.veevavault.com/ui/#object/approved_document__v/V5O00000001G004", "Branded_RXULTI_AE Ansia_IT-RXU-2500035")</f>
        <v>Branded_RXULTI_AE Ansia_IT-RXU-2500035</v>
      </c>
      <c r="M12232" s="10" t="str">
        <f>HYPERLINK("mailto:maria.gargiulo@crm.otsuka-europe.com", "maria.gargiulo@crm.otsuka-europe.com")</f>
        <v>maria.gargiulo@crm.otsuka-europe.com</v>
      </c>
      <c r="N12232" s="13">
        <v>46196.242303240739</v>
      </c>
      <c r="O12232" s="14" t="str">
        <f>HYPERLINK("https://otsuka-europe-crm.veevavault.com/ui/#object/email_activity__v/V8C000000040242", "EN-002099140")</f>
        <v>EN-002099140</v>
      </c>
    </row>
    <row r="12233" spans="1:15" ht="16" x14ac:dyDescent="0.2">
      <c r="A12233" s="17" t="str">
        <f>HYPERLINK("https://otsuka-europe-crm.veevavault.com/ui/#object/account__v/V4TZ04ASGC7D9F5", "CHIARA COCCIA")</f>
        <v>CHIARA COCCIA</v>
      </c>
      <c r="B12233" s="17" t="str">
        <f>HYPERLINK("https://otsuka-europe-crm.veevavault.com/ui/#object/vcountry__v/VENZ000004SONFQ", "IT")</f>
        <v>IT</v>
      </c>
      <c r="C12233" s="20" t="s">
        <v>44</v>
      </c>
      <c r="D12233" s="21" t="str">
        <f>HYPERLINK("https://otsuka-europe-crm.veevavault.com/ui/#object/approved_document__v/V5O00000001G004", "Branded_RXULTI_AE Ansia_IT-RXU-2500035")</f>
        <v>Branded_RXULTI_AE Ansia_IT-RXU-2500035</v>
      </c>
      <c r="E12233" s="22" t="str">
        <f>HYPERLINK("https://otsuka-europe-crm.veevavault.com/ui/#object/sent_email__v/VBL00000002W045", "SE-001437516")</f>
        <v>SE-001437516</v>
      </c>
      <c r="F12233" s="23">
        <v>46196.242800925924</v>
      </c>
      <c r="G12233" s="24">
        <v>1</v>
      </c>
      <c r="H12233" s="24">
        <v>1</v>
      </c>
      <c r="I12233" s="24">
        <v>0</v>
      </c>
      <c r="J12233" s="25"/>
      <c r="K12233" s="24">
        <v>0</v>
      </c>
      <c r="L12233" s="22" t="str">
        <f>HYPERLINK("https://otsuka-europe-crm.veevavault.com/ui/#object/approved_document__v/V5O00000001G004", "Branded_RXULTI_AE Ansia_IT-RXU-2500035")</f>
        <v>Branded_RXULTI_AE Ansia_IT-RXU-2500035</v>
      </c>
      <c r="M12233" s="22" t="str">
        <f>HYPERLINK("mailto:maria.gargiulo@crm.otsuka-europe.com", "maria.gargiulo@crm.otsuka-europe.com")</f>
        <v>maria.gargiulo@crm.otsuka-europe.com</v>
      </c>
      <c r="N12233" s="23">
        <v>46196.242662037039</v>
      </c>
      <c r="O12233" s="14" t="str">
        <f>HYPERLINK("https://otsuka-europe-crm.veevavault.com/ui/#object/email_activity__v/V8C000000040243", "EN-002099141")</f>
        <v>EN-002099141</v>
      </c>
    </row>
    <row r="12234" spans="1:15" ht="16" x14ac:dyDescent="0.2">
      <c r="A12234" s="19"/>
      <c r="B12234" s="19"/>
      <c r="C12234" s="19"/>
      <c r="D12234" s="19"/>
      <c r="E12234" s="19"/>
      <c r="F12234" s="19"/>
      <c r="G12234" s="19"/>
      <c r="H12234" s="19"/>
      <c r="I12234" s="19"/>
      <c r="J12234" s="19"/>
      <c r="K12234" s="19"/>
      <c r="L12234" s="19"/>
      <c r="M12234" s="19"/>
      <c r="N12234" s="19"/>
      <c r="O12234" s="14" t="str">
        <f>HYPERLINK("https://otsuka-europe-crm.veevavault.com/ui/#object/email_activity__v/V8C000000040245", "EN-002099143")</f>
        <v>EN-002099143</v>
      </c>
    </row>
    <row r="12235" spans="1:15" ht="32" x14ac:dyDescent="0.2">
      <c r="A12235" s="7" t="str">
        <f>HYPERLINK("https://otsuka-europe-crm.veevavault.com/ui/#object/account__v/V4TZ025E86HJUOK", "ALESSANDRO COLELLA")</f>
        <v>ALESSANDRO COLELLA</v>
      </c>
      <c r="B12235" s="7" t="str">
        <f>HYPERLINK("https://otsuka-europe-crm.veevavault.com/ui/#object/vcountry__v/VENZ000004SONFQ", "IT")</f>
        <v>IT</v>
      </c>
      <c r="C12235" s="8" t="s">
        <v>44</v>
      </c>
      <c r="D12235" s="9" t="str">
        <f>HYPERLINK("https://otsuka-europe-crm.veevavault.com/ui/#object/approved_document__v/V5O00000001G004", "Branded_RXULTI_AE Ansia_IT-RXU-2500035")</f>
        <v>Branded_RXULTI_AE Ansia_IT-RXU-2500035</v>
      </c>
      <c r="E12235" s="10" t="str">
        <f>HYPERLINK("https://otsuka-europe-crm.veevavault.com/ui/#object/sent_email__v/VBL00000002X066", "SE-001437517")</f>
        <v>SE-001437517</v>
      </c>
      <c r="F12235" s="11"/>
      <c r="G12235" s="12">
        <v>0</v>
      </c>
      <c r="H12235" s="12">
        <v>0</v>
      </c>
      <c r="I12235" s="12">
        <v>0</v>
      </c>
      <c r="J12235" s="11"/>
      <c r="K12235" s="12">
        <v>0</v>
      </c>
      <c r="L12235" s="10" t="str">
        <f>HYPERLINK("https://otsuka-europe-crm.veevavault.com/ui/#object/approved_document__v/V5O00000001G004", "Branded_RXULTI_AE Ansia_IT-RXU-2500035")</f>
        <v>Branded_RXULTI_AE Ansia_IT-RXU-2500035</v>
      </c>
      <c r="M12235" s="10" t="str">
        <f>HYPERLINK("mailto:maria.gargiulo@crm.otsuka-europe.com", "maria.gargiulo@crm.otsuka-europe.com")</f>
        <v>maria.gargiulo@crm.otsuka-europe.com</v>
      </c>
      <c r="N12235" s="13">
        <v>46196.242777777778</v>
      </c>
      <c r="O12235" s="14" t="str">
        <f>HYPERLINK("https://otsuka-europe-crm.veevavault.com/ui/#object/email_activity__v/V8C000000040244", "EN-002099142")</f>
        <v>EN-002099142</v>
      </c>
    </row>
    <row r="12236" spans="1:15" ht="16" x14ac:dyDescent="0.2">
      <c r="A12236" s="17" t="str">
        <f>HYPERLINK("https://otsuka-europe-crm.veevavault.com/ui/#object/account__v/V4TZ00000634WQY", "Bernd Hahndorf")</f>
        <v>Bernd Hahndorf</v>
      </c>
      <c r="B12236" s="17" t="str">
        <f>HYPERLINK("https://otsuka-europe-crm.veevavault.com/ui/#object/vcountry__v/VENZ000004SONFP", "DE")</f>
        <v>DE</v>
      </c>
      <c r="C12236" s="20" t="s">
        <v>43</v>
      </c>
      <c r="D12236" s="21" t="str">
        <f>HYPERLINK("https://otsuka-europe-crm.veevavault.com/ui/#object/approved_document__v/V5O00000001H029", "VAE DE AM960 - Podcast-Interview Prof. Dr. Köhler_2026-05")</f>
        <v>VAE DE AM960 - Podcast-Interview Prof. Dr. Köhler_2026-05</v>
      </c>
      <c r="E12236" s="22" t="str">
        <f>HYPERLINK("https://otsuka-europe-crm.veevavault.com/ui/#object/sent_email__v/VBL00000002W046", "SE-001437518")</f>
        <v>SE-001437518</v>
      </c>
      <c r="F12236" s="23">
        <v>46196.407858796294</v>
      </c>
      <c r="G12236" s="24">
        <v>1</v>
      </c>
      <c r="H12236" s="24">
        <v>1</v>
      </c>
      <c r="I12236" s="24">
        <v>0</v>
      </c>
      <c r="J12236" s="25"/>
      <c r="K12236" s="24">
        <v>0</v>
      </c>
      <c r="L12236" s="22" t="str">
        <f>HYPERLINK("https://otsuka-europe-crm.veevavault.com/ui/#object/approved_document__v/V5O00000001H029", "VAE DE AM960 - Podcast-Interview Prof. Dr. Köhler_2026-05")</f>
        <v>VAE DE AM960 - Podcast-Interview Prof. Dr. Köhler_2026-05</v>
      </c>
      <c r="M12236" s="22" t="str">
        <f>HYPERLINK("mailto:emachholz@crm.otsuka-europe.com", "emachholz@crm.otsuka-europe.com")</f>
        <v>emachholz@crm.otsuka-europe.com</v>
      </c>
      <c r="N12236" s="23">
        <v>46196.336701388886</v>
      </c>
      <c r="O12236" s="14" t="str">
        <f>HYPERLINK("https://otsuka-europe-crm.veevavault.com/ui/#object/email_activity__v/V8C00000003Z280", "EN-002099152")</f>
        <v>EN-002099152</v>
      </c>
    </row>
    <row r="12237" spans="1:15" ht="16" x14ac:dyDescent="0.2">
      <c r="A12237" s="19"/>
      <c r="B12237" s="19"/>
      <c r="C12237" s="19"/>
      <c r="D12237" s="19"/>
      <c r="E12237" s="19"/>
      <c r="F12237" s="19"/>
      <c r="G12237" s="19"/>
      <c r="H12237" s="19"/>
      <c r="I12237" s="19"/>
      <c r="J12237" s="19"/>
      <c r="K12237" s="19"/>
      <c r="L12237" s="19"/>
      <c r="M12237" s="19"/>
      <c r="N12237" s="19"/>
      <c r="O12237" s="14" t="str">
        <f>HYPERLINK("https://otsuka-europe-crm.veevavault.com/ui/#object/email_activity__v/V8C000000040362", "EN-002099322")</f>
        <v>EN-002099322</v>
      </c>
    </row>
    <row r="12238" spans="1:15" ht="16" x14ac:dyDescent="0.2">
      <c r="A12238" s="17" t="str">
        <f>HYPERLINK("https://otsuka-europe-crm.veevavault.com/ui/#object/account__v/V4TZ00000634V01", "Mihai-Adrian Darie")</f>
        <v>Mihai-Adrian Darie</v>
      </c>
      <c r="B12238" s="17" t="str">
        <f>HYPERLINK("https://otsuka-europe-crm.veevavault.com/ui/#object/vcountry__v/VENZ000004SONFP", "DE")</f>
        <v>DE</v>
      </c>
      <c r="C12238" s="20" t="s">
        <v>43</v>
      </c>
      <c r="D12238" s="21" t="str">
        <f>HYPERLINK("https://otsuka-europe-crm.veevavault.com/ui/#object/approved_document__v/V5O00000001H029", "VAE DE AM960 - Podcast-Interview Prof. Dr. Köhler_2026-05")</f>
        <v>VAE DE AM960 - Podcast-Interview Prof. Dr. Köhler_2026-05</v>
      </c>
      <c r="E12238" s="22" t="str">
        <f>HYPERLINK("https://otsuka-europe-crm.veevavault.com/ui/#object/sent_email__v/VBL00000002W047", "SE-001437519")</f>
        <v>SE-001437519</v>
      </c>
      <c r="F12238" s="23">
        <v>46197.456655092596</v>
      </c>
      <c r="G12238" s="24">
        <v>1</v>
      </c>
      <c r="H12238" s="24">
        <v>1</v>
      </c>
      <c r="I12238" s="24">
        <v>0</v>
      </c>
      <c r="J12238" s="25"/>
      <c r="K12238" s="24">
        <v>0</v>
      </c>
      <c r="L12238" s="22" t="str">
        <f>HYPERLINK("https://otsuka-europe-crm.veevavault.com/ui/#object/approved_document__v/V5O00000001H029", "VAE DE AM960 - Podcast-Interview Prof. Dr. Köhler_2026-05")</f>
        <v>VAE DE AM960 - Podcast-Interview Prof. Dr. Köhler_2026-05</v>
      </c>
      <c r="M12238" s="22" t="str">
        <f>HYPERLINK("mailto:emachholz@crm.otsuka-europe.com", "emachholz@crm.otsuka-europe.com")</f>
        <v>emachholz@crm.otsuka-europe.com</v>
      </c>
      <c r="N12238" s="23">
        <v>46196.336701388886</v>
      </c>
      <c r="O12238" s="14" t="str">
        <f>HYPERLINK("https://otsuka-europe-crm.veevavault.com/ui/#object/email_activity__v/V8C00000003Z286", "EN-002099158")</f>
        <v>EN-002099158</v>
      </c>
    </row>
    <row r="12239" spans="1:15" ht="16" x14ac:dyDescent="0.2">
      <c r="A12239" s="19"/>
      <c r="B12239" s="19"/>
      <c r="C12239" s="19"/>
      <c r="D12239" s="19"/>
      <c r="E12239" s="19"/>
      <c r="F12239" s="19"/>
      <c r="G12239" s="19"/>
      <c r="H12239" s="19"/>
      <c r="I12239" s="19"/>
      <c r="J12239" s="19"/>
      <c r="K12239" s="19"/>
      <c r="L12239" s="19"/>
      <c r="M12239" s="19"/>
      <c r="N12239" s="19"/>
      <c r="O12239" s="14" t="str">
        <f>HYPERLINK("https://otsuka-europe-crm.veevavault.com/ui/#object/email_activity__v/V8C00000003Z428", "EN-002099537")</f>
        <v>EN-002099537</v>
      </c>
    </row>
    <row r="12240" spans="1:15" ht="48" x14ac:dyDescent="0.2">
      <c r="A12240" s="7" t="str">
        <f>HYPERLINK("https://otsuka-europe-crm.veevavault.com/ui/#object/account__v/V4TZ00000634ZCI", "Andreas Gewandt")</f>
        <v>Andreas Gewandt</v>
      </c>
      <c r="B12240" s="7" t="str">
        <f>HYPERLINK("https://otsuka-europe-crm.veevavault.com/ui/#object/vcountry__v/VENZ000004SONFP", "DE")</f>
        <v>DE</v>
      </c>
      <c r="C12240" s="8" t="s">
        <v>43</v>
      </c>
      <c r="D12240" s="9" t="str">
        <f>HYPERLINK("https://otsuka-europe-crm.veevavault.com/ui/#object/approved_document__v/V5O00000001H029", "VAE DE AM960 - Podcast-Interview Prof. Dr. Köhler_2026-05")</f>
        <v>VAE DE AM960 - Podcast-Interview Prof. Dr. Köhler_2026-05</v>
      </c>
      <c r="E12240" s="10" t="str">
        <f>HYPERLINK("https://otsuka-europe-crm.veevavault.com/ui/#object/sent_email__v/VBL00000002W048", "SE-001437520")</f>
        <v>SE-001437520</v>
      </c>
      <c r="F12240" s="11"/>
      <c r="G12240" s="12">
        <v>0</v>
      </c>
      <c r="H12240" s="12">
        <v>0</v>
      </c>
      <c r="I12240" s="12">
        <v>0</v>
      </c>
      <c r="J12240" s="11"/>
      <c r="K12240" s="12">
        <v>0</v>
      </c>
      <c r="L12240" s="10" t="str">
        <f>HYPERLINK("https://otsuka-europe-crm.veevavault.com/ui/#object/approved_document__v/V5O00000001H029", "VAE DE AM960 - Podcast-Interview Prof. Dr. Köhler_2026-05")</f>
        <v>VAE DE AM960 - Podcast-Interview Prof. Dr. Köhler_2026-05</v>
      </c>
      <c r="M12240" s="10" t="str">
        <f>HYPERLINK("mailto:emachholz@crm.otsuka-europe.com", "emachholz@crm.otsuka-europe.com")</f>
        <v>emachholz@crm.otsuka-europe.com</v>
      </c>
      <c r="N12240" s="13">
        <v>46196.336701388886</v>
      </c>
      <c r="O12240" s="14" t="str">
        <f>HYPERLINK("https://otsuka-europe-crm.veevavault.com/ui/#object/email_activity__v/V8C00000003Z285", "EN-002099157")</f>
        <v>EN-002099157</v>
      </c>
    </row>
    <row r="12241" spans="1:15" ht="48" x14ac:dyDescent="0.2">
      <c r="A12241" s="7" t="str">
        <f>HYPERLINK("https://otsuka-europe-crm.veevavault.com/ui/#object/account__v/V4TZ025E84FLYWJ", "Bernd Wauschkuhn")</f>
        <v>Bernd Wauschkuhn</v>
      </c>
      <c r="B12241" s="7" t="str">
        <f>HYPERLINK("https://otsuka-europe-crm.veevavault.com/ui/#object/vcountry__v/VENZ000004SONFP", "DE")</f>
        <v>DE</v>
      </c>
      <c r="C12241" s="8" t="s">
        <v>43</v>
      </c>
      <c r="D12241" s="9" t="str">
        <f>HYPERLINK("https://otsuka-europe-crm.veevavault.com/ui/#object/approved_document__v/V5O00000001H029", "VAE DE AM960 - Podcast-Interview Prof. Dr. Köhler_2026-05")</f>
        <v>VAE DE AM960 - Podcast-Interview Prof. Dr. Köhler_2026-05</v>
      </c>
      <c r="E12241" s="10" t="str">
        <f>HYPERLINK("https://otsuka-europe-crm.veevavault.com/ui/#object/sent_email__v/VBL00000002W049", "SE-001437521")</f>
        <v>SE-001437521</v>
      </c>
      <c r="F12241" s="11"/>
      <c r="G12241" s="12">
        <v>0</v>
      </c>
      <c r="H12241" s="12">
        <v>0</v>
      </c>
      <c r="I12241" s="12">
        <v>0</v>
      </c>
      <c r="J12241" s="11"/>
      <c r="K12241" s="12">
        <v>0</v>
      </c>
      <c r="L12241" s="10" t="str">
        <f>HYPERLINK("https://otsuka-europe-crm.veevavault.com/ui/#object/approved_document__v/V5O00000001H029", "VAE DE AM960 - Podcast-Interview Prof. Dr. Köhler_2026-05")</f>
        <v>VAE DE AM960 - Podcast-Interview Prof. Dr. Köhler_2026-05</v>
      </c>
      <c r="M12241" s="10" t="str">
        <f>HYPERLINK("mailto:emachholz@crm.otsuka-europe.com", "emachholz@crm.otsuka-europe.com")</f>
        <v>emachholz@crm.otsuka-europe.com</v>
      </c>
      <c r="N12241" s="13">
        <v>46196.336701388886</v>
      </c>
      <c r="O12241" s="14" t="str">
        <f>HYPERLINK("https://otsuka-europe-crm.veevavault.com/ui/#object/email_activity__v/V8C00000003Z281", "EN-002099153")</f>
        <v>EN-002099153</v>
      </c>
    </row>
    <row r="12242" spans="1:15" ht="16" x14ac:dyDescent="0.2">
      <c r="A12242" s="17" t="str">
        <f>HYPERLINK("https://otsuka-europe-crm.veevavault.com/ui/#object/account__v/V4TZ0000062T0DB", "Viktor Nedelchev")</f>
        <v>Viktor Nedelchev</v>
      </c>
      <c r="B12242" s="17" t="str">
        <f>HYPERLINK("https://otsuka-europe-crm.veevavault.com/ui/#object/vcountry__v/VENZ000004SONFP", "DE")</f>
        <v>DE</v>
      </c>
      <c r="C12242" s="20" t="s">
        <v>43</v>
      </c>
      <c r="D12242" s="21" t="str">
        <f>HYPERLINK("https://otsuka-europe-crm.veevavault.com/ui/#object/approved_document__v/V5O00000001H029", "VAE DE AM960 - Podcast-Interview Prof. Dr. Köhler_2026-05")</f>
        <v>VAE DE AM960 - Podcast-Interview Prof. Dr. Köhler_2026-05</v>
      </c>
      <c r="E12242" s="22" t="str">
        <f>HYPERLINK("https://otsuka-europe-crm.veevavault.com/ui/#object/sent_email__v/VBL00000002W050", "SE-001437522")</f>
        <v>SE-001437522</v>
      </c>
      <c r="F12242" s="23">
        <v>46197.919606481482</v>
      </c>
      <c r="G12242" s="24">
        <v>1</v>
      </c>
      <c r="H12242" s="24">
        <v>1</v>
      </c>
      <c r="I12242" s="24">
        <v>0</v>
      </c>
      <c r="J12242" s="25"/>
      <c r="K12242" s="24">
        <v>0</v>
      </c>
      <c r="L12242" s="22" t="str">
        <f>HYPERLINK("https://otsuka-europe-crm.veevavault.com/ui/#object/approved_document__v/V5O00000001H029", "VAE DE AM960 - Podcast-Interview Prof. Dr. Köhler_2026-05")</f>
        <v>VAE DE AM960 - Podcast-Interview Prof. Dr. Köhler_2026-05</v>
      </c>
      <c r="M12242" s="22" t="str">
        <f>HYPERLINK("mailto:emachholz@crm.otsuka-europe.com", "emachholz@crm.otsuka-europe.com")</f>
        <v>emachholz@crm.otsuka-europe.com</v>
      </c>
      <c r="N12242" s="23">
        <v>46196.336701388886</v>
      </c>
      <c r="O12242" s="14" t="str">
        <f>HYPERLINK("https://otsuka-europe-crm.veevavault.com/ui/#object/email_activity__v/V8C00000003Z282", "EN-002099154")</f>
        <v>EN-002099154</v>
      </c>
    </row>
    <row r="12243" spans="1:15" ht="16" x14ac:dyDescent="0.2">
      <c r="A12243" s="19"/>
      <c r="B12243" s="19"/>
      <c r="C12243" s="19"/>
      <c r="D12243" s="19"/>
      <c r="E12243" s="19"/>
      <c r="F12243" s="19"/>
      <c r="G12243" s="19"/>
      <c r="H12243" s="19"/>
      <c r="I12243" s="19"/>
      <c r="J12243" s="19"/>
      <c r="K12243" s="19"/>
      <c r="L12243" s="19"/>
      <c r="M12243" s="19"/>
      <c r="N12243" s="19"/>
      <c r="O12243" s="14" t="str">
        <f>HYPERLINK("https://otsuka-europe-crm.veevavault.com/ui/#object/email_activity__v/V8C000000040521", "EN-002099610")</f>
        <v>EN-002099610</v>
      </c>
    </row>
    <row r="12244" spans="1:15" ht="48" x14ac:dyDescent="0.2">
      <c r="A12244" s="7" t="str">
        <f>HYPERLINK("https://otsuka-europe-crm.veevavault.com/ui/#object/account__v/V4TZ0000062T6C6", "Christian Kieslinger")</f>
        <v>Christian Kieslinger</v>
      </c>
      <c r="B12244" s="7" t="str">
        <f>HYPERLINK("https://otsuka-europe-crm.veevavault.com/ui/#object/vcountry__v/VENZ000004SONFP", "DE")</f>
        <v>DE</v>
      </c>
      <c r="C12244" s="8" t="s">
        <v>43</v>
      </c>
      <c r="D12244" s="9" t="str">
        <f>HYPERLINK("https://otsuka-europe-crm.veevavault.com/ui/#object/approved_document__v/V5O00000001H029", "VAE DE AM960 - Podcast-Interview Prof. Dr. Köhler_2026-05")</f>
        <v>VAE DE AM960 - Podcast-Interview Prof. Dr. Köhler_2026-05</v>
      </c>
      <c r="E12244" s="10" t="str">
        <f>HYPERLINK("https://otsuka-europe-crm.veevavault.com/ui/#object/sent_email__v/VBL00000002W051", "SE-001437523")</f>
        <v>SE-001437523</v>
      </c>
      <c r="F12244" s="11"/>
      <c r="G12244" s="12">
        <v>0</v>
      </c>
      <c r="H12244" s="12">
        <v>0</v>
      </c>
      <c r="I12244" s="12">
        <v>0</v>
      </c>
      <c r="J12244" s="11"/>
      <c r="K12244" s="12">
        <v>0</v>
      </c>
      <c r="L12244" s="10" t="str">
        <f>HYPERLINK("https://otsuka-europe-crm.veevavault.com/ui/#object/approved_document__v/V5O00000001H029", "VAE DE AM960 - Podcast-Interview Prof. Dr. Köhler_2026-05")</f>
        <v>VAE DE AM960 - Podcast-Interview Prof. Dr. Köhler_2026-05</v>
      </c>
      <c r="M12244" s="10" t="str">
        <f>HYPERLINK("mailto:emachholz@crm.otsuka-europe.com", "emachholz@crm.otsuka-europe.com")</f>
        <v>emachholz@crm.otsuka-europe.com</v>
      </c>
      <c r="N12244" s="13">
        <v>46196.336701388886</v>
      </c>
      <c r="O12244" s="14" t="str">
        <f>HYPERLINK("https://otsuka-europe-crm.veevavault.com/ui/#object/email_activity__v/V8C00000003Z283", "EN-002099155")</f>
        <v>EN-002099155</v>
      </c>
    </row>
    <row r="12245" spans="1:15" ht="48" x14ac:dyDescent="0.2">
      <c r="A12245" s="7" t="str">
        <f>HYPERLINK("https://otsuka-europe-crm.veevavault.com/ui/#object/account__v/V4TZ025E87IYQEW", "Dennis Richardt")</f>
        <v>Dennis Richardt</v>
      </c>
      <c r="B12245" s="7" t="str">
        <f>HYPERLINK("https://otsuka-europe-crm.veevavault.com/ui/#object/vcountry__v/VENZ000004SONFP", "DE")</f>
        <v>DE</v>
      </c>
      <c r="C12245" s="8" t="s">
        <v>43</v>
      </c>
      <c r="D12245" s="9" t="str">
        <f>HYPERLINK("https://otsuka-europe-crm.veevavault.com/ui/#object/approved_document__v/V5O00000001H029", "VAE DE AM960 - Podcast-Interview Prof. Dr. Köhler_2026-05")</f>
        <v>VAE DE AM960 - Podcast-Interview Prof. Dr. Köhler_2026-05</v>
      </c>
      <c r="E12245" s="10" t="str">
        <f>HYPERLINK("https://otsuka-europe-crm.veevavault.com/ui/#object/sent_email__v/VBL00000002W052", "SE-001437524")</f>
        <v>SE-001437524</v>
      </c>
      <c r="F12245" s="11"/>
      <c r="G12245" s="12">
        <v>0</v>
      </c>
      <c r="H12245" s="12">
        <v>0</v>
      </c>
      <c r="I12245" s="12">
        <v>0</v>
      </c>
      <c r="J12245" s="11"/>
      <c r="K12245" s="12">
        <v>0</v>
      </c>
      <c r="L12245" s="10" t="str">
        <f>HYPERLINK("https://otsuka-europe-crm.veevavault.com/ui/#object/approved_document__v/V5O00000001H029", "VAE DE AM960 - Podcast-Interview Prof. Dr. Köhler_2026-05")</f>
        <v>VAE DE AM960 - Podcast-Interview Prof. Dr. Köhler_2026-05</v>
      </c>
      <c r="M12245" s="10" t="str">
        <f>HYPERLINK("mailto:emachholz@crm.otsuka-europe.com", "emachholz@crm.otsuka-europe.com")</f>
        <v>emachholz@crm.otsuka-europe.com</v>
      </c>
      <c r="N12245" s="13">
        <v>46196.336701388886</v>
      </c>
      <c r="O12245" s="14" t="str">
        <f>HYPERLINK("https://otsuka-europe-crm.veevavault.com/ui/#object/email_activity__v/V8C00000003Z279", "EN-002099151")</f>
        <v>EN-002099151</v>
      </c>
    </row>
    <row r="12246" spans="1:15" ht="48" x14ac:dyDescent="0.2">
      <c r="A12246" s="7" t="str">
        <f>HYPERLINK("https://otsuka-europe-crm.veevavault.com/ui/#object/account__v/V4TZ0000062SZZL", "Dovydas Kekys")</f>
        <v>Dovydas Kekys</v>
      </c>
      <c r="B12246" s="7" t="str">
        <f>HYPERLINK("https://otsuka-europe-crm.veevavault.com/ui/#object/vcountry__v/VENZ000004SONFP", "DE")</f>
        <v>DE</v>
      </c>
      <c r="C12246" s="8" t="s">
        <v>43</v>
      </c>
      <c r="D12246" s="9" t="str">
        <f>HYPERLINK("https://otsuka-europe-crm.veevavault.com/ui/#object/approved_document__v/V5O00000001H029", "VAE DE AM960 - Podcast-Interview Prof. Dr. Köhler_2026-05")</f>
        <v>VAE DE AM960 - Podcast-Interview Prof. Dr. Köhler_2026-05</v>
      </c>
      <c r="E12246" s="10" t="str">
        <f>HYPERLINK("https://otsuka-europe-crm.veevavault.com/ui/#object/sent_email__v/VBL00000002W053", "SE-001437525")</f>
        <v>SE-001437525</v>
      </c>
      <c r="F12246" s="11"/>
      <c r="G12246" s="12">
        <v>0</v>
      </c>
      <c r="H12246" s="12">
        <v>0</v>
      </c>
      <c r="I12246" s="12">
        <v>0</v>
      </c>
      <c r="J12246" s="11"/>
      <c r="K12246" s="12">
        <v>0</v>
      </c>
      <c r="L12246" s="10" t="str">
        <f>HYPERLINK("https://otsuka-europe-crm.veevavault.com/ui/#object/approved_document__v/V5O00000001H029", "VAE DE AM960 - Podcast-Interview Prof. Dr. Köhler_2026-05")</f>
        <v>VAE DE AM960 - Podcast-Interview Prof. Dr. Köhler_2026-05</v>
      </c>
      <c r="M12246" s="10" t="str">
        <f>HYPERLINK("mailto:emachholz@crm.otsuka-europe.com", "emachholz@crm.otsuka-europe.com")</f>
        <v>emachholz@crm.otsuka-europe.com</v>
      </c>
      <c r="N12246" s="13">
        <v>46196.336701388886</v>
      </c>
      <c r="O12246" s="14" t="str">
        <f>HYPERLINK("https://otsuka-europe-crm.veevavault.com/ui/#object/email_activity__v/V8C00000003Z284", "EN-002099156")</f>
        <v>EN-002099156</v>
      </c>
    </row>
    <row r="12247" spans="1:15" ht="48" x14ac:dyDescent="0.2">
      <c r="A12247" s="7" t="str">
        <f>HYPERLINK("https://otsuka-europe-crm.veevavault.com/ui/#object/account__v/V4TZ0000062T8RL", "Bernhard Otto")</f>
        <v>Bernhard Otto</v>
      </c>
      <c r="B12247" s="7" t="str">
        <f>HYPERLINK("https://otsuka-europe-crm.veevavault.com/ui/#object/vcountry__v/VENZ000004SONFP", "DE")</f>
        <v>DE</v>
      </c>
      <c r="C12247" s="8" t="s">
        <v>43</v>
      </c>
      <c r="D12247" s="9" t="str">
        <f>HYPERLINK("https://otsuka-europe-crm.veevavault.com/ui/#object/approved_document__v/V5O00000001H029", "VAE DE AM960 - Podcast-Interview Prof. Dr. Köhler_2026-05")</f>
        <v>VAE DE AM960 - Podcast-Interview Prof. Dr. Köhler_2026-05</v>
      </c>
      <c r="E12247" s="10" t="str">
        <f>HYPERLINK("https://otsuka-europe-crm.veevavault.com/ui/#object/sent_email__v/VBL00000002W054", "SE-001437526")</f>
        <v>SE-001437526</v>
      </c>
      <c r="F12247" s="11"/>
      <c r="G12247" s="12">
        <v>0</v>
      </c>
      <c r="H12247" s="12">
        <v>0</v>
      </c>
      <c r="I12247" s="12">
        <v>0</v>
      </c>
      <c r="J12247" s="11"/>
      <c r="K12247" s="12">
        <v>0</v>
      </c>
      <c r="L12247" s="10" t="str">
        <f>HYPERLINK("https://otsuka-europe-crm.veevavault.com/ui/#object/approved_document__v/V5O00000001H029", "VAE DE AM960 - Podcast-Interview Prof. Dr. Köhler_2026-05")</f>
        <v>VAE DE AM960 - Podcast-Interview Prof. Dr. Köhler_2026-05</v>
      </c>
      <c r="M12247" s="10" t="str">
        <f>HYPERLINK("mailto:emachholz@crm.otsuka-europe.com", "emachholz@crm.otsuka-europe.com")</f>
        <v>emachholz@crm.otsuka-europe.com</v>
      </c>
      <c r="N12247" s="13">
        <v>46196.336701388886</v>
      </c>
      <c r="O12247" s="14" t="str">
        <f>HYPERLINK("https://otsuka-europe-crm.veevavault.com/ui/#object/email_activity__v/V8C00000003Z287", "EN-002099159")</f>
        <v>EN-002099159</v>
      </c>
    </row>
    <row r="12248" spans="1:15" ht="16" x14ac:dyDescent="0.2">
      <c r="A12248" s="17" t="str">
        <f>HYPERLINK("https://otsuka-europe-crm.veevavault.com/ui/#object/account__v/V4T000000026026", "CRISTOBAL JOHAN MARTINEZ AARLI")</f>
        <v>CRISTOBAL JOHAN MARTINEZ AARLI</v>
      </c>
      <c r="B12248" s="17" t="str">
        <f>HYPERLINK("https://otsuka-europe-crm.veevavault.com/ui/#object/vcountry__v/VENZ000004SONF5", "ES")</f>
        <v>ES</v>
      </c>
      <c r="C12248" s="20" t="s">
        <v>41</v>
      </c>
      <c r="D12248" s="21" t="str">
        <f>HYPERLINK("https://otsuka-europe-crm.veevavault.com/ui/#object/approved_document__v/V5OZ04ASG4FWKA7", "Reuniones Online Consent - 2")</f>
        <v>Reuniones Online Consent - 2</v>
      </c>
      <c r="E12248" s="22" t="str">
        <f>HYPERLINK("https://otsuka-europe-crm.veevavault.com/ui/#object/sent_email__v/VBL00000002W055", "SE-001437527")</f>
        <v>SE-001437527</v>
      </c>
      <c r="F12248" s="23">
        <v>46198.815775462965</v>
      </c>
      <c r="G12248" s="24">
        <v>1</v>
      </c>
      <c r="H12248" s="24">
        <v>3</v>
      </c>
      <c r="I12248" s="24">
        <v>1</v>
      </c>
      <c r="J12248" s="23">
        <v>46198.814768518518</v>
      </c>
      <c r="K12248" s="24">
        <v>1</v>
      </c>
      <c r="L12248" s="22" t="str">
        <f>HYPERLINK("https://otsuka-europe-crm.veevavault.com/ui/#object/approved_document__v/V5OZ04ASG4FWKA7", "Reuniones Online Consent - 2")</f>
        <v>Reuniones Online Consent - 2</v>
      </c>
      <c r="M12248" s="22" t="str">
        <f>HYPERLINK("mailto:mgravan@crm.otsuka-europe.com", "mgravan@crm.otsuka-europe.com")</f>
        <v>mgravan@crm.otsuka-europe.com</v>
      </c>
      <c r="N12248" s="23">
        <v>46196.366655092592</v>
      </c>
      <c r="O12248" s="14" t="str">
        <f>HYPERLINK("https://otsuka-europe-crm.veevavault.com/ui/#object/email_activity__v/V8C00000003Z291", "EN-002099167")</f>
        <v>EN-002099167</v>
      </c>
    </row>
    <row r="12249" spans="1:15" ht="16" x14ac:dyDescent="0.2">
      <c r="A12249" s="18"/>
      <c r="B12249" s="18"/>
      <c r="C12249" s="18"/>
      <c r="D12249" s="18"/>
      <c r="E12249" s="18"/>
      <c r="F12249" s="18"/>
      <c r="G12249" s="18"/>
      <c r="H12249" s="18"/>
      <c r="I12249" s="18"/>
      <c r="J12249" s="18"/>
      <c r="K12249" s="18"/>
      <c r="L12249" s="18"/>
      <c r="M12249" s="18"/>
      <c r="N12249" s="18"/>
      <c r="O12249" s="14" t="str">
        <f>HYPERLINK("https://otsuka-europe-crm.veevavault.com/ui/#object/email_activity__v/V8C000000040248", "EN-002099162")</f>
        <v>EN-002099162</v>
      </c>
    </row>
    <row r="12250" spans="1:15" ht="16" x14ac:dyDescent="0.2">
      <c r="A12250" s="18"/>
      <c r="B12250" s="18"/>
      <c r="C12250" s="18"/>
      <c r="D12250" s="18"/>
      <c r="E12250" s="18"/>
      <c r="F12250" s="18"/>
      <c r="G12250" s="18"/>
      <c r="H12250" s="18"/>
      <c r="I12250" s="18"/>
      <c r="J12250" s="18"/>
      <c r="K12250" s="18"/>
      <c r="L12250" s="18"/>
      <c r="M12250" s="18"/>
      <c r="N12250" s="18"/>
      <c r="O12250" s="14" t="str">
        <f>HYPERLINK("https://otsuka-europe-crm.veevavault.com/ui/#object/email_activity__v/V8C000000041006", "EN-002099699")</f>
        <v>EN-002099699</v>
      </c>
    </row>
    <row r="12251" spans="1:15" ht="16" x14ac:dyDescent="0.2">
      <c r="A12251" s="18"/>
      <c r="B12251" s="18"/>
      <c r="C12251" s="18"/>
      <c r="D12251" s="18"/>
      <c r="E12251" s="18"/>
      <c r="F12251" s="18"/>
      <c r="G12251" s="18"/>
      <c r="H12251" s="18"/>
      <c r="I12251" s="18"/>
      <c r="J12251" s="18"/>
      <c r="K12251" s="18"/>
      <c r="L12251" s="18"/>
      <c r="M12251" s="18"/>
      <c r="N12251" s="18"/>
      <c r="O12251" s="14" t="str">
        <f>HYPERLINK("https://otsuka-europe-crm.veevavault.com/ui/#object/email_activity__v/V8C000000041009", "EN-002099702")</f>
        <v>EN-002099702</v>
      </c>
    </row>
    <row r="12252" spans="1:15" ht="16" x14ac:dyDescent="0.2">
      <c r="A12252" s="19"/>
      <c r="B12252" s="19"/>
      <c r="C12252" s="19"/>
      <c r="D12252" s="19"/>
      <c r="E12252" s="19"/>
      <c r="F12252" s="19"/>
      <c r="G12252" s="19"/>
      <c r="H12252" s="19"/>
      <c r="I12252" s="19"/>
      <c r="J12252" s="19"/>
      <c r="K12252" s="19"/>
      <c r="L12252" s="19"/>
      <c r="M12252" s="19"/>
      <c r="N12252" s="19"/>
      <c r="O12252" s="14" t="str">
        <f>HYPERLINK("https://otsuka-europe-crm.veevavault.com/ui/#object/email_activity__v/V8C000000042002", "EN-002099698")</f>
        <v>EN-002099698</v>
      </c>
    </row>
    <row r="12253" spans="1:15" ht="16" x14ac:dyDescent="0.2">
      <c r="A12253" s="17" t="str">
        <f>HYPERLINK("https://otsuka-europe-crm.veevavault.com/ui/#object/account__v/V4T000000026026", "CRISTOBAL JOHAN MARTINEZ AARLI")</f>
        <v>CRISTOBAL JOHAN MARTINEZ AARLI</v>
      </c>
      <c r="B12253" s="17" t="str">
        <f>HYPERLINK("https://otsuka-europe-crm.veevavault.com/ui/#object/vcountry__v/VENZ000004SONF5", "ES")</f>
        <v>ES</v>
      </c>
      <c r="C12253" s="20" t="s">
        <v>41</v>
      </c>
      <c r="D12253" s="21" t="str">
        <f>HYPERLINK("https://otsuka-europe-crm.veevavault.com/ui/#object/approved_document__v/V5OZ04ASG4FWKA9", "Documento Autorizaciขn Centro Empleador")</f>
        <v>Documento Autorizaciขn Centro Empleador</v>
      </c>
      <c r="E12253" s="22" t="str">
        <f>HYPERLINK("https://otsuka-europe-crm.veevavault.com/ui/#object/sent_email__v/VBL00000002W056", "SE-001437528")</f>
        <v>SE-001437528</v>
      </c>
      <c r="F12253" s="23">
        <v>46198.815428240741</v>
      </c>
      <c r="G12253" s="24">
        <v>1</v>
      </c>
      <c r="H12253" s="24">
        <v>1</v>
      </c>
      <c r="I12253" s="24">
        <v>1</v>
      </c>
      <c r="J12253" s="23">
        <v>46198.815428240741</v>
      </c>
      <c r="K12253" s="24">
        <v>1</v>
      </c>
      <c r="L12253" s="22" t="str">
        <f>HYPERLINK("https://otsuka-europe-crm.veevavault.com/ui/#object/approved_document__v/V5OZ04ASG4FWKA9", "Documento Autorizaciขn Centro Empleador")</f>
        <v>Documento Autorizaciขn Centro Empleador</v>
      </c>
      <c r="M12253" s="22" t="str">
        <f>HYPERLINK("mailto:mgravan@crm.otsuka-europe.com", "mgravan@crm.otsuka-europe.com")</f>
        <v>mgravan@crm.otsuka-europe.com</v>
      </c>
      <c r="N12253" s="23">
        <v>46196.366655092592</v>
      </c>
      <c r="O12253" s="14" t="str">
        <f>HYPERLINK("https://otsuka-europe-crm.veevavault.com/ui/#object/email_activity__v/V8C000000040249", "EN-002099163")</f>
        <v>EN-002099163</v>
      </c>
    </row>
    <row r="12254" spans="1:15" ht="16" x14ac:dyDescent="0.2">
      <c r="A12254" s="18"/>
      <c r="B12254" s="18"/>
      <c r="C12254" s="18"/>
      <c r="D12254" s="18"/>
      <c r="E12254" s="18"/>
      <c r="F12254" s="18"/>
      <c r="G12254" s="18"/>
      <c r="H12254" s="18"/>
      <c r="I12254" s="18"/>
      <c r="J12254" s="18"/>
      <c r="K12254" s="18"/>
      <c r="L12254" s="18"/>
      <c r="M12254" s="18"/>
      <c r="N12254" s="18"/>
      <c r="O12254" s="14" t="str">
        <f>HYPERLINK("https://otsuka-europe-crm.veevavault.com/ui/#object/email_activity__v/V8C000000041007", "EN-002099701")</f>
        <v>EN-002099701</v>
      </c>
    </row>
    <row r="12255" spans="1:15" ht="16" x14ac:dyDescent="0.2">
      <c r="A12255" s="19"/>
      <c r="B12255" s="19"/>
      <c r="C12255" s="19"/>
      <c r="D12255" s="19"/>
      <c r="E12255" s="19"/>
      <c r="F12255" s="19"/>
      <c r="G12255" s="19"/>
      <c r="H12255" s="19"/>
      <c r="I12255" s="19"/>
      <c r="J12255" s="19"/>
      <c r="K12255" s="19"/>
      <c r="L12255" s="19"/>
      <c r="M12255" s="19"/>
      <c r="N12255" s="19"/>
      <c r="O12255" s="14" t="str">
        <f>HYPERLINK("https://otsuka-europe-crm.veevavault.com/ui/#object/email_activity__v/V8C000000041008", "EN-002099700")</f>
        <v>EN-002099700</v>
      </c>
    </row>
    <row r="12256" spans="1:15" ht="16" x14ac:dyDescent="0.2">
      <c r="A12256" s="17" t="str">
        <f>HYPERLINK("https://otsuka-europe-crm.veevavault.com/ui/#object/account__v/V4T000000026026", "CRISTOBAL JOHAN MARTINEZ AARLI")</f>
        <v>CRISTOBAL JOHAN MARTINEZ AARLI</v>
      </c>
      <c r="B12256" s="17" t="str">
        <f>HYPERLINK("https://otsuka-europe-crm.veevavault.com/ui/#object/vcountry__v/VENZ000004SONF5", "ES")</f>
        <v>ES</v>
      </c>
      <c r="C12256" s="20" t="s">
        <v>41</v>
      </c>
      <c r="D12256" s="21" t="str">
        <f>HYPERLINK("https://otsuka-europe-crm.veevavault.com/ui/#object/approved_document__v/V5O00000000D100", "Spain - Consent Email 1 Aug 25")</f>
        <v>Spain - Consent Email 1 Aug 25</v>
      </c>
      <c r="E12256" s="22" t="str">
        <f>HYPERLINK("https://otsuka-europe-crm.veevavault.com/ui/#object/sent_email__v/VBL00000002W057", "SE-001437529")</f>
        <v>SE-001437529</v>
      </c>
      <c r="F12256" s="23">
        <v>46198.813402777778</v>
      </c>
      <c r="G12256" s="24">
        <v>1</v>
      </c>
      <c r="H12256" s="24">
        <v>3</v>
      </c>
      <c r="I12256" s="24">
        <v>1</v>
      </c>
      <c r="J12256" s="23">
        <v>46198.813750000001</v>
      </c>
      <c r="K12256" s="24">
        <v>1</v>
      </c>
      <c r="L12256" s="22" t="str">
        <f>HYPERLINK("https://otsuka-europe-crm.veevavault.com/ui/#object/approved_document__v/V5O00000000D100", "Spain - Consent Email 1 Aug 25")</f>
        <v>Spain - Consent Email 1 Aug 25</v>
      </c>
      <c r="M12256" s="22" t="str">
        <f>HYPERLINK("mailto:mgravan@crm.otsuka-europe.com", "mgravan@crm.otsuka-europe.com")</f>
        <v>mgravan@crm.otsuka-europe.com</v>
      </c>
      <c r="N12256" s="23">
        <v>46196.366655092592</v>
      </c>
      <c r="O12256" s="14" t="str">
        <f>HYPERLINK("https://otsuka-europe-crm.veevavault.com/ui/#object/email_activity__v/V8C00000003Z289", "EN-002099165")</f>
        <v>EN-002099165</v>
      </c>
    </row>
    <row r="12257" spans="1:15" ht="16" x14ac:dyDescent="0.2">
      <c r="A12257" s="18"/>
      <c r="B12257" s="18"/>
      <c r="C12257" s="18"/>
      <c r="D12257" s="18"/>
      <c r="E12257" s="18"/>
      <c r="F12257" s="18"/>
      <c r="G12257" s="18"/>
      <c r="H12257" s="18"/>
      <c r="I12257" s="18"/>
      <c r="J12257" s="18"/>
      <c r="K12257" s="18"/>
      <c r="L12257" s="18"/>
      <c r="M12257" s="18"/>
      <c r="N12257" s="18"/>
      <c r="O12257" s="14" t="str">
        <f>HYPERLINK("https://otsuka-europe-crm.veevavault.com/ui/#object/email_activity__v/V8C00000003Z290", "EN-002099166")</f>
        <v>EN-002099166</v>
      </c>
    </row>
    <row r="12258" spans="1:15" ht="16" x14ac:dyDescent="0.2">
      <c r="A12258" s="18"/>
      <c r="B12258" s="18"/>
      <c r="C12258" s="18"/>
      <c r="D12258" s="18"/>
      <c r="E12258" s="18"/>
      <c r="F12258" s="18"/>
      <c r="G12258" s="18"/>
      <c r="H12258" s="18"/>
      <c r="I12258" s="18"/>
      <c r="J12258" s="18"/>
      <c r="K12258" s="18"/>
      <c r="L12258" s="18"/>
      <c r="M12258" s="18"/>
      <c r="N12258" s="18"/>
      <c r="O12258" s="14" t="str">
        <f>HYPERLINK("https://otsuka-europe-crm.veevavault.com/ui/#object/email_activity__v/V8C000000040407", "EN-002099402")</f>
        <v>EN-002099402</v>
      </c>
    </row>
    <row r="12259" spans="1:15" ht="16" x14ac:dyDescent="0.2">
      <c r="A12259" s="18"/>
      <c r="B12259" s="18"/>
      <c r="C12259" s="18"/>
      <c r="D12259" s="18"/>
      <c r="E12259" s="18"/>
      <c r="F12259" s="18"/>
      <c r="G12259" s="18"/>
      <c r="H12259" s="18"/>
      <c r="I12259" s="18"/>
      <c r="J12259" s="18"/>
      <c r="K12259" s="18"/>
      <c r="L12259" s="18"/>
      <c r="M12259" s="18"/>
      <c r="N12259" s="18"/>
      <c r="O12259" s="14" t="str">
        <f>HYPERLINK("https://otsuka-europe-crm.veevavault.com/ui/#object/email_activity__v/V8C000000041004", "EN-002099696")</f>
        <v>EN-002099696</v>
      </c>
    </row>
    <row r="12260" spans="1:15" ht="16" x14ac:dyDescent="0.2">
      <c r="A12260" s="19"/>
      <c r="B12260" s="19"/>
      <c r="C12260" s="19"/>
      <c r="D12260" s="19"/>
      <c r="E12260" s="19"/>
      <c r="F12260" s="19"/>
      <c r="G12260" s="19"/>
      <c r="H12260" s="19"/>
      <c r="I12260" s="19"/>
      <c r="J12260" s="19"/>
      <c r="K12260" s="19"/>
      <c r="L12260" s="19"/>
      <c r="M12260" s="19"/>
      <c r="N12260" s="19"/>
      <c r="O12260" s="14" t="str">
        <f>HYPERLINK("https://otsuka-europe-crm.veevavault.com/ui/#object/email_activity__v/V8C000000041005", "EN-002099697")</f>
        <v>EN-002099697</v>
      </c>
    </row>
    <row r="12261" spans="1:15" ht="16" x14ac:dyDescent="0.2">
      <c r="A12261" s="17" t="str">
        <f>HYPERLINK("https://otsuka-europe-crm.veevavault.com/ui/#object/account__v/V4T000000026026", "CRISTOBAL JOHAN MARTINEZ AARLI")</f>
        <v>CRISTOBAL JOHAN MARTINEZ AARLI</v>
      </c>
      <c r="B12261" s="17" t="str">
        <f>HYPERLINK("https://otsuka-europe-crm.veevavault.com/ui/#object/vcountry__v/VENZ000004SONF5", "ES")</f>
        <v>ES</v>
      </c>
      <c r="C12261" s="20" t="s">
        <v>41</v>
      </c>
      <c r="D12261" s="21" t="str">
        <f>HYPERLINK("https://otsuka-europe-crm.veevavault.com/ui/#object/approved_document__v/V5OZ06G6O6RFL1P", "ES Veeva Privacy Notice Email")</f>
        <v>ES Veeva Privacy Notice Email</v>
      </c>
      <c r="E12261" s="22" t="str">
        <f>HYPERLINK("https://otsuka-europe-crm.veevavault.com/ui/#object/sent_email__v/VBL00000002W058", "SE-001437530")</f>
        <v>SE-001437530</v>
      </c>
      <c r="F12261" s="23">
        <v>46197.564976851849</v>
      </c>
      <c r="G12261" s="24">
        <v>1</v>
      </c>
      <c r="H12261" s="24">
        <v>1</v>
      </c>
      <c r="I12261" s="24">
        <v>0</v>
      </c>
      <c r="J12261" s="25"/>
      <c r="K12261" s="24">
        <v>0</v>
      </c>
      <c r="L12261" s="22" t="str">
        <f>HYPERLINK("https://otsuka-europe-crm.veevavault.com/ui/#object/approved_document__v/V5OZ06G6O6RFL1P", "ES Veeva Privacy Notice Email")</f>
        <v>ES Veeva Privacy Notice Email</v>
      </c>
      <c r="M12261" s="22" t="str">
        <f>HYPERLINK("mailto:mgravan@crm.otsuka-europe.com", "mgravan@crm.otsuka-europe.com")</f>
        <v>mgravan@crm.otsuka-europe.com</v>
      </c>
      <c r="N12261" s="23">
        <v>46196.366678240738</v>
      </c>
      <c r="O12261" s="14" t="str">
        <f>HYPERLINK("https://otsuka-europe-crm.veevavault.com/ui/#object/email_activity__v/V8C000000040250", "EN-002099164")</f>
        <v>EN-002099164</v>
      </c>
    </row>
    <row r="12262" spans="1:15" ht="16" x14ac:dyDescent="0.2">
      <c r="A12262" s="19"/>
      <c r="B12262" s="19"/>
      <c r="C12262" s="19"/>
      <c r="D12262" s="19"/>
      <c r="E12262" s="19"/>
      <c r="F12262" s="19"/>
      <c r="G12262" s="19"/>
      <c r="H12262" s="19"/>
      <c r="I12262" s="19"/>
      <c r="J12262" s="19"/>
      <c r="K12262" s="19"/>
      <c r="L12262" s="19"/>
      <c r="M12262" s="19"/>
      <c r="N12262" s="19"/>
      <c r="O12262" s="14" t="str">
        <f>HYPERLINK("https://otsuka-europe-crm.veevavault.com/ui/#object/email_activity__v/V8C000000040496", "EN-002099564")</f>
        <v>EN-002099564</v>
      </c>
    </row>
    <row r="12263" spans="1:15" ht="48" x14ac:dyDescent="0.2">
      <c r="A12263" s="7" t="str">
        <f>HYPERLINK("https://otsuka-europe-crm.veevavault.com/ui/#object/account__v/V4TZ06G6O71S9VT", "MARIA ABATE")</f>
        <v>MARIA ABATE</v>
      </c>
      <c r="B12263" s="7" t="str">
        <f>HYPERLINK("https://otsuka-europe-crm.veevavault.com/ui/#object/vcountry__v/VENZ000004SONFQ", "IT")</f>
        <v>IT</v>
      </c>
      <c r="C12263" s="8" t="s">
        <v>44</v>
      </c>
      <c r="D12263" s="9" t="str">
        <f>HYPERLINK("https://otsuka-europe-crm.veevavault.com/ui/#object/approved_document__v/V5O00000001H009", "RXULTI_Branded_ DE FILIPPIS aggiornamento_ IT-RXU-2600020")</f>
        <v>RXULTI_Branded_ DE FILIPPIS aggiornamento_ IT-RXU-2600020</v>
      </c>
      <c r="E12263" s="10" t="str">
        <f>HYPERLINK("https://otsuka-europe-crm.veevavault.com/ui/#object/sent_email__v/VBL00000002X067", "SE-001437531")</f>
        <v>SE-001437531</v>
      </c>
      <c r="F12263" s="11"/>
      <c r="G12263" s="12">
        <v>0</v>
      </c>
      <c r="H12263" s="12">
        <v>0</v>
      </c>
      <c r="I12263" s="12">
        <v>0</v>
      </c>
      <c r="J12263" s="11"/>
      <c r="K12263" s="12">
        <v>0</v>
      </c>
      <c r="L12263" s="10" t="str">
        <f>HYPERLINK("https://otsuka-europe-crm.veevavault.com/ui/#object/approved_document__v/V5O00000001H009", "RXULTI_Branded_ DE FILIPPIS aggiornamento_ IT-RXU-2600020")</f>
        <v>RXULTI_Branded_ DE FILIPPIS aggiornamento_ IT-RXU-2600020</v>
      </c>
      <c r="M12263" s="10" t="str">
        <f>HYPERLINK("mailto:nicola.fiorese@crm.otsuka-europe.com", "nicola.fiorese@crm.otsuka-europe.com")</f>
        <v>nicola.fiorese@crm.otsuka-europe.com</v>
      </c>
      <c r="N12263" s="13">
        <v>46196.382453703707</v>
      </c>
      <c r="O12263" s="14" t="str">
        <f>HYPERLINK("https://otsuka-europe-crm.veevavault.com/ui/#object/email_activity__v/V8C00000003Z317", "EN-002099261")</f>
        <v>EN-002099261</v>
      </c>
    </row>
    <row r="12264" spans="1:15" ht="16" x14ac:dyDescent="0.2">
      <c r="A12264" s="17" t="str">
        <f>HYPERLINK("https://otsuka-europe-crm.veevavault.com/ui/#object/account__v/V4TZ025E83YL7HN", "ALESSIO AJELLO")</f>
        <v>ALESSIO AJELLO</v>
      </c>
      <c r="B12264" s="17" t="str">
        <f>HYPERLINK("https://otsuka-europe-crm.veevavault.com/ui/#object/vcountry__v/VENZ000004SONFQ", "IT")</f>
        <v>IT</v>
      </c>
      <c r="C12264" s="20" t="s">
        <v>44</v>
      </c>
      <c r="D12264" s="21" t="str">
        <f>HYPERLINK("https://otsuka-europe-crm.veevavault.com/ui/#object/approved_document__v/V5O00000001H009", "RXULTI_Branded_ DE FILIPPIS aggiornamento_ IT-RXU-2600020")</f>
        <v>RXULTI_Branded_ DE FILIPPIS aggiornamento_ IT-RXU-2600020</v>
      </c>
      <c r="E12264" s="22" t="str">
        <f>HYPERLINK("https://otsuka-europe-crm.veevavault.com/ui/#object/sent_email__v/VBL00000002X068", "SE-001437532")</f>
        <v>SE-001437532</v>
      </c>
      <c r="F12264" s="23">
        <v>46196.900567129633</v>
      </c>
      <c r="G12264" s="24">
        <v>1</v>
      </c>
      <c r="H12264" s="24">
        <v>10</v>
      </c>
      <c r="I12264" s="24">
        <v>0</v>
      </c>
      <c r="J12264" s="25"/>
      <c r="K12264" s="24">
        <v>0</v>
      </c>
      <c r="L12264" s="22" t="str">
        <f>HYPERLINK("https://otsuka-europe-crm.veevavault.com/ui/#object/approved_document__v/V5O00000001H009", "RXULTI_Branded_ DE FILIPPIS aggiornamento_ IT-RXU-2600020")</f>
        <v>RXULTI_Branded_ DE FILIPPIS aggiornamento_ IT-RXU-2600020</v>
      </c>
      <c r="M12264" s="22" t="str">
        <f>HYPERLINK("mailto:nicola.fiorese@crm.otsuka-europe.com", "nicola.fiorese@crm.otsuka-europe.com")</f>
        <v>nicola.fiorese@crm.otsuka-europe.com</v>
      </c>
      <c r="N12264" s="23">
        <v>46196.382696759261</v>
      </c>
      <c r="O12264" s="14" t="str">
        <f>HYPERLINK("https://otsuka-europe-crm.veevavault.com/ui/#object/email_activity__v/V8C00000003Z318", "EN-002099262")</f>
        <v>EN-002099262</v>
      </c>
    </row>
    <row r="12265" spans="1:15" ht="16" x14ac:dyDescent="0.2">
      <c r="A12265" s="18"/>
      <c r="B12265" s="18"/>
      <c r="C12265" s="18"/>
      <c r="D12265" s="18"/>
      <c r="E12265" s="18"/>
      <c r="F12265" s="18"/>
      <c r="G12265" s="18"/>
      <c r="H12265" s="18"/>
      <c r="I12265" s="18"/>
      <c r="J12265" s="18"/>
      <c r="K12265" s="18"/>
      <c r="L12265" s="18"/>
      <c r="M12265" s="18"/>
      <c r="N12265" s="18"/>
      <c r="O12265" s="14" t="str">
        <f>HYPERLINK("https://otsuka-europe-crm.veevavault.com/ui/#object/email_activity__v/V8C00000003Z319", "EN-002099263")</f>
        <v>EN-002099263</v>
      </c>
    </row>
    <row r="12266" spans="1:15" ht="16" x14ac:dyDescent="0.2">
      <c r="A12266" s="18"/>
      <c r="B12266" s="18"/>
      <c r="C12266" s="18"/>
      <c r="D12266" s="18"/>
      <c r="E12266" s="18"/>
      <c r="F12266" s="18"/>
      <c r="G12266" s="18"/>
      <c r="H12266" s="18"/>
      <c r="I12266" s="18"/>
      <c r="J12266" s="18"/>
      <c r="K12266" s="18"/>
      <c r="L12266" s="18"/>
      <c r="M12266" s="18"/>
      <c r="N12266" s="18"/>
      <c r="O12266" s="14" t="str">
        <f>HYPERLINK("https://otsuka-europe-crm.veevavault.com/ui/#object/email_activity__v/V8C00000003Z406", "EN-002099482")</f>
        <v>EN-002099482</v>
      </c>
    </row>
    <row r="12267" spans="1:15" ht="16" x14ac:dyDescent="0.2">
      <c r="A12267" s="18"/>
      <c r="B12267" s="18"/>
      <c r="C12267" s="18"/>
      <c r="D12267" s="18"/>
      <c r="E12267" s="18"/>
      <c r="F12267" s="18"/>
      <c r="G12267" s="18"/>
      <c r="H12267" s="18"/>
      <c r="I12267" s="18"/>
      <c r="J12267" s="18"/>
      <c r="K12267" s="18"/>
      <c r="L12267" s="18"/>
      <c r="M12267" s="18"/>
      <c r="N12267" s="18"/>
      <c r="O12267" s="14" t="str">
        <f>HYPERLINK("https://otsuka-europe-crm.veevavault.com/ui/#object/email_activity__v/V8C000000040334", "EN-002099280")</f>
        <v>EN-002099280</v>
      </c>
    </row>
    <row r="12268" spans="1:15" ht="16" x14ac:dyDescent="0.2">
      <c r="A12268" s="18"/>
      <c r="B12268" s="18"/>
      <c r="C12268" s="18"/>
      <c r="D12268" s="18"/>
      <c r="E12268" s="18"/>
      <c r="F12268" s="18"/>
      <c r="G12268" s="18"/>
      <c r="H12268" s="18"/>
      <c r="I12268" s="18"/>
      <c r="J12268" s="18"/>
      <c r="K12268" s="18"/>
      <c r="L12268" s="18"/>
      <c r="M12268" s="18"/>
      <c r="N12268" s="18"/>
      <c r="O12268" s="14" t="str">
        <f>HYPERLINK("https://otsuka-europe-crm.veevavault.com/ui/#object/email_activity__v/V8C000000040335", "EN-002099281")</f>
        <v>EN-002099281</v>
      </c>
    </row>
    <row r="12269" spans="1:15" ht="16" x14ac:dyDescent="0.2">
      <c r="A12269" s="18"/>
      <c r="B12269" s="18"/>
      <c r="C12269" s="18"/>
      <c r="D12269" s="18"/>
      <c r="E12269" s="18"/>
      <c r="F12269" s="18"/>
      <c r="G12269" s="18"/>
      <c r="H12269" s="18"/>
      <c r="I12269" s="18"/>
      <c r="J12269" s="18"/>
      <c r="K12269" s="18"/>
      <c r="L12269" s="18"/>
      <c r="M12269" s="18"/>
      <c r="N12269" s="18"/>
      <c r="O12269" s="14" t="str">
        <f>HYPERLINK("https://otsuka-europe-crm.veevavault.com/ui/#object/email_activity__v/V8C000000040355", "EN-002099314")</f>
        <v>EN-002099314</v>
      </c>
    </row>
    <row r="12270" spans="1:15" ht="16" x14ac:dyDescent="0.2">
      <c r="A12270" s="18"/>
      <c r="B12270" s="18"/>
      <c r="C12270" s="18"/>
      <c r="D12270" s="18"/>
      <c r="E12270" s="18"/>
      <c r="F12270" s="18"/>
      <c r="G12270" s="18"/>
      <c r="H12270" s="18"/>
      <c r="I12270" s="18"/>
      <c r="J12270" s="18"/>
      <c r="K12270" s="18"/>
      <c r="L12270" s="18"/>
      <c r="M12270" s="18"/>
      <c r="N12270" s="18"/>
      <c r="O12270" s="14" t="str">
        <f>HYPERLINK("https://otsuka-europe-crm.veevavault.com/ui/#object/email_activity__v/V8C000000040378", "EN-002099345")</f>
        <v>EN-002099345</v>
      </c>
    </row>
    <row r="12271" spans="1:15" ht="16" x14ac:dyDescent="0.2">
      <c r="A12271" s="18"/>
      <c r="B12271" s="18"/>
      <c r="C12271" s="18"/>
      <c r="D12271" s="18"/>
      <c r="E12271" s="18"/>
      <c r="F12271" s="18"/>
      <c r="G12271" s="18"/>
      <c r="H12271" s="18"/>
      <c r="I12271" s="18"/>
      <c r="J12271" s="18"/>
      <c r="K12271" s="18"/>
      <c r="L12271" s="18"/>
      <c r="M12271" s="18"/>
      <c r="N12271" s="18"/>
      <c r="O12271" s="14" t="str">
        <f>HYPERLINK("https://otsuka-europe-crm.veevavault.com/ui/#object/email_activity__v/V8C000000040405", "EN-002099397")</f>
        <v>EN-002099397</v>
      </c>
    </row>
    <row r="12272" spans="1:15" ht="16" x14ac:dyDescent="0.2">
      <c r="A12272" s="18"/>
      <c r="B12272" s="18"/>
      <c r="C12272" s="18"/>
      <c r="D12272" s="18"/>
      <c r="E12272" s="18"/>
      <c r="F12272" s="18"/>
      <c r="G12272" s="18"/>
      <c r="H12272" s="18"/>
      <c r="I12272" s="18"/>
      <c r="J12272" s="18"/>
      <c r="K12272" s="18"/>
      <c r="L12272" s="18"/>
      <c r="M12272" s="18"/>
      <c r="N12272" s="18"/>
      <c r="O12272" s="14" t="str">
        <f>HYPERLINK("https://otsuka-europe-crm.veevavault.com/ui/#object/email_activity__v/V8C000000040413", "EN-002099408")</f>
        <v>EN-002099408</v>
      </c>
    </row>
    <row r="12273" spans="1:15" ht="16" x14ac:dyDescent="0.2">
      <c r="A12273" s="18"/>
      <c r="B12273" s="18"/>
      <c r="C12273" s="18"/>
      <c r="D12273" s="18"/>
      <c r="E12273" s="18"/>
      <c r="F12273" s="18"/>
      <c r="G12273" s="18"/>
      <c r="H12273" s="18"/>
      <c r="I12273" s="18"/>
      <c r="J12273" s="18"/>
      <c r="K12273" s="18"/>
      <c r="L12273" s="18"/>
      <c r="M12273" s="18"/>
      <c r="N12273" s="18"/>
      <c r="O12273" s="14" t="str">
        <f>HYPERLINK("https://otsuka-europe-crm.veevavault.com/ui/#object/email_activity__v/V8C000000040441", "EN-002099462")</f>
        <v>EN-002099462</v>
      </c>
    </row>
    <row r="12274" spans="1:15" ht="16" x14ac:dyDescent="0.2">
      <c r="A12274" s="19"/>
      <c r="B12274" s="19"/>
      <c r="C12274" s="19"/>
      <c r="D12274" s="19"/>
      <c r="E12274" s="19"/>
      <c r="F12274" s="19"/>
      <c r="G12274" s="19"/>
      <c r="H12274" s="19"/>
      <c r="I12274" s="19"/>
      <c r="J12274" s="19"/>
      <c r="K12274" s="19"/>
      <c r="L12274" s="19"/>
      <c r="M12274" s="19"/>
      <c r="N12274" s="19"/>
      <c r="O12274" s="14" t="str">
        <f>HYPERLINK("https://otsuka-europe-crm.veevavault.com/ui/#object/email_activity__v/V8C000000040448", "EN-002099476")</f>
        <v>EN-002099476</v>
      </c>
    </row>
    <row r="12275" spans="1:15" ht="48" x14ac:dyDescent="0.2">
      <c r="A12275" s="7" t="str">
        <f>HYPERLINK("https://otsuka-europe-crm.veevavault.com/ui/#object/account__v/V4TZ06G6O71SACV", "GIULIA ALDROVANDI")</f>
        <v>GIULIA ALDROVANDI</v>
      </c>
      <c r="B12275" s="7" t="str">
        <f>HYPERLINK("https://otsuka-europe-crm.veevavault.com/ui/#object/vcountry__v/VENZ000004SONFQ", "IT")</f>
        <v>IT</v>
      </c>
      <c r="C12275" s="8" t="s">
        <v>44</v>
      </c>
      <c r="D12275" s="9" t="str">
        <f>HYPERLINK("https://otsuka-europe-crm.veevavault.com/ui/#object/approved_document__v/V5O00000001H009", "RXULTI_Branded_ DE FILIPPIS aggiornamento_ IT-RXU-2600020")</f>
        <v>RXULTI_Branded_ DE FILIPPIS aggiornamento_ IT-RXU-2600020</v>
      </c>
      <c r="E12275" s="10" t="str">
        <f>HYPERLINK("https://otsuka-europe-crm.veevavault.com/ui/#object/sent_email__v/VBL00000002X069", "SE-001437533")</f>
        <v>SE-001437533</v>
      </c>
      <c r="F12275" s="11"/>
      <c r="G12275" s="12">
        <v>0</v>
      </c>
      <c r="H12275" s="12">
        <v>0</v>
      </c>
      <c r="I12275" s="12">
        <v>0</v>
      </c>
      <c r="J12275" s="11"/>
      <c r="K12275" s="12">
        <v>0</v>
      </c>
      <c r="L12275" s="10" t="str">
        <f>HYPERLINK("https://otsuka-europe-crm.veevavault.com/ui/#object/approved_document__v/V5O00000001H009", "RXULTI_Branded_ DE FILIPPIS aggiornamento_ IT-RXU-2600020")</f>
        <v>RXULTI_Branded_ DE FILIPPIS aggiornamento_ IT-RXU-2600020</v>
      </c>
      <c r="M12275" s="10" t="str">
        <f>HYPERLINK("mailto:nicola.fiorese@crm.otsuka-europe.com", "nicola.fiorese@crm.otsuka-europe.com")</f>
        <v>nicola.fiorese@crm.otsuka-europe.com</v>
      </c>
      <c r="N12275" s="13">
        <v>46196.383159722223</v>
      </c>
      <c r="O12275" s="14" t="str">
        <f>HYPERLINK("https://otsuka-europe-crm.veevavault.com/ui/#object/email_activity__v/V8C000000040319", "EN-002099264")</f>
        <v>EN-002099264</v>
      </c>
    </row>
    <row r="12276" spans="1:15" ht="16" x14ac:dyDescent="0.2">
      <c r="A12276" s="17" t="str">
        <f>HYPERLINK("https://otsuka-europe-crm.veevavault.com/ui/#object/account__v/V4TZ025E88SOZX5", "LUCA ALTIERI")</f>
        <v>LUCA ALTIERI</v>
      </c>
      <c r="B12276" s="17" t="str">
        <f>HYPERLINK("https://otsuka-europe-crm.veevavault.com/ui/#object/vcountry__v/VENZ000004SONFQ", "IT")</f>
        <v>IT</v>
      </c>
      <c r="C12276" s="20" t="s">
        <v>44</v>
      </c>
      <c r="D12276" s="21" t="str">
        <f>HYPERLINK("https://otsuka-europe-crm.veevavault.com/ui/#object/approved_document__v/V5O00000001H009", "RXULTI_Branded_ DE FILIPPIS aggiornamento_ IT-RXU-2600020")</f>
        <v>RXULTI_Branded_ DE FILIPPIS aggiornamento_ IT-RXU-2600020</v>
      </c>
      <c r="E12276" s="22" t="str">
        <f>HYPERLINK("https://otsuka-europe-crm.veevavault.com/ui/#object/sent_email__v/VBL00000002X070", "SE-001437534")</f>
        <v>SE-001437534</v>
      </c>
      <c r="F12276" s="23">
        <v>46202.301863425928</v>
      </c>
      <c r="G12276" s="24">
        <v>1</v>
      </c>
      <c r="H12276" s="24">
        <v>1</v>
      </c>
      <c r="I12276" s="24">
        <v>0</v>
      </c>
      <c r="J12276" s="25"/>
      <c r="K12276" s="24">
        <v>0</v>
      </c>
      <c r="L12276" s="22" t="str">
        <f>HYPERLINK("https://otsuka-europe-crm.veevavault.com/ui/#object/approved_document__v/V5O00000001H009", "RXULTI_Branded_ DE FILIPPIS aggiornamento_ IT-RXU-2600020")</f>
        <v>RXULTI_Branded_ DE FILIPPIS aggiornamento_ IT-RXU-2600020</v>
      </c>
      <c r="M12276" s="22" t="str">
        <f>HYPERLINK("mailto:nicola.fiorese@crm.otsuka-europe.com", "nicola.fiorese@crm.otsuka-europe.com")</f>
        <v>nicola.fiorese@crm.otsuka-europe.com</v>
      </c>
      <c r="N12276" s="23">
        <v>46196.383391203701</v>
      </c>
      <c r="O12276" s="14" t="str">
        <f>HYPERLINK("https://otsuka-europe-crm.veevavault.com/ui/#object/email_activity__v/V8C00000003Z320", "EN-002099265")</f>
        <v>EN-002099265</v>
      </c>
    </row>
    <row r="12277" spans="1:15" ht="16" x14ac:dyDescent="0.2">
      <c r="A12277" s="19"/>
      <c r="B12277" s="19"/>
      <c r="C12277" s="19"/>
      <c r="D12277" s="19"/>
      <c r="E12277" s="19"/>
      <c r="F12277" s="19"/>
      <c r="G12277" s="19"/>
      <c r="H12277" s="19"/>
      <c r="I12277" s="19"/>
      <c r="J12277" s="19"/>
      <c r="K12277" s="19"/>
      <c r="L12277" s="19"/>
      <c r="M12277" s="19"/>
      <c r="N12277" s="19"/>
      <c r="O12277" s="14" t="str">
        <f>HYPERLINK("https://otsuka-europe-crm.veevavault.com/ui/#object/email_activity__v/V8C000000042287", "EN-002100280")</f>
        <v>EN-002100280</v>
      </c>
    </row>
    <row r="12278" spans="1:15" ht="16" x14ac:dyDescent="0.2">
      <c r="A12278" s="17" t="str">
        <f>HYPERLINK("https://otsuka-europe-crm.veevavault.com/ui/#object/account__v/V4TZ025E83019GW", "TOBIA ANTONINO")</f>
        <v>TOBIA ANTONINO</v>
      </c>
      <c r="B12278" s="17" t="str">
        <f>HYPERLINK("https://otsuka-europe-crm.veevavault.com/ui/#object/vcountry__v/VENZ000004SONFQ", "IT")</f>
        <v>IT</v>
      </c>
      <c r="C12278" s="20" t="s">
        <v>44</v>
      </c>
      <c r="D12278" s="21" t="str">
        <f>HYPERLINK("https://otsuka-europe-crm.veevavault.com/ui/#object/approved_document__v/V5O00000001H009", "RXULTI_Branded_ DE FILIPPIS aggiornamento_ IT-RXU-2600020")</f>
        <v>RXULTI_Branded_ DE FILIPPIS aggiornamento_ IT-RXU-2600020</v>
      </c>
      <c r="E12278" s="22" t="str">
        <f>HYPERLINK("https://otsuka-europe-crm.veevavault.com/ui/#object/sent_email__v/VBL00000002X071", "SE-001437535")</f>
        <v>SE-001437535</v>
      </c>
      <c r="F12278" s="23">
        <v>46196.433032407411</v>
      </c>
      <c r="G12278" s="24">
        <v>1</v>
      </c>
      <c r="H12278" s="24">
        <v>1</v>
      </c>
      <c r="I12278" s="24">
        <v>0</v>
      </c>
      <c r="J12278" s="25"/>
      <c r="K12278" s="24">
        <v>0</v>
      </c>
      <c r="L12278" s="22" t="str">
        <f>HYPERLINK("https://otsuka-europe-crm.veevavault.com/ui/#object/approved_document__v/V5O00000001H009", "RXULTI_Branded_ DE FILIPPIS aggiornamento_ IT-RXU-2600020")</f>
        <v>RXULTI_Branded_ DE FILIPPIS aggiornamento_ IT-RXU-2600020</v>
      </c>
      <c r="M12278" s="22" t="str">
        <f>HYPERLINK("mailto:nicola.fiorese@crm.otsuka-europe.com", "nicola.fiorese@crm.otsuka-europe.com")</f>
        <v>nicola.fiorese@crm.otsuka-europe.com</v>
      </c>
      <c r="N12278" s="23">
        <v>46196.385243055556</v>
      </c>
      <c r="O12278" s="14" t="str">
        <f>HYPERLINK("https://otsuka-europe-crm.veevavault.com/ui/#object/email_activity__v/V8C000000040320", "EN-002099266")</f>
        <v>EN-002099266</v>
      </c>
    </row>
    <row r="12279" spans="1:15" ht="16" x14ac:dyDescent="0.2">
      <c r="A12279" s="19"/>
      <c r="B12279" s="19"/>
      <c r="C12279" s="19"/>
      <c r="D12279" s="19"/>
      <c r="E12279" s="19"/>
      <c r="F12279" s="19"/>
      <c r="G12279" s="19"/>
      <c r="H12279" s="19"/>
      <c r="I12279" s="19"/>
      <c r="J12279" s="19"/>
      <c r="K12279" s="19"/>
      <c r="L12279" s="19"/>
      <c r="M12279" s="19"/>
      <c r="N12279" s="19"/>
      <c r="O12279" s="14" t="str">
        <f>HYPERLINK("https://otsuka-europe-crm.veevavault.com/ui/#object/email_activity__v/V8C000000040369", "EN-002099331")</f>
        <v>EN-002099331</v>
      </c>
    </row>
    <row r="12280" spans="1:15" ht="16" x14ac:dyDescent="0.2">
      <c r="A12280" s="17" t="str">
        <f>HYPERLINK("https://otsuka-europe-crm.veevavault.com/ui/#object/account__v/V4TZ025E86D97ED", "GIULIA ANTONUCCIO")</f>
        <v>GIULIA ANTONUCCIO</v>
      </c>
      <c r="B12280" s="17" t="str">
        <f>HYPERLINK("https://otsuka-europe-crm.veevavault.com/ui/#object/vcountry__v/VENZ000004SONFQ", "IT")</f>
        <v>IT</v>
      </c>
      <c r="C12280" s="20" t="s">
        <v>44</v>
      </c>
      <c r="D12280" s="21" t="str">
        <f>HYPERLINK("https://otsuka-europe-crm.veevavault.com/ui/#object/approved_document__v/V5O00000001H009", "RXULTI_Branded_ DE FILIPPIS aggiornamento_ IT-RXU-2600020")</f>
        <v>RXULTI_Branded_ DE FILIPPIS aggiornamento_ IT-RXU-2600020</v>
      </c>
      <c r="E12280" s="22" t="str">
        <f>HYPERLINK("https://otsuka-europe-crm.veevavault.com/ui/#object/sent_email__v/VBL00000002X072", "SE-001437536")</f>
        <v>SE-001437536</v>
      </c>
      <c r="F12280" s="23">
        <v>46196.475648148145</v>
      </c>
      <c r="G12280" s="24">
        <v>1</v>
      </c>
      <c r="H12280" s="24">
        <v>3</v>
      </c>
      <c r="I12280" s="24">
        <v>0</v>
      </c>
      <c r="J12280" s="25"/>
      <c r="K12280" s="24">
        <v>0</v>
      </c>
      <c r="L12280" s="22" t="str">
        <f>HYPERLINK("https://otsuka-europe-crm.veevavault.com/ui/#object/approved_document__v/V5O00000001H009", "RXULTI_Branded_ DE FILIPPIS aggiornamento_ IT-RXU-2600020")</f>
        <v>RXULTI_Branded_ DE FILIPPIS aggiornamento_ IT-RXU-2600020</v>
      </c>
      <c r="M12280" s="22" t="str">
        <f>HYPERLINK("mailto:nicola.fiorese@crm.otsuka-europe.com", "nicola.fiorese@crm.otsuka-europe.com")</f>
        <v>nicola.fiorese@crm.otsuka-europe.com</v>
      </c>
      <c r="N12280" s="23">
        <v>46196.385578703703</v>
      </c>
      <c r="O12280" s="14" t="str">
        <f>HYPERLINK("https://otsuka-europe-crm.veevavault.com/ui/#object/email_activity__v/V8C00000003Z338", "EN-002099335")</f>
        <v>EN-002099335</v>
      </c>
    </row>
    <row r="12281" spans="1:15" ht="16" x14ac:dyDescent="0.2">
      <c r="A12281" s="18"/>
      <c r="B12281" s="18"/>
      <c r="C12281" s="18"/>
      <c r="D12281" s="18"/>
      <c r="E12281" s="18"/>
      <c r="F12281" s="18"/>
      <c r="G12281" s="18"/>
      <c r="H12281" s="18"/>
      <c r="I12281" s="18"/>
      <c r="J12281" s="18"/>
      <c r="K12281" s="18"/>
      <c r="L12281" s="18"/>
      <c r="M12281" s="18"/>
      <c r="N12281" s="18"/>
      <c r="O12281" s="14" t="str">
        <f>HYPERLINK("https://otsuka-europe-crm.veevavault.com/ui/#object/email_activity__v/V8C00000003Z345", "EN-002099353")</f>
        <v>EN-002099353</v>
      </c>
    </row>
    <row r="12282" spans="1:15" ht="16" x14ac:dyDescent="0.2">
      <c r="A12282" s="18"/>
      <c r="B12282" s="18"/>
      <c r="C12282" s="18"/>
      <c r="D12282" s="18"/>
      <c r="E12282" s="18"/>
      <c r="F12282" s="18"/>
      <c r="G12282" s="18"/>
      <c r="H12282" s="18"/>
      <c r="I12282" s="18"/>
      <c r="J12282" s="18"/>
      <c r="K12282" s="18"/>
      <c r="L12282" s="18"/>
      <c r="M12282" s="18"/>
      <c r="N12282" s="18"/>
      <c r="O12282" s="14" t="str">
        <f>HYPERLINK("https://otsuka-europe-crm.veevavault.com/ui/#object/email_activity__v/V8C000000040321", "EN-002099267")</f>
        <v>EN-002099267</v>
      </c>
    </row>
    <row r="12283" spans="1:15" ht="16" x14ac:dyDescent="0.2">
      <c r="A12283" s="19"/>
      <c r="B12283" s="19"/>
      <c r="C12283" s="19"/>
      <c r="D12283" s="19"/>
      <c r="E12283" s="19"/>
      <c r="F12283" s="19"/>
      <c r="G12283" s="19"/>
      <c r="H12283" s="19"/>
      <c r="I12283" s="19"/>
      <c r="J12283" s="19"/>
      <c r="K12283" s="19"/>
      <c r="L12283" s="19"/>
      <c r="M12283" s="19"/>
      <c r="N12283" s="19"/>
      <c r="O12283" s="14" t="str">
        <f>HYPERLINK("https://otsuka-europe-crm.veevavault.com/ui/#object/email_activity__v/V8C000000040330", "EN-002099276")</f>
        <v>EN-002099276</v>
      </c>
    </row>
    <row r="12284" spans="1:15" ht="32" x14ac:dyDescent="0.2">
      <c r="A12284" s="7" t="str">
        <f>HYPERLINK("https://otsuka-europe-crm.veevavault.com/ui/#object/account__v/V4T000000026025", "David Hutchings")</f>
        <v>David Hutchings</v>
      </c>
      <c r="B12284" s="7" t="str">
        <f>HYPERLINK("https://otsuka-europe-crm.veevavault.com/ui/#object/vcountry__v/VENZ000004SONFK", "GB")</f>
        <v>GB</v>
      </c>
      <c r="C12284" s="8" t="s">
        <v>39</v>
      </c>
      <c r="D12284" s="9" t="str">
        <f>HYPERLINK("https://otsuka-europe-crm.veevavault.com/ui/#object/approved_document__v/V5OZ025E82PXJSL", "Otsuka Privacy Notice - UK (v2)")</f>
        <v>Otsuka Privacy Notice - UK (v2)</v>
      </c>
      <c r="E12284" s="10" t="str">
        <f>HYPERLINK("https://otsuka-europe-crm.veevavault.com/ui/#object/sent_email__v/VBL00000002X073", "SE-001437537")</f>
        <v>SE-001437537</v>
      </c>
      <c r="F12284" s="11"/>
      <c r="G12284" s="12">
        <v>0</v>
      </c>
      <c r="H12284" s="12">
        <v>0</v>
      </c>
      <c r="I12284" s="12">
        <v>0</v>
      </c>
      <c r="J12284" s="11"/>
      <c r="K12284" s="12">
        <v>0</v>
      </c>
      <c r="L12284" s="10" t="str">
        <f>HYPERLINK("https://otsuka-europe-crm.veevavault.com/ui/#object/approved_document__v/V5OZ025E82PXJSL", "Otsuka Privacy Notice - UK (v2)")</f>
        <v>Otsuka Privacy Notice - UK (v2)</v>
      </c>
      <c r="M12284" s="10" t="str">
        <f>HYPERLINK("mailto:PStyler@crm.otsuka-europe.com", "PStyler@crm.otsuka-europe.com")</f>
        <v>PStyler@crm.otsuka-europe.com</v>
      </c>
      <c r="N12284" s="13">
        <v>46196.385740740741</v>
      </c>
      <c r="O12284" s="14" t="str">
        <f>HYPERLINK("https://otsuka-europe-crm.veevavault.com/ui/#object/email_activity__v/V8C000000040322", "EN-002099268")</f>
        <v>EN-002099268</v>
      </c>
    </row>
    <row r="12285" spans="1:15" ht="48" x14ac:dyDescent="0.2">
      <c r="A12285" s="7" t="str">
        <f>HYPERLINK("https://otsuka-europe-crm.veevavault.com/ui/#object/account__v/V4TZ06G6O71S9MS", "SILVIA ASTORI")</f>
        <v>SILVIA ASTORI</v>
      </c>
      <c r="B12285" s="7" t="str">
        <f>HYPERLINK("https://otsuka-europe-crm.veevavault.com/ui/#object/vcountry__v/VENZ000004SONFQ", "IT")</f>
        <v>IT</v>
      </c>
      <c r="C12285" s="8" t="s">
        <v>44</v>
      </c>
      <c r="D12285" s="9" t="str">
        <f>HYPERLINK("https://otsuka-europe-crm.veevavault.com/ui/#object/approved_document__v/V5O00000001H009", "RXULTI_Branded_ DE FILIPPIS aggiornamento_ IT-RXU-2600020")</f>
        <v>RXULTI_Branded_ DE FILIPPIS aggiornamento_ IT-RXU-2600020</v>
      </c>
      <c r="E12285" s="10" t="str">
        <f>HYPERLINK("https://otsuka-europe-crm.veevavault.com/ui/#object/sent_email__v/VBL00000002X074", "SE-001437538")</f>
        <v>SE-001437538</v>
      </c>
      <c r="F12285" s="11"/>
      <c r="G12285" s="12">
        <v>0</v>
      </c>
      <c r="H12285" s="12">
        <v>0</v>
      </c>
      <c r="I12285" s="12">
        <v>0</v>
      </c>
      <c r="J12285" s="11"/>
      <c r="K12285" s="12">
        <v>0</v>
      </c>
      <c r="L12285" s="10" t="str">
        <f>HYPERLINK("https://otsuka-europe-crm.veevavault.com/ui/#object/approved_document__v/V5O00000001H009", "RXULTI_Branded_ DE FILIPPIS aggiornamento_ IT-RXU-2600020")</f>
        <v>RXULTI_Branded_ DE FILIPPIS aggiornamento_ IT-RXU-2600020</v>
      </c>
      <c r="M12285" s="10" t="str">
        <f>HYPERLINK("mailto:nicola.fiorese@crm.otsuka-europe.com", "nicola.fiorese@crm.otsuka-europe.com")</f>
        <v>nicola.fiorese@crm.otsuka-europe.com</v>
      </c>
      <c r="N12285" s="13">
        <v>46196.385925925926</v>
      </c>
      <c r="O12285" s="14" t="str">
        <f>HYPERLINK("https://otsuka-europe-crm.veevavault.com/ui/#object/email_activity__v/V8C000000040324", "EN-002099270")</f>
        <v>EN-002099270</v>
      </c>
    </row>
    <row r="12286" spans="1:15" ht="16" x14ac:dyDescent="0.2">
      <c r="A12286" s="17" t="str">
        <f>HYPERLINK("https://otsuka-europe-crm.veevavault.com/ui/#object/account__v/V4TZ04ASGFQ4U6Z", "NILA BARBIERI")</f>
        <v>NILA BARBIERI</v>
      </c>
      <c r="B12286" s="17" t="str">
        <f>HYPERLINK("https://otsuka-europe-crm.veevavault.com/ui/#object/vcountry__v/VENZ000004SONFQ", "IT")</f>
        <v>IT</v>
      </c>
      <c r="C12286" s="20" t="s">
        <v>44</v>
      </c>
      <c r="D12286" s="21" t="str">
        <f>HYPERLINK("https://otsuka-europe-crm.veevavault.com/ui/#object/approved_document__v/V5O00000001H009", "RXULTI_Branded_ DE FILIPPIS aggiornamento_ IT-RXU-2600020")</f>
        <v>RXULTI_Branded_ DE FILIPPIS aggiornamento_ IT-RXU-2600020</v>
      </c>
      <c r="E12286" s="22" t="str">
        <f>HYPERLINK("https://otsuka-europe-crm.veevavault.com/ui/#object/sent_email__v/VBL00000002X075", "SE-001437539")</f>
        <v>SE-001437539</v>
      </c>
      <c r="F12286" s="23">
        <v>46196.418391203704</v>
      </c>
      <c r="G12286" s="24">
        <v>1</v>
      </c>
      <c r="H12286" s="24">
        <v>2</v>
      </c>
      <c r="I12286" s="24">
        <v>0</v>
      </c>
      <c r="J12286" s="25"/>
      <c r="K12286" s="24">
        <v>0</v>
      </c>
      <c r="L12286" s="22" t="str">
        <f>HYPERLINK("https://otsuka-europe-crm.veevavault.com/ui/#object/approved_document__v/V5O00000001H009", "RXULTI_Branded_ DE FILIPPIS aggiornamento_ IT-RXU-2600020")</f>
        <v>RXULTI_Branded_ DE FILIPPIS aggiornamento_ IT-RXU-2600020</v>
      </c>
      <c r="M12286" s="22" t="str">
        <f>HYPERLINK("mailto:nicola.fiorese@crm.otsuka-europe.com", "nicola.fiorese@crm.otsuka-europe.com")</f>
        <v>nicola.fiorese@crm.otsuka-europe.com</v>
      </c>
      <c r="N12286" s="23">
        <v>46196.386111111111</v>
      </c>
      <c r="O12286" s="14" t="str">
        <f>HYPERLINK("https://otsuka-europe-crm.veevavault.com/ui/#object/email_activity__v/V8C00000003Z336", "EN-002099328")</f>
        <v>EN-002099328</v>
      </c>
    </row>
    <row r="12287" spans="1:15" ht="16" x14ac:dyDescent="0.2">
      <c r="A12287" s="18"/>
      <c r="B12287" s="18"/>
      <c r="C12287" s="18"/>
      <c r="D12287" s="18"/>
      <c r="E12287" s="18"/>
      <c r="F12287" s="18"/>
      <c r="G12287" s="18"/>
      <c r="H12287" s="18"/>
      <c r="I12287" s="18"/>
      <c r="J12287" s="18"/>
      <c r="K12287" s="18"/>
      <c r="L12287" s="18"/>
      <c r="M12287" s="18"/>
      <c r="N12287" s="18"/>
      <c r="O12287" s="14" t="str">
        <f>HYPERLINK("https://otsuka-europe-crm.veevavault.com/ui/#object/email_activity__v/V8C000000040323", "EN-002099269")</f>
        <v>EN-002099269</v>
      </c>
    </row>
    <row r="12288" spans="1:15" ht="16" x14ac:dyDescent="0.2">
      <c r="A12288" s="19"/>
      <c r="B12288" s="19"/>
      <c r="C12288" s="19"/>
      <c r="D12288" s="19"/>
      <c r="E12288" s="19"/>
      <c r="F12288" s="19"/>
      <c r="G12288" s="19"/>
      <c r="H12288" s="19"/>
      <c r="I12288" s="19"/>
      <c r="J12288" s="19"/>
      <c r="K12288" s="19"/>
      <c r="L12288" s="19"/>
      <c r="M12288" s="19"/>
      <c r="N12288" s="19"/>
      <c r="O12288" s="14" t="str">
        <f>HYPERLINK("https://otsuka-europe-crm.veevavault.com/ui/#object/email_activity__v/V8C000000040366", "EN-002099327")</f>
        <v>EN-002099327</v>
      </c>
    </row>
    <row r="12289" spans="1:15" ht="48" x14ac:dyDescent="0.2">
      <c r="A12289" s="7" t="str">
        <f>HYPERLINK("https://otsuka-europe-crm.veevavault.com/ui/#object/account__v/V4TZ06G6O71S9ZW", "MAIDA BELLUATI")</f>
        <v>MAIDA BELLUATI</v>
      </c>
      <c r="B12289" s="7" t="str">
        <f>HYPERLINK("https://otsuka-europe-crm.veevavault.com/ui/#object/vcountry__v/VENZ000004SONFQ", "IT")</f>
        <v>IT</v>
      </c>
      <c r="C12289" s="8" t="s">
        <v>44</v>
      </c>
      <c r="D12289" s="9" t="str">
        <f>HYPERLINK("https://otsuka-europe-crm.veevavault.com/ui/#object/approved_document__v/V5O00000001H009", "RXULTI_Branded_ DE FILIPPIS aggiornamento_ IT-RXU-2600020")</f>
        <v>RXULTI_Branded_ DE FILIPPIS aggiornamento_ IT-RXU-2600020</v>
      </c>
      <c r="E12289" s="10" t="str">
        <f>HYPERLINK("https://otsuka-europe-crm.veevavault.com/ui/#object/sent_email__v/VBL00000002X076", "SE-001437540")</f>
        <v>SE-001437540</v>
      </c>
      <c r="F12289" s="11"/>
      <c r="G12289" s="12">
        <v>0</v>
      </c>
      <c r="H12289" s="12">
        <v>0</v>
      </c>
      <c r="I12289" s="12">
        <v>0</v>
      </c>
      <c r="J12289" s="11"/>
      <c r="K12289" s="12">
        <v>0</v>
      </c>
      <c r="L12289" s="10" t="str">
        <f>HYPERLINK("https://otsuka-europe-crm.veevavault.com/ui/#object/approved_document__v/V5O00000001H009", "RXULTI_Branded_ DE FILIPPIS aggiornamento_ IT-RXU-2600020")</f>
        <v>RXULTI_Branded_ DE FILIPPIS aggiornamento_ IT-RXU-2600020</v>
      </c>
      <c r="M12289" s="10" t="str">
        <f>HYPERLINK("mailto:nicola.fiorese@crm.otsuka-europe.com", "nicola.fiorese@crm.otsuka-europe.com")</f>
        <v>nicola.fiorese@crm.otsuka-europe.com</v>
      </c>
      <c r="N12289" s="13">
        <v>46196.386469907404</v>
      </c>
      <c r="O12289" s="14" t="str">
        <f>HYPERLINK("https://otsuka-europe-crm.veevavault.com/ui/#object/email_activity__v/V8C000000040325", "EN-002099271")</f>
        <v>EN-002099271</v>
      </c>
    </row>
    <row r="12290" spans="1:15" ht="48" x14ac:dyDescent="0.2">
      <c r="A12290" s="7" t="str">
        <f>HYPERLINK("https://otsuka-europe-crm.veevavault.com/ui/#object/account__v/V4TZ025E87AAYVJ", "ROSSELLA BENEDUCE")</f>
        <v>ROSSELLA BENEDUCE</v>
      </c>
      <c r="B12290" s="7" t="str">
        <f>HYPERLINK("https://otsuka-europe-crm.veevavault.com/ui/#object/vcountry__v/VENZ000004SONFQ", "IT")</f>
        <v>IT</v>
      </c>
      <c r="C12290" s="8" t="s">
        <v>44</v>
      </c>
      <c r="D12290" s="9" t="str">
        <f>HYPERLINK("https://otsuka-europe-crm.veevavault.com/ui/#object/approved_document__v/V5O00000001H009", "RXULTI_Branded_ DE FILIPPIS aggiornamento_ IT-RXU-2600020")</f>
        <v>RXULTI_Branded_ DE FILIPPIS aggiornamento_ IT-RXU-2600020</v>
      </c>
      <c r="E12290" s="10" t="str">
        <f>HYPERLINK("https://otsuka-europe-crm.veevavault.com/ui/#object/sent_email__v/VBL00000002X077", "SE-001437541")</f>
        <v>SE-001437541</v>
      </c>
      <c r="F12290" s="11"/>
      <c r="G12290" s="12">
        <v>0</v>
      </c>
      <c r="H12290" s="12">
        <v>0</v>
      </c>
      <c r="I12290" s="12">
        <v>0</v>
      </c>
      <c r="J12290" s="11"/>
      <c r="K12290" s="12">
        <v>0</v>
      </c>
      <c r="L12290" s="10" t="str">
        <f>HYPERLINK("https://otsuka-europe-crm.veevavault.com/ui/#object/approved_document__v/V5O00000001H009", "RXULTI_Branded_ DE FILIPPIS aggiornamento_ IT-RXU-2600020")</f>
        <v>RXULTI_Branded_ DE FILIPPIS aggiornamento_ IT-RXU-2600020</v>
      </c>
      <c r="M12290" s="10" t="str">
        <f>HYPERLINK("mailto:nicola.fiorese@crm.otsuka-europe.com", "nicola.fiorese@crm.otsuka-europe.com")</f>
        <v>nicola.fiorese@crm.otsuka-europe.com</v>
      </c>
      <c r="N12290" s="13">
        <v>46196.386689814812</v>
      </c>
      <c r="O12290" s="14" t="str">
        <f>HYPERLINK("https://otsuka-europe-crm.veevavault.com/ui/#object/email_activity__v/V8C000000040326", "EN-002099272")</f>
        <v>EN-002099272</v>
      </c>
    </row>
    <row r="12291" spans="1:15" ht="16" x14ac:dyDescent="0.2">
      <c r="A12291" s="17" t="str">
        <f>HYPERLINK("https://otsuka-europe-crm.veevavault.com/ui/#object/account__v/V4TZ06G6O71S9Q9", "ANDREA BERTOLAZZI")</f>
        <v>ANDREA BERTOLAZZI</v>
      </c>
      <c r="B12291" s="17" t="str">
        <f>HYPERLINK("https://otsuka-europe-crm.veevavault.com/ui/#object/vcountry__v/VENZ000004SONFQ", "IT")</f>
        <v>IT</v>
      </c>
      <c r="C12291" s="20" t="s">
        <v>44</v>
      </c>
      <c r="D12291" s="21" t="str">
        <f>HYPERLINK("https://otsuka-europe-crm.veevavault.com/ui/#object/approved_document__v/V5O00000001H009", "RXULTI_Branded_ DE FILIPPIS aggiornamento_ IT-RXU-2600020")</f>
        <v>RXULTI_Branded_ DE FILIPPIS aggiornamento_ IT-RXU-2600020</v>
      </c>
      <c r="E12291" s="22" t="str">
        <f>HYPERLINK("https://otsuka-europe-crm.veevavault.com/ui/#object/sent_email__v/VBL00000002X078", "SE-001437542")</f>
        <v>SE-001437542</v>
      </c>
      <c r="F12291" s="23">
        <v>46196.42287037037</v>
      </c>
      <c r="G12291" s="24">
        <v>1</v>
      </c>
      <c r="H12291" s="24">
        <v>1</v>
      </c>
      <c r="I12291" s="24">
        <v>0</v>
      </c>
      <c r="J12291" s="25"/>
      <c r="K12291" s="24">
        <v>0</v>
      </c>
      <c r="L12291" s="22" t="str">
        <f>HYPERLINK("https://otsuka-europe-crm.veevavault.com/ui/#object/approved_document__v/V5O00000001H009", "RXULTI_Branded_ DE FILIPPIS aggiornamento_ IT-RXU-2600020")</f>
        <v>RXULTI_Branded_ DE FILIPPIS aggiornamento_ IT-RXU-2600020</v>
      </c>
      <c r="M12291" s="22" t="str">
        <f>HYPERLINK("mailto:nicola.fiorese@crm.otsuka-europe.com", "nicola.fiorese@crm.otsuka-europe.com")</f>
        <v>nicola.fiorese@crm.otsuka-europe.com</v>
      </c>
      <c r="N12291" s="23">
        <v>46196.386967592596</v>
      </c>
      <c r="O12291" s="14" t="str">
        <f>HYPERLINK("https://otsuka-europe-crm.veevavault.com/ui/#object/email_activity__v/V8C000000040327", "EN-002099273")</f>
        <v>EN-002099273</v>
      </c>
    </row>
    <row r="12292" spans="1:15" ht="16" x14ac:dyDescent="0.2">
      <c r="A12292" s="19"/>
      <c r="B12292" s="19"/>
      <c r="C12292" s="19"/>
      <c r="D12292" s="19"/>
      <c r="E12292" s="19"/>
      <c r="F12292" s="19"/>
      <c r="G12292" s="19"/>
      <c r="H12292" s="19"/>
      <c r="I12292" s="19"/>
      <c r="J12292" s="19"/>
      <c r="K12292" s="19"/>
      <c r="L12292" s="19"/>
      <c r="M12292" s="19"/>
      <c r="N12292" s="19"/>
      <c r="O12292" s="14" t="str">
        <f>HYPERLINK("https://otsuka-europe-crm.veevavault.com/ui/#object/email_activity__v/V8C000000040368", "EN-002099330")</f>
        <v>EN-002099330</v>
      </c>
    </row>
    <row r="12293" spans="1:15" ht="16" x14ac:dyDescent="0.2">
      <c r="A12293" s="17" t="str">
        <f>HYPERLINK("https://otsuka-europe-crm.veevavault.com/ui/#object/account__v/V4TZ06G6O71S9CM", "ORIANA BIANCHINI")</f>
        <v>ORIANA BIANCHINI</v>
      </c>
      <c r="B12293" s="17" t="str">
        <f>HYPERLINK("https://otsuka-europe-crm.veevavault.com/ui/#object/vcountry__v/VENZ000004SONFQ", "IT")</f>
        <v>IT</v>
      </c>
      <c r="C12293" s="20" t="s">
        <v>44</v>
      </c>
      <c r="D12293" s="21" t="str">
        <f>HYPERLINK("https://otsuka-europe-crm.veevavault.com/ui/#object/approved_document__v/V5O00000001H009", "RXULTI_Branded_ DE FILIPPIS aggiornamento_ IT-RXU-2600020")</f>
        <v>RXULTI_Branded_ DE FILIPPIS aggiornamento_ IT-RXU-2600020</v>
      </c>
      <c r="E12293" s="22" t="str">
        <f>HYPERLINK("https://otsuka-europe-crm.veevavault.com/ui/#object/sent_email__v/VBL00000002X079", "SE-001437543")</f>
        <v>SE-001437543</v>
      </c>
      <c r="F12293" s="23">
        <v>46197.922824074078</v>
      </c>
      <c r="G12293" s="24">
        <v>1</v>
      </c>
      <c r="H12293" s="24">
        <v>3</v>
      </c>
      <c r="I12293" s="24">
        <v>0</v>
      </c>
      <c r="J12293" s="25"/>
      <c r="K12293" s="24">
        <v>0</v>
      </c>
      <c r="L12293" s="22" t="str">
        <f>HYPERLINK("https://otsuka-europe-crm.veevavault.com/ui/#object/approved_document__v/V5O00000001H009", "RXULTI_Branded_ DE FILIPPIS aggiornamento_ IT-RXU-2600020")</f>
        <v>RXULTI_Branded_ DE FILIPPIS aggiornamento_ IT-RXU-2600020</v>
      </c>
      <c r="M12293" s="22" t="str">
        <f>HYPERLINK("mailto:nicola.fiorese@crm.otsuka-europe.com", "nicola.fiorese@crm.otsuka-europe.com")</f>
        <v>nicola.fiorese@crm.otsuka-europe.com</v>
      </c>
      <c r="N12293" s="23">
        <v>46196.387083333335</v>
      </c>
      <c r="O12293" s="14" t="str">
        <f>HYPERLINK("https://otsuka-europe-crm.veevavault.com/ui/#object/email_activity__v/V8C00000003Z464", "EN-002099613")</f>
        <v>EN-002099613</v>
      </c>
    </row>
    <row r="12294" spans="1:15" ht="16" x14ac:dyDescent="0.2">
      <c r="A12294" s="18"/>
      <c r="B12294" s="18"/>
      <c r="C12294" s="18"/>
      <c r="D12294" s="18"/>
      <c r="E12294" s="18"/>
      <c r="F12294" s="18"/>
      <c r="G12294" s="18"/>
      <c r="H12294" s="18"/>
      <c r="I12294" s="18"/>
      <c r="J12294" s="18"/>
      <c r="K12294" s="18"/>
      <c r="L12294" s="18"/>
      <c r="M12294" s="18"/>
      <c r="N12294" s="18"/>
      <c r="O12294" s="14" t="str">
        <f>HYPERLINK("https://otsuka-europe-crm.veevavault.com/ui/#object/email_activity__v/V8C000000040328", "EN-002099274")</f>
        <v>EN-002099274</v>
      </c>
    </row>
    <row r="12295" spans="1:15" ht="16" x14ac:dyDescent="0.2">
      <c r="A12295" s="18"/>
      <c r="B12295" s="18"/>
      <c r="C12295" s="18"/>
      <c r="D12295" s="18"/>
      <c r="E12295" s="18"/>
      <c r="F12295" s="18"/>
      <c r="G12295" s="18"/>
      <c r="H12295" s="18"/>
      <c r="I12295" s="18"/>
      <c r="J12295" s="18"/>
      <c r="K12295" s="18"/>
      <c r="L12295" s="18"/>
      <c r="M12295" s="18"/>
      <c r="N12295" s="18"/>
      <c r="O12295" s="14" t="str">
        <f>HYPERLINK("https://otsuka-europe-crm.veevavault.com/ui/#object/email_activity__v/V8C000000040329", "EN-002099275")</f>
        <v>EN-002099275</v>
      </c>
    </row>
    <row r="12296" spans="1:15" ht="16" x14ac:dyDescent="0.2">
      <c r="A12296" s="19"/>
      <c r="B12296" s="19"/>
      <c r="C12296" s="19"/>
      <c r="D12296" s="19"/>
      <c r="E12296" s="19"/>
      <c r="F12296" s="19"/>
      <c r="G12296" s="19"/>
      <c r="H12296" s="19"/>
      <c r="I12296" s="19"/>
      <c r="J12296" s="19"/>
      <c r="K12296" s="19"/>
      <c r="L12296" s="19"/>
      <c r="M12296" s="19"/>
      <c r="N12296" s="19"/>
      <c r="O12296" s="14" t="str">
        <f>HYPERLINK("https://otsuka-europe-crm.veevavault.com/ui/#object/email_activity__v/V8C000000040377", "EN-002099344")</f>
        <v>EN-002099344</v>
      </c>
    </row>
    <row r="12297" spans="1:15" ht="16" x14ac:dyDescent="0.2">
      <c r="A12297" s="17" t="str">
        <f>HYPERLINK("https://otsuka-europe-crm.veevavault.com/ui/#object/account__v/V4TZ06G6O71SA4X", "ROBERTA BOLOGNA")</f>
        <v>ROBERTA BOLOGNA</v>
      </c>
      <c r="B12297" s="17" t="str">
        <f>HYPERLINK("https://otsuka-europe-crm.veevavault.com/ui/#object/vcountry__v/VENZ000004SONFQ", "IT")</f>
        <v>IT</v>
      </c>
      <c r="C12297" s="20" t="s">
        <v>44</v>
      </c>
      <c r="D12297" s="21" t="str">
        <f>HYPERLINK("https://otsuka-europe-crm.veevavault.com/ui/#object/approved_document__v/V5O00000001H009", "RXULTI_Branded_ DE FILIPPIS aggiornamento_ IT-RXU-2600020")</f>
        <v>RXULTI_Branded_ DE FILIPPIS aggiornamento_ IT-RXU-2600020</v>
      </c>
      <c r="E12297" s="22" t="str">
        <f>HYPERLINK("https://otsuka-europe-crm.veevavault.com/ui/#object/sent_email__v/VBL00000002X080", "SE-001437544")</f>
        <v>SE-001437544</v>
      </c>
      <c r="F12297" s="25"/>
      <c r="G12297" s="24">
        <v>0</v>
      </c>
      <c r="H12297" s="24">
        <v>0</v>
      </c>
      <c r="I12297" s="24">
        <v>0</v>
      </c>
      <c r="J12297" s="25"/>
      <c r="K12297" s="24">
        <v>0</v>
      </c>
      <c r="L12297" s="22" t="str">
        <f>HYPERLINK("https://otsuka-europe-crm.veevavault.com/ui/#object/approved_document__v/V5O00000001H009", "RXULTI_Branded_ DE FILIPPIS aggiornamento_ IT-RXU-2600020")</f>
        <v>RXULTI_Branded_ DE FILIPPIS aggiornamento_ IT-RXU-2600020</v>
      </c>
      <c r="M12297" s="22" t="str">
        <f>HYPERLINK("mailto:nicola.fiorese@crm.otsuka-europe.com", "nicola.fiorese@crm.otsuka-europe.com")</f>
        <v>nicola.fiorese@crm.otsuka-europe.com</v>
      </c>
      <c r="N12297" s="23">
        <v>46196.387314814812</v>
      </c>
      <c r="O12297" s="14" t="str">
        <f>HYPERLINK("https://otsuka-europe-crm.veevavault.com/ui/#object/email_activity__v/V8C00000003Z397", "EN-002099469")</f>
        <v>EN-002099469</v>
      </c>
    </row>
    <row r="12298" spans="1:15" ht="16" x14ac:dyDescent="0.2">
      <c r="A12298" s="19"/>
      <c r="B12298" s="19"/>
      <c r="C12298" s="19"/>
      <c r="D12298" s="19"/>
      <c r="E12298" s="19"/>
      <c r="F12298" s="19"/>
      <c r="G12298" s="19"/>
      <c r="H12298" s="19"/>
      <c r="I12298" s="19"/>
      <c r="J12298" s="19"/>
      <c r="K12298" s="19"/>
      <c r="L12298" s="19"/>
      <c r="M12298" s="19"/>
      <c r="N12298" s="19"/>
      <c r="O12298" s="14" t="str">
        <f>HYPERLINK("https://otsuka-europe-crm.veevavault.com/ui/#object/email_activity__v/V8C000000040331", "EN-002099277")</f>
        <v>EN-002099277</v>
      </c>
    </row>
    <row r="12299" spans="1:15" ht="48" x14ac:dyDescent="0.2">
      <c r="A12299" s="7" t="str">
        <f>HYPERLINK("https://otsuka-europe-crm.veevavault.com/ui/#object/account__v/V4T00000000Y197", "BEATRICE BONO")</f>
        <v>BEATRICE BONO</v>
      </c>
      <c r="B12299" s="7" t="str">
        <f>HYPERLINK("https://otsuka-europe-crm.veevavault.com/ui/#object/vcountry__v/VENZ000004SONFQ", "IT")</f>
        <v>IT</v>
      </c>
      <c r="C12299" s="8" t="s">
        <v>44</v>
      </c>
      <c r="D12299" s="9" t="str">
        <f>HYPERLINK("https://otsuka-europe-crm.veevavault.com/ui/#object/approved_document__v/V5O00000001H009", "RXULTI_Branded_ DE FILIPPIS aggiornamento_ IT-RXU-2600020")</f>
        <v>RXULTI_Branded_ DE FILIPPIS aggiornamento_ IT-RXU-2600020</v>
      </c>
      <c r="E12299" s="10" t="str">
        <f>HYPERLINK("https://otsuka-europe-crm.veevavault.com/ui/#object/sent_email__v/VBL00000002X081", "SE-001437545")</f>
        <v>SE-001437545</v>
      </c>
      <c r="F12299" s="11"/>
      <c r="G12299" s="12">
        <v>0</v>
      </c>
      <c r="H12299" s="12">
        <v>0</v>
      </c>
      <c r="I12299" s="12">
        <v>0</v>
      </c>
      <c r="J12299" s="11"/>
      <c r="K12299" s="12">
        <v>0</v>
      </c>
      <c r="L12299" s="10" t="str">
        <f>HYPERLINK("https://otsuka-europe-crm.veevavault.com/ui/#object/approved_document__v/V5O00000001H009", "RXULTI_Branded_ DE FILIPPIS aggiornamento_ IT-RXU-2600020")</f>
        <v>RXULTI_Branded_ DE FILIPPIS aggiornamento_ IT-RXU-2600020</v>
      </c>
      <c r="M12299" s="10" t="str">
        <f>HYPERLINK("mailto:nicola.fiorese@crm.otsuka-europe.com", "nicola.fiorese@crm.otsuka-europe.com")</f>
        <v>nicola.fiorese@crm.otsuka-europe.com</v>
      </c>
      <c r="N12299" s="13">
        <v>46196.387557870374</v>
      </c>
      <c r="O12299" s="14" t="str">
        <f>HYPERLINK("https://otsuka-europe-crm.veevavault.com/ui/#object/email_activity__v/V8C000000040332", "EN-002099278")</f>
        <v>EN-002099278</v>
      </c>
    </row>
    <row r="12300" spans="1:15" ht="48" x14ac:dyDescent="0.2">
      <c r="A12300" s="7" t="str">
        <f>HYPERLINK("https://otsuka-europe-crm.veevavault.com/ui/#object/account__v/V4TZ06G6O71SA5C", "SILVIA BONOMI")</f>
        <v>SILVIA BONOMI</v>
      </c>
      <c r="B12300" s="7" t="str">
        <f>HYPERLINK("https://otsuka-europe-crm.veevavault.com/ui/#object/vcountry__v/VENZ000004SONFQ", "IT")</f>
        <v>IT</v>
      </c>
      <c r="C12300" s="8" t="s">
        <v>44</v>
      </c>
      <c r="D12300" s="9" t="str">
        <f>HYPERLINK("https://otsuka-europe-crm.veevavault.com/ui/#object/approved_document__v/V5O00000001H009", "RXULTI_Branded_ DE FILIPPIS aggiornamento_ IT-RXU-2600020")</f>
        <v>RXULTI_Branded_ DE FILIPPIS aggiornamento_ IT-RXU-2600020</v>
      </c>
      <c r="E12300" s="10" t="str">
        <f>HYPERLINK("https://otsuka-europe-crm.veevavault.com/ui/#object/sent_email__v/VBL00000002X082", "SE-001437546")</f>
        <v>SE-001437546</v>
      </c>
      <c r="F12300" s="11"/>
      <c r="G12300" s="12">
        <v>0</v>
      </c>
      <c r="H12300" s="12">
        <v>0</v>
      </c>
      <c r="I12300" s="12">
        <v>0</v>
      </c>
      <c r="J12300" s="11"/>
      <c r="K12300" s="12">
        <v>0</v>
      </c>
      <c r="L12300" s="10" t="str">
        <f>HYPERLINK("https://otsuka-europe-crm.veevavault.com/ui/#object/approved_document__v/V5O00000001H009", "RXULTI_Branded_ DE FILIPPIS aggiornamento_ IT-RXU-2600020")</f>
        <v>RXULTI_Branded_ DE FILIPPIS aggiornamento_ IT-RXU-2600020</v>
      </c>
      <c r="M12300" s="10" t="str">
        <f>HYPERLINK("mailto:nicola.fiorese@crm.otsuka-europe.com", "nicola.fiorese@crm.otsuka-europe.com")</f>
        <v>nicola.fiorese@crm.otsuka-europe.com</v>
      </c>
      <c r="N12300" s="13">
        <v>46196.387916666667</v>
      </c>
      <c r="O12300" s="14" t="str">
        <f>HYPERLINK("https://otsuka-europe-crm.veevavault.com/ui/#object/email_activity__v/V8C000000040333", "EN-002099279")</f>
        <v>EN-002099279</v>
      </c>
    </row>
    <row r="12301" spans="1:15" ht="48" x14ac:dyDescent="0.2">
      <c r="A12301" s="7" t="str">
        <f>HYPERLINK("https://otsuka-europe-crm.veevavault.com/ui/#object/account__v/V4TZ06G6O71SA5W", "MARCO BORTOLOMASI")</f>
        <v>MARCO BORTOLOMASI</v>
      </c>
      <c r="B12301" s="7" t="str">
        <f>HYPERLINK("https://otsuka-europe-crm.veevavault.com/ui/#object/vcountry__v/VENZ000004SONFQ", "IT")</f>
        <v>IT</v>
      </c>
      <c r="C12301" s="8" t="s">
        <v>44</v>
      </c>
      <c r="D12301" s="9" t="str">
        <f>HYPERLINK("https://otsuka-europe-crm.veevavault.com/ui/#object/approved_document__v/V5O00000001H009", "RXULTI_Branded_ DE FILIPPIS aggiornamento_ IT-RXU-2600020")</f>
        <v>RXULTI_Branded_ DE FILIPPIS aggiornamento_ IT-RXU-2600020</v>
      </c>
      <c r="E12301" s="10" t="str">
        <f>HYPERLINK("https://otsuka-europe-crm.veevavault.com/ui/#object/sent_email__v/VBL00000002X083", "SE-001437547")</f>
        <v>SE-001437547</v>
      </c>
      <c r="F12301" s="11"/>
      <c r="G12301" s="12">
        <v>0</v>
      </c>
      <c r="H12301" s="12">
        <v>0</v>
      </c>
      <c r="I12301" s="12">
        <v>0</v>
      </c>
      <c r="J12301" s="11"/>
      <c r="K12301" s="12">
        <v>0</v>
      </c>
      <c r="L12301" s="10" t="str">
        <f>HYPERLINK("https://otsuka-europe-crm.veevavault.com/ui/#object/approved_document__v/V5O00000001H009", "RXULTI_Branded_ DE FILIPPIS aggiornamento_ IT-RXU-2600020")</f>
        <v>RXULTI_Branded_ DE FILIPPIS aggiornamento_ IT-RXU-2600020</v>
      </c>
      <c r="M12301" s="10" t="str">
        <f>HYPERLINK("mailto:nicola.fiorese@crm.otsuka-europe.com", "nicola.fiorese@crm.otsuka-europe.com")</f>
        <v>nicola.fiorese@crm.otsuka-europe.com</v>
      </c>
      <c r="N12301" s="13">
        <v>46196.38826388889</v>
      </c>
      <c r="O12301" s="14" t="str">
        <f>HYPERLINK("https://otsuka-europe-crm.veevavault.com/ui/#object/email_activity__v/V8C000000040336", "EN-002099282")</f>
        <v>EN-002099282</v>
      </c>
    </row>
    <row r="12302" spans="1:15" ht="48" x14ac:dyDescent="0.2">
      <c r="A12302" s="7" t="str">
        <f>HYPERLINK("https://otsuka-europe-crm.veevavault.com/ui/#object/account__v/V4TZ06G6O71SA6C", "UGHETTA BOSCO UBERTINO")</f>
        <v>UGHETTA BOSCO UBERTINO</v>
      </c>
      <c r="B12302" s="7" t="str">
        <f>HYPERLINK("https://otsuka-europe-crm.veevavault.com/ui/#object/vcountry__v/VENZ000004SONFQ", "IT")</f>
        <v>IT</v>
      </c>
      <c r="C12302" s="8" t="s">
        <v>44</v>
      </c>
      <c r="D12302" s="9" t="str">
        <f>HYPERLINK("https://otsuka-europe-crm.veevavault.com/ui/#object/approved_document__v/V5O00000001H009", "RXULTI_Branded_ DE FILIPPIS aggiornamento_ IT-RXU-2600020")</f>
        <v>RXULTI_Branded_ DE FILIPPIS aggiornamento_ IT-RXU-2600020</v>
      </c>
      <c r="E12302" s="10" t="str">
        <f>HYPERLINK("https://otsuka-europe-crm.veevavault.com/ui/#object/sent_email__v/VBL00000002X084", "SE-001437548")</f>
        <v>SE-001437548</v>
      </c>
      <c r="F12302" s="11"/>
      <c r="G12302" s="12">
        <v>0</v>
      </c>
      <c r="H12302" s="12">
        <v>0</v>
      </c>
      <c r="I12302" s="12">
        <v>0</v>
      </c>
      <c r="J12302" s="11"/>
      <c r="K12302" s="12">
        <v>0</v>
      </c>
      <c r="L12302" s="10" t="str">
        <f>HYPERLINK("https://otsuka-europe-crm.veevavault.com/ui/#object/approved_document__v/V5O00000001H009", "RXULTI_Branded_ DE FILIPPIS aggiornamento_ IT-RXU-2600020")</f>
        <v>RXULTI_Branded_ DE FILIPPIS aggiornamento_ IT-RXU-2600020</v>
      </c>
      <c r="M12302" s="10" t="str">
        <f>HYPERLINK("mailto:nicola.fiorese@crm.otsuka-europe.com", "nicola.fiorese@crm.otsuka-europe.com")</f>
        <v>nicola.fiorese@crm.otsuka-europe.com</v>
      </c>
      <c r="N12302" s="13">
        <v>46196.38853009259</v>
      </c>
      <c r="O12302" s="14" t="str">
        <f>HYPERLINK("https://otsuka-europe-crm.veevavault.com/ui/#object/email_activity__v/V8C000000040337", "EN-002099283")</f>
        <v>EN-002099283</v>
      </c>
    </row>
    <row r="12303" spans="1:15" ht="16" x14ac:dyDescent="0.2">
      <c r="A12303" s="17" t="str">
        <f>HYPERLINK("https://otsuka-europe-crm.veevavault.com/ui/#object/account__v/V4TZ06G6O71SA8J", "VANDA BUI")</f>
        <v>VANDA BUI</v>
      </c>
      <c r="B12303" s="17" t="str">
        <f>HYPERLINK("https://otsuka-europe-crm.veevavault.com/ui/#object/vcountry__v/VENZ000004SONFQ", "IT")</f>
        <v>IT</v>
      </c>
      <c r="C12303" s="20" t="s">
        <v>44</v>
      </c>
      <c r="D12303" s="21" t="str">
        <f>HYPERLINK("https://otsuka-europe-crm.veevavault.com/ui/#object/approved_document__v/V5O00000001H009", "RXULTI_Branded_ DE FILIPPIS aggiornamento_ IT-RXU-2600020")</f>
        <v>RXULTI_Branded_ DE FILIPPIS aggiornamento_ IT-RXU-2600020</v>
      </c>
      <c r="E12303" s="22" t="str">
        <f>HYPERLINK("https://otsuka-europe-crm.veevavault.com/ui/#object/sent_email__v/VBL00000002X085", "SE-001437549")</f>
        <v>SE-001437549</v>
      </c>
      <c r="F12303" s="23">
        <v>46196.403090277781</v>
      </c>
      <c r="G12303" s="24">
        <v>1</v>
      </c>
      <c r="H12303" s="24">
        <v>1</v>
      </c>
      <c r="I12303" s="24">
        <v>0</v>
      </c>
      <c r="J12303" s="25"/>
      <c r="K12303" s="24">
        <v>0</v>
      </c>
      <c r="L12303" s="22" t="str">
        <f>HYPERLINK("https://otsuka-europe-crm.veevavault.com/ui/#object/approved_document__v/V5O00000001H009", "RXULTI_Branded_ DE FILIPPIS aggiornamento_ IT-RXU-2600020")</f>
        <v>RXULTI_Branded_ DE FILIPPIS aggiornamento_ IT-RXU-2600020</v>
      </c>
      <c r="M12303" s="22" t="str">
        <f>HYPERLINK("mailto:nicola.fiorese@crm.otsuka-europe.com", "nicola.fiorese@crm.otsuka-europe.com")</f>
        <v>nicola.fiorese@crm.otsuka-europe.com</v>
      </c>
      <c r="N12303" s="23">
        <v>46196.388784722221</v>
      </c>
      <c r="O12303" s="14" t="str">
        <f>HYPERLINK("https://otsuka-europe-crm.veevavault.com/ui/#object/email_activity__v/V8C00000003Z321", "EN-002099284")</f>
        <v>EN-002099284</v>
      </c>
    </row>
    <row r="12304" spans="1:15" ht="16" x14ac:dyDescent="0.2">
      <c r="A12304" s="19"/>
      <c r="B12304" s="19"/>
      <c r="C12304" s="19"/>
      <c r="D12304" s="19"/>
      <c r="E12304" s="19"/>
      <c r="F12304" s="19"/>
      <c r="G12304" s="19"/>
      <c r="H12304" s="19"/>
      <c r="I12304" s="19"/>
      <c r="J12304" s="19"/>
      <c r="K12304" s="19"/>
      <c r="L12304" s="19"/>
      <c r="M12304" s="19"/>
      <c r="N12304" s="19"/>
      <c r="O12304" s="14" t="str">
        <f>HYPERLINK("https://otsuka-europe-crm.veevavault.com/ui/#object/email_activity__v/V8C000000040358", "EN-002099317")</f>
        <v>EN-002099317</v>
      </c>
    </row>
    <row r="12305" spans="1:15" ht="48" x14ac:dyDescent="0.2">
      <c r="A12305" s="7" t="str">
        <f>HYPERLINK("https://otsuka-europe-crm.veevavault.com/ui/#object/account__v/V4TZ025E82Y45NQ", "BEATRICE CABASSI")</f>
        <v>BEATRICE CABASSI</v>
      </c>
      <c r="B12305" s="7" t="str">
        <f t="shared" ref="B12305:B12315" si="910">HYPERLINK("https://otsuka-europe-crm.veevavault.com/ui/#object/vcountry__v/VENZ000004SONFQ", "IT")</f>
        <v>IT</v>
      </c>
      <c r="C12305" s="8" t="s">
        <v>44</v>
      </c>
      <c r="D12305" s="9" t="str">
        <f t="shared" ref="D12305:D12315" si="911">HYPERLINK("https://otsuka-europe-crm.veevavault.com/ui/#object/approved_document__v/V5O00000001H009", "RXULTI_Branded_ DE FILIPPIS aggiornamento_ IT-RXU-2600020")</f>
        <v>RXULTI_Branded_ DE FILIPPIS aggiornamento_ IT-RXU-2600020</v>
      </c>
      <c r="E12305" s="10" t="str">
        <f>HYPERLINK("https://otsuka-europe-crm.veevavault.com/ui/#object/sent_email__v/VBL00000002X086", "SE-001437550")</f>
        <v>SE-001437550</v>
      </c>
      <c r="F12305" s="11"/>
      <c r="G12305" s="12">
        <v>0</v>
      </c>
      <c r="H12305" s="12">
        <v>0</v>
      </c>
      <c r="I12305" s="12">
        <v>0</v>
      </c>
      <c r="J12305" s="11"/>
      <c r="K12305" s="12">
        <v>0</v>
      </c>
      <c r="L12305" s="10" t="str">
        <f t="shared" ref="L12305:L12315" si="912">HYPERLINK("https://otsuka-europe-crm.veevavault.com/ui/#object/approved_document__v/V5O00000001H009", "RXULTI_Branded_ DE FILIPPIS aggiornamento_ IT-RXU-2600020")</f>
        <v>RXULTI_Branded_ DE FILIPPIS aggiornamento_ IT-RXU-2600020</v>
      </c>
      <c r="M12305" s="10" t="str">
        <f t="shared" ref="M12305:M12315" si="913">HYPERLINK("mailto:nicola.fiorese@crm.otsuka-europe.com", "nicola.fiorese@crm.otsuka-europe.com")</f>
        <v>nicola.fiorese@crm.otsuka-europe.com</v>
      </c>
      <c r="N12305" s="13">
        <v>46196.389074074075</v>
      </c>
      <c r="O12305" s="14" t="str">
        <f>HYPERLINK("https://otsuka-europe-crm.veevavault.com/ui/#object/email_activity__v/V8C00000003Z322", "EN-002099285")</f>
        <v>EN-002099285</v>
      </c>
    </row>
    <row r="12306" spans="1:15" ht="48" x14ac:dyDescent="0.2">
      <c r="A12306" s="7" t="str">
        <f>HYPERLINK("https://otsuka-europe-crm.veevavault.com/ui/#object/account__v/V4TZ06G6O71SAXL", "PAOLO CACCIANI")</f>
        <v>PAOLO CACCIANI</v>
      </c>
      <c r="B12306" s="7" t="str">
        <f t="shared" si="910"/>
        <v>IT</v>
      </c>
      <c r="C12306" s="8" t="s">
        <v>44</v>
      </c>
      <c r="D12306" s="9" t="str">
        <f t="shared" si="911"/>
        <v>RXULTI_Branded_ DE FILIPPIS aggiornamento_ IT-RXU-2600020</v>
      </c>
      <c r="E12306" s="10" t="str">
        <f>HYPERLINK("https://otsuka-europe-crm.veevavault.com/ui/#object/sent_email__v/VBL00000002X087", "SE-001437551")</f>
        <v>SE-001437551</v>
      </c>
      <c r="F12306" s="11"/>
      <c r="G12306" s="12">
        <v>0</v>
      </c>
      <c r="H12306" s="12">
        <v>0</v>
      </c>
      <c r="I12306" s="12">
        <v>0</v>
      </c>
      <c r="J12306" s="11"/>
      <c r="K12306" s="12">
        <v>0</v>
      </c>
      <c r="L12306" s="10" t="str">
        <f t="shared" si="912"/>
        <v>RXULTI_Branded_ DE FILIPPIS aggiornamento_ IT-RXU-2600020</v>
      </c>
      <c r="M12306" s="10" t="str">
        <f t="shared" si="913"/>
        <v>nicola.fiorese@crm.otsuka-europe.com</v>
      </c>
      <c r="N12306" s="13">
        <v>46196.389189814814</v>
      </c>
      <c r="O12306" s="14" t="str">
        <f>HYPERLINK("https://otsuka-europe-crm.veevavault.com/ui/#object/email_activity__v/V8C000000040338", "EN-002099286")</f>
        <v>EN-002099286</v>
      </c>
    </row>
    <row r="12307" spans="1:15" ht="48" x14ac:dyDescent="0.2">
      <c r="A12307" s="7" t="str">
        <f>HYPERLINK("https://otsuka-europe-crm.veevavault.com/ui/#object/account__v/V4TZ04ASGAVBJFQ", "MICHELE CANDRINA")</f>
        <v>MICHELE CANDRINA</v>
      </c>
      <c r="B12307" s="7" t="str">
        <f t="shared" si="910"/>
        <v>IT</v>
      </c>
      <c r="C12307" s="8" t="s">
        <v>44</v>
      </c>
      <c r="D12307" s="9" t="str">
        <f t="shared" si="911"/>
        <v>RXULTI_Branded_ DE FILIPPIS aggiornamento_ IT-RXU-2600020</v>
      </c>
      <c r="E12307" s="10" t="str">
        <f>HYPERLINK("https://otsuka-europe-crm.veevavault.com/ui/#object/sent_email__v/VBL00000002X088", "SE-001437552")</f>
        <v>SE-001437552</v>
      </c>
      <c r="F12307" s="11"/>
      <c r="G12307" s="12">
        <v>0</v>
      </c>
      <c r="H12307" s="12">
        <v>0</v>
      </c>
      <c r="I12307" s="12">
        <v>0</v>
      </c>
      <c r="J12307" s="11"/>
      <c r="K12307" s="12">
        <v>0</v>
      </c>
      <c r="L12307" s="10" t="str">
        <f t="shared" si="912"/>
        <v>RXULTI_Branded_ DE FILIPPIS aggiornamento_ IT-RXU-2600020</v>
      </c>
      <c r="M12307" s="10" t="str">
        <f t="shared" si="913"/>
        <v>nicola.fiorese@crm.otsuka-europe.com</v>
      </c>
      <c r="N12307" s="13">
        <v>46196.389421296299</v>
      </c>
      <c r="O12307" s="14" t="str">
        <f>HYPERLINK("https://otsuka-europe-crm.veevavault.com/ui/#object/email_activity__v/V8C00000003Z323", "EN-002099287")</f>
        <v>EN-002099287</v>
      </c>
    </row>
    <row r="12308" spans="1:15" ht="48" x14ac:dyDescent="0.2">
      <c r="A12308" s="7" t="str">
        <f>HYPERLINK("https://otsuka-europe-crm.veevavault.com/ui/#object/account__v/V4TZ06G6O71SB0B", "GIUSEPPINA CARUSO")</f>
        <v>GIUSEPPINA CARUSO</v>
      </c>
      <c r="B12308" s="7" t="str">
        <f t="shared" si="910"/>
        <v>IT</v>
      </c>
      <c r="C12308" s="8" t="s">
        <v>44</v>
      </c>
      <c r="D12308" s="9" t="str">
        <f t="shared" si="911"/>
        <v>RXULTI_Branded_ DE FILIPPIS aggiornamento_ IT-RXU-2600020</v>
      </c>
      <c r="E12308" s="10" t="str">
        <f>HYPERLINK("https://otsuka-europe-crm.veevavault.com/ui/#object/sent_email__v/VBL00000002X089", "SE-001437553")</f>
        <v>SE-001437553</v>
      </c>
      <c r="F12308" s="11"/>
      <c r="G12308" s="12">
        <v>0</v>
      </c>
      <c r="H12308" s="12">
        <v>0</v>
      </c>
      <c r="I12308" s="12">
        <v>0</v>
      </c>
      <c r="J12308" s="11"/>
      <c r="K12308" s="12">
        <v>0</v>
      </c>
      <c r="L12308" s="10" t="str">
        <f t="shared" si="912"/>
        <v>RXULTI_Branded_ DE FILIPPIS aggiornamento_ IT-RXU-2600020</v>
      </c>
      <c r="M12308" s="10" t="str">
        <f t="shared" si="913"/>
        <v>nicola.fiorese@crm.otsuka-europe.com</v>
      </c>
      <c r="N12308" s="13">
        <v>46196.38957175926</v>
      </c>
      <c r="O12308" s="14" t="str">
        <f>HYPERLINK("https://otsuka-europe-crm.veevavault.com/ui/#object/email_activity__v/V8C00000003Z324", "EN-002099288")</f>
        <v>EN-002099288</v>
      </c>
    </row>
    <row r="12309" spans="1:15" ht="48" x14ac:dyDescent="0.2">
      <c r="A12309" s="7" t="str">
        <f>HYPERLINK("https://otsuka-europe-crm.veevavault.com/ui/#object/account__v/V4TZ025E85CT9B1", "ANNA CERASO")</f>
        <v>ANNA CERASO</v>
      </c>
      <c r="B12309" s="7" t="str">
        <f t="shared" si="910"/>
        <v>IT</v>
      </c>
      <c r="C12309" s="8" t="s">
        <v>44</v>
      </c>
      <c r="D12309" s="9" t="str">
        <f t="shared" si="911"/>
        <v>RXULTI_Branded_ DE FILIPPIS aggiornamento_ IT-RXU-2600020</v>
      </c>
      <c r="E12309" s="10" t="str">
        <f>HYPERLINK("https://otsuka-europe-crm.veevavault.com/ui/#object/sent_email__v/VBL00000002X090", "SE-001437554")</f>
        <v>SE-001437554</v>
      </c>
      <c r="F12309" s="11"/>
      <c r="G12309" s="12">
        <v>0</v>
      </c>
      <c r="H12309" s="12">
        <v>0</v>
      </c>
      <c r="I12309" s="12">
        <v>0</v>
      </c>
      <c r="J12309" s="11"/>
      <c r="K12309" s="12">
        <v>0</v>
      </c>
      <c r="L12309" s="10" t="str">
        <f t="shared" si="912"/>
        <v>RXULTI_Branded_ DE FILIPPIS aggiornamento_ IT-RXU-2600020</v>
      </c>
      <c r="M12309" s="10" t="str">
        <f t="shared" si="913"/>
        <v>nicola.fiorese@crm.otsuka-europe.com</v>
      </c>
      <c r="N12309" s="13">
        <v>46196.389814814815</v>
      </c>
      <c r="O12309" s="14" t="str">
        <f>HYPERLINK("https://otsuka-europe-crm.veevavault.com/ui/#object/email_activity__v/V8C000000040339", "EN-002099289")</f>
        <v>EN-002099289</v>
      </c>
    </row>
    <row r="12310" spans="1:15" ht="48" x14ac:dyDescent="0.2">
      <c r="A12310" s="7" t="str">
        <f>HYPERLINK("https://otsuka-europe-crm.veevavault.com/ui/#object/account__v/V4TZ06G6O71SC8R", "ANDREA CESARENI")</f>
        <v>ANDREA CESARENI</v>
      </c>
      <c r="B12310" s="7" t="str">
        <f t="shared" si="910"/>
        <v>IT</v>
      </c>
      <c r="C12310" s="8" t="s">
        <v>44</v>
      </c>
      <c r="D12310" s="9" t="str">
        <f t="shared" si="911"/>
        <v>RXULTI_Branded_ DE FILIPPIS aggiornamento_ IT-RXU-2600020</v>
      </c>
      <c r="E12310" s="10" t="str">
        <f>HYPERLINK("https://otsuka-europe-crm.veevavault.com/ui/#object/sent_email__v/VBL00000002X091", "SE-001437555")</f>
        <v>SE-001437555</v>
      </c>
      <c r="F12310" s="11"/>
      <c r="G12310" s="12">
        <v>0</v>
      </c>
      <c r="H12310" s="12">
        <v>0</v>
      </c>
      <c r="I12310" s="12">
        <v>0</v>
      </c>
      <c r="J12310" s="11"/>
      <c r="K12310" s="12">
        <v>0</v>
      </c>
      <c r="L12310" s="10" t="str">
        <f t="shared" si="912"/>
        <v>RXULTI_Branded_ DE FILIPPIS aggiornamento_ IT-RXU-2600020</v>
      </c>
      <c r="M12310" s="10" t="str">
        <f t="shared" si="913"/>
        <v>nicola.fiorese@crm.otsuka-europe.com</v>
      </c>
      <c r="N12310" s="13">
        <v>46196.389988425923</v>
      </c>
      <c r="O12310" s="14" t="str">
        <f>HYPERLINK("https://otsuka-europe-crm.veevavault.com/ui/#object/email_activity__v/V8C00000003Z325", "EN-002099290")</f>
        <v>EN-002099290</v>
      </c>
    </row>
    <row r="12311" spans="1:15" ht="48" x14ac:dyDescent="0.2">
      <c r="A12311" s="7" t="str">
        <f>HYPERLINK("https://otsuka-europe-crm.veevavault.com/ui/#object/account__v/V4TZ025E83XKPTZ", "FEDERICA CHIODERA")</f>
        <v>FEDERICA CHIODERA</v>
      </c>
      <c r="B12311" s="7" t="str">
        <f t="shared" si="910"/>
        <v>IT</v>
      </c>
      <c r="C12311" s="8" t="s">
        <v>44</v>
      </c>
      <c r="D12311" s="9" t="str">
        <f t="shared" si="911"/>
        <v>RXULTI_Branded_ DE FILIPPIS aggiornamento_ IT-RXU-2600020</v>
      </c>
      <c r="E12311" s="10" t="str">
        <f>HYPERLINK("https://otsuka-europe-crm.veevavault.com/ui/#object/sent_email__v/VBL00000002X092", "SE-001437556")</f>
        <v>SE-001437556</v>
      </c>
      <c r="F12311" s="11"/>
      <c r="G12311" s="12">
        <v>0</v>
      </c>
      <c r="H12311" s="12">
        <v>0</v>
      </c>
      <c r="I12311" s="12">
        <v>0</v>
      </c>
      <c r="J12311" s="11"/>
      <c r="K12311" s="12">
        <v>0</v>
      </c>
      <c r="L12311" s="10" t="str">
        <f t="shared" si="912"/>
        <v>RXULTI_Branded_ DE FILIPPIS aggiornamento_ IT-RXU-2600020</v>
      </c>
      <c r="M12311" s="10" t="str">
        <f t="shared" si="913"/>
        <v>nicola.fiorese@crm.otsuka-europe.com</v>
      </c>
      <c r="N12311" s="13">
        <v>46196.390289351853</v>
      </c>
      <c r="O12311" s="14" t="str">
        <f>HYPERLINK("https://otsuka-europe-crm.veevavault.com/ui/#object/email_activity__v/V8C000000040341", "EN-002099295")</f>
        <v>EN-002099295</v>
      </c>
    </row>
    <row r="12312" spans="1:15" ht="48" x14ac:dyDescent="0.2">
      <c r="A12312" s="7" t="str">
        <f>HYPERLINK("https://otsuka-europe-crm.veevavault.com/ui/#object/account__v/V4TZ025E83U0249", "ANDREA CICALE")</f>
        <v>ANDREA CICALE</v>
      </c>
      <c r="B12312" s="7" t="str">
        <f t="shared" si="910"/>
        <v>IT</v>
      </c>
      <c r="C12312" s="8" t="s">
        <v>44</v>
      </c>
      <c r="D12312" s="9" t="str">
        <f t="shared" si="911"/>
        <v>RXULTI_Branded_ DE FILIPPIS aggiornamento_ IT-RXU-2600020</v>
      </c>
      <c r="E12312" s="10" t="str">
        <f>HYPERLINK("https://otsuka-europe-crm.veevavault.com/ui/#object/sent_email__v/VBL00000002X093", "SE-001437557")</f>
        <v>SE-001437557</v>
      </c>
      <c r="F12312" s="11"/>
      <c r="G12312" s="12">
        <v>0</v>
      </c>
      <c r="H12312" s="12">
        <v>0</v>
      </c>
      <c r="I12312" s="12">
        <v>0</v>
      </c>
      <c r="J12312" s="11"/>
      <c r="K12312" s="12">
        <v>0</v>
      </c>
      <c r="L12312" s="10" t="str">
        <f t="shared" si="912"/>
        <v>RXULTI_Branded_ DE FILIPPIS aggiornamento_ IT-RXU-2600020</v>
      </c>
      <c r="M12312" s="10" t="str">
        <f t="shared" si="913"/>
        <v>nicola.fiorese@crm.otsuka-europe.com</v>
      </c>
      <c r="N12312" s="13">
        <v>46196.390381944446</v>
      </c>
      <c r="O12312" s="14" t="str">
        <f>HYPERLINK("https://otsuka-europe-crm.veevavault.com/ui/#object/email_activity__v/V8C00000003Z328", "EN-002099294")</f>
        <v>EN-002099294</v>
      </c>
    </row>
    <row r="12313" spans="1:15" ht="48" x14ac:dyDescent="0.2">
      <c r="A12313" s="7" t="str">
        <f>HYPERLINK("https://otsuka-europe-crm.veevavault.com/ui/#object/account__v/V4T00000001X034", "CAMILLA AGNESE CAROLINA CICOLARI")</f>
        <v>CAMILLA AGNESE CAROLINA CICOLARI</v>
      </c>
      <c r="B12313" s="7" t="str">
        <f t="shared" si="910"/>
        <v>IT</v>
      </c>
      <c r="C12313" s="8" t="s">
        <v>44</v>
      </c>
      <c r="D12313" s="9" t="str">
        <f t="shared" si="911"/>
        <v>RXULTI_Branded_ DE FILIPPIS aggiornamento_ IT-RXU-2600020</v>
      </c>
      <c r="E12313" s="10" t="str">
        <f>HYPERLINK("https://otsuka-europe-crm.veevavault.com/ui/#object/sent_email__v/VBL00000002X094", "SE-001437558")</f>
        <v>SE-001437558</v>
      </c>
      <c r="F12313" s="11"/>
      <c r="G12313" s="12">
        <v>0</v>
      </c>
      <c r="H12313" s="12">
        <v>0</v>
      </c>
      <c r="I12313" s="12">
        <v>0</v>
      </c>
      <c r="J12313" s="11"/>
      <c r="K12313" s="12">
        <v>0</v>
      </c>
      <c r="L12313" s="10" t="str">
        <f t="shared" si="912"/>
        <v>RXULTI_Branded_ DE FILIPPIS aggiornamento_ IT-RXU-2600020</v>
      </c>
      <c r="M12313" s="10" t="str">
        <f t="shared" si="913"/>
        <v>nicola.fiorese@crm.otsuka-europe.com</v>
      </c>
      <c r="N12313" s="13">
        <v>46196.390520833331</v>
      </c>
      <c r="O12313" s="14" t="str">
        <f>HYPERLINK("https://otsuka-europe-crm.veevavault.com/ui/#object/email_activity__v/V8C000000040342", "EN-002099296")</f>
        <v>EN-002099296</v>
      </c>
    </row>
    <row r="12314" spans="1:15" ht="48" x14ac:dyDescent="0.2">
      <c r="A12314" s="7" t="str">
        <f>HYPERLINK("https://otsuka-europe-crm.veevavault.com/ui/#object/account__v/V4T00000000Y165", "CINZIA CIRELLI")</f>
        <v>CINZIA CIRELLI</v>
      </c>
      <c r="B12314" s="7" t="str">
        <f t="shared" si="910"/>
        <v>IT</v>
      </c>
      <c r="C12314" s="8" t="s">
        <v>44</v>
      </c>
      <c r="D12314" s="9" t="str">
        <f t="shared" si="911"/>
        <v>RXULTI_Branded_ DE FILIPPIS aggiornamento_ IT-RXU-2600020</v>
      </c>
      <c r="E12314" s="10" t="str">
        <f>HYPERLINK("https://otsuka-europe-crm.veevavault.com/ui/#object/sent_email__v/VBL00000002X095", "SE-001437559")</f>
        <v>SE-001437559</v>
      </c>
      <c r="F12314" s="11"/>
      <c r="G12314" s="12">
        <v>0</v>
      </c>
      <c r="H12314" s="12">
        <v>0</v>
      </c>
      <c r="I12314" s="12">
        <v>0</v>
      </c>
      <c r="J12314" s="11"/>
      <c r="K12314" s="12">
        <v>0</v>
      </c>
      <c r="L12314" s="10" t="str">
        <f t="shared" si="912"/>
        <v>RXULTI_Branded_ DE FILIPPIS aggiornamento_ IT-RXU-2600020</v>
      </c>
      <c r="M12314" s="10" t="str">
        <f t="shared" si="913"/>
        <v>nicola.fiorese@crm.otsuka-europe.com</v>
      </c>
      <c r="N12314" s="13">
        <v>46196.390810185185</v>
      </c>
      <c r="O12314" s="14" t="str">
        <f>HYPERLINK("https://otsuka-europe-crm.veevavault.com/ui/#object/email_activity__v/V8C00000003Z329", "EN-002099297")</f>
        <v>EN-002099297</v>
      </c>
    </row>
    <row r="12315" spans="1:15" ht="16" x14ac:dyDescent="0.2">
      <c r="A12315" s="17" t="str">
        <f>HYPERLINK("https://otsuka-europe-crm.veevavault.com/ui/#object/account__v/V4TZ04ASGCYK4A1", "FABRIZIO COLASANTE")</f>
        <v>FABRIZIO COLASANTE</v>
      </c>
      <c r="B12315" s="17" t="str">
        <f t="shared" si="910"/>
        <v>IT</v>
      </c>
      <c r="C12315" s="20" t="s">
        <v>44</v>
      </c>
      <c r="D12315" s="21" t="str">
        <f t="shared" si="911"/>
        <v>RXULTI_Branded_ DE FILIPPIS aggiornamento_ IT-RXU-2600020</v>
      </c>
      <c r="E12315" s="22" t="str">
        <f>HYPERLINK("https://otsuka-europe-crm.veevavault.com/ui/#object/sent_email__v/VBL00000002X096", "SE-001437560")</f>
        <v>SE-001437560</v>
      </c>
      <c r="F12315" s="25"/>
      <c r="G12315" s="24">
        <v>0</v>
      </c>
      <c r="H12315" s="24">
        <v>0</v>
      </c>
      <c r="I12315" s="24">
        <v>0</v>
      </c>
      <c r="J12315" s="25"/>
      <c r="K12315" s="24">
        <v>0</v>
      </c>
      <c r="L12315" s="22" t="str">
        <f t="shared" si="912"/>
        <v>RXULTI_Branded_ DE FILIPPIS aggiornamento_ IT-RXU-2600020</v>
      </c>
      <c r="M12315" s="22" t="str">
        <f t="shared" si="913"/>
        <v>nicola.fiorese@crm.otsuka-europe.com</v>
      </c>
      <c r="N12315" s="23">
        <v>46196.391053240739</v>
      </c>
      <c r="O12315" s="14" t="str">
        <f>HYPERLINK("https://otsuka-europe-crm.veevavault.com/ui/#object/email_activity__v/V8C00000003Z331", "EN-002099299")</f>
        <v>EN-002099299</v>
      </c>
    </row>
    <row r="12316" spans="1:15" ht="16" x14ac:dyDescent="0.2">
      <c r="A12316" s="19"/>
      <c r="B12316" s="19"/>
      <c r="C12316" s="19"/>
      <c r="D12316" s="19"/>
      <c r="E12316" s="19"/>
      <c r="F12316" s="19"/>
      <c r="G12316" s="19"/>
      <c r="H12316" s="19"/>
      <c r="I12316" s="19"/>
      <c r="J12316" s="19"/>
      <c r="K12316" s="19"/>
      <c r="L12316" s="19"/>
      <c r="M12316" s="19"/>
      <c r="N12316" s="19"/>
      <c r="O12316" s="14" t="str">
        <f>HYPERLINK("https://otsuka-europe-crm.veevavault.com/ui/#object/email_activity__v/V8C000000041350", "EN-002100382")</f>
        <v>EN-002100382</v>
      </c>
    </row>
    <row r="12317" spans="1:15" ht="48" x14ac:dyDescent="0.2">
      <c r="A12317" s="7" t="str">
        <f>HYPERLINK("https://otsuka-europe-crm.veevavault.com/ui/#object/account__v/V4TZ06G6O71SB39", "PAOLA CORSINI")</f>
        <v>PAOLA CORSINI</v>
      </c>
      <c r="B12317" s="7" t="str">
        <f>HYPERLINK("https://otsuka-europe-crm.veevavault.com/ui/#object/vcountry__v/VENZ000004SONFQ", "IT")</f>
        <v>IT</v>
      </c>
      <c r="C12317" s="8" t="s">
        <v>44</v>
      </c>
      <c r="D12317" s="9" t="str">
        <f>HYPERLINK("https://otsuka-europe-crm.veevavault.com/ui/#object/approved_document__v/V5O00000001H009", "RXULTI_Branded_ DE FILIPPIS aggiornamento_ IT-RXU-2600020")</f>
        <v>RXULTI_Branded_ DE FILIPPIS aggiornamento_ IT-RXU-2600020</v>
      </c>
      <c r="E12317" s="10" t="str">
        <f>HYPERLINK("https://otsuka-europe-crm.veevavault.com/ui/#object/sent_email__v/VBL00000002X097", "SE-001437561")</f>
        <v>SE-001437561</v>
      </c>
      <c r="F12317" s="11"/>
      <c r="G12317" s="12">
        <v>0</v>
      </c>
      <c r="H12317" s="12">
        <v>0</v>
      </c>
      <c r="I12317" s="12">
        <v>0</v>
      </c>
      <c r="J12317" s="11"/>
      <c r="K12317" s="12">
        <v>0</v>
      </c>
      <c r="L12317" s="10" t="str">
        <f>HYPERLINK("https://otsuka-europe-crm.veevavault.com/ui/#object/approved_document__v/V5O00000001H009", "RXULTI_Branded_ DE FILIPPIS aggiornamento_ IT-RXU-2600020")</f>
        <v>RXULTI_Branded_ DE FILIPPIS aggiornamento_ IT-RXU-2600020</v>
      </c>
      <c r="M12317" s="10" t="str">
        <f>HYPERLINK("mailto:nicola.fiorese@crm.otsuka-europe.com", "nicola.fiorese@crm.otsuka-europe.com")</f>
        <v>nicola.fiorese@crm.otsuka-europe.com</v>
      </c>
      <c r="N12317" s="13">
        <v>46196.391192129631</v>
      </c>
      <c r="O12317" s="14" t="str">
        <f>HYPERLINK("https://otsuka-europe-crm.veevavault.com/ui/#object/email_activity__v/V8C000000040343", "EN-002099300")</f>
        <v>EN-002099300</v>
      </c>
    </row>
    <row r="12318" spans="1:15" ht="16" x14ac:dyDescent="0.2">
      <c r="A12318" s="17" t="str">
        <f>HYPERLINK("https://otsuka-europe-crm.veevavault.com/ui/#object/account__v/V4TZ06G6O71S9OV", "ALESSANDRA CRESCINI")</f>
        <v>ALESSANDRA CRESCINI</v>
      </c>
      <c r="B12318" s="17" t="str">
        <f>HYPERLINK("https://otsuka-europe-crm.veevavault.com/ui/#object/vcountry__v/VENZ000004SONFQ", "IT")</f>
        <v>IT</v>
      </c>
      <c r="C12318" s="20" t="s">
        <v>44</v>
      </c>
      <c r="D12318" s="21" t="str">
        <f>HYPERLINK("https://otsuka-europe-crm.veevavault.com/ui/#object/approved_document__v/V5O00000001H009", "RXULTI_Branded_ DE FILIPPIS aggiornamento_ IT-RXU-2600020")</f>
        <v>RXULTI_Branded_ DE FILIPPIS aggiornamento_ IT-RXU-2600020</v>
      </c>
      <c r="E12318" s="22" t="str">
        <f>HYPERLINK("https://otsuka-europe-crm.veevavault.com/ui/#object/sent_email__v/VBL00000002X098", "SE-001437562")</f>
        <v>SE-001437562</v>
      </c>
      <c r="F12318" s="23">
        <v>46203.039976851855</v>
      </c>
      <c r="G12318" s="24">
        <v>1</v>
      </c>
      <c r="H12318" s="24">
        <v>8</v>
      </c>
      <c r="I12318" s="24">
        <v>0</v>
      </c>
      <c r="J12318" s="25"/>
      <c r="K12318" s="24">
        <v>0</v>
      </c>
      <c r="L12318" s="22" t="str">
        <f>HYPERLINK("https://otsuka-europe-crm.veevavault.com/ui/#object/approved_document__v/V5O00000001H009", "RXULTI_Branded_ DE FILIPPIS aggiornamento_ IT-RXU-2600020")</f>
        <v>RXULTI_Branded_ DE FILIPPIS aggiornamento_ IT-RXU-2600020</v>
      </c>
      <c r="M12318" s="22" t="str">
        <f>HYPERLINK("mailto:nicola.fiorese@crm.otsuka-europe.com", "nicola.fiorese@crm.otsuka-europe.com")</f>
        <v>nicola.fiorese@crm.otsuka-europe.com</v>
      </c>
      <c r="N12318" s="23">
        <v>46196.391562500001</v>
      </c>
      <c r="O12318" s="14" t="str">
        <f>HYPERLINK("https://otsuka-europe-crm.veevavault.com/ui/#object/email_activity__v/V8C00000003Z407", "EN-002099485")</f>
        <v>EN-002099485</v>
      </c>
    </row>
    <row r="12319" spans="1:15" ht="16" x14ac:dyDescent="0.2">
      <c r="A12319" s="18"/>
      <c r="B12319" s="18"/>
      <c r="C12319" s="18"/>
      <c r="D12319" s="18"/>
      <c r="E12319" s="18"/>
      <c r="F12319" s="18"/>
      <c r="G12319" s="18"/>
      <c r="H12319" s="18"/>
      <c r="I12319" s="18"/>
      <c r="J12319" s="18"/>
      <c r="K12319" s="18"/>
      <c r="L12319" s="18"/>
      <c r="M12319" s="18"/>
      <c r="N12319" s="18"/>
      <c r="O12319" s="14" t="str">
        <f>HYPERLINK("https://otsuka-europe-crm.veevavault.com/ui/#object/email_activity__v/V8C00000003Z413", "EN-002099497")</f>
        <v>EN-002099497</v>
      </c>
    </row>
    <row r="12320" spans="1:15" ht="16" x14ac:dyDescent="0.2">
      <c r="A12320" s="18"/>
      <c r="B12320" s="18"/>
      <c r="C12320" s="18"/>
      <c r="D12320" s="18"/>
      <c r="E12320" s="18"/>
      <c r="F12320" s="18"/>
      <c r="G12320" s="18"/>
      <c r="H12320" s="18"/>
      <c r="I12320" s="18"/>
      <c r="J12320" s="18"/>
      <c r="K12320" s="18"/>
      <c r="L12320" s="18"/>
      <c r="M12320" s="18"/>
      <c r="N12320" s="18"/>
      <c r="O12320" s="14" t="str">
        <f>HYPERLINK("https://otsuka-europe-crm.veevavault.com/ui/#object/email_activity__v/V8C00000003Z414", "EN-002099498")</f>
        <v>EN-002099498</v>
      </c>
    </row>
    <row r="12321" spans="1:15" ht="16" x14ac:dyDescent="0.2">
      <c r="A12321" s="18"/>
      <c r="B12321" s="18"/>
      <c r="C12321" s="18"/>
      <c r="D12321" s="18"/>
      <c r="E12321" s="18"/>
      <c r="F12321" s="18"/>
      <c r="G12321" s="18"/>
      <c r="H12321" s="18"/>
      <c r="I12321" s="18"/>
      <c r="J12321" s="18"/>
      <c r="K12321" s="18"/>
      <c r="L12321" s="18"/>
      <c r="M12321" s="18"/>
      <c r="N12321" s="18"/>
      <c r="O12321" s="14" t="str">
        <f>HYPERLINK("https://otsuka-europe-crm.veevavault.com/ui/#object/email_activity__v/V8C000000040344", "EN-002099301")</f>
        <v>EN-002099301</v>
      </c>
    </row>
    <row r="12322" spans="1:15" ht="16" x14ac:dyDescent="0.2">
      <c r="A12322" s="18"/>
      <c r="B12322" s="18"/>
      <c r="C12322" s="18"/>
      <c r="D12322" s="18"/>
      <c r="E12322" s="18"/>
      <c r="F12322" s="18"/>
      <c r="G12322" s="18"/>
      <c r="H12322" s="18"/>
      <c r="I12322" s="18"/>
      <c r="J12322" s="18"/>
      <c r="K12322" s="18"/>
      <c r="L12322" s="18"/>
      <c r="M12322" s="18"/>
      <c r="N12322" s="18"/>
      <c r="O12322" s="14" t="str">
        <f>HYPERLINK("https://otsuka-europe-crm.veevavault.com/ui/#object/email_activity__v/V8C000000041291", "EN-002100253")</f>
        <v>EN-002100253</v>
      </c>
    </row>
    <row r="12323" spans="1:15" ht="16" x14ac:dyDescent="0.2">
      <c r="A12323" s="18"/>
      <c r="B12323" s="18"/>
      <c r="C12323" s="18"/>
      <c r="D12323" s="18"/>
      <c r="E12323" s="18"/>
      <c r="F12323" s="18"/>
      <c r="G12323" s="18"/>
      <c r="H12323" s="18"/>
      <c r="I12323" s="18"/>
      <c r="J12323" s="18"/>
      <c r="K12323" s="18"/>
      <c r="L12323" s="18"/>
      <c r="M12323" s="18"/>
      <c r="N12323" s="18"/>
      <c r="O12323" s="14" t="str">
        <f>HYPERLINK("https://otsuka-europe-crm.veevavault.com/ui/#object/email_activity__v/V8C000000041292", "EN-002100254")</f>
        <v>EN-002100254</v>
      </c>
    </row>
    <row r="12324" spans="1:15" ht="16" x14ac:dyDescent="0.2">
      <c r="A12324" s="18"/>
      <c r="B12324" s="18"/>
      <c r="C12324" s="18"/>
      <c r="D12324" s="18"/>
      <c r="E12324" s="18"/>
      <c r="F12324" s="18"/>
      <c r="G12324" s="18"/>
      <c r="H12324" s="18"/>
      <c r="I12324" s="18"/>
      <c r="J12324" s="18"/>
      <c r="K12324" s="18"/>
      <c r="L12324" s="18"/>
      <c r="M12324" s="18"/>
      <c r="N12324" s="18"/>
      <c r="O12324" s="14" t="str">
        <f>HYPERLINK("https://otsuka-europe-crm.veevavault.com/ui/#object/email_activity__v/V8C000000041322", "EN-002100319")</f>
        <v>EN-002100319</v>
      </c>
    </row>
    <row r="12325" spans="1:15" ht="16" x14ac:dyDescent="0.2">
      <c r="A12325" s="18"/>
      <c r="B12325" s="18"/>
      <c r="C12325" s="18"/>
      <c r="D12325" s="18"/>
      <c r="E12325" s="18"/>
      <c r="F12325" s="18"/>
      <c r="G12325" s="18"/>
      <c r="H12325" s="18"/>
      <c r="I12325" s="18"/>
      <c r="J12325" s="18"/>
      <c r="K12325" s="18"/>
      <c r="L12325" s="18"/>
      <c r="M12325" s="18"/>
      <c r="N12325" s="18"/>
      <c r="O12325" s="14" t="str">
        <f>HYPERLINK("https://otsuka-europe-crm.veevavault.com/ui/#object/email_activity__v/V8C000000041498", "EN-002100654")</f>
        <v>EN-002100654</v>
      </c>
    </row>
    <row r="12326" spans="1:15" ht="16" x14ac:dyDescent="0.2">
      <c r="A12326" s="19"/>
      <c r="B12326" s="19"/>
      <c r="C12326" s="19"/>
      <c r="D12326" s="19"/>
      <c r="E12326" s="19"/>
      <c r="F12326" s="19"/>
      <c r="G12326" s="19"/>
      <c r="H12326" s="19"/>
      <c r="I12326" s="19"/>
      <c r="J12326" s="19"/>
      <c r="K12326" s="19"/>
      <c r="L12326" s="19"/>
      <c r="M12326" s="19"/>
      <c r="N12326" s="19"/>
      <c r="O12326" s="14" t="str">
        <f>HYPERLINK("https://otsuka-europe-crm.veevavault.com/ui/#object/email_activity__v/V8C000000042272", "EN-002100255")</f>
        <v>EN-002100255</v>
      </c>
    </row>
    <row r="12327" spans="1:15" ht="48" x14ac:dyDescent="0.2">
      <c r="A12327" s="7" t="str">
        <f>HYPERLINK("https://otsuka-europe-crm.veevavault.com/ui/#object/account__v/V4TZ06G6O71SB4E", "LAURA CRIPPA")</f>
        <v>LAURA CRIPPA</v>
      </c>
      <c r="B12327" s="7" t="str">
        <f>HYPERLINK("https://otsuka-europe-crm.veevavault.com/ui/#object/vcountry__v/VENZ000004SONFQ", "IT")</f>
        <v>IT</v>
      </c>
      <c r="C12327" s="8" t="s">
        <v>44</v>
      </c>
      <c r="D12327" s="9" t="str">
        <f>HYPERLINK("https://otsuka-europe-crm.veevavault.com/ui/#object/approved_document__v/V5O00000001H009", "RXULTI_Branded_ DE FILIPPIS aggiornamento_ IT-RXU-2600020")</f>
        <v>RXULTI_Branded_ DE FILIPPIS aggiornamento_ IT-RXU-2600020</v>
      </c>
      <c r="E12327" s="10" t="str">
        <f>HYPERLINK("https://otsuka-europe-crm.veevavault.com/ui/#object/sent_email__v/VBL00000002X099", "SE-001437563")</f>
        <v>SE-001437563</v>
      </c>
      <c r="F12327" s="11"/>
      <c r="G12327" s="12">
        <v>0</v>
      </c>
      <c r="H12327" s="12">
        <v>0</v>
      </c>
      <c r="I12327" s="12">
        <v>0</v>
      </c>
      <c r="J12327" s="11"/>
      <c r="K12327" s="12">
        <v>0</v>
      </c>
      <c r="L12327" s="10" t="str">
        <f>HYPERLINK("https://otsuka-europe-crm.veevavault.com/ui/#object/approved_document__v/V5O00000001H009", "RXULTI_Branded_ DE FILIPPIS aggiornamento_ IT-RXU-2600020")</f>
        <v>RXULTI_Branded_ DE FILIPPIS aggiornamento_ IT-RXU-2600020</v>
      </c>
      <c r="M12327" s="10" t="str">
        <f>HYPERLINK("mailto:nicola.fiorese@crm.otsuka-europe.com", "nicola.fiorese@crm.otsuka-europe.com")</f>
        <v>nicola.fiorese@crm.otsuka-europe.com</v>
      </c>
      <c r="N12327" s="13">
        <v>46196.391851851855</v>
      </c>
      <c r="O12327" s="14" t="str">
        <f>HYPERLINK("https://otsuka-europe-crm.veevavault.com/ui/#object/email_activity__v/V8C00000003Z332", "EN-002099302")</f>
        <v>EN-002099302</v>
      </c>
    </row>
    <row r="12328" spans="1:15" ht="48" x14ac:dyDescent="0.2">
      <c r="A12328" s="7" t="str">
        <f>HYPERLINK("https://otsuka-europe-crm.veevavault.com/ui/#object/account__v/V4T00000001Y011", "ELVIRA DE LEO")</f>
        <v>ELVIRA DE LEO</v>
      </c>
      <c r="B12328" s="7" t="str">
        <f>HYPERLINK("https://otsuka-europe-crm.veevavault.com/ui/#object/vcountry__v/VENZ000004SONFQ", "IT")</f>
        <v>IT</v>
      </c>
      <c r="C12328" s="8" t="s">
        <v>44</v>
      </c>
      <c r="D12328" s="9" t="str">
        <f>HYPERLINK("https://otsuka-europe-crm.veevavault.com/ui/#object/approved_document__v/V5O00000001H009", "RXULTI_Branded_ DE FILIPPIS aggiornamento_ IT-RXU-2600020")</f>
        <v>RXULTI_Branded_ DE FILIPPIS aggiornamento_ IT-RXU-2600020</v>
      </c>
      <c r="E12328" s="10" t="str">
        <f>HYPERLINK("https://otsuka-europe-crm.veevavault.com/ui/#object/sent_email__v/VBL00000002X100", "SE-001437564")</f>
        <v>SE-001437564</v>
      </c>
      <c r="F12328" s="11"/>
      <c r="G12328" s="12">
        <v>0</v>
      </c>
      <c r="H12328" s="12">
        <v>0</v>
      </c>
      <c r="I12328" s="12">
        <v>0</v>
      </c>
      <c r="J12328" s="11"/>
      <c r="K12328" s="12">
        <v>0</v>
      </c>
      <c r="L12328" s="10" t="str">
        <f>HYPERLINK("https://otsuka-europe-crm.veevavault.com/ui/#object/approved_document__v/V5O00000001H009", "RXULTI_Branded_ DE FILIPPIS aggiornamento_ IT-RXU-2600020")</f>
        <v>RXULTI_Branded_ DE FILIPPIS aggiornamento_ IT-RXU-2600020</v>
      </c>
      <c r="M12328" s="10" t="str">
        <f>HYPERLINK("mailto:nicola.fiorese@crm.otsuka-europe.com", "nicola.fiorese@crm.otsuka-europe.com")</f>
        <v>nicola.fiorese@crm.otsuka-europe.com</v>
      </c>
      <c r="N12328" s="13">
        <v>46196.392129629632</v>
      </c>
      <c r="O12328" s="14" t="str">
        <f>HYPERLINK("https://otsuka-europe-crm.veevavault.com/ui/#object/email_activity__v/V8C000000040345", "EN-002099303")</f>
        <v>EN-002099303</v>
      </c>
    </row>
    <row r="12329" spans="1:15" ht="48" x14ac:dyDescent="0.2">
      <c r="A12329" s="7" t="str">
        <f>HYPERLINK("https://otsuka-europe-crm.veevavault.com/ui/#object/account__v/V4TZ06G6O71SAF7", "ELISABETTA DARU'")</f>
        <v>ELISABETTA DARU'</v>
      </c>
      <c r="B12329" s="7" t="str">
        <f>HYPERLINK("https://otsuka-europe-crm.veevavault.com/ui/#object/vcountry__v/VENZ000004SONFQ", "IT")</f>
        <v>IT</v>
      </c>
      <c r="C12329" s="8" t="s">
        <v>44</v>
      </c>
      <c r="D12329" s="9" t="str">
        <f>HYPERLINK("https://otsuka-europe-crm.veevavault.com/ui/#object/approved_document__v/V5O00000001H009", "RXULTI_Branded_ DE FILIPPIS aggiornamento_ IT-RXU-2600020")</f>
        <v>RXULTI_Branded_ DE FILIPPIS aggiornamento_ IT-RXU-2600020</v>
      </c>
      <c r="E12329" s="10" t="str">
        <f>HYPERLINK("https://otsuka-europe-crm.veevavault.com/ui/#object/sent_email__v/VBL00000002X101", "SE-001437565")</f>
        <v>SE-001437565</v>
      </c>
      <c r="F12329" s="11"/>
      <c r="G12329" s="12">
        <v>0</v>
      </c>
      <c r="H12329" s="12">
        <v>0</v>
      </c>
      <c r="I12329" s="12">
        <v>0</v>
      </c>
      <c r="J12329" s="11"/>
      <c r="K12329" s="12">
        <v>0</v>
      </c>
      <c r="L12329" s="10" t="str">
        <f>HYPERLINK("https://otsuka-europe-crm.veevavault.com/ui/#object/approved_document__v/V5O00000001H009", "RXULTI_Branded_ DE FILIPPIS aggiornamento_ IT-RXU-2600020")</f>
        <v>RXULTI_Branded_ DE FILIPPIS aggiornamento_ IT-RXU-2600020</v>
      </c>
      <c r="M12329" s="10" t="str">
        <f>HYPERLINK("mailto:nicola.fiorese@crm.otsuka-europe.com", "nicola.fiorese@crm.otsuka-europe.com")</f>
        <v>nicola.fiorese@crm.otsuka-europe.com</v>
      </c>
      <c r="N12329" s="13">
        <v>46196.392418981479</v>
      </c>
      <c r="O12329" s="14" t="str">
        <f>HYPERLINK("https://otsuka-europe-crm.veevavault.com/ui/#object/email_activity__v/V8C000000040346", "EN-002099304")</f>
        <v>EN-002099304</v>
      </c>
    </row>
    <row r="12330" spans="1:15" ht="16" x14ac:dyDescent="0.2">
      <c r="A12330" s="17" t="str">
        <f>HYPERLINK("https://otsuka-europe-crm.veevavault.com/ui/#object/account__v/V4TZ06G6O71SAFA", "FABRIZIO D'ARIENZO")</f>
        <v>FABRIZIO D'ARIENZO</v>
      </c>
      <c r="B12330" s="17" t="str">
        <f>HYPERLINK("https://otsuka-europe-crm.veevavault.com/ui/#object/vcountry__v/VENZ000004SONFQ", "IT")</f>
        <v>IT</v>
      </c>
      <c r="C12330" s="20" t="s">
        <v>44</v>
      </c>
      <c r="D12330" s="21" t="str">
        <f>HYPERLINK("https://otsuka-europe-crm.veevavault.com/ui/#object/approved_document__v/V5O00000001H009", "RXULTI_Branded_ DE FILIPPIS aggiornamento_ IT-RXU-2600020")</f>
        <v>RXULTI_Branded_ DE FILIPPIS aggiornamento_ IT-RXU-2600020</v>
      </c>
      <c r="E12330" s="22" t="str">
        <f>HYPERLINK("https://otsuka-europe-crm.veevavault.com/ui/#object/sent_email__v/VBL00000002X102", "SE-001437566")</f>
        <v>SE-001437566</v>
      </c>
      <c r="F12330" s="23">
        <v>46198.322835648149</v>
      </c>
      <c r="G12330" s="24">
        <v>1</v>
      </c>
      <c r="H12330" s="24">
        <v>1</v>
      </c>
      <c r="I12330" s="24">
        <v>0</v>
      </c>
      <c r="J12330" s="25"/>
      <c r="K12330" s="24">
        <v>0</v>
      </c>
      <c r="L12330" s="22" t="str">
        <f>HYPERLINK("https://otsuka-europe-crm.veevavault.com/ui/#object/approved_document__v/V5O00000001H009", "RXULTI_Branded_ DE FILIPPIS aggiornamento_ IT-RXU-2600020")</f>
        <v>RXULTI_Branded_ DE FILIPPIS aggiornamento_ IT-RXU-2600020</v>
      </c>
      <c r="M12330" s="22" t="str">
        <f>HYPERLINK("mailto:nicola.fiorese@crm.otsuka-europe.com", "nicola.fiorese@crm.otsuka-europe.com")</f>
        <v>nicola.fiorese@crm.otsuka-europe.com</v>
      </c>
      <c r="N12330" s="23">
        <v>46196.39271990741</v>
      </c>
      <c r="O12330" s="14" t="str">
        <f>HYPERLINK("https://otsuka-europe-crm.veevavault.com/ui/#object/email_activity__v/V8C00000003Z333", "EN-002099305")</f>
        <v>EN-002099305</v>
      </c>
    </row>
    <row r="12331" spans="1:15" ht="16" x14ac:dyDescent="0.2">
      <c r="A12331" s="19"/>
      <c r="B12331" s="19"/>
      <c r="C12331" s="19"/>
      <c r="D12331" s="19"/>
      <c r="E12331" s="19"/>
      <c r="F12331" s="19"/>
      <c r="G12331" s="19"/>
      <c r="H12331" s="19"/>
      <c r="I12331" s="19"/>
      <c r="J12331" s="19"/>
      <c r="K12331" s="19"/>
      <c r="L12331" s="19"/>
      <c r="M12331" s="19"/>
      <c r="N12331" s="19"/>
      <c r="O12331" s="14" t="str">
        <f>HYPERLINK("https://otsuka-europe-crm.veevavault.com/ui/#object/email_activity__v/V8C000000040538", "EN-002099639")</f>
        <v>EN-002099639</v>
      </c>
    </row>
    <row r="12332" spans="1:15" ht="16" x14ac:dyDescent="0.2">
      <c r="A12332" s="17" t="str">
        <f>HYPERLINK("https://otsuka-europe-crm.veevavault.com/ui/#object/account__v/V4TZ06G6O71SAH7", "ENRICA DI ROSA")</f>
        <v>ENRICA DI ROSA</v>
      </c>
      <c r="B12332" s="17" t="str">
        <f>HYPERLINK("https://otsuka-europe-crm.veevavault.com/ui/#object/vcountry__v/VENZ000004SONFQ", "IT")</f>
        <v>IT</v>
      </c>
      <c r="C12332" s="20" t="s">
        <v>44</v>
      </c>
      <c r="D12332" s="21" t="str">
        <f>HYPERLINK("https://otsuka-europe-crm.veevavault.com/ui/#object/approved_document__v/V5O00000001H009", "RXULTI_Branded_ DE FILIPPIS aggiornamento_ IT-RXU-2600020")</f>
        <v>RXULTI_Branded_ DE FILIPPIS aggiornamento_ IT-RXU-2600020</v>
      </c>
      <c r="E12332" s="22" t="str">
        <f>HYPERLINK("https://otsuka-europe-crm.veevavault.com/ui/#object/sent_email__v/VBL00000002X103", "SE-001437567")</f>
        <v>SE-001437567</v>
      </c>
      <c r="F12332" s="23">
        <v>46202.739583333336</v>
      </c>
      <c r="G12332" s="24">
        <v>1</v>
      </c>
      <c r="H12332" s="24">
        <v>1</v>
      </c>
      <c r="I12332" s="24">
        <v>0</v>
      </c>
      <c r="J12332" s="25"/>
      <c r="K12332" s="24">
        <v>0</v>
      </c>
      <c r="L12332" s="22" t="str">
        <f>HYPERLINK("https://otsuka-europe-crm.veevavault.com/ui/#object/approved_document__v/V5O00000001H009", "RXULTI_Branded_ DE FILIPPIS aggiornamento_ IT-RXU-2600020")</f>
        <v>RXULTI_Branded_ DE FILIPPIS aggiornamento_ IT-RXU-2600020</v>
      </c>
      <c r="M12332" s="22" t="str">
        <f>HYPERLINK("mailto:nicola.fiorese@crm.otsuka-europe.com", "nicola.fiorese@crm.otsuka-europe.com")</f>
        <v>nicola.fiorese@crm.otsuka-europe.com</v>
      </c>
      <c r="N12332" s="23">
        <v>46196.392893518518</v>
      </c>
      <c r="O12332" s="14" t="str">
        <f>HYPERLINK("https://otsuka-europe-crm.veevavault.com/ui/#object/email_activity__v/V8C000000040347", "EN-002099306")</f>
        <v>EN-002099306</v>
      </c>
    </row>
    <row r="12333" spans="1:15" ht="16" x14ac:dyDescent="0.2">
      <c r="A12333" s="19"/>
      <c r="B12333" s="19"/>
      <c r="C12333" s="19"/>
      <c r="D12333" s="19"/>
      <c r="E12333" s="19"/>
      <c r="F12333" s="19"/>
      <c r="G12333" s="19"/>
      <c r="H12333" s="19"/>
      <c r="I12333" s="19"/>
      <c r="J12333" s="19"/>
      <c r="K12333" s="19"/>
      <c r="L12333" s="19"/>
      <c r="M12333" s="19"/>
      <c r="N12333" s="19"/>
      <c r="O12333" s="14" t="str">
        <f>HYPERLINK("https://otsuka-europe-crm.veevavault.com/ui/#object/email_activity__v/V8C000000042456", "EN-002100625")</f>
        <v>EN-002100625</v>
      </c>
    </row>
    <row r="12334" spans="1:15" ht="48" x14ac:dyDescent="0.2">
      <c r="A12334" s="7" t="str">
        <f>HYPERLINK("https://otsuka-europe-crm.veevavault.com/ui/#object/account__v/V4TZ06G6O71SAI0", "ALESSANDRA DONNARUMMA")</f>
        <v>ALESSANDRA DONNARUMMA</v>
      </c>
      <c r="B12334" s="7" t="str">
        <f>HYPERLINK("https://otsuka-europe-crm.veevavault.com/ui/#object/vcountry__v/VENZ000004SONFQ", "IT")</f>
        <v>IT</v>
      </c>
      <c r="C12334" s="8" t="s">
        <v>44</v>
      </c>
      <c r="D12334" s="9" t="str">
        <f>HYPERLINK("https://otsuka-europe-crm.veevavault.com/ui/#object/approved_document__v/V5O00000001H009", "RXULTI_Branded_ DE FILIPPIS aggiornamento_ IT-RXU-2600020")</f>
        <v>RXULTI_Branded_ DE FILIPPIS aggiornamento_ IT-RXU-2600020</v>
      </c>
      <c r="E12334" s="10" t="str">
        <f>HYPERLINK("https://otsuka-europe-crm.veevavault.com/ui/#object/sent_email__v/VBL00000002X104", "SE-001437568")</f>
        <v>SE-001437568</v>
      </c>
      <c r="F12334" s="11"/>
      <c r="G12334" s="12">
        <v>0</v>
      </c>
      <c r="H12334" s="12">
        <v>0</v>
      </c>
      <c r="I12334" s="12">
        <v>0</v>
      </c>
      <c r="J12334" s="11"/>
      <c r="K12334" s="12">
        <v>0</v>
      </c>
      <c r="L12334" s="10" t="str">
        <f>HYPERLINK("https://otsuka-europe-crm.veevavault.com/ui/#object/approved_document__v/V5O00000001H009", "RXULTI_Branded_ DE FILIPPIS aggiornamento_ IT-RXU-2600020")</f>
        <v>RXULTI_Branded_ DE FILIPPIS aggiornamento_ IT-RXU-2600020</v>
      </c>
      <c r="M12334" s="10" t="str">
        <f>HYPERLINK("mailto:nicola.fiorese@crm.otsuka-europe.com", "nicola.fiorese@crm.otsuka-europe.com")</f>
        <v>nicola.fiorese@crm.otsuka-europe.com</v>
      </c>
      <c r="N12334" s="13">
        <v>46196.393125000002</v>
      </c>
      <c r="O12334" s="14" t="str">
        <f>HYPERLINK("https://otsuka-europe-crm.veevavault.com/ui/#object/email_activity__v/V8C000000040348", "EN-002099307")</f>
        <v>EN-002099307</v>
      </c>
    </row>
    <row r="12335" spans="1:15" ht="16" x14ac:dyDescent="0.2">
      <c r="A12335" s="17" t="str">
        <f>HYPERLINK("https://otsuka-europe-crm.veevavault.com/ui/#object/account__v/V4TZ025E85CSQ0J", "LAURA CHIARA FERRARIN")</f>
        <v>LAURA CHIARA FERRARIN</v>
      </c>
      <c r="B12335" s="17" t="str">
        <f>HYPERLINK("https://otsuka-europe-crm.veevavault.com/ui/#object/vcountry__v/VENZ000004SONFQ", "IT")</f>
        <v>IT</v>
      </c>
      <c r="C12335" s="20" t="s">
        <v>44</v>
      </c>
      <c r="D12335" s="21" t="str">
        <f>HYPERLINK("https://otsuka-europe-crm.veevavault.com/ui/#object/approved_document__v/V5O00000001H009", "RXULTI_Branded_ DE FILIPPIS aggiornamento_ IT-RXU-2600020")</f>
        <v>RXULTI_Branded_ DE FILIPPIS aggiornamento_ IT-RXU-2600020</v>
      </c>
      <c r="E12335" s="22" t="str">
        <f>HYPERLINK("https://otsuka-europe-crm.veevavault.com/ui/#object/sent_email__v/VBL00000002X105", "SE-001437569")</f>
        <v>SE-001437569</v>
      </c>
      <c r="F12335" s="23">
        <v>46196.401724537034</v>
      </c>
      <c r="G12335" s="24">
        <v>1</v>
      </c>
      <c r="H12335" s="24">
        <v>1</v>
      </c>
      <c r="I12335" s="24">
        <v>0</v>
      </c>
      <c r="J12335" s="25"/>
      <c r="K12335" s="24">
        <v>0</v>
      </c>
      <c r="L12335" s="22" t="str">
        <f>HYPERLINK("https://otsuka-europe-crm.veevavault.com/ui/#object/approved_document__v/V5O00000001H009", "RXULTI_Branded_ DE FILIPPIS aggiornamento_ IT-RXU-2600020")</f>
        <v>RXULTI_Branded_ DE FILIPPIS aggiornamento_ IT-RXU-2600020</v>
      </c>
      <c r="M12335" s="22" t="str">
        <f>HYPERLINK("mailto:nicola.fiorese@crm.otsuka-europe.com", "nicola.fiorese@crm.otsuka-europe.com")</f>
        <v>nicola.fiorese@crm.otsuka-europe.com</v>
      </c>
      <c r="N12335" s="23">
        <v>46196.393495370372</v>
      </c>
      <c r="O12335" s="14" t="str">
        <f>HYPERLINK("https://otsuka-europe-crm.veevavault.com/ui/#object/email_activity__v/V8C000000040349", "EN-002099308")</f>
        <v>EN-002099308</v>
      </c>
    </row>
    <row r="12336" spans="1:15" ht="16" x14ac:dyDescent="0.2">
      <c r="A12336" s="19"/>
      <c r="B12336" s="19"/>
      <c r="C12336" s="19"/>
      <c r="D12336" s="19"/>
      <c r="E12336" s="19"/>
      <c r="F12336" s="19"/>
      <c r="G12336" s="19"/>
      <c r="H12336" s="19"/>
      <c r="I12336" s="19"/>
      <c r="J12336" s="19"/>
      <c r="K12336" s="19"/>
      <c r="L12336" s="19"/>
      <c r="M12336" s="19"/>
      <c r="N12336" s="19"/>
      <c r="O12336" s="14" t="str">
        <f>HYPERLINK("https://otsuka-europe-crm.veevavault.com/ui/#object/email_activity__v/V8C000000040356", "EN-002099315")</f>
        <v>EN-002099315</v>
      </c>
    </row>
    <row r="12337" spans="1:15" ht="48" x14ac:dyDescent="0.2">
      <c r="A12337" s="7" t="str">
        <f>HYPERLINK("https://otsuka-europe-crm.veevavault.com/ui/#object/account__v/V4T00000001W034", "MARIA FIORE")</f>
        <v>MARIA FIORE</v>
      </c>
      <c r="B12337" s="7" t="str">
        <f>HYPERLINK("https://otsuka-europe-crm.veevavault.com/ui/#object/vcountry__v/VENZ000004SONFQ", "IT")</f>
        <v>IT</v>
      </c>
      <c r="C12337" s="8" t="s">
        <v>44</v>
      </c>
      <c r="D12337" s="9" t="str">
        <f>HYPERLINK("https://otsuka-europe-crm.veevavault.com/ui/#object/approved_document__v/V5O00000001H009", "RXULTI_Branded_ DE FILIPPIS aggiornamento_ IT-RXU-2600020")</f>
        <v>RXULTI_Branded_ DE FILIPPIS aggiornamento_ IT-RXU-2600020</v>
      </c>
      <c r="E12337" s="10" t="str">
        <f>HYPERLINK("https://otsuka-europe-crm.veevavault.com/ui/#object/sent_email__v/VBL00000002X106", "SE-001437570")</f>
        <v>SE-001437570</v>
      </c>
      <c r="F12337" s="11"/>
      <c r="G12337" s="12">
        <v>0</v>
      </c>
      <c r="H12337" s="12">
        <v>0</v>
      </c>
      <c r="I12337" s="12">
        <v>0</v>
      </c>
      <c r="J12337" s="11"/>
      <c r="K12337" s="12">
        <v>0</v>
      </c>
      <c r="L12337" s="10" t="str">
        <f>HYPERLINK("https://otsuka-europe-crm.veevavault.com/ui/#object/approved_document__v/V5O00000001H009", "RXULTI_Branded_ DE FILIPPIS aggiornamento_ IT-RXU-2600020")</f>
        <v>RXULTI_Branded_ DE FILIPPIS aggiornamento_ IT-RXU-2600020</v>
      </c>
      <c r="M12337" s="10" t="str">
        <f>HYPERLINK("mailto:nicola.fiorese@crm.otsuka-europe.com", "nicola.fiorese@crm.otsuka-europe.com")</f>
        <v>nicola.fiorese@crm.otsuka-europe.com</v>
      </c>
      <c r="N12337" s="13">
        <v>46196.393564814818</v>
      </c>
      <c r="O12337" s="14" t="str">
        <f>HYPERLINK("https://otsuka-europe-crm.veevavault.com/ui/#object/email_activity__v/V8C000000040350", "EN-002099309")</f>
        <v>EN-002099309</v>
      </c>
    </row>
    <row r="12338" spans="1:15" ht="48" x14ac:dyDescent="0.2">
      <c r="A12338" s="7" t="str">
        <f>HYPERLINK("https://otsuka-europe-crm.veevavault.com/ui/#object/account__v/V4TZ04ASGAV79EW", "JACOPO FRANCESCO FIORI")</f>
        <v>JACOPO FRANCESCO FIORI</v>
      </c>
      <c r="B12338" s="7" t="str">
        <f>HYPERLINK("https://otsuka-europe-crm.veevavault.com/ui/#object/vcountry__v/VENZ000004SONFQ", "IT")</f>
        <v>IT</v>
      </c>
      <c r="C12338" s="8" t="s">
        <v>44</v>
      </c>
      <c r="D12338" s="9" t="str">
        <f>HYPERLINK("https://otsuka-europe-crm.veevavault.com/ui/#object/approved_document__v/V5O00000001H009", "RXULTI_Branded_ DE FILIPPIS aggiornamento_ IT-RXU-2600020")</f>
        <v>RXULTI_Branded_ DE FILIPPIS aggiornamento_ IT-RXU-2600020</v>
      </c>
      <c r="E12338" s="10" t="str">
        <f>HYPERLINK("https://otsuka-europe-crm.veevavault.com/ui/#object/sent_email__v/VBL00000002X107", "SE-001437571")</f>
        <v>SE-001437571</v>
      </c>
      <c r="F12338" s="11"/>
      <c r="G12338" s="12">
        <v>0</v>
      </c>
      <c r="H12338" s="12">
        <v>0</v>
      </c>
      <c r="I12338" s="12">
        <v>0</v>
      </c>
      <c r="J12338" s="11"/>
      <c r="K12338" s="12">
        <v>0</v>
      </c>
      <c r="L12338" s="10" t="str">
        <f>HYPERLINK("https://otsuka-europe-crm.veevavault.com/ui/#object/approved_document__v/V5O00000001H009", "RXULTI_Branded_ DE FILIPPIS aggiornamento_ IT-RXU-2600020")</f>
        <v>RXULTI_Branded_ DE FILIPPIS aggiornamento_ IT-RXU-2600020</v>
      </c>
      <c r="M12338" s="10" t="str">
        <f>HYPERLINK("mailto:nicola.fiorese@crm.otsuka-europe.com", "nicola.fiorese@crm.otsuka-europe.com")</f>
        <v>nicola.fiorese@crm.otsuka-europe.com</v>
      </c>
      <c r="N12338" s="13">
        <v>46196.393819444442</v>
      </c>
      <c r="O12338" s="14" t="str">
        <f>HYPERLINK("https://otsuka-europe-crm.veevavault.com/ui/#object/email_activity__v/V8C000000040351", "EN-002099310")</f>
        <v>EN-002099310</v>
      </c>
    </row>
    <row r="12339" spans="1:15" ht="16" x14ac:dyDescent="0.2">
      <c r="A12339" s="17" t="str">
        <f>HYPERLINK("https://otsuka-europe-crm.veevavault.com/ui/#object/account__v/V4TZ06G6O71S9DF", "LAURA FUSARO")</f>
        <v>LAURA FUSARO</v>
      </c>
      <c r="B12339" s="17" t="str">
        <f>HYPERLINK("https://otsuka-europe-crm.veevavault.com/ui/#object/vcountry__v/VENZ000004SONFQ", "IT")</f>
        <v>IT</v>
      </c>
      <c r="C12339" s="20" t="s">
        <v>44</v>
      </c>
      <c r="D12339" s="21" t="str">
        <f>HYPERLINK("https://otsuka-europe-crm.veevavault.com/ui/#object/approved_document__v/V5O00000001H009", "RXULTI_Branded_ DE FILIPPIS aggiornamento_ IT-RXU-2600020")</f>
        <v>RXULTI_Branded_ DE FILIPPIS aggiornamento_ IT-RXU-2600020</v>
      </c>
      <c r="E12339" s="22" t="str">
        <f>HYPERLINK("https://otsuka-europe-crm.veevavault.com/ui/#object/sent_email__v/VBL00000002X108", "SE-001437572")</f>
        <v>SE-001437572</v>
      </c>
      <c r="F12339" s="23">
        <v>46196.394178240742</v>
      </c>
      <c r="G12339" s="24">
        <v>1</v>
      </c>
      <c r="H12339" s="24">
        <v>1</v>
      </c>
      <c r="I12339" s="24">
        <v>0</v>
      </c>
      <c r="J12339" s="25"/>
      <c r="K12339" s="24">
        <v>0</v>
      </c>
      <c r="L12339" s="22" t="str">
        <f>HYPERLINK("https://otsuka-europe-crm.veevavault.com/ui/#object/approved_document__v/V5O00000001H009", "RXULTI_Branded_ DE FILIPPIS aggiornamento_ IT-RXU-2600020")</f>
        <v>RXULTI_Branded_ DE FILIPPIS aggiornamento_ IT-RXU-2600020</v>
      </c>
      <c r="M12339" s="22" t="str">
        <f>HYPERLINK("mailto:nicola.fiorese@crm.otsuka-europe.com", "nicola.fiorese@crm.otsuka-europe.com")</f>
        <v>nicola.fiorese@crm.otsuka-europe.com</v>
      </c>
      <c r="N12339" s="23">
        <v>46196.394097222219</v>
      </c>
      <c r="O12339" s="14" t="str">
        <f>HYPERLINK("https://otsuka-europe-crm.veevavault.com/ui/#object/email_activity__v/V8C000000040352", "EN-002099311")</f>
        <v>EN-002099311</v>
      </c>
    </row>
    <row r="12340" spans="1:15" ht="16" x14ac:dyDescent="0.2">
      <c r="A12340" s="19"/>
      <c r="B12340" s="19"/>
      <c r="C12340" s="19"/>
      <c r="D12340" s="19"/>
      <c r="E12340" s="19"/>
      <c r="F12340" s="19"/>
      <c r="G12340" s="19"/>
      <c r="H12340" s="19"/>
      <c r="I12340" s="19"/>
      <c r="J12340" s="19"/>
      <c r="K12340" s="19"/>
      <c r="L12340" s="19"/>
      <c r="M12340" s="19"/>
      <c r="N12340" s="19"/>
      <c r="O12340" s="14" t="str">
        <f>HYPERLINK("https://otsuka-europe-crm.veevavault.com/ui/#object/email_activity__v/V8C000000040353", "EN-002099312")</f>
        <v>EN-002099312</v>
      </c>
    </row>
    <row r="12341" spans="1:15" ht="16" x14ac:dyDescent="0.2">
      <c r="A12341" s="17" t="str">
        <f>HYPERLINK("https://otsuka-europe-crm.veevavault.com/ui/#object/account__v/V4TZ025E8789535", "Anjali Ekbote")</f>
        <v>Anjali Ekbote</v>
      </c>
      <c r="B12341" s="17" t="str">
        <f>HYPERLINK("https://otsuka-europe-crm.veevavault.com/ui/#object/vcountry__v/VENZ000004SONFK", "GB")</f>
        <v>GB</v>
      </c>
      <c r="C12341" s="20" t="s">
        <v>39</v>
      </c>
      <c r="D12341" s="21" t="str">
        <f>HYPERLINK("https://otsuka-europe-crm.veevavault.com/ui/#object/approved_document__v/V5OZ06G6O6RH9XL", "UK Veeva Double Opt-In Remote Meetings Email Receipt v4")</f>
        <v>UK Veeva Double Opt-In Remote Meetings Email Receipt v4</v>
      </c>
      <c r="E12341" s="22" t="str">
        <f>HYPERLINK("https://otsuka-europe-crm.veevavault.com/ui/#object/sent_email__v/VBL00000002X109", "SE-001437573")</f>
        <v>SE-001437573</v>
      </c>
      <c r="F12341" s="23">
        <v>46196.589131944442</v>
      </c>
      <c r="G12341" s="24">
        <v>1</v>
      </c>
      <c r="H12341" s="24">
        <v>2</v>
      </c>
      <c r="I12341" s="24">
        <v>0</v>
      </c>
      <c r="J12341" s="25"/>
      <c r="K12341" s="24">
        <v>0</v>
      </c>
      <c r="L12341" s="22" t="str">
        <f>HYPERLINK("https://otsuka-europe-crm.veevavault.com/ui/#object/approved_document__v/V5OZ06G6O6RH9XL", "UK Veeva Double Opt-In Remote Meetings Email Receipt v4")</f>
        <v>UK Veeva Double Opt-In Remote Meetings Email Receipt v4</v>
      </c>
      <c r="M12341" s="22" t="str">
        <f>HYPERLINK("mailto:KWood@crm.otsuka-europe.com", "KWood@crm.otsuka-europe.com")</f>
        <v>KWood@crm.otsuka-europe.com</v>
      </c>
      <c r="N12341" s="23">
        <v>46196.415960648148</v>
      </c>
      <c r="O12341" s="14" t="str">
        <f>HYPERLINK("https://otsuka-europe-crm.veevavault.com/ui/#object/email_activity__v/V8C00000003Z335", "EN-002099325")</f>
        <v>EN-002099325</v>
      </c>
    </row>
    <row r="12342" spans="1:15" ht="16" x14ac:dyDescent="0.2">
      <c r="A12342" s="18"/>
      <c r="B12342" s="18"/>
      <c r="C12342" s="18"/>
      <c r="D12342" s="18"/>
      <c r="E12342" s="18"/>
      <c r="F12342" s="18"/>
      <c r="G12342" s="18"/>
      <c r="H12342" s="18"/>
      <c r="I12342" s="18"/>
      <c r="J12342" s="18"/>
      <c r="K12342" s="18"/>
      <c r="L12342" s="18"/>
      <c r="M12342" s="18"/>
      <c r="N12342" s="18"/>
      <c r="O12342" s="14" t="str">
        <f>HYPERLINK("https://otsuka-europe-crm.veevavault.com/ui/#object/email_activity__v/V8C00000003Z371", "EN-002099410")</f>
        <v>EN-002099410</v>
      </c>
    </row>
    <row r="12343" spans="1:15" ht="16" x14ac:dyDescent="0.2">
      <c r="A12343" s="19"/>
      <c r="B12343" s="19"/>
      <c r="C12343" s="19"/>
      <c r="D12343" s="19"/>
      <c r="E12343" s="19"/>
      <c r="F12343" s="19"/>
      <c r="G12343" s="19"/>
      <c r="H12343" s="19"/>
      <c r="I12343" s="19"/>
      <c r="J12343" s="19"/>
      <c r="K12343" s="19"/>
      <c r="L12343" s="19"/>
      <c r="M12343" s="19"/>
      <c r="N12343" s="19"/>
      <c r="O12343" s="14" t="str">
        <f>HYPERLINK("https://otsuka-europe-crm.veevavault.com/ui/#object/email_activity__v/V8C000000040365", "EN-002099326")</f>
        <v>EN-002099326</v>
      </c>
    </row>
    <row r="12344" spans="1:15" ht="48" x14ac:dyDescent="0.2">
      <c r="A12344" s="7" t="str">
        <f>HYPERLINK("https://otsuka-europe-crm.veevavault.com/ui/#object/account__v/V4T000000022044", "Usmaan Ahmed")</f>
        <v>Usmaan Ahmed</v>
      </c>
      <c r="B12344" s="7" t="str">
        <f>HYPERLINK("https://otsuka-europe-crm.veevavault.com/ui/#object/vcountry__v/VENZ000004SONFK", "GB")</f>
        <v>GB</v>
      </c>
      <c r="C12344" s="8" t="s">
        <v>39</v>
      </c>
      <c r="D12344" s="9" t="str">
        <f>HYPERLINK("https://otsuka-europe-crm.veevavault.com/ui/#object/approved_document__v/V5OZ06G6O6RH9XL", "UK Veeva Double Opt-In Remote Meetings Email Receipt v4")</f>
        <v>UK Veeva Double Opt-In Remote Meetings Email Receipt v4</v>
      </c>
      <c r="E12344" s="10" t="str">
        <f>HYPERLINK("https://otsuka-europe-crm.veevavault.com/ui/#object/sent_email__v/VBL00000002X110", "SE-001437574")</f>
        <v>SE-001437574</v>
      </c>
      <c r="F12344" s="11"/>
      <c r="G12344" s="12">
        <v>0</v>
      </c>
      <c r="H12344" s="12">
        <v>0</v>
      </c>
      <c r="I12344" s="12">
        <v>0</v>
      </c>
      <c r="J12344" s="11"/>
      <c r="K12344" s="12">
        <v>0</v>
      </c>
      <c r="L12344" s="10" t="str">
        <f>HYPERLINK("https://otsuka-europe-crm.veevavault.com/ui/#object/approved_document__v/V5OZ06G6O6RH9XL", "UK Veeva Double Opt-In Remote Meetings Email Receipt v4")</f>
        <v>UK Veeva Double Opt-In Remote Meetings Email Receipt v4</v>
      </c>
      <c r="M12344" s="10" t="str">
        <f>HYPERLINK("mailto:KWood@crm.otsuka-europe.com", "KWood@crm.otsuka-europe.com")</f>
        <v>KWood@crm.otsuka-europe.com</v>
      </c>
      <c r="N12344" s="13">
        <v>46196.420231481483</v>
      </c>
      <c r="O12344" s="14" t="str">
        <f>HYPERLINK("https://otsuka-europe-crm.veevavault.com/ui/#object/email_activity__v/V8C000000040367", "EN-002099329")</f>
        <v>EN-002099329</v>
      </c>
    </row>
    <row r="12345" spans="1:15" ht="16" x14ac:dyDescent="0.2">
      <c r="A12345" s="17" t="str">
        <f>HYPERLINK("https://otsuka-europe-crm.veevavault.com/ui/#object/account__v/V4T00000000Z030", "MELANIA MACCARIO")</f>
        <v>MELANIA MACCARIO</v>
      </c>
      <c r="B12345" s="17" t="str">
        <f>HYPERLINK("https://otsuka-europe-crm.veevavault.com/ui/#object/vcountry__v/VENZ000004SONFQ", "IT")</f>
        <v>IT</v>
      </c>
      <c r="C12345" s="20" t="s">
        <v>44</v>
      </c>
      <c r="D12345" s="21" t="str">
        <f>HYPERLINK("https://otsuka-europe-crm.veevavault.com/ui/#object/approved_document__v/V5OZ025E82T9SYM", "ABILIFY 960/720_Branded_AE Burden_IT-AM2-2500124")</f>
        <v>ABILIFY 960/720_Branded_AE Burden_IT-AM2-2500124</v>
      </c>
      <c r="E12345" s="22" t="str">
        <f>HYPERLINK("https://otsuka-europe-crm.veevavault.com/ui/#object/sent_email__v/VBL00000002W060", "SE-001437575")</f>
        <v>SE-001437575</v>
      </c>
      <c r="F12345" s="23">
        <v>46196.483842592592</v>
      </c>
      <c r="G12345" s="24">
        <v>1</v>
      </c>
      <c r="H12345" s="24">
        <v>2</v>
      </c>
      <c r="I12345" s="24">
        <v>0</v>
      </c>
      <c r="J12345" s="25"/>
      <c r="K12345" s="24">
        <v>0</v>
      </c>
      <c r="L12345" s="22" t="str">
        <f>HYPERLINK("https://otsuka-europe-crm.veevavault.com/ui/#object/approved_document__v/V5OZ025E82T9SYM", "ABILIFY 960/720_Branded_AE Burden_IT-AM2-2500124")</f>
        <v>ABILIFY 960/720_Branded_AE Burden_IT-AM2-2500124</v>
      </c>
      <c r="M12345" s="22" t="str">
        <f>HYPERLINK("mailto:laura.mallia@crm.otsuka-europe.com", "laura.mallia@crm.otsuka-europe.com")</f>
        <v>laura.mallia@crm.otsuka-europe.com</v>
      </c>
      <c r="N12345" s="23">
        <v>46196.454340277778</v>
      </c>
      <c r="O12345" s="14" t="str">
        <f>HYPERLINK("https://otsuka-europe-crm.veevavault.com/ui/#object/email_activity__v/V8C000000040380", "EN-002099348")</f>
        <v>EN-002099348</v>
      </c>
    </row>
    <row r="12346" spans="1:15" ht="16" x14ac:dyDescent="0.2">
      <c r="A12346" s="18"/>
      <c r="B12346" s="18"/>
      <c r="C12346" s="18"/>
      <c r="D12346" s="18"/>
      <c r="E12346" s="18"/>
      <c r="F12346" s="18"/>
      <c r="G12346" s="18"/>
      <c r="H12346" s="18"/>
      <c r="I12346" s="18"/>
      <c r="J12346" s="18"/>
      <c r="K12346" s="18"/>
      <c r="L12346" s="18"/>
      <c r="M12346" s="18"/>
      <c r="N12346" s="18"/>
      <c r="O12346" s="14" t="str">
        <f>HYPERLINK("https://otsuka-europe-crm.veevavault.com/ui/#object/email_activity__v/V8C000000040388", "EN-002099361")</f>
        <v>EN-002099361</v>
      </c>
    </row>
    <row r="12347" spans="1:15" ht="16" x14ac:dyDescent="0.2">
      <c r="A12347" s="19"/>
      <c r="B12347" s="19"/>
      <c r="C12347" s="19"/>
      <c r="D12347" s="19"/>
      <c r="E12347" s="19"/>
      <c r="F12347" s="19"/>
      <c r="G12347" s="19"/>
      <c r="H12347" s="19"/>
      <c r="I12347" s="19"/>
      <c r="J12347" s="19"/>
      <c r="K12347" s="19"/>
      <c r="L12347" s="19"/>
      <c r="M12347" s="19"/>
      <c r="N12347" s="19"/>
      <c r="O12347" s="14" t="str">
        <f>HYPERLINK("https://otsuka-europe-crm.veevavault.com/ui/#object/email_activity__v/V8C000000040389", "EN-002099362")</f>
        <v>EN-002099362</v>
      </c>
    </row>
    <row r="12348" spans="1:15" ht="48" x14ac:dyDescent="0.2">
      <c r="A12348" s="7" t="str">
        <f>HYPERLINK("https://otsuka-europe-crm.veevavault.com/ui/#object/account__v/V4T000000011054", "SERENA CHIARA CIVARDI")</f>
        <v>SERENA CHIARA CIVARDI</v>
      </c>
      <c r="B12348" s="7" t="str">
        <f>HYPERLINK("https://otsuka-europe-crm.veevavault.com/ui/#object/vcountry__v/VENZ000004SONFQ", "IT")</f>
        <v>IT</v>
      </c>
      <c r="C12348" s="8" t="s">
        <v>44</v>
      </c>
      <c r="D12348" s="9" t="str">
        <f>HYPERLINK("https://otsuka-europe-crm.veevavault.com/ui/#object/approved_document__v/V5OZ025E82T9SYM", "ABILIFY 960/720_Branded_AE Burden_IT-AM2-2500124")</f>
        <v>ABILIFY 960/720_Branded_AE Burden_IT-AM2-2500124</v>
      </c>
      <c r="E12348" s="10" t="str">
        <f>HYPERLINK("https://otsuka-europe-crm.veevavault.com/ui/#object/sent_email__v/VBL00000002W061", "SE-001437576")</f>
        <v>SE-001437576</v>
      </c>
      <c r="F12348" s="11"/>
      <c r="G12348" s="12">
        <v>0</v>
      </c>
      <c r="H12348" s="12">
        <v>0</v>
      </c>
      <c r="I12348" s="12">
        <v>0</v>
      </c>
      <c r="J12348" s="11"/>
      <c r="K12348" s="12">
        <v>0</v>
      </c>
      <c r="L12348" s="10" t="str">
        <f>HYPERLINK("https://otsuka-europe-crm.veevavault.com/ui/#object/approved_document__v/V5OZ025E82T9SYM", "ABILIFY 960/720_Branded_AE Burden_IT-AM2-2500124")</f>
        <v>ABILIFY 960/720_Branded_AE Burden_IT-AM2-2500124</v>
      </c>
      <c r="M12348" s="10" t="str">
        <f>HYPERLINK("mailto:laura.mallia@crm.otsuka-europe.com", "laura.mallia@crm.otsuka-europe.com")</f>
        <v>laura.mallia@crm.otsuka-europe.com</v>
      </c>
      <c r="N12348" s="13">
        <v>46196.454733796294</v>
      </c>
      <c r="O12348" s="14" t="str">
        <f>HYPERLINK("https://otsuka-europe-crm.veevavault.com/ui/#object/email_activity__v/V8C000000040381", "EN-002099349")</f>
        <v>EN-002099349</v>
      </c>
    </row>
    <row r="12349" spans="1:15" ht="16" x14ac:dyDescent="0.2">
      <c r="A12349" s="17" t="str">
        <f>HYPERLINK("https://otsuka-europe-crm.veevavault.com/ui/#object/account__v/V4TZ06G6O71T8M1", "JUAN IGNACIO DURAN NIETO")</f>
        <v>JUAN IGNACIO DURAN NIETO</v>
      </c>
      <c r="B12349" s="17" t="str">
        <f>HYPERLINK("https://otsuka-europe-crm.veevavault.com/ui/#object/vcountry__v/VENZ000004SONF5", "ES")</f>
        <v>ES</v>
      </c>
      <c r="C12349" s="20" t="s">
        <v>41</v>
      </c>
      <c r="D12349" s="21" t="str">
        <f>HYPERLINK("https://otsuka-europe-crm.veevavault.com/ui/#object/approved_document__v/V5OZ04ASG4FWKA9", "Documento Autorizaciขn Centro Empleador")</f>
        <v>Documento Autorizaciขn Centro Empleador</v>
      </c>
      <c r="E12349" s="22" t="str">
        <f>HYPERLINK("https://otsuka-europe-crm.veevavault.com/ui/#object/sent_email__v/VBL00000002X115", "SE-001437577")</f>
        <v>SE-001437577</v>
      </c>
      <c r="F12349" s="23">
        <v>46196.944884259261</v>
      </c>
      <c r="G12349" s="24">
        <v>1</v>
      </c>
      <c r="H12349" s="24">
        <v>8</v>
      </c>
      <c r="I12349" s="24">
        <v>1</v>
      </c>
      <c r="J12349" s="23">
        <v>46196.669803240744</v>
      </c>
      <c r="K12349" s="24">
        <v>3</v>
      </c>
      <c r="L12349" s="22" t="str">
        <f>HYPERLINK("https://otsuka-europe-crm.veevavault.com/ui/#object/approved_document__v/V5OZ04ASG4FWKA9", "Documento Autorizaciขn Centro Empleador")</f>
        <v>Documento Autorizaciขn Centro Empleador</v>
      </c>
      <c r="M12349" s="22" t="str">
        <f>HYPERLINK("mailto:sruiz@crm.otsuka-europe.com", "sruiz@crm.otsuka-europe.com")</f>
        <v>sruiz@crm.otsuka-europe.com</v>
      </c>
      <c r="N12349" s="23">
        <v>46196.473321759258</v>
      </c>
      <c r="O12349" s="14" t="str">
        <f>HYPERLINK("https://otsuka-europe-crm.veevavault.com/ui/#object/email_activity__v/V8C00000003Z344", "EN-002099351")</f>
        <v>EN-002099351</v>
      </c>
    </row>
    <row r="12350" spans="1:15" ht="16" x14ac:dyDescent="0.2">
      <c r="A12350" s="18"/>
      <c r="B12350" s="18"/>
      <c r="C12350" s="18"/>
      <c r="D12350" s="18"/>
      <c r="E12350" s="18"/>
      <c r="F12350" s="18"/>
      <c r="G12350" s="18"/>
      <c r="H12350" s="18"/>
      <c r="I12350" s="18"/>
      <c r="J12350" s="18"/>
      <c r="K12350" s="18"/>
      <c r="L12350" s="18"/>
      <c r="M12350" s="18"/>
      <c r="N12350" s="18"/>
      <c r="O12350" s="14" t="str">
        <f>HYPERLINK("https://otsuka-europe-crm.veevavault.com/ui/#object/email_activity__v/V8C00000003Z347", "EN-002099359")</f>
        <v>EN-002099359</v>
      </c>
    </row>
    <row r="12351" spans="1:15" ht="16" x14ac:dyDescent="0.2">
      <c r="A12351" s="18"/>
      <c r="B12351" s="18"/>
      <c r="C12351" s="18"/>
      <c r="D12351" s="18"/>
      <c r="E12351" s="18"/>
      <c r="F12351" s="18"/>
      <c r="G12351" s="18"/>
      <c r="H12351" s="18"/>
      <c r="I12351" s="18"/>
      <c r="J12351" s="18"/>
      <c r="K12351" s="18"/>
      <c r="L12351" s="18"/>
      <c r="M12351" s="18"/>
      <c r="N12351" s="18"/>
      <c r="O12351" s="14" t="str">
        <f>HYPERLINK("https://otsuka-europe-crm.veevavault.com/ui/#object/email_activity__v/V8C00000003Z408", "EN-002099486")</f>
        <v>EN-002099486</v>
      </c>
    </row>
    <row r="12352" spans="1:15" ht="16" x14ac:dyDescent="0.2">
      <c r="A12352" s="18"/>
      <c r="B12352" s="18"/>
      <c r="C12352" s="18"/>
      <c r="D12352" s="18"/>
      <c r="E12352" s="18"/>
      <c r="F12352" s="18"/>
      <c r="G12352" s="18"/>
      <c r="H12352" s="18"/>
      <c r="I12352" s="18"/>
      <c r="J12352" s="18"/>
      <c r="K12352" s="18"/>
      <c r="L12352" s="18"/>
      <c r="M12352" s="18"/>
      <c r="N12352" s="18"/>
      <c r="O12352" s="14" t="str">
        <f>HYPERLINK("https://otsuka-europe-crm.veevavault.com/ui/#object/email_activity__v/V8C000000040387", "EN-002099360")</f>
        <v>EN-002099360</v>
      </c>
    </row>
    <row r="12353" spans="1:15" ht="16" x14ac:dyDescent="0.2">
      <c r="A12353" s="18"/>
      <c r="B12353" s="18"/>
      <c r="C12353" s="18"/>
      <c r="D12353" s="18"/>
      <c r="E12353" s="18"/>
      <c r="F12353" s="18"/>
      <c r="G12353" s="18"/>
      <c r="H12353" s="18"/>
      <c r="I12353" s="18"/>
      <c r="J12353" s="18"/>
      <c r="K12353" s="18"/>
      <c r="L12353" s="18"/>
      <c r="M12353" s="18"/>
      <c r="N12353" s="18"/>
      <c r="O12353" s="14" t="str">
        <f>HYPERLINK("https://otsuka-europe-crm.veevavault.com/ui/#object/email_activity__v/V8C000000040425", "EN-002099436")</f>
        <v>EN-002099436</v>
      </c>
    </row>
    <row r="12354" spans="1:15" ht="16" x14ac:dyDescent="0.2">
      <c r="A12354" s="18"/>
      <c r="B12354" s="18"/>
      <c r="C12354" s="18"/>
      <c r="D12354" s="18"/>
      <c r="E12354" s="18"/>
      <c r="F12354" s="18"/>
      <c r="G12354" s="18"/>
      <c r="H12354" s="18"/>
      <c r="I12354" s="18"/>
      <c r="J12354" s="18"/>
      <c r="K12354" s="18"/>
      <c r="L12354" s="18"/>
      <c r="M12354" s="18"/>
      <c r="N12354" s="18"/>
      <c r="O12354" s="14" t="str">
        <f>HYPERLINK("https://otsuka-europe-crm.veevavault.com/ui/#object/email_activity__v/V8C000000040426", "EN-002099437")</f>
        <v>EN-002099437</v>
      </c>
    </row>
    <row r="12355" spans="1:15" ht="16" x14ac:dyDescent="0.2">
      <c r="A12355" s="18"/>
      <c r="B12355" s="18"/>
      <c r="C12355" s="18"/>
      <c r="D12355" s="18"/>
      <c r="E12355" s="18"/>
      <c r="F12355" s="18"/>
      <c r="G12355" s="18"/>
      <c r="H12355" s="18"/>
      <c r="I12355" s="18"/>
      <c r="J12355" s="18"/>
      <c r="K12355" s="18"/>
      <c r="L12355" s="18"/>
      <c r="M12355" s="18"/>
      <c r="N12355" s="18"/>
      <c r="O12355" s="14" t="str">
        <f>HYPERLINK("https://otsuka-europe-crm.veevavault.com/ui/#object/email_activity__v/V8C000000040427", "EN-002099438")</f>
        <v>EN-002099438</v>
      </c>
    </row>
    <row r="12356" spans="1:15" ht="16" x14ac:dyDescent="0.2">
      <c r="A12356" s="18"/>
      <c r="B12356" s="18"/>
      <c r="C12356" s="18"/>
      <c r="D12356" s="18"/>
      <c r="E12356" s="18"/>
      <c r="F12356" s="18"/>
      <c r="G12356" s="18"/>
      <c r="H12356" s="18"/>
      <c r="I12356" s="18"/>
      <c r="J12356" s="18"/>
      <c r="K12356" s="18"/>
      <c r="L12356" s="18"/>
      <c r="M12356" s="18"/>
      <c r="N12356" s="18"/>
      <c r="O12356" s="14" t="str">
        <f>HYPERLINK("https://otsuka-europe-crm.veevavault.com/ui/#object/email_activity__v/V8C000000040428", "EN-002099439")</f>
        <v>EN-002099439</v>
      </c>
    </row>
    <row r="12357" spans="1:15" ht="16" x14ac:dyDescent="0.2">
      <c r="A12357" s="18"/>
      <c r="B12357" s="18"/>
      <c r="C12357" s="18"/>
      <c r="D12357" s="18"/>
      <c r="E12357" s="18"/>
      <c r="F12357" s="18"/>
      <c r="G12357" s="18"/>
      <c r="H12357" s="18"/>
      <c r="I12357" s="18"/>
      <c r="J12357" s="18"/>
      <c r="K12357" s="18"/>
      <c r="L12357" s="18"/>
      <c r="M12357" s="18"/>
      <c r="N12357" s="18"/>
      <c r="O12357" s="14" t="str">
        <f>HYPERLINK("https://otsuka-europe-crm.veevavault.com/ui/#object/email_activity__v/V8C000000040431", "EN-002099443")</f>
        <v>EN-002099443</v>
      </c>
    </row>
    <row r="12358" spans="1:15" ht="16" x14ac:dyDescent="0.2">
      <c r="A12358" s="18"/>
      <c r="B12358" s="18"/>
      <c r="C12358" s="18"/>
      <c r="D12358" s="18"/>
      <c r="E12358" s="18"/>
      <c r="F12358" s="18"/>
      <c r="G12358" s="18"/>
      <c r="H12358" s="18"/>
      <c r="I12358" s="18"/>
      <c r="J12358" s="18"/>
      <c r="K12358" s="18"/>
      <c r="L12358" s="18"/>
      <c r="M12358" s="18"/>
      <c r="N12358" s="18"/>
      <c r="O12358" s="14" t="str">
        <f>HYPERLINK("https://otsuka-europe-crm.veevavault.com/ui/#object/email_activity__v/V8C000000040432", "EN-002099444")</f>
        <v>EN-002099444</v>
      </c>
    </row>
    <row r="12359" spans="1:15" ht="16" x14ac:dyDescent="0.2">
      <c r="A12359" s="18"/>
      <c r="B12359" s="18"/>
      <c r="C12359" s="18"/>
      <c r="D12359" s="18"/>
      <c r="E12359" s="18"/>
      <c r="F12359" s="18"/>
      <c r="G12359" s="18"/>
      <c r="H12359" s="18"/>
      <c r="I12359" s="18"/>
      <c r="J12359" s="18"/>
      <c r="K12359" s="18"/>
      <c r="L12359" s="18"/>
      <c r="M12359" s="18"/>
      <c r="N12359" s="18"/>
      <c r="O12359" s="14" t="str">
        <f>HYPERLINK("https://otsuka-europe-crm.veevavault.com/ui/#object/email_activity__v/V8C000000040433", "EN-002099445")</f>
        <v>EN-002099445</v>
      </c>
    </row>
    <row r="12360" spans="1:15" ht="16" x14ac:dyDescent="0.2">
      <c r="A12360" s="19"/>
      <c r="B12360" s="19"/>
      <c r="C12360" s="19"/>
      <c r="D12360" s="19"/>
      <c r="E12360" s="19"/>
      <c r="F12360" s="19"/>
      <c r="G12360" s="19"/>
      <c r="H12360" s="19"/>
      <c r="I12360" s="19"/>
      <c r="J12360" s="19"/>
      <c r="K12360" s="19"/>
      <c r="L12360" s="19"/>
      <c r="M12360" s="19"/>
      <c r="N12360" s="19"/>
      <c r="O12360" s="14" t="str">
        <f>HYPERLINK("https://otsuka-europe-crm.veevavault.com/ui/#object/email_activity__v/V8C000000040434", "EN-002099446")</f>
        <v>EN-002099446</v>
      </c>
    </row>
    <row r="12361" spans="1:15" ht="32" x14ac:dyDescent="0.2">
      <c r="A12361" s="7" t="str">
        <f>HYPERLINK("https://otsuka-europe-crm.veevavault.com/ui/#object/account__v/V4T000000027051", "Anoop Mistry")</f>
        <v>Anoop Mistry</v>
      </c>
      <c r="B12361" s="7" t="str">
        <f>HYPERLINK("https://otsuka-europe-crm.veevavault.com/ui/#object/vcountry__v/VENZ000004SONFK", "GB")</f>
        <v>GB</v>
      </c>
      <c r="C12361" s="8" t="s">
        <v>39</v>
      </c>
      <c r="D12361" s="9" t="str">
        <f>HYPERLINK("https://otsuka-europe-crm.veevavault.com/ui/#object/approved_document__v/V5OZ025E82PXJSL", "Otsuka Privacy Notice - UK (v2)")</f>
        <v>Otsuka Privacy Notice - UK (v2)</v>
      </c>
      <c r="E12361" s="10" t="str">
        <f>HYPERLINK("https://otsuka-europe-crm.veevavault.com/ui/#object/sent_email__v/VBL00000002X116", "SE-001437578")</f>
        <v>SE-001437578</v>
      </c>
      <c r="F12361" s="11"/>
      <c r="G12361" s="12">
        <v>0</v>
      </c>
      <c r="H12361" s="12">
        <v>0</v>
      </c>
      <c r="I12361" s="12">
        <v>0</v>
      </c>
      <c r="J12361" s="11"/>
      <c r="K12361" s="12">
        <v>0</v>
      </c>
      <c r="L12361" s="10" t="str">
        <f>HYPERLINK("https://otsuka-europe-crm.veevavault.com/ui/#object/approved_document__v/V5OZ025E82PXJSL", "Otsuka Privacy Notice - UK (v2)")</f>
        <v>Otsuka Privacy Notice - UK (v2)</v>
      </c>
      <c r="M12361" s="10" t="str">
        <f>HYPERLINK("mailto:KWood@crm.otsuka-europe.com", "KWood@crm.otsuka-europe.com")</f>
        <v>KWood@crm.otsuka-europe.com</v>
      </c>
      <c r="N12361" s="13">
        <v>46196.494745370372</v>
      </c>
      <c r="O12361" s="14" t="str">
        <f>HYPERLINK("https://otsuka-europe-crm.veevavault.com/ui/#object/email_activity__v/V8C00000003Z350", "EN-002099369")</f>
        <v>EN-002099369</v>
      </c>
    </row>
    <row r="12362" spans="1:15" ht="48" x14ac:dyDescent="0.2">
      <c r="A12362" s="7" t="str">
        <f>HYPERLINK("https://otsuka-europe-crm.veevavault.com/ui/#object/account__v/V4T000000027051", "Anoop Mistry")</f>
        <v>Anoop Mistry</v>
      </c>
      <c r="B12362" s="7" t="str">
        <f>HYPERLINK("https://otsuka-europe-crm.veevavault.com/ui/#object/vcountry__v/VENZ000004SONFK", "GB")</f>
        <v>GB</v>
      </c>
      <c r="C12362" s="8" t="s">
        <v>39</v>
      </c>
      <c r="D12362" s="9" t="str">
        <f>HYPERLINK("https://otsuka-europe-crm.veevavault.com/ui/#object/approved_document__v/V5OZ06G6O6RH9XL", "UK Veeva Double Opt-In Remote Meetings Email Receipt v4")</f>
        <v>UK Veeva Double Opt-In Remote Meetings Email Receipt v4</v>
      </c>
      <c r="E12362" s="10" t="str">
        <f>HYPERLINK("https://otsuka-europe-crm.veevavault.com/ui/#object/sent_email__v/VBL00000002X117", "SE-001437579")</f>
        <v>SE-001437579</v>
      </c>
      <c r="F12362" s="11"/>
      <c r="G12362" s="12">
        <v>0</v>
      </c>
      <c r="H12362" s="12">
        <v>0</v>
      </c>
      <c r="I12362" s="12">
        <v>0</v>
      </c>
      <c r="J12362" s="11"/>
      <c r="K12362" s="12">
        <v>0</v>
      </c>
      <c r="L12362" s="10" t="str">
        <f>HYPERLINK("https://otsuka-europe-crm.veevavault.com/ui/#object/approved_document__v/V5OZ06G6O6RH9XL", "UK Veeva Double Opt-In Remote Meetings Email Receipt v4")</f>
        <v>UK Veeva Double Opt-In Remote Meetings Email Receipt v4</v>
      </c>
      <c r="M12362" s="10" t="str">
        <f>HYPERLINK("mailto:KWood@crm.otsuka-europe.com", "KWood@crm.otsuka-europe.com")</f>
        <v>KWood@crm.otsuka-europe.com</v>
      </c>
      <c r="N12362" s="13">
        <v>46196.496469907404</v>
      </c>
      <c r="O12362" s="14" t="str">
        <f>HYPERLINK("https://otsuka-europe-crm.veevavault.com/ui/#object/email_activity__v/V8C000000040394", "EN-002099370")</f>
        <v>EN-002099370</v>
      </c>
    </row>
    <row r="12363" spans="1:15" ht="16" x14ac:dyDescent="0.2">
      <c r="A12363" s="17" t="str">
        <f>HYPERLINK("https://otsuka-europe-crm.veevavault.com/ui/#object/account__v/V4TZ06G6O71TAMH", "ILUMINADA CORRIPIO COLLADO")</f>
        <v>ILUMINADA CORRIPIO COLLADO</v>
      </c>
      <c r="B12363" s="17" t="str">
        <f>HYPERLINK("https://otsuka-europe-crm.veevavault.com/ui/#object/vcountry__v/VENZ000004SONF5", "ES")</f>
        <v>ES</v>
      </c>
      <c r="C12363" s="20" t="s">
        <v>41</v>
      </c>
      <c r="D12363" s="21" t="str">
        <f>HYPERLINK("https://otsuka-europe-crm.veevavault.com/ui/#object/approved_document__v/V5O00000000D100", "Spain - Consent Email 1 Aug 25")</f>
        <v>Spain - Consent Email 1 Aug 25</v>
      </c>
      <c r="E12363" s="22" t="str">
        <f>HYPERLINK("https://otsuka-europe-crm.veevavault.com/ui/#object/sent_email__v/VBL00000002W063", "SE-001437580")</f>
        <v>SE-001437580</v>
      </c>
      <c r="F12363" s="23">
        <v>46202.61414351852</v>
      </c>
      <c r="G12363" s="24">
        <v>1</v>
      </c>
      <c r="H12363" s="24">
        <v>2</v>
      </c>
      <c r="I12363" s="24">
        <v>1</v>
      </c>
      <c r="J12363" s="23">
        <v>46202.61414351852</v>
      </c>
      <c r="K12363" s="24">
        <v>2</v>
      </c>
      <c r="L12363" s="22" t="str">
        <f>HYPERLINK("https://otsuka-europe-crm.veevavault.com/ui/#object/approved_document__v/V5O00000000D100", "Spain - Consent Email 1 Aug 25")</f>
        <v>Spain - Consent Email 1 Aug 25</v>
      </c>
      <c r="M12363" s="22" t="str">
        <f>HYPERLINK("mailto:barroyo@crm.otsuka-europe.com", "barroyo@crm.otsuka-europe.com")</f>
        <v>barroyo@crm.otsuka-europe.com</v>
      </c>
      <c r="N12363" s="23">
        <v>46196.547812500001</v>
      </c>
      <c r="O12363" s="14" t="str">
        <f>HYPERLINK("https://otsuka-europe-crm.veevavault.com/ui/#object/email_activity__v/V8C000000040401", "EN-002099387")</f>
        <v>EN-002099387</v>
      </c>
    </row>
    <row r="12364" spans="1:15" ht="16" x14ac:dyDescent="0.2">
      <c r="A12364" s="18"/>
      <c r="B12364" s="18"/>
      <c r="C12364" s="18"/>
      <c r="D12364" s="18"/>
      <c r="E12364" s="18"/>
      <c r="F12364" s="18"/>
      <c r="G12364" s="18"/>
      <c r="H12364" s="18"/>
      <c r="I12364" s="18"/>
      <c r="J12364" s="18"/>
      <c r="K12364" s="18"/>
      <c r="L12364" s="18"/>
      <c r="M12364" s="18"/>
      <c r="N12364" s="18"/>
      <c r="O12364" s="14" t="str">
        <f>HYPERLINK("https://otsuka-europe-crm.veevavault.com/ui/#object/email_activity__v/V8C000000041348", "EN-002100381")</f>
        <v>EN-002100381</v>
      </c>
    </row>
    <row r="12365" spans="1:15" ht="16" x14ac:dyDescent="0.2">
      <c r="A12365" s="18"/>
      <c r="B12365" s="18"/>
      <c r="C12365" s="18"/>
      <c r="D12365" s="18"/>
      <c r="E12365" s="18"/>
      <c r="F12365" s="18"/>
      <c r="G12365" s="18"/>
      <c r="H12365" s="18"/>
      <c r="I12365" s="18"/>
      <c r="J12365" s="18"/>
      <c r="K12365" s="18"/>
      <c r="L12365" s="18"/>
      <c r="M12365" s="18"/>
      <c r="N12365" s="18"/>
      <c r="O12365" s="14" t="str">
        <f>HYPERLINK("https://otsuka-europe-crm.veevavault.com/ui/#object/email_activity__v/V8C000000041349", "EN-002100379")</f>
        <v>EN-002100379</v>
      </c>
    </row>
    <row r="12366" spans="1:15" ht="16" x14ac:dyDescent="0.2">
      <c r="A12366" s="18"/>
      <c r="B12366" s="18"/>
      <c r="C12366" s="18"/>
      <c r="D12366" s="18"/>
      <c r="E12366" s="18"/>
      <c r="F12366" s="18"/>
      <c r="G12366" s="18"/>
      <c r="H12366" s="18"/>
      <c r="I12366" s="18"/>
      <c r="J12366" s="18"/>
      <c r="K12366" s="18"/>
      <c r="L12366" s="18"/>
      <c r="M12366" s="18"/>
      <c r="N12366" s="18"/>
      <c r="O12366" s="14" t="str">
        <f>HYPERLINK("https://otsuka-europe-crm.veevavault.com/ui/#object/email_activity__v/V8C000000042344", "EN-002100380")</f>
        <v>EN-002100380</v>
      </c>
    </row>
    <row r="12367" spans="1:15" ht="16" x14ac:dyDescent="0.2">
      <c r="A12367" s="19"/>
      <c r="B12367" s="19"/>
      <c r="C12367" s="19"/>
      <c r="D12367" s="19"/>
      <c r="E12367" s="19"/>
      <c r="F12367" s="19"/>
      <c r="G12367" s="19"/>
      <c r="H12367" s="19"/>
      <c r="I12367" s="19"/>
      <c r="J12367" s="19"/>
      <c r="K12367" s="19"/>
      <c r="L12367" s="19"/>
      <c r="M12367" s="19"/>
      <c r="N12367" s="19"/>
      <c r="O12367" s="14" t="str">
        <f>HYPERLINK("https://otsuka-europe-crm.veevavault.com/ui/#object/email_activity__v/V8C000000042345", "EN-002100378")</f>
        <v>EN-002100378</v>
      </c>
    </row>
    <row r="12368" spans="1:15" ht="16" x14ac:dyDescent="0.2">
      <c r="A12368" s="17" t="str">
        <f>HYPERLINK("https://otsuka-europe-crm.veevavault.com/ui/#object/account__v/V4TZ06G6O71TAMH", "ILUMINADA CORRIPIO COLLADO")</f>
        <v>ILUMINADA CORRIPIO COLLADO</v>
      </c>
      <c r="B12368" s="17" t="str">
        <f>HYPERLINK("https://otsuka-europe-crm.veevavault.com/ui/#object/vcountry__v/VENZ000004SONF5", "ES")</f>
        <v>ES</v>
      </c>
      <c r="C12368" s="20" t="s">
        <v>41</v>
      </c>
      <c r="D12368" s="21" t="str">
        <f>HYPERLINK("https://otsuka-europe-crm.veevavault.com/ui/#object/approved_document__v/V5OZ04ASG4FWKA7", "Reuniones Online Consent - 2")</f>
        <v>Reuniones Online Consent - 2</v>
      </c>
      <c r="E12368" s="22" t="str">
        <f>HYPERLINK("https://otsuka-europe-crm.veevavault.com/ui/#object/sent_email__v/VBL00000002W064", "SE-001437581")</f>
        <v>SE-001437581</v>
      </c>
      <c r="F12368" s="23">
        <v>46202.613391203704</v>
      </c>
      <c r="G12368" s="24">
        <v>1</v>
      </c>
      <c r="H12368" s="24">
        <v>1</v>
      </c>
      <c r="I12368" s="24">
        <v>1</v>
      </c>
      <c r="J12368" s="23">
        <v>46202.613749999997</v>
      </c>
      <c r="K12368" s="24">
        <v>4</v>
      </c>
      <c r="L12368" s="22" t="str">
        <f>HYPERLINK("https://otsuka-europe-crm.veevavault.com/ui/#object/approved_document__v/V5OZ04ASG4FWKA7", "Reuniones Online Consent - 2")</f>
        <v>Reuniones Online Consent - 2</v>
      </c>
      <c r="M12368" s="22" t="str">
        <f>HYPERLINK("mailto:barroyo@crm.otsuka-europe.com", "barroyo@crm.otsuka-europe.com")</f>
        <v>barroyo@crm.otsuka-europe.com</v>
      </c>
      <c r="N12368" s="23">
        <v>46196.547824074078</v>
      </c>
      <c r="O12368" s="14" t="str">
        <f>HYPERLINK("https://otsuka-europe-crm.veevavault.com/ui/#object/email_activity__v/V8C00000003Z360", "EN-002099386")</f>
        <v>EN-002099386</v>
      </c>
    </row>
    <row r="12369" spans="1:15" ht="16" x14ac:dyDescent="0.2">
      <c r="A12369" s="18"/>
      <c r="B12369" s="18"/>
      <c r="C12369" s="18"/>
      <c r="D12369" s="18"/>
      <c r="E12369" s="18"/>
      <c r="F12369" s="18"/>
      <c r="G12369" s="18"/>
      <c r="H12369" s="18"/>
      <c r="I12369" s="18"/>
      <c r="J12369" s="18"/>
      <c r="K12369" s="18"/>
      <c r="L12369" s="18"/>
      <c r="M12369" s="18"/>
      <c r="N12369" s="18"/>
      <c r="O12369" s="14" t="str">
        <f>HYPERLINK("https://otsuka-europe-crm.veevavault.com/ui/#object/email_activity__v/V8C000000042335", "EN-002100370")</f>
        <v>EN-002100370</v>
      </c>
    </row>
    <row r="12370" spans="1:15" ht="16" x14ac:dyDescent="0.2">
      <c r="A12370" s="18"/>
      <c r="B12370" s="18"/>
      <c r="C12370" s="18"/>
      <c r="D12370" s="18"/>
      <c r="E12370" s="18"/>
      <c r="F12370" s="18"/>
      <c r="G12370" s="18"/>
      <c r="H12370" s="18"/>
      <c r="I12370" s="18"/>
      <c r="J12370" s="18"/>
      <c r="K12370" s="18"/>
      <c r="L12370" s="18"/>
      <c r="M12370" s="18"/>
      <c r="N12370" s="18"/>
      <c r="O12370" s="14" t="str">
        <f>HYPERLINK("https://otsuka-europe-crm.veevavault.com/ui/#object/email_activity__v/V8C000000042336", "EN-002100369")</f>
        <v>EN-002100369</v>
      </c>
    </row>
    <row r="12371" spans="1:15" ht="16" x14ac:dyDescent="0.2">
      <c r="A12371" s="18"/>
      <c r="B12371" s="18"/>
      <c r="C12371" s="18"/>
      <c r="D12371" s="18"/>
      <c r="E12371" s="18"/>
      <c r="F12371" s="18"/>
      <c r="G12371" s="18"/>
      <c r="H12371" s="18"/>
      <c r="I12371" s="18"/>
      <c r="J12371" s="18"/>
      <c r="K12371" s="18"/>
      <c r="L12371" s="18"/>
      <c r="M12371" s="18"/>
      <c r="N12371" s="18"/>
      <c r="O12371" s="14" t="str">
        <f>HYPERLINK("https://otsuka-europe-crm.veevavault.com/ui/#object/email_activity__v/V8C000000042337", "EN-002100371")</f>
        <v>EN-002100371</v>
      </c>
    </row>
    <row r="12372" spans="1:15" ht="16" x14ac:dyDescent="0.2">
      <c r="A12372" s="18"/>
      <c r="B12372" s="18"/>
      <c r="C12372" s="18"/>
      <c r="D12372" s="18"/>
      <c r="E12372" s="18"/>
      <c r="F12372" s="18"/>
      <c r="G12372" s="18"/>
      <c r="H12372" s="18"/>
      <c r="I12372" s="18"/>
      <c r="J12372" s="18"/>
      <c r="K12372" s="18"/>
      <c r="L12372" s="18"/>
      <c r="M12372" s="18"/>
      <c r="N12372" s="18"/>
      <c r="O12372" s="14" t="str">
        <f>HYPERLINK("https://otsuka-europe-crm.veevavault.com/ui/#object/email_activity__v/V8C000000042338", "EN-002100372")</f>
        <v>EN-002100372</v>
      </c>
    </row>
    <row r="12373" spans="1:15" ht="16" x14ac:dyDescent="0.2">
      <c r="A12373" s="19"/>
      <c r="B12373" s="19"/>
      <c r="C12373" s="19"/>
      <c r="D12373" s="19"/>
      <c r="E12373" s="19"/>
      <c r="F12373" s="19"/>
      <c r="G12373" s="19"/>
      <c r="H12373" s="19"/>
      <c r="I12373" s="19"/>
      <c r="J12373" s="19"/>
      <c r="K12373" s="19"/>
      <c r="L12373" s="19"/>
      <c r="M12373" s="19"/>
      <c r="N12373" s="19"/>
      <c r="O12373" s="14" t="str">
        <f>HYPERLINK("https://otsuka-europe-crm.veevavault.com/ui/#object/email_activity__v/V8C000000042339", "EN-002100373")</f>
        <v>EN-002100373</v>
      </c>
    </row>
    <row r="12374" spans="1:15" ht="16" x14ac:dyDescent="0.2">
      <c r="A12374" s="17" t="str">
        <f>HYPERLINK("https://otsuka-europe-crm.veevavault.com/ui/#object/account__v/V4TZ06G6O71TAMH", "ILUMINADA CORRIPIO COLLADO")</f>
        <v>ILUMINADA CORRIPIO COLLADO</v>
      </c>
      <c r="B12374" s="17" t="str">
        <f>HYPERLINK("https://otsuka-europe-crm.veevavault.com/ui/#object/vcountry__v/VENZ000004SONF5", "ES")</f>
        <v>ES</v>
      </c>
      <c r="C12374" s="20" t="s">
        <v>41</v>
      </c>
      <c r="D12374" s="21" t="str">
        <f>HYPERLINK("https://otsuka-europe-crm.veevavault.com/ui/#object/approved_document__v/V5OZ04ASG4FWKA9", "Documento Autorizaciขn Centro Empleador")</f>
        <v>Documento Autorizaciขn Centro Empleador</v>
      </c>
      <c r="E12374" s="22" t="str">
        <f>HYPERLINK("https://otsuka-europe-crm.veevavault.com/ui/#object/sent_email__v/VBL00000002W065", "SE-001437582")</f>
        <v>SE-001437582</v>
      </c>
      <c r="F12374" s="23">
        <v>46202.613981481481</v>
      </c>
      <c r="G12374" s="24">
        <v>1</v>
      </c>
      <c r="H12374" s="24">
        <v>2</v>
      </c>
      <c r="I12374" s="24">
        <v>1</v>
      </c>
      <c r="J12374" s="23">
        <v>46202.613981481481</v>
      </c>
      <c r="K12374" s="24">
        <v>2</v>
      </c>
      <c r="L12374" s="22" t="str">
        <f>HYPERLINK("https://otsuka-europe-crm.veevavault.com/ui/#object/approved_document__v/V5OZ04ASG4FWKA9", "Documento Autorizaciขn Centro Empleador")</f>
        <v>Documento Autorizaciขn Centro Empleador</v>
      </c>
      <c r="M12374" s="22" t="str">
        <f>HYPERLINK("mailto:barroyo@crm.otsuka-europe.com", "barroyo@crm.otsuka-europe.com")</f>
        <v>barroyo@crm.otsuka-europe.com</v>
      </c>
      <c r="N12374" s="23">
        <v>46196.547835648147</v>
      </c>
      <c r="O12374" s="14" t="str">
        <f>HYPERLINK("https://otsuka-europe-crm.veevavault.com/ui/#object/email_activity__v/V8C00000003Z359", "EN-002099385")</f>
        <v>EN-002099385</v>
      </c>
    </row>
    <row r="12375" spans="1:15" ht="16" x14ac:dyDescent="0.2">
      <c r="A12375" s="18"/>
      <c r="B12375" s="18"/>
      <c r="C12375" s="18"/>
      <c r="D12375" s="18"/>
      <c r="E12375" s="18"/>
      <c r="F12375" s="18"/>
      <c r="G12375" s="18"/>
      <c r="H12375" s="18"/>
      <c r="I12375" s="18"/>
      <c r="J12375" s="18"/>
      <c r="K12375" s="18"/>
      <c r="L12375" s="18"/>
      <c r="M12375" s="18"/>
      <c r="N12375" s="18"/>
      <c r="O12375" s="14" t="str">
        <f>HYPERLINK("https://otsuka-europe-crm.veevavault.com/ui/#object/email_activity__v/V8C000000042340", "EN-002100376")</f>
        <v>EN-002100376</v>
      </c>
    </row>
    <row r="12376" spans="1:15" ht="16" x14ac:dyDescent="0.2">
      <c r="A12376" s="18"/>
      <c r="B12376" s="18"/>
      <c r="C12376" s="18"/>
      <c r="D12376" s="18"/>
      <c r="E12376" s="18"/>
      <c r="F12376" s="18"/>
      <c r="G12376" s="18"/>
      <c r="H12376" s="18"/>
      <c r="I12376" s="18"/>
      <c r="J12376" s="18"/>
      <c r="K12376" s="18"/>
      <c r="L12376" s="18"/>
      <c r="M12376" s="18"/>
      <c r="N12376" s="18"/>
      <c r="O12376" s="14" t="str">
        <f>HYPERLINK("https://otsuka-europe-crm.veevavault.com/ui/#object/email_activity__v/V8C000000042341", "EN-002100377")</f>
        <v>EN-002100377</v>
      </c>
    </row>
    <row r="12377" spans="1:15" ht="16" x14ac:dyDescent="0.2">
      <c r="A12377" s="18"/>
      <c r="B12377" s="18"/>
      <c r="C12377" s="18"/>
      <c r="D12377" s="18"/>
      <c r="E12377" s="18"/>
      <c r="F12377" s="18"/>
      <c r="G12377" s="18"/>
      <c r="H12377" s="18"/>
      <c r="I12377" s="18"/>
      <c r="J12377" s="18"/>
      <c r="K12377" s="18"/>
      <c r="L12377" s="18"/>
      <c r="M12377" s="18"/>
      <c r="N12377" s="18"/>
      <c r="O12377" s="14" t="str">
        <f>HYPERLINK("https://otsuka-europe-crm.veevavault.com/ui/#object/email_activity__v/V8C000000042342", "EN-002100374")</f>
        <v>EN-002100374</v>
      </c>
    </row>
    <row r="12378" spans="1:15" ht="16" x14ac:dyDescent="0.2">
      <c r="A12378" s="19"/>
      <c r="B12378" s="19"/>
      <c r="C12378" s="19"/>
      <c r="D12378" s="19"/>
      <c r="E12378" s="19"/>
      <c r="F12378" s="19"/>
      <c r="G12378" s="19"/>
      <c r="H12378" s="19"/>
      <c r="I12378" s="19"/>
      <c r="J12378" s="19"/>
      <c r="K12378" s="19"/>
      <c r="L12378" s="19"/>
      <c r="M12378" s="19"/>
      <c r="N12378" s="19"/>
      <c r="O12378" s="14" t="str">
        <f>HYPERLINK("https://otsuka-europe-crm.veevavault.com/ui/#object/email_activity__v/V8C000000042343", "EN-002100375")</f>
        <v>EN-002100375</v>
      </c>
    </row>
    <row r="12379" spans="1:15" ht="16" x14ac:dyDescent="0.2">
      <c r="A12379" s="17" t="str">
        <f>HYPERLINK("https://otsuka-europe-crm.veevavault.com/ui/#object/account__v/V4TZ000006DID2D", "Ea Marianne Bøhm Jepsen")</f>
        <v>Ea Marianne Bøhm Jepsen</v>
      </c>
      <c r="B12379" s="17" t="str">
        <f>HYPERLINK("https://otsuka-europe-crm.veevavault.com/ui/#object/vcountry__v/VENZ000004SONF7", "DK")</f>
        <v>DK</v>
      </c>
      <c r="C12379" s="20" t="s">
        <v>47</v>
      </c>
      <c r="D12379" s="21" t="str">
        <f>HYPERLINK("https://otsuka-europe-crm.veevavault.com/ui/#object/approved_document__v/V5O00000001C017", "DK AM2 VAE Psykosebehandling Apr26 DK-AM2-2600013")</f>
        <v>DK AM2 VAE Psykosebehandling Apr26 DK-AM2-2600013</v>
      </c>
      <c r="E12379" s="22" t="str">
        <f>HYPERLINK("https://otsuka-europe-crm.veevavault.com/ui/#object/sent_email__v/VBL00000002X118", "SE-001437583")</f>
        <v>SE-001437583</v>
      </c>
      <c r="F12379" s="23">
        <v>46196.55505787037</v>
      </c>
      <c r="G12379" s="24">
        <v>1</v>
      </c>
      <c r="H12379" s="24">
        <v>2</v>
      </c>
      <c r="I12379" s="24">
        <v>1</v>
      </c>
      <c r="J12379" s="23">
        <v>46196.555173611108</v>
      </c>
      <c r="K12379" s="24">
        <v>3</v>
      </c>
      <c r="L12379" s="22" t="str">
        <f>HYPERLINK("https://otsuka-europe-crm.veevavault.com/ui/#object/approved_document__v/V5O00000001C017", "DK AM2 VAE Psykosebehandling Apr26 DK-AM2-2600013")</f>
        <v>DK AM2 VAE Psykosebehandling Apr26 DK-AM2-2600013</v>
      </c>
      <c r="M12379" s="22" t="str">
        <f>HYPERLINK("mailto:anne-sofie.marcher@crm.otsuka-europe.com", "anne-sofie.marcher@crm.otsuka-europe.com")</f>
        <v>anne-sofie.marcher@crm.otsuka-europe.com</v>
      </c>
      <c r="N12379" s="23">
        <v>46196.550219907411</v>
      </c>
      <c r="O12379" s="14" t="str">
        <f>HYPERLINK("https://otsuka-europe-crm.veevavault.com/ui/#object/email_activity__v/V8C00000003Z361", "EN-002099391")</f>
        <v>EN-002099391</v>
      </c>
    </row>
    <row r="12380" spans="1:15" ht="16" x14ac:dyDescent="0.2">
      <c r="A12380" s="18"/>
      <c r="B12380" s="18"/>
      <c r="C12380" s="18"/>
      <c r="D12380" s="18"/>
      <c r="E12380" s="18"/>
      <c r="F12380" s="18"/>
      <c r="G12380" s="18"/>
      <c r="H12380" s="18"/>
      <c r="I12380" s="18"/>
      <c r="J12380" s="18"/>
      <c r="K12380" s="18"/>
      <c r="L12380" s="18"/>
      <c r="M12380" s="18"/>
      <c r="N12380" s="18"/>
      <c r="O12380" s="14" t="str">
        <f>HYPERLINK("https://otsuka-europe-crm.veevavault.com/ui/#object/email_activity__v/V8C00000003Z362", "EN-002099392")</f>
        <v>EN-002099392</v>
      </c>
    </row>
    <row r="12381" spans="1:15" ht="16" x14ac:dyDescent="0.2">
      <c r="A12381" s="18"/>
      <c r="B12381" s="18"/>
      <c r="C12381" s="18"/>
      <c r="D12381" s="18"/>
      <c r="E12381" s="18"/>
      <c r="F12381" s="18"/>
      <c r="G12381" s="18"/>
      <c r="H12381" s="18"/>
      <c r="I12381" s="18"/>
      <c r="J12381" s="18"/>
      <c r="K12381" s="18"/>
      <c r="L12381" s="18"/>
      <c r="M12381" s="18"/>
      <c r="N12381" s="18"/>
      <c r="O12381" s="14" t="str">
        <f>HYPERLINK("https://otsuka-europe-crm.veevavault.com/ui/#object/email_activity__v/V8C00000003Z363", "EN-002099393")</f>
        <v>EN-002099393</v>
      </c>
    </row>
    <row r="12382" spans="1:15" ht="16" x14ac:dyDescent="0.2">
      <c r="A12382" s="18"/>
      <c r="B12382" s="18"/>
      <c r="C12382" s="18"/>
      <c r="D12382" s="18"/>
      <c r="E12382" s="18"/>
      <c r="F12382" s="18"/>
      <c r="G12382" s="18"/>
      <c r="H12382" s="18"/>
      <c r="I12382" s="18"/>
      <c r="J12382" s="18"/>
      <c r="K12382" s="18"/>
      <c r="L12382" s="18"/>
      <c r="M12382" s="18"/>
      <c r="N12382" s="18"/>
      <c r="O12382" s="14" t="str">
        <f>HYPERLINK("https://otsuka-europe-crm.veevavault.com/ui/#object/email_activity__v/V8C00000003Z364", "EN-002099394")</f>
        <v>EN-002099394</v>
      </c>
    </row>
    <row r="12383" spans="1:15" ht="16" x14ac:dyDescent="0.2">
      <c r="A12383" s="18"/>
      <c r="B12383" s="18"/>
      <c r="C12383" s="18"/>
      <c r="D12383" s="18"/>
      <c r="E12383" s="18"/>
      <c r="F12383" s="18"/>
      <c r="G12383" s="18"/>
      <c r="H12383" s="18"/>
      <c r="I12383" s="18"/>
      <c r="J12383" s="18"/>
      <c r="K12383" s="18"/>
      <c r="L12383" s="18"/>
      <c r="M12383" s="18"/>
      <c r="N12383" s="18"/>
      <c r="O12383" s="14" t="str">
        <f>HYPERLINK("https://otsuka-europe-crm.veevavault.com/ui/#object/email_activity__v/V8C00000003Z368", "EN-002099400")</f>
        <v>EN-002099400</v>
      </c>
    </row>
    <row r="12384" spans="1:15" ht="16" x14ac:dyDescent="0.2">
      <c r="A12384" s="18"/>
      <c r="B12384" s="18"/>
      <c r="C12384" s="18"/>
      <c r="D12384" s="18"/>
      <c r="E12384" s="18"/>
      <c r="F12384" s="18"/>
      <c r="G12384" s="18"/>
      <c r="H12384" s="18"/>
      <c r="I12384" s="18"/>
      <c r="J12384" s="18"/>
      <c r="K12384" s="18"/>
      <c r="L12384" s="18"/>
      <c r="M12384" s="18"/>
      <c r="N12384" s="18"/>
      <c r="O12384" s="14" t="str">
        <f>HYPERLINK("https://otsuka-europe-crm.veevavault.com/ui/#object/email_activity__v/V8C00000003Z369", "EN-002099401")</f>
        <v>EN-002099401</v>
      </c>
    </row>
    <row r="12385" spans="1:15" ht="16" x14ac:dyDescent="0.2">
      <c r="A12385" s="19"/>
      <c r="B12385" s="19"/>
      <c r="C12385" s="19"/>
      <c r="D12385" s="19"/>
      <c r="E12385" s="19"/>
      <c r="F12385" s="19"/>
      <c r="G12385" s="19"/>
      <c r="H12385" s="19"/>
      <c r="I12385" s="19"/>
      <c r="J12385" s="19"/>
      <c r="K12385" s="19"/>
      <c r="L12385" s="19"/>
      <c r="M12385" s="19"/>
      <c r="N12385" s="19"/>
      <c r="O12385" s="14" t="str">
        <f>HYPERLINK("https://otsuka-europe-crm.veevavault.com/ui/#object/email_activity__v/V8C000000040416", "EN-002099413")</f>
        <v>EN-002099413</v>
      </c>
    </row>
    <row r="12386" spans="1:15" ht="16" x14ac:dyDescent="0.2">
      <c r="A12386" s="17" t="str">
        <f>HYPERLINK("https://otsuka-europe-crm.veevavault.com/ui/#object/account__v/V4TZ000006DID2D", "Ea Marianne Bøhm Jepsen")</f>
        <v>Ea Marianne Bøhm Jepsen</v>
      </c>
      <c r="B12386" s="17" t="str">
        <f>HYPERLINK("https://otsuka-europe-crm.veevavault.com/ui/#object/vcountry__v/VENZ000004SONF7", "DK")</f>
        <v>DK</v>
      </c>
      <c r="C12386" s="20" t="s">
        <v>47</v>
      </c>
      <c r="D12386" s="21" t="str">
        <f>HYPERLINK("https://otsuka-europe-crm.veevavault.com/ui/#object/approved_document__v/V5O00000001H024", "DK RX E-mail Akatisi Apr26 DK-RXU-2600012")</f>
        <v>DK RX E-mail Akatisi Apr26 DK-RXU-2600012</v>
      </c>
      <c r="E12386" s="22" t="str">
        <f>HYPERLINK("https://otsuka-europe-crm.veevavault.com/ui/#object/sent_email__v/VBL00000002X119", "SE-001437584")</f>
        <v>SE-001437584</v>
      </c>
      <c r="F12386" s="23">
        <v>46196.553796296299</v>
      </c>
      <c r="G12386" s="24">
        <v>1</v>
      </c>
      <c r="H12386" s="24">
        <v>1</v>
      </c>
      <c r="I12386" s="24">
        <v>1</v>
      </c>
      <c r="J12386" s="23">
        <v>46196.554027777776</v>
      </c>
      <c r="K12386" s="24">
        <v>1</v>
      </c>
      <c r="L12386" s="22" t="str">
        <f>HYPERLINK("https://otsuka-europe-crm.veevavault.com/ui/#object/approved_document__v/V5O00000001H024", "DK RX E-mail Akatisi Apr26 DK-RXU-2600012")</f>
        <v>DK RX E-mail Akatisi Apr26 DK-RXU-2600012</v>
      </c>
      <c r="M12386" s="22" t="str">
        <f>HYPERLINK("mailto:anne-sofie.marcher@crm.otsuka-europe.com", "anne-sofie.marcher@crm.otsuka-europe.com")</f>
        <v>anne-sofie.marcher@crm.otsuka-europe.com</v>
      </c>
      <c r="N12386" s="23">
        <v>46196.551261574074</v>
      </c>
      <c r="O12386" s="14" t="str">
        <f>HYPERLINK("https://otsuka-europe-crm.veevavault.com/ui/#object/email_activity__v/V8C00000003Z366", "EN-002099396")</f>
        <v>EN-002099396</v>
      </c>
    </row>
    <row r="12387" spans="1:15" ht="16" x14ac:dyDescent="0.2">
      <c r="A12387" s="18"/>
      <c r="B12387" s="18"/>
      <c r="C12387" s="18"/>
      <c r="D12387" s="18"/>
      <c r="E12387" s="18"/>
      <c r="F12387" s="18"/>
      <c r="G12387" s="18"/>
      <c r="H12387" s="18"/>
      <c r="I12387" s="18"/>
      <c r="J12387" s="18"/>
      <c r="K12387" s="18"/>
      <c r="L12387" s="18"/>
      <c r="M12387" s="18"/>
      <c r="N12387" s="18"/>
      <c r="O12387" s="14" t="str">
        <f>HYPERLINK("https://otsuka-europe-crm.veevavault.com/ui/#object/email_activity__v/V8C00000003Z367", "EN-002099398")</f>
        <v>EN-002099398</v>
      </c>
    </row>
    <row r="12388" spans="1:15" ht="16" x14ac:dyDescent="0.2">
      <c r="A12388" s="18"/>
      <c r="B12388" s="18"/>
      <c r="C12388" s="18"/>
      <c r="D12388" s="18"/>
      <c r="E12388" s="18"/>
      <c r="F12388" s="18"/>
      <c r="G12388" s="18"/>
      <c r="H12388" s="18"/>
      <c r="I12388" s="18"/>
      <c r="J12388" s="18"/>
      <c r="K12388" s="18"/>
      <c r="L12388" s="18"/>
      <c r="M12388" s="18"/>
      <c r="N12388" s="18"/>
      <c r="O12388" s="14" t="str">
        <f>HYPERLINK("https://otsuka-europe-crm.veevavault.com/ui/#object/email_activity__v/V8C000000040406", "EN-002099399")</f>
        <v>EN-002099399</v>
      </c>
    </row>
    <row r="12389" spans="1:15" ht="16" x14ac:dyDescent="0.2">
      <c r="A12389" s="18"/>
      <c r="B12389" s="18"/>
      <c r="C12389" s="18"/>
      <c r="D12389" s="18"/>
      <c r="E12389" s="18"/>
      <c r="F12389" s="18"/>
      <c r="G12389" s="18"/>
      <c r="H12389" s="18"/>
      <c r="I12389" s="18"/>
      <c r="J12389" s="18"/>
      <c r="K12389" s="18"/>
      <c r="L12389" s="18"/>
      <c r="M12389" s="18"/>
      <c r="N12389" s="18"/>
      <c r="O12389" s="14" t="str">
        <f>HYPERLINK("https://otsuka-europe-crm.veevavault.com/ui/#object/email_activity__v/V8C000000040414", "EN-002099411")</f>
        <v>EN-002099411</v>
      </c>
    </row>
    <row r="12390" spans="1:15" ht="16" x14ac:dyDescent="0.2">
      <c r="A12390" s="19"/>
      <c r="B12390" s="19"/>
      <c r="C12390" s="19"/>
      <c r="D12390" s="19"/>
      <c r="E12390" s="19"/>
      <c r="F12390" s="19"/>
      <c r="G12390" s="19"/>
      <c r="H12390" s="19"/>
      <c r="I12390" s="19"/>
      <c r="J12390" s="19"/>
      <c r="K12390" s="19"/>
      <c r="L12390" s="19"/>
      <c r="M12390" s="19"/>
      <c r="N12390" s="19"/>
      <c r="O12390" s="14" t="str">
        <f>HYPERLINK("https://otsuka-europe-crm.veevavault.com/ui/#object/email_activity__v/V8C000000040415", "EN-002099412")</f>
        <v>EN-002099412</v>
      </c>
    </row>
    <row r="12391" spans="1:15" ht="32" x14ac:dyDescent="0.2">
      <c r="A12391" s="7" t="str">
        <f>HYPERLINK("https://otsuka-europe-crm.veevavault.com/ui/#object/account__v/V4TZ025E885SV0S", "Mona Kaul")</f>
        <v>Mona Kaul</v>
      </c>
      <c r="B12391" s="7" t="str">
        <f>HYPERLINK("https://otsuka-europe-crm.veevavault.com/ui/#object/vcountry__v/VENZ000004SONFK", "GB")</f>
        <v>GB</v>
      </c>
      <c r="C12391" s="8" t="s">
        <v>39</v>
      </c>
      <c r="D12391" s="9" t="str">
        <f>HYPERLINK("https://otsuka-europe-crm.veevavault.com/ui/#object/approved_document__v/V5O00000000D081", "UK - Consent Email 1 Aug 25")</f>
        <v>UK - Consent Email 1 Aug 25</v>
      </c>
      <c r="E12391" s="10" t="str">
        <f>HYPERLINK("https://otsuka-europe-crm.veevavault.com/ui/#object/sent_email__v/VBL00000002W066", "SE-001437585")</f>
        <v>SE-001437585</v>
      </c>
      <c r="F12391" s="11"/>
      <c r="G12391" s="12">
        <v>0</v>
      </c>
      <c r="H12391" s="12">
        <v>0</v>
      </c>
      <c r="I12391" s="12">
        <v>0</v>
      </c>
      <c r="J12391" s="11"/>
      <c r="K12391" s="12">
        <v>0</v>
      </c>
      <c r="L12391" s="10" t="str">
        <f>HYPERLINK("https://otsuka-europe-crm.veevavault.com/ui/#object/approved_document__v/V5O00000000D081", "UK - Consent Email 1 Aug 25")</f>
        <v>UK - Consent Email 1 Aug 25</v>
      </c>
      <c r="M12391" s="10" t="str">
        <f>HYPERLINK("mailto:draval@crm.otsuka-europe.com", "draval@crm.otsuka-europe.com")</f>
        <v>draval@crm.otsuka-europe.com</v>
      </c>
      <c r="N12391" s="13">
        <v>46196.61650462963</v>
      </c>
      <c r="O12391" s="14" t="str">
        <f>HYPERLINK("https://otsuka-europe-crm.veevavault.com/ui/#object/email_activity__v/V8C000000040421", "EN-002099422")</f>
        <v>EN-002099422</v>
      </c>
    </row>
    <row r="12392" spans="1:15" ht="16" x14ac:dyDescent="0.2">
      <c r="A12392" s="17" t="str">
        <f>HYPERLINK("https://otsuka-europe-crm.veevavault.com/ui/#object/account__v/V4TZ04ASG9GWPEJ", "Caroline Okolie")</f>
        <v>Caroline Okolie</v>
      </c>
      <c r="B12392" s="17" t="str">
        <f>HYPERLINK("https://otsuka-europe-crm.veevavault.com/ui/#object/vcountry__v/VENZ000004SONFK", "GB")</f>
        <v>GB</v>
      </c>
      <c r="C12392" s="20" t="s">
        <v>39</v>
      </c>
      <c r="D12392" s="21" t="str">
        <f>HYPERLINK("https://otsuka-europe-crm.veevavault.com/ui/#object/approved_document__v/V5O00000000D081", "UK - Consent Email 1 Aug 25")</f>
        <v>UK - Consent Email 1 Aug 25</v>
      </c>
      <c r="E12392" s="22" t="str">
        <f>HYPERLINK("https://otsuka-europe-crm.veevavault.com/ui/#object/sent_email__v/VBL00000002X120", "SE-001437586")</f>
        <v>SE-001437586</v>
      </c>
      <c r="F12392" s="23">
        <v>46197.694884259261</v>
      </c>
      <c r="G12392" s="24">
        <v>1</v>
      </c>
      <c r="H12392" s="24">
        <v>1</v>
      </c>
      <c r="I12392" s="24">
        <v>1</v>
      </c>
      <c r="J12392" s="23">
        <v>46197.695185185185</v>
      </c>
      <c r="K12392" s="24">
        <v>1</v>
      </c>
      <c r="L12392" s="22" t="str">
        <f>HYPERLINK("https://otsuka-europe-crm.veevavault.com/ui/#object/approved_document__v/V5O00000000D081", "UK - Consent Email 1 Aug 25")</f>
        <v>UK - Consent Email 1 Aug 25</v>
      </c>
      <c r="M12392" s="22" t="str">
        <f>HYPERLINK("mailto:draval@crm.otsuka-europe.com", "draval@crm.otsuka-europe.com")</f>
        <v>draval@crm.otsuka-europe.com</v>
      </c>
      <c r="N12392" s="23">
        <v>46196.617708333331</v>
      </c>
      <c r="O12392" s="14" t="str">
        <f>HYPERLINK("https://otsuka-europe-crm.veevavault.com/ui/#object/email_activity__v/V8C00000003Z376", "EN-002099423")</f>
        <v>EN-002099423</v>
      </c>
    </row>
    <row r="12393" spans="1:15" ht="16" x14ac:dyDescent="0.2">
      <c r="A12393" s="18"/>
      <c r="B12393" s="18"/>
      <c r="C12393" s="18"/>
      <c r="D12393" s="18"/>
      <c r="E12393" s="18"/>
      <c r="F12393" s="18"/>
      <c r="G12393" s="18"/>
      <c r="H12393" s="18"/>
      <c r="I12393" s="18"/>
      <c r="J12393" s="18"/>
      <c r="K12393" s="18"/>
      <c r="L12393" s="18"/>
      <c r="M12393" s="18"/>
      <c r="N12393" s="18"/>
      <c r="O12393" s="14" t="str">
        <f>HYPERLINK("https://otsuka-europe-crm.veevavault.com/ui/#object/email_activity__v/V8C000000040510", "EN-002099591")</f>
        <v>EN-002099591</v>
      </c>
    </row>
    <row r="12394" spans="1:15" ht="16" x14ac:dyDescent="0.2">
      <c r="A12394" s="19"/>
      <c r="B12394" s="19"/>
      <c r="C12394" s="19"/>
      <c r="D12394" s="19"/>
      <c r="E12394" s="19"/>
      <c r="F12394" s="19"/>
      <c r="G12394" s="19"/>
      <c r="H12394" s="19"/>
      <c r="I12394" s="19"/>
      <c r="J12394" s="19"/>
      <c r="K12394" s="19"/>
      <c r="L12394" s="19"/>
      <c r="M12394" s="19"/>
      <c r="N12394" s="19"/>
      <c r="O12394" s="14" t="str">
        <f>HYPERLINK("https://otsuka-europe-crm.veevavault.com/ui/#object/email_activity__v/V8C000000040511", "EN-002099592")</f>
        <v>EN-002099592</v>
      </c>
    </row>
    <row r="12395" spans="1:15" ht="16" x14ac:dyDescent="0.2">
      <c r="A12395" s="17" t="str">
        <f>HYPERLINK("https://otsuka-europe-crm.veevavault.com/ui/#object/account__v/V4TZ0000062PPTS", "Mike Aurokium")</f>
        <v>Mike Aurokium</v>
      </c>
      <c r="B12395" s="17" t="str">
        <f>HYPERLINK("https://otsuka-europe-crm.veevavault.com/ui/#object/vcountry__v/VENZ000004SONFK", "GB")</f>
        <v>GB</v>
      </c>
      <c r="C12395" s="20" t="s">
        <v>39</v>
      </c>
      <c r="D12395" s="21" t="str">
        <f>HYPERLINK("https://otsuka-europe-crm.veevavault.com/ui/#object/approved_document__v/V5O00000000D081", "UK - Consent Email 1 Aug 25")</f>
        <v>UK - Consent Email 1 Aug 25</v>
      </c>
      <c r="E12395" s="22" t="str">
        <f>HYPERLINK("https://otsuka-europe-crm.veevavault.com/ui/#object/sent_email__v/VBL00000002X121", "SE-001437587")</f>
        <v>SE-001437587</v>
      </c>
      <c r="F12395" s="23">
        <v>46196.726111111115</v>
      </c>
      <c r="G12395" s="24">
        <v>1</v>
      </c>
      <c r="H12395" s="24">
        <v>1</v>
      </c>
      <c r="I12395" s="24">
        <v>0</v>
      </c>
      <c r="J12395" s="25"/>
      <c r="K12395" s="24">
        <v>0</v>
      </c>
      <c r="L12395" s="22" t="str">
        <f>HYPERLINK("https://otsuka-europe-crm.veevavault.com/ui/#object/approved_document__v/V5O00000000D081", "UK - Consent Email 1 Aug 25")</f>
        <v>UK - Consent Email 1 Aug 25</v>
      </c>
      <c r="M12395" s="22" t="str">
        <f>HYPERLINK("mailto:draval@crm.otsuka-europe.com", "draval@crm.otsuka-europe.com")</f>
        <v>draval@crm.otsuka-europe.com</v>
      </c>
      <c r="N12395" s="23">
        <v>46196.618576388886</v>
      </c>
      <c r="O12395" s="14" t="str">
        <f>HYPERLINK("https://otsuka-europe-crm.veevavault.com/ui/#object/email_activity__v/V8C00000003Z391", "EN-002099454")</f>
        <v>EN-002099454</v>
      </c>
    </row>
    <row r="12396" spans="1:15" ht="16" x14ac:dyDescent="0.2">
      <c r="A12396" s="19"/>
      <c r="B12396" s="19"/>
      <c r="C12396" s="19"/>
      <c r="D12396" s="19"/>
      <c r="E12396" s="19"/>
      <c r="F12396" s="19"/>
      <c r="G12396" s="19"/>
      <c r="H12396" s="19"/>
      <c r="I12396" s="19"/>
      <c r="J12396" s="19"/>
      <c r="K12396" s="19"/>
      <c r="L12396" s="19"/>
      <c r="M12396" s="19"/>
      <c r="N12396" s="19"/>
      <c r="O12396" s="14" t="str">
        <f>HYPERLINK("https://otsuka-europe-crm.veevavault.com/ui/#object/email_activity__v/V8C000000040422", "EN-002099424")</f>
        <v>EN-002099424</v>
      </c>
    </row>
    <row r="12397" spans="1:15" ht="16" x14ac:dyDescent="0.2">
      <c r="A12397" s="17" t="str">
        <f>HYPERLINK("https://otsuka-europe-crm.veevavault.com/ui/#object/account__v/V4TZ00000633HYB", "SOFIANE CHAFAI")</f>
        <v>SOFIANE CHAFAI</v>
      </c>
      <c r="B12397" s="17" t="str">
        <f>HYPERLINK("https://otsuka-europe-crm.veevavault.com/ui/#object/vcountry__v/VENZ000004SONFA", "FR")</f>
        <v>FR</v>
      </c>
      <c r="C12397" s="20" t="s">
        <v>42</v>
      </c>
      <c r="D12397" s="21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12397" s="22" t="str">
        <f>HYPERLINK("https://otsuka-europe-crm.veevavault.com/ui/#object/sent_email__v/VBL00000002X122", "SE-001437588")</f>
        <v>SE-001437588</v>
      </c>
      <c r="F12397" s="23">
        <v>46196.786643518521</v>
      </c>
      <c r="G12397" s="24">
        <v>1</v>
      </c>
      <c r="H12397" s="24">
        <v>2</v>
      </c>
      <c r="I12397" s="24">
        <v>0</v>
      </c>
      <c r="J12397" s="25"/>
      <c r="K12397" s="24">
        <v>0</v>
      </c>
      <c r="L12397" s="22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12397" s="22" t="str">
        <f>HYPERLINK("mailto:mperrin@crm.otsuka-europe.com", "mperrin@crm.otsuka-europe.com")</f>
        <v>mperrin@crm.otsuka-europe.com</v>
      </c>
      <c r="N12397" s="23">
        <v>46196.768784722219</v>
      </c>
      <c r="O12397" s="14" t="str">
        <f>HYPERLINK("https://otsuka-europe-crm.veevavault.com/ui/#object/email_activity__v/V8C00000003Z396", "EN-002099467")</f>
        <v>EN-002099467</v>
      </c>
    </row>
    <row r="12398" spans="1:15" ht="16" x14ac:dyDescent="0.2">
      <c r="A12398" s="18"/>
      <c r="B12398" s="18"/>
      <c r="C12398" s="18"/>
      <c r="D12398" s="18"/>
      <c r="E12398" s="18"/>
      <c r="F12398" s="18"/>
      <c r="G12398" s="18"/>
      <c r="H12398" s="18"/>
      <c r="I12398" s="18"/>
      <c r="J12398" s="18"/>
      <c r="K12398" s="18"/>
      <c r="L12398" s="18"/>
      <c r="M12398" s="18"/>
      <c r="N12398" s="18"/>
      <c r="O12398" s="14" t="str">
        <f>HYPERLINK("https://otsuka-europe-crm.veevavault.com/ui/#object/email_activity__v/V8C00000003Z398", "EN-002099470")</f>
        <v>EN-002099470</v>
      </c>
    </row>
    <row r="12399" spans="1:15" ht="16" x14ac:dyDescent="0.2">
      <c r="A12399" s="19"/>
      <c r="B12399" s="19"/>
      <c r="C12399" s="19"/>
      <c r="D12399" s="19"/>
      <c r="E12399" s="19"/>
      <c r="F12399" s="19"/>
      <c r="G12399" s="19"/>
      <c r="H12399" s="19"/>
      <c r="I12399" s="19"/>
      <c r="J12399" s="19"/>
      <c r="K12399" s="19"/>
      <c r="L12399" s="19"/>
      <c r="M12399" s="19"/>
      <c r="N12399" s="19"/>
      <c r="O12399" s="14" t="str">
        <f>HYPERLINK("https://otsuka-europe-crm.veevavault.com/ui/#object/email_activity__v/V8C00000003Z399", "EN-002099471")</f>
        <v>EN-002099471</v>
      </c>
    </row>
    <row r="12400" spans="1:15" ht="16" x14ac:dyDescent="0.2">
      <c r="A12400" s="17" t="str">
        <f>HYPERLINK("https://otsuka-europe-crm.veevavault.com/ui/#object/account__v/V4T000000027060", "JULIA ROMAN OBREGON")</f>
        <v>JULIA ROMAN OBREGON</v>
      </c>
      <c r="B12400" s="17" t="str">
        <f>HYPERLINK("https://otsuka-europe-crm.veevavault.com/ui/#object/vcountry__v/VENZ000004SONF5", "ES")</f>
        <v>ES</v>
      </c>
      <c r="C12400" s="20" t="s">
        <v>41</v>
      </c>
      <c r="D12400" s="21" t="str">
        <f>HYPERLINK("https://otsuka-europe-crm.veevavault.com/ui/#object/approved_document__v/V5OZ06G6O6RFL1P", "ES Veeva Privacy Notice Email")</f>
        <v>ES Veeva Privacy Notice Email</v>
      </c>
      <c r="E12400" s="22" t="str">
        <f>HYPERLINK("https://otsuka-europe-crm.veevavault.com/ui/#object/sent_email__v/VBL00000002W067", "SE-001437589")</f>
        <v>SE-001437589</v>
      </c>
      <c r="F12400" s="23">
        <v>46197.927430555559</v>
      </c>
      <c r="G12400" s="24">
        <v>1</v>
      </c>
      <c r="H12400" s="24">
        <v>4</v>
      </c>
      <c r="I12400" s="24">
        <v>0</v>
      </c>
      <c r="J12400" s="25"/>
      <c r="K12400" s="24">
        <v>0</v>
      </c>
      <c r="L12400" s="22" t="str">
        <f>HYPERLINK("https://otsuka-europe-crm.veevavault.com/ui/#object/approved_document__v/V5OZ06G6O6RFL1P", "ES Veeva Privacy Notice Email")</f>
        <v>ES Veeva Privacy Notice Email</v>
      </c>
      <c r="M12400" s="22" t="str">
        <f>HYPERLINK("mailto:mgravan@crm.otsuka-europe.com", "mgravan@crm.otsuka-europe.com")</f>
        <v>mgravan@crm.otsuka-europe.com</v>
      </c>
      <c r="N12400" s="23">
        <v>46197.336273148147</v>
      </c>
      <c r="O12400" s="14" t="str">
        <f>HYPERLINK("https://otsuka-europe-crm.veevavault.com/ui/#object/email_activity__v/V8C00000003Z466", "EN-002099615")</f>
        <v>EN-002099615</v>
      </c>
    </row>
    <row r="12401" spans="1:15" ht="16" x14ac:dyDescent="0.2">
      <c r="A12401" s="18"/>
      <c r="B12401" s="18"/>
      <c r="C12401" s="18"/>
      <c r="D12401" s="18"/>
      <c r="E12401" s="18"/>
      <c r="F12401" s="18"/>
      <c r="G12401" s="18"/>
      <c r="H12401" s="18"/>
      <c r="I12401" s="18"/>
      <c r="J12401" s="18"/>
      <c r="K12401" s="18"/>
      <c r="L12401" s="18"/>
      <c r="M12401" s="18"/>
      <c r="N12401" s="18"/>
      <c r="O12401" s="14" t="str">
        <f>HYPERLINK("https://otsuka-europe-crm.veevavault.com/ui/#object/email_activity__v/V8C00000003Z469", "EN-002099626")</f>
        <v>EN-002099626</v>
      </c>
    </row>
    <row r="12402" spans="1:15" ht="16" x14ac:dyDescent="0.2">
      <c r="A12402" s="18"/>
      <c r="B12402" s="18"/>
      <c r="C12402" s="18"/>
      <c r="D12402" s="18"/>
      <c r="E12402" s="18"/>
      <c r="F12402" s="18"/>
      <c r="G12402" s="18"/>
      <c r="H12402" s="18"/>
      <c r="I12402" s="18"/>
      <c r="J12402" s="18"/>
      <c r="K12402" s="18"/>
      <c r="L12402" s="18"/>
      <c r="M12402" s="18"/>
      <c r="N12402" s="18"/>
      <c r="O12402" s="14" t="str">
        <f>HYPERLINK("https://otsuka-europe-crm.veevavault.com/ui/#object/email_activity__v/V8C000000040462", "EN-002099507")</f>
        <v>EN-002099507</v>
      </c>
    </row>
    <row r="12403" spans="1:15" ht="16" x14ac:dyDescent="0.2">
      <c r="A12403" s="18"/>
      <c r="B12403" s="18"/>
      <c r="C12403" s="18"/>
      <c r="D12403" s="18"/>
      <c r="E12403" s="18"/>
      <c r="F12403" s="18"/>
      <c r="G12403" s="18"/>
      <c r="H12403" s="18"/>
      <c r="I12403" s="18"/>
      <c r="J12403" s="18"/>
      <c r="K12403" s="18"/>
      <c r="L12403" s="18"/>
      <c r="M12403" s="18"/>
      <c r="N12403" s="18"/>
      <c r="O12403" s="14" t="str">
        <f>HYPERLINK("https://otsuka-europe-crm.veevavault.com/ui/#object/email_activity__v/V8C000000040463", "EN-002099508")</f>
        <v>EN-002099508</v>
      </c>
    </row>
    <row r="12404" spans="1:15" ht="16" x14ac:dyDescent="0.2">
      <c r="A12404" s="19"/>
      <c r="B12404" s="19"/>
      <c r="C12404" s="19"/>
      <c r="D12404" s="19"/>
      <c r="E12404" s="19"/>
      <c r="F12404" s="19"/>
      <c r="G12404" s="19"/>
      <c r="H12404" s="19"/>
      <c r="I12404" s="19"/>
      <c r="J12404" s="19"/>
      <c r="K12404" s="19"/>
      <c r="L12404" s="19"/>
      <c r="M12404" s="19"/>
      <c r="N12404" s="19"/>
      <c r="O12404" s="14" t="str">
        <f>HYPERLINK("https://otsuka-europe-crm.veevavault.com/ui/#object/email_activity__v/V8C000000040464", "EN-002099509")</f>
        <v>EN-002099509</v>
      </c>
    </row>
    <row r="12405" spans="1:15" ht="16" x14ac:dyDescent="0.2">
      <c r="A12405" s="17" t="str">
        <f>HYPERLINK("https://otsuka-europe-crm.veevavault.com/ui/#object/account__v/V4T000000027060", "JULIA ROMAN OBREGON")</f>
        <v>JULIA ROMAN OBREGON</v>
      </c>
      <c r="B12405" s="17" t="str">
        <f>HYPERLINK("https://otsuka-europe-crm.veevavault.com/ui/#object/vcountry__v/VENZ000004SONF5", "ES")</f>
        <v>ES</v>
      </c>
      <c r="C12405" s="20" t="s">
        <v>41</v>
      </c>
      <c r="D12405" s="21" t="str">
        <f>HYPERLINK("https://otsuka-europe-crm.veevavault.com/ui/#object/approved_document__v/V5O00000000D100", "Spain - Consent Email 1 Aug 25")</f>
        <v>Spain - Consent Email 1 Aug 25</v>
      </c>
      <c r="E12405" s="22" t="str">
        <f>HYPERLINK("https://otsuka-europe-crm.veevavault.com/ui/#object/sent_email__v/VBL00000002W068", "SE-001437590")</f>
        <v>SE-001437590</v>
      </c>
      <c r="F12405" s="23">
        <v>46197.927858796298</v>
      </c>
      <c r="G12405" s="24">
        <v>1</v>
      </c>
      <c r="H12405" s="24">
        <v>4</v>
      </c>
      <c r="I12405" s="24">
        <v>1</v>
      </c>
      <c r="J12405" s="23">
        <v>46197.927881944444</v>
      </c>
      <c r="K12405" s="24">
        <v>3</v>
      </c>
      <c r="L12405" s="22" t="str">
        <f>HYPERLINK("https://otsuka-europe-crm.veevavault.com/ui/#object/approved_document__v/V5O00000000D100", "Spain - Consent Email 1 Aug 25")</f>
        <v>Spain - Consent Email 1 Aug 25</v>
      </c>
      <c r="M12405" s="22" t="str">
        <f>HYPERLINK("mailto:mgravan@crm.otsuka-europe.com", "mgravan@crm.otsuka-europe.com")</f>
        <v>mgravan@crm.otsuka-europe.com</v>
      </c>
      <c r="N12405" s="23">
        <v>46197.336770833332</v>
      </c>
      <c r="O12405" s="14" t="str">
        <f>HYPERLINK("https://otsuka-europe-crm.veevavault.com/ui/#object/email_activity__v/V8C00000003Z468", "EN-002099625")</f>
        <v>EN-002099625</v>
      </c>
    </row>
    <row r="12406" spans="1:15" ht="16" x14ac:dyDescent="0.2">
      <c r="A12406" s="18"/>
      <c r="B12406" s="18"/>
      <c r="C12406" s="18"/>
      <c r="D12406" s="18"/>
      <c r="E12406" s="18"/>
      <c r="F12406" s="18"/>
      <c r="G12406" s="18"/>
      <c r="H12406" s="18"/>
      <c r="I12406" s="18"/>
      <c r="J12406" s="18"/>
      <c r="K12406" s="18"/>
      <c r="L12406" s="18"/>
      <c r="M12406" s="18"/>
      <c r="N12406" s="18"/>
      <c r="O12406" s="14" t="str">
        <f>HYPERLINK("https://otsuka-europe-crm.veevavault.com/ui/#object/email_activity__v/V8C00000003Z471", "EN-002099631")</f>
        <v>EN-002099631</v>
      </c>
    </row>
    <row r="12407" spans="1:15" ht="16" x14ac:dyDescent="0.2">
      <c r="A12407" s="18"/>
      <c r="B12407" s="18"/>
      <c r="C12407" s="18"/>
      <c r="D12407" s="18"/>
      <c r="E12407" s="18"/>
      <c r="F12407" s="18"/>
      <c r="G12407" s="18"/>
      <c r="H12407" s="18"/>
      <c r="I12407" s="18"/>
      <c r="J12407" s="18"/>
      <c r="K12407" s="18"/>
      <c r="L12407" s="18"/>
      <c r="M12407" s="18"/>
      <c r="N12407" s="18"/>
      <c r="O12407" s="14" t="str">
        <f>HYPERLINK("https://otsuka-europe-crm.veevavault.com/ui/#object/email_activity__v/V8C00000003Z472", "EN-002099632")</f>
        <v>EN-002099632</v>
      </c>
    </row>
    <row r="12408" spans="1:15" ht="16" x14ac:dyDescent="0.2">
      <c r="A12408" s="18"/>
      <c r="B12408" s="18"/>
      <c r="C12408" s="18"/>
      <c r="D12408" s="18"/>
      <c r="E12408" s="18"/>
      <c r="F12408" s="18"/>
      <c r="G12408" s="18"/>
      <c r="H12408" s="18"/>
      <c r="I12408" s="18"/>
      <c r="J12408" s="18"/>
      <c r="K12408" s="18"/>
      <c r="L12408" s="18"/>
      <c r="M12408" s="18"/>
      <c r="N12408" s="18"/>
      <c r="O12408" s="14" t="str">
        <f>HYPERLINK("https://otsuka-europe-crm.veevavault.com/ui/#object/email_activity__v/V8C000000040467", "EN-002099512")</f>
        <v>EN-002099512</v>
      </c>
    </row>
    <row r="12409" spans="1:15" ht="16" x14ac:dyDescent="0.2">
      <c r="A12409" s="18"/>
      <c r="B12409" s="18"/>
      <c r="C12409" s="18"/>
      <c r="D12409" s="18"/>
      <c r="E12409" s="18"/>
      <c r="F12409" s="18"/>
      <c r="G12409" s="18"/>
      <c r="H12409" s="18"/>
      <c r="I12409" s="18"/>
      <c r="J12409" s="18"/>
      <c r="K12409" s="18"/>
      <c r="L12409" s="18"/>
      <c r="M12409" s="18"/>
      <c r="N12409" s="18"/>
      <c r="O12409" s="14" t="str">
        <f>HYPERLINK("https://otsuka-europe-crm.veevavault.com/ui/#object/email_activity__v/V8C000000040528", "EN-002099621")</f>
        <v>EN-002099621</v>
      </c>
    </row>
    <row r="12410" spans="1:15" ht="16" x14ac:dyDescent="0.2">
      <c r="A12410" s="18"/>
      <c r="B12410" s="18"/>
      <c r="C12410" s="18"/>
      <c r="D12410" s="18"/>
      <c r="E12410" s="18"/>
      <c r="F12410" s="18"/>
      <c r="G12410" s="18"/>
      <c r="H12410" s="18"/>
      <c r="I12410" s="18"/>
      <c r="J12410" s="18"/>
      <c r="K12410" s="18"/>
      <c r="L12410" s="18"/>
      <c r="M12410" s="18"/>
      <c r="N12410" s="18"/>
      <c r="O12410" s="14" t="str">
        <f>HYPERLINK("https://otsuka-europe-crm.veevavault.com/ui/#object/email_activity__v/V8C000000040529", "EN-002099622")</f>
        <v>EN-002099622</v>
      </c>
    </row>
    <row r="12411" spans="1:15" ht="16" x14ac:dyDescent="0.2">
      <c r="A12411" s="18"/>
      <c r="B12411" s="18"/>
      <c r="C12411" s="18"/>
      <c r="D12411" s="18"/>
      <c r="E12411" s="18"/>
      <c r="F12411" s="18"/>
      <c r="G12411" s="18"/>
      <c r="H12411" s="18"/>
      <c r="I12411" s="18"/>
      <c r="J12411" s="18"/>
      <c r="K12411" s="18"/>
      <c r="L12411" s="18"/>
      <c r="M12411" s="18"/>
      <c r="N12411" s="18"/>
      <c r="O12411" s="14" t="str">
        <f>HYPERLINK("https://otsuka-europe-crm.veevavault.com/ui/#object/email_activity__v/V8C000000040530", "EN-002099623")</f>
        <v>EN-002099623</v>
      </c>
    </row>
    <row r="12412" spans="1:15" ht="16" x14ac:dyDescent="0.2">
      <c r="A12412" s="19"/>
      <c r="B12412" s="19"/>
      <c r="C12412" s="19"/>
      <c r="D12412" s="19"/>
      <c r="E12412" s="19"/>
      <c r="F12412" s="19"/>
      <c r="G12412" s="19"/>
      <c r="H12412" s="19"/>
      <c r="I12412" s="19"/>
      <c r="J12412" s="19"/>
      <c r="K12412" s="19"/>
      <c r="L12412" s="19"/>
      <c r="M12412" s="19"/>
      <c r="N12412" s="19"/>
      <c r="O12412" s="14" t="str">
        <f>HYPERLINK("https://otsuka-europe-crm.veevavault.com/ui/#object/email_activity__v/V8C000000040531", "EN-002099624")</f>
        <v>EN-002099624</v>
      </c>
    </row>
    <row r="12413" spans="1:15" ht="16" x14ac:dyDescent="0.2">
      <c r="A12413" s="17" t="str">
        <f>HYPERLINK("https://otsuka-europe-crm.veevavault.com/ui/#object/account__v/V4T000000027060", "JULIA ROMAN OBREGON")</f>
        <v>JULIA ROMAN OBREGON</v>
      </c>
      <c r="B12413" s="17" t="str">
        <f>HYPERLINK("https://otsuka-europe-crm.veevavault.com/ui/#object/vcountry__v/VENZ000004SONF5", "ES")</f>
        <v>ES</v>
      </c>
      <c r="C12413" s="20" t="s">
        <v>41</v>
      </c>
      <c r="D12413" s="21" t="str">
        <f>HYPERLINK("https://otsuka-europe-crm.veevavault.com/ui/#object/approved_document__v/V5OZ04ASG4FWKA7", "Reuniones Online Consent - 2")</f>
        <v>Reuniones Online Consent - 2</v>
      </c>
      <c r="E12413" s="22" t="str">
        <f>HYPERLINK("https://otsuka-europe-crm.veevavault.com/ui/#object/sent_email__v/VBL00000002W069", "SE-001437591")</f>
        <v>SE-001437591</v>
      </c>
      <c r="F12413" s="23">
        <v>46197.927777777775</v>
      </c>
      <c r="G12413" s="24">
        <v>1</v>
      </c>
      <c r="H12413" s="24">
        <v>2</v>
      </c>
      <c r="I12413" s="24">
        <v>1</v>
      </c>
      <c r="J12413" s="23">
        <v>46197.927800925929</v>
      </c>
      <c r="K12413" s="24">
        <v>2</v>
      </c>
      <c r="L12413" s="22" t="str">
        <f>HYPERLINK("https://otsuka-europe-crm.veevavault.com/ui/#object/approved_document__v/V5OZ04ASG4FWKA7", "Reuniones Online Consent - 2")</f>
        <v>Reuniones Online Consent - 2</v>
      </c>
      <c r="M12413" s="22" t="str">
        <f>HYPERLINK("mailto:mgravan@crm.otsuka-europe.com", "mgravan@crm.otsuka-europe.com")</f>
        <v>mgravan@crm.otsuka-europe.com</v>
      </c>
      <c r="N12413" s="23">
        <v>46197.336770833332</v>
      </c>
      <c r="O12413" s="14" t="str">
        <f>HYPERLINK("https://otsuka-europe-crm.veevavault.com/ui/#object/email_activity__v/V8C000000040466", "EN-002099511")</f>
        <v>EN-002099511</v>
      </c>
    </row>
    <row r="12414" spans="1:15" ht="16" x14ac:dyDescent="0.2">
      <c r="A12414" s="18"/>
      <c r="B12414" s="18"/>
      <c r="C12414" s="18"/>
      <c r="D12414" s="18"/>
      <c r="E12414" s="18"/>
      <c r="F12414" s="18"/>
      <c r="G12414" s="18"/>
      <c r="H12414" s="18"/>
      <c r="I12414" s="18"/>
      <c r="J12414" s="18"/>
      <c r="K12414" s="18"/>
      <c r="L12414" s="18"/>
      <c r="M12414" s="18"/>
      <c r="N12414" s="18"/>
      <c r="O12414" s="14" t="str">
        <f>HYPERLINK("https://otsuka-europe-crm.veevavault.com/ui/#object/email_activity__v/V8C000000040524", "EN-002099617")</f>
        <v>EN-002099617</v>
      </c>
    </row>
    <row r="12415" spans="1:15" ht="16" x14ac:dyDescent="0.2">
      <c r="A12415" s="18"/>
      <c r="B12415" s="18"/>
      <c r="C12415" s="18"/>
      <c r="D12415" s="18"/>
      <c r="E12415" s="18"/>
      <c r="F12415" s="18"/>
      <c r="G12415" s="18"/>
      <c r="H12415" s="18"/>
      <c r="I12415" s="18"/>
      <c r="J12415" s="18"/>
      <c r="K12415" s="18"/>
      <c r="L12415" s="18"/>
      <c r="M12415" s="18"/>
      <c r="N12415" s="18"/>
      <c r="O12415" s="14" t="str">
        <f>HYPERLINK("https://otsuka-europe-crm.veevavault.com/ui/#object/email_activity__v/V8C000000040527", "EN-002099620")</f>
        <v>EN-002099620</v>
      </c>
    </row>
    <row r="12416" spans="1:15" ht="16" x14ac:dyDescent="0.2">
      <c r="A12416" s="18"/>
      <c r="B12416" s="18"/>
      <c r="C12416" s="18"/>
      <c r="D12416" s="18"/>
      <c r="E12416" s="18"/>
      <c r="F12416" s="18"/>
      <c r="G12416" s="18"/>
      <c r="H12416" s="18"/>
      <c r="I12416" s="18"/>
      <c r="J12416" s="18"/>
      <c r="K12416" s="18"/>
      <c r="L12416" s="18"/>
      <c r="M12416" s="18"/>
      <c r="N12416" s="18"/>
      <c r="O12416" s="14" t="str">
        <f>HYPERLINK("https://otsuka-europe-crm.veevavault.com/ui/#object/email_activity__v/V8C000000040532", "EN-002099628")</f>
        <v>EN-002099628</v>
      </c>
    </row>
    <row r="12417" spans="1:15" ht="16" x14ac:dyDescent="0.2">
      <c r="A12417" s="19"/>
      <c r="B12417" s="19"/>
      <c r="C12417" s="19"/>
      <c r="D12417" s="19"/>
      <c r="E12417" s="19"/>
      <c r="F12417" s="19"/>
      <c r="G12417" s="19"/>
      <c r="H12417" s="19"/>
      <c r="I12417" s="19"/>
      <c r="J12417" s="19"/>
      <c r="K12417" s="19"/>
      <c r="L12417" s="19"/>
      <c r="M12417" s="19"/>
      <c r="N12417" s="19"/>
      <c r="O12417" s="14" t="str">
        <f>HYPERLINK("https://otsuka-europe-crm.veevavault.com/ui/#object/email_activity__v/V8C000000040534", "EN-002099630")</f>
        <v>EN-002099630</v>
      </c>
    </row>
    <row r="12418" spans="1:15" ht="16" x14ac:dyDescent="0.2">
      <c r="A12418" s="17" t="str">
        <f>HYPERLINK("https://otsuka-europe-crm.veevavault.com/ui/#object/account__v/V4T000000027060", "JULIA ROMAN OBREGON")</f>
        <v>JULIA ROMAN OBREGON</v>
      </c>
      <c r="B12418" s="17" t="str">
        <f>HYPERLINK("https://otsuka-europe-crm.veevavault.com/ui/#object/vcountry__v/VENZ000004SONF5", "ES")</f>
        <v>ES</v>
      </c>
      <c r="C12418" s="20" t="s">
        <v>41</v>
      </c>
      <c r="D12418" s="21" t="str">
        <f>HYPERLINK("https://otsuka-europe-crm.veevavault.com/ui/#object/approved_document__v/V5OZ04ASG4FWKA9", "Documento Autorizaciขn Centro Empleador")</f>
        <v>Documento Autorizaciขn Centro Empleador</v>
      </c>
      <c r="E12418" s="22" t="str">
        <f>HYPERLINK("https://otsuka-europe-crm.veevavault.com/ui/#object/sent_email__v/VBL00000002W070", "SE-001437592")</f>
        <v>SE-001437592</v>
      </c>
      <c r="F12418" s="23">
        <v>46197.92765046296</v>
      </c>
      <c r="G12418" s="24">
        <v>1</v>
      </c>
      <c r="H12418" s="24">
        <v>3</v>
      </c>
      <c r="I12418" s="24">
        <v>1</v>
      </c>
      <c r="J12418" s="23">
        <v>46197.927673611113</v>
      </c>
      <c r="K12418" s="24">
        <v>2</v>
      </c>
      <c r="L12418" s="22" t="str">
        <f>HYPERLINK("https://otsuka-europe-crm.veevavault.com/ui/#object/approved_document__v/V5OZ04ASG4FWKA9", "Documento Autorizaciขn Centro Empleador")</f>
        <v>Documento Autorizaciขn Centro Empleador</v>
      </c>
      <c r="M12418" s="22" t="str">
        <f>HYPERLINK("mailto:mgravan@crm.otsuka-europe.com", "mgravan@crm.otsuka-europe.com")</f>
        <v>mgravan@crm.otsuka-europe.com</v>
      </c>
      <c r="N12418" s="23">
        <v>46197.336770833332</v>
      </c>
      <c r="O12418" s="14" t="str">
        <f>HYPERLINK("https://otsuka-europe-crm.veevavault.com/ui/#object/email_activity__v/V8C00000003Z467", "EN-002099616")</f>
        <v>EN-002099616</v>
      </c>
    </row>
    <row r="12419" spans="1:15" ht="16" x14ac:dyDescent="0.2">
      <c r="A12419" s="18"/>
      <c r="B12419" s="18"/>
      <c r="C12419" s="18"/>
      <c r="D12419" s="18"/>
      <c r="E12419" s="18"/>
      <c r="F12419" s="18"/>
      <c r="G12419" s="18"/>
      <c r="H12419" s="18"/>
      <c r="I12419" s="18"/>
      <c r="J12419" s="18"/>
      <c r="K12419" s="18"/>
      <c r="L12419" s="18"/>
      <c r="M12419" s="18"/>
      <c r="N12419" s="18"/>
      <c r="O12419" s="14" t="str">
        <f>HYPERLINK("https://otsuka-europe-crm.veevavault.com/ui/#object/email_activity__v/V8C00000003Z470", "EN-002099627")</f>
        <v>EN-002099627</v>
      </c>
    </row>
    <row r="12420" spans="1:15" ht="16" x14ac:dyDescent="0.2">
      <c r="A12420" s="18"/>
      <c r="B12420" s="18"/>
      <c r="C12420" s="18"/>
      <c r="D12420" s="18"/>
      <c r="E12420" s="18"/>
      <c r="F12420" s="18"/>
      <c r="G12420" s="18"/>
      <c r="H12420" s="18"/>
      <c r="I12420" s="18"/>
      <c r="J12420" s="18"/>
      <c r="K12420" s="18"/>
      <c r="L12420" s="18"/>
      <c r="M12420" s="18"/>
      <c r="N12420" s="18"/>
      <c r="O12420" s="14" t="str">
        <f>HYPERLINK("https://otsuka-europe-crm.veevavault.com/ui/#object/email_activity__v/V8C000000040465", "EN-002099510")</f>
        <v>EN-002099510</v>
      </c>
    </row>
    <row r="12421" spans="1:15" ht="16" x14ac:dyDescent="0.2">
      <c r="A12421" s="18"/>
      <c r="B12421" s="18"/>
      <c r="C12421" s="18"/>
      <c r="D12421" s="18"/>
      <c r="E12421" s="18"/>
      <c r="F12421" s="18"/>
      <c r="G12421" s="18"/>
      <c r="H12421" s="18"/>
      <c r="I12421" s="18"/>
      <c r="J12421" s="18"/>
      <c r="K12421" s="18"/>
      <c r="L12421" s="18"/>
      <c r="M12421" s="18"/>
      <c r="N12421" s="18"/>
      <c r="O12421" s="14" t="str">
        <f>HYPERLINK("https://otsuka-europe-crm.veevavault.com/ui/#object/email_activity__v/V8C000000040525", "EN-002099618")</f>
        <v>EN-002099618</v>
      </c>
    </row>
    <row r="12422" spans="1:15" ht="16" x14ac:dyDescent="0.2">
      <c r="A12422" s="18"/>
      <c r="B12422" s="18"/>
      <c r="C12422" s="18"/>
      <c r="D12422" s="18"/>
      <c r="E12422" s="18"/>
      <c r="F12422" s="18"/>
      <c r="G12422" s="18"/>
      <c r="H12422" s="18"/>
      <c r="I12422" s="18"/>
      <c r="J12422" s="18"/>
      <c r="K12422" s="18"/>
      <c r="L12422" s="18"/>
      <c r="M12422" s="18"/>
      <c r="N12422" s="18"/>
      <c r="O12422" s="14" t="str">
        <f>HYPERLINK("https://otsuka-europe-crm.veevavault.com/ui/#object/email_activity__v/V8C000000040526", "EN-002099619")</f>
        <v>EN-002099619</v>
      </c>
    </row>
    <row r="12423" spans="1:15" ht="16" x14ac:dyDescent="0.2">
      <c r="A12423" s="19"/>
      <c r="B12423" s="19"/>
      <c r="C12423" s="19"/>
      <c r="D12423" s="19"/>
      <c r="E12423" s="19"/>
      <c r="F12423" s="19"/>
      <c r="G12423" s="19"/>
      <c r="H12423" s="19"/>
      <c r="I12423" s="19"/>
      <c r="J12423" s="19"/>
      <c r="K12423" s="19"/>
      <c r="L12423" s="19"/>
      <c r="M12423" s="19"/>
      <c r="N12423" s="19"/>
      <c r="O12423" s="14" t="str">
        <f>HYPERLINK("https://otsuka-europe-crm.veevavault.com/ui/#object/email_activity__v/V8C000000040533", "EN-002099629")</f>
        <v>EN-002099629</v>
      </c>
    </row>
    <row r="12424" spans="1:15" ht="32" x14ac:dyDescent="0.2">
      <c r="A12424" s="7" t="str">
        <f>HYPERLINK("https://otsuka-europe-crm.veevavault.com/ui/#object/account__v/V4T000000027059", "MARIA ROMERO GALAN")</f>
        <v>MARIA ROMERO GALAN</v>
      </c>
      <c r="B12424" s="7" t="str">
        <f>HYPERLINK("https://otsuka-europe-crm.veevavault.com/ui/#object/vcountry__v/VENZ000004SONF5", "ES")</f>
        <v>ES</v>
      </c>
      <c r="C12424" s="8" t="s">
        <v>41</v>
      </c>
      <c r="D12424" s="9" t="str">
        <f>HYPERLINK("https://otsuka-europe-crm.veevavault.com/ui/#object/approved_document__v/V5OZ06G6O6RFL1P", "ES Veeva Privacy Notice Email")</f>
        <v>ES Veeva Privacy Notice Email</v>
      </c>
      <c r="E12424" s="10" t="str">
        <f>HYPERLINK("https://otsuka-europe-crm.veevavault.com/ui/#object/sent_email__v/VBL00000002W071", "SE-001437593")</f>
        <v>SE-001437593</v>
      </c>
      <c r="F12424" s="11"/>
      <c r="G12424" s="12">
        <v>0</v>
      </c>
      <c r="H12424" s="12">
        <v>0</v>
      </c>
      <c r="I12424" s="12">
        <v>0</v>
      </c>
      <c r="J12424" s="11"/>
      <c r="K12424" s="12">
        <v>0</v>
      </c>
      <c r="L12424" s="10" t="str">
        <f>HYPERLINK("https://otsuka-europe-crm.veevavault.com/ui/#object/approved_document__v/V5OZ06G6O6RFL1P", "ES Veeva Privacy Notice Email")</f>
        <v>ES Veeva Privacy Notice Email</v>
      </c>
      <c r="M12424" s="10" t="str">
        <f>HYPERLINK("mailto:mgravan@crm.otsuka-europe.com", "mgravan@crm.otsuka-europe.com")</f>
        <v>mgravan@crm.otsuka-europe.com</v>
      </c>
      <c r="N12424" s="13">
        <v>46197.338055555556</v>
      </c>
      <c r="O12424" s="14" t="str">
        <f>HYPERLINK("https://otsuka-europe-crm.veevavault.com/ui/#object/email_activity__v/V8C00000003Z420", "EN-002099513")</f>
        <v>EN-002099513</v>
      </c>
    </row>
    <row r="12425" spans="1:15" ht="16" x14ac:dyDescent="0.2">
      <c r="A12425" s="17" t="str">
        <f>HYPERLINK("https://otsuka-europe-crm.veevavault.com/ui/#object/account__v/V4T000000027059", "MARIA ROMERO GALAN")</f>
        <v>MARIA ROMERO GALAN</v>
      </c>
      <c r="B12425" s="17" t="str">
        <f>HYPERLINK("https://otsuka-europe-crm.veevavault.com/ui/#object/vcountry__v/VENZ000004SONF5", "ES")</f>
        <v>ES</v>
      </c>
      <c r="C12425" s="20" t="s">
        <v>41</v>
      </c>
      <c r="D12425" s="21" t="str">
        <f>HYPERLINK("https://otsuka-europe-crm.veevavault.com/ui/#object/approved_document__v/V5OZ04ASG4FWKA7", "Reuniones Online Consent - 2")</f>
        <v>Reuniones Online Consent - 2</v>
      </c>
      <c r="E12425" s="22" t="str">
        <f>HYPERLINK("https://otsuka-europe-crm.veevavault.com/ui/#object/sent_email__v/VBL00000002W072", "SE-001437594")</f>
        <v>SE-001437594</v>
      </c>
      <c r="F12425" s="23">
        <v>46197.411608796298</v>
      </c>
      <c r="G12425" s="24">
        <v>1</v>
      </c>
      <c r="H12425" s="24">
        <v>2</v>
      </c>
      <c r="I12425" s="24">
        <v>1</v>
      </c>
      <c r="J12425" s="23">
        <v>46197.40996527778</v>
      </c>
      <c r="K12425" s="24">
        <v>1</v>
      </c>
      <c r="L12425" s="22" t="str">
        <f>HYPERLINK("https://otsuka-europe-crm.veevavault.com/ui/#object/approved_document__v/V5OZ04ASG4FWKA7", "Reuniones Online Consent - 2")</f>
        <v>Reuniones Online Consent - 2</v>
      </c>
      <c r="M12425" s="22" t="str">
        <f>HYPERLINK("mailto:mgravan@crm.otsuka-europe.com", "mgravan@crm.otsuka-europe.com")</f>
        <v>mgravan@crm.otsuka-europe.com</v>
      </c>
      <c r="N12425" s="23">
        <v>46197.338587962964</v>
      </c>
      <c r="O12425" s="14" t="str">
        <f>HYPERLINK("https://otsuka-europe-crm.veevavault.com/ui/#object/email_activity__v/V8C00000003Z425", "EN-002099524")</f>
        <v>EN-002099524</v>
      </c>
    </row>
    <row r="12426" spans="1:15" ht="16" x14ac:dyDescent="0.2">
      <c r="A12426" s="18"/>
      <c r="B12426" s="18"/>
      <c r="C12426" s="18"/>
      <c r="D12426" s="18"/>
      <c r="E12426" s="18"/>
      <c r="F12426" s="18"/>
      <c r="G12426" s="18"/>
      <c r="H12426" s="18"/>
      <c r="I12426" s="18"/>
      <c r="J12426" s="18"/>
      <c r="K12426" s="18"/>
      <c r="L12426" s="18"/>
      <c r="M12426" s="18"/>
      <c r="N12426" s="18"/>
      <c r="O12426" s="14" t="str">
        <f>HYPERLINK("https://otsuka-europe-crm.veevavault.com/ui/#object/email_activity__v/V8C000000040468", "EN-002099514")</f>
        <v>EN-002099514</v>
      </c>
    </row>
    <row r="12427" spans="1:15" ht="16" x14ac:dyDescent="0.2">
      <c r="A12427" s="18"/>
      <c r="B12427" s="18"/>
      <c r="C12427" s="18"/>
      <c r="D12427" s="18"/>
      <c r="E12427" s="18"/>
      <c r="F12427" s="18"/>
      <c r="G12427" s="18"/>
      <c r="H12427" s="18"/>
      <c r="I12427" s="18"/>
      <c r="J12427" s="18"/>
      <c r="K12427" s="18"/>
      <c r="L12427" s="18"/>
      <c r="M12427" s="18"/>
      <c r="N12427" s="18"/>
      <c r="O12427" s="14" t="str">
        <f>HYPERLINK("https://otsuka-europe-crm.veevavault.com/ui/#object/email_activity__v/V8C000000040474", "EN-002099525")</f>
        <v>EN-002099525</v>
      </c>
    </row>
    <row r="12428" spans="1:15" ht="16" x14ac:dyDescent="0.2">
      <c r="A12428" s="19"/>
      <c r="B12428" s="19"/>
      <c r="C12428" s="19"/>
      <c r="D12428" s="19"/>
      <c r="E12428" s="19"/>
      <c r="F12428" s="19"/>
      <c r="G12428" s="19"/>
      <c r="H12428" s="19"/>
      <c r="I12428" s="19"/>
      <c r="J12428" s="19"/>
      <c r="K12428" s="19"/>
      <c r="L12428" s="19"/>
      <c r="M12428" s="19"/>
      <c r="N12428" s="19"/>
      <c r="O12428" s="14" t="str">
        <f>HYPERLINK("https://otsuka-europe-crm.veevavault.com/ui/#object/email_activity__v/V8C000000040478", "EN-002099529")</f>
        <v>EN-002099529</v>
      </c>
    </row>
    <row r="12429" spans="1:15" ht="16" x14ac:dyDescent="0.2">
      <c r="A12429" s="17" t="str">
        <f>HYPERLINK("https://otsuka-europe-crm.veevavault.com/ui/#object/account__v/V4T000000027059", "MARIA ROMERO GALAN")</f>
        <v>MARIA ROMERO GALAN</v>
      </c>
      <c r="B12429" s="17" t="str">
        <f>HYPERLINK("https://otsuka-europe-crm.veevavault.com/ui/#object/vcountry__v/VENZ000004SONF5", "ES")</f>
        <v>ES</v>
      </c>
      <c r="C12429" s="20" t="s">
        <v>41</v>
      </c>
      <c r="D12429" s="21" t="str">
        <f>HYPERLINK("https://otsuka-europe-crm.veevavault.com/ui/#object/approved_document__v/V5O00000000D100", "Spain - Consent Email 1 Aug 25")</f>
        <v>Spain - Consent Email 1 Aug 25</v>
      </c>
      <c r="E12429" s="22" t="str">
        <f>HYPERLINK("https://otsuka-europe-crm.veevavault.com/ui/#object/sent_email__v/VBL00000002W073", "SE-001437595")</f>
        <v>SE-001437595</v>
      </c>
      <c r="F12429" s="23">
        <v>46197.466180555559</v>
      </c>
      <c r="G12429" s="24">
        <v>1</v>
      </c>
      <c r="H12429" s="24">
        <v>2</v>
      </c>
      <c r="I12429" s="24">
        <v>1</v>
      </c>
      <c r="J12429" s="23">
        <v>46197.46601851852</v>
      </c>
      <c r="K12429" s="24">
        <v>1</v>
      </c>
      <c r="L12429" s="22" t="str">
        <f>HYPERLINK("https://otsuka-europe-crm.veevavault.com/ui/#object/approved_document__v/V5O00000000D100", "Spain - Consent Email 1 Aug 25")</f>
        <v>Spain - Consent Email 1 Aug 25</v>
      </c>
      <c r="M12429" s="22" t="str">
        <f>HYPERLINK("mailto:mgravan@crm.otsuka-europe.com", "mgravan@crm.otsuka-europe.com")</f>
        <v>mgravan@crm.otsuka-europe.com</v>
      </c>
      <c r="N12429" s="23">
        <v>46197.338587962964</v>
      </c>
      <c r="O12429" s="14" t="str">
        <f>HYPERLINK("https://otsuka-europe-crm.veevavault.com/ui/#object/email_activity__v/V8C00000003Z421", "EN-002099515")</f>
        <v>EN-002099515</v>
      </c>
    </row>
    <row r="12430" spans="1:15" ht="16" x14ac:dyDescent="0.2">
      <c r="A12430" s="18"/>
      <c r="B12430" s="18"/>
      <c r="C12430" s="18"/>
      <c r="D12430" s="18"/>
      <c r="E12430" s="18"/>
      <c r="F12430" s="18"/>
      <c r="G12430" s="18"/>
      <c r="H12430" s="18"/>
      <c r="I12430" s="18"/>
      <c r="J12430" s="18"/>
      <c r="K12430" s="18"/>
      <c r="L12430" s="18"/>
      <c r="M12430" s="18"/>
      <c r="N12430" s="18"/>
      <c r="O12430" s="14" t="str">
        <f>HYPERLINK("https://otsuka-europe-crm.veevavault.com/ui/#object/email_activity__v/V8C000000040485", "EN-002099540")</f>
        <v>EN-002099540</v>
      </c>
    </row>
    <row r="12431" spans="1:15" ht="16" x14ac:dyDescent="0.2">
      <c r="A12431" s="18"/>
      <c r="B12431" s="18"/>
      <c r="C12431" s="18"/>
      <c r="D12431" s="18"/>
      <c r="E12431" s="18"/>
      <c r="F12431" s="18"/>
      <c r="G12431" s="18"/>
      <c r="H12431" s="18"/>
      <c r="I12431" s="18"/>
      <c r="J12431" s="18"/>
      <c r="K12431" s="18"/>
      <c r="L12431" s="18"/>
      <c r="M12431" s="18"/>
      <c r="N12431" s="18"/>
      <c r="O12431" s="14" t="str">
        <f>HYPERLINK("https://otsuka-europe-crm.veevavault.com/ui/#object/email_activity__v/V8C000000040486", "EN-002099542")</f>
        <v>EN-002099542</v>
      </c>
    </row>
    <row r="12432" spans="1:15" ht="16" x14ac:dyDescent="0.2">
      <c r="A12432" s="19"/>
      <c r="B12432" s="19"/>
      <c r="C12432" s="19"/>
      <c r="D12432" s="19"/>
      <c r="E12432" s="19"/>
      <c r="F12432" s="19"/>
      <c r="G12432" s="19"/>
      <c r="H12432" s="19"/>
      <c r="I12432" s="19"/>
      <c r="J12432" s="19"/>
      <c r="K12432" s="19"/>
      <c r="L12432" s="19"/>
      <c r="M12432" s="19"/>
      <c r="N12432" s="19"/>
      <c r="O12432" s="14" t="str">
        <f>HYPERLINK("https://otsuka-europe-crm.veevavault.com/ui/#object/email_activity__v/V8C000000040487", "EN-002099543")</f>
        <v>EN-002099543</v>
      </c>
    </row>
    <row r="12433" spans="1:15" ht="16" x14ac:dyDescent="0.2">
      <c r="A12433" s="17" t="str">
        <f>HYPERLINK("https://otsuka-europe-crm.veevavault.com/ui/#object/account__v/V4T000000027059", "MARIA ROMERO GALAN")</f>
        <v>MARIA ROMERO GALAN</v>
      </c>
      <c r="B12433" s="17" t="str">
        <f>HYPERLINK("https://otsuka-europe-crm.veevavault.com/ui/#object/vcountry__v/VENZ000004SONF5", "ES")</f>
        <v>ES</v>
      </c>
      <c r="C12433" s="20" t="s">
        <v>41</v>
      </c>
      <c r="D12433" s="21" t="str">
        <f>HYPERLINK("https://otsuka-europe-crm.veevavault.com/ui/#object/approved_document__v/V5OZ04ASG4FWKA9", "Documento Autorizaciขn Centro Empleador")</f>
        <v>Documento Autorizaciขn Centro Empleador</v>
      </c>
      <c r="E12433" s="22" t="str">
        <f>HYPERLINK("https://otsuka-europe-crm.veevavault.com/ui/#object/sent_email__v/VBL00000002W074", "SE-001437596")</f>
        <v>SE-001437596</v>
      </c>
      <c r="F12433" s="23">
        <v>46197.41165509259</v>
      </c>
      <c r="G12433" s="24">
        <v>1</v>
      </c>
      <c r="H12433" s="24">
        <v>4</v>
      </c>
      <c r="I12433" s="24">
        <v>1</v>
      </c>
      <c r="J12433" s="23">
        <v>46197.410254629627</v>
      </c>
      <c r="K12433" s="24">
        <v>1</v>
      </c>
      <c r="L12433" s="22" t="str">
        <f>HYPERLINK("https://otsuka-europe-crm.veevavault.com/ui/#object/approved_document__v/V5OZ04ASG4FWKA9", "Documento Autorizaciขn Centro Empleador")</f>
        <v>Documento Autorizaciขn Centro Empleador</v>
      </c>
      <c r="M12433" s="22" t="str">
        <f>HYPERLINK("mailto:mgravan@crm.otsuka-europe.com", "mgravan@crm.otsuka-europe.com")</f>
        <v>mgravan@crm.otsuka-europe.com</v>
      </c>
      <c r="N12433" s="23">
        <v>46197.338587962964</v>
      </c>
      <c r="O12433" s="14" t="str">
        <f>HYPERLINK("https://otsuka-europe-crm.veevavault.com/ui/#object/email_activity__v/V8C000000040469", "EN-002099516")</f>
        <v>EN-002099516</v>
      </c>
    </row>
    <row r="12434" spans="1:15" ht="16" x14ac:dyDescent="0.2">
      <c r="A12434" s="18"/>
      <c r="B12434" s="18"/>
      <c r="C12434" s="18"/>
      <c r="D12434" s="18"/>
      <c r="E12434" s="18"/>
      <c r="F12434" s="18"/>
      <c r="G12434" s="18"/>
      <c r="H12434" s="18"/>
      <c r="I12434" s="18"/>
      <c r="J12434" s="18"/>
      <c r="K12434" s="18"/>
      <c r="L12434" s="18"/>
      <c r="M12434" s="18"/>
      <c r="N12434" s="18"/>
      <c r="O12434" s="14" t="str">
        <f>HYPERLINK("https://otsuka-europe-crm.veevavault.com/ui/#object/email_activity__v/V8C000000040475", "EN-002099526")</f>
        <v>EN-002099526</v>
      </c>
    </row>
    <row r="12435" spans="1:15" ht="16" x14ac:dyDescent="0.2">
      <c r="A12435" s="18"/>
      <c r="B12435" s="18"/>
      <c r="C12435" s="18"/>
      <c r="D12435" s="18"/>
      <c r="E12435" s="18"/>
      <c r="F12435" s="18"/>
      <c r="G12435" s="18"/>
      <c r="H12435" s="18"/>
      <c r="I12435" s="18"/>
      <c r="J12435" s="18"/>
      <c r="K12435" s="18"/>
      <c r="L12435" s="18"/>
      <c r="M12435" s="18"/>
      <c r="N12435" s="18"/>
      <c r="O12435" s="14" t="str">
        <f>HYPERLINK("https://otsuka-europe-crm.veevavault.com/ui/#object/email_activity__v/V8C000000040476", "EN-002099527")</f>
        <v>EN-002099527</v>
      </c>
    </row>
    <row r="12436" spans="1:15" ht="16" x14ac:dyDescent="0.2">
      <c r="A12436" s="18"/>
      <c r="B12436" s="18"/>
      <c r="C12436" s="18"/>
      <c r="D12436" s="18"/>
      <c r="E12436" s="18"/>
      <c r="F12436" s="18"/>
      <c r="G12436" s="18"/>
      <c r="H12436" s="18"/>
      <c r="I12436" s="18"/>
      <c r="J12436" s="18"/>
      <c r="K12436" s="18"/>
      <c r="L12436" s="18"/>
      <c r="M12436" s="18"/>
      <c r="N12436" s="18"/>
      <c r="O12436" s="14" t="str">
        <f>HYPERLINK("https://otsuka-europe-crm.veevavault.com/ui/#object/email_activity__v/V8C000000040477", "EN-002099528")</f>
        <v>EN-002099528</v>
      </c>
    </row>
    <row r="12437" spans="1:15" ht="16" x14ac:dyDescent="0.2">
      <c r="A12437" s="18"/>
      <c r="B12437" s="18"/>
      <c r="C12437" s="18"/>
      <c r="D12437" s="18"/>
      <c r="E12437" s="18"/>
      <c r="F12437" s="18"/>
      <c r="G12437" s="18"/>
      <c r="H12437" s="18"/>
      <c r="I12437" s="18"/>
      <c r="J12437" s="18"/>
      <c r="K12437" s="18"/>
      <c r="L12437" s="18"/>
      <c r="M12437" s="18"/>
      <c r="N12437" s="18"/>
      <c r="O12437" s="14" t="str">
        <f>HYPERLINK("https://otsuka-europe-crm.veevavault.com/ui/#object/email_activity__v/V8C000000040479", "EN-002099530")</f>
        <v>EN-002099530</v>
      </c>
    </row>
    <row r="12438" spans="1:15" ht="16" x14ac:dyDescent="0.2">
      <c r="A12438" s="19"/>
      <c r="B12438" s="19"/>
      <c r="C12438" s="19"/>
      <c r="D12438" s="19"/>
      <c r="E12438" s="19"/>
      <c r="F12438" s="19"/>
      <c r="G12438" s="19"/>
      <c r="H12438" s="19"/>
      <c r="I12438" s="19"/>
      <c r="J12438" s="19"/>
      <c r="K12438" s="19"/>
      <c r="L12438" s="19"/>
      <c r="M12438" s="19"/>
      <c r="N12438" s="19"/>
      <c r="O12438" s="14" t="str">
        <f>HYPERLINK("https://otsuka-europe-crm.veevavault.com/ui/#object/email_activity__v/V8C000000040480", "EN-002099531")</f>
        <v>EN-002099531</v>
      </c>
    </row>
    <row r="12439" spans="1:15" ht="16" x14ac:dyDescent="0.2">
      <c r="A12439" s="17" t="str">
        <f>HYPERLINK("https://otsuka-europe-crm.veevavault.com/ui/#object/account__v/V4TZ06G6OB4356D", "THEO KORCHIA")</f>
        <v>THEO KORCHIA</v>
      </c>
      <c r="B12439" s="17" t="str">
        <f>HYPERLINK("https://otsuka-europe-crm.veevavault.com/ui/#object/vcountry__v/VENZ000004SONFA", "FR")</f>
        <v>FR</v>
      </c>
      <c r="C12439" s="20" t="s">
        <v>42</v>
      </c>
      <c r="D12439" s="21" t="str">
        <f>HYPERLINK("https://otsuka-europe-crm.veevavault.com/ui/#object/approved_document__v/V5OZ04ASG4G02Y6", "INVITATION_VAD_2023")</f>
        <v>INVITATION_VAD_2023</v>
      </c>
      <c r="E12439" s="22" t="str">
        <f>HYPERLINK("https://otsuka-europe-crm.veevavault.com/ui/#object/sent_email__v/VBL00000002W075", "SE-001437597")</f>
        <v>SE-001437597</v>
      </c>
      <c r="F12439" s="23">
        <v>46197.459085648145</v>
      </c>
      <c r="G12439" s="24">
        <v>1</v>
      </c>
      <c r="H12439" s="24">
        <v>1</v>
      </c>
      <c r="I12439" s="24">
        <v>0</v>
      </c>
      <c r="J12439" s="25"/>
      <c r="K12439" s="24">
        <v>0</v>
      </c>
      <c r="L12439" s="22" t="str">
        <f>HYPERLINK("https://otsuka-europe-crm.veevavault.com/ui/#object/approved_document__v/V5OZ04ASG4G02Y6", "INVITATION_VAD_2023")</f>
        <v>INVITATION_VAD_2023</v>
      </c>
      <c r="M12439" s="22" t="str">
        <f>HYPERLINK("mailto:achabbal@crm.otsuka-europe.com", "achabbal@crm.otsuka-europe.com")</f>
        <v>achabbal@crm.otsuka-europe.com</v>
      </c>
      <c r="N12439" s="23">
        <v>46197.357592592591</v>
      </c>
      <c r="O12439" s="14" t="str">
        <f>HYPERLINK("https://otsuka-europe-crm.veevavault.com/ui/#object/email_activity__v/V8C000000040470", "EN-002099517")</f>
        <v>EN-002099517</v>
      </c>
    </row>
    <row r="12440" spans="1:15" ht="16" x14ac:dyDescent="0.2">
      <c r="A12440" s="19"/>
      <c r="B12440" s="19"/>
      <c r="C12440" s="19"/>
      <c r="D12440" s="19"/>
      <c r="E12440" s="19"/>
      <c r="F12440" s="19"/>
      <c r="G12440" s="19"/>
      <c r="H12440" s="19"/>
      <c r="I12440" s="19"/>
      <c r="J12440" s="19"/>
      <c r="K12440" s="19"/>
      <c r="L12440" s="19"/>
      <c r="M12440" s="19"/>
      <c r="N12440" s="19"/>
      <c r="O12440" s="14" t="str">
        <f>HYPERLINK("https://otsuka-europe-crm.veevavault.com/ui/#object/email_activity__v/V8C000000040484", "EN-002099538")</f>
        <v>EN-002099538</v>
      </c>
    </row>
    <row r="12441" spans="1:15" ht="16" x14ac:dyDescent="0.2">
      <c r="A12441" s="17" t="str">
        <f>HYPERLINK("https://otsuka-europe-crm.veevavault.com/ui/#object/account__v/V4TZ06G6OB4356D", "THEO KORCHIA")</f>
        <v>THEO KORCHIA</v>
      </c>
      <c r="B12441" s="17" t="str">
        <f>HYPERLINK("https://otsuka-europe-crm.veevavault.com/ui/#object/vcountry__v/VENZ000004SONFA", "FR")</f>
        <v>FR</v>
      </c>
      <c r="C12441" s="20" t="s">
        <v>42</v>
      </c>
      <c r="D12441" s="21" t="str">
        <f>HYPERLINK("https://otsuka-europe-crm.veevavault.com/ui/#object/approved_document__v/V5OZ04ASG4G02Y6", "INVITATION_VAD_2023")</f>
        <v>INVITATION_VAD_2023</v>
      </c>
      <c r="E12441" s="22" t="str">
        <f>HYPERLINK("https://otsuka-europe-crm.veevavault.com/ui/#object/sent_email__v/VBL00000002W076", "SE-001437598")</f>
        <v>SE-001437598</v>
      </c>
      <c r="F12441" s="23">
        <v>46197.375115740739</v>
      </c>
      <c r="G12441" s="24">
        <v>1</v>
      </c>
      <c r="H12441" s="24">
        <v>1</v>
      </c>
      <c r="I12441" s="24">
        <v>0</v>
      </c>
      <c r="J12441" s="25"/>
      <c r="K12441" s="24">
        <v>0</v>
      </c>
      <c r="L12441" s="22" t="str">
        <f>HYPERLINK("https://otsuka-europe-crm.veevavault.com/ui/#object/approved_document__v/V5OZ04ASG4G02Y6", "INVITATION_VAD_2023")</f>
        <v>INVITATION_VAD_2023</v>
      </c>
      <c r="M12441" s="22" t="str">
        <f>HYPERLINK("mailto:achabbal@crm.otsuka-europe.com", "achabbal@crm.otsuka-europe.com")</f>
        <v>achabbal@crm.otsuka-europe.com</v>
      </c>
      <c r="N12441" s="23">
        <v>46197.35833333333</v>
      </c>
      <c r="O12441" s="14" t="str">
        <f>HYPERLINK("https://otsuka-europe-crm.veevavault.com/ui/#object/email_activity__v/V8C000000040471", "EN-002099518")</f>
        <v>EN-002099518</v>
      </c>
    </row>
    <row r="12442" spans="1:15" ht="16" x14ac:dyDescent="0.2">
      <c r="A12442" s="19"/>
      <c r="B12442" s="19"/>
      <c r="C12442" s="19"/>
      <c r="D12442" s="19"/>
      <c r="E12442" s="19"/>
      <c r="F12442" s="19"/>
      <c r="G12442" s="19"/>
      <c r="H12442" s="19"/>
      <c r="I12442" s="19"/>
      <c r="J12442" s="19"/>
      <c r="K12442" s="19"/>
      <c r="L12442" s="19"/>
      <c r="M12442" s="19"/>
      <c r="N12442" s="19"/>
      <c r="O12442" s="14" t="str">
        <f>HYPERLINK("https://otsuka-europe-crm.veevavault.com/ui/#object/email_activity__v/V8C000000040472", "EN-002099519")</f>
        <v>EN-002099519</v>
      </c>
    </row>
    <row r="12443" spans="1:15" ht="16" x14ac:dyDescent="0.2">
      <c r="A12443" s="17" t="str">
        <f>HYPERLINK("https://otsuka-europe-crm.veevavault.com/ui/#object/account__v/V4TZ06G6OB4356D", "THEO KORCHIA")</f>
        <v>THEO KORCHIA</v>
      </c>
      <c r="B12443" s="17" t="str">
        <f>HYPERLINK("https://otsuka-europe-crm.veevavault.com/ui/#object/vcountry__v/VENZ000004SONFA", "FR")</f>
        <v>FR</v>
      </c>
      <c r="C12443" s="20" t="s">
        <v>42</v>
      </c>
      <c r="D12443" s="21" t="str">
        <f>HYPERLINK("https://otsuka-europe-crm.veevavault.com/ui/#object/approved_document__v/V5OZ04ASG4G02Y7", "REMERCIEMENTS_VAD_2023")</f>
        <v>REMERCIEMENTS_VAD_2023</v>
      </c>
      <c r="E12443" s="22" t="str">
        <f>HYPERLINK("https://otsuka-europe-crm.veevavault.com/ui/#object/sent_email__v/VBL00000002X123", "SE-001437599")</f>
        <v>SE-001437599</v>
      </c>
      <c r="F12443" s="23">
        <v>46197.466990740744</v>
      </c>
      <c r="G12443" s="24">
        <v>1</v>
      </c>
      <c r="H12443" s="24">
        <v>1</v>
      </c>
      <c r="I12443" s="24">
        <v>0</v>
      </c>
      <c r="J12443" s="25"/>
      <c r="K12443" s="24">
        <v>0</v>
      </c>
      <c r="L12443" s="22" t="str">
        <f>HYPERLINK("https://otsuka-europe-crm.veevavault.com/ui/#object/approved_document__v/V5OZ04ASG4G02Y7", "REMERCIEMENTS_VAD_2023")</f>
        <v>REMERCIEMENTS_VAD_2023</v>
      </c>
      <c r="M12443" s="22" t="str">
        <f>HYPERLINK("mailto:achabbal@crm.otsuka-europe.com", "achabbal@crm.otsuka-europe.com")</f>
        <v>achabbal@crm.otsuka-europe.com</v>
      </c>
      <c r="N12443" s="23">
        <v>46197.464224537034</v>
      </c>
      <c r="O12443" s="14" t="str">
        <f>HYPERLINK("https://otsuka-europe-crm.veevavault.com/ui/#object/email_activity__v/V8C00000003Z429", "EN-002099539")</f>
        <v>EN-002099539</v>
      </c>
    </row>
    <row r="12444" spans="1:15" ht="16" x14ac:dyDescent="0.2">
      <c r="A12444" s="19"/>
      <c r="B12444" s="19"/>
      <c r="C12444" s="19"/>
      <c r="D12444" s="19"/>
      <c r="E12444" s="19"/>
      <c r="F12444" s="19"/>
      <c r="G12444" s="19"/>
      <c r="H12444" s="19"/>
      <c r="I12444" s="19"/>
      <c r="J12444" s="19"/>
      <c r="K12444" s="19"/>
      <c r="L12444" s="19"/>
      <c r="M12444" s="19"/>
      <c r="N12444" s="19"/>
      <c r="O12444" s="14" t="str">
        <f>HYPERLINK("https://otsuka-europe-crm.veevavault.com/ui/#object/email_activity__v/V8C00000003Z431", "EN-002099544")</f>
        <v>EN-002099544</v>
      </c>
    </row>
    <row r="12445" spans="1:15" ht="32" x14ac:dyDescent="0.2">
      <c r="A12445" s="7" t="str">
        <f>HYPERLINK("https://otsuka-europe-crm.veevavault.com/ui/#object/account__v/V4T000000027059", "MARIA ROMERO GALAN")</f>
        <v>MARIA ROMERO GALAN</v>
      </c>
      <c r="B12445" s="7" t="str">
        <f>HYPERLINK("https://otsuka-europe-crm.veevavault.com/ui/#object/vcountry__v/VENZ000004SONF5", "ES")</f>
        <v>ES</v>
      </c>
      <c r="C12445" s="8" t="s">
        <v>41</v>
      </c>
      <c r="D12445" s="9" t="str">
        <f>HYPERLINK("https://otsuka-europe-crm.veevavault.com/ui/#object/approved_document__v/V5O00000000D100", "Spain - Consent Email 1 Aug 25")</f>
        <v>Spain - Consent Email 1 Aug 25</v>
      </c>
      <c r="E12445" s="10" t="str">
        <f>HYPERLINK("https://otsuka-europe-crm.veevavault.com/ui/#object/sent_email__v/VBL00000002X124", "SE-001437600")</f>
        <v>SE-001437600</v>
      </c>
      <c r="F12445" s="11"/>
      <c r="G12445" s="12">
        <v>0</v>
      </c>
      <c r="H12445" s="12">
        <v>0</v>
      </c>
      <c r="I12445" s="12">
        <v>0</v>
      </c>
      <c r="J12445" s="11"/>
      <c r="K12445" s="12">
        <v>0</v>
      </c>
      <c r="L12445" s="10" t="str">
        <f>HYPERLINK("https://otsuka-europe-crm.veevavault.com/ui/#object/approved_document__v/V5O00000000D100", "Spain - Consent Email 1 Aug 25")</f>
        <v>Spain - Consent Email 1 Aug 25</v>
      </c>
      <c r="M12445" s="10" t="str">
        <f>HYPERLINK("mailto:mgravan@crm.otsuka-europe.com", "mgravan@crm.otsuka-europe.com")</f>
        <v>mgravan@crm.otsuka-europe.com</v>
      </c>
      <c r="N12445" s="13">
        <v>46197.46565972222</v>
      </c>
      <c r="O12445" s="14" t="str">
        <f>HYPERLINK("https://otsuka-europe-crm.veevavault.com/ui/#object/email_activity__v/V8C00000003Z430", "EN-002099541")</f>
        <v>EN-002099541</v>
      </c>
    </row>
    <row r="12446" spans="1:15" ht="32" x14ac:dyDescent="0.2">
      <c r="A12446" s="7" t="str">
        <f>HYPERLINK("https://otsuka-europe-crm.veevavault.com/ui/#object/account__v/V4T000000025031", "Antony Coleman")</f>
        <v>Antony Coleman</v>
      </c>
      <c r="B12446" s="7" t="str">
        <f>HYPERLINK("https://otsuka-europe-crm.veevavault.com/ui/#object/vcountry__v/VENZ000004SONFK", "GB")</f>
        <v>GB</v>
      </c>
      <c r="C12446" s="8" t="s">
        <v>39</v>
      </c>
      <c r="D12446" s="9" t="str">
        <f>HYPERLINK("https://otsuka-europe-crm.veevavault.com/ui/#object/approved_document__v/V5O00000000D081", "UK - Consent Email 1 Aug 25")</f>
        <v>UK - Consent Email 1 Aug 25</v>
      </c>
      <c r="E12446" s="10" t="str">
        <f>HYPERLINK("https://otsuka-europe-crm.veevavault.com/ui/#object/sent_email__v/VBL00000002X255", "SE-001437817")</f>
        <v>SE-001437817</v>
      </c>
      <c r="F12446" s="11"/>
      <c r="G12446" s="12">
        <v>0</v>
      </c>
      <c r="H12446" s="12">
        <v>0</v>
      </c>
      <c r="I12446" s="12">
        <v>0</v>
      </c>
      <c r="J12446" s="11"/>
      <c r="K12446" s="12">
        <v>0</v>
      </c>
      <c r="L12446" s="10" t="str">
        <f>HYPERLINK("https://otsuka-europe-crm.veevavault.com/ui/#object/approved_document__v/V5O00000000D081", "UK - Consent Email 1 Aug 25")</f>
        <v>UK - Consent Email 1 Aug 25</v>
      </c>
      <c r="M12446" s="10" t="str">
        <f>HYPERLINK("mailto:ldimambro@crm.otsuka-europe.com", "ldimambro@crm.otsuka-europe.com")</f>
        <v>ldimambro@crm.otsuka-europe.com</v>
      </c>
      <c r="N12446" s="13">
        <v>46197.487893518519</v>
      </c>
      <c r="O12446" s="14" t="str">
        <f>HYPERLINK("https://otsuka-europe-crm.veevavault.com/ui/#object/email_activity__v/V8C000000040488", "EN-002099546")</f>
        <v>EN-002099546</v>
      </c>
    </row>
    <row r="12447" spans="1:15" ht="16" x14ac:dyDescent="0.2">
      <c r="A12447" s="17" t="str">
        <f>HYPERLINK("https://otsuka-europe-crm.veevavault.com/ui/#object/account__v/V4T000000025018", "Kirstin Grady")</f>
        <v>Kirstin Grady</v>
      </c>
      <c r="B12447" s="17" t="str">
        <f>HYPERLINK("https://otsuka-europe-crm.veevavault.com/ui/#object/vcountry__v/VENZ000004SONFK", "GB")</f>
        <v>GB</v>
      </c>
      <c r="C12447" s="20" t="s">
        <v>39</v>
      </c>
      <c r="D12447" s="21" t="str">
        <f>HYPERLINK("https://otsuka-europe-crm.veevavault.com/ui/#object/approved_document__v/V5OZ025E82UYOBH", "Aripiprazole 300mg PFS Available VAE")</f>
        <v>Aripiprazole 300mg PFS Available VAE</v>
      </c>
      <c r="E12447" s="22" t="str">
        <f>HYPERLINK("https://otsuka-europe-crm.veevavault.com/ui/#object/sent_email__v/VBL00000002X256", "SE-001437818")</f>
        <v>SE-001437818</v>
      </c>
      <c r="F12447" s="23">
        <v>46197.561388888891</v>
      </c>
      <c r="G12447" s="24">
        <v>1</v>
      </c>
      <c r="H12447" s="24">
        <v>1</v>
      </c>
      <c r="I12447" s="24">
        <v>0</v>
      </c>
      <c r="J12447" s="25"/>
      <c r="K12447" s="24">
        <v>0</v>
      </c>
      <c r="L12447" s="22" t="str">
        <f>HYPERLINK("https://otsuka-europe-crm.veevavault.com/ui/#object/approved_document__v/V5OZ025E82UYOBH", "Aripiprazole 300mg PFS Available VAE")</f>
        <v>Aripiprazole 300mg PFS Available VAE</v>
      </c>
      <c r="M12447" s="22" t="str">
        <f>HYPERLINK("mailto:ldimambro@crm.otsuka-europe.com", "ldimambro@crm.otsuka-europe.com")</f>
        <v>ldimambro@crm.otsuka-europe.com</v>
      </c>
      <c r="N12447" s="23">
        <v>46197.561319444445</v>
      </c>
      <c r="O12447" s="14" t="str">
        <f>HYPERLINK("https://otsuka-europe-crm.veevavault.com/ui/#object/email_activity__v/V8C00000003Z442", "EN-002099562")</f>
        <v>EN-002099562</v>
      </c>
    </row>
    <row r="12448" spans="1:15" ht="16" x14ac:dyDescent="0.2">
      <c r="A12448" s="19"/>
      <c r="B12448" s="19"/>
      <c r="C12448" s="19"/>
      <c r="D12448" s="19"/>
      <c r="E12448" s="19"/>
      <c r="F12448" s="19"/>
      <c r="G12448" s="19"/>
      <c r="H12448" s="19"/>
      <c r="I12448" s="19"/>
      <c r="J12448" s="19"/>
      <c r="K12448" s="19"/>
      <c r="L12448" s="19"/>
      <c r="M12448" s="19"/>
      <c r="N12448" s="19"/>
      <c r="O12448" s="14" t="str">
        <f>HYPERLINK("https://otsuka-europe-crm.veevavault.com/ui/#object/email_activity__v/V8C000000040494", "EN-002099561")</f>
        <v>EN-002099561</v>
      </c>
    </row>
    <row r="12449" spans="1:15" ht="16" x14ac:dyDescent="0.2">
      <c r="A12449" s="17" t="str">
        <f>HYPERLINK("https://otsuka-europe-crm.veevavault.com/ui/#object/account__v/V4T000000025018", "Kirstin Grady")</f>
        <v>Kirstin Grady</v>
      </c>
      <c r="B12449" s="17" t="str">
        <f>HYPERLINK("https://otsuka-europe-crm.veevavault.com/ui/#object/vcountry__v/VENZ000004SONFK", "GB")</f>
        <v>GB</v>
      </c>
      <c r="C12449" s="20" t="s">
        <v>39</v>
      </c>
      <c r="D12449" s="21" t="str">
        <f>HYPERLINK("https://otsuka-europe-crm.veevavault.com/ui/#object/approved_document__v/V5OZ025E82TSZBI", "Aripiprazole 960mg Fragment VAE")</f>
        <v>Aripiprazole 960mg Fragment VAE</v>
      </c>
      <c r="E12449" s="22" t="str">
        <f>HYPERLINK("https://otsuka-europe-crm.veevavault.com/ui/#object/sent_email__v/VBL00000002X257", "SE-001437819")</f>
        <v>SE-001437819</v>
      </c>
      <c r="F12449" s="23">
        <v>46199.492800925924</v>
      </c>
      <c r="G12449" s="24">
        <v>1</v>
      </c>
      <c r="H12449" s="24">
        <v>1</v>
      </c>
      <c r="I12449" s="24">
        <v>1</v>
      </c>
      <c r="J12449" s="23">
        <v>46199.492800925924</v>
      </c>
      <c r="K12449" s="24">
        <v>1</v>
      </c>
      <c r="L12449" s="22" t="str">
        <f>HYPERLINK("https://otsuka-europe-crm.veevavault.com/ui/#object/approved_document__v/V5OZ025E82TSZBI", "Aripiprazole 960mg Fragment VAE")</f>
        <v>Aripiprazole 960mg Fragment VAE</v>
      </c>
      <c r="M12449" s="22" t="str">
        <f>HYPERLINK("mailto:ldimambro@crm.otsuka-europe.com", "ldimambro@crm.otsuka-europe.com")</f>
        <v>ldimambro@crm.otsuka-europe.com</v>
      </c>
      <c r="N12449" s="23">
        <v>46197.561481481483</v>
      </c>
      <c r="O12449" s="14" t="str">
        <f>HYPERLINK("https://otsuka-europe-crm.veevavault.com/ui/#object/email_activity__v/V8C000000040495", "EN-002099563")</f>
        <v>EN-002099563</v>
      </c>
    </row>
    <row r="12450" spans="1:15" ht="16" x14ac:dyDescent="0.2">
      <c r="A12450" s="18"/>
      <c r="B12450" s="18"/>
      <c r="C12450" s="18"/>
      <c r="D12450" s="18"/>
      <c r="E12450" s="18"/>
      <c r="F12450" s="18"/>
      <c r="G12450" s="18"/>
      <c r="H12450" s="18"/>
      <c r="I12450" s="18"/>
      <c r="J12450" s="18"/>
      <c r="K12450" s="18"/>
      <c r="L12450" s="18"/>
      <c r="M12450" s="18"/>
      <c r="N12450" s="18"/>
      <c r="O12450" s="14" t="str">
        <f>HYPERLINK("https://otsuka-europe-crm.veevavault.com/ui/#object/email_activity__v/V8C000000042128", "EN-002099999")</f>
        <v>EN-002099999</v>
      </c>
    </row>
    <row r="12451" spans="1:15" ht="16" x14ac:dyDescent="0.2">
      <c r="A12451" s="19"/>
      <c r="B12451" s="19"/>
      <c r="C12451" s="19"/>
      <c r="D12451" s="19"/>
      <c r="E12451" s="19"/>
      <c r="F12451" s="19"/>
      <c r="G12451" s="19"/>
      <c r="H12451" s="19"/>
      <c r="I12451" s="19"/>
      <c r="J12451" s="19"/>
      <c r="K12451" s="19"/>
      <c r="L12451" s="19"/>
      <c r="M12451" s="19"/>
      <c r="N12451" s="19"/>
      <c r="O12451" s="14" t="str">
        <f>HYPERLINK("https://otsuka-europe-crm.veevavault.com/ui/#object/email_activity__v/V8C000000042129", "EN-002099998")</f>
        <v>EN-002099998</v>
      </c>
    </row>
    <row r="12452" spans="1:15" ht="16" x14ac:dyDescent="0.2">
      <c r="A12452" s="17" t="str">
        <f>HYPERLINK("https://otsuka-europe-crm.veevavault.com/ui/#object/account__v/V4T000000027069", "Rachel Wright")</f>
        <v>Rachel Wright</v>
      </c>
      <c r="B12452" s="17" t="str">
        <f>HYPERLINK("https://otsuka-europe-crm.veevavault.com/ui/#object/vcountry__v/VENZ000004SONFK", "GB")</f>
        <v>GB</v>
      </c>
      <c r="C12452" s="20" t="s">
        <v>39</v>
      </c>
      <c r="D12452" s="21" t="str">
        <f>HYPERLINK("https://otsuka-europe-crm.veevavault.com/ui/#object/approved_document__v/V5OZ06G6O6RH9XL", "UK Veeva Double Opt-In Remote Meetings Email Receipt v4")</f>
        <v>UK Veeva Double Opt-In Remote Meetings Email Receipt v4</v>
      </c>
      <c r="E12452" s="22" t="str">
        <f>HYPERLINK("https://otsuka-europe-crm.veevavault.com/ui/#object/sent_email__v/VBL00000002X258", "SE-001437820")</f>
        <v>SE-001437820</v>
      </c>
      <c r="F12452" s="23">
        <v>46197.663831018515</v>
      </c>
      <c r="G12452" s="24">
        <v>1</v>
      </c>
      <c r="H12452" s="24">
        <v>3</v>
      </c>
      <c r="I12452" s="24">
        <v>1</v>
      </c>
      <c r="J12452" s="23">
        <v>46197.594282407408</v>
      </c>
      <c r="K12452" s="24">
        <v>1</v>
      </c>
      <c r="L12452" s="22" t="str">
        <f>HYPERLINK("https://otsuka-europe-crm.veevavault.com/ui/#object/approved_document__v/V5OZ06G6O6RH9XL", "UK Veeva Double Opt-In Remote Meetings Email Receipt v4")</f>
        <v>UK Veeva Double Opt-In Remote Meetings Email Receipt v4</v>
      </c>
      <c r="M12452" s="22" t="str">
        <f>HYPERLINK("mailto:KWood@crm.otsuka-europe.com", "KWood@crm.otsuka-europe.com")</f>
        <v>KWood@crm.otsuka-europe.com</v>
      </c>
      <c r="N12452" s="23">
        <v>46197.593668981484</v>
      </c>
      <c r="O12452" s="14" t="str">
        <f>HYPERLINK("https://otsuka-europe-crm.veevavault.com/ui/#object/email_activity__v/V8C000000040497", "EN-002099566")</f>
        <v>EN-002099566</v>
      </c>
    </row>
    <row r="12453" spans="1:15" ht="16" x14ac:dyDescent="0.2">
      <c r="A12453" s="18"/>
      <c r="B12453" s="18"/>
      <c r="C12453" s="18"/>
      <c r="D12453" s="18"/>
      <c r="E12453" s="18"/>
      <c r="F12453" s="18"/>
      <c r="G12453" s="18"/>
      <c r="H12453" s="18"/>
      <c r="I12453" s="18"/>
      <c r="J12453" s="18"/>
      <c r="K12453" s="18"/>
      <c r="L12453" s="18"/>
      <c r="M12453" s="18"/>
      <c r="N12453" s="18"/>
      <c r="O12453" s="14" t="str">
        <f>HYPERLINK("https://otsuka-europe-crm.veevavault.com/ui/#object/email_activity__v/V8C000000040498", "EN-002099569")</f>
        <v>EN-002099569</v>
      </c>
    </row>
    <row r="12454" spans="1:15" ht="16" x14ac:dyDescent="0.2">
      <c r="A12454" s="18"/>
      <c r="B12454" s="18"/>
      <c r="C12454" s="18"/>
      <c r="D12454" s="18"/>
      <c r="E12454" s="18"/>
      <c r="F12454" s="18"/>
      <c r="G12454" s="18"/>
      <c r="H12454" s="18"/>
      <c r="I12454" s="18"/>
      <c r="J12454" s="18"/>
      <c r="K12454" s="18"/>
      <c r="L12454" s="18"/>
      <c r="M12454" s="18"/>
      <c r="N12454" s="18"/>
      <c r="O12454" s="14" t="str">
        <f>HYPERLINK("https://otsuka-europe-crm.veevavault.com/ui/#object/email_activity__v/V8C000000040499", "EN-002099567")</f>
        <v>EN-002099567</v>
      </c>
    </row>
    <row r="12455" spans="1:15" ht="16" x14ac:dyDescent="0.2">
      <c r="A12455" s="18"/>
      <c r="B12455" s="18"/>
      <c r="C12455" s="18"/>
      <c r="D12455" s="18"/>
      <c r="E12455" s="18"/>
      <c r="F12455" s="18"/>
      <c r="G12455" s="18"/>
      <c r="H12455" s="18"/>
      <c r="I12455" s="18"/>
      <c r="J12455" s="18"/>
      <c r="K12455" s="18"/>
      <c r="L12455" s="18"/>
      <c r="M12455" s="18"/>
      <c r="N12455" s="18"/>
      <c r="O12455" s="14" t="str">
        <f>HYPERLINK("https://otsuka-europe-crm.veevavault.com/ui/#object/email_activity__v/V8C000000040500", "EN-002099568")</f>
        <v>EN-002099568</v>
      </c>
    </row>
    <row r="12456" spans="1:15" ht="16" x14ac:dyDescent="0.2">
      <c r="A12456" s="19"/>
      <c r="B12456" s="19"/>
      <c r="C12456" s="19"/>
      <c r="D12456" s="19"/>
      <c r="E12456" s="19"/>
      <c r="F12456" s="19"/>
      <c r="G12456" s="19"/>
      <c r="H12456" s="19"/>
      <c r="I12456" s="19"/>
      <c r="J12456" s="19"/>
      <c r="K12456" s="19"/>
      <c r="L12456" s="19"/>
      <c r="M12456" s="19"/>
      <c r="N12456" s="19"/>
      <c r="O12456" s="14" t="str">
        <f>HYPERLINK("https://otsuka-europe-crm.veevavault.com/ui/#object/email_activity__v/V8C000000040504", "EN-002099578")</f>
        <v>EN-002099578</v>
      </c>
    </row>
    <row r="12457" spans="1:15" ht="16" x14ac:dyDescent="0.2">
      <c r="A12457" s="17" t="str">
        <f>HYPERLINK("https://otsuka-europe-crm.veevavault.com/ui/#object/account__v/V4T000000027069", "Rachel Wright")</f>
        <v>Rachel Wright</v>
      </c>
      <c r="B12457" s="17" t="str">
        <f>HYPERLINK("https://otsuka-europe-crm.veevavault.com/ui/#object/vcountry__v/VENZ000004SONFK", "GB")</f>
        <v>GB</v>
      </c>
      <c r="C12457" s="20" t="s">
        <v>39</v>
      </c>
      <c r="D12457" s="21" t="str">
        <f>HYPERLINK("https://otsuka-europe-crm.veevavault.com/ui/#object/approved_document__v/V5OZ025E82PXJSL", "Otsuka Privacy Notice - UK (v2)")</f>
        <v>Otsuka Privacy Notice - UK (v2)</v>
      </c>
      <c r="E12457" s="22" t="str">
        <f>HYPERLINK("https://otsuka-europe-crm.veevavault.com/ui/#object/sent_email__v/VBL00000002X259", "SE-001437821")</f>
        <v>SE-001437821</v>
      </c>
      <c r="F12457" s="25"/>
      <c r="G12457" s="24">
        <v>0</v>
      </c>
      <c r="H12457" s="24">
        <v>0</v>
      </c>
      <c r="I12457" s="24">
        <v>0</v>
      </c>
      <c r="J12457" s="25"/>
      <c r="K12457" s="24">
        <v>0</v>
      </c>
      <c r="L12457" s="22" t="str">
        <f>HYPERLINK("https://otsuka-europe-crm.veevavault.com/ui/#object/approved_document__v/V5OZ025E82PXJSL", "Otsuka Privacy Notice - UK (v2)")</f>
        <v>Otsuka Privacy Notice - UK (v2)</v>
      </c>
      <c r="M12457" s="22" t="str">
        <f>HYPERLINK("mailto:KWood@crm.otsuka-europe.com", "KWood@crm.otsuka-europe.com")</f>
        <v>KWood@crm.otsuka-europe.com</v>
      </c>
      <c r="N12457" s="23">
        <v>46197.594340277778</v>
      </c>
      <c r="O12457" s="14" t="str">
        <f>HYPERLINK("https://otsuka-europe-crm.veevavault.com/ui/#object/email_activity__v/V8C00000003Z458", "EN-002099601")</f>
        <v>EN-002099601</v>
      </c>
    </row>
    <row r="12458" spans="1:15" ht="16" x14ac:dyDescent="0.2">
      <c r="A12458" s="19"/>
      <c r="B12458" s="19"/>
      <c r="C12458" s="19"/>
      <c r="D12458" s="19"/>
      <c r="E12458" s="19"/>
      <c r="F12458" s="19"/>
      <c r="G12458" s="19"/>
      <c r="H12458" s="19"/>
      <c r="I12458" s="19"/>
      <c r="J12458" s="19"/>
      <c r="K12458" s="19"/>
      <c r="L12458" s="19"/>
      <c r="M12458" s="19"/>
      <c r="N12458" s="19"/>
      <c r="O12458" s="14" t="str">
        <f>HYPERLINK("https://otsuka-europe-crm.veevavault.com/ui/#object/email_activity__v/V8C000000040501", "EN-002099570")</f>
        <v>EN-002099570</v>
      </c>
    </row>
    <row r="12459" spans="1:15" ht="16" x14ac:dyDescent="0.2">
      <c r="A12459" s="17" t="str">
        <f>HYPERLINK("https://otsuka-europe-crm.veevavault.com/ui/#object/account__v/V4T000000027068", "Irene Lawrence")</f>
        <v>Irene Lawrence</v>
      </c>
      <c r="B12459" s="17" t="str">
        <f>HYPERLINK("https://otsuka-europe-crm.veevavault.com/ui/#object/vcountry__v/VENZ000004SONFK", "GB")</f>
        <v>GB</v>
      </c>
      <c r="C12459" s="20" t="s">
        <v>39</v>
      </c>
      <c r="D12459" s="21" t="str">
        <f>HYPERLINK("https://otsuka-europe-crm.veevavault.com/ui/#object/approved_document__v/V5OZ06G6O6RH9XL", "UK Veeva Double Opt-In Remote Meetings Email Receipt v4")</f>
        <v>UK Veeva Double Opt-In Remote Meetings Email Receipt v4</v>
      </c>
      <c r="E12459" s="22" t="str">
        <f>HYPERLINK("https://otsuka-europe-crm.veevavault.com/ui/#object/sent_email__v/VBL00000002W163", "SE-001437822")</f>
        <v>SE-001437822</v>
      </c>
      <c r="F12459" s="23">
        <v>46197.630381944444</v>
      </c>
      <c r="G12459" s="24">
        <v>1</v>
      </c>
      <c r="H12459" s="24">
        <v>1</v>
      </c>
      <c r="I12459" s="24">
        <v>1</v>
      </c>
      <c r="J12459" s="23">
        <v>46197.630381944444</v>
      </c>
      <c r="K12459" s="24">
        <v>1</v>
      </c>
      <c r="L12459" s="22" t="str">
        <f>HYPERLINK("https://otsuka-europe-crm.veevavault.com/ui/#object/approved_document__v/V5OZ06G6O6RH9XL", "UK Veeva Double Opt-In Remote Meetings Email Receipt v4")</f>
        <v>UK Veeva Double Opt-In Remote Meetings Email Receipt v4</v>
      </c>
      <c r="M12459" s="22" t="str">
        <f>HYPERLINK("mailto:KWood@crm.otsuka-europe.com", "KWood@crm.otsuka-europe.com")</f>
        <v>KWood@crm.otsuka-europe.com</v>
      </c>
      <c r="N12459" s="23">
        <v>46197.595405092594</v>
      </c>
      <c r="O12459" s="14" t="str">
        <f>HYPERLINK("https://otsuka-europe-crm.veevavault.com/ui/#object/email_activity__v/V8C00000003Z444", "EN-002099571")</f>
        <v>EN-002099571</v>
      </c>
    </row>
    <row r="12460" spans="1:15" ht="16" x14ac:dyDescent="0.2">
      <c r="A12460" s="18"/>
      <c r="B12460" s="18"/>
      <c r="C12460" s="18"/>
      <c r="D12460" s="18"/>
      <c r="E12460" s="18"/>
      <c r="F12460" s="18"/>
      <c r="G12460" s="18"/>
      <c r="H12460" s="18"/>
      <c r="I12460" s="18"/>
      <c r="J12460" s="18"/>
      <c r="K12460" s="18"/>
      <c r="L12460" s="18"/>
      <c r="M12460" s="18"/>
      <c r="N12460" s="18"/>
      <c r="O12460" s="14" t="str">
        <f>HYPERLINK("https://otsuka-europe-crm.veevavault.com/ui/#object/email_activity__v/V8C00000003Z446", "EN-002099575")</f>
        <v>EN-002099575</v>
      </c>
    </row>
    <row r="12461" spans="1:15" ht="16" x14ac:dyDescent="0.2">
      <c r="A12461" s="19"/>
      <c r="B12461" s="19"/>
      <c r="C12461" s="19"/>
      <c r="D12461" s="19"/>
      <c r="E12461" s="19"/>
      <c r="F12461" s="19"/>
      <c r="G12461" s="19"/>
      <c r="H12461" s="19"/>
      <c r="I12461" s="19"/>
      <c r="J12461" s="19"/>
      <c r="K12461" s="19"/>
      <c r="L12461" s="19"/>
      <c r="M12461" s="19"/>
      <c r="N12461" s="19"/>
      <c r="O12461" s="14" t="str">
        <f>HYPERLINK("https://otsuka-europe-crm.veevavault.com/ui/#object/email_activity__v/V8C00000003Z447", "EN-002099574")</f>
        <v>EN-002099574</v>
      </c>
    </row>
    <row r="12462" spans="1:15" ht="32" x14ac:dyDescent="0.2">
      <c r="A12462" s="7" t="str">
        <f>HYPERLINK("https://otsuka-europe-crm.veevavault.com/ui/#object/account__v/V4T000000027068", "Irene Lawrence")</f>
        <v>Irene Lawrence</v>
      </c>
      <c r="B12462" s="7" t="str">
        <f>HYPERLINK("https://otsuka-europe-crm.veevavault.com/ui/#object/vcountry__v/VENZ000004SONFK", "GB")</f>
        <v>GB</v>
      </c>
      <c r="C12462" s="8" t="s">
        <v>39</v>
      </c>
      <c r="D12462" s="9" t="str">
        <f>HYPERLINK("https://otsuka-europe-crm.veevavault.com/ui/#object/approved_document__v/V5OZ025E82PXJSL", "Otsuka Privacy Notice - UK (v2)")</f>
        <v>Otsuka Privacy Notice - UK (v2)</v>
      </c>
      <c r="E12462" s="10" t="str">
        <f>HYPERLINK("https://otsuka-europe-crm.veevavault.com/ui/#object/sent_email__v/VBL00000002W164", "SE-001437823")</f>
        <v>SE-001437823</v>
      </c>
      <c r="F12462" s="11"/>
      <c r="G12462" s="12">
        <v>0</v>
      </c>
      <c r="H12462" s="12">
        <v>0</v>
      </c>
      <c r="I12462" s="12">
        <v>0</v>
      </c>
      <c r="J12462" s="11"/>
      <c r="K12462" s="12">
        <v>0</v>
      </c>
      <c r="L12462" s="10" t="str">
        <f>HYPERLINK("https://otsuka-europe-crm.veevavault.com/ui/#object/approved_document__v/V5OZ025E82PXJSL", "Otsuka Privacy Notice - UK (v2)")</f>
        <v>Otsuka Privacy Notice - UK (v2)</v>
      </c>
      <c r="M12462" s="10" t="str">
        <f>HYPERLINK("mailto:KWood@crm.otsuka-europe.com", "KWood@crm.otsuka-europe.com")</f>
        <v>KWood@crm.otsuka-europe.com</v>
      </c>
      <c r="N12462" s="13">
        <v>46197.59574074074</v>
      </c>
      <c r="O12462" s="14" t="str">
        <f>HYPERLINK("https://otsuka-europe-crm.veevavault.com/ui/#object/email_activity__v/V8C00000003Z445", "EN-002099572")</f>
        <v>EN-002099572</v>
      </c>
    </row>
    <row r="12463" spans="1:15" ht="48" x14ac:dyDescent="0.2">
      <c r="A12463" s="7" t="str">
        <f>HYPERLINK("https://otsuka-europe-crm.veevavault.com/ui/#object/account__v/V4TZ06G6OB44SMD", "LUMINITA ELENA LUCA")</f>
        <v>LUMINITA ELENA LUCA</v>
      </c>
      <c r="B12463" s="7" t="str">
        <f>HYPERLINK("https://otsuka-europe-crm.veevavault.com/ui/#object/vcountry__v/VENZ000004SONFA", "FR")</f>
        <v>FR</v>
      </c>
      <c r="C12463" s="8" t="s">
        <v>42</v>
      </c>
      <c r="D12463" s="9" t="str">
        <f>HYPERLINK("https://otsuka-europe-crm.veevavault.com/ui/#object/approved_document__v/V5O000000019008", "INVITATION VAD 2026 DAWNZERA")</f>
        <v>INVITATION VAD 2026 DAWNZERA</v>
      </c>
      <c r="E12463" s="10" t="str">
        <f>HYPERLINK("https://otsuka-europe-crm.veevavault.com/ui/#object/sent_email__v/VBL00000002X260", "SE-001437824")</f>
        <v>SE-001437824</v>
      </c>
      <c r="F12463" s="11"/>
      <c r="G12463" s="12">
        <v>0</v>
      </c>
      <c r="H12463" s="12">
        <v>0</v>
      </c>
      <c r="I12463" s="12">
        <v>0</v>
      </c>
      <c r="J12463" s="11"/>
      <c r="K12463" s="12">
        <v>0</v>
      </c>
      <c r="L12463" s="10" t="str">
        <f>HYPERLINK("https://otsuka-europe-crm.veevavault.com/ui/#object/approved_document__v/V5O000000019008", "INVITATION VAD 2026 DAWNZERA")</f>
        <v>INVITATION VAD 2026 DAWNZERA</v>
      </c>
      <c r="M12463" s="10" t="str">
        <f>HYPERLINK("mailto:lopizzi-delerat@crm.otsuka-europe.com", "lopizzi-delerat@crm.otsuka-europe.com")</f>
        <v>lopizzi-delerat@crm.otsuka-europe.com</v>
      </c>
      <c r="N12463" s="13">
        <v>46197.599942129629</v>
      </c>
      <c r="O12463" s="14" t="str">
        <f>HYPERLINK("https://otsuka-europe-crm.veevavault.com/ui/#object/email_activity__v/V8C000000040502", "EN-002099573")</f>
        <v>EN-002099573</v>
      </c>
    </row>
    <row r="12464" spans="1:15" ht="16" x14ac:dyDescent="0.2">
      <c r="A12464" s="17" t="str">
        <f>HYPERLINK("https://otsuka-europe-crm.veevavault.com/ui/#object/account__v/V4TZ00000633IKB", "EDOUARD HENRI GRADT")</f>
        <v>EDOUARD HENRI GRADT</v>
      </c>
      <c r="B12464" s="17" t="str">
        <f>HYPERLINK("https://otsuka-europe-crm.veevavault.com/ui/#object/vcountry__v/VENZ000004SONFA", "FR")</f>
        <v>FR</v>
      </c>
      <c r="C12464" s="20" t="s">
        <v>42</v>
      </c>
      <c r="D12464" s="21" t="str">
        <f>HYPERLINK("https://otsuka-europe-crm.veevavault.com/ui/#object/approved_document__v/V5OZ04ASG4G02Y6", "INVITATION_VAD_2023")</f>
        <v>INVITATION_VAD_2023</v>
      </c>
      <c r="E12464" s="22" t="str">
        <f>HYPERLINK("https://otsuka-europe-crm.veevavault.com/ui/#object/sent_email__v/VBL00000002W165", "SE-001437825")</f>
        <v>SE-001437825</v>
      </c>
      <c r="F12464" s="23">
        <v>46197.667002314818</v>
      </c>
      <c r="G12464" s="24">
        <v>1</v>
      </c>
      <c r="H12464" s="24">
        <v>1</v>
      </c>
      <c r="I12464" s="24">
        <v>0</v>
      </c>
      <c r="J12464" s="25"/>
      <c r="K12464" s="24">
        <v>0</v>
      </c>
      <c r="L12464" s="22" t="str">
        <f>HYPERLINK("https://otsuka-europe-crm.veevavault.com/ui/#object/approved_document__v/V5OZ04ASG4G02Y6", "INVITATION_VAD_2023")</f>
        <v>INVITATION_VAD_2023</v>
      </c>
      <c r="M12464" s="22" t="str">
        <f>HYPERLINK("mailto:cchevalliermiserole@crm.otsuka-europe.com", "cchevalliermiserole@crm.otsuka-europe.com")</f>
        <v>cchevalliermiserole@crm.otsuka-europe.com</v>
      </c>
      <c r="N12464" s="23">
        <v>46197.655266203707</v>
      </c>
      <c r="O12464" s="14" t="str">
        <f>HYPERLINK("https://otsuka-europe-crm.veevavault.com/ui/#object/email_activity__v/V8C00000003Z449", "EN-002099579")</f>
        <v>EN-002099579</v>
      </c>
    </row>
    <row r="12465" spans="1:15" ht="16" x14ac:dyDescent="0.2">
      <c r="A12465" s="19"/>
      <c r="B12465" s="19"/>
      <c r="C12465" s="19"/>
      <c r="D12465" s="19"/>
      <c r="E12465" s="19"/>
      <c r="F12465" s="19"/>
      <c r="G12465" s="19"/>
      <c r="H12465" s="19"/>
      <c r="I12465" s="19"/>
      <c r="J12465" s="19"/>
      <c r="K12465" s="19"/>
      <c r="L12465" s="19"/>
      <c r="M12465" s="19"/>
      <c r="N12465" s="19"/>
      <c r="O12465" s="14" t="str">
        <f>HYPERLINK("https://otsuka-europe-crm.veevavault.com/ui/#object/email_activity__v/V8C000000040503", "EN-002099577")</f>
        <v>EN-002099577</v>
      </c>
    </row>
    <row r="12466" spans="1:15" ht="48" x14ac:dyDescent="0.2">
      <c r="A12466" s="7" t="str">
        <f>HYPERLINK("https://otsuka-europe-crm.veevavault.com/ui/#object/account__v/V4TZ00000633HZD", "JULIEN AMBARA")</f>
        <v>JULIEN AMBARA</v>
      </c>
      <c r="B12466" s="7" t="str">
        <f>HYPERLINK("https://otsuka-europe-crm.veevavault.com/ui/#object/vcountry__v/VENZ000004SONFA", "FR")</f>
        <v>FR</v>
      </c>
      <c r="C12466" s="8" t="s">
        <v>42</v>
      </c>
      <c r="D12466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12466" s="10" t="str">
        <f>HYPERLINK("https://otsuka-europe-crm.veevavault.com/ui/#object/sent_email__v/VBL00000002X261", "SE-001437826")</f>
        <v>SE-001437826</v>
      </c>
      <c r="F12466" s="11"/>
      <c r="G12466" s="12">
        <v>0</v>
      </c>
      <c r="H12466" s="12">
        <v>0</v>
      </c>
      <c r="I12466" s="12">
        <v>0</v>
      </c>
      <c r="J12466" s="11"/>
      <c r="K12466" s="12">
        <v>0</v>
      </c>
      <c r="L12466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12466" s="10" t="str">
        <f>HYPERLINK("mailto:mperrin@crm.otsuka-europe.com", "mperrin@crm.otsuka-europe.com")</f>
        <v>mperrin@crm.otsuka-europe.com</v>
      </c>
      <c r="N12466" s="13">
        <v>46197.674930555557</v>
      </c>
      <c r="O12466" s="14" t="str">
        <f>HYPERLINK("https://otsuka-europe-crm.veevavault.com/ui/#object/email_activity__v/V8C000000040505", "EN-002099580")</f>
        <v>EN-002099580</v>
      </c>
    </row>
    <row r="12467" spans="1:15" ht="48" x14ac:dyDescent="0.2">
      <c r="A12467" s="7" t="str">
        <f>HYPERLINK("https://otsuka-europe-crm.veevavault.com/ui/#object/account__v/V4TZ04ASGCDH9W1", "YANIS AOULMI")</f>
        <v>YANIS AOULMI</v>
      </c>
      <c r="B12467" s="7" t="str">
        <f>HYPERLINK("https://otsuka-europe-crm.veevavault.com/ui/#object/vcountry__v/VENZ000004SONFA", "FR")</f>
        <v>FR</v>
      </c>
      <c r="C12467" s="8" t="s">
        <v>42</v>
      </c>
      <c r="D12467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12467" s="10" t="str">
        <f>HYPERLINK("https://otsuka-europe-crm.veevavault.com/ui/#object/sent_email__v/VBL00000002W166", "SE-001437827")</f>
        <v>SE-001437827</v>
      </c>
      <c r="F12467" s="11"/>
      <c r="G12467" s="12">
        <v>0</v>
      </c>
      <c r="H12467" s="12">
        <v>0</v>
      </c>
      <c r="I12467" s="12">
        <v>0</v>
      </c>
      <c r="J12467" s="11"/>
      <c r="K12467" s="12">
        <v>0</v>
      </c>
      <c r="L12467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12467" s="10" t="str">
        <f>HYPERLINK("mailto:mperrin@crm.otsuka-europe.com", "mperrin@crm.otsuka-europe.com")</f>
        <v>mperrin@crm.otsuka-europe.com</v>
      </c>
      <c r="N12467" s="13">
        <v>46197.675243055557</v>
      </c>
      <c r="O12467" s="14" t="str">
        <f>HYPERLINK("https://otsuka-europe-crm.veevavault.com/ui/#object/email_activity__v/V8C000000040506", "EN-002099581")</f>
        <v>EN-002099581</v>
      </c>
    </row>
    <row r="12468" spans="1:15" ht="16" x14ac:dyDescent="0.2">
      <c r="A12468" s="17" t="str">
        <f>HYPERLINK("https://otsuka-europe-crm.veevavault.com/ui/#object/account__v/V4TZ025E84CBVCX", "LAETITIA RICOU")</f>
        <v>LAETITIA RICOU</v>
      </c>
      <c r="B12468" s="17" t="str">
        <f>HYPERLINK("https://otsuka-europe-crm.veevavault.com/ui/#object/vcountry__v/VENZ000004SONFA", "FR")</f>
        <v>FR</v>
      </c>
      <c r="C12468" s="20" t="s">
        <v>42</v>
      </c>
      <c r="D12468" s="21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12468" s="22" t="str">
        <f>HYPERLINK("https://otsuka-europe-crm.veevavault.com/ui/#object/sent_email__v/VBL00000002W167", "SE-001437828")</f>
        <v>SE-001437828</v>
      </c>
      <c r="F12468" s="23">
        <v>46197.680069444446</v>
      </c>
      <c r="G12468" s="24">
        <v>1</v>
      </c>
      <c r="H12468" s="24">
        <v>1</v>
      </c>
      <c r="I12468" s="24">
        <v>0</v>
      </c>
      <c r="J12468" s="25"/>
      <c r="K12468" s="24">
        <v>0</v>
      </c>
      <c r="L12468" s="22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12468" s="22" t="str">
        <f>HYPERLINK("mailto:mperrin@crm.otsuka-europe.com", "mperrin@crm.otsuka-europe.com")</f>
        <v>mperrin@crm.otsuka-europe.com</v>
      </c>
      <c r="N12468" s="23">
        <v>46197.67560185185</v>
      </c>
      <c r="O12468" s="14" t="str">
        <f>HYPERLINK("https://otsuka-europe-crm.veevavault.com/ui/#object/email_activity__v/V8C00000003Z450", "EN-002099582")</f>
        <v>EN-002099582</v>
      </c>
    </row>
    <row r="12469" spans="1:15" ht="16" x14ac:dyDescent="0.2">
      <c r="A12469" s="19"/>
      <c r="B12469" s="19"/>
      <c r="C12469" s="19"/>
      <c r="D12469" s="19"/>
      <c r="E12469" s="19"/>
      <c r="F12469" s="19"/>
      <c r="G12469" s="19"/>
      <c r="H12469" s="19"/>
      <c r="I12469" s="19"/>
      <c r="J12469" s="19"/>
      <c r="K12469" s="19"/>
      <c r="L12469" s="19"/>
      <c r="M12469" s="19"/>
      <c r="N12469" s="19"/>
      <c r="O12469" s="14" t="str">
        <f>HYPERLINK("https://otsuka-europe-crm.veevavault.com/ui/#object/email_activity__v/V8C00000003Z451", "EN-002099583")</f>
        <v>EN-002099583</v>
      </c>
    </row>
    <row r="12470" spans="1:15" ht="48" x14ac:dyDescent="0.2">
      <c r="A12470" s="7" t="str">
        <f>HYPERLINK("https://otsuka-europe-crm.veevavault.com/ui/#object/account__v/V4TZ06G6OB44SMD", "LUMINITA ELENA LUCA")</f>
        <v>LUMINITA ELENA LUCA</v>
      </c>
      <c r="B12470" s="7" t="str">
        <f>HYPERLINK("https://otsuka-europe-crm.veevavault.com/ui/#object/vcountry__v/VENZ000004SONFA", "FR")</f>
        <v>FR</v>
      </c>
      <c r="C12470" s="8" t="s">
        <v>42</v>
      </c>
      <c r="D12470" s="9" t="str">
        <f>HYPERLINK("https://otsuka-europe-crm.veevavault.com/ui/#object/approved_document__v/V5O000000019008", "INVITATION VAD 2026 DAWNZERA")</f>
        <v>INVITATION VAD 2026 DAWNZERA</v>
      </c>
      <c r="E12470" s="10" t="str">
        <f>HYPERLINK("https://otsuka-europe-crm.veevavault.com/ui/#object/sent_email__v/VBL00000002X267", "SE-001437829")</f>
        <v>SE-001437829</v>
      </c>
      <c r="F12470" s="11"/>
      <c r="G12470" s="12">
        <v>0</v>
      </c>
      <c r="H12470" s="12">
        <v>0</v>
      </c>
      <c r="I12470" s="12">
        <v>0</v>
      </c>
      <c r="J12470" s="11"/>
      <c r="K12470" s="12">
        <v>0</v>
      </c>
      <c r="L12470" s="10" t="str">
        <f>HYPERLINK("https://otsuka-europe-crm.veevavault.com/ui/#object/approved_document__v/V5O000000019008", "INVITATION VAD 2026 DAWNZERA")</f>
        <v>INVITATION VAD 2026 DAWNZERA</v>
      </c>
      <c r="M12470" s="10" t="str">
        <f>HYPERLINK("mailto:lopizzi-delerat@crm.otsuka-europe.com", "lopizzi-delerat@crm.otsuka-europe.com")</f>
        <v>lopizzi-delerat@crm.otsuka-europe.com</v>
      </c>
      <c r="N12470" s="13">
        <v>46198.336238425924</v>
      </c>
      <c r="O12470" s="14" t="str">
        <f>HYPERLINK("https://otsuka-europe-crm.veevavault.com/ui/#object/email_activity__v/V8C000000040539", "EN-002099640")</f>
        <v>EN-002099640</v>
      </c>
    </row>
    <row r="12471" spans="1:15" ht="32" x14ac:dyDescent="0.2">
      <c r="A12471" s="7" t="str">
        <f>HYPERLINK("https://otsuka-europe-crm.veevavault.com/ui/#object/account__v/V4T00000001W008", "CLAUDIA BINOTTO")</f>
        <v>CLAUDIA BINOTTO</v>
      </c>
      <c r="B12471" s="7" t="str">
        <f>HYPERLINK("https://otsuka-europe-crm.veevavault.com/ui/#object/vcountry__v/VENZ000004SONFQ", "IT")</f>
        <v>IT</v>
      </c>
      <c r="C12471" s="8" t="s">
        <v>44</v>
      </c>
      <c r="D12471" s="9" t="str">
        <f>HYPERLINK("https://otsuka-europe-crm.veevavault.com/ui/#object/approved_document__v/V5OZ06G6O6RG2EV", "IT Veeva Privacy Notice Email")</f>
        <v>IT Veeva Privacy Notice Email</v>
      </c>
      <c r="E12471" s="10" t="str">
        <f>HYPERLINK("https://otsuka-europe-crm.veevavault.com/ui/#object/sent_email__v/VBL00000002X268", "SE-001437830")</f>
        <v>SE-001437830</v>
      </c>
      <c r="F12471" s="11"/>
      <c r="G12471" s="12">
        <v>0</v>
      </c>
      <c r="H12471" s="12">
        <v>0</v>
      </c>
      <c r="I12471" s="12">
        <v>0</v>
      </c>
      <c r="J12471" s="11"/>
      <c r="K12471" s="12">
        <v>0</v>
      </c>
      <c r="L12471" s="10" t="str">
        <f>HYPERLINK("https://otsuka-europe-crm.veevavault.com/ui/#object/approved_document__v/V5OZ06G6O6RG2EV", "IT Veeva Privacy Notice Email")</f>
        <v>IT Veeva Privacy Notice Email</v>
      </c>
      <c r="M12471" s="10" t="str">
        <f>HYPERLINK("mailto:chiara.possamai@crm.otsuka-europe.com", "chiara.possamai@crm.otsuka-europe.com")</f>
        <v>chiara.possamai@crm.otsuka-europe.com</v>
      </c>
      <c r="N12471" s="13">
        <v>46198.400787037041</v>
      </c>
      <c r="O12471" s="14" t="str">
        <f>HYPERLINK("https://otsuka-europe-crm.veevavault.com/ui/#object/email_activity__v/V8C000000040542", "EN-002099643")</f>
        <v>EN-002099643</v>
      </c>
    </row>
    <row r="12472" spans="1:15" ht="32" x14ac:dyDescent="0.2">
      <c r="A12472" s="7" t="str">
        <f>HYPERLINK("https://otsuka-europe-crm.veevavault.com/ui/#object/account__v/V4T00000001W008", "CLAUDIA BINOTTO")</f>
        <v>CLAUDIA BINOTTO</v>
      </c>
      <c r="B12472" s="7" t="str">
        <f>HYPERLINK("https://otsuka-europe-crm.veevavault.com/ui/#object/vcountry__v/VENZ000004SONFQ", "IT")</f>
        <v>IT</v>
      </c>
      <c r="C12472" s="8" t="s">
        <v>44</v>
      </c>
      <c r="D12472" s="9" t="str">
        <f>HYPERLINK("https://otsuka-europe-crm.veevavault.com/ui/#object/approved_document__v/V5OZ025E82LS9PY", "IT ToV Veeva Privacy Notice Email")</f>
        <v>IT ToV Veeva Privacy Notice Email</v>
      </c>
      <c r="E12472" s="10" t="str">
        <f>HYPERLINK("https://otsuka-europe-crm.veevavault.com/ui/#object/sent_email__v/VBL00000002X269", "SE-001437831")</f>
        <v>SE-001437831</v>
      </c>
      <c r="F12472" s="11"/>
      <c r="G12472" s="12">
        <v>0</v>
      </c>
      <c r="H12472" s="12">
        <v>0</v>
      </c>
      <c r="I12472" s="12">
        <v>0</v>
      </c>
      <c r="J12472" s="11"/>
      <c r="K12472" s="12">
        <v>0</v>
      </c>
      <c r="L12472" s="10" t="str">
        <f>HYPERLINK("https://otsuka-europe-crm.veevavault.com/ui/#object/approved_document__v/V5OZ025E82LS9PY", "IT ToV Veeva Privacy Notice Email")</f>
        <v>IT ToV Veeva Privacy Notice Email</v>
      </c>
      <c r="M12472" s="10" t="str">
        <f>HYPERLINK("mailto:chiara.possamai@crm.otsuka-europe.com", "chiara.possamai@crm.otsuka-europe.com")</f>
        <v>chiara.possamai@crm.otsuka-europe.com</v>
      </c>
      <c r="N12472" s="13">
        <v>46198.400810185187</v>
      </c>
      <c r="O12472" s="14" t="str">
        <f>HYPERLINK("https://otsuka-europe-crm.veevavault.com/ui/#object/email_activity__v/V8C000000040543", "EN-002099644")</f>
        <v>EN-002099644</v>
      </c>
    </row>
    <row r="12473" spans="1:15" ht="32" x14ac:dyDescent="0.2">
      <c r="A12473" s="7" t="str">
        <f>HYPERLINK("https://otsuka-europe-crm.veevavault.com/ui/#object/account__v/V4T000000027079", "ANDREA AMIGONI")</f>
        <v>ANDREA AMIGONI</v>
      </c>
      <c r="B12473" s="7" t="str">
        <f>HYPERLINK("https://otsuka-europe-crm.veevavault.com/ui/#object/vcountry__v/VENZ000004SONFQ", "IT")</f>
        <v>IT</v>
      </c>
      <c r="C12473" s="8" t="s">
        <v>44</v>
      </c>
      <c r="D12473" s="9" t="str">
        <f>HYPERLINK("https://otsuka-europe-crm.veevavault.com/ui/#object/approved_document__v/V5OZ06G6O6RG2EV", "IT Veeva Privacy Notice Email")</f>
        <v>IT Veeva Privacy Notice Email</v>
      </c>
      <c r="E12473" s="10" t="str">
        <f>HYPERLINK("https://otsuka-europe-crm.veevavault.com/ui/#object/sent_email__v/VBL00000002X270", "SE-001437832")</f>
        <v>SE-001437832</v>
      </c>
      <c r="F12473" s="11"/>
      <c r="G12473" s="12">
        <v>0</v>
      </c>
      <c r="H12473" s="12">
        <v>0</v>
      </c>
      <c r="I12473" s="12">
        <v>0</v>
      </c>
      <c r="J12473" s="11"/>
      <c r="K12473" s="12">
        <v>0</v>
      </c>
      <c r="L12473" s="10" t="str">
        <f>HYPERLINK("https://otsuka-europe-crm.veevavault.com/ui/#object/approved_document__v/V5OZ06G6O6RG2EV", "IT Veeva Privacy Notice Email")</f>
        <v>IT Veeva Privacy Notice Email</v>
      </c>
      <c r="M12473" s="10" t="str">
        <f>HYPERLINK("mailto:laura.mallia@crm.otsuka-europe.com", "laura.mallia@crm.otsuka-europe.com")</f>
        <v>laura.mallia@crm.otsuka-europe.com</v>
      </c>
      <c r="N12473" s="13">
        <v>46198.4221875</v>
      </c>
      <c r="O12473" s="14" t="str">
        <f>HYPERLINK("https://otsuka-europe-crm.veevavault.com/ui/#object/email_activity__v/V8C000000040547", "EN-002099651")</f>
        <v>EN-002099651</v>
      </c>
    </row>
    <row r="12474" spans="1:15" ht="32" x14ac:dyDescent="0.2">
      <c r="A12474" s="7" t="str">
        <f>HYPERLINK("https://otsuka-europe-crm.veevavault.com/ui/#object/account__v/V4T000000027079", "ANDREA AMIGONI")</f>
        <v>ANDREA AMIGONI</v>
      </c>
      <c r="B12474" s="7" t="str">
        <f>HYPERLINK("https://otsuka-europe-crm.veevavault.com/ui/#object/vcountry__v/VENZ000004SONFQ", "IT")</f>
        <v>IT</v>
      </c>
      <c r="C12474" s="8" t="s">
        <v>44</v>
      </c>
      <c r="D12474" s="9" t="str">
        <f>HYPERLINK("https://otsuka-europe-crm.veevavault.com/ui/#object/approved_document__v/V5OZ06G6O6RG2EV", "IT Veeva Privacy Notice Email")</f>
        <v>IT Veeva Privacy Notice Email</v>
      </c>
      <c r="E12474" s="10" t="str">
        <f>HYPERLINK("https://otsuka-europe-crm.veevavault.com/ui/#object/sent_email__v/VBL00000002X271", "SE-001437833")</f>
        <v>SE-001437833</v>
      </c>
      <c r="F12474" s="11"/>
      <c r="G12474" s="12">
        <v>0</v>
      </c>
      <c r="H12474" s="12">
        <v>0</v>
      </c>
      <c r="I12474" s="12">
        <v>0</v>
      </c>
      <c r="J12474" s="11"/>
      <c r="K12474" s="12">
        <v>0</v>
      </c>
      <c r="L12474" s="10" t="str">
        <f>HYPERLINK("https://otsuka-europe-crm.veevavault.com/ui/#object/approved_document__v/V5OZ06G6O6RG2EV", "IT Veeva Privacy Notice Email")</f>
        <v>IT Veeva Privacy Notice Email</v>
      </c>
      <c r="M12474" s="10" t="str">
        <f>HYPERLINK("mailto:laura.mallia@crm.otsuka-europe.com", "laura.mallia@crm.otsuka-europe.com")</f>
        <v>laura.mallia@crm.otsuka-europe.com</v>
      </c>
      <c r="N12474" s="13">
        <v>46198.422326388885</v>
      </c>
      <c r="O12474" s="14" t="str">
        <f>HYPERLINK("https://otsuka-europe-crm.veevavault.com/ui/#object/email_activity__v/V8C000000040546", "EN-002099650")</f>
        <v>EN-002099650</v>
      </c>
    </row>
    <row r="12475" spans="1:15" ht="16" x14ac:dyDescent="0.2">
      <c r="A12475" s="17" t="str">
        <f>HYPERLINK("https://otsuka-europe-crm.veevavault.com/ui/#object/account__v/V4T000000027079", "ANDREA AMIGONI")</f>
        <v>ANDREA AMIGONI</v>
      </c>
      <c r="B12475" s="17" t="str">
        <f>HYPERLINK("https://otsuka-europe-crm.veevavault.com/ui/#object/vcountry__v/VENZ000004SONFQ", "IT")</f>
        <v>IT</v>
      </c>
      <c r="C12475" s="20" t="s">
        <v>44</v>
      </c>
      <c r="D12475" s="21" t="str">
        <f>HYPERLINK("https://otsuka-europe-crm.veevavault.com/ui/#object/approved_document__v/V5OZ025E82JJ7FL", "NL AE HCP Portal")</f>
        <v>NL AE HCP Portal</v>
      </c>
      <c r="E12475" s="22" t="str">
        <f>HYPERLINK("https://otsuka-europe-crm.veevavault.com/ui/#object/sent_email__v/VBL00000002X272", "SE-001437834")</f>
        <v>SE-001437834</v>
      </c>
      <c r="F12475" s="23">
        <v>46198.424189814818</v>
      </c>
      <c r="G12475" s="24">
        <v>1</v>
      </c>
      <c r="H12475" s="24">
        <v>3</v>
      </c>
      <c r="I12475" s="24">
        <v>0</v>
      </c>
      <c r="J12475" s="25"/>
      <c r="K12475" s="24">
        <v>0</v>
      </c>
      <c r="L12475" s="22" t="str">
        <f>HYPERLINK("https://otsuka-europe-crm.veevavault.com/ui/#object/approved_document__v/V5OZ025E82JJ7FL", "NL AE HCP Portal")</f>
        <v>NL AE HCP Portal</v>
      </c>
      <c r="M12475" s="22" t="str">
        <f>HYPERLINK("mailto:laura.mallia@crm.otsuka-europe.com", "laura.mallia@crm.otsuka-europe.com")</f>
        <v>laura.mallia@crm.otsuka-europe.com</v>
      </c>
      <c r="N12475" s="23">
        <v>46198.423807870371</v>
      </c>
      <c r="O12475" s="14" t="str">
        <f>HYPERLINK("https://otsuka-europe-crm.veevavault.com/ui/#object/email_activity__v/V8C00000003Z479", "EN-002099652")</f>
        <v>EN-002099652</v>
      </c>
    </row>
    <row r="12476" spans="1:15" ht="16" x14ac:dyDescent="0.2">
      <c r="A12476" s="18"/>
      <c r="B12476" s="18"/>
      <c r="C12476" s="18"/>
      <c r="D12476" s="18"/>
      <c r="E12476" s="18"/>
      <c r="F12476" s="18"/>
      <c r="G12476" s="18"/>
      <c r="H12476" s="18"/>
      <c r="I12476" s="18"/>
      <c r="J12476" s="18"/>
      <c r="K12476" s="18"/>
      <c r="L12476" s="18"/>
      <c r="M12476" s="18"/>
      <c r="N12476" s="18"/>
      <c r="O12476" s="14" t="str">
        <f>HYPERLINK("https://otsuka-europe-crm.veevavault.com/ui/#object/email_activity__v/V8C00000003Z480", "EN-002099653")</f>
        <v>EN-002099653</v>
      </c>
    </row>
    <row r="12477" spans="1:15" ht="16" x14ac:dyDescent="0.2">
      <c r="A12477" s="18"/>
      <c r="B12477" s="18"/>
      <c r="C12477" s="18"/>
      <c r="D12477" s="18"/>
      <c r="E12477" s="18"/>
      <c r="F12477" s="18"/>
      <c r="G12477" s="18"/>
      <c r="H12477" s="18"/>
      <c r="I12477" s="18"/>
      <c r="J12477" s="18"/>
      <c r="K12477" s="18"/>
      <c r="L12477" s="18"/>
      <c r="M12477" s="18"/>
      <c r="N12477" s="18"/>
      <c r="O12477" s="14" t="str">
        <f>HYPERLINK("https://otsuka-europe-crm.veevavault.com/ui/#object/email_activity__v/V8C00000003Z481", "EN-002099654")</f>
        <v>EN-002099654</v>
      </c>
    </row>
    <row r="12478" spans="1:15" ht="16" x14ac:dyDescent="0.2">
      <c r="A12478" s="19"/>
      <c r="B12478" s="19"/>
      <c r="C12478" s="19"/>
      <c r="D12478" s="19"/>
      <c r="E12478" s="19"/>
      <c r="F12478" s="19"/>
      <c r="G12478" s="19"/>
      <c r="H12478" s="19"/>
      <c r="I12478" s="19"/>
      <c r="J12478" s="19"/>
      <c r="K12478" s="19"/>
      <c r="L12478" s="19"/>
      <c r="M12478" s="19"/>
      <c r="N12478" s="19"/>
      <c r="O12478" s="14" t="str">
        <f>HYPERLINK("https://otsuka-europe-crm.veevavault.com/ui/#object/email_activity__v/V8C00000003Z482", "EN-002099655")</f>
        <v>EN-002099655</v>
      </c>
    </row>
    <row r="12479" spans="1:15" ht="32" x14ac:dyDescent="0.2">
      <c r="A12479" s="7" t="str">
        <f>HYPERLINK("https://otsuka-europe-crm.veevavault.com/ui/#object/account__v/V4T000000027080", "MARIA CHIARA ANGELETTI")</f>
        <v>MARIA CHIARA ANGELETTI</v>
      </c>
      <c r="B12479" s="7" t="str">
        <f>HYPERLINK("https://otsuka-europe-crm.veevavault.com/ui/#object/vcountry__v/VENZ000004SONFQ", "IT")</f>
        <v>IT</v>
      </c>
      <c r="C12479" s="8" t="s">
        <v>44</v>
      </c>
      <c r="D12479" s="9" t="str">
        <f>HYPERLINK("https://otsuka-europe-crm.veevavault.com/ui/#object/approved_document__v/V5OZ06G6O6RG2EV", "IT Veeva Privacy Notice Email")</f>
        <v>IT Veeva Privacy Notice Email</v>
      </c>
      <c r="E12479" s="10" t="str">
        <f>HYPERLINK("https://otsuka-europe-crm.veevavault.com/ui/#object/sent_email__v/VBL00000002W169", "SE-001437835")</f>
        <v>SE-001437835</v>
      </c>
      <c r="F12479" s="11"/>
      <c r="G12479" s="12">
        <v>0</v>
      </c>
      <c r="H12479" s="12">
        <v>0</v>
      </c>
      <c r="I12479" s="12">
        <v>0</v>
      </c>
      <c r="J12479" s="11"/>
      <c r="K12479" s="12">
        <v>0</v>
      </c>
      <c r="L12479" s="10" t="str">
        <f>HYPERLINK("https://otsuka-europe-crm.veevavault.com/ui/#object/approved_document__v/V5OZ06G6O6RG2EV", "IT Veeva Privacy Notice Email")</f>
        <v>IT Veeva Privacy Notice Email</v>
      </c>
      <c r="M12479" s="10" t="str">
        <f>HYPERLINK("mailto:laura.mallia@crm.otsuka-europe.com", "laura.mallia@crm.otsuka-europe.com")</f>
        <v>laura.mallia@crm.otsuka-europe.com</v>
      </c>
      <c r="N12479" s="13">
        <v>46198.451238425929</v>
      </c>
      <c r="O12479" s="14" t="str">
        <f>HYPERLINK("https://otsuka-europe-crm.veevavault.com/ui/#object/email_activity__v/V8C000000040552", "EN-002099663")</f>
        <v>EN-002099663</v>
      </c>
    </row>
    <row r="12480" spans="1:15" ht="16" x14ac:dyDescent="0.2">
      <c r="A12480" s="17" t="str">
        <f>HYPERLINK("https://otsuka-europe-crm.veevavault.com/ui/#object/account__v/V4TZ06G6O71SABV", "ANTONIO DE PASCALIS")</f>
        <v>ANTONIO DE PASCALIS</v>
      </c>
      <c r="B12480" s="17" t="str">
        <f>HYPERLINK("https://otsuka-europe-crm.veevavault.com/ui/#object/vcountry__v/VENZ000004SONFQ", "IT")</f>
        <v>IT</v>
      </c>
      <c r="C12480" s="20" t="s">
        <v>44</v>
      </c>
      <c r="D12480" s="21" t="str">
        <f>HYPERLINK("https://otsuka-europe-crm.veevavault.com/ui/#object/approved_document__v/V5O00000001A024", "Lupkynis - rischio - IT-LUP-2600002 v1.0 -  NEPHRO")</f>
        <v>Lupkynis - rischio - IT-LUP-2600002 v1.0 -  NEPHRO</v>
      </c>
      <c r="E12480" s="22" t="str">
        <f>HYPERLINK("https://otsuka-europe-crm.veevavault.com/ui/#object/sent_email__v/VBL00000002W170", "SE-001437836")</f>
        <v>SE-001437836</v>
      </c>
      <c r="F12480" s="25"/>
      <c r="G12480" s="24">
        <v>0</v>
      </c>
      <c r="H12480" s="24">
        <v>0</v>
      </c>
      <c r="I12480" s="24">
        <v>0</v>
      </c>
      <c r="J12480" s="25"/>
      <c r="K12480" s="24">
        <v>0</v>
      </c>
      <c r="L12480" s="22" t="str">
        <f>HYPERLINK("https://otsuka-europe-crm.veevavault.com/ui/#object/approved_document__v/V5O00000001A024", "Lupkynis - rischio - IT-LUP-2600002 v1.0 -  NEPHRO")</f>
        <v>Lupkynis - rischio - IT-LUP-2600002 v1.0 -  NEPHRO</v>
      </c>
      <c r="M12480" s="22" t="str">
        <f>HYPERLINK("mailto:alfredo.pisapia@crm.otsuka-europe.com", "alfredo.pisapia@crm.otsuka-europe.com")</f>
        <v>alfredo.pisapia@crm.otsuka-europe.com</v>
      </c>
      <c r="N12480" s="23">
        <v>46198.465162037035</v>
      </c>
      <c r="O12480" s="14" t="str">
        <f>HYPERLINK("https://otsuka-europe-crm.veevavault.com/ui/#object/email_activity__v/V8C00000003Z486", "EN-002099664")</f>
        <v>EN-002099664</v>
      </c>
    </row>
    <row r="12481" spans="1:15" ht="16" x14ac:dyDescent="0.2">
      <c r="A12481" s="19"/>
      <c r="B12481" s="19"/>
      <c r="C12481" s="19"/>
      <c r="D12481" s="19"/>
      <c r="E12481" s="19"/>
      <c r="F12481" s="19"/>
      <c r="G12481" s="19"/>
      <c r="H12481" s="19"/>
      <c r="I12481" s="19"/>
      <c r="J12481" s="19"/>
      <c r="K12481" s="19"/>
      <c r="L12481" s="19"/>
      <c r="M12481" s="19"/>
      <c r="N12481" s="19"/>
      <c r="O12481" s="14" t="str">
        <f>HYPERLINK("https://otsuka-europe-crm.veevavault.com/ui/#object/email_activity__v/V8C00000003Z487", "EN-002099669")</f>
        <v>EN-002099669</v>
      </c>
    </row>
    <row r="12482" spans="1:15" ht="48" x14ac:dyDescent="0.2">
      <c r="A12482" s="7" t="str">
        <f>HYPERLINK("https://otsuka-europe-crm.veevavault.com/ui/#object/account__v/V4TZ025E85LZFST", "MELISSA ONDER")</f>
        <v>MELISSA ONDER</v>
      </c>
      <c r="B12482" s="7" t="str">
        <f>HYPERLINK("https://otsuka-europe-crm.veevavault.com/ui/#object/vcountry__v/VENZ000004SONFA", "FR")</f>
        <v>FR</v>
      </c>
      <c r="C12482" s="8" t="s">
        <v>42</v>
      </c>
      <c r="D12482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12482" s="10" t="str">
        <f>HYPERLINK("https://otsuka-europe-crm.veevavault.com/ui/#object/sent_email__v/VBL00000002X273", "SE-001437837")</f>
        <v>SE-001437837</v>
      </c>
      <c r="F12482" s="11"/>
      <c r="G12482" s="12">
        <v>0</v>
      </c>
      <c r="H12482" s="12">
        <v>0</v>
      </c>
      <c r="I12482" s="12">
        <v>0</v>
      </c>
      <c r="J12482" s="11"/>
      <c r="K12482" s="12">
        <v>0</v>
      </c>
      <c r="L12482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12482" s="10" t="str">
        <f>HYPERLINK("mailto:mperrin@crm.otsuka-europe.com", "mperrin@crm.otsuka-europe.com")</f>
        <v>mperrin@crm.otsuka-europe.com</v>
      </c>
      <c r="N12482" s="13">
        <v>46198.473252314812</v>
      </c>
      <c r="O12482" s="14" t="str">
        <f>HYPERLINK("https://otsuka-europe-crm.veevavault.com/ui/#object/email_activity__v/V8C000000040556", "EN-002099668")</f>
        <v>EN-002099668</v>
      </c>
    </row>
    <row r="12483" spans="1:15" ht="32" x14ac:dyDescent="0.2">
      <c r="A12483" s="7" t="str">
        <f>HYPERLINK("https://otsuka-europe-crm.veevavault.com/ui/#object/account__v/V4T000000024080", "SAMUEL LEAL RODRIGUEZ")</f>
        <v>SAMUEL LEAL RODRIGUEZ</v>
      </c>
      <c r="B12483" s="7" t="str">
        <f>HYPERLINK("https://otsuka-europe-crm.veevavault.com/ui/#object/vcountry__v/VENZ000004SONF5", "ES")</f>
        <v>ES</v>
      </c>
      <c r="C12483" s="8" t="s">
        <v>41</v>
      </c>
      <c r="D12483" s="9" t="str">
        <f>HYPERLINK("https://otsuka-europe-crm.veevavault.com/ui/#object/approved_document__v/V5OZ04ASG4FWKA7", "Reuniones Online Consent - 2")</f>
        <v>Reuniones Online Consent - 2</v>
      </c>
      <c r="E12483" s="10" t="str">
        <f>HYPERLINK("https://otsuka-europe-crm.veevavault.com/ui/#object/sent_email__v/VBL00000002X274", "SE-001437838")</f>
        <v>SE-001437838</v>
      </c>
      <c r="F12483" s="11"/>
      <c r="G12483" s="12">
        <v>0</v>
      </c>
      <c r="H12483" s="12">
        <v>0</v>
      </c>
      <c r="I12483" s="12">
        <v>0</v>
      </c>
      <c r="J12483" s="11"/>
      <c r="K12483" s="12">
        <v>0</v>
      </c>
      <c r="L12483" s="10" t="str">
        <f>HYPERLINK("https://otsuka-europe-crm.veevavault.com/ui/#object/approved_document__v/V5OZ04ASG4FWKA7", "Reuniones Online Consent - 2")</f>
        <v>Reuniones Online Consent - 2</v>
      </c>
      <c r="M12483" s="10" t="str">
        <f>HYPERLINK("mailto:ccalero@crm.otsuka-europe.com", "ccalero@crm.otsuka-europe.com")</f>
        <v>ccalero@crm.otsuka-europe.com</v>
      </c>
      <c r="N12483" s="13">
        <v>46198.501446759263</v>
      </c>
      <c r="O12483" s="14" t="str">
        <f>HYPERLINK("https://otsuka-europe-crm.veevavault.com/ui/#object/email_activity__v/V8C00000003Z491", "EN-002099673")</f>
        <v>EN-002099673</v>
      </c>
    </row>
    <row r="12484" spans="1:15" ht="32" x14ac:dyDescent="0.2">
      <c r="A12484" s="7" t="str">
        <f>HYPERLINK("https://otsuka-europe-crm.veevavault.com/ui/#object/account__v/V4T000000024080", "SAMUEL LEAL RODRIGUEZ")</f>
        <v>SAMUEL LEAL RODRIGUEZ</v>
      </c>
      <c r="B12484" s="7" t="str">
        <f>HYPERLINK("https://otsuka-europe-crm.veevavault.com/ui/#object/vcountry__v/VENZ000004SONF5", "ES")</f>
        <v>ES</v>
      </c>
      <c r="C12484" s="8" t="s">
        <v>41</v>
      </c>
      <c r="D12484" s="9" t="str">
        <f>HYPERLINK("https://otsuka-europe-crm.veevavault.com/ui/#object/approved_document__v/V5OZ04ASG4FWKA9", "Documento Autorizaciขn Centro Empleador")</f>
        <v>Documento Autorizaciขn Centro Empleador</v>
      </c>
      <c r="E12484" s="10" t="str">
        <f>HYPERLINK("https://otsuka-europe-crm.veevavault.com/ui/#object/sent_email__v/VBL00000002W171", "SE-001437839")</f>
        <v>SE-001437839</v>
      </c>
      <c r="F12484" s="11"/>
      <c r="G12484" s="12">
        <v>0</v>
      </c>
      <c r="H12484" s="12">
        <v>0</v>
      </c>
      <c r="I12484" s="12">
        <v>0</v>
      </c>
      <c r="J12484" s="11"/>
      <c r="K12484" s="12">
        <v>0</v>
      </c>
      <c r="L12484" s="10" t="str">
        <f>HYPERLINK("https://otsuka-europe-crm.veevavault.com/ui/#object/approved_document__v/V5OZ04ASG4FWKA9", "Documento Autorizaciขn Centro Empleador")</f>
        <v>Documento Autorizaciขn Centro Empleador</v>
      </c>
      <c r="M12484" s="10" t="str">
        <f>HYPERLINK("mailto:ccalero@crm.otsuka-europe.com", "ccalero@crm.otsuka-europe.com")</f>
        <v>ccalero@crm.otsuka-europe.com</v>
      </c>
      <c r="N12484" s="13">
        <v>46198.501458333332</v>
      </c>
      <c r="O12484" s="14" t="str">
        <f>HYPERLINK("https://otsuka-europe-crm.veevavault.com/ui/#object/email_activity__v/V8C00000003Z492", "EN-002099674")</f>
        <v>EN-002099674</v>
      </c>
    </row>
    <row r="12485" spans="1:15" ht="32" x14ac:dyDescent="0.2">
      <c r="A12485" s="7" t="str">
        <f>HYPERLINK("https://otsuka-europe-crm.veevavault.com/ui/#object/account__v/V4T000000024080", "SAMUEL LEAL RODRIGUEZ")</f>
        <v>SAMUEL LEAL RODRIGUEZ</v>
      </c>
      <c r="B12485" s="7" t="str">
        <f>HYPERLINK("https://otsuka-europe-crm.veevavault.com/ui/#object/vcountry__v/VENZ000004SONF5", "ES")</f>
        <v>ES</v>
      </c>
      <c r="C12485" s="8" t="s">
        <v>41</v>
      </c>
      <c r="D12485" s="9" t="str">
        <f>HYPERLINK("https://otsuka-europe-crm.veevavault.com/ui/#object/approved_document__v/V5O00000000D100", "Spain - Consent Email 1 Aug 25")</f>
        <v>Spain - Consent Email 1 Aug 25</v>
      </c>
      <c r="E12485" s="10" t="str">
        <f>HYPERLINK("https://otsuka-europe-crm.veevavault.com/ui/#object/sent_email__v/VBL00000002W172", "SE-001437840")</f>
        <v>SE-001437840</v>
      </c>
      <c r="F12485" s="11"/>
      <c r="G12485" s="12">
        <v>0</v>
      </c>
      <c r="H12485" s="12">
        <v>0</v>
      </c>
      <c r="I12485" s="12">
        <v>0</v>
      </c>
      <c r="J12485" s="11"/>
      <c r="K12485" s="12">
        <v>0</v>
      </c>
      <c r="L12485" s="10" t="str">
        <f>HYPERLINK("https://otsuka-europe-crm.veevavault.com/ui/#object/approved_document__v/V5O00000000D100", "Spain - Consent Email 1 Aug 25")</f>
        <v>Spain - Consent Email 1 Aug 25</v>
      </c>
      <c r="M12485" s="10" t="str">
        <f>HYPERLINK("mailto:ccalero@crm.otsuka-europe.com", "ccalero@crm.otsuka-europe.com")</f>
        <v>ccalero@crm.otsuka-europe.com</v>
      </c>
      <c r="N12485" s="13">
        <v>46198.501469907409</v>
      </c>
      <c r="O12485" s="14" t="str">
        <f>HYPERLINK("https://otsuka-europe-crm.veevavault.com/ui/#object/email_activity__v/V8C00000003Z493", "EN-002099675")</f>
        <v>EN-002099675</v>
      </c>
    </row>
    <row r="12486" spans="1:15" ht="32" x14ac:dyDescent="0.2">
      <c r="A12486" s="7" t="str">
        <f>HYPERLINK("https://otsuka-europe-crm.veevavault.com/ui/#object/account__v/V4T000000026075", "MARIA SALAS CASSINELLO")</f>
        <v>MARIA SALAS CASSINELLO</v>
      </c>
      <c r="B12486" s="7" t="str">
        <f>HYPERLINK("https://otsuka-europe-crm.veevavault.com/ui/#object/vcountry__v/VENZ000004SONF5", "ES")</f>
        <v>ES</v>
      </c>
      <c r="C12486" s="8" t="s">
        <v>41</v>
      </c>
      <c r="D12486" s="9" t="str">
        <f>HYPERLINK("https://otsuka-europe-crm.veevavault.com/ui/#object/approved_document__v/V5OZ06G6O6RFL1P", "ES Veeva Privacy Notice Email")</f>
        <v>ES Veeva Privacy Notice Email</v>
      </c>
      <c r="E12486" s="10" t="str">
        <f>HYPERLINK("https://otsuka-europe-crm.veevavault.com/ui/#object/sent_email__v/VBL00000002W173", "SE-001437841")</f>
        <v>SE-001437841</v>
      </c>
      <c r="F12486" s="11"/>
      <c r="G12486" s="12">
        <v>0</v>
      </c>
      <c r="H12486" s="12">
        <v>0</v>
      </c>
      <c r="I12486" s="12">
        <v>0</v>
      </c>
      <c r="J12486" s="11"/>
      <c r="K12486" s="12">
        <v>0</v>
      </c>
      <c r="L12486" s="10" t="str">
        <f>HYPERLINK("https://otsuka-europe-crm.veevavault.com/ui/#object/approved_document__v/V5OZ06G6O6RFL1P", "ES Veeva Privacy Notice Email")</f>
        <v>ES Veeva Privacy Notice Email</v>
      </c>
      <c r="M12486" s="10" t="str">
        <f>HYPERLINK("mailto:amartinez@crm.otsuka-europe.com", "amartinez@crm.otsuka-europe.com")</f>
        <v>amartinez@crm.otsuka-europe.com</v>
      </c>
      <c r="N12486" s="13">
        <v>46198.538402777776</v>
      </c>
      <c r="O12486" s="14" t="str">
        <f>HYPERLINK("https://otsuka-europe-crm.veevavault.com/ui/#object/email_activity__v/V8C000000040558", "EN-002099678")</f>
        <v>EN-002099678</v>
      </c>
    </row>
    <row r="12487" spans="1:15" ht="32" x14ac:dyDescent="0.2">
      <c r="A12487" s="7" t="str">
        <f>HYPERLINK("https://otsuka-europe-crm.veevavault.com/ui/#object/account__v/V4T000000026080", "Vikesh Gudka")</f>
        <v>Vikesh Gudka</v>
      </c>
      <c r="B12487" s="7" t="str">
        <f>HYPERLINK("https://otsuka-europe-crm.veevavault.com/ui/#object/vcountry__v/VENZ000004SONFK", "GB")</f>
        <v>GB</v>
      </c>
      <c r="C12487" s="8" t="s">
        <v>39</v>
      </c>
      <c r="D12487" s="9" t="str">
        <f>HYPERLINK("https://otsuka-europe-crm.veevavault.com/ui/#object/approved_document__v/V5OZ025E82PXJSL", "Otsuka Privacy Notice - UK (v2)")</f>
        <v>Otsuka Privacy Notice - UK (v2)</v>
      </c>
      <c r="E12487" s="10" t="str">
        <f>HYPERLINK("https://otsuka-europe-crm.veevavault.com/ui/#object/sent_email__v/VBL00000002W174", "SE-001437842")</f>
        <v>SE-001437842</v>
      </c>
      <c r="F12487" s="11"/>
      <c r="G12487" s="12">
        <v>0</v>
      </c>
      <c r="H12487" s="12">
        <v>0</v>
      </c>
      <c r="I12487" s="12">
        <v>0</v>
      </c>
      <c r="J12487" s="11"/>
      <c r="K12487" s="12">
        <v>0</v>
      </c>
      <c r="L12487" s="10" t="str">
        <f>HYPERLINK("https://otsuka-europe-crm.veevavault.com/ui/#object/approved_document__v/V5OZ025E82PXJSL", "Otsuka Privacy Notice - UK (v2)")</f>
        <v>Otsuka Privacy Notice - UK (v2)</v>
      </c>
      <c r="M12487" s="10" t="str">
        <f>HYPERLINK("mailto:PStyler@crm.otsuka-europe.com", "PStyler@crm.otsuka-europe.com")</f>
        <v>PStyler@crm.otsuka-europe.com</v>
      </c>
      <c r="N12487" s="13">
        <v>46198.570937500001</v>
      </c>
      <c r="O12487" s="14" t="str">
        <f>HYPERLINK("https://otsuka-europe-crm.veevavault.com/ui/#object/email_activity__v/V8C000000040560", "EN-002099682")</f>
        <v>EN-002099682</v>
      </c>
    </row>
    <row r="12488" spans="1:15" ht="64" x14ac:dyDescent="0.2">
      <c r="A12488" s="7" t="str">
        <f>HYPERLINK("https://otsuka-europe-crm.veevavault.com/ui/#object/account__v/V4TZ04ASGC4LO4A", "LAURA COLADONATO")</f>
        <v>LAURA COLADONATO</v>
      </c>
      <c r="B12488" s="7" t="str">
        <f>HYPERLINK("https://otsuka-europe-crm.veevavault.com/ui/#object/vcountry__v/VENZ000004SONFQ", "IT")</f>
        <v>IT</v>
      </c>
      <c r="C12488" s="8" t="s">
        <v>44</v>
      </c>
      <c r="D12488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2488" s="10" t="str">
        <f>HYPERLINK("https://otsuka-europe-crm.veevavault.com/ui/#object/sent_email__v/VBL00000002X329", "SE-001437897")</f>
        <v>SE-001437897</v>
      </c>
      <c r="F12488" s="11"/>
      <c r="G12488" s="12">
        <v>0</v>
      </c>
      <c r="H12488" s="12">
        <v>0</v>
      </c>
      <c r="I12488" s="12">
        <v>0</v>
      </c>
      <c r="J12488" s="11"/>
      <c r="K12488" s="12">
        <v>0</v>
      </c>
      <c r="L12488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2488" s="10" t="str">
        <f>HYPERLINK("mailto:giada.camassa@outsuka.it", "giada.camassa@outsuka.it")</f>
        <v>giada.camassa@outsuka.it</v>
      </c>
      <c r="N12488" s="13">
        <v>46202.337951388887</v>
      </c>
      <c r="O12488" s="14" t="str">
        <f>HYPERLINK("https://otsuka-europe-crm.veevavault.com/ui/#object/email_activity__v/V8C000000041309", "EN-002100289")</f>
        <v>EN-002100289</v>
      </c>
    </row>
    <row r="12489" spans="1:15" ht="64" x14ac:dyDescent="0.2">
      <c r="A12489" s="7" t="str">
        <f>HYPERLINK("https://otsuka-europe-crm.veevavault.com/ui/#object/account__v/V4TZ04ASGB4UR8K", "ROSARIO BUONO")</f>
        <v>ROSARIO BUONO</v>
      </c>
      <c r="B12489" s="7" t="str">
        <f>HYPERLINK("https://otsuka-europe-crm.veevavault.com/ui/#object/vcountry__v/VENZ000004SONFQ", "IT")</f>
        <v>IT</v>
      </c>
      <c r="C12489" s="8" t="s">
        <v>44</v>
      </c>
      <c r="D12489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2489" s="10" t="str">
        <f>HYPERLINK("https://otsuka-europe-crm.veevavault.com/ui/#object/sent_email__v/VBL00000002X353", "SE-001437921")</f>
        <v>SE-001437921</v>
      </c>
      <c r="F12489" s="11"/>
      <c r="G12489" s="12">
        <v>0</v>
      </c>
      <c r="H12489" s="12">
        <v>0</v>
      </c>
      <c r="I12489" s="12">
        <v>0</v>
      </c>
      <c r="J12489" s="11"/>
      <c r="K12489" s="12">
        <v>0</v>
      </c>
      <c r="L12489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2489" s="10" t="str">
        <f>HYPERLINK("mailto:giada.camassa@outsuka.it", "giada.camassa@outsuka.it")</f>
        <v>giada.camassa@outsuka.it</v>
      </c>
      <c r="N12489" s="13">
        <v>46202.33792824074</v>
      </c>
      <c r="O12489" s="14" t="str">
        <f>HYPERLINK("https://otsuka-europe-crm.veevavault.com/ui/#object/email_activity__v/V8C000000041308", "EN-002100288")</f>
        <v>EN-002100288</v>
      </c>
    </row>
    <row r="12490" spans="1:15" ht="64" x14ac:dyDescent="0.2">
      <c r="A12490" s="7" t="str">
        <f>HYPERLINK("https://otsuka-europe-crm.veevavault.com/ui/#object/account__v/V4TZ04ASGBTZLT1", "FRANCESCO PAOLO CANTATORE")</f>
        <v>FRANCESCO PAOLO CANTATORE</v>
      </c>
      <c r="B12490" s="7" t="str">
        <f>HYPERLINK("https://otsuka-europe-crm.veevavault.com/ui/#object/vcountry__v/VENZ000004SONFQ", "IT")</f>
        <v>IT</v>
      </c>
      <c r="C12490" s="8" t="s">
        <v>44</v>
      </c>
      <c r="D12490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2490" s="10" t="str">
        <f>HYPERLINK("https://otsuka-europe-crm.veevavault.com/ui/#object/sent_email__v/VBL00000002X389", "SE-001437957")</f>
        <v>SE-001437957</v>
      </c>
      <c r="F12490" s="11"/>
      <c r="G12490" s="12">
        <v>0</v>
      </c>
      <c r="H12490" s="12">
        <v>0</v>
      </c>
      <c r="I12490" s="12">
        <v>0</v>
      </c>
      <c r="J12490" s="11"/>
      <c r="K12490" s="12">
        <v>0</v>
      </c>
      <c r="L12490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2490" s="10" t="str">
        <f>HYPERLINK("mailto:giada.camassa@outsuka.it", "giada.camassa@outsuka.it")</f>
        <v>giada.camassa@outsuka.it</v>
      </c>
      <c r="N12490" s="13">
        <v>46202.337685185186</v>
      </c>
      <c r="O12490" s="14" t="str">
        <f>HYPERLINK("https://otsuka-europe-crm.veevavault.com/ui/#object/email_activity__v/V8C000000042293", "EN-002100287")</f>
        <v>EN-002100287</v>
      </c>
    </row>
    <row r="12491" spans="1:15" ht="32" x14ac:dyDescent="0.2">
      <c r="A12491" s="7" t="str">
        <f>HYPERLINK("https://otsuka-europe-crm.veevavault.com/ui/#object/account__v/V4T000000027087", "Umme Axworthy")</f>
        <v>Umme Axworthy</v>
      </c>
      <c r="B12491" s="7" t="str">
        <f>HYPERLINK("https://otsuka-europe-crm.veevavault.com/ui/#object/vcountry__v/VENZ000004SONFK", "GB")</f>
        <v>GB</v>
      </c>
      <c r="C12491" s="8" t="s">
        <v>39</v>
      </c>
      <c r="D12491" s="9" t="str">
        <f>HYPERLINK("https://otsuka-europe-crm.veevavault.com/ui/#object/approved_document__v/V5OZ025E82PXJSL", "Otsuka Privacy Notice - UK (v2)")</f>
        <v>Otsuka Privacy Notice - UK (v2)</v>
      </c>
      <c r="E12491" s="10" t="str">
        <f>HYPERLINK("https://otsuka-europe-crm.veevavault.com/ui/#object/sent_email__v/VBL00000002W562", "SE-001438376")</f>
        <v>SE-001438376</v>
      </c>
      <c r="F12491" s="11"/>
      <c r="G12491" s="12">
        <v>0</v>
      </c>
      <c r="H12491" s="12">
        <v>0</v>
      </c>
      <c r="I12491" s="12">
        <v>0</v>
      </c>
      <c r="J12491" s="11"/>
      <c r="K12491" s="12">
        <v>0</v>
      </c>
      <c r="L12491" s="10" t="str">
        <f>HYPERLINK("https://otsuka-europe-crm.veevavault.com/ui/#object/approved_document__v/V5OZ025E82PXJSL", "Otsuka Privacy Notice - UK (v2)")</f>
        <v>Otsuka Privacy Notice - UK (v2)</v>
      </c>
      <c r="M12491" s="10" t="str">
        <f>HYPERLINK("mailto:PStyler@crm.otsuka-europe.com", "PStyler@crm.otsuka-europe.com")</f>
        <v>PStyler@crm.otsuka-europe.com</v>
      </c>
      <c r="N12491" s="13">
        <v>46198.633206018516</v>
      </c>
      <c r="O12491" s="14" t="str">
        <f>HYPERLINK("https://otsuka-europe-crm.veevavault.com/ui/#object/email_activity__v/V8C00000003Z501", "EN-002099687")</f>
        <v>EN-002099687</v>
      </c>
    </row>
    <row r="12492" spans="1:15" ht="48" x14ac:dyDescent="0.2">
      <c r="A12492" s="7" t="str">
        <f>HYPERLINK("https://otsuka-europe-crm.veevavault.com/ui/#object/account__v/V4TZ025E834PPQP", "AURORA BONIFAZI")</f>
        <v>AURORA BONIFAZI</v>
      </c>
      <c r="B12492" s="7" t="str">
        <f>HYPERLINK("https://otsuka-europe-crm.veevavault.com/ui/#object/vcountry__v/VENZ000004SONFQ", "IT")</f>
        <v>IT</v>
      </c>
      <c r="C12492" s="8" t="s">
        <v>44</v>
      </c>
      <c r="D12492" s="9" t="str">
        <f>HYPERLINK("https://otsuka-europe-crm.veevavault.com/ui/#object/approved_document__v/V5O00000001H009", "RXULTI_Branded_ DE FILIPPIS aggiornamento_ IT-RXU-2600020")</f>
        <v>RXULTI_Branded_ DE FILIPPIS aggiornamento_ IT-RXU-2600020</v>
      </c>
      <c r="E12492" s="10" t="str">
        <f>HYPERLINK("https://otsuka-europe-crm.veevavault.com/ui/#object/sent_email__v/VBL00000002Y001", "SE-001438377")</f>
        <v>SE-001438377</v>
      </c>
      <c r="F12492" s="11"/>
      <c r="G12492" s="12">
        <v>0</v>
      </c>
      <c r="H12492" s="12">
        <v>0</v>
      </c>
      <c r="I12492" s="12">
        <v>0</v>
      </c>
      <c r="J12492" s="11"/>
      <c r="K12492" s="12">
        <v>0</v>
      </c>
      <c r="L12492" s="10" t="str">
        <f>HYPERLINK("https://otsuka-europe-crm.veevavault.com/ui/#object/approved_document__v/V5O00000001H009", "RXULTI_Branded_ DE FILIPPIS aggiornamento_ IT-RXU-2600020")</f>
        <v>RXULTI_Branded_ DE FILIPPIS aggiornamento_ IT-RXU-2600020</v>
      </c>
      <c r="M12492" s="10" t="str">
        <f>HYPERLINK("mailto:paola.braconi@crm.otsuka-europe.com", "paola.braconi@crm.otsuka-europe.com")</f>
        <v>paola.braconi@crm.otsuka-europe.com</v>
      </c>
      <c r="N12492" s="13">
        <v>46199.33489583333</v>
      </c>
      <c r="O12492" s="14" t="str">
        <f>HYPERLINK("https://otsuka-europe-crm.veevavault.com/ui/#object/email_activity__v/V8C000000041013", "EN-002099723")</f>
        <v>EN-002099723</v>
      </c>
    </row>
    <row r="12493" spans="1:15" ht="48" x14ac:dyDescent="0.2">
      <c r="A12493" s="7" t="str">
        <f>HYPERLINK("https://otsuka-europe-crm.veevavault.com/ui/#object/account__v/V4TZ06G6O71S9HG", "MARTINA BUSSAGLIA BRANDIZZI")</f>
        <v>MARTINA BUSSAGLIA BRANDIZZI</v>
      </c>
      <c r="B12493" s="7" t="str">
        <f>HYPERLINK("https://otsuka-europe-crm.veevavault.com/ui/#object/vcountry__v/VENZ000004SONFQ", "IT")</f>
        <v>IT</v>
      </c>
      <c r="C12493" s="8" t="s">
        <v>44</v>
      </c>
      <c r="D12493" s="9" t="str">
        <f>HYPERLINK("https://otsuka-europe-crm.veevavault.com/ui/#object/approved_document__v/V5O00000001H009", "RXULTI_Branded_ DE FILIPPIS aggiornamento_ IT-RXU-2600020")</f>
        <v>RXULTI_Branded_ DE FILIPPIS aggiornamento_ IT-RXU-2600020</v>
      </c>
      <c r="E12493" s="10" t="str">
        <f>HYPERLINK("https://otsuka-europe-crm.veevavault.com/ui/#object/sent_email__v/VBL00000002Z001", "SE-001438378")</f>
        <v>SE-001438378</v>
      </c>
      <c r="F12493" s="11"/>
      <c r="G12493" s="12">
        <v>0</v>
      </c>
      <c r="H12493" s="12">
        <v>0</v>
      </c>
      <c r="I12493" s="12">
        <v>0</v>
      </c>
      <c r="J12493" s="11"/>
      <c r="K12493" s="12">
        <v>0</v>
      </c>
      <c r="L12493" s="10" t="str">
        <f>HYPERLINK("https://otsuka-europe-crm.veevavault.com/ui/#object/approved_document__v/V5O00000001H009", "RXULTI_Branded_ DE FILIPPIS aggiornamento_ IT-RXU-2600020")</f>
        <v>RXULTI_Branded_ DE FILIPPIS aggiornamento_ IT-RXU-2600020</v>
      </c>
      <c r="M12493" s="10" t="str">
        <f>HYPERLINK("mailto:paola.braconi@crm.otsuka-europe.com", "paola.braconi@crm.otsuka-europe.com")</f>
        <v>paola.braconi@crm.otsuka-europe.com</v>
      </c>
      <c r="N12493" s="13">
        <v>46199.335011574076</v>
      </c>
      <c r="O12493" s="14" t="str">
        <f>HYPERLINK("https://otsuka-europe-crm.veevavault.com/ui/#object/email_activity__v/V8C000000041014", "EN-002099724")</f>
        <v>EN-002099724</v>
      </c>
    </row>
    <row r="12494" spans="1:15" ht="32" x14ac:dyDescent="0.2">
      <c r="A12494" s="7" t="str">
        <f>HYPERLINK("https://otsuka-europe-crm.veevavault.com/ui/#object/account__v/V4TZ06G6O71SAWM", "DONATA CAIRA")</f>
        <v>DONATA CAIRA</v>
      </c>
      <c r="B12494" s="7" t="str">
        <f>HYPERLINK("https://otsuka-europe-crm.veevavault.com/ui/#object/vcountry__v/VENZ000004SONFQ", "IT")</f>
        <v>IT</v>
      </c>
      <c r="C12494" s="8" t="s">
        <v>44</v>
      </c>
      <c r="D12494" s="9" t="str">
        <f>HYPERLINK("https://otsuka-europe-crm.veevavault.com/ui/#object/approved_document__v/V5O000000018003", "AE dialoghi di tempo fiducia e cura episodi 2-3-4")</f>
        <v>AE dialoghi di tempo fiducia e cura episodi 2-3-4</v>
      </c>
      <c r="E12494" s="10" t="str">
        <f>HYPERLINK("https://otsuka-europe-crm.veevavault.com/ui/#object/sent_email__v/VBL00000002Y002", "SE-001438379")</f>
        <v>SE-001438379</v>
      </c>
      <c r="F12494" s="11"/>
      <c r="G12494" s="12">
        <v>0</v>
      </c>
      <c r="H12494" s="12">
        <v>0</v>
      </c>
      <c r="I12494" s="12">
        <v>0</v>
      </c>
      <c r="J12494" s="11"/>
      <c r="K12494" s="12">
        <v>0</v>
      </c>
      <c r="L12494" s="10" t="str">
        <f>HYPERLINK("https://otsuka-europe-crm.veevavault.com/ui/#object/approved_document__v/V5O000000018003", "AE dialoghi di tempo fiducia e cura episodi 2-3-4")</f>
        <v>AE dialoghi di tempo fiducia e cura episodi 2-3-4</v>
      </c>
      <c r="M12494" s="10" t="str">
        <f>HYPERLINK("mailto:paola.braconi@crm.otsuka-europe.com", "paola.braconi@crm.otsuka-europe.com")</f>
        <v>paola.braconi@crm.otsuka-europe.com</v>
      </c>
      <c r="N12494" s="13">
        <v>46199.335543981484</v>
      </c>
      <c r="O12494" s="14" t="str">
        <f>HYPERLINK("https://otsuka-europe-crm.veevavault.com/ui/#object/email_activity__v/V8C000000041016", "EN-002099726")</f>
        <v>EN-002099726</v>
      </c>
    </row>
    <row r="12495" spans="1:15" ht="32" x14ac:dyDescent="0.2">
      <c r="A12495" s="7" t="str">
        <f>HYPERLINK("https://otsuka-europe-crm.veevavault.com/ui/#object/account__v/V4TZ04ASG6FRBG7", "PIERLUIGI CARDONE")</f>
        <v>PIERLUIGI CARDONE</v>
      </c>
      <c r="B12495" s="7" t="str">
        <f>HYPERLINK("https://otsuka-europe-crm.veevavault.com/ui/#object/vcountry__v/VENZ000004SONFQ", "IT")</f>
        <v>IT</v>
      </c>
      <c r="C12495" s="8" t="s">
        <v>44</v>
      </c>
      <c r="D12495" s="9" t="str">
        <f>HYPERLINK("https://otsuka-europe-crm.veevavault.com/ui/#object/approved_document__v/V5O000000018003", "AE dialoghi di tempo fiducia e cura episodi 2-3-4")</f>
        <v>AE dialoghi di tempo fiducia e cura episodi 2-3-4</v>
      </c>
      <c r="E12495" s="10" t="str">
        <f>HYPERLINK("https://otsuka-europe-crm.veevavault.com/ui/#object/sent_email__v/VBL00000002Y003", "SE-001438380")</f>
        <v>SE-001438380</v>
      </c>
      <c r="F12495" s="11"/>
      <c r="G12495" s="12">
        <v>0</v>
      </c>
      <c r="H12495" s="12">
        <v>0</v>
      </c>
      <c r="I12495" s="12">
        <v>0</v>
      </c>
      <c r="J12495" s="11"/>
      <c r="K12495" s="12">
        <v>0</v>
      </c>
      <c r="L12495" s="10" t="str">
        <f>HYPERLINK("https://otsuka-europe-crm.veevavault.com/ui/#object/approved_document__v/V5O000000018003", "AE dialoghi di tempo fiducia e cura episodi 2-3-4")</f>
        <v>AE dialoghi di tempo fiducia e cura episodi 2-3-4</v>
      </c>
      <c r="M12495" s="10" t="str">
        <f>HYPERLINK("mailto:paola.braconi@crm.otsuka-europe.com", "paola.braconi@crm.otsuka-europe.com")</f>
        <v>paola.braconi@crm.otsuka-europe.com</v>
      </c>
      <c r="N12495" s="13">
        <v>46199.335636574076</v>
      </c>
      <c r="O12495" s="14" t="str">
        <f>HYPERLINK("https://otsuka-europe-crm.veevavault.com/ui/#object/email_activity__v/V8C000000041015", "EN-002099725")</f>
        <v>EN-002099725</v>
      </c>
    </row>
    <row r="12496" spans="1:15" ht="16" x14ac:dyDescent="0.2">
      <c r="A12496" s="17" t="str">
        <f>HYPERLINK("https://otsuka-europe-crm.veevavault.com/ui/#object/account__v/V4TZ06G6O71SB2T", "CLAUDIA COMAZZETTO")</f>
        <v>CLAUDIA COMAZZETTO</v>
      </c>
      <c r="B12496" s="17" t="str">
        <f>HYPERLINK("https://otsuka-europe-crm.veevavault.com/ui/#object/vcountry__v/VENZ000004SONFQ", "IT")</f>
        <v>IT</v>
      </c>
      <c r="C12496" s="20" t="s">
        <v>44</v>
      </c>
      <c r="D12496" s="21" t="str">
        <f>HYPERLINK("https://otsuka-europe-crm.veevavault.com/ui/#object/approved_document__v/V5O00000001H009", "RXULTI_Branded_ DE FILIPPIS aggiornamento_ IT-RXU-2600020")</f>
        <v>RXULTI_Branded_ DE FILIPPIS aggiornamento_ IT-RXU-2600020</v>
      </c>
      <c r="E12496" s="22" t="str">
        <f>HYPERLINK("https://otsuka-europe-crm.veevavault.com/ui/#object/sent_email__v/VBL00000002Y004", "SE-001438381")</f>
        <v>SE-001438381</v>
      </c>
      <c r="F12496" s="23">
        <v>46200.634074074071</v>
      </c>
      <c r="G12496" s="24">
        <v>1</v>
      </c>
      <c r="H12496" s="24">
        <v>1</v>
      </c>
      <c r="I12496" s="24">
        <v>0</v>
      </c>
      <c r="J12496" s="25"/>
      <c r="K12496" s="24">
        <v>0</v>
      </c>
      <c r="L12496" s="22" t="str">
        <f>HYPERLINK("https://otsuka-europe-crm.veevavault.com/ui/#object/approved_document__v/V5O00000001H009", "RXULTI_Branded_ DE FILIPPIS aggiornamento_ IT-RXU-2600020")</f>
        <v>RXULTI_Branded_ DE FILIPPIS aggiornamento_ IT-RXU-2600020</v>
      </c>
      <c r="M12496" s="22" t="str">
        <f>HYPERLINK("mailto:paola.braconi@crm.otsuka-europe.com", "paola.braconi@crm.otsuka-europe.com")</f>
        <v>paola.braconi@crm.otsuka-europe.com</v>
      </c>
      <c r="N12496" s="23">
        <v>46199.336412037039</v>
      </c>
      <c r="O12496" s="14" t="str">
        <f>HYPERLINK("https://otsuka-europe-crm.veevavault.com/ui/#object/email_activity__v/V8C000000041017", "EN-002099727")</f>
        <v>EN-002099727</v>
      </c>
    </row>
    <row r="12497" spans="1:15" ht="16" x14ac:dyDescent="0.2">
      <c r="A12497" s="19"/>
      <c r="B12497" s="19"/>
      <c r="C12497" s="19"/>
      <c r="D12497" s="19"/>
      <c r="E12497" s="19"/>
      <c r="F12497" s="19"/>
      <c r="G12497" s="19"/>
      <c r="H12497" s="19"/>
      <c r="I12497" s="19"/>
      <c r="J12497" s="19"/>
      <c r="K12497" s="19"/>
      <c r="L12497" s="19"/>
      <c r="M12497" s="19"/>
      <c r="N12497" s="19"/>
      <c r="O12497" s="14" t="str">
        <f>HYPERLINK("https://otsuka-europe-crm.veevavault.com/ui/#object/email_activity__v/V8C000000041259", "EN-002100187")</f>
        <v>EN-002100187</v>
      </c>
    </row>
    <row r="12498" spans="1:15" ht="48" x14ac:dyDescent="0.2">
      <c r="A12498" s="7" t="str">
        <f>HYPERLINK("https://otsuka-europe-crm.veevavault.com/ui/#object/account__v/V4TZ06G6O9VMYJB", "FEDERICA FAVILLI")</f>
        <v>FEDERICA FAVILLI</v>
      </c>
      <c r="B12498" s="7" t="str">
        <f>HYPERLINK("https://otsuka-europe-crm.veevavault.com/ui/#object/vcountry__v/VENZ000004SONFQ", "IT")</f>
        <v>IT</v>
      </c>
      <c r="C12498" s="8" t="s">
        <v>44</v>
      </c>
      <c r="D12498" s="9" t="str">
        <f>HYPERLINK("https://otsuka-europe-crm.veevavault.com/ui/#object/approved_document__v/V5O00000001H009", "RXULTI_Branded_ DE FILIPPIS aggiornamento_ IT-RXU-2600020")</f>
        <v>RXULTI_Branded_ DE FILIPPIS aggiornamento_ IT-RXU-2600020</v>
      </c>
      <c r="E12498" s="10" t="str">
        <f>HYPERLINK("https://otsuka-europe-crm.veevavault.com/ui/#object/sent_email__v/VBL00000002Z002", "SE-001438382")</f>
        <v>SE-001438382</v>
      </c>
      <c r="F12498" s="11"/>
      <c r="G12498" s="12">
        <v>0</v>
      </c>
      <c r="H12498" s="12">
        <v>0</v>
      </c>
      <c r="I12498" s="12">
        <v>0</v>
      </c>
      <c r="J12498" s="11"/>
      <c r="K12498" s="12">
        <v>0</v>
      </c>
      <c r="L12498" s="10" t="str">
        <f>HYPERLINK("https://otsuka-europe-crm.veevavault.com/ui/#object/approved_document__v/V5O00000001H009", "RXULTI_Branded_ DE FILIPPIS aggiornamento_ IT-RXU-2600020")</f>
        <v>RXULTI_Branded_ DE FILIPPIS aggiornamento_ IT-RXU-2600020</v>
      </c>
      <c r="M12498" s="10" t="str">
        <f>HYPERLINK("mailto:paola.braconi@crm.otsuka-europe.com", "paola.braconi@crm.otsuka-europe.com")</f>
        <v>paola.braconi@crm.otsuka-europe.com</v>
      </c>
      <c r="N12498" s="13">
        <v>46199.337106481478</v>
      </c>
      <c r="O12498" s="14" t="str">
        <f>HYPERLINK("https://otsuka-europe-crm.veevavault.com/ui/#object/email_activity__v/V8C000000041018", "EN-002099728")</f>
        <v>EN-002099728</v>
      </c>
    </row>
    <row r="12499" spans="1:15" ht="48" x14ac:dyDescent="0.2">
      <c r="A12499" s="7" t="str">
        <f>HYPERLINK("https://otsuka-europe-crm.veevavault.com/ui/#object/account__v/V4T000000012104", "VITTORIA RACHELE FERRI")</f>
        <v>VITTORIA RACHELE FERRI</v>
      </c>
      <c r="B12499" s="7" t="str">
        <f>HYPERLINK("https://otsuka-europe-crm.veevavault.com/ui/#object/vcountry__v/VENZ000004SONFQ", "IT")</f>
        <v>IT</v>
      </c>
      <c r="C12499" s="8" t="s">
        <v>44</v>
      </c>
      <c r="D12499" s="9" t="str">
        <f>HYPERLINK("https://otsuka-europe-crm.veevavault.com/ui/#object/approved_document__v/V5O00000001H009", "RXULTI_Branded_ DE FILIPPIS aggiornamento_ IT-RXU-2600020")</f>
        <v>RXULTI_Branded_ DE FILIPPIS aggiornamento_ IT-RXU-2600020</v>
      </c>
      <c r="E12499" s="10" t="str">
        <f>HYPERLINK("https://otsuka-europe-crm.veevavault.com/ui/#object/sent_email__v/VBL00000002Y005", "SE-001438383")</f>
        <v>SE-001438383</v>
      </c>
      <c r="F12499" s="11"/>
      <c r="G12499" s="12">
        <v>0</v>
      </c>
      <c r="H12499" s="12">
        <v>0</v>
      </c>
      <c r="I12499" s="12">
        <v>0</v>
      </c>
      <c r="J12499" s="11"/>
      <c r="K12499" s="12">
        <v>0</v>
      </c>
      <c r="L12499" s="10" t="str">
        <f>HYPERLINK("https://otsuka-europe-crm.veevavault.com/ui/#object/approved_document__v/V5O00000001H009", "RXULTI_Branded_ DE FILIPPIS aggiornamento_ IT-RXU-2600020")</f>
        <v>RXULTI_Branded_ DE FILIPPIS aggiornamento_ IT-RXU-2600020</v>
      </c>
      <c r="M12499" s="10" t="str">
        <f>HYPERLINK("mailto:paola.braconi@crm.otsuka-europe.com", "paola.braconi@crm.otsuka-europe.com")</f>
        <v>paola.braconi@crm.otsuka-europe.com</v>
      </c>
      <c r="N12499" s="13">
        <v>46199.337210648147</v>
      </c>
      <c r="O12499" s="14" t="str">
        <f>HYPERLINK("https://otsuka-europe-crm.veevavault.com/ui/#object/email_activity__v/V8C000000042020", "EN-002099729")</f>
        <v>EN-002099729</v>
      </c>
    </row>
    <row r="12500" spans="1:15" ht="32" x14ac:dyDescent="0.2">
      <c r="A12500" s="7" t="str">
        <f>HYPERLINK("https://otsuka-europe-crm.veevavault.com/ui/#object/account__v/V4TZ06G6O71TD6W", "GREGORIO VAZ DOMINGUEZ")</f>
        <v>GREGORIO VAZ DOMINGUEZ</v>
      </c>
      <c r="B12500" s="7" t="str">
        <f>HYPERLINK("https://otsuka-europe-crm.veevavault.com/ui/#object/vcountry__v/VENZ000004SONF5", "ES")</f>
        <v>ES</v>
      </c>
      <c r="C12500" s="8" t="s">
        <v>41</v>
      </c>
      <c r="D12500" s="9" t="str">
        <f>HYPERLINK("https://otsuka-europe-crm.veevavault.com/ui/#object/approved_document__v/V5O00000000L011", "Libro IA en psiquiatría")</f>
        <v>Libro IA en psiquiatría</v>
      </c>
      <c r="E12500" s="10" t="str">
        <f>HYPERLINK("https://otsuka-europe-crm.veevavault.com/ui/#object/sent_email__v/VBL00000002Z003", "SE-001438384")</f>
        <v>SE-001438384</v>
      </c>
      <c r="F12500" s="11"/>
      <c r="G12500" s="12">
        <v>0</v>
      </c>
      <c r="H12500" s="12">
        <v>0</v>
      </c>
      <c r="I12500" s="12">
        <v>0</v>
      </c>
      <c r="J12500" s="11"/>
      <c r="K12500" s="12">
        <v>0</v>
      </c>
      <c r="L12500" s="10" t="str">
        <f>HYPERLINK("https://otsuka-europe-crm.veevavault.com/ui/#object/approved_document__v/V5O00000000L011", "Libro IA en psiquiatría")</f>
        <v>Libro IA en psiquiatría</v>
      </c>
      <c r="M12500" s="10" t="str">
        <f>HYPERLINK("mailto:mgravan@crm.otsuka-europe.com", "mgravan@crm.otsuka-europe.com")</f>
        <v>mgravan@crm.otsuka-europe.com</v>
      </c>
      <c r="N12500" s="13">
        <v>46199.337627314817</v>
      </c>
      <c r="O12500" s="14" t="str">
        <f>HYPERLINK("https://otsuka-europe-crm.veevavault.com/ui/#object/email_activity__v/V8C000000042021", "EN-002099731")</f>
        <v>EN-002099731</v>
      </c>
    </row>
    <row r="12501" spans="1:15" ht="16" x14ac:dyDescent="0.2">
      <c r="A12501" s="17" t="str">
        <f>HYPERLINK("https://otsuka-europe-crm.veevavault.com/ui/#object/account__v/V4TZ025E85JSLOL", "MARIA ANGELES QUINTERO LOAIZA")</f>
        <v>MARIA ANGELES QUINTERO LOAIZA</v>
      </c>
      <c r="B12501" s="17" t="str">
        <f>HYPERLINK("https://otsuka-europe-crm.veevavault.com/ui/#object/vcountry__v/VENZ000004SONF5", "ES")</f>
        <v>ES</v>
      </c>
      <c r="C12501" s="20" t="s">
        <v>41</v>
      </c>
      <c r="D12501" s="21" t="str">
        <f>HYPERLINK("https://otsuka-europe-crm.veevavault.com/ui/#object/approved_document__v/V5O00000000L011", "Libro IA en psiquiatría")</f>
        <v>Libro IA en psiquiatría</v>
      </c>
      <c r="E12501" s="22" t="str">
        <f>HYPERLINK("https://otsuka-europe-crm.veevavault.com/ui/#object/sent_email__v/VBL00000002Z004", "SE-001438385")</f>
        <v>SE-001438385</v>
      </c>
      <c r="F12501" s="25"/>
      <c r="G12501" s="24">
        <v>0</v>
      </c>
      <c r="H12501" s="24">
        <v>0</v>
      </c>
      <c r="I12501" s="24">
        <v>0</v>
      </c>
      <c r="J12501" s="25"/>
      <c r="K12501" s="24">
        <v>0</v>
      </c>
      <c r="L12501" s="22" t="str">
        <f>HYPERLINK("https://otsuka-europe-crm.veevavault.com/ui/#object/approved_document__v/V5O00000000L011", "Libro IA en psiquiatría")</f>
        <v>Libro IA en psiquiatría</v>
      </c>
      <c r="M12501" s="22" t="str">
        <f>HYPERLINK("mailto:mgravan@crm.otsuka-europe.com", "mgravan@crm.otsuka-europe.com")</f>
        <v>mgravan@crm.otsuka-europe.com</v>
      </c>
      <c r="N12501" s="23">
        <v>46199.337627314817</v>
      </c>
      <c r="O12501" s="14" t="str">
        <f>HYPERLINK("https://otsuka-europe-crm.veevavault.com/ui/#object/email_activity__v/V8C000000041019", "EN-002099730")</f>
        <v>EN-002099730</v>
      </c>
    </row>
    <row r="12502" spans="1:15" ht="16" x14ac:dyDescent="0.2">
      <c r="A12502" s="19"/>
      <c r="B12502" s="19"/>
      <c r="C12502" s="19"/>
      <c r="D12502" s="19"/>
      <c r="E12502" s="19"/>
      <c r="F12502" s="19"/>
      <c r="G12502" s="19"/>
      <c r="H12502" s="19"/>
      <c r="I12502" s="19"/>
      <c r="J12502" s="19"/>
      <c r="K12502" s="19"/>
      <c r="L12502" s="19"/>
      <c r="M12502" s="19"/>
      <c r="N12502" s="19"/>
      <c r="O12502" s="14" t="str">
        <f>HYPERLINK("https://otsuka-europe-crm.veevavault.com/ui/#object/email_activity__v/V8C000000041025", "EN-002099742")</f>
        <v>EN-002099742</v>
      </c>
    </row>
    <row r="12503" spans="1:15" ht="48" x14ac:dyDescent="0.2">
      <c r="A12503" s="7" t="str">
        <f>HYPERLINK("https://otsuka-europe-crm.veevavault.com/ui/#object/account__v/V4T00000000Z080", "ELENA PROIETTI ROCCHI")</f>
        <v>ELENA PROIETTI ROCCHI</v>
      </c>
      <c r="B12503" s="7" t="str">
        <f t="shared" ref="B12503:B12508" si="914">HYPERLINK("https://otsuka-europe-crm.veevavault.com/ui/#object/vcountry__v/VENZ000004SONFQ", "IT")</f>
        <v>IT</v>
      </c>
      <c r="C12503" s="8" t="s">
        <v>44</v>
      </c>
      <c r="D12503" s="9" t="str">
        <f t="shared" ref="D12503:D12508" si="915">HYPERLINK("https://otsuka-europe-crm.veevavault.com/ui/#object/approved_document__v/V5O00000001H009", "RXULTI_Branded_ DE FILIPPIS aggiornamento_ IT-RXU-2600020")</f>
        <v>RXULTI_Branded_ DE FILIPPIS aggiornamento_ IT-RXU-2600020</v>
      </c>
      <c r="E12503" s="10" t="str">
        <f>HYPERLINK("https://otsuka-europe-crm.veevavault.com/ui/#object/sent_email__v/VBL00000002Z005", "SE-001438386")</f>
        <v>SE-001438386</v>
      </c>
      <c r="F12503" s="11"/>
      <c r="G12503" s="12">
        <v>0</v>
      </c>
      <c r="H12503" s="12">
        <v>0</v>
      </c>
      <c r="I12503" s="12">
        <v>0</v>
      </c>
      <c r="J12503" s="11"/>
      <c r="K12503" s="12">
        <v>0</v>
      </c>
      <c r="L12503" s="10" t="str">
        <f t="shared" ref="L12503:L12508" si="916">HYPERLINK("https://otsuka-europe-crm.veevavault.com/ui/#object/approved_document__v/V5O00000001H009", "RXULTI_Branded_ DE FILIPPIS aggiornamento_ IT-RXU-2600020")</f>
        <v>RXULTI_Branded_ DE FILIPPIS aggiornamento_ IT-RXU-2600020</v>
      </c>
      <c r="M12503" s="10" t="str">
        <f t="shared" ref="M12503:M12508" si="917">HYPERLINK("mailto:paola.braconi@crm.otsuka-europe.com", "paola.braconi@crm.otsuka-europe.com")</f>
        <v>paola.braconi@crm.otsuka-europe.com</v>
      </c>
      <c r="N12503" s="13">
        <v>46199.338159722225</v>
      </c>
      <c r="O12503" s="14" t="str">
        <f>HYPERLINK("https://otsuka-europe-crm.veevavault.com/ui/#object/email_activity__v/V8C000000041020", "EN-002099732")</f>
        <v>EN-002099732</v>
      </c>
    </row>
    <row r="12504" spans="1:15" ht="48" x14ac:dyDescent="0.2">
      <c r="A12504" s="7" t="str">
        <f>HYPERLINK("https://otsuka-europe-crm.veevavault.com/ui/#object/account__v/V4TZ06G6O71S9KC", "MADDALENA ROBIONY")</f>
        <v>MADDALENA ROBIONY</v>
      </c>
      <c r="B12504" s="7" t="str">
        <f t="shared" si="914"/>
        <v>IT</v>
      </c>
      <c r="C12504" s="8" t="s">
        <v>44</v>
      </c>
      <c r="D12504" s="9" t="str">
        <f t="shared" si="915"/>
        <v>RXULTI_Branded_ DE FILIPPIS aggiornamento_ IT-RXU-2600020</v>
      </c>
      <c r="E12504" s="10" t="str">
        <f>HYPERLINK("https://otsuka-europe-crm.veevavault.com/ui/#object/sent_email__v/VBL00000002Z006", "SE-001438387")</f>
        <v>SE-001438387</v>
      </c>
      <c r="F12504" s="11"/>
      <c r="G12504" s="12">
        <v>0</v>
      </c>
      <c r="H12504" s="12">
        <v>0</v>
      </c>
      <c r="I12504" s="12">
        <v>0</v>
      </c>
      <c r="J12504" s="11"/>
      <c r="K12504" s="12">
        <v>0</v>
      </c>
      <c r="L12504" s="10" t="str">
        <f t="shared" si="916"/>
        <v>RXULTI_Branded_ DE FILIPPIS aggiornamento_ IT-RXU-2600020</v>
      </c>
      <c r="M12504" s="10" t="str">
        <f t="shared" si="917"/>
        <v>paola.braconi@crm.otsuka-europe.com</v>
      </c>
      <c r="N12504" s="13">
        <v>46199.33829861111</v>
      </c>
      <c r="O12504" s="14" t="str">
        <f>HYPERLINK("https://otsuka-europe-crm.veevavault.com/ui/#object/email_activity__v/V8C000000041021", "EN-002099733")</f>
        <v>EN-002099733</v>
      </c>
    </row>
    <row r="12505" spans="1:15" ht="48" x14ac:dyDescent="0.2">
      <c r="A12505" s="7" t="str">
        <f>HYPERLINK("https://otsuka-europe-crm.veevavault.com/ui/#object/account__v/V4TZ06G6O71SC40", "CAMILLA ROBONE")</f>
        <v>CAMILLA ROBONE</v>
      </c>
      <c r="B12505" s="7" t="str">
        <f t="shared" si="914"/>
        <v>IT</v>
      </c>
      <c r="C12505" s="8" t="s">
        <v>44</v>
      </c>
      <c r="D12505" s="9" t="str">
        <f t="shared" si="915"/>
        <v>RXULTI_Branded_ DE FILIPPIS aggiornamento_ IT-RXU-2600020</v>
      </c>
      <c r="E12505" s="10" t="str">
        <f>HYPERLINK("https://otsuka-europe-crm.veevavault.com/ui/#object/sent_email__v/VBL00000002Z007", "SE-001438388")</f>
        <v>SE-001438388</v>
      </c>
      <c r="F12505" s="11"/>
      <c r="G12505" s="12">
        <v>0</v>
      </c>
      <c r="H12505" s="12">
        <v>0</v>
      </c>
      <c r="I12505" s="12">
        <v>0</v>
      </c>
      <c r="J12505" s="11"/>
      <c r="K12505" s="12">
        <v>0</v>
      </c>
      <c r="L12505" s="10" t="str">
        <f t="shared" si="916"/>
        <v>RXULTI_Branded_ DE FILIPPIS aggiornamento_ IT-RXU-2600020</v>
      </c>
      <c r="M12505" s="10" t="str">
        <f t="shared" si="917"/>
        <v>paola.braconi@crm.otsuka-europe.com</v>
      </c>
      <c r="N12505" s="13">
        <v>46199.338506944441</v>
      </c>
      <c r="O12505" s="14" t="str">
        <f>HYPERLINK("https://otsuka-europe-crm.veevavault.com/ui/#object/email_activity__v/V8C000000042022", "EN-002099734")</f>
        <v>EN-002099734</v>
      </c>
    </row>
    <row r="12506" spans="1:15" ht="48" x14ac:dyDescent="0.2">
      <c r="A12506" s="7" t="str">
        <f>HYPERLINK("https://otsuka-europe-crm.veevavault.com/ui/#object/account__v/V4TZ06G6O8AHZBU", "ROBERTA CLEMENTE")</f>
        <v>ROBERTA CLEMENTE</v>
      </c>
      <c r="B12506" s="7" t="str">
        <f t="shared" si="914"/>
        <v>IT</v>
      </c>
      <c r="C12506" s="8" t="s">
        <v>44</v>
      </c>
      <c r="D12506" s="9" t="str">
        <f t="shared" si="915"/>
        <v>RXULTI_Branded_ DE FILIPPIS aggiornamento_ IT-RXU-2600020</v>
      </c>
      <c r="E12506" s="10" t="str">
        <f>HYPERLINK("https://otsuka-europe-crm.veevavault.com/ui/#object/sent_email__v/VBL00000002Z008", "SE-001438389")</f>
        <v>SE-001438389</v>
      </c>
      <c r="F12506" s="11"/>
      <c r="G12506" s="12">
        <v>0</v>
      </c>
      <c r="H12506" s="12">
        <v>0</v>
      </c>
      <c r="I12506" s="12">
        <v>0</v>
      </c>
      <c r="J12506" s="11"/>
      <c r="K12506" s="12">
        <v>0</v>
      </c>
      <c r="L12506" s="10" t="str">
        <f t="shared" si="916"/>
        <v>RXULTI_Branded_ DE FILIPPIS aggiornamento_ IT-RXU-2600020</v>
      </c>
      <c r="M12506" s="10" t="str">
        <f t="shared" si="917"/>
        <v>paola.braconi@crm.otsuka-europe.com</v>
      </c>
      <c r="N12506" s="13">
        <v>46199.33861111111</v>
      </c>
      <c r="O12506" s="14" t="str">
        <f>HYPERLINK("https://otsuka-europe-crm.veevavault.com/ui/#object/email_activity__v/V8C000000042023", "EN-002099735")</f>
        <v>EN-002099735</v>
      </c>
    </row>
    <row r="12507" spans="1:15" ht="48" x14ac:dyDescent="0.2">
      <c r="A12507" s="7" t="str">
        <f>HYPERLINK("https://otsuka-europe-crm.veevavault.com/ui/#object/account__v/V4TZ04ASG6OVWQY", "ANDREA STEVEN BARBETTI")</f>
        <v>ANDREA STEVEN BARBETTI</v>
      </c>
      <c r="B12507" s="7" t="str">
        <f t="shared" si="914"/>
        <v>IT</v>
      </c>
      <c r="C12507" s="8" t="s">
        <v>44</v>
      </c>
      <c r="D12507" s="9" t="str">
        <f t="shared" si="915"/>
        <v>RXULTI_Branded_ DE FILIPPIS aggiornamento_ IT-RXU-2600020</v>
      </c>
      <c r="E12507" s="10" t="str">
        <f>HYPERLINK("https://otsuka-europe-crm.veevavault.com/ui/#object/sent_email__v/VBL00000002Y006", "SE-001438390")</f>
        <v>SE-001438390</v>
      </c>
      <c r="F12507" s="11"/>
      <c r="G12507" s="12">
        <v>0</v>
      </c>
      <c r="H12507" s="12">
        <v>0</v>
      </c>
      <c r="I12507" s="12">
        <v>0</v>
      </c>
      <c r="J12507" s="11"/>
      <c r="K12507" s="12">
        <v>0</v>
      </c>
      <c r="L12507" s="10" t="str">
        <f t="shared" si="916"/>
        <v>RXULTI_Branded_ DE FILIPPIS aggiornamento_ IT-RXU-2600020</v>
      </c>
      <c r="M12507" s="10" t="str">
        <f t="shared" si="917"/>
        <v>paola.braconi@crm.otsuka-europe.com</v>
      </c>
      <c r="N12507" s="13">
        <v>46199.338854166665</v>
      </c>
      <c r="O12507" s="14" t="str">
        <f>HYPERLINK("https://otsuka-europe-crm.veevavault.com/ui/#object/email_activity__v/V8C000000041022", "EN-002099736")</f>
        <v>EN-002099736</v>
      </c>
    </row>
    <row r="12508" spans="1:15" ht="48" x14ac:dyDescent="0.2">
      <c r="A12508" s="7" t="str">
        <f>HYPERLINK("https://otsuka-europe-crm.veevavault.com/ui/#object/account__v/V4TZ06G6O71S9SF", "CECILIA FUSCO")</f>
        <v>CECILIA FUSCO</v>
      </c>
      <c r="B12508" s="7" t="str">
        <f t="shared" si="914"/>
        <v>IT</v>
      </c>
      <c r="C12508" s="8" t="s">
        <v>44</v>
      </c>
      <c r="D12508" s="9" t="str">
        <f t="shared" si="915"/>
        <v>RXULTI_Branded_ DE FILIPPIS aggiornamento_ IT-RXU-2600020</v>
      </c>
      <c r="E12508" s="10" t="str">
        <f>HYPERLINK("https://otsuka-europe-crm.veevavault.com/ui/#object/sent_email__v/VBL00000002Z009", "SE-001438391")</f>
        <v>SE-001438391</v>
      </c>
      <c r="F12508" s="11"/>
      <c r="G12508" s="12">
        <v>0</v>
      </c>
      <c r="H12508" s="12">
        <v>0</v>
      </c>
      <c r="I12508" s="12">
        <v>0</v>
      </c>
      <c r="J12508" s="11"/>
      <c r="K12508" s="12">
        <v>0</v>
      </c>
      <c r="L12508" s="10" t="str">
        <f t="shared" si="916"/>
        <v>RXULTI_Branded_ DE FILIPPIS aggiornamento_ IT-RXU-2600020</v>
      </c>
      <c r="M12508" s="10" t="str">
        <f t="shared" si="917"/>
        <v>paola.braconi@crm.otsuka-europe.com</v>
      </c>
      <c r="N12508" s="13">
        <v>46199.33898148148</v>
      </c>
      <c r="O12508" s="14" t="str">
        <f>HYPERLINK("https://otsuka-europe-crm.veevavault.com/ui/#object/email_activity__v/V8C000000041023", "EN-002099737")</f>
        <v>EN-002099737</v>
      </c>
    </row>
    <row r="12509" spans="1:15" ht="16" x14ac:dyDescent="0.2">
      <c r="A12509" s="17" t="str">
        <f>HYPERLINK("https://otsuka-europe-crm.veevavault.com/ui/#object/account__v/V4TZ06G6O71UQRM", "MARIA MEDINA SANCHEZ")</f>
        <v>MARIA MEDINA SANCHEZ</v>
      </c>
      <c r="B12509" s="17" t="str">
        <f>HYPERLINK("https://otsuka-europe-crm.veevavault.com/ui/#object/vcountry__v/VENZ000004SONF5", "ES")</f>
        <v>ES</v>
      </c>
      <c r="C12509" s="20" t="s">
        <v>41</v>
      </c>
      <c r="D12509" s="21" t="str">
        <f>HYPERLINK("https://otsuka-europe-crm.veevavault.com/ui/#object/approved_document__v/V5OZ04ASG4FWKA9", "Documento Autorizaciขn Centro Empleador")</f>
        <v>Documento Autorizaciขn Centro Empleador</v>
      </c>
      <c r="E12509" s="22" t="str">
        <f>HYPERLINK("https://otsuka-europe-crm.veevavault.com/ui/#object/sent_email__v/VBL00000002Y007", "SE-001438392")</f>
        <v>SE-001438392</v>
      </c>
      <c r="F12509" s="23">
        <v>46199.35491898148</v>
      </c>
      <c r="G12509" s="24">
        <v>1</v>
      </c>
      <c r="H12509" s="24">
        <v>2</v>
      </c>
      <c r="I12509" s="24">
        <v>1</v>
      </c>
      <c r="J12509" s="23">
        <v>46199.355104166665</v>
      </c>
      <c r="K12509" s="24">
        <v>1</v>
      </c>
      <c r="L12509" s="22" t="str">
        <f>HYPERLINK("https://otsuka-europe-crm.veevavault.com/ui/#object/approved_document__v/V5OZ04ASG4FWKA9", "Documento Autorizaciขn Centro Empleador")</f>
        <v>Documento Autorizaciขn Centro Empleador</v>
      </c>
      <c r="M12509" s="22" t="str">
        <f>HYPERLINK("mailto:mgravan@crm.otsuka-europe.com", "mgravan@crm.otsuka-europe.com")</f>
        <v>mgravan@crm.otsuka-europe.com</v>
      </c>
      <c r="N12509" s="23">
        <v>46199.354571759257</v>
      </c>
      <c r="O12509" s="14" t="str">
        <f>HYPERLINK("https://otsuka-europe-crm.veevavault.com/ui/#object/email_activity__v/V8C000000041024", "EN-002099739")</f>
        <v>EN-002099739</v>
      </c>
    </row>
    <row r="12510" spans="1:15" ht="16" x14ac:dyDescent="0.2">
      <c r="A12510" s="18"/>
      <c r="B12510" s="18"/>
      <c r="C12510" s="18"/>
      <c r="D12510" s="18"/>
      <c r="E12510" s="18"/>
      <c r="F12510" s="18"/>
      <c r="G12510" s="18"/>
      <c r="H12510" s="18"/>
      <c r="I12510" s="18"/>
      <c r="J12510" s="18"/>
      <c r="K12510" s="18"/>
      <c r="L12510" s="18"/>
      <c r="M12510" s="18"/>
      <c r="N12510" s="18"/>
      <c r="O12510" s="14" t="str">
        <f>HYPERLINK("https://otsuka-europe-crm.veevavault.com/ui/#object/email_activity__v/V8C000000042024", "EN-002099738")</f>
        <v>EN-002099738</v>
      </c>
    </row>
    <row r="12511" spans="1:15" ht="16" x14ac:dyDescent="0.2">
      <c r="A12511" s="18"/>
      <c r="B12511" s="18"/>
      <c r="C12511" s="18"/>
      <c r="D12511" s="18"/>
      <c r="E12511" s="18"/>
      <c r="F12511" s="18"/>
      <c r="G12511" s="18"/>
      <c r="H12511" s="18"/>
      <c r="I12511" s="18"/>
      <c r="J12511" s="18"/>
      <c r="K12511" s="18"/>
      <c r="L12511" s="18"/>
      <c r="M12511" s="18"/>
      <c r="N12511" s="18"/>
      <c r="O12511" s="14" t="str">
        <f>HYPERLINK("https://otsuka-europe-crm.veevavault.com/ui/#object/email_activity__v/V8C000000042025", "EN-002099740")</f>
        <v>EN-002099740</v>
      </c>
    </row>
    <row r="12512" spans="1:15" ht="16" x14ac:dyDescent="0.2">
      <c r="A12512" s="19"/>
      <c r="B12512" s="19"/>
      <c r="C12512" s="19"/>
      <c r="D12512" s="19"/>
      <c r="E12512" s="19"/>
      <c r="F12512" s="19"/>
      <c r="G12512" s="19"/>
      <c r="H12512" s="19"/>
      <c r="I12512" s="19"/>
      <c r="J12512" s="19"/>
      <c r="K12512" s="19"/>
      <c r="L12512" s="19"/>
      <c r="M12512" s="19"/>
      <c r="N12512" s="19"/>
      <c r="O12512" s="14" t="str">
        <f>HYPERLINK("https://otsuka-europe-crm.veevavault.com/ui/#object/email_activity__v/V8C000000042026", "EN-002099741")</f>
        <v>EN-002099741</v>
      </c>
    </row>
    <row r="12513" spans="1:15" ht="16" x14ac:dyDescent="0.2">
      <c r="A12513" s="17" t="str">
        <f>HYPERLINK("https://otsuka-europe-crm.veevavault.com/ui/#object/account__v/V4TZ000006DID2D", "Ea Marianne Bøhm Jepsen")</f>
        <v>Ea Marianne Bøhm Jepsen</v>
      </c>
      <c r="B12513" s="17" t="str">
        <f>HYPERLINK("https://otsuka-europe-crm.veevavault.com/ui/#object/vcountry__v/VENZ000004SONF7", "DK")</f>
        <v>DK</v>
      </c>
      <c r="C12513" s="20" t="s">
        <v>47</v>
      </c>
      <c r="D12513" s="21" t="str">
        <f>HYPERLINK("https://otsuka-europe-crm.veevavault.com/ui/#object/approved_document__v/V5O00000001C017", "DK AM2 VAE Psykosebehandling Apr26 DK-AM2-2600013")</f>
        <v>DK AM2 VAE Psykosebehandling Apr26 DK-AM2-2600013</v>
      </c>
      <c r="E12513" s="22" t="str">
        <f>HYPERLINK("https://otsuka-europe-crm.veevavault.com/ui/#object/sent_email__v/VBL00000002Y008", "SE-001438393")</f>
        <v>SE-001438393</v>
      </c>
      <c r="F12513" s="23">
        <v>46199.518807870372</v>
      </c>
      <c r="G12513" s="24">
        <v>1</v>
      </c>
      <c r="H12513" s="24">
        <v>15</v>
      </c>
      <c r="I12513" s="24">
        <v>1</v>
      </c>
      <c r="J12513" s="23">
        <v>46199.419918981483</v>
      </c>
      <c r="K12513" s="24">
        <v>7</v>
      </c>
      <c r="L12513" s="22" t="str">
        <f>HYPERLINK("https://otsuka-europe-crm.veevavault.com/ui/#object/approved_document__v/V5O00000001C017", "DK AM2 VAE Psykosebehandling Apr26 DK-AM2-2600013")</f>
        <v>DK AM2 VAE Psykosebehandling Apr26 DK-AM2-2600013</v>
      </c>
      <c r="M12513" s="22" t="str">
        <f>HYPERLINK("mailto:anne-sofie.marcher@crm.otsuka-europe.com", "anne-sofie.marcher@crm.otsuka-europe.com")</f>
        <v>anne-sofie.marcher@crm.otsuka-europe.com</v>
      </c>
      <c r="N12513" s="23">
        <v>46199.396990740737</v>
      </c>
      <c r="O12513" s="14" t="str">
        <f>HYPERLINK("https://otsuka-europe-crm.veevavault.com/ui/#object/email_activity__v/V8C000000041026", "EN-002099752")</f>
        <v>EN-002099752</v>
      </c>
    </row>
    <row r="12514" spans="1:15" ht="16" x14ac:dyDescent="0.2">
      <c r="A12514" s="18"/>
      <c r="B12514" s="18"/>
      <c r="C12514" s="18"/>
      <c r="D12514" s="18"/>
      <c r="E12514" s="18"/>
      <c r="F12514" s="18"/>
      <c r="G12514" s="18"/>
      <c r="H12514" s="18"/>
      <c r="I12514" s="18"/>
      <c r="J12514" s="18"/>
      <c r="K12514" s="18"/>
      <c r="L12514" s="18"/>
      <c r="M12514" s="18"/>
      <c r="N12514" s="18"/>
      <c r="O12514" s="14" t="str">
        <f>HYPERLINK("https://otsuka-europe-crm.veevavault.com/ui/#object/email_activity__v/V8C000000041027", "EN-002099753")</f>
        <v>EN-002099753</v>
      </c>
    </row>
    <row r="12515" spans="1:15" ht="16" x14ac:dyDescent="0.2">
      <c r="A12515" s="18"/>
      <c r="B12515" s="18"/>
      <c r="C12515" s="18"/>
      <c r="D12515" s="18"/>
      <c r="E12515" s="18"/>
      <c r="F12515" s="18"/>
      <c r="G12515" s="18"/>
      <c r="H12515" s="18"/>
      <c r="I12515" s="18"/>
      <c r="J12515" s="18"/>
      <c r="K12515" s="18"/>
      <c r="L12515" s="18"/>
      <c r="M12515" s="18"/>
      <c r="N12515" s="18"/>
      <c r="O12515" s="14" t="str">
        <f>HYPERLINK("https://otsuka-europe-crm.veevavault.com/ui/#object/email_activity__v/V8C000000041028", "EN-002099754")</f>
        <v>EN-002099754</v>
      </c>
    </row>
    <row r="12516" spans="1:15" ht="16" x14ac:dyDescent="0.2">
      <c r="A12516" s="18"/>
      <c r="B12516" s="18"/>
      <c r="C12516" s="18"/>
      <c r="D12516" s="18"/>
      <c r="E12516" s="18"/>
      <c r="F12516" s="18"/>
      <c r="G12516" s="18"/>
      <c r="H12516" s="18"/>
      <c r="I12516" s="18"/>
      <c r="J12516" s="18"/>
      <c r="K12516" s="18"/>
      <c r="L12516" s="18"/>
      <c r="M12516" s="18"/>
      <c r="N12516" s="18"/>
      <c r="O12516" s="14" t="str">
        <f>HYPERLINK("https://otsuka-europe-crm.veevavault.com/ui/#object/email_activity__v/V8C000000041029", "EN-002099755")</f>
        <v>EN-002099755</v>
      </c>
    </row>
    <row r="12517" spans="1:15" ht="16" x14ac:dyDescent="0.2">
      <c r="A12517" s="18"/>
      <c r="B12517" s="18"/>
      <c r="C12517" s="18"/>
      <c r="D12517" s="18"/>
      <c r="E12517" s="18"/>
      <c r="F12517" s="18"/>
      <c r="G12517" s="18"/>
      <c r="H12517" s="18"/>
      <c r="I12517" s="18"/>
      <c r="J12517" s="18"/>
      <c r="K12517" s="18"/>
      <c r="L12517" s="18"/>
      <c r="M12517" s="18"/>
      <c r="N12517" s="18"/>
      <c r="O12517" s="14" t="str">
        <f>HYPERLINK("https://otsuka-europe-crm.veevavault.com/ui/#object/email_activity__v/V8C000000041033", "EN-002099769")</f>
        <v>EN-002099769</v>
      </c>
    </row>
    <row r="12518" spans="1:15" ht="16" x14ac:dyDescent="0.2">
      <c r="A12518" s="18"/>
      <c r="B12518" s="18"/>
      <c r="C12518" s="18"/>
      <c r="D12518" s="18"/>
      <c r="E12518" s="18"/>
      <c r="F12518" s="18"/>
      <c r="G12518" s="18"/>
      <c r="H12518" s="18"/>
      <c r="I12518" s="18"/>
      <c r="J12518" s="18"/>
      <c r="K12518" s="18"/>
      <c r="L12518" s="18"/>
      <c r="M12518" s="18"/>
      <c r="N12518" s="18"/>
      <c r="O12518" s="14" t="str">
        <f>HYPERLINK("https://otsuka-europe-crm.veevavault.com/ui/#object/email_activity__v/V8C000000041034", "EN-002099771")</f>
        <v>EN-002099771</v>
      </c>
    </row>
    <row r="12519" spans="1:15" ht="16" x14ac:dyDescent="0.2">
      <c r="A12519" s="18"/>
      <c r="B12519" s="18"/>
      <c r="C12519" s="18"/>
      <c r="D12519" s="18"/>
      <c r="E12519" s="18"/>
      <c r="F12519" s="18"/>
      <c r="G12519" s="18"/>
      <c r="H12519" s="18"/>
      <c r="I12519" s="18"/>
      <c r="J12519" s="18"/>
      <c r="K12519" s="18"/>
      <c r="L12519" s="18"/>
      <c r="M12519" s="18"/>
      <c r="N12519" s="18"/>
      <c r="O12519" s="14" t="str">
        <f>HYPERLINK("https://otsuka-europe-crm.veevavault.com/ui/#object/email_activity__v/V8C000000041036", "EN-002099773")</f>
        <v>EN-002099773</v>
      </c>
    </row>
    <row r="12520" spans="1:15" ht="16" x14ac:dyDescent="0.2">
      <c r="A12520" s="18"/>
      <c r="B12520" s="18"/>
      <c r="C12520" s="18"/>
      <c r="D12520" s="18"/>
      <c r="E12520" s="18"/>
      <c r="F12520" s="18"/>
      <c r="G12520" s="18"/>
      <c r="H12520" s="18"/>
      <c r="I12520" s="18"/>
      <c r="J12520" s="18"/>
      <c r="K12520" s="18"/>
      <c r="L12520" s="18"/>
      <c r="M12520" s="18"/>
      <c r="N12520" s="18"/>
      <c r="O12520" s="14" t="str">
        <f>HYPERLINK("https://otsuka-europe-crm.veevavault.com/ui/#object/email_activity__v/V8C000000041037", "EN-002099774")</f>
        <v>EN-002099774</v>
      </c>
    </row>
    <row r="12521" spans="1:15" ht="16" x14ac:dyDescent="0.2">
      <c r="A12521" s="18"/>
      <c r="B12521" s="18"/>
      <c r="C12521" s="18"/>
      <c r="D12521" s="18"/>
      <c r="E12521" s="18"/>
      <c r="F12521" s="18"/>
      <c r="G12521" s="18"/>
      <c r="H12521" s="18"/>
      <c r="I12521" s="18"/>
      <c r="J12521" s="18"/>
      <c r="K12521" s="18"/>
      <c r="L12521" s="18"/>
      <c r="M12521" s="18"/>
      <c r="N12521" s="18"/>
      <c r="O12521" s="14" t="str">
        <f>HYPERLINK("https://otsuka-europe-crm.veevavault.com/ui/#object/email_activity__v/V8C000000041038", "EN-002099775")</f>
        <v>EN-002099775</v>
      </c>
    </row>
    <row r="12522" spans="1:15" ht="16" x14ac:dyDescent="0.2">
      <c r="A12522" s="18"/>
      <c r="B12522" s="18"/>
      <c r="C12522" s="18"/>
      <c r="D12522" s="18"/>
      <c r="E12522" s="18"/>
      <c r="F12522" s="18"/>
      <c r="G12522" s="18"/>
      <c r="H12522" s="18"/>
      <c r="I12522" s="18"/>
      <c r="J12522" s="18"/>
      <c r="K12522" s="18"/>
      <c r="L12522" s="18"/>
      <c r="M12522" s="18"/>
      <c r="N12522" s="18"/>
      <c r="O12522" s="14" t="str">
        <f>HYPERLINK("https://otsuka-europe-crm.veevavault.com/ui/#object/email_activity__v/V8C000000041184", "EN-002100015")</f>
        <v>EN-002100015</v>
      </c>
    </row>
    <row r="12523" spans="1:15" ht="16" x14ac:dyDescent="0.2">
      <c r="A12523" s="18"/>
      <c r="B12523" s="18"/>
      <c r="C12523" s="18"/>
      <c r="D12523" s="18"/>
      <c r="E12523" s="18"/>
      <c r="F12523" s="18"/>
      <c r="G12523" s="18"/>
      <c r="H12523" s="18"/>
      <c r="I12523" s="18"/>
      <c r="J12523" s="18"/>
      <c r="K12523" s="18"/>
      <c r="L12523" s="18"/>
      <c r="M12523" s="18"/>
      <c r="N12523" s="18"/>
      <c r="O12523" s="14" t="str">
        <f>HYPERLINK("https://otsuka-europe-crm.veevavault.com/ui/#object/email_activity__v/V8C000000041186", "EN-002100018")</f>
        <v>EN-002100018</v>
      </c>
    </row>
    <row r="12524" spans="1:15" ht="16" x14ac:dyDescent="0.2">
      <c r="A12524" s="18"/>
      <c r="B12524" s="18"/>
      <c r="C12524" s="18"/>
      <c r="D12524" s="18"/>
      <c r="E12524" s="18"/>
      <c r="F12524" s="18"/>
      <c r="G12524" s="18"/>
      <c r="H12524" s="18"/>
      <c r="I12524" s="18"/>
      <c r="J12524" s="18"/>
      <c r="K12524" s="18"/>
      <c r="L12524" s="18"/>
      <c r="M12524" s="18"/>
      <c r="N12524" s="18"/>
      <c r="O12524" s="14" t="str">
        <f>HYPERLINK("https://otsuka-europe-crm.veevavault.com/ui/#object/email_activity__v/V8C000000042028", "EN-002099744")</f>
        <v>EN-002099744</v>
      </c>
    </row>
    <row r="12525" spans="1:15" ht="16" x14ac:dyDescent="0.2">
      <c r="A12525" s="18"/>
      <c r="B12525" s="18"/>
      <c r="C12525" s="18"/>
      <c r="D12525" s="18"/>
      <c r="E12525" s="18"/>
      <c r="F12525" s="18"/>
      <c r="G12525" s="18"/>
      <c r="H12525" s="18"/>
      <c r="I12525" s="18"/>
      <c r="J12525" s="18"/>
      <c r="K12525" s="18"/>
      <c r="L12525" s="18"/>
      <c r="M12525" s="18"/>
      <c r="N12525" s="18"/>
      <c r="O12525" s="14" t="str">
        <f>HYPERLINK("https://otsuka-europe-crm.veevavault.com/ui/#object/email_activity__v/V8C000000042032", "EN-002099748")</f>
        <v>EN-002099748</v>
      </c>
    </row>
    <row r="12526" spans="1:15" ht="16" x14ac:dyDescent="0.2">
      <c r="A12526" s="18"/>
      <c r="B12526" s="18"/>
      <c r="C12526" s="18"/>
      <c r="D12526" s="18"/>
      <c r="E12526" s="18"/>
      <c r="F12526" s="18"/>
      <c r="G12526" s="18"/>
      <c r="H12526" s="18"/>
      <c r="I12526" s="18"/>
      <c r="J12526" s="18"/>
      <c r="K12526" s="18"/>
      <c r="L12526" s="18"/>
      <c r="M12526" s="18"/>
      <c r="N12526" s="18"/>
      <c r="O12526" s="14" t="str">
        <f>HYPERLINK("https://otsuka-europe-crm.veevavault.com/ui/#object/email_activity__v/V8C000000042033", "EN-002099749")</f>
        <v>EN-002099749</v>
      </c>
    </row>
    <row r="12527" spans="1:15" ht="16" x14ac:dyDescent="0.2">
      <c r="A12527" s="18"/>
      <c r="B12527" s="18"/>
      <c r="C12527" s="18"/>
      <c r="D12527" s="18"/>
      <c r="E12527" s="18"/>
      <c r="F12527" s="18"/>
      <c r="G12527" s="18"/>
      <c r="H12527" s="18"/>
      <c r="I12527" s="18"/>
      <c r="J12527" s="18"/>
      <c r="K12527" s="18"/>
      <c r="L12527" s="18"/>
      <c r="M12527" s="18"/>
      <c r="N12527" s="18"/>
      <c r="O12527" s="14" t="str">
        <f>HYPERLINK("https://otsuka-europe-crm.veevavault.com/ui/#object/email_activity__v/V8C000000042034", "EN-002099750")</f>
        <v>EN-002099750</v>
      </c>
    </row>
    <row r="12528" spans="1:15" ht="16" x14ac:dyDescent="0.2">
      <c r="A12528" s="18"/>
      <c r="B12528" s="18"/>
      <c r="C12528" s="18"/>
      <c r="D12528" s="18"/>
      <c r="E12528" s="18"/>
      <c r="F12528" s="18"/>
      <c r="G12528" s="18"/>
      <c r="H12528" s="18"/>
      <c r="I12528" s="18"/>
      <c r="J12528" s="18"/>
      <c r="K12528" s="18"/>
      <c r="L12528" s="18"/>
      <c r="M12528" s="18"/>
      <c r="N12528" s="18"/>
      <c r="O12528" s="14" t="str">
        <f>HYPERLINK("https://otsuka-europe-crm.veevavault.com/ui/#object/email_activity__v/V8C000000042035", "EN-002099751")</f>
        <v>EN-002099751</v>
      </c>
    </row>
    <row r="12529" spans="1:15" ht="16" x14ac:dyDescent="0.2">
      <c r="A12529" s="18"/>
      <c r="B12529" s="18"/>
      <c r="C12529" s="18"/>
      <c r="D12529" s="18"/>
      <c r="E12529" s="18"/>
      <c r="F12529" s="18"/>
      <c r="G12529" s="18"/>
      <c r="H12529" s="18"/>
      <c r="I12529" s="18"/>
      <c r="J12529" s="18"/>
      <c r="K12529" s="18"/>
      <c r="L12529" s="18"/>
      <c r="M12529" s="18"/>
      <c r="N12529" s="18"/>
      <c r="O12529" s="14" t="str">
        <f>HYPERLINK("https://otsuka-europe-crm.veevavault.com/ui/#object/email_activity__v/V8C000000042036", "EN-002099756")</f>
        <v>EN-002099756</v>
      </c>
    </row>
    <row r="12530" spans="1:15" ht="16" x14ac:dyDescent="0.2">
      <c r="A12530" s="18"/>
      <c r="B12530" s="18"/>
      <c r="C12530" s="18"/>
      <c r="D12530" s="18"/>
      <c r="E12530" s="18"/>
      <c r="F12530" s="18"/>
      <c r="G12530" s="18"/>
      <c r="H12530" s="18"/>
      <c r="I12530" s="18"/>
      <c r="J12530" s="18"/>
      <c r="K12530" s="18"/>
      <c r="L12530" s="18"/>
      <c r="M12530" s="18"/>
      <c r="N12530" s="18"/>
      <c r="O12530" s="14" t="str">
        <f>HYPERLINK("https://otsuka-europe-crm.veevavault.com/ui/#object/email_activity__v/V8C000000042037", "EN-002099757")</f>
        <v>EN-002099757</v>
      </c>
    </row>
    <row r="12531" spans="1:15" ht="16" x14ac:dyDescent="0.2">
      <c r="A12531" s="18"/>
      <c r="B12531" s="18"/>
      <c r="C12531" s="18"/>
      <c r="D12531" s="18"/>
      <c r="E12531" s="18"/>
      <c r="F12531" s="18"/>
      <c r="G12531" s="18"/>
      <c r="H12531" s="18"/>
      <c r="I12531" s="18"/>
      <c r="J12531" s="18"/>
      <c r="K12531" s="18"/>
      <c r="L12531" s="18"/>
      <c r="M12531" s="18"/>
      <c r="N12531" s="18"/>
      <c r="O12531" s="14" t="str">
        <f>HYPERLINK("https://otsuka-europe-crm.veevavault.com/ui/#object/email_activity__v/V8C000000042038", "EN-002099758")</f>
        <v>EN-002099758</v>
      </c>
    </row>
    <row r="12532" spans="1:15" ht="16" x14ac:dyDescent="0.2">
      <c r="A12532" s="18"/>
      <c r="B12532" s="18"/>
      <c r="C12532" s="18"/>
      <c r="D12532" s="18"/>
      <c r="E12532" s="18"/>
      <c r="F12532" s="18"/>
      <c r="G12532" s="18"/>
      <c r="H12532" s="18"/>
      <c r="I12532" s="18"/>
      <c r="J12532" s="18"/>
      <c r="K12532" s="18"/>
      <c r="L12532" s="18"/>
      <c r="M12532" s="18"/>
      <c r="N12532" s="18"/>
      <c r="O12532" s="14" t="str">
        <f>HYPERLINK("https://otsuka-europe-crm.veevavault.com/ui/#object/email_activity__v/V8C000000042040", "EN-002099762")</f>
        <v>EN-002099762</v>
      </c>
    </row>
    <row r="12533" spans="1:15" ht="16" x14ac:dyDescent="0.2">
      <c r="A12533" s="18"/>
      <c r="B12533" s="18"/>
      <c r="C12533" s="18"/>
      <c r="D12533" s="18"/>
      <c r="E12533" s="18"/>
      <c r="F12533" s="18"/>
      <c r="G12533" s="18"/>
      <c r="H12533" s="18"/>
      <c r="I12533" s="18"/>
      <c r="J12533" s="18"/>
      <c r="K12533" s="18"/>
      <c r="L12533" s="18"/>
      <c r="M12533" s="18"/>
      <c r="N12533" s="18"/>
      <c r="O12533" s="14" t="str">
        <f>HYPERLINK("https://otsuka-europe-crm.veevavault.com/ui/#object/email_activity__v/V8C000000042041", "EN-002099763")</f>
        <v>EN-002099763</v>
      </c>
    </row>
    <row r="12534" spans="1:15" ht="16" x14ac:dyDescent="0.2">
      <c r="A12534" s="18"/>
      <c r="B12534" s="18"/>
      <c r="C12534" s="18"/>
      <c r="D12534" s="18"/>
      <c r="E12534" s="18"/>
      <c r="F12534" s="18"/>
      <c r="G12534" s="18"/>
      <c r="H12534" s="18"/>
      <c r="I12534" s="18"/>
      <c r="J12534" s="18"/>
      <c r="K12534" s="18"/>
      <c r="L12534" s="18"/>
      <c r="M12534" s="18"/>
      <c r="N12534" s="18"/>
      <c r="O12534" s="14" t="str">
        <f>HYPERLINK("https://otsuka-europe-crm.veevavault.com/ui/#object/email_activity__v/V8C000000042045", "EN-002099768")</f>
        <v>EN-002099768</v>
      </c>
    </row>
    <row r="12535" spans="1:15" ht="16" x14ac:dyDescent="0.2">
      <c r="A12535" s="18"/>
      <c r="B12535" s="18"/>
      <c r="C12535" s="18"/>
      <c r="D12535" s="18"/>
      <c r="E12535" s="18"/>
      <c r="F12535" s="18"/>
      <c r="G12535" s="18"/>
      <c r="H12535" s="18"/>
      <c r="I12535" s="18"/>
      <c r="J12535" s="18"/>
      <c r="K12535" s="18"/>
      <c r="L12535" s="18"/>
      <c r="M12535" s="18"/>
      <c r="N12535" s="18"/>
      <c r="O12535" s="14" t="str">
        <f>HYPERLINK("https://otsuka-europe-crm.veevavault.com/ui/#object/email_activity__v/V8C000000042046", "EN-002099770")</f>
        <v>EN-002099770</v>
      </c>
    </row>
    <row r="12536" spans="1:15" ht="16" x14ac:dyDescent="0.2">
      <c r="A12536" s="18"/>
      <c r="B12536" s="18"/>
      <c r="C12536" s="18"/>
      <c r="D12536" s="18"/>
      <c r="E12536" s="18"/>
      <c r="F12536" s="18"/>
      <c r="G12536" s="18"/>
      <c r="H12536" s="18"/>
      <c r="I12536" s="18"/>
      <c r="J12536" s="18"/>
      <c r="K12536" s="18"/>
      <c r="L12536" s="18"/>
      <c r="M12536" s="18"/>
      <c r="N12536" s="18"/>
      <c r="O12536" s="14" t="str">
        <f>HYPERLINK("https://otsuka-europe-crm.veevavault.com/ui/#object/email_activity__v/V8C000000042134", "EN-002100006")</f>
        <v>EN-002100006</v>
      </c>
    </row>
    <row r="12537" spans="1:15" ht="16" x14ac:dyDescent="0.2">
      <c r="A12537" s="19"/>
      <c r="B12537" s="19"/>
      <c r="C12537" s="19"/>
      <c r="D12537" s="19"/>
      <c r="E12537" s="19"/>
      <c r="F12537" s="19"/>
      <c r="G12537" s="19"/>
      <c r="H12537" s="19"/>
      <c r="I12537" s="19"/>
      <c r="J12537" s="19"/>
      <c r="K12537" s="19"/>
      <c r="L12537" s="19"/>
      <c r="M12537" s="19"/>
      <c r="N12537" s="19"/>
      <c r="O12537" s="14" t="str">
        <f>HYPERLINK("https://otsuka-europe-crm.veevavault.com/ui/#object/email_activity__v/V8C000000042141", "EN-002100016")</f>
        <v>EN-002100016</v>
      </c>
    </row>
    <row r="12538" spans="1:15" ht="32" x14ac:dyDescent="0.2">
      <c r="A12538" s="7" t="str">
        <f>HYPERLINK("https://otsuka-europe-crm.veevavault.com/ui/#object/account__v/V4T000000029012", "Sameer Bahal")</f>
        <v>Sameer Bahal</v>
      </c>
      <c r="B12538" s="7" t="str">
        <f>HYPERLINK("https://otsuka-europe-crm.veevavault.com/ui/#object/vcountry__v/VENZ000004SONFK", "GB")</f>
        <v>GB</v>
      </c>
      <c r="C12538" s="8" t="s">
        <v>39</v>
      </c>
      <c r="D12538" s="9" t="str">
        <f>HYPERLINK("https://otsuka-europe-crm.veevavault.com/ui/#object/approved_document__v/V5OZ025E82PXJSL", "Otsuka Privacy Notice - UK (v2)")</f>
        <v>Otsuka Privacy Notice - UK (v2)</v>
      </c>
      <c r="E12538" s="10" t="str">
        <f>HYPERLINK("https://otsuka-europe-crm.veevavault.com/ui/#object/sent_email__v/VBL00000002Z010", "SE-001438394")</f>
        <v>SE-001438394</v>
      </c>
      <c r="F12538" s="11"/>
      <c r="G12538" s="12">
        <v>0</v>
      </c>
      <c r="H12538" s="12">
        <v>0</v>
      </c>
      <c r="I12538" s="12">
        <v>0</v>
      </c>
      <c r="J12538" s="11"/>
      <c r="K12538" s="12">
        <v>0</v>
      </c>
      <c r="L12538" s="10" t="str">
        <f>HYPERLINK("https://otsuka-europe-crm.veevavault.com/ui/#object/approved_document__v/V5OZ025E82PXJSL", "Otsuka Privacy Notice - UK (v2)")</f>
        <v>Otsuka Privacy Notice - UK (v2)</v>
      </c>
      <c r="M12538" s="10" t="str">
        <f>HYPERLINK("mailto:KWood@crm.otsuka-europe.com", "KWood@crm.otsuka-europe.com")</f>
        <v>KWood@crm.otsuka-europe.com</v>
      </c>
      <c r="N12538" s="13">
        <v>46199.414548611108</v>
      </c>
      <c r="O12538" s="14" t="str">
        <f>HYPERLINK("https://otsuka-europe-crm.veevavault.com/ui/#object/email_activity__v/V8C000000042031", "EN-002099747")</f>
        <v>EN-002099747</v>
      </c>
    </row>
    <row r="12539" spans="1:15" ht="16" x14ac:dyDescent="0.2">
      <c r="A12539" s="17" t="str">
        <f>HYPERLINK("https://otsuka-europe-crm.veevavault.com/ui/#object/account__v/V4TZ00000633RFH", "FLORENCE DUVIVIER")</f>
        <v>FLORENCE DUVIVIER</v>
      </c>
      <c r="B12539" s="17" t="str">
        <f>HYPERLINK("https://otsuka-europe-crm.veevavault.com/ui/#object/vcountry__v/VENZ000004SONFA", "FR")</f>
        <v>FR</v>
      </c>
      <c r="C12539" s="20" t="s">
        <v>42</v>
      </c>
      <c r="D12539" s="21" t="str">
        <f>HYPERLINK("https://otsuka-europe-crm.veevavault.com/ui/#object/approved_document__v/V5OZ04ASG4G02Y6", "INVITATION_VAD_2023")</f>
        <v>INVITATION_VAD_2023</v>
      </c>
      <c r="E12539" s="22" t="str">
        <f>HYPERLINK("https://otsuka-europe-crm.veevavault.com/ui/#object/sent_email__v/VBL00000002Z011", "SE-001438395")</f>
        <v>SE-001438395</v>
      </c>
      <c r="F12539" s="25"/>
      <c r="G12539" s="24">
        <v>0</v>
      </c>
      <c r="H12539" s="24">
        <v>0</v>
      </c>
      <c r="I12539" s="24">
        <v>0</v>
      </c>
      <c r="J12539" s="25"/>
      <c r="K12539" s="24">
        <v>0</v>
      </c>
      <c r="L12539" s="22" t="str">
        <f>HYPERLINK("https://otsuka-europe-crm.veevavault.com/ui/#object/approved_document__v/V5OZ04ASG4G02Y6", "INVITATION_VAD_2023")</f>
        <v>INVITATION_VAD_2023</v>
      </c>
      <c r="M12539" s="22" t="str">
        <f>HYPERLINK("mailto:cchevalliermiserole@crm.otsuka-europe.com", "cchevalliermiserole@crm.otsuka-europe.com")</f>
        <v>cchevalliermiserole@crm.otsuka-europe.com</v>
      </c>
      <c r="N12539" s="23">
        <v>46199.420787037037</v>
      </c>
      <c r="O12539" s="14" t="str">
        <f>HYPERLINK("https://otsuka-europe-crm.veevavault.com/ui/#object/email_activity__v/V8C000000041030", "EN-002099759")</f>
        <v>EN-002099759</v>
      </c>
    </row>
    <row r="12540" spans="1:15" ht="16" x14ac:dyDescent="0.2">
      <c r="A12540" s="19"/>
      <c r="B12540" s="19"/>
      <c r="C12540" s="19"/>
      <c r="D12540" s="19"/>
      <c r="E12540" s="19"/>
      <c r="F12540" s="19"/>
      <c r="G12540" s="19"/>
      <c r="H12540" s="19"/>
      <c r="I12540" s="19"/>
      <c r="J12540" s="19"/>
      <c r="K12540" s="19"/>
      <c r="L12540" s="19"/>
      <c r="M12540" s="19"/>
      <c r="N12540" s="19"/>
      <c r="O12540" s="14" t="str">
        <f>HYPERLINK("https://otsuka-europe-crm.veevavault.com/ui/#object/email_activity__v/V8C000000041172", "EN-002099985")</f>
        <v>EN-002099985</v>
      </c>
    </row>
    <row r="12541" spans="1:15" ht="32" x14ac:dyDescent="0.2">
      <c r="A12541" s="7" t="str">
        <f>HYPERLINK("https://otsuka-europe-crm.veevavault.com/ui/#object/account__v/V4TZ00000633V1P", "SOPHIE MAYEUR")</f>
        <v>SOPHIE MAYEUR</v>
      </c>
      <c r="B12541" s="7" t="str">
        <f>HYPERLINK("https://otsuka-europe-crm.veevavault.com/ui/#object/vcountry__v/VENZ000004SONFA", "FR")</f>
        <v>FR</v>
      </c>
      <c r="C12541" s="8" t="s">
        <v>42</v>
      </c>
      <c r="D12541" s="9" t="str">
        <f>HYPERLINK("https://otsuka-europe-crm.veevavault.com/ui/#object/approved_document__v/V5OZ04ASG4G02Y6", "INVITATION_VAD_2023")</f>
        <v>INVITATION_VAD_2023</v>
      </c>
      <c r="E12541" s="10" t="str">
        <f>HYPERLINK("https://otsuka-europe-crm.veevavault.com/ui/#object/sent_email__v/VBL00000002Z012", "SE-001438396")</f>
        <v>SE-001438396</v>
      </c>
      <c r="F12541" s="11"/>
      <c r="G12541" s="12">
        <v>0</v>
      </c>
      <c r="H12541" s="12">
        <v>0</v>
      </c>
      <c r="I12541" s="12">
        <v>0</v>
      </c>
      <c r="J12541" s="11"/>
      <c r="K12541" s="12">
        <v>0</v>
      </c>
      <c r="L12541" s="10" t="str">
        <f>HYPERLINK("https://otsuka-europe-crm.veevavault.com/ui/#object/approved_document__v/V5OZ04ASG4G02Y6", "INVITATION_VAD_2023")</f>
        <v>INVITATION_VAD_2023</v>
      </c>
      <c r="M12541" s="10" t="str">
        <f>HYPERLINK("mailto:cchevalliermiserole@crm.otsuka-europe.com", "cchevalliermiserole@crm.otsuka-europe.com")</f>
        <v>cchevalliermiserole@crm.otsuka-europe.com</v>
      </c>
      <c r="N12541" s="13">
        <v>46199.421493055554</v>
      </c>
      <c r="O12541" s="14" t="str">
        <f>HYPERLINK("https://otsuka-europe-crm.veevavault.com/ui/#object/email_activity__v/V8C000000041031", "EN-002099760")</f>
        <v>EN-002099760</v>
      </c>
    </row>
    <row r="12542" spans="1:15" ht="16" x14ac:dyDescent="0.2">
      <c r="A12542" s="17" t="str">
        <f>HYPERLINK("https://otsuka-europe-crm.veevavault.com/ui/#object/account__v/V4TZ00000633KE1", "ALEXANDRE BOT")</f>
        <v>ALEXANDRE BOT</v>
      </c>
      <c r="B12542" s="17" t="str">
        <f>HYPERLINK("https://otsuka-europe-crm.veevavault.com/ui/#object/vcountry__v/VENZ000004SONFA", "FR")</f>
        <v>FR</v>
      </c>
      <c r="C12542" s="20" t="s">
        <v>42</v>
      </c>
      <c r="D12542" s="21" t="str">
        <f>HYPERLINK("https://otsuka-europe-crm.veevavault.com/ui/#object/approved_document__v/V5OZ04ASG4G02Y6", "INVITATION_VAD_2023")</f>
        <v>INVITATION_VAD_2023</v>
      </c>
      <c r="E12542" s="22" t="str">
        <f>HYPERLINK("https://otsuka-europe-crm.veevavault.com/ui/#object/sent_email__v/VBL00000002Z013", "SE-001438397")</f>
        <v>SE-001438397</v>
      </c>
      <c r="F12542" s="25"/>
      <c r="G12542" s="24">
        <v>0</v>
      </c>
      <c r="H12542" s="24">
        <v>0</v>
      </c>
      <c r="I12542" s="24">
        <v>0</v>
      </c>
      <c r="J12542" s="25"/>
      <c r="K12542" s="24">
        <v>0</v>
      </c>
      <c r="L12542" s="22" t="str">
        <f>HYPERLINK("https://otsuka-europe-crm.veevavault.com/ui/#object/approved_document__v/V5OZ04ASG4G02Y6", "INVITATION_VAD_2023")</f>
        <v>INVITATION_VAD_2023</v>
      </c>
      <c r="M12542" s="22" t="str">
        <f>HYPERLINK("mailto:cchevalliermiserole@crm.otsuka-europe.com", "cchevalliermiserole@crm.otsuka-europe.com")</f>
        <v>cchevalliermiserole@crm.otsuka-europe.com</v>
      </c>
      <c r="N12542" s="23">
        <v>46199.422372685185</v>
      </c>
      <c r="O12542" s="14" t="str">
        <f>HYPERLINK("https://otsuka-europe-crm.veevavault.com/ui/#object/email_activity__v/V8C000000041307", "EN-002100283")</f>
        <v>EN-002100283</v>
      </c>
    </row>
    <row r="12543" spans="1:15" ht="16" x14ac:dyDescent="0.2">
      <c r="A12543" s="18"/>
      <c r="B12543" s="18"/>
      <c r="C12543" s="18"/>
      <c r="D12543" s="18"/>
      <c r="E12543" s="18"/>
      <c r="F12543" s="18"/>
      <c r="G12543" s="18"/>
      <c r="H12543" s="18"/>
      <c r="I12543" s="18"/>
      <c r="J12543" s="18"/>
      <c r="K12543" s="18"/>
      <c r="L12543" s="18"/>
      <c r="M12543" s="18"/>
      <c r="N12543" s="18"/>
      <c r="O12543" s="14" t="str">
        <f>HYPERLINK("https://otsuka-europe-crm.veevavault.com/ui/#object/email_activity__v/V8C000000042039", "EN-002099761")</f>
        <v>EN-002099761</v>
      </c>
    </row>
    <row r="12544" spans="1:15" ht="16" x14ac:dyDescent="0.2">
      <c r="A12544" s="19"/>
      <c r="B12544" s="19"/>
      <c r="C12544" s="19"/>
      <c r="D12544" s="19"/>
      <c r="E12544" s="19"/>
      <c r="F12544" s="19"/>
      <c r="G12544" s="19"/>
      <c r="H12544" s="19"/>
      <c r="I12544" s="19"/>
      <c r="J12544" s="19"/>
      <c r="K12544" s="19"/>
      <c r="L12544" s="19"/>
      <c r="M12544" s="19"/>
      <c r="N12544" s="19"/>
      <c r="O12544" s="14" t="str">
        <f>HYPERLINK("https://otsuka-europe-crm.veevavault.com/ui/#object/email_activity__v/V8C000000042139", "EN-002100013")</f>
        <v>EN-002100013</v>
      </c>
    </row>
    <row r="12545" spans="1:15" ht="16" x14ac:dyDescent="0.2">
      <c r="A12545" s="17" t="str">
        <f>HYPERLINK("https://otsuka-europe-crm.veevavault.com/ui/#object/account__v/V4TZ025E865909G", "MARTA GRANDA VILLANUEVA")</f>
        <v>MARTA GRANDA VILLANUEVA</v>
      </c>
      <c r="B12545" s="17" t="str">
        <f>HYPERLINK("https://otsuka-europe-crm.veevavault.com/ui/#object/vcountry__v/VENZ000004SONF5", "ES")</f>
        <v>ES</v>
      </c>
      <c r="C12545" s="20" t="s">
        <v>41</v>
      </c>
      <c r="D12545" s="21" t="str">
        <f>HYPERLINK("https://otsuka-europe-crm.veevavault.com/ui/#object/approved_document__v/V5OZ04ASG4FWKA9", "Documento Autorizaciขn Centro Empleador")</f>
        <v>Documento Autorizaciขn Centro Empleador</v>
      </c>
      <c r="E12545" s="22" t="str">
        <f>HYPERLINK("https://otsuka-europe-crm.veevavault.com/ui/#object/sent_email__v/VBL00000002Z014", "SE-001438398")</f>
        <v>SE-001438398</v>
      </c>
      <c r="F12545" s="25"/>
      <c r="G12545" s="24">
        <v>0</v>
      </c>
      <c r="H12545" s="24">
        <v>0</v>
      </c>
      <c r="I12545" s="24">
        <v>1</v>
      </c>
      <c r="J12545" s="23">
        <v>46199.441157407404</v>
      </c>
      <c r="K12545" s="24">
        <v>1</v>
      </c>
      <c r="L12545" s="22" t="str">
        <f>HYPERLINK("https://otsuka-europe-crm.veevavault.com/ui/#object/approved_document__v/V5OZ04ASG4FWKA9", "Documento Autorizaciขn Centro Empleador")</f>
        <v>Documento Autorizaciขn Centro Empleador</v>
      </c>
      <c r="M12545" s="22" t="str">
        <f>HYPERLINK("mailto:sdiez@crm.otsuka-europe.com", "sdiez@crm.otsuka-europe.com")</f>
        <v>sdiez@crm.otsuka-europe.com</v>
      </c>
      <c r="N12545" s="23">
        <v>46199.438055555554</v>
      </c>
      <c r="O12545" s="14" t="str">
        <f>HYPERLINK("https://otsuka-europe-crm.veevavault.com/ui/#object/email_activity__v/V8C000000042042", "EN-002099764")</f>
        <v>EN-002099764</v>
      </c>
    </row>
    <row r="12546" spans="1:15" ht="16" x14ac:dyDescent="0.2">
      <c r="A12546" s="18"/>
      <c r="B12546" s="18"/>
      <c r="C12546" s="18"/>
      <c r="D12546" s="18"/>
      <c r="E12546" s="18"/>
      <c r="F12546" s="18"/>
      <c r="G12546" s="18"/>
      <c r="H12546" s="18"/>
      <c r="I12546" s="18"/>
      <c r="J12546" s="18"/>
      <c r="K12546" s="18"/>
      <c r="L12546" s="18"/>
      <c r="M12546" s="18"/>
      <c r="N12546" s="18"/>
      <c r="O12546" s="14" t="str">
        <f>HYPERLINK("https://otsuka-europe-crm.veevavault.com/ui/#object/email_activity__v/V8C000000042043", "EN-002099765")</f>
        <v>EN-002099765</v>
      </c>
    </row>
    <row r="12547" spans="1:15" ht="16" x14ac:dyDescent="0.2">
      <c r="A12547" s="19"/>
      <c r="B12547" s="19"/>
      <c r="C12547" s="19"/>
      <c r="D12547" s="19"/>
      <c r="E12547" s="19"/>
      <c r="F12547" s="19"/>
      <c r="G12547" s="19"/>
      <c r="H12547" s="19"/>
      <c r="I12547" s="19"/>
      <c r="J12547" s="19"/>
      <c r="K12547" s="19"/>
      <c r="L12547" s="19"/>
      <c r="M12547" s="19"/>
      <c r="N12547" s="19"/>
      <c r="O12547" s="14" t="str">
        <f>HYPERLINK("https://otsuka-europe-crm.veevavault.com/ui/#object/email_activity__v/V8C000000042044", "EN-002099766")</f>
        <v>EN-002099766</v>
      </c>
    </row>
    <row r="12548" spans="1:15" ht="48" x14ac:dyDescent="0.2">
      <c r="A12548" s="7" t="str">
        <f>HYPERLINK("https://otsuka-europe-crm.veevavault.com/ui/#object/account__v/V4TZ00000633J8Y", "KAHINA LAMRI")</f>
        <v>KAHINA LAMRI</v>
      </c>
      <c r="B12548" s="7" t="str">
        <f>HYPERLINK("https://otsuka-europe-crm.veevavault.com/ui/#object/vcountry__v/VENZ000004SONFA", "FR")</f>
        <v>FR</v>
      </c>
      <c r="C12548" s="8" t="s">
        <v>42</v>
      </c>
      <c r="D12548" s="9" t="str">
        <f>HYPERLINK("https://otsuka-europe-crm.veevavault.com/ui/#object/approved_document__v/V5OZ025E82HK86R", "Email à fragment trajectoires schizophrénies - FR-CNS-2400018")</f>
        <v>Email à fragment trajectoires schizophrénies - FR-CNS-2400018</v>
      </c>
      <c r="E12548" s="10" t="str">
        <f>HYPERLINK("https://otsuka-europe-crm.veevavault.com/ui/#object/sent_email__v/VBL00000002Y009", "SE-001438399")</f>
        <v>SE-001438399</v>
      </c>
      <c r="F12548" s="11"/>
      <c r="G12548" s="12">
        <v>0</v>
      </c>
      <c r="H12548" s="12">
        <v>0</v>
      </c>
      <c r="I12548" s="12">
        <v>0</v>
      </c>
      <c r="J12548" s="11"/>
      <c r="K12548" s="12">
        <v>0</v>
      </c>
      <c r="L12548" s="10" t="str">
        <f>HYPERLINK("https://otsuka-europe-crm.veevavault.com/ui/#object/approved_document__v/V5OZ025E82HK86R", "Email à fragment trajectoires schizophrénies - FR-CNS-2400018")</f>
        <v>Email à fragment trajectoires schizophrénies - FR-CNS-2400018</v>
      </c>
      <c r="M12548" s="10" t="str">
        <f>HYPERLINK("mailto:mperrin@crm.otsuka-europe.com", "mperrin@crm.otsuka-europe.com")</f>
        <v>mperrin@crm.otsuka-europe.com</v>
      </c>
      <c r="N12548" s="13">
        <v>46199.453738425924</v>
      </c>
      <c r="O12548" s="14" t="str">
        <f>HYPERLINK("https://otsuka-europe-crm.veevavault.com/ui/#object/email_activity__v/V8C000000041035", "EN-002099772")</f>
        <v>EN-002099772</v>
      </c>
    </row>
    <row r="12549" spans="1:15" ht="16" x14ac:dyDescent="0.2">
      <c r="A12549" s="17" t="str">
        <f>HYPERLINK("https://otsuka-europe-crm.veevavault.com/ui/#object/account__v/V4TZ06G6OCENKZD", "DAMIAN EZEQUIEL MARTINES")</f>
        <v>DAMIAN EZEQUIEL MARTINES</v>
      </c>
      <c r="B12549" s="17" t="str">
        <f>HYPERLINK("https://otsuka-europe-crm.veevavault.com/ui/#object/vcountry__v/VENZ000004SONF5", "ES")</f>
        <v>ES</v>
      </c>
      <c r="C12549" s="20" t="s">
        <v>41</v>
      </c>
      <c r="D12549" s="21" t="str">
        <f>HYPERLINK("https://otsuka-europe-crm.veevavault.com/ui/#object/approved_document__v/V5O00000000R009", "AM2M - PSIQUIATRIA - Guía manejo práctico AM2M")</f>
        <v>AM2M - PSIQUIATRIA - Guía manejo práctico AM2M</v>
      </c>
      <c r="E12549" s="22" t="str">
        <f>HYPERLINK("https://otsuka-europe-crm.veevavault.com/ui/#object/sent_email__v/VBL00000002Z015", "SE-001438400")</f>
        <v>SE-001438400</v>
      </c>
      <c r="F12549" s="23">
        <v>46201.947430555556</v>
      </c>
      <c r="G12549" s="24">
        <v>1</v>
      </c>
      <c r="H12549" s="24">
        <v>3</v>
      </c>
      <c r="I12549" s="24">
        <v>0</v>
      </c>
      <c r="J12549" s="25"/>
      <c r="K12549" s="24">
        <v>0</v>
      </c>
      <c r="L12549" s="22" t="str">
        <f>HYPERLINK("https://otsuka-europe-crm.veevavault.com/ui/#object/approved_document__v/V5O00000000R009", "AM2M - PSIQUIATRIA - Guía manejo práctico AM2M")</f>
        <v>AM2M - PSIQUIATRIA - Guía manejo práctico AM2M</v>
      </c>
      <c r="M12549" s="22" t="str">
        <f>HYPERLINK("mailto:jcastro@crm.otsuka-europe.com", "jcastro@crm.otsuka-europe.com")</f>
        <v>jcastro@crm.otsuka-europe.com</v>
      </c>
      <c r="N12549" s="23">
        <v>46199.464513888888</v>
      </c>
      <c r="O12549" s="14" t="str">
        <f>HYPERLINK("https://otsuka-europe-crm.veevavault.com/ui/#object/email_activity__v/V8C000000041041", "EN-002099778")</f>
        <v>EN-002099778</v>
      </c>
    </row>
    <row r="12550" spans="1:15" ht="16" x14ac:dyDescent="0.2">
      <c r="A12550" s="18"/>
      <c r="B12550" s="18"/>
      <c r="C12550" s="18"/>
      <c r="D12550" s="18"/>
      <c r="E12550" s="18"/>
      <c r="F12550" s="18"/>
      <c r="G12550" s="18"/>
      <c r="H12550" s="18"/>
      <c r="I12550" s="18"/>
      <c r="J12550" s="18"/>
      <c r="K12550" s="18"/>
      <c r="L12550" s="18"/>
      <c r="M12550" s="18"/>
      <c r="N12550" s="18"/>
      <c r="O12550" s="14" t="str">
        <f>HYPERLINK("https://otsuka-europe-crm.veevavault.com/ui/#object/email_activity__v/V8C000000041253", "EN-002100177")</f>
        <v>EN-002100177</v>
      </c>
    </row>
    <row r="12551" spans="1:15" ht="16" x14ac:dyDescent="0.2">
      <c r="A12551" s="18"/>
      <c r="B12551" s="18"/>
      <c r="C12551" s="18"/>
      <c r="D12551" s="18"/>
      <c r="E12551" s="18"/>
      <c r="F12551" s="18"/>
      <c r="G12551" s="18"/>
      <c r="H12551" s="18"/>
      <c r="I12551" s="18"/>
      <c r="J12551" s="18"/>
      <c r="K12551" s="18"/>
      <c r="L12551" s="18"/>
      <c r="M12551" s="18"/>
      <c r="N12551" s="18"/>
      <c r="O12551" s="14" t="str">
        <f>HYPERLINK("https://otsuka-europe-crm.veevavault.com/ui/#object/email_activity__v/V8C000000042115", "EN-002099973")</f>
        <v>EN-002099973</v>
      </c>
    </row>
    <row r="12552" spans="1:15" ht="16" x14ac:dyDescent="0.2">
      <c r="A12552" s="18"/>
      <c r="B12552" s="18"/>
      <c r="C12552" s="18"/>
      <c r="D12552" s="18"/>
      <c r="E12552" s="18"/>
      <c r="F12552" s="18"/>
      <c r="G12552" s="18"/>
      <c r="H12552" s="18"/>
      <c r="I12552" s="18"/>
      <c r="J12552" s="18"/>
      <c r="K12552" s="18"/>
      <c r="L12552" s="18"/>
      <c r="M12552" s="18"/>
      <c r="N12552" s="18"/>
      <c r="O12552" s="14" t="str">
        <f>HYPERLINK("https://otsuka-europe-crm.veevavault.com/ui/#object/email_activity__v/V8C000000042212", "EN-002100140")</f>
        <v>EN-002100140</v>
      </c>
    </row>
    <row r="12553" spans="1:15" ht="16" x14ac:dyDescent="0.2">
      <c r="A12553" s="19"/>
      <c r="B12553" s="19"/>
      <c r="C12553" s="19"/>
      <c r="D12553" s="19"/>
      <c r="E12553" s="19"/>
      <c r="F12553" s="19"/>
      <c r="G12553" s="19"/>
      <c r="H12553" s="19"/>
      <c r="I12553" s="19"/>
      <c r="J12553" s="19"/>
      <c r="K12553" s="19"/>
      <c r="L12553" s="19"/>
      <c r="M12553" s="19"/>
      <c r="N12553" s="19"/>
      <c r="O12553" s="14" t="str">
        <f>HYPERLINK("https://otsuka-europe-crm.veevavault.com/ui/#object/email_activity__v/V8C000000042285", "EN-002100274")</f>
        <v>EN-002100274</v>
      </c>
    </row>
    <row r="12554" spans="1:15" ht="48" x14ac:dyDescent="0.2">
      <c r="A12554" s="7" t="str">
        <f>HYPERLINK("https://otsuka-europe-crm.veevavault.com/ui/#object/account__v/V4TZ06G6O71TAJW", "PEDRO LUIS IBAÑEZ ALLERA")</f>
        <v>PEDRO LUIS IBAÑEZ ALLERA</v>
      </c>
      <c r="B12554" s="7" t="str">
        <f>HYPERLINK("https://otsuka-europe-crm.veevavault.com/ui/#object/vcountry__v/VENZ000004SONF5", "ES")</f>
        <v>ES</v>
      </c>
      <c r="C12554" s="8" t="s">
        <v>41</v>
      </c>
      <c r="D12554" s="9" t="str">
        <f>HYPERLINK("https://otsuka-europe-crm.veevavault.com/ui/#object/approved_document__v/V5O00000000R009", "AM2M - PSIQUIATRIA - Guía manejo práctico AM2M")</f>
        <v>AM2M - PSIQUIATRIA - Guía manejo práctico AM2M</v>
      </c>
      <c r="E12554" s="10" t="str">
        <f>HYPERLINK("https://otsuka-europe-crm.veevavault.com/ui/#object/sent_email__v/VBL00000002Z016", "SE-001438401")</f>
        <v>SE-001438401</v>
      </c>
      <c r="F12554" s="11"/>
      <c r="G12554" s="12">
        <v>0</v>
      </c>
      <c r="H12554" s="12">
        <v>0</v>
      </c>
      <c r="I12554" s="12">
        <v>0</v>
      </c>
      <c r="J12554" s="11"/>
      <c r="K12554" s="12">
        <v>0</v>
      </c>
      <c r="L12554" s="10" t="str">
        <f>HYPERLINK("https://otsuka-europe-crm.veevavault.com/ui/#object/approved_document__v/V5O00000000R009", "AM2M - PSIQUIATRIA - Guía manejo práctico AM2M")</f>
        <v>AM2M - PSIQUIATRIA - Guía manejo práctico AM2M</v>
      </c>
      <c r="M12554" s="10" t="str">
        <f>HYPERLINK("mailto:jcastro@crm.otsuka-europe.com", "jcastro@crm.otsuka-europe.com")</f>
        <v>jcastro@crm.otsuka-europe.com</v>
      </c>
      <c r="N12554" s="13">
        <v>46199.464513888888</v>
      </c>
      <c r="O12554" s="14" t="str">
        <f>HYPERLINK("https://otsuka-europe-crm.veevavault.com/ui/#object/email_activity__v/V8C000000042081", "EN-002099863")</f>
        <v>EN-002099863</v>
      </c>
    </row>
    <row r="12555" spans="1:15" ht="16" x14ac:dyDescent="0.2">
      <c r="A12555" s="17" t="str">
        <f>HYPERLINK("https://otsuka-europe-crm.veevavault.com/ui/#object/account__v/V4TZ06G6O71T7N4", "JOSE MIGUEL MECA GARCIA")</f>
        <v>JOSE MIGUEL MECA GARCIA</v>
      </c>
      <c r="B12555" s="17" t="str">
        <f>HYPERLINK("https://otsuka-europe-crm.veevavault.com/ui/#object/vcountry__v/VENZ000004SONF5", "ES")</f>
        <v>ES</v>
      </c>
      <c r="C12555" s="20" t="s">
        <v>41</v>
      </c>
      <c r="D12555" s="21" t="str">
        <f>HYPERLINK("https://otsuka-europe-crm.veevavault.com/ui/#object/approved_document__v/V5O00000000R009", "AM2M - PSIQUIATRIA - Guía manejo práctico AM2M")</f>
        <v>AM2M - PSIQUIATRIA - Guía manejo práctico AM2M</v>
      </c>
      <c r="E12555" s="22" t="str">
        <f>HYPERLINK("https://otsuka-europe-crm.veevavault.com/ui/#object/sent_email__v/VBL00000002Z017", "SE-001438402")</f>
        <v>SE-001438402</v>
      </c>
      <c r="F12555" s="25"/>
      <c r="G12555" s="24">
        <v>0</v>
      </c>
      <c r="H12555" s="24">
        <v>0</v>
      </c>
      <c r="I12555" s="24">
        <v>0</v>
      </c>
      <c r="J12555" s="25"/>
      <c r="K12555" s="24">
        <v>0</v>
      </c>
      <c r="L12555" s="22" t="str">
        <f>HYPERLINK("https://otsuka-europe-crm.veevavault.com/ui/#object/approved_document__v/V5O00000000R009", "AM2M - PSIQUIATRIA - Guía manejo práctico AM2M")</f>
        <v>AM2M - PSIQUIATRIA - Guía manejo práctico AM2M</v>
      </c>
      <c r="M12555" s="22" t="str">
        <f>HYPERLINK("mailto:jcastro@crm.otsuka-europe.com", "jcastro@crm.otsuka-europe.com")</f>
        <v>jcastro@crm.otsuka-europe.com</v>
      </c>
      <c r="N12555" s="23">
        <v>46199.464513888888</v>
      </c>
      <c r="O12555" s="14" t="str">
        <f>HYPERLINK("https://otsuka-europe-crm.veevavault.com/ui/#object/email_activity__v/V8C000000041055", "EN-002099792")</f>
        <v>EN-002099792</v>
      </c>
    </row>
    <row r="12556" spans="1:15" ht="16" x14ac:dyDescent="0.2">
      <c r="A12556" s="19"/>
      <c r="B12556" s="19"/>
      <c r="C12556" s="19"/>
      <c r="D12556" s="19"/>
      <c r="E12556" s="19"/>
      <c r="F12556" s="19"/>
      <c r="G12556" s="19"/>
      <c r="H12556" s="19"/>
      <c r="I12556" s="19"/>
      <c r="J12556" s="19"/>
      <c r="K12556" s="19"/>
      <c r="L12556" s="19"/>
      <c r="M12556" s="19"/>
      <c r="N12556" s="19"/>
      <c r="O12556" s="14" t="str">
        <f>HYPERLINK("https://otsuka-europe-crm.veevavault.com/ui/#object/email_activity__v/V8C000000041247", "EN-002100166")</f>
        <v>EN-002100166</v>
      </c>
    </row>
    <row r="12557" spans="1:15" ht="48" x14ac:dyDescent="0.2">
      <c r="A12557" s="7" t="str">
        <f>HYPERLINK("https://otsuka-europe-crm.veevavault.com/ui/#object/account__v/V4TZ06G6O71T7V3", "MANUEL LOPEZ ARROYO")</f>
        <v>MANUEL LOPEZ ARROYO</v>
      </c>
      <c r="B12557" s="7" t="str">
        <f>HYPERLINK("https://otsuka-europe-crm.veevavault.com/ui/#object/vcountry__v/VENZ000004SONF5", "ES")</f>
        <v>ES</v>
      </c>
      <c r="C12557" s="8" t="s">
        <v>41</v>
      </c>
      <c r="D12557" s="9" t="str">
        <f>HYPERLINK("https://otsuka-europe-crm.veevavault.com/ui/#object/approved_document__v/V5O00000000R009", "AM2M - PSIQUIATRIA - Guía manejo práctico AM2M")</f>
        <v>AM2M - PSIQUIATRIA - Guía manejo práctico AM2M</v>
      </c>
      <c r="E12557" s="10" t="str">
        <f>HYPERLINK("https://otsuka-europe-crm.veevavault.com/ui/#object/sent_email__v/VBL00000002Z018", "SE-001438403")</f>
        <v>SE-001438403</v>
      </c>
      <c r="F12557" s="11"/>
      <c r="G12557" s="12">
        <v>0</v>
      </c>
      <c r="H12557" s="12">
        <v>0</v>
      </c>
      <c r="I12557" s="12">
        <v>0</v>
      </c>
      <c r="J12557" s="11"/>
      <c r="K12557" s="12">
        <v>0</v>
      </c>
      <c r="L12557" s="10" t="str">
        <f>HYPERLINK("https://otsuka-europe-crm.veevavault.com/ui/#object/approved_document__v/V5O00000000R009", "AM2M - PSIQUIATRIA - Guía manejo práctico AM2M")</f>
        <v>AM2M - PSIQUIATRIA - Guía manejo práctico AM2M</v>
      </c>
      <c r="M12557" s="10" t="str">
        <f>HYPERLINK("mailto:jcastro@crm.otsuka-europe.com", "jcastro@crm.otsuka-europe.com")</f>
        <v>jcastro@crm.otsuka-europe.com</v>
      </c>
      <c r="N12557" s="13">
        <v>46199.464513888888</v>
      </c>
      <c r="O12557" s="14" t="str">
        <f>HYPERLINK("https://otsuka-europe-crm.veevavault.com/ui/#object/email_activity__v/V8C000000041039", "EN-002099776")</f>
        <v>EN-002099776</v>
      </c>
    </row>
    <row r="12558" spans="1:15" ht="16" x14ac:dyDescent="0.2">
      <c r="A12558" s="17" t="str">
        <f>HYPERLINK("https://otsuka-europe-crm.veevavault.com/ui/#object/account__v/V4TZ06G6O71TAS0", "MANUEL LOPEZ PEREZ")</f>
        <v>MANUEL LOPEZ PEREZ</v>
      </c>
      <c r="B12558" s="17" t="str">
        <f>HYPERLINK("https://otsuka-europe-crm.veevavault.com/ui/#object/vcountry__v/VENZ000004SONF5", "ES")</f>
        <v>ES</v>
      </c>
      <c r="C12558" s="20" t="s">
        <v>41</v>
      </c>
      <c r="D12558" s="21" t="str">
        <f>HYPERLINK("https://otsuka-europe-crm.veevavault.com/ui/#object/approved_document__v/V5O00000000R009", "AM2M - PSIQUIATRIA - Guía manejo práctico AM2M")</f>
        <v>AM2M - PSIQUIATRIA - Guía manejo práctico AM2M</v>
      </c>
      <c r="E12558" s="22" t="str">
        <f>HYPERLINK("https://otsuka-europe-crm.veevavault.com/ui/#object/sent_email__v/VBL00000002Z019", "SE-001438404")</f>
        <v>SE-001438404</v>
      </c>
      <c r="F12558" s="23">
        <v>46202.346053240741</v>
      </c>
      <c r="G12558" s="24">
        <v>1</v>
      </c>
      <c r="H12558" s="24">
        <v>4</v>
      </c>
      <c r="I12558" s="24">
        <v>1</v>
      </c>
      <c r="J12558" s="23">
        <v>46199.546585648146</v>
      </c>
      <c r="K12558" s="24">
        <v>1</v>
      </c>
      <c r="L12558" s="22" t="str">
        <f>HYPERLINK("https://otsuka-europe-crm.veevavault.com/ui/#object/approved_document__v/V5O00000000R009", "AM2M - PSIQUIATRIA - Guía manejo práctico AM2M")</f>
        <v>AM2M - PSIQUIATRIA - Guía manejo práctico AM2M</v>
      </c>
      <c r="M12558" s="22" t="str">
        <f>HYPERLINK("mailto:jcastro@crm.otsuka-europe.com", "jcastro@crm.otsuka-europe.com")</f>
        <v>jcastro@crm.otsuka-europe.com</v>
      </c>
      <c r="N12558" s="23">
        <v>46199.464513888888</v>
      </c>
      <c r="O12558" s="14" t="str">
        <f>HYPERLINK("https://otsuka-europe-crm.veevavault.com/ui/#object/email_activity__v/V8C000000041192", "EN-002100040")</f>
        <v>EN-002100040</v>
      </c>
    </row>
    <row r="12559" spans="1:15" ht="16" x14ac:dyDescent="0.2">
      <c r="A12559" s="18"/>
      <c r="B12559" s="18"/>
      <c r="C12559" s="18"/>
      <c r="D12559" s="18"/>
      <c r="E12559" s="18"/>
      <c r="F12559" s="18"/>
      <c r="G12559" s="18"/>
      <c r="H12559" s="18"/>
      <c r="I12559" s="18"/>
      <c r="J12559" s="18"/>
      <c r="K12559" s="18"/>
      <c r="L12559" s="18"/>
      <c r="M12559" s="18"/>
      <c r="N12559" s="18"/>
      <c r="O12559" s="14" t="str">
        <f>HYPERLINK("https://otsuka-europe-crm.veevavault.com/ui/#object/email_activity__v/V8C000000041193", "EN-002100041")</f>
        <v>EN-002100041</v>
      </c>
    </row>
    <row r="12560" spans="1:15" ht="16" x14ac:dyDescent="0.2">
      <c r="A12560" s="18"/>
      <c r="B12560" s="18"/>
      <c r="C12560" s="18"/>
      <c r="D12560" s="18"/>
      <c r="E12560" s="18"/>
      <c r="F12560" s="18"/>
      <c r="G12560" s="18"/>
      <c r="H12560" s="18"/>
      <c r="I12560" s="18"/>
      <c r="J12560" s="18"/>
      <c r="K12560" s="18"/>
      <c r="L12560" s="18"/>
      <c r="M12560" s="18"/>
      <c r="N12560" s="18"/>
      <c r="O12560" s="14" t="str">
        <f>HYPERLINK("https://otsuka-europe-crm.veevavault.com/ui/#object/email_activity__v/V8C000000042059", "EN-002099831")</f>
        <v>EN-002099831</v>
      </c>
    </row>
    <row r="12561" spans="1:15" ht="16" x14ac:dyDescent="0.2">
      <c r="A12561" s="18"/>
      <c r="B12561" s="18"/>
      <c r="C12561" s="18"/>
      <c r="D12561" s="18"/>
      <c r="E12561" s="18"/>
      <c r="F12561" s="18"/>
      <c r="G12561" s="18"/>
      <c r="H12561" s="18"/>
      <c r="I12561" s="18"/>
      <c r="J12561" s="18"/>
      <c r="K12561" s="18"/>
      <c r="L12561" s="18"/>
      <c r="M12561" s="18"/>
      <c r="N12561" s="18"/>
      <c r="O12561" s="14" t="str">
        <f>HYPERLINK("https://otsuka-europe-crm.veevavault.com/ui/#object/email_activity__v/V8C000000042126", "EN-002099996")</f>
        <v>EN-002099996</v>
      </c>
    </row>
    <row r="12562" spans="1:15" ht="16" x14ac:dyDescent="0.2">
      <c r="A12562" s="18"/>
      <c r="B12562" s="18"/>
      <c r="C12562" s="18"/>
      <c r="D12562" s="18"/>
      <c r="E12562" s="18"/>
      <c r="F12562" s="18"/>
      <c r="G12562" s="18"/>
      <c r="H12562" s="18"/>
      <c r="I12562" s="18"/>
      <c r="J12562" s="18"/>
      <c r="K12562" s="18"/>
      <c r="L12562" s="18"/>
      <c r="M12562" s="18"/>
      <c r="N12562" s="18"/>
      <c r="O12562" s="14" t="str">
        <f>HYPERLINK("https://otsuka-europe-crm.veevavault.com/ui/#object/email_activity__v/V8C000000042155", "EN-002100037")</f>
        <v>EN-002100037</v>
      </c>
    </row>
    <row r="12563" spans="1:15" ht="16" x14ac:dyDescent="0.2">
      <c r="A12563" s="18"/>
      <c r="B12563" s="18"/>
      <c r="C12563" s="18"/>
      <c r="D12563" s="18"/>
      <c r="E12563" s="18"/>
      <c r="F12563" s="18"/>
      <c r="G12563" s="18"/>
      <c r="H12563" s="18"/>
      <c r="I12563" s="18"/>
      <c r="J12563" s="18"/>
      <c r="K12563" s="18"/>
      <c r="L12563" s="18"/>
      <c r="M12563" s="18"/>
      <c r="N12563" s="18"/>
      <c r="O12563" s="14" t="str">
        <f>HYPERLINK("https://otsuka-europe-crm.veevavault.com/ui/#object/email_activity__v/V8C000000042156", "EN-002100038")</f>
        <v>EN-002100038</v>
      </c>
    </row>
    <row r="12564" spans="1:15" ht="16" x14ac:dyDescent="0.2">
      <c r="A12564" s="18"/>
      <c r="B12564" s="18"/>
      <c r="C12564" s="18"/>
      <c r="D12564" s="18"/>
      <c r="E12564" s="18"/>
      <c r="F12564" s="18"/>
      <c r="G12564" s="18"/>
      <c r="H12564" s="18"/>
      <c r="I12564" s="18"/>
      <c r="J12564" s="18"/>
      <c r="K12564" s="18"/>
      <c r="L12564" s="18"/>
      <c r="M12564" s="18"/>
      <c r="N12564" s="18"/>
      <c r="O12564" s="14" t="str">
        <f>HYPERLINK("https://otsuka-europe-crm.veevavault.com/ui/#object/email_activity__v/V8C000000042157", "EN-002100039")</f>
        <v>EN-002100039</v>
      </c>
    </row>
    <row r="12565" spans="1:15" ht="16" x14ac:dyDescent="0.2">
      <c r="A12565" s="19"/>
      <c r="B12565" s="19"/>
      <c r="C12565" s="19"/>
      <c r="D12565" s="19"/>
      <c r="E12565" s="19"/>
      <c r="F12565" s="19"/>
      <c r="G12565" s="19"/>
      <c r="H12565" s="19"/>
      <c r="I12565" s="19"/>
      <c r="J12565" s="19"/>
      <c r="K12565" s="19"/>
      <c r="L12565" s="19"/>
      <c r="M12565" s="19"/>
      <c r="N12565" s="19"/>
      <c r="O12565" s="14" t="str">
        <f>HYPERLINK("https://otsuka-europe-crm.veevavault.com/ui/#object/email_activity__v/V8C000000042294", "EN-002100291")</f>
        <v>EN-002100291</v>
      </c>
    </row>
    <row r="12566" spans="1:15" ht="16" x14ac:dyDescent="0.2">
      <c r="A12566" s="17" t="str">
        <f>HYPERLINK("https://otsuka-europe-crm.veevavault.com/ui/#object/account__v/V4TZ06G6O71T8JG", "OSCAR HERREROS RODRIGUEZ")</f>
        <v>OSCAR HERREROS RODRIGUEZ</v>
      </c>
      <c r="B12566" s="17" t="str">
        <f>HYPERLINK("https://otsuka-europe-crm.veevavault.com/ui/#object/vcountry__v/VENZ000004SONF5", "ES")</f>
        <v>ES</v>
      </c>
      <c r="C12566" s="20" t="s">
        <v>41</v>
      </c>
      <c r="D12566" s="21" t="str">
        <f>HYPERLINK("https://otsuka-europe-crm.veevavault.com/ui/#object/approved_document__v/V5O00000000R009", "AM2M - PSIQUIATRIA - Guía manejo práctico AM2M")</f>
        <v>AM2M - PSIQUIATRIA - Guía manejo práctico AM2M</v>
      </c>
      <c r="E12566" s="22" t="str">
        <f>HYPERLINK("https://otsuka-europe-crm.veevavault.com/ui/#object/sent_email__v/VBL00000002Z020", "SE-001438405")</f>
        <v>SE-001438405</v>
      </c>
      <c r="F12566" s="23">
        <v>46199.747453703705</v>
      </c>
      <c r="G12566" s="24">
        <v>1</v>
      </c>
      <c r="H12566" s="24">
        <v>1</v>
      </c>
      <c r="I12566" s="24">
        <v>0</v>
      </c>
      <c r="J12566" s="25"/>
      <c r="K12566" s="24">
        <v>0</v>
      </c>
      <c r="L12566" s="22" t="str">
        <f>HYPERLINK("https://otsuka-europe-crm.veevavault.com/ui/#object/approved_document__v/V5O00000000R009", "AM2M - PSIQUIATRIA - Guía manejo práctico AM2M")</f>
        <v>AM2M - PSIQUIATRIA - Guía manejo práctico AM2M</v>
      </c>
      <c r="M12566" s="22" t="str">
        <f>HYPERLINK("mailto:jcastro@crm.otsuka-europe.com", "jcastro@crm.otsuka-europe.com")</f>
        <v>jcastro@crm.otsuka-europe.com</v>
      </c>
      <c r="N12566" s="23">
        <v>46199.464560185188</v>
      </c>
      <c r="O12566" s="14" t="str">
        <f>HYPERLINK("https://otsuka-europe-crm.veevavault.com/ui/#object/email_activity__v/V8C000000041235", "EN-002100133")</f>
        <v>EN-002100133</v>
      </c>
    </row>
    <row r="12567" spans="1:15" ht="16" x14ac:dyDescent="0.2">
      <c r="A12567" s="18"/>
      <c r="B12567" s="18"/>
      <c r="C12567" s="18"/>
      <c r="D12567" s="18"/>
      <c r="E12567" s="18"/>
      <c r="F12567" s="18"/>
      <c r="G12567" s="18"/>
      <c r="H12567" s="18"/>
      <c r="I12567" s="18"/>
      <c r="J12567" s="18"/>
      <c r="K12567" s="18"/>
      <c r="L12567" s="18"/>
      <c r="M12567" s="18"/>
      <c r="N12567" s="18"/>
      <c r="O12567" s="14" t="str">
        <f>HYPERLINK("https://otsuka-europe-crm.veevavault.com/ui/#object/email_activity__v/V8C000000042062", "EN-002099834")</f>
        <v>EN-002099834</v>
      </c>
    </row>
    <row r="12568" spans="1:15" ht="16" x14ac:dyDescent="0.2">
      <c r="A12568" s="18"/>
      <c r="B12568" s="18"/>
      <c r="C12568" s="18"/>
      <c r="D12568" s="18"/>
      <c r="E12568" s="18"/>
      <c r="F12568" s="18"/>
      <c r="G12568" s="18"/>
      <c r="H12568" s="18"/>
      <c r="I12568" s="18"/>
      <c r="J12568" s="18"/>
      <c r="K12568" s="18"/>
      <c r="L12568" s="18"/>
      <c r="M12568" s="18"/>
      <c r="N12568" s="18"/>
      <c r="O12568" s="14" t="str">
        <f>HYPERLINK("https://otsuka-europe-crm.veevavault.com/ui/#object/email_activity__v/V8C000000042226", "EN-002100163")</f>
        <v>EN-002100163</v>
      </c>
    </row>
    <row r="12569" spans="1:15" ht="16" x14ac:dyDescent="0.2">
      <c r="A12569" s="19"/>
      <c r="B12569" s="19"/>
      <c r="C12569" s="19"/>
      <c r="D12569" s="19"/>
      <c r="E12569" s="19"/>
      <c r="F12569" s="19"/>
      <c r="G12569" s="19"/>
      <c r="H12569" s="19"/>
      <c r="I12569" s="19"/>
      <c r="J12569" s="19"/>
      <c r="K12569" s="19"/>
      <c r="L12569" s="19"/>
      <c r="M12569" s="19"/>
      <c r="N12569" s="19"/>
      <c r="O12569" s="14" t="str">
        <f>HYPERLINK("https://otsuka-europe-crm.veevavault.com/ui/#object/email_activity__v/V8C000000042227", "EN-002100164")</f>
        <v>EN-002100164</v>
      </c>
    </row>
    <row r="12570" spans="1:15" ht="16" x14ac:dyDescent="0.2">
      <c r="A12570" s="17" t="str">
        <f>HYPERLINK("https://otsuka-europe-crm.veevavault.com/ui/#object/account__v/V4TZ06G6O71T7S6", "CARMEN PATRICIA GONZALEZ RIVERA")</f>
        <v>CARMEN PATRICIA GONZALEZ RIVERA</v>
      </c>
      <c r="B12570" s="17" t="str">
        <f>HYPERLINK("https://otsuka-europe-crm.veevavault.com/ui/#object/vcountry__v/VENZ000004SONF5", "ES")</f>
        <v>ES</v>
      </c>
      <c r="C12570" s="20" t="s">
        <v>41</v>
      </c>
      <c r="D12570" s="21" t="str">
        <f>HYPERLINK("https://otsuka-europe-crm.veevavault.com/ui/#object/approved_document__v/V5O00000000R009", "AM2M - PSIQUIATRIA - Guía manejo práctico AM2M")</f>
        <v>AM2M - PSIQUIATRIA - Guía manejo práctico AM2M</v>
      </c>
      <c r="E12570" s="22" t="str">
        <f>HYPERLINK("https://otsuka-europe-crm.veevavault.com/ui/#object/sent_email__v/VBL00000002Z021", "SE-001438406")</f>
        <v>SE-001438406</v>
      </c>
      <c r="F12570" s="25"/>
      <c r="G12570" s="24">
        <v>0</v>
      </c>
      <c r="H12570" s="24">
        <v>0</v>
      </c>
      <c r="I12570" s="24">
        <v>0</v>
      </c>
      <c r="J12570" s="25"/>
      <c r="K12570" s="24">
        <v>0</v>
      </c>
      <c r="L12570" s="22" t="str">
        <f>HYPERLINK("https://otsuka-europe-crm.veevavault.com/ui/#object/approved_document__v/V5O00000000R009", "AM2M - PSIQUIATRIA - Guía manejo práctico AM2M")</f>
        <v>AM2M - PSIQUIATRIA - Guía manejo práctico AM2M</v>
      </c>
      <c r="M12570" s="22" t="str">
        <f>HYPERLINK("mailto:jcastro@crm.otsuka-europe.com", "jcastro@crm.otsuka-europe.com")</f>
        <v>jcastro@crm.otsuka-europe.com</v>
      </c>
      <c r="N12570" s="23">
        <v>46199.464560185188</v>
      </c>
      <c r="O12570" s="14" t="str">
        <f>HYPERLINK("https://otsuka-europe-crm.veevavault.com/ui/#object/email_activity__v/V8C000000042054", "EN-002099826")</f>
        <v>EN-002099826</v>
      </c>
    </row>
    <row r="12571" spans="1:15" ht="16" x14ac:dyDescent="0.2">
      <c r="A12571" s="19"/>
      <c r="B12571" s="19"/>
      <c r="C12571" s="19"/>
      <c r="D12571" s="19"/>
      <c r="E12571" s="19"/>
      <c r="F12571" s="19"/>
      <c r="G12571" s="19"/>
      <c r="H12571" s="19"/>
      <c r="I12571" s="19"/>
      <c r="J12571" s="19"/>
      <c r="K12571" s="19"/>
      <c r="L12571" s="19"/>
      <c r="M12571" s="19"/>
      <c r="N12571" s="19"/>
      <c r="O12571" s="14" t="str">
        <f>HYPERLINK("https://otsuka-europe-crm.veevavault.com/ui/#object/email_activity__v/V8C000000042207", "EN-002100132")</f>
        <v>EN-002100132</v>
      </c>
    </row>
    <row r="12572" spans="1:15" ht="16" x14ac:dyDescent="0.2">
      <c r="A12572" s="17" t="str">
        <f>HYPERLINK("https://otsuka-europe-crm.veevavault.com/ui/#object/account__v/V4TZ06G6O9BZM82", "NURIA RODRIGUEZ GARCIA")</f>
        <v>NURIA RODRIGUEZ GARCIA</v>
      </c>
      <c r="B12572" s="17" t="str">
        <f>HYPERLINK("https://otsuka-europe-crm.veevavault.com/ui/#object/vcountry__v/VENZ000004SONF5", "ES")</f>
        <v>ES</v>
      </c>
      <c r="C12572" s="20" t="s">
        <v>41</v>
      </c>
      <c r="D12572" s="21" t="str">
        <f>HYPERLINK("https://otsuka-europe-crm.veevavault.com/ui/#object/approved_document__v/V5O00000000R009", "AM2M - PSIQUIATRIA - Guía manejo práctico AM2M")</f>
        <v>AM2M - PSIQUIATRIA - Guía manejo práctico AM2M</v>
      </c>
      <c r="E12572" s="22" t="str">
        <f>HYPERLINK("https://otsuka-europe-crm.veevavault.com/ui/#object/sent_email__v/VBL00000002Z022", "SE-001438407")</f>
        <v>SE-001438407</v>
      </c>
      <c r="F12572" s="25"/>
      <c r="G12572" s="24">
        <v>0</v>
      </c>
      <c r="H12572" s="24">
        <v>0</v>
      </c>
      <c r="I12572" s="24">
        <v>0</v>
      </c>
      <c r="J12572" s="25"/>
      <c r="K12572" s="24">
        <v>0</v>
      </c>
      <c r="L12572" s="22" t="str">
        <f>HYPERLINK("https://otsuka-europe-crm.veevavault.com/ui/#object/approved_document__v/V5O00000000R009", "AM2M - PSIQUIATRIA - Guía manejo práctico AM2M")</f>
        <v>AM2M - PSIQUIATRIA - Guía manejo práctico AM2M</v>
      </c>
      <c r="M12572" s="22" t="str">
        <f>HYPERLINK("mailto:jcastro@crm.otsuka-europe.com", "jcastro@crm.otsuka-europe.com")</f>
        <v>jcastro@crm.otsuka-europe.com</v>
      </c>
      <c r="N12572" s="23">
        <v>46199.464560185188</v>
      </c>
      <c r="O12572" s="14" t="str">
        <f>HYPERLINK("https://otsuka-europe-crm.veevavault.com/ui/#object/email_activity__v/V8C000000041092", "EN-002099883")</f>
        <v>EN-002099883</v>
      </c>
    </row>
    <row r="12573" spans="1:15" ht="16" x14ac:dyDescent="0.2">
      <c r="A12573" s="18"/>
      <c r="B12573" s="18"/>
      <c r="C12573" s="18"/>
      <c r="D12573" s="18"/>
      <c r="E12573" s="18"/>
      <c r="F12573" s="18"/>
      <c r="G12573" s="18"/>
      <c r="H12573" s="18"/>
      <c r="I12573" s="18"/>
      <c r="J12573" s="18"/>
      <c r="K12573" s="18"/>
      <c r="L12573" s="18"/>
      <c r="M12573" s="18"/>
      <c r="N12573" s="18"/>
      <c r="O12573" s="14" t="str">
        <f>HYPERLINK("https://otsuka-europe-crm.veevavault.com/ui/#object/email_activity__v/V8C000000041302", "EN-002100276")</f>
        <v>EN-002100276</v>
      </c>
    </row>
    <row r="12574" spans="1:15" ht="16" x14ac:dyDescent="0.2">
      <c r="A12574" s="19"/>
      <c r="B12574" s="19"/>
      <c r="C12574" s="19"/>
      <c r="D12574" s="19"/>
      <c r="E12574" s="19"/>
      <c r="F12574" s="19"/>
      <c r="G12574" s="19"/>
      <c r="H12574" s="19"/>
      <c r="I12574" s="19"/>
      <c r="J12574" s="19"/>
      <c r="K12574" s="19"/>
      <c r="L12574" s="19"/>
      <c r="M12574" s="19"/>
      <c r="N12574" s="19"/>
      <c r="O12574" s="14" t="str">
        <f>HYPERLINK("https://otsuka-europe-crm.veevavault.com/ui/#object/email_activity__v/V8C000000042208", "EN-002100136")</f>
        <v>EN-002100136</v>
      </c>
    </row>
    <row r="12575" spans="1:15" ht="48" x14ac:dyDescent="0.2">
      <c r="A12575" s="7" t="str">
        <f>HYPERLINK("https://otsuka-europe-crm.veevavault.com/ui/#object/account__v/V4TZ025E87BV6HU", "PAULA MEDINA GIMENO")</f>
        <v>PAULA MEDINA GIMENO</v>
      </c>
      <c r="B12575" s="7" t="str">
        <f>HYPERLINK("https://otsuka-europe-crm.veevavault.com/ui/#object/vcountry__v/VENZ000004SONF5", "ES")</f>
        <v>ES</v>
      </c>
      <c r="C12575" s="8" t="s">
        <v>41</v>
      </c>
      <c r="D12575" s="9" t="str">
        <f>HYPERLINK("https://otsuka-europe-crm.veevavault.com/ui/#object/approved_document__v/V5O00000000R009", "AM2M - PSIQUIATRIA - Guía manejo práctico AM2M")</f>
        <v>AM2M - PSIQUIATRIA - Guía manejo práctico AM2M</v>
      </c>
      <c r="E12575" s="10" t="str">
        <f>HYPERLINK("https://otsuka-europe-crm.veevavault.com/ui/#object/sent_email__v/VBL00000002Z023", "SE-001438408")</f>
        <v>SE-001438408</v>
      </c>
      <c r="F12575" s="11"/>
      <c r="G12575" s="12">
        <v>0</v>
      </c>
      <c r="H12575" s="12">
        <v>0</v>
      </c>
      <c r="I12575" s="12">
        <v>0</v>
      </c>
      <c r="J12575" s="11"/>
      <c r="K12575" s="12">
        <v>0</v>
      </c>
      <c r="L12575" s="10" t="str">
        <f>HYPERLINK("https://otsuka-europe-crm.veevavault.com/ui/#object/approved_document__v/V5O00000000R009", "AM2M - PSIQUIATRIA - Guía manejo práctico AM2M")</f>
        <v>AM2M - PSIQUIATRIA - Guía manejo práctico AM2M</v>
      </c>
      <c r="M12575" s="10" t="str">
        <f>HYPERLINK("mailto:jcastro@crm.otsuka-europe.com", "jcastro@crm.otsuka-europe.com")</f>
        <v>jcastro@crm.otsuka-europe.com</v>
      </c>
      <c r="N12575" s="13">
        <v>46199.464560185188</v>
      </c>
      <c r="O12575" s="14" t="str">
        <f>HYPERLINK("https://otsuka-europe-crm.veevavault.com/ui/#object/email_activity__v/V8C000000041078", "EN-002099815")</f>
        <v>EN-002099815</v>
      </c>
    </row>
    <row r="12576" spans="1:15" ht="48" x14ac:dyDescent="0.2">
      <c r="A12576" s="7" t="str">
        <f>HYPERLINK("https://otsuka-europe-crm.veevavault.com/ui/#object/account__v/V4TZ06G6O71T7NK", "MARIA NIEVES GARCIA RECIO")</f>
        <v>MARIA NIEVES GARCIA RECIO</v>
      </c>
      <c r="B12576" s="7" t="str">
        <f>HYPERLINK("https://otsuka-europe-crm.veevavault.com/ui/#object/vcountry__v/VENZ000004SONF5", "ES")</f>
        <v>ES</v>
      </c>
      <c r="C12576" s="8" t="s">
        <v>41</v>
      </c>
      <c r="D12576" s="9" t="str">
        <f>HYPERLINK("https://otsuka-europe-crm.veevavault.com/ui/#object/approved_document__v/V5O00000000R009", "AM2M - PSIQUIATRIA - Guía manejo práctico AM2M")</f>
        <v>AM2M - PSIQUIATRIA - Guía manejo práctico AM2M</v>
      </c>
      <c r="E12576" s="10" t="str">
        <f>HYPERLINK("https://otsuka-europe-crm.veevavault.com/ui/#object/sent_email__v/VBL00000002Z024", "SE-001438409")</f>
        <v>SE-001438409</v>
      </c>
      <c r="F12576" s="11"/>
      <c r="G12576" s="12">
        <v>0</v>
      </c>
      <c r="H12576" s="12">
        <v>0</v>
      </c>
      <c r="I12576" s="12">
        <v>0</v>
      </c>
      <c r="J12576" s="11"/>
      <c r="K12576" s="12">
        <v>0</v>
      </c>
      <c r="L12576" s="10" t="str">
        <f>HYPERLINK("https://otsuka-europe-crm.veevavault.com/ui/#object/approved_document__v/V5O00000000R009", "AM2M - PSIQUIATRIA - Guía manejo práctico AM2M")</f>
        <v>AM2M - PSIQUIATRIA - Guía manejo práctico AM2M</v>
      </c>
      <c r="M12576" s="10" t="str">
        <f>HYPERLINK("mailto:jcastro@crm.otsuka-europe.com", "jcastro@crm.otsuka-europe.com")</f>
        <v>jcastro@crm.otsuka-europe.com</v>
      </c>
      <c r="N12576" s="13">
        <v>46199.464513888888</v>
      </c>
      <c r="O12576" s="14" t="str">
        <f>HYPERLINK("https://otsuka-europe-crm.veevavault.com/ui/#object/email_activity__v/V8C000000042055", "EN-002099828")</f>
        <v>EN-002099828</v>
      </c>
    </row>
    <row r="12577" spans="1:15" ht="16" x14ac:dyDescent="0.2">
      <c r="A12577" s="17" t="str">
        <f>HYPERLINK("https://otsuka-europe-crm.veevavault.com/ui/#object/account__v/V4TZ06G6O9VLKM0", "SONIA JAIMEZ PEREZ")</f>
        <v>SONIA JAIMEZ PEREZ</v>
      </c>
      <c r="B12577" s="17" t="str">
        <f>HYPERLINK("https://otsuka-europe-crm.veevavault.com/ui/#object/vcountry__v/VENZ000004SONF5", "ES")</f>
        <v>ES</v>
      </c>
      <c r="C12577" s="20" t="s">
        <v>41</v>
      </c>
      <c r="D12577" s="21" t="str">
        <f>HYPERLINK("https://otsuka-europe-crm.veevavault.com/ui/#object/approved_document__v/V5O00000000R009", "AM2M - PSIQUIATRIA - Guía manejo práctico AM2M")</f>
        <v>AM2M - PSIQUIATRIA - Guía manejo práctico AM2M</v>
      </c>
      <c r="E12577" s="22" t="str">
        <f>HYPERLINK("https://otsuka-europe-crm.veevavault.com/ui/#object/sent_email__v/VBL00000002Z025", "SE-001438410")</f>
        <v>SE-001438410</v>
      </c>
      <c r="F12577" s="25"/>
      <c r="G12577" s="24">
        <v>0</v>
      </c>
      <c r="H12577" s="24">
        <v>0</v>
      </c>
      <c r="I12577" s="24">
        <v>0</v>
      </c>
      <c r="J12577" s="25"/>
      <c r="K12577" s="24">
        <v>0</v>
      </c>
      <c r="L12577" s="22" t="str">
        <f>HYPERLINK("https://otsuka-europe-crm.veevavault.com/ui/#object/approved_document__v/V5O00000000R009", "AM2M - PSIQUIATRIA - Guía manejo práctico AM2M")</f>
        <v>AM2M - PSIQUIATRIA - Guía manejo práctico AM2M</v>
      </c>
      <c r="M12577" s="22" t="str">
        <f>HYPERLINK("mailto:jcastro@crm.otsuka-europe.com", "jcastro@crm.otsuka-europe.com")</f>
        <v>jcastro@crm.otsuka-europe.com</v>
      </c>
      <c r="N12577" s="23">
        <v>46199.464560185188</v>
      </c>
      <c r="O12577" s="14" t="str">
        <f>HYPERLINK("https://otsuka-europe-crm.veevavault.com/ui/#object/email_activity__v/V8C000000041094", "EN-002099885")</f>
        <v>EN-002099885</v>
      </c>
    </row>
    <row r="12578" spans="1:15" ht="16" x14ac:dyDescent="0.2">
      <c r="A12578" s="19"/>
      <c r="B12578" s="19"/>
      <c r="C12578" s="19"/>
      <c r="D12578" s="19"/>
      <c r="E12578" s="19"/>
      <c r="F12578" s="19"/>
      <c r="G12578" s="19"/>
      <c r="H12578" s="19"/>
      <c r="I12578" s="19"/>
      <c r="J12578" s="19"/>
      <c r="K12578" s="19"/>
      <c r="L12578" s="19"/>
      <c r="M12578" s="19"/>
      <c r="N12578" s="19"/>
      <c r="O12578" s="14" t="str">
        <f>HYPERLINK("https://otsuka-europe-crm.veevavault.com/ui/#object/email_activity__v/V8C000000042220", "EN-002100154")</f>
        <v>EN-002100154</v>
      </c>
    </row>
    <row r="12579" spans="1:15" ht="48" x14ac:dyDescent="0.2">
      <c r="A12579" s="7" t="str">
        <f>HYPERLINK("https://otsuka-europe-crm.veevavault.com/ui/#object/account__v/V4TZ06G6O71T8LQ", "MELANIA RODRIGUEZ LARA")</f>
        <v>MELANIA RODRIGUEZ LARA</v>
      </c>
      <c r="B12579" s="7" t="str">
        <f>HYPERLINK("https://otsuka-europe-crm.veevavault.com/ui/#object/vcountry__v/VENZ000004SONF5", "ES")</f>
        <v>ES</v>
      </c>
      <c r="C12579" s="8" t="s">
        <v>41</v>
      </c>
      <c r="D12579" s="9" t="str">
        <f>HYPERLINK("https://otsuka-europe-crm.veevavault.com/ui/#object/approved_document__v/V5O00000000R009", "AM2M - PSIQUIATRIA - Guía manejo práctico AM2M")</f>
        <v>AM2M - PSIQUIATRIA - Guía manejo práctico AM2M</v>
      </c>
      <c r="E12579" s="10" t="str">
        <f>HYPERLINK("https://otsuka-europe-crm.veevavault.com/ui/#object/sent_email__v/VBL00000002Z026", "SE-001438411")</f>
        <v>SE-001438411</v>
      </c>
      <c r="F12579" s="11"/>
      <c r="G12579" s="12">
        <v>0</v>
      </c>
      <c r="H12579" s="12">
        <v>0</v>
      </c>
      <c r="I12579" s="12">
        <v>0</v>
      </c>
      <c r="J12579" s="11"/>
      <c r="K12579" s="12">
        <v>0</v>
      </c>
      <c r="L12579" s="10" t="str">
        <f>HYPERLINK("https://otsuka-europe-crm.veevavault.com/ui/#object/approved_document__v/V5O00000000R009", "AM2M - PSIQUIATRIA - Guía manejo práctico AM2M")</f>
        <v>AM2M - PSIQUIATRIA - Guía manejo práctico AM2M</v>
      </c>
      <c r="M12579" s="10" t="str">
        <f>HYPERLINK("mailto:jcastro@crm.otsuka-europe.com", "jcastro@crm.otsuka-europe.com")</f>
        <v>jcastro@crm.otsuka-europe.com</v>
      </c>
      <c r="N12579" s="13">
        <v>46199.464560185188</v>
      </c>
      <c r="O12579" s="14" t="str">
        <f>HYPERLINK("https://otsuka-europe-crm.veevavault.com/ui/#object/email_activity__v/V8C000000042091", "EN-002099873")</f>
        <v>EN-002099873</v>
      </c>
    </row>
    <row r="12580" spans="1:15" ht="48" x14ac:dyDescent="0.2">
      <c r="A12580" s="7" t="str">
        <f>HYPERLINK("https://otsuka-europe-crm.veevavault.com/ui/#object/account__v/V4TZ025E869CFWJ", "ANA PRADAS HERNANDEZ")</f>
        <v>ANA PRADAS HERNANDEZ</v>
      </c>
      <c r="B12580" s="7" t="str">
        <f>HYPERLINK("https://otsuka-europe-crm.veevavault.com/ui/#object/vcountry__v/VENZ000004SONF5", "ES")</f>
        <v>ES</v>
      </c>
      <c r="C12580" s="8" t="s">
        <v>41</v>
      </c>
      <c r="D12580" s="9" t="str">
        <f>HYPERLINK("https://otsuka-europe-crm.veevavault.com/ui/#object/approved_document__v/V5O00000000R009", "AM2M - PSIQUIATRIA - Guía manejo práctico AM2M")</f>
        <v>AM2M - PSIQUIATRIA - Guía manejo práctico AM2M</v>
      </c>
      <c r="E12580" s="10" t="str">
        <f>HYPERLINK("https://otsuka-europe-crm.veevavault.com/ui/#object/sent_email__v/VBL00000002Z027", "SE-001438412")</f>
        <v>SE-001438412</v>
      </c>
      <c r="F12580" s="11"/>
      <c r="G12580" s="12">
        <v>0</v>
      </c>
      <c r="H12580" s="12">
        <v>0</v>
      </c>
      <c r="I12580" s="12">
        <v>0</v>
      </c>
      <c r="J12580" s="11"/>
      <c r="K12580" s="12">
        <v>0</v>
      </c>
      <c r="L12580" s="10" t="str">
        <f>HYPERLINK("https://otsuka-europe-crm.veevavault.com/ui/#object/approved_document__v/V5O00000000R009", "AM2M - PSIQUIATRIA - Guía manejo práctico AM2M")</f>
        <v>AM2M - PSIQUIATRIA - Guía manejo práctico AM2M</v>
      </c>
      <c r="M12580" s="10" t="str">
        <f>HYPERLINK("mailto:jcastro@crm.otsuka-europe.com", "jcastro@crm.otsuka-europe.com")</f>
        <v>jcastro@crm.otsuka-europe.com</v>
      </c>
      <c r="N12580" s="13">
        <v>46199.464560185188</v>
      </c>
      <c r="O12580" s="14" t="str">
        <f>HYPERLINK("https://otsuka-europe-crm.veevavault.com/ui/#object/email_activity__v/V8C000000042085", "EN-002099867")</f>
        <v>EN-002099867</v>
      </c>
    </row>
    <row r="12581" spans="1:15" ht="48" x14ac:dyDescent="0.2">
      <c r="A12581" s="7" t="str">
        <f>HYPERLINK("https://otsuka-europe-crm.veevavault.com/ui/#object/account__v/V4TZ06G6O71TBE5", "JOSE ORTA RODRIGUEZ")</f>
        <v>JOSE ORTA RODRIGUEZ</v>
      </c>
      <c r="B12581" s="7" t="str">
        <f>HYPERLINK("https://otsuka-europe-crm.veevavault.com/ui/#object/vcountry__v/VENZ000004SONF5", "ES")</f>
        <v>ES</v>
      </c>
      <c r="C12581" s="8" t="s">
        <v>41</v>
      </c>
      <c r="D12581" s="9" t="str">
        <f>HYPERLINK("https://otsuka-europe-crm.veevavault.com/ui/#object/approved_document__v/V5O00000000R009", "AM2M - PSIQUIATRIA - Guía manejo práctico AM2M")</f>
        <v>AM2M - PSIQUIATRIA - Guía manejo práctico AM2M</v>
      </c>
      <c r="E12581" s="10" t="str">
        <f>HYPERLINK("https://otsuka-europe-crm.veevavault.com/ui/#object/sent_email__v/VBL00000002Z028", "SE-001438413")</f>
        <v>SE-001438413</v>
      </c>
      <c r="F12581" s="11"/>
      <c r="G12581" s="12">
        <v>0</v>
      </c>
      <c r="H12581" s="12">
        <v>0</v>
      </c>
      <c r="I12581" s="12">
        <v>0</v>
      </c>
      <c r="J12581" s="11"/>
      <c r="K12581" s="12">
        <v>0</v>
      </c>
      <c r="L12581" s="10" t="str">
        <f>HYPERLINK("https://otsuka-europe-crm.veevavault.com/ui/#object/approved_document__v/V5O00000000R009", "AM2M - PSIQUIATRIA - Guía manejo práctico AM2M")</f>
        <v>AM2M - PSIQUIATRIA - Guía manejo práctico AM2M</v>
      </c>
      <c r="M12581" s="10" t="str">
        <f>HYPERLINK("mailto:jcastro@crm.otsuka-europe.com", "jcastro@crm.otsuka-europe.com")</f>
        <v>jcastro@crm.otsuka-europe.com</v>
      </c>
      <c r="N12581" s="13">
        <v>46199.464560185188</v>
      </c>
      <c r="O12581" s="14" t="str">
        <f>HYPERLINK("https://otsuka-europe-crm.veevavault.com/ui/#object/email_activity__v/V8C000000041047", "EN-002099784")</f>
        <v>EN-002099784</v>
      </c>
    </row>
    <row r="12582" spans="1:15" ht="48" x14ac:dyDescent="0.2">
      <c r="A12582" s="7" t="str">
        <f>HYPERLINK("https://otsuka-europe-crm.veevavault.com/ui/#object/account__v/V4TZ06G6O71TB0B", "OLGA BEATRIZ MARTINEZ GARCIA")</f>
        <v>OLGA BEATRIZ MARTINEZ GARCIA</v>
      </c>
      <c r="B12582" s="7" t="str">
        <f>HYPERLINK("https://otsuka-europe-crm.veevavault.com/ui/#object/vcountry__v/VENZ000004SONF5", "ES")</f>
        <v>ES</v>
      </c>
      <c r="C12582" s="8" t="s">
        <v>41</v>
      </c>
      <c r="D12582" s="9" t="str">
        <f>HYPERLINK("https://otsuka-europe-crm.veevavault.com/ui/#object/approved_document__v/V5O00000000R009", "AM2M - PSIQUIATRIA - Guía manejo práctico AM2M")</f>
        <v>AM2M - PSIQUIATRIA - Guía manejo práctico AM2M</v>
      </c>
      <c r="E12582" s="10" t="str">
        <f>HYPERLINK("https://otsuka-europe-crm.veevavault.com/ui/#object/sent_email__v/VBL00000002Z029", "SE-001438414")</f>
        <v>SE-001438414</v>
      </c>
      <c r="F12582" s="11"/>
      <c r="G12582" s="12">
        <v>0</v>
      </c>
      <c r="H12582" s="12">
        <v>0</v>
      </c>
      <c r="I12582" s="12">
        <v>0</v>
      </c>
      <c r="J12582" s="11"/>
      <c r="K12582" s="12">
        <v>0</v>
      </c>
      <c r="L12582" s="10" t="str">
        <f>HYPERLINK("https://otsuka-europe-crm.veevavault.com/ui/#object/approved_document__v/V5O00000000R009", "AM2M - PSIQUIATRIA - Guía manejo práctico AM2M")</f>
        <v>AM2M - PSIQUIATRIA - Guía manejo práctico AM2M</v>
      </c>
      <c r="M12582" s="10" t="str">
        <f>HYPERLINK("mailto:jcastro@crm.otsuka-europe.com", "jcastro@crm.otsuka-europe.com")</f>
        <v>jcastro@crm.otsuka-europe.com</v>
      </c>
      <c r="N12582" s="13">
        <v>46199.464560185188</v>
      </c>
      <c r="O12582" s="14" t="str">
        <f>HYPERLINK("https://otsuka-europe-crm.veevavault.com/ui/#object/email_activity__v/V8C000000042048", "EN-002099820")</f>
        <v>EN-002099820</v>
      </c>
    </row>
    <row r="12583" spans="1:15" ht="16" x14ac:dyDescent="0.2">
      <c r="A12583" s="17" t="str">
        <f>HYPERLINK("https://otsuka-europe-crm.veevavault.com/ui/#object/account__v/V4TZ06G6O71T8EI", "MARIA ANGELES ROSALES MUÑOZ")</f>
        <v>MARIA ANGELES ROSALES MUÑOZ</v>
      </c>
      <c r="B12583" s="17" t="str">
        <f>HYPERLINK("https://otsuka-europe-crm.veevavault.com/ui/#object/vcountry__v/VENZ000004SONF5", "ES")</f>
        <v>ES</v>
      </c>
      <c r="C12583" s="20" t="s">
        <v>41</v>
      </c>
      <c r="D12583" s="21" t="str">
        <f>HYPERLINK("https://otsuka-europe-crm.veevavault.com/ui/#object/approved_document__v/V5O00000000R009", "AM2M - PSIQUIATRIA - Guía manejo práctico AM2M")</f>
        <v>AM2M - PSIQUIATRIA - Guía manejo práctico AM2M</v>
      </c>
      <c r="E12583" s="22" t="str">
        <f>HYPERLINK("https://otsuka-europe-crm.veevavault.com/ui/#object/sent_email__v/VBL00000002Z030", "SE-001438415")</f>
        <v>SE-001438415</v>
      </c>
      <c r="F12583" s="25"/>
      <c r="G12583" s="24">
        <v>0</v>
      </c>
      <c r="H12583" s="24">
        <v>0</v>
      </c>
      <c r="I12583" s="24">
        <v>0</v>
      </c>
      <c r="J12583" s="25"/>
      <c r="K12583" s="24">
        <v>0</v>
      </c>
      <c r="L12583" s="22" t="str">
        <f>HYPERLINK("https://otsuka-europe-crm.veevavault.com/ui/#object/approved_document__v/V5O00000000R009", "AM2M - PSIQUIATRIA - Guía manejo práctico AM2M")</f>
        <v>AM2M - PSIQUIATRIA - Guía manejo práctico AM2M</v>
      </c>
      <c r="M12583" s="22" t="str">
        <f>HYPERLINK("mailto:jcastro@crm.otsuka-europe.com", "jcastro@crm.otsuka-europe.com")</f>
        <v>jcastro@crm.otsuka-europe.com</v>
      </c>
      <c r="N12583" s="23">
        <v>46199.464560185188</v>
      </c>
      <c r="O12583" s="14" t="str">
        <f>HYPERLINK("https://otsuka-europe-crm.veevavault.com/ui/#object/email_activity__v/V8C000000041058", "EN-002099795")</f>
        <v>EN-002099795</v>
      </c>
    </row>
    <row r="12584" spans="1:15" ht="16" x14ac:dyDescent="0.2">
      <c r="A12584" s="19"/>
      <c r="B12584" s="19"/>
      <c r="C12584" s="19"/>
      <c r="D12584" s="19"/>
      <c r="E12584" s="19"/>
      <c r="F12584" s="19"/>
      <c r="G12584" s="19"/>
      <c r="H12584" s="19"/>
      <c r="I12584" s="19"/>
      <c r="J12584" s="19"/>
      <c r="K12584" s="19"/>
      <c r="L12584" s="19"/>
      <c r="M12584" s="19"/>
      <c r="N12584" s="19"/>
      <c r="O12584" s="14" t="str">
        <f>HYPERLINK("https://otsuka-europe-crm.veevavault.com/ui/#object/email_activity__v/V8C000000041238", "EN-002100142")</f>
        <v>EN-002100142</v>
      </c>
    </row>
    <row r="12585" spans="1:15" ht="16" x14ac:dyDescent="0.2">
      <c r="A12585" s="17" t="str">
        <f>HYPERLINK("https://otsuka-europe-crm.veevavault.com/ui/#object/account__v/V4TZ06G6O71TB7A", "NURIA MORALES HEVIA")</f>
        <v>NURIA MORALES HEVIA</v>
      </c>
      <c r="B12585" s="17" t="str">
        <f>HYPERLINK("https://otsuka-europe-crm.veevavault.com/ui/#object/vcountry__v/VENZ000004SONF5", "ES")</f>
        <v>ES</v>
      </c>
      <c r="C12585" s="20" t="s">
        <v>41</v>
      </c>
      <c r="D12585" s="21" t="str">
        <f>HYPERLINK("https://otsuka-europe-crm.veevavault.com/ui/#object/approved_document__v/V5O00000000R009", "AM2M - PSIQUIATRIA - Guía manejo práctico AM2M")</f>
        <v>AM2M - PSIQUIATRIA - Guía manejo práctico AM2M</v>
      </c>
      <c r="E12585" s="22" t="str">
        <f>HYPERLINK("https://otsuka-europe-crm.veevavault.com/ui/#object/sent_email__v/VBL00000002Z031", "SE-001438416")</f>
        <v>SE-001438416</v>
      </c>
      <c r="F12585" s="25"/>
      <c r="G12585" s="24">
        <v>0</v>
      </c>
      <c r="H12585" s="24">
        <v>0</v>
      </c>
      <c r="I12585" s="24">
        <v>0</v>
      </c>
      <c r="J12585" s="25"/>
      <c r="K12585" s="24">
        <v>0</v>
      </c>
      <c r="L12585" s="22" t="str">
        <f>HYPERLINK("https://otsuka-europe-crm.veevavault.com/ui/#object/approved_document__v/V5O00000000R009", "AM2M - PSIQUIATRIA - Guía manejo práctico AM2M")</f>
        <v>AM2M - PSIQUIATRIA - Guía manejo práctico AM2M</v>
      </c>
      <c r="M12585" s="22" t="str">
        <f>HYPERLINK("mailto:jcastro@crm.otsuka-europe.com", "jcastro@crm.otsuka-europe.com")</f>
        <v>jcastro@crm.otsuka-europe.com</v>
      </c>
      <c r="N12585" s="23">
        <v>46199.464560185188</v>
      </c>
      <c r="O12585" s="14" t="str">
        <f>HYPERLINK("https://otsuka-europe-crm.veevavault.com/ui/#object/email_activity__v/V8C000000041066", "EN-002099803")</f>
        <v>EN-002099803</v>
      </c>
    </row>
    <row r="12586" spans="1:15" ht="16" x14ac:dyDescent="0.2">
      <c r="A12586" s="19"/>
      <c r="B12586" s="19"/>
      <c r="C12586" s="19"/>
      <c r="D12586" s="19"/>
      <c r="E12586" s="19"/>
      <c r="F12586" s="19"/>
      <c r="G12586" s="19"/>
      <c r="H12586" s="19"/>
      <c r="I12586" s="19"/>
      <c r="J12586" s="19"/>
      <c r="K12586" s="19"/>
      <c r="L12586" s="19"/>
      <c r="M12586" s="19"/>
      <c r="N12586" s="19"/>
      <c r="O12586" s="14" t="str">
        <f>HYPERLINK("https://otsuka-europe-crm.veevavault.com/ui/#object/email_activity__v/V8C000000042254", "EN-002100216")</f>
        <v>EN-002100216</v>
      </c>
    </row>
    <row r="12587" spans="1:15" ht="48" x14ac:dyDescent="0.2">
      <c r="A12587" s="7" t="str">
        <f>HYPERLINK("https://otsuka-europe-crm.veevavault.com/ui/#object/account__v/V4TZ06G6O71TA92", "FRANCISCO JOSE GAZQUEZ MARTINEZ")</f>
        <v>FRANCISCO JOSE GAZQUEZ MARTINEZ</v>
      </c>
      <c r="B12587" s="7" t="str">
        <f>HYPERLINK("https://otsuka-europe-crm.veevavault.com/ui/#object/vcountry__v/VENZ000004SONF5", "ES")</f>
        <v>ES</v>
      </c>
      <c r="C12587" s="8" t="s">
        <v>41</v>
      </c>
      <c r="D12587" s="9" t="str">
        <f>HYPERLINK("https://otsuka-europe-crm.veevavault.com/ui/#object/approved_document__v/V5O00000000R009", "AM2M - PSIQUIATRIA - Guía manejo práctico AM2M")</f>
        <v>AM2M - PSIQUIATRIA - Guía manejo práctico AM2M</v>
      </c>
      <c r="E12587" s="10" t="str">
        <f>HYPERLINK("https://otsuka-europe-crm.veevavault.com/ui/#object/sent_email__v/VBL00000002Z032", "SE-001438417")</f>
        <v>SE-001438417</v>
      </c>
      <c r="F12587" s="11"/>
      <c r="G12587" s="12">
        <v>0</v>
      </c>
      <c r="H12587" s="12">
        <v>0</v>
      </c>
      <c r="I12587" s="12">
        <v>0</v>
      </c>
      <c r="J12587" s="11"/>
      <c r="K12587" s="12">
        <v>0</v>
      </c>
      <c r="L12587" s="10" t="str">
        <f>HYPERLINK("https://otsuka-europe-crm.veevavault.com/ui/#object/approved_document__v/V5O00000000R009", "AM2M - PSIQUIATRIA - Guía manejo práctico AM2M")</f>
        <v>AM2M - PSIQUIATRIA - Guía manejo práctico AM2M</v>
      </c>
      <c r="M12587" s="10" t="str">
        <f>HYPERLINK("mailto:jcastro@crm.otsuka-europe.com", "jcastro@crm.otsuka-europe.com")</f>
        <v>jcastro@crm.otsuka-europe.com</v>
      </c>
      <c r="N12587" s="13">
        <v>46199.464560185188</v>
      </c>
      <c r="O12587" s="14" t="str">
        <f>HYPERLINK("https://otsuka-europe-crm.veevavault.com/ui/#object/email_activity__v/V8C000000042076", "EN-002099848")</f>
        <v>EN-002099848</v>
      </c>
    </row>
    <row r="12588" spans="1:15" ht="48" x14ac:dyDescent="0.2">
      <c r="A12588" s="7" t="str">
        <f>HYPERLINK("https://otsuka-europe-crm.veevavault.com/ui/#object/account__v/V4TZ06G6O71T7TQ", "MARGARITA GUERRERO JIMENEZ")</f>
        <v>MARGARITA GUERRERO JIMENEZ</v>
      </c>
      <c r="B12588" s="7" t="str">
        <f>HYPERLINK("https://otsuka-europe-crm.veevavault.com/ui/#object/vcountry__v/VENZ000004SONF5", "ES")</f>
        <v>ES</v>
      </c>
      <c r="C12588" s="8" t="s">
        <v>41</v>
      </c>
      <c r="D12588" s="9" t="str">
        <f>HYPERLINK("https://otsuka-europe-crm.veevavault.com/ui/#object/approved_document__v/V5O00000000R009", "AM2M - PSIQUIATRIA - Guía manejo práctico AM2M")</f>
        <v>AM2M - PSIQUIATRIA - Guía manejo práctico AM2M</v>
      </c>
      <c r="E12588" s="10" t="str">
        <f>HYPERLINK("https://otsuka-europe-crm.veevavault.com/ui/#object/sent_email__v/VBL00000002Z033", "SE-001438418")</f>
        <v>SE-001438418</v>
      </c>
      <c r="F12588" s="11"/>
      <c r="G12588" s="12">
        <v>0</v>
      </c>
      <c r="H12588" s="12">
        <v>0</v>
      </c>
      <c r="I12588" s="12">
        <v>0</v>
      </c>
      <c r="J12588" s="11"/>
      <c r="K12588" s="12">
        <v>0</v>
      </c>
      <c r="L12588" s="10" t="str">
        <f>HYPERLINK("https://otsuka-europe-crm.veevavault.com/ui/#object/approved_document__v/V5O00000000R009", "AM2M - PSIQUIATRIA - Guía manejo práctico AM2M")</f>
        <v>AM2M - PSIQUIATRIA - Guía manejo práctico AM2M</v>
      </c>
      <c r="M12588" s="10" t="str">
        <f>HYPERLINK("mailto:jcastro@crm.otsuka-europe.com", "jcastro@crm.otsuka-europe.com")</f>
        <v>jcastro@crm.otsuka-europe.com</v>
      </c>
      <c r="N12588" s="13">
        <v>46199.464560185188</v>
      </c>
      <c r="O12588" s="14" t="str">
        <f>HYPERLINK("https://otsuka-europe-crm.veevavault.com/ui/#object/email_activity__v/V8C000000041065", "EN-002099802")</f>
        <v>EN-002099802</v>
      </c>
    </row>
    <row r="12589" spans="1:15" ht="48" x14ac:dyDescent="0.2">
      <c r="A12589" s="7" t="str">
        <f>HYPERLINK("https://otsuka-europe-crm.veevavault.com/ui/#object/account__v/V4TZ06G6O71TBV8", "ENRIQUE RODRIGUEZ LINDE")</f>
        <v>ENRIQUE RODRIGUEZ LINDE</v>
      </c>
      <c r="B12589" s="7" t="str">
        <f>HYPERLINK("https://otsuka-europe-crm.veevavault.com/ui/#object/vcountry__v/VENZ000004SONF5", "ES")</f>
        <v>ES</v>
      </c>
      <c r="C12589" s="8" t="s">
        <v>41</v>
      </c>
      <c r="D12589" s="9" t="str">
        <f>HYPERLINK("https://otsuka-europe-crm.veevavault.com/ui/#object/approved_document__v/V5O00000000R009", "AM2M - PSIQUIATRIA - Guía manejo práctico AM2M")</f>
        <v>AM2M - PSIQUIATRIA - Guía manejo práctico AM2M</v>
      </c>
      <c r="E12589" s="10" t="str">
        <f>HYPERLINK("https://otsuka-europe-crm.veevavault.com/ui/#object/sent_email__v/VBL00000002Z034", "SE-001438419")</f>
        <v>SE-001438419</v>
      </c>
      <c r="F12589" s="11"/>
      <c r="G12589" s="12">
        <v>0</v>
      </c>
      <c r="H12589" s="12">
        <v>0</v>
      </c>
      <c r="I12589" s="12">
        <v>0</v>
      </c>
      <c r="J12589" s="11"/>
      <c r="K12589" s="12">
        <v>0</v>
      </c>
      <c r="L12589" s="10" t="str">
        <f>HYPERLINK("https://otsuka-europe-crm.veevavault.com/ui/#object/approved_document__v/V5O00000000R009", "AM2M - PSIQUIATRIA - Guía manejo práctico AM2M")</f>
        <v>AM2M - PSIQUIATRIA - Guía manejo práctico AM2M</v>
      </c>
      <c r="M12589" s="10" t="str">
        <f>HYPERLINK("mailto:jcastro@crm.otsuka-europe.com", "jcastro@crm.otsuka-europe.com")</f>
        <v>jcastro@crm.otsuka-europe.com</v>
      </c>
      <c r="N12589" s="13">
        <v>46199.464560185188</v>
      </c>
      <c r="O12589" s="14" t="str">
        <f>HYPERLINK("https://otsuka-europe-crm.veevavault.com/ui/#object/email_activity__v/V8C000000042056", "EN-002099827")</f>
        <v>EN-002099827</v>
      </c>
    </row>
    <row r="12590" spans="1:15" ht="16" x14ac:dyDescent="0.2">
      <c r="A12590" s="17" t="str">
        <f>HYPERLINK("https://otsuka-europe-crm.veevavault.com/ui/#object/account__v/V4TZ06G6O71T9YO", "ANGELA MARIA GARCIA QUIRANTES")</f>
        <v>ANGELA MARIA GARCIA QUIRANTES</v>
      </c>
      <c r="B12590" s="17" t="str">
        <f>HYPERLINK("https://otsuka-europe-crm.veevavault.com/ui/#object/vcountry__v/VENZ000004SONF5", "ES")</f>
        <v>ES</v>
      </c>
      <c r="C12590" s="20" t="s">
        <v>41</v>
      </c>
      <c r="D12590" s="21" t="str">
        <f>HYPERLINK("https://otsuka-europe-crm.veevavault.com/ui/#object/approved_document__v/V5O00000000R009", "AM2M - PSIQUIATRIA - Guía manejo práctico AM2M")</f>
        <v>AM2M - PSIQUIATRIA - Guía manejo práctico AM2M</v>
      </c>
      <c r="E12590" s="22" t="str">
        <f>HYPERLINK("https://otsuka-europe-crm.veevavault.com/ui/#object/sent_email__v/VBL00000002Z035", "SE-001438420")</f>
        <v>SE-001438420</v>
      </c>
      <c r="F12590" s="25"/>
      <c r="G12590" s="24">
        <v>0</v>
      </c>
      <c r="H12590" s="24">
        <v>0</v>
      </c>
      <c r="I12590" s="24">
        <v>0</v>
      </c>
      <c r="J12590" s="25"/>
      <c r="K12590" s="24">
        <v>0</v>
      </c>
      <c r="L12590" s="22" t="str">
        <f>HYPERLINK("https://otsuka-europe-crm.veevavault.com/ui/#object/approved_document__v/V5O00000000R009", "AM2M - PSIQUIATRIA - Guía manejo práctico AM2M")</f>
        <v>AM2M - PSIQUIATRIA - Guía manejo práctico AM2M</v>
      </c>
      <c r="M12590" s="22" t="str">
        <f>HYPERLINK("mailto:jcastro@crm.otsuka-europe.com", "jcastro@crm.otsuka-europe.com")</f>
        <v>jcastro@crm.otsuka-europe.com</v>
      </c>
      <c r="N12590" s="23">
        <v>46199.464618055557</v>
      </c>
      <c r="O12590" s="14" t="str">
        <f>HYPERLINK("https://otsuka-europe-crm.veevavault.com/ui/#object/email_activity__v/V8C000000041117", "EN-002099908")</f>
        <v>EN-002099908</v>
      </c>
    </row>
    <row r="12591" spans="1:15" ht="16" x14ac:dyDescent="0.2">
      <c r="A12591" s="19"/>
      <c r="B12591" s="19"/>
      <c r="C12591" s="19"/>
      <c r="D12591" s="19"/>
      <c r="E12591" s="19"/>
      <c r="F12591" s="19"/>
      <c r="G12591" s="19"/>
      <c r="H12591" s="19"/>
      <c r="I12591" s="19"/>
      <c r="J12591" s="19"/>
      <c r="K12591" s="19"/>
      <c r="L12591" s="19"/>
      <c r="M12591" s="19"/>
      <c r="N12591" s="19"/>
      <c r="O12591" s="14" t="str">
        <f>HYPERLINK("https://otsuka-europe-crm.veevavault.com/ui/#object/email_activity__v/V8C000000042188", "EN-002100093")</f>
        <v>EN-002100093</v>
      </c>
    </row>
    <row r="12592" spans="1:15" ht="16" x14ac:dyDescent="0.2">
      <c r="A12592" s="17" t="str">
        <f>HYPERLINK("https://otsuka-europe-crm.veevavault.com/ui/#object/account__v/V4TZ06G6O71T8H2", "ANGELA DE URQUIA PALACIOS")</f>
        <v>ANGELA DE URQUIA PALACIOS</v>
      </c>
      <c r="B12592" s="17" t="str">
        <f>HYPERLINK("https://otsuka-europe-crm.veevavault.com/ui/#object/vcountry__v/VENZ000004SONF5", "ES")</f>
        <v>ES</v>
      </c>
      <c r="C12592" s="20" t="s">
        <v>41</v>
      </c>
      <c r="D12592" s="21" t="str">
        <f>HYPERLINK("https://otsuka-europe-crm.veevavault.com/ui/#object/approved_document__v/V5O00000000R009", "AM2M - PSIQUIATRIA - Guía manejo práctico AM2M")</f>
        <v>AM2M - PSIQUIATRIA - Guía manejo práctico AM2M</v>
      </c>
      <c r="E12592" s="22" t="str">
        <f>HYPERLINK("https://otsuka-europe-crm.veevavault.com/ui/#object/sent_email__v/VBL00000002Z036", "SE-001438421")</f>
        <v>SE-001438421</v>
      </c>
      <c r="F12592" s="23">
        <v>46199.509629629632</v>
      </c>
      <c r="G12592" s="24">
        <v>1</v>
      </c>
      <c r="H12592" s="24">
        <v>2</v>
      </c>
      <c r="I12592" s="24">
        <v>0</v>
      </c>
      <c r="J12592" s="25"/>
      <c r="K12592" s="24">
        <v>0</v>
      </c>
      <c r="L12592" s="22" t="str">
        <f>HYPERLINK("https://otsuka-europe-crm.veevavault.com/ui/#object/approved_document__v/V5O00000000R009", "AM2M - PSIQUIATRIA - Guía manejo práctico AM2M")</f>
        <v>AM2M - PSIQUIATRIA - Guía manejo práctico AM2M</v>
      </c>
      <c r="M12592" s="22" t="str">
        <f>HYPERLINK("mailto:jcastro@crm.otsuka-europe.com", "jcastro@crm.otsuka-europe.com")</f>
        <v>jcastro@crm.otsuka-europe.com</v>
      </c>
      <c r="N12592" s="23">
        <v>46199.464560185188</v>
      </c>
      <c r="O12592" s="14" t="str">
        <f>HYPERLINK("https://otsuka-europe-crm.veevavault.com/ui/#object/email_activity__v/V8C000000041070", "EN-002099807")</f>
        <v>EN-002099807</v>
      </c>
    </row>
    <row r="12593" spans="1:15" ht="16" x14ac:dyDescent="0.2">
      <c r="A12593" s="18"/>
      <c r="B12593" s="18"/>
      <c r="C12593" s="18"/>
      <c r="D12593" s="18"/>
      <c r="E12593" s="18"/>
      <c r="F12593" s="18"/>
      <c r="G12593" s="18"/>
      <c r="H12593" s="18"/>
      <c r="I12593" s="18"/>
      <c r="J12593" s="18"/>
      <c r="K12593" s="18"/>
      <c r="L12593" s="18"/>
      <c r="M12593" s="18"/>
      <c r="N12593" s="18"/>
      <c r="O12593" s="14" t="str">
        <f>HYPERLINK("https://otsuka-europe-crm.veevavault.com/ui/#object/email_activity__v/V8C000000041119", "EN-002099916")</f>
        <v>EN-002099916</v>
      </c>
    </row>
    <row r="12594" spans="1:15" ht="16" x14ac:dyDescent="0.2">
      <c r="A12594" s="19"/>
      <c r="B12594" s="19"/>
      <c r="C12594" s="19"/>
      <c r="D12594" s="19"/>
      <c r="E12594" s="19"/>
      <c r="F12594" s="19"/>
      <c r="G12594" s="19"/>
      <c r="H12594" s="19"/>
      <c r="I12594" s="19"/>
      <c r="J12594" s="19"/>
      <c r="K12594" s="19"/>
      <c r="L12594" s="19"/>
      <c r="M12594" s="19"/>
      <c r="N12594" s="19"/>
      <c r="O12594" s="14" t="str">
        <f>HYPERLINK("https://otsuka-europe-crm.veevavault.com/ui/#object/email_activity__v/V8C000000042140", "EN-002100014")</f>
        <v>EN-002100014</v>
      </c>
    </row>
    <row r="12595" spans="1:15" ht="16" x14ac:dyDescent="0.2">
      <c r="A12595" s="17" t="str">
        <f>HYPERLINK("https://otsuka-europe-crm.veevavault.com/ui/#object/account__v/V4TZ06G6O71TC7K", "MARIA JOSE SANCHEZ ROMERO")</f>
        <v>MARIA JOSE SANCHEZ ROMERO</v>
      </c>
      <c r="B12595" s="17" t="str">
        <f>HYPERLINK("https://otsuka-europe-crm.veevavault.com/ui/#object/vcountry__v/VENZ000004SONF5", "ES")</f>
        <v>ES</v>
      </c>
      <c r="C12595" s="20" t="s">
        <v>41</v>
      </c>
      <c r="D12595" s="21" t="str">
        <f>HYPERLINK("https://otsuka-europe-crm.veevavault.com/ui/#object/approved_document__v/V5O00000000R009", "AM2M - PSIQUIATRIA - Guía manejo práctico AM2M")</f>
        <v>AM2M - PSIQUIATRIA - Guía manejo práctico AM2M</v>
      </c>
      <c r="E12595" s="22" t="str">
        <f>HYPERLINK("https://otsuka-europe-crm.veevavault.com/ui/#object/sent_email__v/VBL00000002Z037", "SE-001438422")</f>
        <v>SE-001438422</v>
      </c>
      <c r="F12595" s="23">
        <v>46202.707708333335</v>
      </c>
      <c r="G12595" s="24">
        <v>1</v>
      </c>
      <c r="H12595" s="24">
        <v>2</v>
      </c>
      <c r="I12595" s="24">
        <v>0</v>
      </c>
      <c r="J12595" s="25"/>
      <c r="K12595" s="24">
        <v>0</v>
      </c>
      <c r="L12595" s="22" t="str">
        <f>HYPERLINK("https://otsuka-europe-crm.veevavault.com/ui/#object/approved_document__v/V5O00000000R009", "AM2M - PSIQUIATRIA - Guía manejo práctico AM2M")</f>
        <v>AM2M - PSIQUIATRIA - Guía manejo práctico AM2M</v>
      </c>
      <c r="M12595" s="22" t="str">
        <f>HYPERLINK("mailto:jcastro@crm.otsuka-europe.com", "jcastro@crm.otsuka-europe.com")</f>
        <v>jcastro@crm.otsuka-europe.com</v>
      </c>
      <c r="N12595" s="23">
        <v>46199.464560185188</v>
      </c>
      <c r="O12595" s="14" t="str">
        <f>HYPERLINK("https://otsuka-europe-crm.veevavault.com/ui/#object/email_activity__v/V8C000000041052", "EN-002099789")</f>
        <v>EN-002099789</v>
      </c>
    </row>
    <row r="12596" spans="1:15" ht="16" x14ac:dyDescent="0.2">
      <c r="A12596" s="18"/>
      <c r="B12596" s="18"/>
      <c r="C12596" s="18"/>
      <c r="D12596" s="18"/>
      <c r="E12596" s="18"/>
      <c r="F12596" s="18"/>
      <c r="G12596" s="18"/>
      <c r="H12596" s="18"/>
      <c r="I12596" s="18"/>
      <c r="J12596" s="18"/>
      <c r="K12596" s="18"/>
      <c r="L12596" s="18"/>
      <c r="M12596" s="18"/>
      <c r="N12596" s="18"/>
      <c r="O12596" s="14" t="str">
        <f>HYPERLINK("https://otsuka-europe-crm.veevavault.com/ui/#object/email_activity__v/V8C000000041242", "EN-002100149")</f>
        <v>EN-002100149</v>
      </c>
    </row>
    <row r="12597" spans="1:15" ht="16" x14ac:dyDescent="0.2">
      <c r="A12597" s="19"/>
      <c r="B12597" s="19"/>
      <c r="C12597" s="19"/>
      <c r="D12597" s="19"/>
      <c r="E12597" s="19"/>
      <c r="F12597" s="19"/>
      <c r="G12597" s="19"/>
      <c r="H12597" s="19"/>
      <c r="I12597" s="19"/>
      <c r="J12597" s="19"/>
      <c r="K12597" s="19"/>
      <c r="L12597" s="19"/>
      <c r="M12597" s="19"/>
      <c r="N12597" s="19"/>
      <c r="O12597" s="14" t="str">
        <f>HYPERLINK("https://otsuka-europe-crm.veevavault.com/ui/#object/email_activity__v/V8C000000041451", "EN-002100538")</f>
        <v>EN-002100538</v>
      </c>
    </row>
    <row r="12598" spans="1:15" ht="48" x14ac:dyDescent="0.2">
      <c r="A12598" s="7" t="str">
        <f>HYPERLINK("https://otsuka-europe-crm.veevavault.com/ui/#object/account__v/V4T000000003043", "ANA PATRICIA VAZQUEZ GONZALEZ")</f>
        <v>ANA PATRICIA VAZQUEZ GONZALEZ</v>
      </c>
      <c r="B12598" s="7" t="str">
        <f>HYPERLINK("https://otsuka-europe-crm.veevavault.com/ui/#object/vcountry__v/VENZ000004SONF5", "ES")</f>
        <v>ES</v>
      </c>
      <c r="C12598" s="8" t="s">
        <v>41</v>
      </c>
      <c r="D12598" s="9" t="str">
        <f>HYPERLINK("https://otsuka-europe-crm.veevavault.com/ui/#object/approved_document__v/V5O00000000R009", "AM2M - PSIQUIATRIA - Guía manejo práctico AM2M")</f>
        <v>AM2M - PSIQUIATRIA - Guía manejo práctico AM2M</v>
      </c>
      <c r="E12598" s="10" t="str">
        <f>HYPERLINK("https://otsuka-europe-crm.veevavault.com/ui/#object/sent_email__v/VBL00000002Z038", "SE-001438423")</f>
        <v>SE-001438423</v>
      </c>
      <c r="F12598" s="11"/>
      <c r="G12598" s="12">
        <v>0</v>
      </c>
      <c r="H12598" s="12">
        <v>0</v>
      </c>
      <c r="I12598" s="12">
        <v>0</v>
      </c>
      <c r="J12598" s="11"/>
      <c r="K12598" s="12">
        <v>0</v>
      </c>
      <c r="L12598" s="10" t="str">
        <f>HYPERLINK("https://otsuka-europe-crm.veevavault.com/ui/#object/approved_document__v/V5O00000000R009", "AM2M - PSIQUIATRIA - Guía manejo práctico AM2M")</f>
        <v>AM2M - PSIQUIATRIA - Guía manejo práctico AM2M</v>
      </c>
      <c r="M12598" s="10" t="str">
        <f>HYPERLINK("mailto:jcastro@crm.otsuka-europe.com", "jcastro@crm.otsuka-europe.com")</f>
        <v>jcastro@crm.otsuka-europe.com</v>
      </c>
      <c r="N12598" s="13">
        <v>46199.464594907404</v>
      </c>
      <c r="O12598" s="14" t="str">
        <f>HYPERLINK("https://otsuka-europe-crm.veevavault.com/ui/#object/email_activity__v/V8C000000041103", "EN-002099894")</f>
        <v>EN-002099894</v>
      </c>
    </row>
    <row r="12599" spans="1:15" ht="16" x14ac:dyDescent="0.2">
      <c r="A12599" s="17" t="str">
        <f>HYPERLINK("https://otsuka-europe-crm.veevavault.com/ui/#object/account__v/V4TZ06G6O71T7N7", "JESUS GARCIA JIMENEZ")</f>
        <v>JESUS GARCIA JIMENEZ</v>
      </c>
      <c r="B12599" s="17" t="str">
        <f>HYPERLINK("https://otsuka-europe-crm.veevavault.com/ui/#object/vcountry__v/VENZ000004SONF5", "ES")</f>
        <v>ES</v>
      </c>
      <c r="C12599" s="20" t="s">
        <v>41</v>
      </c>
      <c r="D12599" s="21" t="str">
        <f>HYPERLINK("https://otsuka-europe-crm.veevavault.com/ui/#object/approved_document__v/V5O00000000R009", "AM2M - PSIQUIATRIA - Guía manejo práctico AM2M")</f>
        <v>AM2M - PSIQUIATRIA - Guía manejo práctico AM2M</v>
      </c>
      <c r="E12599" s="22" t="str">
        <f>HYPERLINK("https://otsuka-europe-crm.veevavault.com/ui/#object/sent_email__v/VBL00000002Z039", "SE-001438424")</f>
        <v>SE-001438424</v>
      </c>
      <c r="F12599" s="25"/>
      <c r="G12599" s="24">
        <v>0</v>
      </c>
      <c r="H12599" s="24">
        <v>0</v>
      </c>
      <c r="I12599" s="24">
        <v>0</v>
      </c>
      <c r="J12599" s="25"/>
      <c r="K12599" s="24">
        <v>0</v>
      </c>
      <c r="L12599" s="22" t="str">
        <f>HYPERLINK("https://otsuka-europe-crm.veevavault.com/ui/#object/approved_document__v/V5O00000000R009", "AM2M - PSIQUIATRIA - Guía manejo práctico AM2M")</f>
        <v>AM2M - PSIQUIATRIA - Guía manejo práctico AM2M</v>
      </c>
      <c r="M12599" s="22" t="str">
        <f>HYPERLINK("mailto:jcastro@crm.otsuka-europe.com", "jcastro@crm.otsuka-europe.com")</f>
        <v>jcastro@crm.otsuka-europe.com</v>
      </c>
      <c r="N12599" s="23">
        <v>46199.464560185188</v>
      </c>
      <c r="O12599" s="14" t="str">
        <f>HYPERLINK("https://otsuka-europe-crm.veevavault.com/ui/#object/email_activity__v/V8C000000042104", "EN-002099913")</f>
        <v>EN-002099913</v>
      </c>
    </row>
    <row r="12600" spans="1:15" ht="16" x14ac:dyDescent="0.2">
      <c r="A12600" s="19"/>
      <c r="B12600" s="19"/>
      <c r="C12600" s="19"/>
      <c r="D12600" s="19"/>
      <c r="E12600" s="19"/>
      <c r="F12600" s="19"/>
      <c r="G12600" s="19"/>
      <c r="H12600" s="19"/>
      <c r="I12600" s="19"/>
      <c r="J12600" s="19"/>
      <c r="K12600" s="19"/>
      <c r="L12600" s="19"/>
      <c r="M12600" s="19"/>
      <c r="N12600" s="19"/>
      <c r="O12600" s="14" t="str">
        <f>HYPERLINK("https://otsuka-europe-crm.veevavault.com/ui/#object/email_activity__v/V8C000000042232", "EN-002100175")</f>
        <v>EN-002100175</v>
      </c>
    </row>
    <row r="12601" spans="1:15" ht="16" x14ac:dyDescent="0.2">
      <c r="A12601" s="17" t="str">
        <f>HYPERLINK("https://otsuka-europe-crm.veevavault.com/ui/#object/account__v/V4TZ06G6O71TA5H", "LUIS GUTIERREZ ROJAS")</f>
        <v>LUIS GUTIERREZ ROJAS</v>
      </c>
      <c r="B12601" s="17" t="str">
        <f>HYPERLINK("https://otsuka-europe-crm.veevavault.com/ui/#object/vcountry__v/VENZ000004SONF5", "ES")</f>
        <v>ES</v>
      </c>
      <c r="C12601" s="20" t="s">
        <v>41</v>
      </c>
      <c r="D12601" s="21" t="str">
        <f>HYPERLINK("https://otsuka-europe-crm.veevavault.com/ui/#object/approved_document__v/V5O00000000R009", "AM2M - PSIQUIATRIA - Guía manejo práctico AM2M")</f>
        <v>AM2M - PSIQUIATRIA - Guía manejo práctico AM2M</v>
      </c>
      <c r="E12601" s="22" t="str">
        <f>HYPERLINK("https://otsuka-europe-crm.veevavault.com/ui/#object/sent_email__v/VBL00000002Z040", "SE-001438425")</f>
        <v>SE-001438425</v>
      </c>
      <c r="F12601" s="25"/>
      <c r="G12601" s="24">
        <v>0</v>
      </c>
      <c r="H12601" s="24">
        <v>0</v>
      </c>
      <c r="I12601" s="24">
        <v>0</v>
      </c>
      <c r="J12601" s="25"/>
      <c r="K12601" s="24">
        <v>0</v>
      </c>
      <c r="L12601" s="22" t="str">
        <f>HYPERLINK("https://otsuka-europe-crm.veevavault.com/ui/#object/approved_document__v/V5O00000000R009", "AM2M - PSIQUIATRIA - Guía manejo práctico AM2M")</f>
        <v>AM2M - PSIQUIATRIA - Guía manejo práctico AM2M</v>
      </c>
      <c r="M12601" s="22" t="str">
        <f>HYPERLINK("mailto:jcastro@crm.otsuka-europe.com", "jcastro@crm.otsuka-europe.com")</f>
        <v>jcastro@crm.otsuka-europe.com</v>
      </c>
      <c r="N12601" s="23">
        <v>46199.464606481481</v>
      </c>
      <c r="O12601" s="14" t="str">
        <f>HYPERLINK("https://otsuka-europe-crm.veevavault.com/ui/#object/email_activity__v/V8C000000041115", "EN-002099906")</f>
        <v>EN-002099906</v>
      </c>
    </row>
    <row r="12602" spans="1:15" ht="16" x14ac:dyDescent="0.2">
      <c r="A12602" s="19"/>
      <c r="B12602" s="19"/>
      <c r="C12602" s="19"/>
      <c r="D12602" s="19"/>
      <c r="E12602" s="19"/>
      <c r="F12602" s="19"/>
      <c r="G12602" s="19"/>
      <c r="H12602" s="19"/>
      <c r="I12602" s="19"/>
      <c r="J12602" s="19"/>
      <c r="K12602" s="19"/>
      <c r="L12602" s="19"/>
      <c r="M12602" s="19"/>
      <c r="N12602" s="19"/>
      <c r="O12602" s="14" t="str">
        <f>HYPERLINK("https://otsuka-europe-crm.veevavault.com/ui/#object/email_activity__v/V8C000000042200", "EN-002100117")</f>
        <v>EN-002100117</v>
      </c>
    </row>
    <row r="12603" spans="1:15" ht="16" x14ac:dyDescent="0.2">
      <c r="A12603" s="17" t="str">
        <f>HYPERLINK("https://otsuka-europe-crm.veevavault.com/ui/#object/account__v/V4TZ06G6O71T7CP", "MACARENA MARIA MARIN OLALLA")</f>
        <v>MACARENA MARIA MARIN OLALLA</v>
      </c>
      <c r="B12603" s="17" t="str">
        <f>HYPERLINK("https://otsuka-europe-crm.veevavault.com/ui/#object/vcountry__v/VENZ000004SONF5", "ES")</f>
        <v>ES</v>
      </c>
      <c r="C12603" s="20" t="s">
        <v>41</v>
      </c>
      <c r="D12603" s="21" t="str">
        <f>HYPERLINK("https://otsuka-europe-crm.veevavault.com/ui/#object/approved_document__v/V5O00000000R009", "AM2M - PSIQUIATRIA - Guía manejo práctico AM2M")</f>
        <v>AM2M - PSIQUIATRIA - Guía manejo práctico AM2M</v>
      </c>
      <c r="E12603" s="22" t="str">
        <f>HYPERLINK("https://otsuka-europe-crm.veevavault.com/ui/#object/sent_email__v/VBL00000002Z041", "SE-001438426")</f>
        <v>SE-001438426</v>
      </c>
      <c r="F12603" s="23">
        <v>46199.549097222225</v>
      </c>
      <c r="G12603" s="24">
        <v>1</v>
      </c>
      <c r="H12603" s="24">
        <v>1</v>
      </c>
      <c r="I12603" s="24">
        <v>0</v>
      </c>
      <c r="J12603" s="25"/>
      <c r="K12603" s="24">
        <v>0</v>
      </c>
      <c r="L12603" s="22" t="str">
        <f>HYPERLINK("https://otsuka-europe-crm.veevavault.com/ui/#object/approved_document__v/V5O00000000R009", "AM2M - PSIQUIATRIA - Guía manejo práctico AM2M")</f>
        <v>AM2M - PSIQUIATRIA - Guía manejo práctico AM2M</v>
      </c>
      <c r="M12603" s="22" t="str">
        <f>HYPERLINK("mailto:jcastro@crm.otsuka-europe.com", "jcastro@crm.otsuka-europe.com")</f>
        <v>jcastro@crm.otsuka-europe.com</v>
      </c>
      <c r="N12603" s="23">
        <v>46199.464560185188</v>
      </c>
      <c r="O12603" s="14" t="str">
        <f>HYPERLINK("https://otsuka-europe-crm.veevavault.com/ui/#object/email_activity__v/V8C000000041069", "EN-002099806")</f>
        <v>EN-002099806</v>
      </c>
    </row>
    <row r="12604" spans="1:15" ht="16" x14ac:dyDescent="0.2">
      <c r="A12604" s="19"/>
      <c r="B12604" s="19"/>
      <c r="C12604" s="19"/>
      <c r="D12604" s="19"/>
      <c r="E12604" s="19"/>
      <c r="F12604" s="19"/>
      <c r="G12604" s="19"/>
      <c r="H12604" s="19"/>
      <c r="I12604" s="19"/>
      <c r="J12604" s="19"/>
      <c r="K12604" s="19"/>
      <c r="L12604" s="19"/>
      <c r="M12604" s="19"/>
      <c r="N12604" s="19"/>
      <c r="O12604" s="14" t="str">
        <f>HYPERLINK("https://otsuka-europe-crm.veevavault.com/ui/#object/email_activity__v/V8C000000042158", "EN-002100042")</f>
        <v>EN-002100042</v>
      </c>
    </row>
    <row r="12605" spans="1:15" ht="16" x14ac:dyDescent="0.2">
      <c r="A12605" s="17" t="str">
        <f>HYPERLINK("https://otsuka-europe-crm.veevavault.com/ui/#object/account__v/V4TZ06G6O71T7N8", "CARLOS MARTINEZ HINOJOSA")</f>
        <v>CARLOS MARTINEZ HINOJOSA</v>
      </c>
      <c r="B12605" s="17" t="str">
        <f>HYPERLINK("https://otsuka-europe-crm.veevavault.com/ui/#object/vcountry__v/VENZ000004SONF5", "ES")</f>
        <v>ES</v>
      </c>
      <c r="C12605" s="20" t="s">
        <v>41</v>
      </c>
      <c r="D12605" s="21" t="str">
        <f>HYPERLINK("https://otsuka-europe-crm.veevavault.com/ui/#object/approved_document__v/V5O00000000R009", "AM2M - PSIQUIATRIA - Guía manejo práctico AM2M")</f>
        <v>AM2M - PSIQUIATRIA - Guía manejo práctico AM2M</v>
      </c>
      <c r="E12605" s="22" t="str">
        <f>HYPERLINK("https://otsuka-europe-crm.veevavault.com/ui/#object/sent_email__v/VBL00000002Z042", "SE-001438427")</f>
        <v>SE-001438427</v>
      </c>
      <c r="F12605" s="25"/>
      <c r="G12605" s="24">
        <v>0</v>
      </c>
      <c r="H12605" s="24">
        <v>0</v>
      </c>
      <c r="I12605" s="24">
        <v>0</v>
      </c>
      <c r="J12605" s="25"/>
      <c r="K12605" s="24">
        <v>0</v>
      </c>
      <c r="L12605" s="22" t="str">
        <f>HYPERLINK("https://otsuka-europe-crm.veevavault.com/ui/#object/approved_document__v/V5O00000000R009", "AM2M - PSIQUIATRIA - Guía manejo práctico AM2M")</f>
        <v>AM2M - PSIQUIATRIA - Guía manejo práctico AM2M</v>
      </c>
      <c r="M12605" s="22" t="str">
        <f>HYPERLINK("mailto:jcastro@crm.otsuka-europe.com", "jcastro@crm.otsuka-europe.com")</f>
        <v>jcastro@crm.otsuka-europe.com</v>
      </c>
      <c r="N12605" s="23">
        <v>46199.464560185188</v>
      </c>
      <c r="O12605" s="14" t="str">
        <f>HYPERLINK("https://otsuka-europe-crm.veevavault.com/ui/#object/email_activity__v/V8C000000042090", "EN-002099872")</f>
        <v>EN-002099872</v>
      </c>
    </row>
    <row r="12606" spans="1:15" ht="16" x14ac:dyDescent="0.2">
      <c r="A12606" s="19"/>
      <c r="B12606" s="19"/>
      <c r="C12606" s="19"/>
      <c r="D12606" s="19"/>
      <c r="E12606" s="19"/>
      <c r="F12606" s="19"/>
      <c r="G12606" s="19"/>
      <c r="H12606" s="19"/>
      <c r="I12606" s="19"/>
      <c r="J12606" s="19"/>
      <c r="K12606" s="19"/>
      <c r="L12606" s="19"/>
      <c r="M12606" s="19"/>
      <c r="N12606" s="19"/>
      <c r="O12606" s="14" t="str">
        <f>HYPERLINK("https://otsuka-europe-crm.veevavault.com/ui/#object/email_activity__v/V8C000000042214", "EN-002100143")</f>
        <v>EN-002100143</v>
      </c>
    </row>
    <row r="12607" spans="1:15" ht="48" x14ac:dyDescent="0.2">
      <c r="A12607" s="7" t="str">
        <f>HYPERLINK("https://otsuka-europe-crm.veevavault.com/ui/#object/account__v/V4TZ06G6O71T9TA", "FRANCISCO DIAZ ATIENZA")</f>
        <v>FRANCISCO DIAZ ATIENZA</v>
      </c>
      <c r="B12607" s="7" t="str">
        <f>HYPERLINK("https://otsuka-europe-crm.veevavault.com/ui/#object/vcountry__v/VENZ000004SONF5", "ES")</f>
        <v>ES</v>
      </c>
      <c r="C12607" s="8" t="s">
        <v>41</v>
      </c>
      <c r="D12607" s="9" t="str">
        <f>HYPERLINK("https://otsuka-europe-crm.veevavault.com/ui/#object/approved_document__v/V5O00000000R009", "AM2M - PSIQUIATRIA - Guía manejo práctico AM2M")</f>
        <v>AM2M - PSIQUIATRIA - Guía manejo práctico AM2M</v>
      </c>
      <c r="E12607" s="10" t="str">
        <f>HYPERLINK("https://otsuka-europe-crm.veevavault.com/ui/#object/sent_email__v/VBL00000002Z043", "SE-001438428")</f>
        <v>SE-001438428</v>
      </c>
      <c r="F12607" s="11"/>
      <c r="G12607" s="12">
        <v>0</v>
      </c>
      <c r="H12607" s="12">
        <v>0</v>
      </c>
      <c r="I12607" s="12">
        <v>0</v>
      </c>
      <c r="J12607" s="11"/>
      <c r="K12607" s="12">
        <v>0</v>
      </c>
      <c r="L12607" s="10" t="str">
        <f>HYPERLINK("https://otsuka-europe-crm.veevavault.com/ui/#object/approved_document__v/V5O00000000R009", "AM2M - PSIQUIATRIA - Guía manejo práctico AM2M")</f>
        <v>AM2M - PSIQUIATRIA - Guía manejo práctico AM2M</v>
      </c>
      <c r="M12607" s="10" t="str">
        <f>HYPERLINK("mailto:jcastro@crm.otsuka-europe.com", "jcastro@crm.otsuka-europe.com")</f>
        <v>jcastro@crm.otsuka-europe.com</v>
      </c>
      <c r="N12607" s="13">
        <v>46199.464560185188</v>
      </c>
      <c r="O12607" s="14" t="str">
        <f>HYPERLINK("https://otsuka-europe-crm.veevavault.com/ui/#object/email_activity__v/V8C000000041049", "EN-002099786")</f>
        <v>EN-002099786</v>
      </c>
    </row>
    <row r="12608" spans="1:15" ht="16" x14ac:dyDescent="0.2">
      <c r="A12608" s="17" t="str">
        <f>HYPERLINK("https://otsuka-europe-crm.veevavault.com/ui/#object/account__v/V4TZ025E82HX0AM", "MARIA BELLIDO PEREZ")</f>
        <v>MARIA BELLIDO PEREZ</v>
      </c>
      <c r="B12608" s="17" t="str">
        <f>HYPERLINK("https://otsuka-europe-crm.veevavault.com/ui/#object/vcountry__v/VENZ000004SONF5", "ES")</f>
        <v>ES</v>
      </c>
      <c r="C12608" s="20" t="s">
        <v>41</v>
      </c>
      <c r="D12608" s="21" t="str">
        <f>HYPERLINK("https://otsuka-europe-crm.veevavault.com/ui/#object/approved_document__v/V5O00000000R009", "AM2M - PSIQUIATRIA - Guía manejo práctico AM2M")</f>
        <v>AM2M - PSIQUIATRIA - Guía manejo práctico AM2M</v>
      </c>
      <c r="E12608" s="22" t="str">
        <f>HYPERLINK("https://otsuka-europe-crm.veevavault.com/ui/#object/sent_email__v/VBL00000002Z044", "SE-001438429")</f>
        <v>SE-001438429</v>
      </c>
      <c r="F12608" s="25"/>
      <c r="G12608" s="24">
        <v>0</v>
      </c>
      <c r="H12608" s="24">
        <v>0</v>
      </c>
      <c r="I12608" s="24">
        <v>0</v>
      </c>
      <c r="J12608" s="25"/>
      <c r="K12608" s="24">
        <v>0</v>
      </c>
      <c r="L12608" s="22" t="str">
        <f>HYPERLINK("https://otsuka-europe-crm.veevavault.com/ui/#object/approved_document__v/V5O00000000R009", "AM2M - PSIQUIATRIA - Guía manejo práctico AM2M")</f>
        <v>AM2M - PSIQUIATRIA - Guía manejo práctico AM2M</v>
      </c>
      <c r="M12608" s="22" t="str">
        <f>HYPERLINK("mailto:jcastro@crm.otsuka-europe.com", "jcastro@crm.otsuka-europe.com")</f>
        <v>jcastro@crm.otsuka-europe.com</v>
      </c>
      <c r="N12608" s="23">
        <v>46199.464560185188</v>
      </c>
      <c r="O12608" s="14" t="str">
        <f>HYPERLINK("https://otsuka-europe-crm.veevavault.com/ui/#object/email_activity__v/V8C000000041082", "EN-002099853")</f>
        <v>EN-002099853</v>
      </c>
    </row>
    <row r="12609" spans="1:15" ht="16" x14ac:dyDescent="0.2">
      <c r="A12609" s="19"/>
      <c r="B12609" s="19"/>
      <c r="C12609" s="19"/>
      <c r="D12609" s="19"/>
      <c r="E12609" s="19"/>
      <c r="F12609" s="19"/>
      <c r="G12609" s="19"/>
      <c r="H12609" s="19"/>
      <c r="I12609" s="19"/>
      <c r="J12609" s="19"/>
      <c r="K12609" s="19"/>
      <c r="L12609" s="19"/>
      <c r="M12609" s="19"/>
      <c r="N12609" s="19"/>
      <c r="O12609" s="14" t="str">
        <f>HYPERLINK("https://otsuka-europe-crm.veevavault.com/ui/#object/email_activity__v/V8C000000041237", "EN-002100135")</f>
        <v>EN-002100135</v>
      </c>
    </row>
    <row r="12610" spans="1:15" ht="48" x14ac:dyDescent="0.2">
      <c r="A12610" s="7" t="str">
        <f>HYPERLINK("https://otsuka-europe-crm.veevavault.com/ui/#object/account__v/V4TZ06G6O71URSK", "ALBERTO RAYA PLATERO")</f>
        <v>ALBERTO RAYA PLATERO</v>
      </c>
      <c r="B12610" s="7" t="str">
        <f>HYPERLINK("https://otsuka-europe-crm.veevavault.com/ui/#object/vcountry__v/VENZ000004SONF5", "ES")</f>
        <v>ES</v>
      </c>
      <c r="C12610" s="8" t="s">
        <v>41</v>
      </c>
      <c r="D12610" s="9" t="str">
        <f>HYPERLINK("https://otsuka-europe-crm.veevavault.com/ui/#object/approved_document__v/V5O00000000R009", "AM2M - PSIQUIATRIA - Guía manejo práctico AM2M")</f>
        <v>AM2M - PSIQUIATRIA - Guía manejo práctico AM2M</v>
      </c>
      <c r="E12610" s="10" t="str">
        <f>HYPERLINK("https://otsuka-europe-crm.veevavault.com/ui/#object/sent_email__v/VBL00000002Z045", "SE-001438430")</f>
        <v>SE-001438430</v>
      </c>
      <c r="F12610" s="11"/>
      <c r="G12610" s="12">
        <v>0</v>
      </c>
      <c r="H12610" s="12">
        <v>0</v>
      </c>
      <c r="I12610" s="12">
        <v>0</v>
      </c>
      <c r="J12610" s="11"/>
      <c r="K12610" s="12">
        <v>0</v>
      </c>
      <c r="L12610" s="10" t="str">
        <f>HYPERLINK("https://otsuka-europe-crm.veevavault.com/ui/#object/approved_document__v/V5O00000000R009", "AM2M - PSIQUIATRIA - Guía manejo práctico AM2M")</f>
        <v>AM2M - PSIQUIATRIA - Guía manejo práctico AM2M</v>
      </c>
      <c r="M12610" s="10" t="str">
        <f>HYPERLINK("mailto:jcastro@crm.otsuka-europe.com", "jcastro@crm.otsuka-europe.com")</f>
        <v>jcastro@crm.otsuka-europe.com</v>
      </c>
      <c r="N12610" s="13">
        <v>46199.464594907404</v>
      </c>
      <c r="O12610" s="14" t="str">
        <f>HYPERLINK("https://otsuka-europe-crm.veevavault.com/ui/#object/email_activity__v/V8C000000041105", "EN-002099896")</f>
        <v>EN-002099896</v>
      </c>
    </row>
    <row r="12611" spans="1:15" ht="16" x14ac:dyDescent="0.2">
      <c r="A12611" s="17" t="str">
        <f>HYPERLINK("https://otsuka-europe-crm.veevavault.com/ui/#object/account__v/V4TZ06G6O71TCL9", "CLARA ISABEL VAZQUEZ ARJONA")</f>
        <v>CLARA ISABEL VAZQUEZ ARJONA</v>
      </c>
      <c r="B12611" s="17" t="str">
        <f>HYPERLINK("https://otsuka-europe-crm.veevavault.com/ui/#object/vcountry__v/VENZ000004SONF5", "ES")</f>
        <v>ES</v>
      </c>
      <c r="C12611" s="20" t="s">
        <v>41</v>
      </c>
      <c r="D12611" s="21" t="str">
        <f>HYPERLINK("https://otsuka-europe-crm.veevavault.com/ui/#object/approved_document__v/V5O00000000R009", "AM2M - PSIQUIATRIA - Guía manejo práctico AM2M")</f>
        <v>AM2M - PSIQUIATRIA - Guía manejo práctico AM2M</v>
      </c>
      <c r="E12611" s="22" t="str">
        <f>HYPERLINK("https://otsuka-europe-crm.veevavault.com/ui/#object/sent_email__v/VBL00000002Z046", "SE-001438431")</f>
        <v>SE-001438431</v>
      </c>
      <c r="F12611" s="23">
        <v>46201.651597222219</v>
      </c>
      <c r="G12611" s="24">
        <v>1</v>
      </c>
      <c r="H12611" s="24">
        <v>1</v>
      </c>
      <c r="I12611" s="24">
        <v>0</v>
      </c>
      <c r="J12611" s="25"/>
      <c r="K12611" s="24">
        <v>0</v>
      </c>
      <c r="L12611" s="22" t="str">
        <f>HYPERLINK("https://otsuka-europe-crm.veevavault.com/ui/#object/approved_document__v/V5O00000000R009", "AM2M - PSIQUIATRIA - Guía manejo práctico AM2M")</f>
        <v>AM2M - PSIQUIATRIA - Guía manejo práctico AM2M</v>
      </c>
      <c r="M12611" s="22" t="str">
        <f>HYPERLINK("mailto:jcastro@crm.otsuka-europe.com", "jcastro@crm.otsuka-europe.com")</f>
        <v>jcastro@crm.otsuka-europe.com</v>
      </c>
      <c r="N12611" s="23">
        <v>46199.464594907404</v>
      </c>
      <c r="O12611" s="14" t="str">
        <f>HYPERLINK("https://otsuka-europe-crm.veevavault.com/ui/#object/email_activity__v/V8C000000041112", "EN-002099903")</f>
        <v>EN-002099903</v>
      </c>
    </row>
    <row r="12612" spans="1:15" ht="16" x14ac:dyDescent="0.2">
      <c r="A12612" s="18"/>
      <c r="B12612" s="18"/>
      <c r="C12612" s="18"/>
      <c r="D12612" s="18"/>
      <c r="E12612" s="18"/>
      <c r="F12612" s="18"/>
      <c r="G12612" s="18"/>
      <c r="H12612" s="18"/>
      <c r="I12612" s="18"/>
      <c r="J12612" s="18"/>
      <c r="K12612" s="18"/>
      <c r="L12612" s="18"/>
      <c r="M12612" s="18"/>
      <c r="N12612" s="18"/>
      <c r="O12612" s="14" t="str">
        <f>HYPERLINK("https://otsuka-europe-crm.veevavault.com/ui/#object/email_activity__v/V8C000000041223", "EN-002100109")</f>
        <v>EN-002100109</v>
      </c>
    </row>
    <row r="12613" spans="1:15" ht="16" x14ac:dyDescent="0.2">
      <c r="A12613" s="19"/>
      <c r="B12613" s="19"/>
      <c r="C12613" s="19"/>
      <c r="D12613" s="19"/>
      <c r="E12613" s="19"/>
      <c r="F12613" s="19"/>
      <c r="G12613" s="19"/>
      <c r="H12613" s="19"/>
      <c r="I12613" s="19"/>
      <c r="J12613" s="19"/>
      <c r="K12613" s="19"/>
      <c r="L12613" s="19"/>
      <c r="M12613" s="19"/>
      <c r="N12613" s="19"/>
      <c r="O12613" s="14" t="str">
        <f>HYPERLINK("https://otsuka-europe-crm.veevavault.com/ui/#object/email_activity__v/V8C000000042275", "EN-002100261")</f>
        <v>EN-002100261</v>
      </c>
    </row>
    <row r="12614" spans="1:15" ht="48" x14ac:dyDescent="0.2">
      <c r="A12614" s="7" t="str">
        <f>HYPERLINK("https://otsuka-europe-crm.veevavault.com/ui/#object/account__v/V4TZ06G6O71UQRT", "FRANCISCO JOSE GOMEZ SIERRA")</f>
        <v>FRANCISCO JOSE GOMEZ SIERRA</v>
      </c>
      <c r="B12614" s="7" t="str">
        <f>HYPERLINK("https://otsuka-europe-crm.veevavault.com/ui/#object/vcountry__v/VENZ000004SONF5", "ES")</f>
        <v>ES</v>
      </c>
      <c r="C12614" s="8" t="s">
        <v>41</v>
      </c>
      <c r="D12614" s="9" t="str">
        <f>HYPERLINK("https://otsuka-europe-crm.veevavault.com/ui/#object/approved_document__v/V5O00000000R009", "AM2M - PSIQUIATRIA - Guía manejo práctico AM2M")</f>
        <v>AM2M - PSIQUIATRIA - Guía manejo práctico AM2M</v>
      </c>
      <c r="E12614" s="10" t="str">
        <f>HYPERLINK("https://otsuka-europe-crm.veevavault.com/ui/#object/sent_email__v/VBL00000002Z047", "SE-001438432")</f>
        <v>SE-001438432</v>
      </c>
      <c r="F12614" s="11"/>
      <c r="G12614" s="12">
        <v>0</v>
      </c>
      <c r="H12614" s="12">
        <v>0</v>
      </c>
      <c r="I12614" s="12">
        <v>0</v>
      </c>
      <c r="J12614" s="11"/>
      <c r="K12614" s="12">
        <v>0</v>
      </c>
      <c r="L12614" s="10" t="str">
        <f>HYPERLINK("https://otsuka-europe-crm.veevavault.com/ui/#object/approved_document__v/V5O00000000R009", "AM2M - PSIQUIATRIA - Guía manejo práctico AM2M")</f>
        <v>AM2M - PSIQUIATRIA - Guía manejo práctico AM2M</v>
      </c>
      <c r="M12614" s="10" t="str">
        <f>HYPERLINK("mailto:jcastro@crm.otsuka-europe.com", "jcastro@crm.otsuka-europe.com")</f>
        <v>jcastro@crm.otsuka-europe.com</v>
      </c>
      <c r="N12614" s="13">
        <v>46199.464560185188</v>
      </c>
      <c r="O12614" s="14" t="str">
        <f>HYPERLINK("https://otsuka-europe-crm.veevavault.com/ui/#object/email_activity__v/V8C000000041076", "EN-002099813")</f>
        <v>EN-002099813</v>
      </c>
    </row>
    <row r="12615" spans="1:15" ht="16" x14ac:dyDescent="0.2">
      <c r="A12615" s="17" t="str">
        <f>HYPERLINK("https://otsuka-europe-crm.veevavault.com/ui/#object/account__v/V4TZ025E83AOP66", "PEDRO ALVAREZ CAMARERO")</f>
        <v>PEDRO ALVAREZ CAMARERO</v>
      </c>
      <c r="B12615" s="17" t="str">
        <f>HYPERLINK("https://otsuka-europe-crm.veevavault.com/ui/#object/vcountry__v/VENZ000004SONF5", "ES")</f>
        <v>ES</v>
      </c>
      <c r="C12615" s="20" t="s">
        <v>41</v>
      </c>
      <c r="D12615" s="21" t="str">
        <f>HYPERLINK("https://otsuka-europe-crm.veevavault.com/ui/#object/approved_document__v/V5O00000000R009", "AM2M - PSIQUIATRIA - Guía manejo práctico AM2M")</f>
        <v>AM2M - PSIQUIATRIA - Guía manejo práctico AM2M</v>
      </c>
      <c r="E12615" s="22" t="str">
        <f>HYPERLINK("https://otsuka-europe-crm.veevavault.com/ui/#object/sent_email__v/VBL00000002Z048", "SE-001438433")</f>
        <v>SE-001438433</v>
      </c>
      <c r="F12615" s="25"/>
      <c r="G12615" s="24">
        <v>0</v>
      </c>
      <c r="H12615" s="24">
        <v>0</v>
      </c>
      <c r="I12615" s="24">
        <v>0</v>
      </c>
      <c r="J12615" s="25"/>
      <c r="K12615" s="24">
        <v>0</v>
      </c>
      <c r="L12615" s="22" t="str">
        <f>HYPERLINK("https://otsuka-europe-crm.veevavault.com/ui/#object/approved_document__v/V5O00000000R009", "AM2M - PSIQUIATRIA - Guía manejo práctico AM2M")</f>
        <v>AM2M - PSIQUIATRIA - Guía manejo práctico AM2M</v>
      </c>
      <c r="M12615" s="22" t="str">
        <f>HYPERLINK("mailto:jcastro@crm.otsuka-europe.com", "jcastro@crm.otsuka-europe.com")</f>
        <v>jcastro@crm.otsuka-europe.com</v>
      </c>
      <c r="N12615" s="23">
        <v>46199.464560185188</v>
      </c>
      <c r="O12615" s="14" t="str">
        <f>HYPERLINK("https://otsuka-europe-crm.veevavault.com/ui/#object/email_activity__v/V8C000000041050", "EN-002099787")</f>
        <v>EN-002099787</v>
      </c>
    </row>
    <row r="12616" spans="1:15" ht="16" x14ac:dyDescent="0.2">
      <c r="A12616" s="19"/>
      <c r="B12616" s="19"/>
      <c r="C12616" s="19"/>
      <c r="D12616" s="19"/>
      <c r="E12616" s="19"/>
      <c r="F12616" s="19"/>
      <c r="G12616" s="19"/>
      <c r="H12616" s="19"/>
      <c r="I12616" s="19"/>
      <c r="J12616" s="19"/>
      <c r="K12616" s="19"/>
      <c r="L12616" s="19"/>
      <c r="M12616" s="19"/>
      <c r="N12616" s="19"/>
      <c r="O12616" s="14" t="str">
        <f>HYPERLINK("https://otsuka-europe-crm.veevavault.com/ui/#object/email_activity__v/V8C000000041178", "EN-002099994")</f>
        <v>EN-002099994</v>
      </c>
    </row>
    <row r="12617" spans="1:15" ht="48" x14ac:dyDescent="0.2">
      <c r="A12617" s="7" t="str">
        <f>HYPERLINK("https://otsuka-europe-crm.veevavault.com/ui/#object/account__v/V4TZ06G6O71T9VI", "JOSE FRANCISCO GUERRERO VELAZQUEZ")</f>
        <v>JOSE FRANCISCO GUERRERO VELAZQUEZ</v>
      </c>
      <c r="B12617" s="7" t="str">
        <f>HYPERLINK("https://otsuka-europe-crm.veevavault.com/ui/#object/vcountry__v/VENZ000004SONF5", "ES")</f>
        <v>ES</v>
      </c>
      <c r="C12617" s="8" t="s">
        <v>41</v>
      </c>
      <c r="D12617" s="9" t="str">
        <f>HYPERLINK("https://otsuka-europe-crm.veevavault.com/ui/#object/approved_document__v/V5O00000000R009", "AM2M - PSIQUIATRIA - Guía manejo práctico AM2M")</f>
        <v>AM2M - PSIQUIATRIA - Guía manejo práctico AM2M</v>
      </c>
      <c r="E12617" s="10" t="str">
        <f>HYPERLINK("https://otsuka-europe-crm.veevavault.com/ui/#object/sent_email__v/VBL00000002Z049", "SE-001438434")</f>
        <v>SE-001438434</v>
      </c>
      <c r="F12617" s="11"/>
      <c r="G12617" s="12">
        <v>0</v>
      </c>
      <c r="H12617" s="12">
        <v>0</v>
      </c>
      <c r="I12617" s="12">
        <v>0</v>
      </c>
      <c r="J12617" s="11"/>
      <c r="K12617" s="12">
        <v>0</v>
      </c>
      <c r="L12617" s="10" t="str">
        <f>HYPERLINK("https://otsuka-europe-crm.veevavault.com/ui/#object/approved_document__v/V5O00000000R009", "AM2M - PSIQUIATRIA - Guía manejo práctico AM2M")</f>
        <v>AM2M - PSIQUIATRIA - Guía manejo práctico AM2M</v>
      </c>
      <c r="M12617" s="10" t="str">
        <f>HYPERLINK("mailto:jcastro@crm.otsuka-europe.com", "jcastro@crm.otsuka-europe.com")</f>
        <v>jcastro@crm.otsuka-europe.com</v>
      </c>
      <c r="N12617" s="13">
        <v>46199.464594907404</v>
      </c>
      <c r="O12617" s="14" t="str">
        <f>HYPERLINK("https://otsuka-europe-crm.veevavault.com/ui/#object/email_activity__v/V8C000000041108", "EN-002099899")</f>
        <v>EN-002099899</v>
      </c>
    </row>
    <row r="12618" spans="1:15" ht="48" x14ac:dyDescent="0.2">
      <c r="A12618" s="7" t="str">
        <f>HYPERLINK("https://otsuka-europe-crm.veevavault.com/ui/#object/account__v/V4TZ06G6O71T89A", "STEFANO GORETTI")</f>
        <v>STEFANO GORETTI</v>
      </c>
      <c r="B12618" s="7" t="str">
        <f>HYPERLINK("https://otsuka-europe-crm.veevavault.com/ui/#object/vcountry__v/VENZ000004SONF5", "ES")</f>
        <v>ES</v>
      </c>
      <c r="C12618" s="8" t="s">
        <v>41</v>
      </c>
      <c r="D12618" s="9" t="str">
        <f>HYPERLINK("https://otsuka-europe-crm.veevavault.com/ui/#object/approved_document__v/V5O00000000R009", "AM2M - PSIQUIATRIA - Guía manejo práctico AM2M")</f>
        <v>AM2M - PSIQUIATRIA - Guía manejo práctico AM2M</v>
      </c>
      <c r="E12618" s="10" t="str">
        <f>HYPERLINK("https://otsuka-europe-crm.veevavault.com/ui/#object/sent_email__v/VBL00000002Z050", "SE-001438435")</f>
        <v>SE-001438435</v>
      </c>
      <c r="F12618" s="11"/>
      <c r="G12618" s="12">
        <v>0</v>
      </c>
      <c r="H12618" s="12">
        <v>0</v>
      </c>
      <c r="I12618" s="12">
        <v>0</v>
      </c>
      <c r="J12618" s="11"/>
      <c r="K12618" s="12">
        <v>0</v>
      </c>
      <c r="L12618" s="10" t="str">
        <f>HYPERLINK("https://otsuka-europe-crm.veevavault.com/ui/#object/approved_document__v/V5O00000000R009", "AM2M - PSIQUIATRIA - Guía manejo práctico AM2M")</f>
        <v>AM2M - PSIQUIATRIA - Guía manejo práctico AM2M</v>
      </c>
      <c r="M12618" s="10" t="str">
        <f>HYPERLINK("mailto:jcastro@crm.otsuka-europe.com", "jcastro@crm.otsuka-europe.com")</f>
        <v>jcastro@crm.otsuka-europe.com</v>
      </c>
      <c r="N12618" s="13">
        <v>46199.464560185188</v>
      </c>
      <c r="O12618" s="14" t="str">
        <f>HYPERLINK("https://otsuka-europe-crm.veevavault.com/ui/#object/email_activity__v/V8C000000042069", "EN-002099841")</f>
        <v>EN-002099841</v>
      </c>
    </row>
    <row r="12619" spans="1:15" ht="48" x14ac:dyDescent="0.2">
      <c r="A12619" s="7" t="str">
        <f>HYPERLINK("https://otsuka-europe-crm.veevavault.com/ui/#object/account__v/V4TZ06G6O71T7U9", "LIDIA ROSA AGUADO BAILON")</f>
        <v>LIDIA ROSA AGUADO BAILON</v>
      </c>
      <c r="B12619" s="7" t="str">
        <f>HYPERLINK("https://otsuka-europe-crm.veevavault.com/ui/#object/vcountry__v/VENZ000004SONF5", "ES")</f>
        <v>ES</v>
      </c>
      <c r="C12619" s="8" t="s">
        <v>41</v>
      </c>
      <c r="D12619" s="9" t="str">
        <f>HYPERLINK("https://otsuka-europe-crm.veevavault.com/ui/#object/approved_document__v/V5O00000000R009", "AM2M - PSIQUIATRIA - Guía manejo práctico AM2M")</f>
        <v>AM2M - PSIQUIATRIA - Guía manejo práctico AM2M</v>
      </c>
      <c r="E12619" s="10" t="str">
        <f>HYPERLINK("https://otsuka-europe-crm.veevavault.com/ui/#object/sent_email__v/VBL00000002Z051", "SE-001438436")</f>
        <v>SE-001438436</v>
      </c>
      <c r="F12619" s="11"/>
      <c r="G12619" s="12">
        <v>0</v>
      </c>
      <c r="H12619" s="12">
        <v>0</v>
      </c>
      <c r="I12619" s="12">
        <v>0</v>
      </c>
      <c r="J12619" s="11"/>
      <c r="K12619" s="12">
        <v>0</v>
      </c>
      <c r="L12619" s="10" t="str">
        <f>HYPERLINK("https://otsuka-europe-crm.veevavault.com/ui/#object/approved_document__v/V5O00000000R009", "AM2M - PSIQUIATRIA - Guía manejo práctico AM2M")</f>
        <v>AM2M - PSIQUIATRIA - Guía manejo práctico AM2M</v>
      </c>
      <c r="M12619" s="10" t="str">
        <f>HYPERLINK("mailto:jcastro@crm.otsuka-europe.com", "jcastro@crm.otsuka-europe.com")</f>
        <v>jcastro@crm.otsuka-europe.com</v>
      </c>
      <c r="N12619" s="13">
        <v>46199.464606481481</v>
      </c>
      <c r="O12619" s="14" t="str">
        <f>HYPERLINK("https://otsuka-europe-crm.veevavault.com/ui/#object/email_activity__v/V8C000000041109", "EN-002099900")</f>
        <v>EN-002099900</v>
      </c>
    </row>
    <row r="12620" spans="1:15" ht="48" x14ac:dyDescent="0.2">
      <c r="A12620" s="7" t="str">
        <f>HYPERLINK("https://otsuka-europe-crm.veevavault.com/ui/#object/account__v/V4TZ06G6O71T82G", "MARIA JOSE NAVARRO CLEMENTE")</f>
        <v>MARIA JOSE NAVARRO CLEMENTE</v>
      </c>
      <c r="B12620" s="7" t="str">
        <f>HYPERLINK("https://otsuka-europe-crm.veevavault.com/ui/#object/vcountry__v/VENZ000004SONF5", "ES")</f>
        <v>ES</v>
      </c>
      <c r="C12620" s="8" t="s">
        <v>41</v>
      </c>
      <c r="D12620" s="9" t="str">
        <f>HYPERLINK("https://otsuka-europe-crm.veevavault.com/ui/#object/approved_document__v/V5O00000000R009", "AM2M - PSIQUIATRIA - Guía manejo práctico AM2M")</f>
        <v>AM2M - PSIQUIATRIA - Guía manejo práctico AM2M</v>
      </c>
      <c r="E12620" s="10" t="str">
        <f>HYPERLINK("https://otsuka-europe-crm.veevavault.com/ui/#object/sent_email__v/VBL00000002Z052", "SE-001438437")</f>
        <v>SE-001438437</v>
      </c>
      <c r="F12620" s="11"/>
      <c r="G12620" s="12">
        <v>0</v>
      </c>
      <c r="H12620" s="12">
        <v>0</v>
      </c>
      <c r="I12620" s="12">
        <v>0</v>
      </c>
      <c r="J12620" s="11"/>
      <c r="K12620" s="12">
        <v>0</v>
      </c>
      <c r="L12620" s="10" t="str">
        <f>HYPERLINK("https://otsuka-europe-crm.veevavault.com/ui/#object/approved_document__v/V5O00000000R009", "AM2M - PSIQUIATRIA - Guía manejo práctico AM2M")</f>
        <v>AM2M - PSIQUIATRIA - Guía manejo práctico AM2M</v>
      </c>
      <c r="M12620" s="10" t="str">
        <f>HYPERLINK("mailto:jcastro@crm.otsuka-europe.com", "jcastro@crm.otsuka-europe.com")</f>
        <v>jcastro@crm.otsuka-europe.com</v>
      </c>
      <c r="N12620" s="13">
        <v>46199.464560185188</v>
      </c>
      <c r="O12620" s="14" t="str">
        <f>HYPERLINK("https://otsuka-europe-crm.veevavault.com/ui/#object/email_activity__v/V8C000000042075", "EN-002099847")</f>
        <v>EN-002099847</v>
      </c>
    </row>
    <row r="12621" spans="1:15" ht="16" x14ac:dyDescent="0.2">
      <c r="A12621" s="17" t="str">
        <f>HYPERLINK("https://otsuka-europe-crm.veevavault.com/ui/#object/account__v/V4TZ06G6O71T7DR", "JOSE LUIS BALLESTEROS RAMOS")</f>
        <v>JOSE LUIS BALLESTEROS RAMOS</v>
      </c>
      <c r="B12621" s="17" t="str">
        <f>HYPERLINK("https://otsuka-europe-crm.veevavault.com/ui/#object/vcountry__v/VENZ000004SONF5", "ES")</f>
        <v>ES</v>
      </c>
      <c r="C12621" s="20" t="s">
        <v>41</v>
      </c>
      <c r="D12621" s="21" t="str">
        <f>HYPERLINK("https://otsuka-europe-crm.veevavault.com/ui/#object/approved_document__v/V5O00000000R009", "AM2M - PSIQUIATRIA - Guía manejo práctico AM2M")</f>
        <v>AM2M - PSIQUIATRIA - Guía manejo práctico AM2M</v>
      </c>
      <c r="E12621" s="22" t="str">
        <f>HYPERLINK("https://otsuka-europe-crm.veevavault.com/ui/#object/sent_email__v/VBL00000002Z053", "SE-001438438")</f>
        <v>SE-001438438</v>
      </c>
      <c r="F12621" s="23">
        <v>46199.622997685183</v>
      </c>
      <c r="G12621" s="24">
        <v>1</v>
      </c>
      <c r="H12621" s="24">
        <v>1</v>
      </c>
      <c r="I12621" s="24">
        <v>0</v>
      </c>
      <c r="J12621" s="25"/>
      <c r="K12621" s="24">
        <v>0</v>
      </c>
      <c r="L12621" s="22" t="str">
        <f>HYPERLINK("https://otsuka-europe-crm.veevavault.com/ui/#object/approved_document__v/V5O00000000R009", "AM2M - PSIQUIATRIA - Guía manejo práctico AM2M")</f>
        <v>AM2M - PSIQUIATRIA - Guía manejo práctico AM2M</v>
      </c>
      <c r="M12621" s="22" t="str">
        <f>HYPERLINK("mailto:jcastro@crm.otsuka-europe.com", "jcastro@crm.otsuka-europe.com")</f>
        <v>jcastro@crm.otsuka-europe.com</v>
      </c>
      <c r="N12621" s="23">
        <v>46199.464560185188</v>
      </c>
      <c r="O12621" s="14" t="str">
        <f>HYPERLINK("https://otsuka-europe-crm.veevavault.com/ui/#object/email_activity__v/V8C000000041071", "EN-002099808")</f>
        <v>EN-002099808</v>
      </c>
    </row>
    <row r="12622" spans="1:15" ht="16" x14ac:dyDescent="0.2">
      <c r="A12622" s="19"/>
      <c r="B12622" s="19"/>
      <c r="C12622" s="19"/>
      <c r="D12622" s="19"/>
      <c r="E12622" s="19"/>
      <c r="F12622" s="19"/>
      <c r="G12622" s="19"/>
      <c r="H12622" s="19"/>
      <c r="I12622" s="19"/>
      <c r="J12622" s="19"/>
      <c r="K12622" s="19"/>
      <c r="L12622" s="19"/>
      <c r="M12622" s="19"/>
      <c r="N12622" s="19"/>
      <c r="O12622" s="14" t="str">
        <f>HYPERLINK("https://otsuka-europe-crm.veevavault.com/ui/#object/email_activity__v/V8C000000041213", "EN-002100083")</f>
        <v>EN-002100083</v>
      </c>
    </row>
    <row r="12623" spans="1:15" ht="16" x14ac:dyDescent="0.2">
      <c r="A12623" s="17" t="str">
        <f>HYPERLINK("https://otsuka-europe-crm.veevavault.com/ui/#object/account__v/V4TZ04ASGFD3YRZ", "MIRTA OLGA SOLIS CORREA")</f>
        <v>MIRTA OLGA SOLIS CORREA</v>
      </c>
      <c r="B12623" s="17" t="str">
        <f>HYPERLINK("https://otsuka-europe-crm.veevavault.com/ui/#object/vcountry__v/VENZ000004SONF5", "ES")</f>
        <v>ES</v>
      </c>
      <c r="C12623" s="20" t="s">
        <v>41</v>
      </c>
      <c r="D12623" s="21" t="str">
        <f>HYPERLINK("https://otsuka-europe-crm.veevavault.com/ui/#object/approved_document__v/V5O00000000R009", "AM2M - PSIQUIATRIA - Guía manejo práctico AM2M")</f>
        <v>AM2M - PSIQUIATRIA - Guía manejo práctico AM2M</v>
      </c>
      <c r="E12623" s="22" t="str">
        <f>HYPERLINK("https://otsuka-europe-crm.veevavault.com/ui/#object/sent_email__v/VBL00000002Z054", "SE-001438439")</f>
        <v>SE-001438439</v>
      </c>
      <c r="F12623" s="23">
        <v>46199.558715277781</v>
      </c>
      <c r="G12623" s="24">
        <v>1</v>
      </c>
      <c r="H12623" s="24">
        <v>2</v>
      </c>
      <c r="I12623" s="24">
        <v>0</v>
      </c>
      <c r="J12623" s="25"/>
      <c r="K12623" s="24">
        <v>0</v>
      </c>
      <c r="L12623" s="22" t="str">
        <f>HYPERLINK("https://otsuka-europe-crm.veevavault.com/ui/#object/approved_document__v/V5O00000000R009", "AM2M - PSIQUIATRIA - Guía manejo práctico AM2M")</f>
        <v>AM2M - PSIQUIATRIA - Guía manejo práctico AM2M</v>
      </c>
      <c r="M12623" s="22" t="str">
        <f>HYPERLINK("mailto:jcastro@crm.otsuka-europe.com", "jcastro@crm.otsuka-europe.com")</f>
        <v>jcastro@crm.otsuka-europe.com</v>
      </c>
      <c r="N12623" s="23">
        <v>46199.464560185188</v>
      </c>
      <c r="O12623" s="14" t="str">
        <f>HYPERLINK("https://otsuka-europe-crm.veevavault.com/ui/#object/email_activity__v/V8C000000041195", "EN-002100048")</f>
        <v>EN-002100048</v>
      </c>
    </row>
    <row r="12624" spans="1:15" ht="16" x14ac:dyDescent="0.2">
      <c r="A12624" s="18"/>
      <c r="B12624" s="18"/>
      <c r="C12624" s="18"/>
      <c r="D12624" s="18"/>
      <c r="E12624" s="18"/>
      <c r="F12624" s="18"/>
      <c r="G12624" s="18"/>
      <c r="H12624" s="18"/>
      <c r="I12624" s="18"/>
      <c r="J12624" s="18"/>
      <c r="K12624" s="18"/>
      <c r="L12624" s="18"/>
      <c r="M12624" s="18"/>
      <c r="N12624" s="18"/>
      <c r="O12624" s="14" t="str">
        <f>HYPERLINK("https://otsuka-europe-crm.veevavault.com/ui/#object/email_activity__v/V8C000000041196", "EN-002100049")</f>
        <v>EN-002100049</v>
      </c>
    </row>
    <row r="12625" spans="1:15" ht="16" x14ac:dyDescent="0.2">
      <c r="A12625" s="19"/>
      <c r="B12625" s="19"/>
      <c r="C12625" s="19"/>
      <c r="D12625" s="19"/>
      <c r="E12625" s="19"/>
      <c r="F12625" s="19"/>
      <c r="G12625" s="19"/>
      <c r="H12625" s="19"/>
      <c r="I12625" s="19"/>
      <c r="J12625" s="19"/>
      <c r="K12625" s="19"/>
      <c r="L12625" s="19"/>
      <c r="M12625" s="19"/>
      <c r="N12625" s="19"/>
      <c r="O12625" s="14" t="str">
        <f>HYPERLINK("https://otsuka-europe-crm.veevavault.com/ui/#object/email_activity__v/V8C000000042061", "EN-002099833")</f>
        <v>EN-002099833</v>
      </c>
    </row>
    <row r="12626" spans="1:15" ht="16" x14ac:dyDescent="0.2">
      <c r="A12626" s="17" t="str">
        <f>HYPERLINK("https://otsuka-europe-crm.veevavault.com/ui/#object/account__v/V4TZ04ASG6P25RA", "LAURA CONCEPCION GARCIA DOMINGUEZ")</f>
        <v>LAURA CONCEPCION GARCIA DOMINGUEZ</v>
      </c>
      <c r="B12626" s="17" t="str">
        <f>HYPERLINK("https://otsuka-europe-crm.veevavault.com/ui/#object/vcountry__v/VENZ000004SONF5", "ES")</f>
        <v>ES</v>
      </c>
      <c r="C12626" s="20" t="s">
        <v>41</v>
      </c>
      <c r="D12626" s="21" t="str">
        <f>HYPERLINK("https://otsuka-europe-crm.veevavault.com/ui/#object/approved_document__v/V5O00000000R009", "AM2M - PSIQUIATRIA - Guía manejo práctico AM2M")</f>
        <v>AM2M - PSIQUIATRIA - Guía manejo práctico AM2M</v>
      </c>
      <c r="E12626" s="22" t="str">
        <f>HYPERLINK("https://otsuka-europe-crm.veevavault.com/ui/#object/sent_email__v/VBL00000002Z055", "SE-001438440")</f>
        <v>SE-001438440</v>
      </c>
      <c r="F12626" s="23">
        <v>46199.660567129627</v>
      </c>
      <c r="G12626" s="24">
        <v>1</v>
      </c>
      <c r="H12626" s="24">
        <v>1</v>
      </c>
      <c r="I12626" s="24">
        <v>0</v>
      </c>
      <c r="J12626" s="25"/>
      <c r="K12626" s="24">
        <v>0</v>
      </c>
      <c r="L12626" s="22" t="str">
        <f>HYPERLINK("https://otsuka-europe-crm.veevavault.com/ui/#object/approved_document__v/V5O00000000R009", "AM2M - PSIQUIATRIA - Guía manejo práctico AM2M")</f>
        <v>AM2M - PSIQUIATRIA - Guía manejo práctico AM2M</v>
      </c>
      <c r="M12626" s="22" t="str">
        <f>HYPERLINK("mailto:jcastro@crm.otsuka-europe.com", "jcastro@crm.otsuka-europe.com")</f>
        <v>jcastro@crm.otsuka-europe.com</v>
      </c>
      <c r="N12626" s="23">
        <v>46199.464560185188</v>
      </c>
      <c r="O12626" s="14" t="str">
        <f>HYPERLINK("https://otsuka-europe-crm.veevavault.com/ui/#object/email_activity__v/V8C000000041090", "EN-002099861")</f>
        <v>EN-002099861</v>
      </c>
    </row>
    <row r="12627" spans="1:15" ht="16" x14ac:dyDescent="0.2">
      <c r="A12627" s="19"/>
      <c r="B12627" s="19"/>
      <c r="C12627" s="19"/>
      <c r="D12627" s="19"/>
      <c r="E12627" s="19"/>
      <c r="F12627" s="19"/>
      <c r="G12627" s="19"/>
      <c r="H12627" s="19"/>
      <c r="I12627" s="19"/>
      <c r="J12627" s="19"/>
      <c r="K12627" s="19"/>
      <c r="L12627" s="19"/>
      <c r="M12627" s="19"/>
      <c r="N12627" s="19"/>
      <c r="O12627" s="14" t="str">
        <f>HYPERLINK("https://otsuka-europe-crm.veevavault.com/ui/#object/email_activity__v/V8C000000041221", "EN-002100107")</f>
        <v>EN-002100107</v>
      </c>
    </row>
    <row r="12628" spans="1:15" ht="48" x14ac:dyDescent="0.2">
      <c r="A12628" s="7" t="str">
        <f>HYPERLINK("https://otsuka-europe-crm.veevavault.com/ui/#object/account__v/V4TZ04ASGFD845V", "ANASTASIA SAMPEDRO PADILLA")</f>
        <v>ANASTASIA SAMPEDRO PADILLA</v>
      </c>
      <c r="B12628" s="7" t="str">
        <f>HYPERLINK("https://otsuka-europe-crm.veevavault.com/ui/#object/vcountry__v/VENZ000004SONF5", "ES")</f>
        <v>ES</v>
      </c>
      <c r="C12628" s="8" t="s">
        <v>41</v>
      </c>
      <c r="D12628" s="9" t="str">
        <f>HYPERLINK("https://otsuka-europe-crm.veevavault.com/ui/#object/approved_document__v/V5O00000000R009", "AM2M - PSIQUIATRIA - Guía manejo práctico AM2M")</f>
        <v>AM2M - PSIQUIATRIA - Guía manejo práctico AM2M</v>
      </c>
      <c r="E12628" s="10" t="str">
        <f>HYPERLINK("https://otsuka-europe-crm.veevavault.com/ui/#object/sent_email__v/VBL00000002Z056", "SE-001438441")</f>
        <v>SE-001438441</v>
      </c>
      <c r="F12628" s="11"/>
      <c r="G12628" s="12">
        <v>0</v>
      </c>
      <c r="H12628" s="12">
        <v>0</v>
      </c>
      <c r="I12628" s="12">
        <v>0</v>
      </c>
      <c r="J12628" s="11"/>
      <c r="K12628" s="12">
        <v>0</v>
      </c>
      <c r="L12628" s="10" t="str">
        <f>HYPERLINK("https://otsuka-europe-crm.veevavault.com/ui/#object/approved_document__v/V5O00000000R009", "AM2M - PSIQUIATRIA - Guía manejo práctico AM2M")</f>
        <v>AM2M - PSIQUIATRIA - Guía manejo práctico AM2M</v>
      </c>
      <c r="M12628" s="10" t="str">
        <f>HYPERLINK("mailto:jcastro@crm.otsuka-europe.com", "jcastro@crm.otsuka-europe.com")</f>
        <v>jcastro@crm.otsuka-europe.com</v>
      </c>
      <c r="N12628" s="13">
        <v>46199.464560185188</v>
      </c>
      <c r="O12628" s="14" t="str">
        <f>HYPERLINK("https://otsuka-europe-crm.veevavault.com/ui/#object/email_activity__v/V8C000000042063", "EN-002099835")</f>
        <v>EN-002099835</v>
      </c>
    </row>
    <row r="12629" spans="1:15" ht="48" x14ac:dyDescent="0.2">
      <c r="A12629" s="7" t="str">
        <f>HYPERLINK("https://otsuka-europe-crm.veevavault.com/ui/#object/account__v/V4TZ06G6O964PAY", "JOAQUIN REINA SERRANO")</f>
        <v>JOAQUIN REINA SERRANO</v>
      </c>
      <c r="B12629" s="7" t="str">
        <f>HYPERLINK("https://otsuka-europe-crm.veevavault.com/ui/#object/vcountry__v/VENZ000004SONF5", "ES")</f>
        <v>ES</v>
      </c>
      <c r="C12629" s="8" t="s">
        <v>41</v>
      </c>
      <c r="D12629" s="9" t="str">
        <f>HYPERLINK("https://otsuka-europe-crm.veevavault.com/ui/#object/approved_document__v/V5O00000000R009", "AM2M - PSIQUIATRIA - Guía manejo práctico AM2M")</f>
        <v>AM2M - PSIQUIATRIA - Guía manejo práctico AM2M</v>
      </c>
      <c r="E12629" s="10" t="str">
        <f>HYPERLINK("https://otsuka-europe-crm.veevavault.com/ui/#object/sent_email__v/VBL00000002Z057", "SE-001438442")</f>
        <v>SE-001438442</v>
      </c>
      <c r="F12629" s="11"/>
      <c r="G12629" s="12">
        <v>0</v>
      </c>
      <c r="H12629" s="12">
        <v>0</v>
      </c>
      <c r="I12629" s="12">
        <v>0</v>
      </c>
      <c r="J12629" s="11"/>
      <c r="K12629" s="12">
        <v>0</v>
      </c>
      <c r="L12629" s="10" t="str">
        <f>HYPERLINK("https://otsuka-europe-crm.veevavault.com/ui/#object/approved_document__v/V5O00000000R009", "AM2M - PSIQUIATRIA - Guía manejo práctico AM2M")</f>
        <v>AM2M - PSIQUIATRIA - Guía manejo práctico AM2M</v>
      </c>
      <c r="M12629" s="10" t="str">
        <f>HYPERLINK("mailto:jcastro@crm.otsuka-europe.com", "jcastro@crm.otsuka-europe.com")</f>
        <v>jcastro@crm.otsuka-europe.com</v>
      </c>
      <c r="N12629" s="13">
        <v>46199.464560185188</v>
      </c>
      <c r="O12629" s="14" t="str">
        <f>HYPERLINK("https://otsuka-europe-crm.veevavault.com/ui/#object/email_activity__v/V8C000000042047", "EN-002099819")</f>
        <v>EN-002099819</v>
      </c>
    </row>
    <row r="12630" spans="1:15" ht="16" x14ac:dyDescent="0.2">
      <c r="A12630" s="17" t="str">
        <f>HYPERLINK("https://otsuka-europe-crm.veevavault.com/ui/#object/account__v/V4TZ06G6O71T9GE", "RICARDO JOSE CAMPOS GONZALEZ")</f>
        <v>RICARDO JOSE CAMPOS GONZALEZ</v>
      </c>
      <c r="B12630" s="17" t="str">
        <f>HYPERLINK("https://otsuka-europe-crm.veevavault.com/ui/#object/vcountry__v/VENZ000004SONF5", "ES")</f>
        <v>ES</v>
      </c>
      <c r="C12630" s="20" t="s">
        <v>41</v>
      </c>
      <c r="D12630" s="21" t="str">
        <f>HYPERLINK("https://otsuka-europe-crm.veevavault.com/ui/#object/approved_document__v/V5O00000000R009", "AM2M - PSIQUIATRIA - Guía manejo práctico AM2M")</f>
        <v>AM2M - PSIQUIATRIA - Guía manejo práctico AM2M</v>
      </c>
      <c r="E12630" s="22" t="str">
        <f>HYPERLINK("https://otsuka-europe-crm.veevavault.com/ui/#object/sent_email__v/VBL00000002Z058", "SE-001438443")</f>
        <v>SE-001438443</v>
      </c>
      <c r="F12630" s="23">
        <v>46199.500023148146</v>
      </c>
      <c r="G12630" s="24">
        <v>1</v>
      </c>
      <c r="H12630" s="24">
        <v>1</v>
      </c>
      <c r="I12630" s="24">
        <v>0</v>
      </c>
      <c r="J12630" s="25"/>
      <c r="K12630" s="24">
        <v>0</v>
      </c>
      <c r="L12630" s="22" t="str">
        <f>HYPERLINK("https://otsuka-europe-crm.veevavault.com/ui/#object/approved_document__v/V5O00000000R009", "AM2M - PSIQUIATRIA - Guía manejo práctico AM2M")</f>
        <v>AM2M - PSIQUIATRIA - Guía manejo práctico AM2M</v>
      </c>
      <c r="M12630" s="22" t="str">
        <f>HYPERLINK("mailto:jcastro@crm.otsuka-europe.com", "jcastro@crm.otsuka-europe.com")</f>
        <v>jcastro@crm.otsuka-europe.com</v>
      </c>
      <c r="N12630" s="23">
        <v>46199.464560185188</v>
      </c>
      <c r="O12630" s="14" t="str">
        <f>HYPERLINK("https://otsuka-europe-crm.veevavault.com/ui/#object/email_activity__v/V8C000000041077", "EN-002099814")</f>
        <v>EN-002099814</v>
      </c>
    </row>
    <row r="12631" spans="1:15" ht="16" x14ac:dyDescent="0.2">
      <c r="A12631" s="19"/>
      <c r="B12631" s="19"/>
      <c r="C12631" s="19"/>
      <c r="D12631" s="19"/>
      <c r="E12631" s="19"/>
      <c r="F12631" s="19"/>
      <c r="G12631" s="19"/>
      <c r="H12631" s="19"/>
      <c r="I12631" s="19"/>
      <c r="J12631" s="19"/>
      <c r="K12631" s="19"/>
      <c r="L12631" s="19"/>
      <c r="M12631" s="19"/>
      <c r="N12631" s="19"/>
      <c r="O12631" s="14" t="str">
        <f>HYPERLINK("https://otsuka-europe-crm.veevavault.com/ui/#object/email_activity__v/V8C000000041182", "EN-002100008")</f>
        <v>EN-002100008</v>
      </c>
    </row>
    <row r="12632" spans="1:15" ht="48" x14ac:dyDescent="0.2">
      <c r="A12632" s="7" t="str">
        <f>HYPERLINK("https://otsuka-europe-crm.veevavault.com/ui/#object/account__v/V4TZ06G6O71T7N6", "SABINA MARIA ZUBIMENDI PEREZ")</f>
        <v>SABINA MARIA ZUBIMENDI PEREZ</v>
      </c>
      <c r="B12632" s="7" t="str">
        <f>HYPERLINK("https://otsuka-europe-crm.veevavault.com/ui/#object/vcountry__v/VENZ000004SONF5", "ES")</f>
        <v>ES</v>
      </c>
      <c r="C12632" s="8" t="s">
        <v>41</v>
      </c>
      <c r="D12632" s="9" t="str">
        <f>HYPERLINK("https://otsuka-europe-crm.veevavault.com/ui/#object/approved_document__v/V5O00000000R009", "AM2M - PSIQUIATRIA - Guía manejo práctico AM2M")</f>
        <v>AM2M - PSIQUIATRIA - Guía manejo práctico AM2M</v>
      </c>
      <c r="E12632" s="10" t="str">
        <f>HYPERLINK("https://otsuka-europe-crm.veevavault.com/ui/#object/sent_email__v/VBL00000002Z059", "SE-001438444")</f>
        <v>SE-001438444</v>
      </c>
      <c r="F12632" s="11"/>
      <c r="G12632" s="12">
        <v>0</v>
      </c>
      <c r="H12632" s="12">
        <v>0</v>
      </c>
      <c r="I12632" s="12">
        <v>0</v>
      </c>
      <c r="J12632" s="11"/>
      <c r="K12632" s="12">
        <v>0</v>
      </c>
      <c r="L12632" s="10" t="str">
        <f>HYPERLINK("https://otsuka-europe-crm.veevavault.com/ui/#object/approved_document__v/V5O00000000R009", "AM2M - PSIQUIATRIA - Guía manejo práctico AM2M")</f>
        <v>AM2M - PSIQUIATRIA - Guía manejo práctico AM2M</v>
      </c>
      <c r="M12632" s="10" t="str">
        <f>HYPERLINK("mailto:jcastro@crm.otsuka-europe.com", "jcastro@crm.otsuka-europe.com")</f>
        <v>jcastro@crm.otsuka-europe.com</v>
      </c>
      <c r="N12632" s="13">
        <v>46199.464560185188</v>
      </c>
      <c r="O12632" s="14" t="str">
        <f>HYPERLINK("https://otsuka-europe-crm.veevavault.com/ui/#object/email_activity__v/V8C000000041059", "EN-002099796")</f>
        <v>EN-002099796</v>
      </c>
    </row>
    <row r="12633" spans="1:15" ht="48" x14ac:dyDescent="0.2">
      <c r="A12633" s="7" t="str">
        <f>HYPERLINK("https://otsuka-europe-crm.veevavault.com/ui/#object/account__v/V4TZ025E84CKO6H", "ARTURO MIGUEL POLANCO CORREA")</f>
        <v>ARTURO MIGUEL POLANCO CORREA</v>
      </c>
      <c r="B12633" s="7" t="str">
        <f>HYPERLINK("https://otsuka-europe-crm.veevavault.com/ui/#object/vcountry__v/VENZ000004SONF5", "ES")</f>
        <v>ES</v>
      </c>
      <c r="C12633" s="8" t="s">
        <v>41</v>
      </c>
      <c r="D12633" s="9" t="str">
        <f>HYPERLINK("https://otsuka-europe-crm.veevavault.com/ui/#object/approved_document__v/V5O00000000R009", "AM2M - PSIQUIATRIA - Guía manejo práctico AM2M")</f>
        <v>AM2M - PSIQUIATRIA - Guía manejo práctico AM2M</v>
      </c>
      <c r="E12633" s="10" t="str">
        <f>HYPERLINK("https://otsuka-europe-crm.veevavault.com/ui/#object/sent_email__v/VBL00000002Z060", "SE-001438445")</f>
        <v>SE-001438445</v>
      </c>
      <c r="F12633" s="11"/>
      <c r="G12633" s="12">
        <v>0</v>
      </c>
      <c r="H12633" s="12">
        <v>0</v>
      </c>
      <c r="I12633" s="12">
        <v>0</v>
      </c>
      <c r="J12633" s="11"/>
      <c r="K12633" s="12">
        <v>0</v>
      </c>
      <c r="L12633" s="10" t="str">
        <f>HYPERLINK("https://otsuka-europe-crm.veevavault.com/ui/#object/approved_document__v/V5O00000000R009", "AM2M - PSIQUIATRIA - Guía manejo práctico AM2M")</f>
        <v>AM2M - PSIQUIATRIA - Guía manejo práctico AM2M</v>
      </c>
      <c r="M12633" s="10" t="str">
        <f>HYPERLINK("mailto:jcastro@crm.otsuka-europe.com", "jcastro@crm.otsuka-europe.com")</f>
        <v>jcastro@crm.otsuka-europe.com</v>
      </c>
      <c r="N12633" s="13">
        <v>46199.464560185188</v>
      </c>
      <c r="O12633" s="14" t="str">
        <f>HYPERLINK("https://otsuka-europe-crm.veevavault.com/ui/#object/email_activity__v/V8C000000042065", "EN-002099837")</f>
        <v>EN-002099837</v>
      </c>
    </row>
    <row r="12634" spans="1:15" ht="16" x14ac:dyDescent="0.2">
      <c r="A12634" s="17" t="str">
        <f>HYPERLINK("https://otsuka-europe-crm.veevavault.com/ui/#object/account__v/V4TZ06G6O71TAKU", "AURORA BEATRIZ JIMENEZ EGEA")</f>
        <v>AURORA BEATRIZ JIMENEZ EGEA</v>
      </c>
      <c r="B12634" s="17" t="str">
        <f>HYPERLINK("https://otsuka-europe-crm.veevavault.com/ui/#object/vcountry__v/VENZ000004SONF5", "ES")</f>
        <v>ES</v>
      </c>
      <c r="C12634" s="20" t="s">
        <v>41</v>
      </c>
      <c r="D12634" s="21" t="str">
        <f>HYPERLINK("https://otsuka-europe-crm.veevavault.com/ui/#object/approved_document__v/V5O00000000R009", "AM2M - PSIQUIATRIA - Guía manejo práctico AM2M")</f>
        <v>AM2M - PSIQUIATRIA - Guía manejo práctico AM2M</v>
      </c>
      <c r="E12634" s="22" t="str">
        <f>HYPERLINK("https://otsuka-europe-crm.veevavault.com/ui/#object/sent_email__v/VBL00000002Z061", "SE-001438446")</f>
        <v>SE-001438446</v>
      </c>
      <c r="F12634" s="23">
        <v>46200.358252314814</v>
      </c>
      <c r="G12634" s="24">
        <v>1</v>
      </c>
      <c r="H12634" s="24">
        <v>1</v>
      </c>
      <c r="I12634" s="24">
        <v>0</v>
      </c>
      <c r="J12634" s="25"/>
      <c r="K12634" s="24">
        <v>0</v>
      </c>
      <c r="L12634" s="22" t="str">
        <f>HYPERLINK("https://otsuka-europe-crm.veevavault.com/ui/#object/approved_document__v/V5O00000000R009", "AM2M - PSIQUIATRIA - Guía manejo práctico AM2M")</f>
        <v>AM2M - PSIQUIATRIA - Guía manejo práctico AM2M</v>
      </c>
      <c r="M12634" s="22" t="str">
        <f>HYPERLINK("mailto:jcastro@crm.otsuka-europe.com", "jcastro@crm.otsuka-europe.com")</f>
        <v>jcastro@crm.otsuka-europe.com</v>
      </c>
      <c r="N12634" s="23">
        <v>46199.464560185188</v>
      </c>
      <c r="O12634" s="14" t="str">
        <f>HYPERLINK("https://otsuka-europe-crm.veevavault.com/ui/#object/email_activity__v/V8C000000041088", "EN-002099859")</f>
        <v>EN-002099859</v>
      </c>
    </row>
    <row r="12635" spans="1:15" ht="16" x14ac:dyDescent="0.2">
      <c r="A12635" s="19"/>
      <c r="B12635" s="19"/>
      <c r="C12635" s="19"/>
      <c r="D12635" s="19"/>
      <c r="E12635" s="19"/>
      <c r="F12635" s="19"/>
      <c r="G12635" s="19"/>
      <c r="H12635" s="19"/>
      <c r="I12635" s="19"/>
      <c r="J12635" s="19"/>
      <c r="K12635" s="19"/>
      <c r="L12635" s="19"/>
      <c r="M12635" s="19"/>
      <c r="N12635" s="19"/>
      <c r="O12635" s="14" t="str">
        <f>HYPERLINK("https://otsuka-europe-crm.veevavault.com/ui/#object/email_activity__v/V8C000000041248", "EN-002100167")</f>
        <v>EN-002100167</v>
      </c>
    </row>
    <row r="12636" spans="1:15" ht="16" x14ac:dyDescent="0.2">
      <c r="A12636" s="17" t="str">
        <f>HYPERLINK("https://otsuka-europe-crm.veevavault.com/ui/#object/account__v/V4TZ06G6O71US1G", "CORAL ESPERANZA TORRENTE SEOANE")</f>
        <v>CORAL ESPERANZA TORRENTE SEOANE</v>
      </c>
      <c r="B12636" s="17" t="str">
        <f>HYPERLINK("https://otsuka-europe-crm.veevavault.com/ui/#object/vcountry__v/VENZ000004SONF5", "ES")</f>
        <v>ES</v>
      </c>
      <c r="C12636" s="20" t="s">
        <v>41</v>
      </c>
      <c r="D12636" s="21" t="str">
        <f>HYPERLINK("https://otsuka-europe-crm.veevavault.com/ui/#object/approved_document__v/V5O00000000R009", "AM2M - PSIQUIATRIA - Guía manejo práctico AM2M")</f>
        <v>AM2M - PSIQUIATRIA - Guía manejo práctico AM2M</v>
      </c>
      <c r="E12636" s="22" t="str">
        <f>HYPERLINK("https://otsuka-europe-crm.veevavault.com/ui/#object/sent_email__v/VBL00000002Z062", "SE-001438447")</f>
        <v>SE-001438447</v>
      </c>
      <c r="F12636" s="23">
        <v>46199.537986111114</v>
      </c>
      <c r="G12636" s="24">
        <v>1</v>
      </c>
      <c r="H12636" s="24">
        <v>1</v>
      </c>
      <c r="I12636" s="24">
        <v>0</v>
      </c>
      <c r="J12636" s="25"/>
      <c r="K12636" s="24">
        <v>0</v>
      </c>
      <c r="L12636" s="22" t="str">
        <f>HYPERLINK("https://otsuka-europe-crm.veevavault.com/ui/#object/approved_document__v/V5O00000000R009", "AM2M - PSIQUIATRIA - Guía manejo práctico AM2M")</f>
        <v>AM2M - PSIQUIATRIA - Guía manejo práctico AM2M</v>
      </c>
      <c r="M12636" s="22" t="str">
        <f>HYPERLINK("mailto:jcastro@crm.otsuka-europe.com", "jcastro@crm.otsuka-europe.com")</f>
        <v>jcastro@crm.otsuka-europe.com</v>
      </c>
      <c r="N12636" s="23">
        <v>46199.464560185188</v>
      </c>
      <c r="O12636" s="14" t="str">
        <f>HYPERLINK("https://otsuka-europe-crm.veevavault.com/ui/#object/email_activity__v/V8C000000041189", "EN-002100028")</f>
        <v>EN-002100028</v>
      </c>
    </row>
    <row r="12637" spans="1:15" ht="16" x14ac:dyDescent="0.2">
      <c r="A12637" s="19"/>
      <c r="B12637" s="19"/>
      <c r="C12637" s="19"/>
      <c r="D12637" s="19"/>
      <c r="E12637" s="19"/>
      <c r="F12637" s="19"/>
      <c r="G12637" s="19"/>
      <c r="H12637" s="19"/>
      <c r="I12637" s="19"/>
      <c r="J12637" s="19"/>
      <c r="K12637" s="19"/>
      <c r="L12637" s="19"/>
      <c r="M12637" s="19"/>
      <c r="N12637" s="19"/>
      <c r="O12637" s="14" t="str">
        <f>HYPERLINK("https://otsuka-europe-crm.veevavault.com/ui/#object/email_activity__v/V8C000000042070", "EN-002099842")</f>
        <v>EN-002099842</v>
      </c>
    </row>
    <row r="12638" spans="1:15" ht="48" x14ac:dyDescent="0.2">
      <c r="A12638" s="7" t="str">
        <f>HYPERLINK("https://otsuka-europe-crm.veevavault.com/ui/#object/account__v/V4TZ06G6O71URZ8", "ALBA MATA AGUDO")</f>
        <v>ALBA MATA AGUDO</v>
      </c>
      <c r="B12638" s="7" t="str">
        <f>HYPERLINK("https://otsuka-europe-crm.veevavault.com/ui/#object/vcountry__v/VENZ000004SONF5", "ES")</f>
        <v>ES</v>
      </c>
      <c r="C12638" s="8" t="s">
        <v>41</v>
      </c>
      <c r="D12638" s="9" t="str">
        <f>HYPERLINK("https://otsuka-europe-crm.veevavault.com/ui/#object/approved_document__v/V5O00000000R009", "AM2M - PSIQUIATRIA - Guía manejo práctico AM2M")</f>
        <v>AM2M - PSIQUIATRIA - Guía manejo práctico AM2M</v>
      </c>
      <c r="E12638" s="10" t="str">
        <f>HYPERLINK("https://otsuka-europe-crm.veevavault.com/ui/#object/sent_email__v/VBL00000002Z063", "SE-001438448")</f>
        <v>SE-001438448</v>
      </c>
      <c r="F12638" s="11"/>
      <c r="G12638" s="12">
        <v>0</v>
      </c>
      <c r="H12638" s="12">
        <v>0</v>
      </c>
      <c r="I12638" s="12">
        <v>0</v>
      </c>
      <c r="J12638" s="11"/>
      <c r="K12638" s="12">
        <v>0</v>
      </c>
      <c r="L12638" s="10" t="str">
        <f>HYPERLINK("https://otsuka-europe-crm.veevavault.com/ui/#object/approved_document__v/V5O00000000R009", "AM2M - PSIQUIATRIA - Guía manejo práctico AM2M")</f>
        <v>AM2M - PSIQUIATRIA - Guía manejo práctico AM2M</v>
      </c>
      <c r="M12638" s="10" t="str">
        <f>HYPERLINK("mailto:jcastro@crm.otsuka-europe.com", "jcastro@crm.otsuka-europe.com")</f>
        <v>jcastro@crm.otsuka-europe.com</v>
      </c>
      <c r="N12638" s="13">
        <v>46199.464560185188</v>
      </c>
      <c r="O12638" s="14" t="str">
        <f>HYPERLINK("https://otsuka-europe-crm.veevavault.com/ui/#object/email_activity__v/V8C000000041085", "EN-002099856")</f>
        <v>EN-002099856</v>
      </c>
    </row>
    <row r="12639" spans="1:15" ht="16" x14ac:dyDescent="0.2">
      <c r="A12639" s="17" t="str">
        <f>HYPERLINK("https://otsuka-europe-crm.veevavault.com/ui/#object/account__v/V4TZ06G6O71TBBA", "JOSE PABLO MUÑOZ LOPEZ")</f>
        <v>JOSE PABLO MUÑOZ LOPEZ</v>
      </c>
      <c r="B12639" s="17" t="str">
        <f>HYPERLINK("https://otsuka-europe-crm.veevavault.com/ui/#object/vcountry__v/VENZ000004SONF5", "ES")</f>
        <v>ES</v>
      </c>
      <c r="C12639" s="20" t="s">
        <v>41</v>
      </c>
      <c r="D12639" s="21" t="str">
        <f>HYPERLINK("https://otsuka-europe-crm.veevavault.com/ui/#object/approved_document__v/V5O00000000R009", "AM2M - PSIQUIATRIA - Guía manejo práctico AM2M")</f>
        <v>AM2M - PSIQUIATRIA - Guía manejo práctico AM2M</v>
      </c>
      <c r="E12639" s="22" t="str">
        <f>HYPERLINK("https://otsuka-europe-crm.veevavault.com/ui/#object/sent_email__v/VBL00000002Z064", "SE-001438449")</f>
        <v>SE-001438449</v>
      </c>
      <c r="F12639" s="25"/>
      <c r="G12639" s="24">
        <v>0</v>
      </c>
      <c r="H12639" s="24">
        <v>0</v>
      </c>
      <c r="I12639" s="24">
        <v>0</v>
      </c>
      <c r="J12639" s="25"/>
      <c r="K12639" s="24">
        <v>0</v>
      </c>
      <c r="L12639" s="22" t="str">
        <f>HYPERLINK("https://otsuka-europe-crm.veevavault.com/ui/#object/approved_document__v/V5O00000000R009", "AM2M - PSIQUIATRIA - Guía manejo práctico AM2M")</f>
        <v>AM2M - PSIQUIATRIA - Guía manejo práctico AM2M</v>
      </c>
      <c r="M12639" s="22" t="str">
        <f>HYPERLINK("mailto:jcastro@crm.otsuka-europe.com", "jcastro@crm.otsuka-europe.com")</f>
        <v>jcastro@crm.otsuka-europe.com</v>
      </c>
      <c r="N12639" s="23">
        <v>46199.464560185188</v>
      </c>
      <c r="O12639" s="14" t="str">
        <f>HYPERLINK("https://otsuka-europe-crm.veevavault.com/ui/#object/email_activity__v/V8C000000041226", "EN-002100115")</f>
        <v>EN-002100115</v>
      </c>
    </row>
    <row r="12640" spans="1:15" ht="16" x14ac:dyDescent="0.2">
      <c r="A12640" s="19"/>
      <c r="B12640" s="19"/>
      <c r="C12640" s="19"/>
      <c r="D12640" s="19"/>
      <c r="E12640" s="19"/>
      <c r="F12640" s="19"/>
      <c r="G12640" s="19"/>
      <c r="H12640" s="19"/>
      <c r="I12640" s="19"/>
      <c r="J12640" s="19"/>
      <c r="K12640" s="19"/>
      <c r="L12640" s="19"/>
      <c r="M12640" s="19"/>
      <c r="N12640" s="19"/>
      <c r="O12640" s="14" t="str">
        <f>HYPERLINK("https://otsuka-europe-crm.veevavault.com/ui/#object/email_activity__v/V8C000000042092", "EN-002099874")</f>
        <v>EN-002099874</v>
      </c>
    </row>
    <row r="12641" spans="1:15" ht="16" x14ac:dyDescent="0.2">
      <c r="A12641" s="17" t="str">
        <f>HYPERLINK("https://otsuka-europe-crm.veevavault.com/ui/#object/account__v/V4TZ06G6O71WUWN", "CARMEN MAURA CARRILLO DE ALBORNOZ CALAHORRO")</f>
        <v>CARMEN MAURA CARRILLO DE ALBORNOZ CALAHORRO</v>
      </c>
      <c r="B12641" s="17" t="str">
        <f>HYPERLINK("https://otsuka-europe-crm.veevavault.com/ui/#object/vcountry__v/VENZ000004SONF5", "ES")</f>
        <v>ES</v>
      </c>
      <c r="C12641" s="20" t="s">
        <v>41</v>
      </c>
      <c r="D12641" s="21" t="str">
        <f>HYPERLINK("https://otsuka-europe-crm.veevavault.com/ui/#object/approved_document__v/V5O00000000R009", "AM2M - PSIQUIATRIA - Guía manejo práctico AM2M")</f>
        <v>AM2M - PSIQUIATRIA - Guía manejo práctico AM2M</v>
      </c>
      <c r="E12641" s="22" t="str">
        <f>HYPERLINK("https://otsuka-europe-crm.veevavault.com/ui/#object/sent_email__v/VBL00000002Z065", "SE-001438450")</f>
        <v>SE-001438450</v>
      </c>
      <c r="F12641" s="25"/>
      <c r="G12641" s="24">
        <v>0</v>
      </c>
      <c r="H12641" s="24">
        <v>0</v>
      </c>
      <c r="I12641" s="24">
        <v>0</v>
      </c>
      <c r="J12641" s="25"/>
      <c r="K12641" s="24">
        <v>0</v>
      </c>
      <c r="L12641" s="22" t="str">
        <f>HYPERLINK("https://otsuka-europe-crm.veevavault.com/ui/#object/approved_document__v/V5O00000000R009", "AM2M - PSIQUIATRIA - Guía manejo práctico AM2M")</f>
        <v>AM2M - PSIQUIATRIA - Guía manejo práctico AM2M</v>
      </c>
      <c r="M12641" s="22" t="str">
        <f>HYPERLINK("mailto:jcastro@crm.otsuka-europe.com", "jcastro@crm.otsuka-europe.com")</f>
        <v>jcastro@crm.otsuka-europe.com</v>
      </c>
      <c r="N12641" s="23">
        <v>46199.464594907404</v>
      </c>
      <c r="O12641" s="14" t="str">
        <f>HYPERLINK("https://otsuka-europe-crm.veevavault.com/ui/#object/email_activity__v/V8C000000041104", "EN-002099895")</f>
        <v>EN-002099895</v>
      </c>
    </row>
    <row r="12642" spans="1:15" ht="16" x14ac:dyDescent="0.2">
      <c r="A12642" s="19"/>
      <c r="B12642" s="19"/>
      <c r="C12642" s="19"/>
      <c r="D12642" s="19"/>
      <c r="E12642" s="19"/>
      <c r="F12642" s="19"/>
      <c r="G12642" s="19"/>
      <c r="H12642" s="19"/>
      <c r="I12642" s="19"/>
      <c r="J12642" s="19"/>
      <c r="K12642" s="19"/>
      <c r="L12642" s="19"/>
      <c r="M12642" s="19"/>
      <c r="N12642" s="19"/>
      <c r="O12642" s="14" t="str">
        <f>HYPERLINK("https://otsuka-europe-crm.veevavault.com/ui/#object/email_activity__v/V8C000000042135", "EN-002100007")</f>
        <v>EN-002100007</v>
      </c>
    </row>
    <row r="12643" spans="1:15" ht="48" x14ac:dyDescent="0.2">
      <c r="A12643" s="7" t="str">
        <f>HYPERLINK("https://otsuka-europe-crm.veevavault.com/ui/#object/account__v/V4TZ06G6O71TAQF", "JUAN JESUS LOPEZ CASTILLO")</f>
        <v>JUAN JESUS LOPEZ CASTILLO</v>
      </c>
      <c r="B12643" s="7" t="str">
        <f t="shared" ref="B12643:B12648" si="918">HYPERLINK("https://otsuka-europe-crm.veevavault.com/ui/#object/vcountry__v/VENZ000004SONF5", "ES")</f>
        <v>ES</v>
      </c>
      <c r="C12643" s="8" t="s">
        <v>41</v>
      </c>
      <c r="D12643" s="9" t="str">
        <f t="shared" ref="D12643:D12648" si="919">HYPERLINK("https://otsuka-europe-crm.veevavault.com/ui/#object/approved_document__v/V5O00000000R009", "AM2M - PSIQUIATRIA - Guía manejo práctico AM2M")</f>
        <v>AM2M - PSIQUIATRIA - Guía manejo práctico AM2M</v>
      </c>
      <c r="E12643" s="10" t="str">
        <f>HYPERLINK("https://otsuka-europe-crm.veevavault.com/ui/#object/sent_email__v/VBL00000002Z066", "SE-001438451")</f>
        <v>SE-001438451</v>
      </c>
      <c r="F12643" s="11"/>
      <c r="G12643" s="12">
        <v>0</v>
      </c>
      <c r="H12643" s="12">
        <v>0</v>
      </c>
      <c r="I12643" s="12">
        <v>0</v>
      </c>
      <c r="J12643" s="11"/>
      <c r="K12643" s="12">
        <v>0</v>
      </c>
      <c r="L12643" s="10" t="str">
        <f t="shared" ref="L12643:L12648" si="920">HYPERLINK("https://otsuka-europe-crm.veevavault.com/ui/#object/approved_document__v/V5O00000000R009", "AM2M - PSIQUIATRIA - Guía manejo práctico AM2M")</f>
        <v>AM2M - PSIQUIATRIA - Guía manejo práctico AM2M</v>
      </c>
      <c r="M12643" s="10" t="str">
        <f t="shared" ref="M12643:M12648" si="921">HYPERLINK("mailto:jcastro@crm.otsuka-europe.com", "jcastro@crm.otsuka-europe.com")</f>
        <v>jcastro@crm.otsuka-europe.com</v>
      </c>
      <c r="N12643" s="13">
        <v>46199.464618055557</v>
      </c>
      <c r="O12643" s="14" t="str">
        <f>HYPERLINK("https://otsuka-europe-crm.veevavault.com/ui/#object/email_activity__v/V8C000000041118", "EN-002099909")</f>
        <v>EN-002099909</v>
      </c>
    </row>
    <row r="12644" spans="1:15" ht="48" x14ac:dyDescent="0.2">
      <c r="A12644" s="7" t="str">
        <f>HYPERLINK("https://otsuka-europe-crm.veevavault.com/ui/#object/account__v/V4TZ04ASG9UCO6D", "ANA ALLEGUE ALONSO")</f>
        <v>ANA ALLEGUE ALONSO</v>
      </c>
      <c r="B12644" s="7" t="str">
        <f t="shared" si="918"/>
        <v>ES</v>
      </c>
      <c r="C12644" s="8" t="s">
        <v>41</v>
      </c>
      <c r="D12644" s="9" t="str">
        <f t="shared" si="919"/>
        <v>AM2M - PSIQUIATRIA - Guía manejo práctico AM2M</v>
      </c>
      <c r="E12644" s="10" t="str">
        <f>HYPERLINK("https://otsuka-europe-crm.veevavault.com/ui/#object/sent_email__v/VBL00000002Z067", "SE-001438452")</f>
        <v>SE-001438452</v>
      </c>
      <c r="F12644" s="11"/>
      <c r="G12644" s="12">
        <v>0</v>
      </c>
      <c r="H12644" s="12">
        <v>0</v>
      </c>
      <c r="I12644" s="12">
        <v>0</v>
      </c>
      <c r="J12644" s="11"/>
      <c r="K12644" s="12">
        <v>0</v>
      </c>
      <c r="L12644" s="10" t="str">
        <f t="shared" si="920"/>
        <v>AM2M - PSIQUIATRIA - Guía manejo práctico AM2M</v>
      </c>
      <c r="M12644" s="10" t="str">
        <f t="shared" si="921"/>
        <v>jcastro@crm.otsuka-europe.com</v>
      </c>
      <c r="N12644" s="13">
        <v>46199.464560185188</v>
      </c>
      <c r="O12644" s="14" t="str">
        <f>HYPERLINK("https://otsuka-europe-crm.veevavault.com/ui/#object/email_activity__v/V8C000000041056", "EN-002099793")</f>
        <v>EN-002099793</v>
      </c>
    </row>
    <row r="12645" spans="1:15" ht="48" x14ac:dyDescent="0.2">
      <c r="A12645" s="7" t="str">
        <f>HYPERLINK("https://otsuka-europe-crm.veevavault.com/ui/#object/account__v/V4TZ025E85IXZTX", "CAVU ARRARTE ZAPATA")</f>
        <v>CAVU ARRARTE ZAPATA</v>
      </c>
      <c r="B12645" s="7" t="str">
        <f t="shared" si="918"/>
        <v>ES</v>
      </c>
      <c r="C12645" s="8" t="s">
        <v>41</v>
      </c>
      <c r="D12645" s="9" t="str">
        <f t="shared" si="919"/>
        <v>AM2M - PSIQUIATRIA - Guía manejo práctico AM2M</v>
      </c>
      <c r="E12645" s="10" t="str">
        <f>HYPERLINK("https://otsuka-europe-crm.veevavault.com/ui/#object/sent_email__v/VBL00000002Z068", "SE-001438453")</f>
        <v>SE-001438453</v>
      </c>
      <c r="F12645" s="11"/>
      <c r="G12645" s="12">
        <v>0</v>
      </c>
      <c r="H12645" s="12">
        <v>0</v>
      </c>
      <c r="I12645" s="12">
        <v>0</v>
      </c>
      <c r="J12645" s="11"/>
      <c r="K12645" s="12">
        <v>0</v>
      </c>
      <c r="L12645" s="10" t="str">
        <f t="shared" si="920"/>
        <v>AM2M - PSIQUIATRIA - Guía manejo práctico AM2M</v>
      </c>
      <c r="M12645" s="10" t="str">
        <f t="shared" si="921"/>
        <v>jcastro@crm.otsuka-europe.com</v>
      </c>
      <c r="N12645" s="13">
        <v>46199.464560185188</v>
      </c>
      <c r="O12645" s="14" t="str">
        <f>HYPERLINK("https://otsuka-europe-crm.veevavault.com/ui/#object/email_activity__v/V8C000000042068", "EN-002099840")</f>
        <v>EN-002099840</v>
      </c>
    </row>
    <row r="12646" spans="1:15" ht="48" x14ac:dyDescent="0.2">
      <c r="A12646" s="7" t="str">
        <f>HYPERLINK("https://otsuka-europe-crm.veevavault.com/ui/#object/account__v/V4TZ04ASGBZY8AI", "DAVID HERNANDEZ PEDREGAL")</f>
        <v>DAVID HERNANDEZ PEDREGAL</v>
      </c>
      <c r="B12646" s="7" t="str">
        <f t="shared" si="918"/>
        <v>ES</v>
      </c>
      <c r="C12646" s="8" t="s">
        <v>41</v>
      </c>
      <c r="D12646" s="9" t="str">
        <f t="shared" si="919"/>
        <v>AM2M - PSIQUIATRIA - Guía manejo práctico AM2M</v>
      </c>
      <c r="E12646" s="10" t="str">
        <f>HYPERLINK("https://otsuka-europe-crm.veevavault.com/ui/#object/sent_email__v/VBL00000002Z069", "SE-001438454")</f>
        <v>SE-001438454</v>
      </c>
      <c r="F12646" s="11"/>
      <c r="G12646" s="12">
        <v>0</v>
      </c>
      <c r="H12646" s="12">
        <v>0</v>
      </c>
      <c r="I12646" s="12">
        <v>0</v>
      </c>
      <c r="J12646" s="11"/>
      <c r="K12646" s="12">
        <v>0</v>
      </c>
      <c r="L12646" s="10" t="str">
        <f t="shared" si="920"/>
        <v>AM2M - PSIQUIATRIA - Guía manejo práctico AM2M</v>
      </c>
      <c r="M12646" s="10" t="str">
        <f t="shared" si="921"/>
        <v>jcastro@crm.otsuka-europe.com</v>
      </c>
      <c r="N12646" s="13">
        <v>46199.464560185188</v>
      </c>
      <c r="O12646" s="14" t="str">
        <f>HYPERLINK("https://otsuka-europe-crm.veevavault.com/ui/#object/email_activity__v/V8C000000041057", "EN-002099794")</f>
        <v>EN-002099794</v>
      </c>
    </row>
    <row r="12647" spans="1:15" ht="48" x14ac:dyDescent="0.2">
      <c r="A12647" s="7" t="str">
        <f>HYPERLINK("https://otsuka-europe-crm.veevavault.com/ui/#object/account__v/V4TZ06G6O9BZB9T", "JAVIER VELASCO ESCORIZA")</f>
        <v>JAVIER VELASCO ESCORIZA</v>
      </c>
      <c r="B12647" s="7" t="str">
        <f t="shared" si="918"/>
        <v>ES</v>
      </c>
      <c r="C12647" s="8" t="s">
        <v>41</v>
      </c>
      <c r="D12647" s="9" t="str">
        <f t="shared" si="919"/>
        <v>AM2M - PSIQUIATRIA - Guía manejo práctico AM2M</v>
      </c>
      <c r="E12647" s="10" t="str">
        <f>HYPERLINK("https://otsuka-europe-crm.veevavault.com/ui/#object/sent_email__v/VBL00000002Z070", "SE-001438455")</f>
        <v>SE-001438455</v>
      </c>
      <c r="F12647" s="11"/>
      <c r="G12647" s="12">
        <v>0</v>
      </c>
      <c r="H12647" s="12">
        <v>0</v>
      </c>
      <c r="I12647" s="12">
        <v>0</v>
      </c>
      <c r="J12647" s="11"/>
      <c r="K12647" s="12">
        <v>0</v>
      </c>
      <c r="L12647" s="10" t="str">
        <f t="shared" si="920"/>
        <v>AM2M - PSIQUIATRIA - Guía manejo práctico AM2M</v>
      </c>
      <c r="M12647" s="10" t="str">
        <f t="shared" si="921"/>
        <v>jcastro@crm.otsuka-europe.com</v>
      </c>
      <c r="N12647" s="13">
        <v>46199.464560185188</v>
      </c>
      <c r="O12647" s="14" t="str">
        <f>HYPERLINK("https://otsuka-europe-crm.veevavault.com/ui/#object/email_activity__v/V8C000000041097", "EN-002099888")</f>
        <v>EN-002099888</v>
      </c>
    </row>
    <row r="12648" spans="1:15" ht="16" x14ac:dyDescent="0.2">
      <c r="A12648" s="17" t="str">
        <f>HYPERLINK("https://otsuka-europe-crm.veevavault.com/ui/#object/account__v/V4TZ025E869CFWL", "ANGELA GARCIA-CEBADA BERNAL")</f>
        <v>ANGELA GARCIA-CEBADA BERNAL</v>
      </c>
      <c r="B12648" s="17" t="str">
        <f t="shared" si="918"/>
        <v>ES</v>
      </c>
      <c r="C12648" s="20" t="s">
        <v>41</v>
      </c>
      <c r="D12648" s="21" t="str">
        <f t="shared" si="919"/>
        <v>AM2M - PSIQUIATRIA - Guía manejo práctico AM2M</v>
      </c>
      <c r="E12648" s="22" t="str">
        <f>HYPERLINK("https://otsuka-europe-crm.veevavault.com/ui/#object/sent_email__v/VBL00000002Z071", "SE-001438456")</f>
        <v>SE-001438456</v>
      </c>
      <c r="F12648" s="23">
        <v>46201.429965277777</v>
      </c>
      <c r="G12648" s="24">
        <v>1</v>
      </c>
      <c r="H12648" s="24">
        <v>4</v>
      </c>
      <c r="I12648" s="24">
        <v>0</v>
      </c>
      <c r="J12648" s="25"/>
      <c r="K12648" s="24">
        <v>0</v>
      </c>
      <c r="L12648" s="22" t="str">
        <f t="shared" si="920"/>
        <v>AM2M - PSIQUIATRIA - Guía manejo práctico AM2M</v>
      </c>
      <c r="M12648" s="22" t="str">
        <f t="shared" si="921"/>
        <v>jcastro@crm.otsuka-europe.com</v>
      </c>
      <c r="N12648" s="23">
        <v>46199.464560185188</v>
      </c>
      <c r="O12648" s="14" t="str">
        <f>HYPERLINK("https://otsuka-europe-crm.veevavault.com/ui/#object/email_activity__v/V8C000000041096", "EN-002099887")</f>
        <v>EN-002099887</v>
      </c>
    </row>
    <row r="12649" spans="1:15" ht="16" x14ac:dyDescent="0.2">
      <c r="A12649" s="18"/>
      <c r="B12649" s="18"/>
      <c r="C12649" s="18"/>
      <c r="D12649" s="18"/>
      <c r="E12649" s="18"/>
      <c r="F12649" s="18"/>
      <c r="G12649" s="18"/>
      <c r="H12649" s="18"/>
      <c r="I12649" s="18"/>
      <c r="J12649" s="18"/>
      <c r="K12649" s="18"/>
      <c r="L12649" s="18"/>
      <c r="M12649" s="18"/>
      <c r="N12649" s="18"/>
      <c r="O12649" s="14" t="str">
        <f>HYPERLINK("https://otsuka-europe-crm.veevavault.com/ui/#object/email_activity__v/V8C000000042201", "EN-002100121")</f>
        <v>EN-002100121</v>
      </c>
    </row>
    <row r="12650" spans="1:15" ht="16" x14ac:dyDescent="0.2">
      <c r="A12650" s="18"/>
      <c r="B12650" s="18"/>
      <c r="C12650" s="18"/>
      <c r="D12650" s="18"/>
      <c r="E12650" s="18"/>
      <c r="F12650" s="18"/>
      <c r="G12650" s="18"/>
      <c r="H12650" s="18"/>
      <c r="I12650" s="18"/>
      <c r="J12650" s="18"/>
      <c r="K12650" s="18"/>
      <c r="L12650" s="18"/>
      <c r="M12650" s="18"/>
      <c r="N12650" s="18"/>
      <c r="O12650" s="14" t="str">
        <f>HYPERLINK("https://otsuka-europe-crm.veevavault.com/ui/#object/email_activity__v/V8C000000042202", "EN-002100122")</f>
        <v>EN-002100122</v>
      </c>
    </row>
    <row r="12651" spans="1:15" ht="16" x14ac:dyDescent="0.2">
      <c r="A12651" s="18"/>
      <c r="B12651" s="18"/>
      <c r="C12651" s="18"/>
      <c r="D12651" s="18"/>
      <c r="E12651" s="18"/>
      <c r="F12651" s="18"/>
      <c r="G12651" s="18"/>
      <c r="H12651" s="18"/>
      <c r="I12651" s="18"/>
      <c r="J12651" s="18"/>
      <c r="K12651" s="18"/>
      <c r="L12651" s="18"/>
      <c r="M12651" s="18"/>
      <c r="N12651" s="18"/>
      <c r="O12651" s="14" t="str">
        <f>HYPERLINK("https://otsuka-europe-crm.veevavault.com/ui/#object/email_activity__v/V8C000000042203", "EN-002100123")</f>
        <v>EN-002100123</v>
      </c>
    </row>
    <row r="12652" spans="1:15" ht="16" x14ac:dyDescent="0.2">
      <c r="A12652" s="19"/>
      <c r="B12652" s="19"/>
      <c r="C12652" s="19"/>
      <c r="D12652" s="19"/>
      <c r="E12652" s="19"/>
      <c r="F12652" s="19"/>
      <c r="G12652" s="19"/>
      <c r="H12652" s="19"/>
      <c r="I12652" s="19"/>
      <c r="J12652" s="19"/>
      <c r="K12652" s="19"/>
      <c r="L12652" s="19"/>
      <c r="M12652" s="19"/>
      <c r="N12652" s="19"/>
      <c r="O12652" s="14" t="str">
        <f>HYPERLINK("https://otsuka-europe-crm.veevavault.com/ui/#object/email_activity__v/V8C000000042273", "EN-002100256")</f>
        <v>EN-002100256</v>
      </c>
    </row>
    <row r="12653" spans="1:15" ht="16" x14ac:dyDescent="0.2">
      <c r="A12653" s="17" t="str">
        <f>HYPERLINK("https://otsuka-europe-crm.veevavault.com/ui/#object/account__v/V4T000000024031", "INMACULADA BENITO MARIN")</f>
        <v>INMACULADA BENITO MARIN</v>
      </c>
      <c r="B12653" s="17" t="str">
        <f>HYPERLINK("https://otsuka-europe-crm.veevavault.com/ui/#object/vcountry__v/VENZ000004SONF5", "ES")</f>
        <v>ES</v>
      </c>
      <c r="C12653" s="20" t="s">
        <v>41</v>
      </c>
      <c r="D12653" s="21" t="str">
        <f>HYPERLINK("https://otsuka-europe-crm.veevavault.com/ui/#object/approved_document__v/V5O00000000R009", "AM2M - PSIQUIATRIA - Guía manejo práctico AM2M")</f>
        <v>AM2M - PSIQUIATRIA - Guía manejo práctico AM2M</v>
      </c>
      <c r="E12653" s="22" t="str">
        <f>HYPERLINK("https://otsuka-europe-crm.veevavault.com/ui/#object/sent_email__v/VBL00000002Z072", "SE-001438457")</f>
        <v>SE-001438457</v>
      </c>
      <c r="F12653" s="25"/>
      <c r="G12653" s="24">
        <v>0</v>
      </c>
      <c r="H12653" s="24">
        <v>0</v>
      </c>
      <c r="I12653" s="24">
        <v>0</v>
      </c>
      <c r="J12653" s="25"/>
      <c r="K12653" s="24">
        <v>0</v>
      </c>
      <c r="L12653" s="22" t="str">
        <f>HYPERLINK("https://otsuka-europe-crm.veevavault.com/ui/#object/approved_document__v/V5O00000000R009", "AM2M - PSIQUIATRIA - Guía manejo práctico AM2M")</f>
        <v>AM2M - PSIQUIATRIA - Guía manejo práctico AM2M</v>
      </c>
      <c r="M12653" s="22" t="str">
        <f>HYPERLINK("mailto:jcastro@crm.otsuka-europe.com", "jcastro@crm.otsuka-europe.com")</f>
        <v>jcastro@crm.otsuka-europe.com</v>
      </c>
      <c r="N12653" s="23">
        <v>46199.464560185188</v>
      </c>
      <c r="O12653" s="14" t="str">
        <f>HYPERLINK("https://otsuka-europe-crm.veevavault.com/ui/#object/email_activity__v/V8C000000042064", "EN-002099836")</f>
        <v>EN-002099836</v>
      </c>
    </row>
    <row r="12654" spans="1:15" ht="16" x14ac:dyDescent="0.2">
      <c r="A12654" s="19"/>
      <c r="B12654" s="19"/>
      <c r="C12654" s="19"/>
      <c r="D12654" s="19"/>
      <c r="E12654" s="19"/>
      <c r="F12654" s="19"/>
      <c r="G12654" s="19"/>
      <c r="H12654" s="19"/>
      <c r="I12654" s="19"/>
      <c r="J12654" s="19"/>
      <c r="K12654" s="19"/>
      <c r="L12654" s="19"/>
      <c r="M12654" s="19"/>
      <c r="N12654" s="19"/>
      <c r="O12654" s="14" t="str">
        <f>HYPERLINK("https://otsuka-europe-crm.veevavault.com/ui/#object/email_activity__v/V8C000000042279", "EN-002100267")</f>
        <v>EN-002100267</v>
      </c>
    </row>
    <row r="12655" spans="1:15" ht="16" x14ac:dyDescent="0.2">
      <c r="A12655" s="17" t="str">
        <f>HYPERLINK("https://otsuka-europe-crm.veevavault.com/ui/#object/account__v/V4TZ06G6O71T93E", "JOSE ANTONIO ACAL GUTIERREZ")</f>
        <v>JOSE ANTONIO ACAL GUTIERREZ</v>
      </c>
      <c r="B12655" s="17" t="str">
        <f>HYPERLINK("https://otsuka-europe-crm.veevavault.com/ui/#object/vcountry__v/VENZ000004SONF5", "ES")</f>
        <v>ES</v>
      </c>
      <c r="C12655" s="20" t="s">
        <v>41</v>
      </c>
      <c r="D12655" s="21" t="str">
        <f>HYPERLINK("https://otsuka-europe-crm.veevavault.com/ui/#object/approved_document__v/V5O00000000R009", "AM2M - PSIQUIATRIA - Guía manejo práctico AM2M")</f>
        <v>AM2M - PSIQUIATRIA - Guía manejo práctico AM2M</v>
      </c>
      <c r="E12655" s="22" t="str">
        <f>HYPERLINK("https://otsuka-europe-crm.veevavault.com/ui/#object/sent_email__v/VBL00000002Z073", "SE-001438458")</f>
        <v>SE-001438458</v>
      </c>
      <c r="F12655" s="23">
        <v>46200.347743055558</v>
      </c>
      <c r="G12655" s="24">
        <v>1</v>
      </c>
      <c r="H12655" s="24">
        <v>6</v>
      </c>
      <c r="I12655" s="24">
        <v>0</v>
      </c>
      <c r="J12655" s="25"/>
      <c r="K12655" s="24">
        <v>0</v>
      </c>
      <c r="L12655" s="22" t="str">
        <f>HYPERLINK("https://otsuka-europe-crm.veevavault.com/ui/#object/approved_document__v/V5O00000000R009", "AM2M - PSIQUIATRIA - Guía manejo práctico AM2M")</f>
        <v>AM2M - PSIQUIATRIA - Guía manejo práctico AM2M</v>
      </c>
      <c r="M12655" s="22" t="str">
        <f>HYPERLINK("mailto:jcastro@crm.otsuka-europe.com", "jcastro@crm.otsuka-europe.com")</f>
        <v>jcastro@crm.otsuka-europe.com</v>
      </c>
      <c r="N12655" s="23">
        <v>46199.464583333334</v>
      </c>
      <c r="O12655" s="14" t="str">
        <f>HYPERLINK("https://otsuka-europe-crm.veevavault.com/ui/#object/email_activity__v/V8C000000041111", "EN-002099902")</f>
        <v>EN-002099902</v>
      </c>
    </row>
    <row r="12656" spans="1:15" ht="16" x14ac:dyDescent="0.2">
      <c r="A12656" s="18"/>
      <c r="B12656" s="18"/>
      <c r="C12656" s="18"/>
      <c r="D12656" s="18"/>
      <c r="E12656" s="18"/>
      <c r="F12656" s="18"/>
      <c r="G12656" s="18"/>
      <c r="H12656" s="18"/>
      <c r="I12656" s="18"/>
      <c r="J12656" s="18"/>
      <c r="K12656" s="18"/>
      <c r="L12656" s="18"/>
      <c r="M12656" s="18"/>
      <c r="N12656" s="18"/>
      <c r="O12656" s="14" t="str">
        <f>HYPERLINK("https://otsuka-europe-crm.veevavault.com/ui/#object/email_activity__v/V8C000000041216", "EN-002100095")</f>
        <v>EN-002100095</v>
      </c>
    </row>
    <row r="12657" spans="1:15" ht="16" x14ac:dyDescent="0.2">
      <c r="A12657" s="18"/>
      <c r="B12657" s="18"/>
      <c r="C12657" s="18"/>
      <c r="D12657" s="18"/>
      <c r="E12657" s="18"/>
      <c r="F12657" s="18"/>
      <c r="G12657" s="18"/>
      <c r="H12657" s="18"/>
      <c r="I12657" s="18"/>
      <c r="J12657" s="18"/>
      <c r="K12657" s="18"/>
      <c r="L12657" s="18"/>
      <c r="M12657" s="18"/>
      <c r="N12657" s="18"/>
      <c r="O12657" s="14" t="str">
        <f>HYPERLINK("https://otsuka-europe-crm.veevavault.com/ui/#object/email_activity__v/V8C000000042189", "EN-002100096")</f>
        <v>EN-002100096</v>
      </c>
    </row>
    <row r="12658" spans="1:15" ht="16" x14ac:dyDescent="0.2">
      <c r="A12658" s="18"/>
      <c r="B12658" s="18"/>
      <c r="C12658" s="18"/>
      <c r="D12658" s="18"/>
      <c r="E12658" s="18"/>
      <c r="F12658" s="18"/>
      <c r="G12658" s="18"/>
      <c r="H12658" s="18"/>
      <c r="I12658" s="18"/>
      <c r="J12658" s="18"/>
      <c r="K12658" s="18"/>
      <c r="L12658" s="18"/>
      <c r="M12658" s="18"/>
      <c r="N12658" s="18"/>
      <c r="O12658" s="14" t="str">
        <f>HYPERLINK("https://otsuka-europe-crm.veevavault.com/ui/#object/email_activity__v/V8C000000042190", "EN-002100097")</f>
        <v>EN-002100097</v>
      </c>
    </row>
    <row r="12659" spans="1:15" ht="16" x14ac:dyDescent="0.2">
      <c r="A12659" s="18"/>
      <c r="B12659" s="18"/>
      <c r="C12659" s="18"/>
      <c r="D12659" s="18"/>
      <c r="E12659" s="18"/>
      <c r="F12659" s="18"/>
      <c r="G12659" s="18"/>
      <c r="H12659" s="18"/>
      <c r="I12659" s="18"/>
      <c r="J12659" s="18"/>
      <c r="K12659" s="18"/>
      <c r="L12659" s="18"/>
      <c r="M12659" s="18"/>
      <c r="N12659" s="18"/>
      <c r="O12659" s="14" t="str">
        <f>HYPERLINK("https://otsuka-europe-crm.veevavault.com/ui/#object/email_activity__v/V8C000000042191", "EN-002100098")</f>
        <v>EN-002100098</v>
      </c>
    </row>
    <row r="12660" spans="1:15" ht="16" x14ac:dyDescent="0.2">
      <c r="A12660" s="18"/>
      <c r="B12660" s="18"/>
      <c r="C12660" s="18"/>
      <c r="D12660" s="18"/>
      <c r="E12660" s="18"/>
      <c r="F12660" s="18"/>
      <c r="G12660" s="18"/>
      <c r="H12660" s="18"/>
      <c r="I12660" s="18"/>
      <c r="J12660" s="18"/>
      <c r="K12660" s="18"/>
      <c r="L12660" s="18"/>
      <c r="M12660" s="18"/>
      <c r="N12660" s="18"/>
      <c r="O12660" s="14" t="str">
        <f>HYPERLINK("https://otsuka-europe-crm.veevavault.com/ui/#object/email_activity__v/V8C000000042192", "EN-002100099")</f>
        <v>EN-002100099</v>
      </c>
    </row>
    <row r="12661" spans="1:15" ht="16" x14ac:dyDescent="0.2">
      <c r="A12661" s="19"/>
      <c r="B12661" s="19"/>
      <c r="C12661" s="19"/>
      <c r="D12661" s="19"/>
      <c r="E12661" s="19"/>
      <c r="F12661" s="19"/>
      <c r="G12661" s="19"/>
      <c r="H12661" s="19"/>
      <c r="I12661" s="19"/>
      <c r="J12661" s="19"/>
      <c r="K12661" s="19"/>
      <c r="L12661" s="19"/>
      <c r="M12661" s="19"/>
      <c r="N12661" s="19"/>
      <c r="O12661" s="14" t="str">
        <f>HYPERLINK("https://otsuka-europe-crm.veevavault.com/ui/#object/email_activity__v/V8C000000042228", "EN-002100165")</f>
        <v>EN-002100165</v>
      </c>
    </row>
    <row r="12662" spans="1:15" ht="48" x14ac:dyDescent="0.2">
      <c r="A12662" s="7" t="str">
        <f>HYPERLINK("https://otsuka-europe-crm.veevavault.com/ui/#object/account__v/V4TZ06G6O71TC9H", "MANUEL ANGEL SORIA DORADO")</f>
        <v>MANUEL ANGEL SORIA DORADO</v>
      </c>
      <c r="B12662" s="7" t="str">
        <f>HYPERLINK("https://otsuka-europe-crm.veevavault.com/ui/#object/vcountry__v/VENZ000004SONF5", "ES")</f>
        <v>ES</v>
      </c>
      <c r="C12662" s="8" t="s">
        <v>41</v>
      </c>
      <c r="D12662" s="9" t="str">
        <f>HYPERLINK("https://otsuka-europe-crm.veevavault.com/ui/#object/approved_document__v/V5O00000000R009", "AM2M - PSIQUIATRIA - Guía manejo práctico AM2M")</f>
        <v>AM2M - PSIQUIATRIA - Guía manejo práctico AM2M</v>
      </c>
      <c r="E12662" s="10" t="str">
        <f>HYPERLINK("https://otsuka-europe-crm.veevavault.com/ui/#object/sent_email__v/VBL00000002Z074", "SE-001438459")</f>
        <v>SE-001438459</v>
      </c>
      <c r="F12662" s="11"/>
      <c r="G12662" s="12">
        <v>0</v>
      </c>
      <c r="H12662" s="12">
        <v>0</v>
      </c>
      <c r="I12662" s="12">
        <v>0</v>
      </c>
      <c r="J12662" s="11"/>
      <c r="K12662" s="12">
        <v>0</v>
      </c>
      <c r="L12662" s="10" t="str">
        <f>HYPERLINK("https://otsuka-europe-crm.veevavault.com/ui/#object/approved_document__v/V5O00000000R009", "AM2M - PSIQUIATRIA - Guía manejo práctico AM2M")</f>
        <v>AM2M - PSIQUIATRIA - Guía manejo práctico AM2M</v>
      </c>
      <c r="M12662" s="10" t="str">
        <f>HYPERLINK("mailto:jcastro@crm.otsuka-europe.com", "jcastro@crm.otsuka-europe.com")</f>
        <v>jcastro@crm.otsuka-europe.com</v>
      </c>
      <c r="N12662" s="13">
        <v>46199.464560185188</v>
      </c>
      <c r="O12662" s="14" t="str">
        <f>HYPERLINK("https://otsuka-europe-crm.veevavault.com/ui/#object/email_activity__v/V8C000000042097", "EN-002099879")</f>
        <v>EN-002099879</v>
      </c>
    </row>
    <row r="12663" spans="1:15" ht="16" x14ac:dyDescent="0.2">
      <c r="A12663" s="17" t="str">
        <f>HYPERLINK("https://otsuka-europe-crm.veevavault.com/ui/#object/account__v/V4TZ06G6O71TAVA", "MARIA PILAR LUCAS BORJA")</f>
        <v>MARIA PILAR LUCAS BORJA</v>
      </c>
      <c r="B12663" s="17" t="str">
        <f>HYPERLINK("https://otsuka-europe-crm.veevavault.com/ui/#object/vcountry__v/VENZ000004SONF5", "ES")</f>
        <v>ES</v>
      </c>
      <c r="C12663" s="20" t="s">
        <v>41</v>
      </c>
      <c r="D12663" s="21" t="str">
        <f>HYPERLINK("https://otsuka-europe-crm.veevavault.com/ui/#object/approved_document__v/V5O00000000R009", "AM2M - PSIQUIATRIA - Guía manejo práctico AM2M")</f>
        <v>AM2M - PSIQUIATRIA - Guía manejo práctico AM2M</v>
      </c>
      <c r="E12663" s="22" t="str">
        <f>HYPERLINK("https://otsuka-europe-crm.veevavault.com/ui/#object/sent_email__v/VBL00000002Z075", "SE-001438460")</f>
        <v>SE-001438460</v>
      </c>
      <c r="F12663" s="25"/>
      <c r="G12663" s="24">
        <v>0</v>
      </c>
      <c r="H12663" s="24">
        <v>0</v>
      </c>
      <c r="I12663" s="24">
        <v>0</v>
      </c>
      <c r="J12663" s="25"/>
      <c r="K12663" s="24">
        <v>0</v>
      </c>
      <c r="L12663" s="22" t="str">
        <f>HYPERLINK("https://otsuka-europe-crm.veevavault.com/ui/#object/approved_document__v/V5O00000000R009", "AM2M - PSIQUIATRIA - Guía manejo práctico AM2M")</f>
        <v>AM2M - PSIQUIATRIA - Guía manejo práctico AM2M</v>
      </c>
      <c r="M12663" s="22" t="str">
        <f>HYPERLINK("mailto:jcastro@crm.otsuka-europe.com", "jcastro@crm.otsuka-europe.com")</f>
        <v>jcastro@crm.otsuka-europe.com</v>
      </c>
      <c r="N12663" s="23">
        <v>46199.464560185188</v>
      </c>
      <c r="O12663" s="14" t="str">
        <f>HYPERLINK("https://otsuka-europe-crm.veevavault.com/ui/#object/email_activity__v/V8C000000041270", "EN-002100213")</f>
        <v>EN-002100213</v>
      </c>
    </row>
    <row r="12664" spans="1:15" ht="16" x14ac:dyDescent="0.2">
      <c r="A12664" s="19"/>
      <c r="B12664" s="19"/>
      <c r="C12664" s="19"/>
      <c r="D12664" s="19"/>
      <c r="E12664" s="19"/>
      <c r="F12664" s="19"/>
      <c r="G12664" s="19"/>
      <c r="H12664" s="19"/>
      <c r="I12664" s="19"/>
      <c r="J12664" s="19"/>
      <c r="K12664" s="19"/>
      <c r="L12664" s="19"/>
      <c r="M12664" s="19"/>
      <c r="N12664" s="19"/>
      <c r="O12664" s="14" t="str">
        <f>HYPERLINK("https://otsuka-europe-crm.veevavault.com/ui/#object/email_activity__v/V8C000000042084", "EN-002099866")</f>
        <v>EN-002099866</v>
      </c>
    </row>
    <row r="12665" spans="1:15" ht="48" x14ac:dyDescent="0.2">
      <c r="A12665" s="7" t="str">
        <f>HYPERLINK("https://otsuka-europe-crm.veevavault.com/ui/#object/account__v/V4TZ06G6O71T909", "MARIA ALVAREZ SEGURA")</f>
        <v>MARIA ALVAREZ SEGURA</v>
      </c>
      <c r="B12665" s="7" t="str">
        <f>HYPERLINK("https://otsuka-europe-crm.veevavault.com/ui/#object/vcountry__v/VENZ000004SONF5", "ES")</f>
        <v>ES</v>
      </c>
      <c r="C12665" s="8" t="s">
        <v>41</v>
      </c>
      <c r="D12665" s="9" t="str">
        <f>HYPERLINK("https://otsuka-europe-crm.veevavault.com/ui/#object/approved_document__v/V5O00000000R009", "AM2M - PSIQUIATRIA - Guía manejo práctico AM2M")</f>
        <v>AM2M - PSIQUIATRIA - Guía manejo práctico AM2M</v>
      </c>
      <c r="E12665" s="10" t="str">
        <f>HYPERLINK("https://otsuka-europe-crm.veevavault.com/ui/#object/sent_email__v/VBL00000002Z076", "SE-001438461")</f>
        <v>SE-001438461</v>
      </c>
      <c r="F12665" s="11"/>
      <c r="G12665" s="12">
        <v>0</v>
      </c>
      <c r="H12665" s="12">
        <v>0</v>
      </c>
      <c r="I12665" s="12">
        <v>0</v>
      </c>
      <c r="J12665" s="11"/>
      <c r="K12665" s="12">
        <v>0</v>
      </c>
      <c r="L12665" s="10" t="str">
        <f>HYPERLINK("https://otsuka-europe-crm.veevavault.com/ui/#object/approved_document__v/V5O00000000R009", "AM2M - PSIQUIATRIA - Guía manejo práctico AM2M")</f>
        <v>AM2M - PSIQUIATRIA - Guía manejo práctico AM2M</v>
      </c>
      <c r="M12665" s="10" t="str">
        <f>HYPERLINK("mailto:jcastro@crm.otsuka-europe.com", "jcastro@crm.otsuka-europe.com")</f>
        <v>jcastro@crm.otsuka-europe.com</v>
      </c>
      <c r="N12665" s="13">
        <v>46199.464560185188</v>
      </c>
      <c r="O12665" s="14" t="str">
        <f>HYPERLINK("https://otsuka-europe-crm.veevavault.com/ui/#object/email_activity__v/V8C000000041087", "EN-002099858")</f>
        <v>EN-002099858</v>
      </c>
    </row>
    <row r="12666" spans="1:15" ht="16" x14ac:dyDescent="0.2">
      <c r="A12666" s="17" t="str">
        <f>HYPERLINK("https://otsuka-europe-crm.veevavault.com/ui/#object/account__v/V4TZ06G6O71T8HD", "MARIA ANGELES ARENAS JIMENEZ")</f>
        <v>MARIA ANGELES ARENAS JIMENEZ</v>
      </c>
      <c r="B12666" s="17" t="str">
        <f>HYPERLINK("https://otsuka-europe-crm.veevavault.com/ui/#object/vcountry__v/VENZ000004SONF5", "ES")</f>
        <v>ES</v>
      </c>
      <c r="C12666" s="20" t="s">
        <v>41</v>
      </c>
      <c r="D12666" s="21" t="str">
        <f>HYPERLINK("https://otsuka-europe-crm.veevavault.com/ui/#object/approved_document__v/V5O00000000R009", "AM2M - PSIQUIATRIA - Guía manejo práctico AM2M")</f>
        <v>AM2M - PSIQUIATRIA - Guía manejo práctico AM2M</v>
      </c>
      <c r="E12666" s="22" t="str">
        <f>HYPERLINK("https://otsuka-europe-crm.veevavault.com/ui/#object/sent_email__v/VBL00000002Z077", "SE-001438462")</f>
        <v>SE-001438462</v>
      </c>
      <c r="F12666" s="23">
        <v>46199.469236111108</v>
      </c>
      <c r="G12666" s="24">
        <v>1</v>
      </c>
      <c r="H12666" s="24">
        <v>1</v>
      </c>
      <c r="I12666" s="24">
        <v>0</v>
      </c>
      <c r="J12666" s="25"/>
      <c r="K12666" s="24">
        <v>0</v>
      </c>
      <c r="L12666" s="22" t="str">
        <f>HYPERLINK("https://otsuka-europe-crm.veevavault.com/ui/#object/approved_document__v/V5O00000000R009", "AM2M - PSIQUIATRIA - Guía manejo práctico AM2M")</f>
        <v>AM2M - PSIQUIATRIA - Guía manejo práctico AM2M</v>
      </c>
      <c r="M12666" s="22" t="str">
        <f>HYPERLINK("mailto:jcastro@crm.otsuka-europe.com", "jcastro@crm.otsuka-europe.com")</f>
        <v>jcastro@crm.otsuka-europe.com</v>
      </c>
      <c r="N12666" s="23">
        <v>46199.464560185188</v>
      </c>
      <c r="O12666" s="14" t="str">
        <f>HYPERLINK("https://otsuka-europe-crm.veevavault.com/ui/#object/email_activity__v/V8C000000041081", "EN-002099818")</f>
        <v>EN-002099818</v>
      </c>
    </row>
    <row r="12667" spans="1:15" ht="16" x14ac:dyDescent="0.2">
      <c r="A12667" s="19"/>
      <c r="B12667" s="19"/>
      <c r="C12667" s="19"/>
      <c r="D12667" s="19"/>
      <c r="E12667" s="19"/>
      <c r="F12667" s="19"/>
      <c r="G12667" s="19"/>
      <c r="H12667" s="19"/>
      <c r="I12667" s="19"/>
      <c r="J12667" s="19"/>
      <c r="K12667" s="19"/>
      <c r="L12667" s="19"/>
      <c r="M12667" s="19"/>
      <c r="N12667" s="19"/>
      <c r="O12667" s="14" t="str">
        <f>HYPERLINK("https://otsuka-europe-crm.veevavault.com/ui/#object/email_activity__v/V8C000000042120", "EN-002099979")</f>
        <v>EN-002099979</v>
      </c>
    </row>
    <row r="12668" spans="1:15" ht="48" x14ac:dyDescent="0.2">
      <c r="A12668" s="7" t="str">
        <f>HYPERLINK("https://otsuka-europe-crm.veevavault.com/ui/#object/account__v/V4TZ06G6O71TBLD", "BERNARDO LUIS PEREZ RAMIREZ")</f>
        <v>BERNARDO LUIS PEREZ RAMIREZ</v>
      </c>
      <c r="B12668" s="7" t="str">
        <f>HYPERLINK("https://otsuka-europe-crm.veevavault.com/ui/#object/vcountry__v/VENZ000004SONF5", "ES")</f>
        <v>ES</v>
      </c>
      <c r="C12668" s="8" t="s">
        <v>41</v>
      </c>
      <c r="D12668" s="9" t="str">
        <f>HYPERLINK("https://otsuka-europe-crm.veevavault.com/ui/#object/approved_document__v/V5O00000000R009", "AM2M - PSIQUIATRIA - Guía manejo práctico AM2M")</f>
        <v>AM2M - PSIQUIATRIA - Guía manejo práctico AM2M</v>
      </c>
      <c r="E12668" s="10" t="str">
        <f>HYPERLINK("https://otsuka-europe-crm.veevavault.com/ui/#object/sent_email__v/VBL00000002Z078", "SE-001438463")</f>
        <v>SE-001438463</v>
      </c>
      <c r="F12668" s="11"/>
      <c r="G12668" s="12">
        <v>0</v>
      </c>
      <c r="H12668" s="12">
        <v>0</v>
      </c>
      <c r="I12668" s="12">
        <v>0</v>
      </c>
      <c r="J12668" s="11"/>
      <c r="K12668" s="12">
        <v>0</v>
      </c>
      <c r="L12668" s="10" t="str">
        <f>HYPERLINK("https://otsuka-europe-crm.veevavault.com/ui/#object/approved_document__v/V5O00000000R009", "AM2M - PSIQUIATRIA - Guía manejo práctico AM2M")</f>
        <v>AM2M - PSIQUIATRIA - Guía manejo práctico AM2M</v>
      </c>
      <c r="M12668" s="10" t="str">
        <f>HYPERLINK("mailto:jcastro@crm.otsuka-europe.com", "jcastro@crm.otsuka-europe.com")</f>
        <v>jcastro@crm.otsuka-europe.com</v>
      </c>
      <c r="N12668" s="13">
        <v>46199.464560185188</v>
      </c>
      <c r="O12668" s="14" t="str">
        <f>HYPERLINK("https://otsuka-europe-crm.veevavault.com/ui/#object/email_activity__v/V8C000000041095", "EN-002099886")</f>
        <v>EN-002099886</v>
      </c>
    </row>
    <row r="12669" spans="1:15" ht="16" x14ac:dyDescent="0.2">
      <c r="A12669" s="17" t="str">
        <f>HYPERLINK("https://otsuka-europe-crm.veevavault.com/ui/#object/account__v/V4TZ06G6O9VF400", "ELENA PALENCIANO RUIZ")</f>
        <v>ELENA PALENCIANO RUIZ</v>
      </c>
      <c r="B12669" s="17" t="str">
        <f>HYPERLINK("https://otsuka-europe-crm.veevavault.com/ui/#object/vcountry__v/VENZ000004SONF5", "ES")</f>
        <v>ES</v>
      </c>
      <c r="C12669" s="20" t="s">
        <v>41</v>
      </c>
      <c r="D12669" s="21" t="str">
        <f>HYPERLINK("https://otsuka-europe-crm.veevavault.com/ui/#object/approved_document__v/V5O00000000R009", "AM2M - PSIQUIATRIA - Guía manejo práctico AM2M")</f>
        <v>AM2M - PSIQUIATRIA - Guía manejo práctico AM2M</v>
      </c>
      <c r="E12669" s="22" t="str">
        <f>HYPERLINK("https://otsuka-europe-crm.veevavault.com/ui/#object/sent_email__v/VBL00000002Z079", "SE-001438464")</f>
        <v>SE-001438464</v>
      </c>
      <c r="F12669" s="23">
        <v>46200.572384259256</v>
      </c>
      <c r="G12669" s="24">
        <v>1</v>
      </c>
      <c r="H12669" s="24">
        <v>2</v>
      </c>
      <c r="I12669" s="24">
        <v>1</v>
      </c>
      <c r="J12669" s="23">
        <v>46200.572384259256</v>
      </c>
      <c r="K12669" s="24">
        <v>1</v>
      </c>
      <c r="L12669" s="22" t="str">
        <f>HYPERLINK("https://otsuka-europe-crm.veevavault.com/ui/#object/approved_document__v/V5O00000000R009", "AM2M - PSIQUIATRIA - Guía manejo práctico AM2M")</f>
        <v>AM2M - PSIQUIATRIA - Guía manejo práctico AM2M</v>
      </c>
      <c r="M12669" s="22" t="str">
        <f>HYPERLINK("mailto:jcastro@crm.otsuka-europe.com", "jcastro@crm.otsuka-europe.com")</f>
        <v>jcastro@crm.otsuka-europe.com</v>
      </c>
      <c r="N12669" s="23">
        <v>46199.464560185188</v>
      </c>
      <c r="O12669" s="14" t="str">
        <f>HYPERLINK("https://otsuka-europe-crm.veevavault.com/ui/#object/email_activity__v/V8C000000041093", "EN-002099884")</f>
        <v>EN-002099884</v>
      </c>
    </row>
    <row r="12670" spans="1:15" ht="16" x14ac:dyDescent="0.2">
      <c r="A12670" s="18"/>
      <c r="B12670" s="18"/>
      <c r="C12670" s="18"/>
      <c r="D12670" s="18"/>
      <c r="E12670" s="18"/>
      <c r="F12670" s="18"/>
      <c r="G12670" s="18"/>
      <c r="H12670" s="18"/>
      <c r="I12670" s="18"/>
      <c r="J12670" s="18"/>
      <c r="K12670" s="18"/>
      <c r="L12670" s="18"/>
      <c r="M12670" s="18"/>
      <c r="N12670" s="18"/>
      <c r="O12670" s="14" t="str">
        <f>HYPERLINK("https://otsuka-europe-crm.veevavault.com/ui/#object/email_activity__v/V8C000000041254", "EN-002100182")</f>
        <v>EN-002100182</v>
      </c>
    </row>
    <row r="12671" spans="1:15" ht="16" x14ac:dyDescent="0.2">
      <c r="A12671" s="18"/>
      <c r="B12671" s="18"/>
      <c r="C12671" s="18"/>
      <c r="D12671" s="18"/>
      <c r="E12671" s="18"/>
      <c r="F12671" s="18"/>
      <c r="G12671" s="18"/>
      <c r="H12671" s="18"/>
      <c r="I12671" s="18"/>
      <c r="J12671" s="18"/>
      <c r="K12671" s="18"/>
      <c r="L12671" s="18"/>
      <c r="M12671" s="18"/>
      <c r="N12671" s="18"/>
      <c r="O12671" s="14" t="str">
        <f>HYPERLINK("https://otsuka-europe-crm.veevavault.com/ui/#object/email_activity__v/V8C000000041260", "EN-002100189")</f>
        <v>EN-002100189</v>
      </c>
    </row>
    <row r="12672" spans="1:15" ht="16" x14ac:dyDescent="0.2">
      <c r="A12672" s="18"/>
      <c r="B12672" s="18"/>
      <c r="C12672" s="18"/>
      <c r="D12672" s="18"/>
      <c r="E12672" s="18"/>
      <c r="F12672" s="18"/>
      <c r="G12672" s="18"/>
      <c r="H12672" s="18"/>
      <c r="I12672" s="18"/>
      <c r="J12672" s="18"/>
      <c r="K12672" s="18"/>
      <c r="L12672" s="18"/>
      <c r="M12672" s="18"/>
      <c r="N12672" s="18"/>
      <c r="O12672" s="14" t="str">
        <f>HYPERLINK("https://otsuka-europe-crm.veevavault.com/ui/#object/email_activity__v/V8C000000042234", "EN-002100180")</f>
        <v>EN-002100180</v>
      </c>
    </row>
    <row r="12673" spans="1:15" ht="16" x14ac:dyDescent="0.2">
      <c r="A12673" s="18"/>
      <c r="B12673" s="18"/>
      <c r="C12673" s="18"/>
      <c r="D12673" s="18"/>
      <c r="E12673" s="18"/>
      <c r="F12673" s="18"/>
      <c r="G12673" s="18"/>
      <c r="H12673" s="18"/>
      <c r="I12673" s="18"/>
      <c r="J12673" s="18"/>
      <c r="K12673" s="18"/>
      <c r="L12673" s="18"/>
      <c r="M12673" s="18"/>
      <c r="N12673" s="18"/>
      <c r="O12673" s="14" t="str">
        <f>HYPERLINK("https://otsuka-europe-crm.veevavault.com/ui/#object/email_activity__v/V8C000000042235", "EN-002100178")</f>
        <v>EN-002100178</v>
      </c>
    </row>
    <row r="12674" spans="1:15" ht="16" x14ac:dyDescent="0.2">
      <c r="A12674" s="19"/>
      <c r="B12674" s="19"/>
      <c r="C12674" s="19"/>
      <c r="D12674" s="19"/>
      <c r="E12674" s="19"/>
      <c r="F12674" s="19"/>
      <c r="G12674" s="19"/>
      <c r="H12674" s="19"/>
      <c r="I12674" s="19"/>
      <c r="J12674" s="19"/>
      <c r="K12674" s="19"/>
      <c r="L12674" s="19"/>
      <c r="M12674" s="19"/>
      <c r="N12674" s="19"/>
      <c r="O12674" s="14" t="str">
        <f>HYPERLINK("https://otsuka-europe-crm.veevavault.com/ui/#object/email_activity__v/V8C000000042236", "EN-002100179")</f>
        <v>EN-002100179</v>
      </c>
    </row>
    <row r="12675" spans="1:15" ht="48" x14ac:dyDescent="0.2">
      <c r="A12675" s="7" t="str">
        <f>HYPERLINK("https://otsuka-europe-crm.veevavault.com/ui/#object/account__v/V4TZ04ASGBZY8AH", "LUCIA FERNANDEZ DE BOBADILLA MASEDO")</f>
        <v>LUCIA FERNANDEZ DE BOBADILLA MASEDO</v>
      </c>
      <c r="B12675" s="7" t="str">
        <f>HYPERLINK("https://otsuka-europe-crm.veevavault.com/ui/#object/vcountry__v/VENZ000004SONF5", "ES")</f>
        <v>ES</v>
      </c>
      <c r="C12675" s="8" t="s">
        <v>41</v>
      </c>
      <c r="D12675" s="9" t="str">
        <f>HYPERLINK("https://otsuka-europe-crm.veevavault.com/ui/#object/approved_document__v/V5O00000000R009", "AM2M - PSIQUIATRIA - Guía manejo práctico AM2M")</f>
        <v>AM2M - PSIQUIATRIA - Guía manejo práctico AM2M</v>
      </c>
      <c r="E12675" s="10" t="str">
        <f>HYPERLINK("https://otsuka-europe-crm.veevavault.com/ui/#object/sent_email__v/VBL00000002Z080", "SE-001438465")</f>
        <v>SE-001438465</v>
      </c>
      <c r="F12675" s="11"/>
      <c r="G12675" s="12">
        <v>0</v>
      </c>
      <c r="H12675" s="12">
        <v>0</v>
      </c>
      <c r="I12675" s="12">
        <v>0</v>
      </c>
      <c r="J12675" s="11"/>
      <c r="K12675" s="12">
        <v>0</v>
      </c>
      <c r="L12675" s="10" t="str">
        <f>HYPERLINK("https://otsuka-europe-crm.veevavault.com/ui/#object/approved_document__v/V5O00000000R009", "AM2M - PSIQUIATRIA - Guía manejo práctico AM2M")</f>
        <v>AM2M - PSIQUIATRIA - Guía manejo práctico AM2M</v>
      </c>
      <c r="M12675" s="10" t="str">
        <f>HYPERLINK("mailto:jcastro@crm.otsuka-europe.com", "jcastro@crm.otsuka-europe.com")</f>
        <v>jcastro@crm.otsuka-europe.com</v>
      </c>
      <c r="N12675" s="13">
        <v>46199.464560185188</v>
      </c>
      <c r="O12675" s="14" t="str">
        <f>HYPERLINK("https://otsuka-europe-crm.veevavault.com/ui/#object/email_activity__v/V8C000000041079", "EN-002099816")</f>
        <v>EN-002099816</v>
      </c>
    </row>
    <row r="12676" spans="1:15" ht="16" x14ac:dyDescent="0.2">
      <c r="A12676" s="17" t="str">
        <f>HYPERLINK("https://otsuka-europe-crm.veevavault.com/ui/#object/account__v/V4TZ04ASG8N2BO2", "MARIA DORADO FAJARDO")</f>
        <v>MARIA DORADO FAJARDO</v>
      </c>
      <c r="B12676" s="17" t="str">
        <f>HYPERLINK("https://otsuka-europe-crm.veevavault.com/ui/#object/vcountry__v/VENZ000004SONF5", "ES")</f>
        <v>ES</v>
      </c>
      <c r="C12676" s="20" t="s">
        <v>41</v>
      </c>
      <c r="D12676" s="21" t="str">
        <f>HYPERLINK("https://otsuka-europe-crm.veevavault.com/ui/#object/approved_document__v/V5O00000000R009", "AM2M - PSIQUIATRIA - Guía manejo práctico AM2M")</f>
        <v>AM2M - PSIQUIATRIA - Guía manejo práctico AM2M</v>
      </c>
      <c r="E12676" s="22" t="str">
        <f>HYPERLINK("https://otsuka-europe-crm.veevavault.com/ui/#object/sent_email__v/VBL00000002Z081", "SE-001438466")</f>
        <v>SE-001438466</v>
      </c>
      <c r="F12676" s="25"/>
      <c r="G12676" s="24">
        <v>0</v>
      </c>
      <c r="H12676" s="24">
        <v>0</v>
      </c>
      <c r="I12676" s="24">
        <v>0</v>
      </c>
      <c r="J12676" s="25"/>
      <c r="K12676" s="24">
        <v>0</v>
      </c>
      <c r="L12676" s="22" t="str">
        <f>HYPERLINK("https://otsuka-europe-crm.veevavault.com/ui/#object/approved_document__v/V5O00000000R009", "AM2M - PSIQUIATRIA - Guía manejo práctico AM2M")</f>
        <v>AM2M - PSIQUIATRIA - Guía manejo práctico AM2M</v>
      </c>
      <c r="M12676" s="22" t="str">
        <f>HYPERLINK("mailto:jcastro@crm.otsuka-europe.com", "jcastro@crm.otsuka-europe.com")</f>
        <v>jcastro@crm.otsuka-europe.com</v>
      </c>
      <c r="N12676" s="23">
        <v>46199.464560185188</v>
      </c>
      <c r="O12676" s="14" t="str">
        <f>HYPERLINK("https://otsuka-europe-crm.veevavault.com/ui/#object/email_activity__v/V8C000000041215", "EN-002100094")</f>
        <v>EN-002100094</v>
      </c>
    </row>
    <row r="12677" spans="1:15" ht="16" x14ac:dyDescent="0.2">
      <c r="A12677" s="19"/>
      <c r="B12677" s="19"/>
      <c r="C12677" s="19"/>
      <c r="D12677" s="19"/>
      <c r="E12677" s="19"/>
      <c r="F12677" s="19"/>
      <c r="G12677" s="19"/>
      <c r="H12677" s="19"/>
      <c r="I12677" s="19"/>
      <c r="J12677" s="19"/>
      <c r="K12677" s="19"/>
      <c r="L12677" s="19"/>
      <c r="M12677" s="19"/>
      <c r="N12677" s="19"/>
      <c r="O12677" s="14" t="str">
        <f>HYPERLINK("https://otsuka-europe-crm.veevavault.com/ui/#object/email_activity__v/V8C000000042071", "EN-002099843")</f>
        <v>EN-002099843</v>
      </c>
    </row>
    <row r="12678" spans="1:15" ht="48" x14ac:dyDescent="0.2">
      <c r="A12678" s="7" t="str">
        <f>HYPERLINK("https://otsuka-europe-crm.veevavault.com/ui/#object/account__v/V4TZ06G6O71TCES", "MIGUEL SOTO ONTOSO")</f>
        <v>MIGUEL SOTO ONTOSO</v>
      </c>
      <c r="B12678" s="7" t="str">
        <f>HYPERLINK("https://otsuka-europe-crm.veevavault.com/ui/#object/vcountry__v/VENZ000004SONF5", "ES")</f>
        <v>ES</v>
      </c>
      <c r="C12678" s="8" t="s">
        <v>41</v>
      </c>
      <c r="D12678" s="9" t="str">
        <f>HYPERLINK("https://otsuka-europe-crm.veevavault.com/ui/#object/approved_document__v/V5O00000000R009", "AM2M - PSIQUIATRIA - Guía manejo práctico AM2M")</f>
        <v>AM2M - PSIQUIATRIA - Guía manejo práctico AM2M</v>
      </c>
      <c r="E12678" s="10" t="str">
        <f>HYPERLINK("https://otsuka-europe-crm.veevavault.com/ui/#object/sent_email__v/VBL00000002Z082", "SE-001438467")</f>
        <v>SE-001438467</v>
      </c>
      <c r="F12678" s="11"/>
      <c r="G12678" s="12">
        <v>0</v>
      </c>
      <c r="H12678" s="12">
        <v>0</v>
      </c>
      <c r="I12678" s="12">
        <v>0</v>
      </c>
      <c r="J12678" s="11"/>
      <c r="K12678" s="12">
        <v>0</v>
      </c>
      <c r="L12678" s="10" t="str">
        <f>HYPERLINK("https://otsuka-europe-crm.veevavault.com/ui/#object/approved_document__v/V5O00000000R009", "AM2M - PSIQUIATRIA - Guía manejo práctico AM2M")</f>
        <v>AM2M - PSIQUIATRIA - Guía manejo práctico AM2M</v>
      </c>
      <c r="M12678" s="10" t="str">
        <f>HYPERLINK("mailto:jcastro@crm.otsuka-europe.com", "jcastro@crm.otsuka-europe.com")</f>
        <v>jcastro@crm.otsuka-europe.com</v>
      </c>
      <c r="N12678" s="13">
        <v>46199.464560185188</v>
      </c>
      <c r="O12678" s="14" t="str">
        <f>HYPERLINK("https://otsuka-europe-crm.veevavault.com/ui/#object/email_activity__v/V8C000000041072", "EN-002099809")</f>
        <v>EN-002099809</v>
      </c>
    </row>
    <row r="12679" spans="1:15" ht="16" x14ac:dyDescent="0.2">
      <c r="A12679" s="17" t="str">
        <f>HYPERLINK("https://otsuka-europe-crm.veevavault.com/ui/#object/account__v/V4TZ06G6O71T8DO", "YAIZA ROJAS VALLEJO")</f>
        <v>YAIZA ROJAS VALLEJO</v>
      </c>
      <c r="B12679" s="17" t="str">
        <f>HYPERLINK("https://otsuka-europe-crm.veevavault.com/ui/#object/vcountry__v/VENZ000004SONF5", "ES")</f>
        <v>ES</v>
      </c>
      <c r="C12679" s="20" t="s">
        <v>41</v>
      </c>
      <c r="D12679" s="21" t="str">
        <f>HYPERLINK("https://otsuka-europe-crm.veevavault.com/ui/#object/approved_document__v/V5O00000000R009", "AM2M - PSIQUIATRIA - Guía manejo práctico AM2M")</f>
        <v>AM2M - PSIQUIATRIA - Guía manejo práctico AM2M</v>
      </c>
      <c r="E12679" s="22" t="str">
        <f>HYPERLINK("https://otsuka-europe-crm.veevavault.com/ui/#object/sent_email__v/VBL00000002Z083", "SE-001438468")</f>
        <v>SE-001438468</v>
      </c>
      <c r="F12679" s="23">
        <v>46199.628738425927</v>
      </c>
      <c r="G12679" s="24">
        <v>1</v>
      </c>
      <c r="H12679" s="24">
        <v>1</v>
      </c>
      <c r="I12679" s="24">
        <v>0</v>
      </c>
      <c r="J12679" s="25"/>
      <c r="K12679" s="24">
        <v>0</v>
      </c>
      <c r="L12679" s="22" t="str">
        <f>HYPERLINK("https://otsuka-europe-crm.veevavault.com/ui/#object/approved_document__v/V5O00000000R009", "AM2M - PSIQUIATRIA - Guía manejo práctico AM2M")</f>
        <v>AM2M - PSIQUIATRIA - Guía manejo práctico AM2M</v>
      </c>
      <c r="M12679" s="22" t="str">
        <f>HYPERLINK("mailto:jcastro@crm.otsuka-europe.com", "jcastro@crm.otsuka-europe.com")</f>
        <v>jcastro@crm.otsuka-europe.com</v>
      </c>
      <c r="N12679" s="23">
        <v>46199.464560185188</v>
      </c>
      <c r="O12679" s="14" t="str">
        <f>HYPERLINK("https://otsuka-europe-crm.veevavault.com/ui/#object/email_activity__v/V8C000000042103", "EN-002099912")</f>
        <v>EN-002099912</v>
      </c>
    </row>
    <row r="12680" spans="1:15" ht="16" x14ac:dyDescent="0.2">
      <c r="A12680" s="19"/>
      <c r="B12680" s="19"/>
      <c r="C12680" s="19"/>
      <c r="D12680" s="19"/>
      <c r="E12680" s="19"/>
      <c r="F12680" s="19"/>
      <c r="G12680" s="19"/>
      <c r="H12680" s="19"/>
      <c r="I12680" s="19"/>
      <c r="J12680" s="19"/>
      <c r="K12680" s="19"/>
      <c r="L12680" s="19"/>
      <c r="M12680" s="19"/>
      <c r="N12680" s="19"/>
      <c r="O12680" s="14" t="str">
        <f>HYPERLINK("https://otsuka-europe-crm.veevavault.com/ui/#object/email_activity__v/V8C000000042181", "EN-002100085")</f>
        <v>EN-002100085</v>
      </c>
    </row>
    <row r="12681" spans="1:15" ht="16" x14ac:dyDescent="0.2">
      <c r="A12681" s="17" t="str">
        <f>HYPERLINK("https://otsuka-europe-crm.veevavault.com/ui/#object/account__v/V4TZ06G6O71T7MC", "MARIA MAR RECHE PUERTAS")</f>
        <v>MARIA MAR RECHE PUERTAS</v>
      </c>
      <c r="B12681" s="17" t="str">
        <f>HYPERLINK("https://otsuka-europe-crm.veevavault.com/ui/#object/vcountry__v/VENZ000004SONF5", "ES")</f>
        <v>ES</v>
      </c>
      <c r="C12681" s="20" t="s">
        <v>41</v>
      </c>
      <c r="D12681" s="21" t="str">
        <f>HYPERLINK("https://otsuka-europe-crm.veevavault.com/ui/#object/approved_document__v/V5O00000000R009", "AM2M - PSIQUIATRIA - Guía manejo práctico AM2M")</f>
        <v>AM2M - PSIQUIATRIA - Guía manejo práctico AM2M</v>
      </c>
      <c r="E12681" s="22" t="str">
        <f>HYPERLINK("https://otsuka-europe-crm.veevavault.com/ui/#object/sent_email__v/VBL00000002Z084", "SE-001438469")</f>
        <v>SE-001438469</v>
      </c>
      <c r="F12681" s="25"/>
      <c r="G12681" s="24">
        <v>0</v>
      </c>
      <c r="H12681" s="24">
        <v>0</v>
      </c>
      <c r="I12681" s="24">
        <v>0</v>
      </c>
      <c r="J12681" s="25"/>
      <c r="K12681" s="24">
        <v>0</v>
      </c>
      <c r="L12681" s="22" t="str">
        <f>HYPERLINK("https://otsuka-europe-crm.veevavault.com/ui/#object/approved_document__v/V5O00000000R009", "AM2M - PSIQUIATRIA - Guía manejo práctico AM2M")</f>
        <v>AM2M - PSIQUIATRIA - Guía manejo práctico AM2M</v>
      </c>
      <c r="M12681" s="22" t="str">
        <f>HYPERLINK("mailto:jcastro@crm.otsuka-europe.com", "jcastro@crm.otsuka-europe.com")</f>
        <v>jcastro@crm.otsuka-europe.com</v>
      </c>
      <c r="N12681" s="23">
        <v>46199.464560185188</v>
      </c>
      <c r="O12681" s="14" t="str">
        <f>HYPERLINK("https://otsuka-europe-crm.veevavault.com/ui/#object/email_activity__v/V8C000000042095", "EN-002099877")</f>
        <v>EN-002099877</v>
      </c>
    </row>
    <row r="12682" spans="1:15" ht="16" x14ac:dyDescent="0.2">
      <c r="A12682" s="19"/>
      <c r="B12682" s="19"/>
      <c r="C12682" s="19"/>
      <c r="D12682" s="19"/>
      <c r="E12682" s="19"/>
      <c r="F12682" s="19"/>
      <c r="G12682" s="19"/>
      <c r="H12682" s="19"/>
      <c r="I12682" s="19"/>
      <c r="J12682" s="19"/>
      <c r="K12682" s="19"/>
      <c r="L12682" s="19"/>
      <c r="M12682" s="19"/>
      <c r="N12682" s="19"/>
      <c r="O12682" s="14" t="str">
        <f>HYPERLINK("https://otsuka-europe-crm.veevavault.com/ui/#object/email_activity__v/V8C000000042163", "EN-002100052")</f>
        <v>EN-002100052</v>
      </c>
    </row>
    <row r="12683" spans="1:15" ht="48" x14ac:dyDescent="0.2">
      <c r="A12683" s="7" t="str">
        <f>HYPERLINK("https://otsuka-europe-crm.veevavault.com/ui/#object/account__v/V4TZ06G6O7VSZ9S", "SOLEDAD FLOR PADILLA MUELAS")</f>
        <v>SOLEDAD FLOR PADILLA MUELAS</v>
      </c>
      <c r="B12683" s="7" t="str">
        <f>HYPERLINK("https://otsuka-europe-crm.veevavault.com/ui/#object/vcountry__v/VENZ000004SONF5", "ES")</f>
        <v>ES</v>
      </c>
      <c r="C12683" s="8" t="s">
        <v>41</v>
      </c>
      <c r="D12683" s="9" t="str">
        <f>HYPERLINK("https://otsuka-europe-crm.veevavault.com/ui/#object/approved_document__v/V5O00000000R009", "AM2M - PSIQUIATRIA - Guía manejo práctico AM2M")</f>
        <v>AM2M - PSIQUIATRIA - Guía manejo práctico AM2M</v>
      </c>
      <c r="E12683" s="10" t="str">
        <f>HYPERLINK("https://otsuka-europe-crm.veevavault.com/ui/#object/sent_email__v/VBL00000002Z085", "SE-001438470")</f>
        <v>SE-001438470</v>
      </c>
      <c r="F12683" s="11"/>
      <c r="G12683" s="12">
        <v>0</v>
      </c>
      <c r="H12683" s="12">
        <v>0</v>
      </c>
      <c r="I12683" s="12">
        <v>0</v>
      </c>
      <c r="J12683" s="11"/>
      <c r="K12683" s="12">
        <v>0</v>
      </c>
      <c r="L12683" s="10" t="str">
        <f>HYPERLINK("https://otsuka-europe-crm.veevavault.com/ui/#object/approved_document__v/V5O00000000R009", "AM2M - PSIQUIATRIA - Guía manejo práctico AM2M")</f>
        <v>AM2M - PSIQUIATRIA - Guía manejo práctico AM2M</v>
      </c>
      <c r="M12683" s="10" t="str">
        <f>HYPERLINK("mailto:jcastro@crm.otsuka-europe.com", "jcastro@crm.otsuka-europe.com")</f>
        <v>jcastro@crm.otsuka-europe.com</v>
      </c>
      <c r="N12683" s="13">
        <v>46199.464560185188</v>
      </c>
      <c r="O12683" s="14" t="str">
        <f>HYPERLINK("https://otsuka-europe-crm.veevavault.com/ui/#object/email_activity__v/V8C000000041064", "EN-002099801")</f>
        <v>EN-002099801</v>
      </c>
    </row>
    <row r="12684" spans="1:15" ht="16" x14ac:dyDescent="0.2">
      <c r="A12684" s="17" t="str">
        <f>HYPERLINK("https://otsuka-europe-crm.veevavault.com/ui/#object/account__v/V4TZ025E87BV6HT", "PEDRO IVAN FERNANDEZ NAVARRO")</f>
        <v>PEDRO IVAN FERNANDEZ NAVARRO</v>
      </c>
      <c r="B12684" s="17" t="str">
        <f>HYPERLINK("https://otsuka-europe-crm.veevavault.com/ui/#object/vcountry__v/VENZ000004SONF5", "ES")</f>
        <v>ES</v>
      </c>
      <c r="C12684" s="20" t="s">
        <v>41</v>
      </c>
      <c r="D12684" s="21" t="str">
        <f>HYPERLINK("https://otsuka-europe-crm.veevavault.com/ui/#object/approved_document__v/V5O00000000R009", "AM2M - PSIQUIATRIA - Guía manejo práctico AM2M")</f>
        <v>AM2M - PSIQUIATRIA - Guía manejo práctico AM2M</v>
      </c>
      <c r="E12684" s="22" t="str">
        <f>HYPERLINK("https://otsuka-europe-crm.veevavault.com/ui/#object/sent_email__v/VBL00000002Z086", "SE-001438471")</f>
        <v>SE-001438471</v>
      </c>
      <c r="F12684" s="23">
        <v>46199.479479166665</v>
      </c>
      <c r="G12684" s="24">
        <v>1</v>
      </c>
      <c r="H12684" s="24">
        <v>2</v>
      </c>
      <c r="I12684" s="24">
        <v>1</v>
      </c>
      <c r="J12684" s="23">
        <v>46199.479687500003</v>
      </c>
      <c r="K12684" s="24">
        <v>1</v>
      </c>
      <c r="L12684" s="22" t="str">
        <f>HYPERLINK("https://otsuka-europe-crm.veevavault.com/ui/#object/approved_document__v/V5O00000000R009", "AM2M - PSIQUIATRIA - Guía manejo práctico AM2M")</f>
        <v>AM2M - PSIQUIATRIA - Guía manejo práctico AM2M</v>
      </c>
      <c r="M12684" s="22" t="str">
        <f>HYPERLINK("mailto:jcastro@crm.otsuka-europe.com", "jcastro@crm.otsuka-europe.com")</f>
        <v>jcastro@crm.otsuka-europe.com</v>
      </c>
      <c r="N12684" s="23">
        <v>46199.464560185188</v>
      </c>
      <c r="O12684" s="14" t="str">
        <f>HYPERLINK("https://otsuka-europe-crm.veevavault.com/ui/#object/email_activity__v/V8C000000041063", "EN-002099800")</f>
        <v>EN-002099800</v>
      </c>
    </row>
    <row r="12685" spans="1:15" ht="16" x14ac:dyDescent="0.2">
      <c r="A12685" s="18"/>
      <c r="B12685" s="18"/>
      <c r="C12685" s="18"/>
      <c r="D12685" s="18"/>
      <c r="E12685" s="18"/>
      <c r="F12685" s="18"/>
      <c r="G12685" s="18"/>
      <c r="H12685" s="18"/>
      <c r="I12685" s="18"/>
      <c r="J12685" s="18"/>
      <c r="K12685" s="18"/>
      <c r="L12685" s="18"/>
      <c r="M12685" s="18"/>
      <c r="N12685" s="18"/>
      <c r="O12685" s="14" t="str">
        <f>HYPERLINK("https://otsuka-europe-crm.veevavault.com/ui/#object/email_activity__v/V8C000000041175", "EN-002099990")</f>
        <v>EN-002099990</v>
      </c>
    </row>
    <row r="12686" spans="1:15" ht="16" x14ac:dyDescent="0.2">
      <c r="A12686" s="18"/>
      <c r="B12686" s="18"/>
      <c r="C12686" s="18"/>
      <c r="D12686" s="18"/>
      <c r="E12686" s="18"/>
      <c r="F12686" s="18"/>
      <c r="G12686" s="18"/>
      <c r="H12686" s="18"/>
      <c r="I12686" s="18"/>
      <c r="J12686" s="18"/>
      <c r="K12686" s="18"/>
      <c r="L12686" s="18"/>
      <c r="M12686" s="18"/>
      <c r="N12686" s="18"/>
      <c r="O12686" s="14" t="str">
        <f>HYPERLINK("https://otsuka-europe-crm.veevavault.com/ui/#object/email_activity__v/V8C000000042124", "EN-002099989")</f>
        <v>EN-002099989</v>
      </c>
    </row>
    <row r="12687" spans="1:15" ht="16" x14ac:dyDescent="0.2">
      <c r="A12687" s="18"/>
      <c r="B12687" s="18"/>
      <c r="C12687" s="18"/>
      <c r="D12687" s="18"/>
      <c r="E12687" s="18"/>
      <c r="F12687" s="18"/>
      <c r="G12687" s="18"/>
      <c r="H12687" s="18"/>
      <c r="I12687" s="18"/>
      <c r="J12687" s="18"/>
      <c r="K12687" s="18"/>
      <c r="L12687" s="18"/>
      <c r="M12687" s="18"/>
      <c r="N12687" s="18"/>
      <c r="O12687" s="14" t="str">
        <f>HYPERLINK("https://otsuka-europe-crm.veevavault.com/ui/#object/email_activity__v/V8C000000042125", "EN-002099991")</f>
        <v>EN-002099991</v>
      </c>
    </row>
    <row r="12688" spans="1:15" ht="16" x14ac:dyDescent="0.2">
      <c r="A12688" s="19"/>
      <c r="B12688" s="19"/>
      <c r="C12688" s="19"/>
      <c r="D12688" s="19"/>
      <c r="E12688" s="19"/>
      <c r="F12688" s="19"/>
      <c r="G12688" s="19"/>
      <c r="H12688" s="19"/>
      <c r="I12688" s="19"/>
      <c r="J12688" s="19"/>
      <c r="K12688" s="19"/>
      <c r="L12688" s="19"/>
      <c r="M12688" s="19"/>
      <c r="N12688" s="19"/>
      <c r="O12688" s="14" t="str">
        <f>HYPERLINK("https://otsuka-europe-crm.veevavault.com/ui/#object/email_activity__v/V8C000000042137", "EN-002100011")</f>
        <v>EN-002100011</v>
      </c>
    </row>
    <row r="12689" spans="1:15" ht="16" x14ac:dyDescent="0.2">
      <c r="A12689" s="17" t="str">
        <f>HYPERLINK("https://otsuka-europe-crm.veevavault.com/ui/#object/account__v/V4TZ04ASG995VOJ", "FRANCISCO MANUEL MACHADO AGUILERA")</f>
        <v>FRANCISCO MANUEL MACHADO AGUILERA</v>
      </c>
      <c r="B12689" s="17" t="str">
        <f>HYPERLINK("https://otsuka-europe-crm.veevavault.com/ui/#object/vcountry__v/VENZ000004SONF5", "ES")</f>
        <v>ES</v>
      </c>
      <c r="C12689" s="20" t="s">
        <v>41</v>
      </c>
      <c r="D12689" s="21" t="str">
        <f>HYPERLINK("https://otsuka-europe-crm.veevavault.com/ui/#object/approved_document__v/V5O00000000R009", "AM2M - PSIQUIATRIA - Guía manejo práctico AM2M")</f>
        <v>AM2M - PSIQUIATRIA - Guía manejo práctico AM2M</v>
      </c>
      <c r="E12689" s="22" t="str">
        <f>HYPERLINK("https://otsuka-europe-crm.veevavault.com/ui/#object/sent_email__v/VBL00000002Z087", "SE-001438472")</f>
        <v>SE-001438472</v>
      </c>
      <c r="F12689" s="25"/>
      <c r="G12689" s="24">
        <v>0</v>
      </c>
      <c r="H12689" s="24">
        <v>0</v>
      </c>
      <c r="I12689" s="24">
        <v>0</v>
      </c>
      <c r="J12689" s="25"/>
      <c r="K12689" s="24">
        <v>0</v>
      </c>
      <c r="L12689" s="22" t="str">
        <f>HYPERLINK("https://otsuka-europe-crm.veevavault.com/ui/#object/approved_document__v/V5O00000000R009", "AM2M - PSIQUIATRIA - Guía manejo práctico AM2M")</f>
        <v>AM2M - PSIQUIATRIA - Guía manejo práctico AM2M</v>
      </c>
      <c r="M12689" s="22" t="str">
        <f>HYPERLINK("mailto:jcastro@crm.otsuka-europe.com", "jcastro@crm.otsuka-europe.com")</f>
        <v>jcastro@crm.otsuka-europe.com</v>
      </c>
      <c r="N12689" s="23">
        <v>46199.464560185188</v>
      </c>
      <c r="O12689" s="14" t="str">
        <f>HYPERLINK("https://otsuka-europe-crm.veevavault.com/ui/#object/email_activity__v/V8C000000041060", "EN-002099797")</f>
        <v>EN-002099797</v>
      </c>
    </row>
    <row r="12690" spans="1:15" ht="16" x14ac:dyDescent="0.2">
      <c r="A12690" s="19"/>
      <c r="B12690" s="19"/>
      <c r="C12690" s="19"/>
      <c r="D12690" s="19"/>
      <c r="E12690" s="19"/>
      <c r="F12690" s="19"/>
      <c r="G12690" s="19"/>
      <c r="H12690" s="19"/>
      <c r="I12690" s="19"/>
      <c r="J12690" s="19"/>
      <c r="K12690" s="19"/>
      <c r="L12690" s="19"/>
      <c r="M12690" s="19"/>
      <c r="N12690" s="19"/>
      <c r="O12690" s="14" t="str">
        <f>HYPERLINK("https://otsuka-europe-crm.veevavault.com/ui/#object/email_activity__v/V8C000000041272", "EN-002100222")</f>
        <v>EN-002100222</v>
      </c>
    </row>
    <row r="12691" spans="1:15" ht="16" x14ac:dyDescent="0.2">
      <c r="A12691" s="17" t="str">
        <f>HYPERLINK("https://otsuka-europe-crm.veevavault.com/ui/#object/account__v/V4TZ06G6O71TBET", "JUAN CARLOS NAVARRO BARRIOS")</f>
        <v>JUAN CARLOS NAVARRO BARRIOS</v>
      </c>
      <c r="B12691" s="17" t="str">
        <f>HYPERLINK("https://otsuka-europe-crm.veevavault.com/ui/#object/vcountry__v/VENZ000004SONF5", "ES")</f>
        <v>ES</v>
      </c>
      <c r="C12691" s="20" t="s">
        <v>41</v>
      </c>
      <c r="D12691" s="21" t="str">
        <f>HYPERLINK("https://otsuka-europe-crm.veevavault.com/ui/#object/approved_document__v/V5O00000000R009", "AM2M - PSIQUIATRIA - Guía manejo práctico AM2M")</f>
        <v>AM2M - PSIQUIATRIA - Guía manejo práctico AM2M</v>
      </c>
      <c r="E12691" s="22" t="str">
        <f>HYPERLINK("https://otsuka-europe-crm.veevavault.com/ui/#object/sent_email__v/VBL00000002Z088", "SE-001438473")</f>
        <v>SE-001438473</v>
      </c>
      <c r="F12691" s="23">
        <v>46199.538877314815</v>
      </c>
      <c r="G12691" s="24">
        <v>1</v>
      </c>
      <c r="H12691" s="24">
        <v>1</v>
      </c>
      <c r="I12691" s="24">
        <v>0</v>
      </c>
      <c r="J12691" s="25"/>
      <c r="K12691" s="24">
        <v>0</v>
      </c>
      <c r="L12691" s="22" t="str">
        <f>HYPERLINK("https://otsuka-europe-crm.veevavault.com/ui/#object/approved_document__v/V5O00000000R009", "AM2M - PSIQUIATRIA - Guía manejo práctico AM2M")</f>
        <v>AM2M - PSIQUIATRIA - Guía manejo práctico AM2M</v>
      </c>
      <c r="M12691" s="22" t="str">
        <f>HYPERLINK("mailto:jcastro@crm.otsuka-europe.com", "jcastro@crm.otsuka-europe.com")</f>
        <v>jcastro@crm.otsuka-europe.com</v>
      </c>
      <c r="N12691" s="23">
        <v>46199.464594907404</v>
      </c>
      <c r="O12691" s="14" t="str">
        <f>HYPERLINK("https://otsuka-europe-crm.veevavault.com/ui/#object/email_activity__v/V8C000000041114", "EN-002099905")</f>
        <v>EN-002099905</v>
      </c>
    </row>
    <row r="12692" spans="1:15" ht="16" x14ac:dyDescent="0.2">
      <c r="A12692" s="19"/>
      <c r="B12692" s="19"/>
      <c r="C12692" s="19"/>
      <c r="D12692" s="19"/>
      <c r="E12692" s="19"/>
      <c r="F12692" s="19"/>
      <c r="G12692" s="19"/>
      <c r="H12692" s="19"/>
      <c r="I12692" s="19"/>
      <c r="J12692" s="19"/>
      <c r="K12692" s="19"/>
      <c r="L12692" s="19"/>
      <c r="M12692" s="19"/>
      <c r="N12692" s="19"/>
      <c r="O12692" s="14" t="str">
        <f>HYPERLINK("https://otsuka-europe-crm.veevavault.com/ui/#object/email_activity__v/V8C000000041190", "EN-002100029")</f>
        <v>EN-002100029</v>
      </c>
    </row>
    <row r="12693" spans="1:15" ht="16" x14ac:dyDescent="0.2">
      <c r="A12693" s="17" t="str">
        <f>HYPERLINK("https://otsuka-europe-crm.veevavault.com/ui/#object/account__v/V4TZ04ASG8Q9ZB0", "JUAN JIMENEZ SANCHEZ")</f>
        <v>JUAN JIMENEZ SANCHEZ</v>
      </c>
      <c r="B12693" s="17" t="str">
        <f>HYPERLINK("https://otsuka-europe-crm.veevavault.com/ui/#object/vcountry__v/VENZ000004SONF5", "ES")</f>
        <v>ES</v>
      </c>
      <c r="C12693" s="20" t="s">
        <v>41</v>
      </c>
      <c r="D12693" s="21" t="str">
        <f>HYPERLINK("https://otsuka-europe-crm.veevavault.com/ui/#object/approved_document__v/V5O00000000R009", "AM2M - PSIQUIATRIA - Guía manejo práctico AM2M")</f>
        <v>AM2M - PSIQUIATRIA - Guía manejo práctico AM2M</v>
      </c>
      <c r="E12693" s="22" t="str">
        <f>HYPERLINK("https://otsuka-europe-crm.veevavault.com/ui/#object/sent_email__v/VBL00000002Z089", "SE-001438474")</f>
        <v>SE-001438474</v>
      </c>
      <c r="F12693" s="23">
        <v>46199.71434027778</v>
      </c>
      <c r="G12693" s="24">
        <v>1</v>
      </c>
      <c r="H12693" s="24">
        <v>1</v>
      </c>
      <c r="I12693" s="24">
        <v>0</v>
      </c>
      <c r="J12693" s="25"/>
      <c r="K12693" s="24">
        <v>0</v>
      </c>
      <c r="L12693" s="22" t="str">
        <f>HYPERLINK("https://otsuka-europe-crm.veevavault.com/ui/#object/approved_document__v/V5O00000000R009", "AM2M - PSIQUIATRIA - Guía manejo práctico AM2M")</f>
        <v>AM2M - PSIQUIATRIA - Guía manejo práctico AM2M</v>
      </c>
      <c r="M12693" s="22" t="str">
        <f>HYPERLINK("mailto:jcastro@crm.otsuka-europe.com", "jcastro@crm.otsuka-europe.com")</f>
        <v>jcastro@crm.otsuka-europe.com</v>
      </c>
      <c r="N12693" s="23">
        <v>46199.464560185188</v>
      </c>
      <c r="O12693" s="14" t="str">
        <f>HYPERLINK("https://otsuka-europe-crm.veevavault.com/ui/#object/email_activity__v/V8C000000041068", "EN-002099805")</f>
        <v>EN-002099805</v>
      </c>
    </row>
    <row r="12694" spans="1:15" ht="16" x14ac:dyDescent="0.2">
      <c r="A12694" s="19"/>
      <c r="B12694" s="19"/>
      <c r="C12694" s="19"/>
      <c r="D12694" s="19"/>
      <c r="E12694" s="19"/>
      <c r="F12694" s="19"/>
      <c r="G12694" s="19"/>
      <c r="H12694" s="19"/>
      <c r="I12694" s="19"/>
      <c r="J12694" s="19"/>
      <c r="K12694" s="19"/>
      <c r="L12694" s="19"/>
      <c r="M12694" s="19"/>
      <c r="N12694" s="19"/>
      <c r="O12694" s="14" t="str">
        <f>HYPERLINK("https://otsuka-europe-crm.veevavault.com/ui/#object/email_activity__v/V8C000000042204", "EN-002100124")</f>
        <v>EN-002100124</v>
      </c>
    </row>
    <row r="12695" spans="1:15" ht="16" x14ac:dyDescent="0.2">
      <c r="A12695" s="17" t="str">
        <f>HYPERLINK("https://otsuka-europe-crm.veevavault.com/ui/#object/account__v/V4TZ06G6O71T7TP", "ELENA IRENE PALOU ARNEDO")</f>
        <v>ELENA IRENE PALOU ARNEDO</v>
      </c>
      <c r="B12695" s="17" t="str">
        <f>HYPERLINK("https://otsuka-europe-crm.veevavault.com/ui/#object/vcountry__v/VENZ000004SONF5", "ES")</f>
        <v>ES</v>
      </c>
      <c r="C12695" s="20" t="s">
        <v>41</v>
      </c>
      <c r="D12695" s="21" t="str">
        <f>HYPERLINK("https://otsuka-europe-crm.veevavault.com/ui/#object/approved_document__v/V5O00000000R009", "AM2M - PSIQUIATRIA - Guía manejo práctico AM2M")</f>
        <v>AM2M - PSIQUIATRIA - Guía manejo práctico AM2M</v>
      </c>
      <c r="E12695" s="22" t="str">
        <f>HYPERLINK("https://otsuka-europe-crm.veevavault.com/ui/#object/sent_email__v/VBL00000002Z090", "SE-001438475")</f>
        <v>SE-001438475</v>
      </c>
      <c r="F12695" s="23">
        <v>46202.375428240739</v>
      </c>
      <c r="G12695" s="24">
        <v>1</v>
      </c>
      <c r="H12695" s="24">
        <v>1</v>
      </c>
      <c r="I12695" s="24">
        <v>0</v>
      </c>
      <c r="J12695" s="25"/>
      <c r="K12695" s="24">
        <v>0</v>
      </c>
      <c r="L12695" s="22" t="str">
        <f>HYPERLINK("https://otsuka-europe-crm.veevavault.com/ui/#object/approved_document__v/V5O00000000R009", "AM2M - PSIQUIATRIA - Guía manejo práctico AM2M")</f>
        <v>AM2M - PSIQUIATRIA - Guía manejo práctico AM2M</v>
      </c>
      <c r="M12695" s="22" t="str">
        <f>HYPERLINK("mailto:jcastro@crm.otsuka-europe.com", "jcastro@crm.otsuka-europe.com")</f>
        <v>jcastro@crm.otsuka-europe.com</v>
      </c>
      <c r="N12695" s="23">
        <v>46199.464502314811</v>
      </c>
      <c r="O12695" s="14" t="str">
        <f>HYPERLINK("https://otsuka-europe-crm.veevavault.com/ui/#object/email_activity__v/V8C000000041296", "EN-002100262")</f>
        <v>EN-002100262</v>
      </c>
    </row>
    <row r="12696" spans="1:15" ht="16" x14ac:dyDescent="0.2">
      <c r="A12696" s="18"/>
      <c r="B12696" s="18"/>
      <c r="C12696" s="18"/>
      <c r="D12696" s="18"/>
      <c r="E12696" s="18"/>
      <c r="F12696" s="18"/>
      <c r="G12696" s="18"/>
      <c r="H12696" s="18"/>
      <c r="I12696" s="18"/>
      <c r="J12696" s="18"/>
      <c r="K12696" s="18"/>
      <c r="L12696" s="18"/>
      <c r="M12696" s="18"/>
      <c r="N12696" s="18"/>
      <c r="O12696" s="14" t="str">
        <f>HYPERLINK("https://otsuka-europe-crm.veevavault.com/ui/#object/email_activity__v/V8C000000041313", "EN-002100301")</f>
        <v>EN-002100301</v>
      </c>
    </row>
    <row r="12697" spans="1:15" ht="16" x14ac:dyDescent="0.2">
      <c r="A12697" s="19"/>
      <c r="B12697" s="19"/>
      <c r="C12697" s="19"/>
      <c r="D12697" s="19"/>
      <c r="E12697" s="19"/>
      <c r="F12697" s="19"/>
      <c r="G12697" s="19"/>
      <c r="H12697" s="19"/>
      <c r="I12697" s="19"/>
      <c r="J12697" s="19"/>
      <c r="K12697" s="19"/>
      <c r="L12697" s="19"/>
      <c r="M12697" s="19"/>
      <c r="N12697" s="19"/>
      <c r="O12697" s="14" t="str">
        <f>HYPERLINK("https://otsuka-europe-crm.veevavault.com/ui/#object/email_activity__v/V8C000000042078", "EN-002099850")</f>
        <v>EN-002099850</v>
      </c>
    </row>
    <row r="12698" spans="1:15" ht="16" x14ac:dyDescent="0.2">
      <c r="A12698" s="17" t="str">
        <f>HYPERLINK("https://otsuka-europe-crm.veevavault.com/ui/#object/account__v/V4TZ06G6O71T8A3", "BEATRIZ VELA SANCHEZ")</f>
        <v>BEATRIZ VELA SANCHEZ</v>
      </c>
      <c r="B12698" s="17" t="str">
        <f>HYPERLINK("https://otsuka-europe-crm.veevavault.com/ui/#object/vcountry__v/VENZ000004SONF5", "ES")</f>
        <v>ES</v>
      </c>
      <c r="C12698" s="20" t="s">
        <v>41</v>
      </c>
      <c r="D12698" s="21" t="str">
        <f>HYPERLINK("https://otsuka-europe-crm.veevavault.com/ui/#object/approved_document__v/V5O00000000R009", "AM2M - PSIQUIATRIA - Guía manejo práctico AM2M")</f>
        <v>AM2M - PSIQUIATRIA - Guía manejo práctico AM2M</v>
      </c>
      <c r="E12698" s="22" t="str">
        <f>HYPERLINK("https://otsuka-europe-crm.veevavault.com/ui/#object/sent_email__v/VBL00000002Z091", "SE-001438476")</f>
        <v>SE-001438476</v>
      </c>
      <c r="F12698" s="25"/>
      <c r="G12698" s="24">
        <v>0</v>
      </c>
      <c r="H12698" s="24">
        <v>0</v>
      </c>
      <c r="I12698" s="24">
        <v>0</v>
      </c>
      <c r="J12698" s="25"/>
      <c r="K12698" s="24">
        <v>0</v>
      </c>
      <c r="L12698" s="22" t="str">
        <f>HYPERLINK("https://otsuka-europe-crm.veevavault.com/ui/#object/approved_document__v/V5O00000000R009", "AM2M - PSIQUIATRIA - Guía manejo práctico AM2M")</f>
        <v>AM2M - PSIQUIATRIA - Guía manejo práctico AM2M</v>
      </c>
      <c r="M12698" s="22" t="str">
        <f>HYPERLINK("mailto:jcastro@crm.otsuka-europe.com", "jcastro@crm.otsuka-europe.com")</f>
        <v>jcastro@crm.otsuka-europe.com</v>
      </c>
      <c r="N12698" s="23">
        <v>46199.464513888888</v>
      </c>
      <c r="O12698" s="14" t="str">
        <f>HYPERLINK("https://otsuka-europe-crm.veevavault.com/ui/#object/email_activity__v/V8C000000042082", "EN-002099864")</f>
        <v>EN-002099864</v>
      </c>
    </row>
    <row r="12699" spans="1:15" ht="16" x14ac:dyDescent="0.2">
      <c r="A12699" s="19"/>
      <c r="B12699" s="19"/>
      <c r="C12699" s="19"/>
      <c r="D12699" s="19"/>
      <c r="E12699" s="19"/>
      <c r="F12699" s="19"/>
      <c r="G12699" s="19"/>
      <c r="H12699" s="19"/>
      <c r="I12699" s="19"/>
      <c r="J12699" s="19"/>
      <c r="K12699" s="19"/>
      <c r="L12699" s="19"/>
      <c r="M12699" s="19"/>
      <c r="N12699" s="19"/>
      <c r="O12699" s="14" t="str">
        <f>HYPERLINK("https://otsuka-europe-crm.veevavault.com/ui/#object/email_activity__v/V8C000000042179", "EN-002100082")</f>
        <v>EN-002100082</v>
      </c>
    </row>
    <row r="12700" spans="1:15" ht="16" x14ac:dyDescent="0.2">
      <c r="A12700" s="17" t="str">
        <f>HYPERLINK("https://otsuka-europe-crm.veevavault.com/ui/#object/account__v/V4TZ06G6O9VL7JJ", "PAULA FERNANDEZ ESCARABAJAL")</f>
        <v>PAULA FERNANDEZ ESCARABAJAL</v>
      </c>
      <c r="B12700" s="17" t="str">
        <f>HYPERLINK("https://otsuka-europe-crm.veevavault.com/ui/#object/vcountry__v/VENZ000004SONF5", "ES")</f>
        <v>ES</v>
      </c>
      <c r="C12700" s="20" t="s">
        <v>41</v>
      </c>
      <c r="D12700" s="21" t="str">
        <f>HYPERLINK("https://otsuka-europe-crm.veevavault.com/ui/#object/approved_document__v/V5O00000000R009", "AM2M - PSIQUIATRIA - Guía manejo práctico AM2M")</f>
        <v>AM2M - PSIQUIATRIA - Guía manejo práctico AM2M</v>
      </c>
      <c r="E12700" s="22" t="str">
        <f>HYPERLINK("https://otsuka-europe-crm.veevavault.com/ui/#object/sent_email__v/VBL00000002Z092", "SE-001438477")</f>
        <v>SE-001438477</v>
      </c>
      <c r="F12700" s="23">
        <v>46199.736990740741</v>
      </c>
      <c r="G12700" s="24">
        <v>1</v>
      </c>
      <c r="H12700" s="24">
        <v>1</v>
      </c>
      <c r="I12700" s="24">
        <v>0</v>
      </c>
      <c r="J12700" s="25"/>
      <c r="K12700" s="24">
        <v>0</v>
      </c>
      <c r="L12700" s="22" t="str">
        <f>HYPERLINK("https://otsuka-europe-crm.veevavault.com/ui/#object/approved_document__v/V5O00000000R009", "AM2M - PSIQUIATRIA - Guía manejo práctico AM2M")</f>
        <v>AM2M - PSIQUIATRIA - Guía manejo práctico AM2M</v>
      </c>
      <c r="M12700" s="22" t="str">
        <f>HYPERLINK("mailto:jcastro@crm.otsuka-europe.com", "jcastro@crm.otsuka-europe.com")</f>
        <v>jcastro@crm.otsuka-europe.com</v>
      </c>
      <c r="N12700" s="23">
        <v>46199.464513888888</v>
      </c>
      <c r="O12700" s="14" t="str">
        <f>HYPERLINK("https://otsuka-europe-crm.veevavault.com/ui/#object/email_activity__v/V8C000000042057", "EN-002099829")</f>
        <v>EN-002099829</v>
      </c>
    </row>
    <row r="12701" spans="1:15" ht="16" x14ac:dyDescent="0.2">
      <c r="A12701" s="19"/>
      <c r="B12701" s="19"/>
      <c r="C12701" s="19"/>
      <c r="D12701" s="19"/>
      <c r="E12701" s="19"/>
      <c r="F12701" s="19"/>
      <c r="G12701" s="19"/>
      <c r="H12701" s="19"/>
      <c r="I12701" s="19"/>
      <c r="J12701" s="19"/>
      <c r="K12701" s="19"/>
      <c r="L12701" s="19"/>
      <c r="M12701" s="19"/>
      <c r="N12701" s="19"/>
      <c r="O12701" s="14" t="str">
        <f>HYPERLINK("https://otsuka-europe-crm.veevavault.com/ui/#object/email_activity__v/V8C000000042205", "EN-002100130")</f>
        <v>EN-002100130</v>
      </c>
    </row>
    <row r="12702" spans="1:15" ht="16" x14ac:dyDescent="0.2">
      <c r="A12702" s="17" t="str">
        <f>HYPERLINK("https://otsuka-europe-crm.veevavault.com/ui/#object/account__v/V4TZ06G6O71T80C", "SANDRA RODRIGUEZ VARGAS")</f>
        <v>SANDRA RODRIGUEZ VARGAS</v>
      </c>
      <c r="B12702" s="17" t="str">
        <f>HYPERLINK("https://otsuka-europe-crm.veevavault.com/ui/#object/vcountry__v/VENZ000004SONF5", "ES")</f>
        <v>ES</v>
      </c>
      <c r="C12702" s="20" t="s">
        <v>41</v>
      </c>
      <c r="D12702" s="21" t="str">
        <f>HYPERLINK("https://otsuka-europe-crm.veevavault.com/ui/#object/approved_document__v/V5O00000000R009", "AM2M - PSIQUIATRIA - Guía manejo práctico AM2M")</f>
        <v>AM2M - PSIQUIATRIA - Guía manejo práctico AM2M</v>
      </c>
      <c r="E12702" s="22" t="str">
        <f>HYPERLINK("https://otsuka-europe-crm.veevavault.com/ui/#object/sent_email__v/VBL00000002Z093", "SE-001438478")</f>
        <v>SE-001438478</v>
      </c>
      <c r="F12702" s="23">
        <v>46200.721226851849</v>
      </c>
      <c r="G12702" s="24">
        <v>1</v>
      </c>
      <c r="H12702" s="24">
        <v>2</v>
      </c>
      <c r="I12702" s="24">
        <v>0</v>
      </c>
      <c r="J12702" s="25"/>
      <c r="K12702" s="24">
        <v>0</v>
      </c>
      <c r="L12702" s="22" t="str">
        <f>HYPERLINK("https://otsuka-europe-crm.veevavault.com/ui/#object/approved_document__v/V5O00000000R009", "AM2M - PSIQUIATRIA - Guía manejo práctico AM2M")</f>
        <v>AM2M - PSIQUIATRIA - Guía manejo práctico AM2M</v>
      </c>
      <c r="M12702" s="22" t="str">
        <f>HYPERLINK("mailto:jcastro@crm.otsuka-europe.com", "jcastro@crm.otsuka-europe.com")</f>
        <v>jcastro@crm.otsuka-europe.com</v>
      </c>
      <c r="N12702" s="23">
        <v>46199.464513888888</v>
      </c>
      <c r="O12702" s="14" t="str">
        <f>HYPERLINK("https://otsuka-europe-crm.veevavault.com/ui/#object/email_activity__v/V8C000000041098", "EN-002099889")</f>
        <v>EN-002099889</v>
      </c>
    </row>
    <row r="12703" spans="1:15" ht="16" x14ac:dyDescent="0.2">
      <c r="A12703" s="18"/>
      <c r="B12703" s="18"/>
      <c r="C12703" s="18"/>
      <c r="D12703" s="18"/>
      <c r="E12703" s="18"/>
      <c r="F12703" s="18"/>
      <c r="G12703" s="18"/>
      <c r="H12703" s="18"/>
      <c r="I12703" s="18"/>
      <c r="J12703" s="18"/>
      <c r="K12703" s="18"/>
      <c r="L12703" s="18"/>
      <c r="M12703" s="18"/>
      <c r="N12703" s="18"/>
      <c r="O12703" s="14" t="str">
        <f>HYPERLINK("https://otsuka-europe-crm.veevavault.com/ui/#object/email_activity__v/V8C000000041168", "EN-002099978")</f>
        <v>EN-002099978</v>
      </c>
    </row>
    <row r="12704" spans="1:15" ht="16" x14ac:dyDescent="0.2">
      <c r="A12704" s="18"/>
      <c r="B12704" s="18"/>
      <c r="C12704" s="18"/>
      <c r="D12704" s="18"/>
      <c r="E12704" s="18"/>
      <c r="F12704" s="18"/>
      <c r="G12704" s="18"/>
      <c r="H12704" s="18"/>
      <c r="I12704" s="18"/>
      <c r="J12704" s="18"/>
      <c r="K12704" s="18"/>
      <c r="L12704" s="18"/>
      <c r="M12704" s="18"/>
      <c r="N12704" s="18"/>
      <c r="O12704" s="14" t="str">
        <f>HYPERLINK("https://otsuka-europe-crm.veevavault.com/ui/#object/email_activity__v/V8C000000041250", "EN-002100170")</f>
        <v>EN-002100170</v>
      </c>
    </row>
    <row r="12705" spans="1:15" ht="16" x14ac:dyDescent="0.2">
      <c r="A12705" s="19"/>
      <c r="B12705" s="19"/>
      <c r="C12705" s="19"/>
      <c r="D12705" s="19"/>
      <c r="E12705" s="19"/>
      <c r="F12705" s="19"/>
      <c r="G12705" s="19"/>
      <c r="H12705" s="19"/>
      <c r="I12705" s="19"/>
      <c r="J12705" s="19"/>
      <c r="K12705" s="19"/>
      <c r="L12705" s="19"/>
      <c r="M12705" s="19"/>
      <c r="N12705" s="19"/>
      <c r="O12705" s="14" t="str">
        <f>HYPERLINK("https://otsuka-europe-crm.veevavault.com/ui/#object/email_activity__v/V8C000000041262", "EN-002100192")</f>
        <v>EN-002100192</v>
      </c>
    </row>
    <row r="12706" spans="1:15" ht="48" x14ac:dyDescent="0.2">
      <c r="A12706" s="7" t="str">
        <f>HYPERLINK("https://otsuka-europe-crm.veevavault.com/ui/#object/account__v/V4TZ025E87FZGY4", "SARA JIMENEZ FERNANDEZ")</f>
        <v>SARA JIMENEZ FERNANDEZ</v>
      </c>
      <c r="B12706" s="7" t="str">
        <f>HYPERLINK("https://otsuka-europe-crm.veevavault.com/ui/#object/vcountry__v/VENZ000004SONF5", "ES")</f>
        <v>ES</v>
      </c>
      <c r="C12706" s="8" t="s">
        <v>41</v>
      </c>
      <c r="D12706" s="9" t="str">
        <f>HYPERLINK("https://otsuka-europe-crm.veevavault.com/ui/#object/approved_document__v/V5O00000000R009", "AM2M - PSIQUIATRIA - Guía manejo práctico AM2M")</f>
        <v>AM2M - PSIQUIATRIA - Guía manejo práctico AM2M</v>
      </c>
      <c r="E12706" s="10" t="str">
        <f>HYPERLINK("https://otsuka-europe-crm.veevavault.com/ui/#object/sent_email__v/VBL00000002Z094", "SE-001438479")</f>
        <v>SE-001438479</v>
      </c>
      <c r="F12706" s="11"/>
      <c r="G12706" s="12">
        <v>0</v>
      </c>
      <c r="H12706" s="12">
        <v>0</v>
      </c>
      <c r="I12706" s="12">
        <v>0</v>
      </c>
      <c r="J12706" s="11"/>
      <c r="K12706" s="12">
        <v>0</v>
      </c>
      <c r="L12706" s="10" t="str">
        <f>HYPERLINK("https://otsuka-europe-crm.veevavault.com/ui/#object/approved_document__v/V5O00000000R009", "AM2M - PSIQUIATRIA - Guía manejo práctico AM2M")</f>
        <v>AM2M - PSIQUIATRIA - Guía manejo práctico AM2M</v>
      </c>
      <c r="M12706" s="10" t="str">
        <f>HYPERLINK("mailto:jcastro@crm.otsuka-europe.com", "jcastro@crm.otsuka-europe.com")</f>
        <v>jcastro@crm.otsuka-europe.com</v>
      </c>
      <c r="N12706" s="13">
        <v>46199.464513888888</v>
      </c>
      <c r="O12706" s="14" t="str">
        <f>HYPERLINK("https://otsuka-europe-crm.veevavault.com/ui/#object/email_activity__v/V8C000000041045", "EN-002099782")</f>
        <v>EN-002099782</v>
      </c>
    </row>
    <row r="12707" spans="1:15" ht="48" x14ac:dyDescent="0.2">
      <c r="A12707" s="7" t="str">
        <f>HYPERLINK("https://otsuka-europe-crm.veevavault.com/ui/#object/account__v/V4TZ06G6O71T7DI", "GUILLERMO RICARDO FORD")</f>
        <v>GUILLERMO RICARDO FORD</v>
      </c>
      <c r="B12707" s="7" t="str">
        <f>HYPERLINK("https://otsuka-europe-crm.veevavault.com/ui/#object/vcountry__v/VENZ000004SONF5", "ES")</f>
        <v>ES</v>
      </c>
      <c r="C12707" s="8" t="s">
        <v>41</v>
      </c>
      <c r="D12707" s="9" t="str">
        <f>HYPERLINK("https://otsuka-europe-crm.veevavault.com/ui/#object/approved_document__v/V5O00000000R009", "AM2M - PSIQUIATRIA - Guía manejo práctico AM2M")</f>
        <v>AM2M - PSIQUIATRIA - Guía manejo práctico AM2M</v>
      </c>
      <c r="E12707" s="10" t="str">
        <f>HYPERLINK("https://otsuka-europe-crm.veevavault.com/ui/#object/sent_email__v/VBL00000002Z095", "SE-001438480")</f>
        <v>SE-001438480</v>
      </c>
      <c r="F12707" s="11"/>
      <c r="G12707" s="12">
        <v>0</v>
      </c>
      <c r="H12707" s="12">
        <v>0</v>
      </c>
      <c r="I12707" s="12">
        <v>0</v>
      </c>
      <c r="J12707" s="11"/>
      <c r="K12707" s="12">
        <v>0</v>
      </c>
      <c r="L12707" s="10" t="str">
        <f>HYPERLINK("https://otsuka-europe-crm.veevavault.com/ui/#object/approved_document__v/V5O00000000R009", "AM2M - PSIQUIATRIA - Guía manejo práctico AM2M")</f>
        <v>AM2M - PSIQUIATRIA - Guía manejo práctico AM2M</v>
      </c>
      <c r="M12707" s="10" t="str">
        <f>HYPERLINK("mailto:jcastro@crm.otsuka-europe.com", "jcastro@crm.otsuka-europe.com")</f>
        <v>jcastro@crm.otsuka-europe.com</v>
      </c>
      <c r="N12707" s="13">
        <v>46199.464513888888</v>
      </c>
      <c r="O12707" s="14" t="str">
        <f>HYPERLINK("https://otsuka-europe-crm.veevavault.com/ui/#object/email_activity__v/V8C000000042107", "EN-002099919")</f>
        <v>EN-002099919</v>
      </c>
    </row>
    <row r="12708" spans="1:15" ht="16" x14ac:dyDescent="0.2">
      <c r="A12708" s="17" t="str">
        <f>HYPERLINK("https://otsuka-europe-crm.veevavault.com/ui/#object/account__v/V4TZ06G6O71TC0P", "MARIA INMACULADA ROMERO MAÑAS")</f>
        <v>MARIA INMACULADA ROMERO MAÑAS</v>
      </c>
      <c r="B12708" s="17" t="str">
        <f>HYPERLINK("https://otsuka-europe-crm.veevavault.com/ui/#object/vcountry__v/VENZ000004SONF5", "ES")</f>
        <v>ES</v>
      </c>
      <c r="C12708" s="20" t="s">
        <v>41</v>
      </c>
      <c r="D12708" s="21" t="str">
        <f>HYPERLINK("https://otsuka-europe-crm.veevavault.com/ui/#object/approved_document__v/V5O00000000R009", "AM2M - PSIQUIATRIA - Guía manejo práctico AM2M")</f>
        <v>AM2M - PSIQUIATRIA - Guía manejo práctico AM2M</v>
      </c>
      <c r="E12708" s="22" t="str">
        <f>HYPERLINK("https://otsuka-europe-crm.veevavault.com/ui/#object/sent_email__v/VBL00000002Z096", "SE-001438481")</f>
        <v>SE-001438481</v>
      </c>
      <c r="F12708" s="25"/>
      <c r="G12708" s="24">
        <v>0</v>
      </c>
      <c r="H12708" s="24">
        <v>0</v>
      </c>
      <c r="I12708" s="24">
        <v>0</v>
      </c>
      <c r="J12708" s="25"/>
      <c r="K12708" s="24">
        <v>0</v>
      </c>
      <c r="L12708" s="22" t="str">
        <f>HYPERLINK("https://otsuka-europe-crm.veevavault.com/ui/#object/approved_document__v/V5O00000000R009", "AM2M - PSIQUIATRIA - Guía manejo práctico AM2M")</f>
        <v>AM2M - PSIQUIATRIA - Guía manejo práctico AM2M</v>
      </c>
      <c r="M12708" s="22" t="str">
        <f>HYPERLINK("mailto:jcastro@crm.otsuka-europe.com", "jcastro@crm.otsuka-europe.com")</f>
        <v>jcastro@crm.otsuka-europe.com</v>
      </c>
      <c r="N12708" s="23">
        <v>46199.464513888888</v>
      </c>
      <c r="O12708" s="14" t="str">
        <f>HYPERLINK("https://otsuka-europe-crm.veevavault.com/ui/#object/email_activity__v/V8C000000042060", "EN-002099832")</f>
        <v>EN-002099832</v>
      </c>
    </row>
    <row r="12709" spans="1:15" ht="16" x14ac:dyDescent="0.2">
      <c r="A12709" s="19"/>
      <c r="B12709" s="19"/>
      <c r="C12709" s="19"/>
      <c r="D12709" s="19"/>
      <c r="E12709" s="19"/>
      <c r="F12709" s="19"/>
      <c r="G12709" s="19"/>
      <c r="H12709" s="19"/>
      <c r="I12709" s="19"/>
      <c r="J12709" s="19"/>
      <c r="K12709" s="19"/>
      <c r="L12709" s="19"/>
      <c r="M12709" s="19"/>
      <c r="N12709" s="19"/>
      <c r="O12709" s="14" t="str">
        <f>HYPERLINK("https://otsuka-europe-crm.veevavault.com/ui/#object/email_activity__v/V8C000000042224", "EN-002100159")</f>
        <v>EN-002100159</v>
      </c>
    </row>
    <row r="12710" spans="1:15" ht="16" x14ac:dyDescent="0.2">
      <c r="A12710" s="17" t="str">
        <f>HYPERLINK("https://otsuka-europe-crm.veevavault.com/ui/#object/account__v/V4TZ06G6O71TAT6", "ISABEL LOPEZ SARACHO")</f>
        <v>ISABEL LOPEZ SARACHO</v>
      </c>
      <c r="B12710" s="17" t="str">
        <f>HYPERLINK("https://otsuka-europe-crm.veevavault.com/ui/#object/vcountry__v/VENZ000004SONF5", "ES")</f>
        <v>ES</v>
      </c>
      <c r="C12710" s="20" t="s">
        <v>41</v>
      </c>
      <c r="D12710" s="21" t="str">
        <f>HYPERLINK("https://otsuka-europe-crm.veevavault.com/ui/#object/approved_document__v/V5O00000000R009", "AM2M - PSIQUIATRIA - Guía manejo práctico AM2M")</f>
        <v>AM2M - PSIQUIATRIA - Guía manejo práctico AM2M</v>
      </c>
      <c r="E12710" s="22" t="str">
        <f>HYPERLINK("https://otsuka-europe-crm.veevavault.com/ui/#object/sent_email__v/VBL00000002Z097", "SE-001438482")</f>
        <v>SE-001438482</v>
      </c>
      <c r="F12710" s="25"/>
      <c r="G12710" s="24">
        <v>0</v>
      </c>
      <c r="H12710" s="24">
        <v>0</v>
      </c>
      <c r="I12710" s="24">
        <v>0</v>
      </c>
      <c r="J12710" s="25"/>
      <c r="K12710" s="24">
        <v>0</v>
      </c>
      <c r="L12710" s="22" t="str">
        <f>HYPERLINK("https://otsuka-europe-crm.veevavault.com/ui/#object/approved_document__v/V5O00000000R009", "AM2M - PSIQUIATRIA - Guía manejo práctico AM2M")</f>
        <v>AM2M - PSIQUIATRIA - Guía manejo práctico AM2M</v>
      </c>
      <c r="M12710" s="22" t="str">
        <f>HYPERLINK("mailto:jcastro@crm.otsuka-europe.com", "jcastro@crm.otsuka-europe.com")</f>
        <v>jcastro@crm.otsuka-europe.com</v>
      </c>
      <c r="N12710" s="23">
        <v>46199.464513888888</v>
      </c>
      <c r="O12710" s="14" t="str">
        <f>HYPERLINK("https://otsuka-europe-crm.veevavault.com/ui/#object/email_activity__v/V8C000000041101", "EN-002099892")</f>
        <v>EN-002099892</v>
      </c>
    </row>
    <row r="12711" spans="1:15" ht="16" x14ac:dyDescent="0.2">
      <c r="A12711" s="19"/>
      <c r="B12711" s="19"/>
      <c r="C12711" s="19"/>
      <c r="D12711" s="19"/>
      <c r="E12711" s="19"/>
      <c r="F12711" s="19"/>
      <c r="G12711" s="19"/>
      <c r="H12711" s="19"/>
      <c r="I12711" s="19"/>
      <c r="J12711" s="19"/>
      <c r="K12711" s="19"/>
      <c r="L12711" s="19"/>
      <c r="M12711" s="19"/>
      <c r="N12711" s="19"/>
      <c r="O12711" s="14" t="str">
        <f>HYPERLINK("https://otsuka-europe-crm.veevavault.com/ui/#object/email_activity__v/V8C000000042131", "EN-002100001")</f>
        <v>EN-002100001</v>
      </c>
    </row>
    <row r="12712" spans="1:15" ht="16" x14ac:dyDescent="0.2">
      <c r="A12712" s="17" t="str">
        <f>HYPERLINK("https://otsuka-europe-crm.veevavault.com/ui/#object/account__v/V4TZ025E87BUQOE", "CARLOS CARRION GARCIA")</f>
        <v>CARLOS CARRION GARCIA</v>
      </c>
      <c r="B12712" s="17" t="str">
        <f>HYPERLINK("https://otsuka-europe-crm.veevavault.com/ui/#object/vcountry__v/VENZ000004SONF5", "ES")</f>
        <v>ES</v>
      </c>
      <c r="C12712" s="20" t="s">
        <v>41</v>
      </c>
      <c r="D12712" s="21" t="str">
        <f>HYPERLINK("https://otsuka-europe-crm.veevavault.com/ui/#object/approved_document__v/V5O00000000R009", "AM2M - PSIQUIATRIA - Guía manejo práctico AM2M")</f>
        <v>AM2M - PSIQUIATRIA - Guía manejo práctico AM2M</v>
      </c>
      <c r="E12712" s="22" t="str">
        <f>HYPERLINK("https://otsuka-europe-crm.veevavault.com/ui/#object/sent_email__v/VBL00000002Z098", "SE-001438483")</f>
        <v>SE-001438483</v>
      </c>
      <c r="F12712" s="25"/>
      <c r="G12712" s="24">
        <v>0</v>
      </c>
      <c r="H12712" s="24">
        <v>0</v>
      </c>
      <c r="I12712" s="24">
        <v>0</v>
      </c>
      <c r="J12712" s="25"/>
      <c r="K12712" s="24">
        <v>0</v>
      </c>
      <c r="L12712" s="22" t="str">
        <f>HYPERLINK("https://otsuka-europe-crm.veevavault.com/ui/#object/approved_document__v/V5O00000000R009", "AM2M - PSIQUIATRIA - Guía manejo práctico AM2M")</f>
        <v>AM2M - PSIQUIATRIA - Guía manejo práctico AM2M</v>
      </c>
      <c r="M12712" s="22" t="str">
        <f>HYPERLINK("mailto:jcastro@crm.otsuka-europe.com", "jcastro@crm.otsuka-europe.com")</f>
        <v>jcastro@crm.otsuka-europe.com</v>
      </c>
      <c r="N12712" s="23">
        <v>46199.464513888888</v>
      </c>
      <c r="O12712" s="14" t="str">
        <f>HYPERLINK("https://otsuka-europe-crm.veevavault.com/ui/#object/email_activity__v/V8C000000041102", "EN-002099893")</f>
        <v>EN-002099893</v>
      </c>
    </row>
    <row r="12713" spans="1:15" ht="16" x14ac:dyDescent="0.2">
      <c r="A12713" s="19"/>
      <c r="B12713" s="19"/>
      <c r="C12713" s="19"/>
      <c r="D12713" s="19"/>
      <c r="E12713" s="19"/>
      <c r="F12713" s="19"/>
      <c r="G12713" s="19"/>
      <c r="H12713" s="19"/>
      <c r="I12713" s="19"/>
      <c r="J12713" s="19"/>
      <c r="K12713" s="19"/>
      <c r="L12713" s="19"/>
      <c r="M12713" s="19"/>
      <c r="N12713" s="19"/>
      <c r="O12713" s="14" t="str">
        <f>HYPERLINK("https://otsuka-europe-crm.veevavault.com/ui/#object/email_activity__v/V8C000000042256", "EN-002100218")</f>
        <v>EN-002100218</v>
      </c>
    </row>
    <row r="12714" spans="1:15" ht="48" x14ac:dyDescent="0.2">
      <c r="A12714" s="7" t="str">
        <f>HYPERLINK("https://otsuka-europe-crm.veevavault.com/ui/#object/account__v/V4TZ06G6O71T7A3", "PILAR MILAN FERNANDEZ")</f>
        <v>PILAR MILAN FERNANDEZ</v>
      </c>
      <c r="B12714" s="7" t="str">
        <f>HYPERLINK("https://otsuka-europe-crm.veevavault.com/ui/#object/vcountry__v/VENZ000004SONF5", "ES")</f>
        <v>ES</v>
      </c>
      <c r="C12714" s="8" t="s">
        <v>41</v>
      </c>
      <c r="D12714" s="9" t="str">
        <f>HYPERLINK("https://otsuka-europe-crm.veevavault.com/ui/#object/approved_document__v/V5O00000000R009", "AM2M - PSIQUIATRIA - Guía manejo práctico AM2M")</f>
        <v>AM2M - PSIQUIATRIA - Guía manejo práctico AM2M</v>
      </c>
      <c r="E12714" s="10" t="str">
        <f>HYPERLINK("https://otsuka-europe-crm.veevavault.com/ui/#object/sent_email__v/VBL00000002Z099", "SE-001438484")</f>
        <v>SE-001438484</v>
      </c>
      <c r="F12714" s="11"/>
      <c r="G12714" s="12">
        <v>0</v>
      </c>
      <c r="H12714" s="12">
        <v>0</v>
      </c>
      <c r="I12714" s="12">
        <v>0</v>
      </c>
      <c r="J12714" s="11"/>
      <c r="K12714" s="12">
        <v>0</v>
      </c>
      <c r="L12714" s="10" t="str">
        <f>HYPERLINK("https://otsuka-europe-crm.veevavault.com/ui/#object/approved_document__v/V5O00000000R009", "AM2M - PSIQUIATRIA - Guía manejo práctico AM2M")</f>
        <v>AM2M - PSIQUIATRIA - Guía manejo práctico AM2M</v>
      </c>
      <c r="M12714" s="10" t="str">
        <f>HYPERLINK("mailto:jcastro@crm.otsuka-europe.com", "jcastro@crm.otsuka-europe.com")</f>
        <v>jcastro@crm.otsuka-europe.com</v>
      </c>
      <c r="N12714" s="13">
        <v>46199.464513888888</v>
      </c>
      <c r="O12714" s="14" t="str">
        <f>HYPERLINK("https://otsuka-europe-crm.veevavault.com/ui/#object/email_activity__v/V8C000000041043", "EN-002099780")</f>
        <v>EN-002099780</v>
      </c>
    </row>
    <row r="12715" spans="1:15" ht="16" x14ac:dyDescent="0.2">
      <c r="A12715" s="17" t="str">
        <f>HYPERLINK("https://otsuka-europe-crm.veevavault.com/ui/#object/account__v/V4TZ025E82TVXO3", "MARTA LOPEZ MOYANO")</f>
        <v>MARTA LOPEZ MOYANO</v>
      </c>
      <c r="B12715" s="17" t="str">
        <f>HYPERLINK("https://otsuka-europe-crm.veevavault.com/ui/#object/vcountry__v/VENZ000004SONF5", "ES")</f>
        <v>ES</v>
      </c>
      <c r="C12715" s="20" t="s">
        <v>41</v>
      </c>
      <c r="D12715" s="21" t="str">
        <f>HYPERLINK("https://otsuka-europe-crm.veevavault.com/ui/#object/approved_document__v/V5O00000000R009", "AM2M - PSIQUIATRIA - Guía manejo práctico AM2M")</f>
        <v>AM2M - PSIQUIATRIA - Guía manejo práctico AM2M</v>
      </c>
      <c r="E12715" s="22" t="str">
        <f>HYPERLINK("https://otsuka-europe-crm.veevavault.com/ui/#object/sent_email__v/VBL00000002Z100", "SE-001438485")</f>
        <v>SE-001438485</v>
      </c>
      <c r="F12715" s="23">
        <v>46201.516516203701</v>
      </c>
      <c r="G12715" s="24">
        <v>1</v>
      </c>
      <c r="H12715" s="24">
        <v>1</v>
      </c>
      <c r="I12715" s="24">
        <v>0</v>
      </c>
      <c r="J12715" s="25"/>
      <c r="K12715" s="24">
        <v>0</v>
      </c>
      <c r="L12715" s="22" t="str">
        <f>HYPERLINK("https://otsuka-europe-crm.veevavault.com/ui/#object/approved_document__v/V5O00000000R009", "AM2M - PSIQUIATRIA - Guía manejo práctico AM2M")</f>
        <v>AM2M - PSIQUIATRIA - Guía manejo práctico AM2M</v>
      </c>
      <c r="M12715" s="22" t="str">
        <f>HYPERLINK("mailto:jcastro@crm.otsuka-europe.com", "jcastro@crm.otsuka-europe.com")</f>
        <v>jcastro@crm.otsuka-europe.com</v>
      </c>
      <c r="N12715" s="23">
        <v>46199.464560185188</v>
      </c>
      <c r="O12715" s="14" t="str">
        <f>HYPERLINK("https://otsuka-europe-crm.veevavault.com/ui/#object/email_activity__v/V8C000000041294", "EN-002100259")</f>
        <v>EN-002100259</v>
      </c>
    </row>
    <row r="12716" spans="1:15" ht="16" x14ac:dyDescent="0.2">
      <c r="A12716" s="19"/>
      <c r="B12716" s="19"/>
      <c r="C12716" s="19"/>
      <c r="D12716" s="19"/>
      <c r="E12716" s="19"/>
      <c r="F12716" s="19"/>
      <c r="G12716" s="19"/>
      <c r="H12716" s="19"/>
      <c r="I12716" s="19"/>
      <c r="J12716" s="19"/>
      <c r="K12716" s="19"/>
      <c r="L12716" s="19"/>
      <c r="M12716" s="19"/>
      <c r="N12716" s="19"/>
      <c r="O12716" s="14" t="str">
        <f>HYPERLINK("https://otsuka-europe-crm.veevavault.com/ui/#object/email_activity__v/V8C000000042102", "EN-002099911")</f>
        <v>EN-002099911</v>
      </c>
    </row>
    <row r="12717" spans="1:15" ht="16" x14ac:dyDescent="0.2">
      <c r="A12717" s="17" t="str">
        <f>HYPERLINK("https://otsuka-europe-crm.veevavault.com/ui/#object/account__v/V4TZ06G6O71TBVE", "ANTONIO JESUS RAMIREZ GARCIA")</f>
        <v>ANTONIO JESUS RAMIREZ GARCIA</v>
      </c>
      <c r="B12717" s="17" t="str">
        <f>HYPERLINK("https://otsuka-europe-crm.veevavault.com/ui/#object/vcountry__v/VENZ000004SONF5", "ES")</f>
        <v>ES</v>
      </c>
      <c r="C12717" s="20" t="s">
        <v>41</v>
      </c>
      <c r="D12717" s="21" t="str">
        <f>HYPERLINK("https://otsuka-europe-crm.veevavault.com/ui/#object/approved_document__v/V5O00000000R009", "AM2M - PSIQUIATRIA - Guía manejo práctico AM2M")</f>
        <v>AM2M - PSIQUIATRIA - Guía manejo práctico AM2M</v>
      </c>
      <c r="E12717" s="22" t="str">
        <f>HYPERLINK("https://otsuka-europe-crm.veevavault.com/ui/#object/sent_email__v/VBL00000002Z101", "SE-001438486")</f>
        <v>SE-001438486</v>
      </c>
      <c r="F12717" s="23">
        <v>46199.77925925926</v>
      </c>
      <c r="G12717" s="24">
        <v>1</v>
      </c>
      <c r="H12717" s="24">
        <v>1</v>
      </c>
      <c r="I12717" s="24">
        <v>0</v>
      </c>
      <c r="J12717" s="25"/>
      <c r="K12717" s="24">
        <v>0</v>
      </c>
      <c r="L12717" s="22" t="str">
        <f>HYPERLINK("https://otsuka-europe-crm.veevavault.com/ui/#object/approved_document__v/V5O00000000R009", "AM2M - PSIQUIATRIA - Guía manejo práctico AM2M")</f>
        <v>AM2M - PSIQUIATRIA - Guía manejo práctico AM2M</v>
      </c>
      <c r="M12717" s="22" t="str">
        <f>HYPERLINK("mailto:jcastro@crm.otsuka-europe.com", "jcastro@crm.otsuka-europe.com")</f>
        <v>jcastro@crm.otsuka-europe.com</v>
      </c>
      <c r="N12717" s="23">
        <v>46199.464560185188</v>
      </c>
      <c r="O12717" s="14" t="str">
        <f>HYPERLINK("https://otsuka-europe-crm.veevavault.com/ui/#object/email_activity__v/V8C000000041083", "EN-002099854")</f>
        <v>EN-002099854</v>
      </c>
    </row>
    <row r="12718" spans="1:15" ht="16" x14ac:dyDescent="0.2">
      <c r="A12718" s="18"/>
      <c r="B12718" s="18"/>
      <c r="C12718" s="18"/>
      <c r="D12718" s="18"/>
      <c r="E12718" s="18"/>
      <c r="F12718" s="18"/>
      <c r="G12718" s="18"/>
      <c r="H12718" s="18"/>
      <c r="I12718" s="18"/>
      <c r="J12718" s="18"/>
      <c r="K12718" s="18"/>
      <c r="L12718" s="18"/>
      <c r="M12718" s="18"/>
      <c r="N12718" s="18"/>
      <c r="O12718" s="14" t="str">
        <f>HYPERLINK("https://otsuka-europe-crm.veevavault.com/ui/#object/email_activity__v/V8C000000042210", "EN-002100138")</f>
        <v>EN-002100138</v>
      </c>
    </row>
    <row r="12719" spans="1:15" ht="16" x14ac:dyDescent="0.2">
      <c r="A12719" s="18"/>
      <c r="B12719" s="18"/>
      <c r="C12719" s="18"/>
      <c r="D12719" s="18"/>
      <c r="E12719" s="18"/>
      <c r="F12719" s="18"/>
      <c r="G12719" s="18"/>
      <c r="H12719" s="18"/>
      <c r="I12719" s="18"/>
      <c r="J12719" s="18"/>
      <c r="K12719" s="18"/>
      <c r="L12719" s="18"/>
      <c r="M12719" s="18"/>
      <c r="N12719" s="18"/>
      <c r="O12719" s="14" t="str">
        <f>HYPERLINK("https://otsuka-europe-crm.veevavault.com/ui/#object/email_activity__v/V8C000000042223", "EN-002100158")</f>
        <v>EN-002100158</v>
      </c>
    </row>
    <row r="12720" spans="1:15" ht="16" x14ac:dyDescent="0.2">
      <c r="A12720" s="19"/>
      <c r="B12720" s="19"/>
      <c r="C12720" s="19"/>
      <c r="D12720" s="19"/>
      <c r="E12720" s="19"/>
      <c r="F12720" s="19"/>
      <c r="G12720" s="19"/>
      <c r="H12720" s="19"/>
      <c r="I12720" s="19"/>
      <c r="J12720" s="19"/>
      <c r="K12720" s="19"/>
      <c r="L12720" s="19"/>
      <c r="M12720" s="19"/>
      <c r="N12720" s="19"/>
      <c r="O12720" s="14" t="str">
        <f>HYPERLINK("https://otsuka-europe-crm.veevavault.com/ui/#object/email_activity__v/V8C000000042766", "EN-002101170")</f>
        <v>EN-002101170</v>
      </c>
    </row>
    <row r="12721" spans="1:15" ht="48" x14ac:dyDescent="0.2">
      <c r="A12721" s="7" t="str">
        <f>HYPERLINK("https://otsuka-europe-crm.veevavault.com/ui/#object/account__v/V4TZ06G6O8SAG4R", "ISABEL BODOANO SANCHEZ")</f>
        <v>ISABEL BODOANO SANCHEZ</v>
      </c>
      <c r="B12721" s="7" t="str">
        <f>HYPERLINK("https://otsuka-europe-crm.veevavault.com/ui/#object/vcountry__v/VENZ000004SONF5", "ES")</f>
        <v>ES</v>
      </c>
      <c r="C12721" s="8" t="s">
        <v>41</v>
      </c>
      <c r="D12721" s="9" t="str">
        <f>HYPERLINK("https://otsuka-europe-crm.veevavault.com/ui/#object/approved_document__v/V5O00000000R009", "AM2M - PSIQUIATRIA - Guía manejo práctico AM2M")</f>
        <v>AM2M - PSIQUIATRIA - Guía manejo práctico AM2M</v>
      </c>
      <c r="E12721" s="10" t="str">
        <f>HYPERLINK("https://otsuka-europe-crm.veevavault.com/ui/#object/sent_email__v/VBL00000002Z102", "SE-001438487")</f>
        <v>SE-001438487</v>
      </c>
      <c r="F12721" s="11"/>
      <c r="G12721" s="12">
        <v>0</v>
      </c>
      <c r="H12721" s="12">
        <v>0</v>
      </c>
      <c r="I12721" s="12">
        <v>0</v>
      </c>
      <c r="J12721" s="11"/>
      <c r="K12721" s="12">
        <v>0</v>
      </c>
      <c r="L12721" s="10" t="str">
        <f>HYPERLINK("https://otsuka-europe-crm.veevavault.com/ui/#object/approved_document__v/V5O00000000R009", "AM2M - PSIQUIATRIA - Guía manejo práctico AM2M")</f>
        <v>AM2M - PSIQUIATRIA - Guía manejo práctico AM2M</v>
      </c>
      <c r="M12721" s="10" t="str">
        <f>HYPERLINK("mailto:jcastro@crm.otsuka-europe.com", "jcastro@crm.otsuka-europe.com")</f>
        <v>jcastro@crm.otsuka-europe.com</v>
      </c>
      <c r="N12721" s="13">
        <v>46199.464560185188</v>
      </c>
      <c r="O12721" s="14" t="str">
        <f>HYPERLINK("https://otsuka-europe-crm.veevavault.com/ui/#object/email_activity__v/V8C000000042066", "EN-002099838")</f>
        <v>EN-002099838</v>
      </c>
    </row>
    <row r="12722" spans="1:15" ht="48" x14ac:dyDescent="0.2">
      <c r="A12722" s="7" t="str">
        <f>HYPERLINK("https://otsuka-europe-crm.veevavault.com/ui/#object/account__v/V4TZ06G6O71T7CF", "ANA MARIA VIDAL LOPEZ")</f>
        <v>ANA MARIA VIDAL LOPEZ</v>
      </c>
      <c r="B12722" s="7" t="str">
        <f>HYPERLINK("https://otsuka-europe-crm.veevavault.com/ui/#object/vcountry__v/VENZ000004SONF5", "ES")</f>
        <v>ES</v>
      </c>
      <c r="C12722" s="8" t="s">
        <v>41</v>
      </c>
      <c r="D12722" s="9" t="str">
        <f>HYPERLINK("https://otsuka-europe-crm.veevavault.com/ui/#object/approved_document__v/V5O00000000R009", "AM2M - PSIQUIATRIA - Guía manejo práctico AM2M")</f>
        <v>AM2M - PSIQUIATRIA - Guía manejo práctico AM2M</v>
      </c>
      <c r="E12722" s="10" t="str">
        <f>HYPERLINK("https://otsuka-europe-crm.veevavault.com/ui/#object/sent_email__v/VBL00000002Z103", "SE-001438488")</f>
        <v>SE-001438488</v>
      </c>
      <c r="F12722" s="11"/>
      <c r="G12722" s="12">
        <v>0</v>
      </c>
      <c r="H12722" s="12">
        <v>0</v>
      </c>
      <c r="I12722" s="12">
        <v>0</v>
      </c>
      <c r="J12722" s="11"/>
      <c r="K12722" s="12">
        <v>0</v>
      </c>
      <c r="L12722" s="10" t="str">
        <f>HYPERLINK("https://otsuka-europe-crm.veevavault.com/ui/#object/approved_document__v/V5O00000000R009", "AM2M - PSIQUIATRIA - Guía manejo práctico AM2M")</f>
        <v>AM2M - PSIQUIATRIA - Guía manejo práctico AM2M</v>
      </c>
      <c r="M12722" s="10" t="str">
        <f>HYPERLINK("mailto:jcastro@crm.otsuka-europe.com", "jcastro@crm.otsuka-europe.com")</f>
        <v>jcastro@crm.otsuka-europe.com</v>
      </c>
      <c r="N12722" s="13">
        <v>46199.464594907404</v>
      </c>
      <c r="O12722" s="14" t="str">
        <f>HYPERLINK("https://otsuka-europe-crm.veevavault.com/ui/#object/email_activity__v/V8C000000041107", "EN-002099898")</f>
        <v>EN-002099898</v>
      </c>
    </row>
    <row r="12723" spans="1:15" ht="48" x14ac:dyDescent="0.2">
      <c r="A12723" s="7" t="str">
        <f>HYPERLINK("https://otsuka-europe-crm.veevavault.com/ui/#object/account__v/V4TZ04ASG6PB057", "MARIA BERET TRANCON")</f>
        <v>MARIA BERET TRANCON</v>
      </c>
      <c r="B12723" s="7" t="str">
        <f>HYPERLINK("https://otsuka-europe-crm.veevavault.com/ui/#object/vcountry__v/VENZ000004SONF5", "ES")</f>
        <v>ES</v>
      </c>
      <c r="C12723" s="8" t="s">
        <v>41</v>
      </c>
      <c r="D12723" s="9" t="str">
        <f>HYPERLINK("https://otsuka-europe-crm.veevavault.com/ui/#object/approved_document__v/V5O00000000R009", "AM2M - PSIQUIATRIA - Guía manejo práctico AM2M")</f>
        <v>AM2M - PSIQUIATRIA - Guía manejo práctico AM2M</v>
      </c>
      <c r="E12723" s="10" t="str">
        <f>HYPERLINK("https://otsuka-europe-crm.veevavault.com/ui/#object/sent_email__v/VBL00000002Z104", "SE-001438489")</f>
        <v>SE-001438489</v>
      </c>
      <c r="F12723" s="11"/>
      <c r="G12723" s="12">
        <v>0</v>
      </c>
      <c r="H12723" s="12">
        <v>0</v>
      </c>
      <c r="I12723" s="12">
        <v>0</v>
      </c>
      <c r="J12723" s="11"/>
      <c r="K12723" s="12">
        <v>0</v>
      </c>
      <c r="L12723" s="10" t="str">
        <f>HYPERLINK("https://otsuka-europe-crm.veevavault.com/ui/#object/approved_document__v/V5O00000000R009", "AM2M - PSIQUIATRIA - Guía manejo práctico AM2M")</f>
        <v>AM2M - PSIQUIATRIA - Guía manejo práctico AM2M</v>
      </c>
      <c r="M12723" s="10" t="str">
        <f>HYPERLINK("mailto:jcastro@crm.otsuka-europe.com", "jcastro@crm.otsuka-europe.com")</f>
        <v>jcastro@crm.otsuka-europe.com</v>
      </c>
      <c r="N12723" s="13">
        <v>46199.464560185188</v>
      </c>
      <c r="O12723" s="14" t="str">
        <f>HYPERLINK("https://otsuka-europe-crm.veevavault.com/ui/#object/email_activity__v/V8C000000042083", "EN-002099865")</f>
        <v>EN-002099865</v>
      </c>
    </row>
    <row r="12724" spans="1:15" ht="16" x14ac:dyDescent="0.2">
      <c r="A12724" s="17" t="str">
        <f>HYPERLINK("https://otsuka-europe-crm.veevavault.com/ui/#object/account__v/V4TZ025E86IIJJR", "IGNACIO RAMOS SUAREZ")</f>
        <v>IGNACIO RAMOS SUAREZ</v>
      </c>
      <c r="B12724" s="17" t="str">
        <f>HYPERLINK("https://otsuka-europe-crm.veevavault.com/ui/#object/vcountry__v/VENZ000004SONF5", "ES")</f>
        <v>ES</v>
      </c>
      <c r="C12724" s="20" t="s">
        <v>41</v>
      </c>
      <c r="D12724" s="21" t="str">
        <f>HYPERLINK("https://otsuka-europe-crm.veevavault.com/ui/#object/approved_document__v/V5O00000000R009", "AM2M - PSIQUIATRIA - Guía manejo práctico AM2M")</f>
        <v>AM2M - PSIQUIATRIA - Guía manejo práctico AM2M</v>
      </c>
      <c r="E12724" s="22" t="str">
        <f>HYPERLINK("https://otsuka-europe-crm.veevavault.com/ui/#object/sent_email__v/VBL00000002Z105", "SE-001438490")</f>
        <v>SE-001438490</v>
      </c>
      <c r="F12724" s="23">
        <v>46199.600185185183</v>
      </c>
      <c r="G12724" s="24">
        <v>1</v>
      </c>
      <c r="H12724" s="24">
        <v>1</v>
      </c>
      <c r="I12724" s="24">
        <v>1</v>
      </c>
      <c r="J12724" s="23">
        <v>46199.60052083333</v>
      </c>
      <c r="K12724" s="24">
        <v>4</v>
      </c>
      <c r="L12724" s="22" t="str">
        <f>HYPERLINK("https://otsuka-europe-crm.veevavault.com/ui/#object/approved_document__v/V5O00000000R009", "AM2M - PSIQUIATRIA - Guía manejo práctico AM2M")</f>
        <v>AM2M - PSIQUIATRIA - Guía manejo práctico AM2M</v>
      </c>
      <c r="M12724" s="22" t="str">
        <f>HYPERLINK("mailto:jcastro@crm.otsuka-europe.com", "jcastro@crm.otsuka-europe.com")</f>
        <v>jcastro@crm.otsuka-europe.com</v>
      </c>
      <c r="N12724" s="23">
        <v>46199.464560185188</v>
      </c>
      <c r="O12724" s="14" t="str">
        <f>HYPERLINK("https://otsuka-europe-crm.veevavault.com/ui/#object/email_activity__v/V8C000000041067", "EN-002099804")</f>
        <v>EN-002099804</v>
      </c>
    </row>
    <row r="12725" spans="1:15" ht="16" x14ac:dyDescent="0.2">
      <c r="A12725" s="18"/>
      <c r="B12725" s="18"/>
      <c r="C12725" s="18"/>
      <c r="D12725" s="18"/>
      <c r="E12725" s="18"/>
      <c r="F12725" s="18"/>
      <c r="G12725" s="18"/>
      <c r="H12725" s="18"/>
      <c r="I12725" s="18"/>
      <c r="J12725" s="18"/>
      <c r="K12725" s="18"/>
      <c r="L12725" s="18"/>
      <c r="M12725" s="18"/>
      <c r="N12725" s="18"/>
      <c r="O12725" s="14" t="str">
        <f>HYPERLINK("https://otsuka-europe-crm.veevavault.com/ui/#object/email_activity__v/V8C000000041200", "EN-002100059")</f>
        <v>EN-002100059</v>
      </c>
    </row>
    <row r="12726" spans="1:15" ht="16" x14ac:dyDescent="0.2">
      <c r="A12726" s="18"/>
      <c r="B12726" s="18"/>
      <c r="C12726" s="18"/>
      <c r="D12726" s="18"/>
      <c r="E12726" s="18"/>
      <c r="F12726" s="18"/>
      <c r="G12726" s="18"/>
      <c r="H12726" s="18"/>
      <c r="I12726" s="18"/>
      <c r="J12726" s="18"/>
      <c r="K12726" s="18"/>
      <c r="L12726" s="18"/>
      <c r="M12726" s="18"/>
      <c r="N12726" s="18"/>
      <c r="O12726" s="14" t="str">
        <f>HYPERLINK("https://otsuka-europe-crm.veevavault.com/ui/#object/email_activity__v/V8C000000041201", "EN-002100061")</f>
        <v>EN-002100061</v>
      </c>
    </row>
    <row r="12727" spans="1:15" ht="16" x14ac:dyDescent="0.2">
      <c r="A12727" s="18"/>
      <c r="B12727" s="18"/>
      <c r="C12727" s="18"/>
      <c r="D12727" s="18"/>
      <c r="E12727" s="18"/>
      <c r="F12727" s="18"/>
      <c r="G12727" s="18"/>
      <c r="H12727" s="18"/>
      <c r="I12727" s="18"/>
      <c r="J12727" s="18"/>
      <c r="K12727" s="18"/>
      <c r="L12727" s="18"/>
      <c r="M12727" s="18"/>
      <c r="N12727" s="18"/>
      <c r="O12727" s="14" t="str">
        <f>HYPERLINK("https://otsuka-europe-crm.veevavault.com/ui/#object/email_activity__v/V8C000000041202", "EN-002100062")</f>
        <v>EN-002100062</v>
      </c>
    </row>
    <row r="12728" spans="1:15" ht="16" x14ac:dyDescent="0.2">
      <c r="A12728" s="18"/>
      <c r="B12728" s="18"/>
      <c r="C12728" s="18"/>
      <c r="D12728" s="18"/>
      <c r="E12728" s="18"/>
      <c r="F12728" s="18"/>
      <c r="G12728" s="18"/>
      <c r="H12728" s="18"/>
      <c r="I12728" s="18"/>
      <c r="J12728" s="18"/>
      <c r="K12728" s="18"/>
      <c r="L12728" s="18"/>
      <c r="M12728" s="18"/>
      <c r="N12728" s="18"/>
      <c r="O12728" s="14" t="str">
        <f>HYPERLINK("https://otsuka-europe-crm.veevavault.com/ui/#object/email_activity__v/V8C000000042169", "EN-002100060")</f>
        <v>EN-002100060</v>
      </c>
    </row>
    <row r="12729" spans="1:15" ht="16" x14ac:dyDescent="0.2">
      <c r="A12729" s="18"/>
      <c r="B12729" s="18"/>
      <c r="C12729" s="18"/>
      <c r="D12729" s="18"/>
      <c r="E12729" s="18"/>
      <c r="F12729" s="18"/>
      <c r="G12729" s="18"/>
      <c r="H12729" s="18"/>
      <c r="I12729" s="18"/>
      <c r="J12729" s="18"/>
      <c r="K12729" s="18"/>
      <c r="L12729" s="18"/>
      <c r="M12729" s="18"/>
      <c r="N12729" s="18"/>
      <c r="O12729" s="14" t="str">
        <f>HYPERLINK("https://otsuka-europe-crm.veevavault.com/ui/#object/email_activity__v/V8C000000042170", "EN-002100063")</f>
        <v>EN-002100063</v>
      </c>
    </row>
    <row r="12730" spans="1:15" ht="16" x14ac:dyDescent="0.2">
      <c r="A12730" s="18"/>
      <c r="B12730" s="18"/>
      <c r="C12730" s="18"/>
      <c r="D12730" s="18"/>
      <c r="E12730" s="18"/>
      <c r="F12730" s="18"/>
      <c r="G12730" s="18"/>
      <c r="H12730" s="18"/>
      <c r="I12730" s="18"/>
      <c r="J12730" s="18"/>
      <c r="K12730" s="18"/>
      <c r="L12730" s="18"/>
      <c r="M12730" s="18"/>
      <c r="N12730" s="18"/>
      <c r="O12730" s="14" t="str">
        <f>HYPERLINK("https://otsuka-europe-crm.veevavault.com/ui/#object/email_activity__v/V8C000000042184", "EN-002100089")</f>
        <v>EN-002100089</v>
      </c>
    </row>
    <row r="12731" spans="1:15" ht="16" x14ac:dyDescent="0.2">
      <c r="A12731" s="18"/>
      <c r="B12731" s="18"/>
      <c r="C12731" s="18"/>
      <c r="D12731" s="18"/>
      <c r="E12731" s="18"/>
      <c r="F12731" s="18"/>
      <c r="G12731" s="18"/>
      <c r="H12731" s="18"/>
      <c r="I12731" s="18"/>
      <c r="J12731" s="18"/>
      <c r="K12731" s="18"/>
      <c r="L12731" s="18"/>
      <c r="M12731" s="18"/>
      <c r="N12731" s="18"/>
      <c r="O12731" s="14" t="str">
        <f>HYPERLINK("https://otsuka-europe-crm.veevavault.com/ui/#object/email_activity__v/V8C000000042185", "EN-002100090")</f>
        <v>EN-002100090</v>
      </c>
    </row>
    <row r="12732" spans="1:15" ht="16" x14ac:dyDescent="0.2">
      <c r="A12732" s="18"/>
      <c r="B12732" s="18"/>
      <c r="C12732" s="18"/>
      <c r="D12732" s="18"/>
      <c r="E12732" s="18"/>
      <c r="F12732" s="18"/>
      <c r="G12732" s="18"/>
      <c r="H12732" s="18"/>
      <c r="I12732" s="18"/>
      <c r="J12732" s="18"/>
      <c r="K12732" s="18"/>
      <c r="L12732" s="18"/>
      <c r="M12732" s="18"/>
      <c r="N12732" s="18"/>
      <c r="O12732" s="14" t="str">
        <f>HYPERLINK("https://otsuka-europe-crm.veevavault.com/ui/#object/email_activity__v/V8C000000042186", "EN-002100091")</f>
        <v>EN-002100091</v>
      </c>
    </row>
    <row r="12733" spans="1:15" ht="16" x14ac:dyDescent="0.2">
      <c r="A12733" s="19"/>
      <c r="B12733" s="19"/>
      <c r="C12733" s="19"/>
      <c r="D12733" s="19"/>
      <c r="E12733" s="19"/>
      <c r="F12733" s="19"/>
      <c r="G12733" s="19"/>
      <c r="H12733" s="19"/>
      <c r="I12733" s="19"/>
      <c r="J12733" s="19"/>
      <c r="K12733" s="19"/>
      <c r="L12733" s="19"/>
      <c r="M12733" s="19"/>
      <c r="N12733" s="19"/>
      <c r="O12733" s="14" t="str">
        <f>HYPERLINK("https://otsuka-europe-crm.veevavault.com/ui/#object/email_activity__v/V8C000000042187", "EN-002100092")</f>
        <v>EN-002100092</v>
      </c>
    </row>
    <row r="12734" spans="1:15" ht="48" x14ac:dyDescent="0.2">
      <c r="A12734" s="7" t="str">
        <f>HYPERLINK("https://otsuka-europe-crm.veevavault.com/ui/#object/account__v/V4TZ06G6O71TB94", "DAVID MOLERA MANZANO")</f>
        <v>DAVID MOLERA MANZANO</v>
      </c>
      <c r="B12734" s="7" t="str">
        <f>HYPERLINK("https://otsuka-europe-crm.veevavault.com/ui/#object/vcountry__v/VENZ000004SONF5", "ES")</f>
        <v>ES</v>
      </c>
      <c r="C12734" s="8" t="s">
        <v>41</v>
      </c>
      <c r="D12734" s="9" t="str">
        <f>HYPERLINK("https://otsuka-europe-crm.veevavault.com/ui/#object/approved_document__v/V5O00000000R009", "AM2M - PSIQUIATRIA - Guía manejo práctico AM2M")</f>
        <v>AM2M - PSIQUIATRIA - Guía manejo práctico AM2M</v>
      </c>
      <c r="E12734" s="10" t="str">
        <f>HYPERLINK("https://otsuka-europe-crm.veevavault.com/ui/#object/sent_email__v/VBL00000002Z106", "SE-001438491")</f>
        <v>SE-001438491</v>
      </c>
      <c r="F12734" s="11"/>
      <c r="G12734" s="12">
        <v>0</v>
      </c>
      <c r="H12734" s="12">
        <v>0</v>
      </c>
      <c r="I12734" s="12">
        <v>0</v>
      </c>
      <c r="J12734" s="11"/>
      <c r="K12734" s="12">
        <v>0</v>
      </c>
      <c r="L12734" s="10" t="str">
        <f>HYPERLINK("https://otsuka-europe-crm.veevavault.com/ui/#object/approved_document__v/V5O00000000R009", "AM2M - PSIQUIATRIA - Guía manejo práctico AM2M")</f>
        <v>AM2M - PSIQUIATRIA - Guía manejo práctico AM2M</v>
      </c>
      <c r="M12734" s="10" t="str">
        <f>HYPERLINK("mailto:jcastro@crm.otsuka-europe.com", "jcastro@crm.otsuka-europe.com")</f>
        <v>jcastro@crm.otsuka-europe.com</v>
      </c>
      <c r="N12734" s="13">
        <v>46199.464560185188</v>
      </c>
      <c r="O12734" s="14" t="str">
        <f>HYPERLINK("https://otsuka-europe-crm.veevavault.com/ui/#object/email_activity__v/V8C000000041074", "EN-002099811")</f>
        <v>EN-002099811</v>
      </c>
    </row>
    <row r="12735" spans="1:15" ht="48" x14ac:dyDescent="0.2">
      <c r="A12735" s="7" t="str">
        <f>HYPERLINK("https://otsuka-europe-crm.veevavault.com/ui/#object/account__v/V4TZ06G6O71T9GJ", "SALUSTIANO CAMPOS VELAZQUEZ")</f>
        <v>SALUSTIANO CAMPOS VELAZQUEZ</v>
      </c>
      <c r="B12735" s="7" t="str">
        <f>HYPERLINK("https://otsuka-europe-crm.veevavault.com/ui/#object/vcountry__v/VENZ000004SONF5", "ES")</f>
        <v>ES</v>
      </c>
      <c r="C12735" s="8" t="s">
        <v>41</v>
      </c>
      <c r="D12735" s="9" t="str">
        <f>HYPERLINK("https://otsuka-europe-crm.veevavault.com/ui/#object/approved_document__v/V5O00000000R009", "AM2M - PSIQUIATRIA - Guía manejo práctico AM2M")</f>
        <v>AM2M - PSIQUIATRIA - Guía manejo práctico AM2M</v>
      </c>
      <c r="E12735" s="10" t="str">
        <f>HYPERLINK("https://otsuka-europe-crm.veevavault.com/ui/#object/sent_email__v/VBL00000002Z107", "SE-001438492")</f>
        <v>SE-001438492</v>
      </c>
      <c r="F12735" s="11"/>
      <c r="G12735" s="12">
        <v>0</v>
      </c>
      <c r="H12735" s="12">
        <v>0</v>
      </c>
      <c r="I12735" s="12">
        <v>0</v>
      </c>
      <c r="J12735" s="11"/>
      <c r="K12735" s="12">
        <v>0</v>
      </c>
      <c r="L12735" s="10" t="str">
        <f>HYPERLINK("https://otsuka-europe-crm.veevavault.com/ui/#object/approved_document__v/V5O00000000R009", "AM2M - PSIQUIATRIA - Guía manejo práctico AM2M")</f>
        <v>AM2M - PSIQUIATRIA - Guía manejo práctico AM2M</v>
      </c>
      <c r="M12735" s="10" t="str">
        <f>HYPERLINK("mailto:jcastro@crm.otsuka-europe.com", "jcastro@crm.otsuka-europe.com")</f>
        <v>jcastro@crm.otsuka-europe.com</v>
      </c>
      <c r="N12735" s="13">
        <v>46199.464560185188</v>
      </c>
      <c r="O12735" s="14" t="str">
        <f>HYPERLINK("https://otsuka-europe-crm.veevavault.com/ui/#object/email_activity__v/V8C000000042105", "EN-002099914")</f>
        <v>EN-002099914</v>
      </c>
    </row>
    <row r="12736" spans="1:15" ht="48" x14ac:dyDescent="0.2">
      <c r="A12736" s="7" t="str">
        <f>HYPERLINK("https://otsuka-europe-crm.veevavault.com/ui/#object/account__v/V4TZ06G6O71T8XY", "SILVIA ALCANTARA ESPADAFOR")</f>
        <v>SILVIA ALCANTARA ESPADAFOR</v>
      </c>
      <c r="B12736" s="7" t="str">
        <f>HYPERLINK("https://otsuka-europe-crm.veevavault.com/ui/#object/vcountry__v/VENZ000004SONF5", "ES")</f>
        <v>ES</v>
      </c>
      <c r="C12736" s="8" t="s">
        <v>41</v>
      </c>
      <c r="D12736" s="9" t="str">
        <f>HYPERLINK("https://otsuka-europe-crm.veevavault.com/ui/#object/approved_document__v/V5O00000000R009", "AM2M - PSIQUIATRIA - Guía manejo práctico AM2M")</f>
        <v>AM2M - PSIQUIATRIA - Guía manejo práctico AM2M</v>
      </c>
      <c r="E12736" s="10" t="str">
        <f>HYPERLINK("https://otsuka-europe-crm.veevavault.com/ui/#object/sent_email__v/VBL00000002Z108", "SE-001438493")</f>
        <v>SE-001438493</v>
      </c>
      <c r="F12736" s="11"/>
      <c r="G12736" s="12">
        <v>0</v>
      </c>
      <c r="H12736" s="12">
        <v>0</v>
      </c>
      <c r="I12736" s="12">
        <v>0</v>
      </c>
      <c r="J12736" s="11"/>
      <c r="K12736" s="12">
        <v>0</v>
      </c>
      <c r="L12736" s="10" t="str">
        <f>HYPERLINK("https://otsuka-europe-crm.veevavault.com/ui/#object/approved_document__v/V5O00000000R009", "AM2M - PSIQUIATRIA - Guía manejo práctico AM2M")</f>
        <v>AM2M - PSIQUIATRIA - Guía manejo práctico AM2M</v>
      </c>
      <c r="M12736" s="10" t="str">
        <f>HYPERLINK("mailto:jcastro@crm.otsuka-europe.com", "jcastro@crm.otsuka-europe.com")</f>
        <v>jcastro@crm.otsuka-europe.com</v>
      </c>
      <c r="N12736" s="13">
        <v>46199.464560185188</v>
      </c>
      <c r="O12736" s="14" t="str">
        <f>HYPERLINK("https://otsuka-europe-crm.veevavault.com/ui/#object/email_activity__v/V8C000000042073", "EN-002099845")</f>
        <v>EN-002099845</v>
      </c>
    </row>
    <row r="12737" spans="1:15" ht="48" x14ac:dyDescent="0.2">
      <c r="A12737" s="7" t="str">
        <f>HYPERLINK("https://otsuka-europe-crm.veevavault.com/ui/#object/account__v/V4TZ06G6O71TAIR", "JUAN JESUS HERRERO MARTIN")</f>
        <v>JUAN JESUS HERRERO MARTIN</v>
      </c>
      <c r="B12737" s="7" t="str">
        <f>HYPERLINK("https://otsuka-europe-crm.veevavault.com/ui/#object/vcountry__v/VENZ000004SONF5", "ES")</f>
        <v>ES</v>
      </c>
      <c r="C12737" s="8" t="s">
        <v>41</v>
      </c>
      <c r="D12737" s="9" t="str">
        <f>HYPERLINK("https://otsuka-europe-crm.veevavault.com/ui/#object/approved_document__v/V5O00000000R009", "AM2M - PSIQUIATRIA - Guía manejo práctico AM2M")</f>
        <v>AM2M - PSIQUIATRIA - Guía manejo práctico AM2M</v>
      </c>
      <c r="E12737" s="10" t="str">
        <f>HYPERLINK("https://otsuka-europe-crm.veevavault.com/ui/#object/sent_email__v/VBL00000002Z109", "SE-001438494")</f>
        <v>SE-001438494</v>
      </c>
      <c r="F12737" s="11"/>
      <c r="G12737" s="12">
        <v>0</v>
      </c>
      <c r="H12737" s="12">
        <v>0</v>
      </c>
      <c r="I12737" s="12">
        <v>0</v>
      </c>
      <c r="J12737" s="11"/>
      <c r="K12737" s="12">
        <v>0</v>
      </c>
      <c r="L12737" s="10" t="str">
        <f>HYPERLINK("https://otsuka-europe-crm.veevavault.com/ui/#object/approved_document__v/V5O00000000R009", "AM2M - PSIQUIATRIA - Guía manejo práctico AM2M")</f>
        <v>AM2M - PSIQUIATRIA - Guía manejo práctico AM2M</v>
      </c>
      <c r="M12737" s="10" t="str">
        <f>HYPERLINK("mailto:jcastro@crm.otsuka-europe.com", "jcastro@crm.otsuka-europe.com")</f>
        <v>jcastro@crm.otsuka-europe.com</v>
      </c>
      <c r="N12737" s="13">
        <v>46199.464560185188</v>
      </c>
      <c r="O12737" s="14" t="str">
        <f>HYPERLINK("https://otsuka-europe-crm.veevavault.com/ui/#object/email_activity__v/V8C000000042101", "EN-002099910")</f>
        <v>EN-002099910</v>
      </c>
    </row>
    <row r="12738" spans="1:15" ht="16" x14ac:dyDescent="0.2">
      <c r="A12738" s="17" t="str">
        <f>HYPERLINK("https://otsuka-europe-crm.veevavault.com/ui/#object/account__v/V4TZ06G6O71TABB", "ANTONIO MANUEL GONZALEZ MORENO")</f>
        <v>ANTONIO MANUEL GONZALEZ MORENO</v>
      </c>
      <c r="B12738" s="17" t="str">
        <f>HYPERLINK("https://otsuka-europe-crm.veevavault.com/ui/#object/vcountry__v/VENZ000004SONF5", "ES")</f>
        <v>ES</v>
      </c>
      <c r="C12738" s="20" t="s">
        <v>41</v>
      </c>
      <c r="D12738" s="21" t="str">
        <f>HYPERLINK("https://otsuka-europe-crm.veevavault.com/ui/#object/approved_document__v/V5O00000000R009", "AM2M - PSIQUIATRIA - Guía manejo práctico AM2M")</f>
        <v>AM2M - PSIQUIATRIA - Guía manejo práctico AM2M</v>
      </c>
      <c r="E12738" s="22" t="str">
        <f>HYPERLINK("https://otsuka-europe-crm.veevavault.com/ui/#object/sent_email__v/VBL00000002Z110", "SE-001438495")</f>
        <v>SE-001438495</v>
      </c>
      <c r="F12738" s="23">
        <v>46199.466215277775</v>
      </c>
      <c r="G12738" s="24">
        <v>1</v>
      </c>
      <c r="H12738" s="24">
        <v>1</v>
      </c>
      <c r="I12738" s="24">
        <v>0</v>
      </c>
      <c r="J12738" s="25"/>
      <c r="K12738" s="24">
        <v>0</v>
      </c>
      <c r="L12738" s="22" t="str">
        <f>HYPERLINK("https://otsuka-europe-crm.veevavault.com/ui/#object/approved_document__v/V5O00000000R009", "AM2M - PSIQUIATRIA - Guía manejo práctico AM2M")</f>
        <v>AM2M - PSIQUIATRIA - Guía manejo práctico AM2M</v>
      </c>
      <c r="M12738" s="22" t="str">
        <f>HYPERLINK("mailto:jcastro@crm.otsuka-europe.com", "jcastro@crm.otsuka-europe.com")</f>
        <v>jcastro@crm.otsuka-europe.com</v>
      </c>
      <c r="N12738" s="23">
        <v>46199.464560185188</v>
      </c>
      <c r="O12738" s="14" t="str">
        <f>HYPERLINK("https://otsuka-europe-crm.veevavault.com/ui/#object/email_activity__v/V8C000000042100", "EN-002099882")</f>
        <v>EN-002099882</v>
      </c>
    </row>
    <row r="12739" spans="1:15" ht="16" x14ac:dyDescent="0.2">
      <c r="A12739" s="19"/>
      <c r="B12739" s="19"/>
      <c r="C12739" s="19"/>
      <c r="D12739" s="19"/>
      <c r="E12739" s="19"/>
      <c r="F12739" s="19"/>
      <c r="G12739" s="19"/>
      <c r="H12739" s="19"/>
      <c r="I12739" s="19"/>
      <c r="J12739" s="19"/>
      <c r="K12739" s="19"/>
      <c r="L12739" s="19"/>
      <c r="M12739" s="19"/>
      <c r="N12739" s="19"/>
      <c r="O12739" s="14" t="str">
        <f>HYPERLINK("https://otsuka-europe-crm.veevavault.com/ui/#object/email_activity__v/V8C000000042114", "EN-002099972")</f>
        <v>EN-002099972</v>
      </c>
    </row>
    <row r="12740" spans="1:15" ht="16" x14ac:dyDescent="0.2">
      <c r="A12740" s="17" t="str">
        <f>HYPERLINK("https://otsuka-europe-crm.veevavault.com/ui/#object/account__v/V4TZ06G6O71UQRJ", "FRANCISCO PAULA GARZON NAVARRO-PELAYO")</f>
        <v>FRANCISCO PAULA GARZON NAVARRO-PELAYO</v>
      </c>
      <c r="B12740" s="17" t="str">
        <f>HYPERLINK("https://otsuka-europe-crm.veevavault.com/ui/#object/vcountry__v/VENZ000004SONF5", "ES")</f>
        <v>ES</v>
      </c>
      <c r="C12740" s="20" t="s">
        <v>41</v>
      </c>
      <c r="D12740" s="21" t="str">
        <f>HYPERLINK("https://otsuka-europe-crm.veevavault.com/ui/#object/approved_document__v/V5O00000000R009", "AM2M - PSIQUIATRIA - Guía manejo práctico AM2M")</f>
        <v>AM2M - PSIQUIATRIA - Guía manejo práctico AM2M</v>
      </c>
      <c r="E12740" s="22" t="str">
        <f>HYPERLINK("https://otsuka-europe-crm.veevavault.com/ui/#object/sent_email__v/VBL00000002Z111", "SE-001438496")</f>
        <v>SE-001438496</v>
      </c>
      <c r="F12740" s="23">
        <v>46199.716145833336</v>
      </c>
      <c r="G12740" s="24">
        <v>1</v>
      </c>
      <c r="H12740" s="24">
        <v>1</v>
      </c>
      <c r="I12740" s="24">
        <v>0</v>
      </c>
      <c r="J12740" s="25"/>
      <c r="K12740" s="24">
        <v>0</v>
      </c>
      <c r="L12740" s="22" t="str">
        <f>HYPERLINK("https://otsuka-europe-crm.veevavault.com/ui/#object/approved_document__v/V5O00000000R009", "AM2M - PSIQUIATRIA - Guía manejo práctico AM2M")</f>
        <v>AM2M - PSIQUIATRIA - Guía manejo práctico AM2M</v>
      </c>
      <c r="M12740" s="22" t="str">
        <f>HYPERLINK("mailto:jcastro@crm.otsuka-europe.com", "jcastro@crm.otsuka-europe.com")</f>
        <v>jcastro@crm.otsuka-europe.com</v>
      </c>
      <c r="N12740" s="23">
        <v>46199.464560185188</v>
      </c>
      <c r="O12740" s="14" t="str">
        <f>HYPERLINK("https://otsuka-europe-crm.veevavault.com/ui/#object/email_activity__v/V8C000000041230", "EN-002100125")</f>
        <v>EN-002100125</v>
      </c>
    </row>
    <row r="12741" spans="1:15" ht="16" x14ac:dyDescent="0.2">
      <c r="A12741" s="19"/>
      <c r="B12741" s="19"/>
      <c r="C12741" s="19"/>
      <c r="D12741" s="19"/>
      <c r="E12741" s="19"/>
      <c r="F12741" s="19"/>
      <c r="G12741" s="19"/>
      <c r="H12741" s="19"/>
      <c r="I12741" s="19"/>
      <c r="J12741" s="19"/>
      <c r="K12741" s="19"/>
      <c r="L12741" s="19"/>
      <c r="M12741" s="19"/>
      <c r="N12741" s="19"/>
      <c r="O12741" s="14" t="str">
        <f>HYPERLINK("https://otsuka-europe-crm.veevavault.com/ui/#object/email_activity__v/V8C000000042099", "EN-002099881")</f>
        <v>EN-002099881</v>
      </c>
    </row>
    <row r="12742" spans="1:15" ht="16" x14ac:dyDescent="0.2">
      <c r="A12742" s="17" t="str">
        <f>HYPERLINK("https://otsuka-europe-crm.veevavault.com/ui/#object/account__v/V4TZ06G6O71UQQX", "TERESA PERNI LASALA")</f>
        <v>TERESA PERNI LASALA</v>
      </c>
      <c r="B12742" s="17" t="str">
        <f>HYPERLINK("https://otsuka-europe-crm.veevavault.com/ui/#object/vcountry__v/VENZ000004SONF5", "ES")</f>
        <v>ES</v>
      </c>
      <c r="C12742" s="20" t="s">
        <v>41</v>
      </c>
      <c r="D12742" s="21" t="str">
        <f>HYPERLINK("https://otsuka-europe-crm.veevavault.com/ui/#object/approved_document__v/V5O00000000R009", "AM2M - PSIQUIATRIA - Guía manejo práctico AM2M")</f>
        <v>AM2M - PSIQUIATRIA - Guía manejo práctico AM2M</v>
      </c>
      <c r="E12742" s="22" t="str">
        <f>HYPERLINK("https://otsuka-europe-crm.veevavault.com/ui/#object/sent_email__v/VBL00000002Z112", "SE-001438497")</f>
        <v>SE-001438497</v>
      </c>
      <c r="F12742" s="23">
        <v>46199.520972222221</v>
      </c>
      <c r="G12742" s="24">
        <v>1</v>
      </c>
      <c r="H12742" s="24">
        <v>1</v>
      </c>
      <c r="I12742" s="24">
        <v>0</v>
      </c>
      <c r="J12742" s="25"/>
      <c r="K12742" s="24">
        <v>0</v>
      </c>
      <c r="L12742" s="22" t="str">
        <f>HYPERLINK("https://otsuka-europe-crm.veevavault.com/ui/#object/approved_document__v/V5O00000000R009", "AM2M - PSIQUIATRIA - Guía manejo práctico AM2M")</f>
        <v>AM2M - PSIQUIATRIA - Guía manejo práctico AM2M</v>
      </c>
      <c r="M12742" s="22" t="str">
        <f>HYPERLINK("mailto:jcastro@crm.otsuka-europe.com", "jcastro@crm.otsuka-europe.com")</f>
        <v>jcastro@crm.otsuka-europe.com</v>
      </c>
      <c r="N12742" s="23">
        <v>46199.464560185188</v>
      </c>
      <c r="O12742" s="14" t="str">
        <f>HYPERLINK("https://otsuka-europe-crm.veevavault.com/ui/#object/email_activity__v/V8C000000041091", "EN-002099862")</f>
        <v>EN-002099862</v>
      </c>
    </row>
    <row r="12743" spans="1:15" ht="16" x14ac:dyDescent="0.2">
      <c r="A12743" s="18"/>
      <c r="B12743" s="18"/>
      <c r="C12743" s="18"/>
      <c r="D12743" s="18"/>
      <c r="E12743" s="18"/>
      <c r="F12743" s="18"/>
      <c r="G12743" s="18"/>
      <c r="H12743" s="18"/>
      <c r="I12743" s="18"/>
      <c r="J12743" s="18"/>
      <c r="K12743" s="18"/>
      <c r="L12743" s="18"/>
      <c r="M12743" s="18"/>
      <c r="N12743" s="18"/>
      <c r="O12743" s="14" t="str">
        <f>HYPERLINK("https://otsuka-europe-crm.veevavault.com/ui/#object/email_activity__v/V8C000000041188", "EN-002100020")</f>
        <v>EN-002100020</v>
      </c>
    </row>
    <row r="12744" spans="1:15" ht="16" x14ac:dyDescent="0.2">
      <c r="A12744" s="18"/>
      <c r="B12744" s="18"/>
      <c r="C12744" s="18"/>
      <c r="D12744" s="18"/>
      <c r="E12744" s="18"/>
      <c r="F12744" s="18"/>
      <c r="G12744" s="18"/>
      <c r="H12744" s="18"/>
      <c r="I12744" s="18"/>
      <c r="J12744" s="18"/>
      <c r="K12744" s="18"/>
      <c r="L12744" s="18"/>
      <c r="M12744" s="18"/>
      <c r="N12744" s="18"/>
      <c r="O12744" s="14" t="str">
        <f>HYPERLINK("https://otsuka-europe-crm.veevavault.com/ui/#object/email_activity__v/V8C000000041497", "EN-002100653")</f>
        <v>EN-002100653</v>
      </c>
    </row>
    <row r="12745" spans="1:15" ht="16" x14ac:dyDescent="0.2">
      <c r="A12745" s="19"/>
      <c r="B12745" s="19"/>
      <c r="C12745" s="19"/>
      <c r="D12745" s="19"/>
      <c r="E12745" s="19"/>
      <c r="F12745" s="19"/>
      <c r="G12745" s="19"/>
      <c r="H12745" s="19"/>
      <c r="I12745" s="19"/>
      <c r="J12745" s="19"/>
      <c r="K12745" s="19"/>
      <c r="L12745" s="19"/>
      <c r="M12745" s="19"/>
      <c r="N12745" s="19"/>
      <c r="O12745" s="14" t="str">
        <f>HYPERLINK("https://otsuka-europe-crm.veevavault.com/ui/#object/email_activity__v/V8C000000042259", "EN-002100221")</f>
        <v>EN-002100221</v>
      </c>
    </row>
    <row r="12746" spans="1:15" ht="16" x14ac:dyDescent="0.2">
      <c r="A12746" s="17" t="str">
        <f>HYPERLINK("https://otsuka-europe-crm.veevavault.com/ui/#object/account__v/V4TZ06G6O71T7Z9", "BEATRIZ HERREJON TEODORO")</f>
        <v>BEATRIZ HERREJON TEODORO</v>
      </c>
      <c r="B12746" s="17" t="str">
        <f>HYPERLINK("https://otsuka-europe-crm.veevavault.com/ui/#object/vcountry__v/VENZ000004SONF5", "ES")</f>
        <v>ES</v>
      </c>
      <c r="C12746" s="20" t="s">
        <v>41</v>
      </c>
      <c r="D12746" s="21" t="str">
        <f>HYPERLINK("https://otsuka-europe-crm.veevavault.com/ui/#object/approved_document__v/V5O00000000R009", "AM2M - PSIQUIATRIA - Guía manejo práctico AM2M")</f>
        <v>AM2M - PSIQUIATRIA - Guía manejo práctico AM2M</v>
      </c>
      <c r="E12746" s="22" t="str">
        <f>HYPERLINK("https://otsuka-europe-crm.veevavault.com/ui/#object/sent_email__v/VBL00000002Z113", "SE-001438498")</f>
        <v>SE-001438498</v>
      </c>
      <c r="F12746" s="23">
        <v>46203.840648148151</v>
      </c>
      <c r="G12746" s="24">
        <v>1</v>
      </c>
      <c r="H12746" s="24">
        <v>2</v>
      </c>
      <c r="I12746" s="24">
        <v>1</v>
      </c>
      <c r="J12746" s="23">
        <v>46203.840763888889</v>
      </c>
      <c r="K12746" s="24">
        <v>2</v>
      </c>
      <c r="L12746" s="22" t="str">
        <f>HYPERLINK("https://otsuka-europe-crm.veevavault.com/ui/#object/approved_document__v/V5O00000000R009", "AM2M - PSIQUIATRIA - Guía manejo práctico AM2M")</f>
        <v>AM2M - PSIQUIATRIA - Guía manejo práctico AM2M</v>
      </c>
      <c r="M12746" s="22" t="str">
        <f>HYPERLINK("mailto:jcastro@crm.otsuka-europe.com", "jcastro@crm.otsuka-europe.com")</f>
        <v>jcastro@crm.otsuka-europe.com</v>
      </c>
      <c r="N12746" s="23">
        <v>46199.464560185188</v>
      </c>
      <c r="O12746" s="14" t="str">
        <f>HYPERLINK("https://otsuka-europe-crm.veevavault.com/ui/#object/email_activity__v/V8C000000041089", "EN-002099860")</f>
        <v>EN-002099860</v>
      </c>
    </row>
    <row r="12747" spans="1:15" ht="16" x14ac:dyDescent="0.2">
      <c r="A12747" s="18"/>
      <c r="B12747" s="18"/>
      <c r="C12747" s="18"/>
      <c r="D12747" s="18"/>
      <c r="E12747" s="18"/>
      <c r="F12747" s="18"/>
      <c r="G12747" s="18"/>
      <c r="H12747" s="18"/>
      <c r="I12747" s="18"/>
      <c r="J12747" s="18"/>
      <c r="K12747" s="18"/>
      <c r="L12747" s="18"/>
      <c r="M12747" s="18"/>
      <c r="N12747" s="18"/>
      <c r="O12747" s="14" t="str">
        <f>HYPERLINK("https://otsuka-europe-crm.veevavault.com/ui/#object/email_activity__v/V8C000000042726", "EN-002101114")</f>
        <v>EN-002101114</v>
      </c>
    </row>
    <row r="12748" spans="1:15" ht="16" x14ac:dyDescent="0.2">
      <c r="A12748" s="18"/>
      <c r="B12748" s="18"/>
      <c r="C12748" s="18"/>
      <c r="D12748" s="18"/>
      <c r="E12748" s="18"/>
      <c r="F12748" s="18"/>
      <c r="G12748" s="18"/>
      <c r="H12748" s="18"/>
      <c r="I12748" s="18"/>
      <c r="J12748" s="18"/>
      <c r="K12748" s="18"/>
      <c r="L12748" s="18"/>
      <c r="M12748" s="18"/>
      <c r="N12748" s="18"/>
      <c r="O12748" s="14" t="str">
        <f>HYPERLINK("https://otsuka-europe-crm.veevavault.com/ui/#object/email_activity__v/V8C000000042727", "EN-002101112")</f>
        <v>EN-002101112</v>
      </c>
    </row>
    <row r="12749" spans="1:15" ht="16" x14ac:dyDescent="0.2">
      <c r="A12749" s="18"/>
      <c r="B12749" s="18"/>
      <c r="C12749" s="18"/>
      <c r="D12749" s="18"/>
      <c r="E12749" s="18"/>
      <c r="F12749" s="18"/>
      <c r="G12749" s="18"/>
      <c r="H12749" s="18"/>
      <c r="I12749" s="18"/>
      <c r="J12749" s="18"/>
      <c r="K12749" s="18"/>
      <c r="L12749" s="18"/>
      <c r="M12749" s="18"/>
      <c r="N12749" s="18"/>
      <c r="O12749" s="14" t="str">
        <f>HYPERLINK("https://otsuka-europe-crm.veevavault.com/ui/#object/email_activity__v/V8C000000042728", "EN-002101113")</f>
        <v>EN-002101113</v>
      </c>
    </row>
    <row r="12750" spans="1:15" ht="16" x14ac:dyDescent="0.2">
      <c r="A12750" s="18"/>
      <c r="B12750" s="18"/>
      <c r="C12750" s="18"/>
      <c r="D12750" s="18"/>
      <c r="E12750" s="18"/>
      <c r="F12750" s="18"/>
      <c r="G12750" s="18"/>
      <c r="H12750" s="18"/>
      <c r="I12750" s="18"/>
      <c r="J12750" s="18"/>
      <c r="K12750" s="18"/>
      <c r="L12750" s="18"/>
      <c r="M12750" s="18"/>
      <c r="N12750" s="18"/>
      <c r="O12750" s="14" t="str">
        <f>HYPERLINK("https://otsuka-europe-crm.veevavault.com/ui/#object/email_activity__v/V8C000000042729", "EN-002101115")</f>
        <v>EN-002101115</v>
      </c>
    </row>
    <row r="12751" spans="1:15" ht="16" x14ac:dyDescent="0.2">
      <c r="A12751" s="18"/>
      <c r="B12751" s="18"/>
      <c r="C12751" s="18"/>
      <c r="D12751" s="18"/>
      <c r="E12751" s="18"/>
      <c r="F12751" s="18"/>
      <c r="G12751" s="18"/>
      <c r="H12751" s="18"/>
      <c r="I12751" s="18"/>
      <c r="J12751" s="18"/>
      <c r="K12751" s="18"/>
      <c r="L12751" s="18"/>
      <c r="M12751" s="18"/>
      <c r="N12751" s="18"/>
      <c r="O12751" s="14" t="str">
        <f>HYPERLINK("https://otsuka-europe-crm.veevavault.com/ui/#object/email_activity__v/V8C000000042737", "EN-002101126")</f>
        <v>EN-002101126</v>
      </c>
    </row>
    <row r="12752" spans="1:15" ht="16" x14ac:dyDescent="0.2">
      <c r="A12752" s="18"/>
      <c r="B12752" s="18"/>
      <c r="C12752" s="18"/>
      <c r="D12752" s="18"/>
      <c r="E12752" s="18"/>
      <c r="F12752" s="18"/>
      <c r="G12752" s="18"/>
      <c r="H12752" s="18"/>
      <c r="I12752" s="18"/>
      <c r="J12752" s="18"/>
      <c r="K12752" s="18"/>
      <c r="L12752" s="18"/>
      <c r="M12752" s="18"/>
      <c r="N12752" s="18"/>
      <c r="O12752" s="14" t="str">
        <f>HYPERLINK("https://otsuka-europe-crm.veevavault.com/ui/#object/email_activity__v/V8C000000042738", "EN-002101127")</f>
        <v>EN-002101127</v>
      </c>
    </row>
    <row r="12753" spans="1:15" ht="16" x14ac:dyDescent="0.2">
      <c r="A12753" s="18"/>
      <c r="B12753" s="18"/>
      <c r="C12753" s="18"/>
      <c r="D12753" s="18"/>
      <c r="E12753" s="18"/>
      <c r="F12753" s="18"/>
      <c r="G12753" s="18"/>
      <c r="H12753" s="18"/>
      <c r="I12753" s="18"/>
      <c r="J12753" s="18"/>
      <c r="K12753" s="18"/>
      <c r="L12753" s="18"/>
      <c r="M12753" s="18"/>
      <c r="N12753" s="18"/>
      <c r="O12753" s="14" t="str">
        <f>HYPERLINK("https://otsuka-europe-crm.veevavault.com/ui/#object/email_activity__v/V8C000000042739", "EN-002101128")</f>
        <v>EN-002101128</v>
      </c>
    </row>
    <row r="12754" spans="1:15" ht="16" x14ac:dyDescent="0.2">
      <c r="A12754" s="18"/>
      <c r="B12754" s="18"/>
      <c r="C12754" s="18"/>
      <c r="D12754" s="18"/>
      <c r="E12754" s="18"/>
      <c r="F12754" s="18"/>
      <c r="G12754" s="18"/>
      <c r="H12754" s="18"/>
      <c r="I12754" s="18"/>
      <c r="J12754" s="18"/>
      <c r="K12754" s="18"/>
      <c r="L12754" s="18"/>
      <c r="M12754" s="18"/>
      <c r="N12754" s="18"/>
      <c r="O12754" s="14" t="str">
        <f>HYPERLINK("https://otsuka-europe-crm.veevavault.com/ui/#object/email_activity__v/V8C000000042740", "EN-002101129")</f>
        <v>EN-002101129</v>
      </c>
    </row>
    <row r="12755" spans="1:15" ht="16" x14ac:dyDescent="0.2">
      <c r="A12755" s="19"/>
      <c r="B12755" s="19"/>
      <c r="C12755" s="19"/>
      <c r="D12755" s="19"/>
      <c r="E12755" s="19"/>
      <c r="F12755" s="19"/>
      <c r="G12755" s="19"/>
      <c r="H12755" s="19"/>
      <c r="I12755" s="19"/>
      <c r="J12755" s="19"/>
      <c r="K12755" s="19"/>
      <c r="L12755" s="19"/>
      <c r="M12755" s="19"/>
      <c r="N12755" s="19"/>
      <c r="O12755" s="14" t="str">
        <f>HYPERLINK("https://otsuka-europe-crm.veevavault.com/ui/#object/email_activity__v/V8C000000042741", "EN-002101130")</f>
        <v>EN-002101130</v>
      </c>
    </row>
    <row r="12756" spans="1:15" ht="16" x14ac:dyDescent="0.2">
      <c r="A12756" s="17" t="str">
        <f>HYPERLINK("https://otsuka-europe-crm.veevavault.com/ui/#object/account__v/V4TZ06G6O71TBQB", "MARIA ANGUSTIAS RAMOS RAMOS")</f>
        <v>MARIA ANGUSTIAS RAMOS RAMOS</v>
      </c>
      <c r="B12756" s="17" t="str">
        <f>HYPERLINK("https://otsuka-europe-crm.veevavault.com/ui/#object/vcountry__v/VENZ000004SONF5", "ES")</f>
        <v>ES</v>
      </c>
      <c r="C12756" s="20" t="s">
        <v>41</v>
      </c>
      <c r="D12756" s="21" t="str">
        <f>HYPERLINK("https://otsuka-europe-crm.veevavault.com/ui/#object/approved_document__v/V5O00000000R009", "AM2M - PSIQUIATRIA - Guía manejo práctico AM2M")</f>
        <v>AM2M - PSIQUIATRIA - Guía manejo práctico AM2M</v>
      </c>
      <c r="E12756" s="22" t="str">
        <f>HYPERLINK("https://otsuka-europe-crm.veevavault.com/ui/#object/sent_email__v/VBL00000002Z114", "SE-001438499")</f>
        <v>SE-001438499</v>
      </c>
      <c r="F12756" s="25"/>
      <c r="G12756" s="24">
        <v>0</v>
      </c>
      <c r="H12756" s="24">
        <v>0</v>
      </c>
      <c r="I12756" s="24">
        <v>0</v>
      </c>
      <c r="J12756" s="25"/>
      <c r="K12756" s="24">
        <v>0</v>
      </c>
      <c r="L12756" s="22" t="str">
        <f>HYPERLINK("https://otsuka-europe-crm.veevavault.com/ui/#object/approved_document__v/V5O00000000R009", "AM2M - PSIQUIATRIA - Guía manejo práctico AM2M")</f>
        <v>AM2M - PSIQUIATRIA - Guía manejo práctico AM2M</v>
      </c>
      <c r="M12756" s="22" t="str">
        <f>HYPERLINK("mailto:jcastro@crm.otsuka-europe.com", "jcastro@crm.otsuka-europe.com")</f>
        <v>jcastro@crm.otsuka-europe.com</v>
      </c>
      <c r="N12756" s="23">
        <v>46199.464560185188</v>
      </c>
      <c r="O12756" s="14" t="str">
        <f>HYPERLINK("https://otsuka-europe-crm.veevavault.com/ui/#object/email_activity__v/V8C000000041073", "EN-002099810")</f>
        <v>EN-002099810</v>
      </c>
    </row>
    <row r="12757" spans="1:15" ht="16" x14ac:dyDescent="0.2">
      <c r="A12757" s="19"/>
      <c r="B12757" s="19"/>
      <c r="C12757" s="19"/>
      <c r="D12757" s="19"/>
      <c r="E12757" s="19"/>
      <c r="F12757" s="19"/>
      <c r="G12757" s="19"/>
      <c r="H12757" s="19"/>
      <c r="I12757" s="19"/>
      <c r="J12757" s="19"/>
      <c r="K12757" s="19"/>
      <c r="L12757" s="19"/>
      <c r="M12757" s="19"/>
      <c r="N12757" s="19"/>
      <c r="O12757" s="14" t="str">
        <f>HYPERLINK("https://otsuka-europe-crm.veevavault.com/ui/#object/email_activity__v/V8C000000042222", "EN-002100157")</f>
        <v>EN-002100157</v>
      </c>
    </row>
    <row r="12758" spans="1:15" ht="16" x14ac:dyDescent="0.2">
      <c r="A12758" s="17" t="str">
        <f>HYPERLINK("https://otsuka-europe-crm.veevavault.com/ui/#object/account__v/V4TZ06G6O9VKJS4", "ADOLFO MUÑOZ JIMENEZ")</f>
        <v>ADOLFO MUÑOZ JIMENEZ</v>
      </c>
      <c r="B12758" s="17" t="str">
        <f>HYPERLINK("https://otsuka-europe-crm.veevavault.com/ui/#object/vcountry__v/VENZ000004SONF5", "ES")</f>
        <v>ES</v>
      </c>
      <c r="C12758" s="20" t="s">
        <v>41</v>
      </c>
      <c r="D12758" s="21" t="str">
        <f>HYPERLINK("https://otsuka-europe-crm.veevavault.com/ui/#object/approved_document__v/V5O00000000R009", "AM2M - PSIQUIATRIA - Guía manejo práctico AM2M")</f>
        <v>AM2M - PSIQUIATRIA - Guía manejo práctico AM2M</v>
      </c>
      <c r="E12758" s="22" t="str">
        <f>HYPERLINK("https://otsuka-europe-crm.veevavault.com/ui/#object/sent_email__v/VBL00000002Z115", "SE-001438500")</f>
        <v>SE-001438500</v>
      </c>
      <c r="F12758" s="23">
        <v>46199.693912037037</v>
      </c>
      <c r="G12758" s="24">
        <v>1</v>
      </c>
      <c r="H12758" s="24">
        <v>1</v>
      </c>
      <c r="I12758" s="24">
        <v>0</v>
      </c>
      <c r="J12758" s="25"/>
      <c r="K12758" s="24">
        <v>0</v>
      </c>
      <c r="L12758" s="22" t="str">
        <f>HYPERLINK("https://otsuka-europe-crm.veevavault.com/ui/#object/approved_document__v/V5O00000000R009", "AM2M - PSIQUIATRIA - Guía manejo práctico AM2M")</f>
        <v>AM2M - PSIQUIATRIA - Guía manejo práctico AM2M</v>
      </c>
      <c r="M12758" s="22" t="str">
        <f>HYPERLINK("mailto:jcastro@crm.otsuka-europe.com", "jcastro@crm.otsuka-europe.com")</f>
        <v>jcastro@crm.otsuka-europe.com</v>
      </c>
      <c r="N12758" s="23">
        <v>46199.464560185188</v>
      </c>
      <c r="O12758" s="14" t="str">
        <f>HYPERLINK("https://otsuka-europe-crm.veevavault.com/ui/#object/email_activity__v/V8C000000041225", "EN-002100114")</f>
        <v>EN-002100114</v>
      </c>
    </row>
    <row r="12759" spans="1:15" ht="16" x14ac:dyDescent="0.2">
      <c r="A12759" s="19"/>
      <c r="B12759" s="19"/>
      <c r="C12759" s="19"/>
      <c r="D12759" s="19"/>
      <c r="E12759" s="19"/>
      <c r="F12759" s="19"/>
      <c r="G12759" s="19"/>
      <c r="H12759" s="19"/>
      <c r="I12759" s="19"/>
      <c r="J12759" s="19"/>
      <c r="K12759" s="19"/>
      <c r="L12759" s="19"/>
      <c r="M12759" s="19"/>
      <c r="N12759" s="19"/>
      <c r="O12759" s="14" t="str">
        <f>HYPERLINK("https://otsuka-europe-crm.veevavault.com/ui/#object/email_activity__v/V8C000000042049", "EN-002099821")</f>
        <v>EN-002099821</v>
      </c>
    </row>
    <row r="12760" spans="1:15" ht="16" x14ac:dyDescent="0.2">
      <c r="A12760" s="17" t="str">
        <f>HYPERLINK("https://otsuka-europe-crm.veevavault.com/ui/#object/account__v/V4TZ025E87BCMIF", "MARIA SANCHEZ MUROS")</f>
        <v>MARIA SANCHEZ MUROS</v>
      </c>
      <c r="B12760" s="17" t="str">
        <f>HYPERLINK("https://otsuka-europe-crm.veevavault.com/ui/#object/vcountry__v/VENZ000004SONF5", "ES")</f>
        <v>ES</v>
      </c>
      <c r="C12760" s="20" t="s">
        <v>41</v>
      </c>
      <c r="D12760" s="21" t="str">
        <f>HYPERLINK("https://otsuka-europe-crm.veevavault.com/ui/#object/approved_document__v/V5O00000000R009", "AM2M - PSIQUIATRIA - Guía manejo práctico AM2M")</f>
        <v>AM2M - PSIQUIATRIA - Guía manejo práctico AM2M</v>
      </c>
      <c r="E12760" s="22" t="str">
        <f>HYPERLINK("https://otsuka-europe-crm.veevavault.com/ui/#object/sent_email__v/VBL00000002Z116", "SE-001438501")</f>
        <v>SE-001438501</v>
      </c>
      <c r="F12760" s="25"/>
      <c r="G12760" s="24">
        <v>0</v>
      </c>
      <c r="H12760" s="24">
        <v>0</v>
      </c>
      <c r="I12760" s="24">
        <v>1</v>
      </c>
      <c r="J12760" s="23">
        <v>46201.689583333333</v>
      </c>
      <c r="K12760" s="24">
        <v>1</v>
      </c>
      <c r="L12760" s="22" t="str">
        <f>HYPERLINK("https://otsuka-europe-crm.veevavault.com/ui/#object/approved_document__v/V5O00000000R009", "AM2M - PSIQUIATRIA - Guía manejo práctico AM2M")</f>
        <v>AM2M - PSIQUIATRIA - Guía manejo práctico AM2M</v>
      </c>
      <c r="M12760" s="22" t="str">
        <f>HYPERLINK("mailto:jcastro@crm.otsuka-europe.com", "jcastro@crm.otsuka-europe.com")</f>
        <v>jcastro@crm.otsuka-europe.com</v>
      </c>
      <c r="N12760" s="23">
        <v>46199.464560185188</v>
      </c>
      <c r="O12760" s="14" t="str">
        <f>HYPERLINK("https://otsuka-europe-crm.veevavault.com/ui/#object/email_activity__v/V8C000000041628", "EN-002100907")</f>
        <v>EN-002100907</v>
      </c>
    </row>
    <row r="12761" spans="1:15" ht="16" x14ac:dyDescent="0.2">
      <c r="A12761" s="18"/>
      <c r="B12761" s="18"/>
      <c r="C12761" s="18"/>
      <c r="D12761" s="18"/>
      <c r="E12761" s="18"/>
      <c r="F12761" s="18"/>
      <c r="G12761" s="18"/>
      <c r="H12761" s="18"/>
      <c r="I12761" s="18"/>
      <c r="J12761" s="18"/>
      <c r="K12761" s="18"/>
      <c r="L12761" s="18"/>
      <c r="M12761" s="18"/>
      <c r="N12761" s="18"/>
      <c r="O12761" s="14" t="str">
        <f>HYPERLINK("https://otsuka-europe-crm.veevavault.com/ui/#object/email_activity__v/V8C000000042094", "EN-002099876")</f>
        <v>EN-002099876</v>
      </c>
    </row>
    <row r="12762" spans="1:15" ht="16" x14ac:dyDescent="0.2">
      <c r="A12762" s="18"/>
      <c r="B12762" s="18"/>
      <c r="C12762" s="18"/>
      <c r="D12762" s="18"/>
      <c r="E12762" s="18"/>
      <c r="F12762" s="18"/>
      <c r="G12762" s="18"/>
      <c r="H12762" s="18"/>
      <c r="I12762" s="18"/>
      <c r="J12762" s="18"/>
      <c r="K12762" s="18"/>
      <c r="L12762" s="18"/>
      <c r="M12762" s="18"/>
      <c r="N12762" s="18"/>
      <c r="O12762" s="14" t="str">
        <f>HYPERLINK("https://otsuka-europe-crm.veevavault.com/ui/#object/email_activity__v/V8C000000042221", "EN-002100156")</f>
        <v>EN-002100156</v>
      </c>
    </row>
    <row r="12763" spans="1:15" ht="16" x14ac:dyDescent="0.2">
      <c r="A12763" s="19"/>
      <c r="B12763" s="19"/>
      <c r="C12763" s="19"/>
      <c r="D12763" s="19"/>
      <c r="E12763" s="19"/>
      <c r="F12763" s="19"/>
      <c r="G12763" s="19"/>
      <c r="H12763" s="19"/>
      <c r="I12763" s="19"/>
      <c r="J12763" s="19"/>
      <c r="K12763" s="19"/>
      <c r="L12763" s="19"/>
      <c r="M12763" s="19"/>
      <c r="N12763" s="19"/>
      <c r="O12763" s="14" t="str">
        <f>HYPERLINK("https://otsuka-europe-crm.veevavault.com/ui/#object/email_activity__v/V8C000000042277", "EN-002100264")</f>
        <v>EN-002100264</v>
      </c>
    </row>
    <row r="12764" spans="1:15" ht="16" x14ac:dyDescent="0.2">
      <c r="A12764" s="17" t="str">
        <f>HYPERLINK("https://otsuka-europe-crm.veevavault.com/ui/#object/account__v/V4TZ06G6O9C2YAJ", "CRISTOBAL RODRIGUEZ MOYANO")</f>
        <v>CRISTOBAL RODRIGUEZ MOYANO</v>
      </c>
      <c r="B12764" s="17" t="str">
        <f>HYPERLINK("https://otsuka-europe-crm.veevavault.com/ui/#object/vcountry__v/VENZ000004SONF5", "ES")</f>
        <v>ES</v>
      </c>
      <c r="C12764" s="20" t="s">
        <v>41</v>
      </c>
      <c r="D12764" s="21" t="str">
        <f>HYPERLINK("https://otsuka-europe-crm.veevavault.com/ui/#object/approved_document__v/V5O00000000R009", "AM2M - PSIQUIATRIA - Guía manejo práctico AM2M")</f>
        <v>AM2M - PSIQUIATRIA - Guía manejo práctico AM2M</v>
      </c>
      <c r="E12764" s="22" t="str">
        <f>HYPERLINK("https://otsuka-europe-crm.veevavault.com/ui/#object/sent_email__v/VBL00000002Z117", "SE-001438502")</f>
        <v>SE-001438502</v>
      </c>
      <c r="F12764" s="23">
        <v>46199.866875</v>
      </c>
      <c r="G12764" s="24">
        <v>1</v>
      </c>
      <c r="H12764" s="24">
        <v>1</v>
      </c>
      <c r="I12764" s="24">
        <v>0</v>
      </c>
      <c r="J12764" s="25"/>
      <c r="K12764" s="24">
        <v>0</v>
      </c>
      <c r="L12764" s="22" t="str">
        <f>HYPERLINK("https://otsuka-europe-crm.veevavault.com/ui/#object/approved_document__v/V5O00000000R009", "AM2M - PSIQUIATRIA - Guía manejo práctico AM2M")</f>
        <v>AM2M - PSIQUIATRIA - Guía manejo práctico AM2M</v>
      </c>
      <c r="M12764" s="22" t="str">
        <f>HYPERLINK("mailto:jcastro@crm.otsuka-europe.com", "jcastro@crm.otsuka-europe.com")</f>
        <v>jcastro@crm.otsuka-europe.com</v>
      </c>
      <c r="N12764" s="23">
        <v>46199.464560185188</v>
      </c>
      <c r="O12764" s="14" t="str">
        <f>HYPERLINK("https://otsuka-europe-crm.veevavault.com/ui/#object/email_activity__v/V8C000000042098", "EN-002099880")</f>
        <v>EN-002099880</v>
      </c>
    </row>
    <row r="12765" spans="1:15" ht="16" x14ac:dyDescent="0.2">
      <c r="A12765" s="18"/>
      <c r="B12765" s="18"/>
      <c r="C12765" s="18"/>
      <c r="D12765" s="18"/>
      <c r="E12765" s="18"/>
      <c r="F12765" s="18"/>
      <c r="G12765" s="18"/>
      <c r="H12765" s="18"/>
      <c r="I12765" s="18"/>
      <c r="J12765" s="18"/>
      <c r="K12765" s="18"/>
      <c r="L12765" s="18"/>
      <c r="M12765" s="18"/>
      <c r="N12765" s="18"/>
      <c r="O12765" s="14" t="str">
        <f>HYPERLINK("https://otsuka-europe-crm.veevavault.com/ui/#object/email_activity__v/V8C000000042217", "EN-002100150")</f>
        <v>EN-002100150</v>
      </c>
    </row>
    <row r="12766" spans="1:15" ht="16" x14ac:dyDescent="0.2">
      <c r="A12766" s="19"/>
      <c r="B12766" s="19"/>
      <c r="C12766" s="19"/>
      <c r="D12766" s="19"/>
      <c r="E12766" s="19"/>
      <c r="F12766" s="19"/>
      <c r="G12766" s="19"/>
      <c r="H12766" s="19"/>
      <c r="I12766" s="19"/>
      <c r="J12766" s="19"/>
      <c r="K12766" s="19"/>
      <c r="L12766" s="19"/>
      <c r="M12766" s="19"/>
      <c r="N12766" s="19"/>
      <c r="O12766" s="14" t="str">
        <f>HYPERLINK("https://otsuka-europe-crm.veevavault.com/ui/#object/email_activity__v/V8C000000042229", "EN-002100168")</f>
        <v>EN-002100168</v>
      </c>
    </row>
    <row r="12767" spans="1:15" ht="16" x14ac:dyDescent="0.2">
      <c r="A12767" s="17" t="str">
        <f>HYPERLINK("https://otsuka-europe-crm.veevavault.com/ui/#object/account__v/V4TZ06G6O71TC5P", "JORGE CERVILLA BALLESTEROS")</f>
        <v>JORGE CERVILLA BALLESTEROS</v>
      </c>
      <c r="B12767" s="17" t="str">
        <f>HYPERLINK("https://otsuka-europe-crm.veevavault.com/ui/#object/vcountry__v/VENZ000004SONF5", "ES")</f>
        <v>ES</v>
      </c>
      <c r="C12767" s="20" t="s">
        <v>41</v>
      </c>
      <c r="D12767" s="21" t="str">
        <f>HYPERLINK("https://otsuka-europe-crm.veevavault.com/ui/#object/approved_document__v/V5O00000000R009", "AM2M - PSIQUIATRIA - Guía manejo práctico AM2M")</f>
        <v>AM2M - PSIQUIATRIA - Guía manejo práctico AM2M</v>
      </c>
      <c r="E12767" s="22" t="str">
        <f>HYPERLINK("https://otsuka-europe-crm.veevavault.com/ui/#object/sent_email__v/VBL00000002Z118", "SE-001438503")</f>
        <v>SE-001438503</v>
      </c>
      <c r="F12767" s="25"/>
      <c r="G12767" s="24">
        <v>0</v>
      </c>
      <c r="H12767" s="24">
        <v>0</v>
      </c>
      <c r="I12767" s="24">
        <v>0</v>
      </c>
      <c r="J12767" s="25"/>
      <c r="K12767" s="24">
        <v>0</v>
      </c>
      <c r="L12767" s="22" t="str">
        <f>HYPERLINK("https://otsuka-europe-crm.veevavault.com/ui/#object/approved_document__v/V5O00000000R009", "AM2M - PSIQUIATRIA - Guía manejo práctico AM2M")</f>
        <v>AM2M - PSIQUIATRIA - Guía manejo práctico AM2M</v>
      </c>
      <c r="M12767" s="22" t="str">
        <f>HYPERLINK("mailto:jcastro@crm.otsuka-europe.com", "jcastro@crm.otsuka-europe.com")</f>
        <v>jcastro@crm.otsuka-europe.com</v>
      </c>
      <c r="N12767" s="23">
        <v>46199.464560185188</v>
      </c>
      <c r="O12767" s="14" t="str">
        <f>HYPERLINK("https://otsuka-europe-crm.veevavault.com/ui/#object/email_activity__v/V8C000000041519", "EN-002100686")</f>
        <v>EN-002100686</v>
      </c>
    </row>
    <row r="12768" spans="1:15" ht="16" x14ac:dyDescent="0.2">
      <c r="A12768" s="18"/>
      <c r="B12768" s="18"/>
      <c r="C12768" s="18"/>
      <c r="D12768" s="18"/>
      <c r="E12768" s="18"/>
      <c r="F12768" s="18"/>
      <c r="G12768" s="18"/>
      <c r="H12768" s="18"/>
      <c r="I12768" s="18"/>
      <c r="J12768" s="18"/>
      <c r="K12768" s="18"/>
      <c r="L12768" s="18"/>
      <c r="M12768" s="18"/>
      <c r="N12768" s="18"/>
      <c r="O12768" s="14" t="str">
        <f>HYPERLINK("https://otsuka-europe-crm.veevavault.com/ui/#object/email_activity__v/V8C000000042089", "EN-002099871")</f>
        <v>EN-002099871</v>
      </c>
    </row>
    <row r="12769" spans="1:15" ht="16" x14ac:dyDescent="0.2">
      <c r="A12769" s="19"/>
      <c r="B12769" s="19"/>
      <c r="C12769" s="19"/>
      <c r="D12769" s="19"/>
      <c r="E12769" s="19"/>
      <c r="F12769" s="19"/>
      <c r="G12769" s="19"/>
      <c r="H12769" s="19"/>
      <c r="I12769" s="19"/>
      <c r="J12769" s="19"/>
      <c r="K12769" s="19"/>
      <c r="L12769" s="19"/>
      <c r="M12769" s="19"/>
      <c r="N12769" s="19"/>
      <c r="O12769" s="14" t="str">
        <f>HYPERLINK("https://otsuka-europe-crm.veevavault.com/ui/#object/email_activity__v/V8C000000042216", "EN-002100145")</f>
        <v>EN-002100145</v>
      </c>
    </row>
    <row r="12770" spans="1:15" ht="48" x14ac:dyDescent="0.2">
      <c r="A12770" s="7" t="str">
        <f>HYPERLINK("https://otsuka-europe-crm.veevavault.com/ui/#object/account__v/V4TZ06G6O71T74B", "ELENA MERIDA CASADO")</f>
        <v>ELENA MERIDA CASADO</v>
      </c>
      <c r="B12770" s="7" t="str">
        <f>HYPERLINK("https://otsuka-europe-crm.veevavault.com/ui/#object/vcountry__v/VENZ000004SONF5", "ES")</f>
        <v>ES</v>
      </c>
      <c r="C12770" s="8" t="s">
        <v>41</v>
      </c>
      <c r="D12770" s="9" t="str">
        <f>HYPERLINK("https://otsuka-europe-crm.veevavault.com/ui/#object/approved_document__v/V5O00000000R009", "AM2M - PSIQUIATRIA - Guía manejo práctico AM2M")</f>
        <v>AM2M - PSIQUIATRIA - Guía manejo práctico AM2M</v>
      </c>
      <c r="E12770" s="10" t="str">
        <f>HYPERLINK("https://otsuka-europe-crm.veevavault.com/ui/#object/sent_email__v/VBL00000002Z119", "SE-001438504")</f>
        <v>SE-001438504</v>
      </c>
      <c r="F12770" s="11"/>
      <c r="G12770" s="12">
        <v>0</v>
      </c>
      <c r="H12770" s="12">
        <v>0</v>
      </c>
      <c r="I12770" s="12">
        <v>0</v>
      </c>
      <c r="J12770" s="11"/>
      <c r="K12770" s="12">
        <v>0</v>
      </c>
      <c r="L12770" s="10" t="str">
        <f>HYPERLINK("https://otsuka-europe-crm.veevavault.com/ui/#object/approved_document__v/V5O00000000R009", "AM2M - PSIQUIATRIA - Guía manejo práctico AM2M")</f>
        <v>AM2M - PSIQUIATRIA - Guía manejo práctico AM2M</v>
      </c>
      <c r="M12770" s="10" t="str">
        <f>HYPERLINK("mailto:jcastro@crm.otsuka-europe.com", "jcastro@crm.otsuka-europe.com")</f>
        <v>jcastro@crm.otsuka-europe.com</v>
      </c>
      <c r="N12770" s="13">
        <v>46199.464560185188</v>
      </c>
      <c r="O12770" s="14" t="str">
        <f>HYPERLINK("https://otsuka-europe-crm.veevavault.com/ui/#object/email_activity__v/V8C000000042053", "EN-002099825")</f>
        <v>EN-002099825</v>
      </c>
    </row>
    <row r="12771" spans="1:15" ht="48" x14ac:dyDescent="0.2">
      <c r="A12771" s="7" t="str">
        <f>HYPERLINK("https://otsuka-europe-crm.veevavault.com/ui/#object/account__v/V4TZ06G6O71TA5I", "SUSANA GUTIERREZ MORENO")</f>
        <v>SUSANA GUTIERREZ MORENO</v>
      </c>
      <c r="B12771" s="7" t="str">
        <f>HYPERLINK("https://otsuka-europe-crm.veevavault.com/ui/#object/vcountry__v/VENZ000004SONF5", "ES")</f>
        <v>ES</v>
      </c>
      <c r="C12771" s="8" t="s">
        <v>41</v>
      </c>
      <c r="D12771" s="9" t="str">
        <f>HYPERLINK("https://otsuka-europe-crm.veevavault.com/ui/#object/approved_document__v/V5O00000000R009", "AM2M - PSIQUIATRIA - Guía manejo práctico AM2M")</f>
        <v>AM2M - PSIQUIATRIA - Guía manejo práctico AM2M</v>
      </c>
      <c r="E12771" s="10" t="str">
        <f>HYPERLINK("https://otsuka-europe-crm.veevavault.com/ui/#object/sent_email__v/VBL00000002Z120", "SE-001438505")</f>
        <v>SE-001438505</v>
      </c>
      <c r="F12771" s="11"/>
      <c r="G12771" s="12">
        <v>0</v>
      </c>
      <c r="H12771" s="12">
        <v>0</v>
      </c>
      <c r="I12771" s="12">
        <v>0</v>
      </c>
      <c r="J12771" s="11"/>
      <c r="K12771" s="12">
        <v>0</v>
      </c>
      <c r="L12771" s="10" t="str">
        <f>HYPERLINK("https://otsuka-europe-crm.veevavault.com/ui/#object/approved_document__v/V5O00000000R009", "AM2M - PSIQUIATRIA - Guía manejo práctico AM2M")</f>
        <v>AM2M - PSIQUIATRIA - Guía manejo práctico AM2M</v>
      </c>
      <c r="M12771" s="10" t="str">
        <f>HYPERLINK("mailto:jcastro@crm.otsuka-europe.com", "jcastro@crm.otsuka-europe.com")</f>
        <v>jcastro@crm.otsuka-europe.com</v>
      </c>
      <c r="N12771" s="13">
        <v>46199.464594907404</v>
      </c>
      <c r="O12771" s="14" t="str">
        <f>HYPERLINK("https://otsuka-europe-crm.veevavault.com/ui/#object/email_activity__v/V8C000000041113", "EN-002099904")</f>
        <v>EN-002099904</v>
      </c>
    </row>
    <row r="12772" spans="1:15" ht="16" x14ac:dyDescent="0.2">
      <c r="A12772" s="17" t="str">
        <f>HYPERLINK("https://otsuka-europe-crm.veevavault.com/ui/#object/account__v/V4TZ06G6O71TK3A", "ELIANA RAQUEL GOMEZ PADRON")</f>
        <v>ELIANA RAQUEL GOMEZ PADRON</v>
      </c>
      <c r="B12772" s="17" t="str">
        <f>HYPERLINK("https://otsuka-europe-crm.veevavault.com/ui/#object/vcountry__v/VENZ000004SONF5", "ES")</f>
        <v>ES</v>
      </c>
      <c r="C12772" s="20" t="s">
        <v>41</v>
      </c>
      <c r="D12772" s="21" t="str">
        <f>HYPERLINK("https://otsuka-europe-crm.veevavault.com/ui/#object/approved_document__v/V5O00000000R009", "AM2M - PSIQUIATRIA - Guía manejo práctico AM2M")</f>
        <v>AM2M - PSIQUIATRIA - Guía manejo práctico AM2M</v>
      </c>
      <c r="E12772" s="22" t="str">
        <f>HYPERLINK("https://otsuka-europe-crm.veevavault.com/ui/#object/sent_email__v/VBL00000002Z121", "SE-001438506")</f>
        <v>SE-001438506</v>
      </c>
      <c r="F12772" s="25"/>
      <c r="G12772" s="24">
        <v>0</v>
      </c>
      <c r="H12772" s="24">
        <v>0</v>
      </c>
      <c r="I12772" s="24">
        <v>0</v>
      </c>
      <c r="J12772" s="25"/>
      <c r="K12772" s="24">
        <v>0</v>
      </c>
      <c r="L12772" s="22" t="str">
        <f>HYPERLINK("https://otsuka-europe-crm.veevavault.com/ui/#object/approved_document__v/V5O00000000R009", "AM2M - PSIQUIATRIA - Guía manejo práctico AM2M")</f>
        <v>AM2M - PSIQUIATRIA - Guía manejo práctico AM2M</v>
      </c>
      <c r="M12772" s="22" t="str">
        <f>HYPERLINK("mailto:jcastro@crm.otsuka-europe.com", "jcastro@crm.otsuka-europe.com")</f>
        <v>jcastro@crm.otsuka-europe.com</v>
      </c>
      <c r="N12772" s="23">
        <v>46199.464560185188</v>
      </c>
      <c r="O12772" s="14" t="str">
        <f>HYPERLINK("https://otsuka-europe-crm.veevavault.com/ui/#object/email_activity__v/V8C000000042074", "EN-002099846")</f>
        <v>EN-002099846</v>
      </c>
    </row>
    <row r="12773" spans="1:15" ht="16" x14ac:dyDescent="0.2">
      <c r="A12773" s="19"/>
      <c r="B12773" s="19"/>
      <c r="C12773" s="19"/>
      <c r="D12773" s="19"/>
      <c r="E12773" s="19"/>
      <c r="F12773" s="19"/>
      <c r="G12773" s="19"/>
      <c r="H12773" s="19"/>
      <c r="I12773" s="19"/>
      <c r="J12773" s="19"/>
      <c r="K12773" s="19"/>
      <c r="L12773" s="19"/>
      <c r="M12773" s="19"/>
      <c r="N12773" s="19"/>
      <c r="O12773" s="14" t="str">
        <f>HYPERLINK("https://otsuka-europe-crm.veevavault.com/ui/#object/email_activity__v/V8C000000042178", "EN-002100081")</f>
        <v>EN-002100081</v>
      </c>
    </row>
    <row r="12774" spans="1:15" ht="48" x14ac:dyDescent="0.2">
      <c r="A12774" s="7" t="str">
        <f>HYPERLINK("https://otsuka-europe-crm.veevavault.com/ui/#object/account__v/V4TZ06G6O71T8OM", "CRISTINA GARCIA CAÑADAS")</f>
        <v>CRISTINA GARCIA CAÑADAS</v>
      </c>
      <c r="B12774" s="7" t="str">
        <f>HYPERLINK("https://otsuka-europe-crm.veevavault.com/ui/#object/vcountry__v/VENZ000004SONF5", "ES")</f>
        <v>ES</v>
      </c>
      <c r="C12774" s="8" t="s">
        <v>41</v>
      </c>
      <c r="D12774" s="9" t="str">
        <f>HYPERLINK("https://otsuka-europe-crm.veevavault.com/ui/#object/approved_document__v/V5O00000000R009", "AM2M - PSIQUIATRIA - Guía manejo práctico AM2M")</f>
        <v>AM2M - PSIQUIATRIA - Guía manejo práctico AM2M</v>
      </c>
      <c r="E12774" s="10" t="str">
        <f>HYPERLINK("https://otsuka-europe-crm.veevavault.com/ui/#object/sent_email__v/VBL00000002Z122", "SE-001438507")</f>
        <v>SE-001438507</v>
      </c>
      <c r="F12774" s="11"/>
      <c r="G12774" s="12">
        <v>0</v>
      </c>
      <c r="H12774" s="12">
        <v>0</v>
      </c>
      <c r="I12774" s="12">
        <v>0</v>
      </c>
      <c r="J12774" s="11"/>
      <c r="K12774" s="12">
        <v>0</v>
      </c>
      <c r="L12774" s="10" t="str">
        <f>HYPERLINK("https://otsuka-europe-crm.veevavault.com/ui/#object/approved_document__v/V5O00000000R009", "AM2M - PSIQUIATRIA - Guía manejo práctico AM2M")</f>
        <v>AM2M - PSIQUIATRIA - Guía manejo práctico AM2M</v>
      </c>
      <c r="M12774" s="10" t="str">
        <f>HYPERLINK("mailto:jcastro@crm.otsuka-europe.com", "jcastro@crm.otsuka-europe.com")</f>
        <v>jcastro@crm.otsuka-europe.com</v>
      </c>
      <c r="N12774" s="13">
        <v>46199.464560185188</v>
      </c>
      <c r="O12774" s="14" t="str">
        <f>HYPERLINK("https://otsuka-europe-crm.veevavault.com/ui/#object/email_activity__v/V8C000000041061", "EN-002099798")</f>
        <v>EN-002099798</v>
      </c>
    </row>
    <row r="12775" spans="1:15" ht="16" x14ac:dyDescent="0.2">
      <c r="A12775" s="17" t="str">
        <f>HYPERLINK("https://otsuka-europe-crm.veevavault.com/ui/#object/account__v/V4TZ025E82IJ9GE", "RAQUEL FERNANDEZ VILLALOBOS")</f>
        <v>RAQUEL FERNANDEZ VILLALOBOS</v>
      </c>
      <c r="B12775" s="17" t="str">
        <f>HYPERLINK("https://otsuka-europe-crm.veevavault.com/ui/#object/vcountry__v/VENZ000004SONF5", "ES")</f>
        <v>ES</v>
      </c>
      <c r="C12775" s="20" t="s">
        <v>41</v>
      </c>
      <c r="D12775" s="21" t="str">
        <f>HYPERLINK("https://otsuka-europe-crm.veevavault.com/ui/#object/approved_document__v/V5O00000000R009", "AM2M - PSIQUIATRIA - Guía manejo práctico AM2M")</f>
        <v>AM2M - PSIQUIATRIA - Guía manejo práctico AM2M</v>
      </c>
      <c r="E12775" s="22" t="str">
        <f>HYPERLINK("https://otsuka-europe-crm.veevavault.com/ui/#object/sent_email__v/VBL00000002Z123", "SE-001438508")</f>
        <v>SE-001438508</v>
      </c>
      <c r="F12775" s="23">
        <v>46202.534988425927</v>
      </c>
      <c r="G12775" s="24">
        <v>1</v>
      </c>
      <c r="H12775" s="24">
        <v>2</v>
      </c>
      <c r="I12775" s="24">
        <v>0</v>
      </c>
      <c r="J12775" s="25"/>
      <c r="K12775" s="24">
        <v>0</v>
      </c>
      <c r="L12775" s="22" t="str">
        <f>HYPERLINK("https://otsuka-europe-crm.veevavault.com/ui/#object/approved_document__v/V5O00000000R009", "AM2M - PSIQUIATRIA - Guía manejo práctico AM2M")</f>
        <v>AM2M - PSIQUIATRIA - Guía manejo práctico AM2M</v>
      </c>
      <c r="M12775" s="22" t="str">
        <f>HYPERLINK("mailto:jcastro@crm.otsuka-europe.com", "jcastro@crm.otsuka-europe.com")</f>
        <v>jcastro@crm.otsuka-europe.com</v>
      </c>
      <c r="N12775" s="23">
        <v>46199.464560185188</v>
      </c>
      <c r="O12775" s="14" t="str">
        <f>HYPERLINK("https://otsuka-europe-crm.veevavault.com/ui/#object/email_activity__v/V8C000000041121", "EN-002099918")</f>
        <v>EN-002099918</v>
      </c>
    </row>
    <row r="12776" spans="1:15" ht="16" x14ac:dyDescent="0.2">
      <c r="A12776" s="18"/>
      <c r="B12776" s="18"/>
      <c r="C12776" s="18"/>
      <c r="D12776" s="18"/>
      <c r="E12776" s="18"/>
      <c r="F12776" s="18"/>
      <c r="G12776" s="18"/>
      <c r="H12776" s="18"/>
      <c r="I12776" s="18"/>
      <c r="J12776" s="18"/>
      <c r="K12776" s="18"/>
      <c r="L12776" s="18"/>
      <c r="M12776" s="18"/>
      <c r="N12776" s="18"/>
      <c r="O12776" s="14" t="str">
        <f>HYPERLINK("https://otsuka-europe-crm.veevavault.com/ui/#object/email_activity__v/V8C000000041339", "EN-002100349")</f>
        <v>EN-002100349</v>
      </c>
    </row>
    <row r="12777" spans="1:15" ht="16" x14ac:dyDescent="0.2">
      <c r="A12777" s="19"/>
      <c r="B12777" s="19"/>
      <c r="C12777" s="19"/>
      <c r="D12777" s="19"/>
      <c r="E12777" s="19"/>
      <c r="F12777" s="19"/>
      <c r="G12777" s="19"/>
      <c r="H12777" s="19"/>
      <c r="I12777" s="19"/>
      <c r="J12777" s="19"/>
      <c r="K12777" s="19"/>
      <c r="L12777" s="19"/>
      <c r="M12777" s="19"/>
      <c r="N12777" s="19"/>
      <c r="O12777" s="14" t="str">
        <f>HYPERLINK("https://otsuka-europe-crm.veevavault.com/ui/#object/email_activity__v/V8C000000042052", "EN-002099824")</f>
        <v>EN-002099824</v>
      </c>
    </row>
    <row r="12778" spans="1:15" ht="48" x14ac:dyDescent="0.2">
      <c r="A12778" s="7" t="str">
        <f>HYPERLINK("https://otsuka-europe-crm.veevavault.com/ui/#object/account__v/V4TZ06G6O71T8Z2", "INMACULADA ESTEBAN PINOS")</f>
        <v>INMACULADA ESTEBAN PINOS</v>
      </c>
      <c r="B12778" s="7" t="str">
        <f>HYPERLINK("https://otsuka-europe-crm.veevavault.com/ui/#object/vcountry__v/VENZ000004SONF5", "ES")</f>
        <v>ES</v>
      </c>
      <c r="C12778" s="8" t="s">
        <v>41</v>
      </c>
      <c r="D12778" s="9" t="str">
        <f>HYPERLINK("https://otsuka-europe-crm.veevavault.com/ui/#object/approved_document__v/V5O00000000R009", "AM2M - PSIQUIATRIA - Guía manejo práctico AM2M")</f>
        <v>AM2M - PSIQUIATRIA - Guía manejo práctico AM2M</v>
      </c>
      <c r="E12778" s="10" t="str">
        <f>HYPERLINK("https://otsuka-europe-crm.veevavault.com/ui/#object/sent_email__v/VBL00000002Z124", "SE-001438509")</f>
        <v>SE-001438509</v>
      </c>
      <c r="F12778" s="11"/>
      <c r="G12778" s="12">
        <v>0</v>
      </c>
      <c r="H12778" s="12">
        <v>0</v>
      </c>
      <c r="I12778" s="12">
        <v>0</v>
      </c>
      <c r="J12778" s="11"/>
      <c r="K12778" s="12">
        <v>0</v>
      </c>
      <c r="L12778" s="10" t="str">
        <f>HYPERLINK("https://otsuka-europe-crm.veevavault.com/ui/#object/approved_document__v/V5O00000000R009", "AM2M - PSIQUIATRIA - Guía manejo práctico AM2M")</f>
        <v>AM2M - PSIQUIATRIA - Guía manejo práctico AM2M</v>
      </c>
      <c r="M12778" s="10" t="str">
        <f>HYPERLINK("mailto:jcastro@crm.otsuka-europe.com", "jcastro@crm.otsuka-europe.com")</f>
        <v>jcastro@crm.otsuka-europe.com</v>
      </c>
      <c r="N12778" s="13">
        <v>46199.464560185188</v>
      </c>
      <c r="O12778" s="14" t="str">
        <f>HYPERLINK("https://otsuka-europe-crm.veevavault.com/ui/#object/email_activity__v/V8C000000042106", "EN-002099915")</f>
        <v>EN-002099915</v>
      </c>
    </row>
    <row r="12779" spans="1:15" ht="48" x14ac:dyDescent="0.2">
      <c r="A12779" s="7" t="str">
        <f>HYPERLINK("https://otsuka-europe-crm.veevavault.com/ui/#object/account__v/V4TZ06G6O71T9DH", "PEDRO FRANCISCO BUSTOS DE ABAJO")</f>
        <v>PEDRO FRANCISCO BUSTOS DE ABAJO</v>
      </c>
      <c r="B12779" s="7" t="str">
        <f>HYPERLINK("https://otsuka-europe-crm.veevavault.com/ui/#object/vcountry__v/VENZ000004SONF5", "ES")</f>
        <v>ES</v>
      </c>
      <c r="C12779" s="8" t="s">
        <v>41</v>
      </c>
      <c r="D12779" s="9" t="str">
        <f>HYPERLINK("https://otsuka-europe-crm.veevavault.com/ui/#object/approved_document__v/V5O00000000R009", "AM2M - PSIQUIATRIA - Guía manejo práctico AM2M")</f>
        <v>AM2M - PSIQUIATRIA - Guía manejo práctico AM2M</v>
      </c>
      <c r="E12779" s="10" t="str">
        <f>HYPERLINK("https://otsuka-europe-crm.veevavault.com/ui/#object/sent_email__v/VBL00000002Z125", "SE-001438510")</f>
        <v>SE-001438510</v>
      </c>
      <c r="F12779" s="11"/>
      <c r="G12779" s="12">
        <v>0</v>
      </c>
      <c r="H12779" s="12">
        <v>0</v>
      </c>
      <c r="I12779" s="12">
        <v>0</v>
      </c>
      <c r="J12779" s="11"/>
      <c r="K12779" s="12">
        <v>0</v>
      </c>
      <c r="L12779" s="10" t="str">
        <f>HYPERLINK("https://otsuka-europe-crm.veevavault.com/ui/#object/approved_document__v/V5O00000000R009", "AM2M - PSIQUIATRIA - Guía manejo práctico AM2M")</f>
        <v>AM2M - PSIQUIATRIA - Guía manejo práctico AM2M</v>
      </c>
      <c r="M12779" s="10" t="str">
        <f>HYPERLINK("mailto:jcastro@crm.otsuka-europe.com", "jcastro@crm.otsuka-europe.com")</f>
        <v>jcastro@crm.otsuka-europe.com</v>
      </c>
      <c r="N12779" s="13">
        <v>46199.464583333334</v>
      </c>
      <c r="O12779" s="14" t="str">
        <f>HYPERLINK("https://otsuka-europe-crm.veevavault.com/ui/#object/email_activity__v/V8C000000041110", "EN-002099901")</f>
        <v>EN-002099901</v>
      </c>
    </row>
    <row r="12780" spans="1:15" ht="16" x14ac:dyDescent="0.2">
      <c r="A12780" s="17" t="str">
        <f>HYPERLINK("https://otsuka-europe-crm.veevavault.com/ui/#object/account__v/V4TZ06G6O71T8Y3", "JOSE ENRIQUE ESCUDERO RUIZ DE LACANAL")</f>
        <v>JOSE ENRIQUE ESCUDERO RUIZ DE LACANAL</v>
      </c>
      <c r="B12780" s="17" t="str">
        <f>HYPERLINK("https://otsuka-europe-crm.veevavault.com/ui/#object/vcountry__v/VENZ000004SONF5", "ES")</f>
        <v>ES</v>
      </c>
      <c r="C12780" s="20" t="s">
        <v>41</v>
      </c>
      <c r="D12780" s="21" t="str">
        <f>HYPERLINK("https://otsuka-europe-crm.veevavault.com/ui/#object/approved_document__v/V5O00000000R009", "AM2M - PSIQUIATRIA - Guía manejo práctico AM2M")</f>
        <v>AM2M - PSIQUIATRIA - Guía manejo práctico AM2M</v>
      </c>
      <c r="E12780" s="22" t="str">
        <f>HYPERLINK("https://otsuka-europe-crm.veevavault.com/ui/#object/sent_email__v/VBL00000002Z126", "SE-001438511")</f>
        <v>SE-001438511</v>
      </c>
      <c r="F12780" s="23">
        <v>46203.397731481484</v>
      </c>
      <c r="G12780" s="24">
        <v>1</v>
      </c>
      <c r="H12780" s="24">
        <v>6</v>
      </c>
      <c r="I12780" s="24">
        <v>0</v>
      </c>
      <c r="J12780" s="25"/>
      <c r="K12780" s="24">
        <v>0</v>
      </c>
      <c r="L12780" s="22" t="str">
        <f>HYPERLINK("https://otsuka-europe-crm.veevavault.com/ui/#object/approved_document__v/V5O00000000R009", "AM2M - PSIQUIATRIA - Guía manejo práctico AM2M")</f>
        <v>AM2M - PSIQUIATRIA - Guía manejo práctico AM2M</v>
      </c>
      <c r="M12780" s="22" t="str">
        <f>HYPERLINK("mailto:jcastro@crm.otsuka-europe.com", "jcastro@crm.otsuka-europe.com")</f>
        <v>jcastro@crm.otsuka-europe.com</v>
      </c>
      <c r="N12780" s="23">
        <v>46199.464560185188</v>
      </c>
      <c r="O12780" s="14" t="str">
        <f>HYPERLINK("https://otsuka-europe-crm.veevavault.com/ui/#object/email_activity__v/V8C000000042051", "EN-002099823")</f>
        <v>EN-002099823</v>
      </c>
    </row>
    <row r="12781" spans="1:15" ht="16" x14ac:dyDescent="0.2">
      <c r="A12781" s="18"/>
      <c r="B12781" s="18"/>
      <c r="C12781" s="18"/>
      <c r="D12781" s="18"/>
      <c r="E12781" s="18"/>
      <c r="F12781" s="18"/>
      <c r="G12781" s="18"/>
      <c r="H12781" s="18"/>
      <c r="I12781" s="18"/>
      <c r="J12781" s="18"/>
      <c r="K12781" s="18"/>
      <c r="L12781" s="18"/>
      <c r="M12781" s="18"/>
      <c r="N12781" s="18"/>
      <c r="O12781" s="14" t="str">
        <f>HYPERLINK("https://otsuka-europe-crm.veevavault.com/ui/#object/email_activity__v/V8C000000042144", "EN-002100023")</f>
        <v>EN-002100023</v>
      </c>
    </row>
    <row r="12782" spans="1:15" ht="16" x14ac:dyDescent="0.2">
      <c r="A12782" s="18"/>
      <c r="B12782" s="18"/>
      <c r="C12782" s="18"/>
      <c r="D12782" s="18"/>
      <c r="E12782" s="18"/>
      <c r="F12782" s="18"/>
      <c r="G12782" s="18"/>
      <c r="H12782" s="18"/>
      <c r="I12782" s="18"/>
      <c r="J12782" s="18"/>
      <c r="K12782" s="18"/>
      <c r="L12782" s="18"/>
      <c r="M12782" s="18"/>
      <c r="N12782" s="18"/>
      <c r="O12782" s="14" t="str">
        <f>HYPERLINK("https://otsuka-europe-crm.veevavault.com/ui/#object/email_activity__v/V8C000000042145", "EN-002100024")</f>
        <v>EN-002100024</v>
      </c>
    </row>
    <row r="12783" spans="1:15" ht="16" x14ac:dyDescent="0.2">
      <c r="A12783" s="18"/>
      <c r="B12783" s="18"/>
      <c r="C12783" s="18"/>
      <c r="D12783" s="18"/>
      <c r="E12783" s="18"/>
      <c r="F12783" s="18"/>
      <c r="G12783" s="18"/>
      <c r="H12783" s="18"/>
      <c r="I12783" s="18"/>
      <c r="J12783" s="18"/>
      <c r="K12783" s="18"/>
      <c r="L12783" s="18"/>
      <c r="M12783" s="18"/>
      <c r="N12783" s="18"/>
      <c r="O12783" s="14" t="str">
        <f>HYPERLINK("https://otsuka-europe-crm.veevavault.com/ui/#object/email_activity__v/V8C000000042146", "EN-002100025")</f>
        <v>EN-002100025</v>
      </c>
    </row>
    <row r="12784" spans="1:15" ht="16" x14ac:dyDescent="0.2">
      <c r="A12784" s="18"/>
      <c r="B12784" s="18"/>
      <c r="C12784" s="18"/>
      <c r="D12784" s="18"/>
      <c r="E12784" s="18"/>
      <c r="F12784" s="18"/>
      <c r="G12784" s="18"/>
      <c r="H12784" s="18"/>
      <c r="I12784" s="18"/>
      <c r="J12784" s="18"/>
      <c r="K12784" s="18"/>
      <c r="L12784" s="18"/>
      <c r="M12784" s="18"/>
      <c r="N12784" s="18"/>
      <c r="O12784" s="14" t="str">
        <f>HYPERLINK("https://otsuka-europe-crm.veevavault.com/ui/#object/email_activity__v/V8C000000042147", "EN-002100026")</f>
        <v>EN-002100026</v>
      </c>
    </row>
    <row r="12785" spans="1:15" ht="16" x14ac:dyDescent="0.2">
      <c r="A12785" s="18"/>
      <c r="B12785" s="18"/>
      <c r="C12785" s="18"/>
      <c r="D12785" s="18"/>
      <c r="E12785" s="18"/>
      <c r="F12785" s="18"/>
      <c r="G12785" s="18"/>
      <c r="H12785" s="18"/>
      <c r="I12785" s="18"/>
      <c r="J12785" s="18"/>
      <c r="K12785" s="18"/>
      <c r="L12785" s="18"/>
      <c r="M12785" s="18"/>
      <c r="N12785" s="18"/>
      <c r="O12785" s="14" t="str">
        <f>HYPERLINK("https://otsuka-europe-crm.veevavault.com/ui/#object/email_activity__v/V8C000000042148", "EN-002100027")</f>
        <v>EN-002100027</v>
      </c>
    </row>
    <row r="12786" spans="1:15" ht="16" x14ac:dyDescent="0.2">
      <c r="A12786" s="19"/>
      <c r="B12786" s="19"/>
      <c r="C12786" s="19"/>
      <c r="D12786" s="19"/>
      <c r="E12786" s="19"/>
      <c r="F12786" s="19"/>
      <c r="G12786" s="19"/>
      <c r="H12786" s="19"/>
      <c r="I12786" s="19"/>
      <c r="J12786" s="19"/>
      <c r="K12786" s="19"/>
      <c r="L12786" s="19"/>
      <c r="M12786" s="19"/>
      <c r="N12786" s="19"/>
      <c r="O12786" s="14" t="str">
        <f>HYPERLINK("https://otsuka-europe-crm.veevavault.com/ui/#object/email_activity__v/V8C000000042521", "EN-002100770")</f>
        <v>EN-002100770</v>
      </c>
    </row>
    <row r="12787" spans="1:15" ht="48" x14ac:dyDescent="0.2">
      <c r="A12787" s="7" t="str">
        <f>HYPERLINK("https://otsuka-europe-crm.veevavault.com/ui/#object/account__v/V4TZ06G6O71TAC6", "JOSE MANUEL GIMENEZ GARCIA")</f>
        <v>JOSE MANUEL GIMENEZ GARCIA</v>
      </c>
      <c r="B12787" s="7" t="str">
        <f>HYPERLINK("https://otsuka-europe-crm.veevavault.com/ui/#object/vcountry__v/VENZ000004SONF5", "ES")</f>
        <v>ES</v>
      </c>
      <c r="C12787" s="8" t="s">
        <v>41</v>
      </c>
      <c r="D12787" s="9" t="str">
        <f>HYPERLINK("https://otsuka-europe-crm.veevavault.com/ui/#object/approved_document__v/V5O00000000R009", "AM2M - PSIQUIATRIA - Guía manejo práctico AM2M")</f>
        <v>AM2M - PSIQUIATRIA - Guía manejo práctico AM2M</v>
      </c>
      <c r="E12787" s="10" t="str">
        <f>HYPERLINK("https://otsuka-europe-crm.veevavault.com/ui/#object/sent_email__v/VBL00000002Z127", "SE-001438512")</f>
        <v>SE-001438512</v>
      </c>
      <c r="F12787" s="11"/>
      <c r="G12787" s="12">
        <v>0</v>
      </c>
      <c r="H12787" s="12">
        <v>0</v>
      </c>
      <c r="I12787" s="12">
        <v>0</v>
      </c>
      <c r="J12787" s="11"/>
      <c r="K12787" s="12">
        <v>0</v>
      </c>
      <c r="L12787" s="10" t="str">
        <f>HYPERLINK("https://otsuka-europe-crm.veevavault.com/ui/#object/approved_document__v/V5O00000000R009", "AM2M - PSIQUIATRIA - Guía manejo práctico AM2M")</f>
        <v>AM2M - PSIQUIATRIA - Guía manejo práctico AM2M</v>
      </c>
      <c r="M12787" s="10" t="str">
        <f>HYPERLINK("mailto:jcastro@crm.otsuka-europe.com", "jcastro@crm.otsuka-europe.com")</f>
        <v>jcastro@crm.otsuka-europe.com</v>
      </c>
      <c r="N12787" s="13">
        <v>46199.464606481481</v>
      </c>
      <c r="O12787" s="14" t="str">
        <f>HYPERLINK("https://otsuka-europe-crm.veevavault.com/ui/#object/email_activity__v/V8C000000041116", "EN-002099907")</f>
        <v>EN-002099907</v>
      </c>
    </row>
    <row r="12788" spans="1:15" ht="48" x14ac:dyDescent="0.2">
      <c r="A12788" s="7" t="str">
        <f>HYPERLINK("https://otsuka-europe-crm.veevavault.com/ui/#object/account__v/V4TZ06G6O71T97S", "MARIA SOLEDAD BASSO ABAD")</f>
        <v>MARIA SOLEDAD BASSO ABAD</v>
      </c>
      <c r="B12788" s="7" t="str">
        <f>HYPERLINK("https://otsuka-europe-crm.veevavault.com/ui/#object/vcountry__v/VENZ000004SONF5", "ES")</f>
        <v>ES</v>
      </c>
      <c r="C12788" s="8" t="s">
        <v>41</v>
      </c>
      <c r="D12788" s="9" t="str">
        <f>HYPERLINK("https://otsuka-europe-crm.veevavault.com/ui/#object/approved_document__v/V5O00000000R009", "AM2M - PSIQUIATRIA - Guía manejo práctico AM2M")</f>
        <v>AM2M - PSIQUIATRIA - Guía manejo práctico AM2M</v>
      </c>
      <c r="E12788" s="10" t="str">
        <f>HYPERLINK("https://otsuka-europe-crm.veevavault.com/ui/#object/sent_email__v/VBL00000002Z128", "SE-001438513")</f>
        <v>SE-001438513</v>
      </c>
      <c r="F12788" s="11"/>
      <c r="G12788" s="12">
        <v>0</v>
      </c>
      <c r="H12788" s="12">
        <v>0</v>
      </c>
      <c r="I12788" s="12">
        <v>0</v>
      </c>
      <c r="J12788" s="11"/>
      <c r="K12788" s="12">
        <v>0</v>
      </c>
      <c r="L12788" s="10" t="str">
        <f>HYPERLINK("https://otsuka-europe-crm.veevavault.com/ui/#object/approved_document__v/V5O00000000R009", "AM2M - PSIQUIATRIA - Guía manejo práctico AM2M")</f>
        <v>AM2M - PSIQUIATRIA - Guía manejo práctico AM2M</v>
      </c>
      <c r="M12788" s="10" t="str">
        <f>HYPERLINK("mailto:jcastro@crm.otsuka-europe.com", "jcastro@crm.otsuka-europe.com")</f>
        <v>jcastro@crm.otsuka-europe.com</v>
      </c>
      <c r="N12788" s="13">
        <v>46199.464594907404</v>
      </c>
      <c r="O12788" s="14" t="str">
        <f>HYPERLINK("https://otsuka-europe-crm.veevavault.com/ui/#object/email_activity__v/V8C000000041106", "EN-002099897")</f>
        <v>EN-002099897</v>
      </c>
    </row>
    <row r="12789" spans="1:15" ht="48" x14ac:dyDescent="0.2">
      <c r="A12789" s="7" t="str">
        <f>HYPERLINK("https://otsuka-europe-crm.veevavault.com/ui/#object/account__v/V4TZ06G6O8AGNLQ", "SUSANA MIRAS TRIPIANA")</f>
        <v>SUSANA MIRAS TRIPIANA</v>
      </c>
      <c r="B12789" s="7" t="str">
        <f>HYPERLINK("https://otsuka-europe-crm.veevavault.com/ui/#object/vcountry__v/VENZ000004SONF5", "ES")</f>
        <v>ES</v>
      </c>
      <c r="C12789" s="8" t="s">
        <v>41</v>
      </c>
      <c r="D12789" s="9" t="str">
        <f>HYPERLINK("https://otsuka-europe-crm.veevavault.com/ui/#object/approved_document__v/V5O00000000R009", "AM2M - PSIQUIATRIA - Guía manejo práctico AM2M")</f>
        <v>AM2M - PSIQUIATRIA - Guía manejo práctico AM2M</v>
      </c>
      <c r="E12789" s="10" t="str">
        <f>HYPERLINK("https://otsuka-europe-crm.veevavault.com/ui/#object/sent_email__v/VBL00000002Z129", "SE-001438514")</f>
        <v>SE-001438514</v>
      </c>
      <c r="F12789" s="11"/>
      <c r="G12789" s="12">
        <v>0</v>
      </c>
      <c r="H12789" s="12">
        <v>0</v>
      </c>
      <c r="I12789" s="12">
        <v>0</v>
      </c>
      <c r="J12789" s="11"/>
      <c r="K12789" s="12">
        <v>0</v>
      </c>
      <c r="L12789" s="10" t="str">
        <f>HYPERLINK("https://otsuka-europe-crm.veevavault.com/ui/#object/approved_document__v/V5O00000000R009", "AM2M - PSIQUIATRIA - Guía manejo práctico AM2M")</f>
        <v>AM2M - PSIQUIATRIA - Guía manejo práctico AM2M</v>
      </c>
      <c r="M12789" s="10" t="str">
        <f>HYPERLINK("mailto:jcastro@crm.otsuka-europe.com", "jcastro@crm.otsuka-europe.com")</f>
        <v>jcastro@crm.otsuka-europe.com</v>
      </c>
      <c r="N12789" s="13">
        <v>46199.464502314811</v>
      </c>
      <c r="O12789" s="14" t="str">
        <f>HYPERLINK("https://otsuka-europe-crm.veevavault.com/ui/#object/email_activity__v/V8C000000042077", "EN-002099849")</f>
        <v>EN-002099849</v>
      </c>
    </row>
    <row r="12790" spans="1:15" ht="48" x14ac:dyDescent="0.2">
      <c r="A12790" s="7" t="str">
        <f>HYPERLINK("https://otsuka-europe-crm.veevavault.com/ui/#object/account__v/V4TZ06G6O71T9AT", "PILAR AZNARTE LOPEZ")</f>
        <v>PILAR AZNARTE LOPEZ</v>
      </c>
      <c r="B12790" s="7" t="str">
        <f>HYPERLINK("https://otsuka-europe-crm.veevavault.com/ui/#object/vcountry__v/VENZ000004SONF5", "ES")</f>
        <v>ES</v>
      </c>
      <c r="C12790" s="8" t="s">
        <v>41</v>
      </c>
      <c r="D12790" s="9" t="str">
        <f>HYPERLINK("https://otsuka-europe-crm.veevavault.com/ui/#object/approved_document__v/V5O00000000R009", "AM2M - PSIQUIATRIA - Guía manejo práctico AM2M")</f>
        <v>AM2M - PSIQUIATRIA - Guía manejo práctico AM2M</v>
      </c>
      <c r="E12790" s="10" t="str">
        <f>HYPERLINK("https://otsuka-europe-crm.veevavault.com/ui/#object/sent_email__v/VBL00000002Z130", "SE-001438515")</f>
        <v>SE-001438515</v>
      </c>
      <c r="F12790" s="11"/>
      <c r="G12790" s="12">
        <v>0</v>
      </c>
      <c r="H12790" s="12">
        <v>0</v>
      </c>
      <c r="I12790" s="12">
        <v>0</v>
      </c>
      <c r="J12790" s="11"/>
      <c r="K12790" s="12">
        <v>0</v>
      </c>
      <c r="L12790" s="10" t="str">
        <f>HYPERLINK("https://otsuka-europe-crm.veevavault.com/ui/#object/approved_document__v/V5O00000000R009", "AM2M - PSIQUIATRIA - Guía manejo práctico AM2M")</f>
        <v>AM2M - PSIQUIATRIA - Guía manejo práctico AM2M</v>
      </c>
      <c r="M12790" s="10" t="str">
        <f>HYPERLINK("mailto:jcastro@crm.otsuka-europe.com", "jcastro@crm.otsuka-europe.com")</f>
        <v>jcastro@crm.otsuka-europe.com</v>
      </c>
      <c r="N12790" s="13">
        <v>46199.464513888888</v>
      </c>
      <c r="O12790" s="14" t="str">
        <f>HYPERLINK("https://otsuka-europe-crm.veevavault.com/ui/#object/email_activity__v/V8C000000041044", "EN-002099781")</f>
        <v>EN-002099781</v>
      </c>
    </row>
    <row r="12791" spans="1:15" ht="16" x14ac:dyDescent="0.2">
      <c r="A12791" s="17" t="str">
        <f>HYPERLINK("https://otsuka-europe-crm.veevavault.com/ui/#object/account__v/V4TZ06G6O8KZK3P", "INMACULADA SOTO RIVADENEIRA")</f>
        <v>INMACULADA SOTO RIVADENEIRA</v>
      </c>
      <c r="B12791" s="17" t="str">
        <f>HYPERLINK("https://otsuka-europe-crm.veevavault.com/ui/#object/vcountry__v/VENZ000004SONF5", "ES")</f>
        <v>ES</v>
      </c>
      <c r="C12791" s="20" t="s">
        <v>41</v>
      </c>
      <c r="D12791" s="21" t="str">
        <f>HYPERLINK("https://otsuka-europe-crm.veevavault.com/ui/#object/approved_document__v/V5O00000000R009", "AM2M - PSIQUIATRIA - Guía manejo práctico AM2M")</f>
        <v>AM2M - PSIQUIATRIA - Guía manejo práctico AM2M</v>
      </c>
      <c r="E12791" s="22" t="str">
        <f>HYPERLINK("https://otsuka-europe-crm.veevavault.com/ui/#object/sent_email__v/VBL00000002Z131", "SE-001438516")</f>
        <v>SE-001438516</v>
      </c>
      <c r="F12791" s="23">
        <v>46199.504745370374</v>
      </c>
      <c r="G12791" s="24">
        <v>1</v>
      </c>
      <c r="H12791" s="24">
        <v>1</v>
      </c>
      <c r="I12791" s="24">
        <v>0</v>
      </c>
      <c r="J12791" s="25"/>
      <c r="K12791" s="24">
        <v>0</v>
      </c>
      <c r="L12791" s="22" t="str">
        <f>HYPERLINK("https://otsuka-europe-crm.veevavault.com/ui/#object/approved_document__v/V5O00000000R009", "AM2M - PSIQUIATRIA - Guía manejo práctico AM2M")</f>
        <v>AM2M - PSIQUIATRIA - Guía manejo práctico AM2M</v>
      </c>
      <c r="M12791" s="22" t="str">
        <f>HYPERLINK("mailto:jcastro@crm.otsuka-europe.com", "jcastro@crm.otsuka-europe.com")</f>
        <v>jcastro@crm.otsuka-europe.com</v>
      </c>
      <c r="N12791" s="23">
        <v>46199.464513888888</v>
      </c>
      <c r="O12791" s="14" t="str">
        <f>HYPERLINK("https://otsuka-europe-crm.veevavault.com/ui/#object/email_activity__v/V8C000000041183", "EN-002100010")</f>
        <v>EN-002100010</v>
      </c>
    </row>
    <row r="12792" spans="1:15" ht="16" x14ac:dyDescent="0.2">
      <c r="A12792" s="19"/>
      <c r="B12792" s="19"/>
      <c r="C12792" s="19"/>
      <c r="D12792" s="19"/>
      <c r="E12792" s="19"/>
      <c r="F12792" s="19"/>
      <c r="G12792" s="19"/>
      <c r="H12792" s="19"/>
      <c r="I12792" s="19"/>
      <c r="J12792" s="19"/>
      <c r="K12792" s="19"/>
      <c r="L12792" s="19"/>
      <c r="M12792" s="19"/>
      <c r="N12792" s="19"/>
      <c r="O12792" s="14" t="str">
        <f>HYPERLINK("https://otsuka-europe-crm.veevavault.com/ui/#object/email_activity__v/V8C000000042058", "EN-002099830")</f>
        <v>EN-002099830</v>
      </c>
    </row>
    <row r="12793" spans="1:15" ht="48" x14ac:dyDescent="0.2">
      <c r="A12793" s="7" t="str">
        <f>HYPERLINK("https://otsuka-europe-crm.veevavault.com/ui/#object/account__v/V4TZ06G6O71T9RW", "ELENA FERNANDEZ BARRIO")</f>
        <v>ELENA FERNANDEZ BARRIO</v>
      </c>
      <c r="B12793" s="7" t="str">
        <f>HYPERLINK("https://otsuka-europe-crm.veevavault.com/ui/#object/vcountry__v/VENZ000004SONF5", "ES")</f>
        <v>ES</v>
      </c>
      <c r="C12793" s="8" t="s">
        <v>41</v>
      </c>
      <c r="D12793" s="9" t="str">
        <f>HYPERLINK("https://otsuka-europe-crm.veevavault.com/ui/#object/approved_document__v/V5O00000000R009", "AM2M - PSIQUIATRIA - Guía manejo práctico AM2M")</f>
        <v>AM2M - PSIQUIATRIA - Guía manejo práctico AM2M</v>
      </c>
      <c r="E12793" s="10" t="str">
        <f>HYPERLINK("https://otsuka-europe-crm.veevavault.com/ui/#object/sent_email__v/VBL00000002Z132", "SE-001438517")</f>
        <v>SE-001438517</v>
      </c>
      <c r="F12793" s="11"/>
      <c r="G12793" s="12">
        <v>0</v>
      </c>
      <c r="H12793" s="12">
        <v>0</v>
      </c>
      <c r="I12793" s="12">
        <v>0</v>
      </c>
      <c r="J12793" s="11"/>
      <c r="K12793" s="12">
        <v>0</v>
      </c>
      <c r="L12793" s="10" t="str">
        <f>HYPERLINK("https://otsuka-europe-crm.veevavault.com/ui/#object/approved_document__v/V5O00000000R009", "AM2M - PSIQUIATRIA - Guía manejo práctico AM2M")</f>
        <v>AM2M - PSIQUIATRIA - Guía manejo práctico AM2M</v>
      </c>
      <c r="M12793" s="10" t="str">
        <f>HYPERLINK("mailto:jcastro@crm.otsuka-europe.com", "jcastro@crm.otsuka-europe.com")</f>
        <v>jcastro@crm.otsuka-europe.com</v>
      </c>
      <c r="N12793" s="13">
        <v>46199.464513888888</v>
      </c>
      <c r="O12793" s="14" t="str">
        <f>HYPERLINK("https://otsuka-europe-crm.veevavault.com/ui/#object/email_activity__v/V8C000000041053", "EN-002099790")</f>
        <v>EN-002099790</v>
      </c>
    </row>
    <row r="12794" spans="1:15" ht="16" x14ac:dyDescent="0.2">
      <c r="A12794" s="17" t="str">
        <f>HYPERLINK("https://otsuka-europe-crm.veevavault.com/ui/#object/account__v/V4TZ06G6O71TB7U", "EVA MORENILLA BURLO")</f>
        <v>EVA MORENILLA BURLO</v>
      </c>
      <c r="B12794" s="17" t="str">
        <f>HYPERLINK("https://otsuka-europe-crm.veevavault.com/ui/#object/vcountry__v/VENZ000004SONF5", "ES")</f>
        <v>ES</v>
      </c>
      <c r="C12794" s="20" t="s">
        <v>41</v>
      </c>
      <c r="D12794" s="21" t="str">
        <f>HYPERLINK("https://otsuka-europe-crm.veevavault.com/ui/#object/approved_document__v/V5O00000000R009", "AM2M - PSIQUIATRIA - Guía manejo práctico AM2M")</f>
        <v>AM2M - PSIQUIATRIA - Guía manejo práctico AM2M</v>
      </c>
      <c r="E12794" s="22" t="str">
        <f>HYPERLINK("https://otsuka-europe-crm.veevavault.com/ui/#object/sent_email__v/VBL00000002Z133", "SE-001438518")</f>
        <v>SE-001438518</v>
      </c>
      <c r="F12794" s="23">
        <v>46199.553831018522</v>
      </c>
      <c r="G12794" s="24">
        <v>1</v>
      </c>
      <c r="H12794" s="24">
        <v>1</v>
      </c>
      <c r="I12794" s="24">
        <v>0</v>
      </c>
      <c r="J12794" s="25"/>
      <c r="K12794" s="24">
        <v>0</v>
      </c>
      <c r="L12794" s="22" t="str">
        <f>HYPERLINK("https://otsuka-europe-crm.veevavault.com/ui/#object/approved_document__v/V5O00000000R009", "AM2M - PSIQUIATRIA - Guía manejo práctico AM2M")</f>
        <v>AM2M - PSIQUIATRIA - Guía manejo práctico AM2M</v>
      </c>
      <c r="M12794" s="22" t="str">
        <f>HYPERLINK("mailto:jcastro@crm.otsuka-europe.com", "jcastro@crm.otsuka-europe.com")</f>
        <v>jcastro@crm.otsuka-europe.com</v>
      </c>
      <c r="N12794" s="23">
        <v>46199.464513888888</v>
      </c>
      <c r="O12794" s="14" t="str">
        <f>HYPERLINK("https://otsuka-europe-crm.veevavault.com/ui/#object/email_activity__v/V8C000000041046", "EN-002099783")</f>
        <v>EN-002099783</v>
      </c>
    </row>
    <row r="12795" spans="1:15" ht="16" x14ac:dyDescent="0.2">
      <c r="A12795" s="19"/>
      <c r="B12795" s="19"/>
      <c r="C12795" s="19"/>
      <c r="D12795" s="19"/>
      <c r="E12795" s="19"/>
      <c r="F12795" s="19"/>
      <c r="G12795" s="19"/>
      <c r="H12795" s="19"/>
      <c r="I12795" s="19"/>
      <c r="J12795" s="19"/>
      <c r="K12795" s="19"/>
      <c r="L12795" s="19"/>
      <c r="M12795" s="19"/>
      <c r="N12795" s="19"/>
      <c r="O12795" s="14" t="str">
        <f>HYPERLINK("https://otsuka-europe-crm.veevavault.com/ui/#object/email_activity__v/V8C000000042162", "EN-002100047")</f>
        <v>EN-002100047</v>
      </c>
    </row>
    <row r="12796" spans="1:15" ht="16" x14ac:dyDescent="0.2">
      <c r="A12796" s="17" t="str">
        <f>HYPERLINK("https://otsuka-europe-crm.veevavault.com/ui/#object/account__v/V4TZ06G6O71WUXA", "GEMA JORDAN MARTINEZ")</f>
        <v>GEMA JORDAN MARTINEZ</v>
      </c>
      <c r="B12796" s="17" t="str">
        <f>HYPERLINK("https://otsuka-europe-crm.veevavault.com/ui/#object/vcountry__v/VENZ000004SONF5", "ES")</f>
        <v>ES</v>
      </c>
      <c r="C12796" s="20" t="s">
        <v>41</v>
      </c>
      <c r="D12796" s="21" t="str">
        <f>HYPERLINK("https://otsuka-europe-crm.veevavault.com/ui/#object/approved_document__v/V5O00000000R009", "AM2M - PSIQUIATRIA - Guía manejo práctico AM2M")</f>
        <v>AM2M - PSIQUIATRIA - Guía manejo práctico AM2M</v>
      </c>
      <c r="E12796" s="22" t="str">
        <f>HYPERLINK("https://otsuka-europe-crm.veevavault.com/ui/#object/sent_email__v/VBL00000002Z134", "SE-001438519")</f>
        <v>SE-001438519</v>
      </c>
      <c r="F12796" s="25"/>
      <c r="G12796" s="24">
        <v>0</v>
      </c>
      <c r="H12796" s="24">
        <v>0</v>
      </c>
      <c r="I12796" s="24">
        <v>0</v>
      </c>
      <c r="J12796" s="25"/>
      <c r="K12796" s="24">
        <v>0</v>
      </c>
      <c r="L12796" s="22" t="str">
        <f>HYPERLINK("https://otsuka-europe-crm.veevavault.com/ui/#object/approved_document__v/V5O00000000R009", "AM2M - PSIQUIATRIA - Guía manejo práctico AM2M")</f>
        <v>AM2M - PSIQUIATRIA - Guía manejo práctico AM2M</v>
      </c>
      <c r="M12796" s="22" t="str">
        <f>HYPERLINK("mailto:jcastro@crm.otsuka-europe.com", "jcastro@crm.otsuka-europe.com")</f>
        <v>jcastro@crm.otsuka-europe.com</v>
      </c>
      <c r="N12796" s="23">
        <v>46199.464502314811</v>
      </c>
      <c r="O12796" s="14" t="str">
        <f>HYPERLINK("https://otsuka-europe-crm.veevavault.com/ui/#object/email_activity__v/V8C000000042079", "EN-002099851")</f>
        <v>EN-002099851</v>
      </c>
    </row>
    <row r="12797" spans="1:15" ht="16" x14ac:dyDescent="0.2">
      <c r="A12797" s="19"/>
      <c r="B12797" s="19"/>
      <c r="C12797" s="19"/>
      <c r="D12797" s="19"/>
      <c r="E12797" s="19"/>
      <c r="F12797" s="19"/>
      <c r="G12797" s="19"/>
      <c r="H12797" s="19"/>
      <c r="I12797" s="19"/>
      <c r="J12797" s="19"/>
      <c r="K12797" s="19"/>
      <c r="L12797" s="19"/>
      <c r="M12797" s="19"/>
      <c r="N12797" s="19"/>
      <c r="O12797" s="14" t="str">
        <f>HYPERLINK("https://otsuka-europe-crm.veevavault.com/ui/#object/email_activity__v/V8C000000042258", "EN-002100220")</f>
        <v>EN-002100220</v>
      </c>
    </row>
    <row r="12798" spans="1:15" ht="48" x14ac:dyDescent="0.2">
      <c r="A12798" s="7" t="str">
        <f>HYPERLINK("https://otsuka-europe-crm.veevavault.com/ui/#object/account__v/V4TZ06G6O71TCL2", "FRANCISCO JOSE VAZQUEZ GUTIERREZ")</f>
        <v>FRANCISCO JOSE VAZQUEZ GUTIERREZ</v>
      </c>
      <c r="B12798" s="7" t="str">
        <f>HYPERLINK("https://otsuka-europe-crm.veevavault.com/ui/#object/vcountry__v/VENZ000004SONF5", "ES")</f>
        <v>ES</v>
      </c>
      <c r="C12798" s="8" t="s">
        <v>41</v>
      </c>
      <c r="D12798" s="9" t="str">
        <f>HYPERLINK("https://otsuka-europe-crm.veevavault.com/ui/#object/approved_document__v/V5O00000000R009", "AM2M - PSIQUIATRIA - Guía manejo práctico AM2M")</f>
        <v>AM2M - PSIQUIATRIA - Guía manejo práctico AM2M</v>
      </c>
      <c r="E12798" s="10" t="str">
        <f>HYPERLINK("https://otsuka-europe-crm.veevavault.com/ui/#object/sent_email__v/VBL00000002Z135", "SE-001438520")</f>
        <v>SE-001438520</v>
      </c>
      <c r="F12798" s="11"/>
      <c r="G12798" s="12">
        <v>0</v>
      </c>
      <c r="H12798" s="12">
        <v>0</v>
      </c>
      <c r="I12798" s="12">
        <v>0</v>
      </c>
      <c r="J12798" s="11"/>
      <c r="K12798" s="12">
        <v>0</v>
      </c>
      <c r="L12798" s="10" t="str">
        <f>HYPERLINK("https://otsuka-europe-crm.veevavault.com/ui/#object/approved_document__v/V5O00000000R009", "AM2M - PSIQUIATRIA - Guía manejo práctico AM2M")</f>
        <v>AM2M - PSIQUIATRIA - Guía manejo práctico AM2M</v>
      </c>
      <c r="M12798" s="10" t="str">
        <f>HYPERLINK("mailto:jcastro@crm.otsuka-europe.com", "jcastro@crm.otsuka-europe.com")</f>
        <v>jcastro@crm.otsuka-europe.com</v>
      </c>
      <c r="N12798" s="13">
        <v>46199.464502314811</v>
      </c>
      <c r="O12798" s="14" t="str">
        <f>HYPERLINK("https://otsuka-europe-crm.veevavault.com/ui/#object/email_activity__v/V8C000000042080", "EN-002099852")</f>
        <v>EN-002099852</v>
      </c>
    </row>
    <row r="12799" spans="1:15" ht="48" x14ac:dyDescent="0.2">
      <c r="A12799" s="7" t="str">
        <f>HYPERLINK("https://otsuka-europe-crm.veevavault.com/ui/#object/account__v/V4TZ025E82EFXD3", "JOAQUIN DOBLAS EXPOSITO")</f>
        <v>JOAQUIN DOBLAS EXPOSITO</v>
      </c>
      <c r="B12799" s="7" t="str">
        <f>HYPERLINK("https://otsuka-europe-crm.veevavault.com/ui/#object/vcountry__v/VENZ000004SONF5", "ES")</f>
        <v>ES</v>
      </c>
      <c r="C12799" s="8" t="s">
        <v>41</v>
      </c>
      <c r="D12799" s="9" t="str">
        <f>HYPERLINK("https://otsuka-europe-crm.veevavault.com/ui/#object/approved_document__v/V5O00000000R009", "AM2M - PSIQUIATRIA - Guía manejo práctico AM2M")</f>
        <v>AM2M - PSIQUIATRIA - Guía manejo práctico AM2M</v>
      </c>
      <c r="E12799" s="10" t="str">
        <f>HYPERLINK("https://otsuka-europe-crm.veevavault.com/ui/#object/sent_email__v/VBL00000002Z136", "SE-001438521")</f>
        <v>SE-001438521</v>
      </c>
      <c r="F12799" s="11"/>
      <c r="G12799" s="12">
        <v>0</v>
      </c>
      <c r="H12799" s="12">
        <v>0</v>
      </c>
      <c r="I12799" s="12">
        <v>0</v>
      </c>
      <c r="J12799" s="11"/>
      <c r="K12799" s="12">
        <v>0</v>
      </c>
      <c r="L12799" s="10" t="str">
        <f>HYPERLINK("https://otsuka-europe-crm.veevavault.com/ui/#object/approved_document__v/V5O00000000R009", "AM2M - PSIQUIATRIA - Guía manejo práctico AM2M")</f>
        <v>AM2M - PSIQUIATRIA - Guía manejo práctico AM2M</v>
      </c>
      <c r="M12799" s="10" t="str">
        <f>HYPERLINK("mailto:jcastro@crm.otsuka-europe.com", "jcastro@crm.otsuka-europe.com")</f>
        <v>jcastro@crm.otsuka-europe.com</v>
      </c>
      <c r="N12799" s="13">
        <v>46199.464513888888</v>
      </c>
      <c r="O12799" s="14" t="str">
        <f>HYPERLINK("https://otsuka-europe-crm.veevavault.com/ui/#object/email_activity__v/V8C000000041040", "EN-002099777")</f>
        <v>EN-002099777</v>
      </c>
    </row>
    <row r="12800" spans="1:15" ht="16" x14ac:dyDescent="0.2">
      <c r="A12800" s="17" t="str">
        <f>HYPERLINK("https://otsuka-europe-crm.veevavault.com/ui/#object/account__v/V4TZ06G6O71T8KU", "ANA ISABEL GARCIA PEÑA")</f>
        <v>ANA ISABEL GARCIA PEÑA</v>
      </c>
      <c r="B12800" s="17" t="str">
        <f>HYPERLINK("https://otsuka-europe-crm.veevavault.com/ui/#object/vcountry__v/VENZ000004SONF5", "ES")</f>
        <v>ES</v>
      </c>
      <c r="C12800" s="20" t="s">
        <v>41</v>
      </c>
      <c r="D12800" s="21" t="str">
        <f>HYPERLINK("https://otsuka-europe-crm.veevavault.com/ui/#object/approved_document__v/V5O00000000R009", "AM2M - PSIQUIATRIA - Guía manejo práctico AM2M")</f>
        <v>AM2M - PSIQUIATRIA - Guía manejo práctico AM2M</v>
      </c>
      <c r="E12800" s="22" t="str">
        <f>HYPERLINK("https://otsuka-europe-crm.veevavault.com/ui/#object/sent_email__v/VBL00000002Z137", "SE-001438522")</f>
        <v>SE-001438522</v>
      </c>
      <c r="F12800" s="25"/>
      <c r="G12800" s="24">
        <v>0</v>
      </c>
      <c r="H12800" s="24">
        <v>0</v>
      </c>
      <c r="I12800" s="24">
        <v>0</v>
      </c>
      <c r="J12800" s="25"/>
      <c r="K12800" s="24">
        <v>0</v>
      </c>
      <c r="L12800" s="22" t="str">
        <f>HYPERLINK("https://otsuka-europe-crm.veevavault.com/ui/#object/approved_document__v/V5O00000000R009", "AM2M - PSIQUIATRIA - Guía manejo práctico AM2M")</f>
        <v>AM2M - PSIQUIATRIA - Guía manejo práctico AM2M</v>
      </c>
      <c r="M12800" s="22" t="str">
        <f>HYPERLINK("mailto:jcastro@crm.otsuka-europe.com", "jcastro@crm.otsuka-europe.com")</f>
        <v>jcastro@crm.otsuka-europe.com</v>
      </c>
      <c r="N12800" s="23">
        <v>46199.464513888888</v>
      </c>
      <c r="O12800" s="14" t="str">
        <f>HYPERLINK("https://otsuka-europe-crm.veevavault.com/ui/#object/email_activity__v/V8C000000041042", "EN-002099779")</f>
        <v>EN-002099779</v>
      </c>
    </row>
    <row r="12801" spans="1:15" ht="16" x14ac:dyDescent="0.2">
      <c r="A12801" s="19"/>
      <c r="B12801" s="19"/>
      <c r="C12801" s="19"/>
      <c r="D12801" s="19"/>
      <c r="E12801" s="19"/>
      <c r="F12801" s="19"/>
      <c r="G12801" s="19"/>
      <c r="H12801" s="19"/>
      <c r="I12801" s="19"/>
      <c r="J12801" s="19"/>
      <c r="K12801" s="19"/>
      <c r="L12801" s="19"/>
      <c r="M12801" s="19"/>
      <c r="N12801" s="19"/>
      <c r="O12801" s="14" t="str">
        <f>HYPERLINK("https://otsuka-europe-crm.veevavault.com/ui/#object/email_activity__v/V8C000000041177", "EN-002099993")</f>
        <v>EN-002099993</v>
      </c>
    </row>
    <row r="12802" spans="1:15" ht="48" x14ac:dyDescent="0.2">
      <c r="A12802" s="7" t="str">
        <f>HYPERLINK("https://otsuka-europe-crm.veevavault.com/ui/#object/account__v/V4TZ06G6O71TA1G", "JESUS FERNANDEZ LOGROÑO")</f>
        <v>JESUS FERNANDEZ LOGROÑO</v>
      </c>
      <c r="B12802" s="7" t="str">
        <f t="shared" ref="B12802:B12808" si="922">HYPERLINK("https://otsuka-europe-crm.veevavault.com/ui/#object/vcountry__v/VENZ000004SONF5", "ES")</f>
        <v>ES</v>
      </c>
      <c r="C12802" s="8" t="s">
        <v>41</v>
      </c>
      <c r="D12802" s="9" t="str">
        <f t="shared" ref="D12802:D12808" si="923">HYPERLINK("https://otsuka-europe-crm.veevavault.com/ui/#object/approved_document__v/V5O00000000R009", "AM2M - PSIQUIATRIA - Guía manejo práctico AM2M")</f>
        <v>AM2M - PSIQUIATRIA - Guía manejo práctico AM2M</v>
      </c>
      <c r="E12802" s="10" t="str">
        <f>HYPERLINK("https://otsuka-europe-crm.veevavault.com/ui/#object/sent_email__v/VBL00000002Z138", "SE-001438523")</f>
        <v>SE-001438523</v>
      </c>
      <c r="F12802" s="11"/>
      <c r="G12802" s="12">
        <v>0</v>
      </c>
      <c r="H12802" s="12">
        <v>0</v>
      </c>
      <c r="I12802" s="12">
        <v>0</v>
      </c>
      <c r="J12802" s="11"/>
      <c r="K12802" s="12">
        <v>0</v>
      </c>
      <c r="L12802" s="10" t="str">
        <f t="shared" ref="L12802:L12808" si="924">HYPERLINK("https://otsuka-europe-crm.veevavault.com/ui/#object/approved_document__v/V5O00000000R009", "AM2M - PSIQUIATRIA - Guía manejo práctico AM2M")</f>
        <v>AM2M - PSIQUIATRIA - Guía manejo práctico AM2M</v>
      </c>
      <c r="M12802" s="10" t="str">
        <f t="shared" ref="M12802:M12808" si="925">HYPERLINK("mailto:jcastro@crm.otsuka-europe.com", "jcastro@crm.otsuka-europe.com")</f>
        <v>jcastro@crm.otsuka-europe.com</v>
      </c>
      <c r="N12802" s="13">
        <v>46199.464513888888</v>
      </c>
      <c r="O12802" s="14" t="str">
        <f>HYPERLINK("https://otsuka-europe-crm.veevavault.com/ui/#object/email_activity__v/V8C000000041054", "EN-002099791")</f>
        <v>EN-002099791</v>
      </c>
    </row>
    <row r="12803" spans="1:15" ht="48" x14ac:dyDescent="0.2">
      <c r="A12803" s="7" t="str">
        <f>HYPERLINK("https://otsuka-europe-crm.veevavault.com/ui/#object/account__v/V4TZ06G6O71TJY7", "CRISTINA GARCIA ROMAN")</f>
        <v>CRISTINA GARCIA ROMAN</v>
      </c>
      <c r="B12803" s="7" t="str">
        <f t="shared" si="922"/>
        <v>ES</v>
      </c>
      <c r="C12803" s="8" t="s">
        <v>41</v>
      </c>
      <c r="D12803" s="9" t="str">
        <f t="shared" si="923"/>
        <v>AM2M - PSIQUIATRIA - Guía manejo práctico AM2M</v>
      </c>
      <c r="E12803" s="10" t="str">
        <f>HYPERLINK("https://otsuka-europe-crm.veevavault.com/ui/#object/sent_email__v/VBL00000002Z139", "SE-001438524")</f>
        <v>SE-001438524</v>
      </c>
      <c r="F12803" s="11"/>
      <c r="G12803" s="12">
        <v>0</v>
      </c>
      <c r="H12803" s="12">
        <v>0</v>
      </c>
      <c r="I12803" s="12">
        <v>0</v>
      </c>
      <c r="J12803" s="11"/>
      <c r="K12803" s="12">
        <v>0</v>
      </c>
      <c r="L12803" s="10" t="str">
        <f t="shared" si="924"/>
        <v>AM2M - PSIQUIATRIA - Guía manejo práctico AM2M</v>
      </c>
      <c r="M12803" s="10" t="str">
        <f t="shared" si="925"/>
        <v>jcastro@crm.otsuka-europe.com</v>
      </c>
      <c r="N12803" s="13">
        <v>46199.464513888888</v>
      </c>
      <c r="O12803" s="14" t="str">
        <f>HYPERLINK("https://otsuka-europe-crm.veevavault.com/ui/#object/email_activity__v/V8C000000041100", "EN-002099891")</f>
        <v>EN-002099891</v>
      </c>
    </row>
    <row r="12804" spans="1:15" ht="48" x14ac:dyDescent="0.2">
      <c r="A12804" s="7" t="str">
        <f>HYPERLINK("https://otsuka-europe-crm.veevavault.com/ui/#object/account__v/V4TZ04ASGAPDXSA", "TERESA POMARES MARTINEZ")</f>
        <v>TERESA POMARES MARTINEZ</v>
      </c>
      <c r="B12804" s="7" t="str">
        <f t="shared" si="922"/>
        <v>ES</v>
      </c>
      <c r="C12804" s="8" t="s">
        <v>41</v>
      </c>
      <c r="D12804" s="9" t="str">
        <f t="shared" si="923"/>
        <v>AM2M - PSIQUIATRIA - Guía manejo práctico AM2M</v>
      </c>
      <c r="E12804" s="10" t="str">
        <f>HYPERLINK("https://otsuka-europe-crm.veevavault.com/ui/#object/sent_email__v/VBL00000002Z140", "SE-001438525")</f>
        <v>SE-001438525</v>
      </c>
      <c r="F12804" s="11"/>
      <c r="G12804" s="12">
        <v>0</v>
      </c>
      <c r="H12804" s="12">
        <v>0</v>
      </c>
      <c r="I12804" s="12">
        <v>0</v>
      </c>
      <c r="J12804" s="11"/>
      <c r="K12804" s="12">
        <v>0</v>
      </c>
      <c r="L12804" s="10" t="str">
        <f t="shared" si="924"/>
        <v>AM2M - PSIQUIATRIA - Guía manejo práctico AM2M</v>
      </c>
      <c r="M12804" s="10" t="str">
        <f t="shared" si="925"/>
        <v>jcastro@crm.otsuka-europe.com</v>
      </c>
      <c r="N12804" s="13">
        <v>46199.464560185188</v>
      </c>
      <c r="O12804" s="14" t="str">
        <f>HYPERLINK("https://otsuka-europe-crm.veevavault.com/ui/#object/email_activity__v/V8C000000042072", "EN-002099844")</f>
        <v>EN-002099844</v>
      </c>
    </row>
    <row r="12805" spans="1:15" ht="48" x14ac:dyDescent="0.2">
      <c r="A12805" s="7" t="str">
        <f>HYPERLINK("https://otsuka-europe-crm.veevavault.com/ui/#object/account__v/V4TZ06G6O71TCJ6", "JOSE JULIO YAÑEZ SANCHEZ")</f>
        <v>JOSE JULIO YAÑEZ SANCHEZ</v>
      </c>
      <c r="B12805" s="7" t="str">
        <f t="shared" si="922"/>
        <v>ES</v>
      </c>
      <c r="C12805" s="8" t="s">
        <v>41</v>
      </c>
      <c r="D12805" s="9" t="str">
        <f t="shared" si="923"/>
        <v>AM2M - PSIQUIATRIA - Guía manejo práctico AM2M</v>
      </c>
      <c r="E12805" s="10" t="str">
        <f>HYPERLINK("https://otsuka-europe-crm.veevavault.com/ui/#object/sent_email__v/VBL00000002Z141", "SE-001438526")</f>
        <v>SE-001438526</v>
      </c>
      <c r="F12805" s="11"/>
      <c r="G12805" s="12">
        <v>0</v>
      </c>
      <c r="H12805" s="12">
        <v>0</v>
      </c>
      <c r="I12805" s="12">
        <v>0</v>
      </c>
      <c r="J12805" s="11"/>
      <c r="K12805" s="12">
        <v>0</v>
      </c>
      <c r="L12805" s="10" t="str">
        <f t="shared" si="924"/>
        <v>AM2M - PSIQUIATRIA - Guía manejo práctico AM2M</v>
      </c>
      <c r="M12805" s="10" t="str">
        <f t="shared" si="925"/>
        <v>jcastro@crm.otsuka-europe.com</v>
      </c>
      <c r="N12805" s="13">
        <v>46199.464560185188</v>
      </c>
      <c r="O12805" s="14" t="str">
        <f>HYPERLINK("https://otsuka-europe-crm.veevavault.com/ui/#object/email_activity__v/V8C000000041120", "EN-002099917")</f>
        <v>EN-002099917</v>
      </c>
    </row>
    <row r="12806" spans="1:15" ht="48" x14ac:dyDescent="0.2">
      <c r="A12806" s="7" t="str">
        <f>HYPERLINK("https://otsuka-europe-crm.veevavault.com/ui/#object/account__v/V4T00000000L035", "MARIA MERCEDES BATLLES MARTINEZ")</f>
        <v>MARIA MERCEDES BATLLES MARTINEZ</v>
      </c>
      <c r="B12806" s="7" t="str">
        <f t="shared" si="922"/>
        <v>ES</v>
      </c>
      <c r="C12806" s="8" t="s">
        <v>41</v>
      </c>
      <c r="D12806" s="9" t="str">
        <f t="shared" si="923"/>
        <v>AM2M - PSIQUIATRIA - Guía manejo práctico AM2M</v>
      </c>
      <c r="E12806" s="10" t="str">
        <f>HYPERLINK("https://otsuka-europe-crm.veevavault.com/ui/#object/sent_email__v/VBL00000002Z142", "SE-001438527")</f>
        <v>SE-001438527</v>
      </c>
      <c r="F12806" s="11"/>
      <c r="G12806" s="12">
        <v>0</v>
      </c>
      <c r="H12806" s="12">
        <v>0</v>
      </c>
      <c r="I12806" s="12">
        <v>0</v>
      </c>
      <c r="J12806" s="11"/>
      <c r="K12806" s="12">
        <v>0</v>
      </c>
      <c r="L12806" s="10" t="str">
        <f t="shared" si="924"/>
        <v>AM2M - PSIQUIATRIA - Guía manejo práctico AM2M</v>
      </c>
      <c r="M12806" s="10" t="str">
        <f t="shared" si="925"/>
        <v>jcastro@crm.otsuka-europe.com</v>
      </c>
      <c r="N12806" s="13">
        <v>46199.464560185188</v>
      </c>
      <c r="O12806" s="14" t="str">
        <f>HYPERLINK("https://otsuka-europe-crm.veevavault.com/ui/#object/email_activity__v/V8C000000042050", "EN-002099822")</f>
        <v>EN-002099822</v>
      </c>
    </row>
    <row r="12807" spans="1:15" ht="48" x14ac:dyDescent="0.2">
      <c r="A12807" s="7" t="str">
        <f>HYPERLINK("https://otsuka-europe-crm.veevavault.com/ui/#object/account__v/V4TZ06G6O71TBE2", "MARIA CARMEN ONTIVEROS ORTEGA")</f>
        <v>MARIA CARMEN ONTIVEROS ORTEGA</v>
      </c>
      <c r="B12807" s="7" t="str">
        <f t="shared" si="922"/>
        <v>ES</v>
      </c>
      <c r="C12807" s="8" t="s">
        <v>41</v>
      </c>
      <c r="D12807" s="9" t="str">
        <f t="shared" si="923"/>
        <v>AM2M - PSIQUIATRIA - Guía manejo práctico AM2M</v>
      </c>
      <c r="E12807" s="10" t="str">
        <f>HYPERLINK("https://otsuka-europe-crm.veevavault.com/ui/#object/sent_email__v/VBL00000002Z143", "SE-001438528")</f>
        <v>SE-001438528</v>
      </c>
      <c r="F12807" s="11"/>
      <c r="G12807" s="12">
        <v>0</v>
      </c>
      <c r="H12807" s="12">
        <v>0</v>
      </c>
      <c r="I12807" s="12">
        <v>0</v>
      </c>
      <c r="J12807" s="11"/>
      <c r="K12807" s="12">
        <v>0</v>
      </c>
      <c r="L12807" s="10" t="str">
        <f t="shared" si="924"/>
        <v>AM2M - PSIQUIATRIA - Guía manejo práctico AM2M</v>
      </c>
      <c r="M12807" s="10" t="str">
        <f t="shared" si="925"/>
        <v>jcastro@crm.otsuka-europe.com</v>
      </c>
      <c r="N12807" s="13">
        <v>46199.464560185188</v>
      </c>
      <c r="O12807" s="14" t="str">
        <f>HYPERLINK("https://otsuka-europe-crm.veevavault.com/ui/#object/email_activity__v/V8C000000041048", "EN-002099785")</f>
        <v>EN-002099785</v>
      </c>
    </row>
    <row r="12808" spans="1:15" ht="16" x14ac:dyDescent="0.2">
      <c r="A12808" s="17" t="str">
        <f>HYPERLINK("https://otsuka-europe-crm.veevavault.com/ui/#object/account__v/V4TZ06G6O71TBPD", "GUILLERMO PARDO CASTILLO")</f>
        <v>GUILLERMO PARDO CASTILLO</v>
      </c>
      <c r="B12808" s="17" t="str">
        <f t="shared" si="922"/>
        <v>ES</v>
      </c>
      <c r="C12808" s="20" t="s">
        <v>41</v>
      </c>
      <c r="D12808" s="21" t="str">
        <f t="shared" si="923"/>
        <v>AM2M - PSIQUIATRIA - Guía manejo práctico AM2M</v>
      </c>
      <c r="E12808" s="22" t="str">
        <f>HYPERLINK("https://otsuka-europe-crm.veevavault.com/ui/#object/sent_email__v/VBL00000002Z144", "SE-001438529")</f>
        <v>SE-001438529</v>
      </c>
      <c r="F12808" s="25"/>
      <c r="G12808" s="24">
        <v>0</v>
      </c>
      <c r="H12808" s="24">
        <v>0</v>
      </c>
      <c r="I12808" s="24">
        <v>0</v>
      </c>
      <c r="J12808" s="25"/>
      <c r="K12808" s="24">
        <v>0</v>
      </c>
      <c r="L12808" s="22" t="str">
        <f t="shared" si="924"/>
        <v>AM2M - PSIQUIATRIA - Guía manejo práctico AM2M</v>
      </c>
      <c r="M12808" s="22" t="str">
        <f t="shared" si="925"/>
        <v>jcastro@crm.otsuka-europe.com</v>
      </c>
      <c r="N12808" s="23">
        <v>46199.464560185188</v>
      </c>
      <c r="O12808" s="14" t="str">
        <f>HYPERLINK("https://otsuka-europe-crm.veevavault.com/ui/#object/email_activity__v/V8C000000041051", "EN-002099788")</f>
        <v>EN-002099788</v>
      </c>
    </row>
    <row r="12809" spans="1:15" ht="16" x14ac:dyDescent="0.2">
      <c r="A12809" s="19"/>
      <c r="B12809" s="19"/>
      <c r="C12809" s="19"/>
      <c r="D12809" s="19"/>
      <c r="E12809" s="19"/>
      <c r="F12809" s="19"/>
      <c r="G12809" s="19"/>
      <c r="H12809" s="19"/>
      <c r="I12809" s="19"/>
      <c r="J12809" s="19"/>
      <c r="K12809" s="19"/>
      <c r="L12809" s="19"/>
      <c r="M12809" s="19"/>
      <c r="N12809" s="19"/>
      <c r="O12809" s="14" t="str">
        <f>HYPERLINK("https://otsuka-europe-crm.veevavault.com/ui/#object/email_activity__v/V8C000000042133", "EN-002100005")</f>
        <v>EN-002100005</v>
      </c>
    </row>
    <row r="12810" spans="1:15" ht="16" x14ac:dyDescent="0.2">
      <c r="A12810" s="17" t="str">
        <f>HYPERLINK("https://otsuka-europe-crm.veevavault.com/ui/#object/account__v/V4TZ06G6O71TAH5", "SILVIA CANO MORENO")</f>
        <v>SILVIA CANO MORENO</v>
      </c>
      <c r="B12810" s="17" t="str">
        <f>HYPERLINK("https://otsuka-europe-crm.veevavault.com/ui/#object/vcountry__v/VENZ000004SONF5", "ES")</f>
        <v>ES</v>
      </c>
      <c r="C12810" s="20" t="s">
        <v>41</v>
      </c>
      <c r="D12810" s="21" t="str">
        <f>HYPERLINK("https://otsuka-europe-crm.veevavault.com/ui/#object/approved_document__v/V5O00000000R009", "AM2M - PSIQUIATRIA - Guía manejo práctico AM2M")</f>
        <v>AM2M - PSIQUIATRIA - Guía manejo práctico AM2M</v>
      </c>
      <c r="E12810" s="22" t="str">
        <f>HYPERLINK("https://otsuka-europe-crm.veevavault.com/ui/#object/sent_email__v/VBL00000002Z145", "SE-001438530")</f>
        <v>SE-001438530</v>
      </c>
      <c r="F12810" s="23">
        <v>46200.503379629627</v>
      </c>
      <c r="G12810" s="24">
        <v>1</v>
      </c>
      <c r="H12810" s="24">
        <v>1</v>
      </c>
      <c r="I12810" s="24">
        <v>0</v>
      </c>
      <c r="J12810" s="25"/>
      <c r="K12810" s="24">
        <v>0</v>
      </c>
      <c r="L12810" s="22" t="str">
        <f>HYPERLINK("https://otsuka-europe-crm.veevavault.com/ui/#object/approved_document__v/V5O00000000R009", "AM2M - PSIQUIATRIA - Guía manejo práctico AM2M")</f>
        <v>AM2M - PSIQUIATRIA - Guía manejo práctico AM2M</v>
      </c>
      <c r="M12810" s="22" t="str">
        <f>HYPERLINK("mailto:jcastro@crm.otsuka-europe.com", "jcastro@crm.otsuka-europe.com")</f>
        <v>jcastro@crm.otsuka-europe.com</v>
      </c>
      <c r="N12810" s="23">
        <v>46199.464513888888</v>
      </c>
      <c r="O12810" s="14" t="str">
        <f>HYPERLINK("https://otsuka-europe-crm.veevavault.com/ui/#object/email_activity__v/V8C000000041099", "EN-002099890")</f>
        <v>EN-002099890</v>
      </c>
    </row>
    <row r="12811" spans="1:15" ht="16" x14ac:dyDescent="0.2">
      <c r="A12811" s="19"/>
      <c r="B12811" s="19"/>
      <c r="C12811" s="19"/>
      <c r="D12811" s="19"/>
      <c r="E12811" s="19"/>
      <c r="F12811" s="19"/>
      <c r="G12811" s="19"/>
      <c r="H12811" s="19"/>
      <c r="I12811" s="19"/>
      <c r="J12811" s="19"/>
      <c r="K12811" s="19"/>
      <c r="L12811" s="19"/>
      <c r="M12811" s="19"/>
      <c r="N12811" s="19"/>
      <c r="O12811" s="14" t="str">
        <f>HYPERLINK("https://otsuka-europe-crm.veevavault.com/ui/#object/email_activity__v/V8C000000042231", "EN-002100174")</f>
        <v>EN-002100174</v>
      </c>
    </row>
    <row r="12812" spans="1:15" ht="16" x14ac:dyDescent="0.2">
      <c r="A12812" s="17" t="str">
        <f>HYPERLINK("https://otsuka-europe-crm.veevavault.com/ui/#object/account__v/V4TZ06G6OAB22V7", "AMALIA RUIZ TRISTAN")</f>
        <v>AMALIA RUIZ TRISTAN</v>
      </c>
      <c r="B12812" s="17" t="str">
        <f>HYPERLINK("https://otsuka-europe-crm.veevavault.com/ui/#object/vcountry__v/VENZ000004SONF5", "ES")</f>
        <v>ES</v>
      </c>
      <c r="C12812" s="20" t="s">
        <v>41</v>
      </c>
      <c r="D12812" s="21" t="str">
        <f>HYPERLINK("https://otsuka-europe-crm.veevavault.com/ui/#object/approved_document__v/V5O00000000R009", "AM2M - PSIQUIATRIA - Guía manejo práctico AM2M")</f>
        <v>AM2M - PSIQUIATRIA - Guía manejo práctico AM2M</v>
      </c>
      <c r="E12812" s="22" t="str">
        <f>HYPERLINK("https://otsuka-europe-crm.veevavault.com/ui/#object/sent_email__v/VBL00000002Z146", "SE-001438531")</f>
        <v>SE-001438531</v>
      </c>
      <c r="F12812" s="25"/>
      <c r="G12812" s="24">
        <v>0</v>
      </c>
      <c r="H12812" s="24">
        <v>0</v>
      </c>
      <c r="I12812" s="24">
        <v>0</v>
      </c>
      <c r="J12812" s="25"/>
      <c r="K12812" s="24">
        <v>0</v>
      </c>
      <c r="L12812" s="22" t="str">
        <f>HYPERLINK("https://otsuka-europe-crm.veevavault.com/ui/#object/approved_document__v/V5O00000000R009", "AM2M - PSIQUIATRIA - Guía manejo práctico AM2M")</f>
        <v>AM2M - PSIQUIATRIA - Guía manejo práctico AM2M</v>
      </c>
      <c r="M12812" s="22" t="str">
        <f>HYPERLINK("mailto:jcastro@crm.otsuka-europe.com", "jcastro@crm.otsuka-europe.com")</f>
        <v>jcastro@crm.otsuka-europe.com</v>
      </c>
      <c r="N12812" s="23">
        <v>46199.464560185188</v>
      </c>
      <c r="O12812" s="14" t="str">
        <f>HYPERLINK("https://otsuka-europe-crm.veevavault.com/ui/#object/email_activity__v/V8C000000041086", "EN-002099857")</f>
        <v>EN-002099857</v>
      </c>
    </row>
    <row r="12813" spans="1:15" ht="16" x14ac:dyDescent="0.2">
      <c r="A12813" s="19"/>
      <c r="B12813" s="19"/>
      <c r="C12813" s="19"/>
      <c r="D12813" s="19"/>
      <c r="E12813" s="19"/>
      <c r="F12813" s="19"/>
      <c r="G12813" s="19"/>
      <c r="H12813" s="19"/>
      <c r="I12813" s="19"/>
      <c r="J12813" s="19"/>
      <c r="K12813" s="19"/>
      <c r="L12813" s="19"/>
      <c r="M12813" s="19"/>
      <c r="N12813" s="19"/>
      <c r="O12813" s="14" t="str">
        <f>HYPERLINK("https://otsuka-europe-crm.veevavault.com/ui/#object/email_activity__v/V8C000000042215", "EN-002100144")</f>
        <v>EN-002100144</v>
      </c>
    </row>
    <row r="12814" spans="1:15" ht="16" x14ac:dyDescent="0.2">
      <c r="A12814" s="17" t="str">
        <f>HYPERLINK("https://otsuka-europe-crm.veevavault.com/ui/#object/account__v/V4TZ025E82TDWQY", "ANA GUARDIA MOLINA")</f>
        <v>ANA GUARDIA MOLINA</v>
      </c>
      <c r="B12814" s="17" t="str">
        <f>HYPERLINK("https://otsuka-europe-crm.veevavault.com/ui/#object/vcountry__v/VENZ000004SONF5", "ES")</f>
        <v>ES</v>
      </c>
      <c r="C12814" s="20" t="s">
        <v>41</v>
      </c>
      <c r="D12814" s="21" t="str">
        <f>HYPERLINK("https://otsuka-europe-crm.veevavault.com/ui/#object/approved_document__v/V5O00000000R009", "AM2M - PSIQUIATRIA - Guía manejo práctico AM2M")</f>
        <v>AM2M - PSIQUIATRIA - Guía manejo práctico AM2M</v>
      </c>
      <c r="E12814" s="22" t="str">
        <f>HYPERLINK("https://otsuka-europe-crm.veevavault.com/ui/#object/sent_email__v/VBL00000002Z147", "SE-001438532")</f>
        <v>SE-001438532</v>
      </c>
      <c r="F12814" s="23">
        <v>46199.504016203704</v>
      </c>
      <c r="G12814" s="24">
        <v>1</v>
      </c>
      <c r="H12814" s="24">
        <v>1</v>
      </c>
      <c r="I12814" s="24">
        <v>0</v>
      </c>
      <c r="J12814" s="25"/>
      <c r="K12814" s="24">
        <v>0</v>
      </c>
      <c r="L12814" s="22" t="str">
        <f>HYPERLINK("https://otsuka-europe-crm.veevavault.com/ui/#object/approved_document__v/V5O00000000R009", "AM2M - PSIQUIATRIA - Guía manejo práctico AM2M")</f>
        <v>AM2M - PSIQUIATRIA - Guía manejo práctico AM2M</v>
      </c>
      <c r="M12814" s="22" t="str">
        <f>HYPERLINK("mailto:jcastro@crm.otsuka-europe.com", "jcastro@crm.otsuka-europe.com")</f>
        <v>jcastro@crm.otsuka-europe.com</v>
      </c>
      <c r="N12814" s="23">
        <v>46199.464560185188</v>
      </c>
      <c r="O12814" s="14" t="str">
        <f>HYPERLINK("https://otsuka-europe-crm.veevavault.com/ui/#object/email_activity__v/V8C000000041084", "EN-002099855")</f>
        <v>EN-002099855</v>
      </c>
    </row>
    <row r="12815" spans="1:15" ht="16" x14ac:dyDescent="0.2">
      <c r="A12815" s="19"/>
      <c r="B12815" s="19"/>
      <c r="C12815" s="19"/>
      <c r="D12815" s="19"/>
      <c r="E12815" s="19"/>
      <c r="F12815" s="19"/>
      <c r="G12815" s="19"/>
      <c r="H12815" s="19"/>
      <c r="I12815" s="19"/>
      <c r="J12815" s="19"/>
      <c r="K12815" s="19"/>
      <c r="L12815" s="19"/>
      <c r="M12815" s="19"/>
      <c r="N12815" s="19"/>
      <c r="O12815" s="14" t="str">
        <f>HYPERLINK("https://otsuka-europe-crm.veevavault.com/ui/#object/email_activity__v/V8C000000042136", "EN-002100009")</f>
        <v>EN-002100009</v>
      </c>
    </row>
    <row r="12816" spans="1:15" ht="48" x14ac:dyDescent="0.2">
      <c r="A12816" s="7" t="str">
        <f>HYPERLINK("https://otsuka-europe-crm.veevavault.com/ui/#object/account__v/V4TZ06G6O71T76B", "SANTIAGO POSIK ROSATI")</f>
        <v>SANTIAGO POSIK ROSATI</v>
      </c>
      <c r="B12816" s="7" t="str">
        <f>HYPERLINK("https://otsuka-europe-crm.veevavault.com/ui/#object/vcountry__v/VENZ000004SONF5", "ES")</f>
        <v>ES</v>
      </c>
      <c r="C12816" s="8" t="s">
        <v>41</v>
      </c>
      <c r="D12816" s="9" t="str">
        <f>HYPERLINK("https://otsuka-europe-crm.veevavault.com/ui/#object/approved_document__v/V5O00000000R009", "AM2M - PSIQUIATRIA - Guía manejo práctico AM2M")</f>
        <v>AM2M - PSIQUIATRIA - Guía manejo práctico AM2M</v>
      </c>
      <c r="E12816" s="10" t="str">
        <f>HYPERLINK("https://otsuka-europe-crm.veevavault.com/ui/#object/sent_email__v/VBL00000002Z148", "SE-001438533")</f>
        <v>SE-001438533</v>
      </c>
      <c r="F12816" s="11"/>
      <c r="G12816" s="12">
        <v>0</v>
      </c>
      <c r="H12816" s="12">
        <v>0</v>
      </c>
      <c r="I12816" s="12">
        <v>0</v>
      </c>
      <c r="J12816" s="11"/>
      <c r="K12816" s="12">
        <v>0</v>
      </c>
      <c r="L12816" s="10" t="str">
        <f>HYPERLINK("https://otsuka-europe-crm.veevavault.com/ui/#object/approved_document__v/V5O00000000R009", "AM2M - PSIQUIATRIA - Guía manejo práctico AM2M")</f>
        <v>AM2M - PSIQUIATRIA - Guía manejo práctico AM2M</v>
      </c>
      <c r="M12816" s="10" t="str">
        <f>HYPERLINK("mailto:jcastro@crm.otsuka-europe.com", "jcastro@crm.otsuka-europe.com")</f>
        <v>jcastro@crm.otsuka-europe.com</v>
      </c>
      <c r="N12816" s="13">
        <v>46199.464560185188</v>
      </c>
      <c r="O12816" s="14" t="str">
        <f>HYPERLINK("https://otsuka-europe-crm.veevavault.com/ui/#object/email_activity__v/V8C000000042086", "EN-002099868")</f>
        <v>EN-002099868</v>
      </c>
    </row>
    <row r="12817" spans="1:15" ht="48" x14ac:dyDescent="0.2">
      <c r="A12817" s="7" t="str">
        <f>HYPERLINK("https://otsuka-europe-crm.veevavault.com/ui/#object/account__v/V4TZ025E82H1J1G", "ALEX MARIN SIMIONCA ANDREI")</f>
        <v>ALEX MARIN SIMIONCA ANDREI</v>
      </c>
      <c r="B12817" s="7" t="str">
        <f>HYPERLINK("https://otsuka-europe-crm.veevavault.com/ui/#object/vcountry__v/VENZ000004SONF5", "ES")</f>
        <v>ES</v>
      </c>
      <c r="C12817" s="8" t="s">
        <v>41</v>
      </c>
      <c r="D12817" s="9" t="str">
        <f>HYPERLINK("https://otsuka-europe-crm.veevavault.com/ui/#object/approved_document__v/V5O00000000R009", "AM2M - PSIQUIATRIA - Guía manejo práctico AM2M")</f>
        <v>AM2M - PSIQUIATRIA - Guía manejo práctico AM2M</v>
      </c>
      <c r="E12817" s="10" t="str">
        <f>HYPERLINK("https://otsuka-europe-crm.veevavault.com/ui/#object/sent_email__v/VBL00000002Z149", "SE-001438534")</f>
        <v>SE-001438534</v>
      </c>
      <c r="F12817" s="11"/>
      <c r="G12817" s="12">
        <v>0</v>
      </c>
      <c r="H12817" s="12">
        <v>0</v>
      </c>
      <c r="I12817" s="12">
        <v>0</v>
      </c>
      <c r="J12817" s="11"/>
      <c r="K12817" s="12">
        <v>0</v>
      </c>
      <c r="L12817" s="10" t="str">
        <f>HYPERLINK("https://otsuka-europe-crm.veevavault.com/ui/#object/approved_document__v/V5O00000000R009", "AM2M - PSIQUIATRIA - Guía manejo práctico AM2M")</f>
        <v>AM2M - PSIQUIATRIA - Guía manejo práctico AM2M</v>
      </c>
      <c r="M12817" s="10" t="str">
        <f>HYPERLINK("mailto:jcastro@crm.otsuka-europe.com", "jcastro@crm.otsuka-europe.com")</f>
        <v>jcastro@crm.otsuka-europe.com</v>
      </c>
      <c r="N12817" s="13">
        <v>46199.464560185188</v>
      </c>
      <c r="O12817" s="14" t="str">
        <f>HYPERLINK("https://otsuka-europe-crm.veevavault.com/ui/#object/email_activity__v/V8C000000041062", "EN-002099799")</f>
        <v>EN-002099799</v>
      </c>
    </row>
    <row r="12818" spans="1:15" ht="48" x14ac:dyDescent="0.2">
      <c r="A12818" s="7" t="str">
        <f>HYPERLINK("https://otsuka-europe-crm.veevavault.com/ui/#object/account__v/V4TZ06G6O71TBAP", "JOSE JUAN MURO ROMERO")</f>
        <v>JOSE JUAN MURO ROMERO</v>
      </c>
      <c r="B12818" s="7" t="str">
        <f>HYPERLINK("https://otsuka-europe-crm.veevavault.com/ui/#object/vcountry__v/VENZ000004SONF5", "ES")</f>
        <v>ES</v>
      </c>
      <c r="C12818" s="8" t="s">
        <v>41</v>
      </c>
      <c r="D12818" s="9" t="str">
        <f>HYPERLINK("https://otsuka-europe-crm.veevavault.com/ui/#object/approved_document__v/V5O00000000R009", "AM2M - PSIQUIATRIA - Guía manejo práctico AM2M")</f>
        <v>AM2M - PSIQUIATRIA - Guía manejo práctico AM2M</v>
      </c>
      <c r="E12818" s="10" t="str">
        <f>HYPERLINK("https://otsuka-europe-crm.veevavault.com/ui/#object/sent_email__v/VBL00000002Z150", "SE-001438535")</f>
        <v>SE-001438535</v>
      </c>
      <c r="F12818" s="11"/>
      <c r="G12818" s="12">
        <v>0</v>
      </c>
      <c r="H12818" s="12">
        <v>0</v>
      </c>
      <c r="I12818" s="12">
        <v>0</v>
      </c>
      <c r="J12818" s="11"/>
      <c r="K12818" s="12">
        <v>0</v>
      </c>
      <c r="L12818" s="10" t="str">
        <f>HYPERLINK("https://otsuka-europe-crm.veevavault.com/ui/#object/approved_document__v/V5O00000000R009", "AM2M - PSIQUIATRIA - Guía manejo práctico AM2M")</f>
        <v>AM2M - PSIQUIATRIA - Guía manejo práctico AM2M</v>
      </c>
      <c r="M12818" s="10" t="str">
        <f>HYPERLINK("mailto:jcastro@crm.otsuka-europe.com", "jcastro@crm.otsuka-europe.com")</f>
        <v>jcastro@crm.otsuka-europe.com</v>
      </c>
      <c r="N12818" s="13">
        <v>46199.464560185188</v>
      </c>
      <c r="O12818" s="14" t="str">
        <f>HYPERLINK("https://otsuka-europe-crm.veevavault.com/ui/#object/email_activity__v/V8C000000042088", "EN-002099870")</f>
        <v>EN-002099870</v>
      </c>
    </row>
    <row r="12819" spans="1:15" ht="48" x14ac:dyDescent="0.2">
      <c r="A12819" s="7" t="str">
        <f>HYPERLINK("https://otsuka-europe-crm.veevavault.com/ui/#object/account__v/V4TZ025E869CFWK", "RAFAEL ORTEGA BUENO")</f>
        <v>RAFAEL ORTEGA BUENO</v>
      </c>
      <c r="B12819" s="7" t="str">
        <f>HYPERLINK("https://otsuka-europe-crm.veevavault.com/ui/#object/vcountry__v/VENZ000004SONF5", "ES")</f>
        <v>ES</v>
      </c>
      <c r="C12819" s="8" t="s">
        <v>41</v>
      </c>
      <c r="D12819" s="9" t="str">
        <f>HYPERLINK("https://otsuka-europe-crm.veevavault.com/ui/#object/approved_document__v/V5O00000000R009", "AM2M - PSIQUIATRIA - Guía manejo práctico AM2M")</f>
        <v>AM2M - PSIQUIATRIA - Guía manejo práctico AM2M</v>
      </c>
      <c r="E12819" s="10" t="str">
        <f>HYPERLINK("https://otsuka-europe-crm.veevavault.com/ui/#object/sent_email__v/VBL00000002Z151", "SE-001438536")</f>
        <v>SE-001438536</v>
      </c>
      <c r="F12819" s="11"/>
      <c r="G12819" s="12">
        <v>0</v>
      </c>
      <c r="H12819" s="12">
        <v>0</v>
      </c>
      <c r="I12819" s="12">
        <v>0</v>
      </c>
      <c r="J12819" s="11"/>
      <c r="K12819" s="12">
        <v>0</v>
      </c>
      <c r="L12819" s="10" t="str">
        <f>HYPERLINK("https://otsuka-europe-crm.veevavault.com/ui/#object/approved_document__v/V5O00000000R009", "AM2M - PSIQUIATRIA - Guía manejo práctico AM2M")</f>
        <v>AM2M - PSIQUIATRIA - Guía manejo práctico AM2M</v>
      </c>
      <c r="M12819" s="10" t="str">
        <f>HYPERLINK("mailto:jcastro@crm.otsuka-europe.com", "jcastro@crm.otsuka-europe.com")</f>
        <v>jcastro@crm.otsuka-europe.com</v>
      </c>
      <c r="N12819" s="13">
        <v>46199.464560185188</v>
      </c>
      <c r="O12819" s="14" t="str">
        <f>HYPERLINK("https://otsuka-europe-crm.veevavault.com/ui/#object/email_activity__v/V8C000000042067", "EN-002099839")</f>
        <v>EN-002099839</v>
      </c>
    </row>
    <row r="12820" spans="1:15" ht="16" x14ac:dyDescent="0.2">
      <c r="A12820" s="17" t="str">
        <f>HYPERLINK("https://otsuka-europe-crm.veevavault.com/ui/#object/account__v/V4TZ06G6O71WMHU", "ELENA GARCIA PRIETO")</f>
        <v>ELENA GARCIA PRIETO</v>
      </c>
      <c r="B12820" s="17" t="str">
        <f>HYPERLINK("https://otsuka-europe-crm.veevavault.com/ui/#object/vcountry__v/VENZ000004SONF5", "ES")</f>
        <v>ES</v>
      </c>
      <c r="C12820" s="20" t="s">
        <v>41</v>
      </c>
      <c r="D12820" s="21" t="str">
        <f>HYPERLINK("https://otsuka-europe-crm.veevavault.com/ui/#object/approved_document__v/V5O00000000R009", "AM2M - PSIQUIATRIA - Guía manejo práctico AM2M")</f>
        <v>AM2M - PSIQUIATRIA - Guía manejo práctico AM2M</v>
      </c>
      <c r="E12820" s="22" t="str">
        <f>HYPERLINK("https://otsuka-europe-crm.veevavault.com/ui/#object/sent_email__v/VBL00000002Z152", "SE-001438537")</f>
        <v>SE-001438537</v>
      </c>
      <c r="F12820" s="25"/>
      <c r="G12820" s="24">
        <v>0</v>
      </c>
      <c r="H12820" s="24">
        <v>0</v>
      </c>
      <c r="I12820" s="24">
        <v>0</v>
      </c>
      <c r="J12820" s="25"/>
      <c r="K12820" s="24">
        <v>0</v>
      </c>
      <c r="L12820" s="22" t="str">
        <f>HYPERLINK("https://otsuka-europe-crm.veevavault.com/ui/#object/approved_document__v/V5O00000000R009", "AM2M - PSIQUIATRIA - Guía manejo práctico AM2M")</f>
        <v>AM2M - PSIQUIATRIA - Guía manejo práctico AM2M</v>
      </c>
      <c r="M12820" s="22" t="str">
        <f>HYPERLINK("mailto:jcastro@crm.otsuka-europe.com", "jcastro@crm.otsuka-europe.com")</f>
        <v>jcastro@crm.otsuka-europe.com</v>
      </c>
      <c r="N12820" s="23">
        <v>46199.464560185188</v>
      </c>
      <c r="O12820" s="14" t="str">
        <f>HYPERLINK("https://otsuka-europe-crm.veevavault.com/ui/#object/email_activity__v/V8C000000041080", "EN-002099817")</f>
        <v>EN-002099817</v>
      </c>
    </row>
    <row r="12821" spans="1:15" ht="16" x14ac:dyDescent="0.2">
      <c r="A12821" s="19"/>
      <c r="B12821" s="19"/>
      <c r="C12821" s="19"/>
      <c r="D12821" s="19"/>
      <c r="E12821" s="19"/>
      <c r="F12821" s="19"/>
      <c r="G12821" s="19"/>
      <c r="H12821" s="19"/>
      <c r="I12821" s="19"/>
      <c r="J12821" s="19"/>
      <c r="K12821" s="19"/>
      <c r="L12821" s="19"/>
      <c r="M12821" s="19"/>
      <c r="N12821" s="19"/>
      <c r="O12821" s="14" t="str">
        <f>HYPERLINK("https://otsuka-europe-crm.veevavault.com/ui/#object/email_activity__v/V8C000000042225", "EN-002100160")</f>
        <v>EN-002100160</v>
      </c>
    </row>
    <row r="12822" spans="1:15" ht="16" x14ac:dyDescent="0.2">
      <c r="A12822" s="17" t="str">
        <f>HYPERLINK("https://otsuka-europe-crm.veevavault.com/ui/#object/account__v/V4TZ06G6O71T94O", "MANUEL ARTES LOPEZ")</f>
        <v>MANUEL ARTES LOPEZ</v>
      </c>
      <c r="B12822" s="17" t="str">
        <f>HYPERLINK("https://otsuka-europe-crm.veevavault.com/ui/#object/vcountry__v/VENZ000004SONF5", "ES")</f>
        <v>ES</v>
      </c>
      <c r="C12822" s="20" t="s">
        <v>41</v>
      </c>
      <c r="D12822" s="21" t="str">
        <f>HYPERLINK("https://otsuka-europe-crm.veevavault.com/ui/#object/approved_document__v/V5O00000000R009", "AM2M - PSIQUIATRIA - Guía manejo práctico AM2M")</f>
        <v>AM2M - PSIQUIATRIA - Guía manejo práctico AM2M</v>
      </c>
      <c r="E12822" s="22" t="str">
        <f>HYPERLINK("https://otsuka-europe-crm.veevavault.com/ui/#object/sent_email__v/VBL00000002Z153", "SE-001438538")</f>
        <v>SE-001438538</v>
      </c>
      <c r="F12822" s="25"/>
      <c r="G12822" s="24">
        <v>0</v>
      </c>
      <c r="H12822" s="24">
        <v>0</v>
      </c>
      <c r="I12822" s="24">
        <v>0</v>
      </c>
      <c r="J12822" s="25"/>
      <c r="K12822" s="24">
        <v>0</v>
      </c>
      <c r="L12822" s="22" t="str">
        <f>HYPERLINK("https://otsuka-europe-crm.veevavault.com/ui/#object/approved_document__v/V5O00000000R009", "AM2M - PSIQUIATRIA - Guía manejo práctico AM2M")</f>
        <v>AM2M - PSIQUIATRIA - Guía manejo práctico AM2M</v>
      </c>
      <c r="M12822" s="22" t="str">
        <f>HYPERLINK("mailto:jcastro@crm.otsuka-europe.com", "jcastro@crm.otsuka-europe.com")</f>
        <v>jcastro@crm.otsuka-europe.com</v>
      </c>
      <c r="N12822" s="23">
        <v>46199.464560185188</v>
      </c>
      <c r="O12822" s="14" t="str">
        <f>HYPERLINK("https://otsuka-europe-crm.veevavault.com/ui/#object/email_activity__v/V8C000000041245", "EN-002100161")</f>
        <v>EN-002100161</v>
      </c>
    </row>
    <row r="12823" spans="1:15" ht="16" x14ac:dyDescent="0.2">
      <c r="A12823" s="19"/>
      <c r="B12823" s="19"/>
      <c r="C12823" s="19"/>
      <c r="D12823" s="19"/>
      <c r="E12823" s="19"/>
      <c r="F12823" s="19"/>
      <c r="G12823" s="19"/>
      <c r="H12823" s="19"/>
      <c r="I12823" s="19"/>
      <c r="J12823" s="19"/>
      <c r="K12823" s="19"/>
      <c r="L12823" s="19"/>
      <c r="M12823" s="19"/>
      <c r="N12823" s="19"/>
      <c r="O12823" s="14" t="str">
        <f>HYPERLINK("https://otsuka-europe-crm.veevavault.com/ui/#object/email_activity__v/V8C000000042093", "EN-002099875")</f>
        <v>EN-002099875</v>
      </c>
    </row>
    <row r="12824" spans="1:15" ht="48" x14ac:dyDescent="0.2">
      <c r="A12824" s="7" t="str">
        <f>HYPERLINK("https://otsuka-europe-crm.veevavault.com/ui/#object/account__v/V4TZ06G6O71TBFS", "EVA VANESA NOGUERAS MORILLAS")</f>
        <v>EVA VANESA NOGUERAS MORILLAS</v>
      </c>
      <c r="B12824" s="7" t="str">
        <f>HYPERLINK("https://otsuka-europe-crm.veevavault.com/ui/#object/vcountry__v/VENZ000004SONF5", "ES")</f>
        <v>ES</v>
      </c>
      <c r="C12824" s="8" t="s">
        <v>41</v>
      </c>
      <c r="D12824" s="9" t="str">
        <f>HYPERLINK("https://otsuka-europe-crm.veevavault.com/ui/#object/approved_document__v/V5O00000000R009", "AM2M - PSIQUIATRIA - Guía manejo práctico AM2M")</f>
        <v>AM2M - PSIQUIATRIA - Guía manejo práctico AM2M</v>
      </c>
      <c r="E12824" s="10" t="str">
        <f>HYPERLINK("https://otsuka-europe-crm.veevavault.com/ui/#object/sent_email__v/VBL00000002Z154", "SE-001438539")</f>
        <v>SE-001438539</v>
      </c>
      <c r="F12824" s="11"/>
      <c r="G12824" s="12">
        <v>0</v>
      </c>
      <c r="H12824" s="12">
        <v>0</v>
      </c>
      <c r="I12824" s="12">
        <v>0</v>
      </c>
      <c r="J12824" s="11"/>
      <c r="K12824" s="12">
        <v>0</v>
      </c>
      <c r="L12824" s="10" t="str">
        <f>HYPERLINK("https://otsuka-europe-crm.veevavault.com/ui/#object/approved_document__v/V5O00000000R009", "AM2M - PSIQUIATRIA - Guía manejo práctico AM2M")</f>
        <v>AM2M - PSIQUIATRIA - Guía manejo práctico AM2M</v>
      </c>
      <c r="M12824" s="10" t="str">
        <f>HYPERLINK("mailto:jcastro@crm.otsuka-europe.com", "jcastro@crm.otsuka-europe.com")</f>
        <v>jcastro@crm.otsuka-europe.com</v>
      </c>
      <c r="N12824" s="13">
        <v>46199.464560185188</v>
      </c>
      <c r="O12824" s="14" t="str">
        <f>HYPERLINK("https://otsuka-europe-crm.veevavault.com/ui/#object/email_activity__v/V8C000000041075", "EN-002099812")</f>
        <v>EN-002099812</v>
      </c>
    </row>
    <row r="12825" spans="1:15" ht="16" x14ac:dyDescent="0.2">
      <c r="A12825" s="17" t="str">
        <f>HYPERLINK("https://otsuka-europe-crm.veevavault.com/ui/#object/account__v/V4TZ06G6O71T8A4", "ALFONSO CARLOS JIMENEZ MEDINA")</f>
        <v>ALFONSO CARLOS JIMENEZ MEDINA</v>
      </c>
      <c r="B12825" s="17" t="str">
        <f>HYPERLINK("https://otsuka-europe-crm.veevavault.com/ui/#object/vcountry__v/VENZ000004SONF5", "ES")</f>
        <v>ES</v>
      </c>
      <c r="C12825" s="20" t="s">
        <v>41</v>
      </c>
      <c r="D12825" s="21" t="str">
        <f>HYPERLINK("https://otsuka-europe-crm.veevavault.com/ui/#object/approved_document__v/V5O00000000R009", "AM2M - PSIQUIATRIA - Guía manejo práctico AM2M")</f>
        <v>AM2M - PSIQUIATRIA - Guía manejo práctico AM2M</v>
      </c>
      <c r="E12825" s="22" t="str">
        <f>HYPERLINK("https://otsuka-europe-crm.veevavault.com/ui/#object/sent_email__v/VBL00000002Z155", "SE-001438540")</f>
        <v>SE-001438540</v>
      </c>
      <c r="F12825" s="23">
        <v>46199.520532407405</v>
      </c>
      <c r="G12825" s="24">
        <v>1</v>
      </c>
      <c r="H12825" s="24">
        <v>1</v>
      </c>
      <c r="I12825" s="24">
        <v>0</v>
      </c>
      <c r="J12825" s="25"/>
      <c r="K12825" s="24">
        <v>0</v>
      </c>
      <c r="L12825" s="22" t="str">
        <f>HYPERLINK("https://otsuka-europe-crm.veevavault.com/ui/#object/approved_document__v/V5O00000000R009", "AM2M - PSIQUIATRIA - Guía manejo práctico AM2M")</f>
        <v>AM2M - PSIQUIATRIA - Guía manejo práctico AM2M</v>
      </c>
      <c r="M12825" s="22" t="str">
        <f>HYPERLINK("mailto:jcastro@crm.otsuka-europe.com", "jcastro@crm.otsuka-europe.com")</f>
        <v>jcastro@crm.otsuka-europe.com</v>
      </c>
      <c r="N12825" s="23">
        <v>46199.464560185188</v>
      </c>
      <c r="O12825" s="14" t="str">
        <f>HYPERLINK("https://otsuka-europe-crm.veevavault.com/ui/#object/email_activity__v/V8C000000041187", "EN-002100019")</f>
        <v>EN-002100019</v>
      </c>
    </row>
    <row r="12826" spans="1:15" ht="16" x14ac:dyDescent="0.2">
      <c r="A12826" s="19"/>
      <c r="B12826" s="19"/>
      <c r="C12826" s="19"/>
      <c r="D12826" s="19"/>
      <c r="E12826" s="19"/>
      <c r="F12826" s="19"/>
      <c r="G12826" s="19"/>
      <c r="H12826" s="19"/>
      <c r="I12826" s="19"/>
      <c r="J12826" s="19"/>
      <c r="K12826" s="19"/>
      <c r="L12826" s="19"/>
      <c r="M12826" s="19"/>
      <c r="N12826" s="19"/>
      <c r="O12826" s="14" t="str">
        <f>HYPERLINK("https://otsuka-europe-crm.veevavault.com/ui/#object/email_activity__v/V8C000000042087", "EN-002099869")</f>
        <v>EN-002099869</v>
      </c>
    </row>
    <row r="12827" spans="1:15" ht="48" x14ac:dyDescent="0.2">
      <c r="A12827" s="7" t="str">
        <f>HYPERLINK("https://otsuka-europe-crm.veevavault.com/ui/#object/account__v/V4TZ06G6O71TAIW", "JOSE LUIS HIGUERAS ARANDA")</f>
        <v>JOSE LUIS HIGUERAS ARANDA</v>
      </c>
      <c r="B12827" s="7" t="str">
        <f>HYPERLINK("https://otsuka-europe-crm.veevavault.com/ui/#object/vcountry__v/VENZ000004SONF5", "ES")</f>
        <v>ES</v>
      </c>
      <c r="C12827" s="8" t="s">
        <v>41</v>
      </c>
      <c r="D12827" s="9" t="str">
        <f>HYPERLINK("https://otsuka-europe-crm.veevavault.com/ui/#object/approved_document__v/V5O00000000R009", "AM2M - PSIQUIATRIA - Guía manejo práctico AM2M")</f>
        <v>AM2M - PSIQUIATRIA - Guía manejo práctico AM2M</v>
      </c>
      <c r="E12827" s="10" t="str">
        <f>HYPERLINK("https://otsuka-europe-crm.veevavault.com/ui/#object/sent_email__v/VBL00000002Z156", "SE-001438541")</f>
        <v>SE-001438541</v>
      </c>
      <c r="F12827" s="11"/>
      <c r="G12827" s="12">
        <v>0</v>
      </c>
      <c r="H12827" s="12">
        <v>0</v>
      </c>
      <c r="I12827" s="12">
        <v>0</v>
      </c>
      <c r="J12827" s="11"/>
      <c r="K12827" s="12">
        <v>0</v>
      </c>
      <c r="L12827" s="10" t="str">
        <f>HYPERLINK("https://otsuka-europe-crm.veevavault.com/ui/#object/approved_document__v/V5O00000000R009", "AM2M - PSIQUIATRIA - Guía manejo práctico AM2M")</f>
        <v>AM2M - PSIQUIATRIA - Guía manejo práctico AM2M</v>
      </c>
      <c r="M12827" s="10" t="str">
        <f>HYPERLINK("mailto:jcastro@crm.otsuka-europe.com", "jcastro@crm.otsuka-europe.com")</f>
        <v>jcastro@crm.otsuka-europe.com</v>
      </c>
      <c r="N12827" s="13">
        <v>46199.464560185188</v>
      </c>
      <c r="O12827" s="14" t="str">
        <f>HYPERLINK("https://otsuka-europe-crm.veevavault.com/ui/#object/email_activity__v/V8C000000042096", "EN-002099878")</f>
        <v>EN-002099878</v>
      </c>
    </row>
    <row r="12828" spans="1:15" ht="16" x14ac:dyDescent="0.2">
      <c r="A12828" s="17" t="str">
        <f>HYPERLINK("https://otsuka-europe-crm.veevavault.com/ui/#object/account__v/V4TZ025E881ZM4F", "CRISTINA SANCHEZ ASENSIO")</f>
        <v>CRISTINA SANCHEZ ASENSIO</v>
      </c>
      <c r="B12828" s="17" t="str">
        <f>HYPERLINK("https://otsuka-europe-crm.veevavault.com/ui/#object/vcountry__v/VENZ000004SONF5", "ES")</f>
        <v>ES</v>
      </c>
      <c r="C12828" s="20" t="s">
        <v>41</v>
      </c>
      <c r="D12828" s="21" t="str">
        <f>HYPERLINK("https://otsuka-europe-crm.veevavault.com/ui/#object/approved_document__v/V5O00000000L011", "Libro IA en psiquiatría")</f>
        <v>Libro IA en psiquiatría</v>
      </c>
      <c r="E12828" s="22" t="str">
        <f>HYPERLINK("https://otsuka-europe-crm.veevavault.com/ui/#object/sent_email__v/VBL00000002Z157", "SE-001438542")</f>
        <v>SE-001438542</v>
      </c>
      <c r="F12828" s="25"/>
      <c r="G12828" s="24">
        <v>0</v>
      </c>
      <c r="H12828" s="24">
        <v>0</v>
      </c>
      <c r="I12828" s="24">
        <v>0</v>
      </c>
      <c r="J12828" s="25"/>
      <c r="K12828" s="24">
        <v>0</v>
      </c>
      <c r="L12828" s="22" t="str">
        <f>HYPERLINK("https://otsuka-europe-crm.veevavault.com/ui/#object/approved_document__v/V5O00000000L011", "Libro IA en psiquiatría")</f>
        <v>Libro IA en psiquiatría</v>
      </c>
      <c r="M12828" s="22" t="str">
        <f>HYPERLINK("mailto:jcastro@crm.otsuka-europe.com", "jcastro@crm.otsuka-europe.com")</f>
        <v>jcastro@crm.otsuka-europe.com</v>
      </c>
      <c r="N12828" s="23">
        <v>46199.465497685182</v>
      </c>
      <c r="O12828" s="14" t="str">
        <f>HYPERLINK("https://otsuka-europe-crm.veevavault.com/ui/#object/email_activity__v/V8C000000041136", "EN-002099937")</f>
        <v>EN-002099937</v>
      </c>
    </row>
    <row r="12829" spans="1:15" ht="16" x14ac:dyDescent="0.2">
      <c r="A12829" s="19"/>
      <c r="B12829" s="19"/>
      <c r="C12829" s="19"/>
      <c r="D12829" s="19"/>
      <c r="E12829" s="19"/>
      <c r="F12829" s="19"/>
      <c r="G12829" s="19"/>
      <c r="H12829" s="19"/>
      <c r="I12829" s="19"/>
      <c r="J12829" s="19"/>
      <c r="K12829" s="19"/>
      <c r="L12829" s="19"/>
      <c r="M12829" s="19"/>
      <c r="N12829" s="19"/>
      <c r="O12829" s="14" t="str">
        <f>HYPERLINK("https://otsuka-europe-crm.veevavault.com/ui/#object/email_activity__v/V8C000000041233", "EN-002100128")</f>
        <v>EN-002100128</v>
      </c>
    </row>
    <row r="12830" spans="1:15" ht="32" x14ac:dyDescent="0.2">
      <c r="A12830" s="7" t="str">
        <f>HYPERLINK("https://otsuka-europe-crm.veevavault.com/ui/#object/account__v/V4T00000001D088", "MARIA JESUS COCA GALVEZ")</f>
        <v>MARIA JESUS COCA GALVEZ</v>
      </c>
      <c r="B12830" s="7" t="str">
        <f>HYPERLINK("https://otsuka-europe-crm.veevavault.com/ui/#object/vcountry__v/VENZ000004SONF5", "ES")</f>
        <v>ES</v>
      </c>
      <c r="C12830" s="8" t="s">
        <v>41</v>
      </c>
      <c r="D12830" s="9" t="str">
        <f>HYPERLINK("https://otsuka-europe-crm.veevavault.com/ui/#object/approved_document__v/V5O00000000L011", "Libro IA en psiquiatría")</f>
        <v>Libro IA en psiquiatría</v>
      </c>
      <c r="E12830" s="10" t="str">
        <f>HYPERLINK("https://otsuka-europe-crm.veevavault.com/ui/#object/sent_email__v/VBL00000002Z158", "SE-001438543")</f>
        <v>SE-001438543</v>
      </c>
      <c r="F12830" s="11"/>
      <c r="G12830" s="12">
        <v>0</v>
      </c>
      <c r="H12830" s="12">
        <v>0</v>
      </c>
      <c r="I12830" s="12">
        <v>0</v>
      </c>
      <c r="J12830" s="11"/>
      <c r="K12830" s="12">
        <v>0</v>
      </c>
      <c r="L12830" s="10" t="str">
        <f>HYPERLINK("https://otsuka-europe-crm.veevavault.com/ui/#object/approved_document__v/V5O00000000L011", "Libro IA en psiquiatría")</f>
        <v>Libro IA en psiquiatría</v>
      </c>
      <c r="M12830" s="10" t="str">
        <f>HYPERLINK("mailto:jcastro@crm.otsuka-europe.com", "jcastro@crm.otsuka-europe.com")</f>
        <v>jcastro@crm.otsuka-europe.com</v>
      </c>
      <c r="N12830" s="13">
        <v>46199.465497685182</v>
      </c>
      <c r="O12830" s="14" t="str">
        <f>HYPERLINK("https://otsuka-europe-crm.veevavault.com/ui/#object/email_activity__v/V8C000000041138", "EN-002099939")</f>
        <v>EN-002099939</v>
      </c>
    </row>
    <row r="12831" spans="1:15" ht="32" x14ac:dyDescent="0.2">
      <c r="A12831" s="7" t="str">
        <f>HYPERLINK("https://otsuka-europe-crm.veevavault.com/ui/#object/account__v/V4TZ025E87N3IA7", "ISABEL MENDOZA MENDOZA")</f>
        <v>ISABEL MENDOZA MENDOZA</v>
      </c>
      <c r="B12831" s="7" t="str">
        <f>HYPERLINK("https://otsuka-europe-crm.veevavault.com/ui/#object/vcountry__v/VENZ000004SONF5", "ES")</f>
        <v>ES</v>
      </c>
      <c r="C12831" s="8" t="s">
        <v>41</v>
      </c>
      <c r="D12831" s="9" t="str">
        <f>HYPERLINK("https://otsuka-europe-crm.veevavault.com/ui/#object/approved_document__v/V5O00000000L011", "Libro IA en psiquiatría")</f>
        <v>Libro IA en psiquiatría</v>
      </c>
      <c r="E12831" s="10" t="str">
        <f>HYPERLINK("https://otsuka-europe-crm.veevavault.com/ui/#object/sent_email__v/VBL00000002Z159", "SE-001438544")</f>
        <v>SE-001438544</v>
      </c>
      <c r="F12831" s="11"/>
      <c r="G12831" s="12">
        <v>0</v>
      </c>
      <c r="H12831" s="12">
        <v>0</v>
      </c>
      <c r="I12831" s="12">
        <v>0</v>
      </c>
      <c r="J12831" s="11"/>
      <c r="K12831" s="12">
        <v>0</v>
      </c>
      <c r="L12831" s="10" t="str">
        <f>HYPERLINK("https://otsuka-europe-crm.veevavault.com/ui/#object/approved_document__v/V5O00000000L011", "Libro IA en psiquiatría")</f>
        <v>Libro IA en psiquiatría</v>
      </c>
      <c r="M12831" s="10" t="str">
        <f>HYPERLINK("mailto:jcastro@crm.otsuka-europe.com", "jcastro@crm.otsuka-europe.com")</f>
        <v>jcastro@crm.otsuka-europe.com</v>
      </c>
      <c r="N12831" s="13">
        <v>46199.465509259258</v>
      </c>
      <c r="O12831" s="14" t="str">
        <f>HYPERLINK("https://otsuka-europe-crm.veevavault.com/ui/#object/email_activity__v/V8C000000041129", "EN-002099930")</f>
        <v>EN-002099930</v>
      </c>
    </row>
    <row r="12832" spans="1:15" ht="16" x14ac:dyDescent="0.2">
      <c r="A12832" s="17" t="str">
        <f>HYPERLINK("https://otsuka-europe-crm.veevavault.com/ui/#object/account__v/V4TZ06G6O71TDAS", "DAVID GARCIA LOPEZ")</f>
        <v>DAVID GARCIA LOPEZ</v>
      </c>
      <c r="B12832" s="17" t="str">
        <f>HYPERLINK("https://otsuka-europe-crm.veevavault.com/ui/#object/vcountry__v/VENZ000004SONF5", "ES")</f>
        <v>ES</v>
      </c>
      <c r="C12832" s="20" t="s">
        <v>41</v>
      </c>
      <c r="D12832" s="21" t="str">
        <f>HYPERLINK("https://otsuka-europe-crm.veevavault.com/ui/#object/approved_document__v/V5O00000000L011", "Libro IA en psiquiatría")</f>
        <v>Libro IA en psiquiatría</v>
      </c>
      <c r="E12832" s="22" t="str">
        <f>HYPERLINK("https://otsuka-europe-crm.veevavault.com/ui/#object/sent_email__v/VBL00000002Z160", "SE-001438545")</f>
        <v>SE-001438545</v>
      </c>
      <c r="F12832" s="25"/>
      <c r="G12832" s="24">
        <v>0</v>
      </c>
      <c r="H12832" s="24">
        <v>0</v>
      </c>
      <c r="I12832" s="24">
        <v>0</v>
      </c>
      <c r="J12832" s="25"/>
      <c r="K12832" s="24">
        <v>0</v>
      </c>
      <c r="L12832" s="22" t="str">
        <f>HYPERLINK("https://otsuka-europe-crm.veevavault.com/ui/#object/approved_document__v/V5O00000000L011", "Libro IA en psiquiatría")</f>
        <v>Libro IA en psiquiatría</v>
      </c>
      <c r="M12832" s="22" t="str">
        <f>HYPERLINK("mailto:jcastro@crm.otsuka-europe.com", "jcastro@crm.otsuka-europe.com")</f>
        <v>jcastro@crm.otsuka-europe.com</v>
      </c>
      <c r="N12832" s="23">
        <v>46199.465509259258</v>
      </c>
      <c r="O12832" s="14" t="str">
        <f>HYPERLINK("https://otsuka-europe-crm.veevavault.com/ui/#object/email_activity__v/V8C000000041123", "EN-002099921")</f>
        <v>EN-002099921</v>
      </c>
    </row>
    <row r="12833" spans="1:15" ht="16" x14ac:dyDescent="0.2">
      <c r="A12833" s="19"/>
      <c r="B12833" s="19"/>
      <c r="C12833" s="19"/>
      <c r="D12833" s="19"/>
      <c r="E12833" s="19"/>
      <c r="F12833" s="19"/>
      <c r="G12833" s="19"/>
      <c r="H12833" s="19"/>
      <c r="I12833" s="19"/>
      <c r="J12833" s="19"/>
      <c r="K12833" s="19"/>
      <c r="L12833" s="19"/>
      <c r="M12833" s="19"/>
      <c r="N12833" s="19"/>
      <c r="O12833" s="14" t="str">
        <f>HYPERLINK("https://otsuka-europe-crm.veevavault.com/ui/#object/email_activity__v/V8C000000041171", "EN-002099984")</f>
        <v>EN-002099984</v>
      </c>
    </row>
    <row r="12834" spans="1:15" ht="32" x14ac:dyDescent="0.2">
      <c r="A12834" s="7" t="str">
        <f>HYPERLINK("https://otsuka-europe-crm.veevavault.com/ui/#object/account__v/V4TZ06G6OB4F2QD", "ENCARNACION BENAVENTE VELAZQUEZ")</f>
        <v>ENCARNACION BENAVENTE VELAZQUEZ</v>
      </c>
      <c r="B12834" s="7" t="str">
        <f>HYPERLINK("https://otsuka-europe-crm.veevavault.com/ui/#object/vcountry__v/VENZ000004SONF5", "ES")</f>
        <v>ES</v>
      </c>
      <c r="C12834" s="8" t="s">
        <v>41</v>
      </c>
      <c r="D12834" s="9" t="str">
        <f>HYPERLINK("https://otsuka-europe-crm.veevavault.com/ui/#object/approved_document__v/V5O00000000L011", "Libro IA en psiquiatría")</f>
        <v>Libro IA en psiquiatría</v>
      </c>
      <c r="E12834" s="10" t="str">
        <f>HYPERLINK("https://otsuka-europe-crm.veevavault.com/ui/#object/sent_email__v/VBL00000002Z161", "SE-001438546")</f>
        <v>SE-001438546</v>
      </c>
      <c r="F12834" s="11"/>
      <c r="G12834" s="12">
        <v>0</v>
      </c>
      <c r="H12834" s="12">
        <v>0</v>
      </c>
      <c r="I12834" s="12">
        <v>0</v>
      </c>
      <c r="J12834" s="11"/>
      <c r="K12834" s="12">
        <v>0</v>
      </c>
      <c r="L12834" s="10" t="str">
        <f>HYPERLINK("https://otsuka-europe-crm.veevavault.com/ui/#object/approved_document__v/V5O00000000L011", "Libro IA en psiquiatría")</f>
        <v>Libro IA en psiquiatría</v>
      </c>
      <c r="M12834" s="10" t="str">
        <f>HYPERLINK("mailto:jcastro@crm.otsuka-europe.com", "jcastro@crm.otsuka-europe.com")</f>
        <v>jcastro@crm.otsuka-europe.com</v>
      </c>
      <c r="N12834" s="13">
        <v>46199.465509259258</v>
      </c>
      <c r="O12834" s="14" t="str">
        <f>HYPERLINK("https://otsuka-europe-crm.veevavault.com/ui/#object/email_activity__v/V8C000000041167", "EN-002099969")</f>
        <v>EN-002099969</v>
      </c>
    </row>
    <row r="12835" spans="1:15" ht="32" x14ac:dyDescent="0.2">
      <c r="A12835" s="7" t="str">
        <f>HYPERLINK("https://otsuka-europe-crm.veevavault.com/ui/#object/account__v/V4TZ025E833WY3F", "SERAFIN JOSE ALFEREZ MORAL")</f>
        <v>SERAFIN JOSE ALFEREZ MORAL</v>
      </c>
      <c r="B12835" s="7" t="str">
        <f>HYPERLINK("https://otsuka-europe-crm.veevavault.com/ui/#object/vcountry__v/VENZ000004SONF5", "ES")</f>
        <v>ES</v>
      </c>
      <c r="C12835" s="8" t="s">
        <v>41</v>
      </c>
      <c r="D12835" s="9" t="str">
        <f>HYPERLINK("https://otsuka-europe-crm.veevavault.com/ui/#object/approved_document__v/V5O00000000L011", "Libro IA en psiquiatría")</f>
        <v>Libro IA en psiquiatría</v>
      </c>
      <c r="E12835" s="10" t="str">
        <f>HYPERLINK("https://otsuka-europe-crm.veevavault.com/ui/#object/sent_email__v/VBL00000002Z162", "SE-001438547")</f>
        <v>SE-001438547</v>
      </c>
      <c r="F12835" s="11"/>
      <c r="G12835" s="12">
        <v>0</v>
      </c>
      <c r="H12835" s="12">
        <v>0</v>
      </c>
      <c r="I12835" s="12">
        <v>0</v>
      </c>
      <c r="J12835" s="11"/>
      <c r="K12835" s="12">
        <v>0</v>
      </c>
      <c r="L12835" s="10" t="str">
        <f>HYPERLINK("https://otsuka-europe-crm.veevavault.com/ui/#object/approved_document__v/V5O00000000L011", "Libro IA en psiquiatría")</f>
        <v>Libro IA en psiquiatría</v>
      </c>
      <c r="M12835" s="10" t="str">
        <f>HYPERLINK("mailto:jcastro@crm.otsuka-europe.com", "jcastro@crm.otsuka-europe.com")</f>
        <v>jcastro@crm.otsuka-europe.com</v>
      </c>
      <c r="N12835" s="13">
        <v>46199.465509259258</v>
      </c>
      <c r="O12835" s="14" t="str">
        <f>HYPERLINK("https://otsuka-europe-crm.veevavault.com/ui/#object/email_activity__v/V8C000000041126", "EN-002099927")</f>
        <v>EN-002099927</v>
      </c>
    </row>
    <row r="12836" spans="1:15" ht="32" x14ac:dyDescent="0.2">
      <c r="A12836" s="7" t="str">
        <f>HYPERLINK("https://otsuka-europe-crm.veevavault.com/ui/#object/account__v/V4TZ025E860QUQV", "MARIA CARMEN RUIZ GONZALEZ")</f>
        <v>MARIA CARMEN RUIZ GONZALEZ</v>
      </c>
      <c r="B12836" s="7" t="str">
        <f>HYPERLINK("https://otsuka-europe-crm.veevavault.com/ui/#object/vcountry__v/VENZ000004SONF5", "ES")</f>
        <v>ES</v>
      </c>
      <c r="C12836" s="8" t="s">
        <v>41</v>
      </c>
      <c r="D12836" s="9" t="str">
        <f>HYPERLINK("https://otsuka-europe-crm.veevavault.com/ui/#object/approved_document__v/V5O00000000L011", "Libro IA en psiquiatría")</f>
        <v>Libro IA en psiquiatría</v>
      </c>
      <c r="E12836" s="10" t="str">
        <f>HYPERLINK("https://otsuka-europe-crm.veevavault.com/ui/#object/sent_email__v/VBL00000002Z163", "SE-001438548")</f>
        <v>SE-001438548</v>
      </c>
      <c r="F12836" s="11"/>
      <c r="G12836" s="12">
        <v>0</v>
      </c>
      <c r="H12836" s="12">
        <v>0</v>
      </c>
      <c r="I12836" s="12">
        <v>0</v>
      </c>
      <c r="J12836" s="11"/>
      <c r="K12836" s="12">
        <v>0</v>
      </c>
      <c r="L12836" s="10" t="str">
        <f>HYPERLINK("https://otsuka-europe-crm.veevavault.com/ui/#object/approved_document__v/V5O00000000L011", "Libro IA en psiquiatría")</f>
        <v>Libro IA en psiquiatría</v>
      </c>
      <c r="M12836" s="10" t="str">
        <f>HYPERLINK("mailto:jcastro@crm.otsuka-europe.com", "jcastro@crm.otsuka-europe.com")</f>
        <v>jcastro@crm.otsuka-europe.com</v>
      </c>
      <c r="N12836" s="13">
        <v>46199.465509259258</v>
      </c>
      <c r="O12836" s="14" t="str">
        <f>HYPERLINK("https://otsuka-europe-crm.veevavault.com/ui/#object/email_activity__v/V8C000000041164", "EN-002099966")</f>
        <v>EN-002099966</v>
      </c>
    </row>
    <row r="12837" spans="1:15" ht="16" x14ac:dyDescent="0.2">
      <c r="A12837" s="17" t="str">
        <f>HYPERLINK("https://otsuka-europe-crm.veevavault.com/ui/#object/account__v/V4TZ06G6OCEHDKE", "MARIA DELIA SEGURA MARTINEZ")</f>
        <v>MARIA DELIA SEGURA MARTINEZ</v>
      </c>
      <c r="B12837" s="17" t="str">
        <f>HYPERLINK("https://otsuka-europe-crm.veevavault.com/ui/#object/vcountry__v/VENZ000004SONF5", "ES")</f>
        <v>ES</v>
      </c>
      <c r="C12837" s="20" t="s">
        <v>41</v>
      </c>
      <c r="D12837" s="21" t="str">
        <f>HYPERLINK("https://otsuka-europe-crm.veevavault.com/ui/#object/approved_document__v/V5O00000000L011", "Libro IA en psiquiatría")</f>
        <v>Libro IA en psiquiatría</v>
      </c>
      <c r="E12837" s="22" t="str">
        <f>HYPERLINK("https://otsuka-europe-crm.veevavault.com/ui/#object/sent_email__v/VBL00000002Z164", "SE-001438549")</f>
        <v>SE-001438549</v>
      </c>
      <c r="F12837" s="25"/>
      <c r="G12837" s="24">
        <v>0</v>
      </c>
      <c r="H12837" s="24">
        <v>0</v>
      </c>
      <c r="I12837" s="24">
        <v>0</v>
      </c>
      <c r="J12837" s="25"/>
      <c r="K12837" s="24">
        <v>0</v>
      </c>
      <c r="L12837" s="22" t="str">
        <f>HYPERLINK("https://otsuka-europe-crm.veevavault.com/ui/#object/approved_document__v/V5O00000000L011", "Libro IA en psiquiatría")</f>
        <v>Libro IA en psiquiatría</v>
      </c>
      <c r="M12837" s="22" t="str">
        <f>HYPERLINK("mailto:jcastro@crm.otsuka-europe.com", "jcastro@crm.otsuka-europe.com")</f>
        <v>jcastro@crm.otsuka-europe.com</v>
      </c>
      <c r="N12837" s="23">
        <v>46199.465509259258</v>
      </c>
      <c r="O12837" s="14" t="str">
        <f>HYPERLINK("https://otsuka-europe-crm.veevavault.com/ui/#object/email_activity__v/V8C000000041130", "EN-002099931")</f>
        <v>EN-002099931</v>
      </c>
    </row>
    <row r="12838" spans="1:15" ht="16" x14ac:dyDescent="0.2">
      <c r="A12838" s="19"/>
      <c r="B12838" s="19"/>
      <c r="C12838" s="19"/>
      <c r="D12838" s="19"/>
      <c r="E12838" s="19"/>
      <c r="F12838" s="19"/>
      <c r="G12838" s="19"/>
      <c r="H12838" s="19"/>
      <c r="I12838" s="19"/>
      <c r="J12838" s="19"/>
      <c r="K12838" s="19"/>
      <c r="L12838" s="19"/>
      <c r="M12838" s="19"/>
      <c r="N12838" s="19"/>
      <c r="O12838" s="14" t="str">
        <f>HYPERLINK("https://otsuka-europe-crm.veevavault.com/ui/#object/email_activity__v/V8C000000042286", "EN-002100278")</f>
        <v>EN-002100278</v>
      </c>
    </row>
    <row r="12839" spans="1:15" ht="32" x14ac:dyDescent="0.2">
      <c r="A12839" s="7" t="str">
        <f>HYPERLINK("https://otsuka-europe-crm.veevavault.com/ui/#object/account__v/V4TZ025E860FES6", "MARIA ESTHER MORENO MARTIN")</f>
        <v>MARIA ESTHER MORENO MARTIN</v>
      </c>
      <c r="B12839" s="7" t="str">
        <f>HYPERLINK("https://otsuka-europe-crm.veevavault.com/ui/#object/vcountry__v/VENZ000004SONF5", "ES")</f>
        <v>ES</v>
      </c>
      <c r="C12839" s="8" t="s">
        <v>41</v>
      </c>
      <c r="D12839" s="9" t="str">
        <f>HYPERLINK("https://otsuka-europe-crm.veevavault.com/ui/#object/approved_document__v/V5O00000000L011", "Libro IA en psiquiatría")</f>
        <v>Libro IA en psiquiatría</v>
      </c>
      <c r="E12839" s="10" t="str">
        <f>HYPERLINK("https://otsuka-europe-crm.veevavault.com/ui/#object/sent_email__v/VBL00000002Z165", "SE-001438550")</f>
        <v>SE-001438550</v>
      </c>
      <c r="F12839" s="11"/>
      <c r="G12839" s="12">
        <v>0</v>
      </c>
      <c r="H12839" s="12">
        <v>0</v>
      </c>
      <c r="I12839" s="12">
        <v>0</v>
      </c>
      <c r="J12839" s="11"/>
      <c r="K12839" s="12">
        <v>0</v>
      </c>
      <c r="L12839" s="10" t="str">
        <f>HYPERLINK("https://otsuka-europe-crm.veevavault.com/ui/#object/approved_document__v/V5O00000000L011", "Libro IA en psiquiatría")</f>
        <v>Libro IA en psiquiatría</v>
      </c>
      <c r="M12839" s="10" t="str">
        <f>HYPERLINK("mailto:jcastro@crm.otsuka-europe.com", "jcastro@crm.otsuka-europe.com")</f>
        <v>jcastro@crm.otsuka-europe.com</v>
      </c>
      <c r="N12839" s="13">
        <v>46199.465509259258</v>
      </c>
      <c r="O12839" s="14" t="str">
        <f>HYPERLINK("https://otsuka-europe-crm.veevavault.com/ui/#object/email_activity__v/V8C000000042111", "EN-002099951")</f>
        <v>EN-002099951</v>
      </c>
    </row>
    <row r="12840" spans="1:15" ht="32" x14ac:dyDescent="0.2">
      <c r="A12840" s="7" t="str">
        <f>HYPERLINK("https://otsuka-europe-crm.veevavault.com/ui/#object/account__v/V4TZ025E82VTDC1", "ALICIA MUÑOZ SANCHEZ")</f>
        <v>ALICIA MUÑOZ SANCHEZ</v>
      </c>
      <c r="B12840" s="7" t="str">
        <f>HYPERLINK("https://otsuka-europe-crm.veevavault.com/ui/#object/vcountry__v/VENZ000004SONF5", "ES")</f>
        <v>ES</v>
      </c>
      <c r="C12840" s="8" t="s">
        <v>41</v>
      </c>
      <c r="D12840" s="9" t="str">
        <f>HYPERLINK("https://otsuka-europe-crm.veevavault.com/ui/#object/approved_document__v/V5O00000000L011", "Libro IA en psiquiatría")</f>
        <v>Libro IA en psiquiatría</v>
      </c>
      <c r="E12840" s="10" t="str">
        <f>HYPERLINK("https://otsuka-europe-crm.veevavault.com/ui/#object/sent_email__v/VBL00000002Z166", "SE-001438551")</f>
        <v>SE-001438551</v>
      </c>
      <c r="F12840" s="11"/>
      <c r="G12840" s="12">
        <v>0</v>
      </c>
      <c r="H12840" s="12">
        <v>0</v>
      </c>
      <c r="I12840" s="12">
        <v>0</v>
      </c>
      <c r="J12840" s="11"/>
      <c r="K12840" s="12">
        <v>0</v>
      </c>
      <c r="L12840" s="10" t="str">
        <f>HYPERLINK("https://otsuka-europe-crm.veevavault.com/ui/#object/approved_document__v/V5O00000000L011", "Libro IA en psiquiatría")</f>
        <v>Libro IA en psiquiatría</v>
      </c>
      <c r="M12840" s="10" t="str">
        <f>HYPERLINK("mailto:jcastro@crm.otsuka-europe.com", "jcastro@crm.otsuka-europe.com")</f>
        <v>jcastro@crm.otsuka-europe.com</v>
      </c>
      <c r="N12840" s="13">
        <v>46199.465509259258</v>
      </c>
      <c r="O12840" s="14" t="str">
        <f>HYPERLINK("https://otsuka-europe-crm.veevavault.com/ui/#object/email_activity__v/V8C000000041131", "EN-002099932")</f>
        <v>EN-002099932</v>
      </c>
    </row>
    <row r="12841" spans="1:15" ht="16" x14ac:dyDescent="0.2">
      <c r="A12841" s="17" t="str">
        <f>HYPERLINK("https://otsuka-europe-crm.veevavault.com/ui/#object/account__v/V4TZ06G6OB4FZQ9", "JOSE MANUEL PEREZ CASTILLO")</f>
        <v>JOSE MANUEL PEREZ CASTILLO</v>
      </c>
      <c r="B12841" s="17" t="str">
        <f>HYPERLINK("https://otsuka-europe-crm.veevavault.com/ui/#object/vcountry__v/VENZ000004SONF5", "ES")</f>
        <v>ES</v>
      </c>
      <c r="C12841" s="20" t="s">
        <v>41</v>
      </c>
      <c r="D12841" s="21" t="str">
        <f>HYPERLINK("https://otsuka-europe-crm.veevavault.com/ui/#object/approved_document__v/V5O00000000L011", "Libro IA en psiquiatría")</f>
        <v>Libro IA en psiquiatría</v>
      </c>
      <c r="E12841" s="22" t="str">
        <f>HYPERLINK("https://otsuka-europe-crm.veevavault.com/ui/#object/sent_email__v/VBL00000002Z167", "SE-001438552")</f>
        <v>SE-001438552</v>
      </c>
      <c r="F12841" s="23">
        <v>46199.515381944446</v>
      </c>
      <c r="G12841" s="24">
        <v>1</v>
      </c>
      <c r="H12841" s="24">
        <v>1</v>
      </c>
      <c r="I12841" s="24">
        <v>0</v>
      </c>
      <c r="J12841" s="25"/>
      <c r="K12841" s="24">
        <v>0</v>
      </c>
      <c r="L12841" s="22" t="str">
        <f>HYPERLINK("https://otsuka-europe-crm.veevavault.com/ui/#object/approved_document__v/V5O00000000L011", "Libro IA en psiquiatría")</f>
        <v>Libro IA en psiquiatría</v>
      </c>
      <c r="M12841" s="22" t="str">
        <f>HYPERLINK("mailto:jcastro@crm.otsuka-europe.com", "jcastro@crm.otsuka-europe.com")</f>
        <v>jcastro@crm.otsuka-europe.com</v>
      </c>
      <c r="N12841" s="23">
        <v>46199.465509259258</v>
      </c>
      <c r="O12841" s="14" t="str">
        <f>HYPERLINK("https://otsuka-europe-crm.veevavault.com/ui/#object/email_activity__v/V8C000000041154", "EN-002099956")</f>
        <v>EN-002099956</v>
      </c>
    </row>
    <row r="12842" spans="1:15" ht="16" x14ac:dyDescent="0.2">
      <c r="A12842" s="19"/>
      <c r="B12842" s="19"/>
      <c r="C12842" s="19"/>
      <c r="D12842" s="19"/>
      <c r="E12842" s="19"/>
      <c r="F12842" s="19"/>
      <c r="G12842" s="19"/>
      <c r="H12842" s="19"/>
      <c r="I12842" s="19"/>
      <c r="J12842" s="19"/>
      <c r="K12842" s="19"/>
      <c r="L12842" s="19"/>
      <c r="M12842" s="19"/>
      <c r="N12842" s="19"/>
      <c r="O12842" s="14" t="str">
        <f>HYPERLINK("https://otsuka-europe-crm.veevavault.com/ui/#object/email_activity__v/V8C000000041185", "EN-002100017")</f>
        <v>EN-002100017</v>
      </c>
    </row>
    <row r="12843" spans="1:15" ht="32" x14ac:dyDescent="0.2">
      <c r="A12843" s="7" t="str">
        <f>HYPERLINK("https://otsuka-europe-crm.veevavault.com/ui/#object/account__v/V4TZ025E862OFZS", "ELENA GARCIA GUTIERREZ")</f>
        <v>ELENA GARCIA GUTIERREZ</v>
      </c>
      <c r="B12843" s="7" t="str">
        <f>HYPERLINK("https://otsuka-europe-crm.veevavault.com/ui/#object/vcountry__v/VENZ000004SONF5", "ES")</f>
        <v>ES</v>
      </c>
      <c r="C12843" s="8" t="s">
        <v>41</v>
      </c>
      <c r="D12843" s="9" t="str">
        <f>HYPERLINK("https://otsuka-europe-crm.veevavault.com/ui/#object/approved_document__v/V5O00000000L011", "Libro IA en psiquiatría")</f>
        <v>Libro IA en psiquiatría</v>
      </c>
      <c r="E12843" s="10" t="str">
        <f>HYPERLINK("https://otsuka-europe-crm.veevavault.com/ui/#object/sent_email__v/VBL00000002Z168", "SE-001438553")</f>
        <v>SE-001438553</v>
      </c>
      <c r="F12843" s="11"/>
      <c r="G12843" s="12">
        <v>0</v>
      </c>
      <c r="H12843" s="12">
        <v>0</v>
      </c>
      <c r="I12843" s="12">
        <v>0</v>
      </c>
      <c r="J12843" s="11"/>
      <c r="K12843" s="12">
        <v>0</v>
      </c>
      <c r="L12843" s="10" t="str">
        <f>HYPERLINK("https://otsuka-europe-crm.veevavault.com/ui/#object/approved_document__v/V5O00000000L011", "Libro IA en psiquiatría")</f>
        <v>Libro IA en psiquiatría</v>
      </c>
      <c r="M12843" s="10" t="str">
        <f>HYPERLINK("mailto:jcastro@crm.otsuka-europe.com", "jcastro@crm.otsuka-europe.com")</f>
        <v>jcastro@crm.otsuka-europe.com</v>
      </c>
      <c r="N12843" s="13">
        <v>46199.465509259258</v>
      </c>
      <c r="O12843" s="14" t="str">
        <f>HYPERLINK("https://otsuka-europe-crm.veevavault.com/ui/#object/email_activity__v/V8C000000041132", "EN-002099933")</f>
        <v>EN-002099933</v>
      </c>
    </row>
    <row r="12844" spans="1:15" ht="16" x14ac:dyDescent="0.2">
      <c r="A12844" s="17" t="str">
        <f>HYPERLINK("https://otsuka-europe-crm.veevavault.com/ui/#object/account__v/V4TZ025E8642P8X", "CLAUDIA JIMENEZ GOMEZ")</f>
        <v>CLAUDIA JIMENEZ GOMEZ</v>
      </c>
      <c r="B12844" s="17" t="str">
        <f>HYPERLINK("https://otsuka-europe-crm.veevavault.com/ui/#object/vcountry__v/VENZ000004SONF5", "ES")</f>
        <v>ES</v>
      </c>
      <c r="C12844" s="20" t="s">
        <v>41</v>
      </c>
      <c r="D12844" s="21" t="str">
        <f>HYPERLINK("https://otsuka-europe-crm.veevavault.com/ui/#object/approved_document__v/V5O00000000L011", "Libro IA en psiquiatría")</f>
        <v>Libro IA en psiquiatría</v>
      </c>
      <c r="E12844" s="22" t="str">
        <f>HYPERLINK("https://otsuka-europe-crm.veevavault.com/ui/#object/sent_email__v/VBL00000002Z169", "SE-001438554")</f>
        <v>SE-001438554</v>
      </c>
      <c r="F12844" s="25"/>
      <c r="G12844" s="24">
        <v>0</v>
      </c>
      <c r="H12844" s="24">
        <v>0</v>
      </c>
      <c r="I12844" s="24">
        <v>0</v>
      </c>
      <c r="J12844" s="25"/>
      <c r="K12844" s="24">
        <v>0</v>
      </c>
      <c r="L12844" s="22" t="str">
        <f>HYPERLINK("https://otsuka-europe-crm.veevavault.com/ui/#object/approved_document__v/V5O00000000L011", "Libro IA en psiquiatría")</f>
        <v>Libro IA en psiquiatría</v>
      </c>
      <c r="M12844" s="22" t="str">
        <f>HYPERLINK("mailto:jcastro@crm.otsuka-europe.com", "jcastro@crm.otsuka-europe.com")</f>
        <v>jcastro@crm.otsuka-europe.com</v>
      </c>
      <c r="N12844" s="23">
        <v>46199.465509259258</v>
      </c>
      <c r="O12844" s="14" t="str">
        <f>HYPERLINK("https://otsuka-europe-crm.veevavault.com/ui/#object/email_activity__v/V8C000000041148", "EN-002099949")</f>
        <v>EN-002099949</v>
      </c>
    </row>
    <row r="12845" spans="1:15" ht="16" x14ac:dyDescent="0.2">
      <c r="A12845" s="19"/>
      <c r="B12845" s="19"/>
      <c r="C12845" s="19"/>
      <c r="D12845" s="19"/>
      <c r="E12845" s="19"/>
      <c r="F12845" s="19"/>
      <c r="G12845" s="19"/>
      <c r="H12845" s="19"/>
      <c r="I12845" s="19"/>
      <c r="J12845" s="19"/>
      <c r="K12845" s="19"/>
      <c r="L12845" s="19"/>
      <c r="M12845" s="19"/>
      <c r="N12845" s="19"/>
      <c r="O12845" s="14" t="str">
        <f>HYPERLINK("https://otsuka-europe-crm.veevavault.com/ui/#object/email_activity__v/V8C000000042284", "EN-002100273")</f>
        <v>EN-002100273</v>
      </c>
    </row>
    <row r="12846" spans="1:15" ht="16" x14ac:dyDescent="0.2">
      <c r="A12846" s="17" t="str">
        <f>HYPERLINK("https://otsuka-europe-crm.veevavault.com/ui/#object/account__v/V4TZ04ASG999UH6", "JAVIER PEREZ GARCIA")</f>
        <v>JAVIER PEREZ GARCIA</v>
      </c>
      <c r="B12846" s="17" t="str">
        <f>HYPERLINK("https://otsuka-europe-crm.veevavault.com/ui/#object/vcountry__v/VENZ000004SONF5", "ES")</f>
        <v>ES</v>
      </c>
      <c r="C12846" s="20" t="s">
        <v>41</v>
      </c>
      <c r="D12846" s="21" t="str">
        <f>HYPERLINK("https://otsuka-europe-crm.veevavault.com/ui/#object/approved_document__v/V5O00000000L011", "Libro IA en psiquiatría")</f>
        <v>Libro IA en psiquiatría</v>
      </c>
      <c r="E12846" s="22" t="str">
        <f>HYPERLINK("https://otsuka-europe-crm.veevavault.com/ui/#object/sent_email__v/VBL00000002Z170", "SE-001438555")</f>
        <v>SE-001438555</v>
      </c>
      <c r="F12846" s="25"/>
      <c r="G12846" s="24">
        <v>0</v>
      </c>
      <c r="H12846" s="24">
        <v>0</v>
      </c>
      <c r="I12846" s="24">
        <v>1</v>
      </c>
      <c r="J12846" s="23">
        <v>46199.470578703702</v>
      </c>
      <c r="K12846" s="24">
        <v>1</v>
      </c>
      <c r="L12846" s="22" t="str">
        <f>HYPERLINK("https://otsuka-europe-crm.veevavault.com/ui/#object/approved_document__v/V5O00000000L011", "Libro IA en psiquiatría")</f>
        <v>Libro IA en psiquiatría</v>
      </c>
      <c r="M12846" s="22" t="str">
        <f>HYPERLINK("mailto:jcastro@crm.otsuka-europe.com", "jcastro@crm.otsuka-europe.com")</f>
        <v>jcastro@crm.otsuka-europe.com</v>
      </c>
      <c r="N12846" s="23">
        <v>46199.465497685182</v>
      </c>
      <c r="O12846" s="14" t="str">
        <f>HYPERLINK("https://otsuka-europe-crm.veevavault.com/ui/#object/email_activity__v/V8C000000041153", "EN-002099955")</f>
        <v>EN-002099955</v>
      </c>
    </row>
    <row r="12847" spans="1:15" ht="16" x14ac:dyDescent="0.2">
      <c r="A12847" s="18"/>
      <c r="B12847" s="18"/>
      <c r="C12847" s="18"/>
      <c r="D12847" s="18"/>
      <c r="E12847" s="18"/>
      <c r="F12847" s="18"/>
      <c r="G12847" s="18"/>
      <c r="H12847" s="18"/>
      <c r="I12847" s="18"/>
      <c r="J12847" s="18"/>
      <c r="K12847" s="18"/>
      <c r="L12847" s="18"/>
      <c r="M12847" s="18"/>
      <c r="N12847" s="18"/>
      <c r="O12847" s="14" t="str">
        <f>HYPERLINK("https://otsuka-europe-crm.veevavault.com/ui/#object/email_activity__v/V8C000000042121", "EN-002099982")</f>
        <v>EN-002099982</v>
      </c>
    </row>
    <row r="12848" spans="1:15" ht="16" x14ac:dyDescent="0.2">
      <c r="A12848" s="19"/>
      <c r="B12848" s="19"/>
      <c r="C12848" s="19"/>
      <c r="D12848" s="19"/>
      <c r="E12848" s="19"/>
      <c r="F12848" s="19"/>
      <c r="G12848" s="19"/>
      <c r="H12848" s="19"/>
      <c r="I12848" s="19"/>
      <c r="J12848" s="19"/>
      <c r="K12848" s="19"/>
      <c r="L12848" s="19"/>
      <c r="M12848" s="19"/>
      <c r="N12848" s="19"/>
      <c r="O12848" s="14" t="str">
        <f>HYPERLINK("https://otsuka-europe-crm.veevavault.com/ui/#object/email_activity__v/V8C000000042122", "EN-002099983")</f>
        <v>EN-002099983</v>
      </c>
    </row>
    <row r="12849" spans="1:15" ht="16" x14ac:dyDescent="0.2">
      <c r="A12849" s="17" t="str">
        <f>HYPERLINK("https://otsuka-europe-crm.veevavault.com/ui/#object/account__v/V4TZ025E860QUQT", "JESUS MORILLAS RUIZ")</f>
        <v>JESUS MORILLAS RUIZ</v>
      </c>
      <c r="B12849" s="17" t="str">
        <f>HYPERLINK("https://otsuka-europe-crm.veevavault.com/ui/#object/vcountry__v/VENZ000004SONF5", "ES")</f>
        <v>ES</v>
      </c>
      <c r="C12849" s="20" t="s">
        <v>41</v>
      </c>
      <c r="D12849" s="21" t="str">
        <f>HYPERLINK("https://otsuka-europe-crm.veevavault.com/ui/#object/approved_document__v/V5O00000000L011", "Libro IA en psiquiatría")</f>
        <v>Libro IA en psiquiatría</v>
      </c>
      <c r="E12849" s="22" t="str">
        <f>HYPERLINK("https://otsuka-europe-crm.veevavault.com/ui/#object/sent_email__v/VBL00000002Z171", "SE-001438556")</f>
        <v>SE-001438556</v>
      </c>
      <c r="F12849" s="25"/>
      <c r="G12849" s="24">
        <v>0</v>
      </c>
      <c r="H12849" s="24">
        <v>0</v>
      </c>
      <c r="I12849" s="24">
        <v>0</v>
      </c>
      <c r="J12849" s="25"/>
      <c r="K12849" s="24">
        <v>0</v>
      </c>
      <c r="L12849" s="22" t="str">
        <f>HYPERLINK("https://otsuka-europe-crm.veevavault.com/ui/#object/approved_document__v/V5O00000000L011", "Libro IA en psiquiatría")</f>
        <v>Libro IA en psiquiatría</v>
      </c>
      <c r="M12849" s="22" t="str">
        <f>HYPERLINK("mailto:jcastro@crm.otsuka-europe.com", "jcastro@crm.otsuka-europe.com")</f>
        <v>jcastro@crm.otsuka-europe.com</v>
      </c>
      <c r="N12849" s="23">
        <v>46199.465497685182</v>
      </c>
      <c r="O12849" s="14" t="str">
        <f>HYPERLINK("https://otsuka-europe-crm.veevavault.com/ui/#object/email_activity__v/V8C000000041140", "EN-002099941")</f>
        <v>EN-002099941</v>
      </c>
    </row>
    <row r="12850" spans="1:15" ht="16" x14ac:dyDescent="0.2">
      <c r="A12850" s="19"/>
      <c r="B12850" s="19"/>
      <c r="C12850" s="19"/>
      <c r="D12850" s="19"/>
      <c r="E12850" s="19"/>
      <c r="F12850" s="19"/>
      <c r="G12850" s="19"/>
      <c r="H12850" s="19"/>
      <c r="I12850" s="19"/>
      <c r="J12850" s="19"/>
      <c r="K12850" s="19"/>
      <c r="L12850" s="19"/>
      <c r="M12850" s="19"/>
      <c r="N12850" s="19"/>
      <c r="O12850" s="14" t="str">
        <f>HYPERLINK("https://otsuka-europe-crm.veevavault.com/ui/#object/email_activity__v/V8C000000042209", "EN-002100137")</f>
        <v>EN-002100137</v>
      </c>
    </row>
    <row r="12851" spans="1:15" ht="16" x14ac:dyDescent="0.2">
      <c r="A12851" s="17" t="str">
        <f>HYPERLINK("https://otsuka-europe-crm.veevavault.com/ui/#object/account__v/V4T00000001C019", "AURELIANO MORENO PEREZ")</f>
        <v>AURELIANO MORENO PEREZ</v>
      </c>
      <c r="B12851" s="17" t="str">
        <f>HYPERLINK("https://otsuka-europe-crm.veevavault.com/ui/#object/vcountry__v/VENZ000004SONF5", "ES")</f>
        <v>ES</v>
      </c>
      <c r="C12851" s="20" t="s">
        <v>41</v>
      </c>
      <c r="D12851" s="21" t="str">
        <f>HYPERLINK("https://otsuka-europe-crm.veevavault.com/ui/#object/approved_document__v/V5O00000000L011", "Libro IA en psiquiatría")</f>
        <v>Libro IA en psiquiatría</v>
      </c>
      <c r="E12851" s="22" t="str">
        <f>HYPERLINK("https://otsuka-europe-crm.veevavault.com/ui/#object/sent_email__v/VBL00000002Z172", "SE-001438557")</f>
        <v>SE-001438557</v>
      </c>
      <c r="F12851" s="23">
        <v>46199.610717592594</v>
      </c>
      <c r="G12851" s="24">
        <v>1</v>
      </c>
      <c r="H12851" s="24">
        <v>1</v>
      </c>
      <c r="I12851" s="24">
        <v>1</v>
      </c>
      <c r="J12851" s="23">
        <v>46199.611145833333</v>
      </c>
      <c r="K12851" s="24">
        <v>1</v>
      </c>
      <c r="L12851" s="22" t="str">
        <f>HYPERLINK("https://otsuka-europe-crm.veevavault.com/ui/#object/approved_document__v/V5O00000000L011", "Libro IA en psiquiatría")</f>
        <v>Libro IA en psiquiatría</v>
      </c>
      <c r="M12851" s="22" t="str">
        <f>HYPERLINK("mailto:jcastro@crm.otsuka-europe.com", "jcastro@crm.otsuka-europe.com")</f>
        <v>jcastro@crm.otsuka-europe.com</v>
      </c>
      <c r="N12851" s="23">
        <v>46199.465497685182</v>
      </c>
      <c r="O12851" s="14" t="str">
        <f>HYPERLINK("https://otsuka-europe-crm.veevavault.com/ui/#object/email_activity__v/V8C000000041155", "EN-002099957")</f>
        <v>EN-002099957</v>
      </c>
    </row>
    <row r="12852" spans="1:15" ht="16" x14ac:dyDescent="0.2">
      <c r="A12852" s="18"/>
      <c r="B12852" s="18"/>
      <c r="C12852" s="18"/>
      <c r="D12852" s="18"/>
      <c r="E12852" s="18"/>
      <c r="F12852" s="18"/>
      <c r="G12852" s="18"/>
      <c r="H12852" s="18"/>
      <c r="I12852" s="18"/>
      <c r="J12852" s="18"/>
      <c r="K12852" s="18"/>
      <c r="L12852" s="18"/>
      <c r="M12852" s="18"/>
      <c r="N12852" s="18"/>
      <c r="O12852" s="14" t="str">
        <f>HYPERLINK("https://otsuka-europe-crm.veevavault.com/ui/#object/email_activity__v/V8C000000041212", "EN-002100077")</f>
        <v>EN-002100077</v>
      </c>
    </row>
    <row r="12853" spans="1:15" ht="16" x14ac:dyDescent="0.2">
      <c r="A12853" s="19"/>
      <c r="B12853" s="19"/>
      <c r="C12853" s="19"/>
      <c r="D12853" s="19"/>
      <c r="E12853" s="19"/>
      <c r="F12853" s="19"/>
      <c r="G12853" s="19"/>
      <c r="H12853" s="19"/>
      <c r="I12853" s="19"/>
      <c r="J12853" s="19"/>
      <c r="K12853" s="19"/>
      <c r="L12853" s="19"/>
      <c r="M12853" s="19"/>
      <c r="N12853" s="19"/>
      <c r="O12853" s="14" t="str">
        <f>HYPERLINK("https://otsuka-europe-crm.veevavault.com/ui/#object/email_activity__v/V8C000000042177", "EN-002100080")</f>
        <v>EN-002100080</v>
      </c>
    </row>
    <row r="12854" spans="1:15" ht="32" x14ac:dyDescent="0.2">
      <c r="A12854" s="7" t="str">
        <f>HYPERLINK("https://otsuka-europe-crm.veevavault.com/ui/#object/account__v/V4T00000001V012", "ANA ACEITUNO MARTOS")</f>
        <v>ANA ACEITUNO MARTOS</v>
      </c>
      <c r="B12854" s="7" t="str">
        <f>HYPERLINK("https://otsuka-europe-crm.veevavault.com/ui/#object/vcountry__v/VENZ000004SONF5", "ES")</f>
        <v>ES</v>
      </c>
      <c r="C12854" s="8" t="s">
        <v>41</v>
      </c>
      <c r="D12854" s="9" t="str">
        <f>HYPERLINK("https://otsuka-europe-crm.veevavault.com/ui/#object/approved_document__v/V5O00000000L011", "Libro IA en psiquiatría")</f>
        <v>Libro IA en psiquiatría</v>
      </c>
      <c r="E12854" s="10" t="str">
        <f>HYPERLINK("https://otsuka-europe-crm.veevavault.com/ui/#object/sent_email__v/VBL00000002Z173", "SE-001438558")</f>
        <v>SE-001438558</v>
      </c>
      <c r="F12854" s="11"/>
      <c r="G12854" s="12">
        <v>0</v>
      </c>
      <c r="H12854" s="12">
        <v>0</v>
      </c>
      <c r="I12854" s="12">
        <v>0</v>
      </c>
      <c r="J12854" s="11"/>
      <c r="K12854" s="12">
        <v>0</v>
      </c>
      <c r="L12854" s="10" t="str">
        <f>HYPERLINK("https://otsuka-europe-crm.veevavault.com/ui/#object/approved_document__v/V5O00000000L011", "Libro IA en psiquiatría")</f>
        <v>Libro IA en psiquiatría</v>
      </c>
      <c r="M12854" s="10" t="str">
        <f>HYPERLINK("mailto:jcastro@crm.otsuka-europe.com", "jcastro@crm.otsuka-europe.com")</f>
        <v>jcastro@crm.otsuka-europe.com</v>
      </c>
      <c r="N12854" s="13">
        <v>46199.465497685182</v>
      </c>
      <c r="O12854" s="14" t="str">
        <f>HYPERLINK("https://otsuka-europe-crm.veevavault.com/ui/#object/email_activity__v/V8C000000041127", "EN-002099928")</f>
        <v>EN-002099928</v>
      </c>
    </row>
    <row r="12855" spans="1:15" ht="16" x14ac:dyDescent="0.2">
      <c r="A12855" s="17" t="str">
        <f>HYPERLINK("https://otsuka-europe-crm.veevavault.com/ui/#object/account__v/V4TZ06G6O90NWKT", "MARIA DOLORES TORRES GONZALEZ")</f>
        <v>MARIA DOLORES TORRES GONZALEZ</v>
      </c>
      <c r="B12855" s="17" t="str">
        <f>HYPERLINK("https://otsuka-europe-crm.veevavault.com/ui/#object/vcountry__v/VENZ000004SONF5", "ES")</f>
        <v>ES</v>
      </c>
      <c r="C12855" s="20" t="s">
        <v>41</v>
      </c>
      <c r="D12855" s="21" t="str">
        <f>HYPERLINK("https://otsuka-europe-crm.veevavault.com/ui/#object/approved_document__v/V5O00000000L011", "Libro IA en psiquiatría")</f>
        <v>Libro IA en psiquiatría</v>
      </c>
      <c r="E12855" s="22" t="str">
        <f>HYPERLINK("https://otsuka-europe-crm.veevavault.com/ui/#object/sent_email__v/VBL00000002Z174", "SE-001438559")</f>
        <v>SE-001438559</v>
      </c>
      <c r="F12855" s="23">
        <v>46199.48951388889</v>
      </c>
      <c r="G12855" s="24">
        <v>1</v>
      </c>
      <c r="H12855" s="24">
        <v>1</v>
      </c>
      <c r="I12855" s="24">
        <v>0</v>
      </c>
      <c r="J12855" s="25"/>
      <c r="K12855" s="24">
        <v>0</v>
      </c>
      <c r="L12855" s="22" t="str">
        <f>HYPERLINK("https://otsuka-europe-crm.veevavault.com/ui/#object/approved_document__v/V5O00000000L011", "Libro IA en psiquiatría")</f>
        <v>Libro IA en psiquiatría</v>
      </c>
      <c r="M12855" s="22" t="str">
        <f>HYPERLINK("mailto:jcastro@crm.otsuka-europe.com", "jcastro@crm.otsuka-europe.com")</f>
        <v>jcastro@crm.otsuka-europe.com</v>
      </c>
      <c r="N12855" s="23">
        <v>46199.465497685182</v>
      </c>
      <c r="O12855" s="14" t="str">
        <f>HYPERLINK("https://otsuka-europe-crm.veevavault.com/ui/#object/email_activity__v/V8C000000041122", "EN-002099920")</f>
        <v>EN-002099920</v>
      </c>
    </row>
    <row r="12856" spans="1:15" ht="16" x14ac:dyDescent="0.2">
      <c r="A12856" s="19"/>
      <c r="B12856" s="19"/>
      <c r="C12856" s="19"/>
      <c r="D12856" s="19"/>
      <c r="E12856" s="19"/>
      <c r="F12856" s="19"/>
      <c r="G12856" s="19"/>
      <c r="H12856" s="19"/>
      <c r="I12856" s="19"/>
      <c r="J12856" s="19"/>
      <c r="K12856" s="19"/>
      <c r="L12856" s="19"/>
      <c r="M12856" s="19"/>
      <c r="N12856" s="19"/>
      <c r="O12856" s="14" t="str">
        <f>HYPERLINK("https://otsuka-europe-crm.veevavault.com/ui/#object/email_activity__v/V8C000000042127", "EN-002099997")</f>
        <v>EN-002099997</v>
      </c>
    </row>
    <row r="12857" spans="1:15" ht="32" x14ac:dyDescent="0.2">
      <c r="A12857" s="7" t="str">
        <f>HYPERLINK("https://otsuka-europe-crm.veevavault.com/ui/#object/account__v/V4TZ025E861FYTY", "ANA YAÑEZ ALCALDE")</f>
        <v>ANA YAÑEZ ALCALDE</v>
      </c>
      <c r="B12857" s="7" t="str">
        <f>HYPERLINK("https://otsuka-europe-crm.veevavault.com/ui/#object/vcountry__v/VENZ000004SONF5", "ES")</f>
        <v>ES</v>
      </c>
      <c r="C12857" s="8" t="s">
        <v>41</v>
      </c>
      <c r="D12857" s="9" t="str">
        <f>HYPERLINK("https://otsuka-europe-crm.veevavault.com/ui/#object/approved_document__v/V5O00000000L011", "Libro IA en psiquiatría")</f>
        <v>Libro IA en psiquiatría</v>
      </c>
      <c r="E12857" s="10" t="str">
        <f>HYPERLINK("https://otsuka-europe-crm.veevavault.com/ui/#object/sent_email__v/VBL00000002Z175", "SE-001438560")</f>
        <v>SE-001438560</v>
      </c>
      <c r="F12857" s="11"/>
      <c r="G12857" s="12">
        <v>0</v>
      </c>
      <c r="H12857" s="12">
        <v>0</v>
      </c>
      <c r="I12857" s="12">
        <v>0</v>
      </c>
      <c r="J12857" s="11"/>
      <c r="K12857" s="12">
        <v>0</v>
      </c>
      <c r="L12857" s="10" t="str">
        <f>HYPERLINK("https://otsuka-europe-crm.veevavault.com/ui/#object/approved_document__v/V5O00000000L011", "Libro IA en psiquiatría")</f>
        <v>Libro IA en psiquiatría</v>
      </c>
      <c r="M12857" s="10" t="str">
        <f>HYPERLINK("mailto:jcastro@crm.otsuka-europe.com", "jcastro@crm.otsuka-europe.com")</f>
        <v>jcastro@crm.otsuka-europe.com</v>
      </c>
      <c r="N12857" s="13">
        <v>46199.465497685182</v>
      </c>
      <c r="O12857" s="14" t="str">
        <f>HYPERLINK("https://otsuka-europe-crm.veevavault.com/ui/#object/email_activity__v/V8C000000041163", "EN-002099965")</f>
        <v>EN-002099965</v>
      </c>
    </row>
    <row r="12858" spans="1:15" ht="16" x14ac:dyDescent="0.2">
      <c r="A12858" s="17" t="str">
        <f>HYPERLINK("https://otsuka-europe-crm.veevavault.com/ui/#object/account__v/V4TZ025E82ZXFI5", "BEATRIZ ORTEGA MORENO")</f>
        <v>BEATRIZ ORTEGA MORENO</v>
      </c>
      <c r="B12858" s="17" t="str">
        <f>HYPERLINK("https://otsuka-europe-crm.veevavault.com/ui/#object/vcountry__v/VENZ000004SONF5", "ES")</f>
        <v>ES</v>
      </c>
      <c r="C12858" s="20" t="s">
        <v>41</v>
      </c>
      <c r="D12858" s="21" t="str">
        <f>HYPERLINK("https://otsuka-europe-crm.veevavault.com/ui/#object/approved_document__v/V5O00000000L011", "Libro IA en psiquiatría")</f>
        <v>Libro IA en psiquiatría</v>
      </c>
      <c r="E12858" s="22" t="str">
        <f>HYPERLINK("https://otsuka-europe-crm.veevavault.com/ui/#object/sent_email__v/VBL00000002Z176", "SE-001438561")</f>
        <v>SE-001438561</v>
      </c>
      <c r="F12858" s="23">
        <v>46200.926516203705</v>
      </c>
      <c r="G12858" s="24">
        <v>1</v>
      </c>
      <c r="H12858" s="24">
        <v>2</v>
      </c>
      <c r="I12858" s="24">
        <v>1</v>
      </c>
      <c r="J12858" s="23">
        <v>46200.927175925928</v>
      </c>
      <c r="K12858" s="24">
        <v>2</v>
      </c>
      <c r="L12858" s="22" t="str">
        <f>HYPERLINK("https://otsuka-europe-crm.veevavault.com/ui/#object/approved_document__v/V5O00000000L011", "Libro IA en psiquiatría")</f>
        <v>Libro IA en psiquiatría</v>
      </c>
      <c r="M12858" s="22" t="str">
        <f>HYPERLINK("mailto:jcastro@crm.otsuka-europe.com", "jcastro@crm.otsuka-europe.com")</f>
        <v>jcastro@crm.otsuka-europe.com</v>
      </c>
      <c r="N12858" s="23">
        <v>46199.465497685182</v>
      </c>
      <c r="O12858" s="14" t="str">
        <f>HYPERLINK("https://otsuka-europe-crm.veevavault.com/ui/#object/email_activity__v/V8C000000041150", "EN-002099952")</f>
        <v>EN-002099952</v>
      </c>
    </row>
    <row r="12859" spans="1:15" ht="16" x14ac:dyDescent="0.2">
      <c r="A12859" s="18"/>
      <c r="B12859" s="18"/>
      <c r="C12859" s="18"/>
      <c r="D12859" s="18"/>
      <c r="E12859" s="18"/>
      <c r="F12859" s="18"/>
      <c r="G12859" s="18"/>
      <c r="H12859" s="18"/>
      <c r="I12859" s="18"/>
      <c r="J12859" s="18"/>
      <c r="K12859" s="18"/>
      <c r="L12859" s="18"/>
      <c r="M12859" s="18"/>
      <c r="N12859" s="18"/>
      <c r="O12859" s="14" t="str">
        <f>HYPERLINK("https://otsuka-europe-crm.veevavault.com/ui/#object/email_activity__v/V8C000000041267", "EN-002100208")</f>
        <v>EN-002100208</v>
      </c>
    </row>
    <row r="12860" spans="1:15" ht="16" x14ac:dyDescent="0.2">
      <c r="A12860" s="18"/>
      <c r="B12860" s="18"/>
      <c r="C12860" s="18"/>
      <c r="D12860" s="18"/>
      <c r="E12860" s="18"/>
      <c r="F12860" s="18"/>
      <c r="G12860" s="18"/>
      <c r="H12860" s="18"/>
      <c r="I12860" s="18"/>
      <c r="J12860" s="18"/>
      <c r="K12860" s="18"/>
      <c r="L12860" s="18"/>
      <c r="M12860" s="18"/>
      <c r="N12860" s="18"/>
      <c r="O12860" s="14" t="str">
        <f>HYPERLINK("https://otsuka-europe-crm.veevavault.com/ui/#object/email_activity__v/V8C000000042248", "EN-002100207")</f>
        <v>EN-002100207</v>
      </c>
    </row>
    <row r="12861" spans="1:15" ht="16" x14ac:dyDescent="0.2">
      <c r="A12861" s="18"/>
      <c r="B12861" s="18"/>
      <c r="C12861" s="18"/>
      <c r="D12861" s="18"/>
      <c r="E12861" s="18"/>
      <c r="F12861" s="18"/>
      <c r="G12861" s="18"/>
      <c r="H12861" s="18"/>
      <c r="I12861" s="18"/>
      <c r="J12861" s="18"/>
      <c r="K12861" s="18"/>
      <c r="L12861" s="18"/>
      <c r="M12861" s="18"/>
      <c r="N12861" s="18"/>
      <c r="O12861" s="14" t="str">
        <f>HYPERLINK("https://otsuka-europe-crm.veevavault.com/ui/#object/email_activity__v/V8C000000042249", "EN-002100205")</f>
        <v>EN-002100205</v>
      </c>
    </row>
    <row r="12862" spans="1:15" ht="16" x14ac:dyDescent="0.2">
      <c r="A12862" s="19"/>
      <c r="B12862" s="19"/>
      <c r="C12862" s="19"/>
      <c r="D12862" s="19"/>
      <c r="E12862" s="19"/>
      <c r="F12862" s="19"/>
      <c r="G12862" s="19"/>
      <c r="H12862" s="19"/>
      <c r="I12862" s="19"/>
      <c r="J12862" s="19"/>
      <c r="K12862" s="19"/>
      <c r="L12862" s="19"/>
      <c r="M12862" s="19"/>
      <c r="N12862" s="19"/>
      <c r="O12862" s="14" t="str">
        <f>HYPERLINK("https://otsuka-europe-crm.veevavault.com/ui/#object/email_activity__v/V8C000000042250", "EN-002100206")</f>
        <v>EN-002100206</v>
      </c>
    </row>
    <row r="12863" spans="1:15" ht="32" x14ac:dyDescent="0.2">
      <c r="A12863" s="7" t="str">
        <f>HYPERLINK("https://otsuka-europe-crm.veevavault.com/ui/#object/account__v/V4TZ025E860FGV5", "JUAN MIGUEL JOYANES TOLEDO")</f>
        <v>JUAN MIGUEL JOYANES TOLEDO</v>
      </c>
      <c r="B12863" s="7" t="str">
        <f t="shared" ref="B12863:B12869" si="926">HYPERLINK("https://otsuka-europe-crm.veevavault.com/ui/#object/vcountry__v/VENZ000004SONF5", "ES")</f>
        <v>ES</v>
      </c>
      <c r="C12863" s="8" t="s">
        <v>41</v>
      </c>
      <c r="D12863" s="9" t="str">
        <f t="shared" ref="D12863:D12869" si="927">HYPERLINK("https://otsuka-europe-crm.veevavault.com/ui/#object/approved_document__v/V5O00000000L011", "Libro IA en psiquiatría")</f>
        <v>Libro IA en psiquiatría</v>
      </c>
      <c r="E12863" s="10" t="str">
        <f>HYPERLINK("https://otsuka-europe-crm.veevavault.com/ui/#object/sent_email__v/VBL00000002Z177", "SE-001438562")</f>
        <v>SE-001438562</v>
      </c>
      <c r="F12863" s="11"/>
      <c r="G12863" s="12">
        <v>0</v>
      </c>
      <c r="H12863" s="12">
        <v>0</v>
      </c>
      <c r="I12863" s="12">
        <v>0</v>
      </c>
      <c r="J12863" s="11"/>
      <c r="K12863" s="12">
        <v>0</v>
      </c>
      <c r="L12863" s="10" t="str">
        <f t="shared" ref="L12863:L12869" si="928">HYPERLINK("https://otsuka-europe-crm.veevavault.com/ui/#object/approved_document__v/V5O00000000L011", "Libro IA en psiquiatría")</f>
        <v>Libro IA en psiquiatría</v>
      </c>
      <c r="M12863" s="10" t="str">
        <f t="shared" ref="M12863:M12869" si="929">HYPERLINK("mailto:jcastro@crm.otsuka-europe.com", "jcastro@crm.otsuka-europe.com")</f>
        <v>jcastro@crm.otsuka-europe.com</v>
      </c>
      <c r="N12863" s="13">
        <v>46199.465497685182</v>
      </c>
      <c r="O12863" s="14" t="str">
        <f>HYPERLINK("https://otsuka-europe-crm.veevavault.com/ui/#object/email_activity__v/V8C000000042108", "EN-002099923")</f>
        <v>EN-002099923</v>
      </c>
    </row>
    <row r="12864" spans="1:15" ht="32" x14ac:dyDescent="0.2">
      <c r="A12864" s="7" t="str">
        <f>HYPERLINK("https://otsuka-europe-crm.veevavault.com/ui/#object/account__v/V4TZ025E85PNCL0", "ROSA MARIA FERNANDEZ BOLIVAR")</f>
        <v>ROSA MARIA FERNANDEZ BOLIVAR</v>
      </c>
      <c r="B12864" s="7" t="str">
        <f t="shared" si="926"/>
        <v>ES</v>
      </c>
      <c r="C12864" s="8" t="s">
        <v>41</v>
      </c>
      <c r="D12864" s="9" t="str">
        <f t="shared" si="927"/>
        <v>Libro IA en psiquiatría</v>
      </c>
      <c r="E12864" s="10" t="str">
        <f>HYPERLINK("https://otsuka-europe-crm.veevavault.com/ui/#object/sent_email__v/VBL00000002Z178", "SE-001438563")</f>
        <v>SE-001438563</v>
      </c>
      <c r="F12864" s="11"/>
      <c r="G12864" s="12">
        <v>0</v>
      </c>
      <c r="H12864" s="12">
        <v>0</v>
      </c>
      <c r="I12864" s="12">
        <v>0</v>
      </c>
      <c r="J12864" s="11"/>
      <c r="K12864" s="12">
        <v>0</v>
      </c>
      <c r="L12864" s="10" t="str">
        <f t="shared" si="928"/>
        <v>Libro IA en psiquiatría</v>
      </c>
      <c r="M12864" s="10" t="str">
        <f t="shared" si="929"/>
        <v>jcastro@crm.otsuka-europe.com</v>
      </c>
      <c r="N12864" s="13">
        <v>46199.465497685182</v>
      </c>
      <c r="O12864" s="14" t="str">
        <f>HYPERLINK("https://otsuka-europe-crm.veevavault.com/ui/#object/email_activity__v/V8C000000041134", "EN-002099935")</f>
        <v>EN-002099935</v>
      </c>
    </row>
    <row r="12865" spans="1:15" ht="32" x14ac:dyDescent="0.2">
      <c r="A12865" s="7" t="str">
        <f>HYPERLINK("https://otsuka-europe-crm.veevavault.com/ui/#object/account__v/V4TZ06G6O71TD7Z", "ROSA GRANJA SEGURA")</f>
        <v>ROSA GRANJA SEGURA</v>
      </c>
      <c r="B12865" s="7" t="str">
        <f t="shared" si="926"/>
        <v>ES</v>
      </c>
      <c r="C12865" s="8" t="s">
        <v>41</v>
      </c>
      <c r="D12865" s="9" t="str">
        <f t="shared" si="927"/>
        <v>Libro IA en psiquiatría</v>
      </c>
      <c r="E12865" s="10" t="str">
        <f>HYPERLINK("https://otsuka-europe-crm.veevavault.com/ui/#object/sent_email__v/VBL00000002Z179", "SE-001438564")</f>
        <v>SE-001438564</v>
      </c>
      <c r="F12865" s="11"/>
      <c r="G12865" s="12">
        <v>0</v>
      </c>
      <c r="H12865" s="12">
        <v>0</v>
      </c>
      <c r="I12865" s="12">
        <v>0</v>
      </c>
      <c r="J12865" s="11"/>
      <c r="K12865" s="12">
        <v>0</v>
      </c>
      <c r="L12865" s="10" t="str">
        <f t="shared" si="928"/>
        <v>Libro IA en psiquiatría</v>
      </c>
      <c r="M12865" s="10" t="str">
        <f t="shared" si="929"/>
        <v>jcastro@crm.otsuka-europe.com</v>
      </c>
      <c r="N12865" s="13">
        <v>46199.465497685182</v>
      </c>
      <c r="O12865" s="14" t="str">
        <f>HYPERLINK("https://otsuka-europe-crm.veevavault.com/ui/#object/email_activity__v/V8C000000041149", "EN-002099950")</f>
        <v>EN-002099950</v>
      </c>
    </row>
    <row r="12866" spans="1:15" ht="32" x14ac:dyDescent="0.2">
      <c r="A12866" s="7" t="str">
        <f>HYPERLINK("https://otsuka-europe-crm.veevavault.com/ui/#object/account__v/V4TZ025E87AAXVB", "NIEVES MORCILLO LOPEZ")</f>
        <v>NIEVES MORCILLO LOPEZ</v>
      </c>
      <c r="B12866" s="7" t="str">
        <f t="shared" si="926"/>
        <v>ES</v>
      </c>
      <c r="C12866" s="8" t="s">
        <v>41</v>
      </c>
      <c r="D12866" s="9" t="str">
        <f t="shared" si="927"/>
        <v>Libro IA en psiquiatría</v>
      </c>
      <c r="E12866" s="10" t="str">
        <f>HYPERLINK("https://otsuka-europe-crm.veevavault.com/ui/#object/sent_email__v/VBL00000002Z180", "SE-001438565")</f>
        <v>SE-001438565</v>
      </c>
      <c r="F12866" s="11"/>
      <c r="G12866" s="12">
        <v>0</v>
      </c>
      <c r="H12866" s="12">
        <v>0</v>
      </c>
      <c r="I12866" s="12">
        <v>0</v>
      </c>
      <c r="J12866" s="11"/>
      <c r="K12866" s="12">
        <v>0</v>
      </c>
      <c r="L12866" s="10" t="str">
        <f t="shared" si="928"/>
        <v>Libro IA en psiquiatría</v>
      </c>
      <c r="M12866" s="10" t="str">
        <f t="shared" si="929"/>
        <v>jcastro@crm.otsuka-europe.com</v>
      </c>
      <c r="N12866" s="13">
        <v>46199.465497685182</v>
      </c>
      <c r="O12866" s="14" t="str">
        <f>HYPERLINK("https://otsuka-europe-crm.veevavault.com/ui/#object/email_activity__v/V8C000000041146", "EN-002099947")</f>
        <v>EN-002099947</v>
      </c>
    </row>
    <row r="12867" spans="1:15" ht="32" x14ac:dyDescent="0.2">
      <c r="A12867" s="7" t="str">
        <f>HYPERLINK("https://otsuka-europe-crm.veevavault.com/ui/#object/account__v/V4TZ06G6O71U7HN", "ZORAIDA SANCHEZ CASTILLO")</f>
        <v>ZORAIDA SANCHEZ CASTILLO</v>
      </c>
      <c r="B12867" s="7" t="str">
        <f t="shared" si="926"/>
        <v>ES</v>
      </c>
      <c r="C12867" s="8" t="s">
        <v>41</v>
      </c>
      <c r="D12867" s="9" t="str">
        <f t="shared" si="927"/>
        <v>Libro IA en psiquiatría</v>
      </c>
      <c r="E12867" s="10" t="str">
        <f>HYPERLINK("https://otsuka-europe-crm.veevavault.com/ui/#object/sent_email__v/VBL00000002Z181", "SE-001438566")</f>
        <v>SE-001438566</v>
      </c>
      <c r="F12867" s="11"/>
      <c r="G12867" s="12">
        <v>0</v>
      </c>
      <c r="H12867" s="12">
        <v>0</v>
      </c>
      <c r="I12867" s="12">
        <v>0</v>
      </c>
      <c r="J12867" s="11"/>
      <c r="K12867" s="12">
        <v>0</v>
      </c>
      <c r="L12867" s="10" t="str">
        <f t="shared" si="928"/>
        <v>Libro IA en psiquiatría</v>
      </c>
      <c r="M12867" s="10" t="str">
        <f t="shared" si="929"/>
        <v>jcastro@crm.otsuka-europe.com</v>
      </c>
      <c r="N12867" s="13">
        <v>46199.465497685182</v>
      </c>
      <c r="O12867" s="14" t="str">
        <f>HYPERLINK("https://otsuka-europe-crm.veevavault.com/ui/#object/email_activity__v/V8C000000041141", "EN-002099942")</f>
        <v>EN-002099942</v>
      </c>
    </row>
    <row r="12868" spans="1:15" ht="32" x14ac:dyDescent="0.2">
      <c r="A12868" s="7" t="str">
        <f>HYPERLINK("https://otsuka-europe-crm.veevavault.com/ui/#object/account__v/V4TZ025E83493O8", "CATALINA RODRIGUEZ MILLA")</f>
        <v>CATALINA RODRIGUEZ MILLA</v>
      </c>
      <c r="B12868" s="7" t="str">
        <f t="shared" si="926"/>
        <v>ES</v>
      </c>
      <c r="C12868" s="8" t="s">
        <v>41</v>
      </c>
      <c r="D12868" s="9" t="str">
        <f t="shared" si="927"/>
        <v>Libro IA en psiquiatría</v>
      </c>
      <c r="E12868" s="10" t="str">
        <f>HYPERLINK("https://otsuka-europe-crm.veevavault.com/ui/#object/sent_email__v/VBL00000002Z182", "SE-001438567")</f>
        <v>SE-001438567</v>
      </c>
      <c r="F12868" s="11"/>
      <c r="G12868" s="12">
        <v>0</v>
      </c>
      <c r="H12868" s="12">
        <v>0</v>
      </c>
      <c r="I12868" s="12">
        <v>0</v>
      </c>
      <c r="J12868" s="11"/>
      <c r="K12868" s="12">
        <v>0</v>
      </c>
      <c r="L12868" s="10" t="str">
        <f t="shared" si="928"/>
        <v>Libro IA en psiquiatría</v>
      </c>
      <c r="M12868" s="10" t="str">
        <f t="shared" si="929"/>
        <v>jcastro@crm.otsuka-europe.com</v>
      </c>
      <c r="N12868" s="13">
        <v>46199.465497685182</v>
      </c>
      <c r="O12868" s="14" t="str">
        <f>HYPERLINK("https://otsuka-europe-crm.veevavault.com/ui/#object/email_activity__v/V8C000000041152", "EN-002099954")</f>
        <v>EN-002099954</v>
      </c>
    </row>
    <row r="12869" spans="1:15" ht="16" x14ac:dyDescent="0.2">
      <c r="A12869" s="17" t="str">
        <f>HYPERLINK("https://otsuka-europe-crm.veevavault.com/ui/#object/account__v/V4T00000001B030", "MARIA GONZALEZ VILCHEZ")</f>
        <v>MARIA GONZALEZ VILCHEZ</v>
      </c>
      <c r="B12869" s="17" t="str">
        <f t="shared" si="926"/>
        <v>ES</v>
      </c>
      <c r="C12869" s="20" t="s">
        <v>41</v>
      </c>
      <c r="D12869" s="21" t="str">
        <f t="shared" si="927"/>
        <v>Libro IA en psiquiatría</v>
      </c>
      <c r="E12869" s="22" t="str">
        <f>HYPERLINK("https://otsuka-europe-crm.veevavault.com/ui/#object/sent_email__v/VBL00000002Z183", "SE-001438568")</f>
        <v>SE-001438568</v>
      </c>
      <c r="F12869" s="25"/>
      <c r="G12869" s="24">
        <v>0</v>
      </c>
      <c r="H12869" s="24">
        <v>0</v>
      </c>
      <c r="I12869" s="24">
        <v>0</v>
      </c>
      <c r="J12869" s="25"/>
      <c r="K12869" s="24">
        <v>0</v>
      </c>
      <c r="L12869" s="22" t="str">
        <f t="shared" si="928"/>
        <v>Libro IA en psiquiatría</v>
      </c>
      <c r="M12869" s="22" t="str">
        <f t="shared" si="929"/>
        <v>jcastro@crm.otsuka-europe.com</v>
      </c>
      <c r="N12869" s="23">
        <v>46199.465497685182</v>
      </c>
      <c r="O12869" s="14" t="str">
        <f>HYPERLINK("https://otsuka-europe-crm.veevavault.com/ui/#object/email_activity__v/V8C000000041162", "EN-002099964")</f>
        <v>EN-002099964</v>
      </c>
    </row>
    <row r="12870" spans="1:15" ht="16" x14ac:dyDescent="0.2">
      <c r="A12870" s="19"/>
      <c r="B12870" s="19"/>
      <c r="C12870" s="19"/>
      <c r="D12870" s="19"/>
      <c r="E12870" s="19"/>
      <c r="F12870" s="19"/>
      <c r="G12870" s="19"/>
      <c r="H12870" s="19"/>
      <c r="I12870" s="19"/>
      <c r="J12870" s="19"/>
      <c r="K12870" s="19"/>
      <c r="L12870" s="19"/>
      <c r="M12870" s="19"/>
      <c r="N12870" s="19"/>
      <c r="O12870" s="14" t="str">
        <f>HYPERLINK("https://otsuka-europe-crm.veevavault.com/ui/#object/email_activity__v/V8C000000042211", "EN-002100139")</f>
        <v>EN-002100139</v>
      </c>
    </row>
    <row r="12871" spans="1:15" ht="32" x14ac:dyDescent="0.2">
      <c r="A12871" s="7" t="str">
        <f>HYPERLINK("https://otsuka-europe-crm.veevavault.com/ui/#object/account__v/V4TZ06G6OBICYTP", "ANGELA RUIZ SAEZ")</f>
        <v>ANGELA RUIZ SAEZ</v>
      </c>
      <c r="B12871" s="7" t="str">
        <f>HYPERLINK("https://otsuka-europe-crm.veevavault.com/ui/#object/vcountry__v/VENZ000004SONF5", "ES")</f>
        <v>ES</v>
      </c>
      <c r="C12871" s="8" t="s">
        <v>41</v>
      </c>
      <c r="D12871" s="9" t="str">
        <f>HYPERLINK("https://otsuka-europe-crm.veevavault.com/ui/#object/approved_document__v/V5O00000000L011", "Libro IA en psiquiatría")</f>
        <v>Libro IA en psiquiatría</v>
      </c>
      <c r="E12871" s="10" t="str">
        <f>HYPERLINK("https://otsuka-europe-crm.veevavault.com/ui/#object/sent_email__v/VBL00000002Z184", "SE-001438569")</f>
        <v>SE-001438569</v>
      </c>
      <c r="F12871" s="11"/>
      <c r="G12871" s="12">
        <v>0</v>
      </c>
      <c r="H12871" s="12">
        <v>0</v>
      </c>
      <c r="I12871" s="12">
        <v>0</v>
      </c>
      <c r="J12871" s="11"/>
      <c r="K12871" s="12">
        <v>0</v>
      </c>
      <c r="L12871" s="10" t="str">
        <f>HYPERLINK("https://otsuka-europe-crm.veevavault.com/ui/#object/approved_document__v/V5O00000000L011", "Libro IA en psiquiatría")</f>
        <v>Libro IA en psiquiatría</v>
      </c>
      <c r="M12871" s="10" t="str">
        <f>HYPERLINK("mailto:jcastro@crm.otsuka-europe.com", "jcastro@crm.otsuka-europe.com")</f>
        <v>jcastro@crm.otsuka-europe.com</v>
      </c>
      <c r="N12871" s="13">
        <v>46199.465497685182</v>
      </c>
      <c r="O12871" s="14" t="str">
        <f>HYPERLINK("https://otsuka-europe-crm.veevavault.com/ui/#object/email_activity__v/V8C000000041137", "EN-002099938")</f>
        <v>EN-002099938</v>
      </c>
    </row>
    <row r="12872" spans="1:15" ht="16" x14ac:dyDescent="0.2">
      <c r="A12872" s="17" t="str">
        <f>HYPERLINK("https://otsuka-europe-crm.veevavault.com/ui/#object/account__v/V4TZ06G6O71TDFJ", "ANGUSTIAS PERALTA SANCHEZ")</f>
        <v>ANGUSTIAS PERALTA SANCHEZ</v>
      </c>
      <c r="B12872" s="17" t="str">
        <f>HYPERLINK("https://otsuka-europe-crm.veevavault.com/ui/#object/vcountry__v/VENZ000004SONF5", "ES")</f>
        <v>ES</v>
      </c>
      <c r="C12872" s="20" t="s">
        <v>41</v>
      </c>
      <c r="D12872" s="21" t="str">
        <f>HYPERLINK("https://otsuka-europe-crm.veevavault.com/ui/#object/approved_document__v/V5O00000000L011", "Libro IA en psiquiatría")</f>
        <v>Libro IA en psiquiatría</v>
      </c>
      <c r="E12872" s="22" t="str">
        <f>HYPERLINK("https://otsuka-europe-crm.veevavault.com/ui/#object/sent_email__v/VBL00000002Z185", "SE-001438570")</f>
        <v>SE-001438570</v>
      </c>
      <c r="F12872" s="23">
        <v>46203.401006944441</v>
      </c>
      <c r="G12872" s="24">
        <v>1</v>
      </c>
      <c r="H12872" s="24">
        <v>13</v>
      </c>
      <c r="I12872" s="24">
        <v>1</v>
      </c>
      <c r="J12872" s="23">
        <v>46203.335532407407</v>
      </c>
      <c r="K12872" s="24">
        <v>3</v>
      </c>
      <c r="L12872" s="22" t="str">
        <f>HYPERLINK("https://otsuka-europe-crm.veevavault.com/ui/#object/approved_document__v/V5O00000000L011", "Libro IA en psiquiatría")</f>
        <v>Libro IA en psiquiatría</v>
      </c>
      <c r="M12872" s="22" t="str">
        <f>HYPERLINK("mailto:jcastro@crm.otsuka-europe.com", "jcastro@crm.otsuka-europe.com")</f>
        <v>jcastro@crm.otsuka-europe.com</v>
      </c>
      <c r="N12872" s="23">
        <v>46199.465497685182</v>
      </c>
      <c r="O12872" s="14" t="str">
        <f>HYPERLINK("https://otsuka-europe-crm.veevavault.com/ui/#object/email_activity__v/V8C000000041133", "EN-002099934")</f>
        <v>EN-002099934</v>
      </c>
    </row>
    <row r="12873" spans="1:15" ht="16" x14ac:dyDescent="0.2">
      <c r="A12873" s="18"/>
      <c r="B12873" s="18"/>
      <c r="C12873" s="18"/>
      <c r="D12873" s="18"/>
      <c r="E12873" s="18"/>
      <c r="F12873" s="18"/>
      <c r="G12873" s="18"/>
      <c r="H12873" s="18"/>
      <c r="I12873" s="18"/>
      <c r="J12873" s="18"/>
      <c r="K12873" s="18"/>
      <c r="L12873" s="18"/>
      <c r="M12873" s="18"/>
      <c r="N12873" s="18"/>
      <c r="O12873" s="14" t="str">
        <f>HYPERLINK("https://otsuka-europe-crm.veevavault.com/ui/#object/email_activity__v/V8C000000041169", "EN-002099980")</f>
        <v>EN-002099980</v>
      </c>
    </row>
    <row r="12874" spans="1:15" ht="16" x14ac:dyDescent="0.2">
      <c r="A12874" s="18"/>
      <c r="B12874" s="18"/>
      <c r="C12874" s="18"/>
      <c r="D12874" s="18"/>
      <c r="E12874" s="18"/>
      <c r="F12874" s="18"/>
      <c r="G12874" s="18"/>
      <c r="H12874" s="18"/>
      <c r="I12874" s="18"/>
      <c r="J12874" s="18"/>
      <c r="K12874" s="18"/>
      <c r="L12874" s="18"/>
      <c r="M12874" s="18"/>
      <c r="N12874" s="18"/>
      <c r="O12874" s="14" t="str">
        <f>HYPERLINK("https://otsuka-europe-crm.veevavault.com/ui/#object/email_activity__v/V8C000000041170", "EN-002099981")</f>
        <v>EN-002099981</v>
      </c>
    </row>
    <row r="12875" spans="1:15" ht="16" x14ac:dyDescent="0.2">
      <c r="A12875" s="18"/>
      <c r="B12875" s="18"/>
      <c r="C12875" s="18"/>
      <c r="D12875" s="18"/>
      <c r="E12875" s="18"/>
      <c r="F12875" s="18"/>
      <c r="G12875" s="18"/>
      <c r="H12875" s="18"/>
      <c r="I12875" s="18"/>
      <c r="J12875" s="18"/>
      <c r="K12875" s="18"/>
      <c r="L12875" s="18"/>
      <c r="M12875" s="18"/>
      <c r="N12875" s="18"/>
      <c r="O12875" s="14" t="str">
        <f>HYPERLINK("https://otsuka-europe-crm.veevavault.com/ui/#object/email_activity__v/V8C000000041505", "EN-002100667")</f>
        <v>EN-002100667</v>
      </c>
    </row>
    <row r="12876" spans="1:15" ht="16" x14ac:dyDescent="0.2">
      <c r="A12876" s="18"/>
      <c r="B12876" s="18"/>
      <c r="C12876" s="18"/>
      <c r="D12876" s="18"/>
      <c r="E12876" s="18"/>
      <c r="F12876" s="18"/>
      <c r="G12876" s="18"/>
      <c r="H12876" s="18"/>
      <c r="I12876" s="18"/>
      <c r="J12876" s="18"/>
      <c r="K12876" s="18"/>
      <c r="L12876" s="18"/>
      <c r="M12876" s="18"/>
      <c r="N12876" s="18"/>
      <c r="O12876" s="14" t="str">
        <f>HYPERLINK("https://otsuka-europe-crm.veevavault.com/ui/#object/email_activity__v/V8C000000041507", "EN-002100670")</f>
        <v>EN-002100670</v>
      </c>
    </row>
    <row r="12877" spans="1:15" ht="16" x14ac:dyDescent="0.2">
      <c r="A12877" s="18"/>
      <c r="B12877" s="18"/>
      <c r="C12877" s="18"/>
      <c r="D12877" s="18"/>
      <c r="E12877" s="18"/>
      <c r="F12877" s="18"/>
      <c r="G12877" s="18"/>
      <c r="H12877" s="18"/>
      <c r="I12877" s="18"/>
      <c r="J12877" s="18"/>
      <c r="K12877" s="18"/>
      <c r="L12877" s="18"/>
      <c r="M12877" s="18"/>
      <c r="N12877" s="18"/>
      <c r="O12877" s="14" t="str">
        <f>HYPERLINK("https://otsuka-europe-crm.veevavault.com/ui/#object/email_activity__v/V8C000000041509", "EN-002100672")</f>
        <v>EN-002100672</v>
      </c>
    </row>
    <row r="12878" spans="1:15" ht="16" x14ac:dyDescent="0.2">
      <c r="A12878" s="18"/>
      <c r="B12878" s="18"/>
      <c r="C12878" s="18"/>
      <c r="D12878" s="18"/>
      <c r="E12878" s="18"/>
      <c r="F12878" s="18"/>
      <c r="G12878" s="18"/>
      <c r="H12878" s="18"/>
      <c r="I12878" s="18"/>
      <c r="J12878" s="18"/>
      <c r="K12878" s="18"/>
      <c r="L12878" s="18"/>
      <c r="M12878" s="18"/>
      <c r="N12878" s="18"/>
      <c r="O12878" s="14" t="str">
        <f>HYPERLINK("https://otsuka-europe-crm.veevavault.com/ui/#object/email_activity__v/V8C000000041510", "EN-002100673")</f>
        <v>EN-002100673</v>
      </c>
    </row>
    <row r="12879" spans="1:15" ht="16" x14ac:dyDescent="0.2">
      <c r="A12879" s="18"/>
      <c r="B12879" s="18"/>
      <c r="C12879" s="18"/>
      <c r="D12879" s="18"/>
      <c r="E12879" s="18"/>
      <c r="F12879" s="18"/>
      <c r="G12879" s="18"/>
      <c r="H12879" s="18"/>
      <c r="I12879" s="18"/>
      <c r="J12879" s="18"/>
      <c r="K12879" s="18"/>
      <c r="L12879" s="18"/>
      <c r="M12879" s="18"/>
      <c r="N12879" s="18"/>
      <c r="O12879" s="14" t="str">
        <f>HYPERLINK("https://otsuka-europe-crm.veevavault.com/ui/#object/email_activity__v/V8C000000041511", "EN-002100674")</f>
        <v>EN-002100674</v>
      </c>
    </row>
    <row r="12880" spans="1:15" ht="16" x14ac:dyDescent="0.2">
      <c r="A12880" s="18"/>
      <c r="B12880" s="18"/>
      <c r="C12880" s="18"/>
      <c r="D12880" s="18"/>
      <c r="E12880" s="18"/>
      <c r="F12880" s="18"/>
      <c r="G12880" s="18"/>
      <c r="H12880" s="18"/>
      <c r="I12880" s="18"/>
      <c r="J12880" s="18"/>
      <c r="K12880" s="18"/>
      <c r="L12880" s="18"/>
      <c r="M12880" s="18"/>
      <c r="N12880" s="18"/>
      <c r="O12880" s="14" t="str">
        <f>HYPERLINK("https://otsuka-europe-crm.veevavault.com/ui/#object/email_activity__v/V8C000000041512", "EN-002100675")</f>
        <v>EN-002100675</v>
      </c>
    </row>
    <row r="12881" spans="1:15" ht="16" x14ac:dyDescent="0.2">
      <c r="A12881" s="18"/>
      <c r="B12881" s="18"/>
      <c r="C12881" s="18"/>
      <c r="D12881" s="18"/>
      <c r="E12881" s="18"/>
      <c r="F12881" s="18"/>
      <c r="G12881" s="18"/>
      <c r="H12881" s="18"/>
      <c r="I12881" s="18"/>
      <c r="J12881" s="18"/>
      <c r="K12881" s="18"/>
      <c r="L12881" s="18"/>
      <c r="M12881" s="18"/>
      <c r="N12881" s="18"/>
      <c r="O12881" s="14" t="str">
        <f>HYPERLINK("https://otsuka-europe-crm.veevavault.com/ui/#object/email_activity__v/V8C000000041514", "EN-002100680")</f>
        <v>EN-002100680</v>
      </c>
    </row>
    <row r="12882" spans="1:15" ht="16" x14ac:dyDescent="0.2">
      <c r="A12882" s="18"/>
      <c r="B12882" s="18"/>
      <c r="C12882" s="18"/>
      <c r="D12882" s="18"/>
      <c r="E12882" s="18"/>
      <c r="F12882" s="18"/>
      <c r="G12882" s="18"/>
      <c r="H12882" s="18"/>
      <c r="I12882" s="18"/>
      <c r="J12882" s="18"/>
      <c r="K12882" s="18"/>
      <c r="L12882" s="18"/>
      <c r="M12882" s="18"/>
      <c r="N12882" s="18"/>
      <c r="O12882" s="14" t="str">
        <f>HYPERLINK("https://otsuka-europe-crm.veevavault.com/ui/#object/email_activity__v/V8C000000041515", "EN-002100681")</f>
        <v>EN-002100681</v>
      </c>
    </row>
    <row r="12883" spans="1:15" ht="16" x14ac:dyDescent="0.2">
      <c r="A12883" s="18"/>
      <c r="B12883" s="18"/>
      <c r="C12883" s="18"/>
      <c r="D12883" s="18"/>
      <c r="E12883" s="18"/>
      <c r="F12883" s="18"/>
      <c r="G12883" s="18"/>
      <c r="H12883" s="18"/>
      <c r="I12883" s="18"/>
      <c r="J12883" s="18"/>
      <c r="K12883" s="18"/>
      <c r="L12883" s="18"/>
      <c r="M12883" s="18"/>
      <c r="N12883" s="18"/>
      <c r="O12883" s="14" t="str">
        <f>HYPERLINK("https://otsuka-europe-crm.veevavault.com/ui/#object/email_activity__v/V8C000000042475", "EN-002100666")</f>
        <v>EN-002100666</v>
      </c>
    </row>
    <row r="12884" spans="1:15" ht="16" x14ac:dyDescent="0.2">
      <c r="A12884" s="18"/>
      <c r="B12884" s="18"/>
      <c r="C12884" s="18"/>
      <c r="D12884" s="18"/>
      <c r="E12884" s="18"/>
      <c r="F12884" s="18"/>
      <c r="G12884" s="18"/>
      <c r="H12884" s="18"/>
      <c r="I12884" s="18"/>
      <c r="J12884" s="18"/>
      <c r="K12884" s="18"/>
      <c r="L12884" s="18"/>
      <c r="M12884" s="18"/>
      <c r="N12884" s="18"/>
      <c r="O12884" s="14" t="str">
        <f>HYPERLINK("https://otsuka-europe-crm.veevavault.com/ui/#object/email_activity__v/V8C000000042476", "EN-002100669")</f>
        <v>EN-002100669</v>
      </c>
    </row>
    <row r="12885" spans="1:15" ht="16" x14ac:dyDescent="0.2">
      <c r="A12885" s="18"/>
      <c r="B12885" s="18"/>
      <c r="C12885" s="18"/>
      <c r="D12885" s="18"/>
      <c r="E12885" s="18"/>
      <c r="F12885" s="18"/>
      <c r="G12885" s="18"/>
      <c r="H12885" s="18"/>
      <c r="I12885" s="18"/>
      <c r="J12885" s="18"/>
      <c r="K12885" s="18"/>
      <c r="L12885" s="18"/>
      <c r="M12885" s="18"/>
      <c r="N12885" s="18"/>
      <c r="O12885" s="14" t="str">
        <f>HYPERLINK("https://otsuka-europe-crm.veevavault.com/ui/#object/email_activity__v/V8C000000042477", "EN-002100677")</f>
        <v>EN-002100677</v>
      </c>
    </row>
    <row r="12886" spans="1:15" ht="16" x14ac:dyDescent="0.2">
      <c r="A12886" s="18"/>
      <c r="B12886" s="18"/>
      <c r="C12886" s="18"/>
      <c r="D12886" s="18"/>
      <c r="E12886" s="18"/>
      <c r="F12886" s="18"/>
      <c r="G12886" s="18"/>
      <c r="H12886" s="18"/>
      <c r="I12886" s="18"/>
      <c r="J12886" s="18"/>
      <c r="K12886" s="18"/>
      <c r="L12886" s="18"/>
      <c r="M12886" s="18"/>
      <c r="N12886" s="18"/>
      <c r="O12886" s="14" t="str">
        <f>HYPERLINK("https://otsuka-europe-crm.veevavault.com/ui/#object/email_activity__v/V8C000000042478", "EN-002100678")</f>
        <v>EN-002100678</v>
      </c>
    </row>
    <row r="12887" spans="1:15" ht="16" x14ac:dyDescent="0.2">
      <c r="A12887" s="18"/>
      <c r="B12887" s="18"/>
      <c r="C12887" s="18"/>
      <c r="D12887" s="18"/>
      <c r="E12887" s="18"/>
      <c r="F12887" s="18"/>
      <c r="G12887" s="18"/>
      <c r="H12887" s="18"/>
      <c r="I12887" s="18"/>
      <c r="J12887" s="18"/>
      <c r="K12887" s="18"/>
      <c r="L12887" s="18"/>
      <c r="M12887" s="18"/>
      <c r="N12887" s="18"/>
      <c r="O12887" s="14" t="str">
        <f>HYPERLINK("https://otsuka-europe-crm.veevavault.com/ui/#object/email_activity__v/V8C000000042479", "EN-002100679")</f>
        <v>EN-002100679</v>
      </c>
    </row>
    <row r="12888" spans="1:15" ht="16" x14ac:dyDescent="0.2">
      <c r="A12888" s="19"/>
      <c r="B12888" s="19"/>
      <c r="C12888" s="19"/>
      <c r="D12888" s="19"/>
      <c r="E12888" s="19"/>
      <c r="F12888" s="19"/>
      <c r="G12888" s="19"/>
      <c r="H12888" s="19"/>
      <c r="I12888" s="19"/>
      <c r="J12888" s="19"/>
      <c r="K12888" s="19"/>
      <c r="L12888" s="19"/>
      <c r="M12888" s="19"/>
      <c r="N12888" s="19"/>
      <c r="O12888" s="14" t="str">
        <f>HYPERLINK("https://otsuka-europe-crm.veevavault.com/ui/#object/email_activity__v/V8C000000042522", "EN-002100773")</f>
        <v>EN-002100773</v>
      </c>
    </row>
    <row r="12889" spans="1:15" ht="32" x14ac:dyDescent="0.2">
      <c r="A12889" s="7" t="str">
        <f>HYPERLINK("https://otsuka-europe-crm.veevavault.com/ui/#object/account__v/V4TZ06G6O71TDA4", "FRANCISCA CABELLO CORRALES")</f>
        <v>FRANCISCA CABELLO CORRALES</v>
      </c>
      <c r="B12889" s="7" t="str">
        <f t="shared" ref="B12889:B12894" si="930">HYPERLINK("https://otsuka-europe-crm.veevavault.com/ui/#object/vcountry__v/VENZ000004SONF5", "ES")</f>
        <v>ES</v>
      </c>
      <c r="C12889" s="8" t="s">
        <v>41</v>
      </c>
      <c r="D12889" s="9" t="str">
        <f t="shared" ref="D12889:D12894" si="931">HYPERLINK("https://otsuka-europe-crm.veevavault.com/ui/#object/approved_document__v/V5O00000000L011", "Libro IA en psiquiatría")</f>
        <v>Libro IA en psiquiatría</v>
      </c>
      <c r="E12889" s="10" t="str">
        <f>HYPERLINK("https://otsuka-europe-crm.veevavault.com/ui/#object/sent_email__v/VBL00000002Z186", "SE-001438571")</f>
        <v>SE-001438571</v>
      </c>
      <c r="F12889" s="11"/>
      <c r="G12889" s="12">
        <v>0</v>
      </c>
      <c r="H12889" s="12">
        <v>0</v>
      </c>
      <c r="I12889" s="12">
        <v>0</v>
      </c>
      <c r="J12889" s="11"/>
      <c r="K12889" s="12">
        <v>0</v>
      </c>
      <c r="L12889" s="10" t="str">
        <f t="shared" ref="L12889:L12894" si="932">HYPERLINK("https://otsuka-europe-crm.veevavault.com/ui/#object/approved_document__v/V5O00000000L011", "Libro IA en psiquiatría")</f>
        <v>Libro IA en psiquiatría</v>
      </c>
      <c r="M12889" s="10" t="str">
        <f t="shared" ref="M12889:M12894" si="933">HYPERLINK("mailto:jcastro@crm.otsuka-europe.com", "jcastro@crm.otsuka-europe.com")</f>
        <v>jcastro@crm.otsuka-europe.com</v>
      </c>
      <c r="N12889" s="13">
        <v>46199.465497685182</v>
      </c>
      <c r="O12889" s="14" t="str">
        <f>HYPERLINK("https://otsuka-europe-crm.veevavault.com/ui/#object/email_activity__v/V8C000000041160", "EN-002099962")</f>
        <v>EN-002099962</v>
      </c>
    </row>
    <row r="12890" spans="1:15" ht="32" x14ac:dyDescent="0.2">
      <c r="A12890" s="7" t="str">
        <f>HYPERLINK("https://otsuka-europe-crm.veevavault.com/ui/#object/account__v/V4TZ025E82V69UR", "LETICIA CANTERO ORTIZ")</f>
        <v>LETICIA CANTERO ORTIZ</v>
      </c>
      <c r="B12890" s="7" t="str">
        <f t="shared" si="930"/>
        <v>ES</v>
      </c>
      <c r="C12890" s="8" t="s">
        <v>41</v>
      </c>
      <c r="D12890" s="9" t="str">
        <f t="shared" si="931"/>
        <v>Libro IA en psiquiatría</v>
      </c>
      <c r="E12890" s="10" t="str">
        <f>HYPERLINK("https://otsuka-europe-crm.veevavault.com/ui/#object/sent_email__v/VBL00000002Z187", "SE-001438572")</f>
        <v>SE-001438572</v>
      </c>
      <c r="F12890" s="11"/>
      <c r="G12890" s="12">
        <v>0</v>
      </c>
      <c r="H12890" s="12">
        <v>0</v>
      </c>
      <c r="I12890" s="12">
        <v>0</v>
      </c>
      <c r="J12890" s="11"/>
      <c r="K12890" s="12">
        <v>0</v>
      </c>
      <c r="L12890" s="10" t="str">
        <f t="shared" si="932"/>
        <v>Libro IA en psiquiatría</v>
      </c>
      <c r="M12890" s="10" t="str">
        <f t="shared" si="933"/>
        <v>jcastro@crm.otsuka-europe.com</v>
      </c>
      <c r="N12890" s="13">
        <v>46199.465497685182</v>
      </c>
      <c r="O12890" s="14" t="str">
        <f>HYPERLINK("https://otsuka-europe-crm.veevavault.com/ui/#object/email_activity__v/V8C000000041124", "EN-002099922")</f>
        <v>EN-002099922</v>
      </c>
    </row>
    <row r="12891" spans="1:15" ht="32" x14ac:dyDescent="0.2">
      <c r="A12891" s="7" t="str">
        <f>HYPERLINK("https://otsuka-europe-crm.veevavault.com/ui/#object/account__v/V4TZ06G6OCEQ0K0", "SUSANA BELMONTE MARTINEZ")</f>
        <v>SUSANA BELMONTE MARTINEZ</v>
      </c>
      <c r="B12891" s="7" t="str">
        <f t="shared" si="930"/>
        <v>ES</v>
      </c>
      <c r="C12891" s="8" t="s">
        <v>41</v>
      </c>
      <c r="D12891" s="9" t="str">
        <f t="shared" si="931"/>
        <v>Libro IA en psiquiatría</v>
      </c>
      <c r="E12891" s="10" t="str">
        <f>HYPERLINK("https://otsuka-europe-crm.veevavault.com/ui/#object/sent_email__v/VBL00000002Z188", "SE-001438573")</f>
        <v>SE-001438573</v>
      </c>
      <c r="F12891" s="11"/>
      <c r="G12891" s="12">
        <v>0</v>
      </c>
      <c r="H12891" s="12">
        <v>0</v>
      </c>
      <c r="I12891" s="12">
        <v>0</v>
      </c>
      <c r="J12891" s="11"/>
      <c r="K12891" s="12">
        <v>0</v>
      </c>
      <c r="L12891" s="10" t="str">
        <f t="shared" si="932"/>
        <v>Libro IA en psiquiatría</v>
      </c>
      <c r="M12891" s="10" t="str">
        <f t="shared" si="933"/>
        <v>jcastro@crm.otsuka-europe.com</v>
      </c>
      <c r="N12891" s="13">
        <v>46199.465497685182</v>
      </c>
      <c r="O12891" s="14" t="str">
        <f>HYPERLINK("https://otsuka-europe-crm.veevavault.com/ui/#object/email_activity__v/V8C000000041135", "EN-002099936")</f>
        <v>EN-002099936</v>
      </c>
    </row>
    <row r="12892" spans="1:15" ht="32" x14ac:dyDescent="0.2">
      <c r="A12892" s="7" t="str">
        <f>HYPERLINK("https://otsuka-europe-crm.veevavault.com/ui/#object/account__v/V4T00000001D087", "CARMEN IRENE ESCRIBANO GARCIA")</f>
        <v>CARMEN IRENE ESCRIBANO GARCIA</v>
      </c>
      <c r="B12892" s="7" t="str">
        <f t="shared" si="930"/>
        <v>ES</v>
      </c>
      <c r="C12892" s="8" t="s">
        <v>41</v>
      </c>
      <c r="D12892" s="9" t="str">
        <f t="shared" si="931"/>
        <v>Libro IA en psiquiatría</v>
      </c>
      <c r="E12892" s="10" t="str">
        <f>HYPERLINK("https://otsuka-europe-crm.veevavault.com/ui/#object/sent_email__v/VBL00000002Z189", "SE-001438574")</f>
        <v>SE-001438574</v>
      </c>
      <c r="F12892" s="11"/>
      <c r="G12892" s="12">
        <v>0</v>
      </c>
      <c r="H12892" s="12">
        <v>0</v>
      </c>
      <c r="I12892" s="12">
        <v>0</v>
      </c>
      <c r="J12892" s="11"/>
      <c r="K12892" s="12">
        <v>0</v>
      </c>
      <c r="L12892" s="10" t="str">
        <f t="shared" si="932"/>
        <v>Libro IA en psiquiatría</v>
      </c>
      <c r="M12892" s="10" t="str">
        <f t="shared" si="933"/>
        <v>jcastro@crm.otsuka-europe.com</v>
      </c>
      <c r="N12892" s="13">
        <v>46199.465497685182</v>
      </c>
      <c r="O12892" s="14" t="str">
        <f>HYPERLINK("https://otsuka-europe-crm.veevavault.com/ui/#object/email_activity__v/V8C000000041156", "EN-002099958")</f>
        <v>EN-002099958</v>
      </c>
    </row>
    <row r="12893" spans="1:15" ht="32" x14ac:dyDescent="0.2">
      <c r="A12893" s="7" t="str">
        <f>HYPERLINK("https://otsuka-europe-crm.veevavault.com/ui/#object/account__v/V4T00000000A066", "EVA MARIA ALVAREZ AGUILAR")</f>
        <v>EVA MARIA ALVAREZ AGUILAR</v>
      </c>
      <c r="B12893" s="7" t="str">
        <f t="shared" si="930"/>
        <v>ES</v>
      </c>
      <c r="C12893" s="8" t="s">
        <v>41</v>
      </c>
      <c r="D12893" s="9" t="str">
        <f t="shared" si="931"/>
        <v>Libro IA en psiquiatría</v>
      </c>
      <c r="E12893" s="10" t="str">
        <f>HYPERLINK("https://otsuka-europe-crm.veevavault.com/ui/#object/sent_email__v/VBL00000002Z190", "SE-001438575")</f>
        <v>SE-001438575</v>
      </c>
      <c r="F12893" s="11"/>
      <c r="G12893" s="12">
        <v>0</v>
      </c>
      <c r="H12893" s="12">
        <v>0</v>
      </c>
      <c r="I12893" s="12">
        <v>0</v>
      </c>
      <c r="J12893" s="11"/>
      <c r="K12893" s="12">
        <v>0</v>
      </c>
      <c r="L12893" s="10" t="str">
        <f t="shared" si="932"/>
        <v>Libro IA en psiquiatría</v>
      </c>
      <c r="M12893" s="10" t="str">
        <f t="shared" si="933"/>
        <v>jcastro@crm.otsuka-europe.com</v>
      </c>
      <c r="N12893" s="13">
        <v>46199.465509259258</v>
      </c>
      <c r="O12893" s="14" t="str">
        <f>HYPERLINK("https://otsuka-europe-crm.veevavault.com/ui/#object/email_activity__v/V8C000000041139", "EN-002099940")</f>
        <v>EN-002099940</v>
      </c>
    </row>
    <row r="12894" spans="1:15" ht="16" x14ac:dyDescent="0.2">
      <c r="A12894" s="17" t="str">
        <f>HYPERLINK("https://otsuka-europe-crm.veevavault.com/ui/#object/account__v/V4TZ025E85S489B", "ANA MARIA RUIZ RUIZ")</f>
        <v>ANA MARIA RUIZ RUIZ</v>
      </c>
      <c r="B12894" s="17" t="str">
        <f t="shared" si="930"/>
        <v>ES</v>
      </c>
      <c r="C12894" s="20" t="s">
        <v>41</v>
      </c>
      <c r="D12894" s="21" t="str">
        <f t="shared" si="931"/>
        <v>Libro IA en psiquiatría</v>
      </c>
      <c r="E12894" s="22" t="str">
        <f>HYPERLINK("https://otsuka-europe-crm.veevavault.com/ui/#object/sent_email__v/VBL00000002Z191", "SE-001438576")</f>
        <v>SE-001438576</v>
      </c>
      <c r="F12894" s="23">
        <v>46199.652187500003</v>
      </c>
      <c r="G12894" s="24">
        <v>1</v>
      </c>
      <c r="H12894" s="24">
        <v>2</v>
      </c>
      <c r="I12894" s="24">
        <v>0</v>
      </c>
      <c r="J12894" s="25"/>
      <c r="K12894" s="24">
        <v>0</v>
      </c>
      <c r="L12894" s="22" t="str">
        <f t="shared" si="932"/>
        <v>Libro IA en psiquiatría</v>
      </c>
      <c r="M12894" s="22" t="str">
        <f t="shared" si="933"/>
        <v>jcastro@crm.otsuka-europe.com</v>
      </c>
      <c r="N12894" s="23">
        <v>46199.465509259258</v>
      </c>
      <c r="O12894" s="14" t="str">
        <f>HYPERLINK("https://otsuka-europe-crm.veevavault.com/ui/#object/email_activity__v/V8C000000041158", "EN-002099960")</f>
        <v>EN-002099960</v>
      </c>
    </row>
    <row r="12895" spans="1:15" ht="16" x14ac:dyDescent="0.2">
      <c r="A12895" s="18"/>
      <c r="B12895" s="18"/>
      <c r="C12895" s="18"/>
      <c r="D12895" s="18"/>
      <c r="E12895" s="18"/>
      <c r="F12895" s="18"/>
      <c r="G12895" s="18"/>
      <c r="H12895" s="18"/>
      <c r="I12895" s="18"/>
      <c r="J12895" s="18"/>
      <c r="K12895" s="18"/>
      <c r="L12895" s="18"/>
      <c r="M12895" s="18"/>
      <c r="N12895" s="18"/>
      <c r="O12895" s="14" t="str">
        <f>HYPERLINK("https://otsuka-europe-crm.veevavault.com/ui/#object/email_activity__v/V8C000000041220", "EN-002100105")</f>
        <v>EN-002100105</v>
      </c>
    </row>
    <row r="12896" spans="1:15" ht="16" x14ac:dyDescent="0.2">
      <c r="A12896" s="19"/>
      <c r="B12896" s="19"/>
      <c r="C12896" s="19"/>
      <c r="D12896" s="19"/>
      <c r="E12896" s="19"/>
      <c r="F12896" s="19"/>
      <c r="G12896" s="19"/>
      <c r="H12896" s="19"/>
      <c r="I12896" s="19"/>
      <c r="J12896" s="19"/>
      <c r="K12896" s="19"/>
      <c r="L12896" s="19"/>
      <c r="M12896" s="19"/>
      <c r="N12896" s="19"/>
      <c r="O12896" s="14" t="str">
        <f>HYPERLINK("https://otsuka-europe-crm.veevavault.com/ui/#object/email_activity__v/V8C000000042195", "EN-002100106")</f>
        <v>EN-002100106</v>
      </c>
    </row>
    <row r="12897" spans="1:15" ht="16" x14ac:dyDescent="0.2">
      <c r="A12897" s="17" t="str">
        <f>HYPERLINK("https://otsuka-europe-crm.veevavault.com/ui/#object/account__v/V4TZ025E835SLFO", "CRISTINA SIERRA HIDALGO")</f>
        <v>CRISTINA SIERRA HIDALGO</v>
      </c>
      <c r="B12897" s="17" t="str">
        <f>HYPERLINK("https://otsuka-europe-crm.veevavault.com/ui/#object/vcountry__v/VENZ000004SONF5", "ES")</f>
        <v>ES</v>
      </c>
      <c r="C12897" s="20" t="s">
        <v>41</v>
      </c>
      <c r="D12897" s="21" t="str">
        <f>HYPERLINK("https://otsuka-europe-crm.veevavault.com/ui/#object/approved_document__v/V5O00000000L011", "Libro IA en psiquiatría")</f>
        <v>Libro IA en psiquiatría</v>
      </c>
      <c r="E12897" s="22" t="str">
        <f>HYPERLINK("https://otsuka-europe-crm.veevavault.com/ui/#object/sent_email__v/VBL00000002Z192", "SE-001438577")</f>
        <v>SE-001438577</v>
      </c>
      <c r="F12897" s="23">
        <v>46199.846678240741</v>
      </c>
      <c r="G12897" s="24">
        <v>1</v>
      </c>
      <c r="H12897" s="24">
        <v>1</v>
      </c>
      <c r="I12897" s="24">
        <v>0</v>
      </c>
      <c r="J12897" s="25"/>
      <c r="K12897" s="24">
        <v>0</v>
      </c>
      <c r="L12897" s="22" t="str">
        <f>HYPERLINK("https://otsuka-europe-crm.veevavault.com/ui/#object/approved_document__v/V5O00000000L011", "Libro IA en psiquiatría")</f>
        <v>Libro IA en psiquiatría</v>
      </c>
      <c r="M12897" s="22" t="str">
        <f>HYPERLINK("mailto:jcastro@crm.otsuka-europe.com", "jcastro@crm.otsuka-europe.com")</f>
        <v>jcastro@crm.otsuka-europe.com</v>
      </c>
      <c r="N12897" s="23">
        <v>46199.465509259258</v>
      </c>
      <c r="O12897" s="14" t="str">
        <f>HYPERLINK("https://otsuka-europe-crm.veevavault.com/ui/#object/email_activity__v/V8C000000041240", "EN-002100147")</f>
        <v>EN-002100147</v>
      </c>
    </row>
    <row r="12898" spans="1:15" ht="16" x14ac:dyDescent="0.2">
      <c r="A12898" s="19"/>
      <c r="B12898" s="19"/>
      <c r="C12898" s="19"/>
      <c r="D12898" s="19"/>
      <c r="E12898" s="19"/>
      <c r="F12898" s="19"/>
      <c r="G12898" s="19"/>
      <c r="H12898" s="19"/>
      <c r="I12898" s="19"/>
      <c r="J12898" s="19"/>
      <c r="K12898" s="19"/>
      <c r="L12898" s="19"/>
      <c r="M12898" s="19"/>
      <c r="N12898" s="19"/>
      <c r="O12898" s="14" t="str">
        <f>HYPERLINK("https://otsuka-europe-crm.veevavault.com/ui/#object/email_activity__v/V8C000000042112", "EN-002099970")</f>
        <v>EN-002099970</v>
      </c>
    </row>
    <row r="12899" spans="1:15" ht="32" x14ac:dyDescent="0.2">
      <c r="A12899" s="7" t="str">
        <f>HYPERLINK("https://otsuka-europe-crm.veevavault.com/ui/#object/account__v/V4TZ06G6O71TDCD", "MARIA ANGELES PRADOS GARCIA")</f>
        <v>MARIA ANGELES PRADOS GARCIA</v>
      </c>
      <c r="B12899" s="7" t="str">
        <f>HYPERLINK("https://otsuka-europe-crm.veevavault.com/ui/#object/vcountry__v/VENZ000004SONF5", "ES")</f>
        <v>ES</v>
      </c>
      <c r="C12899" s="8" t="s">
        <v>41</v>
      </c>
      <c r="D12899" s="9" t="str">
        <f>HYPERLINK("https://otsuka-europe-crm.veevavault.com/ui/#object/approved_document__v/V5O00000000L011", "Libro IA en psiquiatría")</f>
        <v>Libro IA en psiquiatría</v>
      </c>
      <c r="E12899" s="10" t="str">
        <f>HYPERLINK("https://otsuka-europe-crm.veevavault.com/ui/#object/sent_email__v/VBL00000002Z193", "SE-001438578")</f>
        <v>SE-001438578</v>
      </c>
      <c r="F12899" s="11"/>
      <c r="G12899" s="12">
        <v>0</v>
      </c>
      <c r="H12899" s="12">
        <v>0</v>
      </c>
      <c r="I12899" s="12">
        <v>0</v>
      </c>
      <c r="J12899" s="11"/>
      <c r="K12899" s="12">
        <v>0</v>
      </c>
      <c r="L12899" s="10" t="str">
        <f>HYPERLINK("https://otsuka-europe-crm.veevavault.com/ui/#object/approved_document__v/V5O00000000L011", "Libro IA en psiquiatría")</f>
        <v>Libro IA en psiquiatría</v>
      </c>
      <c r="M12899" s="10" t="str">
        <f>HYPERLINK("mailto:jcastro@crm.otsuka-europe.com", "jcastro@crm.otsuka-europe.com")</f>
        <v>jcastro@crm.otsuka-europe.com</v>
      </c>
      <c r="N12899" s="13">
        <v>46199.465509259258</v>
      </c>
      <c r="O12899" s="14" t="str">
        <f>HYPERLINK("https://otsuka-europe-crm.veevavault.com/ui/#object/email_activity__v/V8C000000041144", "EN-002099945")</f>
        <v>EN-002099945</v>
      </c>
    </row>
    <row r="12900" spans="1:15" ht="16" x14ac:dyDescent="0.2">
      <c r="A12900" s="17" t="str">
        <f>HYPERLINK("https://otsuka-europe-crm.veevavault.com/ui/#object/account__v/V4TZ04ASGB4VTS9", "ESPERANZA ROMERO ESTUDILLO")</f>
        <v>ESPERANZA ROMERO ESTUDILLO</v>
      </c>
      <c r="B12900" s="17" t="str">
        <f>HYPERLINK("https://otsuka-europe-crm.veevavault.com/ui/#object/vcountry__v/VENZ000004SONF5", "ES")</f>
        <v>ES</v>
      </c>
      <c r="C12900" s="20" t="s">
        <v>41</v>
      </c>
      <c r="D12900" s="21" t="str">
        <f>HYPERLINK("https://otsuka-europe-crm.veevavault.com/ui/#object/approved_document__v/V5O00000000L011", "Libro IA en psiquiatría")</f>
        <v>Libro IA en psiquiatría</v>
      </c>
      <c r="E12900" s="22" t="str">
        <f>HYPERLINK("https://otsuka-europe-crm.veevavault.com/ui/#object/sent_email__v/VBL00000002Z194", "SE-001438579")</f>
        <v>SE-001438579</v>
      </c>
      <c r="F12900" s="25"/>
      <c r="G12900" s="24">
        <v>0</v>
      </c>
      <c r="H12900" s="24">
        <v>0</v>
      </c>
      <c r="I12900" s="24">
        <v>0</v>
      </c>
      <c r="J12900" s="25"/>
      <c r="K12900" s="24">
        <v>0</v>
      </c>
      <c r="L12900" s="22" t="str">
        <f>HYPERLINK("https://otsuka-europe-crm.veevavault.com/ui/#object/approved_document__v/V5O00000000L011", "Libro IA en psiquiatría")</f>
        <v>Libro IA en psiquiatría</v>
      </c>
      <c r="M12900" s="22" t="str">
        <f>HYPERLINK("mailto:jcastro@crm.otsuka-europe.com", "jcastro@crm.otsuka-europe.com")</f>
        <v>jcastro@crm.otsuka-europe.com</v>
      </c>
      <c r="N12900" s="23">
        <v>46199.465509259258</v>
      </c>
      <c r="O12900" s="14" t="str">
        <f>HYPERLINK("https://otsuka-europe-crm.veevavault.com/ui/#object/email_activity__v/V8C000000041239", "EN-002100146")</f>
        <v>EN-002100146</v>
      </c>
    </row>
    <row r="12901" spans="1:15" ht="16" x14ac:dyDescent="0.2">
      <c r="A12901" s="19"/>
      <c r="B12901" s="19"/>
      <c r="C12901" s="19"/>
      <c r="D12901" s="19"/>
      <c r="E12901" s="19"/>
      <c r="F12901" s="19"/>
      <c r="G12901" s="19"/>
      <c r="H12901" s="19"/>
      <c r="I12901" s="19"/>
      <c r="J12901" s="19"/>
      <c r="K12901" s="19"/>
      <c r="L12901" s="19"/>
      <c r="M12901" s="19"/>
      <c r="N12901" s="19"/>
      <c r="O12901" s="14" t="str">
        <f>HYPERLINK("https://otsuka-europe-crm.veevavault.com/ui/#object/email_activity__v/V8C000000042110", "EN-002099925")</f>
        <v>EN-002099925</v>
      </c>
    </row>
    <row r="12902" spans="1:15" ht="32" x14ac:dyDescent="0.2">
      <c r="A12902" s="7" t="str">
        <f>HYPERLINK("https://otsuka-europe-crm.veevavault.com/ui/#object/account__v/V4TZ025E82XA4K9", "ALFREDO DIAZ ALVAREZ")</f>
        <v>ALFREDO DIAZ ALVAREZ</v>
      </c>
      <c r="B12902" s="7" t="str">
        <f>HYPERLINK("https://otsuka-europe-crm.veevavault.com/ui/#object/vcountry__v/VENZ000004SONF5", "ES")</f>
        <v>ES</v>
      </c>
      <c r="C12902" s="8" t="s">
        <v>41</v>
      </c>
      <c r="D12902" s="9" t="str">
        <f>HYPERLINK("https://otsuka-europe-crm.veevavault.com/ui/#object/approved_document__v/V5O00000000L011", "Libro IA en psiquiatría")</f>
        <v>Libro IA en psiquiatría</v>
      </c>
      <c r="E12902" s="10" t="str">
        <f>HYPERLINK("https://otsuka-europe-crm.veevavault.com/ui/#object/sent_email__v/VBL00000002Z195", "SE-001438580")</f>
        <v>SE-001438580</v>
      </c>
      <c r="F12902" s="11"/>
      <c r="G12902" s="12">
        <v>0</v>
      </c>
      <c r="H12902" s="12">
        <v>0</v>
      </c>
      <c r="I12902" s="12">
        <v>0</v>
      </c>
      <c r="J12902" s="11"/>
      <c r="K12902" s="12">
        <v>0</v>
      </c>
      <c r="L12902" s="10" t="str">
        <f>HYPERLINK("https://otsuka-europe-crm.veevavault.com/ui/#object/approved_document__v/V5O00000000L011", "Libro IA en psiquiatría")</f>
        <v>Libro IA en psiquiatría</v>
      </c>
      <c r="M12902" s="10" t="str">
        <f>HYPERLINK("mailto:jcastro@crm.otsuka-europe.com", "jcastro@crm.otsuka-europe.com")</f>
        <v>jcastro@crm.otsuka-europe.com</v>
      </c>
      <c r="N12902" s="13">
        <v>46199.465509259258</v>
      </c>
      <c r="O12902" s="14" t="str">
        <f>HYPERLINK("https://otsuka-europe-crm.veevavault.com/ui/#object/email_activity__v/V8C000000041147", "EN-002099948")</f>
        <v>EN-002099948</v>
      </c>
    </row>
    <row r="12903" spans="1:15" ht="16" x14ac:dyDescent="0.2">
      <c r="A12903" s="17" t="str">
        <f>HYPERLINK("https://otsuka-europe-crm.veevavault.com/ui/#object/account__v/V4TZ025E86UJ1IB", "VICTOR GIRALDO ARAGON")</f>
        <v>VICTOR GIRALDO ARAGON</v>
      </c>
      <c r="B12903" s="17" t="str">
        <f>HYPERLINK("https://otsuka-europe-crm.veevavault.com/ui/#object/vcountry__v/VENZ000004SONF5", "ES")</f>
        <v>ES</v>
      </c>
      <c r="C12903" s="20" t="s">
        <v>41</v>
      </c>
      <c r="D12903" s="21" t="str">
        <f>HYPERLINK("https://otsuka-europe-crm.veevavault.com/ui/#object/approved_document__v/V5O00000000L011", "Libro IA en psiquiatría")</f>
        <v>Libro IA en psiquiatría</v>
      </c>
      <c r="E12903" s="22" t="str">
        <f>HYPERLINK("https://otsuka-europe-crm.veevavault.com/ui/#object/sent_email__v/VBL00000002Z196", "SE-001438581")</f>
        <v>SE-001438581</v>
      </c>
      <c r="F12903" s="23">
        <v>46199.543449074074</v>
      </c>
      <c r="G12903" s="24">
        <v>1</v>
      </c>
      <c r="H12903" s="24">
        <v>2</v>
      </c>
      <c r="I12903" s="24">
        <v>1</v>
      </c>
      <c r="J12903" s="23">
        <v>46199.543368055558</v>
      </c>
      <c r="K12903" s="24">
        <v>3</v>
      </c>
      <c r="L12903" s="22" t="str">
        <f>HYPERLINK("https://otsuka-europe-crm.veevavault.com/ui/#object/approved_document__v/V5O00000000L011", "Libro IA en psiquiatría")</f>
        <v>Libro IA en psiquiatría</v>
      </c>
      <c r="M12903" s="22" t="str">
        <f>HYPERLINK("mailto:jcastro@crm.otsuka-europe.com", "jcastro@crm.otsuka-europe.com")</f>
        <v>jcastro@crm.otsuka-europe.com</v>
      </c>
      <c r="N12903" s="23">
        <v>46199.465509259258</v>
      </c>
      <c r="O12903" s="14" t="str">
        <f>HYPERLINK("https://otsuka-europe-crm.veevavault.com/ui/#object/email_activity__v/V8C000000041159", "EN-002099961")</f>
        <v>EN-002099961</v>
      </c>
    </row>
    <row r="12904" spans="1:15" ht="16" x14ac:dyDescent="0.2">
      <c r="A12904" s="18"/>
      <c r="B12904" s="18"/>
      <c r="C12904" s="18"/>
      <c r="D12904" s="18"/>
      <c r="E12904" s="18"/>
      <c r="F12904" s="18"/>
      <c r="G12904" s="18"/>
      <c r="H12904" s="18"/>
      <c r="I12904" s="18"/>
      <c r="J12904" s="18"/>
      <c r="K12904" s="18"/>
      <c r="L12904" s="18"/>
      <c r="M12904" s="18"/>
      <c r="N12904" s="18"/>
      <c r="O12904" s="14" t="str">
        <f>HYPERLINK("https://otsuka-europe-crm.veevavault.com/ui/#object/email_activity__v/V8C000000041191", "EN-002100036")</f>
        <v>EN-002100036</v>
      </c>
    </row>
    <row r="12905" spans="1:15" ht="16" x14ac:dyDescent="0.2">
      <c r="A12905" s="18"/>
      <c r="B12905" s="18"/>
      <c r="C12905" s="18"/>
      <c r="D12905" s="18"/>
      <c r="E12905" s="18"/>
      <c r="F12905" s="18"/>
      <c r="G12905" s="18"/>
      <c r="H12905" s="18"/>
      <c r="I12905" s="18"/>
      <c r="J12905" s="18"/>
      <c r="K12905" s="18"/>
      <c r="L12905" s="18"/>
      <c r="M12905" s="18"/>
      <c r="N12905" s="18"/>
      <c r="O12905" s="14" t="str">
        <f>HYPERLINK("https://otsuka-europe-crm.veevavault.com/ui/#object/email_activity__v/V8C000000041236", "EN-002100134")</f>
        <v>EN-002100134</v>
      </c>
    </row>
    <row r="12906" spans="1:15" ht="16" x14ac:dyDescent="0.2">
      <c r="A12906" s="18"/>
      <c r="B12906" s="18"/>
      <c r="C12906" s="18"/>
      <c r="D12906" s="18"/>
      <c r="E12906" s="18"/>
      <c r="F12906" s="18"/>
      <c r="G12906" s="18"/>
      <c r="H12906" s="18"/>
      <c r="I12906" s="18"/>
      <c r="J12906" s="18"/>
      <c r="K12906" s="18"/>
      <c r="L12906" s="18"/>
      <c r="M12906" s="18"/>
      <c r="N12906" s="18"/>
      <c r="O12906" s="14" t="str">
        <f>HYPERLINK("https://otsuka-europe-crm.veevavault.com/ui/#object/email_activity__v/V8C000000042151", "EN-002100032")</f>
        <v>EN-002100032</v>
      </c>
    </row>
    <row r="12907" spans="1:15" ht="16" x14ac:dyDescent="0.2">
      <c r="A12907" s="18"/>
      <c r="B12907" s="18"/>
      <c r="C12907" s="18"/>
      <c r="D12907" s="18"/>
      <c r="E12907" s="18"/>
      <c r="F12907" s="18"/>
      <c r="G12907" s="18"/>
      <c r="H12907" s="18"/>
      <c r="I12907" s="18"/>
      <c r="J12907" s="18"/>
      <c r="K12907" s="18"/>
      <c r="L12907" s="18"/>
      <c r="M12907" s="18"/>
      <c r="N12907" s="18"/>
      <c r="O12907" s="14" t="str">
        <f>HYPERLINK("https://otsuka-europe-crm.veevavault.com/ui/#object/email_activity__v/V8C000000042152", "EN-002100033")</f>
        <v>EN-002100033</v>
      </c>
    </row>
    <row r="12908" spans="1:15" ht="16" x14ac:dyDescent="0.2">
      <c r="A12908" s="18"/>
      <c r="B12908" s="18"/>
      <c r="C12908" s="18"/>
      <c r="D12908" s="18"/>
      <c r="E12908" s="18"/>
      <c r="F12908" s="18"/>
      <c r="G12908" s="18"/>
      <c r="H12908" s="18"/>
      <c r="I12908" s="18"/>
      <c r="J12908" s="18"/>
      <c r="K12908" s="18"/>
      <c r="L12908" s="18"/>
      <c r="M12908" s="18"/>
      <c r="N12908" s="18"/>
      <c r="O12908" s="14" t="str">
        <f>HYPERLINK("https://otsuka-europe-crm.veevavault.com/ui/#object/email_activity__v/V8C000000042153", "EN-002100034")</f>
        <v>EN-002100034</v>
      </c>
    </row>
    <row r="12909" spans="1:15" ht="16" x14ac:dyDescent="0.2">
      <c r="A12909" s="19"/>
      <c r="B12909" s="19"/>
      <c r="C12909" s="19"/>
      <c r="D12909" s="19"/>
      <c r="E12909" s="19"/>
      <c r="F12909" s="19"/>
      <c r="G12909" s="19"/>
      <c r="H12909" s="19"/>
      <c r="I12909" s="19"/>
      <c r="J12909" s="19"/>
      <c r="K12909" s="19"/>
      <c r="L12909" s="19"/>
      <c r="M12909" s="19"/>
      <c r="N12909" s="19"/>
      <c r="O12909" s="14" t="str">
        <f>HYPERLINK("https://otsuka-europe-crm.veevavault.com/ui/#object/email_activity__v/V8C000000042154", "EN-002100035")</f>
        <v>EN-002100035</v>
      </c>
    </row>
    <row r="12910" spans="1:15" ht="32" x14ac:dyDescent="0.2">
      <c r="A12910" s="7" t="str">
        <f>HYPERLINK("https://otsuka-europe-crm.veevavault.com/ui/#object/account__v/V4TZ025E861G68L", "ROSA RUIZ LORA")</f>
        <v>ROSA RUIZ LORA</v>
      </c>
      <c r="B12910" s="7" t="str">
        <f t="shared" ref="B12910:B12915" si="934">HYPERLINK("https://otsuka-europe-crm.veevavault.com/ui/#object/vcountry__v/VENZ000004SONF5", "ES")</f>
        <v>ES</v>
      </c>
      <c r="C12910" s="8" t="s">
        <v>41</v>
      </c>
      <c r="D12910" s="9" t="str">
        <f t="shared" ref="D12910:D12915" si="935">HYPERLINK("https://otsuka-europe-crm.veevavault.com/ui/#object/approved_document__v/V5O00000000L011", "Libro IA en psiquiatría")</f>
        <v>Libro IA en psiquiatría</v>
      </c>
      <c r="E12910" s="10" t="str">
        <f>HYPERLINK("https://otsuka-europe-crm.veevavault.com/ui/#object/sent_email__v/VBL00000002Z197", "SE-001438582")</f>
        <v>SE-001438582</v>
      </c>
      <c r="F12910" s="11"/>
      <c r="G12910" s="12">
        <v>0</v>
      </c>
      <c r="H12910" s="12">
        <v>0</v>
      </c>
      <c r="I12910" s="12">
        <v>0</v>
      </c>
      <c r="J12910" s="11"/>
      <c r="K12910" s="12">
        <v>0</v>
      </c>
      <c r="L12910" s="10" t="str">
        <f t="shared" ref="L12910:L12915" si="936">HYPERLINK("https://otsuka-europe-crm.veevavault.com/ui/#object/approved_document__v/V5O00000000L011", "Libro IA en psiquiatría")</f>
        <v>Libro IA en psiquiatría</v>
      </c>
      <c r="M12910" s="10" t="str">
        <f t="shared" ref="M12910:M12915" si="937">HYPERLINK("mailto:jcastro@crm.otsuka-europe.com", "jcastro@crm.otsuka-europe.com")</f>
        <v>jcastro@crm.otsuka-europe.com</v>
      </c>
      <c r="N12910" s="13">
        <v>46199.465509259258</v>
      </c>
      <c r="O12910" s="14" t="str">
        <f>HYPERLINK("https://otsuka-europe-crm.veevavault.com/ui/#object/email_activity__v/V8C000000041165", "EN-002099967")</f>
        <v>EN-002099967</v>
      </c>
    </row>
    <row r="12911" spans="1:15" ht="32" x14ac:dyDescent="0.2">
      <c r="A12911" s="7" t="str">
        <f>HYPERLINK("https://otsuka-europe-crm.veevavault.com/ui/#object/account__v/V4TZ04ASGBCGA08", "ALEXANDRA CINTAS LOPEZ")</f>
        <v>ALEXANDRA CINTAS LOPEZ</v>
      </c>
      <c r="B12911" s="7" t="str">
        <f t="shared" si="934"/>
        <v>ES</v>
      </c>
      <c r="C12911" s="8" t="s">
        <v>41</v>
      </c>
      <c r="D12911" s="9" t="str">
        <f t="shared" si="935"/>
        <v>Libro IA en psiquiatría</v>
      </c>
      <c r="E12911" s="10" t="str">
        <f>HYPERLINK("https://otsuka-europe-crm.veevavault.com/ui/#object/sent_email__v/VBL00000002Z198", "SE-001438583")</f>
        <v>SE-001438583</v>
      </c>
      <c r="F12911" s="11"/>
      <c r="G12911" s="12">
        <v>0</v>
      </c>
      <c r="H12911" s="12">
        <v>0</v>
      </c>
      <c r="I12911" s="12">
        <v>0</v>
      </c>
      <c r="J12911" s="11"/>
      <c r="K12911" s="12">
        <v>0</v>
      </c>
      <c r="L12911" s="10" t="str">
        <f t="shared" si="936"/>
        <v>Libro IA en psiquiatría</v>
      </c>
      <c r="M12911" s="10" t="str">
        <f t="shared" si="937"/>
        <v>jcastro@crm.otsuka-europe.com</v>
      </c>
      <c r="N12911" s="13">
        <v>46199.465497685182</v>
      </c>
      <c r="O12911" s="14" t="str">
        <f>HYPERLINK("https://otsuka-europe-crm.veevavault.com/ui/#object/email_activity__v/V8C000000041157", "EN-002099959")</f>
        <v>EN-002099959</v>
      </c>
    </row>
    <row r="12912" spans="1:15" ht="32" x14ac:dyDescent="0.2">
      <c r="A12912" s="7" t="str">
        <f>HYPERLINK("https://otsuka-europe-crm.veevavault.com/ui/#object/account__v/V4TZ06G6O71TD8U", "FRANCISCA ROJAS SEGURA")</f>
        <v>FRANCISCA ROJAS SEGURA</v>
      </c>
      <c r="B12912" s="7" t="str">
        <f t="shared" si="934"/>
        <v>ES</v>
      </c>
      <c r="C12912" s="8" t="s">
        <v>41</v>
      </c>
      <c r="D12912" s="9" t="str">
        <f t="shared" si="935"/>
        <v>Libro IA en psiquiatría</v>
      </c>
      <c r="E12912" s="10" t="str">
        <f>HYPERLINK("https://otsuka-europe-crm.veevavault.com/ui/#object/sent_email__v/VBL00000002Z199", "SE-001438584")</f>
        <v>SE-001438584</v>
      </c>
      <c r="F12912" s="11"/>
      <c r="G12912" s="12">
        <v>0</v>
      </c>
      <c r="H12912" s="12">
        <v>0</v>
      </c>
      <c r="I12912" s="12">
        <v>0</v>
      </c>
      <c r="J12912" s="11"/>
      <c r="K12912" s="12">
        <v>0</v>
      </c>
      <c r="L12912" s="10" t="str">
        <f t="shared" si="936"/>
        <v>Libro IA en psiquiatría</v>
      </c>
      <c r="M12912" s="10" t="str">
        <f t="shared" si="937"/>
        <v>jcastro@crm.otsuka-europe.com</v>
      </c>
      <c r="N12912" s="13">
        <v>46199.465497685182</v>
      </c>
      <c r="O12912" s="14" t="str">
        <f>HYPERLINK("https://otsuka-europe-crm.veevavault.com/ui/#object/email_activity__v/V8C000000041128", "EN-002099929")</f>
        <v>EN-002099929</v>
      </c>
    </row>
    <row r="12913" spans="1:15" ht="32" x14ac:dyDescent="0.2">
      <c r="A12913" s="7" t="str">
        <f>HYPERLINK("https://otsuka-europe-crm.veevavault.com/ui/#object/account__v/V4TZ06G6O71WV35", "FRANCISCO JAVIER ESTRADA TORRES")</f>
        <v>FRANCISCO JAVIER ESTRADA TORRES</v>
      </c>
      <c r="B12913" s="7" t="str">
        <f t="shared" si="934"/>
        <v>ES</v>
      </c>
      <c r="C12913" s="8" t="s">
        <v>41</v>
      </c>
      <c r="D12913" s="9" t="str">
        <f t="shared" si="935"/>
        <v>Libro IA en psiquiatría</v>
      </c>
      <c r="E12913" s="10" t="str">
        <f>HYPERLINK("https://otsuka-europe-crm.veevavault.com/ui/#object/sent_email__v/VBL00000002Z200", "SE-001438585")</f>
        <v>SE-001438585</v>
      </c>
      <c r="F12913" s="11"/>
      <c r="G12913" s="12">
        <v>0</v>
      </c>
      <c r="H12913" s="12">
        <v>0</v>
      </c>
      <c r="I12913" s="12">
        <v>0</v>
      </c>
      <c r="J12913" s="11"/>
      <c r="K12913" s="12">
        <v>0</v>
      </c>
      <c r="L12913" s="10" t="str">
        <f t="shared" si="936"/>
        <v>Libro IA en psiquiatría</v>
      </c>
      <c r="M12913" s="10" t="str">
        <f t="shared" si="937"/>
        <v>jcastro@crm.otsuka-europe.com</v>
      </c>
      <c r="N12913" s="13">
        <v>46199.465509259258</v>
      </c>
      <c r="O12913" s="14" t="str">
        <f>HYPERLINK("https://otsuka-europe-crm.veevavault.com/ui/#object/email_activity__v/V8C000000041151", "EN-002099953")</f>
        <v>EN-002099953</v>
      </c>
    </row>
    <row r="12914" spans="1:15" ht="32" x14ac:dyDescent="0.2">
      <c r="A12914" s="7" t="str">
        <f>HYPERLINK("https://otsuka-europe-crm.veevavault.com/ui/#object/account__v/V4TZ06G6O71TDAT", "ADELA DE LA TORRE MARTINEZ")</f>
        <v>ADELA DE LA TORRE MARTINEZ</v>
      </c>
      <c r="B12914" s="7" t="str">
        <f t="shared" si="934"/>
        <v>ES</v>
      </c>
      <c r="C12914" s="8" t="s">
        <v>41</v>
      </c>
      <c r="D12914" s="9" t="str">
        <f t="shared" si="935"/>
        <v>Libro IA en psiquiatría</v>
      </c>
      <c r="E12914" s="10" t="str">
        <f>HYPERLINK("https://otsuka-europe-crm.veevavault.com/ui/#object/sent_email__v/VBL00000002Z201", "SE-001438586")</f>
        <v>SE-001438586</v>
      </c>
      <c r="F12914" s="11"/>
      <c r="G12914" s="12">
        <v>0</v>
      </c>
      <c r="H12914" s="12">
        <v>0</v>
      </c>
      <c r="I12914" s="12">
        <v>0</v>
      </c>
      <c r="J12914" s="11"/>
      <c r="K12914" s="12">
        <v>0</v>
      </c>
      <c r="L12914" s="10" t="str">
        <f t="shared" si="936"/>
        <v>Libro IA en psiquiatría</v>
      </c>
      <c r="M12914" s="10" t="str">
        <f t="shared" si="937"/>
        <v>jcastro@crm.otsuka-europe.com</v>
      </c>
      <c r="N12914" s="13">
        <v>46199.465509259258</v>
      </c>
      <c r="O12914" s="14" t="str">
        <f>HYPERLINK("https://otsuka-europe-crm.veevavault.com/ui/#object/email_activity__v/V8C000000041166", "EN-002099968")</f>
        <v>EN-002099968</v>
      </c>
    </row>
    <row r="12915" spans="1:15" ht="16" x14ac:dyDescent="0.2">
      <c r="A12915" s="17" t="str">
        <f>HYPERLINK("https://otsuka-europe-crm.veevavault.com/ui/#object/account__v/V4TZ06G6O71TDF8", "ANA CALDERON JIMENEZ")</f>
        <v>ANA CALDERON JIMENEZ</v>
      </c>
      <c r="B12915" s="17" t="str">
        <f t="shared" si="934"/>
        <v>ES</v>
      </c>
      <c r="C12915" s="20" t="s">
        <v>41</v>
      </c>
      <c r="D12915" s="21" t="str">
        <f t="shared" si="935"/>
        <v>Libro IA en psiquiatría</v>
      </c>
      <c r="E12915" s="22" t="str">
        <f>HYPERLINK("https://otsuka-europe-crm.veevavault.com/ui/#object/sent_email__v/VBL00000002Z202", "SE-001438587")</f>
        <v>SE-001438587</v>
      </c>
      <c r="F12915" s="23">
        <v>46199.521817129629</v>
      </c>
      <c r="G12915" s="24">
        <v>1</v>
      </c>
      <c r="H12915" s="24">
        <v>1</v>
      </c>
      <c r="I12915" s="24">
        <v>1</v>
      </c>
      <c r="J12915" s="23">
        <v>46199.52207175926</v>
      </c>
      <c r="K12915" s="24">
        <v>1</v>
      </c>
      <c r="L12915" s="22" t="str">
        <f t="shared" si="936"/>
        <v>Libro IA en psiquiatría</v>
      </c>
      <c r="M12915" s="22" t="str">
        <f t="shared" si="937"/>
        <v>jcastro@crm.otsuka-europe.com</v>
      </c>
      <c r="N12915" s="23">
        <v>46199.465509259258</v>
      </c>
      <c r="O12915" s="14" t="str">
        <f>HYPERLINK("https://otsuka-europe-crm.veevavault.com/ui/#object/email_activity__v/V8C000000042113", "EN-002099971")</f>
        <v>EN-002099971</v>
      </c>
    </row>
    <row r="12916" spans="1:15" ht="16" x14ac:dyDescent="0.2">
      <c r="A12916" s="18"/>
      <c r="B12916" s="18"/>
      <c r="C12916" s="18"/>
      <c r="D12916" s="18"/>
      <c r="E12916" s="18"/>
      <c r="F12916" s="18"/>
      <c r="G12916" s="18"/>
      <c r="H12916" s="18"/>
      <c r="I12916" s="18"/>
      <c r="J12916" s="18"/>
      <c r="K12916" s="18"/>
      <c r="L12916" s="18"/>
      <c r="M12916" s="18"/>
      <c r="N12916" s="18"/>
      <c r="O12916" s="14" t="str">
        <f>HYPERLINK("https://otsuka-europe-crm.veevavault.com/ui/#object/email_activity__v/V8C000000042142", "EN-002100021")</f>
        <v>EN-002100021</v>
      </c>
    </row>
    <row r="12917" spans="1:15" ht="16" x14ac:dyDescent="0.2">
      <c r="A12917" s="19"/>
      <c r="B12917" s="19"/>
      <c r="C12917" s="19"/>
      <c r="D12917" s="19"/>
      <c r="E12917" s="19"/>
      <c r="F12917" s="19"/>
      <c r="G12917" s="19"/>
      <c r="H12917" s="19"/>
      <c r="I12917" s="19"/>
      <c r="J12917" s="19"/>
      <c r="K12917" s="19"/>
      <c r="L12917" s="19"/>
      <c r="M12917" s="19"/>
      <c r="N12917" s="19"/>
      <c r="O12917" s="14" t="str">
        <f>HYPERLINK("https://otsuka-europe-crm.veevavault.com/ui/#object/email_activity__v/V8C000000042143", "EN-002100022")</f>
        <v>EN-002100022</v>
      </c>
    </row>
    <row r="12918" spans="1:15" ht="32" x14ac:dyDescent="0.2">
      <c r="A12918" s="7" t="str">
        <f>HYPERLINK("https://otsuka-europe-crm.veevavault.com/ui/#object/account__v/V4TZ025E860QUQY", "MARIA LOPEZ MALDONADO")</f>
        <v>MARIA LOPEZ MALDONADO</v>
      </c>
      <c r="B12918" s="7" t="str">
        <f>HYPERLINK("https://otsuka-europe-crm.veevavault.com/ui/#object/vcountry__v/VENZ000004SONF5", "ES")</f>
        <v>ES</v>
      </c>
      <c r="C12918" s="8" t="s">
        <v>41</v>
      </c>
      <c r="D12918" s="9" t="str">
        <f>HYPERLINK("https://otsuka-europe-crm.veevavault.com/ui/#object/approved_document__v/V5O00000000L011", "Libro IA en psiquiatría")</f>
        <v>Libro IA en psiquiatría</v>
      </c>
      <c r="E12918" s="10" t="str">
        <f>HYPERLINK("https://otsuka-europe-crm.veevavault.com/ui/#object/sent_email__v/VBL00000002Z203", "SE-001438588")</f>
        <v>SE-001438588</v>
      </c>
      <c r="F12918" s="11"/>
      <c r="G12918" s="12">
        <v>0</v>
      </c>
      <c r="H12918" s="12">
        <v>0</v>
      </c>
      <c r="I12918" s="12">
        <v>0</v>
      </c>
      <c r="J12918" s="11"/>
      <c r="K12918" s="12">
        <v>0</v>
      </c>
      <c r="L12918" s="10" t="str">
        <f>HYPERLINK("https://otsuka-europe-crm.veevavault.com/ui/#object/approved_document__v/V5O00000000L011", "Libro IA en psiquiatría")</f>
        <v>Libro IA en psiquiatría</v>
      </c>
      <c r="M12918" s="10" t="str">
        <f>HYPERLINK("mailto:jcastro@crm.otsuka-europe.com", "jcastro@crm.otsuka-europe.com")</f>
        <v>jcastro@crm.otsuka-europe.com</v>
      </c>
      <c r="N12918" s="13">
        <v>46199.465509259258</v>
      </c>
      <c r="O12918" s="14" t="str">
        <f>HYPERLINK("https://otsuka-europe-crm.veevavault.com/ui/#object/email_activity__v/V8C000000041125", "EN-002099926")</f>
        <v>EN-002099926</v>
      </c>
    </row>
    <row r="12919" spans="1:15" ht="32" x14ac:dyDescent="0.2">
      <c r="A12919" s="7" t="str">
        <f>HYPERLINK("https://otsuka-europe-crm.veevavault.com/ui/#object/account__v/V4TZ025E85IH4W5", "ANTONIO LUIS MESA ARRIAZA")</f>
        <v>ANTONIO LUIS MESA ARRIAZA</v>
      </c>
      <c r="B12919" s="7" t="str">
        <f>HYPERLINK("https://otsuka-europe-crm.veevavault.com/ui/#object/vcountry__v/VENZ000004SONF5", "ES")</f>
        <v>ES</v>
      </c>
      <c r="C12919" s="8" t="s">
        <v>41</v>
      </c>
      <c r="D12919" s="9" t="str">
        <f>HYPERLINK("https://otsuka-europe-crm.veevavault.com/ui/#object/approved_document__v/V5O00000000L011", "Libro IA en psiquiatría")</f>
        <v>Libro IA en psiquiatría</v>
      </c>
      <c r="E12919" s="10" t="str">
        <f>HYPERLINK("https://otsuka-europe-crm.veevavault.com/ui/#object/sent_email__v/VBL00000002Z204", "SE-001438589")</f>
        <v>SE-001438589</v>
      </c>
      <c r="F12919" s="11"/>
      <c r="G12919" s="12">
        <v>0</v>
      </c>
      <c r="H12919" s="12">
        <v>0</v>
      </c>
      <c r="I12919" s="12">
        <v>0</v>
      </c>
      <c r="J12919" s="11"/>
      <c r="K12919" s="12">
        <v>0</v>
      </c>
      <c r="L12919" s="10" t="str">
        <f>HYPERLINK("https://otsuka-europe-crm.veevavault.com/ui/#object/approved_document__v/V5O00000000L011", "Libro IA en psiquiatría")</f>
        <v>Libro IA en psiquiatría</v>
      </c>
      <c r="M12919" s="10" t="str">
        <f>HYPERLINK("mailto:jcastro@crm.otsuka-europe.com", "jcastro@crm.otsuka-europe.com")</f>
        <v>jcastro@crm.otsuka-europe.com</v>
      </c>
      <c r="N12919" s="13">
        <v>46199.465509259258</v>
      </c>
      <c r="O12919" s="14" t="str">
        <f>HYPERLINK("https://otsuka-europe-crm.veevavault.com/ui/#object/email_activity__v/V8C000000041161", "EN-002099963")</f>
        <v>EN-002099963</v>
      </c>
    </row>
    <row r="12920" spans="1:15" ht="16" x14ac:dyDescent="0.2">
      <c r="A12920" s="17" t="str">
        <f>HYPERLINK("https://otsuka-europe-crm.veevavault.com/ui/#object/account__v/V4T00000001C099", "EVA MARIA ORTEGA JUSTICIA")</f>
        <v>EVA MARIA ORTEGA JUSTICIA</v>
      </c>
      <c r="B12920" s="17" t="str">
        <f>HYPERLINK("https://otsuka-europe-crm.veevavault.com/ui/#object/vcountry__v/VENZ000004SONF5", "ES")</f>
        <v>ES</v>
      </c>
      <c r="C12920" s="20" t="s">
        <v>41</v>
      </c>
      <c r="D12920" s="21" t="str">
        <f>HYPERLINK("https://otsuka-europe-crm.veevavault.com/ui/#object/approved_document__v/V5O00000000L011", "Libro IA en psiquiatría")</f>
        <v>Libro IA en psiquiatría</v>
      </c>
      <c r="E12920" s="22" t="str">
        <f>HYPERLINK("https://otsuka-europe-crm.veevavault.com/ui/#object/sent_email__v/VBL00000002Z205", "SE-001438590")</f>
        <v>SE-001438590</v>
      </c>
      <c r="F12920" s="25"/>
      <c r="G12920" s="24">
        <v>0</v>
      </c>
      <c r="H12920" s="24">
        <v>0</v>
      </c>
      <c r="I12920" s="24">
        <v>0</v>
      </c>
      <c r="J12920" s="25"/>
      <c r="K12920" s="24">
        <v>0</v>
      </c>
      <c r="L12920" s="22" t="str">
        <f>HYPERLINK("https://otsuka-europe-crm.veevavault.com/ui/#object/approved_document__v/V5O00000000L011", "Libro IA en psiquiatría")</f>
        <v>Libro IA en psiquiatría</v>
      </c>
      <c r="M12920" s="22" t="str">
        <f>HYPERLINK("mailto:jcastro@crm.otsuka-europe.com", "jcastro@crm.otsuka-europe.com")</f>
        <v>jcastro@crm.otsuka-europe.com</v>
      </c>
      <c r="N12920" s="23">
        <v>46199.465509259258</v>
      </c>
      <c r="O12920" s="14" t="str">
        <f>HYPERLINK("https://otsuka-europe-crm.veevavault.com/ui/#object/email_activity__v/V8C000000041142", "EN-002099943")</f>
        <v>EN-002099943</v>
      </c>
    </row>
    <row r="12921" spans="1:15" ht="16" x14ac:dyDescent="0.2">
      <c r="A12921" s="19"/>
      <c r="B12921" s="19"/>
      <c r="C12921" s="19"/>
      <c r="D12921" s="19"/>
      <c r="E12921" s="19"/>
      <c r="F12921" s="19"/>
      <c r="G12921" s="19"/>
      <c r="H12921" s="19"/>
      <c r="I12921" s="19"/>
      <c r="J12921" s="19"/>
      <c r="K12921" s="19"/>
      <c r="L12921" s="19"/>
      <c r="M12921" s="19"/>
      <c r="N12921" s="19"/>
      <c r="O12921" s="14" t="str">
        <f>HYPERLINK("https://otsuka-europe-crm.veevavault.com/ui/#object/email_activity__v/V8C000000042123", "EN-002099986")</f>
        <v>EN-002099986</v>
      </c>
    </row>
    <row r="12922" spans="1:15" ht="32" x14ac:dyDescent="0.2">
      <c r="A12922" s="7" t="str">
        <f>HYPERLINK("https://otsuka-europe-crm.veevavault.com/ui/#object/account__v/V4T000000009007", "CORAL DOMENE MONTES")</f>
        <v>CORAL DOMENE MONTES</v>
      </c>
      <c r="B12922" s="7" t="str">
        <f>HYPERLINK("https://otsuka-europe-crm.veevavault.com/ui/#object/vcountry__v/VENZ000004SONF5", "ES")</f>
        <v>ES</v>
      </c>
      <c r="C12922" s="8" t="s">
        <v>41</v>
      </c>
      <c r="D12922" s="9" t="str">
        <f>HYPERLINK("https://otsuka-europe-crm.veevavault.com/ui/#object/approved_document__v/V5O00000000L011", "Libro IA en psiquiatría")</f>
        <v>Libro IA en psiquiatría</v>
      </c>
      <c r="E12922" s="10" t="str">
        <f>HYPERLINK("https://otsuka-europe-crm.veevavault.com/ui/#object/sent_email__v/VBL00000002Z206", "SE-001438591")</f>
        <v>SE-001438591</v>
      </c>
      <c r="F12922" s="11"/>
      <c r="G12922" s="12">
        <v>0</v>
      </c>
      <c r="H12922" s="12">
        <v>0</v>
      </c>
      <c r="I12922" s="12">
        <v>0</v>
      </c>
      <c r="J12922" s="11"/>
      <c r="K12922" s="12">
        <v>0</v>
      </c>
      <c r="L12922" s="10" t="str">
        <f>HYPERLINK("https://otsuka-europe-crm.veevavault.com/ui/#object/approved_document__v/V5O00000000L011", "Libro IA en psiquiatría")</f>
        <v>Libro IA en psiquiatría</v>
      </c>
      <c r="M12922" s="10" t="str">
        <f>HYPERLINK("mailto:jcastro@crm.otsuka-europe.com", "jcastro@crm.otsuka-europe.com")</f>
        <v>jcastro@crm.otsuka-europe.com</v>
      </c>
      <c r="N12922" s="13">
        <v>46199.465486111112</v>
      </c>
      <c r="O12922" s="14" t="str">
        <f>HYPERLINK("https://otsuka-europe-crm.veevavault.com/ui/#object/email_activity__v/V8C000000041145", "EN-002099946")</f>
        <v>EN-002099946</v>
      </c>
    </row>
    <row r="12923" spans="1:15" ht="32" x14ac:dyDescent="0.2">
      <c r="A12923" s="7" t="str">
        <f>HYPERLINK("https://otsuka-europe-crm.veevavault.com/ui/#object/account__v/V4T00000001F068", "ELENA HERNANDEZ MORENO")</f>
        <v>ELENA HERNANDEZ MORENO</v>
      </c>
      <c r="B12923" s="7" t="str">
        <f>HYPERLINK("https://otsuka-europe-crm.veevavault.com/ui/#object/vcountry__v/VENZ000004SONF5", "ES")</f>
        <v>ES</v>
      </c>
      <c r="C12923" s="8" t="s">
        <v>41</v>
      </c>
      <c r="D12923" s="9" t="str">
        <f>HYPERLINK("https://otsuka-europe-crm.veevavault.com/ui/#object/approved_document__v/V5O00000000L011", "Libro IA en psiquiatría")</f>
        <v>Libro IA en psiquiatría</v>
      </c>
      <c r="E12923" s="10" t="str">
        <f>HYPERLINK("https://otsuka-europe-crm.veevavault.com/ui/#object/sent_email__v/VBL00000002Z207", "SE-001438592")</f>
        <v>SE-001438592</v>
      </c>
      <c r="F12923" s="11"/>
      <c r="G12923" s="12">
        <v>0</v>
      </c>
      <c r="H12923" s="12">
        <v>0</v>
      </c>
      <c r="I12923" s="12">
        <v>0</v>
      </c>
      <c r="J12923" s="11"/>
      <c r="K12923" s="12">
        <v>0</v>
      </c>
      <c r="L12923" s="10" t="str">
        <f>HYPERLINK("https://otsuka-europe-crm.veevavault.com/ui/#object/approved_document__v/V5O00000000L011", "Libro IA en psiquiatría")</f>
        <v>Libro IA en psiquiatría</v>
      </c>
      <c r="M12923" s="10" t="str">
        <f>HYPERLINK("mailto:jcastro@crm.otsuka-europe.com", "jcastro@crm.otsuka-europe.com")</f>
        <v>jcastro@crm.otsuka-europe.com</v>
      </c>
      <c r="N12923" s="13">
        <v>46199.465486111112</v>
      </c>
      <c r="O12923" s="14" t="str">
        <f>HYPERLINK("https://otsuka-europe-crm.veevavault.com/ui/#object/email_activity__v/V8C000000041143", "EN-002099944")</f>
        <v>EN-002099944</v>
      </c>
    </row>
    <row r="12924" spans="1:15" ht="32" x14ac:dyDescent="0.2">
      <c r="A12924" s="7" t="str">
        <f>HYPERLINK("https://otsuka-europe-crm.veevavault.com/ui/#object/account__v/V4TZ06G6OB4F2P4", "AMALIA ROMERO MOLINA")</f>
        <v>AMALIA ROMERO MOLINA</v>
      </c>
      <c r="B12924" s="7" t="str">
        <f>HYPERLINK("https://otsuka-europe-crm.veevavault.com/ui/#object/vcountry__v/VENZ000004SONF5", "ES")</f>
        <v>ES</v>
      </c>
      <c r="C12924" s="8" t="s">
        <v>41</v>
      </c>
      <c r="D12924" s="9" t="str">
        <f>HYPERLINK("https://otsuka-europe-crm.veevavault.com/ui/#object/approved_document__v/V5O00000000L011", "Libro IA en psiquiatría")</f>
        <v>Libro IA en psiquiatría</v>
      </c>
      <c r="E12924" s="10" t="str">
        <f>HYPERLINK("https://otsuka-europe-crm.veevavault.com/ui/#object/sent_email__v/VBL00000002Z208", "SE-001438593")</f>
        <v>SE-001438593</v>
      </c>
      <c r="F12924" s="11"/>
      <c r="G12924" s="12">
        <v>0</v>
      </c>
      <c r="H12924" s="12">
        <v>0</v>
      </c>
      <c r="I12924" s="12">
        <v>0</v>
      </c>
      <c r="J12924" s="11"/>
      <c r="K12924" s="12">
        <v>0</v>
      </c>
      <c r="L12924" s="10" t="str">
        <f>HYPERLINK("https://otsuka-europe-crm.veevavault.com/ui/#object/approved_document__v/V5O00000000L011", "Libro IA en psiquiatría")</f>
        <v>Libro IA en psiquiatría</v>
      </c>
      <c r="M12924" s="10" t="str">
        <f>HYPERLINK("mailto:jcastro@crm.otsuka-europe.com", "jcastro@crm.otsuka-europe.com")</f>
        <v>jcastro@crm.otsuka-europe.com</v>
      </c>
      <c r="N12924" s="13">
        <v>46199.465486111112</v>
      </c>
      <c r="O12924" s="14" t="str">
        <f>HYPERLINK("https://otsuka-europe-crm.veevavault.com/ui/#object/email_activity__v/V8C000000042109", "EN-002099924")</f>
        <v>EN-002099924</v>
      </c>
    </row>
    <row r="12925" spans="1:15" ht="48" x14ac:dyDescent="0.2">
      <c r="A12925" s="7" t="str">
        <f>HYPERLINK("https://otsuka-europe-crm.veevavault.com/ui/#object/account__v/V4TZ00000634UQY", "Anne Linde Kruttschnitt")</f>
        <v>Anne Linde Kruttschnitt</v>
      </c>
      <c r="B12925" s="7" t="str">
        <f>HYPERLINK("https://otsuka-europe-crm.veevavault.com/ui/#object/vcountry__v/VENZ000004SONFP", "DE")</f>
        <v>DE</v>
      </c>
      <c r="C12925" s="8" t="s">
        <v>43</v>
      </c>
      <c r="D12925" s="9" t="str">
        <f>HYPERLINK("https://otsuka-europe-crm.veevavault.com/ui/#object/approved_document__v/V5O00000001H029", "VAE DE AM960 - Podcast-Interview Prof. Dr. Köhler_2026-05")</f>
        <v>VAE DE AM960 - Podcast-Interview Prof. Dr. Köhler_2026-05</v>
      </c>
      <c r="E12925" s="10" t="str">
        <f>HYPERLINK("https://otsuka-europe-crm.veevavault.com/ui/#object/sent_email__v/VBL00000002Z209", "SE-001438594")</f>
        <v>SE-001438594</v>
      </c>
      <c r="F12925" s="11"/>
      <c r="G12925" s="12">
        <v>0</v>
      </c>
      <c r="H12925" s="12">
        <v>0</v>
      </c>
      <c r="I12925" s="12">
        <v>0</v>
      </c>
      <c r="J12925" s="11"/>
      <c r="K12925" s="12">
        <v>0</v>
      </c>
      <c r="L12925" s="10" t="str">
        <f>HYPERLINK("https://otsuka-europe-crm.veevavault.com/ui/#object/approved_document__v/V5O00000001H029", "VAE DE AM960 - Podcast-Interview Prof. Dr. Köhler_2026-05")</f>
        <v>VAE DE AM960 - Podcast-Interview Prof. Dr. Köhler_2026-05</v>
      </c>
      <c r="M12925" s="10" t="str">
        <f>HYPERLINK("mailto:emachholz@crm.otsuka-europe.com", "emachholz@crm.otsuka-europe.com")</f>
        <v>emachholz@crm.otsuka-europe.com</v>
      </c>
      <c r="N12925" s="13">
        <v>46199.467256944445</v>
      </c>
      <c r="O12925" s="14" t="str">
        <f>HYPERLINK("https://otsuka-europe-crm.veevavault.com/ui/#object/email_activity__v/V8C000000042118", "EN-002099976")</f>
        <v>EN-002099976</v>
      </c>
    </row>
    <row r="12926" spans="1:15" ht="48" x14ac:dyDescent="0.2">
      <c r="A12926" s="7" t="str">
        <f>HYPERLINK("https://otsuka-europe-crm.veevavault.com/ui/#object/account__v/V4TZ025E87AALWO", "Birte Wolff")</f>
        <v>Birte Wolff</v>
      </c>
      <c r="B12926" s="7" t="str">
        <f>HYPERLINK("https://otsuka-europe-crm.veevavault.com/ui/#object/vcountry__v/VENZ000004SONFP", "DE")</f>
        <v>DE</v>
      </c>
      <c r="C12926" s="8" t="s">
        <v>43</v>
      </c>
      <c r="D12926" s="9" t="str">
        <f>HYPERLINK("https://otsuka-europe-crm.veevavault.com/ui/#object/approved_document__v/V5O00000001H029", "VAE DE AM960 - Podcast-Interview Prof. Dr. Köhler_2026-05")</f>
        <v>VAE DE AM960 - Podcast-Interview Prof. Dr. Köhler_2026-05</v>
      </c>
      <c r="E12926" s="10" t="str">
        <f>HYPERLINK("https://otsuka-europe-crm.veevavault.com/ui/#object/sent_email__v/VBL00000002Z210", "SE-001438595")</f>
        <v>SE-001438595</v>
      </c>
      <c r="F12926" s="11"/>
      <c r="G12926" s="12">
        <v>0</v>
      </c>
      <c r="H12926" s="12">
        <v>0</v>
      </c>
      <c r="I12926" s="12">
        <v>0</v>
      </c>
      <c r="J12926" s="11"/>
      <c r="K12926" s="12">
        <v>0</v>
      </c>
      <c r="L12926" s="10" t="str">
        <f>HYPERLINK("https://otsuka-europe-crm.veevavault.com/ui/#object/approved_document__v/V5O00000001H029", "VAE DE AM960 - Podcast-Interview Prof. Dr. Köhler_2026-05")</f>
        <v>VAE DE AM960 - Podcast-Interview Prof. Dr. Köhler_2026-05</v>
      </c>
      <c r="M12926" s="10" t="str">
        <f>HYPERLINK("mailto:emachholz@crm.otsuka-europe.com", "emachholz@crm.otsuka-europe.com")</f>
        <v>emachholz@crm.otsuka-europe.com</v>
      </c>
      <c r="N12926" s="13">
        <v>46199.467256944445</v>
      </c>
      <c r="O12926" s="14" t="str">
        <f>HYPERLINK("https://otsuka-europe-crm.veevavault.com/ui/#object/email_activity__v/V8C000000042117", "EN-002099975")</f>
        <v>EN-002099975</v>
      </c>
    </row>
    <row r="12927" spans="1:15" ht="16" x14ac:dyDescent="0.2">
      <c r="A12927" s="17" t="str">
        <f>HYPERLINK("https://otsuka-europe-crm.veevavault.com/ui/#object/account__v/V4TZ000006352JQ", "Michaela Poley")</f>
        <v>Michaela Poley</v>
      </c>
      <c r="B12927" s="17" t="str">
        <f>HYPERLINK("https://otsuka-europe-crm.veevavault.com/ui/#object/vcountry__v/VENZ000004SONFP", "DE")</f>
        <v>DE</v>
      </c>
      <c r="C12927" s="20" t="s">
        <v>43</v>
      </c>
      <c r="D12927" s="21" t="str">
        <f>HYPERLINK("https://otsuka-europe-crm.veevavault.com/ui/#object/approved_document__v/V5O00000001H029", "VAE DE AM960 - Podcast-Interview Prof. Dr. Köhler_2026-05")</f>
        <v>VAE DE AM960 - Podcast-Interview Prof. Dr. Köhler_2026-05</v>
      </c>
      <c r="E12927" s="22" t="str">
        <f>HYPERLINK("https://otsuka-europe-crm.veevavault.com/ui/#object/sent_email__v/VBL00000002Z211", "SE-001438596")</f>
        <v>SE-001438596</v>
      </c>
      <c r="F12927" s="23">
        <v>46199.702557870369</v>
      </c>
      <c r="G12927" s="24">
        <v>1</v>
      </c>
      <c r="H12927" s="24">
        <v>1</v>
      </c>
      <c r="I12927" s="24">
        <v>0</v>
      </c>
      <c r="J12927" s="25"/>
      <c r="K12927" s="24">
        <v>0</v>
      </c>
      <c r="L12927" s="22" t="str">
        <f>HYPERLINK("https://otsuka-europe-crm.veevavault.com/ui/#object/approved_document__v/V5O00000001H029", "VAE DE AM960 - Podcast-Interview Prof. Dr. Köhler_2026-05")</f>
        <v>VAE DE AM960 - Podcast-Interview Prof. Dr. Köhler_2026-05</v>
      </c>
      <c r="M12927" s="22" t="str">
        <f>HYPERLINK("mailto:emachholz@crm.otsuka-europe.com", "emachholz@crm.otsuka-europe.com")</f>
        <v>emachholz@crm.otsuka-europe.com</v>
      </c>
      <c r="N12927" s="23">
        <v>46199.467256944445</v>
      </c>
      <c r="O12927" s="14" t="str">
        <f>HYPERLINK("https://otsuka-europe-crm.veevavault.com/ui/#object/email_activity__v/V8C000000042116", "EN-002099974")</f>
        <v>EN-002099974</v>
      </c>
    </row>
    <row r="12928" spans="1:15" ht="16" x14ac:dyDescent="0.2">
      <c r="A12928" s="19"/>
      <c r="B12928" s="19"/>
      <c r="C12928" s="19"/>
      <c r="D12928" s="19"/>
      <c r="E12928" s="19"/>
      <c r="F12928" s="19"/>
      <c r="G12928" s="19"/>
      <c r="H12928" s="19"/>
      <c r="I12928" s="19"/>
      <c r="J12928" s="19"/>
      <c r="K12928" s="19"/>
      <c r="L12928" s="19"/>
      <c r="M12928" s="19"/>
      <c r="N12928" s="19"/>
      <c r="O12928" s="14" t="str">
        <f>HYPERLINK("https://otsuka-europe-crm.veevavault.com/ui/#object/email_activity__v/V8C000000042199", "EN-002100116")</f>
        <v>EN-002100116</v>
      </c>
    </row>
    <row r="12929" spans="1:15" ht="16" x14ac:dyDescent="0.2">
      <c r="A12929" s="17" t="str">
        <f>HYPERLINK("https://otsuka-europe-crm.veevavault.com/ui/#object/account__v/V4TZ06G6OBI6BZ7", "Cornelia Ulrich")</f>
        <v>Cornelia Ulrich</v>
      </c>
      <c r="B12929" s="17" t="str">
        <f>HYPERLINK("https://otsuka-europe-crm.veevavault.com/ui/#object/vcountry__v/VENZ000004SONFP", "DE")</f>
        <v>DE</v>
      </c>
      <c r="C12929" s="20" t="s">
        <v>43</v>
      </c>
      <c r="D12929" s="21" t="str">
        <f>HYPERLINK("https://otsuka-europe-crm.veevavault.com/ui/#object/approved_document__v/V5O00000001H029", "VAE DE AM960 - Podcast-Interview Prof. Dr. Köhler_2026-05")</f>
        <v>VAE DE AM960 - Podcast-Interview Prof. Dr. Köhler_2026-05</v>
      </c>
      <c r="E12929" s="22" t="str">
        <f>HYPERLINK("https://otsuka-europe-crm.veevavault.com/ui/#object/sent_email__v/VBL00000002Z212", "SE-001438597")</f>
        <v>SE-001438597</v>
      </c>
      <c r="F12929" s="25"/>
      <c r="G12929" s="24">
        <v>0</v>
      </c>
      <c r="H12929" s="24">
        <v>0</v>
      </c>
      <c r="I12929" s="24">
        <v>0</v>
      </c>
      <c r="J12929" s="25"/>
      <c r="K12929" s="24">
        <v>0</v>
      </c>
      <c r="L12929" s="22" t="str">
        <f>HYPERLINK("https://otsuka-europe-crm.veevavault.com/ui/#object/approved_document__v/V5O00000001H029", "VAE DE AM960 - Podcast-Interview Prof. Dr. Köhler_2026-05")</f>
        <v>VAE DE AM960 - Podcast-Interview Prof. Dr. Köhler_2026-05</v>
      </c>
      <c r="M12929" s="22" t="str">
        <f>HYPERLINK("mailto:emachholz@crm.otsuka-europe.com", "emachholz@crm.otsuka-europe.com")</f>
        <v>emachholz@crm.otsuka-europe.com</v>
      </c>
      <c r="N12929" s="23">
        <v>46199.467256944445</v>
      </c>
      <c r="O12929" s="14" t="str">
        <f>HYPERLINK("https://otsuka-europe-crm.veevavault.com/ui/#object/email_activity__v/V8C000000041251", "EN-002100171")</f>
        <v>EN-002100171</v>
      </c>
    </row>
    <row r="12930" spans="1:15" ht="16" x14ac:dyDescent="0.2">
      <c r="A12930" s="19"/>
      <c r="B12930" s="19"/>
      <c r="C12930" s="19"/>
      <c r="D12930" s="19"/>
      <c r="E12930" s="19"/>
      <c r="F12930" s="19"/>
      <c r="G12930" s="19"/>
      <c r="H12930" s="19"/>
      <c r="I12930" s="19"/>
      <c r="J12930" s="19"/>
      <c r="K12930" s="19"/>
      <c r="L12930" s="19"/>
      <c r="M12930" s="19"/>
      <c r="N12930" s="19"/>
      <c r="O12930" s="14" t="str">
        <f>HYPERLINK("https://otsuka-europe-crm.veevavault.com/ui/#object/email_activity__v/V8C000000042119", "EN-002099977")</f>
        <v>EN-002099977</v>
      </c>
    </row>
    <row r="12931" spans="1:15" ht="48" x14ac:dyDescent="0.2">
      <c r="A12931" s="7" t="str">
        <f>HYPERLINK("https://otsuka-europe-crm.veevavault.com/ui/#object/account__v/V4T000000017418", "Hannah Hunter")</f>
        <v>Hannah Hunter</v>
      </c>
      <c r="B12931" s="7" t="str">
        <f>HYPERLINK("https://otsuka-europe-crm.veevavault.com/ui/#object/vcountry__v/VENZ000004SONFK", "GB")</f>
        <v>GB</v>
      </c>
      <c r="C12931" s="8" t="s">
        <v>39</v>
      </c>
      <c r="D12931" s="9" t="str">
        <f>HYPERLINK("https://otsuka-europe-crm.veevavault.com/ui/#object/approved_document__v/V5OZ06G6O6RH9XL", "UK Veeva Double Opt-In Remote Meetings Email Receipt v4")</f>
        <v>UK Veeva Double Opt-In Remote Meetings Email Receipt v4</v>
      </c>
      <c r="E12931" s="10" t="str">
        <f>HYPERLINK("https://otsuka-europe-crm.veevavault.com/ui/#object/sent_email__v/VBL00000002Y015", "SE-001438598")</f>
        <v>SE-001438598</v>
      </c>
      <c r="F12931" s="11"/>
      <c r="G12931" s="12">
        <v>0</v>
      </c>
      <c r="H12931" s="12">
        <v>0</v>
      </c>
      <c r="I12931" s="12">
        <v>0</v>
      </c>
      <c r="J12931" s="11"/>
      <c r="K12931" s="12">
        <v>0</v>
      </c>
      <c r="L12931" s="10" t="str">
        <f>HYPERLINK("https://otsuka-europe-crm.veevavault.com/ui/#object/approved_document__v/V5OZ06G6O6RH9XL", "UK Veeva Double Opt-In Remote Meetings Email Receipt v4")</f>
        <v>UK Veeva Double Opt-In Remote Meetings Email Receipt v4</v>
      </c>
      <c r="M12931" s="10" t="str">
        <f>HYPERLINK("mailto:ldimambro@crm.otsuka-europe.com", "ldimambro@crm.otsuka-europe.com")</f>
        <v>ldimambro@crm.otsuka-europe.com</v>
      </c>
      <c r="N12931" s="13">
        <v>46199.493067129632</v>
      </c>
      <c r="O12931" s="14" t="str">
        <f>HYPERLINK("https://otsuka-europe-crm.veevavault.com/ui/#object/email_activity__v/V8C000000042130", "EN-002100000")</f>
        <v>EN-002100000</v>
      </c>
    </row>
    <row r="12932" spans="1:15" ht="48" x14ac:dyDescent="0.2">
      <c r="A12932" s="7" t="str">
        <f>HYPERLINK("https://otsuka-europe-crm.veevavault.com/ui/#object/account__v/V4T00000001X014", "Katy Munro")</f>
        <v>Katy Munro</v>
      </c>
      <c r="B12932" s="7" t="str">
        <f>HYPERLINK("https://otsuka-europe-crm.veevavault.com/ui/#object/vcountry__v/VENZ000004SONFK", "GB")</f>
        <v>GB</v>
      </c>
      <c r="C12932" s="8" t="s">
        <v>39</v>
      </c>
      <c r="D12932" s="9" t="str">
        <f>HYPERLINK("https://otsuka-europe-crm.veevavault.com/ui/#object/approved_document__v/V5OZ06G6O6RH9XL", "UK Veeva Double Opt-In Remote Meetings Email Receipt v4")</f>
        <v>UK Veeva Double Opt-In Remote Meetings Email Receipt v4</v>
      </c>
      <c r="E12932" s="10" t="str">
        <f>HYPERLINK("https://otsuka-europe-crm.veevavault.com/ui/#object/sent_email__v/VBL00000002Z214", "SE-001438599")</f>
        <v>SE-001438599</v>
      </c>
      <c r="F12932" s="11"/>
      <c r="G12932" s="12">
        <v>0</v>
      </c>
      <c r="H12932" s="12">
        <v>0</v>
      </c>
      <c r="I12932" s="12">
        <v>0</v>
      </c>
      <c r="J12932" s="11"/>
      <c r="K12932" s="12">
        <v>0</v>
      </c>
      <c r="L12932" s="10" t="str">
        <f>HYPERLINK("https://otsuka-europe-crm.veevavault.com/ui/#object/approved_document__v/V5OZ06G6O6RH9XL", "UK Veeva Double Opt-In Remote Meetings Email Receipt v4")</f>
        <v>UK Veeva Double Opt-In Remote Meetings Email Receipt v4</v>
      </c>
      <c r="M12932" s="10" t="str">
        <f>HYPERLINK("mailto:ldimambro@crm.otsuka-europe.com", "ldimambro@crm.otsuka-europe.com")</f>
        <v>ldimambro@crm.otsuka-europe.com</v>
      </c>
      <c r="N12932" s="13">
        <v>46199.496145833335</v>
      </c>
      <c r="O12932" s="14" t="str">
        <f>HYPERLINK("https://otsuka-europe-crm.veevavault.com/ui/#object/email_activity__v/V8C000000042132", "EN-002100002")</f>
        <v>EN-002100002</v>
      </c>
    </row>
    <row r="12933" spans="1:15" ht="32" x14ac:dyDescent="0.2">
      <c r="A12933" s="7" t="str">
        <f>HYPERLINK("https://otsuka-europe-crm.veevavault.com/ui/#object/account__v/V4T00000001X014", "Katy Munro")</f>
        <v>Katy Munro</v>
      </c>
      <c r="B12933" s="7" t="str">
        <f>HYPERLINK("https://otsuka-europe-crm.veevavault.com/ui/#object/vcountry__v/VENZ000004SONFK", "GB")</f>
        <v>GB</v>
      </c>
      <c r="C12933" s="8" t="s">
        <v>39</v>
      </c>
      <c r="D12933" s="9" t="str">
        <f>HYPERLINK("https://otsuka-europe-crm.veevavault.com/ui/#object/approved_document__v/V5O00000000D081", "UK - Consent Email 1 Aug 25")</f>
        <v>UK - Consent Email 1 Aug 25</v>
      </c>
      <c r="E12933" s="10" t="str">
        <f>HYPERLINK("https://otsuka-europe-crm.veevavault.com/ui/#object/sent_email__v/VBL00000002Z215", "SE-001438600")</f>
        <v>SE-001438600</v>
      </c>
      <c r="F12933" s="11"/>
      <c r="G12933" s="12">
        <v>0</v>
      </c>
      <c r="H12933" s="12">
        <v>0</v>
      </c>
      <c r="I12933" s="12">
        <v>0</v>
      </c>
      <c r="J12933" s="11"/>
      <c r="K12933" s="12">
        <v>0</v>
      </c>
      <c r="L12933" s="10" t="str">
        <f>HYPERLINK("https://otsuka-europe-crm.veevavault.com/ui/#object/approved_document__v/V5O00000000D081", "UK - Consent Email 1 Aug 25")</f>
        <v>UK - Consent Email 1 Aug 25</v>
      </c>
      <c r="M12933" s="10" t="str">
        <f>HYPERLINK("mailto:ldimambro@crm.otsuka-europe.com", "ldimambro@crm.otsuka-europe.com")</f>
        <v>ldimambro@crm.otsuka-europe.com</v>
      </c>
      <c r="N12933" s="13">
        <v>46199.496840277781</v>
      </c>
      <c r="O12933" s="14" t="str">
        <f>HYPERLINK("https://otsuka-europe-crm.veevavault.com/ui/#object/email_activity__v/V8C000000041180", "EN-002100003")</f>
        <v>EN-002100003</v>
      </c>
    </row>
    <row r="12934" spans="1:15" ht="32" x14ac:dyDescent="0.2">
      <c r="A12934" s="7" t="str">
        <f>HYPERLINK("https://otsuka-europe-crm.veevavault.com/ui/#object/account__v/V4T000000017418", "Hannah Hunter")</f>
        <v>Hannah Hunter</v>
      </c>
      <c r="B12934" s="7" t="str">
        <f>HYPERLINK("https://otsuka-europe-crm.veevavault.com/ui/#object/vcountry__v/VENZ000004SONFK", "GB")</f>
        <v>GB</v>
      </c>
      <c r="C12934" s="8" t="s">
        <v>39</v>
      </c>
      <c r="D12934" s="9" t="str">
        <f>HYPERLINK("https://otsuka-europe-crm.veevavault.com/ui/#object/approved_document__v/V5O00000000D081", "UK - Consent Email 1 Aug 25")</f>
        <v>UK - Consent Email 1 Aug 25</v>
      </c>
      <c r="E12934" s="10" t="str">
        <f>HYPERLINK("https://otsuka-europe-crm.veevavault.com/ui/#object/sent_email__v/VBL00000002Z216", "SE-001438601")</f>
        <v>SE-001438601</v>
      </c>
      <c r="F12934" s="11"/>
      <c r="G12934" s="12">
        <v>0</v>
      </c>
      <c r="H12934" s="12">
        <v>0</v>
      </c>
      <c r="I12934" s="12">
        <v>0</v>
      </c>
      <c r="J12934" s="11"/>
      <c r="K12934" s="12">
        <v>0</v>
      </c>
      <c r="L12934" s="10" t="str">
        <f>HYPERLINK("https://otsuka-europe-crm.veevavault.com/ui/#object/approved_document__v/V5O00000000D081", "UK - Consent Email 1 Aug 25")</f>
        <v>UK - Consent Email 1 Aug 25</v>
      </c>
      <c r="M12934" s="10" t="str">
        <f>HYPERLINK("mailto:ldimambro@crm.otsuka-europe.com", "ldimambro@crm.otsuka-europe.com")</f>
        <v>ldimambro@crm.otsuka-europe.com</v>
      </c>
      <c r="N12934" s="13">
        <v>46199.49790509259</v>
      </c>
      <c r="O12934" s="14" t="str">
        <f>HYPERLINK("https://otsuka-europe-crm.veevavault.com/ui/#object/email_activity__v/V8C000000041181", "EN-002100004")</f>
        <v>EN-002100004</v>
      </c>
    </row>
    <row r="12935" spans="1:15" ht="32" x14ac:dyDescent="0.2">
      <c r="A12935" s="7" t="str">
        <f>HYPERLINK("https://otsuka-europe-crm.veevavault.com/ui/#object/account__v/V4TZ0000062PNOR", "Mary Sleeman")</f>
        <v>Mary Sleeman</v>
      </c>
      <c r="B12935" s="7" t="str">
        <f>HYPERLINK("https://otsuka-europe-crm.veevavault.com/ui/#object/vcountry__v/VENZ000004SONFK", "GB")</f>
        <v>GB</v>
      </c>
      <c r="C12935" s="8" t="s">
        <v>39</v>
      </c>
      <c r="D12935" s="9" t="str">
        <f>HYPERLINK("https://otsuka-europe-crm.veevavault.com/ui/#object/approved_document__v/V5O00000000I022", "Aripiprazole 960mg FAQ VAE")</f>
        <v>Aripiprazole 960mg FAQ VAE</v>
      </c>
      <c r="E12935" s="10" t="str">
        <f>HYPERLINK("https://otsuka-europe-crm.veevavault.com/ui/#object/sent_email__v/VBL00000002Z217", "SE-001438602")</f>
        <v>SE-001438602</v>
      </c>
      <c r="F12935" s="11"/>
      <c r="G12935" s="12">
        <v>0</v>
      </c>
      <c r="H12935" s="12">
        <v>0</v>
      </c>
      <c r="I12935" s="12">
        <v>0</v>
      </c>
      <c r="J12935" s="11"/>
      <c r="K12935" s="12">
        <v>0</v>
      </c>
      <c r="L12935" s="10" t="str">
        <f>HYPERLINK("https://otsuka-europe-crm.veevavault.com/ui/#object/approved_document__v/V5O00000000I022", "Aripiprazole 960mg FAQ VAE")</f>
        <v>Aripiprazole 960mg FAQ VAE</v>
      </c>
      <c r="M12935" s="10" t="str">
        <f>HYPERLINK("mailto:sfinnigan@crm.otsuka-europe.com", "sfinnigan@crm.otsuka-europe.com")</f>
        <v>sfinnigan@crm.otsuka-europe.com</v>
      </c>
      <c r="N12935" s="13">
        <v>46199.551469907405</v>
      </c>
      <c r="O12935" s="14" t="str">
        <f>HYPERLINK("https://otsuka-europe-crm.veevavault.com/ui/#object/email_activity__v/V8C000000041194", "EN-002100046")</f>
        <v>EN-002100046</v>
      </c>
    </row>
    <row r="12936" spans="1:15" ht="16" x14ac:dyDescent="0.2">
      <c r="A12936" s="17" t="str">
        <f>HYPERLINK("https://otsuka-europe-crm.veevavault.com/ui/#object/account__v/V4TZ025E87AAY5U", "LUCIA PARRA MESEGUER")</f>
        <v>LUCIA PARRA MESEGUER</v>
      </c>
      <c r="B12936" s="17" t="str">
        <f>HYPERLINK("https://otsuka-europe-crm.veevavault.com/ui/#object/vcountry__v/VENZ000004SONF5", "ES")</f>
        <v>ES</v>
      </c>
      <c r="C12936" s="20" t="s">
        <v>41</v>
      </c>
      <c r="D12936" s="21" t="str">
        <f>HYPERLINK("https://otsuka-europe-crm.veevavault.com/ui/#object/approved_document__v/V5O00000000L011", "Libro IA en psiquiatría")</f>
        <v>Libro IA en psiquiatría</v>
      </c>
      <c r="E12936" s="22" t="str">
        <f>HYPERLINK("https://otsuka-europe-crm.veevavault.com/ui/#object/sent_email__v/VBL00000002Z218", "SE-001438603")</f>
        <v>SE-001438603</v>
      </c>
      <c r="F12936" s="23">
        <v>46202.438935185186</v>
      </c>
      <c r="G12936" s="24">
        <v>1</v>
      </c>
      <c r="H12936" s="24">
        <v>4</v>
      </c>
      <c r="I12936" s="24">
        <v>1</v>
      </c>
      <c r="J12936" s="23">
        <v>46202.439421296294</v>
      </c>
      <c r="K12936" s="24">
        <v>2</v>
      </c>
      <c r="L12936" s="22" t="str">
        <f>HYPERLINK("https://otsuka-europe-crm.veevavault.com/ui/#object/approved_document__v/V5O00000000L011", "Libro IA en psiquiatría")</f>
        <v>Libro IA en psiquiatría</v>
      </c>
      <c r="M12936" s="22" t="str">
        <f>HYPERLINK("mailto:mgravan@crm.otsuka-europe.com", "mgravan@crm.otsuka-europe.com")</f>
        <v>mgravan@crm.otsuka-europe.com</v>
      </c>
      <c r="N12936" s="23">
        <v>46199.579143518517</v>
      </c>
      <c r="O12936" s="14" t="str">
        <f>HYPERLINK("https://otsuka-europe-crm.veevavault.com/ui/#object/email_activity__v/V8C000000041197", "EN-002100050")</f>
        <v>EN-002100050</v>
      </c>
    </row>
    <row r="12937" spans="1:15" ht="16" x14ac:dyDescent="0.2">
      <c r="A12937" s="18"/>
      <c r="B12937" s="18"/>
      <c r="C12937" s="18"/>
      <c r="D12937" s="18"/>
      <c r="E12937" s="18"/>
      <c r="F12937" s="18"/>
      <c r="G12937" s="18"/>
      <c r="H12937" s="18"/>
      <c r="I12937" s="18"/>
      <c r="J12937" s="18"/>
      <c r="K12937" s="18"/>
      <c r="L12937" s="18"/>
      <c r="M12937" s="18"/>
      <c r="N12937" s="18"/>
      <c r="O12937" s="14" t="str">
        <f>HYPERLINK("https://otsuka-europe-crm.veevavault.com/ui/#object/email_activity__v/V8C000000041203", "EN-002100064")</f>
        <v>EN-002100064</v>
      </c>
    </row>
    <row r="12938" spans="1:15" ht="16" x14ac:dyDescent="0.2">
      <c r="A12938" s="18"/>
      <c r="B12938" s="18"/>
      <c r="C12938" s="18"/>
      <c r="D12938" s="18"/>
      <c r="E12938" s="18"/>
      <c r="F12938" s="18"/>
      <c r="G12938" s="18"/>
      <c r="H12938" s="18"/>
      <c r="I12938" s="18"/>
      <c r="J12938" s="18"/>
      <c r="K12938" s="18"/>
      <c r="L12938" s="18"/>
      <c r="M12938" s="18"/>
      <c r="N12938" s="18"/>
      <c r="O12938" s="14" t="str">
        <f>HYPERLINK("https://otsuka-europe-crm.veevavault.com/ui/#object/email_activity__v/V8C000000041234", "EN-002100129")</f>
        <v>EN-002100129</v>
      </c>
    </row>
    <row r="12939" spans="1:15" ht="16" x14ac:dyDescent="0.2">
      <c r="A12939" s="18"/>
      <c r="B12939" s="18"/>
      <c r="C12939" s="18"/>
      <c r="D12939" s="18"/>
      <c r="E12939" s="18"/>
      <c r="F12939" s="18"/>
      <c r="G12939" s="18"/>
      <c r="H12939" s="18"/>
      <c r="I12939" s="18"/>
      <c r="J12939" s="18"/>
      <c r="K12939" s="18"/>
      <c r="L12939" s="18"/>
      <c r="M12939" s="18"/>
      <c r="N12939" s="18"/>
      <c r="O12939" s="14" t="str">
        <f>HYPERLINK("https://otsuka-europe-crm.veevavault.com/ui/#object/email_activity__v/V8C000000041258", "EN-002100186")</f>
        <v>EN-002100186</v>
      </c>
    </row>
    <row r="12940" spans="1:15" ht="16" x14ac:dyDescent="0.2">
      <c r="A12940" s="18"/>
      <c r="B12940" s="18"/>
      <c r="C12940" s="18"/>
      <c r="D12940" s="18"/>
      <c r="E12940" s="18"/>
      <c r="F12940" s="18"/>
      <c r="G12940" s="18"/>
      <c r="H12940" s="18"/>
      <c r="I12940" s="18"/>
      <c r="J12940" s="18"/>
      <c r="K12940" s="18"/>
      <c r="L12940" s="18"/>
      <c r="M12940" s="18"/>
      <c r="N12940" s="18"/>
      <c r="O12940" s="14" t="str">
        <f>HYPERLINK("https://otsuka-europe-crm.veevavault.com/ui/#object/email_activity__v/V8C000000041325", "EN-002100323")</f>
        <v>EN-002100323</v>
      </c>
    </row>
    <row r="12941" spans="1:15" ht="16" x14ac:dyDescent="0.2">
      <c r="A12941" s="18"/>
      <c r="B12941" s="18"/>
      <c r="C12941" s="18"/>
      <c r="D12941" s="18"/>
      <c r="E12941" s="18"/>
      <c r="F12941" s="18"/>
      <c r="G12941" s="18"/>
      <c r="H12941" s="18"/>
      <c r="I12941" s="18"/>
      <c r="J12941" s="18"/>
      <c r="K12941" s="18"/>
      <c r="L12941" s="18"/>
      <c r="M12941" s="18"/>
      <c r="N12941" s="18"/>
      <c r="O12941" s="14" t="str">
        <f>HYPERLINK("https://otsuka-europe-crm.veevavault.com/ui/#object/email_activity__v/V8C000000041326", "EN-002100324")</f>
        <v>EN-002100324</v>
      </c>
    </row>
    <row r="12942" spans="1:15" ht="16" x14ac:dyDescent="0.2">
      <c r="A12942" s="19"/>
      <c r="B12942" s="19"/>
      <c r="C12942" s="19"/>
      <c r="D12942" s="19"/>
      <c r="E12942" s="19"/>
      <c r="F12942" s="19"/>
      <c r="G12942" s="19"/>
      <c r="H12942" s="19"/>
      <c r="I12942" s="19"/>
      <c r="J12942" s="19"/>
      <c r="K12942" s="19"/>
      <c r="L12942" s="19"/>
      <c r="M12942" s="19"/>
      <c r="N12942" s="19"/>
      <c r="O12942" s="14" t="str">
        <f>HYPERLINK("https://otsuka-europe-crm.veevavault.com/ui/#object/email_activity__v/V8C000000041327", "EN-002100325")</f>
        <v>EN-002100325</v>
      </c>
    </row>
    <row r="12943" spans="1:15" ht="16" x14ac:dyDescent="0.2">
      <c r="A12943" s="17" t="str">
        <f>HYPERLINK("https://otsuka-europe-crm.veevavault.com/ui/#object/account__v/V4TZ025E8711TWD", "AGUSTIN SEBASTIAN FERNANDEZ FLORES")</f>
        <v>AGUSTIN SEBASTIAN FERNANDEZ FLORES</v>
      </c>
      <c r="B12943" s="17" t="str">
        <f>HYPERLINK("https://otsuka-europe-crm.veevavault.com/ui/#object/vcountry__v/VENZ000004SONF5", "ES")</f>
        <v>ES</v>
      </c>
      <c r="C12943" s="20" t="s">
        <v>41</v>
      </c>
      <c r="D12943" s="21" t="str">
        <f>HYPERLINK("https://otsuka-europe-crm.veevavault.com/ui/#object/approved_document__v/V5O00000000L011", "Libro IA en psiquiatría")</f>
        <v>Libro IA en psiquiatría</v>
      </c>
      <c r="E12943" s="22" t="str">
        <f>HYPERLINK("https://otsuka-europe-crm.veevavault.com/ui/#object/sent_email__v/VBL00000002Z219", "SE-001438604")</f>
        <v>SE-001438604</v>
      </c>
      <c r="F12943" s="25"/>
      <c r="G12943" s="24">
        <v>0</v>
      </c>
      <c r="H12943" s="24">
        <v>0</v>
      </c>
      <c r="I12943" s="24">
        <v>0</v>
      </c>
      <c r="J12943" s="25"/>
      <c r="K12943" s="24">
        <v>0</v>
      </c>
      <c r="L12943" s="22" t="str">
        <f>HYPERLINK("https://otsuka-europe-crm.veevavault.com/ui/#object/approved_document__v/V5O00000000L011", "Libro IA en psiquiatría")</f>
        <v>Libro IA en psiquiatría</v>
      </c>
      <c r="M12943" s="22" t="str">
        <f>HYPERLINK("mailto:mgravan@crm.otsuka-europe.com", "mgravan@crm.otsuka-europe.com")</f>
        <v>mgravan@crm.otsuka-europe.com</v>
      </c>
      <c r="N12943" s="23">
        <v>46199.579143518517</v>
      </c>
      <c r="O12943" s="14" t="str">
        <f>HYPERLINK("https://otsuka-europe-crm.veevavault.com/ui/#object/email_activity__v/V8C000000041198", "EN-002100051")</f>
        <v>EN-002100051</v>
      </c>
    </row>
    <row r="12944" spans="1:15" ht="16" x14ac:dyDescent="0.2">
      <c r="A12944" s="19"/>
      <c r="B12944" s="19"/>
      <c r="C12944" s="19"/>
      <c r="D12944" s="19"/>
      <c r="E12944" s="19"/>
      <c r="F12944" s="19"/>
      <c r="G12944" s="19"/>
      <c r="H12944" s="19"/>
      <c r="I12944" s="19"/>
      <c r="J12944" s="19"/>
      <c r="K12944" s="19"/>
      <c r="L12944" s="19"/>
      <c r="M12944" s="19"/>
      <c r="N12944" s="19"/>
      <c r="O12944" s="14" t="str">
        <f>HYPERLINK("https://otsuka-europe-crm.veevavault.com/ui/#object/email_activity__v/V8C000000041222", "EN-002100108")</f>
        <v>EN-002100108</v>
      </c>
    </row>
    <row r="12945" spans="1:15" ht="32" x14ac:dyDescent="0.2">
      <c r="A12945" s="7" t="str">
        <f>HYPERLINK("https://otsuka-europe-crm.veevavault.com/ui/#object/account__v/V4TZ0000062SGVF", "Christoph Wigger")</f>
        <v>Christoph Wigger</v>
      </c>
      <c r="B12945" s="7" t="str">
        <f>HYPERLINK("https://otsuka-europe-crm.veevavault.com/ui/#object/vcountry__v/VENZ000004SONFN", "CH")</f>
        <v>CH</v>
      </c>
      <c r="C12945" s="8" t="s">
        <v>45</v>
      </c>
      <c r="D12945" s="9" t="str">
        <f>HYPERLINK("https://otsuka-europe-crm.veevavault.com/ui/#object/approved_document__v/V5O00000000J004", "ALL_gluteale_Verabreichung_960mg_2025_AM_de")</f>
        <v>ALL_gluteale_Verabreichung_960mg_2025_AM_de</v>
      </c>
      <c r="E12945" s="10" t="str">
        <f>HYPERLINK("https://otsuka-europe-crm.veevavault.com/ui/#object/sent_email__v/VBL00000002Y016", "SE-001438605")</f>
        <v>SE-001438605</v>
      </c>
      <c r="F12945" s="11"/>
      <c r="G12945" s="12">
        <v>0</v>
      </c>
      <c r="H12945" s="12">
        <v>0</v>
      </c>
      <c r="I12945" s="12">
        <v>0</v>
      </c>
      <c r="J12945" s="11"/>
      <c r="K12945" s="12">
        <v>0</v>
      </c>
      <c r="L12945" s="10" t="str">
        <f>HYPERLINK("https://otsuka-europe-crm.veevavault.com/ui/#object/approved_document__v/V5O00000000J004", "ALL_gluteale_Verabreichung_960mg_2025_AM_de")</f>
        <v>ALL_gluteale_Verabreichung_960mg_2025_AM_de</v>
      </c>
      <c r="M12945" s="10" t="str">
        <f>HYPERLINK("mailto:agerber@crm.otsuka-europe.com", "agerber@crm.otsuka-europe.com")</f>
        <v>agerber@crm.otsuka-europe.com</v>
      </c>
      <c r="N12945" s="13">
        <v>46199.585381944446</v>
      </c>
      <c r="O12945" s="14" t="str">
        <f>HYPERLINK("https://otsuka-europe-crm.veevavault.com/ui/#object/email_activity__v/V8C000000042164", "EN-002100053")</f>
        <v>EN-002100053</v>
      </c>
    </row>
    <row r="12946" spans="1:15" ht="16" x14ac:dyDescent="0.2">
      <c r="A12946" s="17" t="str">
        <f>HYPERLINK("https://otsuka-europe-crm.veevavault.com/ui/#object/account__v/V4TZ06G6OBI6G0W", "Michael Schumacher")</f>
        <v>Michael Schumacher</v>
      </c>
      <c r="B12946" s="17" t="str">
        <f>HYPERLINK("https://otsuka-europe-crm.veevavault.com/ui/#object/vcountry__v/VENZ000004SONFN", "CH")</f>
        <v>CH</v>
      </c>
      <c r="C12946" s="20" t="s">
        <v>45</v>
      </c>
      <c r="D12946" s="21" t="str">
        <f>HYPERLINK("https://otsuka-europe-crm.veevavault.com/ui/#object/approved_document__v/V5O00000000J004", "ALL_gluteale_Verabreichung_960mg_2025_AM_de")</f>
        <v>ALL_gluteale_Verabreichung_960mg_2025_AM_de</v>
      </c>
      <c r="E12946" s="22" t="str">
        <f>HYPERLINK("https://otsuka-europe-crm.veevavault.com/ui/#object/sent_email__v/VBL00000002Z220", "SE-001438606")</f>
        <v>SE-001438606</v>
      </c>
      <c r="F12946" s="23">
        <v>46204.533888888887</v>
      </c>
      <c r="G12946" s="24">
        <v>1</v>
      </c>
      <c r="H12946" s="24">
        <v>1</v>
      </c>
      <c r="I12946" s="24">
        <v>1</v>
      </c>
      <c r="J12946" s="23">
        <v>46204.533888888887</v>
      </c>
      <c r="K12946" s="24">
        <v>1</v>
      </c>
      <c r="L12946" s="22" t="str">
        <f>HYPERLINK("https://otsuka-europe-crm.veevavault.com/ui/#object/approved_document__v/V5O00000000J004", "ALL_gluteale_Verabreichung_960mg_2025_AM_de")</f>
        <v>ALL_gluteale_Verabreichung_960mg_2025_AM_de</v>
      </c>
      <c r="M12946" s="22" t="str">
        <f>HYPERLINK("mailto:agerber@crm.otsuka-europe.com", "agerber@crm.otsuka-europe.com")</f>
        <v>agerber@crm.otsuka-europe.com</v>
      </c>
      <c r="N12946" s="23">
        <v>46199.585902777777</v>
      </c>
      <c r="O12946" s="14" t="str">
        <f>HYPERLINK("https://otsuka-europe-crm.veevavault.com/ui/#object/email_activity__v/V8C000000041850", "EN-002101421")</f>
        <v>EN-002101421</v>
      </c>
    </row>
    <row r="12947" spans="1:15" ht="16" x14ac:dyDescent="0.2">
      <c r="A12947" s="18"/>
      <c r="B12947" s="18"/>
      <c r="C12947" s="18"/>
      <c r="D12947" s="18"/>
      <c r="E12947" s="18"/>
      <c r="F12947" s="18"/>
      <c r="G12947" s="18"/>
      <c r="H12947" s="18"/>
      <c r="I12947" s="18"/>
      <c r="J12947" s="18"/>
      <c r="K12947" s="18"/>
      <c r="L12947" s="18"/>
      <c r="M12947" s="18"/>
      <c r="N12947" s="18"/>
      <c r="O12947" s="14" t="str">
        <f>HYPERLINK("https://otsuka-europe-crm.veevavault.com/ui/#object/email_activity__v/V8C000000041851", "EN-002101420")</f>
        <v>EN-002101420</v>
      </c>
    </row>
    <row r="12948" spans="1:15" ht="16" x14ac:dyDescent="0.2">
      <c r="A12948" s="18"/>
      <c r="B12948" s="18"/>
      <c r="C12948" s="18"/>
      <c r="D12948" s="18"/>
      <c r="E12948" s="18"/>
      <c r="F12948" s="18"/>
      <c r="G12948" s="18"/>
      <c r="H12948" s="18"/>
      <c r="I12948" s="18"/>
      <c r="J12948" s="18"/>
      <c r="K12948" s="18"/>
      <c r="L12948" s="18"/>
      <c r="M12948" s="18"/>
      <c r="N12948" s="18"/>
      <c r="O12948" s="14" t="str">
        <f>HYPERLINK("https://otsuka-europe-crm.veevavault.com/ui/#object/email_activity__v/V8C000000041857", "EN-002101433")</f>
        <v>EN-002101433</v>
      </c>
    </row>
    <row r="12949" spans="1:15" ht="16" x14ac:dyDescent="0.2">
      <c r="A12949" s="19"/>
      <c r="B12949" s="19"/>
      <c r="C12949" s="19"/>
      <c r="D12949" s="19"/>
      <c r="E12949" s="19"/>
      <c r="F12949" s="19"/>
      <c r="G12949" s="19"/>
      <c r="H12949" s="19"/>
      <c r="I12949" s="19"/>
      <c r="J12949" s="19"/>
      <c r="K12949" s="19"/>
      <c r="L12949" s="19"/>
      <c r="M12949" s="19"/>
      <c r="N12949" s="19"/>
      <c r="O12949" s="14" t="str">
        <f>HYPERLINK("https://otsuka-europe-crm.veevavault.com/ui/#object/email_activity__v/V8C000000042165", "EN-002100054")</f>
        <v>EN-002100054</v>
      </c>
    </row>
    <row r="12950" spans="1:15" ht="32" x14ac:dyDescent="0.2">
      <c r="A12950" s="7" t="str">
        <f>HYPERLINK("https://otsuka-europe-crm.veevavault.com/ui/#object/account__v/V4TZ0000062R6A7", "Anna Nater")</f>
        <v>Anna Nater</v>
      </c>
      <c r="B12950" s="7" t="str">
        <f>HYPERLINK("https://otsuka-europe-crm.veevavault.com/ui/#object/vcountry__v/VENZ000004SONFN", "CH")</f>
        <v>CH</v>
      </c>
      <c r="C12950" s="8" t="s">
        <v>45</v>
      </c>
      <c r="D12950" s="9" t="str">
        <f>HYPERLINK("https://otsuka-europe-crm.veevavault.com/ui/#object/approved_document__v/V5O00000000J004", "ALL_gluteale_Verabreichung_960mg_2025_AM_de")</f>
        <v>ALL_gluteale_Verabreichung_960mg_2025_AM_de</v>
      </c>
      <c r="E12950" s="10" t="str">
        <f>HYPERLINK("https://otsuka-europe-crm.veevavault.com/ui/#object/sent_email__v/VBL00000002Y017", "SE-001438607")</f>
        <v>SE-001438607</v>
      </c>
      <c r="F12950" s="11"/>
      <c r="G12950" s="12">
        <v>0</v>
      </c>
      <c r="H12950" s="12">
        <v>0</v>
      </c>
      <c r="I12950" s="12">
        <v>0</v>
      </c>
      <c r="J12950" s="11"/>
      <c r="K12950" s="12">
        <v>0</v>
      </c>
      <c r="L12950" s="10" t="str">
        <f>HYPERLINK("https://otsuka-europe-crm.veevavault.com/ui/#object/approved_document__v/V5O00000000J004", "ALL_gluteale_Verabreichung_960mg_2025_AM_de")</f>
        <v>ALL_gluteale_Verabreichung_960mg_2025_AM_de</v>
      </c>
      <c r="M12950" s="10" t="str">
        <f>HYPERLINK("mailto:agerber@crm.otsuka-europe.com", "agerber@crm.otsuka-europe.com")</f>
        <v>agerber@crm.otsuka-europe.com</v>
      </c>
      <c r="N12950" s="13">
        <v>46199.586284722223</v>
      </c>
      <c r="O12950" s="14" t="str">
        <f>HYPERLINK("https://otsuka-europe-crm.veevavault.com/ui/#object/email_activity__v/V8C000000041199", "EN-002100055")</f>
        <v>EN-002100055</v>
      </c>
    </row>
    <row r="12951" spans="1:15" ht="16" x14ac:dyDescent="0.2">
      <c r="A12951" s="17" t="str">
        <f>HYPERLINK("https://otsuka-europe-crm.veevavault.com/ui/#object/account__v/V4T000000028006", "John Grant")</f>
        <v>John Grant</v>
      </c>
      <c r="B12951" s="17" t="str">
        <f>HYPERLINK("https://otsuka-europe-crm.veevavault.com/ui/#object/vcountry__v/VENZ000004SONFK", "GB")</f>
        <v>GB</v>
      </c>
      <c r="C12951" s="20" t="s">
        <v>39</v>
      </c>
      <c r="D12951" s="21" t="str">
        <f>HYPERLINK("https://otsuka-europe-crm.veevavault.com/ui/#object/approved_document__v/V5OZ025E82PXJSL", "Otsuka Privacy Notice - UK (v2)")</f>
        <v>Otsuka Privacy Notice - UK (v2)</v>
      </c>
      <c r="E12951" s="22" t="str">
        <f>HYPERLINK("https://otsuka-europe-crm.veevavault.com/ui/#object/sent_email__v/VBL00000002Y018", "SE-001438608")</f>
        <v>SE-001438608</v>
      </c>
      <c r="F12951" s="23">
        <v>46199.609629629631</v>
      </c>
      <c r="G12951" s="24">
        <v>1</v>
      </c>
      <c r="H12951" s="24">
        <v>1</v>
      </c>
      <c r="I12951" s="24">
        <v>0</v>
      </c>
      <c r="J12951" s="25"/>
      <c r="K12951" s="24">
        <v>0</v>
      </c>
      <c r="L12951" s="22" t="str">
        <f>HYPERLINK("https://otsuka-europe-crm.veevavault.com/ui/#object/approved_document__v/V5OZ025E82PXJSL", "Otsuka Privacy Notice - UK (v2)")</f>
        <v>Otsuka Privacy Notice - UK (v2)</v>
      </c>
      <c r="M12951" s="22" t="str">
        <f>HYPERLINK("mailto:ldimambro@crm.otsuka-europe.com", "ldimambro@crm.otsuka-europe.com")</f>
        <v>ldimambro@crm.otsuka-europe.com</v>
      </c>
      <c r="N12951" s="23">
        <v>46199.592523148145</v>
      </c>
      <c r="O12951" s="14" t="str">
        <f>HYPERLINK("https://otsuka-europe-crm.veevavault.com/ui/#object/email_activity__v/V8C000000042166", "EN-002100056")</f>
        <v>EN-002100056</v>
      </c>
    </row>
    <row r="12952" spans="1:15" ht="16" x14ac:dyDescent="0.2">
      <c r="A12952" s="19"/>
      <c r="B12952" s="19"/>
      <c r="C12952" s="19"/>
      <c r="D12952" s="19"/>
      <c r="E12952" s="19"/>
      <c r="F12952" s="19"/>
      <c r="G12952" s="19"/>
      <c r="H12952" s="19"/>
      <c r="I12952" s="19"/>
      <c r="J12952" s="19"/>
      <c r="K12952" s="19"/>
      <c r="L12952" s="19"/>
      <c r="M12952" s="19"/>
      <c r="N12952" s="19"/>
      <c r="O12952" s="14" t="str">
        <f>HYPERLINK("https://otsuka-europe-crm.veevavault.com/ui/#object/email_activity__v/V8C000000042172", "EN-002100066")</f>
        <v>EN-002100066</v>
      </c>
    </row>
    <row r="12953" spans="1:15" ht="16" x14ac:dyDescent="0.2">
      <c r="A12953" s="17" t="str">
        <f>HYPERLINK("https://otsuka-europe-crm.veevavault.com/ui/#object/account__v/V4T000000028006", "John Grant")</f>
        <v>John Grant</v>
      </c>
      <c r="B12953" s="17" t="str">
        <f>HYPERLINK("https://otsuka-europe-crm.veevavault.com/ui/#object/vcountry__v/VENZ000004SONFK", "GB")</f>
        <v>GB</v>
      </c>
      <c r="C12953" s="20" t="s">
        <v>39</v>
      </c>
      <c r="D12953" s="21" t="str">
        <f>HYPERLINK("https://otsuka-europe-crm.veevavault.com/ui/#object/approved_document__v/V5O00000000D081", "UK - Consent Email 1 Aug 25")</f>
        <v>UK - Consent Email 1 Aug 25</v>
      </c>
      <c r="E12953" s="22" t="str">
        <f>HYPERLINK("https://otsuka-europe-crm.veevavault.com/ui/#object/sent_email__v/VBL00000002Z221", "SE-001438609")</f>
        <v>SE-001438609</v>
      </c>
      <c r="F12953" s="23">
        <v>46199.610694444447</v>
      </c>
      <c r="G12953" s="24">
        <v>1</v>
      </c>
      <c r="H12953" s="24">
        <v>7</v>
      </c>
      <c r="I12953" s="24">
        <v>1</v>
      </c>
      <c r="J12953" s="23">
        <v>46202.946539351855</v>
      </c>
      <c r="K12953" s="24">
        <v>1</v>
      </c>
      <c r="L12953" s="22" t="str">
        <f>HYPERLINK("https://otsuka-europe-crm.veevavault.com/ui/#object/approved_document__v/V5O00000000D081", "UK - Consent Email 1 Aug 25")</f>
        <v>UK - Consent Email 1 Aug 25</v>
      </c>
      <c r="M12953" s="22" t="str">
        <f>HYPERLINK("mailto:ldimambro@crm.otsuka-europe.com", "ldimambro@crm.otsuka-europe.com")</f>
        <v>ldimambro@crm.otsuka-europe.com</v>
      </c>
      <c r="N12953" s="23">
        <v>46199.595856481479</v>
      </c>
      <c r="O12953" s="14" t="str">
        <f>HYPERLINK("https://otsuka-europe-crm.veevavault.com/ui/#object/email_activity__v/V8C000000041205", "EN-002100069")</f>
        <v>EN-002100069</v>
      </c>
    </row>
    <row r="12954" spans="1:15" ht="16" x14ac:dyDescent="0.2">
      <c r="A12954" s="18"/>
      <c r="B12954" s="18"/>
      <c r="C12954" s="18"/>
      <c r="D12954" s="18"/>
      <c r="E12954" s="18"/>
      <c r="F12954" s="18"/>
      <c r="G12954" s="18"/>
      <c r="H12954" s="18"/>
      <c r="I12954" s="18"/>
      <c r="J12954" s="18"/>
      <c r="K12954" s="18"/>
      <c r="L12954" s="18"/>
      <c r="M12954" s="18"/>
      <c r="N12954" s="18"/>
      <c r="O12954" s="14" t="str">
        <f>HYPERLINK("https://otsuka-europe-crm.veevavault.com/ui/#object/email_activity__v/V8C000000041208", "EN-002100073")</f>
        <v>EN-002100073</v>
      </c>
    </row>
    <row r="12955" spans="1:15" ht="16" x14ac:dyDescent="0.2">
      <c r="A12955" s="18"/>
      <c r="B12955" s="18"/>
      <c r="C12955" s="18"/>
      <c r="D12955" s="18"/>
      <c r="E12955" s="18"/>
      <c r="F12955" s="18"/>
      <c r="G12955" s="18"/>
      <c r="H12955" s="18"/>
      <c r="I12955" s="18"/>
      <c r="J12955" s="18"/>
      <c r="K12955" s="18"/>
      <c r="L12955" s="18"/>
      <c r="M12955" s="18"/>
      <c r="N12955" s="18"/>
      <c r="O12955" s="14" t="str">
        <f>HYPERLINK("https://otsuka-europe-crm.veevavault.com/ui/#object/email_activity__v/V8C000000041210", "EN-002100075")</f>
        <v>EN-002100075</v>
      </c>
    </row>
    <row r="12956" spans="1:15" ht="16" x14ac:dyDescent="0.2">
      <c r="A12956" s="18"/>
      <c r="B12956" s="18"/>
      <c r="C12956" s="18"/>
      <c r="D12956" s="18"/>
      <c r="E12956" s="18"/>
      <c r="F12956" s="18"/>
      <c r="G12956" s="18"/>
      <c r="H12956" s="18"/>
      <c r="I12956" s="18"/>
      <c r="J12956" s="18"/>
      <c r="K12956" s="18"/>
      <c r="L12956" s="18"/>
      <c r="M12956" s="18"/>
      <c r="N12956" s="18"/>
      <c r="O12956" s="14" t="str">
        <f>HYPERLINK("https://otsuka-europe-crm.veevavault.com/ui/#object/email_activity__v/V8C000000041495", "EN-002100649")</f>
        <v>EN-002100649</v>
      </c>
    </row>
    <row r="12957" spans="1:15" ht="16" x14ac:dyDescent="0.2">
      <c r="A12957" s="18"/>
      <c r="B12957" s="18"/>
      <c r="C12957" s="18"/>
      <c r="D12957" s="18"/>
      <c r="E12957" s="18"/>
      <c r="F12957" s="18"/>
      <c r="G12957" s="18"/>
      <c r="H12957" s="18"/>
      <c r="I12957" s="18"/>
      <c r="J12957" s="18"/>
      <c r="K12957" s="18"/>
      <c r="L12957" s="18"/>
      <c r="M12957" s="18"/>
      <c r="N12957" s="18"/>
      <c r="O12957" s="14" t="str">
        <f>HYPERLINK("https://otsuka-europe-crm.veevavault.com/ui/#object/email_activity__v/V8C000000042167", "EN-002100057")</f>
        <v>EN-002100057</v>
      </c>
    </row>
    <row r="12958" spans="1:15" ht="16" x14ac:dyDescent="0.2">
      <c r="A12958" s="18"/>
      <c r="B12958" s="18"/>
      <c r="C12958" s="18"/>
      <c r="D12958" s="18"/>
      <c r="E12958" s="18"/>
      <c r="F12958" s="18"/>
      <c r="G12958" s="18"/>
      <c r="H12958" s="18"/>
      <c r="I12958" s="18"/>
      <c r="J12958" s="18"/>
      <c r="K12958" s="18"/>
      <c r="L12958" s="18"/>
      <c r="M12958" s="18"/>
      <c r="N12958" s="18"/>
      <c r="O12958" s="14" t="str">
        <f>HYPERLINK("https://otsuka-europe-crm.veevavault.com/ui/#object/email_activity__v/V8C000000042171", "EN-002100065")</f>
        <v>EN-002100065</v>
      </c>
    </row>
    <row r="12959" spans="1:15" ht="16" x14ac:dyDescent="0.2">
      <c r="A12959" s="18"/>
      <c r="B12959" s="18"/>
      <c r="C12959" s="18"/>
      <c r="D12959" s="18"/>
      <c r="E12959" s="18"/>
      <c r="F12959" s="18"/>
      <c r="G12959" s="18"/>
      <c r="H12959" s="18"/>
      <c r="I12959" s="18"/>
      <c r="J12959" s="18"/>
      <c r="K12959" s="18"/>
      <c r="L12959" s="18"/>
      <c r="M12959" s="18"/>
      <c r="N12959" s="18"/>
      <c r="O12959" s="14" t="str">
        <f>HYPERLINK("https://otsuka-europe-crm.veevavault.com/ui/#object/email_activity__v/V8C000000042173", "EN-002100067")</f>
        <v>EN-002100067</v>
      </c>
    </row>
    <row r="12960" spans="1:15" ht="16" x14ac:dyDescent="0.2">
      <c r="A12960" s="18"/>
      <c r="B12960" s="18"/>
      <c r="C12960" s="18"/>
      <c r="D12960" s="18"/>
      <c r="E12960" s="18"/>
      <c r="F12960" s="18"/>
      <c r="G12960" s="18"/>
      <c r="H12960" s="18"/>
      <c r="I12960" s="18"/>
      <c r="J12960" s="18"/>
      <c r="K12960" s="18"/>
      <c r="L12960" s="18"/>
      <c r="M12960" s="18"/>
      <c r="N12960" s="18"/>
      <c r="O12960" s="14" t="str">
        <f>HYPERLINK("https://otsuka-europe-crm.veevavault.com/ui/#object/email_activity__v/V8C000000042174", "EN-002100071")</f>
        <v>EN-002100071</v>
      </c>
    </row>
    <row r="12961" spans="1:15" ht="16" x14ac:dyDescent="0.2">
      <c r="A12961" s="19"/>
      <c r="B12961" s="19"/>
      <c r="C12961" s="19"/>
      <c r="D12961" s="19"/>
      <c r="E12961" s="19"/>
      <c r="F12961" s="19"/>
      <c r="G12961" s="19"/>
      <c r="H12961" s="19"/>
      <c r="I12961" s="19"/>
      <c r="J12961" s="19"/>
      <c r="K12961" s="19"/>
      <c r="L12961" s="19"/>
      <c r="M12961" s="19"/>
      <c r="N12961" s="19"/>
      <c r="O12961" s="14" t="str">
        <f>HYPERLINK("https://otsuka-europe-crm.veevavault.com/ui/#object/email_activity__v/V8C000000042176", "EN-002100079")</f>
        <v>EN-002100079</v>
      </c>
    </row>
    <row r="12962" spans="1:15" ht="16" x14ac:dyDescent="0.2">
      <c r="A12962" s="17" t="str">
        <f>HYPERLINK("https://otsuka-europe-crm.veevavault.com/ui/#object/account__v/V4T000000028006", "John Grant")</f>
        <v>John Grant</v>
      </c>
      <c r="B12962" s="17" t="str">
        <f>HYPERLINK("https://otsuka-europe-crm.veevavault.com/ui/#object/vcountry__v/VENZ000004SONFK", "GB")</f>
        <v>GB</v>
      </c>
      <c r="C12962" s="20" t="s">
        <v>39</v>
      </c>
      <c r="D12962" s="21" t="str">
        <f>HYPERLINK("https://otsuka-europe-crm.veevavault.com/ui/#object/approved_document__v/V5OZ06G6O6RH9XL", "UK Veeva Double Opt-In Remote Meetings Email Receipt v4")</f>
        <v>UK Veeva Double Opt-In Remote Meetings Email Receipt v4</v>
      </c>
      <c r="E12962" s="22" t="str">
        <f>HYPERLINK("https://otsuka-europe-crm.veevavault.com/ui/#object/sent_email__v/VBL00000002Z222", "SE-001438610")</f>
        <v>SE-001438610</v>
      </c>
      <c r="F12962" s="23">
        <v>46199.704814814817</v>
      </c>
      <c r="G12962" s="24">
        <v>1</v>
      </c>
      <c r="H12962" s="24">
        <v>10</v>
      </c>
      <c r="I12962" s="24">
        <v>1</v>
      </c>
      <c r="J12962" s="23">
        <v>46202.948113425926</v>
      </c>
      <c r="K12962" s="24">
        <v>1</v>
      </c>
      <c r="L12962" s="22" t="str">
        <f>HYPERLINK("https://otsuka-europe-crm.veevavault.com/ui/#object/approved_document__v/V5OZ06G6O6RH9XL", "UK Veeva Double Opt-In Remote Meetings Email Receipt v4")</f>
        <v>UK Veeva Double Opt-In Remote Meetings Email Receipt v4</v>
      </c>
      <c r="M12962" s="22" t="str">
        <f>HYPERLINK("mailto:ldimambro@crm.otsuka-europe.com", "ldimambro@crm.otsuka-europe.com")</f>
        <v>ldimambro@crm.otsuka-europe.com</v>
      </c>
      <c r="N12962" s="23">
        <v>46199.596168981479</v>
      </c>
      <c r="O12962" s="14" t="str">
        <f>HYPERLINK("https://otsuka-europe-crm.veevavault.com/ui/#object/email_activity__v/V8C000000041204", "EN-002100068")</f>
        <v>EN-002100068</v>
      </c>
    </row>
    <row r="12963" spans="1:15" ht="16" x14ac:dyDescent="0.2">
      <c r="A12963" s="18"/>
      <c r="B12963" s="18"/>
      <c r="C12963" s="18"/>
      <c r="D12963" s="18"/>
      <c r="E12963" s="18"/>
      <c r="F12963" s="18"/>
      <c r="G12963" s="18"/>
      <c r="H12963" s="18"/>
      <c r="I12963" s="18"/>
      <c r="J12963" s="18"/>
      <c r="K12963" s="18"/>
      <c r="L12963" s="18"/>
      <c r="M12963" s="18"/>
      <c r="N12963" s="18"/>
      <c r="O12963" s="14" t="str">
        <f>HYPERLINK("https://otsuka-europe-crm.veevavault.com/ui/#object/email_activity__v/V8C000000041206", "EN-002100070")</f>
        <v>EN-002100070</v>
      </c>
    </row>
    <row r="12964" spans="1:15" ht="16" x14ac:dyDescent="0.2">
      <c r="A12964" s="18"/>
      <c r="B12964" s="18"/>
      <c r="C12964" s="18"/>
      <c r="D12964" s="18"/>
      <c r="E12964" s="18"/>
      <c r="F12964" s="18"/>
      <c r="G12964" s="18"/>
      <c r="H12964" s="18"/>
      <c r="I12964" s="18"/>
      <c r="J12964" s="18"/>
      <c r="K12964" s="18"/>
      <c r="L12964" s="18"/>
      <c r="M12964" s="18"/>
      <c r="N12964" s="18"/>
      <c r="O12964" s="14" t="str">
        <f>HYPERLINK("https://otsuka-europe-crm.veevavault.com/ui/#object/email_activity__v/V8C000000041207", "EN-002100072")</f>
        <v>EN-002100072</v>
      </c>
    </row>
    <row r="12965" spans="1:15" ht="16" x14ac:dyDescent="0.2">
      <c r="A12965" s="18"/>
      <c r="B12965" s="18"/>
      <c r="C12965" s="18"/>
      <c r="D12965" s="18"/>
      <c r="E12965" s="18"/>
      <c r="F12965" s="18"/>
      <c r="G12965" s="18"/>
      <c r="H12965" s="18"/>
      <c r="I12965" s="18"/>
      <c r="J12965" s="18"/>
      <c r="K12965" s="18"/>
      <c r="L12965" s="18"/>
      <c r="M12965" s="18"/>
      <c r="N12965" s="18"/>
      <c r="O12965" s="14" t="str">
        <f>HYPERLINK("https://otsuka-europe-crm.veevavault.com/ui/#object/email_activity__v/V8C000000041209", "EN-002100074")</f>
        <v>EN-002100074</v>
      </c>
    </row>
    <row r="12966" spans="1:15" ht="16" x14ac:dyDescent="0.2">
      <c r="A12966" s="18"/>
      <c r="B12966" s="18"/>
      <c r="C12966" s="18"/>
      <c r="D12966" s="18"/>
      <c r="E12966" s="18"/>
      <c r="F12966" s="18"/>
      <c r="G12966" s="18"/>
      <c r="H12966" s="18"/>
      <c r="I12966" s="18"/>
      <c r="J12966" s="18"/>
      <c r="K12966" s="18"/>
      <c r="L12966" s="18"/>
      <c r="M12966" s="18"/>
      <c r="N12966" s="18"/>
      <c r="O12966" s="14" t="str">
        <f>HYPERLINK("https://otsuka-europe-crm.veevavault.com/ui/#object/email_activity__v/V8C000000041211", "EN-002100076")</f>
        <v>EN-002100076</v>
      </c>
    </row>
    <row r="12967" spans="1:15" ht="16" x14ac:dyDescent="0.2">
      <c r="A12967" s="18"/>
      <c r="B12967" s="18"/>
      <c r="C12967" s="18"/>
      <c r="D12967" s="18"/>
      <c r="E12967" s="18"/>
      <c r="F12967" s="18"/>
      <c r="G12967" s="18"/>
      <c r="H12967" s="18"/>
      <c r="I12967" s="18"/>
      <c r="J12967" s="18"/>
      <c r="K12967" s="18"/>
      <c r="L12967" s="18"/>
      <c r="M12967" s="18"/>
      <c r="N12967" s="18"/>
      <c r="O12967" s="14" t="str">
        <f>HYPERLINK("https://otsuka-europe-crm.veevavault.com/ui/#object/email_activity__v/V8C000000041219", "EN-002100104")</f>
        <v>EN-002100104</v>
      </c>
    </row>
    <row r="12968" spans="1:15" ht="16" x14ac:dyDescent="0.2">
      <c r="A12968" s="18"/>
      <c r="B12968" s="18"/>
      <c r="C12968" s="18"/>
      <c r="D12968" s="18"/>
      <c r="E12968" s="18"/>
      <c r="F12968" s="18"/>
      <c r="G12968" s="18"/>
      <c r="H12968" s="18"/>
      <c r="I12968" s="18"/>
      <c r="J12968" s="18"/>
      <c r="K12968" s="18"/>
      <c r="L12968" s="18"/>
      <c r="M12968" s="18"/>
      <c r="N12968" s="18"/>
      <c r="O12968" s="14" t="str">
        <f>HYPERLINK("https://otsuka-europe-crm.veevavault.com/ui/#object/email_activity__v/V8C000000041228", "EN-002100119")</f>
        <v>EN-002100119</v>
      </c>
    </row>
    <row r="12969" spans="1:15" ht="16" x14ac:dyDescent="0.2">
      <c r="A12969" s="18"/>
      <c r="B12969" s="18"/>
      <c r="C12969" s="18"/>
      <c r="D12969" s="18"/>
      <c r="E12969" s="18"/>
      <c r="F12969" s="18"/>
      <c r="G12969" s="18"/>
      <c r="H12969" s="18"/>
      <c r="I12969" s="18"/>
      <c r="J12969" s="18"/>
      <c r="K12969" s="18"/>
      <c r="L12969" s="18"/>
      <c r="M12969" s="18"/>
      <c r="N12969" s="18"/>
      <c r="O12969" s="14" t="str">
        <f>HYPERLINK("https://otsuka-europe-crm.veevavault.com/ui/#object/email_activity__v/V8C000000041229", "EN-002100120")</f>
        <v>EN-002100120</v>
      </c>
    </row>
    <row r="12970" spans="1:15" ht="16" x14ac:dyDescent="0.2">
      <c r="A12970" s="18"/>
      <c r="B12970" s="18"/>
      <c r="C12970" s="18"/>
      <c r="D12970" s="18"/>
      <c r="E12970" s="18"/>
      <c r="F12970" s="18"/>
      <c r="G12970" s="18"/>
      <c r="H12970" s="18"/>
      <c r="I12970" s="18"/>
      <c r="J12970" s="18"/>
      <c r="K12970" s="18"/>
      <c r="L12970" s="18"/>
      <c r="M12970" s="18"/>
      <c r="N12970" s="18"/>
      <c r="O12970" s="14" t="str">
        <f>HYPERLINK("https://otsuka-europe-crm.veevavault.com/ui/#object/email_activity__v/V8C000000042168", "EN-002100058")</f>
        <v>EN-002100058</v>
      </c>
    </row>
    <row r="12971" spans="1:15" ht="16" x14ac:dyDescent="0.2">
      <c r="A12971" s="18"/>
      <c r="B12971" s="18"/>
      <c r="C12971" s="18"/>
      <c r="D12971" s="18"/>
      <c r="E12971" s="18"/>
      <c r="F12971" s="18"/>
      <c r="G12971" s="18"/>
      <c r="H12971" s="18"/>
      <c r="I12971" s="18"/>
      <c r="J12971" s="18"/>
      <c r="K12971" s="18"/>
      <c r="L12971" s="18"/>
      <c r="M12971" s="18"/>
      <c r="N12971" s="18"/>
      <c r="O12971" s="14" t="str">
        <f>HYPERLINK("https://otsuka-europe-crm.veevavault.com/ui/#object/email_activity__v/V8C000000042175", "EN-002100078")</f>
        <v>EN-002100078</v>
      </c>
    </row>
    <row r="12972" spans="1:15" ht="16" x14ac:dyDescent="0.2">
      <c r="A12972" s="18"/>
      <c r="B12972" s="18"/>
      <c r="C12972" s="18"/>
      <c r="D12972" s="18"/>
      <c r="E12972" s="18"/>
      <c r="F12972" s="18"/>
      <c r="G12972" s="18"/>
      <c r="H12972" s="18"/>
      <c r="I12972" s="18"/>
      <c r="J12972" s="18"/>
      <c r="K12972" s="18"/>
      <c r="L12972" s="18"/>
      <c r="M12972" s="18"/>
      <c r="N12972" s="18"/>
      <c r="O12972" s="14" t="str">
        <f>HYPERLINK("https://otsuka-europe-crm.veevavault.com/ui/#object/email_activity__v/V8C000000042194", "EN-002100103")</f>
        <v>EN-002100103</v>
      </c>
    </row>
    <row r="12973" spans="1:15" ht="16" x14ac:dyDescent="0.2">
      <c r="A12973" s="19"/>
      <c r="B12973" s="19"/>
      <c r="C12973" s="19"/>
      <c r="D12973" s="19"/>
      <c r="E12973" s="19"/>
      <c r="F12973" s="19"/>
      <c r="G12973" s="19"/>
      <c r="H12973" s="19"/>
      <c r="I12973" s="19"/>
      <c r="J12973" s="19"/>
      <c r="K12973" s="19"/>
      <c r="L12973" s="19"/>
      <c r="M12973" s="19"/>
      <c r="N12973" s="19"/>
      <c r="O12973" s="14" t="str">
        <f>HYPERLINK("https://otsuka-europe-crm.veevavault.com/ui/#object/email_activity__v/V8C000000042468", "EN-002100650")</f>
        <v>EN-002100650</v>
      </c>
    </row>
    <row r="12974" spans="1:15" ht="32" x14ac:dyDescent="0.2">
      <c r="A12974" s="7" t="str">
        <f>HYPERLINK("https://otsuka-europe-crm.veevavault.com/ui/#object/account__v/V4T00000001X021", "Katharine Hodby")</f>
        <v>Katharine Hodby</v>
      </c>
      <c r="B12974" s="7" t="str">
        <f>HYPERLINK("https://otsuka-europe-crm.veevavault.com/ui/#object/vcountry__v/VENZ000004SONFK", "GB")</f>
        <v>GB</v>
      </c>
      <c r="C12974" s="8" t="s">
        <v>39</v>
      </c>
      <c r="D12974" s="9" t="str">
        <f>HYPERLINK("https://otsuka-europe-crm.veevavault.com/ui/#object/approved_document__v/V5OZ025E82PXJSL", "Otsuka Privacy Notice - UK (v2)")</f>
        <v>Otsuka Privacy Notice - UK (v2)</v>
      </c>
      <c r="E12974" s="10" t="str">
        <f>HYPERLINK("https://otsuka-europe-crm.veevavault.com/ui/#object/sent_email__v/VBL00000002Y019", "SE-001438611")</f>
        <v>SE-001438611</v>
      </c>
      <c r="F12974" s="11"/>
      <c r="G12974" s="12">
        <v>0</v>
      </c>
      <c r="H12974" s="12">
        <v>0</v>
      </c>
      <c r="I12974" s="12">
        <v>0</v>
      </c>
      <c r="J12974" s="11"/>
      <c r="K12974" s="12">
        <v>0</v>
      </c>
      <c r="L12974" s="10" t="str">
        <f>HYPERLINK("https://otsuka-europe-crm.veevavault.com/ui/#object/approved_document__v/V5OZ025E82PXJSL", "Otsuka Privacy Notice - UK (v2)")</f>
        <v>Otsuka Privacy Notice - UK (v2)</v>
      </c>
      <c r="M12974" s="10" t="str">
        <f>HYPERLINK("mailto:AByrne@crm.otsuka-europe.com", "AByrne@crm.otsuka-europe.com")</f>
        <v>AByrne@crm.otsuka-europe.com</v>
      </c>
      <c r="N12974" s="13">
        <v>46199.629780092589</v>
      </c>
      <c r="O12974" s="14" t="str">
        <f>HYPERLINK("https://otsuka-europe-crm.veevavault.com/ui/#object/email_activity__v/V8C000000042182", "EN-002100086")</f>
        <v>EN-002100086</v>
      </c>
    </row>
    <row r="12975" spans="1:15" ht="32" x14ac:dyDescent="0.2">
      <c r="A12975" s="7" t="str">
        <f>HYPERLINK("https://otsuka-europe-crm.veevavault.com/ui/#object/account__v/V4T00000001X021", "Katharine Hodby")</f>
        <v>Katharine Hodby</v>
      </c>
      <c r="B12975" s="7" t="str">
        <f>HYPERLINK("https://otsuka-europe-crm.veevavault.com/ui/#object/vcountry__v/VENZ000004SONFK", "GB")</f>
        <v>GB</v>
      </c>
      <c r="C12975" s="8" t="s">
        <v>39</v>
      </c>
      <c r="D12975" s="9" t="str">
        <f>HYPERLINK("https://otsuka-europe-crm.veevavault.com/ui/#object/approved_document__v/V5O00000000D081", "UK - Consent Email 1 Aug 25")</f>
        <v>UK - Consent Email 1 Aug 25</v>
      </c>
      <c r="E12975" s="10" t="str">
        <f>HYPERLINK("https://otsuka-europe-crm.veevavault.com/ui/#object/sent_email__v/VBL00000002Y020", "SE-001438612")</f>
        <v>SE-001438612</v>
      </c>
      <c r="F12975" s="11"/>
      <c r="G12975" s="12">
        <v>0</v>
      </c>
      <c r="H12975" s="12">
        <v>0</v>
      </c>
      <c r="I12975" s="12">
        <v>0</v>
      </c>
      <c r="J12975" s="11"/>
      <c r="K12975" s="12">
        <v>0</v>
      </c>
      <c r="L12975" s="10" t="str">
        <f>HYPERLINK("https://otsuka-europe-crm.veevavault.com/ui/#object/approved_document__v/V5O00000000D081", "UK - Consent Email 1 Aug 25")</f>
        <v>UK - Consent Email 1 Aug 25</v>
      </c>
      <c r="M12975" s="10" t="str">
        <f>HYPERLINK("mailto:AByrne@crm.otsuka-europe.com", "AByrne@crm.otsuka-europe.com")</f>
        <v>AByrne@crm.otsuka-europe.com</v>
      </c>
      <c r="N12975" s="13">
        <v>46199.630995370368</v>
      </c>
      <c r="O12975" s="14" t="str">
        <f>HYPERLINK("https://otsuka-europe-crm.veevavault.com/ui/#object/email_activity__v/V8C000000041214", "EN-002100087")</f>
        <v>EN-002100087</v>
      </c>
    </row>
    <row r="12976" spans="1:15" ht="48" x14ac:dyDescent="0.2">
      <c r="A12976" s="7" t="str">
        <f>HYPERLINK("https://otsuka-europe-crm.veevavault.com/ui/#object/account__v/V4T00000001X021", "Katharine Hodby")</f>
        <v>Katharine Hodby</v>
      </c>
      <c r="B12976" s="7" t="str">
        <f>HYPERLINK("https://otsuka-europe-crm.veevavault.com/ui/#object/vcountry__v/VENZ000004SONFK", "GB")</f>
        <v>GB</v>
      </c>
      <c r="C12976" s="8" t="s">
        <v>39</v>
      </c>
      <c r="D12976" s="9" t="str">
        <f>HYPERLINK("https://otsuka-europe-crm.veevavault.com/ui/#object/approved_document__v/V5OZ06G6O6RH9XL", "UK Veeva Double Opt-In Remote Meetings Email Receipt v4")</f>
        <v>UK Veeva Double Opt-In Remote Meetings Email Receipt v4</v>
      </c>
      <c r="E12976" s="10" t="str">
        <f>HYPERLINK("https://otsuka-europe-crm.veevavault.com/ui/#object/sent_email__v/VBL00000002Y021", "SE-001438613")</f>
        <v>SE-001438613</v>
      </c>
      <c r="F12976" s="11"/>
      <c r="G12976" s="12">
        <v>0</v>
      </c>
      <c r="H12976" s="12">
        <v>0</v>
      </c>
      <c r="I12976" s="12">
        <v>0</v>
      </c>
      <c r="J12976" s="11"/>
      <c r="K12976" s="12">
        <v>0</v>
      </c>
      <c r="L12976" s="10" t="str">
        <f>HYPERLINK("https://otsuka-europe-crm.veevavault.com/ui/#object/approved_document__v/V5OZ06G6O6RH9XL", "UK Veeva Double Opt-In Remote Meetings Email Receipt v4")</f>
        <v>UK Veeva Double Opt-In Remote Meetings Email Receipt v4</v>
      </c>
      <c r="M12976" s="10" t="str">
        <f>HYPERLINK("mailto:AByrne@crm.otsuka-europe.com", "AByrne@crm.otsuka-europe.com")</f>
        <v>AByrne@crm.otsuka-europe.com</v>
      </c>
      <c r="N12976" s="13">
        <v>46199.631504629629</v>
      </c>
      <c r="O12976" s="14" t="str">
        <f>HYPERLINK("https://otsuka-europe-crm.veevavault.com/ui/#object/email_activity__v/V8C000000042183", "EN-002100088")</f>
        <v>EN-002100088</v>
      </c>
    </row>
    <row r="12977" spans="1:15" ht="16" x14ac:dyDescent="0.2">
      <c r="A12977" s="17" t="str">
        <f>HYPERLINK("https://otsuka-europe-crm.veevavault.com/ui/#object/account__v/V4TZ06G6O71SB5C", "MANLIO CONVERTI")</f>
        <v>MANLIO CONVERTI</v>
      </c>
      <c r="B12977" s="17" t="str">
        <f>HYPERLINK("https://otsuka-europe-crm.veevavault.com/ui/#object/vcountry__v/VENZ000004SONFQ", "IT")</f>
        <v>IT</v>
      </c>
      <c r="C12977" s="20" t="s">
        <v>44</v>
      </c>
      <c r="D12977" s="21" t="str">
        <f>HYPERLINK("https://otsuka-europe-crm.veevavault.com/ui/#object/approved_document__v/V5O00000001G004", "Branded_RXULTI_AE Ansia_IT-RXU-2500035")</f>
        <v>Branded_RXULTI_AE Ansia_IT-RXU-2500035</v>
      </c>
      <c r="E12977" s="22" t="str">
        <f>HYPERLINK("https://otsuka-europe-crm.veevavault.com/ui/#object/sent_email__v/VBL00000002Y022", "SE-001438614")</f>
        <v>SE-001438614</v>
      </c>
      <c r="F12977" s="23">
        <v>46201.281643518516</v>
      </c>
      <c r="G12977" s="24">
        <v>1</v>
      </c>
      <c r="H12977" s="24">
        <v>1</v>
      </c>
      <c r="I12977" s="24">
        <v>0</v>
      </c>
      <c r="J12977" s="25"/>
      <c r="K12977" s="24">
        <v>0</v>
      </c>
      <c r="L12977" s="22" t="str">
        <f>HYPERLINK("https://otsuka-europe-crm.veevavault.com/ui/#object/approved_document__v/V5O00000001G004", "Branded_RXULTI_AE Ansia_IT-RXU-2500035")</f>
        <v>Branded_RXULTI_AE Ansia_IT-RXU-2500035</v>
      </c>
      <c r="M12977" s="22" t="str">
        <f>HYPERLINK("mailto:maria.gargiulo@crm.otsuka-europe.com", "maria.gargiulo@crm.otsuka-europe.com")</f>
        <v>maria.gargiulo@crm.otsuka-europe.com</v>
      </c>
      <c r="N12977" s="23">
        <v>46201.281504629631</v>
      </c>
      <c r="O12977" s="14" t="str">
        <f>HYPERLINK("https://otsuka-europe-crm.veevavault.com/ui/#object/email_activity__v/V8C000000041273", "EN-002100227")</f>
        <v>EN-002100227</v>
      </c>
    </row>
    <row r="12978" spans="1:15" ht="16" x14ac:dyDescent="0.2">
      <c r="A12978" s="19"/>
      <c r="B12978" s="19"/>
      <c r="C12978" s="19"/>
      <c r="D12978" s="19"/>
      <c r="E12978" s="19"/>
      <c r="F12978" s="19"/>
      <c r="G12978" s="19"/>
      <c r="H12978" s="19"/>
      <c r="I12978" s="19"/>
      <c r="J12978" s="19"/>
      <c r="K12978" s="19"/>
      <c r="L12978" s="19"/>
      <c r="M12978" s="19"/>
      <c r="N12978" s="19"/>
      <c r="O12978" s="14" t="str">
        <f>HYPERLINK("https://otsuka-europe-crm.veevavault.com/ui/#object/email_activity__v/V8C000000042265", "EN-002100229")</f>
        <v>EN-002100229</v>
      </c>
    </row>
    <row r="12979" spans="1:15" ht="16" x14ac:dyDescent="0.2">
      <c r="A12979" s="17" t="str">
        <f>HYPERLINK("https://otsuka-europe-crm.veevavault.com/ui/#object/account__v/V4TZ06G6O71SB42", "FRANCESCA COZZOLINO")</f>
        <v>FRANCESCA COZZOLINO</v>
      </c>
      <c r="B12979" s="17" t="str">
        <f>HYPERLINK("https://otsuka-europe-crm.veevavault.com/ui/#object/vcountry__v/VENZ000004SONFQ", "IT")</f>
        <v>IT</v>
      </c>
      <c r="C12979" s="20" t="s">
        <v>44</v>
      </c>
      <c r="D12979" s="21" t="str">
        <f>HYPERLINK("https://otsuka-europe-crm.veevavault.com/ui/#object/approved_document__v/V5O00000001G004", "Branded_RXULTI_AE Ansia_IT-RXU-2500035")</f>
        <v>Branded_RXULTI_AE Ansia_IT-RXU-2500035</v>
      </c>
      <c r="E12979" s="22" t="str">
        <f>HYPERLINK("https://otsuka-europe-crm.veevavault.com/ui/#object/sent_email__v/VBL00000002Y023", "SE-001438615")</f>
        <v>SE-001438615</v>
      </c>
      <c r="F12979" s="25"/>
      <c r="G12979" s="24">
        <v>0</v>
      </c>
      <c r="H12979" s="24">
        <v>0</v>
      </c>
      <c r="I12979" s="24">
        <v>0</v>
      </c>
      <c r="J12979" s="25"/>
      <c r="K12979" s="24">
        <v>0</v>
      </c>
      <c r="L12979" s="22" t="str">
        <f>HYPERLINK("https://otsuka-europe-crm.veevavault.com/ui/#object/approved_document__v/V5O00000001G004", "Branded_RXULTI_AE Ansia_IT-RXU-2500035")</f>
        <v>Branded_RXULTI_AE Ansia_IT-RXU-2500035</v>
      </c>
      <c r="M12979" s="22" t="str">
        <f>HYPERLINK("mailto:maria.gargiulo@crm.otsuka-europe.com", "maria.gargiulo@crm.otsuka-europe.com")</f>
        <v>maria.gargiulo@crm.otsuka-europe.com</v>
      </c>
      <c r="N12979" s="23">
        <v>46201.2815162037</v>
      </c>
      <c r="O12979" s="14" t="str">
        <f>HYPERLINK("https://otsuka-europe-crm.veevavault.com/ui/#object/email_activity__v/V8C000000041278", "EN-002100239")</f>
        <v>EN-002100239</v>
      </c>
    </row>
    <row r="12980" spans="1:15" ht="16" x14ac:dyDescent="0.2">
      <c r="A12980" s="19"/>
      <c r="B12980" s="19"/>
      <c r="C12980" s="19"/>
      <c r="D12980" s="19"/>
      <c r="E12980" s="19"/>
      <c r="F12980" s="19"/>
      <c r="G12980" s="19"/>
      <c r="H12980" s="19"/>
      <c r="I12980" s="19"/>
      <c r="J12980" s="19"/>
      <c r="K12980" s="19"/>
      <c r="L12980" s="19"/>
      <c r="M12980" s="19"/>
      <c r="N12980" s="19"/>
      <c r="O12980" s="14" t="str">
        <f>HYPERLINK("https://otsuka-europe-crm.veevavault.com/ui/#object/email_activity__v/V8C000000042260", "EN-002100223")</f>
        <v>EN-002100223</v>
      </c>
    </row>
    <row r="12981" spans="1:15" ht="32" x14ac:dyDescent="0.2">
      <c r="A12981" s="7" t="str">
        <f>HYPERLINK("https://otsuka-europe-crm.veevavault.com/ui/#object/account__v/V4TZ06G6O71SAR4", "ASSUNTA DELLA CORTE")</f>
        <v>ASSUNTA DELLA CORTE</v>
      </c>
      <c r="B12981" s="7" t="str">
        <f>HYPERLINK("https://otsuka-europe-crm.veevavault.com/ui/#object/vcountry__v/VENZ000004SONFQ", "IT")</f>
        <v>IT</v>
      </c>
      <c r="C12981" s="8" t="s">
        <v>44</v>
      </c>
      <c r="D12981" s="9" t="str">
        <f>HYPERLINK("https://otsuka-europe-crm.veevavault.com/ui/#object/approved_document__v/V5O00000001G004", "Branded_RXULTI_AE Ansia_IT-RXU-2500035")</f>
        <v>Branded_RXULTI_AE Ansia_IT-RXU-2500035</v>
      </c>
      <c r="E12981" s="10" t="str">
        <f>HYPERLINK("https://otsuka-europe-crm.veevavault.com/ui/#object/sent_email__v/VBL00000002Y024", "SE-001438616")</f>
        <v>SE-001438616</v>
      </c>
      <c r="F12981" s="11"/>
      <c r="G12981" s="12">
        <v>0</v>
      </c>
      <c r="H12981" s="12">
        <v>0</v>
      </c>
      <c r="I12981" s="12">
        <v>0</v>
      </c>
      <c r="J12981" s="11"/>
      <c r="K12981" s="12">
        <v>0</v>
      </c>
      <c r="L12981" s="10" t="str">
        <f>HYPERLINK("https://otsuka-europe-crm.veevavault.com/ui/#object/approved_document__v/V5O00000001G004", "Branded_RXULTI_AE Ansia_IT-RXU-2500035")</f>
        <v>Branded_RXULTI_AE Ansia_IT-RXU-2500035</v>
      </c>
      <c r="M12981" s="10" t="str">
        <f>HYPERLINK("mailto:maria.gargiulo@crm.otsuka-europe.com", "maria.gargiulo@crm.otsuka-europe.com")</f>
        <v>maria.gargiulo@crm.otsuka-europe.com</v>
      </c>
      <c r="N12981" s="13">
        <v>46201.281504629631</v>
      </c>
      <c r="O12981" s="14" t="str">
        <f>HYPERLINK("https://otsuka-europe-crm.veevavault.com/ui/#object/email_activity__v/V8C000000042261", "EN-002100224")</f>
        <v>EN-002100224</v>
      </c>
    </row>
    <row r="12982" spans="1:15" ht="16" x14ac:dyDescent="0.2">
      <c r="A12982" s="17" t="str">
        <f>HYPERLINK("https://otsuka-europe-crm.veevavault.com/ui/#object/account__v/V4TZ06G6O71SAFG", "FLAVIO DI BENEDETTO")</f>
        <v>FLAVIO DI BENEDETTO</v>
      </c>
      <c r="B12982" s="17" t="str">
        <f>HYPERLINK("https://otsuka-europe-crm.veevavault.com/ui/#object/vcountry__v/VENZ000004SONFQ", "IT")</f>
        <v>IT</v>
      </c>
      <c r="C12982" s="20" t="s">
        <v>44</v>
      </c>
      <c r="D12982" s="21" t="str">
        <f>HYPERLINK("https://otsuka-europe-crm.veevavault.com/ui/#object/approved_document__v/V5O00000001G004", "Branded_RXULTI_AE Ansia_IT-RXU-2500035")</f>
        <v>Branded_RXULTI_AE Ansia_IT-RXU-2500035</v>
      </c>
      <c r="E12982" s="22" t="str">
        <f>HYPERLINK("https://otsuka-europe-crm.veevavault.com/ui/#object/sent_email__v/VBL00000002Y025", "SE-001438617")</f>
        <v>SE-001438617</v>
      </c>
      <c r="F12982" s="23">
        <v>46201.28162037037</v>
      </c>
      <c r="G12982" s="24">
        <v>1</v>
      </c>
      <c r="H12982" s="24">
        <v>1</v>
      </c>
      <c r="I12982" s="24">
        <v>0</v>
      </c>
      <c r="J12982" s="25"/>
      <c r="K12982" s="24">
        <v>0</v>
      </c>
      <c r="L12982" s="22" t="str">
        <f>HYPERLINK("https://otsuka-europe-crm.veevavault.com/ui/#object/approved_document__v/V5O00000001G004", "Branded_RXULTI_AE Ansia_IT-RXU-2500035")</f>
        <v>Branded_RXULTI_AE Ansia_IT-RXU-2500035</v>
      </c>
      <c r="M12982" s="22" t="str">
        <f>HYPERLINK("mailto:maria.gargiulo@crm.otsuka-europe.com", "maria.gargiulo@crm.otsuka-europe.com")</f>
        <v>maria.gargiulo@crm.otsuka-europe.com</v>
      </c>
      <c r="N12982" s="23">
        <v>46201.281527777777</v>
      </c>
      <c r="O12982" s="14" t="str">
        <f>HYPERLINK("https://otsuka-europe-crm.veevavault.com/ui/#object/email_activity__v/V8C000000042263", "EN-002100226")</f>
        <v>EN-002100226</v>
      </c>
    </row>
    <row r="12983" spans="1:15" ht="16" x14ac:dyDescent="0.2">
      <c r="A12983" s="19"/>
      <c r="B12983" s="19"/>
      <c r="C12983" s="19"/>
      <c r="D12983" s="19"/>
      <c r="E12983" s="19"/>
      <c r="F12983" s="19"/>
      <c r="G12983" s="19"/>
      <c r="H12983" s="19"/>
      <c r="I12983" s="19"/>
      <c r="J12983" s="19"/>
      <c r="K12983" s="19"/>
      <c r="L12983" s="19"/>
      <c r="M12983" s="19"/>
      <c r="N12983" s="19"/>
      <c r="O12983" s="14" t="str">
        <f>HYPERLINK("https://otsuka-europe-crm.veevavault.com/ui/#object/email_activity__v/V8C000000042264", "EN-002100228")</f>
        <v>EN-002100228</v>
      </c>
    </row>
    <row r="12984" spans="1:15" ht="32" x14ac:dyDescent="0.2">
      <c r="A12984" s="7" t="str">
        <f>HYPERLINK("https://otsuka-europe-crm.veevavault.com/ui/#object/account__v/V4TZ06G6O71SAJQ", "ELISABETTA FERRANDES")</f>
        <v>ELISABETTA FERRANDES</v>
      </c>
      <c r="B12984" s="7" t="str">
        <f>HYPERLINK("https://otsuka-europe-crm.veevavault.com/ui/#object/vcountry__v/VENZ000004SONFQ", "IT")</f>
        <v>IT</v>
      </c>
      <c r="C12984" s="8" t="s">
        <v>44</v>
      </c>
      <c r="D12984" s="9" t="str">
        <f>HYPERLINK("https://otsuka-europe-crm.veevavault.com/ui/#object/approved_document__v/V5O00000001G004", "Branded_RXULTI_AE Ansia_IT-RXU-2500035")</f>
        <v>Branded_RXULTI_AE Ansia_IT-RXU-2500035</v>
      </c>
      <c r="E12984" s="10" t="str">
        <f>HYPERLINK("https://otsuka-europe-crm.veevavault.com/ui/#object/sent_email__v/VBL00000002Y026", "SE-001438618")</f>
        <v>SE-001438618</v>
      </c>
      <c r="F12984" s="11"/>
      <c r="G12984" s="12">
        <v>0</v>
      </c>
      <c r="H12984" s="12">
        <v>0</v>
      </c>
      <c r="I12984" s="12">
        <v>0</v>
      </c>
      <c r="J12984" s="11"/>
      <c r="K12984" s="12">
        <v>0</v>
      </c>
      <c r="L12984" s="10" t="str">
        <f>HYPERLINK("https://otsuka-europe-crm.veevavault.com/ui/#object/approved_document__v/V5O00000001G004", "Branded_RXULTI_AE Ansia_IT-RXU-2500035")</f>
        <v>Branded_RXULTI_AE Ansia_IT-RXU-2500035</v>
      </c>
      <c r="M12984" s="10" t="str">
        <f>HYPERLINK("mailto:maria.gargiulo@crm.otsuka-europe.com", "maria.gargiulo@crm.otsuka-europe.com")</f>
        <v>maria.gargiulo@crm.otsuka-europe.com</v>
      </c>
      <c r="N12984" s="13">
        <v>46201.281550925924</v>
      </c>
      <c r="O12984" s="14" t="str">
        <f>HYPERLINK("https://otsuka-europe-crm.veevavault.com/ui/#object/email_activity__v/V8C000000042262", "EN-002100225")</f>
        <v>EN-002100225</v>
      </c>
    </row>
    <row r="12985" spans="1:15" ht="16" x14ac:dyDescent="0.2">
      <c r="A12985" s="17" t="str">
        <f>HYPERLINK("https://otsuka-europe-crm.veevavault.com/ui/#object/account__v/V4TZ06G6O71SAK6", "LUCA FABOZZI")</f>
        <v>LUCA FABOZZI</v>
      </c>
      <c r="B12985" s="17" t="str">
        <f>HYPERLINK("https://otsuka-europe-crm.veevavault.com/ui/#object/vcountry__v/VENZ000004SONFQ", "IT")</f>
        <v>IT</v>
      </c>
      <c r="C12985" s="20" t="s">
        <v>44</v>
      </c>
      <c r="D12985" s="21" t="str">
        <f>HYPERLINK("https://otsuka-europe-crm.veevavault.com/ui/#object/approved_document__v/V5O00000001G004", "Branded_RXULTI_AE Ansia_IT-RXU-2500035")</f>
        <v>Branded_RXULTI_AE Ansia_IT-RXU-2500035</v>
      </c>
      <c r="E12985" s="22" t="str">
        <f>HYPERLINK("https://otsuka-europe-crm.veevavault.com/ui/#object/sent_email__v/VBL00000002Y027", "SE-001438619")</f>
        <v>SE-001438619</v>
      </c>
      <c r="F12985" s="23">
        <v>46202.300266203703</v>
      </c>
      <c r="G12985" s="24">
        <v>1</v>
      </c>
      <c r="H12985" s="24">
        <v>2</v>
      </c>
      <c r="I12985" s="24">
        <v>0</v>
      </c>
      <c r="J12985" s="25"/>
      <c r="K12985" s="24">
        <v>0</v>
      </c>
      <c r="L12985" s="22" t="str">
        <f>HYPERLINK("https://otsuka-europe-crm.veevavault.com/ui/#object/approved_document__v/V5O00000001G004", "Branded_RXULTI_AE Ansia_IT-RXU-2500035")</f>
        <v>Branded_RXULTI_AE Ansia_IT-RXU-2500035</v>
      </c>
      <c r="M12985" s="22" t="str">
        <f>HYPERLINK("mailto:maria.gargiulo@crm.otsuka-europe.com", "maria.gargiulo@crm.otsuka-europe.com")</f>
        <v>maria.gargiulo@crm.otsuka-europe.com</v>
      </c>
      <c r="N12985" s="23">
        <v>46201.284594907411</v>
      </c>
      <c r="O12985" s="14" t="str">
        <f>HYPERLINK("https://otsuka-europe-crm.veevavault.com/ui/#object/email_activity__v/V8C000000041304", "EN-002100279")</f>
        <v>EN-002100279</v>
      </c>
    </row>
    <row r="12986" spans="1:15" ht="16" x14ac:dyDescent="0.2">
      <c r="A12986" s="18"/>
      <c r="B12986" s="18"/>
      <c r="C12986" s="18"/>
      <c r="D12986" s="18"/>
      <c r="E12986" s="18"/>
      <c r="F12986" s="18"/>
      <c r="G12986" s="18"/>
      <c r="H12986" s="18"/>
      <c r="I12986" s="18"/>
      <c r="J12986" s="18"/>
      <c r="K12986" s="18"/>
      <c r="L12986" s="18"/>
      <c r="M12986" s="18"/>
      <c r="N12986" s="18"/>
      <c r="O12986" s="14" t="str">
        <f>HYPERLINK("https://otsuka-europe-crm.veevavault.com/ui/#object/email_activity__v/V8C000000042267", "EN-002100231")</f>
        <v>EN-002100231</v>
      </c>
    </row>
    <row r="12987" spans="1:15" ht="16" x14ac:dyDescent="0.2">
      <c r="A12987" s="19"/>
      <c r="B12987" s="19"/>
      <c r="C12987" s="19"/>
      <c r="D12987" s="19"/>
      <c r="E12987" s="19"/>
      <c r="F12987" s="19"/>
      <c r="G12987" s="19"/>
      <c r="H12987" s="19"/>
      <c r="I12987" s="19"/>
      <c r="J12987" s="19"/>
      <c r="K12987" s="19"/>
      <c r="L12987" s="19"/>
      <c r="M12987" s="19"/>
      <c r="N12987" s="19"/>
      <c r="O12987" s="14" t="str">
        <f>HYPERLINK("https://otsuka-europe-crm.veevavault.com/ui/#object/email_activity__v/V8C000000042268", "EN-002100233")</f>
        <v>EN-002100233</v>
      </c>
    </row>
    <row r="12988" spans="1:15" ht="16" x14ac:dyDescent="0.2">
      <c r="A12988" s="17" t="str">
        <f>HYPERLINK("https://otsuka-europe-crm.veevavault.com/ui/#object/account__v/V4TZ06G6O71SAJE", "CIRO FERRARO")</f>
        <v>CIRO FERRARO</v>
      </c>
      <c r="B12988" s="17" t="str">
        <f>HYPERLINK("https://otsuka-europe-crm.veevavault.com/ui/#object/vcountry__v/VENZ000004SONFQ", "IT")</f>
        <v>IT</v>
      </c>
      <c r="C12988" s="20" t="s">
        <v>44</v>
      </c>
      <c r="D12988" s="21" t="str">
        <f>HYPERLINK("https://otsuka-europe-crm.veevavault.com/ui/#object/approved_document__v/V5O00000001G004", "Branded_RXULTI_AE Ansia_IT-RXU-2500035")</f>
        <v>Branded_RXULTI_AE Ansia_IT-RXU-2500035</v>
      </c>
      <c r="E12988" s="22" t="str">
        <f>HYPERLINK("https://otsuka-europe-crm.veevavault.com/ui/#object/sent_email__v/VBL00000002Y028", "SE-001438620")</f>
        <v>SE-001438620</v>
      </c>
      <c r="F12988" s="23">
        <v>46203.586342592593</v>
      </c>
      <c r="G12988" s="24">
        <v>1</v>
      </c>
      <c r="H12988" s="24">
        <v>1</v>
      </c>
      <c r="I12988" s="24">
        <v>0</v>
      </c>
      <c r="J12988" s="25"/>
      <c r="K12988" s="24">
        <v>0</v>
      </c>
      <c r="L12988" s="22" t="str">
        <f>HYPERLINK("https://otsuka-europe-crm.veevavault.com/ui/#object/approved_document__v/V5O00000001G004", "Branded_RXULTI_AE Ansia_IT-RXU-2500035")</f>
        <v>Branded_RXULTI_AE Ansia_IT-RXU-2500035</v>
      </c>
      <c r="M12988" s="22" t="str">
        <f>HYPERLINK("mailto:maria.gargiulo@crm.otsuka-europe.com", "maria.gargiulo@crm.otsuka-europe.com")</f>
        <v>maria.gargiulo@crm.otsuka-europe.com</v>
      </c>
      <c r="N12988" s="23">
        <v>46201.284618055557</v>
      </c>
      <c r="O12988" s="14" t="str">
        <f>HYPERLINK("https://otsuka-europe-crm.veevavault.com/ui/#object/email_activity__v/V8C000000042266", "EN-002100230")</f>
        <v>EN-002100230</v>
      </c>
    </row>
    <row r="12989" spans="1:15" ht="16" x14ac:dyDescent="0.2">
      <c r="A12989" s="19"/>
      <c r="B12989" s="19"/>
      <c r="C12989" s="19"/>
      <c r="D12989" s="19"/>
      <c r="E12989" s="19"/>
      <c r="F12989" s="19"/>
      <c r="G12989" s="19"/>
      <c r="H12989" s="19"/>
      <c r="I12989" s="19"/>
      <c r="J12989" s="19"/>
      <c r="K12989" s="19"/>
      <c r="L12989" s="19"/>
      <c r="M12989" s="19"/>
      <c r="N12989" s="19"/>
      <c r="O12989" s="14" t="str">
        <f>HYPERLINK("https://otsuka-europe-crm.veevavault.com/ui/#object/email_activity__v/V8C000000042572", "EN-002100862")</f>
        <v>EN-002100862</v>
      </c>
    </row>
    <row r="12990" spans="1:15" ht="32" x14ac:dyDescent="0.2">
      <c r="A12990" s="7" t="str">
        <f>HYPERLINK("https://otsuka-europe-crm.veevavault.com/ui/#object/account__v/V4TZ06G6O71SAJJ", "SERGIO FERRO")</f>
        <v>SERGIO FERRO</v>
      </c>
      <c r="B12990" s="7" t="str">
        <f>HYPERLINK("https://otsuka-europe-crm.veevavault.com/ui/#object/vcountry__v/VENZ000004SONFQ", "IT")</f>
        <v>IT</v>
      </c>
      <c r="C12990" s="8" t="s">
        <v>44</v>
      </c>
      <c r="D12990" s="9" t="str">
        <f>HYPERLINK("https://otsuka-europe-crm.veevavault.com/ui/#object/approved_document__v/V5O00000001G004", "Branded_RXULTI_AE Ansia_IT-RXU-2500035")</f>
        <v>Branded_RXULTI_AE Ansia_IT-RXU-2500035</v>
      </c>
      <c r="E12990" s="10" t="str">
        <f>HYPERLINK("https://otsuka-europe-crm.veevavault.com/ui/#object/sent_email__v/VBL00000002Y029", "SE-001438621")</f>
        <v>SE-001438621</v>
      </c>
      <c r="F12990" s="11"/>
      <c r="G12990" s="12">
        <v>0</v>
      </c>
      <c r="H12990" s="12">
        <v>0</v>
      </c>
      <c r="I12990" s="12">
        <v>0</v>
      </c>
      <c r="J12990" s="11"/>
      <c r="K12990" s="12">
        <v>0</v>
      </c>
      <c r="L12990" s="10" t="str">
        <f>HYPERLINK("https://otsuka-europe-crm.veevavault.com/ui/#object/approved_document__v/V5O00000001G004", "Branded_RXULTI_AE Ansia_IT-RXU-2500035")</f>
        <v>Branded_RXULTI_AE Ansia_IT-RXU-2500035</v>
      </c>
      <c r="M12990" s="10" t="str">
        <f>HYPERLINK("mailto:maria.gargiulo@crm.otsuka-europe.com", "maria.gargiulo@crm.otsuka-europe.com")</f>
        <v>maria.gargiulo@crm.otsuka-europe.com</v>
      </c>
      <c r="N12990" s="13">
        <v>46201.284641203703</v>
      </c>
      <c r="O12990" s="14" t="str">
        <f>HYPERLINK("https://otsuka-europe-crm.veevavault.com/ui/#object/email_activity__v/V8C000000041274", "EN-002100232")</f>
        <v>EN-002100232</v>
      </c>
    </row>
    <row r="12991" spans="1:15" ht="16" x14ac:dyDescent="0.2">
      <c r="A12991" s="17" t="str">
        <f>HYPERLINK("https://otsuka-europe-crm.veevavault.com/ui/#object/account__v/V4TZ06G6O71SAM7", "MICHELE FORNARO")</f>
        <v>MICHELE FORNARO</v>
      </c>
      <c r="B12991" s="17" t="str">
        <f>HYPERLINK("https://otsuka-europe-crm.veevavault.com/ui/#object/vcountry__v/VENZ000004SONFQ", "IT")</f>
        <v>IT</v>
      </c>
      <c r="C12991" s="20" t="s">
        <v>44</v>
      </c>
      <c r="D12991" s="21" t="str">
        <f>HYPERLINK("https://otsuka-europe-crm.veevavault.com/ui/#object/approved_document__v/V5O00000001G004", "Branded_RXULTI_AE Ansia_IT-RXU-2500035")</f>
        <v>Branded_RXULTI_AE Ansia_IT-RXU-2500035</v>
      </c>
      <c r="E12991" s="22" t="str">
        <f>HYPERLINK("https://otsuka-europe-crm.veevavault.com/ui/#object/sent_email__v/VBL00000002Z223", "SE-001438622")</f>
        <v>SE-001438622</v>
      </c>
      <c r="F12991" s="25"/>
      <c r="G12991" s="24">
        <v>0</v>
      </c>
      <c r="H12991" s="24">
        <v>0</v>
      </c>
      <c r="I12991" s="24">
        <v>0</v>
      </c>
      <c r="J12991" s="25"/>
      <c r="K12991" s="24">
        <v>0</v>
      </c>
      <c r="L12991" s="22" t="str">
        <f>HYPERLINK("https://otsuka-europe-crm.veevavault.com/ui/#object/approved_document__v/V5O00000001G004", "Branded_RXULTI_AE Ansia_IT-RXU-2500035")</f>
        <v>Branded_RXULTI_AE Ansia_IT-RXU-2500035</v>
      </c>
      <c r="M12991" s="22" t="str">
        <f>HYPERLINK("mailto:maria.gargiulo@crm.otsuka-europe.com", "maria.gargiulo@crm.otsuka-europe.com")</f>
        <v>maria.gargiulo@crm.otsuka-europe.com</v>
      </c>
      <c r="N12991" s="23">
        <v>46201.284722222219</v>
      </c>
      <c r="O12991" s="14" t="str">
        <f>HYPERLINK("https://otsuka-europe-crm.veevavault.com/ui/#object/email_activity__v/V8C000000041275", "EN-002100234")</f>
        <v>EN-002100234</v>
      </c>
    </row>
    <row r="12992" spans="1:15" ht="16" x14ac:dyDescent="0.2">
      <c r="A12992" s="18"/>
      <c r="B12992" s="18"/>
      <c r="C12992" s="18"/>
      <c r="D12992" s="18"/>
      <c r="E12992" s="18"/>
      <c r="F12992" s="18"/>
      <c r="G12992" s="18"/>
      <c r="H12992" s="18"/>
      <c r="I12992" s="18"/>
      <c r="J12992" s="18"/>
      <c r="K12992" s="18"/>
      <c r="L12992" s="18"/>
      <c r="M12992" s="18"/>
      <c r="N12992" s="18"/>
      <c r="O12992" s="14" t="str">
        <f>HYPERLINK("https://otsuka-europe-crm.veevavault.com/ui/#object/email_activity__v/V8C000000041286", "EN-002100249")</f>
        <v>EN-002100249</v>
      </c>
    </row>
    <row r="12993" spans="1:15" ht="16" x14ac:dyDescent="0.2">
      <c r="A12993" s="19"/>
      <c r="B12993" s="19"/>
      <c r="C12993" s="19"/>
      <c r="D12993" s="19"/>
      <c r="E12993" s="19"/>
      <c r="F12993" s="19"/>
      <c r="G12993" s="19"/>
      <c r="H12993" s="19"/>
      <c r="I12993" s="19"/>
      <c r="J12993" s="19"/>
      <c r="K12993" s="19"/>
      <c r="L12993" s="19"/>
      <c r="M12993" s="19"/>
      <c r="N12993" s="19"/>
      <c r="O12993" s="14" t="str">
        <f>HYPERLINK("https://otsuka-europe-crm.veevavault.com/ui/#object/email_activity__v/V8C000000041287", "EN-002100248")</f>
        <v>EN-002100248</v>
      </c>
    </row>
    <row r="12994" spans="1:15" ht="16" x14ac:dyDescent="0.2">
      <c r="A12994" s="17" t="str">
        <f>HYPERLINK("https://otsuka-europe-crm.veevavault.com/ui/#object/account__v/V4TZ025E86WVRLU", "VITTORIO FREDA")</f>
        <v>VITTORIO FREDA</v>
      </c>
      <c r="B12994" s="17" t="str">
        <f>HYPERLINK("https://otsuka-europe-crm.veevavault.com/ui/#object/vcountry__v/VENZ000004SONFQ", "IT")</f>
        <v>IT</v>
      </c>
      <c r="C12994" s="20" t="s">
        <v>44</v>
      </c>
      <c r="D12994" s="21" t="str">
        <f>HYPERLINK("https://otsuka-europe-crm.veevavault.com/ui/#object/approved_document__v/V5O00000001G004", "Branded_RXULTI_AE Ansia_IT-RXU-2500035")</f>
        <v>Branded_RXULTI_AE Ansia_IT-RXU-2500035</v>
      </c>
      <c r="E12994" s="22" t="str">
        <f>HYPERLINK("https://otsuka-europe-crm.veevavault.com/ui/#object/sent_email__v/VBL00000002Y030", "SE-001438623")</f>
        <v>SE-001438623</v>
      </c>
      <c r="F12994" s="23">
        <v>46201.289895833332</v>
      </c>
      <c r="G12994" s="24">
        <v>1</v>
      </c>
      <c r="H12994" s="24">
        <v>2</v>
      </c>
      <c r="I12994" s="24">
        <v>1</v>
      </c>
      <c r="J12994" s="23">
        <v>46201.289236111108</v>
      </c>
      <c r="K12994" s="24">
        <v>2</v>
      </c>
      <c r="L12994" s="22" t="str">
        <f>HYPERLINK("https://otsuka-europe-crm.veevavault.com/ui/#object/approved_document__v/V5O00000001G004", "Branded_RXULTI_AE Ansia_IT-RXU-2500035")</f>
        <v>Branded_RXULTI_AE Ansia_IT-RXU-2500035</v>
      </c>
      <c r="M12994" s="22" t="str">
        <f>HYPERLINK("mailto:maria.gargiulo@crm.otsuka-europe.com", "maria.gargiulo@crm.otsuka-europe.com")</f>
        <v>maria.gargiulo@crm.otsuka-europe.com</v>
      </c>
      <c r="N12994" s="23">
        <v>46201.284756944442</v>
      </c>
      <c r="O12994" s="14" t="str">
        <f>HYPERLINK("https://otsuka-europe-crm.veevavault.com/ui/#object/email_activity__v/V8C000000041279", "EN-002100241")</f>
        <v>EN-002100241</v>
      </c>
    </row>
    <row r="12995" spans="1:15" ht="16" x14ac:dyDescent="0.2">
      <c r="A12995" s="18"/>
      <c r="B12995" s="18"/>
      <c r="C12995" s="18"/>
      <c r="D12995" s="18"/>
      <c r="E12995" s="18"/>
      <c r="F12995" s="18"/>
      <c r="G12995" s="18"/>
      <c r="H12995" s="18"/>
      <c r="I12995" s="18"/>
      <c r="J12995" s="18"/>
      <c r="K12995" s="18"/>
      <c r="L12995" s="18"/>
      <c r="M12995" s="18"/>
      <c r="N12995" s="18"/>
      <c r="O12995" s="14" t="str">
        <f>HYPERLINK("https://otsuka-europe-crm.veevavault.com/ui/#object/email_activity__v/V8C000000041280", "EN-002100242")</f>
        <v>EN-002100242</v>
      </c>
    </row>
    <row r="12996" spans="1:15" ht="16" x14ac:dyDescent="0.2">
      <c r="A12996" s="18"/>
      <c r="B12996" s="18"/>
      <c r="C12996" s="18"/>
      <c r="D12996" s="18"/>
      <c r="E12996" s="18"/>
      <c r="F12996" s="18"/>
      <c r="G12996" s="18"/>
      <c r="H12996" s="18"/>
      <c r="I12996" s="18"/>
      <c r="J12996" s="18"/>
      <c r="K12996" s="18"/>
      <c r="L12996" s="18"/>
      <c r="M12996" s="18"/>
      <c r="N12996" s="18"/>
      <c r="O12996" s="14" t="str">
        <f>HYPERLINK("https://otsuka-europe-crm.veevavault.com/ui/#object/email_activity__v/V8C000000041281", "EN-002100243")</f>
        <v>EN-002100243</v>
      </c>
    </row>
    <row r="12997" spans="1:15" ht="16" x14ac:dyDescent="0.2">
      <c r="A12997" s="18"/>
      <c r="B12997" s="18"/>
      <c r="C12997" s="18"/>
      <c r="D12997" s="18"/>
      <c r="E12997" s="18"/>
      <c r="F12997" s="18"/>
      <c r="G12997" s="18"/>
      <c r="H12997" s="18"/>
      <c r="I12997" s="18"/>
      <c r="J12997" s="18"/>
      <c r="K12997" s="18"/>
      <c r="L12997" s="18"/>
      <c r="M12997" s="18"/>
      <c r="N12997" s="18"/>
      <c r="O12997" s="14" t="str">
        <f>HYPERLINK("https://otsuka-europe-crm.veevavault.com/ui/#object/email_activity__v/V8C000000041282", "EN-002100244")</f>
        <v>EN-002100244</v>
      </c>
    </row>
    <row r="12998" spans="1:15" ht="16" x14ac:dyDescent="0.2">
      <c r="A12998" s="18"/>
      <c r="B12998" s="18"/>
      <c r="C12998" s="18"/>
      <c r="D12998" s="18"/>
      <c r="E12998" s="18"/>
      <c r="F12998" s="18"/>
      <c r="G12998" s="18"/>
      <c r="H12998" s="18"/>
      <c r="I12998" s="18"/>
      <c r="J12998" s="18"/>
      <c r="K12998" s="18"/>
      <c r="L12998" s="18"/>
      <c r="M12998" s="18"/>
      <c r="N12998" s="18"/>
      <c r="O12998" s="14" t="str">
        <f>HYPERLINK("https://otsuka-europe-crm.veevavault.com/ui/#object/email_activity__v/V8C000000041283", "EN-002100245")</f>
        <v>EN-002100245</v>
      </c>
    </row>
    <row r="12999" spans="1:15" ht="16" x14ac:dyDescent="0.2">
      <c r="A12999" s="18"/>
      <c r="B12999" s="18"/>
      <c r="C12999" s="18"/>
      <c r="D12999" s="18"/>
      <c r="E12999" s="18"/>
      <c r="F12999" s="18"/>
      <c r="G12999" s="18"/>
      <c r="H12999" s="18"/>
      <c r="I12999" s="18"/>
      <c r="J12999" s="18"/>
      <c r="K12999" s="18"/>
      <c r="L12999" s="18"/>
      <c r="M12999" s="18"/>
      <c r="N12999" s="18"/>
      <c r="O12999" s="14" t="str">
        <f>HYPERLINK("https://otsuka-europe-crm.veevavault.com/ui/#object/email_activity__v/V8C000000041284", "EN-002100246")</f>
        <v>EN-002100246</v>
      </c>
    </row>
    <row r="13000" spans="1:15" ht="16" x14ac:dyDescent="0.2">
      <c r="A13000" s="18"/>
      <c r="B13000" s="18"/>
      <c r="C13000" s="18"/>
      <c r="D13000" s="18"/>
      <c r="E13000" s="18"/>
      <c r="F13000" s="18"/>
      <c r="G13000" s="18"/>
      <c r="H13000" s="18"/>
      <c r="I13000" s="18"/>
      <c r="J13000" s="18"/>
      <c r="K13000" s="18"/>
      <c r="L13000" s="18"/>
      <c r="M13000" s="18"/>
      <c r="N13000" s="18"/>
      <c r="O13000" s="14" t="str">
        <f>HYPERLINK("https://otsuka-europe-crm.veevavault.com/ui/#object/email_activity__v/V8C000000041285", "EN-002100247")</f>
        <v>EN-002100247</v>
      </c>
    </row>
    <row r="13001" spans="1:15" ht="16" x14ac:dyDescent="0.2">
      <c r="A13001" s="18"/>
      <c r="B13001" s="18"/>
      <c r="C13001" s="18"/>
      <c r="D13001" s="18"/>
      <c r="E13001" s="18"/>
      <c r="F13001" s="18"/>
      <c r="G13001" s="18"/>
      <c r="H13001" s="18"/>
      <c r="I13001" s="18"/>
      <c r="J13001" s="18"/>
      <c r="K13001" s="18"/>
      <c r="L13001" s="18"/>
      <c r="M13001" s="18"/>
      <c r="N13001" s="18"/>
      <c r="O13001" s="14" t="str">
        <f>HYPERLINK("https://otsuka-europe-crm.veevavault.com/ui/#object/email_activity__v/V8C000000042269", "EN-002100235")</f>
        <v>EN-002100235</v>
      </c>
    </row>
    <row r="13002" spans="1:15" ht="16" x14ac:dyDescent="0.2">
      <c r="A13002" s="19"/>
      <c r="B13002" s="19"/>
      <c r="C13002" s="19"/>
      <c r="D13002" s="19"/>
      <c r="E13002" s="19"/>
      <c r="F13002" s="19"/>
      <c r="G13002" s="19"/>
      <c r="H13002" s="19"/>
      <c r="I13002" s="19"/>
      <c r="J13002" s="19"/>
      <c r="K13002" s="19"/>
      <c r="L13002" s="19"/>
      <c r="M13002" s="19"/>
      <c r="N13002" s="19"/>
      <c r="O13002" s="14" t="str">
        <f>HYPERLINK("https://otsuka-europe-crm.veevavault.com/ui/#object/email_activity__v/V8C000000042271", "EN-002100240")</f>
        <v>EN-002100240</v>
      </c>
    </row>
    <row r="13003" spans="1:15" ht="16" x14ac:dyDescent="0.2">
      <c r="A13003" s="17" t="str">
        <f>HYPERLINK("https://otsuka-europe-crm.veevavault.com/ui/#object/account__v/V4TZ06G6O71SAN5", "VIVIANA FUSCO")</f>
        <v>VIVIANA FUSCO</v>
      </c>
      <c r="B13003" s="17" t="str">
        <f>HYPERLINK("https://otsuka-europe-crm.veevavault.com/ui/#object/vcountry__v/VENZ000004SONFQ", "IT")</f>
        <v>IT</v>
      </c>
      <c r="C13003" s="20" t="s">
        <v>44</v>
      </c>
      <c r="D13003" s="21" t="str">
        <f>HYPERLINK("https://otsuka-europe-crm.veevavault.com/ui/#object/approved_document__v/V5O00000001G004", "Branded_RXULTI_AE Ansia_IT-RXU-2500035")</f>
        <v>Branded_RXULTI_AE Ansia_IT-RXU-2500035</v>
      </c>
      <c r="E13003" s="22" t="str">
        <f>HYPERLINK("https://otsuka-europe-crm.veevavault.com/ui/#object/sent_email__v/VBL00000002Y031", "SE-001438624")</f>
        <v>SE-001438624</v>
      </c>
      <c r="F13003" s="23">
        <v>46201.28502314815</v>
      </c>
      <c r="G13003" s="24">
        <v>1</v>
      </c>
      <c r="H13003" s="24">
        <v>1</v>
      </c>
      <c r="I13003" s="24">
        <v>0</v>
      </c>
      <c r="J13003" s="25"/>
      <c r="K13003" s="24">
        <v>0</v>
      </c>
      <c r="L13003" s="22" t="str">
        <f>HYPERLINK("https://otsuka-europe-crm.veevavault.com/ui/#object/approved_document__v/V5O00000001G004", "Branded_RXULTI_AE Ansia_IT-RXU-2500035")</f>
        <v>Branded_RXULTI_AE Ansia_IT-RXU-2500035</v>
      </c>
      <c r="M13003" s="22" t="str">
        <f>HYPERLINK("mailto:maria.gargiulo@crm.otsuka-europe.com", "maria.gargiulo@crm.otsuka-europe.com")</f>
        <v>maria.gargiulo@crm.otsuka-europe.com</v>
      </c>
      <c r="N13003" s="23">
        <v>46201.284895833334</v>
      </c>
      <c r="O13003" s="14" t="str">
        <f>HYPERLINK("https://otsuka-europe-crm.veevavault.com/ui/#object/email_activity__v/V8C000000041277", "EN-002100238")</f>
        <v>EN-002100238</v>
      </c>
    </row>
    <row r="13004" spans="1:15" ht="16" x14ac:dyDescent="0.2">
      <c r="A13004" s="19"/>
      <c r="B13004" s="19"/>
      <c r="C13004" s="19"/>
      <c r="D13004" s="19"/>
      <c r="E13004" s="19"/>
      <c r="F13004" s="19"/>
      <c r="G13004" s="19"/>
      <c r="H13004" s="19"/>
      <c r="I13004" s="19"/>
      <c r="J13004" s="19"/>
      <c r="K13004" s="19"/>
      <c r="L13004" s="19"/>
      <c r="M13004" s="19"/>
      <c r="N13004" s="19"/>
      <c r="O13004" s="14" t="str">
        <f>HYPERLINK("https://otsuka-europe-crm.veevavault.com/ui/#object/email_activity__v/V8C000000042270", "EN-002100237")</f>
        <v>EN-002100237</v>
      </c>
    </row>
    <row r="13005" spans="1:15" ht="32" x14ac:dyDescent="0.2">
      <c r="A13005" s="7" t="str">
        <f>HYPERLINK("https://otsuka-europe-crm.veevavault.com/ui/#object/account__v/V4TZ04ASGC2BGSG", "LUCIA GARGIULO")</f>
        <v>LUCIA GARGIULO</v>
      </c>
      <c r="B13005" s="7" t="str">
        <f>HYPERLINK("https://otsuka-europe-crm.veevavault.com/ui/#object/vcountry__v/VENZ000004SONFQ", "IT")</f>
        <v>IT</v>
      </c>
      <c r="C13005" s="8" t="s">
        <v>44</v>
      </c>
      <c r="D13005" s="9" t="str">
        <f>HYPERLINK("https://otsuka-europe-crm.veevavault.com/ui/#object/approved_document__v/V5O00000001G004", "Branded_RXULTI_AE Ansia_IT-RXU-2500035")</f>
        <v>Branded_RXULTI_AE Ansia_IT-RXU-2500035</v>
      </c>
      <c r="E13005" s="10" t="str">
        <f>HYPERLINK("https://otsuka-europe-crm.veevavault.com/ui/#object/sent_email__v/VBL00000002Y032", "SE-001438625")</f>
        <v>SE-001438625</v>
      </c>
      <c r="F13005" s="11"/>
      <c r="G13005" s="12">
        <v>0</v>
      </c>
      <c r="H13005" s="12">
        <v>0</v>
      </c>
      <c r="I13005" s="12">
        <v>0</v>
      </c>
      <c r="J13005" s="11"/>
      <c r="K13005" s="12">
        <v>0</v>
      </c>
      <c r="L13005" s="10" t="str">
        <f>HYPERLINK("https://otsuka-europe-crm.veevavault.com/ui/#object/approved_document__v/V5O00000001G004", "Branded_RXULTI_AE Ansia_IT-RXU-2500035")</f>
        <v>Branded_RXULTI_AE Ansia_IT-RXU-2500035</v>
      </c>
      <c r="M13005" s="10" t="str">
        <f>HYPERLINK("mailto:maria.gargiulo@crm.otsuka-europe.com", "maria.gargiulo@crm.otsuka-europe.com")</f>
        <v>maria.gargiulo@crm.otsuka-europe.com</v>
      </c>
      <c r="N13005" s="13">
        <v>46201.284884259258</v>
      </c>
      <c r="O13005" s="14" t="str">
        <f>HYPERLINK("https://otsuka-europe-crm.veevavault.com/ui/#object/email_activity__v/V8C000000041276", "EN-002100236")</f>
        <v>EN-002100236</v>
      </c>
    </row>
    <row r="13006" spans="1:15" ht="32" x14ac:dyDescent="0.2">
      <c r="A13006" s="7" t="str">
        <f>HYPERLINK("https://otsuka-europe-crm.veevavault.com/ui/#object/account__v/V4TZ00000633LW3", "MARIA MAGDALENA CONSTANTIN")</f>
        <v>MARIA MAGDALENA CONSTANTIN</v>
      </c>
      <c r="B13006" s="7" t="str">
        <f>HYPERLINK("https://otsuka-europe-crm.veevavault.com/ui/#object/vcountry__v/VENZ000004SONFA", "FR")</f>
        <v>FR</v>
      </c>
      <c r="C13006" s="8" t="s">
        <v>42</v>
      </c>
      <c r="D13006" s="9" t="str">
        <f>HYPERLINK("https://otsuka-europe-crm.veevavault.com/ui/#object/approved_document__v/V5OZ04ASG4G02Y6", "INVITATION_VAD_2023")</f>
        <v>INVITATION_VAD_2023</v>
      </c>
      <c r="E13006" s="10" t="str">
        <f>HYPERLINK("https://otsuka-europe-crm.veevavault.com/ui/#object/sent_email__v/VBL00000002Y036", "SE-001438626")</f>
        <v>SE-001438626</v>
      </c>
      <c r="F13006" s="11"/>
      <c r="G13006" s="12">
        <v>0</v>
      </c>
      <c r="H13006" s="12">
        <v>0</v>
      </c>
      <c r="I13006" s="12">
        <v>0</v>
      </c>
      <c r="J13006" s="11"/>
      <c r="K13006" s="12">
        <v>0</v>
      </c>
      <c r="L13006" s="10" t="str">
        <f>HYPERLINK("https://otsuka-europe-crm.veevavault.com/ui/#object/approved_document__v/V5OZ04ASG4G02Y6", "INVITATION_VAD_2023")</f>
        <v>INVITATION_VAD_2023</v>
      </c>
      <c r="M13006" s="10" t="str">
        <f>HYPERLINK("mailto:sblancheland@crm.otsuka-europe.com", "sblancheland@crm.otsuka-europe.com")</f>
        <v>sblancheland@crm.otsuka-europe.com</v>
      </c>
      <c r="N13006" s="13">
        <v>46202.302835648145</v>
      </c>
      <c r="O13006" s="14" t="str">
        <f>HYPERLINK("https://otsuka-europe-crm.veevavault.com/ui/#object/email_activity__v/V8C000000041305", "EN-002100281")</f>
        <v>EN-002100281</v>
      </c>
    </row>
    <row r="13007" spans="1:15" ht="16" x14ac:dyDescent="0.2">
      <c r="A13007" s="17" t="str">
        <f>HYPERLINK("https://otsuka-europe-crm.veevavault.com/ui/#object/account__v/V4TZ00000633LW3", "MARIA MAGDALENA CONSTANTIN")</f>
        <v>MARIA MAGDALENA CONSTANTIN</v>
      </c>
      <c r="B13007" s="17" t="str">
        <f>HYPERLINK("https://otsuka-europe-crm.veevavault.com/ui/#object/vcountry__v/VENZ000004SONFA", "FR")</f>
        <v>FR</v>
      </c>
      <c r="C13007" s="20" t="s">
        <v>42</v>
      </c>
      <c r="D13007" s="21" t="str">
        <f>HYPERLINK("https://otsuka-europe-crm.veevavault.com/ui/#object/approved_document__v/V5OZ04ASG4G02Y6", "INVITATION_VAD_2023")</f>
        <v>INVITATION_VAD_2023</v>
      </c>
      <c r="E13007" s="22" t="str">
        <f>HYPERLINK("https://otsuka-europe-crm.veevavault.com/ui/#object/sent_email__v/VBL00000002Y037", "SE-001438627")</f>
        <v>SE-001438627</v>
      </c>
      <c r="F13007" s="23">
        <v>46202.384768518517</v>
      </c>
      <c r="G13007" s="24">
        <v>1</v>
      </c>
      <c r="H13007" s="24">
        <v>2</v>
      </c>
      <c r="I13007" s="24">
        <v>0</v>
      </c>
      <c r="J13007" s="25"/>
      <c r="K13007" s="24">
        <v>0</v>
      </c>
      <c r="L13007" s="22" t="str">
        <f>HYPERLINK("https://otsuka-europe-crm.veevavault.com/ui/#object/approved_document__v/V5OZ04ASG4G02Y6", "INVITATION_VAD_2023")</f>
        <v>INVITATION_VAD_2023</v>
      </c>
      <c r="M13007" s="22" t="str">
        <f>HYPERLINK("mailto:sblancheland@crm.otsuka-europe.com", "sblancheland@crm.otsuka-europe.com")</f>
        <v>sblancheland@crm.otsuka-europe.com</v>
      </c>
      <c r="N13007" s="23">
        <v>46202.302916666667</v>
      </c>
      <c r="O13007" s="14" t="str">
        <f>HYPERLINK("https://otsuka-europe-crm.veevavault.com/ui/#object/email_activity__v/V8C000000041306", "EN-002100282")</f>
        <v>EN-002100282</v>
      </c>
    </row>
    <row r="13008" spans="1:15" ht="16" x14ac:dyDescent="0.2">
      <c r="A13008" s="18"/>
      <c r="B13008" s="18"/>
      <c r="C13008" s="18"/>
      <c r="D13008" s="18"/>
      <c r="E13008" s="18"/>
      <c r="F13008" s="18"/>
      <c r="G13008" s="18"/>
      <c r="H13008" s="18"/>
      <c r="I13008" s="18"/>
      <c r="J13008" s="18"/>
      <c r="K13008" s="18"/>
      <c r="L13008" s="18"/>
      <c r="M13008" s="18"/>
      <c r="N13008" s="18"/>
      <c r="O13008" s="14" t="str">
        <f>HYPERLINK("https://otsuka-europe-crm.veevavault.com/ui/#object/email_activity__v/V8C000000041314", "EN-002100306")</f>
        <v>EN-002100306</v>
      </c>
    </row>
    <row r="13009" spans="1:15" ht="16" x14ac:dyDescent="0.2">
      <c r="A13009" s="19"/>
      <c r="B13009" s="19"/>
      <c r="C13009" s="19"/>
      <c r="D13009" s="19"/>
      <c r="E13009" s="19"/>
      <c r="F13009" s="19"/>
      <c r="G13009" s="19"/>
      <c r="H13009" s="19"/>
      <c r="I13009" s="19"/>
      <c r="J13009" s="19"/>
      <c r="K13009" s="19"/>
      <c r="L13009" s="19"/>
      <c r="M13009" s="19"/>
      <c r="N13009" s="19"/>
      <c r="O13009" s="14" t="str">
        <f>HYPERLINK("https://otsuka-europe-crm.veevavault.com/ui/#object/email_activity__v/V8C000000041315", "EN-002100307")</f>
        <v>EN-002100307</v>
      </c>
    </row>
    <row r="13010" spans="1:15" ht="16" x14ac:dyDescent="0.2">
      <c r="A13010" s="17" t="str">
        <f>HYPERLINK("https://otsuka-europe-crm.veevavault.com/ui/#object/account__v/V4T000000029023", "MARINA LIGERO ARGUDO")</f>
        <v>MARINA LIGERO ARGUDO</v>
      </c>
      <c r="B13010" s="17" t="str">
        <f>HYPERLINK("https://otsuka-europe-crm.veevavault.com/ui/#object/vcountry__v/VENZ000004SONF5", "ES")</f>
        <v>ES</v>
      </c>
      <c r="C13010" s="20" t="s">
        <v>41</v>
      </c>
      <c r="D13010" s="21" t="str">
        <f>HYPERLINK("https://otsuka-europe-crm.veevavault.com/ui/#object/approved_document__v/V5O00000000D100", "Spain - Consent Email 1 Aug 25")</f>
        <v>Spain - Consent Email 1 Aug 25</v>
      </c>
      <c r="E13010" s="22" t="str">
        <f>HYPERLINK("https://otsuka-europe-crm.veevavault.com/ui/#object/sent_email__v/VBL00000002Y038", "SE-001438628")</f>
        <v>SE-001438628</v>
      </c>
      <c r="F13010" s="23">
        <v>46202.374143518522</v>
      </c>
      <c r="G13010" s="24">
        <v>1</v>
      </c>
      <c r="H13010" s="24">
        <v>2</v>
      </c>
      <c r="I13010" s="24">
        <v>1</v>
      </c>
      <c r="J13010" s="23">
        <v>46202.368101851855</v>
      </c>
      <c r="K13010" s="24">
        <v>1</v>
      </c>
      <c r="L13010" s="22" t="str">
        <f>HYPERLINK("https://otsuka-europe-crm.veevavault.com/ui/#object/approved_document__v/V5O00000000D100", "Spain - Consent Email 1 Aug 25")</f>
        <v>Spain - Consent Email 1 Aug 25</v>
      </c>
      <c r="M13010" s="22" t="str">
        <f>HYPERLINK("mailto:oestevez@crm.otsuka-europe.com", "oestevez@crm.otsuka-europe.com")</f>
        <v>oestevez@crm.otsuka-europe.com</v>
      </c>
      <c r="N13010" s="23">
        <v>46202.367488425924</v>
      </c>
      <c r="O13010" s="14" t="str">
        <f>HYPERLINK("https://otsuka-europe-crm.veevavault.com/ui/#object/email_activity__v/V8C000000041311", "EN-002100293")</f>
        <v>EN-002100293</v>
      </c>
    </row>
    <row r="13011" spans="1:15" ht="16" x14ac:dyDescent="0.2">
      <c r="A13011" s="18"/>
      <c r="B13011" s="18"/>
      <c r="C13011" s="18"/>
      <c r="D13011" s="18"/>
      <c r="E13011" s="18"/>
      <c r="F13011" s="18"/>
      <c r="G13011" s="18"/>
      <c r="H13011" s="18"/>
      <c r="I13011" s="18"/>
      <c r="J13011" s="18"/>
      <c r="K13011" s="18"/>
      <c r="L13011" s="18"/>
      <c r="M13011" s="18"/>
      <c r="N13011" s="18"/>
      <c r="O13011" s="14" t="str">
        <f>HYPERLINK("https://otsuka-europe-crm.veevavault.com/ui/#object/email_activity__v/V8C000000041312", "EN-002100295")</f>
        <v>EN-002100295</v>
      </c>
    </row>
    <row r="13012" spans="1:15" ht="16" x14ac:dyDescent="0.2">
      <c r="A13012" s="18"/>
      <c r="B13012" s="18"/>
      <c r="C13012" s="18"/>
      <c r="D13012" s="18"/>
      <c r="E13012" s="18"/>
      <c r="F13012" s="18"/>
      <c r="G13012" s="18"/>
      <c r="H13012" s="18"/>
      <c r="I13012" s="18"/>
      <c r="J13012" s="18"/>
      <c r="K13012" s="18"/>
      <c r="L13012" s="18"/>
      <c r="M13012" s="18"/>
      <c r="N13012" s="18"/>
      <c r="O13012" s="14" t="str">
        <f>HYPERLINK("https://otsuka-europe-crm.veevavault.com/ui/#object/email_activity__v/V8C000000042298", "EN-002100297")</f>
        <v>EN-002100297</v>
      </c>
    </row>
    <row r="13013" spans="1:15" ht="16" x14ac:dyDescent="0.2">
      <c r="A13013" s="19"/>
      <c r="B13013" s="19"/>
      <c r="C13013" s="19"/>
      <c r="D13013" s="19"/>
      <c r="E13013" s="19"/>
      <c r="F13013" s="19"/>
      <c r="G13013" s="19"/>
      <c r="H13013" s="19"/>
      <c r="I13013" s="19"/>
      <c r="J13013" s="19"/>
      <c r="K13013" s="19"/>
      <c r="L13013" s="19"/>
      <c r="M13013" s="19"/>
      <c r="N13013" s="19"/>
      <c r="O13013" s="14" t="str">
        <f>HYPERLINK("https://otsuka-europe-crm.veevavault.com/ui/#object/email_activity__v/V8C000000042299", "EN-002100298")</f>
        <v>EN-002100298</v>
      </c>
    </row>
    <row r="13014" spans="1:15" ht="16" x14ac:dyDescent="0.2">
      <c r="A13014" s="17" t="str">
        <f>HYPERLINK("https://otsuka-europe-crm.veevavault.com/ui/#object/account__v/V4T000000029023", "MARINA LIGERO ARGUDO")</f>
        <v>MARINA LIGERO ARGUDO</v>
      </c>
      <c r="B13014" s="17" t="str">
        <f>HYPERLINK("https://otsuka-europe-crm.veevavault.com/ui/#object/vcountry__v/VENZ000004SONF5", "ES")</f>
        <v>ES</v>
      </c>
      <c r="C13014" s="20" t="s">
        <v>41</v>
      </c>
      <c r="D13014" s="21" t="str">
        <f>HYPERLINK("https://otsuka-europe-crm.veevavault.com/ui/#object/approved_document__v/V5OZ04ASG4FWKA7", "Reuniones Online Consent - 2")</f>
        <v>Reuniones Online Consent - 2</v>
      </c>
      <c r="E13014" s="22" t="str">
        <f>HYPERLINK("https://otsuka-europe-crm.veevavault.com/ui/#object/sent_email__v/VBL00000002Y039", "SE-001438629")</f>
        <v>SE-001438629</v>
      </c>
      <c r="F13014" s="23">
        <v>46202.374143518522</v>
      </c>
      <c r="G13014" s="24">
        <v>1</v>
      </c>
      <c r="H13014" s="24">
        <v>2</v>
      </c>
      <c r="I13014" s="24">
        <v>1</v>
      </c>
      <c r="J13014" s="23">
        <v>46202.374178240738</v>
      </c>
      <c r="K13014" s="24">
        <v>1</v>
      </c>
      <c r="L13014" s="22" t="str">
        <f>HYPERLINK("https://otsuka-europe-crm.veevavault.com/ui/#object/approved_document__v/V5OZ04ASG4FWKA7", "Reuniones Online Consent - 2")</f>
        <v>Reuniones Online Consent - 2</v>
      </c>
      <c r="M13014" s="22" t="str">
        <f>HYPERLINK("mailto:oestevez@crm.otsuka-europe.com", "oestevez@crm.otsuka-europe.com")</f>
        <v>oestevez@crm.otsuka-europe.com</v>
      </c>
      <c r="N13014" s="23">
        <v>46202.3675</v>
      </c>
      <c r="O13014" s="14" t="str">
        <f>HYPERLINK("https://otsuka-europe-crm.veevavault.com/ui/#object/email_activity__v/V8C000000042296", "EN-002100294")</f>
        <v>EN-002100294</v>
      </c>
    </row>
    <row r="13015" spans="1:15" ht="16" x14ac:dyDescent="0.2">
      <c r="A13015" s="18"/>
      <c r="B13015" s="18"/>
      <c r="C13015" s="18"/>
      <c r="D13015" s="18"/>
      <c r="E13015" s="18"/>
      <c r="F13015" s="18"/>
      <c r="G13015" s="18"/>
      <c r="H13015" s="18"/>
      <c r="I13015" s="18"/>
      <c r="J13015" s="18"/>
      <c r="K13015" s="18"/>
      <c r="L13015" s="18"/>
      <c r="M13015" s="18"/>
      <c r="N13015" s="18"/>
      <c r="O13015" s="14" t="str">
        <f>HYPERLINK("https://otsuka-europe-crm.veevavault.com/ui/#object/email_activity__v/V8C000000042297", "EN-002100296")</f>
        <v>EN-002100296</v>
      </c>
    </row>
    <row r="13016" spans="1:15" ht="16" x14ac:dyDescent="0.2">
      <c r="A13016" s="18"/>
      <c r="B13016" s="18"/>
      <c r="C13016" s="18"/>
      <c r="D13016" s="18"/>
      <c r="E13016" s="18"/>
      <c r="F13016" s="18"/>
      <c r="G13016" s="18"/>
      <c r="H13016" s="18"/>
      <c r="I13016" s="18"/>
      <c r="J13016" s="18"/>
      <c r="K13016" s="18"/>
      <c r="L13016" s="18"/>
      <c r="M13016" s="18"/>
      <c r="N13016" s="18"/>
      <c r="O13016" s="14" t="str">
        <f>HYPERLINK("https://otsuka-europe-crm.veevavault.com/ui/#object/email_activity__v/V8C000000042300", "EN-002100299")</f>
        <v>EN-002100299</v>
      </c>
    </row>
    <row r="13017" spans="1:15" ht="16" x14ac:dyDescent="0.2">
      <c r="A13017" s="19"/>
      <c r="B13017" s="19"/>
      <c r="C13017" s="19"/>
      <c r="D13017" s="19"/>
      <c r="E13017" s="19"/>
      <c r="F13017" s="19"/>
      <c r="G13017" s="19"/>
      <c r="H13017" s="19"/>
      <c r="I13017" s="19"/>
      <c r="J13017" s="19"/>
      <c r="K13017" s="19"/>
      <c r="L13017" s="19"/>
      <c r="M13017" s="19"/>
      <c r="N13017" s="19"/>
      <c r="O13017" s="14" t="str">
        <f>HYPERLINK("https://otsuka-europe-crm.veevavault.com/ui/#object/email_activity__v/V8C000000042301", "EN-002100300")</f>
        <v>EN-002100300</v>
      </c>
    </row>
    <row r="13018" spans="1:15" ht="48" x14ac:dyDescent="0.2">
      <c r="A13018" s="7" t="str">
        <f>HYPERLINK("https://otsuka-europe-crm.veevavault.com/ui/#object/account__v/V4TZ06G6OC6N9SD", "JUAN FRANCISCO MONTIEL REY")</f>
        <v>JUAN FRANCISCO MONTIEL REY</v>
      </c>
      <c r="B13018" s="7" t="str">
        <f>HYPERLINK("https://otsuka-europe-crm.veevavault.com/ui/#object/vcountry__v/VENZ000004SONF5", "ES")</f>
        <v>ES</v>
      </c>
      <c r="C13018" s="8" t="s">
        <v>41</v>
      </c>
      <c r="D13018" s="9" t="str">
        <f>HYPERLINK("https://otsuka-europe-crm.veevavault.com/ui/#object/approved_document__v/V5O00000000R009", "AM2M - PSIQUIATRIA - Guía manejo práctico AM2M")</f>
        <v>AM2M - PSIQUIATRIA - Guía manejo práctico AM2M</v>
      </c>
      <c r="E13018" s="10" t="str">
        <f>HYPERLINK("https://otsuka-europe-crm.veevavault.com/ui/#object/sent_email__v/VBL00000002Y040", "SE-001438630")</f>
        <v>SE-001438630</v>
      </c>
      <c r="F13018" s="11"/>
      <c r="G13018" s="12">
        <v>0</v>
      </c>
      <c r="H13018" s="12">
        <v>0</v>
      </c>
      <c r="I13018" s="12">
        <v>0</v>
      </c>
      <c r="J13018" s="11"/>
      <c r="K13018" s="12">
        <v>0</v>
      </c>
      <c r="L13018" s="10" t="str">
        <f>HYPERLINK("https://otsuka-europe-crm.veevavault.com/ui/#object/approved_document__v/V5O00000000R009", "AM2M - PSIQUIATRIA - Guía manejo práctico AM2M")</f>
        <v>AM2M - PSIQUIATRIA - Guía manejo práctico AM2M</v>
      </c>
      <c r="M13018" s="10" t="str">
        <f>HYPERLINK("mailto:jblazquez@crm.otsuka-europe.com", "jblazquez@crm.otsuka-europe.com")</f>
        <v>jblazquez@crm.otsuka-europe.com</v>
      </c>
      <c r="N13018" s="13">
        <v>46202.378877314812</v>
      </c>
      <c r="O13018" s="14" t="str">
        <f>HYPERLINK("https://otsuka-europe-crm.veevavault.com/ui/#object/email_activity__v/V8C000000042302", "EN-002100302")</f>
        <v>EN-002100302</v>
      </c>
    </row>
    <row r="13019" spans="1:15" ht="48" x14ac:dyDescent="0.2">
      <c r="A13019" s="7" t="str">
        <f>HYPERLINK("https://otsuka-europe-crm.veevavault.com/ui/#object/account__v/V4TZ06G6OC6N9SD", "JUAN FRANCISCO MONTIEL REY")</f>
        <v>JUAN FRANCISCO MONTIEL REY</v>
      </c>
      <c r="B13019" s="7" t="str">
        <f>HYPERLINK("https://otsuka-europe-crm.veevavault.com/ui/#object/vcountry__v/VENZ000004SONF5", "ES")</f>
        <v>ES</v>
      </c>
      <c r="C13019" s="8" t="s">
        <v>41</v>
      </c>
      <c r="D13019" s="9" t="str">
        <f>HYPERLINK("https://otsuka-europe-crm.veevavault.com/ui/#object/approved_document__v/V5OZ025E82HVP5D", "AM2M - PSIQUIATRÍA - Cómo iniciar el tratamiento")</f>
        <v>AM2M - PSIQUIATRÍA - Cómo iniciar el tratamiento</v>
      </c>
      <c r="E13019" s="10" t="str">
        <f>HYPERLINK("https://otsuka-europe-crm.veevavault.com/ui/#object/sent_email__v/VBL00000002Y041", "SE-001438631")</f>
        <v>SE-001438631</v>
      </c>
      <c r="F13019" s="11"/>
      <c r="G13019" s="12">
        <v>0</v>
      </c>
      <c r="H13019" s="12">
        <v>0</v>
      </c>
      <c r="I13019" s="12">
        <v>0</v>
      </c>
      <c r="J13019" s="11"/>
      <c r="K13019" s="12">
        <v>0</v>
      </c>
      <c r="L13019" s="10" t="str">
        <f>HYPERLINK("https://otsuka-europe-crm.veevavault.com/ui/#object/approved_document__v/V5OZ025E82HVP5D", "AM2M - PSIQUIATRÍA - Cómo iniciar el tratamiento")</f>
        <v>AM2M - PSIQUIATRÍA - Cómo iniciar el tratamiento</v>
      </c>
      <c r="M13019" s="10" t="str">
        <f>HYPERLINK("mailto:jblazquez@crm.otsuka-europe.com", "jblazquez@crm.otsuka-europe.com")</f>
        <v>jblazquez@crm.otsuka-europe.com</v>
      </c>
      <c r="N13019" s="13">
        <v>46202.379537037035</v>
      </c>
      <c r="O13019" s="14" t="str">
        <f>HYPERLINK("https://otsuka-europe-crm.veevavault.com/ui/#object/email_activity__v/V8C000000042303", "EN-002100303")</f>
        <v>EN-002100303</v>
      </c>
    </row>
    <row r="13020" spans="1:15" ht="32" x14ac:dyDescent="0.2">
      <c r="A13020" s="7" t="str">
        <f>HYPERLINK("https://otsuka-europe-crm.veevavault.com/ui/#object/account__v/V4TZ025E875E7OP", "GIUSEPPE GERVASIO")</f>
        <v>GIUSEPPE GERVASIO</v>
      </c>
      <c r="B13020" s="7" t="str">
        <f>HYPERLINK("https://otsuka-europe-crm.veevavault.com/ui/#object/vcountry__v/VENZ000004SONFQ", "IT")</f>
        <v>IT</v>
      </c>
      <c r="C13020" s="8" t="s">
        <v>44</v>
      </c>
      <c r="D13020" s="9" t="str">
        <f>HYPERLINK("https://otsuka-europe-crm.veevavault.com/ui/#object/approved_document__v/V5O00000001G004", "Branded_RXULTI_AE Ansia_IT-RXU-2500035")</f>
        <v>Branded_RXULTI_AE Ansia_IT-RXU-2500035</v>
      </c>
      <c r="E13020" s="10" t="str">
        <f>HYPERLINK("https://otsuka-europe-crm.veevavault.com/ui/#object/sent_email__v/VBL00000002Y042", "SE-001438632")</f>
        <v>SE-001438632</v>
      </c>
      <c r="F13020" s="11"/>
      <c r="G13020" s="12">
        <v>0</v>
      </c>
      <c r="H13020" s="12">
        <v>0</v>
      </c>
      <c r="I13020" s="12">
        <v>0</v>
      </c>
      <c r="J13020" s="11"/>
      <c r="K13020" s="12">
        <v>0</v>
      </c>
      <c r="L13020" s="10" t="str">
        <f>HYPERLINK("https://otsuka-europe-crm.veevavault.com/ui/#object/approved_document__v/V5O00000001G004", "Branded_RXULTI_AE Ansia_IT-RXU-2500035")</f>
        <v>Branded_RXULTI_AE Ansia_IT-RXU-2500035</v>
      </c>
      <c r="M13020" s="10" t="str">
        <f>HYPERLINK("mailto:maria.gargiulo@crm.otsuka-europe.com", "maria.gargiulo@crm.otsuka-europe.com")</f>
        <v>maria.gargiulo@crm.otsuka-europe.com</v>
      </c>
      <c r="N13020" s="13">
        <v>46202.382951388892</v>
      </c>
      <c r="O13020" s="14" t="str">
        <f>HYPERLINK("https://otsuka-europe-crm.veevavault.com/ui/#object/email_activity__v/V8C000000042304", "EN-002100304")</f>
        <v>EN-002100304</v>
      </c>
    </row>
    <row r="13021" spans="1:15" ht="32" x14ac:dyDescent="0.2">
      <c r="A13021" s="7" t="str">
        <f>HYPERLINK("https://otsuka-europe-crm.veevavault.com/ui/#object/account__v/V4TZ06G6O71SAV7", "GIUSEPPE GIAMUNDO")</f>
        <v>GIUSEPPE GIAMUNDO</v>
      </c>
      <c r="B13021" s="7" t="str">
        <f>HYPERLINK("https://otsuka-europe-crm.veevavault.com/ui/#object/vcountry__v/VENZ000004SONFQ", "IT")</f>
        <v>IT</v>
      </c>
      <c r="C13021" s="8" t="s">
        <v>44</v>
      </c>
      <c r="D13021" s="9" t="str">
        <f>HYPERLINK("https://otsuka-europe-crm.veevavault.com/ui/#object/approved_document__v/V5O00000001G004", "Branded_RXULTI_AE Ansia_IT-RXU-2500035")</f>
        <v>Branded_RXULTI_AE Ansia_IT-RXU-2500035</v>
      </c>
      <c r="E13021" s="10" t="str">
        <f>HYPERLINK("https://otsuka-europe-crm.veevavault.com/ui/#object/sent_email__v/VBL00000002Z229", "SE-001438633")</f>
        <v>SE-001438633</v>
      </c>
      <c r="F13021" s="11"/>
      <c r="G13021" s="12">
        <v>0</v>
      </c>
      <c r="H13021" s="12">
        <v>0</v>
      </c>
      <c r="I13021" s="12">
        <v>0</v>
      </c>
      <c r="J13021" s="11"/>
      <c r="K13021" s="12">
        <v>0</v>
      </c>
      <c r="L13021" s="10" t="str">
        <f>HYPERLINK("https://otsuka-europe-crm.veevavault.com/ui/#object/approved_document__v/V5O00000001G004", "Branded_RXULTI_AE Ansia_IT-RXU-2500035")</f>
        <v>Branded_RXULTI_AE Ansia_IT-RXU-2500035</v>
      </c>
      <c r="M13021" s="10" t="str">
        <f>HYPERLINK("mailto:maria.gargiulo@crm.otsuka-europe.com", "maria.gargiulo@crm.otsuka-europe.com")</f>
        <v>maria.gargiulo@crm.otsuka-europe.com</v>
      </c>
      <c r="N13021" s="13">
        <v>46202.38318287037</v>
      </c>
      <c r="O13021" s="14" t="str">
        <f>HYPERLINK("https://otsuka-europe-crm.veevavault.com/ui/#object/email_activity__v/V8C000000042305", "EN-002100305")</f>
        <v>EN-002100305</v>
      </c>
    </row>
    <row r="13022" spans="1:15" ht="16" x14ac:dyDescent="0.2">
      <c r="A13022" s="17" t="str">
        <f>HYPERLINK("https://otsuka-europe-crm.veevavault.com/ui/#object/account__v/V4TZ06G6OA5WQFG", "TEST OPSA HCP TEST OPSA HCP")</f>
        <v>TEST OPSA HCP TEST OPSA HCP</v>
      </c>
      <c r="B13022" s="17" t="str">
        <f>HYPERLINK("https://otsuka-europe-crm.veevavault.com/ui/#object/vcountry__v/VENZ000004SONF5", "ES")</f>
        <v>ES</v>
      </c>
      <c r="C13022" s="20" t="s">
        <v>41</v>
      </c>
      <c r="D13022" s="21" t="str">
        <f>HYPERLINK("https://otsuka-europe-crm.veevavault.com/ui/#object/approved_document__v/V5O00000001R001", "INA - VAE Cierre ""Nos quedamos en Casa""")</f>
        <v>INA - VAE Cierre "Nos quedamos en Casa"</v>
      </c>
      <c r="E13022" s="22" t="str">
        <f>HYPERLINK("https://otsuka-europe-crm.veevavault.com/ui/#object/sent_email__v/VBL00000002Y043", "SE-001438634")</f>
        <v>SE-001438634</v>
      </c>
      <c r="F13022" s="23">
        <v>46202.442673611113</v>
      </c>
      <c r="G13022" s="24">
        <v>1</v>
      </c>
      <c r="H13022" s="24">
        <v>4</v>
      </c>
      <c r="I13022" s="24">
        <v>1</v>
      </c>
      <c r="J13022" s="23">
        <v>46202.44332175926</v>
      </c>
      <c r="K13022" s="24">
        <v>6</v>
      </c>
      <c r="L13022" s="22" t="str">
        <f>HYPERLINK("https://otsuka-europe-crm.veevavault.com/ui/#object/approved_document__v/V5O00000001R001", "INA - VAE Cierre ""Nos quedamos en Casa""")</f>
        <v>INA - VAE Cierre "Nos quedamos en Casa"</v>
      </c>
      <c r="M13022" s="22" t="str">
        <f>HYPERLINK("mailto:aschoggl@crm.otsuka-europe.com", "aschoggl@crm.otsuka-europe.com")</f>
        <v>aschoggl@crm.otsuka-europe.com</v>
      </c>
      <c r="N13022" s="23">
        <v>46202.399537037039</v>
      </c>
      <c r="O13022" s="14" t="str">
        <f>HYPERLINK("https://otsuka-europe-crm.veevavault.com/ui/#object/email_activity__v/V8C000000041318", "EN-002100315")</f>
        <v>EN-002100315</v>
      </c>
    </row>
    <row r="13023" spans="1:15" ht="16" x14ac:dyDescent="0.2">
      <c r="A13023" s="18"/>
      <c r="B13023" s="18"/>
      <c r="C13023" s="18"/>
      <c r="D13023" s="18"/>
      <c r="E13023" s="18"/>
      <c r="F13023" s="18"/>
      <c r="G13023" s="18"/>
      <c r="H13023" s="18"/>
      <c r="I13023" s="18"/>
      <c r="J13023" s="18"/>
      <c r="K13023" s="18"/>
      <c r="L13023" s="18"/>
      <c r="M13023" s="18"/>
      <c r="N13023" s="18"/>
      <c r="O13023" s="14" t="str">
        <f>HYPERLINK("https://otsuka-europe-crm.veevavault.com/ui/#object/email_activity__v/V8C000000041319", "EN-002100316")</f>
        <v>EN-002100316</v>
      </c>
    </row>
    <row r="13024" spans="1:15" ht="16" x14ac:dyDescent="0.2">
      <c r="A13024" s="18"/>
      <c r="B13024" s="18"/>
      <c r="C13024" s="18"/>
      <c r="D13024" s="18"/>
      <c r="E13024" s="18"/>
      <c r="F13024" s="18"/>
      <c r="G13024" s="18"/>
      <c r="H13024" s="18"/>
      <c r="I13024" s="18"/>
      <c r="J13024" s="18"/>
      <c r="K13024" s="18"/>
      <c r="L13024" s="18"/>
      <c r="M13024" s="18"/>
      <c r="N13024" s="18"/>
      <c r="O13024" s="14" t="str">
        <f>HYPERLINK("https://otsuka-europe-crm.veevavault.com/ui/#object/email_activity__v/V8C000000041320", "EN-002100317")</f>
        <v>EN-002100317</v>
      </c>
    </row>
    <row r="13025" spans="1:15" ht="16" x14ac:dyDescent="0.2">
      <c r="A13025" s="18"/>
      <c r="B13025" s="18"/>
      <c r="C13025" s="18"/>
      <c r="D13025" s="18"/>
      <c r="E13025" s="18"/>
      <c r="F13025" s="18"/>
      <c r="G13025" s="18"/>
      <c r="H13025" s="18"/>
      <c r="I13025" s="18"/>
      <c r="J13025" s="18"/>
      <c r="K13025" s="18"/>
      <c r="L13025" s="18"/>
      <c r="M13025" s="18"/>
      <c r="N13025" s="18"/>
      <c r="O13025" s="14" t="str">
        <f>HYPERLINK("https://otsuka-europe-crm.veevavault.com/ui/#object/email_activity__v/V8C000000041321", "EN-002100318")</f>
        <v>EN-002100318</v>
      </c>
    </row>
    <row r="13026" spans="1:15" ht="16" x14ac:dyDescent="0.2">
      <c r="A13026" s="18"/>
      <c r="B13026" s="18"/>
      <c r="C13026" s="18"/>
      <c r="D13026" s="18"/>
      <c r="E13026" s="18"/>
      <c r="F13026" s="18"/>
      <c r="G13026" s="18"/>
      <c r="H13026" s="18"/>
      <c r="I13026" s="18"/>
      <c r="J13026" s="18"/>
      <c r="K13026" s="18"/>
      <c r="L13026" s="18"/>
      <c r="M13026" s="18"/>
      <c r="N13026" s="18"/>
      <c r="O13026" s="14" t="str">
        <f>HYPERLINK("https://otsuka-europe-crm.veevavault.com/ui/#object/email_activity__v/V8C000000042306", "EN-002100308")</f>
        <v>EN-002100308</v>
      </c>
    </row>
    <row r="13027" spans="1:15" ht="16" x14ac:dyDescent="0.2">
      <c r="A13027" s="18"/>
      <c r="B13027" s="18"/>
      <c r="C13027" s="18"/>
      <c r="D13027" s="18"/>
      <c r="E13027" s="18"/>
      <c r="F13027" s="18"/>
      <c r="G13027" s="18"/>
      <c r="H13027" s="18"/>
      <c r="I13027" s="18"/>
      <c r="J13027" s="18"/>
      <c r="K13027" s="18"/>
      <c r="L13027" s="18"/>
      <c r="M13027" s="18"/>
      <c r="N13027" s="18"/>
      <c r="O13027" s="14" t="str">
        <f>HYPERLINK("https://otsuka-europe-crm.veevavault.com/ui/#object/email_activity__v/V8C000000042312", "EN-002100326")</f>
        <v>EN-002100326</v>
      </c>
    </row>
    <row r="13028" spans="1:15" ht="16" x14ac:dyDescent="0.2">
      <c r="A13028" s="18"/>
      <c r="B13028" s="18"/>
      <c r="C13028" s="18"/>
      <c r="D13028" s="18"/>
      <c r="E13028" s="18"/>
      <c r="F13028" s="18"/>
      <c r="G13028" s="18"/>
      <c r="H13028" s="18"/>
      <c r="I13028" s="18"/>
      <c r="J13028" s="18"/>
      <c r="K13028" s="18"/>
      <c r="L13028" s="18"/>
      <c r="M13028" s="18"/>
      <c r="N13028" s="18"/>
      <c r="O13028" s="14" t="str">
        <f>HYPERLINK("https://otsuka-europe-crm.veevavault.com/ui/#object/email_activity__v/V8C000000042313", "EN-002100327")</f>
        <v>EN-002100327</v>
      </c>
    </row>
    <row r="13029" spans="1:15" ht="16" x14ac:dyDescent="0.2">
      <c r="A13029" s="18"/>
      <c r="B13029" s="18"/>
      <c r="C13029" s="18"/>
      <c r="D13029" s="18"/>
      <c r="E13029" s="18"/>
      <c r="F13029" s="18"/>
      <c r="G13029" s="18"/>
      <c r="H13029" s="18"/>
      <c r="I13029" s="18"/>
      <c r="J13029" s="18"/>
      <c r="K13029" s="18"/>
      <c r="L13029" s="18"/>
      <c r="M13029" s="18"/>
      <c r="N13029" s="18"/>
      <c r="O13029" s="14" t="str">
        <f>HYPERLINK("https://otsuka-europe-crm.veevavault.com/ui/#object/email_activity__v/V8C000000042314", "EN-002100328")</f>
        <v>EN-002100328</v>
      </c>
    </row>
    <row r="13030" spans="1:15" ht="16" x14ac:dyDescent="0.2">
      <c r="A13030" s="18"/>
      <c r="B13030" s="18"/>
      <c r="C13030" s="18"/>
      <c r="D13030" s="18"/>
      <c r="E13030" s="18"/>
      <c r="F13030" s="18"/>
      <c r="G13030" s="18"/>
      <c r="H13030" s="18"/>
      <c r="I13030" s="18"/>
      <c r="J13030" s="18"/>
      <c r="K13030" s="18"/>
      <c r="L13030" s="18"/>
      <c r="M13030" s="18"/>
      <c r="N13030" s="18"/>
      <c r="O13030" s="14" t="str">
        <f>HYPERLINK("https://otsuka-europe-crm.veevavault.com/ui/#object/email_activity__v/V8C000000042315", "EN-002100329")</f>
        <v>EN-002100329</v>
      </c>
    </row>
    <row r="13031" spans="1:15" ht="16" x14ac:dyDescent="0.2">
      <c r="A13031" s="18"/>
      <c r="B13031" s="18"/>
      <c r="C13031" s="18"/>
      <c r="D13031" s="18"/>
      <c r="E13031" s="18"/>
      <c r="F13031" s="18"/>
      <c r="G13031" s="18"/>
      <c r="H13031" s="18"/>
      <c r="I13031" s="18"/>
      <c r="J13031" s="18"/>
      <c r="K13031" s="18"/>
      <c r="L13031" s="18"/>
      <c r="M13031" s="18"/>
      <c r="N13031" s="18"/>
      <c r="O13031" s="14" t="str">
        <f>HYPERLINK("https://otsuka-europe-crm.veevavault.com/ui/#object/email_activity__v/V8C000000042316", "EN-002100330")</f>
        <v>EN-002100330</v>
      </c>
    </row>
    <row r="13032" spans="1:15" ht="16" x14ac:dyDescent="0.2">
      <c r="A13032" s="19"/>
      <c r="B13032" s="19"/>
      <c r="C13032" s="19"/>
      <c r="D13032" s="19"/>
      <c r="E13032" s="19"/>
      <c r="F13032" s="19"/>
      <c r="G13032" s="19"/>
      <c r="H13032" s="19"/>
      <c r="I13032" s="19"/>
      <c r="J13032" s="19"/>
      <c r="K13032" s="19"/>
      <c r="L13032" s="19"/>
      <c r="M13032" s="19"/>
      <c r="N13032" s="19"/>
      <c r="O13032" s="14" t="str">
        <f>HYPERLINK("https://otsuka-europe-crm.veevavault.com/ui/#object/email_activity__v/V8C000000042317", "EN-002100331")</f>
        <v>EN-002100331</v>
      </c>
    </row>
    <row r="13033" spans="1:15" ht="32" x14ac:dyDescent="0.2">
      <c r="A13033" s="7" t="str">
        <f>HYPERLINK("https://otsuka-europe-crm.veevavault.com/ui/#object/account__v/V4TZ025E86H4YN9", "CARMINE ROSARIO GIGI")</f>
        <v>CARMINE ROSARIO GIGI</v>
      </c>
      <c r="B13033" s="7" t="str">
        <f>HYPERLINK("https://otsuka-europe-crm.veevavault.com/ui/#object/vcountry__v/VENZ000004SONFQ", "IT")</f>
        <v>IT</v>
      </c>
      <c r="C13033" s="8" t="s">
        <v>44</v>
      </c>
      <c r="D13033" s="9" t="str">
        <f>HYPERLINK("https://otsuka-europe-crm.veevavault.com/ui/#object/approved_document__v/V5O00000001G004", "Branded_RXULTI_AE Ansia_IT-RXU-2500035")</f>
        <v>Branded_RXULTI_AE Ansia_IT-RXU-2500035</v>
      </c>
      <c r="E13033" s="10" t="str">
        <f>HYPERLINK("https://otsuka-europe-crm.veevavault.com/ui/#object/sent_email__v/VBL00000002Y044", "SE-001438635")</f>
        <v>SE-001438635</v>
      </c>
      <c r="F13033" s="11"/>
      <c r="G13033" s="12">
        <v>0</v>
      </c>
      <c r="H13033" s="12">
        <v>0</v>
      </c>
      <c r="I13033" s="12">
        <v>0</v>
      </c>
      <c r="J13033" s="11"/>
      <c r="K13033" s="12">
        <v>0</v>
      </c>
      <c r="L13033" s="10" t="str">
        <f>HYPERLINK("https://otsuka-europe-crm.veevavault.com/ui/#object/approved_document__v/V5O00000001G004", "Branded_RXULTI_AE Ansia_IT-RXU-2500035")</f>
        <v>Branded_RXULTI_AE Ansia_IT-RXU-2500035</v>
      </c>
      <c r="M13033" s="10" t="str">
        <f>HYPERLINK("mailto:maria.gargiulo@crm.otsuka-europe.com", "maria.gargiulo@crm.otsuka-europe.com")</f>
        <v>maria.gargiulo@crm.otsuka-europe.com</v>
      </c>
      <c r="N13033" s="13">
        <v>46202.40121527778</v>
      </c>
      <c r="O13033" s="14" t="str">
        <f>HYPERLINK("https://otsuka-europe-crm.veevavault.com/ui/#object/email_activity__v/V8C000000042307", "EN-002100309")</f>
        <v>EN-002100309</v>
      </c>
    </row>
    <row r="13034" spans="1:15" ht="16" x14ac:dyDescent="0.2">
      <c r="A13034" s="17" t="str">
        <f>HYPERLINK("https://otsuka-europe-crm.veevavault.com/ui/#object/account__v/V4TZ04ASGCYXOBN", "SAVINO GORGOGLIONE")</f>
        <v>SAVINO GORGOGLIONE</v>
      </c>
      <c r="B13034" s="17" t="str">
        <f>HYPERLINK("https://otsuka-europe-crm.veevavault.com/ui/#object/vcountry__v/VENZ000004SONFQ", "IT")</f>
        <v>IT</v>
      </c>
      <c r="C13034" s="20" t="s">
        <v>44</v>
      </c>
      <c r="D13034" s="21" t="str">
        <f>HYPERLINK("https://otsuka-europe-crm.veevavault.com/ui/#object/approved_document__v/V5O00000001G004", "Branded_RXULTI_AE Ansia_IT-RXU-2500035")</f>
        <v>Branded_RXULTI_AE Ansia_IT-RXU-2500035</v>
      </c>
      <c r="E13034" s="22" t="str">
        <f>HYPERLINK("https://otsuka-europe-crm.veevavault.com/ui/#object/sent_email__v/VBL00000002Z230", "SE-001438636")</f>
        <v>SE-001438636</v>
      </c>
      <c r="F13034" s="23">
        <v>46202.401562500003</v>
      </c>
      <c r="G13034" s="24">
        <v>1</v>
      </c>
      <c r="H13034" s="24">
        <v>1</v>
      </c>
      <c r="I13034" s="24">
        <v>0</v>
      </c>
      <c r="J13034" s="25"/>
      <c r="K13034" s="24">
        <v>0</v>
      </c>
      <c r="L13034" s="22" t="str">
        <f>HYPERLINK("https://otsuka-europe-crm.veevavault.com/ui/#object/approved_document__v/V5O00000001G004", "Branded_RXULTI_AE Ansia_IT-RXU-2500035")</f>
        <v>Branded_RXULTI_AE Ansia_IT-RXU-2500035</v>
      </c>
      <c r="M13034" s="22" t="str">
        <f>HYPERLINK("mailto:maria.gargiulo@crm.otsuka-europe.com", "maria.gargiulo@crm.otsuka-europe.com")</f>
        <v>maria.gargiulo@crm.otsuka-europe.com</v>
      </c>
      <c r="N13034" s="23">
        <v>46202.401446759257</v>
      </c>
      <c r="O13034" s="14" t="str">
        <f>HYPERLINK("https://otsuka-europe-crm.veevavault.com/ui/#object/email_activity__v/V8C000000041316", "EN-002100310")</f>
        <v>EN-002100310</v>
      </c>
    </row>
    <row r="13035" spans="1:15" ht="16" x14ac:dyDescent="0.2">
      <c r="A13035" s="19"/>
      <c r="B13035" s="19"/>
      <c r="C13035" s="19"/>
      <c r="D13035" s="19"/>
      <c r="E13035" s="19"/>
      <c r="F13035" s="19"/>
      <c r="G13035" s="19"/>
      <c r="H13035" s="19"/>
      <c r="I13035" s="19"/>
      <c r="J13035" s="19"/>
      <c r="K13035" s="19"/>
      <c r="L13035" s="19"/>
      <c r="M13035" s="19"/>
      <c r="N13035" s="19"/>
      <c r="O13035" s="14" t="str">
        <f>HYPERLINK("https://otsuka-europe-crm.veevavault.com/ui/#object/email_activity__v/V8C000000042308", "EN-002100311")</f>
        <v>EN-002100311</v>
      </c>
    </row>
    <row r="13036" spans="1:15" ht="16" x14ac:dyDescent="0.2">
      <c r="A13036" s="17" t="str">
        <f>HYPERLINK("https://otsuka-europe-crm.veevavault.com/ui/#object/account__v/V4TZ06G6O71SARA", "FRANCESCO GRILLO")</f>
        <v>FRANCESCO GRILLO</v>
      </c>
      <c r="B13036" s="17" t="str">
        <f>HYPERLINK("https://otsuka-europe-crm.veevavault.com/ui/#object/vcountry__v/VENZ000004SONFQ", "IT")</f>
        <v>IT</v>
      </c>
      <c r="C13036" s="20" t="s">
        <v>44</v>
      </c>
      <c r="D13036" s="21" t="str">
        <f>HYPERLINK("https://otsuka-europe-crm.veevavault.com/ui/#object/approved_document__v/V5O00000001G004", "Branded_RXULTI_AE Ansia_IT-RXU-2500035")</f>
        <v>Branded_RXULTI_AE Ansia_IT-RXU-2500035</v>
      </c>
      <c r="E13036" s="22" t="str">
        <f>HYPERLINK("https://otsuka-europe-crm.veevavault.com/ui/#object/sent_email__v/VBL00000002Z231", "SE-001438637")</f>
        <v>SE-001438637</v>
      </c>
      <c r="F13036" s="23">
        <v>46202.560034722221</v>
      </c>
      <c r="G13036" s="24">
        <v>1</v>
      </c>
      <c r="H13036" s="24">
        <v>1</v>
      </c>
      <c r="I13036" s="24">
        <v>0</v>
      </c>
      <c r="J13036" s="25"/>
      <c r="K13036" s="24">
        <v>0</v>
      </c>
      <c r="L13036" s="22" t="str">
        <f>HYPERLINK("https://otsuka-europe-crm.veevavault.com/ui/#object/approved_document__v/V5O00000001G004", "Branded_RXULTI_AE Ansia_IT-RXU-2500035")</f>
        <v>Branded_RXULTI_AE Ansia_IT-RXU-2500035</v>
      </c>
      <c r="M13036" s="22" t="str">
        <f>HYPERLINK("mailto:maria.gargiulo@crm.otsuka-europe.com", "maria.gargiulo@crm.otsuka-europe.com")</f>
        <v>maria.gargiulo@crm.otsuka-europe.com</v>
      </c>
      <c r="N13036" s="23">
        <v>46202.401724537034</v>
      </c>
      <c r="O13036" s="14" t="str">
        <f>HYPERLINK("https://otsuka-europe-crm.veevavault.com/ui/#object/email_activity__v/V8C000000041342", "EN-002100355")</f>
        <v>EN-002100355</v>
      </c>
    </row>
    <row r="13037" spans="1:15" ht="16" x14ac:dyDescent="0.2">
      <c r="A13037" s="19"/>
      <c r="B13037" s="19"/>
      <c r="C13037" s="19"/>
      <c r="D13037" s="19"/>
      <c r="E13037" s="19"/>
      <c r="F13037" s="19"/>
      <c r="G13037" s="19"/>
      <c r="H13037" s="19"/>
      <c r="I13037" s="19"/>
      <c r="J13037" s="19"/>
      <c r="K13037" s="19"/>
      <c r="L13037" s="19"/>
      <c r="M13037" s="19"/>
      <c r="N13037" s="19"/>
      <c r="O13037" s="14" t="str">
        <f>HYPERLINK("https://otsuka-europe-crm.veevavault.com/ui/#object/email_activity__v/V8C000000042309", "EN-002100312")</f>
        <v>EN-002100312</v>
      </c>
    </row>
    <row r="13038" spans="1:15" ht="16" x14ac:dyDescent="0.2">
      <c r="A13038" s="17" t="str">
        <f>HYPERLINK("https://otsuka-europe-crm.veevavault.com/ui/#object/account__v/V4T000000023097", "MARIA TORRADO GINER")</f>
        <v>MARIA TORRADO GINER</v>
      </c>
      <c r="B13038" s="17" t="str">
        <f>HYPERLINK("https://otsuka-europe-crm.veevavault.com/ui/#object/vcountry__v/VENZ000004SONF5", "ES")</f>
        <v>ES</v>
      </c>
      <c r="C13038" s="20" t="s">
        <v>41</v>
      </c>
      <c r="D13038" s="21" t="str">
        <f>HYPERLINK("https://otsuka-europe-crm.veevavault.com/ui/#object/approved_document__v/V5OZ06G6O6RFL1P", "ES Veeva Privacy Notice Email")</f>
        <v>ES Veeva Privacy Notice Email</v>
      </c>
      <c r="E13038" s="22" t="str">
        <f>HYPERLINK("https://otsuka-europe-crm.veevavault.com/ui/#object/sent_email__v/VBL00000002Z232", "SE-001438638")</f>
        <v>SE-001438638</v>
      </c>
      <c r="F13038" s="25"/>
      <c r="G13038" s="24">
        <v>0</v>
      </c>
      <c r="H13038" s="24">
        <v>0</v>
      </c>
      <c r="I13038" s="24">
        <v>0</v>
      </c>
      <c r="J13038" s="25"/>
      <c r="K13038" s="24">
        <v>0</v>
      </c>
      <c r="L13038" s="22" t="str">
        <f>HYPERLINK("https://otsuka-europe-crm.veevavault.com/ui/#object/approved_document__v/V5OZ06G6O6RFL1P", "ES Veeva Privacy Notice Email")</f>
        <v>ES Veeva Privacy Notice Email</v>
      </c>
      <c r="M13038" s="22" t="str">
        <f>HYPERLINK("mailto:jllombart@crm.otsuka-europe.com", "jllombart@crm.otsuka-europe.com")</f>
        <v>jllombart@crm.otsuka-europe.com</v>
      </c>
      <c r="N13038" s="23">
        <v>46202.403657407405</v>
      </c>
      <c r="O13038" s="14" t="str">
        <f>HYPERLINK("https://otsuka-europe-crm.veevavault.com/ui/#object/email_activity__v/V8C000000041335", "EN-002100341")</f>
        <v>EN-002100341</v>
      </c>
    </row>
    <row r="13039" spans="1:15" ht="16" x14ac:dyDescent="0.2">
      <c r="A13039" s="19"/>
      <c r="B13039" s="19"/>
      <c r="C13039" s="19"/>
      <c r="D13039" s="19"/>
      <c r="E13039" s="19"/>
      <c r="F13039" s="19"/>
      <c r="G13039" s="19"/>
      <c r="H13039" s="19"/>
      <c r="I13039" s="19"/>
      <c r="J13039" s="19"/>
      <c r="K13039" s="19"/>
      <c r="L13039" s="19"/>
      <c r="M13039" s="19"/>
      <c r="N13039" s="19"/>
      <c r="O13039" s="14" t="str">
        <f>HYPERLINK("https://otsuka-europe-crm.veevavault.com/ui/#object/email_activity__v/V8C000000042310", "EN-002100313")</f>
        <v>EN-002100313</v>
      </c>
    </row>
    <row r="13040" spans="1:15" ht="32" x14ac:dyDescent="0.2">
      <c r="A13040" s="7" t="str">
        <f>HYPERLINK("https://otsuka-europe-crm.veevavault.com/ui/#object/account__v/V4T000000023099", "MARIBEL PAULA MEDINA")</f>
        <v>MARIBEL PAULA MEDINA</v>
      </c>
      <c r="B13040" s="7" t="str">
        <f>HYPERLINK("https://otsuka-europe-crm.veevavault.com/ui/#object/vcountry__v/VENZ000004SONF5", "ES")</f>
        <v>ES</v>
      </c>
      <c r="C13040" s="8" t="s">
        <v>41</v>
      </c>
      <c r="D13040" s="9" t="str">
        <f>HYPERLINK("https://otsuka-europe-crm.veevavault.com/ui/#object/approved_document__v/V5OZ06G6O6RFL1P", "ES Veeva Privacy Notice Email")</f>
        <v>ES Veeva Privacy Notice Email</v>
      </c>
      <c r="E13040" s="10" t="str">
        <f>HYPERLINK("https://otsuka-europe-crm.veevavault.com/ui/#object/sent_email__v/VBL00000002Y045", "SE-001438639")</f>
        <v>SE-001438639</v>
      </c>
      <c r="F13040" s="11"/>
      <c r="G13040" s="12">
        <v>0</v>
      </c>
      <c r="H13040" s="12">
        <v>0</v>
      </c>
      <c r="I13040" s="12">
        <v>0</v>
      </c>
      <c r="J13040" s="11"/>
      <c r="K13040" s="12">
        <v>0</v>
      </c>
      <c r="L13040" s="10" t="str">
        <f>HYPERLINK("https://otsuka-europe-crm.veevavault.com/ui/#object/approved_document__v/V5OZ06G6O6RFL1P", "ES Veeva Privacy Notice Email")</f>
        <v>ES Veeva Privacy Notice Email</v>
      </c>
      <c r="M13040" s="10" t="str">
        <f>HYPERLINK("mailto:jllombart@crm.otsuka-europe.com", "jllombart@crm.otsuka-europe.com")</f>
        <v>jllombart@crm.otsuka-europe.com</v>
      </c>
      <c r="N13040" s="13">
        <v>46202.4059375</v>
      </c>
      <c r="O13040" s="14" t="str">
        <f>HYPERLINK("https://otsuka-europe-crm.veevavault.com/ui/#object/email_activity__v/V8C000000041317", "EN-002100314")</f>
        <v>EN-002100314</v>
      </c>
    </row>
    <row r="13041" spans="1:15" ht="48" x14ac:dyDescent="0.2">
      <c r="A13041" s="7" t="str">
        <f>HYPERLINK("https://otsuka-europe-crm.veevavault.com/ui/#object/account__v/V4TZ00000633KPW", "SAMI ZAOUI")</f>
        <v>SAMI ZAOUI</v>
      </c>
      <c r="B13041" s="7" t="str">
        <f>HYPERLINK("https://otsuka-europe-crm.veevavault.com/ui/#object/vcountry__v/VENZ000004SONFA", "FR")</f>
        <v>FR</v>
      </c>
      <c r="C13041" s="8" t="s">
        <v>42</v>
      </c>
      <c r="D13041" s="9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E13041" s="10" t="str">
        <f>HYPERLINK("https://otsuka-europe-crm.veevavault.com/ui/#object/sent_email__v/VBL00000002Y046", "SE-001438640")</f>
        <v>SE-001438640</v>
      </c>
      <c r="F13041" s="11"/>
      <c r="G13041" s="12">
        <v>0</v>
      </c>
      <c r="H13041" s="12">
        <v>0</v>
      </c>
      <c r="I13041" s="12">
        <v>0</v>
      </c>
      <c r="J13041" s="11"/>
      <c r="K13041" s="12">
        <v>0</v>
      </c>
      <c r="L13041" s="10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M13041" s="10" t="str">
        <f>HYPERLINK("mailto:ijardy@crm.otsuka-europe.com", "ijardy@crm.otsuka-europe.com")</f>
        <v>ijardy@crm.otsuka-europe.com</v>
      </c>
      <c r="N13041" s="13">
        <v>46203.132141203707</v>
      </c>
      <c r="O13041" s="14" t="str">
        <f>HYPERLINK("https://otsuka-europe-crm.veevavault.com/ui/#object/email_activity__v/V8C000000041499", "EN-002100655")</f>
        <v>EN-002100655</v>
      </c>
    </row>
    <row r="13042" spans="1:15" ht="48" x14ac:dyDescent="0.2">
      <c r="A13042" s="7" t="str">
        <f>HYPERLINK("https://otsuka-europe-crm.veevavault.com/ui/#object/account__v/V4TZ00000633I3M", "MAXENCE RIGON")</f>
        <v>MAXENCE RIGON</v>
      </c>
      <c r="B13042" s="7" t="str">
        <f>HYPERLINK("https://otsuka-europe-crm.veevavault.com/ui/#object/vcountry__v/VENZ000004SONFA", "FR")</f>
        <v>FR</v>
      </c>
      <c r="C13042" s="8" t="s">
        <v>42</v>
      </c>
      <c r="D13042" s="9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E13042" s="10" t="str">
        <f>HYPERLINK("https://otsuka-europe-crm.veevavault.com/ui/#object/sent_email__v/VBL00000002Y047", "SE-001438641")</f>
        <v>SE-001438641</v>
      </c>
      <c r="F13042" s="11"/>
      <c r="G13042" s="12">
        <v>0</v>
      </c>
      <c r="H13042" s="12">
        <v>0</v>
      </c>
      <c r="I13042" s="12">
        <v>0</v>
      </c>
      <c r="J13042" s="11"/>
      <c r="K13042" s="12">
        <v>0</v>
      </c>
      <c r="L13042" s="10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M13042" s="10" t="str">
        <f>HYPERLINK("mailto:ijardy@crm.otsuka-europe.com", "ijardy@crm.otsuka-europe.com")</f>
        <v>ijardy@crm.otsuka-europe.com</v>
      </c>
      <c r="N13042" s="13">
        <v>46203.132141203707</v>
      </c>
      <c r="O13042" s="14" t="str">
        <f>HYPERLINK("https://otsuka-europe-crm.veevavault.com/ui/#object/email_activity__v/V8C000000041500", "EN-002100657")</f>
        <v>EN-002100657</v>
      </c>
    </row>
    <row r="13043" spans="1:15" ht="48" x14ac:dyDescent="0.2">
      <c r="A13043" s="7" t="str">
        <f>HYPERLINK("https://otsuka-europe-crm.veevavault.com/ui/#object/account__v/V4TZ00000633RTX", "LIONEL GRATUZE")</f>
        <v>LIONEL GRATUZE</v>
      </c>
      <c r="B13043" s="7" t="str">
        <f>HYPERLINK("https://otsuka-europe-crm.veevavault.com/ui/#object/vcountry__v/VENZ000004SONFA", "FR")</f>
        <v>FR</v>
      </c>
      <c r="C13043" s="8" t="s">
        <v>42</v>
      </c>
      <c r="D13043" s="9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E13043" s="10" t="str">
        <f>HYPERLINK("https://otsuka-europe-crm.veevavault.com/ui/#object/sent_email__v/VBL00000002Y048", "SE-001438642")</f>
        <v>SE-001438642</v>
      </c>
      <c r="F13043" s="11"/>
      <c r="G13043" s="12">
        <v>0</v>
      </c>
      <c r="H13043" s="12">
        <v>0</v>
      </c>
      <c r="I13043" s="12">
        <v>0</v>
      </c>
      <c r="J13043" s="11"/>
      <c r="K13043" s="12">
        <v>0</v>
      </c>
      <c r="L13043" s="10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M13043" s="10" t="str">
        <f>HYPERLINK("mailto:ijardy@crm.otsuka-europe.com", "ijardy@crm.otsuka-europe.com")</f>
        <v>ijardy@crm.otsuka-europe.com</v>
      </c>
      <c r="N13043" s="13">
        <v>46203.132141203707</v>
      </c>
      <c r="O13043" s="14" t="str">
        <f>HYPERLINK("https://otsuka-europe-crm.veevavault.com/ui/#object/email_activity__v/V8C000000042470", "EN-002100656")</f>
        <v>EN-002100656</v>
      </c>
    </row>
    <row r="13044" spans="1:15" ht="16" x14ac:dyDescent="0.2">
      <c r="A13044" s="17" t="str">
        <f>HYPERLINK("https://otsuka-europe-crm.veevavault.com/ui/#object/account__v/V4TZ06G6OBUL1EU", "LAURETTE DONA KUZITUKA")</f>
        <v>LAURETTE DONA KUZITUKA</v>
      </c>
      <c r="B13044" s="17" t="str">
        <f>HYPERLINK("https://otsuka-europe-crm.veevavault.com/ui/#object/vcountry__v/VENZ000004SONFA", "FR")</f>
        <v>FR</v>
      </c>
      <c r="C13044" s="20" t="s">
        <v>42</v>
      </c>
      <c r="D13044" s="21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E13044" s="22" t="str">
        <f>HYPERLINK("https://otsuka-europe-crm.veevavault.com/ui/#object/sent_email__v/VBL00000002Z233", "SE-001438643")</f>
        <v>SE-001438643</v>
      </c>
      <c r="F13044" s="23">
        <v>46203.351712962962</v>
      </c>
      <c r="G13044" s="24">
        <v>1</v>
      </c>
      <c r="H13044" s="24">
        <v>3</v>
      </c>
      <c r="I13044" s="24">
        <v>0</v>
      </c>
      <c r="J13044" s="25"/>
      <c r="K13044" s="24">
        <v>0</v>
      </c>
      <c r="L13044" s="22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M13044" s="22" t="str">
        <f>HYPERLINK("mailto:ijardy@crm.otsuka-europe.com", "ijardy@crm.otsuka-europe.com")</f>
        <v>ijardy@crm.otsuka-europe.com</v>
      </c>
      <c r="N13044" s="23">
        <v>46202.548761574071</v>
      </c>
      <c r="O13044" s="14" t="str">
        <f>HYPERLINK("https://otsuka-europe-crm.veevavault.com/ui/#object/email_activity__v/V8C000000041549", "EN-002100747")</f>
        <v>EN-002100747</v>
      </c>
    </row>
    <row r="13045" spans="1:15" ht="16" x14ac:dyDescent="0.2">
      <c r="A13045" s="18"/>
      <c r="B13045" s="18"/>
      <c r="C13045" s="18"/>
      <c r="D13045" s="18"/>
      <c r="E13045" s="18"/>
      <c r="F13045" s="18"/>
      <c r="G13045" s="18"/>
      <c r="H13045" s="18"/>
      <c r="I13045" s="18"/>
      <c r="J13045" s="18"/>
      <c r="K13045" s="18"/>
      <c r="L13045" s="18"/>
      <c r="M13045" s="18"/>
      <c r="N13045" s="18"/>
      <c r="O13045" s="14" t="str">
        <f>HYPERLINK("https://otsuka-europe-crm.veevavault.com/ui/#object/email_activity__v/V8C000000042324", "EN-002100352")</f>
        <v>EN-002100352</v>
      </c>
    </row>
    <row r="13046" spans="1:15" ht="16" x14ac:dyDescent="0.2">
      <c r="A13046" s="18"/>
      <c r="B13046" s="18"/>
      <c r="C13046" s="18"/>
      <c r="D13046" s="18"/>
      <c r="E13046" s="18"/>
      <c r="F13046" s="18"/>
      <c r="G13046" s="18"/>
      <c r="H13046" s="18"/>
      <c r="I13046" s="18"/>
      <c r="J13046" s="18"/>
      <c r="K13046" s="18"/>
      <c r="L13046" s="18"/>
      <c r="M13046" s="18"/>
      <c r="N13046" s="18"/>
      <c r="O13046" s="14" t="str">
        <f>HYPERLINK("https://otsuka-europe-crm.veevavault.com/ui/#object/email_activity__v/V8C000000042325", "EN-002100353")</f>
        <v>EN-002100353</v>
      </c>
    </row>
    <row r="13047" spans="1:15" ht="16" x14ac:dyDescent="0.2">
      <c r="A13047" s="19"/>
      <c r="B13047" s="19"/>
      <c r="C13047" s="19"/>
      <c r="D13047" s="19"/>
      <c r="E13047" s="19"/>
      <c r="F13047" s="19"/>
      <c r="G13047" s="19"/>
      <c r="H13047" s="19"/>
      <c r="I13047" s="19"/>
      <c r="J13047" s="19"/>
      <c r="K13047" s="19"/>
      <c r="L13047" s="19"/>
      <c r="M13047" s="19"/>
      <c r="N13047" s="19"/>
      <c r="O13047" s="14" t="str">
        <f>HYPERLINK("https://otsuka-europe-crm.veevavault.com/ui/#object/email_activity__v/V8C000000042326", "EN-002100354")</f>
        <v>EN-002100354</v>
      </c>
    </row>
    <row r="13048" spans="1:15" ht="16" x14ac:dyDescent="0.2">
      <c r="A13048" s="17" t="str">
        <f>HYPERLINK("https://otsuka-europe-crm.veevavault.com/ui/#object/account__v/V4TZ06G6O71TFQ2", "GIOVANNI ABBATE DAGA")</f>
        <v>GIOVANNI ABBATE DAGA</v>
      </c>
      <c r="B13048" s="17" t="str">
        <f>HYPERLINK("https://otsuka-europe-crm.veevavault.com/ui/#object/vcountry__v/VENZ000004SONFQ", "IT")</f>
        <v>IT</v>
      </c>
      <c r="C13048" s="20" t="s">
        <v>44</v>
      </c>
      <c r="D13048" s="21" t="str">
        <f>HYPERLINK("https://otsuka-europe-crm.veevavault.com/ui/#object/approved_document__v/V5O00000001G004", "Branded_RXULTI_AE Ansia_IT-RXU-2500035")</f>
        <v>Branded_RXULTI_AE Ansia_IT-RXU-2500035</v>
      </c>
      <c r="E13048" s="22" t="str">
        <f>HYPERLINK("https://otsuka-europe-crm.veevavault.com/ui/#object/sent_email__v/VBL00000002Y049", "SE-001438644")</f>
        <v>SE-001438644</v>
      </c>
      <c r="F13048" s="23">
        <v>46202.461736111109</v>
      </c>
      <c r="G13048" s="24">
        <v>1</v>
      </c>
      <c r="H13048" s="24">
        <v>1</v>
      </c>
      <c r="I13048" s="24">
        <v>0</v>
      </c>
      <c r="J13048" s="25"/>
      <c r="K13048" s="24">
        <v>0</v>
      </c>
      <c r="L13048" s="22" t="str">
        <f>HYPERLINK("https://otsuka-europe-crm.veevavault.com/ui/#object/approved_document__v/V5O00000001G004", "Branded_RXULTI_AE Ansia_IT-RXU-2500035")</f>
        <v>Branded_RXULTI_AE Ansia_IT-RXU-2500035</v>
      </c>
      <c r="M13048" s="22" t="str">
        <f>HYPERLINK("mailto:gianpaolo.fichera@crm.otsuka-europe.com", "gianpaolo.fichera@crm.otsuka-europe.com")</f>
        <v>gianpaolo.fichera@crm.otsuka-europe.com</v>
      </c>
      <c r="N13048" s="23">
        <v>46202.443506944444</v>
      </c>
      <c r="O13048" s="14" t="str">
        <f>HYPERLINK("https://otsuka-europe-crm.veevavault.com/ui/#object/email_activity__v/V8C000000042318", "EN-002100332")</f>
        <v>EN-002100332</v>
      </c>
    </row>
    <row r="13049" spans="1:15" ht="16" x14ac:dyDescent="0.2">
      <c r="A13049" s="19"/>
      <c r="B13049" s="19"/>
      <c r="C13049" s="19"/>
      <c r="D13049" s="19"/>
      <c r="E13049" s="19"/>
      <c r="F13049" s="19"/>
      <c r="G13049" s="19"/>
      <c r="H13049" s="19"/>
      <c r="I13049" s="19"/>
      <c r="J13049" s="19"/>
      <c r="K13049" s="19"/>
      <c r="L13049" s="19"/>
      <c r="M13049" s="19"/>
      <c r="N13049" s="19"/>
      <c r="O13049" s="14" t="str">
        <f>HYPERLINK("https://otsuka-europe-crm.veevavault.com/ui/#object/email_activity__v/V8C000000042319", "EN-002100333")</f>
        <v>EN-002100333</v>
      </c>
    </row>
    <row r="13050" spans="1:15" ht="16" x14ac:dyDescent="0.2">
      <c r="A13050" s="17" t="str">
        <f>HYPERLINK("https://otsuka-europe-crm.veevavault.com/ui/#object/account__v/V4TZ04ASGC7N4PX", "VALENTINA AGUGLIA")</f>
        <v>VALENTINA AGUGLIA</v>
      </c>
      <c r="B13050" s="17" t="str">
        <f>HYPERLINK("https://otsuka-europe-crm.veevavault.com/ui/#object/vcountry__v/VENZ000004SONFQ", "IT")</f>
        <v>IT</v>
      </c>
      <c r="C13050" s="20" t="s">
        <v>44</v>
      </c>
      <c r="D13050" s="21" t="str">
        <f>HYPERLINK("https://otsuka-europe-crm.veevavault.com/ui/#object/approved_document__v/V5O00000001G004", "Branded_RXULTI_AE Ansia_IT-RXU-2500035")</f>
        <v>Branded_RXULTI_AE Ansia_IT-RXU-2500035</v>
      </c>
      <c r="E13050" s="22" t="str">
        <f>HYPERLINK("https://otsuka-europe-crm.veevavault.com/ui/#object/sent_email__v/VBL00000002Y050", "SE-001438645")</f>
        <v>SE-001438645</v>
      </c>
      <c r="F13050" s="23">
        <v>46202.47446759259</v>
      </c>
      <c r="G13050" s="24">
        <v>1</v>
      </c>
      <c r="H13050" s="24">
        <v>1</v>
      </c>
      <c r="I13050" s="24">
        <v>1</v>
      </c>
      <c r="J13050" s="23">
        <v>46202.47446759259</v>
      </c>
      <c r="K13050" s="24">
        <v>4</v>
      </c>
      <c r="L13050" s="22" t="str">
        <f>HYPERLINK("https://otsuka-europe-crm.veevavault.com/ui/#object/approved_document__v/V5O00000001G004", "Branded_RXULTI_AE Ansia_IT-RXU-2500035")</f>
        <v>Branded_RXULTI_AE Ansia_IT-RXU-2500035</v>
      </c>
      <c r="M13050" s="22" t="str">
        <f>HYPERLINK("mailto:gianpaolo.fichera@crm.otsuka-europe.com", "gianpaolo.fichera@crm.otsuka-europe.com")</f>
        <v>gianpaolo.fichera@crm.otsuka-europe.com</v>
      </c>
      <c r="N13050" s="23">
        <v>46202.474305555559</v>
      </c>
      <c r="O13050" s="14" t="str">
        <f>HYPERLINK("https://otsuka-europe-crm.veevavault.com/ui/#object/email_activity__v/V8C000000041328", "EN-002100334")</f>
        <v>EN-002100334</v>
      </c>
    </row>
    <row r="13051" spans="1:15" ht="16" x14ac:dyDescent="0.2">
      <c r="A13051" s="18"/>
      <c r="B13051" s="18"/>
      <c r="C13051" s="18"/>
      <c r="D13051" s="18"/>
      <c r="E13051" s="18"/>
      <c r="F13051" s="18"/>
      <c r="G13051" s="18"/>
      <c r="H13051" s="18"/>
      <c r="I13051" s="18"/>
      <c r="J13051" s="18"/>
      <c r="K13051" s="18"/>
      <c r="L13051" s="18"/>
      <c r="M13051" s="18"/>
      <c r="N13051" s="18"/>
      <c r="O13051" s="14" t="str">
        <f>HYPERLINK("https://otsuka-europe-crm.veevavault.com/ui/#object/email_activity__v/V8C000000041329", "EN-002100336")</f>
        <v>EN-002100336</v>
      </c>
    </row>
    <row r="13052" spans="1:15" ht="16" x14ac:dyDescent="0.2">
      <c r="A13052" s="18"/>
      <c r="B13052" s="18"/>
      <c r="C13052" s="18"/>
      <c r="D13052" s="18"/>
      <c r="E13052" s="18"/>
      <c r="F13052" s="18"/>
      <c r="G13052" s="18"/>
      <c r="H13052" s="18"/>
      <c r="I13052" s="18"/>
      <c r="J13052" s="18"/>
      <c r="K13052" s="18"/>
      <c r="L13052" s="18"/>
      <c r="M13052" s="18"/>
      <c r="N13052" s="18"/>
      <c r="O13052" s="14" t="str">
        <f>HYPERLINK("https://otsuka-europe-crm.veevavault.com/ui/#object/email_activity__v/V8C000000041330", "EN-002100335")</f>
        <v>EN-002100335</v>
      </c>
    </row>
    <row r="13053" spans="1:15" ht="16" x14ac:dyDescent="0.2">
      <c r="A13053" s="18"/>
      <c r="B13053" s="18"/>
      <c r="C13053" s="18"/>
      <c r="D13053" s="18"/>
      <c r="E13053" s="18"/>
      <c r="F13053" s="18"/>
      <c r="G13053" s="18"/>
      <c r="H13053" s="18"/>
      <c r="I13053" s="18"/>
      <c r="J13053" s="18"/>
      <c r="K13053" s="18"/>
      <c r="L13053" s="18"/>
      <c r="M13053" s="18"/>
      <c r="N13053" s="18"/>
      <c r="O13053" s="14" t="str">
        <f>HYPERLINK("https://otsuka-europe-crm.veevavault.com/ui/#object/email_activity__v/V8C000000041331", "EN-002100337")</f>
        <v>EN-002100337</v>
      </c>
    </row>
    <row r="13054" spans="1:15" ht="16" x14ac:dyDescent="0.2">
      <c r="A13054" s="18"/>
      <c r="B13054" s="18"/>
      <c r="C13054" s="18"/>
      <c r="D13054" s="18"/>
      <c r="E13054" s="18"/>
      <c r="F13054" s="18"/>
      <c r="G13054" s="18"/>
      <c r="H13054" s="18"/>
      <c r="I13054" s="18"/>
      <c r="J13054" s="18"/>
      <c r="K13054" s="18"/>
      <c r="L13054" s="18"/>
      <c r="M13054" s="18"/>
      <c r="N13054" s="18"/>
      <c r="O13054" s="14" t="str">
        <f>HYPERLINK("https://otsuka-europe-crm.veevavault.com/ui/#object/email_activity__v/V8C000000041332", "EN-002100338")</f>
        <v>EN-002100338</v>
      </c>
    </row>
    <row r="13055" spans="1:15" ht="16" x14ac:dyDescent="0.2">
      <c r="A13055" s="19"/>
      <c r="B13055" s="19"/>
      <c r="C13055" s="19"/>
      <c r="D13055" s="19"/>
      <c r="E13055" s="19"/>
      <c r="F13055" s="19"/>
      <c r="G13055" s="19"/>
      <c r="H13055" s="19"/>
      <c r="I13055" s="19"/>
      <c r="J13055" s="19"/>
      <c r="K13055" s="19"/>
      <c r="L13055" s="19"/>
      <c r="M13055" s="19"/>
      <c r="N13055" s="19"/>
      <c r="O13055" s="14" t="str">
        <f>HYPERLINK("https://otsuka-europe-crm.veevavault.com/ui/#object/email_activity__v/V8C000000041333", "EN-002100339")</f>
        <v>EN-002100339</v>
      </c>
    </row>
    <row r="13056" spans="1:15" ht="32" x14ac:dyDescent="0.2">
      <c r="A13056" s="7" t="str">
        <f>HYPERLINK("https://otsuka-europe-crm.veevavault.com/ui/#object/account__v/V4TZ06G6O9VFVI2", "ENNIO FOPPIANI")</f>
        <v>ENNIO FOPPIANI</v>
      </c>
      <c r="B13056" s="7" t="str">
        <f t="shared" ref="B13056:B13061" si="938">HYPERLINK("https://otsuka-europe-crm.veevavault.com/ui/#object/vcountry__v/VENZ000004SONFQ", "IT")</f>
        <v>IT</v>
      </c>
      <c r="C13056" s="8" t="s">
        <v>44</v>
      </c>
      <c r="D13056" s="9" t="str">
        <f t="shared" ref="D13056:D13061" si="939">HYPERLINK("https://otsuka-europe-crm.veevavault.com/ui/#object/approved_document__v/V5O00000001G004", "Branded_RXULTI_AE Ansia_IT-RXU-2500035")</f>
        <v>Branded_RXULTI_AE Ansia_IT-RXU-2500035</v>
      </c>
      <c r="E13056" s="10" t="str">
        <f>HYPERLINK("https://otsuka-europe-crm.veevavault.com/ui/#object/sent_email__v/VBL00000002Y051", "SE-001438646")</f>
        <v>SE-001438646</v>
      </c>
      <c r="F13056" s="11"/>
      <c r="G13056" s="12">
        <v>0</v>
      </c>
      <c r="H13056" s="12">
        <v>0</v>
      </c>
      <c r="I13056" s="12">
        <v>0</v>
      </c>
      <c r="J13056" s="11"/>
      <c r="K13056" s="12">
        <v>0</v>
      </c>
      <c r="L13056" s="10" t="str">
        <f t="shared" ref="L13056:L13061" si="940">HYPERLINK("https://otsuka-europe-crm.veevavault.com/ui/#object/approved_document__v/V5O00000001G004", "Branded_RXULTI_AE Ansia_IT-RXU-2500035")</f>
        <v>Branded_RXULTI_AE Ansia_IT-RXU-2500035</v>
      </c>
      <c r="M13056" s="10" t="str">
        <f t="shared" ref="M13056:M13061" si="941">HYPERLINK("mailto:gianpaolo.fichera@crm.otsuka-europe.com", "gianpaolo.fichera@crm.otsuka-europe.com")</f>
        <v>gianpaolo.fichera@crm.otsuka-europe.com</v>
      </c>
      <c r="N13056" s="13">
        <v>46202.474710648145</v>
      </c>
      <c r="O13056" s="14" t="str">
        <f>HYPERLINK("https://otsuka-europe-crm.veevavault.com/ui/#object/email_activity__v/V8C000000041334", "EN-002100340")</f>
        <v>EN-002100340</v>
      </c>
    </row>
    <row r="13057" spans="1:15" ht="32" x14ac:dyDescent="0.2">
      <c r="A13057" s="7" t="str">
        <f>HYPERLINK("https://otsuka-europe-crm.veevavault.com/ui/#object/account__v/V4TZ06G6O9VFVI2", "ENNIO FOPPIANI")</f>
        <v>ENNIO FOPPIANI</v>
      </c>
      <c r="B13057" s="7" t="str">
        <f t="shared" si="938"/>
        <v>IT</v>
      </c>
      <c r="C13057" s="8" t="s">
        <v>44</v>
      </c>
      <c r="D13057" s="9" t="str">
        <f t="shared" si="939"/>
        <v>Branded_RXULTI_AE Ansia_IT-RXU-2500035</v>
      </c>
      <c r="E13057" s="10" t="str">
        <f>HYPERLINK("https://otsuka-europe-crm.veevavault.com/ui/#object/sent_email__v/VBL00000002Y052", "SE-001438647")</f>
        <v>SE-001438647</v>
      </c>
      <c r="F13057" s="11"/>
      <c r="G13057" s="12">
        <v>0</v>
      </c>
      <c r="H13057" s="12">
        <v>0</v>
      </c>
      <c r="I13057" s="12">
        <v>0</v>
      </c>
      <c r="J13057" s="11"/>
      <c r="K13057" s="12">
        <v>0</v>
      </c>
      <c r="L13057" s="10" t="str">
        <f t="shared" si="940"/>
        <v>Branded_RXULTI_AE Ansia_IT-RXU-2500035</v>
      </c>
      <c r="M13057" s="10" t="str">
        <f t="shared" si="941"/>
        <v>gianpaolo.fichera@crm.otsuka-europe.com</v>
      </c>
      <c r="N13057" s="13">
        <v>46202.636805555558</v>
      </c>
      <c r="O13057" s="14" t="str">
        <f>HYPERLINK("https://otsuka-europe-crm.veevavault.com/ui/#object/email_activity__v/V8C000000041351", "EN-002100383")</f>
        <v>EN-002100383</v>
      </c>
    </row>
    <row r="13058" spans="1:15" ht="32" x14ac:dyDescent="0.2">
      <c r="A13058" s="7" t="str">
        <f>HYPERLINK("https://otsuka-europe-crm.veevavault.com/ui/#object/account__v/V4TZ06G6O8S90I5", "LAURA AMODEO")</f>
        <v>LAURA AMODEO</v>
      </c>
      <c r="B13058" s="7" t="str">
        <f t="shared" si="938"/>
        <v>IT</v>
      </c>
      <c r="C13058" s="8" t="s">
        <v>44</v>
      </c>
      <c r="D13058" s="9" t="str">
        <f t="shared" si="939"/>
        <v>Branded_RXULTI_AE Ansia_IT-RXU-2500035</v>
      </c>
      <c r="E13058" s="10" t="str">
        <f>HYPERLINK("https://otsuka-europe-crm.veevavault.com/ui/#object/sent_email__v/VBL00000002Z234", "SE-001438648")</f>
        <v>SE-001438648</v>
      </c>
      <c r="F13058" s="11"/>
      <c r="G13058" s="12">
        <v>0</v>
      </c>
      <c r="H13058" s="12">
        <v>0</v>
      </c>
      <c r="I13058" s="12">
        <v>0</v>
      </c>
      <c r="J13058" s="11"/>
      <c r="K13058" s="12">
        <v>0</v>
      </c>
      <c r="L13058" s="10" t="str">
        <f t="shared" si="940"/>
        <v>Branded_RXULTI_AE Ansia_IT-RXU-2500035</v>
      </c>
      <c r="M13058" s="10" t="str">
        <f t="shared" si="941"/>
        <v>gianpaolo.fichera@crm.otsuka-europe.com</v>
      </c>
      <c r="N13058" s="13">
        <v>46202.637997685182</v>
      </c>
      <c r="O13058" s="14" t="str">
        <f>HYPERLINK("https://otsuka-europe-crm.veevavault.com/ui/#object/email_activity__v/V8C000000041352", "EN-002100384")</f>
        <v>EN-002100384</v>
      </c>
    </row>
    <row r="13059" spans="1:15" ht="32" x14ac:dyDescent="0.2">
      <c r="A13059" s="7" t="str">
        <f>HYPERLINK("https://otsuka-europe-crm.veevavault.com/ui/#object/account__v/V4TZ06G6O71SA1U", "ALESSANDRA BADA'")</f>
        <v>ALESSANDRA BADA'</v>
      </c>
      <c r="B13059" s="7" t="str">
        <f t="shared" si="938"/>
        <v>IT</v>
      </c>
      <c r="C13059" s="8" t="s">
        <v>44</v>
      </c>
      <c r="D13059" s="9" t="str">
        <f t="shared" si="939"/>
        <v>Branded_RXULTI_AE Ansia_IT-RXU-2500035</v>
      </c>
      <c r="E13059" s="10" t="str">
        <f>HYPERLINK("https://otsuka-europe-crm.veevavault.com/ui/#object/sent_email__v/VBL00000002Z235", "SE-001438649")</f>
        <v>SE-001438649</v>
      </c>
      <c r="F13059" s="11"/>
      <c r="G13059" s="12">
        <v>0</v>
      </c>
      <c r="H13059" s="12">
        <v>0</v>
      </c>
      <c r="I13059" s="12">
        <v>0</v>
      </c>
      <c r="J13059" s="11"/>
      <c r="K13059" s="12">
        <v>0</v>
      </c>
      <c r="L13059" s="10" t="str">
        <f t="shared" si="940"/>
        <v>Branded_RXULTI_AE Ansia_IT-RXU-2500035</v>
      </c>
      <c r="M13059" s="10" t="str">
        <f t="shared" si="941"/>
        <v>gianpaolo.fichera@crm.otsuka-europe.com</v>
      </c>
      <c r="N13059" s="13">
        <v>46202.638449074075</v>
      </c>
      <c r="O13059" s="14" t="str">
        <f>HYPERLINK("https://otsuka-europe-crm.veevavault.com/ui/#object/email_activity__v/V8C000000041353", "EN-002100385")</f>
        <v>EN-002100385</v>
      </c>
    </row>
    <row r="13060" spans="1:15" ht="32" x14ac:dyDescent="0.2">
      <c r="A13060" s="7" t="str">
        <f>HYPERLINK("https://otsuka-europe-crm.veevavault.com/ui/#object/account__v/V4TZ025E82XQD4R", "ANNA BELLICANTA")</f>
        <v>ANNA BELLICANTA</v>
      </c>
      <c r="B13060" s="7" t="str">
        <f t="shared" si="938"/>
        <v>IT</v>
      </c>
      <c r="C13060" s="8" t="s">
        <v>44</v>
      </c>
      <c r="D13060" s="9" t="str">
        <f t="shared" si="939"/>
        <v>Branded_RXULTI_AE Ansia_IT-RXU-2500035</v>
      </c>
      <c r="E13060" s="10" t="str">
        <f>HYPERLINK("https://otsuka-europe-crm.veevavault.com/ui/#object/sent_email__v/VBL00000002Z236", "SE-001438650")</f>
        <v>SE-001438650</v>
      </c>
      <c r="F13060" s="11"/>
      <c r="G13060" s="12">
        <v>0</v>
      </c>
      <c r="H13060" s="12">
        <v>0</v>
      </c>
      <c r="I13060" s="12">
        <v>0</v>
      </c>
      <c r="J13060" s="11"/>
      <c r="K13060" s="12">
        <v>0</v>
      </c>
      <c r="L13060" s="10" t="str">
        <f t="shared" si="940"/>
        <v>Branded_RXULTI_AE Ansia_IT-RXU-2500035</v>
      </c>
      <c r="M13060" s="10" t="str">
        <f t="shared" si="941"/>
        <v>gianpaolo.fichera@crm.otsuka-europe.com</v>
      </c>
      <c r="N13060" s="13">
        <v>46202.638877314814</v>
      </c>
      <c r="O13060" s="14" t="str">
        <f>HYPERLINK("https://otsuka-europe-crm.veevavault.com/ui/#object/email_activity__v/V8C000000041354", "EN-002100386")</f>
        <v>EN-002100386</v>
      </c>
    </row>
    <row r="13061" spans="1:15" ht="16" x14ac:dyDescent="0.2">
      <c r="A13061" s="17" t="str">
        <f>HYPERLINK("https://otsuka-europe-crm.veevavault.com/ui/#object/account__v/V4TZ06G6O71TLDG", "SILVIO BELLINO")</f>
        <v>SILVIO BELLINO</v>
      </c>
      <c r="B13061" s="17" t="str">
        <f t="shared" si="938"/>
        <v>IT</v>
      </c>
      <c r="C13061" s="20" t="s">
        <v>44</v>
      </c>
      <c r="D13061" s="21" t="str">
        <f t="shared" si="939"/>
        <v>Branded_RXULTI_AE Ansia_IT-RXU-2500035</v>
      </c>
      <c r="E13061" s="22" t="str">
        <f>HYPERLINK("https://otsuka-europe-crm.veevavault.com/ui/#object/sent_email__v/VBL00000002Y053", "SE-001438651")</f>
        <v>SE-001438651</v>
      </c>
      <c r="F13061" s="23">
        <v>46202.640763888892</v>
      </c>
      <c r="G13061" s="24">
        <v>1</v>
      </c>
      <c r="H13061" s="24">
        <v>1</v>
      </c>
      <c r="I13061" s="24">
        <v>0</v>
      </c>
      <c r="J13061" s="25"/>
      <c r="K13061" s="24">
        <v>0</v>
      </c>
      <c r="L13061" s="22" t="str">
        <f t="shared" si="940"/>
        <v>Branded_RXULTI_AE Ansia_IT-RXU-2500035</v>
      </c>
      <c r="M13061" s="22" t="str">
        <f t="shared" si="941"/>
        <v>gianpaolo.fichera@crm.otsuka-europe.com</v>
      </c>
      <c r="N13061" s="23">
        <v>46202.639236111114</v>
      </c>
      <c r="O13061" s="14" t="str">
        <f>HYPERLINK("https://otsuka-europe-crm.veevavault.com/ui/#object/email_activity__v/V8C000000042346", "EN-002100387")</f>
        <v>EN-002100387</v>
      </c>
    </row>
    <row r="13062" spans="1:15" ht="16" x14ac:dyDescent="0.2">
      <c r="A13062" s="19"/>
      <c r="B13062" s="19"/>
      <c r="C13062" s="19"/>
      <c r="D13062" s="19"/>
      <c r="E13062" s="19"/>
      <c r="F13062" s="19"/>
      <c r="G13062" s="19"/>
      <c r="H13062" s="19"/>
      <c r="I13062" s="19"/>
      <c r="J13062" s="19"/>
      <c r="K13062" s="19"/>
      <c r="L13062" s="19"/>
      <c r="M13062" s="19"/>
      <c r="N13062" s="19"/>
      <c r="O13062" s="14" t="str">
        <f>HYPERLINK("https://otsuka-europe-crm.veevavault.com/ui/#object/email_activity__v/V8C000000042348", "EN-002100391")</f>
        <v>EN-002100391</v>
      </c>
    </row>
    <row r="13063" spans="1:15" ht="32" x14ac:dyDescent="0.2">
      <c r="A13063" s="7" t="str">
        <f>HYPERLINK("https://otsuka-europe-crm.veevavault.com/ui/#object/account__v/V4TZ06G6O71SA0R", "SILVIA BERARDI")</f>
        <v>SILVIA BERARDI</v>
      </c>
      <c r="B13063" s="7" t="str">
        <f>HYPERLINK("https://otsuka-europe-crm.veevavault.com/ui/#object/vcountry__v/VENZ000004SONFQ", "IT")</f>
        <v>IT</v>
      </c>
      <c r="C13063" s="8" t="s">
        <v>44</v>
      </c>
      <c r="D13063" s="9" t="str">
        <f>HYPERLINK("https://otsuka-europe-crm.veevavault.com/ui/#object/approved_document__v/V5O00000001G004", "Branded_RXULTI_AE Ansia_IT-RXU-2500035")</f>
        <v>Branded_RXULTI_AE Ansia_IT-RXU-2500035</v>
      </c>
      <c r="E13063" s="10" t="str">
        <f>HYPERLINK("https://otsuka-europe-crm.veevavault.com/ui/#object/sent_email__v/VBL00000002Y054", "SE-001438652")</f>
        <v>SE-001438652</v>
      </c>
      <c r="F13063" s="11"/>
      <c r="G13063" s="12">
        <v>0</v>
      </c>
      <c r="H13063" s="12">
        <v>0</v>
      </c>
      <c r="I13063" s="12">
        <v>0</v>
      </c>
      <c r="J13063" s="11"/>
      <c r="K13063" s="12">
        <v>0</v>
      </c>
      <c r="L13063" s="10" t="str">
        <f>HYPERLINK("https://otsuka-europe-crm.veevavault.com/ui/#object/approved_document__v/V5O00000001G004", "Branded_RXULTI_AE Ansia_IT-RXU-2500035")</f>
        <v>Branded_RXULTI_AE Ansia_IT-RXU-2500035</v>
      </c>
      <c r="M13063" s="10" t="str">
        <f>HYPERLINK("mailto:gianpaolo.fichera@crm.otsuka-europe.com", "gianpaolo.fichera@crm.otsuka-europe.com")</f>
        <v>gianpaolo.fichera@crm.otsuka-europe.com</v>
      </c>
      <c r="N13063" s="13">
        <v>46202.63957175926</v>
      </c>
      <c r="O13063" s="14" t="str">
        <f>HYPERLINK("https://otsuka-europe-crm.veevavault.com/ui/#object/email_activity__v/V8C000000041355", "EN-002100388")</f>
        <v>EN-002100388</v>
      </c>
    </row>
    <row r="13064" spans="1:15" ht="32" x14ac:dyDescent="0.2">
      <c r="A13064" s="7" t="str">
        <f>HYPERLINK("https://otsuka-europe-crm.veevavault.com/ui/#object/account__v/V4TZ06G6O71SA0Z", "STEFANIA BERGESE")</f>
        <v>STEFANIA BERGESE</v>
      </c>
      <c r="B13064" s="7" t="str">
        <f>HYPERLINK("https://otsuka-europe-crm.veevavault.com/ui/#object/vcountry__v/VENZ000004SONFQ", "IT")</f>
        <v>IT</v>
      </c>
      <c r="C13064" s="8" t="s">
        <v>44</v>
      </c>
      <c r="D13064" s="9" t="str">
        <f>HYPERLINK("https://otsuka-europe-crm.veevavault.com/ui/#object/approved_document__v/V5O00000001G004", "Branded_RXULTI_AE Ansia_IT-RXU-2500035")</f>
        <v>Branded_RXULTI_AE Ansia_IT-RXU-2500035</v>
      </c>
      <c r="E13064" s="10" t="str">
        <f>HYPERLINK("https://otsuka-europe-crm.veevavault.com/ui/#object/sent_email__v/VBL00000002Y055", "SE-001438653")</f>
        <v>SE-001438653</v>
      </c>
      <c r="F13064" s="11"/>
      <c r="G13064" s="12">
        <v>0</v>
      </c>
      <c r="H13064" s="12">
        <v>0</v>
      </c>
      <c r="I13064" s="12">
        <v>0</v>
      </c>
      <c r="J13064" s="11"/>
      <c r="K13064" s="12">
        <v>0</v>
      </c>
      <c r="L13064" s="10" t="str">
        <f>HYPERLINK("https://otsuka-europe-crm.veevavault.com/ui/#object/approved_document__v/V5O00000001G004", "Branded_RXULTI_AE Ansia_IT-RXU-2500035")</f>
        <v>Branded_RXULTI_AE Ansia_IT-RXU-2500035</v>
      </c>
      <c r="M13064" s="10" t="str">
        <f>HYPERLINK("mailto:gianpaolo.fichera@crm.otsuka-europe.com", "gianpaolo.fichera@crm.otsuka-europe.com")</f>
        <v>gianpaolo.fichera@crm.otsuka-europe.com</v>
      </c>
      <c r="N13064" s="13">
        <v>46202.639918981484</v>
      </c>
      <c r="O13064" s="14" t="str">
        <f>HYPERLINK("https://otsuka-europe-crm.veevavault.com/ui/#object/email_activity__v/V8C000000041356", "EN-002100389")</f>
        <v>EN-002100389</v>
      </c>
    </row>
    <row r="13065" spans="1:15" ht="32" x14ac:dyDescent="0.2">
      <c r="A13065" s="7" t="str">
        <f>HYPERLINK("https://otsuka-europe-crm.veevavault.com/ui/#object/account__v/V4TZ06G6O71SA1F", "DANILO BETTONTE")</f>
        <v>DANILO BETTONTE</v>
      </c>
      <c r="B13065" s="7" t="str">
        <f>HYPERLINK("https://otsuka-europe-crm.veevavault.com/ui/#object/vcountry__v/VENZ000004SONFQ", "IT")</f>
        <v>IT</v>
      </c>
      <c r="C13065" s="8" t="s">
        <v>44</v>
      </c>
      <c r="D13065" s="9" t="str">
        <f>HYPERLINK("https://otsuka-europe-crm.veevavault.com/ui/#object/approved_document__v/V5O00000001G004", "Branded_RXULTI_AE Ansia_IT-RXU-2500035")</f>
        <v>Branded_RXULTI_AE Ansia_IT-RXU-2500035</v>
      </c>
      <c r="E13065" s="10" t="str">
        <f>HYPERLINK("https://otsuka-europe-crm.veevavault.com/ui/#object/sent_email__v/VBL00000002Y056", "SE-001438654")</f>
        <v>SE-001438654</v>
      </c>
      <c r="F13065" s="11"/>
      <c r="G13065" s="12">
        <v>0</v>
      </c>
      <c r="H13065" s="12">
        <v>0</v>
      </c>
      <c r="I13065" s="12">
        <v>0</v>
      </c>
      <c r="J13065" s="11"/>
      <c r="K13065" s="12">
        <v>0</v>
      </c>
      <c r="L13065" s="10" t="str">
        <f>HYPERLINK("https://otsuka-europe-crm.veevavault.com/ui/#object/approved_document__v/V5O00000001G004", "Branded_RXULTI_AE Ansia_IT-RXU-2500035")</f>
        <v>Branded_RXULTI_AE Ansia_IT-RXU-2500035</v>
      </c>
      <c r="M13065" s="10" t="str">
        <f>HYPERLINK("mailto:gianpaolo.fichera@crm.otsuka-europe.com", "gianpaolo.fichera@crm.otsuka-europe.com")</f>
        <v>gianpaolo.fichera@crm.otsuka-europe.com</v>
      </c>
      <c r="N13065" s="13">
        <v>46202.640497685185</v>
      </c>
      <c r="O13065" s="14" t="str">
        <f>HYPERLINK("https://otsuka-europe-crm.veevavault.com/ui/#object/email_activity__v/V8C000000042347", "EN-002100390")</f>
        <v>EN-002100390</v>
      </c>
    </row>
    <row r="13066" spans="1:15" ht="32" x14ac:dyDescent="0.2">
      <c r="A13066" s="7" t="str">
        <f>HYPERLINK("https://otsuka-europe-crm.veevavault.com/ui/#object/account__v/V4TZ06G6O71S9C1", "ARIANNA BLANDAMURA")</f>
        <v>ARIANNA BLANDAMURA</v>
      </c>
      <c r="B13066" s="7" t="str">
        <f>HYPERLINK("https://otsuka-europe-crm.veevavault.com/ui/#object/vcountry__v/VENZ000004SONFQ", "IT")</f>
        <v>IT</v>
      </c>
      <c r="C13066" s="8" t="s">
        <v>44</v>
      </c>
      <c r="D13066" s="9" t="str">
        <f>HYPERLINK("https://otsuka-europe-crm.veevavault.com/ui/#object/approved_document__v/V5O00000001G004", "Branded_RXULTI_AE Ansia_IT-RXU-2500035")</f>
        <v>Branded_RXULTI_AE Ansia_IT-RXU-2500035</v>
      </c>
      <c r="E13066" s="10" t="str">
        <f>HYPERLINK("https://otsuka-europe-crm.veevavault.com/ui/#object/sent_email__v/VBL00000002Z237", "SE-001438655")</f>
        <v>SE-001438655</v>
      </c>
      <c r="F13066" s="11"/>
      <c r="G13066" s="12">
        <v>0</v>
      </c>
      <c r="H13066" s="12">
        <v>0</v>
      </c>
      <c r="I13066" s="12">
        <v>0</v>
      </c>
      <c r="J13066" s="11"/>
      <c r="K13066" s="12">
        <v>0</v>
      </c>
      <c r="L13066" s="10" t="str">
        <f>HYPERLINK("https://otsuka-europe-crm.veevavault.com/ui/#object/approved_document__v/V5O00000001G004", "Branded_RXULTI_AE Ansia_IT-RXU-2500035")</f>
        <v>Branded_RXULTI_AE Ansia_IT-RXU-2500035</v>
      </c>
      <c r="M13066" s="10" t="str">
        <f>HYPERLINK("mailto:gianpaolo.fichera@crm.otsuka-europe.com", "gianpaolo.fichera@crm.otsuka-europe.com")</f>
        <v>gianpaolo.fichera@crm.otsuka-europe.com</v>
      </c>
      <c r="N13066" s="13">
        <v>46202.640960648147</v>
      </c>
      <c r="O13066" s="14" t="str">
        <f>HYPERLINK("https://otsuka-europe-crm.veevavault.com/ui/#object/email_activity__v/V8C000000041357", "EN-002100392")</f>
        <v>EN-002100392</v>
      </c>
    </row>
    <row r="13067" spans="1:15" ht="16" x14ac:dyDescent="0.2">
      <c r="A13067" s="17" t="str">
        <f>HYPERLINK("https://otsuka-europe-crm.veevavault.com/ui/#object/account__v/V4TZ04ASGC7N4UC", "RAFFAELE BONATTO REVELLO")</f>
        <v>RAFFAELE BONATTO REVELLO</v>
      </c>
      <c r="B13067" s="17" t="str">
        <f>HYPERLINK("https://otsuka-europe-crm.veevavault.com/ui/#object/vcountry__v/VENZ000004SONFQ", "IT")</f>
        <v>IT</v>
      </c>
      <c r="C13067" s="20" t="s">
        <v>44</v>
      </c>
      <c r="D13067" s="21" t="str">
        <f>HYPERLINK("https://otsuka-europe-crm.veevavault.com/ui/#object/approved_document__v/V5O00000001G004", "Branded_RXULTI_AE Ansia_IT-RXU-2500035")</f>
        <v>Branded_RXULTI_AE Ansia_IT-RXU-2500035</v>
      </c>
      <c r="E13067" s="22" t="str">
        <f>HYPERLINK("https://otsuka-europe-crm.veevavault.com/ui/#object/sent_email__v/VBL00000002Z238", "SE-001438656")</f>
        <v>SE-001438656</v>
      </c>
      <c r="F13067" s="23">
        <v>46202.641504629632</v>
      </c>
      <c r="G13067" s="24">
        <v>1</v>
      </c>
      <c r="H13067" s="24">
        <v>2</v>
      </c>
      <c r="I13067" s="24">
        <v>1</v>
      </c>
      <c r="J13067" s="23">
        <v>46202.641504629632</v>
      </c>
      <c r="K13067" s="24">
        <v>4</v>
      </c>
      <c r="L13067" s="22" t="str">
        <f>HYPERLINK("https://otsuka-europe-crm.veevavault.com/ui/#object/approved_document__v/V5O00000001G004", "Branded_RXULTI_AE Ansia_IT-RXU-2500035")</f>
        <v>Branded_RXULTI_AE Ansia_IT-RXU-2500035</v>
      </c>
      <c r="M13067" s="22" t="str">
        <f>HYPERLINK("mailto:gianpaolo.fichera@crm.otsuka-europe.com", "gianpaolo.fichera@crm.otsuka-europe.com")</f>
        <v>gianpaolo.fichera@crm.otsuka-europe.com</v>
      </c>
      <c r="N13067" s="23">
        <v>46202.641365740739</v>
      </c>
      <c r="O13067" s="14" t="str">
        <f>HYPERLINK("https://otsuka-europe-crm.veevavault.com/ui/#object/email_activity__v/V8C000000041358", "EN-002100393")</f>
        <v>EN-002100393</v>
      </c>
    </row>
    <row r="13068" spans="1:15" ht="16" x14ac:dyDescent="0.2">
      <c r="A13068" s="18"/>
      <c r="B13068" s="18"/>
      <c r="C13068" s="18"/>
      <c r="D13068" s="18"/>
      <c r="E13068" s="18"/>
      <c r="F13068" s="18"/>
      <c r="G13068" s="18"/>
      <c r="H13068" s="18"/>
      <c r="I13068" s="18"/>
      <c r="J13068" s="18"/>
      <c r="K13068" s="18"/>
      <c r="L13068" s="18"/>
      <c r="M13068" s="18"/>
      <c r="N13068" s="18"/>
      <c r="O13068" s="14" t="str">
        <f>HYPERLINK("https://otsuka-europe-crm.veevavault.com/ui/#object/email_activity__v/V8C000000041359", "EN-002100396")</f>
        <v>EN-002100396</v>
      </c>
    </row>
    <row r="13069" spans="1:15" ht="16" x14ac:dyDescent="0.2">
      <c r="A13069" s="18"/>
      <c r="B13069" s="18"/>
      <c r="C13069" s="18"/>
      <c r="D13069" s="18"/>
      <c r="E13069" s="18"/>
      <c r="F13069" s="18"/>
      <c r="G13069" s="18"/>
      <c r="H13069" s="18"/>
      <c r="I13069" s="18"/>
      <c r="J13069" s="18"/>
      <c r="K13069" s="18"/>
      <c r="L13069" s="18"/>
      <c r="M13069" s="18"/>
      <c r="N13069" s="18"/>
      <c r="O13069" s="14" t="str">
        <f>HYPERLINK("https://otsuka-europe-crm.veevavault.com/ui/#object/email_activity__v/V8C000000041360", "EN-002100394")</f>
        <v>EN-002100394</v>
      </c>
    </row>
    <row r="13070" spans="1:15" ht="16" x14ac:dyDescent="0.2">
      <c r="A13070" s="18"/>
      <c r="B13070" s="18"/>
      <c r="C13070" s="18"/>
      <c r="D13070" s="18"/>
      <c r="E13070" s="18"/>
      <c r="F13070" s="18"/>
      <c r="G13070" s="18"/>
      <c r="H13070" s="18"/>
      <c r="I13070" s="18"/>
      <c r="J13070" s="18"/>
      <c r="K13070" s="18"/>
      <c r="L13070" s="18"/>
      <c r="M13070" s="18"/>
      <c r="N13070" s="18"/>
      <c r="O13070" s="14" t="str">
        <f>HYPERLINK("https://otsuka-europe-crm.veevavault.com/ui/#object/email_activity__v/V8C000000041361", "EN-002100398")</f>
        <v>EN-002100398</v>
      </c>
    </row>
    <row r="13071" spans="1:15" ht="16" x14ac:dyDescent="0.2">
      <c r="A13071" s="18"/>
      <c r="B13071" s="18"/>
      <c r="C13071" s="18"/>
      <c r="D13071" s="18"/>
      <c r="E13071" s="18"/>
      <c r="F13071" s="18"/>
      <c r="G13071" s="18"/>
      <c r="H13071" s="18"/>
      <c r="I13071" s="18"/>
      <c r="J13071" s="18"/>
      <c r="K13071" s="18"/>
      <c r="L13071" s="18"/>
      <c r="M13071" s="18"/>
      <c r="N13071" s="18"/>
      <c r="O13071" s="14" t="str">
        <f>HYPERLINK("https://otsuka-europe-crm.veevavault.com/ui/#object/email_activity__v/V8C000000041362", "EN-002100395")</f>
        <v>EN-002100395</v>
      </c>
    </row>
    <row r="13072" spans="1:15" ht="16" x14ac:dyDescent="0.2">
      <c r="A13072" s="18"/>
      <c r="B13072" s="18"/>
      <c r="C13072" s="18"/>
      <c r="D13072" s="18"/>
      <c r="E13072" s="18"/>
      <c r="F13072" s="18"/>
      <c r="G13072" s="18"/>
      <c r="H13072" s="18"/>
      <c r="I13072" s="18"/>
      <c r="J13072" s="18"/>
      <c r="K13072" s="18"/>
      <c r="L13072" s="18"/>
      <c r="M13072" s="18"/>
      <c r="N13072" s="18"/>
      <c r="O13072" s="14" t="str">
        <f>HYPERLINK("https://otsuka-europe-crm.veevavault.com/ui/#object/email_activity__v/V8C000000041363", "EN-002100397")</f>
        <v>EN-002100397</v>
      </c>
    </row>
    <row r="13073" spans="1:15" ht="16" x14ac:dyDescent="0.2">
      <c r="A13073" s="19"/>
      <c r="B13073" s="19"/>
      <c r="C13073" s="19"/>
      <c r="D13073" s="19"/>
      <c r="E13073" s="19"/>
      <c r="F13073" s="19"/>
      <c r="G13073" s="19"/>
      <c r="H13073" s="19"/>
      <c r="I13073" s="19"/>
      <c r="J13073" s="19"/>
      <c r="K13073" s="19"/>
      <c r="L13073" s="19"/>
      <c r="M13073" s="19"/>
      <c r="N13073" s="19"/>
      <c r="O13073" s="14" t="str">
        <f>HYPERLINK("https://otsuka-europe-crm.veevavault.com/ui/#object/email_activity__v/V8C000000042349", "EN-002100399")</f>
        <v>EN-002100399</v>
      </c>
    </row>
    <row r="13074" spans="1:15" ht="16" x14ac:dyDescent="0.2">
      <c r="A13074" s="17" t="str">
        <f>HYPERLINK("https://otsuka-europe-crm.veevavault.com/ui/#object/account__v/V4TZ06G6O71TLBT", "PAOLA BOZZATELLO")</f>
        <v>PAOLA BOZZATELLO</v>
      </c>
      <c r="B13074" s="17" t="str">
        <f>HYPERLINK("https://otsuka-europe-crm.veevavault.com/ui/#object/vcountry__v/VENZ000004SONFQ", "IT")</f>
        <v>IT</v>
      </c>
      <c r="C13074" s="20" t="s">
        <v>44</v>
      </c>
      <c r="D13074" s="21" t="str">
        <f>HYPERLINK("https://otsuka-europe-crm.veevavault.com/ui/#object/approved_document__v/V5O00000001G004", "Branded_RXULTI_AE Ansia_IT-RXU-2500035")</f>
        <v>Branded_RXULTI_AE Ansia_IT-RXU-2500035</v>
      </c>
      <c r="E13074" s="22" t="str">
        <f>HYPERLINK("https://otsuka-europe-crm.veevavault.com/ui/#object/sent_email__v/VBL00000002Y057", "SE-001438657")</f>
        <v>SE-001438657</v>
      </c>
      <c r="F13074" s="23">
        <v>46202.777407407404</v>
      </c>
      <c r="G13074" s="24">
        <v>1</v>
      </c>
      <c r="H13074" s="24">
        <v>3</v>
      </c>
      <c r="I13074" s="24">
        <v>0</v>
      </c>
      <c r="J13074" s="25"/>
      <c r="K13074" s="24">
        <v>0</v>
      </c>
      <c r="L13074" s="22" t="str">
        <f>HYPERLINK("https://otsuka-europe-crm.veevavault.com/ui/#object/approved_document__v/V5O00000001G004", "Branded_RXULTI_AE Ansia_IT-RXU-2500035")</f>
        <v>Branded_RXULTI_AE Ansia_IT-RXU-2500035</v>
      </c>
      <c r="M13074" s="22" t="str">
        <f>HYPERLINK("mailto:gianpaolo.fichera@crm.otsuka-europe.com", "gianpaolo.fichera@crm.otsuka-europe.com")</f>
        <v>gianpaolo.fichera@crm.otsuka-europe.com</v>
      </c>
      <c r="N13074" s="23">
        <v>46202.641840277778</v>
      </c>
      <c r="O13074" s="14" t="str">
        <f>HYPERLINK("https://otsuka-europe-crm.veevavault.com/ui/#object/email_activity__v/V8C000000041379", "EN-002100447")</f>
        <v>EN-002100447</v>
      </c>
    </row>
    <row r="13075" spans="1:15" ht="16" x14ac:dyDescent="0.2">
      <c r="A13075" s="18"/>
      <c r="B13075" s="18"/>
      <c r="C13075" s="18"/>
      <c r="D13075" s="18"/>
      <c r="E13075" s="18"/>
      <c r="F13075" s="18"/>
      <c r="G13075" s="18"/>
      <c r="H13075" s="18"/>
      <c r="I13075" s="18"/>
      <c r="J13075" s="18"/>
      <c r="K13075" s="18"/>
      <c r="L13075" s="18"/>
      <c r="M13075" s="18"/>
      <c r="N13075" s="18"/>
      <c r="O13075" s="14" t="str">
        <f>HYPERLINK("https://otsuka-europe-crm.veevavault.com/ui/#object/email_activity__v/V8C000000041488", "EN-002100637")</f>
        <v>EN-002100637</v>
      </c>
    </row>
    <row r="13076" spans="1:15" ht="16" x14ac:dyDescent="0.2">
      <c r="A13076" s="18"/>
      <c r="B13076" s="18"/>
      <c r="C13076" s="18"/>
      <c r="D13076" s="18"/>
      <c r="E13076" s="18"/>
      <c r="F13076" s="18"/>
      <c r="G13076" s="18"/>
      <c r="H13076" s="18"/>
      <c r="I13076" s="18"/>
      <c r="J13076" s="18"/>
      <c r="K13076" s="18"/>
      <c r="L13076" s="18"/>
      <c r="M13076" s="18"/>
      <c r="N13076" s="18"/>
      <c r="O13076" s="14" t="str">
        <f>HYPERLINK("https://otsuka-europe-crm.veevavault.com/ui/#object/email_activity__v/V8C000000042350", "EN-002100400")</f>
        <v>EN-002100400</v>
      </c>
    </row>
    <row r="13077" spans="1:15" ht="16" x14ac:dyDescent="0.2">
      <c r="A13077" s="19"/>
      <c r="B13077" s="19"/>
      <c r="C13077" s="19"/>
      <c r="D13077" s="19"/>
      <c r="E13077" s="19"/>
      <c r="F13077" s="19"/>
      <c r="G13077" s="19"/>
      <c r="H13077" s="19"/>
      <c r="I13077" s="19"/>
      <c r="J13077" s="19"/>
      <c r="K13077" s="19"/>
      <c r="L13077" s="19"/>
      <c r="M13077" s="19"/>
      <c r="N13077" s="19"/>
      <c r="O13077" s="14" t="str">
        <f>HYPERLINK("https://otsuka-europe-crm.veevavault.com/ui/#object/email_activity__v/V8C000000042372", "EN-002100430")</f>
        <v>EN-002100430</v>
      </c>
    </row>
    <row r="13078" spans="1:15" ht="16" x14ac:dyDescent="0.2">
      <c r="A13078" s="17" t="str">
        <f>HYPERLINK("https://otsuka-europe-crm.veevavault.com/ui/#object/account__v/V4T000000014069", "VALENTINA CAIROLA")</f>
        <v>VALENTINA CAIROLA</v>
      </c>
      <c r="B13078" s="17" t="str">
        <f>HYPERLINK("https://otsuka-europe-crm.veevavault.com/ui/#object/vcountry__v/VENZ000004SONFQ", "IT")</f>
        <v>IT</v>
      </c>
      <c r="C13078" s="20" t="s">
        <v>44</v>
      </c>
      <c r="D13078" s="21" t="str">
        <f>HYPERLINK("https://otsuka-europe-crm.veevavault.com/ui/#object/approved_document__v/V5O00000001G004", "Branded_RXULTI_AE Ansia_IT-RXU-2500035")</f>
        <v>Branded_RXULTI_AE Ansia_IT-RXU-2500035</v>
      </c>
      <c r="E13078" s="22" t="str">
        <f>HYPERLINK("https://otsuka-europe-crm.veevavault.com/ui/#object/sent_email__v/VBL00000002Y058", "SE-001438658")</f>
        <v>SE-001438658</v>
      </c>
      <c r="F13078" s="23">
        <v>46202.643275462964</v>
      </c>
      <c r="G13078" s="24">
        <v>1</v>
      </c>
      <c r="H13078" s="24">
        <v>2</v>
      </c>
      <c r="I13078" s="24">
        <v>1</v>
      </c>
      <c r="J13078" s="23">
        <v>46202.643275462964</v>
      </c>
      <c r="K13078" s="24">
        <v>4</v>
      </c>
      <c r="L13078" s="22" t="str">
        <f>HYPERLINK("https://otsuka-europe-crm.veevavault.com/ui/#object/approved_document__v/V5O00000001G004", "Branded_RXULTI_AE Ansia_IT-RXU-2500035")</f>
        <v>Branded_RXULTI_AE Ansia_IT-RXU-2500035</v>
      </c>
      <c r="M13078" s="22" t="str">
        <f>HYPERLINK("mailto:gianpaolo.fichera@crm.otsuka-europe.com", "gianpaolo.fichera@crm.otsuka-europe.com")</f>
        <v>gianpaolo.fichera@crm.otsuka-europe.com</v>
      </c>
      <c r="N13078" s="23">
        <v>46202.643067129633</v>
      </c>
      <c r="O13078" s="14" t="str">
        <f>HYPERLINK("https://otsuka-europe-crm.veevavault.com/ui/#object/email_activity__v/V8C000000041364", "EN-002100404")</f>
        <v>EN-002100404</v>
      </c>
    </row>
    <row r="13079" spans="1:15" ht="16" x14ac:dyDescent="0.2">
      <c r="A13079" s="18"/>
      <c r="B13079" s="18"/>
      <c r="C13079" s="18"/>
      <c r="D13079" s="18"/>
      <c r="E13079" s="18"/>
      <c r="F13079" s="18"/>
      <c r="G13079" s="18"/>
      <c r="H13079" s="18"/>
      <c r="I13079" s="18"/>
      <c r="J13079" s="18"/>
      <c r="K13079" s="18"/>
      <c r="L13079" s="18"/>
      <c r="M13079" s="18"/>
      <c r="N13079" s="18"/>
      <c r="O13079" s="14" t="str">
        <f>HYPERLINK("https://otsuka-europe-crm.veevavault.com/ui/#object/email_activity__v/V8C000000041365", "EN-002100402")</f>
        <v>EN-002100402</v>
      </c>
    </row>
    <row r="13080" spans="1:15" ht="16" x14ac:dyDescent="0.2">
      <c r="A13080" s="18"/>
      <c r="B13080" s="18"/>
      <c r="C13080" s="18"/>
      <c r="D13080" s="18"/>
      <c r="E13080" s="18"/>
      <c r="F13080" s="18"/>
      <c r="G13080" s="18"/>
      <c r="H13080" s="18"/>
      <c r="I13080" s="18"/>
      <c r="J13080" s="18"/>
      <c r="K13080" s="18"/>
      <c r="L13080" s="18"/>
      <c r="M13080" s="18"/>
      <c r="N13080" s="18"/>
      <c r="O13080" s="14" t="str">
        <f>HYPERLINK("https://otsuka-europe-crm.veevavault.com/ui/#object/email_activity__v/V8C000000041366", "EN-002100405")</f>
        <v>EN-002100405</v>
      </c>
    </row>
    <row r="13081" spans="1:15" ht="16" x14ac:dyDescent="0.2">
      <c r="A13081" s="18"/>
      <c r="B13081" s="18"/>
      <c r="C13081" s="18"/>
      <c r="D13081" s="18"/>
      <c r="E13081" s="18"/>
      <c r="F13081" s="18"/>
      <c r="G13081" s="18"/>
      <c r="H13081" s="18"/>
      <c r="I13081" s="18"/>
      <c r="J13081" s="18"/>
      <c r="K13081" s="18"/>
      <c r="L13081" s="18"/>
      <c r="M13081" s="18"/>
      <c r="N13081" s="18"/>
      <c r="O13081" s="14" t="str">
        <f>HYPERLINK("https://otsuka-europe-crm.veevavault.com/ui/#object/email_activity__v/V8C000000041367", "EN-002100407")</f>
        <v>EN-002100407</v>
      </c>
    </row>
    <row r="13082" spans="1:15" ht="16" x14ac:dyDescent="0.2">
      <c r="A13082" s="18"/>
      <c r="B13082" s="18"/>
      <c r="C13082" s="18"/>
      <c r="D13082" s="18"/>
      <c r="E13082" s="18"/>
      <c r="F13082" s="18"/>
      <c r="G13082" s="18"/>
      <c r="H13082" s="18"/>
      <c r="I13082" s="18"/>
      <c r="J13082" s="18"/>
      <c r="K13082" s="18"/>
      <c r="L13082" s="18"/>
      <c r="M13082" s="18"/>
      <c r="N13082" s="18"/>
      <c r="O13082" s="14" t="str">
        <f>HYPERLINK("https://otsuka-europe-crm.veevavault.com/ui/#object/email_activity__v/V8C000000042351", "EN-002100401")</f>
        <v>EN-002100401</v>
      </c>
    </row>
    <row r="13083" spans="1:15" ht="16" x14ac:dyDescent="0.2">
      <c r="A13083" s="18"/>
      <c r="B13083" s="18"/>
      <c r="C13083" s="18"/>
      <c r="D13083" s="18"/>
      <c r="E13083" s="18"/>
      <c r="F13083" s="18"/>
      <c r="G13083" s="18"/>
      <c r="H13083" s="18"/>
      <c r="I13083" s="18"/>
      <c r="J13083" s="18"/>
      <c r="K13083" s="18"/>
      <c r="L13083" s="18"/>
      <c r="M13083" s="18"/>
      <c r="N13083" s="18"/>
      <c r="O13083" s="14" t="str">
        <f>HYPERLINK("https://otsuka-europe-crm.veevavault.com/ui/#object/email_activity__v/V8C000000042352", "EN-002100406")</f>
        <v>EN-002100406</v>
      </c>
    </row>
    <row r="13084" spans="1:15" ht="16" x14ac:dyDescent="0.2">
      <c r="A13084" s="19"/>
      <c r="B13084" s="19"/>
      <c r="C13084" s="19"/>
      <c r="D13084" s="19"/>
      <c r="E13084" s="19"/>
      <c r="F13084" s="19"/>
      <c r="G13084" s="19"/>
      <c r="H13084" s="19"/>
      <c r="I13084" s="19"/>
      <c r="J13084" s="19"/>
      <c r="K13084" s="19"/>
      <c r="L13084" s="19"/>
      <c r="M13084" s="19"/>
      <c r="N13084" s="19"/>
      <c r="O13084" s="14" t="str">
        <f>HYPERLINK("https://otsuka-europe-crm.veevavault.com/ui/#object/email_activity__v/V8C000000042353", "EN-002100403")</f>
        <v>EN-002100403</v>
      </c>
    </row>
    <row r="13085" spans="1:15" ht="16" x14ac:dyDescent="0.2">
      <c r="A13085" s="17" t="str">
        <f>HYPERLINK("https://otsuka-europe-crm.veevavault.com/ui/#object/account__v/V4TZ06G6O71SAY6", "PAOLA CATERINA CALDERA")</f>
        <v>PAOLA CATERINA CALDERA</v>
      </c>
      <c r="B13085" s="17" t="str">
        <f>HYPERLINK("https://otsuka-europe-crm.veevavault.com/ui/#object/vcountry__v/VENZ000004SONFQ", "IT")</f>
        <v>IT</v>
      </c>
      <c r="C13085" s="20" t="s">
        <v>44</v>
      </c>
      <c r="D13085" s="21" t="str">
        <f>HYPERLINK("https://otsuka-europe-crm.veevavault.com/ui/#object/approved_document__v/V5O00000001G004", "Branded_RXULTI_AE Ansia_IT-RXU-2500035")</f>
        <v>Branded_RXULTI_AE Ansia_IT-RXU-2500035</v>
      </c>
      <c r="E13085" s="22" t="str">
        <f>HYPERLINK("https://otsuka-europe-crm.veevavault.com/ui/#object/sent_email__v/VBL00000002Y059", "SE-001438659")</f>
        <v>SE-001438659</v>
      </c>
      <c r="F13085" s="23">
        <v>46203.549039351848</v>
      </c>
      <c r="G13085" s="24">
        <v>1</v>
      </c>
      <c r="H13085" s="24">
        <v>4</v>
      </c>
      <c r="I13085" s="24">
        <v>0</v>
      </c>
      <c r="J13085" s="25"/>
      <c r="K13085" s="24">
        <v>0</v>
      </c>
      <c r="L13085" s="22" t="str">
        <f>HYPERLINK("https://otsuka-europe-crm.veevavault.com/ui/#object/approved_document__v/V5O00000001G004", "Branded_RXULTI_AE Ansia_IT-RXU-2500035")</f>
        <v>Branded_RXULTI_AE Ansia_IT-RXU-2500035</v>
      </c>
      <c r="M13085" s="22" t="str">
        <f>HYPERLINK("mailto:gianpaolo.fichera@crm.otsuka-europe.com", "gianpaolo.fichera@crm.otsuka-europe.com")</f>
        <v>gianpaolo.fichera@crm.otsuka-europe.com</v>
      </c>
      <c r="N13085" s="23">
        <v>46202.643460648149</v>
      </c>
      <c r="O13085" s="14" t="str">
        <f>HYPERLINK("https://otsuka-europe-crm.veevavault.com/ui/#object/email_activity__v/V8C000000041368", "EN-002100408")</f>
        <v>EN-002100408</v>
      </c>
    </row>
    <row r="13086" spans="1:15" ht="16" x14ac:dyDescent="0.2">
      <c r="A13086" s="18"/>
      <c r="B13086" s="18"/>
      <c r="C13086" s="18"/>
      <c r="D13086" s="18"/>
      <c r="E13086" s="18"/>
      <c r="F13086" s="18"/>
      <c r="G13086" s="18"/>
      <c r="H13086" s="18"/>
      <c r="I13086" s="18"/>
      <c r="J13086" s="18"/>
      <c r="K13086" s="18"/>
      <c r="L13086" s="18"/>
      <c r="M13086" s="18"/>
      <c r="N13086" s="18"/>
      <c r="O13086" s="14" t="str">
        <f>HYPERLINK("https://otsuka-europe-crm.veevavault.com/ui/#object/email_activity__v/V8C000000041447", "EN-002100529")</f>
        <v>EN-002100529</v>
      </c>
    </row>
    <row r="13087" spans="1:15" ht="16" x14ac:dyDescent="0.2">
      <c r="A13087" s="18"/>
      <c r="B13087" s="18"/>
      <c r="C13087" s="18"/>
      <c r="D13087" s="18"/>
      <c r="E13087" s="18"/>
      <c r="F13087" s="18"/>
      <c r="G13087" s="18"/>
      <c r="H13087" s="18"/>
      <c r="I13087" s="18"/>
      <c r="J13087" s="18"/>
      <c r="K13087" s="18"/>
      <c r="L13087" s="18"/>
      <c r="M13087" s="18"/>
      <c r="N13087" s="18"/>
      <c r="O13087" s="14" t="str">
        <f>HYPERLINK("https://otsuka-europe-crm.veevavault.com/ui/#object/email_activity__v/V8C000000041448", "EN-002100530")</f>
        <v>EN-002100530</v>
      </c>
    </row>
    <row r="13088" spans="1:15" ht="16" x14ac:dyDescent="0.2">
      <c r="A13088" s="18"/>
      <c r="B13088" s="18"/>
      <c r="C13088" s="18"/>
      <c r="D13088" s="18"/>
      <c r="E13088" s="18"/>
      <c r="F13088" s="18"/>
      <c r="G13088" s="18"/>
      <c r="H13088" s="18"/>
      <c r="I13088" s="18"/>
      <c r="J13088" s="18"/>
      <c r="K13088" s="18"/>
      <c r="L13088" s="18"/>
      <c r="M13088" s="18"/>
      <c r="N13088" s="18"/>
      <c r="O13088" s="14" t="str">
        <f>HYPERLINK("https://otsuka-europe-crm.veevavault.com/ui/#object/email_activity__v/V8C000000041603", "EN-002100846")</f>
        <v>EN-002100846</v>
      </c>
    </row>
    <row r="13089" spans="1:15" ht="16" x14ac:dyDescent="0.2">
      <c r="A13089" s="19"/>
      <c r="B13089" s="19"/>
      <c r="C13089" s="19"/>
      <c r="D13089" s="19"/>
      <c r="E13089" s="19"/>
      <c r="F13089" s="19"/>
      <c r="G13089" s="19"/>
      <c r="H13089" s="19"/>
      <c r="I13089" s="19"/>
      <c r="J13089" s="19"/>
      <c r="K13089" s="19"/>
      <c r="L13089" s="19"/>
      <c r="M13089" s="19"/>
      <c r="N13089" s="19"/>
      <c r="O13089" s="14" t="str">
        <f>HYPERLINK("https://otsuka-europe-crm.veevavault.com/ui/#object/email_activity__v/V8C000000042396", "EN-002100531")</f>
        <v>EN-002100531</v>
      </c>
    </row>
    <row r="13090" spans="1:15" ht="32" x14ac:dyDescent="0.2">
      <c r="A13090" s="7" t="str">
        <f>HYPERLINK("https://otsuka-europe-crm.veevavault.com/ui/#object/account__v/V4TZ025E82ZJRJ1", "ELENA CAMERA")</f>
        <v>ELENA CAMERA</v>
      </c>
      <c r="B13090" s="7" t="str">
        <f>HYPERLINK("https://otsuka-europe-crm.veevavault.com/ui/#object/vcountry__v/VENZ000004SONFQ", "IT")</f>
        <v>IT</v>
      </c>
      <c r="C13090" s="8" t="s">
        <v>44</v>
      </c>
      <c r="D13090" s="9" t="str">
        <f>HYPERLINK("https://otsuka-europe-crm.veevavault.com/ui/#object/approved_document__v/V5O00000001G004", "Branded_RXULTI_AE Ansia_IT-RXU-2500035")</f>
        <v>Branded_RXULTI_AE Ansia_IT-RXU-2500035</v>
      </c>
      <c r="E13090" s="10" t="str">
        <f>HYPERLINK("https://otsuka-europe-crm.veevavault.com/ui/#object/sent_email__v/VBL00000002Y060", "SE-001438660")</f>
        <v>SE-001438660</v>
      </c>
      <c r="F13090" s="11"/>
      <c r="G13090" s="12">
        <v>0</v>
      </c>
      <c r="H13090" s="12">
        <v>0</v>
      </c>
      <c r="I13090" s="12">
        <v>0</v>
      </c>
      <c r="J13090" s="11"/>
      <c r="K13090" s="12">
        <v>0</v>
      </c>
      <c r="L13090" s="10" t="str">
        <f>HYPERLINK("https://otsuka-europe-crm.veevavault.com/ui/#object/approved_document__v/V5O00000001G004", "Branded_RXULTI_AE Ansia_IT-RXU-2500035")</f>
        <v>Branded_RXULTI_AE Ansia_IT-RXU-2500035</v>
      </c>
      <c r="M13090" s="10" t="str">
        <f>HYPERLINK("mailto:gianpaolo.fichera@crm.otsuka-europe.com", "gianpaolo.fichera@crm.otsuka-europe.com")</f>
        <v>gianpaolo.fichera@crm.otsuka-europe.com</v>
      </c>
      <c r="N13090" s="13">
        <v>46202.643912037034</v>
      </c>
      <c r="O13090" s="14" t="str">
        <f>HYPERLINK("https://otsuka-europe-crm.veevavault.com/ui/#object/email_activity__v/V8C000000041369", "EN-002100409")</f>
        <v>EN-002100409</v>
      </c>
    </row>
    <row r="13091" spans="1:15" ht="32" x14ac:dyDescent="0.2">
      <c r="A13091" s="7" t="str">
        <f>HYPERLINK("https://otsuka-europe-crm.veevavault.com/ui/#object/account__v/V4TZ06G6O71SAYR", "ANTONELLA CAPELLUPO")</f>
        <v>ANTONELLA CAPELLUPO</v>
      </c>
      <c r="B13091" s="7" t="str">
        <f>HYPERLINK("https://otsuka-europe-crm.veevavault.com/ui/#object/vcountry__v/VENZ000004SONFQ", "IT")</f>
        <v>IT</v>
      </c>
      <c r="C13091" s="8" t="s">
        <v>44</v>
      </c>
      <c r="D13091" s="9" t="str">
        <f>HYPERLINK("https://otsuka-europe-crm.veevavault.com/ui/#object/approved_document__v/V5O00000001G004", "Branded_RXULTI_AE Ansia_IT-RXU-2500035")</f>
        <v>Branded_RXULTI_AE Ansia_IT-RXU-2500035</v>
      </c>
      <c r="E13091" s="10" t="str">
        <f>HYPERLINK("https://otsuka-europe-crm.veevavault.com/ui/#object/sent_email__v/VBL00000002Z239", "SE-001438661")</f>
        <v>SE-001438661</v>
      </c>
      <c r="F13091" s="11"/>
      <c r="G13091" s="12">
        <v>0</v>
      </c>
      <c r="H13091" s="12">
        <v>0</v>
      </c>
      <c r="I13091" s="12">
        <v>0</v>
      </c>
      <c r="J13091" s="11"/>
      <c r="K13091" s="12">
        <v>0</v>
      </c>
      <c r="L13091" s="10" t="str">
        <f>HYPERLINK("https://otsuka-europe-crm.veevavault.com/ui/#object/approved_document__v/V5O00000001G004", "Branded_RXULTI_AE Ansia_IT-RXU-2500035")</f>
        <v>Branded_RXULTI_AE Ansia_IT-RXU-2500035</v>
      </c>
      <c r="M13091" s="10" t="str">
        <f>HYPERLINK("mailto:gianpaolo.fichera@crm.otsuka-europe.com", "gianpaolo.fichera@crm.otsuka-europe.com")</f>
        <v>gianpaolo.fichera@crm.otsuka-europe.com</v>
      </c>
      <c r="N13091" s="13">
        <v>46202.644328703704</v>
      </c>
      <c r="O13091" s="14" t="str">
        <f>HYPERLINK("https://otsuka-europe-crm.veevavault.com/ui/#object/email_activity__v/V8C000000042354", "EN-002100410")</f>
        <v>EN-002100410</v>
      </c>
    </row>
    <row r="13092" spans="1:15" ht="32" x14ac:dyDescent="0.2">
      <c r="A13092" s="7" t="str">
        <f>HYPERLINK("https://otsuka-europe-crm.veevavault.com/ui/#object/account__v/V4TZ04ASG6P3PIV", "SIMONA CARDILLO")</f>
        <v>SIMONA CARDILLO</v>
      </c>
      <c r="B13092" s="7" t="str">
        <f>HYPERLINK("https://otsuka-europe-crm.veevavault.com/ui/#object/vcountry__v/VENZ000004SONFQ", "IT")</f>
        <v>IT</v>
      </c>
      <c r="C13092" s="8" t="s">
        <v>44</v>
      </c>
      <c r="D13092" s="9" t="str">
        <f>HYPERLINK("https://otsuka-europe-crm.veevavault.com/ui/#object/approved_document__v/V5O00000001G004", "Branded_RXULTI_AE Ansia_IT-RXU-2500035")</f>
        <v>Branded_RXULTI_AE Ansia_IT-RXU-2500035</v>
      </c>
      <c r="E13092" s="10" t="str">
        <f>HYPERLINK("https://otsuka-europe-crm.veevavault.com/ui/#object/sent_email__v/VBL00000002Y061", "SE-001438662")</f>
        <v>SE-001438662</v>
      </c>
      <c r="F13092" s="11"/>
      <c r="G13092" s="12">
        <v>0</v>
      </c>
      <c r="H13092" s="12">
        <v>0</v>
      </c>
      <c r="I13092" s="12">
        <v>0</v>
      </c>
      <c r="J13092" s="11"/>
      <c r="K13092" s="12">
        <v>0</v>
      </c>
      <c r="L13092" s="10" t="str">
        <f>HYPERLINK("https://otsuka-europe-crm.veevavault.com/ui/#object/approved_document__v/V5O00000001G004", "Branded_RXULTI_AE Ansia_IT-RXU-2500035")</f>
        <v>Branded_RXULTI_AE Ansia_IT-RXU-2500035</v>
      </c>
      <c r="M13092" s="10" t="str">
        <f>HYPERLINK("mailto:gianpaolo.fichera@crm.otsuka-europe.com", "gianpaolo.fichera@crm.otsuka-europe.com")</f>
        <v>gianpaolo.fichera@crm.otsuka-europe.com</v>
      </c>
      <c r="N13092" s="13">
        <v>46202.644791666666</v>
      </c>
      <c r="O13092" s="14" t="str">
        <f>HYPERLINK("https://otsuka-europe-crm.veevavault.com/ui/#object/email_activity__v/V8C000000042355", "EN-002100411")</f>
        <v>EN-002100411</v>
      </c>
    </row>
    <row r="13093" spans="1:15" ht="16" x14ac:dyDescent="0.2">
      <c r="A13093" s="17" t="str">
        <f>HYPERLINK("https://otsuka-europe-crm.veevavault.com/ui/#object/account__v/V4TZ06G6O71S9KV", "CLAUDIO CAREZANA")</f>
        <v>CLAUDIO CAREZANA</v>
      </c>
      <c r="B13093" s="17" t="str">
        <f>HYPERLINK("https://otsuka-europe-crm.veevavault.com/ui/#object/vcountry__v/VENZ000004SONFQ", "IT")</f>
        <v>IT</v>
      </c>
      <c r="C13093" s="20" t="s">
        <v>44</v>
      </c>
      <c r="D13093" s="21" t="str">
        <f>HYPERLINK("https://otsuka-europe-crm.veevavault.com/ui/#object/approved_document__v/V5O00000001G004", "Branded_RXULTI_AE Ansia_IT-RXU-2500035")</f>
        <v>Branded_RXULTI_AE Ansia_IT-RXU-2500035</v>
      </c>
      <c r="E13093" s="22" t="str">
        <f>HYPERLINK("https://otsuka-europe-crm.veevavault.com/ui/#object/sent_email__v/VBL00000002Z240", "SE-001438663")</f>
        <v>SE-001438663</v>
      </c>
      <c r="F13093" s="23">
        <v>46202.648541666669</v>
      </c>
      <c r="G13093" s="24">
        <v>1</v>
      </c>
      <c r="H13093" s="24">
        <v>1</v>
      </c>
      <c r="I13093" s="24">
        <v>0</v>
      </c>
      <c r="J13093" s="25"/>
      <c r="K13093" s="24">
        <v>0</v>
      </c>
      <c r="L13093" s="22" t="str">
        <f>HYPERLINK("https://otsuka-europe-crm.veevavault.com/ui/#object/approved_document__v/V5O00000001G004", "Branded_RXULTI_AE Ansia_IT-RXU-2500035")</f>
        <v>Branded_RXULTI_AE Ansia_IT-RXU-2500035</v>
      </c>
      <c r="M13093" s="22" t="str">
        <f>HYPERLINK("mailto:gianpaolo.fichera@crm.otsuka-europe.com", "gianpaolo.fichera@crm.otsuka-europe.com")</f>
        <v>gianpaolo.fichera@crm.otsuka-europe.com</v>
      </c>
      <c r="N13093" s="23">
        <v>46202.645011574074</v>
      </c>
      <c r="O13093" s="14" t="str">
        <f>HYPERLINK("https://otsuka-europe-crm.veevavault.com/ui/#object/email_activity__v/V8C000000042356", "EN-002100412")</f>
        <v>EN-002100412</v>
      </c>
    </row>
    <row r="13094" spans="1:15" ht="16" x14ac:dyDescent="0.2">
      <c r="A13094" s="19"/>
      <c r="B13094" s="19"/>
      <c r="C13094" s="19"/>
      <c r="D13094" s="19"/>
      <c r="E13094" s="19"/>
      <c r="F13094" s="19"/>
      <c r="G13094" s="19"/>
      <c r="H13094" s="19"/>
      <c r="I13094" s="19"/>
      <c r="J13094" s="19"/>
      <c r="K13094" s="19"/>
      <c r="L13094" s="19"/>
      <c r="M13094" s="19"/>
      <c r="N13094" s="19"/>
      <c r="O13094" s="14" t="str">
        <f>HYPERLINK("https://otsuka-europe-crm.veevavault.com/ui/#object/email_activity__v/V8C000000042370", "EN-002100428")</f>
        <v>EN-002100428</v>
      </c>
    </row>
    <row r="13095" spans="1:15" ht="32" x14ac:dyDescent="0.2">
      <c r="A13095" s="7" t="str">
        <f>HYPERLINK("https://otsuka-europe-crm.veevavault.com/ui/#object/account__v/V4TZ025E82XQLXE", "ENZO CATENA")</f>
        <v>ENZO CATENA</v>
      </c>
      <c r="B13095" s="7" t="str">
        <f>HYPERLINK("https://otsuka-europe-crm.veevavault.com/ui/#object/vcountry__v/VENZ000004SONFQ", "IT")</f>
        <v>IT</v>
      </c>
      <c r="C13095" s="8" t="s">
        <v>44</v>
      </c>
      <c r="D13095" s="9" t="str">
        <f>HYPERLINK("https://otsuka-europe-crm.veevavault.com/ui/#object/approved_document__v/V5O00000001G004", "Branded_RXULTI_AE Ansia_IT-RXU-2500035")</f>
        <v>Branded_RXULTI_AE Ansia_IT-RXU-2500035</v>
      </c>
      <c r="E13095" s="10" t="str">
        <f>HYPERLINK("https://otsuka-europe-crm.veevavault.com/ui/#object/sent_email__v/VBL00000002Z241", "SE-001438664")</f>
        <v>SE-001438664</v>
      </c>
      <c r="F13095" s="11"/>
      <c r="G13095" s="12">
        <v>0</v>
      </c>
      <c r="H13095" s="12">
        <v>0</v>
      </c>
      <c r="I13095" s="12">
        <v>0</v>
      </c>
      <c r="J13095" s="11"/>
      <c r="K13095" s="12">
        <v>0</v>
      </c>
      <c r="L13095" s="10" t="str">
        <f>HYPERLINK("https://otsuka-europe-crm.veevavault.com/ui/#object/approved_document__v/V5O00000001G004", "Branded_RXULTI_AE Ansia_IT-RXU-2500035")</f>
        <v>Branded_RXULTI_AE Ansia_IT-RXU-2500035</v>
      </c>
      <c r="M13095" s="10" t="str">
        <f>HYPERLINK("mailto:gianpaolo.fichera@crm.otsuka-europe.com", "gianpaolo.fichera@crm.otsuka-europe.com")</f>
        <v>gianpaolo.fichera@crm.otsuka-europe.com</v>
      </c>
      <c r="N13095" s="13">
        <v>46202.645312499997</v>
      </c>
      <c r="O13095" s="14" t="str">
        <f>HYPERLINK("https://otsuka-europe-crm.veevavault.com/ui/#object/email_activity__v/V8C000000042357", "EN-002100413")</f>
        <v>EN-002100413</v>
      </c>
    </row>
    <row r="13096" spans="1:15" ht="16" x14ac:dyDescent="0.2">
      <c r="A13096" s="17" t="str">
        <f>HYPERLINK("https://otsuka-europe-crm.veevavault.com/ui/#object/account__v/V4TZ025E82XQF50", "ALESSIO LORENZO CEREGATO")</f>
        <v>ALESSIO LORENZO CEREGATO</v>
      </c>
      <c r="B13096" s="17" t="str">
        <f>HYPERLINK("https://otsuka-europe-crm.veevavault.com/ui/#object/vcountry__v/VENZ000004SONFQ", "IT")</f>
        <v>IT</v>
      </c>
      <c r="C13096" s="20" t="s">
        <v>44</v>
      </c>
      <c r="D13096" s="21" t="str">
        <f>HYPERLINK("https://otsuka-europe-crm.veevavault.com/ui/#object/approved_document__v/V5O00000001G004", "Branded_RXULTI_AE Ansia_IT-RXU-2500035")</f>
        <v>Branded_RXULTI_AE Ansia_IT-RXU-2500035</v>
      </c>
      <c r="E13096" s="22" t="str">
        <f>HYPERLINK("https://otsuka-europe-crm.veevavault.com/ui/#object/sent_email__v/VBL00000002Y062", "SE-001438665")</f>
        <v>SE-001438665</v>
      </c>
      <c r="F13096" s="23">
        <v>46202.645671296297</v>
      </c>
      <c r="G13096" s="24">
        <v>1</v>
      </c>
      <c r="H13096" s="24">
        <v>1</v>
      </c>
      <c r="I13096" s="24">
        <v>1</v>
      </c>
      <c r="J13096" s="23">
        <v>46202.645682870374</v>
      </c>
      <c r="K13096" s="24">
        <v>4</v>
      </c>
      <c r="L13096" s="22" t="str">
        <f>HYPERLINK("https://otsuka-europe-crm.veevavault.com/ui/#object/approved_document__v/V5O00000001G004", "Branded_RXULTI_AE Ansia_IT-RXU-2500035")</f>
        <v>Branded_RXULTI_AE Ansia_IT-RXU-2500035</v>
      </c>
      <c r="M13096" s="22" t="str">
        <f>HYPERLINK("mailto:gianpaolo.fichera@crm.otsuka-europe.com", "gianpaolo.fichera@crm.otsuka-europe.com")</f>
        <v>gianpaolo.fichera@crm.otsuka-europe.com</v>
      </c>
      <c r="N13096" s="23">
        <v>46202.645543981482</v>
      </c>
      <c r="O13096" s="14" t="str">
        <f>HYPERLINK("https://otsuka-europe-crm.veevavault.com/ui/#object/email_activity__v/V8C000000042358", "EN-002100414")</f>
        <v>EN-002100414</v>
      </c>
    </row>
    <row r="13097" spans="1:15" ht="16" x14ac:dyDescent="0.2">
      <c r="A13097" s="18"/>
      <c r="B13097" s="18"/>
      <c r="C13097" s="18"/>
      <c r="D13097" s="18"/>
      <c r="E13097" s="18"/>
      <c r="F13097" s="18"/>
      <c r="G13097" s="18"/>
      <c r="H13097" s="18"/>
      <c r="I13097" s="18"/>
      <c r="J13097" s="18"/>
      <c r="K13097" s="18"/>
      <c r="L13097" s="18"/>
      <c r="M13097" s="18"/>
      <c r="N13097" s="18"/>
      <c r="O13097" s="14" t="str">
        <f>HYPERLINK("https://otsuka-europe-crm.veevavault.com/ui/#object/email_activity__v/V8C000000042359", "EN-002100416")</f>
        <v>EN-002100416</v>
      </c>
    </row>
    <row r="13098" spans="1:15" ht="16" x14ac:dyDescent="0.2">
      <c r="A13098" s="18"/>
      <c r="B13098" s="18"/>
      <c r="C13098" s="18"/>
      <c r="D13098" s="18"/>
      <c r="E13098" s="18"/>
      <c r="F13098" s="18"/>
      <c r="G13098" s="18"/>
      <c r="H13098" s="18"/>
      <c r="I13098" s="18"/>
      <c r="J13098" s="18"/>
      <c r="K13098" s="18"/>
      <c r="L13098" s="18"/>
      <c r="M13098" s="18"/>
      <c r="N13098" s="18"/>
      <c r="O13098" s="14" t="str">
        <f>HYPERLINK("https://otsuka-europe-crm.veevavault.com/ui/#object/email_activity__v/V8C000000042360", "EN-002100415")</f>
        <v>EN-002100415</v>
      </c>
    </row>
    <row r="13099" spans="1:15" ht="16" x14ac:dyDescent="0.2">
      <c r="A13099" s="18"/>
      <c r="B13099" s="18"/>
      <c r="C13099" s="18"/>
      <c r="D13099" s="18"/>
      <c r="E13099" s="18"/>
      <c r="F13099" s="18"/>
      <c r="G13099" s="18"/>
      <c r="H13099" s="18"/>
      <c r="I13099" s="18"/>
      <c r="J13099" s="18"/>
      <c r="K13099" s="18"/>
      <c r="L13099" s="18"/>
      <c r="M13099" s="18"/>
      <c r="N13099" s="18"/>
      <c r="O13099" s="14" t="str">
        <f>HYPERLINK("https://otsuka-europe-crm.veevavault.com/ui/#object/email_activity__v/V8C000000042361", "EN-002100417")</f>
        <v>EN-002100417</v>
      </c>
    </row>
    <row r="13100" spans="1:15" ht="16" x14ac:dyDescent="0.2">
      <c r="A13100" s="18"/>
      <c r="B13100" s="18"/>
      <c r="C13100" s="18"/>
      <c r="D13100" s="18"/>
      <c r="E13100" s="18"/>
      <c r="F13100" s="18"/>
      <c r="G13100" s="18"/>
      <c r="H13100" s="18"/>
      <c r="I13100" s="18"/>
      <c r="J13100" s="18"/>
      <c r="K13100" s="18"/>
      <c r="L13100" s="18"/>
      <c r="M13100" s="18"/>
      <c r="N13100" s="18"/>
      <c r="O13100" s="14" t="str">
        <f>HYPERLINK("https://otsuka-europe-crm.veevavault.com/ui/#object/email_activity__v/V8C000000042362", "EN-002100418")</f>
        <v>EN-002100418</v>
      </c>
    </row>
    <row r="13101" spans="1:15" ht="16" x14ac:dyDescent="0.2">
      <c r="A13101" s="19"/>
      <c r="B13101" s="19"/>
      <c r="C13101" s="19"/>
      <c r="D13101" s="19"/>
      <c r="E13101" s="19"/>
      <c r="F13101" s="19"/>
      <c r="G13101" s="19"/>
      <c r="H13101" s="19"/>
      <c r="I13101" s="19"/>
      <c r="J13101" s="19"/>
      <c r="K13101" s="19"/>
      <c r="L13101" s="19"/>
      <c r="M13101" s="19"/>
      <c r="N13101" s="19"/>
      <c r="O13101" s="14" t="str">
        <f>HYPERLINK("https://otsuka-europe-crm.veevavault.com/ui/#object/email_activity__v/V8C000000042363", "EN-002100419")</f>
        <v>EN-002100419</v>
      </c>
    </row>
    <row r="13102" spans="1:15" ht="32" x14ac:dyDescent="0.2">
      <c r="A13102" s="7" t="str">
        <f>HYPERLINK("https://otsuka-europe-crm.veevavault.com/ui/#object/account__v/V4TZ06G6O71SAT1", "ALICE CHIARLE")</f>
        <v>ALICE CHIARLE</v>
      </c>
      <c r="B13102" s="7" t="str">
        <f t="shared" ref="B13102:B13113" si="942">HYPERLINK("https://otsuka-europe-crm.veevavault.com/ui/#object/vcountry__v/VENZ000004SONFQ", "IT")</f>
        <v>IT</v>
      </c>
      <c r="C13102" s="8" t="s">
        <v>44</v>
      </c>
      <c r="D13102" s="9" t="str">
        <f t="shared" ref="D13102:D13113" si="943">HYPERLINK("https://otsuka-europe-crm.veevavault.com/ui/#object/approved_document__v/V5O00000001G004", "Branded_RXULTI_AE Ansia_IT-RXU-2500035")</f>
        <v>Branded_RXULTI_AE Ansia_IT-RXU-2500035</v>
      </c>
      <c r="E13102" s="10" t="str">
        <f>HYPERLINK("https://otsuka-europe-crm.veevavault.com/ui/#object/sent_email__v/VBL00000002Y063", "SE-001438666")</f>
        <v>SE-001438666</v>
      </c>
      <c r="F13102" s="11"/>
      <c r="G13102" s="12">
        <v>0</v>
      </c>
      <c r="H13102" s="12">
        <v>0</v>
      </c>
      <c r="I13102" s="12">
        <v>0</v>
      </c>
      <c r="J13102" s="11"/>
      <c r="K13102" s="12">
        <v>0</v>
      </c>
      <c r="L13102" s="10" t="str">
        <f t="shared" ref="L13102:L13113" si="944">HYPERLINK("https://otsuka-europe-crm.veevavault.com/ui/#object/approved_document__v/V5O00000001G004", "Branded_RXULTI_AE Ansia_IT-RXU-2500035")</f>
        <v>Branded_RXULTI_AE Ansia_IT-RXU-2500035</v>
      </c>
      <c r="M13102" s="10" t="str">
        <f t="shared" ref="M13102:M13113" si="945">HYPERLINK("mailto:gianpaolo.fichera@crm.otsuka-europe.com", "gianpaolo.fichera@crm.otsuka-europe.com")</f>
        <v>gianpaolo.fichera@crm.otsuka-europe.com</v>
      </c>
      <c r="N13102" s="13">
        <v>46202.645902777775</v>
      </c>
      <c r="O13102" s="14" t="str">
        <f>HYPERLINK("https://otsuka-europe-crm.veevavault.com/ui/#object/email_activity__v/V8C000000041370", "EN-002100420")</f>
        <v>EN-002100420</v>
      </c>
    </row>
    <row r="13103" spans="1:15" ht="32" x14ac:dyDescent="0.2">
      <c r="A13103" s="7" t="str">
        <f>HYPERLINK("https://otsuka-europe-crm.veevavault.com/ui/#object/account__v/V4TZ025E82WRZ62", "MARTA CISOTTO")</f>
        <v>MARTA CISOTTO</v>
      </c>
      <c r="B13103" s="7" t="str">
        <f t="shared" si="942"/>
        <v>IT</v>
      </c>
      <c r="C13103" s="8" t="s">
        <v>44</v>
      </c>
      <c r="D13103" s="9" t="str">
        <f t="shared" si="943"/>
        <v>Branded_RXULTI_AE Ansia_IT-RXU-2500035</v>
      </c>
      <c r="E13103" s="10" t="str">
        <f>HYPERLINK("https://otsuka-europe-crm.veevavault.com/ui/#object/sent_email__v/VBL00000002Y064", "SE-001438667")</f>
        <v>SE-001438667</v>
      </c>
      <c r="F13103" s="11"/>
      <c r="G13103" s="12">
        <v>0</v>
      </c>
      <c r="H13103" s="12">
        <v>0</v>
      </c>
      <c r="I13103" s="12">
        <v>0</v>
      </c>
      <c r="J13103" s="11"/>
      <c r="K13103" s="12">
        <v>0</v>
      </c>
      <c r="L13103" s="10" t="str">
        <f t="shared" si="944"/>
        <v>Branded_RXULTI_AE Ansia_IT-RXU-2500035</v>
      </c>
      <c r="M13103" s="10" t="str">
        <f t="shared" si="945"/>
        <v>gianpaolo.fichera@crm.otsuka-europe.com</v>
      </c>
      <c r="N13103" s="13">
        <v>46202.646192129629</v>
      </c>
      <c r="O13103" s="14" t="str">
        <f>HYPERLINK("https://otsuka-europe-crm.veevavault.com/ui/#object/email_activity__v/V8C000000042364", "EN-002100421")</f>
        <v>EN-002100421</v>
      </c>
    </row>
    <row r="13104" spans="1:15" ht="32" x14ac:dyDescent="0.2">
      <c r="A13104" s="7" t="str">
        <f>HYPERLINK("https://otsuka-europe-crm.veevavault.com/ui/#object/account__v/V4TZ06G6O71SB28", "ELENA COCUZZA")</f>
        <v>ELENA COCUZZA</v>
      </c>
      <c r="B13104" s="7" t="str">
        <f t="shared" si="942"/>
        <v>IT</v>
      </c>
      <c r="C13104" s="8" t="s">
        <v>44</v>
      </c>
      <c r="D13104" s="9" t="str">
        <f t="shared" si="943"/>
        <v>Branded_RXULTI_AE Ansia_IT-RXU-2500035</v>
      </c>
      <c r="E13104" s="10" t="str">
        <f>HYPERLINK("https://otsuka-europe-crm.veevavault.com/ui/#object/sent_email__v/VBL00000002Y065", "SE-001438668")</f>
        <v>SE-001438668</v>
      </c>
      <c r="F13104" s="11"/>
      <c r="G13104" s="12">
        <v>0</v>
      </c>
      <c r="H13104" s="12">
        <v>0</v>
      </c>
      <c r="I13104" s="12">
        <v>0</v>
      </c>
      <c r="J13104" s="11"/>
      <c r="K13104" s="12">
        <v>0</v>
      </c>
      <c r="L13104" s="10" t="str">
        <f t="shared" si="944"/>
        <v>Branded_RXULTI_AE Ansia_IT-RXU-2500035</v>
      </c>
      <c r="M13104" s="10" t="str">
        <f t="shared" si="945"/>
        <v>gianpaolo.fichera@crm.otsuka-europe.com</v>
      </c>
      <c r="N13104" s="13">
        <v>46202.646701388891</v>
      </c>
      <c r="O13104" s="14" t="str">
        <f>HYPERLINK("https://otsuka-europe-crm.veevavault.com/ui/#object/email_activity__v/V8C000000042365", "EN-002100422")</f>
        <v>EN-002100422</v>
      </c>
    </row>
    <row r="13105" spans="1:15" ht="32" x14ac:dyDescent="0.2">
      <c r="A13105" s="7" t="str">
        <f>HYPERLINK("https://otsuka-europe-crm.veevavault.com/ui/#object/account__v/V4TZ06G6O71SB2H", "MARIA TERESA COLELLA")</f>
        <v>MARIA TERESA COLELLA</v>
      </c>
      <c r="B13105" s="7" t="str">
        <f t="shared" si="942"/>
        <v>IT</v>
      </c>
      <c r="C13105" s="8" t="s">
        <v>44</v>
      </c>
      <c r="D13105" s="9" t="str">
        <f t="shared" si="943"/>
        <v>Branded_RXULTI_AE Ansia_IT-RXU-2500035</v>
      </c>
      <c r="E13105" s="10" t="str">
        <f>HYPERLINK("https://otsuka-europe-crm.veevavault.com/ui/#object/sent_email__v/VBL00000002Y066", "SE-001438669")</f>
        <v>SE-001438669</v>
      </c>
      <c r="F13105" s="11"/>
      <c r="G13105" s="12">
        <v>0</v>
      </c>
      <c r="H13105" s="12">
        <v>0</v>
      </c>
      <c r="I13105" s="12">
        <v>0</v>
      </c>
      <c r="J13105" s="11"/>
      <c r="K13105" s="12">
        <v>0</v>
      </c>
      <c r="L13105" s="10" t="str">
        <f t="shared" si="944"/>
        <v>Branded_RXULTI_AE Ansia_IT-RXU-2500035</v>
      </c>
      <c r="M13105" s="10" t="str">
        <f t="shared" si="945"/>
        <v>gianpaolo.fichera@crm.otsuka-europe.com</v>
      </c>
      <c r="N13105" s="13">
        <v>46202.647048611114</v>
      </c>
      <c r="O13105" s="14" t="str">
        <f>HYPERLINK("https://otsuka-europe-crm.veevavault.com/ui/#object/email_activity__v/V8C000000042366", "EN-002100423")</f>
        <v>EN-002100423</v>
      </c>
    </row>
    <row r="13106" spans="1:15" ht="32" x14ac:dyDescent="0.2">
      <c r="A13106" s="7" t="str">
        <f>HYPERLINK("https://otsuka-europe-crm.veevavault.com/ui/#object/account__v/V4TZ025E87A639E", "FABRIZIO COLONNA")</f>
        <v>FABRIZIO COLONNA</v>
      </c>
      <c r="B13106" s="7" t="str">
        <f t="shared" si="942"/>
        <v>IT</v>
      </c>
      <c r="C13106" s="8" t="s">
        <v>44</v>
      </c>
      <c r="D13106" s="9" t="str">
        <f t="shared" si="943"/>
        <v>Branded_RXULTI_AE Ansia_IT-RXU-2500035</v>
      </c>
      <c r="E13106" s="10" t="str">
        <f>HYPERLINK("https://otsuka-europe-crm.veevavault.com/ui/#object/sent_email__v/VBL00000002Z242", "SE-001438670")</f>
        <v>SE-001438670</v>
      </c>
      <c r="F13106" s="11"/>
      <c r="G13106" s="12">
        <v>0</v>
      </c>
      <c r="H13106" s="12">
        <v>0</v>
      </c>
      <c r="I13106" s="12">
        <v>0</v>
      </c>
      <c r="J13106" s="11"/>
      <c r="K13106" s="12">
        <v>0</v>
      </c>
      <c r="L13106" s="10" t="str">
        <f t="shared" si="944"/>
        <v>Branded_RXULTI_AE Ansia_IT-RXU-2500035</v>
      </c>
      <c r="M13106" s="10" t="str">
        <f t="shared" si="945"/>
        <v>gianpaolo.fichera@crm.otsuka-europe.com</v>
      </c>
      <c r="N13106" s="13">
        <v>46202.647407407407</v>
      </c>
      <c r="O13106" s="14" t="str">
        <f>HYPERLINK("https://otsuka-europe-crm.veevavault.com/ui/#object/email_activity__v/V8C000000041371", "EN-002100424")</f>
        <v>EN-002100424</v>
      </c>
    </row>
    <row r="13107" spans="1:15" ht="32" x14ac:dyDescent="0.2">
      <c r="A13107" s="7" t="str">
        <f>HYPERLINK("https://otsuka-europe-crm.veevavault.com/ui/#object/account__v/V4TZ06G6O71SB2S", "LAURA COMINO")</f>
        <v>LAURA COMINO</v>
      </c>
      <c r="B13107" s="7" t="str">
        <f t="shared" si="942"/>
        <v>IT</v>
      </c>
      <c r="C13107" s="8" t="s">
        <v>44</v>
      </c>
      <c r="D13107" s="9" t="str">
        <f t="shared" si="943"/>
        <v>Branded_RXULTI_AE Ansia_IT-RXU-2500035</v>
      </c>
      <c r="E13107" s="10" t="str">
        <f>HYPERLINK("https://otsuka-europe-crm.veevavault.com/ui/#object/sent_email__v/VBL00000002Z243", "SE-001438671")</f>
        <v>SE-001438671</v>
      </c>
      <c r="F13107" s="11"/>
      <c r="G13107" s="12">
        <v>0</v>
      </c>
      <c r="H13107" s="12">
        <v>0</v>
      </c>
      <c r="I13107" s="12">
        <v>0</v>
      </c>
      <c r="J13107" s="11"/>
      <c r="K13107" s="12">
        <v>0</v>
      </c>
      <c r="L13107" s="10" t="str">
        <f t="shared" si="944"/>
        <v>Branded_RXULTI_AE Ansia_IT-RXU-2500035</v>
      </c>
      <c r="M13107" s="10" t="str">
        <f t="shared" si="945"/>
        <v>gianpaolo.fichera@crm.otsuka-europe.com</v>
      </c>
      <c r="N13107" s="13">
        <v>46202.647638888891</v>
      </c>
      <c r="O13107" s="14" t="str">
        <f>HYPERLINK("https://otsuka-europe-crm.veevavault.com/ui/#object/email_activity__v/V8C000000042367", "EN-002100425")</f>
        <v>EN-002100425</v>
      </c>
    </row>
    <row r="13108" spans="1:15" ht="32" x14ac:dyDescent="0.2">
      <c r="A13108" s="7" t="str">
        <f>HYPERLINK("https://otsuka-europe-crm.veevavault.com/ui/#object/account__v/V4TZ025E881CGZN", "ENRICO CRISTOFORI")</f>
        <v>ENRICO CRISTOFORI</v>
      </c>
      <c r="B13108" s="7" t="str">
        <f t="shared" si="942"/>
        <v>IT</v>
      </c>
      <c r="C13108" s="8" t="s">
        <v>44</v>
      </c>
      <c r="D13108" s="9" t="str">
        <f t="shared" si="943"/>
        <v>Branded_RXULTI_AE Ansia_IT-RXU-2500035</v>
      </c>
      <c r="E13108" s="10" t="str">
        <f>HYPERLINK("https://otsuka-europe-crm.veevavault.com/ui/#object/sent_email__v/VBL00000002Z244", "SE-001438672")</f>
        <v>SE-001438672</v>
      </c>
      <c r="F13108" s="11"/>
      <c r="G13108" s="12">
        <v>0</v>
      </c>
      <c r="H13108" s="12">
        <v>0</v>
      </c>
      <c r="I13108" s="12">
        <v>0</v>
      </c>
      <c r="J13108" s="11"/>
      <c r="K13108" s="12">
        <v>0</v>
      </c>
      <c r="L13108" s="10" t="str">
        <f t="shared" si="944"/>
        <v>Branded_RXULTI_AE Ansia_IT-RXU-2500035</v>
      </c>
      <c r="M13108" s="10" t="str">
        <f t="shared" si="945"/>
        <v>gianpaolo.fichera@crm.otsuka-europe.com</v>
      </c>
      <c r="N13108" s="13">
        <v>46202.647974537038</v>
      </c>
      <c r="O13108" s="14" t="str">
        <f>HYPERLINK("https://otsuka-europe-crm.veevavault.com/ui/#object/email_activity__v/V8C000000042368", "EN-002100426")</f>
        <v>EN-002100426</v>
      </c>
    </row>
    <row r="13109" spans="1:15" ht="32" x14ac:dyDescent="0.2">
      <c r="A13109" s="7" t="str">
        <f>HYPERLINK("https://otsuka-europe-crm.veevavault.com/ui/#object/account__v/V4TZ06G6O71S9HZ", "DAVID DE CORI")</f>
        <v>DAVID DE CORI</v>
      </c>
      <c r="B13109" s="7" t="str">
        <f t="shared" si="942"/>
        <v>IT</v>
      </c>
      <c r="C13109" s="8" t="s">
        <v>44</v>
      </c>
      <c r="D13109" s="9" t="str">
        <f t="shared" si="943"/>
        <v>Branded_RXULTI_AE Ansia_IT-RXU-2500035</v>
      </c>
      <c r="E13109" s="10" t="str">
        <f>HYPERLINK("https://otsuka-europe-crm.veevavault.com/ui/#object/sent_email__v/VBL00000002Z245", "SE-001438673")</f>
        <v>SE-001438673</v>
      </c>
      <c r="F13109" s="11"/>
      <c r="G13109" s="12">
        <v>0</v>
      </c>
      <c r="H13109" s="12">
        <v>0</v>
      </c>
      <c r="I13109" s="12">
        <v>0</v>
      </c>
      <c r="J13109" s="11"/>
      <c r="K13109" s="12">
        <v>0</v>
      </c>
      <c r="L13109" s="10" t="str">
        <f t="shared" si="944"/>
        <v>Branded_RXULTI_AE Ansia_IT-RXU-2500035</v>
      </c>
      <c r="M13109" s="10" t="str">
        <f t="shared" si="945"/>
        <v>gianpaolo.fichera@crm.otsuka-europe.com</v>
      </c>
      <c r="N13109" s="13">
        <v>46202.648460648146</v>
      </c>
      <c r="O13109" s="14" t="str">
        <f>HYPERLINK("https://otsuka-europe-crm.veevavault.com/ui/#object/email_activity__v/V8C000000042369", "EN-002100427")</f>
        <v>EN-002100427</v>
      </c>
    </row>
    <row r="13110" spans="1:15" ht="32" x14ac:dyDescent="0.2">
      <c r="A13110" s="7" t="str">
        <f>HYPERLINK("https://otsuka-europe-crm.veevavault.com/ui/#object/account__v/V4TZ06G6O71SAA2", "SAMUELE DEFILIPPI")</f>
        <v>SAMUELE DEFILIPPI</v>
      </c>
      <c r="B13110" s="7" t="str">
        <f t="shared" si="942"/>
        <v>IT</v>
      </c>
      <c r="C13110" s="8" t="s">
        <v>44</v>
      </c>
      <c r="D13110" s="9" t="str">
        <f t="shared" si="943"/>
        <v>Branded_RXULTI_AE Ansia_IT-RXU-2500035</v>
      </c>
      <c r="E13110" s="10" t="str">
        <f>HYPERLINK("https://otsuka-europe-crm.veevavault.com/ui/#object/sent_email__v/VBL00000002Z246", "SE-001438674")</f>
        <v>SE-001438674</v>
      </c>
      <c r="F13110" s="11"/>
      <c r="G13110" s="12">
        <v>0</v>
      </c>
      <c r="H13110" s="12">
        <v>0</v>
      </c>
      <c r="I13110" s="12">
        <v>0</v>
      </c>
      <c r="J13110" s="11"/>
      <c r="K13110" s="12">
        <v>0</v>
      </c>
      <c r="L13110" s="10" t="str">
        <f t="shared" si="944"/>
        <v>Branded_RXULTI_AE Ansia_IT-RXU-2500035</v>
      </c>
      <c r="M13110" s="10" t="str">
        <f t="shared" si="945"/>
        <v>gianpaolo.fichera@crm.otsuka-europe.com</v>
      </c>
      <c r="N13110" s="13">
        <v>46202.648796296293</v>
      </c>
      <c r="O13110" s="14" t="str">
        <f>HYPERLINK("https://otsuka-europe-crm.veevavault.com/ui/#object/email_activity__v/V8C000000042371", "EN-002100429")</f>
        <v>EN-002100429</v>
      </c>
    </row>
    <row r="13111" spans="1:15" ht="32" x14ac:dyDescent="0.2">
      <c r="A13111" s="7" t="str">
        <f>HYPERLINK("https://otsuka-europe-crm.veevavault.com/ui/#object/account__v/V4TZ025E82WR8H1", "ELISA DEL FAVERO")</f>
        <v>ELISA DEL FAVERO</v>
      </c>
      <c r="B13111" s="7" t="str">
        <f t="shared" si="942"/>
        <v>IT</v>
      </c>
      <c r="C13111" s="8" t="s">
        <v>44</v>
      </c>
      <c r="D13111" s="9" t="str">
        <f t="shared" si="943"/>
        <v>Branded_RXULTI_AE Ansia_IT-RXU-2500035</v>
      </c>
      <c r="E13111" s="10" t="str">
        <f>HYPERLINK("https://otsuka-europe-crm.veevavault.com/ui/#object/sent_email__v/VBL00000002Z247", "SE-001438675")</f>
        <v>SE-001438675</v>
      </c>
      <c r="F13111" s="11"/>
      <c r="G13111" s="12">
        <v>0</v>
      </c>
      <c r="H13111" s="12">
        <v>0</v>
      </c>
      <c r="I13111" s="12">
        <v>0</v>
      </c>
      <c r="J13111" s="11"/>
      <c r="K13111" s="12">
        <v>0</v>
      </c>
      <c r="L13111" s="10" t="str">
        <f t="shared" si="944"/>
        <v>Branded_RXULTI_AE Ansia_IT-RXU-2500035</v>
      </c>
      <c r="M13111" s="10" t="str">
        <f t="shared" si="945"/>
        <v>gianpaolo.fichera@crm.otsuka-europe.com</v>
      </c>
      <c r="N13111" s="13">
        <v>46202.649016203701</v>
      </c>
      <c r="O13111" s="14" t="str">
        <f>HYPERLINK("https://otsuka-europe-crm.veevavault.com/ui/#object/email_activity__v/V8C000000042373", "EN-002100431")</f>
        <v>EN-002100431</v>
      </c>
    </row>
    <row r="13112" spans="1:15" ht="32" x14ac:dyDescent="0.2">
      <c r="A13112" s="7" t="str">
        <f>HYPERLINK("https://otsuka-europe-crm.veevavault.com/ui/#object/account__v/V4TZ06G6O71TLC8", "NADIA DELSEDIME")</f>
        <v>NADIA DELSEDIME</v>
      </c>
      <c r="B13112" s="7" t="str">
        <f t="shared" si="942"/>
        <v>IT</v>
      </c>
      <c r="C13112" s="8" t="s">
        <v>44</v>
      </c>
      <c r="D13112" s="9" t="str">
        <f t="shared" si="943"/>
        <v>Branded_RXULTI_AE Ansia_IT-RXU-2500035</v>
      </c>
      <c r="E13112" s="10" t="str">
        <f>HYPERLINK("https://otsuka-europe-crm.veevavault.com/ui/#object/sent_email__v/VBL00000002Z248", "SE-001438676")</f>
        <v>SE-001438676</v>
      </c>
      <c r="F13112" s="11"/>
      <c r="G13112" s="12">
        <v>0</v>
      </c>
      <c r="H13112" s="12">
        <v>0</v>
      </c>
      <c r="I13112" s="12">
        <v>0</v>
      </c>
      <c r="J13112" s="11"/>
      <c r="K13112" s="12">
        <v>0</v>
      </c>
      <c r="L13112" s="10" t="str">
        <f t="shared" si="944"/>
        <v>Branded_RXULTI_AE Ansia_IT-RXU-2500035</v>
      </c>
      <c r="M13112" s="10" t="str">
        <f t="shared" si="945"/>
        <v>gianpaolo.fichera@crm.otsuka-europe.com</v>
      </c>
      <c r="N13112" s="13">
        <v>46202.649328703701</v>
      </c>
      <c r="O13112" s="14" t="str">
        <f>HYPERLINK("https://otsuka-europe-crm.veevavault.com/ui/#object/email_activity__v/V8C000000041372", "EN-002100432")</f>
        <v>EN-002100432</v>
      </c>
    </row>
    <row r="13113" spans="1:15" ht="16" x14ac:dyDescent="0.2">
      <c r="A13113" s="17" t="str">
        <f>HYPERLINK("https://otsuka-europe-crm.veevavault.com/ui/#object/account__v/V4TZ025E84IHR61", "MATILDE DEMARCHI")</f>
        <v>MATILDE DEMARCHI</v>
      </c>
      <c r="B13113" s="17" t="str">
        <f t="shared" si="942"/>
        <v>IT</v>
      </c>
      <c r="C13113" s="20" t="s">
        <v>44</v>
      </c>
      <c r="D13113" s="21" t="str">
        <f t="shared" si="943"/>
        <v>Branded_RXULTI_AE Ansia_IT-RXU-2500035</v>
      </c>
      <c r="E13113" s="22" t="str">
        <f>HYPERLINK("https://otsuka-europe-crm.veevavault.com/ui/#object/sent_email__v/VBL00000002Z249", "SE-001438677")</f>
        <v>SE-001438677</v>
      </c>
      <c r="F13113" s="23">
        <v>46202.650011574071</v>
      </c>
      <c r="G13113" s="24">
        <v>1</v>
      </c>
      <c r="H13113" s="24">
        <v>3</v>
      </c>
      <c r="I13113" s="24">
        <v>1</v>
      </c>
      <c r="J13113" s="23">
        <v>46202.650011574071</v>
      </c>
      <c r="K13113" s="24">
        <v>4</v>
      </c>
      <c r="L13113" s="22" t="str">
        <f t="shared" si="944"/>
        <v>Branded_RXULTI_AE Ansia_IT-RXU-2500035</v>
      </c>
      <c r="M13113" s="22" t="str">
        <f t="shared" si="945"/>
        <v>gianpaolo.fichera@crm.otsuka-europe.com</v>
      </c>
      <c r="N13113" s="23">
        <v>46202.649652777778</v>
      </c>
      <c r="O13113" s="14" t="str">
        <f>HYPERLINK("https://otsuka-europe-crm.veevavault.com/ui/#object/email_activity__v/V8C000000041373", "EN-002100433")</f>
        <v>EN-002100433</v>
      </c>
    </row>
    <row r="13114" spans="1:15" ht="16" x14ac:dyDescent="0.2">
      <c r="A13114" s="18"/>
      <c r="B13114" s="18"/>
      <c r="C13114" s="18"/>
      <c r="D13114" s="18"/>
      <c r="E13114" s="18"/>
      <c r="F13114" s="18"/>
      <c r="G13114" s="18"/>
      <c r="H13114" s="18"/>
      <c r="I13114" s="18"/>
      <c r="J13114" s="18"/>
      <c r="K13114" s="18"/>
      <c r="L13114" s="18"/>
      <c r="M13114" s="18"/>
      <c r="N13114" s="18"/>
      <c r="O13114" s="14" t="str">
        <f>HYPERLINK("https://otsuka-europe-crm.veevavault.com/ui/#object/email_activity__v/V8C000000041374", "EN-002100438")</f>
        <v>EN-002100438</v>
      </c>
    </row>
    <row r="13115" spans="1:15" ht="16" x14ac:dyDescent="0.2">
      <c r="A13115" s="18"/>
      <c r="B13115" s="18"/>
      <c r="C13115" s="18"/>
      <c r="D13115" s="18"/>
      <c r="E13115" s="18"/>
      <c r="F13115" s="18"/>
      <c r="G13115" s="18"/>
      <c r="H13115" s="18"/>
      <c r="I13115" s="18"/>
      <c r="J13115" s="18"/>
      <c r="K13115" s="18"/>
      <c r="L13115" s="18"/>
      <c r="M13115" s="18"/>
      <c r="N13115" s="18"/>
      <c r="O13115" s="14" t="str">
        <f>HYPERLINK("https://otsuka-europe-crm.veevavault.com/ui/#object/email_activity__v/V8C000000041375", "EN-002100435")</f>
        <v>EN-002100435</v>
      </c>
    </row>
    <row r="13116" spans="1:15" ht="16" x14ac:dyDescent="0.2">
      <c r="A13116" s="18"/>
      <c r="B13116" s="18"/>
      <c r="C13116" s="18"/>
      <c r="D13116" s="18"/>
      <c r="E13116" s="18"/>
      <c r="F13116" s="18"/>
      <c r="G13116" s="18"/>
      <c r="H13116" s="18"/>
      <c r="I13116" s="18"/>
      <c r="J13116" s="18"/>
      <c r="K13116" s="18"/>
      <c r="L13116" s="18"/>
      <c r="M13116" s="18"/>
      <c r="N13116" s="18"/>
      <c r="O13116" s="14" t="str">
        <f>HYPERLINK("https://otsuka-europe-crm.veevavault.com/ui/#object/email_activity__v/V8C000000041376", "EN-002100441")</f>
        <v>EN-002100441</v>
      </c>
    </row>
    <row r="13117" spans="1:15" ht="16" x14ac:dyDescent="0.2">
      <c r="A13117" s="18"/>
      <c r="B13117" s="18"/>
      <c r="C13117" s="18"/>
      <c r="D13117" s="18"/>
      <c r="E13117" s="18"/>
      <c r="F13117" s="18"/>
      <c r="G13117" s="18"/>
      <c r="H13117" s="18"/>
      <c r="I13117" s="18"/>
      <c r="J13117" s="18"/>
      <c r="K13117" s="18"/>
      <c r="L13117" s="18"/>
      <c r="M13117" s="18"/>
      <c r="N13117" s="18"/>
      <c r="O13117" s="14" t="str">
        <f>HYPERLINK("https://otsuka-europe-crm.veevavault.com/ui/#object/email_activity__v/V8C000000042374", "EN-002100437")</f>
        <v>EN-002100437</v>
      </c>
    </row>
    <row r="13118" spans="1:15" ht="16" x14ac:dyDescent="0.2">
      <c r="A13118" s="18"/>
      <c r="B13118" s="18"/>
      <c r="C13118" s="18"/>
      <c r="D13118" s="18"/>
      <c r="E13118" s="18"/>
      <c r="F13118" s="18"/>
      <c r="G13118" s="18"/>
      <c r="H13118" s="18"/>
      <c r="I13118" s="18"/>
      <c r="J13118" s="18"/>
      <c r="K13118" s="18"/>
      <c r="L13118" s="18"/>
      <c r="M13118" s="18"/>
      <c r="N13118" s="18"/>
      <c r="O13118" s="14" t="str">
        <f>HYPERLINK("https://otsuka-europe-crm.veevavault.com/ui/#object/email_activity__v/V8C000000042375", "EN-002100434")</f>
        <v>EN-002100434</v>
      </c>
    </row>
    <row r="13119" spans="1:15" ht="16" x14ac:dyDescent="0.2">
      <c r="A13119" s="18"/>
      <c r="B13119" s="18"/>
      <c r="C13119" s="18"/>
      <c r="D13119" s="18"/>
      <c r="E13119" s="18"/>
      <c r="F13119" s="18"/>
      <c r="G13119" s="18"/>
      <c r="H13119" s="18"/>
      <c r="I13119" s="18"/>
      <c r="J13119" s="18"/>
      <c r="K13119" s="18"/>
      <c r="L13119" s="18"/>
      <c r="M13119" s="18"/>
      <c r="N13119" s="18"/>
      <c r="O13119" s="14" t="str">
        <f>HYPERLINK("https://otsuka-europe-crm.veevavault.com/ui/#object/email_activity__v/V8C000000042377", "EN-002100440")</f>
        <v>EN-002100440</v>
      </c>
    </row>
    <row r="13120" spans="1:15" ht="16" x14ac:dyDescent="0.2">
      <c r="A13120" s="19"/>
      <c r="B13120" s="19"/>
      <c r="C13120" s="19"/>
      <c r="D13120" s="19"/>
      <c r="E13120" s="19"/>
      <c r="F13120" s="19"/>
      <c r="G13120" s="19"/>
      <c r="H13120" s="19"/>
      <c r="I13120" s="19"/>
      <c r="J13120" s="19"/>
      <c r="K13120" s="19"/>
      <c r="L13120" s="19"/>
      <c r="M13120" s="19"/>
      <c r="N13120" s="19"/>
      <c r="O13120" s="14" t="str">
        <f>HYPERLINK("https://otsuka-europe-crm.veevavault.com/ui/#object/email_activity__v/V8C000000042378", "EN-002100436")</f>
        <v>EN-002100436</v>
      </c>
    </row>
    <row r="13121" spans="1:15" ht="32" x14ac:dyDescent="0.2">
      <c r="A13121" s="7" t="str">
        <f>HYPERLINK("https://otsuka-europe-crm.veevavault.com/ui/#object/account__v/V4TZ06G6OABA9MR", "FEDERICO FACCHINI")</f>
        <v>FEDERICO FACCHINI</v>
      </c>
      <c r="B13121" s="7" t="str">
        <f t="shared" ref="B13121:B13128" si="946">HYPERLINK("https://otsuka-europe-crm.veevavault.com/ui/#object/vcountry__v/VENZ000004SONFQ", "IT")</f>
        <v>IT</v>
      </c>
      <c r="C13121" s="8" t="s">
        <v>44</v>
      </c>
      <c r="D13121" s="9" t="str">
        <f t="shared" ref="D13121:D13128" si="947">HYPERLINK("https://otsuka-europe-crm.veevavault.com/ui/#object/approved_document__v/V5O00000001G004", "Branded_RXULTI_AE Ansia_IT-RXU-2500035")</f>
        <v>Branded_RXULTI_AE Ansia_IT-RXU-2500035</v>
      </c>
      <c r="E13121" s="10" t="str">
        <f>HYPERLINK("https://otsuka-europe-crm.veevavault.com/ui/#object/sent_email__v/VBL00000002Z250", "SE-001438678")</f>
        <v>SE-001438678</v>
      </c>
      <c r="F13121" s="11"/>
      <c r="G13121" s="12">
        <v>0</v>
      </c>
      <c r="H13121" s="12">
        <v>0</v>
      </c>
      <c r="I13121" s="12">
        <v>0</v>
      </c>
      <c r="J13121" s="11"/>
      <c r="K13121" s="12">
        <v>0</v>
      </c>
      <c r="L13121" s="10" t="str">
        <f t="shared" ref="L13121:L13128" si="948">HYPERLINK("https://otsuka-europe-crm.veevavault.com/ui/#object/approved_document__v/V5O00000001G004", "Branded_RXULTI_AE Ansia_IT-RXU-2500035")</f>
        <v>Branded_RXULTI_AE Ansia_IT-RXU-2500035</v>
      </c>
      <c r="M13121" s="10" t="str">
        <f t="shared" ref="M13121:M13128" si="949">HYPERLINK("mailto:gianpaolo.fichera@crm.otsuka-europe.com", "gianpaolo.fichera@crm.otsuka-europe.com")</f>
        <v>gianpaolo.fichera@crm.otsuka-europe.com</v>
      </c>
      <c r="N13121" s="13">
        <v>46202.649895833332</v>
      </c>
      <c r="O13121" s="14" t="str">
        <f>HYPERLINK("https://otsuka-europe-crm.veevavault.com/ui/#object/email_activity__v/V8C000000042376", "EN-002100439")</f>
        <v>EN-002100439</v>
      </c>
    </row>
    <row r="13122" spans="1:15" ht="32" x14ac:dyDescent="0.2">
      <c r="A13122" s="7" t="str">
        <f>HYPERLINK("https://otsuka-europe-crm.veevavault.com/ui/#object/account__v/V4TZ06G6O71S9PO", "FRANCESCO FARINELLA")</f>
        <v>FRANCESCO FARINELLA</v>
      </c>
      <c r="B13122" s="7" t="str">
        <f t="shared" si="946"/>
        <v>IT</v>
      </c>
      <c r="C13122" s="8" t="s">
        <v>44</v>
      </c>
      <c r="D13122" s="9" t="str">
        <f t="shared" si="947"/>
        <v>Branded_RXULTI_AE Ansia_IT-RXU-2500035</v>
      </c>
      <c r="E13122" s="10" t="str">
        <f>HYPERLINK("https://otsuka-europe-crm.veevavault.com/ui/#object/sent_email__v/VBL00000002Z251", "SE-001438679")</f>
        <v>SE-001438679</v>
      </c>
      <c r="F13122" s="11"/>
      <c r="G13122" s="12">
        <v>0</v>
      </c>
      <c r="H13122" s="12">
        <v>0</v>
      </c>
      <c r="I13122" s="12">
        <v>0</v>
      </c>
      <c r="J13122" s="11"/>
      <c r="K13122" s="12">
        <v>0</v>
      </c>
      <c r="L13122" s="10" t="str">
        <f t="shared" si="948"/>
        <v>Branded_RXULTI_AE Ansia_IT-RXU-2500035</v>
      </c>
      <c r="M13122" s="10" t="str">
        <f t="shared" si="949"/>
        <v>gianpaolo.fichera@crm.otsuka-europe.com</v>
      </c>
      <c r="N13122" s="13">
        <v>46202.650208333333</v>
      </c>
      <c r="O13122" s="14" t="str">
        <f>HYPERLINK("https://otsuka-europe-crm.veevavault.com/ui/#object/email_activity__v/V8C000000042379", "EN-002100442")</f>
        <v>EN-002100442</v>
      </c>
    </row>
    <row r="13123" spans="1:15" ht="32" x14ac:dyDescent="0.2">
      <c r="A13123" s="7" t="str">
        <f>HYPERLINK("https://otsuka-europe-crm.veevavault.com/ui/#object/account__v/V4T00000000K034", "MARINA FENOCCHIO")</f>
        <v>MARINA FENOCCHIO</v>
      </c>
      <c r="B13123" s="7" t="str">
        <f t="shared" si="946"/>
        <v>IT</v>
      </c>
      <c r="C13123" s="8" t="s">
        <v>44</v>
      </c>
      <c r="D13123" s="9" t="str">
        <f t="shared" si="947"/>
        <v>Branded_RXULTI_AE Ansia_IT-RXU-2500035</v>
      </c>
      <c r="E13123" s="10" t="str">
        <f>HYPERLINK("https://otsuka-europe-crm.veevavault.com/ui/#object/sent_email__v/VBL00000002Z252", "SE-001438680")</f>
        <v>SE-001438680</v>
      </c>
      <c r="F13123" s="11"/>
      <c r="G13123" s="12">
        <v>0</v>
      </c>
      <c r="H13123" s="12">
        <v>0</v>
      </c>
      <c r="I13123" s="12">
        <v>0</v>
      </c>
      <c r="J13123" s="11"/>
      <c r="K13123" s="12">
        <v>0</v>
      </c>
      <c r="L13123" s="10" t="str">
        <f t="shared" si="948"/>
        <v>Branded_RXULTI_AE Ansia_IT-RXU-2500035</v>
      </c>
      <c r="M13123" s="10" t="str">
        <f t="shared" si="949"/>
        <v>gianpaolo.fichera@crm.otsuka-europe.com</v>
      </c>
      <c r="N13123" s="13">
        <v>46202.650347222225</v>
      </c>
      <c r="O13123" s="14" t="str">
        <f>HYPERLINK("https://otsuka-europe-crm.veevavault.com/ui/#object/email_activity__v/V8C000000042380", "EN-002100443")</f>
        <v>EN-002100443</v>
      </c>
    </row>
    <row r="13124" spans="1:15" ht="32" x14ac:dyDescent="0.2">
      <c r="A13124" s="7" t="str">
        <f>HYPERLINK("https://otsuka-europe-crm.veevavault.com/ui/#object/account__v/V4TZ06G6OCER4HW", "LORENZO FILIPPO")</f>
        <v>LORENZO FILIPPO</v>
      </c>
      <c r="B13124" s="7" t="str">
        <f t="shared" si="946"/>
        <v>IT</v>
      </c>
      <c r="C13124" s="8" t="s">
        <v>44</v>
      </c>
      <c r="D13124" s="9" t="str">
        <f t="shared" si="947"/>
        <v>Branded_RXULTI_AE Ansia_IT-RXU-2500035</v>
      </c>
      <c r="E13124" s="10" t="str">
        <f>HYPERLINK("https://otsuka-europe-crm.veevavault.com/ui/#object/sent_email__v/VBL00000002Z253", "SE-001438681")</f>
        <v>SE-001438681</v>
      </c>
      <c r="F13124" s="11"/>
      <c r="G13124" s="12">
        <v>0</v>
      </c>
      <c r="H13124" s="12">
        <v>0</v>
      </c>
      <c r="I13124" s="12">
        <v>0</v>
      </c>
      <c r="J13124" s="11"/>
      <c r="K13124" s="12">
        <v>0</v>
      </c>
      <c r="L13124" s="10" t="str">
        <f t="shared" si="948"/>
        <v>Branded_RXULTI_AE Ansia_IT-RXU-2500035</v>
      </c>
      <c r="M13124" s="10" t="str">
        <f t="shared" si="949"/>
        <v>gianpaolo.fichera@crm.otsuka-europe.com</v>
      </c>
      <c r="N13124" s="13">
        <v>46202.650740740741</v>
      </c>
      <c r="O13124" s="14" t="str">
        <f>HYPERLINK("https://otsuka-europe-crm.veevavault.com/ui/#object/email_activity__v/V8C000000041377", "EN-002100444")</f>
        <v>EN-002100444</v>
      </c>
    </row>
    <row r="13125" spans="1:15" ht="32" x14ac:dyDescent="0.2">
      <c r="A13125" s="7" t="str">
        <f>HYPERLINK("https://otsuka-europe-crm.veevavault.com/ui/#object/account__v/V4TZ06G6O71SANQ", "VALERIA FONZO")</f>
        <v>VALERIA FONZO</v>
      </c>
      <c r="B13125" s="7" t="str">
        <f t="shared" si="946"/>
        <v>IT</v>
      </c>
      <c r="C13125" s="8" t="s">
        <v>44</v>
      </c>
      <c r="D13125" s="9" t="str">
        <f t="shared" si="947"/>
        <v>Branded_RXULTI_AE Ansia_IT-RXU-2500035</v>
      </c>
      <c r="E13125" s="10" t="str">
        <f>HYPERLINK("https://otsuka-europe-crm.veevavault.com/ui/#object/sent_email__v/VBL00000002Y067", "SE-001438682")</f>
        <v>SE-001438682</v>
      </c>
      <c r="F13125" s="11"/>
      <c r="G13125" s="12">
        <v>0</v>
      </c>
      <c r="H13125" s="12">
        <v>0</v>
      </c>
      <c r="I13125" s="12">
        <v>0</v>
      </c>
      <c r="J13125" s="11"/>
      <c r="K13125" s="12">
        <v>0</v>
      </c>
      <c r="L13125" s="10" t="str">
        <f t="shared" si="948"/>
        <v>Branded_RXULTI_AE Ansia_IT-RXU-2500035</v>
      </c>
      <c r="M13125" s="10" t="str">
        <f t="shared" si="949"/>
        <v>gianpaolo.fichera@crm.otsuka-europe.com</v>
      </c>
      <c r="N13125" s="13">
        <v>46202.651076388887</v>
      </c>
      <c r="O13125" s="14" t="str">
        <f>HYPERLINK("https://otsuka-europe-crm.veevavault.com/ui/#object/email_activity__v/V8C000000042381", "EN-002100445")</f>
        <v>EN-002100445</v>
      </c>
    </row>
    <row r="13126" spans="1:15" ht="32" x14ac:dyDescent="0.2">
      <c r="A13126" s="7" t="str">
        <f>HYPERLINK("https://otsuka-europe-crm.veevavault.com/ui/#object/account__v/V4TZ06G6O71SAM0", "BARBARA FORNAS")</f>
        <v>BARBARA FORNAS</v>
      </c>
      <c r="B13126" s="7" t="str">
        <f t="shared" si="946"/>
        <v>IT</v>
      </c>
      <c r="C13126" s="8" t="s">
        <v>44</v>
      </c>
      <c r="D13126" s="9" t="str">
        <f t="shared" si="947"/>
        <v>Branded_RXULTI_AE Ansia_IT-RXU-2500035</v>
      </c>
      <c r="E13126" s="10" t="str">
        <f>HYPERLINK("https://otsuka-europe-crm.veevavault.com/ui/#object/sent_email__v/VBL00000002Z254", "SE-001438683")</f>
        <v>SE-001438683</v>
      </c>
      <c r="F13126" s="11"/>
      <c r="G13126" s="12">
        <v>0</v>
      </c>
      <c r="H13126" s="12">
        <v>0</v>
      </c>
      <c r="I13126" s="12">
        <v>0</v>
      </c>
      <c r="J13126" s="11"/>
      <c r="K13126" s="12">
        <v>0</v>
      </c>
      <c r="L13126" s="10" t="str">
        <f t="shared" si="948"/>
        <v>Branded_RXULTI_AE Ansia_IT-RXU-2500035</v>
      </c>
      <c r="M13126" s="10" t="str">
        <f t="shared" si="949"/>
        <v>gianpaolo.fichera@crm.otsuka-europe.com</v>
      </c>
      <c r="N13126" s="13">
        <v>46202.651296296295</v>
      </c>
      <c r="O13126" s="14" t="str">
        <f>HYPERLINK("https://otsuka-europe-crm.veevavault.com/ui/#object/email_activity__v/V8C000000041378", "EN-002100446")</f>
        <v>EN-002100446</v>
      </c>
    </row>
    <row r="13127" spans="1:15" ht="32" x14ac:dyDescent="0.2">
      <c r="A13127" s="7" t="str">
        <f>HYPERLINK("https://otsuka-europe-crm.veevavault.com/ui/#object/account__v/V4TZ025E82WYTGQ", "MARTINA GAI")</f>
        <v>MARTINA GAI</v>
      </c>
      <c r="B13127" s="7" t="str">
        <f t="shared" si="946"/>
        <v>IT</v>
      </c>
      <c r="C13127" s="8" t="s">
        <v>44</v>
      </c>
      <c r="D13127" s="9" t="str">
        <f t="shared" si="947"/>
        <v>Branded_RXULTI_AE Ansia_IT-RXU-2500035</v>
      </c>
      <c r="E13127" s="10" t="str">
        <f>HYPERLINK("https://otsuka-europe-crm.veevavault.com/ui/#object/sent_email__v/VBL00000002Z255", "SE-001438684")</f>
        <v>SE-001438684</v>
      </c>
      <c r="F13127" s="11"/>
      <c r="G13127" s="12">
        <v>0</v>
      </c>
      <c r="H13127" s="12">
        <v>0</v>
      </c>
      <c r="I13127" s="12">
        <v>0</v>
      </c>
      <c r="J13127" s="11"/>
      <c r="K13127" s="12">
        <v>0</v>
      </c>
      <c r="L13127" s="10" t="str">
        <f t="shared" si="948"/>
        <v>Branded_RXULTI_AE Ansia_IT-RXU-2500035</v>
      </c>
      <c r="M13127" s="10" t="str">
        <f t="shared" si="949"/>
        <v>gianpaolo.fichera@crm.otsuka-europe.com</v>
      </c>
      <c r="N13127" s="13">
        <v>46202.651631944442</v>
      </c>
      <c r="O13127" s="14" t="str">
        <f>HYPERLINK("https://otsuka-europe-crm.veevavault.com/ui/#object/email_activity__v/V8C000000042382", "EN-002100448")</f>
        <v>EN-002100448</v>
      </c>
    </row>
    <row r="13128" spans="1:15" ht="32" x14ac:dyDescent="0.2">
      <c r="A13128" s="7" t="str">
        <f>HYPERLINK("https://otsuka-europe-crm.veevavault.com/ui/#object/account__v/V4TZ025E82Y3JLB", "AMBRA GALIA")</f>
        <v>AMBRA GALIA</v>
      </c>
      <c r="B13128" s="7" t="str">
        <f t="shared" si="946"/>
        <v>IT</v>
      </c>
      <c r="C13128" s="8" t="s">
        <v>44</v>
      </c>
      <c r="D13128" s="9" t="str">
        <f t="shared" si="947"/>
        <v>Branded_RXULTI_AE Ansia_IT-RXU-2500035</v>
      </c>
      <c r="E13128" s="10" t="str">
        <f>HYPERLINK("https://otsuka-europe-crm.veevavault.com/ui/#object/sent_email__v/VBL00000002Z256", "SE-001438685")</f>
        <v>SE-001438685</v>
      </c>
      <c r="F13128" s="11"/>
      <c r="G13128" s="12">
        <v>0</v>
      </c>
      <c r="H13128" s="12">
        <v>0</v>
      </c>
      <c r="I13128" s="12">
        <v>0</v>
      </c>
      <c r="J13128" s="11"/>
      <c r="K13128" s="12">
        <v>0</v>
      </c>
      <c r="L13128" s="10" t="str">
        <f t="shared" si="948"/>
        <v>Branded_RXULTI_AE Ansia_IT-RXU-2500035</v>
      </c>
      <c r="M13128" s="10" t="str">
        <f t="shared" si="949"/>
        <v>gianpaolo.fichera@crm.otsuka-europe.com</v>
      </c>
      <c r="N13128" s="13">
        <v>46202.651921296296</v>
      </c>
      <c r="O13128" s="14" t="str">
        <f>HYPERLINK("https://otsuka-europe-crm.veevavault.com/ui/#object/email_activity__v/V8C000000041380", "EN-002100449")</f>
        <v>EN-002100449</v>
      </c>
    </row>
    <row r="13129" spans="1:15" ht="48" x14ac:dyDescent="0.2">
      <c r="A13129" s="7" t="str">
        <f>HYPERLINK("https://otsuka-europe-crm.veevavault.com/ui/#object/account__v/V4TZ04ASGBXI8IG", "ADRIEN LEGRAND")</f>
        <v>ADRIEN LEGRAND</v>
      </c>
      <c r="B13129" s="7" t="str">
        <f>HYPERLINK("https://otsuka-europe-crm.veevavault.com/ui/#object/vcountry__v/VENZ000004SONFA", "FR")</f>
        <v>FR</v>
      </c>
      <c r="C13129" s="8" t="s">
        <v>42</v>
      </c>
      <c r="D13129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13129" s="10" t="str">
        <f>HYPERLINK("https://otsuka-europe-crm.veevavault.com/ui/#object/sent_email__v/VBL00000002Z257", "SE-001438686")</f>
        <v>SE-001438686</v>
      </c>
      <c r="F13129" s="11"/>
      <c r="G13129" s="12">
        <v>0</v>
      </c>
      <c r="H13129" s="12">
        <v>0</v>
      </c>
      <c r="I13129" s="12">
        <v>0</v>
      </c>
      <c r="J13129" s="11"/>
      <c r="K13129" s="12">
        <v>0</v>
      </c>
      <c r="L13129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13129" s="10" t="str">
        <f>HYPERLINK("mailto:mperrin@crm.otsuka-europe.com", "mperrin@crm.otsuka-europe.com")</f>
        <v>mperrin@crm.otsuka-europe.com</v>
      </c>
      <c r="N13129" s="13">
        <v>46202.651956018519</v>
      </c>
      <c r="O13129" s="14" t="str">
        <f>HYPERLINK("https://otsuka-europe-crm.veevavault.com/ui/#object/email_activity__v/V8C000000041381", "EN-002100450")</f>
        <v>EN-002100450</v>
      </c>
    </row>
    <row r="13130" spans="1:15" ht="48" x14ac:dyDescent="0.2">
      <c r="A13130" s="7" t="str">
        <f>HYPERLINK("https://otsuka-europe-crm.veevavault.com/ui/#object/account__v/V4TZ00000633NKG", "GHYZLANE BEN DJENANA")</f>
        <v>GHYZLANE BEN DJENANA</v>
      </c>
      <c r="B13130" s="7" t="str">
        <f>HYPERLINK("https://otsuka-europe-crm.veevavault.com/ui/#object/vcountry__v/VENZ000004SONFA", "FR")</f>
        <v>FR</v>
      </c>
      <c r="C13130" s="8" t="s">
        <v>42</v>
      </c>
      <c r="D13130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13130" s="10" t="str">
        <f>HYPERLINK("https://otsuka-europe-crm.veevavault.com/ui/#object/sent_email__v/VBL00000002Z258", "SE-001438687")</f>
        <v>SE-001438687</v>
      </c>
      <c r="F13130" s="11"/>
      <c r="G13130" s="12">
        <v>0</v>
      </c>
      <c r="H13130" s="12">
        <v>0</v>
      </c>
      <c r="I13130" s="12">
        <v>0</v>
      </c>
      <c r="J13130" s="11"/>
      <c r="K13130" s="12">
        <v>0</v>
      </c>
      <c r="L13130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13130" s="10" t="str">
        <f>HYPERLINK("mailto:mperrin@crm.otsuka-europe.com", "mperrin@crm.otsuka-europe.com")</f>
        <v>mperrin@crm.otsuka-europe.com</v>
      </c>
      <c r="N13130" s="13">
        <v>46202.651979166665</v>
      </c>
      <c r="O13130" s="14" t="str">
        <f>HYPERLINK("https://otsuka-europe-crm.veevavault.com/ui/#object/email_activity__v/V8C000000041382", "EN-002100451")</f>
        <v>EN-002100451</v>
      </c>
    </row>
    <row r="13131" spans="1:15" ht="32" x14ac:dyDescent="0.2">
      <c r="A13131" s="7" t="str">
        <f>HYPERLINK("https://otsuka-europe-crm.veevavault.com/ui/#object/account__v/V4TZ06G6O71SAOG", "GIORGIO GALLINO")</f>
        <v>GIORGIO GALLINO</v>
      </c>
      <c r="B13131" s="7" t="str">
        <f>HYPERLINK("https://otsuka-europe-crm.veevavault.com/ui/#object/vcountry__v/VENZ000004SONFQ", "IT")</f>
        <v>IT</v>
      </c>
      <c r="C13131" s="8" t="s">
        <v>44</v>
      </c>
      <c r="D13131" s="9" t="str">
        <f>HYPERLINK("https://otsuka-europe-crm.veevavault.com/ui/#object/approved_document__v/V5O00000001G004", "Branded_RXULTI_AE Ansia_IT-RXU-2500035")</f>
        <v>Branded_RXULTI_AE Ansia_IT-RXU-2500035</v>
      </c>
      <c r="E13131" s="10" t="str">
        <f>HYPERLINK("https://otsuka-europe-crm.veevavault.com/ui/#object/sent_email__v/VBL00000002Z259", "SE-001438688")</f>
        <v>SE-001438688</v>
      </c>
      <c r="F13131" s="11"/>
      <c r="G13131" s="12">
        <v>0</v>
      </c>
      <c r="H13131" s="12">
        <v>0</v>
      </c>
      <c r="I13131" s="12">
        <v>0</v>
      </c>
      <c r="J13131" s="11"/>
      <c r="K13131" s="12">
        <v>0</v>
      </c>
      <c r="L13131" s="10" t="str">
        <f>HYPERLINK("https://otsuka-europe-crm.veevavault.com/ui/#object/approved_document__v/V5O00000001G004", "Branded_RXULTI_AE Ansia_IT-RXU-2500035")</f>
        <v>Branded_RXULTI_AE Ansia_IT-RXU-2500035</v>
      </c>
      <c r="M13131" s="10" t="str">
        <f>HYPERLINK("mailto:gianpaolo.fichera@crm.otsuka-europe.com", "gianpaolo.fichera@crm.otsuka-europe.com")</f>
        <v>gianpaolo.fichera@crm.otsuka-europe.com</v>
      </c>
      <c r="N13131" s="13">
        <v>46202.652106481481</v>
      </c>
      <c r="O13131" s="14" t="str">
        <f>HYPERLINK("https://otsuka-europe-crm.veevavault.com/ui/#object/email_activity__v/V8C000000041383", "EN-002100452")</f>
        <v>EN-002100452</v>
      </c>
    </row>
    <row r="13132" spans="1:15" ht="16" x14ac:dyDescent="0.2">
      <c r="A13132" s="17" t="str">
        <f>HYPERLINK("https://otsuka-europe-crm.veevavault.com/ui/#object/account__v/V4TZ06G6O71S9EB", "MARCO GRAFFINO")</f>
        <v>MARCO GRAFFINO</v>
      </c>
      <c r="B13132" s="17" t="str">
        <f>HYPERLINK("https://otsuka-europe-crm.veevavault.com/ui/#object/vcountry__v/VENZ000004SONFQ", "IT")</f>
        <v>IT</v>
      </c>
      <c r="C13132" s="20" t="s">
        <v>44</v>
      </c>
      <c r="D13132" s="21" t="str">
        <f>HYPERLINK("https://otsuka-europe-crm.veevavault.com/ui/#object/approved_document__v/V5O00000001G004", "Branded_RXULTI_AE Ansia_IT-RXU-2500035")</f>
        <v>Branded_RXULTI_AE Ansia_IT-RXU-2500035</v>
      </c>
      <c r="E13132" s="22" t="str">
        <f>HYPERLINK("https://otsuka-europe-crm.veevavault.com/ui/#object/sent_email__v/VBL00000002Y068", "SE-001438689")</f>
        <v>SE-001438689</v>
      </c>
      <c r="F13132" s="23">
        <v>46202.695613425924</v>
      </c>
      <c r="G13132" s="24">
        <v>1</v>
      </c>
      <c r="H13132" s="24">
        <v>2</v>
      </c>
      <c r="I13132" s="24">
        <v>0</v>
      </c>
      <c r="J13132" s="25"/>
      <c r="K13132" s="24">
        <v>0</v>
      </c>
      <c r="L13132" s="22" t="str">
        <f>HYPERLINK("https://otsuka-europe-crm.veevavault.com/ui/#object/approved_document__v/V5O00000001G004", "Branded_RXULTI_AE Ansia_IT-RXU-2500035")</f>
        <v>Branded_RXULTI_AE Ansia_IT-RXU-2500035</v>
      </c>
      <c r="M13132" s="22" t="str">
        <f>HYPERLINK("mailto:gianpaolo.fichera@crm.otsuka-europe.com", "gianpaolo.fichera@crm.otsuka-europe.com")</f>
        <v>gianpaolo.fichera@crm.otsuka-europe.com</v>
      </c>
      <c r="N13132" s="23">
        <v>46202.652812499997</v>
      </c>
      <c r="O13132" s="14" t="str">
        <f>HYPERLINK("https://otsuka-europe-crm.veevavault.com/ui/#object/email_activity__v/V8C000000041384", "EN-002100453")</f>
        <v>EN-002100453</v>
      </c>
    </row>
    <row r="13133" spans="1:15" ht="16" x14ac:dyDescent="0.2">
      <c r="A13133" s="18"/>
      <c r="B13133" s="18"/>
      <c r="C13133" s="18"/>
      <c r="D13133" s="18"/>
      <c r="E13133" s="18"/>
      <c r="F13133" s="18"/>
      <c r="G13133" s="18"/>
      <c r="H13133" s="18"/>
      <c r="I13133" s="18"/>
      <c r="J13133" s="18"/>
      <c r="K13133" s="18"/>
      <c r="L13133" s="18"/>
      <c r="M13133" s="18"/>
      <c r="N13133" s="18"/>
      <c r="O13133" s="14" t="str">
        <f>HYPERLINK("https://otsuka-europe-crm.veevavault.com/ui/#object/email_activity__v/V8C000000041450", "EN-002100537")</f>
        <v>EN-002100537</v>
      </c>
    </row>
    <row r="13134" spans="1:15" ht="16" x14ac:dyDescent="0.2">
      <c r="A13134" s="19"/>
      <c r="B13134" s="19"/>
      <c r="C13134" s="19"/>
      <c r="D13134" s="19"/>
      <c r="E13134" s="19"/>
      <c r="F13134" s="19"/>
      <c r="G13134" s="19"/>
      <c r="H13134" s="19"/>
      <c r="I13134" s="19"/>
      <c r="J13134" s="19"/>
      <c r="K13134" s="19"/>
      <c r="L13134" s="19"/>
      <c r="M13134" s="19"/>
      <c r="N13134" s="19"/>
      <c r="O13134" s="14" t="str">
        <f>HYPERLINK("https://otsuka-europe-crm.veevavault.com/ui/#object/email_activity__v/V8C000000042400", "EN-002100536")</f>
        <v>EN-002100536</v>
      </c>
    </row>
    <row r="13135" spans="1:15" ht="16" x14ac:dyDescent="0.2">
      <c r="A13135" s="17" t="str">
        <f>HYPERLINK("https://otsuka-europe-crm.veevavault.com/ui/#object/account__v/V4TZ04ASGCDGAED", "CECILIA GRIMALDI")</f>
        <v>CECILIA GRIMALDI</v>
      </c>
      <c r="B13135" s="17" t="str">
        <f>HYPERLINK("https://otsuka-europe-crm.veevavault.com/ui/#object/vcountry__v/VENZ000004SONFQ", "IT")</f>
        <v>IT</v>
      </c>
      <c r="C13135" s="20" t="s">
        <v>44</v>
      </c>
      <c r="D13135" s="21" t="str">
        <f>HYPERLINK("https://otsuka-europe-crm.veevavault.com/ui/#object/approved_document__v/V5O00000001G004", "Branded_RXULTI_AE Ansia_IT-RXU-2500035")</f>
        <v>Branded_RXULTI_AE Ansia_IT-RXU-2500035</v>
      </c>
      <c r="E13135" s="22" t="str">
        <f>HYPERLINK("https://otsuka-europe-crm.veevavault.com/ui/#object/sent_email__v/VBL00000002Z260", "SE-001438690")</f>
        <v>SE-001438690</v>
      </c>
      <c r="F13135" s="23">
        <v>46202.65320601852</v>
      </c>
      <c r="G13135" s="24">
        <v>1</v>
      </c>
      <c r="H13135" s="24">
        <v>1</v>
      </c>
      <c r="I13135" s="24">
        <v>1</v>
      </c>
      <c r="J13135" s="23">
        <v>46202.65320601852</v>
      </c>
      <c r="K13135" s="24">
        <v>3</v>
      </c>
      <c r="L13135" s="22" t="str">
        <f>HYPERLINK("https://otsuka-europe-crm.veevavault.com/ui/#object/approved_document__v/V5O00000001G004", "Branded_RXULTI_AE Ansia_IT-RXU-2500035")</f>
        <v>Branded_RXULTI_AE Ansia_IT-RXU-2500035</v>
      </c>
      <c r="M13135" s="22" t="str">
        <f>HYPERLINK("mailto:gianpaolo.fichera@crm.otsuka-europe.com", "gianpaolo.fichera@crm.otsuka-europe.com")</f>
        <v>gianpaolo.fichera@crm.otsuka-europe.com</v>
      </c>
      <c r="N13135" s="23">
        <v>46202.653043981481</v>
      </c>
      <c r="O13135" s="14" t="str">
        <f>HYPERLINK("https://otsuka-europe-crm.veevavault.com/ui/#object/email_activity__v/V8C000000041385", "EN-002100454")</f>
        <v>EN-002100454</v>
      </c>
    </row>
    <row r="13136" spans="1:15" ht="16" x14ac:dyDescent="0.2">
      <c r="A13136" s="18"/>
      <c r="B13136" s="18"/>
      <c r="C13136" s="18"/>
      <c r="D13136" s="18"/>
      <c r="E13136" s="18"/>
      <c r="F13136" s="18"/>
      <c r="G13136" s="18"/>
      <c r="H13136" s="18"/>
      <c r="I13136" s="18"/>
      <c r="J13136" s="18"/>
      <c r="K13136" s="18"/>
      <c r="L13136" s="18"/>
      <c r="M13136" s="18"/>
      <c r="N13136" s="18"/>
      <c r="O13136" s="14" t="str">
        <f>HYPERLINK("https://otsuka-europe-crm.veevavault.com/ui/#object/email_activity__v/V8C000000041386", "EN-002100456")</f>
        <v>EN-002100456</v>
      </c>
    </row>
    <row r="13137" spans="1:15" ht="16" x14ac:dyDescent="0.2">
      <c r="A13137" s="18"/>
      <c r="B13137" s="18"/>
      <c r="C13137" s="18"/>
      <c r="D13137" s="18"/>
      <c r="E13137" s="18"/>
      <c r="F13137" s="18"/>
      <c r="G13137" s="18"/>
      <c r="H13137" s="18"/>
      <c r="I13137" s="18"/>
      <c r="J13137" s="18"/>
      <c r="K13137" s="18"/>
      <c r="L13137" s="18"/>
      <c r="M13137" s="18"/>
      <c r="N13137" s="18"/>
      <c r="O13137" s="14" t="str">
        <f>HYPERLINK("https://otsuka-europe-crm.veevavault.com/ui/#object/email_activity__v/V8C000000041387", "EN-002100455")</f>
        <v>EN-002100455</v>
      </c>
    </row>
    <row r="13138" spans="1:15" ht="16" x14ac:dyDescent="0.2">
      <c r="A13138" s="18"/>
      <c r="B13138" s="18"/>
      <c r="C13138" s="18"/>
      <c r="D13138" s="18"/>
      <c r="E13138" s="18"/>
      <c r="F13138" s="18"/>
      <c r="G13138" s="18"/>
      <c r="H13138" s="18"/>
      <c r="I13138" s="18"/>
      <c r="J13138" s="18"/>
      <c r="K13138" s="18"/>
      <c r="L13138" s="18"/>
      <c r="M13138" s="18"/>
      <c r="N13138" s="18"/>
      <c r="O13138" s="14" t="str">
        <f>HYPERLINK("https://otsuka-europe-crm.veevavault.com/ui/#object/email_activity__v/V8C000000041388", "EN-002100457")</f>
        <v>EN-002100457</v>
      </c>
    </row>
    <row r="13139" spans="1:15" ht="16" x14ac:dyDescent="0.2">
      <c r="A13139" s="19"/>
      <c r="B13139" s="19"/>
      <c r="C13139" s="19"/>
      <c r="D13139" s="19"/>
      <c r="E13139" s="19"/>
      <c r="F13139" s="19"/>
      <c r="G13139" s="19"/>
      <c r="H13139" s="19"/>
      <c r="I13139" s="19"/>
      <c r="J13139" s="19"/>
      <c r="K13139" s="19"/>
      <c r="L13139" s="19"/>
      <c r="M13139" s="19"/>
      <c r="N13139" s="19"/>
      <c r="O13139" s="14" t="str">
        <f>HYPERLINK("https://otsuka-europe-crm.veevavault.com/ui/#object/email_activity__v/V8C000000041389", "EN-002100458")</f>
        <v>EN-002100458</v>
      </c>
    </row>
    <row r="13140" spans="1:15" ht="32" x14ac:dyDescent="0.2">
      <c r="A13140" s="7" t="str">
        <f>HYPERLINK("https://otsuka-europe-crm.veevavault.com/ui/#object/account__v/V4TZ06G6O71TLEN", "ROBERTO KELLER")</f>
        <v>ROBERTO KELLER</v>
      </c>
      <c r="B13140" s="7" t="str">
        <f>HYPERLINK("https://otsuka-europe-crm.veevavault.com/ui/#object/vcountry__v/VENZ000004SONFQ", "IT")</f>
        <v>IT</v>
      </c>
      <c r="C13140" s="8" t="s">
        <v>44</v>
      </c>
      <c r="D13140" s="9" t="str">
        <f>HYPERLINK("https://otsuka-europe-crm.veevavault.com/ui/#object/approved_document__v/V5O00000001G004", "Branded_RXULTI_AE Ansia_IT-RXU-2500035")</f>
        <v>Branded_RXULTI_AE Ansia_IT-RXU-2500035</v>
      </c>
      <c r="E13140" s="10" t="str">
        <f>HYPERLINK("https://otsuka-europe-crm.veevavault.com/ui/#object/sent_email__v/VBL00000002Z261", "SE-001438691")</f>
        <v>SE-001438691</v>
      </c>
      <c r="F13140" s="11"/>
      <c r="G13140" s="12">
        <v>0</v>
      </c>
      <c r="H13140" s="12">
        <v>0</v>
      </c>
      <c r="I13140" s="12">
        <v>0</v>
      </c>
      <c r="J13140" s="11"/>
      <c r="K13140" s="12">
        <v>0</v>
      </c>
      <c r="L13140" s="10" t="str">
        <f>HYPERLINK("https://otsuka-europe-crm.veevavault.com/ui/#object/approved_document__v/V5O00000001G004", "Branded_RXULTI_AE Ansia_IT-RXU-2500035")</f>
        <v>Branded_RXULTI_AE Ansia_IT-RXU-2500035</v>
      </c>
      <c r="M13140" s="10" t="str">
        <f>HYPERLINK("mailto:gianpaolo.fichera@crm.otsuka-europe.com", "gianpaolo.fichera@crm.otsuka-europe.com")</f>
        <v>gianpaolo.fichera@crm.otsuka-europe.com</v>
      </c>
      <c r="N13140" s="13">
        <v>46202.653495370374</v>
      </c>
      <c r="O13140" s="14" t="str">
        <f>HYPERLINK("https://otsuka-europe-crm.veevavault.com/ui/#object/email_activity__v/V8C000000041390", "EN-002100459")</f>
        <v>EN-002100459</v>
      </c>
    </row>
    <row r="13141" spans="1:15" ht="32" x14ac:dyDescent="0.2">
      <c r="A13141" s="7" t="str">
        <f>HYPERLINK("https://otsuka-europe-crm.veevavault.com/ui/#object/account__v/V4TZ025E82WHQYJ", "MARTA LEPORA")</f>
        <v>MARTA LEPORA</v>
      </c>
      <c r="B13141" s="7" t="str">
        <f>HYPERLINK("https://otsuka-europe-crm.veevavault.com/ui/#object/vcountry__v/VENZ000004SONFQ", "IT")</f>
        <v>IT</v>
      </c>
      <c r="C13141" s="8" t="s">
        <v>44</v>
      </c>
      <c r="D13141" s="9" t="str">
        <f>HYPERLINK("https://otsuka-europe-crm.veevavault.com/ui/#object/approved_document__v/V5O00000001G004", "Branded_RXULTI_AE Ansia_IT-RXU-2500035")</f>
        <v>Branded_RXULTI_AE Ansia_IT-RXU-2500035</v>
      </c>
      <c r="E13141" s="10" t="str">
        <f>HYPERLINK("https://otsuka-europe-crm.veevavault.com/ui/#object/sent_email__v/VBL00000002Z262", "SE-001438692")</f>
        <v>SE-001438692</v>
      </c>
      <c r="F13141" s="11"/>
      <c r="G13141" s="12">
        <v>0</v>
      </c>
      <c r="H13141" s="12">
        <v>0</v>
      </c>
      <c r="I13141" s="12">
        <v>0</v>
      </c>
      <c r="J13141" s="11"/>
      <c r="K13141" s="12">
        <v>0</v>
      </c>
      <c r="L13141" s="10" t="str">
        <f>HYPERLINK("https://otsuka-europe-crm.veevavault.com/ui/#object/approved_document__v/V5O00000001G004", "Branded_RXULTI_AE Ansia_IT-RXU-2500035")</f>
        <v>Branded_RXULTI_AE Ansia_IT-RXU-2500035</v>
      </c>
      <c r="M13141" s="10" t="str">
        <f>HYPERLINK("mailto:gianpaolo.fichera@crm.otsuka-europe.com", "gianpaolo.fichera@crm.otsuka-europe.com")</f>
        <v>gianpaolo.fichera@crm.otsuka-europe.com</v>
      </c>
      <c r="N13141" s="13">
        <v>46202.653946759259</v>
      </c>
      <c r="O13141" s="14" t="str">
        <f>HYPERLINK("https://otsuka-europe-crm.veevavault.com/ui/#object/email_activity__v/V8C000000041391", "EN-002100460")</f>
        <v>EN-002100460</v>
      </c>
    </row>
    <row r="13142" spans="1:15" ht="32" x14ac:dyDescent="0.2">
      <c r="A13142" s="7" t="str">
        <f>HYPERLINK("https://otsuka-europe-crm.veevavault.com/ui/#object/account__v/V4TZ06G6O71SBGX", "EMANUELA MASSONI")</f>
        <v>EMANUELA MASSONI</v>
      </c>
      <c r="B13142" s="7" t="str">
        <f>HYPERLINK("https://otsuka-europe-crm.veevavault.com/ui/#object/vcountry__v/VENZ000004SONFQ", "IT")</f>
        <v>IT</v>
      </c>
      <c r="C13142" s="8" t="s">
        <v>44</v>
      </c>
      <c r="D13142" s="9" t="str">
        <f>HYPERLINK("https://otsuka-europe-crm.veevavault.com/ui/#object/approved_document__v/V5O00000001G004", "Branded_RXULTI_AE Ansia_IT-RXU-2500035")</f>
        <v>Branded_RXULTI_AE Ansia_IT-RXU-2500035</v>
      </c>
      <c r="E13142" s="10" t="str">
        <f>HYPERLINK("https://otsuka-europe-crm.veevavault.com/ui/#object/sent_email__v/VBL00000002Y069", "SE-001438693")</f>
        <v>SE-001438693</v>
      </c>
      <c r="F13142" s="11"/>
      <c r="G13142" s="12">
        <v>0</v>
      </c>
      <c r="H13142" s="12">
        <v>0</v>
      </c>
      <c r="I13142" s="12">
        <v>0</v>
      </c>
      <c r="J13142" s="11"/>
      <c r="K13142" s="12">
        <v>0</v>
      </c>
      <c r="L13142" s="10" t="str">
        <f>HYPERLINK("https://otsuka-europe-crm.veevavault.com/ui/#object/approved_document__v/V5O00000001G004", "Branded_RXULTI_AE Ansia_IT-RXU-2500035")</f>
        <v>Branded_RXULTI_AE Ansia_IT-RXU-2500035</v>
      </c>
      <c r="M13142" s="10" t="str">
        <f>HYPERLINK("mailto:gianpaolo.fichera@crm.otsuka-europe.com", "gianpaolo.fichera@crm.otsuka-europe.com")</f>
        <v>gianpaolo.fichera@crm.otsuka-europe.com</v>
      </c>
      <c r="N13142" s="13">
        <v>46202.655069444445</v>
      </c>
      <c r="O13142" s="14" t="str">
        <f>HYPERLINK("https://otsuka-europe-crm.veevavault.com/ui/#object/email_activity__v/V8C000000041392", "EN-002100461")</f>
        <v>EN-002100461</v>
      </c>
    </row>
    <row r="13143" spans="1:15" ht="16" x14ac:dyDescent="0.2">
      <c r="A13143" s="17" t="str">
        <f>HYPERLINK("https://otsuka-europe-crm.veevavault.com/ui/#object/account__v/V4TZ04ASGCDG9PP", "MAURIZIO MAVARACCHIO")</f>
        <v>MAURIZIO MAVARACCHIO</v>
      </c>
      <c r="B13143" s="17" t="str">
        <f>HYPERLINK("https://otsuka-europe-crm.veevavault.com/ui/#object/vcountry__v/VENZ000004SONFQ", "IT")</f>
        <v>IT</v>
      </c>
      <c r="C13143" s="20" t="s">
        <v>44</v>
      </c>
      <c r="D13143" s="21" t="str">
        <f>HYPERLINK("https://otsuka-europe-crm.veevavault.com/ui/#object/approved_document__v/V5O00000001G004", "Branded_RXULTI_AE Ansia_IT-RXU-2500035")</f>
        <v>Branded_RXULTI_AE Ansia_IT-RXU-2500035</v>
      </c>
      <c r="E13143" s="22" t="str">
        <f>HYPERLINK("https://otsuka-europe-crm.veevavault.com/ui/#object/sent_email__v/VBL00000002Y070", "SE-001438694")</f>
        <v>SE-001438694</v>
      </c>
      <c r="F13143" s="23">
        <v>46202.655370370368</v>
      </c>
      <c r="G13143" s="24">
        <v>1</v>
      </c>
      <c r="H13143" s="24">
        <v>2</v>
      </c>
      <c r="I13143" s="24">
        <v>1</v>
      </c>
      <c r="J13143" s="23">
        <v>46202.655370370368</v>
      </c>
      <c r="K13143" s="24">
        <v>4</v>
      </c>
      <c r="L13143" s="22" t="str">
        <f>HYPERLINK("https://otsuka-europe-crm.veevavault.com/ui/#object/approved_document__v/V5O00000001G004", "Branded_RXULTI_AE Ansia_IT-RXU-2500035")</f>
        <v>Branded_RXULTI_AE Ansia_IT-RXU-2500035</v>
      </c>
      <c r="M13143" s="22" t="str">
        <f>HYPERLINK("mailto:gianpaolo.fichera@crm.otsuka-europe.com", "gianpaolo.fichera@crm.otsuka-europe.com")</f>
        <v>gianpaolo.fichera@crm.otsuka-europe.com</v>
      </c>
      <c r="N13143" s="23">
        <v>46202.655289351853</v>
      </c>
      <c r="O13143" s="14" t="str">
        <f>HYPERLINK("https://otsuka-europe-crm.veevavault.com/ui/#object/email_activity__v/V8C000000041393", "EN-002100464")</f>
        <v>EN-002100464</v>
      </c>
    </row>
    <row r="13144" spans="1:15" ht="16" x14ac:dyDescent="0.2">
      <c r="A13144" s="18"/>
      <c r="B13144" s="18"/>
      <c r="C13144" s="18"/>
      <c r="D13144" s="18"/>
      <c r="E13144" s="18"/>
      <c r="F13144" s="18"/>
      <c r="G13144" s="18"/>
      <c r="H13144" s="18"/>
      <c r="I13144" s="18"/>
      <c r="J13144" s="18"/>
      <c r="K13144" s="18"/>
      <c r="L13144" s="18"/>
      <c r="M13144" s="18"/>
      <c r="N13144" s="18"/>
      <c r="O13144" s="14" t="str">
        <f>HYPERLINK("https://otsuka-europe-crm.veevavault.com/ui/#object/email_activity__v/V8C000000041394", "EN-002100462")</f>
        <v>EN-002100462</v>
      </c>
    </row>
    <row r="13145" spans="1:15" ht="16" x14ac:dyDescent="0.2">
      <c r="A13145" s="18"/>
      <c r="B13145" s="18"/>
      <c r="C13145" s="18"/>
      <c r="D13145" s="18"/>
      <c r="E13145" s="18"/>
      <c r="F13145" s="18"/>
      <c r="G13145" s="18"/>
      <c r="H13145" s="18"/>
      <c r="I13145" s="18"/>
      <c r="J13145" s="18"/>
      <c r="K13145" s="18"/>
      <c r="L13145" s="18"/>
      <c r="M13145" s="18"/>
      <c r="N13145" s="18"/>
      <c r="O13145" s="14" t="str">
        <f>HYPERLINK("https://otsuka-europe-crm.veevavault.com/ui/#object/email_activity__v/V8C000000041395", "EN-002100466")</f>
        <v>EN-002100466</v>
      </c>
    </row>
    <row r="13146" spans="1:15" ht="16" x14ac:dyDescent="0.2">
      <c r="A13146" s="18"/>
      <c r="B13146" s="18"/>
      <c r="C13146" s="18"/>
      <c r="D13146" s="18"/>
      <c r="E13146" s="18"/>
      <c r="F13146" s="18"/>
      <c r="G13146" s="18"/>
      <c r="H13146" s="18"/>
      <c r="I13146" s="18"/>
      <c r="J13146" s="18"/>
      <c r="K13146" s="18"/>
      <c r="L13146" s="18"/>
      <c r="M13146" s="18"/>
      <c r="N13146" s="18"/>
      <c r="O13146" s="14" t="str">
        <f>HYPERLINK("https://otsuka-europe-crm.veevavault.com/ui/#object/email_activity__v/V8C000000041396", "EN-002100463")</f>
        <v>EN-002100463</v>
      </c>
    </row>
    <row r="13147" spans="1:15" ht="16" x14ac:dyDescent="0.2">
      <c r="A13147" s="18"/>
      <c r="B13147" s="18"/>
      <c r="C13147" s="18"/>
      <c r="D13147" s="18"/>
      <c r="E13147" s="18"/>
      <c r="F13147" s="18"/>
      <c r="G13147" s="18"/>
      <c r="H13147" s="18"/>
      <c r="I13147" s="18"/>
      <c r="J13147" s="18"/>
      <c r="K13147" s="18"/>
      <c r="L13147" s="18"/>
      <c r="M13147" s="18"/>
      <c r="N13147" s="18"/>
      <c r="O13147" s="14" t="str">
        <f>HYPERLINK("https://otsuka-europe-crm.veevavault.com/ui/#object/email_activity__v/V8C000000041397", "EN-002100465")</f>
        <v>EN-002100465</v>
      </c>
    </row>
    <row r="13148" spans="1:15" ht="16" x14ac:dyDescent="0.2">
      <c r="A13148" s="18"/>
      <c r="B13148" s="18"/>
      <c r="C13148" s="18"/>
      <c r="D13148" s="18"/>
      <c r="E13148" s="18"/>
      <c r="F13148" s="18"/>
      <c r="G13148" s="18"/>
      <c r="H13148" s="18"/>
      <c r="I13148" s="18"/>
      <c r="J13148" s="18"/>
      <c r="K13148" s="18"/>
      <c r="L13148" s="18"/>
      <c r="M13148" s="18"/>
      <c r="N13148" s="18"/>
      <c r="O13148" s="14" t="str">
        <f>HYPERLINK("https://otsuka-europe-crm.veevavault.com/ui/#object/email_activity__v/V8C000000041398", "EN-002100467")</f>
        <v>EN-002100467</v>
      </c>
    </row>
    <row r="13149" spans="1:15" ht="16" x14ac:dyDescent="0.2">
      <c r="A13149" s="19"/>
      <c r="B13149" s="19"/>
      <c r="C13149" s="19"/>
      <c r="D13149" s="19"/>
      <c r="E13149" s="19"/>
      <c r="F13149" s="19"/>
      <c r="G13149" s="19"/>
      <c r="H13149" s="19"/>
      <c r="I13149" s="19"/>
      <c r="J13149" s="19"/>
      <c r="K13149" s="19"/>
      <c r="L13149" s="19"/>
      <c r="M13149" s="19"/>
      <c r="N13149" s="19"/>
      <c r="O13149" s="14" t="str">
        <f>HYPERLINK("https://otsuka-europe-crm.veevavault.com/ui/#object/email_activity__v/V8C000000041399", "EN-002100468")</f>
        <v>EN-002100468</v>
      </c>
    </row>
    <row r="13150" spans="1:15" ht="16" x14ac:dyDescent="0.2">
      <c r="A13150" s="17" t="str">
        <f>HYPERLINK("https://otsuka-europe-crm.veevavault.com/ui/#object/account__v/V4TZ06G6O71SBHU", "CHIARA MAZZA")</f>
        <v>CHIARA MAZZA</v>
      </c>
      <c r="B13150" s="17" t="str">
        <f>HYPERLINK("https://otsuka-europe-crm.veevavault.com/ui/#object/vcountry__v/VENZ000004SONFQ", "IT")</f>
        <v>IT</v>
      </c>
      <c r="C13150" s="20" t="s">
        <v>44</v>
      </c>
      <c r="D13150" s="21" t="str">
        <f>HYPERLINK("https://otsuka-europe-crm.veevavault.com/ui/#object/approved_document__v/V5O00000001G004", "Branded_RXULTI_AE Ansia_IT-RXU-2500035")</f>
        <v>Branded_RXULTI_AE Ansia_IT-RXU-2500035</v>
      </c>
      <c r="E13150" s="22" t="str">
        <f>HYPERLINK("https://otsuka-europe-crm.veevavault.com/ui/#object/sent_email__v/VBL00000002Y071", "SE-001438695")</f>
        <v>SE-001438695</v>
      </c>
      <c r="F13150" s="23">
        <v>46202.660081018519</v>
      </c>
      <c r="G13150" s="24">
        <v>1</v>
      </c>
      <c r="H13150" s="24">
        <v>2</v>
      </c>
      <c r="I13150" s="24">
        <v>0</v>
      </c>
      <c r="J13150" s="25"/>
      <c r="K13150" s="24">
        <v>0</v>
      </c>
      <c r="L13150" s="22" t="str">
        <f>HYPERLINK("https://otsuka-europe-crm.veevavault.com/ui/#object/approved_document__v/V5O00000001G004", "Branded_RXULTI_AE Ansia_IT-RXU-2500035")</f>
        <v>Branded_RXULTI_AE Ansia_IT-RXU-2500035</v>
      </c>
      <c r="M13150" s="22" t="str">
        <f>HYPERLINK("mailto:gianpaolo.fichera@crm.otsuka-europe.com", "gianpaolo.fichera@crm.otsuka-europe.com")</f>
        <v>gianpaolo.fichera@crm.otsuka-europe.com</v>
      </c>
      <c r="N13150" s="23">
        <v>46202.655590277776</v>
      </c>
      <c r="O13150" s="14" t="str">
        <f>HYPERLINK("https://otsuka-europe-crm.veevavault.com/ui/#object/email_activity__v/V8C000000041400", "EN-002100469")</f>
        <v>EN-002100469</v>
      </c>
    </row>
    <row r="13151" spans="1:15" ht="16" x14ac:dyDescent="0.2">
      <c r="A13151" s="18"/>
      <c r="B13151" s="18"/>
      <c r="C13151" s="18"/>
      <c r="D13151" s="18"/>
      <c r="E13151" s="18"/>
      <c r="F13151" s="18"/>
      <c r="G13151" s="18"/>
      <c r="H13151" s="18"/>
      <c r="I13151" s="18"/>
      <c r="J13151" s="18"/>
      <c r="K13151" s="18"/>
      <c r="L13151" s="18"/>
      <c r="M13151" s="18"/>
      <c r="N13151" s="18"/>
      <c r="O13151" s="14" t="str">
        <f>HYPERLINK("https://otsuka-europe-crm.veevavault.com/ui/#object/email_activity__v/V8C000000042387", "EN-002100493")</f>
        <v>EN-002100493</v>
      </c>
    </row>
    <row r="13152" spans="1:15" ht="16" x14ac:dyDescent="0.2">
      <c r="A13152" s="19"/>
      <c r="B13152" s="19"/>
      <c r="C13152" s="19"/>
      <c r="D13152" s="19"/>
      <c r="E13152" s="19"/>
      <c r="F13152" s="19"/>
      <c r="G13152" s="19"/>
      <c r="H13152" s="19"/>
      <c r="I13152" s="19"/>
      <c r="J13152" s="19"/>
      <c r="K13152" s="19"/>
      <c r="L13152" s="19"/>
      <c r="M13152" s="19"/>
      <c r="N13152" s="19"/>
      <c r="O13152" s="14" t="str">
        <f>HYPERLINK("https://otsuka-europe-crm.veevavault.com/ui/#object/email_activity__v/V8C000000042388", "EN-002100495")</f>
        <v>EN-002100495</v>
      </c>
    </row>
    <row r="13153" spans="1:15" ht="16" x14ac:dyDescent="0.2">
      <c r="A13153" s="17" t="str">
        <f>HYPERLINK("https://otsuka-europe-crm.veevavault.com/ui/#object/account__v/V4TZ025E87YSJDK", "ILARIA MAZZONI")</f>
        <v>ILARIA MAZZONI</v>
      </c>
      <c r="B13153" s="17" t="str">
        <f>HYPERLINK("https://otsuka-europe-crm.veevavault.com/ui/#object/vcountry__v/VENZ000004SONFQ", "IT")</f>
        <v>IT</v>
      </c>
      <c r="C13153" s="20" t="s">
        <v>44</v>
      </c>
      <c r="D13153" s="21" t="str">
        <f>HYPERLINK("https://otsuka-europe-crm.veevavault.com/ui/#object/approved_document__v/V5O00000001G004", "Branded_RXULTI_AE Ansia_IT-RXU-2500035")</f>
        <v>Branded_RXULTI_AE Ansia_IT-RXU-2500035</v>
      </c>
      <c r="E13153" s="22" t="str">
        <f>HYPERLINK("https://otsuka-europe-crm.veevavault.com/ui/#object/sent_email__v/VBL00000002Y072", "SE-001438696")</f>
        <v>SE-001438696</v>
      </c>
      <c r="F13153" s="23">
        <v>46202.656006944446</v>
      </c>
      <c r="G13153" s="24">
        <v>1</v>
      </c>
      <c r="H13153" s="24">
        <v>1</v>
      </c>
      <c r="I13153" s="24">
        <v>1</v>
      </c>
      <c r="J13153" s="23">
        <v>46202.656006944446</v>
      </c>
      <c r="K13153" s="24">
        <v>4</v>
      </c>
      <c r="L13153" s="22" t="str">
        <f>HYPERLINK("https://otsuka-europe-crm.veevavault.com/ui/#object/approved_document__v/V5O00000001G004", "Branded_RXULTI_AE Ansia_IT-RXU-2500035")</f>
        <v>Branded_RXULTI_AE Ansia_IT-RXU-2500035</v>
      </c>
      <c r="M13153" s="22" t="str">
        <f>HYPERLINK("mailto:gianpaolo.fichera@crm.otsuka-europe.com", "gianpaolo.fichera@crm.otsuka-europe.com")</f>
        <v>gianpaolo.fichera@crm.otsuka-europe.com</v>
      </c>
      <c r="N13153" s="23">
        <v>46202.655925925923</v>
      </c>
      <c r="O13153" s="14" t="str">
        <f>HYPERLINK("https://otsuka-europe-crm.veevavault.com/ui/#object/email_activity__v/V8C000000041401", "EN-002100470")</f>
        <v>EN-002100470</v>
      </c>
    </row>
    <row r="13154" spans="1:15" ht="16" x14ac:dyDescent="0.2">
      <c r="A13154" s="18"/>
      <c r="B13154" s="18"/>
      <c r="C13154" s="18"/>
      <c r="D13154" s="18"/>
      <c r="E13154" s="18"/>
      <c r="F13154" s="18"/>
      <c r="G13154" s="18"/>
      <c r="H13154" s="18"/>
      <c r="I13154" s="18"/>
      <c r="J13154" s="18"/>
      <c r="K13154" s="18"/>
      <c r="L13154" s="18"/>
      <c r="M13154" s="18"/>
      <c r="N13154" s="18"/>
      <c r="O13154" s="14" t="str">
        <f>HYPERLINK("https://otsuka-europe-crm.veevavault.com/ui/#object/email_activity__v/V8C000000041402", "EN-002100472")</f>
        <v>EN-002100472</v>
      </c>
    </row>
    <row r="13155" spans="1:15" ht="16" x14ac:dyDescent="0.2">
      <c r="A13155" s="18"/>
      <c r="B13155" s="18"/>
      <c r="C13155" s="18"/>
      <c r="D13155" s="18"/>
      <c r="E13155" s="18"/>
      <c r="F13155" s="18"/>
      <c r="G13155" s="18"/>
      <c r="H13155" s="18"/>
      <c r="I13155" s="18"/>
      <c r="J13155" s="18"/>
      <c r="K13155" s="18"/>
      <c r="L13155" s="18"/>
      <c r="M13155" s="18"/>
      <c r="N13155" s="18"/>
      <c r="O13155" s="14" t="str">
        <f>HYPERLINK("https://otsuka-europe-crm.veevavault.com/ui/#object/email_activity__v/V8C000000041403", "EN-002100471")</f>
        <v>EN-002100471</v>
      </c>
    </row>
    <row r="13156" spans="1:15" ht="16" x14ac:dyDescent="0.2">
      <c r="A13156" s="18"/>
      <c r="B13156" s="18"/>
      <c r="C13156" s="18"/>
      <c r="D13156" s="18"/>
      <c r="E13156" s="18"/>
      <c r="F13156" s="18"/>
      <c r="G13156" s="18"/>
      <c r="H13156" s="18"/>
      <c r="I13156" s="18"/>
      <c r="J13156" s="18"/>
      <c r="K13156" s="18"/>
      <c r="L13156" s="18"/>
      <c r="M13156" s="18"/>
      <c r="N13156" s="18"/>
      <c r="O13156" s="14" t="str">
        <f>HYPERLINK("https://otsuka-europe-crm.veevavault.com/ui/#object/email_activity__v/V8C000000041404", "EN-002100473")</f>
        <v>EN-002100473</v>
      </c>
    </row>
    <row r="13157" spans="1:15" ht="16" x14ac:dyDescent="0.2">
      <c r="A13157" s="18"/>
      <c r="B13157" s="18"/>
      <c r="C13157" s="18"/>
      <c r="D13157" s="18"/>
      <c r="E13157" s="18"/>
      <c r="F13157" s="18"/>
      <c r="G13157" s="18"/>
      <c r="H13157" s="18"/>
      <c r="I13157" s="18"/>
      <c r="J13157" s="18"/>
      <c r="K13157" s="18"/>
      <c r="L13157" s="18"/>
      <c r="M13157" s="18"/>
      <c r="N13157" s="18"/>
      <c r="O13157" s="14" t="str">
        <f>HYPERLINK("https://otsuka-europe-crm.veevavault.com/ui/#object/email_activity__v/V8C000000041405", "EN-002100475")</f>
        <v>EN-002100475</v>
      </c>
    </row>
    <row r="13158" spans="1:15" ht="16" x14ac:dyDescent="0.2">
      <c r="A13158" s="19"/>
      <c r="B13158" s="19"/>
      <c r="C13158" s="19"/>
      <c r="D13158" s="19"/>
      <c r="E13158" s="19"/>
      <c r="F13158" s="19"/>
      <c r="G13158" s="19"/>
      <c r="H13158" s="19"/>
      <c r="I13158" s="19"/>
      <c r="J13158" s="19"/>
      <c r="K13158" s="19"/>
      <c r="L13158" s="19"/>
      <c r="M13158" s="19"/>
      <c r="N13158" s="19"/>
      <c r="O13158" s="14" t="str">
        <f>HYPERLINK("https://otsuka-europe-crm.veevavault.com/ui/#object/email_activity__v/V8C000000042384", "EN-002100476")</f>
        <v>EN-002100476</v>
      </c>
    </row>
    <row r="13159" spans="1:15" ht="16" x14ac:dyDescent="0.2">
      <c r="A13159" s="17" t="str">
        <f>HYPERLINK("https://otsuka-europe-crm.veevavault.com/ui/#object/account__v/V4TZ06G6O71VWG6", "MARINA MAZZUCCO")</f>
        <v>MARINA MAZZUCCO</v>
      </c>
      <c r="B13159" s="17" t="str">
        <f>HYPERLINK("https://otsuka-europe-crm.veevavault.com/ui/#object/vcountry__v/VENZ000004SONFQ", "IT")</f>
        <v>IT</v>
      </c>
      <c r="C13159" s="20" t="s">
        <v>44</v>
      </c>
      <c r="D13159" s="21" t="str">
        <f>HYPERLINK("https://otsuka-europe-crm.veevavault.com/ui/#object/approved_document__v/V5O00000001G004", "Branded_RXULTI_AE Ansia_IT-RXU-2500035")</f>
        <v>Branded_RXULTI_AE Ansia_IT-RXU-2500035</v>
      </c>
      <c r="E13159" s="22" t="str">
        <f>HYPERLINK("https://otsuka-europe-crm.veevavault.com/ui/#object/sent_email__v/VBL00000002Y073", "SE-001438697")</f>
        <v>SE-001438697</v>
      </c>
      <c r="F13159" s="23">
        <v>46203.274270833332</v>
      </c>
      <c r="G13159" s="24">
        <v>1</v>
      </c>
      <c r="H13159" s="24">
        <v>2</v>
      </c>
      <c r="I13159" s="24">
        <v>0</v>
      </c>
      <c r="J13159" s="25"/>
      <c r="K13159" s="24">
        <v>0</v>
      </c>
      <c r="L13159" s="22" t="str">
        <f>HYPERLINK("https://otsuka-europe-crm.veevavault.com/ui/#object/approved_document__v/V5O00000001G004", "Branded_RXULTI_AE Ansia_IT-RXU-2500035")</f>
        <v>Branded_RXULTI_AE Ansia_IT-RXU-2500035</v>
      </c>
      <c r="M13159" s="22" t="str">
        <f>HYPERLINK("mailto:gianpaolo.fichera@crm.otsuka-europe.com", "gianpaolo.fichera@crm.otsuka-europe.com")</f>
        <v>gianpaolo.fichera@crm.otsuka-europe.com</v>
      </c>
      <c r="N13159" s="23">
        <v>46202.656064814815</v>
      </c>
      <c r="O13159" s="14" t="str">
        <f>HYPERLINK("https://otsuka-europe-crm.veevavault.com/ui/#object/email_activity__v/V8C000000041504", "EN-002100663")</f>
        <v>EN-002100663</v>
      </c>
    </row>
    <row r="13160" spans="1:15" ht="16" x14ac:dyDescent="0.2">
      <c r="A13160" s="18"/>
      <c r="B13160" s="18"/>
      <c r="C13160" s="18"/>
      <c r="D13160" s="18"/>
      <c r="E13160" s="18"/>
      <c r="F13160" s="18"/>
      <c r="G13160" s="18"/>
      <c r="H13160" s="18"/>
      <c r="I13160" s="18"/>
      <c r="J13160" s="18"/>
      <c r="K13160" s="18"/>
      <c r="L13160" s="18"/>
      <c r="M13160" s="18"/>
      <c r="N13160" s="18"/>
      <c r="O13160" s="14" t="str">
        <f>HYPERLINK("https://otsuka-europe-crm.veevavault.com/ui/#object/email_activity__v/V8C000000042383", "EN-002100474")</f>
        <v>EN-002100474</v>
      </c>
    </row>
    <row r="13161" spans="1:15" ht="16" x14ac:dyDescent="0.2">
      <c r="A13161" s="19"/>
      <c r="B13161" s="19"/>
      <c r="C13161" s="19"/>
      <c r="D13161" s="19"/>
      <c r="E13161" s="19"/>
      <c r="F13161" s="19"/>
      <c r="G13161" s="19"/>
      <c r="H13161" s="19"/>
      <c r="I13161" s="19"/>
      <c r="J13161" s="19"/>
      <c r="K13161" s="19"/>
      <c r="L13161" s="19"/>
      <c r="M13161" s="19"/>
      <c r="N13161" s="19"/>
      <c r="O13161" s="14" t="str">
        <f>HYPERLINK("https://otsuka-europe-crm.veevavault.com/ui/#object/email_activity__v/V8C000000042392", "EN-002100523")</f>
        <v>EN-002100523</v>
      </c>
    </row>
    <row r="13162" spans="1:15" ht="16" x14ac:dyDescent="0.2">
      <c r="A13162" s="17" t="str">
        <f>HYPERLINK("https://otsuka-europe-crm.veevavault.com/ui/#object/account__v/V4TZ04ASGBCIS2N", "CLAUDIA MIGLIOZZI")</f>
        <v>CLAUDIA MIGLIOZZI</v>
      </c>
      <c r="B13162" s="17" t="str">
        <f>HYPERLINK("https://otsuka-europe-crm.veevavault.com/ui/#object/vcountry__v/VENZ000004SONFQ", "IT")</f>
        <v>IT</v>
      </c>
      <c r="C13162" s="20" t="s">
        <v>44</v>
      </c>
      <c r="D13162" s="21" t="str">
        <f>HYPERLINK("https://otsuka-europe-crm.veevavault.com/ui/#object/approved_document__v/V5O00000001G004", "Branded_RXULTI_AE Ansia_IT-RXU-2500035")</f>
        <v>Branded_RXULTI_AE Ansia_IT-RXU-2500035</v>
      </c>
      <c r="E13162" s="22" t="str">
        <f>HYPERLINK("https://otsuka-europe-crm.veevavault.com/ui/#object/sent_email__v/VBL00000002Y074", "SE-001438698")</f>
        <v>SE-001438698</v>
      </c>
      <c r="F13162" s="23">
        <v>46202.656770833331</v>
      </c>
      <c r="G13162" s="24">
        <v>1</v>
      </c>
      <c r="H13162" s="24">
        <v>1</v>
      </c>
      <c r="I13162" s="24">
        <v>1</v>
      </c>
      <c r="J13162" s="23">
        <v>46202.656770833331</v>
      </c>
      <c r="K13162" s="24">
        <v>4</v>
      </c>
      <c r="L13162" s="22" t="str">
        <f>HYPERLINK("https://otsuka-europe-crm.veevavault.com/ui/#object/approved_document__v/V5O00000001G004", "Branded_RXULTI_AE Ansia_IT-RXU-2500035")</f>
        <v>Branded_RXULTI_AE Ansia_IT-RXU-2500035</v>
      </c>
      <c r="M13162" s="22" t="str">
        <f>HYPERLINK("mailto:gianpaolo.fichera@crm.otsuka-europe.com", "gianpaolo.fichera@crm.otsuka-europe.com")</f>
        <v>gianpaolo.fichera@crm.otsuka-europe.com</v>
      </c>
      <c r="N13162" s="23">
        <v>46202.65662037037</v>
      </c>
      <c r="O13162" s="14" t="str">
        <f>HYPERLINK("https://otsuka-europe-crm.veevavault.com/ui/#object/email_activity__v/V8C000000041406", "EN-002100477")</f>
        <v>EN-002100477</v>
      </c>
    </row>
    <row r="13163" spans="1:15" ht="16" x14ac:dyDescent="0.2">
      <c r="A13163" s="18"/>
      <c r="B13163" s="18"/>
      <c r="C13163" s="18"/>
      <c r="D13163" s="18"/>
      <c r="E13163" s="18"/>
      <c r="F13163" s="18"/>
      <c r="G13163" s="18"/>
      <c r="H13163" s="18"/>
      <c r="I13163" s="18"/>
      <c r="J13163" s="18"/>
      <c r="K13163" s="18"/>
      <c r="L13163" s="18"/>
      <c r="M13163" s="18"/>
      <c r="N13163" s="18"/>
      <c r="O13163" s="14" t="str">
        <f>HYPERLINK("https://otsuka-europe-crm.veevavault.com/ui/#object/email_activity__v/V8C000000041407", "EN-002100479")</f>
        <v>EN-002100479</v>
      </c>
    </row>
    <row r="13164" spans="1:15" ht="16" x14ac:dyDescent="0.2">
      <c r="A13164" s="18"/>
      <c r="B13164" s="18"/>
      <c r="C13164" s="18"/>
      <c r="D13164" s="18"/>
      <c r="E13164" s="18"/>
      <c r="F13164" s="18"/>
      <c r="G13164" s="18"/>
      <c r="H13164" s="18"/>
      <c r="I13164" s="18"/>
      <c r="J13164" s="18"/>
      <c r="K13164" s="18"/>
      <c r="L13164" s="18"/>
      <c r="M13164" s="18"/>
      <c r="N13164" s="18"/>
      <c r="O13164" s="14" t="str">
        <f>HYPERLINK("https://otsuka-europe-crm.veevavault.com/ui/#object/email_activity__v/V8C000000041408", "EN-002100478")</f>
        <v>EN-002100478</v>
      </c>
    </row>
    <row r="13165" spans="1:15" ht="16" x14ac:dyDescent="0.2">
      <c r="A13165" s="18"/>
      <c r="B13165" s="18"/>
      <c r="C13165" s="18"/>
      <c r="D13165" s="18"/>
      <c r="E13165" s="18"/>
      <c r="F13165" s="18"/>
      <c r="G13165" s="18"/>
      <c r="H13165" s="18"/>
      <c r="I13165" s="18"/>
      <c r="J13165" s="18"/>
      <c r="K13165" s="18"/>
      <c r="L13165" s="18"/>
      <c r="M13165" s="18"/>
      <c r="N13165" s="18"/>
      <c r="O13165" s="14" t="str">
        <f>HYPERLINK("https://otsuka-europe-crm.veevavault.com/ui/#object/email_activity__v/V8C000000041409", "EN-002100480")</f>
        <v>EN-002100480</v>
      </c>
    </row>
    <row r="13166" spans="1:15" ht="16" x14ac:dyDescent="0.2">
      <c r="A13166" s="18"/>
      <c r="B13166" s="18"/>
      <c r="C13166" s="18"/>
      <c r="D13166" s="18"/>
      <c r="E13166" s="18"/>
      <c r="F13166" s="18"/>
      <c r="G13166" s="18"/>
      <c r="H13166" s="18"/>
      <c r="I13166" s="18"/>
      <c r="J13166" s="18"/>
      <c r="K13166" s="18"/>
      <c r="L13166" s="18"/>
      <c r="M13166" s="18"/>
      <c r="N13166" s="18"/>
      <c r="O13166" s="14" t="str">
        <f>HYPERLINK("https://otsuka-europe-crm.veevavault.com/ui/#object/email_activity__v/V8C000000041410", "EN-002100481")</f>
        <v>EN-002100481</v>
      </c>
    </row>
    <row r="13167" spans="1:15" ht="16" x14ac:dyDescent="0.2">
      <c r="A13167" s="19"/>
      <c r="B13167" s="19"/>
      <c r="C13167" s="19"/>
      <c r="D13167" s="19"/>
      <c r="E13167" s="19"/>
      <c r="F13167" s="19"/>
      <c r="G13167" s="19"/>
      <c r="H13167" s="19"/>
      <c r="I13167" s="19"/>
      <c r="J13167" s="19"/>
      <c r="K13167" s="19"/>
      <c r="L13167" s="19"/>
      <c r="M13167" s="19"/>
      <c r="N13167" s="19"/>
      <c r="O13167" s="14" t="str">
        <f>HYPERLINK("https://otsuka-europe-crm.veevavault.com/ui/#object/email_activity__v/V8C000000041411", "EN-002100482")</f>
        <v>EN-002100482</v>
      </c>
    </row>
    <row r="13168" spans="1:15" ht="16" x14ac:dyDescent="0.2">
      <c r="A13168" s="17" t="str">
        <f>HYPERLINK("https://otsuka-europe-crm.veevavault.com/ui/#object/account__v/V4TZ06G6O71SBJB", "EMANUELA CARLOTTA MINA")</f>
        <v>EMANUELA CARLOTTA MINA</v>
      </c>
      <c r="B13168" s="17" t="str">
        <f>HYPERLINK("https://otsuka-europe-crm.veevavault.com/ui/#object/vcountry__v/VENZ000004SONFQ", "IT")</f>
        <v>IT</v>
      </c>
      <c r="C13168" s="20" t="s">
        <v>44</v>
      </c>
      <c r="D13168" s="21" t="str">
        <f>HYPERLINK("https://otsuka-europe-crm.veevavault.com/ui/#object/approved_document__v/V5O00000001G004", "Branded_RXULTI_AE Ansia_IT-RXU-2500035")</f>
        <v>Branded_RXULTI_AE Ansia_IT-RXU-2500035</v>
      </c>
      <c r="E13168" s="22" t="str">
        <f>HYPERLINK("https://otsuka-europe-crm.veevavault.com/ui/#object/sent_email__v/VBL00000002Y075", "SE-001438699")</f>
        <v>SE-001438699</v>
      </c>
      <c r="F13168" s="23">
        <v>46203.419224537036</v>
      </c>
      <c r="G13168" s="24">
        <v>1</v>
      </c>
      <c r="H13168" s="24">
        <v>1</v>
      </c>
      <c r="I13168" s="24">
        <v>0</v>
      </c>
      <c r="J13168" s="25"/>
      <c r="K13168" s="24">
        <v>0</v>
      </c>
      <c r="L13168" s="22" t="str">
        <f>HYPERLINK("https://otsuka-europe-crm.veevavault.com/ui/#object/approved_document__v/V5O00000001G004", "Branded_RXULTI_AE Ansia_IT-RXU-2500035")</f>
        <v>Branded_RXULTI_AE Ansia_IT-RXU-2500035</v>
      </c>
      <c r="M13168" s="22" t="str">
        <f>HYPERLINK("mailto:gianpaolo.fichera@crm.otsuka-europe.com", "gianpaolo.fichera@crm.otsuka-europe.com")</f>
        <v>gianpaolo.fichera@crm.otsuka-europe.com</v>
      </c>
      <c r="N13168" s="23">
        <v>46202.656851851854</v>
      </c>
      <c r="O13168" s="14" t="str">
        <f>HYPERLINK("https://otsuka-europe-crm.veevavault.com/ui/#object/email_activity__v/V8C000000041412", "EN-002100483")</f>
        <v>EN-002100483</v>
      </c>
    </row>
    <row r="13169" spans="1:15" ht="16" x14ac:dyDescent="0.2">
      <c r="A13169" s="19"/>
      <c r="B13169" s="19"/>
      <c r="C13169" s="19"/>
      <c r="D13169" s="19"/>
      <c r="E13169" s="19"/>
      <c r="F13169" s="19"/>
      <c r="G13169" s="19"/>
      <c r="H13169" s="19"/>
      <c r="I13169" s="19"/>
      <c r="J13169" s="19"/>
      <c r="K13169" s="19"/>
      <c r="L13169" s="19"/>
      <c r="M13169" s="19"/>
      <c r="N13169" s="19"/>
      <c r="O13169" s="14" t="str">
        <f>HYPERLINK("https://otsuka-europe-crm.veevavault.com/ui/#object/email_activity__v/V8C000000042538", "EN-002100810")</f>
        <v>EN-002100810</v>
      </c>
    </row>
    <row r="13170" spans="1:15" ht="16" x14ac:dyDescent="0.2">
      <c r="A13170" s="17" t="str">
        <f>HYPERLINK("https://otsuka-europe-crm.veevavault.com/ui/#object/account__v/V4TZ025E88OL9SE", "CLAUDIA MONDINO")</f>
        <v>CLAUDIA MONDINO</v>
      </c>
      <c r="B13170" s="17" t="str">
        <f>HYPERLINK("https://otsuka-europe-crm.veevavault.com/ui/#object/vcountry__v/VENZ000004SONFQ", "IT")</f>
        <v>IT</v>
      </c>
      <c r="C13170" s="20" t="s">
        <v>44</v>
      </c>
      <c r="D13170" s="21" t="str">
        <f>HYPERLINK("https://otsuka-europe-crm.veevavault.com/ui/#object/approved_document__v/V5O00000001G004", "Branded_RXULTI_AE Ansia_IT-RXU-2500035")</f>
        <v>Branded_RXULTI_AE Ansia_IT-RXU-2500035</v>
      </c>
      <c r="E13170" s="22" t="str">
        <f>HYPERLINK("https://otsuka-europe-crm.veevavault.com/ui/#object/sent_email__v/VBL00000002Y076", "SE-001438700")</f>
        <v>SE-001438700</v>
      </c>
      <c r="F13170" s="23">
        <v>46202.695462962962</v>
      </c>
      <c r="G13170" s="24">
        <v>1</v>
      </c>
      <c r="H13170" s="24">
        <v>1</v>
      </c>
      <c r="I13170" s="24">
        <v>0</v>
      </c>
      <c r="J13170" s="25"/>
      <c r="K13170" s="24">
        <v>0</v>
      </c>
      <c r="L13170" s="22" t="str">
        <f>HYPERLINK("https://otsuka-europe-crm.veevavault.com/ui/#object/approved_document__v/V5O00000001G004", "Branded_RXULTI_AE Ansia_IT-RXU-2500035")</f>
        <v>Branded_RXULTI_AE Ansia_IT-RXU-2500035</v>
      </c>
      <c r="M13170" s="22" t="str">
        <f>HYPERLINK("mailto:gianpaolo.fichera@crm.otsuka-europe.com", "gianpaolo.fichera@crm.otsuka-europe.com")</f>
        <v>gianpaolo.fichera@crm.otsuka-europe.com</v>
      </c>
      <c r="N13170" s="23">
        <v>46202.657488425924</v>
      </c>
      <c r="O13170" s="14" t="str">
        <f>HYPERLINK("https://otsuka-europe-crm.veevavault.com/ui/#object/email_activity__v/V8C000000041413", "EN-002100484")</f>
        <v>EN-002100484</v>
      </c>
    </row>
    <row r="13171" spans="1:15" ht="16" x14ac:dyDescent="0.2">
      <c r="A13171" s="19"/>
      <c r="B13171" s="19"/>
      <c r="C13171" s="19"/>
      <c r="D13171" s="19"/>
      <c r="E13171" s="19"/>
      <c r="F13171" s="19"/>
      <c r="G13171" s="19"/>
      <c r="H13171" s="19"/>
      <c r="I13171" s="19"/>
      <c r="J13171" s="19"/>
      <c r="K13171" s="19"/>
      <c r="L13171" s="19"/>
      <c r="M13171" s="19"/>
      <c r="N13171" s="19"/>
      <c r="O13171" s="14" t="str">
        <f>HYPERLINK("https://otsuka-europe-crm.veevavault.com/ui/#object/email_activity__v/V8C000000042399", "EN-002100535")</f>
        <v>EN-002100535</v>
      </c>
    </row>
    <row r="13172" spans="1:15" ht="16" x14ac:dyDescent="0.2">
      <c r="A13172" s="17" t="str">
        <f>HYPERLINK("https://otsuka-europe-crm.veevavault.com/ui/#object/account__v/V4TZ06G6O71SBN9", "CRISTIANA MONTEMAGNI")</f>
        <v>CRISTIANA MONTEMAGNI</v>
      </c>
      <c r="B13172" s="17" t="str">
        <f>HYPERLINK("https://otsuka-europe-crm.veevavault.com/ui/#object/vcountry__v/VENZ000004SONFQ", "IT")</f>
        <v>IT</v>
      </c>
      <c r="C13172" s="20" t="s">
        <v>44</v>
      </c>
      <c r="D13172" s="21" t="str">
        <f>HYPERLINK("https://otsuka-europe-crm.veevavault.com/ui/#object/approved_document__v/V5O00000001G004", "Branded_RXULTI_AE Ansia_IT-RXU-2500035")</f>
        <v>Branded_RXULTI_AE Ansia_IT-RXU-2500035</v>
      </c>
      <c r="E13172" s="22" t="str">
        <f>HYPERLINK("https://otsuka-europe-crm.veevavault.com/ui/#object/sent_email__v/VBL00000002Y077", "SE-001438701")</f>
        <v>SE-001438701</v>
      </c>
      <c r="F13172" s="23">
        <v>46203.643078703702</v>
      </c>
      <c r="G13172" s="24">
        <v>1</v>
      </c>
      <c r="H13172" s="24">
        <v>1</v>
      </c>
      <c r="I13172" s="24">
        <v>0</v>
      </c>
      <c r="J13172" s="25"/>
      <c r="K13172" s="24">
        <v>0</v>
      </c>
      <c r="L13172" s="22" t="str">
        <f>HYPERLINK("https://otsuka-europe-crm.veevavault.com/ui/#object/approved_document__v/V5O00000001G004", "Branded_RXULTI_AE Ansia_IT-RXU-2500035")</f>
        <v>Branded_RXULTI_AE Ansia_IT-RXU-2500035</v>
      </c>
      <c r="M13172" s="22" t="str">
        <f>HYPERLINK("mailto:gianpaolo.fichera@crm.otsuka-europe.com", "gianpaolo.fichera@crm.otsuka-europe.com")</f>
        <v>gianpaolo.fichera@crm.otsuka-europe.com</v>
      </c>
      <c r="N13172" s="23">
        <v>46202.657835648148</v>
      </c>
      <c r="O13172" s="14" t="str">
        <f>HYPERLINK("https://otsuka-europe-crm.veevavault.com/ui/#object/email_activity__v/V8C000000041627", "EN-002100906")</f>
        <v>EN-002100906</v>
      </c>
    </row>
    <row r="13173" spans="1:15" ht="16" x14ac:dyDescent="0.2">
      <c r="A13173" s="19"/>
      <c r="B13173" s="19"/>
      <c r="C13173" s="19"/>
      <c r="D13173" s="19"/>
      <c r="E13173" s="19"/>
      <c r="F13173" s="19"/>
      <c r="G13173" s="19"/>
      <c r="H13173" s="19"/>
      <c r="I13173" s="19"/>
      <c r="J13173" s="19"/>
      <c r="K13173" s="19"/>
      <c r="L13173" s="19"/>
      <c r="M13173" s="19"/>
      <c r="N13173" s="19"/>
      <c r="O13173" s="14" t="str">
        <f>HYPERLINK("https://otsuka-europe-crm.veevavault.com/ui/#object/email_activity__v/V8C000000042385", "EN-002100485")</f>
        <v>EN-002100485</v>
      </c>
    </row>
    <row r="13174" spans="1:15" ht="32" x14ac:dyDescent="0.2">
      <c r="A13174" s="7" t="str">
        <f>HYPERLINK("https://otsuka-europe-crm.veevavault.com/ui/#object/account__v/V4TZ025E88065HH", "MARIA MUSSO")</f>
        <v>MARIA MUSSO</v>
      </c>
      <c r="B13174" s="7" t="str">
        <f>HYPERLINK("https://otsuka-europe-crm.veevavault.com/ui/#object/vcountry__v/VENZ000004SONFQ", "IT")</f>
        <v>IT</v>
      </c>
      <c r="C13174" s="8" t="s">
        <v>44</v>
      </c>
      <c r="D13174" s="9" t="str">
        <f>HYPERLINK("https://otsuka-europe-crm.veevavault.com/ui/#object/approved_document__v/V5O00000001G004", "Branded_RXULTI_AE Ansia_IT-RXU-2500035")</f>
        <v>Branded_RXULTI_AE Ansia_IT-RXU-2500035</v>
      </c>
      <c r="E13174" s="10" t="str">
        <f>HYPERLINK("https://otsuka-europe-crm.veevavault.com/ui/#object/sent_email__v/VBL00000002Z263", "SE-001438702")</f>
        <v>SE-001438702</v>
      </c>
      <c r="F13174" s="11"/>
      <c r="G13174" s="12">
        <v>0</v>
      </c>
      <c r="H13174" s="12">
        <v>0</v>
      </c>
      <c r="I13174" s="12">
        <v>0</v>
      </c>
      <c r="J13174" s="11"/>
      <c r="K13174" s="12">
        <v>0</v>
      </c>
      <c r="L13174" s="10" t="str">
        <f>HYPERLINK("https://otsuka-europe-crm.veevavault.com/ui/#object/approved_document__v/V5O00000001G004", "Branded_RXULTI_AE Ansia_IT-RXU-2500035")</f>
        <v>Branded_RXULTI_AE Ansia_IT-RXU-2500035</v>
      </c>
      <c r="M13174" s="10" t="str">
        <f>HYPERLINK("mailto:gianpaolo.fichera@crm.otsuka-europe.com", "gianpaolo.fichera@crm.otsuka-europe.com")</f>
        <v>gianpaolo.fichera@crm.otsuka-europe.com</v>
      </c>
      <c r="N13174" s="13">
        <v>46202.658194444448</v>
      </c>
      <c r="O13174" s="14" t="str">
        <f>HYPERLINK("https://otsuka-europe-crm.veevavault.com/ui/#object/email_activity__v/V8C000000042386", "EN-002100486")</f>
        <v>EN-002100486</v>
      </c>
    </row>
    <row r="13175" spans="1:15" ht="32" x14ac:dyDescent="0.2">
      <c r="A13175" s="7" t="str">
        <f>HYPERLINK("https://otsuka-europe-crm.veevavault.com/ui/#object/account__v/V4TZ06G6O8SGVYG", "JACOPO NEBBIA")</f>
        <v>JACOPO NEBBIA</v>
      </c>
      <c r="B13175" s="7" t="str">
        <f>HYPERLINK("https://otsuka-europe-crm.veevavault.com/ui/#object/vcountry__v/VENZ000004SONFQ", "IT")</f>
        <v>IT</v>
      </c>
      <c r="C13175" s="8" t="s">
        <v>44</v>
      </c>
      <c r="D13175" s="9" t="str">
        <f>HYPERLINK("https://otsuka-europe-crm.veevavault.com/ui/#object/approved_document__v/V5O00000001G004", "Branded_RXULTI_AE Ansia_IT-RXU-2500035")</f>
        <v>Branded_RXULTI_AE Ansia_IT-RXU-2500035</v>
      </c>
      <c r="E13175" s="10" t="str">
        <f>HYPERLINK("https://otsuka-europe-crm.veevavault.com/ui/#object/sent_email__v/VBL00000002Y078", "SE-001438703")</f>
        <v>SE-001438703</v>
      </c>
      <c r="F13175" s="11"/>
      <c r="G13175" s="12">
        <v>0</v>
      </c>
      <c r="H13175" s="12">
        <v>0</v>
      </c>
      <c r="I13175" s="12">
        <v>0</v>
      </c>
      <c r="J13175" s="11"/>
      <c r="K13175" s="12">
        <v>0</v>
      </c>
      <c r="L13175" s="10" t="str">
        <f>HYPERLINK("https://otsuka-europe-crm.veevavault.com/ui/#object/approved_document__v/V5O00000001G004", "Branded_RXULTI_AE Ansia_IT-RXU-2500035")</f>
        <v>Branded_RXULTI_AE Ansia_IT-RXU-2500035</v>
      </c>
      <c r="M13175" s="10" t="str">
        <f>HYPERLINK("mailto:gianpaolo.fichera@crm.otsuka-europe.com", "gianpaolo.fichera@crm.otsuka-europe.com")</f>
        <v>gianpaolo.fichera@crm.otsuka-europe.com</v>
      </c>
      <c r="N13175" s="13">
        <v>46202.658356481479</v>
      </c>
      <c r="O13175" s="14" t="str">
        <f>HYPERLINK("https://otsuka-europe-crm.veevavault.com/ui/#object/email_activity__v/V8C000000041414", "EN-002100487")</f>
        <v>EN-002100487</v>
      </c>
    </row>
    <row r="13176" spans="1:15" ht="32" x14ac:dyDescent="0.2">
      <c r="A13176" s="7" t="str">
        <f>HYPERLINK("https://otsuka-europe-crm.veevavault.com/ui/#object/account__v/V4TZ06G6O71SBOU", "BARBARA NICOTRA")</f>
        <v>BARBARA NICOTRA</v>
      </c>
      <c r="B13176" s="7" t="str">
        <f>HYPERLINK("https://otsuka-europe-crm.veevavault.com/ui/#object/vcountry__v/VENZ000004SONFQ", "IT")</f>
        <v>IT</v>
      </c>
      <c r="C13176" s="8" t="s">
        <v>44</v>
      </c>
      <c r="D13176" s="9" t="str">
        <f>HYPERLINK("https://otsuka-europe-crm.veevavault.com/ui/#object/approved_document__v/V5O00000001G004", "Branded_RXULTI_AE Ansia_IT-RXU-2500035")</f>
        <v>Branded_RXULTI_AE Ansia_IT-RXU-2500035</v>
      </c>
      <c r="E13176" s="10" t="str">
        <f>HYPERLINK("https://otsuka-europe-crm.veevavault.com/ui/#object/sent_email__v/VBL00000002Z264", "SE-001438704")</f>
        <v>SE-001438704</v>
      </c>
      <c r="F13176" s="11"/>
      <c r="G13176" s="12">
        <v>0</v>
      </c>
      <c r="H13176" s="12">
        <v>0</v>
      </c>
      <c r="I13176" s="12">
        <v>0</v>
      </c>
      <c r="J13176" s="11"/>
      <c r="K13176" s="12">
        <v>0</v>
      </c>
      <c r="L13176" s="10" t="str">
        <f>HYPERLINK("https://otsuka-europe-crm.veevavault.com/ui/#object/approved_document__v/V5O00000001G004", "Branded_RXULTI_AE Ansia_IT-RXU-2500035")</f>
        <v>Branded_RXULTI_AE Ansia_IT-RXU-2500035</v>
      </c>
      <c r="M13176" s="10" t="str">
        <f>HYPERLINK("mailto:gianpaolo.fichera@crm.otsuka-europe.com", "gianpaolo.fichera@crm.otsuka-europe.com")</f>
        <v>gianpaolo.fichera@crm.otsuka-europe.com</v>
      </c>
      <c r="N13176" s="13">
        <v>46202.659062500003</v>
      </c>
      <c r="O13176" s="14" t="str">
        <f>HYPERLINK("https://otsuka-europe-crm.veevavault.com/ui/#object/email_activity__v/V8C000000041415", "EN-002100488")</f>
        <v>EN-002100488</v>
      </c>
    </row>
    <row r="13177" spans="1:15" ht="32" x14ac:dyDescent="0.2">
      <c r="A13177" s="7" t="str">
        <f>HYPERLINK("https://otsuka-europe-crm.veevavault.com/ui/#object/account__v/V4TZ025E87AJL2B", "MARCO GIUSEPPE ALBERTO NOBILI")</f>
        <v>MARCO GIUSEPPE ALBERTO NOBILI</v>
      </c>
      <c r="B13177" s="7" t="str">
        <f>HYPERLINK("https://otsuka-europe-crm.veevavault.com/ui/#object/vcountry__v/VENZ000004SONFQ", "IT")</f>
        <v>IT</v>
      </c>
      <c r="C13177" s="8" t="s">
        <v>44</v>
      </c>
      <c r="D13177" s="9" t="str">
        <f>HYPERLINK("https://otsuka-europe-crm.veevavault.com/ui/#object/approved_document__v/V5O00000001G004", "Branded_RXULTI_AE Ansia_IT-RXU-2500035")</f>
        <v>Branded_RXULTI_AE Ansia_IT-RXU-2500035</v>
      </c>
      <c r="E13177" s="10" t="str">
        <f>HYPERLINK("https://otsuka-europe-crm.veevavault.com/ui/#object/sent_email__v/VBL00000002Z265", "SE-001438705")</f>
        <v>SE-001438705</v>
      </c>
      <c r="F13177" s="11"/>
      <c r="G13177" s="12">
        <v>0</v>
      </c>
      <c r="H13177" s="12">
        <v>0</v>
      </c>
      <c r="I13177" s="12">
        <v>0</v>
      </c>
      <c r="J13177" s="11"/>
      <c r="K13177" s="12">
        <v>0</v>
      </c>
      <c r="L13177" s="10" t="str">
        <f>HYPERLINK("https://otsuka-europe-crm.veevavault.com/ui/#object/approved_document__v/V5O00000001G004", "Branded_RXULTI_AE Ansia_IT-RXU-2500035")</f>
        <v>Branded_RXULTI_AE Ansia_IT-RXU-2500035</v>
      </c>
      <c r="M13177" s="10" t="str">
        <f>HYPERLINK("mailto:gianpaolo.fichera@crm.otsuka-europe.com", "gianpaolo.fichera@crm.otsuka-europe.com")</f>
        <v>gianpaolo.fichera@crm.otsuka-europe.com</v>
      </c>
      <c r="N13177" s="13">
        <v>46202.659189814818</v>
      </c>
      <c r="O13177" s="14" t="str">
        <f>HYPERLINK("https://otsuka-europe-crm.veevavault.com/ui/#object/email_activity__v/V8C000000041417", "EN-002100490")</f>
        <v>EN-002100490</v>
      </c>
    </row>
    <row r="13178" spans="1:15" ht="16" x14ac:dyDescent="0.2">
      <c r="A13178" s="17" t="str">
        <f>HYPERLINK("https://otsuka-europe-crm.veevavault.com/ui/#object/account__v/V4TZ025E82WHTYV", "GIUSEPPE ODDO")</f>
        <v>GIUSEPPE ODDO</v>
      </c>
      <c r="B13178" s="17" t="str">
        <f>HYPERLINK("https://otsuka-europe-crm.veevavault.com/ui/#object/vcountry__v/VENZ000004SONFQ", "IT")</f>
        <v>IT</v>
      </c>
      <c r="C13178" s="20" t="s">
        <v>44</v>
      </c>
      <c r="D13178" s="21" t="str">
        <f>HYPERLINK("https://otsuka-europe-crm.veevavault.com/ui/#object/approved_document__v/V5O00000001G004", "Branded_RXULTI_AE Ansia_IT-RXU-2500035")</f>
        <v>Branded_RXULTI_AE Ansia_IT-RXU-2500035</v>
      </c>
      <c r="E13178" s="22" t="str">
        <f>HYPERLINK("https://otsuka-europe-crm.veevavault.com/ui/#object/sent_email__v/VBL00000002Y079", "SE-001438706")</f>
        <v>SE-001438706</v>
      </c>
      <c r="F13178" s="23">
        <v>46202.669293981482</v>
      </c>
      <c r="G13178" s="24">
        <v>1</v>
      </c>
      <c r="H13178" s="24">
        <v>1</v>
      </c>
      <c r="I13178" s="24">
        <v>0</v>
      </c>
      <c r="J13178" s="25"/>
      <c r="K13178" s="24">
        <v>0</v>
      </c>
      <c r="L13178" s="22" t="str">
        <f>HYPERLINK("https://otsuka-europe-crm.veevavault.com/ui/#object/approved_document__v/V5O00000001G004", "Branded_RXULTI_AE Ansia_IT-RXU-2500035")</f>
        <v>Branded_RXULTI_AE Ansia_IT-RXU-2500035</v>
      </c>
      <c r="M13178" s="22" t="str">
        <f>HYPERLINK("mailto:gianpaolo.fichera@crm.otsuka-europe.com", "gianpaolo.fichera@crm.otsuka-europe.com")</f>
        <v>gianpaolo.fichera@crm.otsuka-europe.com</v>
      </c>
      <c r="N13178" s="23">
        <v>46202.659456018519</v>
      </c>
      <c r="O13178" s="14" t="str">
        <f>HYPERLINK("https://otsuka-europe-crm.veevavault.com/ui/#object/email_activity__v/V8C000000041418", "EN-002100491")</f>
        <v>EN-002100491</v>
      </c>
    </row>
    <row r="13179" spans="1:15" ht="16" x14ac:dyDescent="0.2">
      <c r="A13179" s="19"/>
      <c r="B13179" s="19"/>
      <c r="C13179" s="19"/>
      <c r="D13179" s="19"/>
      <c r="E13179" s="19"/>
      <c r="F13179" s="19"/>
      <c r="G13179" s="19"/>
      <c r="H13179" s="19"/>
      <c r="I13179" s="19"/>
      <c r="J13179" s="19"/>
      <c r="K13179" s="19"/>
      <c r="L13179" s="19"/>
      <c r="M13179" s="19"/>
      <c r="N13179" s="19"/>
      <c r="O13179" s="14" t="str">
        <f>HYPERLINK("https://otsuka-europe-crm.veevavault.com/ui/#object/email_activity__v/V8C000000042393", "EN-002100524")</f>
        <v>EN-002100524</v>
      </c>
    </row>
    <row r="13180" spans="1:15" ht="32" x14ac:dyDescent="0.2">
      <c r="A13180" s="7" t="str">
        <f>HYPERLINK("https://otsuka-europe-crm.veevavault.com/ui/#object/account__v/V4TZ06G6O71S9N7", "LUISA OTTONE")</f>
        <v>LUISA OTTONE</v>
      </c>
      <c r="B13180" s="7" t="str">
        <f>HYPERLINK("https://otsuka-europe-crm.veevavault.com/ui/#object/vcountry__v/VENZ000004SONFQ", "IT")</f>
        <v>IT</v>
      </c>
      <c r="C13180" s="8" t="s">
        <v>44</v>
      </c>
      <c r="D13180" s="9" t="str">
        <f>HYPERLINK("https://otsuka-europe-crm.veevavault.com/ui/#object/approved_document__v/V5O00000001G004", "Branded_RXULTI_AE Ansia_IT-RXU-2500035")</f>
        <v>Branded_RXULTI_AE Ansia_IT-RXU-2500035</v>
      </c>
      <c r="E13180" s="10" t="str">
        <f>HYPERLINK("https://otsuka-europe-crm.veevavault.com/ui/#object/sent_email__v/VBL00000002Y080", "SE-001438707")</f>
        <v>SE-001438707</v>
      </c>
      <c r="F13180" s="11"/>
      <c r="G13180" s="12">
        <v>0</v>
      </c>
      <c r="H13180" s="12">
        <v>0</v>
      </c>
      <c r="I13180" s="12">
        <v>0</v>
      </c>
      <c r="J13180" s="11"/>
      <c r="K13180" s="12">
        <v>0</v>
      </c>
      <c r="L13180" s="10" t="str">
        <f>HYPERLINK("https://otsuka-europe-crm.veevavault.com/ui/#object/approved_document__v/V5O00000001G004", "Branded_RXULTI_AE Ansia_IT-RXU-2500035")</f>
        <v>Branded_RXULTI_AE Ansia_IT-RXU-2500035</v>
      </c>
      <c r="M13180" s="10" t="str">
        <f>HYPERLINK("mailto:gianpaolo.fichera@crm.otsuka-europe.com", "gianpaolo.fichera@crm.otsuka-europe.com")</f>
        <v>gianpaolo.fichera@crm.otsuka-europe.com</v>
      </c>
      <c r="N13180" s="13">
        <v>46202.659756944442</v>
      </c>
      <c r="O13180" s="14" t="str">
        <f>HYPERLINK("https://otsuka-europe-crm.veevavault.com/ui/#object/email_activity__v/V8C000000041419", "EN-002100492")</f>
        <v>EN-002100492</v>
      </c>
    </row>
    <row r="13181" spans="1:15" ht="16" x14ac:dyDescent="0.2">
      <c r="A13181" s="17" t="str">
        <f>HYPERLINK("https://otsuka-europe-crm.veevavault.com/ui/#object/account__v/V4TZ025E87BWKKD", "ROSANNA PAGNOTTA")</f>
        <v>ROSANNA PAGNOTTA</v>
      </c>
      <c r="B13181" s="17" t="str">
        <f>HYPERLINK("https://otsuka-europe-crm.veevavault.com/ui/#object/vcountry__v/VENZ000004SONFQ", "IT")</f>
        <v>IT</v>
      </c>
      <c r="C13181" s="20" t="s">
        <v>44</v>
      </c>
      <c r="D13181" s="21" t="str">
        <f>HYPERLINK("https://otsuka-europe-crm.veevavault.com/ui/#object/approved_document__v/V5O00000001G004", "Branded_RXULTI_AE Ansia_IT-RXU-2500035")</f>
        <v>Branded_RXULTI_AE Ansia_IT-RXU-2500035</v>
      </c>
      <c r="E13181" s="22" t="str">
        <f>HYPERLINK("https://otsuka-europe-crm.veevavault.com/ui/#object/sent_email__v/VBL00000002Z266", "SE-001438708")</f>
        <v>SE-001438708</v>
      </c>
      <c r="F13181" s="23">
        <v>46203.352361111109</v>
      </c>
      <c r="G13181" s="24">
        <v>1</v>
      </c>
      <c r="H13181" s="24">
        <v>2</v>
      </c>
      <c r="I13181" s="24">
        <v>0</v>
      </c>
      <c r="J13181" s="25"/>
      <c r="K13181" s="24">
        <v>0</v>
      </c>
      <c r="L13181" s="22" t="str">
        <f>HYPERLINK("https://otsuka-europe-crm.veevavault.com/ui/#object/approved_document__v/V5O00000001G004", "Branded_RXULTI_AE Ansia_IT-RXU-2500035")</f>
        <v>Branded_RXULTI_AE Ansia_IT-RXU-2500035</v>
      </c>
      <c r="M13181" s="22" t="str">
        <f>HYPERLINK("mailto:gianpaolo.fichera@crm.otsuka-europe.com", "gianpaolo.fichera@crm.otsuka-europe.com")</f>
        <v>gianpaolo.fichera@crm.otsuka-europe.com</v>
      </c>
      <c r="N13181" s="23">
        <v>46202.660011574073</v>
      </c>
      <c r="O13181" s="14" t="str">
        <f>HYPERLINK("https://otsuka-europe-crm.veevavault.com/ui/#object/email_activity__v/V8C000000041420", "EN-002100494")</f>
        <v>EN-002100494</v>
      </c>
    </row>
    <row r="13182" spans="1:15" ht="16" x14ac:dyDescent="0.2">
      <c r="A13182" s="18"/>
      <c r="B13182" s="18"/>
      <c r="C13182" s="18"/>
      <c r="D13182" s="18"/>
      <c r="E13182" s="18"/>
      <c r="F13182" s="18"/>
      <c r="G13182" s="18"/>
      <c r="H13182" s="18"/>
      <c r="I13182" s="18"/>
      <c r="J13182" s="18"/>
      <c r="K13182" s="18"/>
      <c r="L13182" s="18"/>
      <c r="M13182" s="18"/>
      <c r="N13182" s="18"/>
      <c r="O13182" s="14" t="str">
        <f>HYPERLINK("https://otsuka-europe-crm.veevavault.com/ui/#object/email_activity__v/V8C000000041554", "EN-002100755")</f>
        <v>EN-002100755</v>
      </c>
    </row>
    <row r="13183" spans="1:15" ht="16" x14ac:dyDescent="0.2">
      <c r="A13183" s="19"/>
      <c r="B13183" s="19"/>
      <c r="C13183" s="19"/>
      <c r="D13183" s="19"/>
      <c r="E13183" s="19"/>
      <c r="F13183" s="19"/>
      <c r="G13183" s="19"/>
      <c r="H13183" s="19"/>
      <c r="I13183" s="19"/>
      <c r="J13183" s="19"/>
      <c r="K13183" s="19"/>
      <c r="L13183" s="19"/>
      <c r="M13183" s="19"/>
      <c r="N13183" s="19"/>
      <c r="O13183" s="14" t="str">
        <f>HYPERLINK("https://otsuka-europe-crm.veevavault.com/ui/#object/email_activity__v/V8C000000042515", "EN-002100756")</f>
        <v>EN-002100756</v>
      </c>
    </row>
    <row r="13184" spans="1:15" ht="16" x14ac:dyDescent="0.2">
      <c r="A13184" s="17" t="str">
        <f>HYPERLINK("https://otsuka-europe-crm.veevavault.com/ui/#object/account__v/V4TZ04ASGBCISJ5", "CHIARA PICCO")</f>
        <v>CHIARA PICCO</v>
      </c>
      <c r="B13184" s="17" t="str">
        <f>HYPERLINK("https://otsuka-europe-crm.veevavault.com/ui/#object/vcountry__v/VENZ000004SONFQ", "IT")</f>
        <v>IT</v>
      </c>
      <c r="C13184" s="20" t="s">
        <v>44</v>
      </c>
      <c r="D13184" s="21" t="str">
        <f>HYPERLINK("https://otsuka-europe-crm.veevavault.com/ui/#object/approved_document__v/V5O00000001G004", "Branded_RXULTI_AE Ansia_IT-RXU-2500035")</f>
        <v>Branded_RXULTI_AE Ansia_IT-RXU-2500035</v>
      </c>
      <c r="E13184" s="22" t="str">
        <f>HYPERLINK("https://otsuka-europe-crm.veevavault.com/ui/#object/sent_email__v/VBL00000002Z267", "SE-001438709")</f>
        <v>SE-001438709</v>
      </c>
      <c r="F13184" s="23">
        <v>46202.660601851851</v>
      </c>
      <c r="G13184" s="24">
        <v>1</v>
      </c>
      <c r="H13184" s="24">
        <v>1</v>
      </c>
      <c r="I13184" s="24">
        <v>1</v>
      </c>
      <c r="J13184" s="23">
        <v>46202.660613425927</v>
      </c>
      <c r="K13184" s="24">
        <v>4</v>
      </c>
      <c r="L13184" s="22" t="str">
        <f>HYPERLINK("https://otsuka-europe-crm.veevavault.com/ui/#object/approved_document__v/V5O00000001G004", "Branded_RXULTI_AE Ansia_IT-RXU-2500035")</f>
        <v>Branded_RXULTI_AE Ansia_IT-RXU-2500035</v>
      </c>
      <c r="M13184" s="22" t="str">
        <f>HYPERLINK("mailto:gianpaolo.fichera@crm.otsuka-europe.com", "gianpaolo.fichera@crm.otsuka-europe.com")</f>
        <v>gianpaolo.fichera@crm.otsuka-europe.com</v>
      </c>
      <c r="N13184" s="23">
        <v>46202.660451388889</v>
      </c>
      <c r="O13184" s="14" t="str">
        <f>HYPERLINK("https://otsuka-europe-crm.veevavault.com/ui/#object/email_activity__v/V8C000000041421", "EN-002100496")</f>
        <v>EN-002100496</v>
      </c>
    </row>
    <row r="13185" spans="1:15" ht="16" x14ac:dyDescent="0.2">
      <c r="A13185" s="18"/>
      <c r="B13185" s="18"/>
      <c r="C13185" s="18"/>
      <c r="D13185" s="18"/>
      <c r="E13185" s="18"/>
      <c r="F13185" s="18"/>
      <c r="G13185" s="18"/>
      <c r="H13185" s="18"/>
      <c r="I13185" s="18"/>
      <c r="J13185" s="18"/>
      <c r="K13185" s="18"/>
      <c r="L13185" s="18"/>
      <c r="M13185" s="18"/>
      <c r="N13185" s="18"/>
      <c r="O13185" s="14" t="str">
        <f>HYPERLINK("https://otsuka-europe-crm.veevavault.com/ui/#object/email_activity__v/V8C000000041422", "EN-002100498")</f>
        <v>EN-002100498</v>
      </c>
    </row>
    <row r="13186" spans="1:15" ht="16" x14ac:dyDescent="0.2">
      <c r="A13186" s="18"/>
      <c r="B13186" s="18"/>
      <c r="C13186" s="18"/>
      <c r="D13186" s="18"/>
      <c r="E13186" s="18"/>
      <c r="F13186" s="18"/>
      <c r="G13186" s="18"/>
      <c r="H13186" s="18"/>
      <c r="I13186" s="18"/>
      <c r="J13186" s="18"/>
      <c r="K13186" s="18"/>
      <c r="L13186" s="18"/>
      <c r="M13186" s="18"/>
      <c r="N13186" s="18"/>
      <c r="O13186" s="14" t="str">
        <f>HYPERLINK("https://otsuka-europe-crm.veevavault.com/ui/#object/email_activity__v/V8C000000041423", "EN-002100497")</f>
        <v>EN-002100497</v>
      </c>
    </row>
    <row r="13187" spans="1:15" ht="16" x14ac:dyDescent="0.2">
      <c r="A13187" s="18"/>
      <c r="B13187" s="18"/>
      <c r="C13187" s="18"/>
      <c r="D13187" s="18"/>
      <c r="E13187" s="18"/>
      <c r="F13187" s="18"/>
      <c r="G13187" s="18"/>
      <c r="H13187" s="18"/>
      <c r="I13187" s="18"/>
      <c r="J13187" s="18"/>
      <c r="K13187" s="18"/>
      <c r="L13187" s="18"/>
      <c r="M13187" s="18"/>
      <c r="N13187" s="18"/>
      <c r="O13187" s="14" t="str">
        <f>HYPERLINK("https://otsuka-europe-crm.veevavault.com/ui/#object/email_activity__v/V8C000000041424", "EN-002100500")</f>
        <v>EN-002100500</v>
      </c>
    </row>
    <row r="13188" spans="1:15" ht="16" x14ac:dyDescent="0.2">
      <c r="A13188" s="18"/>
      <c r="B13188" s="18"/>
      <c r="C13188" s="18"/>
      <c r="D13188" s="18"/>
      <c r="E13188" s="18"/>
      <c r="F13188" s="18"/>
      <c r="G13188" s="18"/>
      <c r="H13188" s="18"/>
      <c r="I13188" s="18"/>
      <c r="J13188" s="18"/>
      <c r="K13188" s="18"/>
      <c r="L13188" s="18"/>
      <c r="M13188" s="18"/>
      <c r="N13188" s="18"/>
      <c r="O13188" s="14" t="str">
        <f>HYPERLINK("https://otsuka-europe-crm.veevavault.com/ui/#object/email_activity__v/V8C000000041425", "EN-002100501")</f>
        <v>EN-002100501</v>
      </c>
    </row>
    <row r="13189" spans="1:15" ht="16" x14ac:dyDescent="0.2">
      <c r="A13189" s="19"/>
      <c r="B13189" s="19"/>
      <c r="C13189" s="19"/>
      <c r="D13189" s="19"/>
      <c r="E13189" s="19"/>
      <c r="F13189" s="19"/>
      <c r="G13189" s="19"/>
      <c r="H13189" s="19"/>
      <c r="I13189" s="19"/>
      <c r="J13189" s="19"/>
      <c r="K13189" s="19"/>
      <c r="L13189" s="19"/>
      <c r="M13189" s="19"/>
      <c r="N13189" s="19"/>
      <c r="O13189" s="14" t="str">
        <f>HYPERLINK("https://otsuka-europe-crm.veevavault.com/ui/#object/email_activity__v/V8C000000042389", "EN-002100499")</f>
        <v>EN-002100499</v>
      </c>
    </row>
    <row r="13190" spans="1:15" ht="32" x14ac:dyDescent="0.2">
      <c r="A13190" s="7" t="str">
        <f>HYPERLINK("https://otsuka-europe-crm.veevavault.com/ui/#object/account__v/V4TZ06G6O71SC10", "ELENA CATERINA PONZIO")</f>
        <v>ELENA CATERINA PONZIO</v>
      </c>
      <c r="B13190" s="7" t="str">
        <f>HYPERLINK("https://otsuka-europe-crm.veevavault.com/ui/#object/vcountry__v/VENZ000004SONFQ", "IT")</f>
        <v>IT</v>
      </c>
      <c r="C13190" s="8" t="s">
        <v>44</v>
      </c>
      <c r="D13190" s="9" t="str">
        <f>HYPERLINK("https://otsuka-europe-crm.veevavault.com/ui/#object/approved_document__v/V5O00000001G004", "Branded_RXULTI_AE Ansia_IT-RXU-2500035")</f>
        <v>Branded_RXULTI_AE Ansia_IT-RXU-2500035</v>
      </c>
      <c r="E13190" s="10" t="str">
        <f>HYPERLINK("https://otsuka-europe-crm.veevavault.com/ui/#object/sent_email__v/VBL00000002Y081", "SE-001438710")</f>
        <v>SE-001438710</v>
      </c>
      <c r="F13190" s="11"/>
      <c r="G13190" s="12">
        <v>0</v>
      </c>
      <c r="H13190" s="12">
        <v>0</v>
      </c>
      <c r="I13190" s="12">
        <v>0</v>
      </c>
      <c r="J13190" s="11"/>
      <c r="K13190" s="12">
        <v>0</v>
      </c>
      <c r="L13190" s="10" t="str">
        <f>HYPERLINK("https://otsuka-europe-crm.veevavault.com/ui/#object/approved_document__v/V5O00000001G004", "Branded_RXULTI_AE Ansia_IT-RXU-2500035")</f>
        <v>Branded_RXULTI_AE Ansia_IT-RXU-2500035</v>
      </c>
      <c r="M13190" s="10" t="str">
        <f>HYPERLINK("mailto:gianpaolo.fichera@crm.otsuka-europe.com", "gianpaolo.fichera@crm.otsuka-europe.com")</f>
        <v>gianpaolo.fichera@crm.otsuka-europe.com</v>
      </c>
      <c r="N13190" s="13">
        <v>46202.660798611112</v>
      </c>
      <c r="O13190" s="14" t="str">
        <f>HYPERLINK("https://otsuka-europe-crm.veevavault.com/ui/#object/email_activity__v/V8C000000041426", "EN-002100502")</f>
        <v>EN-002100502</v>
      </c>
    </row>
    <row r="13191" spans="1:15" ht="16" x14ac:dyDescent="0.2">
      <c r="A13191" s="17" t="str">
        <f>HYPERLINK("https://otsuka-europe-crm.veevavault.com/ui/#object/account__v/V4TZ06G6O71SBYO", "FRANCESCA PORTALEONE")</f>
        <v>FRANCESCA PORTALEONE</v>
      </c>
      <c r="B13191" s="17" t="str">
        <f>HYPERLINK("https://otsuka-europe-crm.veevavault.com/ui/#object/vcountry__v/VENZ000004SONFQ", "IT")</f>
        <v>IT</v>
      </c>
      <c r="C13191" s="20" t="s">
        <v>44</v>
      </c>
      <c r="D13191" s="21" t="str">
        <f>HYPERLINK("https://otsuka-europe-crm.veevavault.com/ui/#object/approved_document__v/V5O00000001G004", "Branded_RXULTI_AE Ansia_IT-RXU-2500035")</f>
        <v>Branded_RXULTI_AE Ansia_IT-RXU-2500035</v>
      </c>
      <c r="E13191" s="22" t="str">
        <f>HYPERLINK("https://otsuka-europe-crm.veevavault.com/ui/#object/sent_email__v/VBL00000002Z268", "SE-001438711")</f>
        <v>SE-001438711</v>
      </c>
      <c r="F13191" s="25"/>
      <c r="G13191" s="24">
        <v>0</v>
      </c>
      <c r="H13191" s="24">
        <v>0</v>
      </c>
      <c r="I13191" s="24">
        <v>0</v>
      </c>
      <c r="J13191" s="25"/>
      <c r="K13191" s="24">
        <v>0</v>
      </c>
      <c r="L13191" s="22" t="str">
        <f>HYPERLINK("https://otsuka-europe-crm.veevavault.com/ui/#object/approved_document__v/V5O00000001G004", "Branded_RXULTI_AE Ansia_IT-RXU-2500035")</f>
        <v>Branded_RXULTI_AE Ansia_IT-RXU-2500035</v>
      </c>
      <c r="M13191" s="22" t="str">
        <f>HYPERLINK("mailto:gianpaolo.fichera@crm.otsuka-europe.com", "gianpaolo.fichera@crm.otsuka-europe.com")</f>
        <v>gianpaolo.fichera@crm.otsuka-europe.com</v>
      </c>
      <c r="N13191" s="23">
        <v>46202.661030092589</v>
      </c>
      <c r="O13191" s="14" t="str">
        <f>HYPERLINK("https://otsuka-europe-crm.veevavault.com/ui/#object/email_activity__v/V8C000000042390", "EN-002100503")</f>
        <v>EN-002100503</v>
      </c>
    </row>
    <row r="13192" spans="1:15" ht="16" x14ac:dyDescent="0.2">
      <c r="A13192" s="19"/>
      <c r="B13192" s="19"/>
      <c r="C13192" s="19"/>
      <c r="D13192" s="19"/>
      <c r="E13192" s="19"/>
      <c r="F13192" s="19"/>
      <c r="G13192" s="19"/>
      <c r="H13192" s="19"/>
      <c r="I13192" s="19"/>
      <c r="J13192" s="19"/>
      <c r="K13192" s="19"/>
      <c r="L13192" s="19"/>
      <c r="M13192" s="19"/>
      <c r="N13192" s="19"/>
      <c r="O13192" s="14" t="str">
        <f>HYPERLINK("https://otsuka-europe-crm.veevavault.com/ui/#object/email_activity__v/V8C000000042397", "EN-002100533")</f>
        <v>EN-002100533</v>
      </c>
    </row>
    <row r="13193" spans="1:15" ht="32" x14ac:dyDescent="0.2">
      <c r="A13193" s="7" t="str">
        <f>HYPERLINK("https://otsuka-europe-crm.veevavault.com/ui/#object/account__v/V4TZ04ASG9R9G8W", "FEDERICO PRINZIVALLI CASTELLI")</f>
        <v>FEDERICO PRINZIVALLI CASTELLI</v>
      </c>
      <c r="B13193" s="7" t="str">
        <f t="shared" ref="B13193:B13202" si="950">HYPERLINK("https://otsuka-europe-crm.veevavault.com/ui/#object/vcountry__v/VENZ000004SONFQ", "IT")</f>
        <v>IT</v>
      </c>
      <c r="C13193" s="8" t="s">
        <v>44</v>
      </c>
      <c r="D13193" s="9" t="str">
        <f t="shared" ref="D13193:D13202" si="951">HYPERLINK("https://otsuka-europe-crm.veevavault.com/ui/#object/approved_document__v/V5O00000001G004", "Branded_RXULTI_AE Ansia_IT-RXU-2500035")</f>
        <v>Branded_RXULTI_AE Ansia_IT-RXU-2500035</v>
      </c>
      <c r="E13193" s="10" t="str">
        <f>HYPERLINK("https://otsuka-europe-crm.veevavault.com/ui/#object/sent_email__v/VBL00000002Z269", "SE-001438712")</f>
        <v>SE-001438712</v>
      </c>
      <c r="F13193" s="11"/>
      <c r="G13193" s="12">
        <v>0</v>
      </c>
      <c r="H13193" s="12">
        <v>0</v>
      </c>
      <c r="I13193" s="12">
        <v>0</v>
      </c>
      <c r="J13193" s="11"/>
      <c r="K13193" s="12">
        <v>0</v>
      </c>
      <c r="L13193" s="10" t="str">
        <f t="shared" ref="L13193:L13202" si="952">HYPERLINK("https://otsuka-europe-crm.veevavault.com/ui/#object/approved_document__v/V5O00000001G004", "Branded_RXULTI_AE Ansia_IT-RXU-2500035")</f>
        <v>Branded_RXULTI_AE Ansia_IT-RXU-2500035</v>
      </c>
      <c r="M13193" s="10" t="str">
        <f t="shared" ref="M13193:M13202" si="953">HYPERLINK("mailto:gianpaolo.fichera@crm.otsuka-europe.com", "gianpaolo.fichera@crm.otsuka-europe.com")</f>
        <v>gianpaolo.fichera@crm.otsuka-europe.com</v>
      </c>
      <c r="N13193" s="13">
        <v>46202.661377314813</v>
      </c>
      <c r="O13193" s="14" t="str">
        <f>HYPERLINK("https://otsuka-europe-crm.veevavault.com/ui/#object/email_activity__v/V8C000000041427", "EN-002100504")</f>
        <v>EN-002100504</v>
      </c>
    </row>
    <row r="13194" spans="1:15" ht="32" x14ac:dyDescent="0.2">
      <c r="A13194" s="7" t="str">
        <f>HYPERLINK("https://otsuka-europe-crm.veevavault.com/ui/#object/account__v/V4TZ025E82WRWBA", "FEDERICA QUARATO")</f>
        <v>FEDERICA QUARATO</v>
      </c>
      <c r="B13194" s="7" t="str">
        <f t="shared" si="950"/>
        <v>IT</v>
      </c>
      <c r="C13194" s="8" t="s">
        <v>44</v>
      </c>
      <c r="D13194" s="9" t="str">
        <f t="shared" si="951"/>
        <v>Branded_RXULTI_AE Ansia_IT-RXU-2500035</v>
      </c>
      <c r="E13194" s="10" t="str">
        <f>HYPERLINK("https://otsuka-europe-crm.veevavault.com/ui/#object/sent_email__v/VBL00000002Z270", "SE-001438713")</f>
        <v>SE-001438713</v>
      </c>
      <c r="F13194" s="11"/>
      <c r="G13194" s="12">
        <v>0</v>
      </c>
      <c r="H13194" s="12">
        <v>0</v>
      </c>
      <c r="I13194" s="12">
        <v>0</v>
      </c>
      <c r="J13194" s="11"/>
      <c r="K13194" s="12">
        <v>0</v>
      </c>
      <c r="L13194" s="10" t="str">
        <f t="shared" si="952"/>
        <v>Branded_RXULTI_AE Ansia_IT-RXU-2500035</v>
      </c>
      <c r="M13194" s="10" t="str">
        <f t="shared" si="953"/>
        <v>gianpaolo.fichera@crm.otsuka-europe.com</v>
      </c>
      <c r="N13194" s="13">
        <v>46202.661666666667</v>
      </c>
      <c r="O13194" s="14" t="str">
        <f>HYPERLINK("https://otsuka-europe-crm.veevavault.com/ui/#object/email_activity__v/V8C000000041428", "EN-002100505")</f>
        <v>EN-002100505</v>
      </c>
    </row>
    <row r="13195" spans="1:15" ht="32" x14ac:dyDescent="0.2">
      <c r="A13195" s="7" t="str">
        <f>HYPERLINK("https://otsuka-europe-crm.veevavault.com/ui/#object/account__v/V4TZ06G6O71SC3K", "ELISA RIVOIRA")</f>
        <v>ELISA RIVOIRA</v>
      </c>
      <c r="B13195" s="7" t="str">
        <f t="shared" si="950"/>
        <v>IT</v>
      </c>
      <c r="C13195" s="8" t="s">
        <v>44</v>
      </c>
      <c r="D13195" s="9" t="str">
        <f t="shared" si="951"/>
        <v>Branded_RXULTI_AE Ansia_IT-RXU-2500035</v>
      </c>
      <c r="E13195" s="10" t="str">
        <f>HYPERLINK("https://otsuka-europe-crm.veevavault.com/ui/#object/sent_email__v/VBL00000002Y082", "SE-001438714")</f>
        <v>SE-001438714</v>
      </c>
      <c r="F13195" s="11"/>
      <c r="G13195" s="12">
        <v>0</v>
      </c>
      <c r="H13195" s="12">
        <v>0</v>
      </c>
      <c r="I13195" s="12">
        <v>0</v>
      </c>
      <c r="J13195" s="11"/>
      <c r="K13195" s="12">
        <v>0</v>
      </c>
      <c r="L13195" s="10" t="str">
        <f t="shared" si="952"/>
        <v>Branded_RXULTI_AE Ansia_IT-RXU-2500035</v>
      </c>
      <c r="M13195" s="10" t="str">
        <f t="shared" si="953"/>
        <v>gianpaolo.fichera@crm.otsuka-europe.com</v>
      </c>
      <c r="N13195" s="13">
        <v>46202.662187499998</v>
      </c>
      <c r="O13195" s="14" t="str">
        <f>HYPERLINK("https://otsuka-europe-crm.veevavault.com/ui/#object/email_activity__v/V8C000000042391", "EN-002100506")</f>
        <v>EN-002100506</v>
      </c>
    </row>
    <row r="13196" spans="1:15" ht="32" x14ac:dyDescent="0.2">
      <c r="A13196" s="7" t="str">
        <f>HYPERLINK("https://otsuka-europe-crm.veevavault.com/ui/#object/account__v/V4TZ06G6O71SC3Q", "CLAUDIA RIZZOLIO")</f>
        <v>CLAUDIA RIZZOLIO</v>
      </c>
      <c r="B13196" s="7" t="str">
        <f t="shared" si="950"/>
        <v>IT</v>
      </c>
      <c r="C13196" s="8" t="s">
        <v>44</v>
      </c>
      <c r="D13196" s="9" t="str">
        <f t="shared" si="951"/>
        <v>Branded_RXULTI_AE Ansia_IT-RXU-2500035</v>
      </c>
      <c r="E13196" s="10" t="str">
        <f>HYPERLINK("https://otsuka-europe-crm.veevavault.com/ui/#object/sent_email__v/VBL00000002Z271", "SE-001438715")</f>
        <v>SE-001438715</v>
      </c>
      <c r="F13196" s="11"/>
      <c r="G13196" s="12">
        <v>0</v>
      </c>
      <c r="H13196" s="12">
        <v>0</v>
      </c>
      <c r="I13196" s="12">
        <v>0</v>
      </c>
      <c r="J13196" s="11"/>
      <c r="K13196" s="12">
        <v>0</v>
      </c>
      <c r="L13196" s="10" t="str">
        <f t="shared" si="952"/>
        <v>Branded_RXULTI_AE Ansia_IT-RXU-2500035</v>
      </c>
      <c r="M13196" s="10" t="str">
        <f t="shared" si="953"/>
        <v>gianpaolo.fichera@crm.otsuka-europe.com</v>
      </c>
      <c r="N13196" s="13">
        <v>46202.662418981483</v>
      </c>
      <c r="O13196" s="14" t="str">
        <f>HYPERLINK("https://otsuka-europe-crm.veevavault.com/ui/#object/email_activity__v/V8C000000041429", "EN-002100507")</f>
        <v>EN-002100507</v>
      </c>
    </row>
    <row r="13197" spans="1:15" ht="32" x14ac:dyDescent="0.2">
      <c r="A13197" s="7" t="str">
        <f>HYPERLINK("https://otsuka-europe-crm.veevavault.com/ui/#object/account__v/V4TZ06G6O71S9H6", "FRANCESCA SOLIA")</f>
        <v>FRANCESCA SOLIA</v>
      </c>
      <c r="B13197" s="7" t="str">
        <f t="shared" si="950"/>
        <v>IT</v>
      </c>
      <c r="C13197" s="8" t="s">
        <v>44</v>
      </c>
      <c r="D13197" s="9" t="str">
        <f t="shared" si="951"/>
        <v>Branded_RXULTI_AE Ansia_IT-RXU-2500035</v>
      </c>
      <c r="E13197" s="10" t="str">
        <f>HYPERLINK("https://otsuka-europe-crm.veevavault.com/ui/#object/sent_email__v/VBL00000002Y083", "SE-001438716")</f>
        <v>SE-001438716</v>
      </c>
      <c r="F13197" s="11"/>
      <c r="G13197" s="12">
        <v>0</v>
      </c>
      <c r="H13197" s="12">
        <v>0</v>
      </c>
      <c r="I13197" s="12">
        <v>0</v>
      </c>
      <c r="J13197" s="11"/>
      <c r="K13197" s="12">
        <v>0</v>
      </c>
      <c r="L13197" s="10" t="str">
        <f t="shared" si="952"/>
        <v>Branded_RXULTI_AE Ansia_IT-RXU-2500035</v>
      </c>
      <c r="M13197" s="10" t="str">
        <f t="shared" si="953"/>
        <v>gianpaolo.fichera@crm.otsuka-europe.com</v>
      </c>
      <c r="N13197" s="13">
        <v>46202.663240740738</v>
      </c>
      <c r="O13197" s="14" t="str">
        <f>HYPERLINK("https://otsuka-europe-crm.veevavault.com/ui/#object/email_activity__v/V8C000000041430", "EN-002100508")</f>
        <v>EN-002100508</v>
      </c>
    </row>
    <row r="13198" spans="1:15" ht="32" x14ac:dyDescent="0.2">
      <c r="A13198" s="7" t="str">
        <f>HYPERLINK("https://otsuka-europe-crm.veevavault.com/ui/#object/account__v/V4T000000029015", "GIANCARLO SPENNATO")</f>
        <v>GIANCARLO SPENNATO</v>
      </c>
      <c r="B13198" s="7" t="str">
        <f t="shared" si="950"/>
        <v>IT</v>
      </c>
      <c r="C13198" s="8" t="s">
        <v>44</v>
      </c>
      <c r="D13198" s="9" t="str">
        <f t="shared" si="951"/>
        <v>Branded_RXULTI_AE Ansia_IT-RXU-2500035</v>
      </c>
      <c r="E13198" s="10" t="str">
        <f>HYPERLINK("https://otsuka-europe-crm.veevavault.com/ui/#object/sent_email__v/VBL00000002Y084", "SE-001438717")</f>
        <v>SE-001438717</v>
      </c>
      <c r="F13198" s="11"/>
      <c r="G13198" s="12">
        <v>0</v>
      </c>
      <c r="H13198" s="12">
        <v>0</v>
      </c>
      <c r="I13198" s="12">
        <v>0</v>
      </c>
      <c r="J13198" s="11"/>
      <c r="K13198" s="12">
        <v>0</v>
      </c>
      <c r="L13198" s="10" t="str">
        <f t="shared" si="952"/>
        <v>Branded_RXULTI_AE Ansia_IT-RXU-2500035</v>
      </c>
      <c r="M13198" s="10" t="str">
        <f t="shared" si="953"/>
        <v>gianpaolo.fichera@crm.otsuka-europe.com</v>
      </c>
      <c r="N13198" s="13">
        <v>46202.663460648146</v>
      </c>
      <c r="O13198" s="14" t="str">
        <f>HYPERLINK("https://otsuka-europe-crm.veevavault.com/ui/#object/email_activity__v/V8C000000041431", "EN-002100509")</f>
        <v>EN-002100509</v>
      </c>
    </row>
    <row r="13199" spans="1:15" ht="32" x14ac:dyDescent="0.2">
      <c r="A13199" s="7" t="str">
        <f>HYPERLINK("https://otsuka-europe-crm.veevavault.com/ui/#object/account__v/V4TZ06G6O71SCH9", "PERLA STROM")</f>
        <v>PERLA STROM</v>
      </c>
      <c r="B13199" s="7" t="str">
        <f t="shared" si="950"/>
        <v>IT</v>
      </c>
      <c r="C13199" s="8" t="s">
        <v>44</v>
      </c>
      <c r="D13199" s="9" t="str">
        <f t="shared" si="951"/>
        <v>Branded_RXULTI_AE Ansia_IT-RXU-2500035</v>
      </c>
      <c r="E13199" s="10" t="str">
        <f>HYPERLINK("https://otsuka-europe-crm.veevavault.com/ui/#object/sent_email__v/VBL00000002Y085", "SE-001438718")</f>
        <v>SE-001438718</v>
      </c>
      <c r="F13199" s="11"/>
      <c r="G13199" s="12">
        <v>0</v>
      </c>
      <c r="H13199" s="12">
        <v>0</v>
      </c>
      <c r="I13199" s="12">
        <v>0</v>
      </c>
      <c r="J13199" s="11"/>
      <c r="K13199" s="12">
        <v>0</v>
      </c>
      <c r="L13199" s="10" t="str">
        <f t="shared" si="952"/>
        <v>Branded_RXULTI_AE Ansia_IT-RXU-2500035</v>
      </c>
      <c r="M13199" s="10" t="str">
        <f t="shared" si="953"/>
        <v>gianpaolo.fichera@crm.otsuka-europe.com</v>
      </c>
      <c r="N13199" s="13">
        <v>46202.6641087963</v>
      </c>
      <c r="O13199" s="14" t="str">
        <f>HYPERLINK("https://otsuka-europe-crm.veevavault.com/ui/#object/email_activity__v/V8C000000041433", "EN-002100511")</f>
        <v>EN-002100511</v>
      </c>
    </row>
    <row r="13200" spans="1:15" ht="32" x14ac:dyDescent="0.2">
      <c r="A13200" s="7" t="str">
        <f>HYPERLINK("https://otsuka-europe-crm.veevavault.com/ui/#object/account__v/V4TZ06G6O71S9VD", "TERESINA TALLERICO")</f>
        <v>TERESINA TALLERICO</v>
      </c>
      <c r="B13200" s="7" t="str">
        <f t="shared" si="950"/>
        <v>IT</v>
      </c>
      <c r="C13200" s="8" t="s">
        <v>44</v>
      </c>
      <c r="D13200" s="9" t="str">
        <f t="shared" si="951"/>
        <v>Branded_RXULTI_AE Ansia_IT-RXU-2500035</v>
      </c>
      <c r="E13200" s="10" t="str">
        <f>HYPERLINK("https://otsuka-europe-crm.veevavault.com/ui/#object/sent_email__v/VBL00000002Z272", "SE-001438719")</f>
        <v>SE-001438719</v>
      </c>
      <c r="F13200" s="11"/>
      <c r="G13200" s="12">
        <v>0</v>
      </c>
      <c r="H13200" s="12">
        <v>0</v>
      </c>
      <c r="I13200" s="12">
        <v>0</v>
      </c>
      <c r="J13200" s="11"/>
      <c r="K13200" s="12">
        <v>0</v>
      </c>
      <c r="L13200" s="10" t="str">
        <f t="shared" si="952"/>
        <v>Branded_RXULTI_AE Ansia_IT-RXU-2500035</v>
      </c>
      <c r="M13200" s="10" t="str">
        <f t="shared" si="953"/>
        <v>gianpaolo.fichera@crm.otsuka-europe.com</v>
      </c>
      <c r="N13200" s="13">
        <v>46202.664456018516</v>
      </c>
      <c r="O13200" s="14" t="str">
        <f>HYPERLINK("https://otsuka-europe-crm.veevavault.com/ui/#object/email_activity__v/V8C000000041434", "EN-002100512")</f>
        <v>EN-002100512</v>
      </c>
    </row>
    <row r="13201" spans="1:15" ht="32" x14ac:dyDescent="0.2">
      <c r="A13201" s="7" t="str">
        <f>HYPERLINK("https://otsuka-europe-crm.veevavault.com/ui/#object/account__v/V4TZ025E88KN923", "JACOPO TRIONI")</f>
        <v>JACOPO TRIONI</v>
      </c>
      <c r="B13201" s="7" t="str">
        <f t="shared" si="950"/>
        <v>IT</v>
      </c>
      <c r="C13201" s="8" t="s">
        <v>44</v>
      </c>
      <c r="D13201" s="9" t="str">
        <f t="shared" si="951"/>
        <v>Branded_RXULTI_AE Ansia_IT-RXU-2500035</v>
      </c>
      <c r="E13201" s="10" t="str">
        <f>HYPERLINK("https://otsuka-europe-crm.veevavault.com/ui/#object/sent_email__v/VBL00000002Z273", "SE-001438720")</f>
        <v>SE-001438720</v>
      </c>
      <c r="F13201" s="11"/>
      <c r="G13201" s="12">
        <v>0</v>
      </c>
      <c r="H13201" s="12">
        <v>0</v>
      </c>
      <c r="I13201" s="12">
        <v>0</v>
      </c>
      <c r="J13201" s="11"/>
      <c r="K13201" s="12">
        <v>0</v>
      </c>
      <c r="L13201" s="10" t="str">
        <f t="shared" si="952"/>
        <v>Branded_RXULTI_AE Ansia_IT-RXU-2500035</v>
      </c>
      <c r="M13201" s="10" t="str">
        <f t="shared" si="953"/>
        <v>gianpaolo.fichera@crm.otsuka-europe.com</v>
      </c>
      <c r="N13201" s="13">
        <v>46202.664675925924</v>
      </c>
      <c r="O13201" s="14" t="str">
        <f>HYPERLINK("https://otsuka-europe-crm.veevavault.com/ui/#object/email_activity__v/V8C000000041435", "EN-002100513")</f>
        <v>EN-002100513</v>
      </c>
    </row>
    <row r="13202" spans="1:15" ht="16" x14ac:dyDescent="0.2">
      <c r="A13202" s="17" t="str">
        <f>HYPERLINK("https://otsuka-europe-crm.veevavault.com/ui/#object/account__v/V4TZ025E87AW7JI", "VITTORIO VARBELLA")</f>
        <v>VITTORIO VARBELLA</v>
      </c>
      <c r="B13202" s="17" t="str">
        <f t="shared" si="950"/>
        <v>IT</v>
      </c>
      <c r="C13202" s="20" t="s">
        <v>44</v>
      </c>
      <c r="D13202" s="21" t="str">
        <f t="shared" si="951"/>
        <v>Branded_RXULTI_AE Ansia_IT-RXU-2500035</v>
      </c>
      <c r="E13202" s="22" t="str">
        <f>HYPERLINK("https://otsuka-europe-crm.veevavault.com/ui/#object/sent_email__v/VBL00000002Z274", "SE-001438721")</f>
        <v>SE-001438721</v>
      </c>
      <c r="F13202" s="23">
        <v>46202.66505787037</v>
      </c>
      <c r="G13202" s="24">
        <v>1</v>
      </c>
      <c r="H13202" s="24">
        <v>1</v>
      </c>
      <c r="I13202" s="24">
        <v>1</v>
      </c>
      <c r="J13202" s="23">
        <v>46202.665069444447</v>
      </c>
      <c r="K13202" s="24">
        <v>3</v>
      </c>
      <c r="L13202" s="22" t="str">
        <f t="shared" si="952"/>
        <v>Branded_RXULTI_AE Ansia_IT-RXU-2500035</v>
      </c>
      <c r="M13202" s="22" t="str">
        <f t="shared" si="953"/>
        <v>gianpaolo.fichera@crm.otsuka-europe.com</v>
      </c>
      <c r="N13202" s="23">
        <v>46202.664976851855</v>
      </c>
      <c r="O13202" s="14" t="str">
        <f>HYPERLINK("https://otsuka-europe-crm.veevavault.com/ui/#object/email_activity__v/V8C000000041437", "EN-002100517")</f>
        <v>EN-002100517</v>
      </c>
    </row>
    <row r="13203" spans="1:15" ht="16" x14ac:dyDescent="0.2">
      <c r="A13203" s="18"/>
      <c r="B13203" s="18"/>
      <c r="C13203" s="18"/>
      <c r="D13203" s="18"/>
      <c r="E13203" s="18"/>
      <c r="F13203" s="18"/>
      <c r="G13203" s="18"/>
      <c r="H13203" s="18"/>
      <c r="I13203" s="18"/>
      <c r="J13203" s="18"/>
      <c r="K13203" s="18"/>
      <c r="L13203" s="18"/>
      <c r="M13203" s="18"/>
      <c r="N13203" s="18"/>
      <c r="O13203" s="14" t="str">
        <f>HYPERLINK("https://otsuka-europe-crm.veevavault.com/ui/#object/email_activity__v/V8C000000041438", "EN-002100515")</f>
        <v>EN-002100515</v>
      </c>
    </row>
    <row r="13204" spans="1:15" ht="16" x14ac:dyDescent="0.2">
      <c r="A13204" s="18"/>
      <c r="B13204" s="18"/>
      <c r="C13204" s="18"/>
      <c r="D13204" s="18"/>
      <c r="E13204" s="18"/>
      <c r="F13204" s="18"/>
      <c r="G13204" s="18"/>
      <c r="H13204" s="18"/>
      <c r="I13204" s="18"/>
      <c r="J13204" s="18"/>
      <c r="K13204" s="18"/>
      <c r="L13204" s="18"/>
      <c r="M13204" s="18"/>
      <c r="N13204" s="18"/>
      <c r="O13204" s="14" t="str">
        <f>HYPERLINK("https://otsuka-europe-crm.veevavault.com/ui/#object/email_activity__v/V8C000000041439", "EN-002100516")</f>
        <v>EN-002100516</v>
      </c>
    </row>
    <row r="13205" spans="1:15" ht="16" x14ac:dyDescent="0.2">
      <c r="A13205" s="18"/>
      <c r="B13205" s="18"/>
      <c r="C13205" s="18"/>
      <c r="D13205" s="18"/>
      <c r="E13205" s="18"/>
      <c r="F13205" s="18"/>
      <c r="G13205" s="18"/>
      <c r="H13205" s="18"/>
      <c r="I13205" s="18"/>
      <c r="J13205" s="18"/>
      <c r="K13205" s="18"/>
      <c r="L13205" s="18"/>
      <c r="M13205" s="18"/>
      <c r="N13205" s="18"/>
      <c r="O13205" s="14" t="str">
        <f>HYPERLINK("https://otsuka-europe-crm.veevavault.com/ui/#object/email_activity__v/V8C000000041440", "EN-002100518")</f>
        <v>EN-002100518</v>
      </c>
    </row>
    <row r="13206" spans="1:15" ht="16" x14ac:dyDescent="0.2">
      <c r="A13206" s="19"/>
      <c r="B13206" s="19"/>
      <c r="C13206" s="19"/>
      <c r="D13206" s="19"/>
      <c r="E13206" s="19"/>
      <c r="F13206" s="19"/>
      <c r="G13206" s="19"/>
      <c r="H13206" s="19"/>
      <c r="I13206" s="19"/>
      <c r="J13206" s="19"/>
      <c r="K13206" s="19"/>
      <c r="L13206" s="19"/>
      <c r="M13206" s="19"/>
      <c r="N13206" s="19"/>
      <c r="O13206" s="14" t="str">
        <f>HYPERLINK("https://otsuka-europe-crm.veevavault.com/ui/#object/email_activity__v/V8C000000041441", "EN-002100519")</f>
        <v>EN-002100519</v>
      </c>
    </row>
    <row r="13207" spans="1:15" ht="32" x14ac:dyDescent="0.2">
      <c r="A13207" s="7" t="str">
        <f>HYPERLINK("https://otsuka-europe-crm.veevavault.com/ui/#object/account__v/V4TZ06G6O71SCO6", "PATRIZIA VASCHETTO")</f>
        <v>PATRIZIA VASCHETTO</v>
      </c>
      <c r="B13207" s="7" t="str">
        <f t="shared" ref="B13207:B13212" si="954">HYPERLINK("https://otsuka-europe-crm.veevavault.com/ui/#object/vcountry__v/VENZ000004SONFQ", "IT")</f>
        <v>IT</v>
      </c>
      <c r="C13207" s="8" t="s">
        <v>44</v>
      </c>
      <c r="D13207" s="9" t="str">
        <f>HYPERLINK("https://otsuka-europe-crm.veevavault.com/ui/#object/approved_document__v/V5O00000001G004", "Branded_RXULTI_AE Ansia_IT-RXU-2500035")</f>
        <v>Branded_RXULTI_AE Ansia_IT-RXU-2500035</v>
      </c>
      <c r="E13207" s="10" t="str">
        <f>HYPERLINK("https://otsuka-europe-crm.veevavault.com/ui/#object/sent_email__v/VBL00000002Z275", "SE-001438722")</f>
        <v>SE-001438722</v>
      </c>
      <c r="F13207" s="11"/>
      <c r="G13207" s="12">
        <v>0</v>
      </c>
      <c r="H13207" s="12">
        <v>0</v>
      </c>
      <c r="I13207" s="12">
        <v>0</v>
      </c>
      <c r="J13207" s="11"/>
      <c r="K13207" s="12">
        <v>0</v>
      </c>
      <c r="L13207" s="10" t="str">
        <f>HYPERLINK("https://otsuka-europe-crm.veevavault.com/ui/#object/approved_document__v/V5O00000001G004", "Branded_RXULTI_AE Ansia_IT-RXU-2500035")</f>
        <v>Branded_RXULTI_AE Ansia_IT-RXU-2500035</v>
      </c>
      <c r="M13207" s="10" t="str">
        <f>HYPERLINK("mailto:gianpaolo.fichera@crm.otsuka-europe.com", "gianpaolo.fichera@crm.otsuka-europe.com")</f>
        <v>gianpaolo.fichera@crm.otsuka-europe.com</v>
      </c>
      <c r="N13207" s="13">
        <v>46202.665138888886</v>
      </c>
      <c r="O13207" s="14" t="str">
        <f>HYPERLINK("https://otsuka-europe-crm.veevavault.com/ui/#object/email_activity__v/V8C000000041442", "EN-002100520")</f>
        <v>EN-002100520</v>
      </c>
    </row>
    <row r="13208" spans="1:15" ht="32" x14ac:dyDescent="0.2">
      <c r="A13208" s="7" t="str">
        <f>HYPERLINK("https://otsuka-europe-crm.veevavault.com/ui/#object/account__v/V4TZ06G6O71SCNX", "SARA VENTURELLO")</f>
        <v>SARA VENTURELLO</v>
      </c>
      <c r="B13208" s="7" t="str">
        <f t="shared" si="954"/>
        <v>IT</v>
      </c>
      <c r="C13208" s="8" t="s">
        <v>44</v>
      </c>
      <c r="D13208" s="9" t="str">
        <f>HYPERLINK("https://otsuka-europe-crm.veevavault.com/ui/#object/approved_document__v/V5O00000001G004", "Branded_RXULTI_AE Ansia_IT-RXU-2500035")</f>
        <v>Branded_RXULTI_AE Ansia_IT-RXU-2500035</v>
      </c>
      <c r="E13208" s="10" t="str">
        <f>HYPERLINK("https://otsuka-europe-crm.veevavault.com/ui/#object/sent_email__v/VBL00000002Z276", "SE-001438723")</f>
        <v>SE-001438723</v>
      </c>
      <c r="F13208" s="11"/>
      <c r="G13208" s="12">
        <v>0</v>
      </c>
      <c r="H13208" s="12">
        <v>0</v>
      </c>
      <c r="I13208" s="12">
        <v>0</v>
      </c>
      <c r="J13208" s="11"/>
      <c r="K13208" s="12">
        <v>0</v>
      </c>
      <c r="L13208" s="10" t="str">
        <f>HYPERLINK("https://otsuka-europe-crm.veevavault.com/ui/#object/approved_document__v/V5O00000001G004", "Branded_RXULTI_AE Ansia_IT-RXU-2500035")</f>
        <v>Branded_RXULTI_AE Ansia_IT-RXU-2500035</v>
      </c>
      <c r="M13208" s="10" t="str">
        <f>HYPERLINK("mailto:gianpaolo.fichera@crm.otsuka-europe.com", "gianpaolo.fichera@crm.otsuka-europe.com")</f>
        <v>gianpaolo.fichera@crm.otsuka-europe.com</v>
      </c>
      <c r="N13208" s="13">
        <v>46202.665486111109</v>
      </c>
      <c r="O13208" s="14" t="str">
        <f>HYPERLINK("https://otsuka-europe-crm.veevavault.com/ui/#object/email_activity__v/V8C000000041443", "EN-002100521")</f>
        <v>EN-002100521</v>
      </c>
    </row>
    <row r="13209" spans="1:15" ht="32" x14ac:dyDescent="0.2">
      <c r="A13209" s="7" t="str">
        <f>HYPERLINK("https://otsuka-europe-crm.veevavault.com/ui/#object/account__v/V4TZ06G6O71SCPH", "ALBERTO VITALUCCI")</f>
        <v>ALBERTO VITALUCCI</v>
      </c>
      <c r="B13209" s="7" t="str">
        <f t="shared" si="954"/>
        <v>IT</v>
      </c>
      <c r="C13209" s="8" t="s">
        <v>44</v>
      </c>
      <c r="D13209" s="9" t="str">
        <f>HYPERLINK("https://otsuka-europe-crm.veevavault.com/ui/#object/approved_document__v/V5O00000001G004", "Branded_RXULTI_AE Ansia_IT-RXU-2500035")</f>
        <v>Branded_RXULTI_AE Ansia_IT-RXU-2500035</v>
      </c>
      <c r="E13209" s="10" t="str">
        <f>HYPERLINK("https://otsuka-europe-crm.veevavault.com/ui/#object/sent_email__v/VBL00000002Y086", "SE-001438724")</f>
        <v>SE-001438724</v>
      </c>
      <c r="F13209" s="11"/>
      <c r="G13209" s="12">
        <v>0</v>
      </c>
      <c r="H13209" s="12">
        <v>0</v>
      </c>
      <c r="I13209" s="12">
        <v>0</v>
      </c>
      <c r="J13209" s="11"/>
      <c r="K13209" s="12">
        <v>0</v>
      </c>
      <c r="L13209" s="10" t="str">
        <f>HYPERLINK("https://otsuka-europe-crm.veevavault.com/ui/#object/approved_document__v/V5O00000001G004", "Branded_RXULTI_AE Ansia_IT-RXU-2500035")</f>
        <v>Branded_RXULTI_AE Ansia_IT-RXU-2500035</v>
      </c>
      <c r="M13209" s="10" t="str">
        <f>HYPERLINK("mailto:gianpaolo.fichera@crm.otsuka-europe.com", "gianpaolo.fichera@crm.otsuka-europe.com")</f>
        <v>gianpaolo.fichera@crm.otsuka-europe.com</v>
      </c>
      <c r="N13209" s="13">
        <v>46202.665844907409</v>
      </c>
      <c r="O13209" s="14" t="str">
        <f>HYPERLINK("https://otsuka-europe-crm.veevavault.com/ui/#object/email_activity__v/V8C000000041444", "EN-002100522")</f>
        <v>EN-002100522</v>
      </c>
    </row>
    <row r="13210" spans="1:15" ht="80" x14ac:dyDescent="0.2">
      <c r="A13210" s="7" t="str">
        <f>HYPERLINK("https://otsuka-europe-crm.veevavault.com/ui/#object/account__v/V4TZ06G6O71SANU", "GIULIO GAINELLI")</f>
        <v>GIULIO GAINELLI</v>
      </c>
      <c r="B13210" s="7" t="str">
        <f t="shared" si="954"/>
        <v>IT</v>
      </c>
      <c r="C13210" s="8" t="s">
        <v>44</v>
      </c>
      <c r="D13210" s="9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E13210" s="10" t="str">
        <f>HYPERLINK("https://otsuka-europe-crm.veevavault.com/ui/#object/sent_email__v/VBL00000002Y087", "SE-001438725")</f>
        <v>SE-001438725</v>
      </c>
      <c r="F13210" s="11"/>
      <c r="G13210" s="12">
        <v>0</v>
      </c>
      <c r="H13210" s="12">
        <v>0</v>
      </c>
      <c r="I13210" s="12">
        <v>0</v>
      </c>
      <c r="J13210" s="11"/>
      <c r="K13210" s="12">
        <v>0</v>
      </c>
      <c r="L13210" s="10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M13210" s="10" t="str">
        <f>HYPERLINK("mailto:nicola.fiorese@crm.otsuka-europe.com", "nicola.fiorese@crm.otsuka-europe.com")</f>
        <v>nicola.fiorese@crm.otsuka-europe.com</v>
      </c>
      <c r="N13210" s="13">
        <v>46202.71497685185</v>
      </c>
      <c r="O13210" s="14" t="str">
        <f>HYPERLINK("https://otsuka-europe-crm.veevavault.com/ui/#object/email_activity__v/V8C000000042401", "EN-002100539")</f>
        <v>EN-002100539</v>
      </c>
    </row>
    <row r="13211" spans="1:15" ht="80" x14ac:dyDescent="0.2">
      <c r="A13211" s="7" t="str">
        <f>HYPERLINK("https://otsuka-europe-crm.veevavault.com/ui/#object/account__v/V4TZ06G6O71SAOO", "ALESSANDRO GALLUZZO")</f>
        <v>ALESSANDRO GALLUZZO</v>
      </c>
      <c r="B13211" s="7" t="str">
        <f t="shared" si="954"/>
        <v>IT</v>
      </c>
      <c r="C13211" s="8" t="s">
        <v>44</v>
      </c>
      <c r="D13211" s="9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E13211" s="10" t="str">
        <f>HYPERLINK("https://otsuka-europe-crm.veevavault.com/ui/#object/sent_email__v/VBL00000002Y088", "SE-001438726")</f>
        <v>SE-001438726</v>
      </c>
      <c r="F13211" s="11"/>
      <c r="G13211" s="12">
        <v>0</v>
      </c>
      <c r="H13211" s="12">
        <v>0</v>
      </c>
      <c r="I13211" s="12">
        <v>0</v>
      </c>
      <c r="J13211" s="11"/>
      <c r="K13211" s="12">
        <v>0</v>
      </c>
      <c r="L13211" s="10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M13211" s="10" t="str">
        <f>HYPERLINK("mailto:nicola.fiorese@crm.otsuka-europe.com", "nicola.fiorese@crm.otsuka-europe.com")</f>
        <v>nicola.fiorese@crm.otsuka-europe.com</v>
      </c>
      <c r="N13211" s="13">
        <v>46202.715138888889</v>
      </c>
      <c r="O13211" s="14" t="str">
        <f>HYPERLINK("https://otsuka-europe-crm.veevavault.com/ui/#object/email_activity__v/V8C000000041452", "EN-002100540")</f>
        <v>EN-002100540</v>
      </c>
    </row>
    <row r="13212" spans="1:15" ht="16" x14ac:dyDescent="0.2">
      <c r="A13212" s="17" t="str">
        <f>HYPERLINK("https://otsuka-europe-crm.veevavault.com/ui/#object/account__v/V4TZ06G6O71SAUT", "AGNESE GIAMBRA")</f>
        <v>AGNESE GIAMBRA</v>
      </c>
      <c r="B13212" s="17" t="str">
        <f t="shared" si="954"/>
        <v>IT</v>
      </c>
      <c r="C13212" s="20" t="s">
        <v>44</v>
      </c>
      <c r="D13212" s="21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E13212" s="22" t="str">
        <f>HYPERLINK("https://otsuka-europe-crm.veevavault.com/ui/#object/sent_email__v/VBL00000002Z277", "SE-001438727")</f>
        <v>SE-001438727</v>
      </c>
      <c r="F13212" s="25"/>
      <c r="G13212" s="24">
        <v>0</v>
      </c>
      <c r="H13212" s="24">
        <v>0</v>
      </c>
      <c r="I13212" s="24">
        <v>0</v>
      </c>
      <c r="J13212" s="25"/>
      <c r="K13212" s="24">
        <v>0</v>
      </c>
      <c r="L13212" s="22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M13212" s="22" t="str">
        <f>HYPERLINK("mailto:nicola.fiorese@crm.otsuka-europe.com", "nicola.fiorese@crm.otsuka-europe.com")</f>
        <v>nicola.fiorese@crm.otsuka-europe.com</v>
      </c>
      <c r="N13212" s="23">
        <v>46202.715451388889</v>
      </c>
      <c r="O13212" s="14" t="str">
        <f>HYPERLINK("https://otsuka-europe-crm.veevavault.com/ui/#object/email_activity__v/V8C000000042402", "EN-002100541")</f>
        <v>EN-002100541</v>
      </c>
    </row>
    <row r="13213" spans="1:15" ht="16" x14ac:dyDescent="0.2">
      <c r="A13213" s="19"/>
      <c r="B13213" s="19"/>
      <c r="C13213" s="19"/>
      <c r="D13213" s="19"/>
      <c r="E13213" s="19"/>
      <c r="F13213" s="19"/>
      <c r="G13213" s="19"/>
      <c r="H13213" s="19"/>
      <c r="I13213" s="19"/>
      <c r="J13213" s="19"/>
      <c r="K13213" s="19"/>
      <c r="L13213" s="19"/>
      <c r="M13213" s="19"/>
      <c r="N13213" s="19"/>
      <c r="O13213" s="14" t="str">
        <f>HYPERLINK("https://otsuka-europe-crm.veevavault.com/ui/#object/email_activity__v/V8C000000042467", "EN-002100646")</f>
        <v>EN-002100646</v>
      </c>
    </row>
    <row r="13214" spans="1:15" ht="16" x14ac:dyDescent="0.2">
      <c r="A13214" s="17" t="str">
        <f>HYPERLINK("https://otsuka-europe-crm.veevavault.com/ui/#object/account__v/V4TZ06G6O71SAQF", "FRANCESCA GOMEZ HOMEN")</f>
        <v>FRANCESCA GOMEZ HOMEN</v>
      </c>
      <c r="B13214" s="17" t="str">
        <f>HYPERLINK("https://otsuka-europe-crm.veevavault.com/ui/#object/vcountry__v/VENZ000004SONFQ", "IT")</f>
        <v>IT</v>
      </c>
      <c r="C13214" s="20" t="s">
        <v>44</v>
      </c>
      <c r="D13214" s="21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E13214" s="22" t="str">
        <f>HYPERLINK("https://otsuka-europe-crm.veevavault.com/ui/#object/sent_email__v/VBL00000002Y089", "SE-001438728")</f>
        <v>SE-001438728</v>
      </c>
      <c r="F13214" s="23">
        <v>46202.716354166667</v>
      </c>
      <c r="G13214" s="24">
        <v>1</v>
      </c>
      <c r="H13214" s="24">
        <v>1</v>
      </c>
      <c r="I13214" s="24">
        <v>0</v>
      </c>
      <c r="J13214" s="25"/>
      <c r="K13214" s="24">
        <v>0</v>
      </c>
      <c r="L13214" s="22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M13214" s="22" t="str">
        <f>HYPERLINK("mailto:nicola.fiorese@crm.otsuka-europe.com", "nicola.fiorese@crm.otsuka-europe.com")</f>
        <v>nicola.fiorese@crm.otsuka-europe.com</v>
      </c>
      <c r="N13214" s="23">
        <v>46202.715671296297</v>
      </c>
      <c r="O13214" s="14" t="str">
        <f>HYPERLINK("https://otsuka-europe-crm.veevavault.com/ui/#object/email_activity__v/V8C000000041453", "EN-002100542")</f>
        <v>EN-002100542</v>
      </c>
    </row>
    <row r="13215" spans="1:15" ht="16" x14ac:dyDescent="0.2">
      <c r="A13215" s="19"/>
      <c r="B13215" s="19"/>
      <c r="C13215" s="19"/>
      <c r="D13215" s="19"/>
      <c r="E13215" s="19"/>
      <c r="F13215" s="19"/>
      <c r="G13215" s="19"/>
      <c r="H13215" s="19"/>
      <c r="I13215" s="19"/>
      <c r="J13215" s="19"/>
      <c r="K13215" s="19"/>
      <c r="L13215" s="19"/>
      <c r="M13215" s="19"/>
      <c r="N13215" s="19"/>
      <c r="O13215" s="14" t="str">
        <f>HYPERLINK("https://otsuka-europe-crm.veevavault.com/ui/#object/email_activity__v/V8C000000042405", "EN-002100545")</f>
        <v>EN-002100545</v>
      </c>
    </row>
    <row r="13216" spans="1:15" ht="80" x14ac:dyDescent="0.2">
      <c r="A13216" s="7" t="str">
        <f>HYPERLINK("https://otsuka-europe-crm.veevavault.com/ui/#object/account__v/V4TZ025E87I6JZH", "MAURO ITALIA")</f>
        <v>MAURO ITALIA</v>
      </c>
      <c r="B13216" s="7" t="str">
        <f t="shared" ref="B13216:B13222" si="955">HYPERLINK("https://otsuka-europe-crm.veevavault.com/ui/#object/vcountry__v/VENZ000004SONFQ", "IT")</f>
        <v>IT</v>
      </c>
      <c r="C13216" s="8" t="s">
        <v>44</v>
      </c>
      <c r="D13216" s="9" t="str">
        <f t="shared" ref="D13216:D13222" si="956"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E13216" s="10" t="str">
        <f>HYPERLINK("https://otsuka-europe-crm.veevavault.com/ui/#object/sent_email__v/VBL00000002Y090", "SE-001438729")</f>
        <v>SE-001438729</v>
      </c>
      <c r="F13216" s="11"/>
      <c r="G13216" s="12">
        <v>0</v>
      </c>
      <c r="H13216" s="12">
        <v>0</v>
      </c>
      <c r="I13216" s="12">
        <v>0</v>
      </c>
      <c r="J13216" s="11"/>
      <c r="K13216" s="12">
        <v>0</v>
      </c>
      <c r="L13216" s="10" t="str">
        <f t="shared" ref="L13216:L13222" si="957"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M13216" s="10" t="str">
        <f t="shared" ref="M13216:M13222" si="958">HYPERLINK("mailto:nicola.fiorese@crm.otsuka-europe.com", "nicola.fiorese@crm.otsuka-europe.com")</f>
        <v>nicola.fiorese@crm.otsuka-europe.com</v>
      </c>
      <c r="N13216" s="13">
        <v>46202.715960648151</v>
      </c>
      <c r="O13216" s="14" t="str">
        <f>HYPERLINK("https://otsuka-europe-crm.veevavault.com/ui/#object/email_activity__v/V8C000000042403", "EN-002100543")</f>
        <v>EN-002100543</v>
      </c>
    </row>
    <row r="13217" spans="1:15" ht="80" x14ac:dyDescent="0.2">
      <c r="A13217" s="7" t="str">
        <f>HYPERLINK("https://otsuka-europe-crm.veevavault.com/ui/#object/account__v/V4TZ06G6O71S9BZ", "LAURA LAFFRANCHINI")</f>
        <v>LAURA LAFFRANCHINI</v>
      </c>
      <c r="B13217" s="7" t="str">
        <f t="shared" si="955"/>
        <v>IT</v>
      </c>
      <c r="C13217" s="8" t="s">
        <v>44</v>
      </c>
      <c r="D13217" s="9" t="str">
        <f t="shared" si="956"/>
        <v>OTSUKA-RXULTI_Branded_AE abuso di sostanze aggiornamento_ IT-RXU-2600022</v>
      </c>
      <c r="E13217" s="10" t="str">
        <f>HYPERLINK("https://otsuka-europe-crm.veevavault.com/ui/#object/sent_email__v/VBL00000002Z278", "SE-001438730")</f>
        <v>SE-001438730</v>
      </c>
      <c r="F13217" s="11"/>
      <c r="G13217" s="12">
        <v>0</v>
      </c>
      <c r="H13217" s="12">
        <v>0</v>
      </c>
      <c r="I13217" s="12">
        <v>0</v>
      </c>
      <c r="J13217" s="11"/>
      <c r="K13217" s="12">
        <v>0</v>
      </c>
      <c r="L13217" s="10" t="str">
        <f t="shared" si="957"/>
        <v>OTSUKA-RXULTI_Branded_AE abuso di sostanze aggiornamento_ IT-RXU-2600022</v>
      </c>
      <c r="M13217" s="10" t="str">
        <f t="shared" si="958"/>
        <v>nicola.fiorese@crm.otsuka-europe.com</v>
      </c>
      <c r="N13217" s="13">
        <v>46202.716111111113</v>
      </c>
      <c r="O13217" s="14" t="str">
        <f>HYPERLINK("https://otsuka-europe-crm.veevavault.com/ui/#object/email_activity__v/V8C000000042404", "EN-002100544")</f>
        <v>EN-002100544</v>
      </c>
    </row>
    <row r="13218" spans="1:15" ht="80" x14ac:dyDescent="0.2">
      <c r="A13218" s="7" t="str">
        <f>HYPERLINK("https://otsuka-europe-crm.veevavault.com/ui/#object/account__v/V4TZ06G6O71SB6F", "ARIANNA LANDI")</f>
        <v>ARIANNA LANDI</v>
      </c>
      <c r="B13218" s="7" t="str">
        <f t="shared" si="955"/>
        <v>IT</v>
      </c>
      <c r="C13218" s="8" t="s">
        <v>44</v>
      </c>
      <c r="D13218" s="9" t="str">
        <f t="shared" si="956"/>
        <v>OTSUKA-RXULTI_Branded_AE abuso di sostanze aggiornamento_ IT-RXU-2600022</v>
      </c>
      <c r="E13218" s="10" t="str">
        <f>HYPERLINK("https://otsuka-europe-crm.veevavault.com/ui/#object/sent_email__v/VBL00000002Y091", "SE-001438731")</f>
        <v>SE-001438731</v>
      </c>
      <c r="F13218" s="11"/>
      <c r="G13218" s="12">
        <v>0</v>
      </c>
      <c r="H13218" s="12">
        <v>0</v>
      </c>
      <c r="I13218" s="12">
        <v>0</v>
      </c>
      <c r="J13218" s="11"/>
      <c r="K13218" s="12">
        <v>0</v>
      </c>
      <c r="L13218" s="10" t="str">
        <f t="shared" si="957"/>
        <v>OTSUKA-RXULTI_Branded_AE abuso di sostanze aggiornamento_ IT-RXU-2600022</v>
      </c>
      <c r="M13218" s="10" t="str">
        <f t="shared" si="958"/>
        <v>nicola.fiorese@crm.otsuka-europe.com</v>
      </c>
      <c r="N13218" s="13">
        <v>46202.716469907406</v>
      </c>
      <c r="O13218" s="14" t="str">
        <f>HYPERLINK("https://otsuka-europe-crm.veevavault.com/ui/#object/email_activity__v/V8C000000042406", "EN-002100546")</f>
        <v>EN-002100546</v>
      </c>
    </row>
    <row r="13219" spans="1:15" ht="80" x14ac:dyDescent="0.2">
      <c r="A13219" s="7" t="str">
        <f>HYPERLINK("https://otsuka-europe-crm.veevavault.com/ui/#object/account__v/V4TZ04ASGCYJTHK", "GIULIA LESO")</f>
        <v>GIULIA LESO</v>
      </c>
      <c r="B13219" s="7" t="str">
        <f t="shared" si="955"/>
        <v>IT</v>
      </c>
      <c r="C13219" s="8" t="s">
        <v>44</v>
      </c>
      <c r="D13219" s="9" t="str">
        <f t="shared" si="956"/>
        <v>OTSUKA-RXULTI_Branded_AE abuso di sostanze aggiornamento_ IT-RXU-2600022</v>
      </c>
      <c r="E13219" s="10" t="str">
        <f>HYPERLINK("https://otsuka-europe-crm.veevavault.com/ui/#object/sent_email__v/VBL00000002Z279", "SE-001438732")</f>
        <v>SE-001438732</v>
      </c>
      <c r="F13219" s="11"/>
      <c r="G13219" s="12">
        <v>0</v>
      </c>
      <c r="H13219" s="12">
        <v>0</v>
      </c>
      <c r="I13219" s="12">
        <v>0</v>
      </c>
      <c r="J13219" s="11"/>
      <c r="K13219" s="12">
        <v>0</v>
      </c>
      <c r="L13219" s="10" t="str">
        <f t="shared" si="957"/>
        <v>OTSUKA-RXULTI_Branded_AE abuso di sostanze aggiornamento_ IT-RXU-2600022</v>
      </c>
      <c r="M13219" s="10" t="str">
        <f t="shared" si="958"/>
        <v>nicola.fiorese@crm.otsuka-europe.com</v>
      </c>
      <c r="N13219" s="13">
        <v>46202.716666666667</v>
      </c>
      <c r="O13219" s="14" t="str">
        <f>HYPERLINK("https://otsuka-europe-crm.veevavault.com/ui/#object/email_activity__v/V8C000000042407", "EN-002100547")</f>
        <v>EN-002100547</v>
      </c>
    </row>
    <row r="13220" spans="1:15" ht="80" x14ac:dyDescent="0.2">
      <c r="A13220" s="7" t="str">
        <f>HYPERLINK("https://otsuka-europe-crm.veevavault.com/ui/#object/account__v/V4TZ06G6O71S9RY", "JACOPO LISONI")</f>
        <v>JACOPO LISONI</v>
      </c>
      <c r="B13220" s="7" t="str">
        <f t="shared" si="955"/>
        <v>IT</v>
      </c>
      <c r="C13220" s="8" t="s">
        <v>44</v>
      </c>
      <c r="D13220" s="9" t="str">
        <f t="shared" si="956"/>
        <v>OTSUKA-RXULTI_Branded_AE abuso di sostanze aggiornamento_ IT-RXU-2600022</v>
      </c>
      <c r="E13220" s="10" t="str">
        <f>HYPERLINK("https://otsuka-europe-crm.veevavault.com/ui/#object/sent_email__v/VBL00000002Y092", "SE-001438733")</f>
        <v>SE-001438733</v>
      </c>
      <c r="F13220" s="11"/>
      <c r="G13220" s="12">
        <v>0</v>
      </c>
      <c r="H13220" s="12">
        <v>0</v>
      </c>
      <c r="I13220" s="12">
        <v>0</v>
      </c>
      <c r="J13220" s="11"/>
      <c r="K13220" s="12">
        <v>0</v>
      </c>
      <c r="L13220" s="10" t="str">
        <f t="shared" si="957"/>
        <v>OTSUKA-RXULTI_Branded_AE abuso di sostanze aggiornamento_ IT-RXU-2600022</v>
      </c>
      <c r="M13220" s="10" t="str">
        <f t="shared" si="958"/>
        <v>nicola.fiorese@crm.otsuka-europe.com</v>
      </c>
      <c r="N13220" s="13">
        <v>46202.716898148145</v>
      </c>
      <c r="O13220" s="14" t="str">
        <f>HYPERLINK("https://otsuka-europe-crm.veevavault.com/ui/#object/email_activity__v/V8C000000041454", "EN-002100548")</f>
        <v>EN-002100548</v>
      </c>
    </row>
    <row r="13221" spans="1:15" ht="80" x14ac:dyDescent="0.2">
      <c r="A13221" s="7" t="str">
        <f>HYPERLINK("https://otsuka-europe-crm.veevavault.com/ui/#object/account__v/V4TZ06G6O71SB89", "MARIA LOFORTE")</f>
        <v>MARIA LOFORTE</v>
      </c>
      <c r="B13221" s="7" t="str">
        <f t="shared" si="955"/>
        <v>IT</v>
      </c>
      <c r="C13221" s="8" t="s">
        <v>44</v>
      </c>
      <c r="D13221" s="9" t="str">
        <f t="shared" si="956"/>
        <v>OTSUKA-RXULTI_Branded_AE abuso di sostanze aggiornamento_ IT-RXU-2600022</v>
      </c>
      <c r="E13221" s="10" t="str">
        <f>HYPERLINK("https://otsuka-europe-crm.veevavault.com/ui/#object/sent_email__v/VBL00000002Y093", "SE-001438734")</f>
        <v>SE-001438734</v>
      </c>
      <c r="F13221" s="11"/>
      <c r="G13221" s="12">
        <v>0</v>
      </c>
      <c r="H13221" s="12">
        <v>0</v>
      </c>
      <c r="I13221" s="12">
        <v>0</v>
      </c>
      <c r="J13221" s="11"/>
      <c r="K13221" s="12">
        <v>0</v>
      </c>
      <c r="L13221" s="10" t="str">
        <f t="shared" si="957"/>
        <v>OTSUKA-RXULTI_Branded_AE abuso di sostanze aggiornamento_ IT-RXU-2600022</v>
      </c>
      <c r="M13221" s="10" t="str">
        <f t="shared" si="958"/>
        <v>nicola.fiorese@crm.otsuka-europe.com</v>
      </c>
      <c r="N13221" s="13">
        <v>46202.717187499999</v>
      </c>
      <c r="O13221" s="14" t="str">
        <f>HYPERLINK("https://otsuka-europe-crm.veevavault.com/ui/#object/email_activity__v/V8C000000041455", "EN-002100549")</f>
        <v>EN-002100549</v>
      </c>
    </row>
    <row r="13222" spans="1:15" ht="16" x14ac:dyDescent="0.2">
      <c r="A13222" s="17" t="str">
        <f>HYPERLINK("https://otsuka-europe-crm.veevavault.com/ui/#object/account__v/V4T00000001X035", "VALENTINA LOMBARDI")</f>
        <v>VALENTINA LOMBARDI</v>
      </c>
      <c r="B13222" s="17" t="str">
        <f t="shared" si="955"/>
        <v>IT</v>
      </c>
      <c r="C13222" s="20" t="s">
        <v>44</v>
      </c>
      <c r="D13222" s="21" t="str">
        <f t="shared" si="956"/>
        <v>OTSUKA-RXULTI_Branded_AE abuso di sostanze aggiornamento_ IT-RXU-2600022</v>
      </c>
      <c r="E13222" s="22" t="str">
        <f>HYPERLINK("https://otsuka-europe-crm.veevavault.com/ui/#object/sent_email__v/VBL00000002Y094", "SE-001438735")</f>
        <v>SE-001438735</v>
      </c>
      <c r="F13222" s="23">
        <v>46202.717673611114</v>
      </c>
      <c r="G13222" s="24">
        <v>1</v>
      </c>
      <c r="H13222" s="24">
        <v>3</v>
      </c>
      <c r="I13222" s="24">
        <v>0</v>
      </c>
      <c r="J13222" s="25"/>
      <c r="K13222" s="24">
        <v>0</v>
      </c>
      <c r="L13222" s="22" t="str">
        <f t="shared" si="957"/>
        <v>OTSUKA-RXULTI_Branded_AE abuso di sostanze aggiornamento_ IT-RXU-2600022</v>
      </c>
      <c r="M13222" s="22" t="str">
        <f t="shared" si="958"/>
        <v>nicola.fiorese@crm.otsuka-europe.com</v>
      </c>
      <c r="N13222" s="23">
        <v>46202.717291666668</v>
      </c>
      <c r="O13222" s="14" t="str">
        <f>HYPERLINK("https://otsuka-europe-crm.veevavault.com/ui/#object/email_activity__v/V8C000000041456", "EN-002100550")</f>
        <v>EN-002100550</v>
      </c>
    </row>
    <row r="13223" spans="1:15" ht="16" x14ac:dyDescent="0.2">
      <c r="A13223" s="18"/>
      <c r="B13223" s="18"/>
      <c r="C13223" s="18"/>
      <c r="D13223" s="18"/>
      <c r="E13223" s="18"/>
      <c r="F13223" s="18"/>
      <c r="G13223" s="18"/>
      <c r="H13223" s="18"/>
      <c r="I13223" s="18"/>
      <c r="J13223" s="18"/>
      <c r="K13223" s="18"/>
      <c r="L13223" s="18"/>
      <c r="M13223" s="18"/>
      <c r="N13223" s="18"/>
      <c r="O13223" s="14" t="str">
        <f>HYPERLINK("https://otsuka-europe-crm.veevavault.com/ui/#object/email_activity__v/V8C000000041457", "EN-002100551")</f>
        <v>EN-002100551</v>
      </c>
    </row>
    <row r="13224" spans="1:15" ht="16" x14ac:dyDescent="0.2">
      <c r="A13224" s="18"/>
      <c r="B13224" s="18"/>
      <c r="C13224" s="18"/>
      <c r="D13224" s="18"/>
      <c r="E13224" s="18"/>
      <c r="F13224" s="18"/>
      <c r="G13224" s="18"/>
      <c r="H13224" s="18"/>
      <c r="I13224" s="18"/>
      <c r="J13224" s="18"/>
      <c r="K13224" s="18"/>
      <c r="L13224" s="18"/>
      <c r="M13224" s="18"/>
      <c r="N13224" s="18"/>
      <c r="O13224" s="14" t="str">
        <f>HYPERLINK("https://otsuka-europe-crm.veevavault.com/ui/#object/email_activity__v/V8C000000041458", "EN-002100552")</f>
        <v>EN-002100552</v>
      </c>
    </row>
    <row r="13225" spans="1:15" ht="16" x14ac:dyDescent="0.2">
      <c r="A13225" s="19"/>
      <c r="B13225" s="19"/>
      <c r="C13225" s="19"/>
      <c r="D13225" s="19"/>
      <c r="E13225" s="19"/>
      <c r="F13225" s="19"/>
      <c r="G13225" s="19"/>
      <c r="H13225" s="19"/>
      <c r="I13225" s="19"/>
      <c r="J13225" s="19"/>
      <c r="K13225" s="19"/>
      <c r="L13225" s="19"/>
      <c r="M13225" s="19"/>
      <c r="N13225" s="19"/>
      <c r="O13225" s="14" t="str">
        <f>HYPERLINK("https://otsuka-europe-crm.veevavault.com/ui/#object/email_activity__v/V8C000000041459", "EN-002100553")</f>
        <v>EN-002100553</v>
      </c>
    </row>
    <row r="13226" spans="1:15" ht="16" x14ac:dyDescent="0.2">
      <c r="A13226" s="17" t="str">
        <f>HYPERLINK("https://otsuka-europe-crm.veevavault.com/ui/#object/account__v/V4TZ06G6O71SBA2", "PAOLO LONGHI")</f>
        <v>PAOLO LONGHI</v>
      </c>
      <c r="B13226" s="17" t="str">
        <f>HYPERLINK("https://otsuka-europe-crm.veevavault.com/ui/#object/vcountry__v/VENZ000004SONFQ", "IT")</f>
        <v>IT</v>
      </c>
      <c r="C13226" s="20" t="s">
        <v>44</v>
      </c>
      <c r="D13226" s="21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E13226" s="22" t="str">
        <f>HYPERLINK("https://otsuka-europe-crm.veevavault.com/ui/#object/sent_email__v/VBL00000002Y095", "SE-001438736")</f>
        <v>SE-001438736</v>
      </c>
      <c r="F13226" s="23">
        <v>46203.326793981483</v>
      </c>
      <c r="G13226" s="24">
        <v>1</v>
      </c>
      <c r="H13226" s="24">
        <v>2</v>
      </c>
      <c r="I13226" s="24">
        <v>0</v>
      </c>
      <c r="J13226" s="25"/>
      <c r="K13226" s="24">
        <v>0</v>
      </c>
      <c r="L13226" s="22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M13226" s="22" t="str">
        <f>HYPERLINK("mailto:nicola.fiorese@crm.otsuka-europe.com", "nicola.fiorese@crm.otsuka-europe.com")</f>
        <v>nicola.fiorese@crm.otsuka-europe.com</v>
      </c>
      <c r="N13226" s="23">
        <v>46202.717523148145</v>
      </c>
      <c r="O13226" s="14" t="str">
        <f>HYPERLINK("https://otsuka-europe-crm.veevavault.com/ui/#object/email_activity__v/V8C000000041461", "EN-002100555")</f>
        <v>EN-002100555</v>
      </c>
    </row>
    <row r="13227" spans="1:15" ht="16" x14ac:dyDescent="0.2">
      <c r="A13227" s="18"/>
      <c r="B13227" s="18"/>
      <c r="C13227" s="18"/>
      <c r="D13227" s="18"/>
      <c r="E13227" s="18"/>
      <c r="F13227" s="18"/>
      <c r="G13227" s="18"/>
      <c r="H13227" s="18"/>
      <c r="I13227" s="18"/>
      <c r="J13227" s="18"/>
      <c r="K13227" s="18"/>
      <c r="L13227" s="18"/>
      <c r="M13227" s="18"/>
      <c r="N13227" s="18"/>
      <c r="O13227" s="14" t="str">
        <f>HYPERLINK("https://otsuka-europe-crm.veevavault.com/ui/#object/email_activity__v/V8C000000041462", "EN-002100556")</f>
        <v>EN-002100556</v>
      </c>
    </row>
    <row r="13228" spans="1:15" ht="16" x14ac:dyDescent="0.2">
      <c r="A13228" s="19"/>
      <c r="B13228" s="19"/>
      <c r="C13228" s="19"/>
      <c r="D13228" s="19"/>
      <c r="E13228" s="19"/>
      <c r="F13228" s="19"/>
      <c r="G13228" s="19"/>
      <c r="H13228" s="19"/>
      <c r="I13228" s="19"/>
      <c r="J13228" s="19"/>
      <c r="K13228" s="19"/>
      <c r="L13228" s="19"/>
      <c r="M13228" s="19"/>
      <c r="N13228" s="19"/>
      <c r="O13228" s="14" t="str">
        <f>HYPERLINK("https://otsuka-europe-crm.veevavault.com/ui/#object/email_activity__v/V8C000000041513", "EN-002100676")</f>
        <v>EN-002100676</v>
      </c>
    </row>
    <row r="13229" spans="1:15" ht="80" x14ac:dyDescent="0.2">
      <c r="A13229" s="7" t="str">
        <f>HYPERLINK("https://otsuka-europe-crm.veevavault.com/ui/#object/account__v/V4TZ06G6O71S9NV", "MICHELE MANCUSO")</f>
        <v>MICHELE MANCUSO</v>
      </c>
      <c r="B13229" s="7" t="str">
        <f>HYPERLINK("https://otsuka-europe-crm.veevavault.com/ui/#object/vcountry__v/VENZ000004SONFQ", "IT")</f>
        <v>IT</v>
      </c>
      <c r="C13229" s="8" t="s">
        <v>44</v>
      </c>
      <c r="D13229" s="9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E13229" s="10" t="str">
        <f>HYPERLINK("https://otsuka-europe-crm.veevavault.com/ui/#object/sent_email__v/VBL00000002Z280", "SE-001438737")</f>
        <v>SE-001438737</v>
      </c>
      <c r="F13229" s="11"/>
      <c r="G13229" s="12">
        <v>0</v>
      </c>
      <c r="H13229" s="12">
        <v>0</v>
      </c>
      <c r="I13229" s="12">
        <v>0</v>
      </c>
      <c r="J13229" s="11"/>
      <c r="K13229" s="12">
        <v>0</v>
      </c>
      <c r="L13229" s="10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M13229" s="10" t="str">
        <f>HYPERLINK("mailto:nicola.fiorese@crm.otsuka-europe.com", "nicola.fiorese@crm.otsuka-europe.com")</f>
        <v>nicola.fiorese@crm.otsuka-europe.com</v>
      </c>
      <c r="N13229" s="13">
        <v>46202.717766203707</v>
      </c>
      <c r="O13229" s="14" t="str">
        <f>HYPERLINK("https://otsuka-europe-crm.veevavault.com/ui/#object/email_activity__v/V8C000000041460", "EN-002100554")</f>
        <v>EN-002100554</v>
      </c>
    </row>
    <row r="13230" spans="1:15" ht="80" x14ac:dyDescent="0.2">
      <c r="A13230" s="7" t="str">
        <f>HYPERLINK("https://otsuka-europe-crm.veevavault.com/ui/#object/account__v/V4TZ025E82Y42CA", "ALESSIO MANZIN")</f>
        <v>ALESSIO MANZIN</v>
      </c>
      <c r="B13230" s="7" t="str">
        <f>HYPERLINK("https://otsuka-europe-crm.veevavault.com/ui/#object/vcountry__v/VENZ000004SONFQ", "IT")</f>
        <v>IT</v>
      </c>
      <c r="C13230" s="8" t="s">
        <v>44</v>
      </c>
      <c r="D13230" s="9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E13230" s="10" t="str">
        <f>HYPERLINK("https://otsuka-europe-crm.veevavault.com/ui/#object/sent_email__v/VBL00000002Y096", "SE-001438738")</f>
        <v>SE-001438738</v>
      </c>
      <c r="F13230" s="11"/>
      <c r="G13230" s="12">
        <v>0</v>
      </c>
      <c r="H13230" s="12">
        <v>0</v>
      </c>
      <c r="I13230" s="12">
        <v>0</v>
      </c>
      <c r="J13230" s="11"/>
      <c r="K13230" s="12">
        <v>0</v>
      </c>
      <c r="L13230" s="10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M13230" s="10" t="str">
        <f>HYPERLINK("mailto:nicola.fiorese@crm.otsuka-europe.com", "nicola.fiorese@crm.otsuka-europe.com")</f>
        <v>nicola.fiorese@crm.otsuka-europe.com</v>
      </c>
      <c r="N13230" s="13">
        <v>46202.71806712963</v>
      </c>
      <c r="O13230" s="14" t="str">
        <f>HYPERLINK("https://otsuka-europe-crm.veevavault.com/ui/#object/email_activity__v/V8C000000041463", "EN-002100557")</f>
        <v>EN-002100557</v>
      </c>
    </row>
    <row r="13231" spans="1:15" ht="16" x14ac:dyDescent="0.2">
      <c r="A13231" s="17" t="str">
        <f>HYPERLINK("https://otsuka-europe-crm.veevavault.com/ui/#object/account__v/V4TZ06G6O71SBFV", "ALESSANDRA MARSILIO")</f>
        <v>ALESSANDRA MARSILIO</v>
      </c>
      <c r="B13231" s="17" t="str">
        <f>HYPERLINK("https://otsuka-europe-crm.veevavault.com/ui/#object/vcountry__v/VENZ000004SONFQ", "IT")</f>
        <v>IT</v>
      </c>
      <c r="C13231" s="20" t="s">
        <v>44</v>
      </c>
      <c r="D13231" s="21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E13231" s="22" t="str">
        <f>HYPERLINK("https://otsuka-europe-crm.veevavault.com/ui/#object/sent_email__v/VBL00000002Z281", "SE-001438739")</f>
        <v>SE-001438739</v>
      </c>
      <c r="F13231" s="23">
        <v>46203.38795138889</v>
      </c>
      <c r="G13231" s="24">
        <v>1</v>
      </c>
      <c r="H13231" s="24">
        <v>1</v>
      </c>
      <c r="I13231" s="24">
        <v>0</v>
      </c>
      <c r="J13231" s="25"/>
      <c r="K13231" s="24">
        <v>0</v>
      </c>
      <c r="L13231" s="22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M13231" s="22" t="str">
        <f>HYPERLINK("mailto:nicola.fiorese@crm.otsuka-europe.com", "nicola.fiorese@crm.otsuka-europe.com")</f>
        <v>nicola.fiorese@crm.otsuka-europe.com</v>
      </c>
      <c r="N13231" s="23">
        <v>46202.718182870369</v>
      </c>
      <c r="O13231" s="14" t="str">
        <f>HYPERLINK("https://otsuka-europe-crm.veevavault.com/ui/#object/email_activity__v/V8C000000041464", "EN-002100558")</f>
        <v>EN-002100558</v>
      </c>
    </row>
    <row r="13232" spans="1:15" ht="16" x14ac:dyDescent="0.2">
      <c r="A13232" s="19"/>
      <c r="B13232" s="19"/>
      <c r="C13232" s="19"/>
      <c r="D13232" s="19"/>
      <c r="E13232" s="19"/>
      <c r="F13232" s="19"/>
      <c r="G13232" s="19"/>
      <c r="H13232" s="19"/>
      <c r="I13232" s="19"/>
      <c r="J13232" s="19"/>
      <c r="K13232" s="19"/>
      <c r="L13232" s="19"/>
      <c r="M13232" s="19"/>
      <c r="N13232" s="19"/>
      <c r="O13232" s="14" t="str">
        <f>HYPERLINK("https://otsuka-europe-crm.veevavault.com/ui/#object/email_activity__v/V8C000000041562", "EN-002100766")</f>
        <v>EN-002100766</v>
      </c>
    </row>
    <row r="13233" spans="1:15" ht="80" x14ac:dyDescent="0.2">
      <c r="A13233" s="7" t="str">
        <f>HYPERLINK("https://otsuka-europe-crm.veevavault.com/ui/#object/account__v/V4TZ06G6O71S9G2", "FRANCESCO MARTINELLI")</f>
        <v>FRANCESCO MARTINELLI</v>
      </c>
      <c r="B13233" s="7" t="str">
        <f>HYPERLINK("https://otsuka-europe-crm.veevavault.com/ui/#object/vcountry__v/VENZ000004SONFQ", "IT")</f>
        <v>IT</v>
      </c>
      <c r="C13233" s="8" t="s">
        <v>44</v>
      </c>
      <c r="D13233" s="9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E13233" s="10" t="str">
        <f>HYPERLINK("https://otsuka-europe-crm.veevavault.com/ui/#object/sent_email__v/VBL00000002Z282", "SE-001438740")</f>
        <v>SE-001438740</v>
      </c>
      <c r="F13233" s="11"/>
      <c r="G13233" s="12">
        <v>0</v>
      </c>
      <c r="H13233" s="12">
        <v>0</v>
      </c>
      <c r="I13233" s="12">
        <v>0</v>
      </c>
      <c r="J13233" s="11"/>
      <c r="K13233" s="12">
        <v>0</v>
      </c>
      <c r="L13233" s="10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M13233" s="10" t="str">
        <f>HYPERLINK("mailto:nicola.fiorese@crm.otsuka-europe.com", "nicola.fiorese@crm.otsuka-europe.com")</f>
        <v>nicola.fiorese@crm.otsuka-europe.com</v>
      </c>
      <c r="N13233" s="13">
        <v>46202.718391203707</v>
      </c>
      <c r="O13233" s="14" t="str">
        <f>HYPERLINK("https://otsuka-europe-crm.veevavault.com/ui/#object/email_activity__v/V8C000000041465", "EN-002100559")</f>
        <v>EN-002100559</v>
      </c>
    </row>
    <row r="13234" spans="1:15" ht="16" x14ac:dyDescent="0.2">
      <c r="A13234" s="17" t="str">
        <f>HYPERLINK("https://otsuka-europe-crm.veevavault.com/ui/#object/account__v/V4TZ06G6O71SBFH", "MARIA MADDALENA MARTUCCI")</f>
        <v>MARIA MADDALENA MARTUCCI</v>
      </c>
      <c r="B13234" s="17" t="str">
        <f>HYPERLINK("https://otsuka-europe-crm.veevavault.com/ui/#object/vcountry__v/VENZ000004SONFQ", "IT")</f>
        <v>IT</v>
      </c>
      <c r="C13234" s="20" t="s">
        <v>44</v>
      </c>
      <c r="D13234" s="21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E13234" s="22" t="str">
        <f>HYPERLINK("https://otsuka-europe-crm.veevavault.com/ui/#object/sent_email__v/VBL00000002Y097", "SE-001438741")</f>
        <v>SE-001438741</v>
      </c>
      <c r="F13234" s="23">
        <v>46203.272094907406</v>
      </c>
      <c r="G13234" s="24">
        <v>1</v>
      </c>
      <c r="H13234" s="24">
        <v>2</v>
      </c>
      <c r="I13234" s="24">
        <v>0</v>
      </c>
      <c r="J13234" s="25"/>
      <c r="K13234" s="24">
        <v>0</v>
      </c>
      <c r="L13234" s="22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M13234" s="22" t="str">
        <f>HYPERLINK("mailto:nicola.fiorese@crm.otsuka-europe.com", "nicola.fiorese@crm.otsuka-europe.com")</f>
        <v>nicola.fiorese@crm.otsuka-europe.com</v>
      </c>
      <c r="N13234" s="23">
        <v>46202.718622685185</v>
      </c>
      <c r="O13234" s="14" t="str">
        <f>HYPERLINK("https://otsuka-europe-crm.veevavault.com/ui/#object/email_activity__v/V8C000000041466", "EN-002100560")</f>
        <v>EN-002100560</v>
      </c>
    </row>
    <row r="13235" spans="1:15" ht="16" x14ac:dyDescent="0.2">
      <c r="A13235" s="18"/>
      <c r="B13235" s="18"/>
      <c r="C13235" s="18"/>
      <c r="D13235" s="18"/>
      <c r="E13235" s="18"/>
      <c r="F13235" s="18"/>
      <c r="G13235" s="18"/>
      <c r="H13235" s="18"/>
      <c r="I13235" s="18"/>
      <c r="J13235" s="18"/>
      <c r="K13235" s="18"/>
      <c r="L13235" s="18"/>
      <c r="M13235" s="18"/>
      <c r="N13235" s="18"/>
      <c r="O13235" s="14" t="str">
        <f>HYPERLINK("https://otsuka-europe-crm.veevavault.com/ui/#object/email_activity__v/V8C000000041503", "EN-002100662")</f>
        <v>EN-002100662</v>
      </c>
    </row>
    <row r="13236" spans="1:15" ht="16" x14ac:dyDescent="0.2">
      <c r="A13236" s="19"/>
      <c r="B13236" s="19"/>
      <c r="C13236" s="19"/>
      <c r="D13236" s="19"/>
      <c r="E13236" s="19"/>
      <c r="F13236" s="19"/>
      <c r="G13236" s="19"/>
      <c r="H13236" s="19"/>
      <c r="I13236" s="19"/>
      <c r="J13236" s="19"/>
      <c r="K13236" s="19"/>
      <c r="L13236" s="19"/>
      <c r="M13236" s="19"/>
      <c r="N13236" s="19"/>
      <c r="O13236" s="14" t="str">
        <f>HYPERLINK("https://otsuka-europe-crm.veevavault.com/ui/#object/email_activity__v/V8C000000042409", "EN-002100563")</f>
        <v>EN-002100563</v>
      </c>
    </row>
    <row r="13237" spans="1:15" ht="80" x14ac:dyDescent="0.2">
      <c r="A13237" s="7" t="str">
        <f>HYPERLINK("https://otsuka-europe-crm.veevavault.com/ui/#object/account__v/V4TZ04ASGDP36GG", "FRANCESCA MARIA CAMILLA MASELLI")</f>
        <v>FRANCESCA MARIA CAMILLA MASELLI</v>
      </c>
      <c r="B13237" s="7" t="str">
        <f>HYPERLINK("https://otsuka-europe-crm.veevavault.com/ui/#object/vcountry__v/VENZ000004SONFQ", "IT")</f>
        <v>IT</v>
      </c>
      <c r="C13237" s="8" t="s">
        <v>44</v>
      </c>
      <c r="D13237" s="9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E13237" s="10" t="str">
        <f>HYPERLINK("https://otsuka-europe-crm.veevavault.com/ui/#object/sent_email__v/VBL00000002Z283", "SE-001438742")</f>
        <v>SE-001438742</v>
      </c>
      <c r="F13237" s="11"/>
      <c r="G13237" s="12">
        <v>0</v>
      </c>
      <c r="H13237" s="12">
        <v>0</v>
      </c>
      <c r="I13237" s="12">
        <v>0</v>
      </c>
      <c r="J13237" s="11"/>
      <c r="K13237" s="12">
        <v>0</v>
      </c>
      <c r="L13237" s="10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M13237" s="10" t="str">
        <f>HYPERLINK("mailto:nicola.fiorese@crm.otsuka-europe.com", "nicola.fiorese@crm.otsuka-europe.com")</f>
        <v>nicola.fiorese@crm.otsuka-europe.com</v>
      </c>
      <c r="N13237" s="13">
        <v>46202.718912037039</v>
      </c>
      <c r="O13237" s="14" t="str">
        <f>HYPERLINK("https://otsuka-europe-crm.veevavault.com/ui/#object/email_activity__v/V8C000000042408", "EN-002100561")</f>
        <v>EN-002100561</v>
      </c>
    </row>
    <row r="13238" spans="1:15" ht="80" x14ac:dyDescent="0.2">
      <c r="A13238" s="7" t="str">
        <f>HYPERLINK("https://otsuka-europe-crm.veevavault.com/ui/#object/account__v/V4TZ06G6O71SBHX", "RODOLFO MAZZONCINI")</f>
        <v>RODOLFO MAZZONCINI</v>
      </c>
      <c r="B13238" s="7" t="str">
        <f>HYPERLINK("https://otsuka-europe-crm.veevavault.com/ui/#object/vcountry__v/VENZ000004SONFQ", "IT")</f>
        <v>IT</v>
      </c>
      <c r="C13238" s="8" t="s">
        <v>44</v>
      </c>
      <c r="D13238" s="9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E13238" s="10" t="str">
        <f>HYPERLINK("https://otsuka-europe-crm.veevavault.com/ui/#object/sent_email__v/VBL00000002Y098", "SE-001438743")</f>
        <v>SE-001438743</v>
      </c>
      <c r="F13238" s="11"/>
      <c r="G13238" s="12">
        <v>0</v>
      </c>
      <c r="H13238" s="12">
        <v>0</v>
      </c>
      <c r="I13238" s="12">
        <v>0</v>
      </c>
      <c r="J13238" s="11"/>
      <c r="K13238" s="12">
        <v>0</v>
      </c>
      <c r="L13238" s="10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M13238" s="10" t="str">
        <f>HYPERLINK("mailto:nicola.fiorese@crm.otsuka-europe.com", "nicola.fiorese@crm.otsuka-europe.com")</f>
        <v>nicola.fiorese@crm.otsuka-europe.com</v>
      </c>
      <c r="N13238" s="13">
        <v>46202.719027777777</v>
      </c>
      <c r="O13238" s="14" t="str">
        <f>HYPERLINK("https://otsuka-europe-crm.veevavault.com/ui/#object/email_activity__v/V8C000000041467", "EN-002100562")</f>
        <v>EN-002100562</v>
      </c>
    </row>
    <row r="13239" spans="1:15" ht="80" x14ac:dyDescent="0.2">
      <c r="A13239" s="7" t="str">
        <f>HYPERLINK("https://otsuka-europe-crm.veevavault.com/ui/#object/account__v/V4TZ06G6O71SBKY", "MARZIA MORETTI")</f>
        <v>MARZIA MORETTI</v>
      </c>
      <c r="B13239" s="7" t="str">
        <f>HYPERLINK("https://otsuka-europe-crm.veevavault.com/ui/#object/vcountry__v/VENZ000004SONFQ", "IT")</f>
        <v>IT</v>
      </c>
      <c r="C13239" s="8" t="s">
        <v>44</v>
      </c>
      <c r="D13239" s="9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E13239" s="10" t="str">
        <f>HYPERLINK("https://otsuka-europe-crm.veevavault.com/ui/#object/sent_email__v/VBL00000002Y099", "SE-001438744")</f>
        <v>SE-001438744</v>
      </c>
      <c r="F13239" s="11"/>
      <c r="G13239" s="12">
        <v>0</v>
      </c>
      <c r="H13239" s="12">
        <v>0</v>
      </c>
      <c r="I13239" s="12">
        <v>0</v>
      </c>
      <c r="J13239" s="11"/>
      <c r="K13239" s="12">
        <v>0</v>
      </c>
      <c r="L13239" s="10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M13239" s="10" t="str">
        <f>HYPERLINK("mailto:nicola.fiorese@crm.otsuka-europe.com", "nicola.fiorese@crm.otsuka-europe.com")</f>
        <v>nicola.fiorese@crm.otsuka-europe.com</v>
      </c>
      <c r="N13239" s="13">
        <v>46202.719317129631</v>
      </c>
      <c r="O13239" s="14" t="str">
        <f>HYPERLINK("https://otsuka-europe-crm.veevavault.com/ui/#object/email_activity__v/V8C000000042410", "EN-002100564")</f>
        <v>EN-002100564</v>
      </c>
    </row>
    <row r="13240" spans="1:15" ht="16" x14ac:dyDescent="0.2">
      <c r="A13240" s="17" t="str">
        <f>HYPERLINK("https://otsuka-europe-crm.veevavault.com/ui/#object/account__v/V4TZ06G6O71SBL3", "SIMONA MOROCCHI")</f>
        <v>SIMONA MOROCCHI</v>
      </c>
      <c r="B13240" s="17" t="str">
        <f>HYPERLINK("https://otsuka-europe-crm.veevavault.com/ui/#object/vcountry__v/VENZ000004SONFQ", "IT")</f>
        <v>IT</v>
      </c>
      <c r="C13240" s="20" t="s">
        <v>44</v>
      </c>
      <c r="D13240" s="21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E13240" s="22" t="str">
        <f>HYPERLINK("https://otsuka-europe-crm.veevavault.com/ui/#object/sent_email__v/VBL00000002Y100", "SE-001438745")</f>
        <v>SE-001438745</v>
      </c>
      <c r="F13240" s="23">
        <v>46202.924988425926</v>
      </c>
      <c r="G13240" s="24">
        <v>1</v>
      </c>
      <c r="H13240" s="24">
        <v>2</v>
      </c>
      <c r="I13240" s="24">
        <v>0</v>
      </c>
      <c r="J13240" s="25"/>
      <c r="K13240" s="24">
        <v>0</v>
      </c>
      <c r="L13240" s="22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M13240" s="22" t="str">
        <f>HYPERLINK("mailto:nicola.fiorese@crm.otsuka-europe.com", "nicola.fiorese@crm.otsuka-europe.com")</f>
        <v>nicola.fiorese@crm.otsuka-europe.com</v>
      </c>
      <c r="N13240" s="23">
        <v>46202.719629629632</v>
      </c>
      <c r="O13240" s="14" t="str">
        <f>HYPERLINK("https://otsuka-europe-crm.veevavault.com/ui/#object/email_activity__v/V8C000000041494", "EN-002100648")</f>
        <v>EN-002100648</v>
      </c>
    </row>
    <row r="13241" spans="1:15" ht="16" x14ac:dyDescent="0.2">
      <c r="A13241" s="18"/>
      <c r="B13241" s="18"/>
      <c r="C13241" s="18"/>
      <c r="D13241" s="18"/>
      <c r="E13241" s="18"/>
      <c r="F13241" s="18"/>
      <c r="G13241" s="18"/>
      <c r="H13241" s="18"/>
      <c r="I13241" s="18"/>
      <c r="J13241" s="18"/>
      <c r="K13241" s="18"/>
      <c r="L13241" s="18"/>
      <c r="M13241" s="18"/>
      <c r="N13241" s="18"/>
      <c r="O13241" s="14" t="str">
        <f>HYPERLINK("https://otsuka-europe-crm.veevavault.com/ui/#object/email_activity__v/V8C000000042411", "EN-002100565")</f>
        <v>EN-002100565</v>
      </c>
    </row>
    <row r="13242" spans="1:15" ht="16" x14ac:dyDescent="0.2">
      <c r="A13242" s="19"/>
      <c r="B13242" s="19"/>
      <c r="C13242" s="19"/>
      <c r="D13242" s="19"/>
      <c r="E13242" s="19"/>
      <c r="F13242" s="19"/>
      <c r="G13242" s="19"/>
      <c r="H13242" s="19"/>
      <c r="I13242" s="19"/>
      <c r="J13242" s="19"/>
      <c r="K13242" s="19"/>
      <c r="L13242" s="19"/>
      <c r="M13242" s="19"/>
      <c r="N13242" s="19"/>
      <c r="O13242" s="14" t="str">
        <f>HYPERLINK("https://otsuka-europe-crm.veevavault.com/ui/#object/email_activity__v/V8C000000042415", "EN-002100573")</f>
        <v>EN-002100573</v>
      </c>
    </row>
    <row r="13243" spans="1:15" ht="80" x14ac:dyDescent="0.2">
      <c r="A13243" s="7" t="str">
        <f>HYPERLINK("https://otsuka-europe-crm.veevavault.com/ui/#object/account__v/V4TZ06G6O71SBLL", "ALESSANDRA MOSCA")</f>
        <v>ALESSANDRA MOSCA</v>
      </c>
      <c r="B13243" s="7" t="str">
        <f>HYPERLINK("https://otsuka-europe-crm.veevavault.com/ui/#object/vcountry__v/VENZ000004SONFQ", "IT")</f>
        <v>IT</v>
      </c>
      <c r="C13243" s="8" t="s">
        <v>44</v>
      </c>
      <c r="D13243" s="9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E13243" s="10" t="str">
        <f>HYPERLINK("https://otsuka-europe-crm.veevavault.com/ui/#object/sent_email__v/VBL00000002Y101", "SE-001438746")</f>
        <v>SE-001438746</v>
      </c>
      <c r="F13243" s="11"/>
      <c r="G13243" s="12">
        <v>0</v>
      </c>
      <c r="H13243" s="12">
        <v>0</v>
      </c>
      <c r="I13243" s="12">
        <v>0</v>
      </c>
      <c r="J13243" s="11"/>
      <c r="K13243" s="12">
        <v>0</v>
      </c>
      <c r="L13243" s="10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M13243" s="10" t="str">
        <f>HYPERLINK("mailto:nicola.fiorese@crm.otsuka-europe.com", "nicola.fiorese@crm.otsuka-europe.com")</f>
        <v>nicola.fiorese@crm.otsuka-europe.com</v>
      </c>
      <c r="N13243" s="13">
        <v>46202.719733796293</v>
      </c>
      <c r="O13243" s="14" t="str">
        <f>HYPERLINK("https://otsuka-europe-crm.veevavault.com/ui/#object/email_activity__v/V8C000000041468", "EN-002100566")</f>
        <v>EN-002100566</v>
      </c>
    </row>
    <row r="13244" spans="1:15" ht="16" x14ac:dyDescent="0.2">
      <c r="A13244" s="17" t="str">
        <f>HYPERLINK("https://otsuka-europe-crm.veevavault.com/ui/#object/account__v/V4TZ025E86DQB46", "CARLOTTA MOSCONI")</f>
        <v>CARLOTTA MOSCONI</v>
      </c>
      <c r="B13244" s="17" t="str">
        <f>HYPERLINK("https://otsuka-europe-crm.veevavault.com/ui/#object/vcountry__v/VENZ000004SONFQ", "IT")</f>
        <v>IT</v>
      </c>
      <c r="C13244" s="20" t="s">
        <v>44</v>
      </c>
      <c r="D13244" s="21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E13244" s="22" t="str">
        <f>HYPERLINK("https://otsuka-europe-crm.veevavault.com/ui/#object/sent_email__v/VBL00000002Z284", "SE-001438747")</f>
        <v>SE-001438747</v>
      </c>
      <c r="F13244" s="23">
        <v>46202.741944444446</v>
      </c>
      <c r="G13244" s="24">
        <v>1</v>
      </c>
      <c r="H13244" s="24">
        <v>2</v>
      </c>
      <c r="I13244" s="24">
        <v>0</v>
      </c>
      <c r="J13244" s="25"/>
      <c r="K13244" s="24">
        <v>0</v>
      </c>
      <c r="L13244" s="22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M13244" s="22" t="str">
        <f>HYPERLINK("mailto:nicola.fiorese@crm.otsuka-europe.com", "nicola.fiorese@crm.otsuka-europe.com")</f>
        <v>nicola.fiorese@crm.otsuka-europe.com</v>
      </c>
      <c r="N13244" s="23">
        <v>46202.719942129632</v>
      </c>
      <c r="O13244" s="14" t="str">
        <f>HYPERLINK("https://otsuka-europe-crm.veevavault.com/ui/#object/email_activity__v/V8C000000041469", "EN-002100568")</f>
        <v>EN-002100568</v>
      </c>
    </row>
    <row r="13245" spans="1:15" ht="16" x14ac:dyDescent="0.2">
      <c r="A13245" s="18"/>
      <c r="B13245" s="18"/>
      <c r="C13245" s="18"/>
      <c r="D13245" s="18"/>
      <c r="E13245" s="18"/>
      <c r="F13245" s="18"/>
      <c r="G13245" s="18"/>
      <c r="H13245" s="18"/>
      <c r="I13245" s="18"/>
      <c r="J13245" s="18"/>
      <c r="K13245" s="18"/>
      <c r="L13245" s="18"/>
      <c r="M13245" s="18"/>
      <c r="N13245" s="18"/>
      <c r="O13245" s="14" t="str">
        <f>HYPERLINK("https://otsuka-europe-crm.veevavault.com/ui/#object/email_activity__v/V8C000000041483", "EN-002100626")</f>
        <v>EN-002100626</v>
      </c>
    </row>
    <row r="13246" spans="1:15" ht="16" x14ac:dyDescent="0.2">
      <c r="A13246" s="19"/>
      <c r="B13246" s="19"/>
      <c r="C13246" s="19"/>
      <c r="D13246" s="19"/>
      <c r="E13246" s="19"/>
      <c r="F13246" s="19"/>
      <c r="G13246" s="19"/>
      <c r="H13246" s="19"/>
      <c r="I13246" s="19"/>
      <c r="J13246" s="19"/>
      <c r="K13246" s="19"/>
      <c r="L13246" s="19"/>
      <c r="M13246" s="19"/>
      <c r="N13246" s="19"/>
      <c r="O13246" s="14" t="str">
        <f>HYPERLINK("https://otsuka-europe-crm.veevavault.com/ui/#object/email_activity__v/V8C000000042412", "EN-002100567")</f>
        <v>EN-002100567</v>
      </c>
    </row>
    <row r="13247" spans="1:15" ht="80" x14ac:dyDescent="0.2">
      <c r="A13247" s="7" t="str">
        <f>HYPERLINK("https://otsuka-europe-crm.veevavault.com/ui/#object/account__v/V4TZ06G6O71SBLX", "FRANCESCA SERENA MULE'")</f>
        <v>FRANCESCA SERENA MULE'</v>
      </c>
      <c r="B13247" s="7" t="str">
        <f t="shared" ref="B13247:B13253" si="959">HYPERLINK("https://otsuka-europe-crm.veevavault.com/ui/#object/vcountry__v/VENZ000004SONFQ", "IT")</f>
        <v>IT</v>
      </c>
      <c r="C13247" s="8" t="s">
        <v>44</v>
      </c>
      <c r="D13247" s="9" t="str">
        <f t="shared" ref="D13247:D13253" si="960"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E13247" s="10" t="str">
        <f>HYPERLINK("https://otsuka-europe-crm.veevavault.com/ui/#object/sent_email__v/VBL00000002Z285", "SE-001438748")</f>
        <v>SE-001438748</v>
      </c>
      <c r="F13247" s="11"/>
      <c r="G13247" s="12">
        <v>0</v>
      </c>
      <c r="H13247" s="12">
        <v>0</v>
      </c>
      <c r="I13247" s="12">
        <v>0</v>
      </c>
      <c r="J13247" s="11"/>
      <c r="K13247" s="12">
        <v>0</v>
      </c>
      <c r="L13247" s="10" t="str">
        <f t="shared" ref="L13247:L13253" si="961"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M13247" s="10" t="str">
        <f t="shared" ref="M13247:M13253" si="962">HYPERLINK("mailto:nicola.fiorese@crm.otsuka-europe.com", "nicola.fiorese@crm.otsuka-europe.com")</f>
        <v>nicola.fiorese@crm.otsuka-europe.com</v>
      </c>
      <c r="N13247" s="13">
        <v>46202.720300925925</v>
      </c>
      <c r="O13247" s="14" t="str">
        <f>HYPERLINK("https://otsuka-europe-crm.veevavault.com/ui/#object/email_activity__v/V8C000000042413", "EN-002100569")</f>
        <v>EN-002100569</v>
      </c>
    </row>
    <row r="13248" spans="1:15" ht="80" x14ac:dyDescent="0.2">
      <c r="A13248" s="7" t="str">
        <f>HYPERLINK("https://otsuka-europe-crm.veevavault.com/ui/#object/account__v/V4TZ06G6O71SAD2", "FRANCESCA MURARO")</f>
        <v>FRANCESCA MURARO</v>
      </c>
      <c r="B13248" s="7" t="str">
        <f t="shared" si="959"/>
        <v>IT</v>
      </c>
      <c r="C13248" s="8" t="s">
        <v>44</v>
      </c>
      <c r="D13248" s="9" t="str">
        <f t="shared" si="960"/>
        <v>OTSUKA-RXULTI_Branded_AE abuso di sostanze aggiornamento_ IT-RXU-2600022</v>
      </c>
      <c r="E13248" s="10" t="str">
        <f>HYPERLINK("https://otsuka-europe-crm.veevavault.com/ui/#object/sent_email__v/VBL00000002Y102", "SE-001438749")</f>
        <v>SE-001438749</v>
      </c>
      <c r="F13248" s="11"/>
      <c r="G13248" s="12">
        <v>0</v>
      </c>
      <c r="H13248" s="12">
        <v>0</v>
      </c>
      <c r="I13248" s="12">
        <v>0</v>
      </c>
      <c r="J13248" s="11"/>
      <c r="K13248" s="12">
        <v>0</v>
      </c>
      <c r="L13248" s="10" t="str">
        <f t="shared" si="961"/>
        <v>OTSUKA-RXULTI_Branded_AE abuso di sostanze aggiornamento_ IT-RXU-2600022</v>
      </c>
      <c r="M13248" s="10" t="str">
        <f t="shared" si="962"/>
        <v>nicola.fiorese@crm.otsuka-europe.com</v>
      </c>
      <c r="N13248" s="13">
        <v>46202.720439814817</v>
      </c>
      <c r="O13248" s="14" t="str">
        <f>HYPERLINK("https://otsuka-europe-crm.veevavault.com/ui/#object/email_activity__v/V8C000000041470", "EN-002100570")</f>
        <v>EN-002100570</v>
      </c>
    </row>
    <row r="13249" spans="1:15" ht="80" x14ac:dyDescent="0.2">
      <c r="A13249" s="7" t="str">
        <f>HYPERLINK("https://otsuka-europe-crm.veevavault.com/ui/#object/account__v/V4TZ06G6O71S9RG", "ALESSIA MUSCARELLA")</f>
        <v>ALESSIA MUSCARELLA</v>
      </c>
      <c r="B13249" s="7" t="str">
        <f t="shared" si="959"/>
        <v>IT</v>
      </c>
      <c r="C13249" s="8" t="s">
        <v>44</v>
      </c>
      <c r="D13249" s="9" t="str">
        <f t="shared" si="960"/>
        <v>OTSUKA-RXULTI_Branded_AE abuso di sostanze aggiornamento_ IT-RXU-2600022</v>
      </c>
      <c r="E13249" s="10" t="str">
        <f>HYPERLINK("https://otsuka-europe-crm.veevavault.com/ui/#object/sent_email__v/VBL00000002Y103", "SE-001438750")</f>
        <v>SE-001438750</v>
      </c>
      <c r="F13249" s="11"/>
      <c r="G13249" s="12">
        <v>0</v>
      </c>
      <c r="H13249" s="12">
        <v>0</v>
      </c>
      <c r="I13249" s="12">
        <v>0</v>
      </c>
      <c r="J13249" s="11"/>
      <c r="K13249" s="12">
        <v>0</v>
      </c>
      <c r="L13249" s="10" t="str">
        <f t="shared" si="961"/>
        <v>OTSUKA-RXULTI_Branded_AE abuso di sostanze aggiornamento_ IT-RXU-2600022</v>
      </c>
      <c r="M13249" s="10" t="str">
        <f t="shared" si="962"/>
        <v>nicola.fiorese@crm.otsuka-europe.com</v>
      </c>
      <c r="N13249" s="13">
        <v>46202.720821759256</v>
      </c>
      <c r="O13249" s="14" t="str">
        <f>HYPERLINK("https://otsuka-europe-crm.veevavault.com/ui/#object/email_activity__v/V8C000000042414", "EN-002100571")</f>
        <v>EN-002100571</v>
      </c>
    </row>
    <row r="13250" spans="1:15" ht="80" x14ac:dyDescent="0.2">
      <c r="A13250" s="7" t="str">
        <f>HYPERLINK("https://otsuka-europe-crm.veevavault.com/ui/#object/account__v/V4TZ06G6O71S9GZ", "ANNA NICOLI")</f>
        <v>ANNA NICOLI</v>
      </c>
      <c r="B13250" s="7" t="str">
        <f t="shared" si="959"/>
        <v>IT</v>
      </c>
      <c r="C13250" s="8" t="s">
        <v>44</v>
      </c>
      <c r="D13250" s="9" t="str">
        <f t="shared" si="960"/>
        <v>OTSUKA-RXULTI_Branded_AE abuso di sostanze aggiornamento_ IT-RXU-2600022</v>
      </c>
      <c r="E13250" s="10" t="str">
        <f>HYPERLINK("https://otsuka-europe-crm.veevavault.com/ui/#object/sent_email__v/VBL00000002Y104", "SE-001438751")</f>
        <v>SE-001438751</v>
      </c>
      <c r="F13250" s="11"/>
      <c r="G13250" s="12">
        <v>0</v>
      </c>
      <c r="H13250" s="12">
        <v>0</v>
      </c>
      <c r="I13250" s="12">
        <v>0</v>
      </c>
      <c r="J13250" s="11"/>
      <c r="K13250" s="12">
        <v>0</v>
      </c>
      <c r="L13250" s="10" t="str">
        <f t="shared" si="961"/>
        <v>OTSUKA-RXULTI_Branded_AE abuso di sostanze aggiornamento_ IT-RXU-2600022</v>
      </c>
      <c r="M13250" s="10" t="str">
        <f t="shared" si="962"/>
        <v>nicola.fiorese@crm.otsuka-europe.com</v>
      </c>
      <c r="N13250" s="13">
        <v>46202.721087962964</v>
      </c>
      <c r="O13250" s="14" t="str">
        <f>HYPERLINK("https://otsuka-europe-crm.veevavault.com/ui/#object/email_activity__v/V8C000000041471", "EN-002100572")</f>
        <v>EN-002100572</v>
      </c>
    </row>
    <row r="13251" spans="1:15" ht="80" x14ac:dyDescent="0.2">
      <c r="A13251" s="7" t="str">
        <f>HYPERLINK("https://otsuka-europe-crm.veevavault.com/ui/#object/account__v/V4T00000001X033", "STEFANO PAOLINI")</f>
        <v>STEFANO PAOLINI</v>
      </c>
      <c r="B13251" s="7" t="str">
        <f t="shared" si="959"/>
        <v>IT</v>
      </c>
      <c r="C13251" s="8" t="s">
        <v>44</v>
      </c>
      <c r="D13251" s="9" t="str">
        <f t="shared" si="960"/>
        <v>OTSUKA-RXULTI_Branded_AE abuso di sostanze aggiornamento_ IT-RXU-2600022</v>
      </c>
      <c r="E13251" s="10" t="str">
        <f>HYPERLINK("https://otsuka-europe-crm.veevavault.com/ui/#object/sent_email__v/VBL00000002Z286", "SE-001438752")</f>
        <v>SE-001438752</v>
      </c>
      <c r="F13251" s="11"/>
      <c r="G13251" s="12">
        <v>0</v>
      </c>
      <c r="H13251" s="12">
        <v>0</v>
      </c>
      <c r="I13251" s="12">
        <v>0</v>
      </c>
      <c r="J13251" s="11"/>
      <c r="K13251" s="12">
        <v>0</v>
      </c>
      <c r="L13251" s="10" t="str">
        <f t="shared" si="961"/>
        <v>OTSUKA-RXULTI_Branded_AE abuso di sostanze aggiornamento_ IT-RXU-2600022</v>
      </c>
      <c r="M13251" s="10" t="str">
        <f t="shared" si="962"/>
        <v>nicola.fiorese@crm.otsuka-europe.com</v>
      </c>
      <c r="N13251" s="13">
        <v>46202.722581018519</v>
      </c>
      <c r="O13251" s="14" t="str">
        <f>HYPERLINK("https://otsuka-europe-crm.veevavault.com/ui/#object/email_activity__v/V8C000000042416", "EN-002100574")</f>
        <v>EN-002100574</v>
      </c>
    </row>
    <row r="13252" spans="1:15" ht="80" x14ac:dyDescent="0.2">
      <c r="A13252" s="7" t="str">
        <f>HYPERLINK("https://otsuka-europe-crm.veevavault.com/ui/#object/account__v/V4TZ06G6O71SBRM", "ROSA PERRONE")</f>
        <v>ROSA PERRONE</v>
      </c>
      <c r="B13252" s="7" t="str">
        <f t="shared" si="959"/>
        <v>IT</v>
      </c>
      <c r="C13252" s="8" t="s">
        <v>44</v>
      </c>
      <c r="D13252" s="9" t="str">
        <f t="shared" si="960"/>
        <v>OTSUKA-RXULTI_Branded_AE abuso di sostanze aggiornamento_ IT-RXU-2600022</v>
      </c>
      <c r="E13252" s="10" t="str">
        <f>HYPERLINK("https://otsuka-europe-crm.veevavault.com/ui/#object/sent_email__v/VBL00000002Y105", "SE-001438753")</f>
        <v>SE-001438753</v>
      </c>
      <c r="F13252" s="11"/>
      <c r="G13252" s="12">
        <v>0</v>
      </c>
      <c r="H13252" s="12">
        <v>0</v>
      </c>
      <c r="I13252" s="12">
        <v>0</v>
      </c>
      <c r="J13252" s="11"/>
      <c r="K13252" s="12">
        <v>0</v>
      </c>
      <c r="L13252" s="10" t="str">
        <f t="shared" si="961"/>
        <v>OTSUKA-RXULTI_Branded_AE abuso di sostanze aggiornamento_ IT-RXU-2600022</v>
      </c>
      <c r="M13252" s="10" t="str">
        <f t="shared" si="962"/>
        <v>nicola.fiorese@crm.otsuka-europe.com</v>
      </c>
      <c r="N13252" s="13">
        <v>46202.722905092596</v>
      </c>
      <c r="O13252" s="14" t="str">
        <f>HYPERLINK("https://otsuka-europe-crm.veevavault.com/ui/#object/email_activity__v/V8C000000041472", "EN-002100576")</f>
        <v>EN-002100576</v>
      </c>
    </row>
    <row r="13253" spans="1:15" ht="16" x14ac:dyDescent="0.2">
      <c r="A13253" s="17" t="str">
        <f>HYPERLINK("https://otsuka-europe-crm.veevavault.com/ui/#object/account__v/V4TZ06G6O71SBSJ", "PAOLA PETROSEMOLO")</f>
        <v>PAOLA PETROSEMOLO</v>
      </c>
      <c r="B13253" s="17" t="str">
        <f t="shared" si="959"/>
        <v>IT</v>
      </c>
      <c r="C13253" s="20" t="s">
        <v>44</v>
      </c>
      <c r="D13253" s="21" t="str">
        <f t="shared" si="960"/>
        <v>OTSUKA-RXULTI_Branded_AE abuso di sostanze aggiornamento_ IT-RXU-2600022</v>
      </c>
      <c r="E13253" s="22" t="str">
        <f>HYPERLINK("https://otsuka-europe-crm.veevavault.com/ui/#object/sent_email__v/VBL00000002Y106", "SE-001438754")</f>
        <v>SE-001438754</v>
      </c>
      <c r="F13253" s="23">
        <v>46203.594027777777</v>
      </c>
      <c r="G13253" s="24">
        <v>1</v>
      </c>
      <c r="H13253" s="24">
        <v>2</v>
      </c>
      <c r="I13253" s="24">
        <v>0</v>
      </c>
      <c r="J13253" s="25"/>
      <c r="K13253" s="24">
        <v>0</v>
      </c>
      <c r="L13253" s="22" t="str">
        <f t="shared" si="961"/>
        <v>OTSUKA-RXULTI_Branded_AE abuso di sostanze aggiornamento_ IT-RXU-2600022</v>
      </c>
      <c r="M13253" s="22" t="str">
        <f t="shared" si="962"/>
        <v>nicola.fiorese@crm.otsuka-europe.com</v>
      </c>
      <c r="N13253" s="23">
        <v>46202.723067129627</v>
      </c>
      <c r="O13253" s="14" t="str">
        <f>HYPERLINK("https://otsuka-europe-crm.veevavault.com/ui/#object/email_activity__v/V8C000000041617", "EN-002100886")</f>
        <v>EN-002100886</v>
      </c>
    </row>
    <row r="13254" spans="1:15" ht="16" x14ac:dyDescent="0.2">
      <c r="A13254" s="18"/>
      <c r="B13254" s="18"/>
      <c r="C13254" s="18"/>
      <c r="D13254" s="18"/>
      <c r="E13254" s="18"/>
      <c r="F13254" s="18"/>
      <c r="G13254" s="18"/>
      <c r="H13254" s="18"/>
      <c r="I13254" s="18"/>
      <c r="J13254" s="18"/>
      <c r="K13254" s="18"/>
      <c r="L13254" s="18"/>
      <c r="M13254" s="18"/>
      <c r="N13254" s="18"/>
      <c r="O13254" s="14" t="str">
        <f>HYPERLINK("https://otsuka-europe-crm.veevavault.com/ui/#object/email_activity__v/V8C000000042417", "EN-002100575")</f>
        <v>EN-002100575</v>
      </c>
    </row>
    <row r="13255" spans="1:15" ht="16" x14ac:dyDescent="0.2">
      <c r="A13255" s="19"/>
      <c r="B13255" s="19"/>
      <c r="C13255" s="19"/>
      <c r="D13255" s="19"/>
      <c r="E13255" s="19"/>
      <c r="F13255" s="19"/>
      <c r="G13255" s="19"/>
      <c r="H13255" s="19"/>
      <c r="I13255" s="19"/>
      <c r="J13255" s="19"/>
      <c r="K13255" s="19"/>
      <c r="L13255" s="19"/>
      <c r="M13255" s="19"/>
      <c r="N13255" s="19"/>
      <c r="O13255" s="14" t="str">
        <f>HYPERLINK("https://otsuka-europe-crm.veevavault.com/ui/#object/email_activity__v/V8C000000042591", "EN-002100887")</f>
        <v>EN-002100887</v>
      </c>
    </row>
    <row r="13256" spans="1:15" ht="16" x14ac:dyDescent="0.2">
      <c r="A13256" s="17" t="str">
        <f>HYPERLINK("https://otsuka-europe-crm.veevavault.com/ui/#object/account__v/V4TZ06G6O71S9J4", "GIULIA PIAZZA")</f>
        <v>GIULIA PIAZZA</v>
      </c>
      <c r="B13256" s="17" t="str">
        <f>HYPERLINK("https://otsuka-europe-crm.veevavault.com/ui/#object/vcountry__v/VENZ000004SONFQ", "IT")</f>
        <v>IT</v>
      </c>
      <c r="C13256" s="20" t="s">
        <v>44</v>
      </c>
      <c r="D13256" s="21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E13256" s="22" t="str">
        <f>HYPERLINK("https://otsuka-europe-crm.veevavault.com/ui/#object/sent_email__v/VBL00000002Y107", "SE-001438755")</f>
        <v>SE-001438755</v>
      </c>
      <c r="F13256" s="23">
        <v>46203.384212962963</v>
      </c>
      <c r="G13256" s="24">
        <v>1</v>
      </c>
      <c r="H13256" s="24">
        <v>3</v>
      </c>
      <c r="I13256" s="24">
        <v>0</v>
      </c>
      <c r="J13256" s="25"/>
      <c r="K13256" s="24">
        <v>0</v>
      </c>
      <c r="L13256" s="22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M13256" s="22" t="str">
        <f>HYPERLINK("mailto:nicola.fiorese@crm.otsuka-europe.com", "nicola.fiorese@crm.otsuka-europe.com")</f>
        <v>nicola.fiorese@crm.otsuka-europe.com</v>
      </c>
      <c r="N13256" s="23">
        <v>46202.723321759258</v>
      </c>
      <c r="O13256" s="14" t="str">
        <f>HYPERLINK("https://otsuka-europe-crm.veevavault.com/ui/#object/email_activity__v/V8C000000042418", "EN-002100577")</f>
        <v>EN-002100577</v>
      </c>
    </row>
    <row r="13257" spans="1:15" ht="16" x14ac:dyDescent="0.2">
      <c r="A13257" s="18"/>
      <c r="B13257" s="18"/>
      <c r="C13257" s="18"/>
      <c r="D13257" s="18"/>
      <c r="E13257" s="18"/>
      <c r="F13257" s="18"/>
      <c r="G13257" s="18"/>
      <c r="H13257" s="18"/>
      <c r="I13257" s="18"/>
      <c r="J13257" s="18"/>
      <c r="K13257" s="18"/>
      <c r="L13257" s="18"/>
      <c r="M13257" s="18"/>
      <c r="N13257" s="18"/>
      <c r="O13257" s="14" t="str">
        <f>HYPERLINK("https://otsuka-europe-crm.veevavault.com/ui/#object/email_activity__v/V8C000000042419", "EN-002100578")</f>
        <v>EN-002100578</v>
      </c>
    </row>
    <row r="13258" spans="1:15" ht="16" x14ac:dyDescent="0.2">
      <c r="A13258" s="18"/>
      <c r="B13258" s="18"/>
      <c r="C13258" s="18"/>
      <c r="D13258" s="18"/>
      <c r="E13258" s="18"/>
      <c r="F13258" s="18"/>
      <c r="G13258" s="18"/>
      <c r="H13258" s="18"/>
      <c r="I13258" s="18"/>
      <c r="J13258" s="18"/>
      <c r="K13258" s="18"/>
      <c r="L13258" s="18"/>
      <c r="M13258" s="18"/>
      <c r="N13258" s="18"/>
      <c r="O13258" s="14" t="str">
        <f>HYPERLINK("https://otsuka-europe-crm.veevavault.com/ui/#object/email_activity__v/V8C000000042420", "EN-002100579")</f>
        <v>EN-002100579</v>
      </c>
    </row>
    <row r="13259" spans="1:15" ht="16" x14ac:dyDescent="0.2">
      <c r="A13259" s="19"/>
      <c r="B13259" s="19"/>
      <c r="C13259" s="19"/>
      <c r="D13259" s="19"/>
      <c r="E13259" s="19"/>
      <c r="F13259" s="19"/>
      <c r="G13259" s="19"/>
      <c r="H13259" s="19"/>
      <c r="I13259" s="19"/>
      <c r="J13259" s="19"/>
      <c r="K13259" s="19"/>
      <c r="L13259" s="19"/>
      <c r="M13259" s="19"/>
      <c r="N13259" s="19"/>
      <c r="O13259" s="14" t="str">
        <f>HYPERLINK("https://otsuka-europe-crm.veevavault.com/ui/#object/email_activity__v/V8C000000042517", "EN-002100765")</f>
        <v>EN-002100765</v>
      </c>
    </row>
    <row r="13260" spans="1:15" ht="16" x14ac:dyDescent="0.2">
      <c r="A13260" s="17" t="str">
        <f>HYPERLINK("https://otsuka-europe-crm.veevavault.com/ui/#object/account__v/V4TZ04ASGCYTFNA", "ALBERTO PICCOLI")</f>
        <v>ALBERTO PICCOLI</v>
      </c>
      <c r="B13260" s="17" t="str">
        <f>HYPERLINK("https://otsuka-europe-crm.veevavault.com/ui/#object/vcountry__v/VENZ000004SONFQ", "IT")</f>
        <v>IT</v>
      </c>
      <c r="C13260" s="20" t="s">
        <v>44</v>
      </c>
      <c r="D13260" s="21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E13260" s="22" t="str">
        <f>HYPERLINK("https://otsuka-europe-crm.veevavault.com/ui/#object/sent_email__v/VBL00000002Z287", "SE-001438756")</f>
        <v>SE-001438756</v>
      </c>
      <c r="F13260" s="23">
        <v>46202.859027777777</v>
      </c>
      <c r="G13260" s="24">
        <v>1</v>
      </c>
      <c r="H13260" s="24">
        <v>4</v>
      </c>
      <c r="I13260" s="24">
        <v>0</v>
      </c>
      <c r="J13260" s="25"/>
      <c r="K13260" s="24">
        <v>0</v>
      </c>
      <c r="L13260" s="22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M13260" s="22" t="str">
        <f>HYPERLINK("mailto:nicola.fiorese@crm.otsuka-europe.com", "nicola.fiorese@crm.otsuka-europe.com")</f>
        <v>nicola.fiorese@crm.otsuka-europe.com</v>
      </c>
      <c r="N13260" s="23">
        <v>46202.723622685182</v>
      </c>
      <c r="O13260" s="14" t="str">
        <f>HYPERLINK("https://otsuka-europe-crm.veevavault.com/ui/#object/email_activity__v/V8C000000041473", "EN-002100580")</f>
        <v>EN-002100580</v>
      </c>
    </row>
    <row r="13261" spans="1:15" ht="16" x14ac:dyDescent="0.2">
      <c r="A13261" s="18"/>
      <c r="B13261" s="18"/>
      <c r="C13261" s="18"/>
      <c r="D13261" s="18"/>
      <c r="E13261" s="18"/>
      <c r="F13261" s="18"/>
      <c r="G13261" s="18"/>
      <c r="H13261" s="18"/>
      <c r="I13261" s="18"/>
      <c r="J13261" s="18"/>
      <c r="K13261" s="18"/>
      <c r="L13261" s="18"/>
      <c r="M13261" s="18"/>
      <c r="N13261" s="18"/>
      <c r="O13261" s="14" t="str">
        <f>HYPERLINK("https://otsuka-europe-crm.veevavault.com/ui/#object/email_activity__v/V8C000000041475", "EN-002100582")</f>
        <v>EN-002100582</v>
      </c>
    </row>
    <row r="13262" spans="1:15" ht="16" x14ac:dyDescent="0.2">
      <c r="A13262" s="18"/>
      <c r="B13262" s="18"/>
      <c r="C13262" s="18"/>
      <c r="D13262" s="18"/>
      <c r="E13262" s="18"/>
      <c r="F13262" s="18"/>
      <c r="G13262" s="18"/>
      <c r="H13262" s="18"/>
      <c r="I13262" s="18"/>
      <c r="J13262" s="18"/>
      <c r="K13262" s="18"/>
      <c r="L13262" s="18"/>
      <c r="M13262" s="18"/>
      <c r="N13262" s="18"/>
      <c r="O13262" s="14" t="str">
        <f>HYPERLINK("https://otsuka-europe-crm.veevavault.com/ui/#object/email_activity__v/V8C000000041491", "EN-002100641")</f>
        <v>EN-002100641</v>
      </c>
    </row>
    <row r="13263" spans="1:15" ht="16" x14ac:dyDescent="0.2">
      <c r="A13263" s="18"/>
      <c r="B13263" s="18"/>
      <c r="C13263" s="18"/>
      <c r="D13263" s="18"/>
      <c r="E13263" s="18"/>
      <c r="F13263" s="18"/>
      <c r="G13263" s="18"/>
      <c r="H13263" s="18"/>
      <c r="I13263" s="18"/>
      <c r="J13263" s="18"/>
      <c r="K13263" s="18"/>
      <c r="L13263" s="18"/>
      <c r="M13263" s="18"/>
      <c r="N13263" s="18"/>
      <c r="O13263" s="14" t="str">
        <f>HYPERLINK("https://otsuka-europe-crm.veevavault.com/ui/#object/email_activity__v/V8C000000041492", "EN-002100643")</f>
        <v>EN-002100643</v>
      </c>
    </row>
    <row r="13264" spans="1:15" ht="16" x14ac:dyDescent="0.2">
      <c r="A13264" s="19"/>
      <c r="B13264" s="19"/>
      <c r="C13264" s="19"/>
      <c r="D13264" s="19"/>
      <c r="E13264" s="19"/>
      <c r="F13264" s="19"/>
      <c r="G13264" s="19"/>
      <c r="H13264" s="19"/>
      <c r="I13264" s="19"/>
      <c r="J13264" s="19"/>
      <c r="K13264" s="19"/>
      <c r="L13264" s="19"/>
      <c r="M13264" s="19"/>
      <c r="N13264" s="19"/>
      <c r="O13264" s="14" t="str">
        <f>HYPERLINK("https://otsuka-europe-crm.veevavault.com/ui/#object/email_activity__v/V8C000000042464", "EN-002100642")</f>
        <v>EN-002100642</v>
      </c>
    </row>
    <row r="13265" spans="1:15" ht="80" x14ac:dyDescent="0.2">
      <c r="A13265" s="7" t="str">
        <f>HYPERLINK("https://otsuka-europe-crm.veevavault.com/ui/#object/account__v/V4TZ06G6O71SC0P", "STEFANO PIOTTI")</f>
        <v>STEFANO PIOTTI</v>
      </c>
      <c r="B13265" s="7" t="str">
        <f>HYPERLINK("https://otsuka-europe-crm.veevavault.com/ui/#object/vcountry__v/VENZ000004SONFQ", "IT")</f>
        <v>IT</v>
      </c>
      <c r="C13265" s="8" t="s">
        <v>44</v>
      </c>
      <c r="D13265" s="9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E13265" s="10" t="str">
        <f>HYPERLINK("https://otsuka-europe-crm.veevavault.com/ui/#object/sent_email__v/VBL00000002Y108", "SE-001438757")</f>
        <v>SE-001438757</v>
      </c>
      <c r="F13265" s="11"/>
      <c r="G13265" s="12">
        <v>0</v>
      </c>
      <c r="H13265" s="12">
        <v>0</v>
      </c>
      <c r="I13265" s="12">
        <v>0</v>
      </c>
      <c r="J13265" s="11"/>
      <c r="K13265" s="12">
        <v>0</v>
      </c>
      <c r="L13265" s="10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M13265" s="10" t="str">
        <f>HYPERLINK("mailto:nicola.fiorese@crm.otsuka-europe.com", "nicola.fiorese@crm.otsuka-europe.com")</f>
        <v>nicola.fiorese@crm.otsuka-europe.com</v>
      </c>
      <c r="N13265" s="13">
        <v>46202.723773148151</v>
      </c>
      <c r="O13265" s="14" t="str">
        <f>HYPERLINK("https://otsuka-europe-crm.veevavault.com/ui/#object/email_activity__v/V8C000000041474", "EN-002100581")</f>
        <v>EN-002100581</v>
      </c>
    </row>
    <row r="13266" spans="1:15" ht="80" x14ac:dyDescent="0.2">
      <c r="A13266" s="7" t="str">
        <f>HYPERLINK("https://otsuka-europe-crm.veevavault.com/ui/#object/account__v/V4TZ06G6O71SBYP", "ALBERTO PORTA")</f>
        <v>ALBERTO PORTA</v>
      </c>
      <c r="B13266" s="7" t="str">
        <f>HYPERLINK("https://otsuka-europe-crm.veevavault.com/ui/#object/vcountry__v/VENZ000004SONFQ", "IT")</f>
        <v>IT</v>
      </c>
      <c r="C13266" s="8" t="s">
        <v>44</v>
      </c>
      <c r="D13266" s="9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E13266" s="10" t="str">
        <f>HYPERLINK("https://otsuka-europe-crm.veevavault.com/ui/#object/sent_email__v/VBL00000002Y109", "SE-001438758")</f>
        <v>SE-001438758</v>
      </c>
      <c r="F13266" s="11"/>
      <c r="G13266" s="12">
        <v>0</v>
      </c>
      <c r="H13266" s="12">
        <v>0</v>
      </c>
      <c r="I13266" s="12">
        <v>0</v>
      </c>
      <c r="J13266" s="11"/>
      <c r="K13266" s="12">
        <v>0</v>
      </c>
      <c r="L13266" s="10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M13266" s="10" t="str">
        <f>HYPERLINK("mailto:nicola.fiorese@crm.otsuka-europe.com", "nicola.fiorese@crm.otsuka-europe.com")</f>
        <v>nicola.fiorese@crm.otsuka-europe.com</v>
      </c>
      <c r="N13266" s="13">
        <v>46202.724004629628</v>
      </c>
      <c r="O13266" s="14" t="str">
        <f>HYPERLINK("https://otsuka-europe-crm.veevavault.com/ui/#object/email_activity__v/V8C000000041476", "EN-002100583")</f>
        <v>EN-002100583</v>
      </c>
    </row>
    <row r="13267" spans="1:15" ht="80" x14ac:dyDescent="0.2">
      <c r="A13267" s="7" t="str">
        <f>HYPERLINK("https://otsuka-europe-crm.veevavault.com/ui/#object/account__v/V4TZ04ASGFQ5OR0", "GIUDITTA PORTERI")</f>
        <v>GIUDITTA PORTERI</v>
      </c>
      <c r="B13267" s="7" t="str">
        <f>HYPERLINK("https://otsuka-europe-crm.veevavault.com/ui/#object/vcountry__v/VENZ000004SONFQ", "IT")</f>
        <v>IT</v>
      </c>
      <c r="C13267" s="8" t="s">
        <v>44</v>
      </c>
      <c r="D13267" s="9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E13267" s="10" t="str">
        <f>HYPERLINK("https://otsuka-europe-crm.veevavault.com/ui/#object/sent_email__v/VBL00000002Z288", "SE-001438759")</f>
        <v>SE-001438759</v>
      </c>
      <c r="F13267" s="11"/>
      <c r="G13267" s="12">
        <v>0</v>
      </c>
      <c r="H13267" s="12">
        <v>0</v>
      </c>
      <c r="I13267" s="12">
        <v>0</v>
      </c>
      <c r="J13267" s="11"/>
      <c r="K13267" s="12">
        <v>0</v>
      </c>
      <c r="L13267" s="10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M13267" s="10" t="str">
        <f>HYPERLINK("mailto:nicola.fiorese@crm.otsuka-europe.com", "nicola.fiorese@crm.otsuka-europe.com")</f>
        <v>nicola.fiorese@crm.otsuka-europe.com</v>
      </c>
      <c r="N13267" s="13">
        <v>46202.724305555559</v>
      </c>
      <c r="O13267" s="14" t="str">
        <f>HYPERLINK("https://otsuka-europe-crm.veevavault.com/ui/#object/email_activity__v/V8C000000042421", "EN-002100584")</f>
        <v>EN-002100584</v>
      </c>
    </row>
    <row r="13268" spans="1:15" ht="16" x14ac:dyDescent="0.2">
      <c r="A13268" s="17" t="str">
        <f>HYPERLINK("https://otsuka-europe-crm.veevavault.com/ui/#object/account__v/V4TZ04ASGCYP3ZD", "CHIARA PREVIATI")</f>
        <v>CHIARA PREVIATI</v>
      </c>
      <c r="B13268" s="17" t="str">
        <f>HYPERLINK("https://otsuka-europe-crm.veevavault.com/ui/#object/vcountry__v/VENZ000004SONFQ", "IT")</f>
        <v>IT</v>
      </c>
      <c r="C13268" s="20" t="s">
        <v>44</v>
      </c>
      <c r="D13268" s="21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E13268" s="22" t="str">
        <f>HYPERLINK("https://otsuka-europe-crm.veevavault.com/ui/#object/sent_email__v/VBL00000002Y110", "SE-001438760")</f>
        <v>SE-001438760</v>
      </c>
      <c r="F13268" s="23">
        <v>46204.313946759263</v>
      </c>
      <c r="G13268" s="24">
        <v>1</v>
      </c>
      <c r="H13268" s="24">
        <v>4</v>
      </c>
      <c r="I13268" s="24">
        <v>1</v>
      </c>
      <c r="J13268" s="23">
        <v>46202.732418981483</v>
      </c>
      <c r="K13268" s="24">
        <v>1</v>
      </c>
      <c r="L13268" s="22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M13268" s="22" t="str">
        <f>HYPERLINK("mailto:nicola.fiorese@crm.otsuka-europe.com", "nicola.fiorese@crm.otsuka-europe.com")</f>
        <v>nicola.fiorese@crm.otsuka-europe.com</v>
      </c>
      <c r="N13268" s="23">
        <v>46202.724421296298</v>
      </c>
      <c r="O13268" s="14" t="str">
        <f>HYPERLINK("https://otsuka-europe-crm.veevavault.com/ui/#object/email_activity__v/V8C000000041479", "EN-002100620")</f>
        <v>EN-002100620</v>
      </c>
    </row>
    <row r="13269" spans="1:15" ht="16" x14ac:dyDescent="0.2">
      <c r="A13269" s="18"/>
      <c r="B13269" s="18"/>
      <c r="C13269" s="18"/>
      <c r="D13269" s="18"/>
      <c r="E13269" s="18"/>
      <c r="F13269" s="18"/>
      <c r="G13269" s="18"/>
      <c r="H13269" s="18"/>
      <c r="I13269" s="18"/>
      <c r="J13269" s="18"/>
      <c r="K13269" s="18"/>
      <c r="L13269" s="18"/>
      <c r="M13269" s="18"/>
      <c r="N13269" s="18"/>
      <c r="O13269" s="14" t="str">
        <f>HYPERLINK("https://otsuka-europe-crm.veevavault.com/ui/#object/email_activity__v/V8C000000041537", "EN-002100716")</f>
        <v>EN-002100716</v>
      </c>
    </row>
    <row r="13270" spans="1:15" ht="16" x14ac:dyDescent="0.2">
      <c r="A13270" s="18"/>
      <c r="B13270" s="18"/>
      <c r="C13270" s="18"/>
      <c r="D13270" s="18"/>
      <c r="E13270" s="18"/>
      <c r="F13270" s="18"/>
      <c r="G13270" s="18"/>
      <c r="H13270" s="18"/>
      <c r="I13270" s="18"/>
      <c r="J13270" s="18"/>
      <c r="K13270" s="18"/>
      <c r="L13270" s="18"/>
      <c r="M13270" s="18"/>
      <c r="N13270" s="18"/>
      <c r="O13270" s="14" t="str">
        <f>HYPERLINK("https://otsuka-europe-crm.veevavault.com/ui/#object/email_activity__v/V8C000000041565", "EN-002100774")</f>
        <v>EN-002100774</v>
      </c>
    </row>
    <row r="13271" spans="1:15" ht="16" x14ac:dyDescent="0.2">
      <c r="A13271" s="18"/>
      <c r="B13271" s="18"/>
      <c r="C13271" s="18"/>
      <c r="D13271" s="18"/>
      <c r="E13271" s="18"/>
      <c r="F13271" s="18"/>
      <c r="G13271" s="18"/>
      <c r="H13271" s="18"/>
      <c r="I13271" s="18"/>
      <c r="J13271" s="18"/>
      <c r="K13271" s="18"/>
      <c r="L13271" s="18"/>
      <c r="M13271" s="18"/>
      <c r="N13271" s="18"/>
      <c r="O13271" s="14" t="str">
        <f>HYPERLINK("https://otsuka-europe-crm.veevavault.com/ui/#object/email_activity__v/V8C000000041757", "EN-002101186")</f>
        <v>EN-002101186</v>
      </c>
    </row>
    <row r="13272" spans="1:15" ht="16" x14ac:dyDescent="0.2">
      <c r="A13272" s="18"/>
      <c r="B13272" s="18"/>
      <c r="C13272" s="18"/>
      <c r="D13272" s="18"/>
      <c r="E13272" s="18"/>
      <c r="F13272" s="18"/>
      <c r="G13272" s="18"/>
      <c r="H13272" s="18"/>
      <c r="I13272" s="18"/>
      <c r="J13272" s="18"/>
      <c r="K13272" s="18"/>
      <c r="L13272" s="18"/>
      <c r="M13272" s="18"/>
      <c r="N13272" s="18"/>
      <c r="O13272" s="14" t="str">
        <f>HYPERLINK("https://otsuka-europe-crm.veevavault.com/ui/#object/email_activity__v/V8C000000042422", "EN-002100585")</f>
        <v>EN-002100585</v>
      </c>
    </row>
    <row r="13273" spans="1:15" ht="16" x14ac:dyDescent="0.2">
      <c r="A13273" s="19"/>
      <c r="B13273" s="19"/>
      <c r="C13273" s="19"/>
      <c r="D13273" s="19"/>
      <c r="E13273" s="19"/>
      <c r="F13273" s="19"/>
      <c r="G13273" s="19"/>
      <c r="H13273" s="19"/>
      <c r="I13273" s="19"/>
      <c r="J13273" s="19"/>
      <c r="K13273" s="19"/>
      <c r="L13273" s="19"/>
      <c r="M13273" s="19"/>
      <c r="N13273" s="19"/>
      <c r="O13273" s="14" t="str">
        <f>HYPERLINK("https://otsuka-europe-crm.veevavault.com/ui/#object/email_activity__v/V8C000000042447", "EN-002100612")</f>
        <v>EN-002100612</v>
      </c>
    </row>
    <row r="13274" spans="1:15" ht="80" x14ac:dyDescent="0.2">
      <c r="A13274" s="7" t="str">
        <f>HYPERLINK("https://otsuka-europe-crm.veevavault.com/ui/#object/account__v/V4TZ025E87I77ZA", "VALENTINA REGINA")</f>
        <v>VALENTINA REGINA</v>
      </c>
      <c r="B13274" s="7" t="str">
        <f>HYPERLINK("https://otsuka-europe-crm.veevavault.com/ui/#object/vcountry__v/VENZ000004SONFQ", "IT")</f>
        <v>IT</v>
      </c>
      <c r="C13274" s="8" t="s">
        <v>44</v>
      </c>
      <c r="D13274" s="9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E13274" s="10" t="str">
        <f>HYPERLINK("https://otsuka-europe-crm.veevavault.com/ui/#object/sent_email__v/VBL00000002Z289", "SE-001438761")</f>
        <v>SE-001438761</v>
      </c>
      <c r="F13274" s="11"/>
      <c r="G13274" s="12">
        <v>0</v>
      </c>
      <c r="H13274" s="12">
        <v>0</v>
      </c>
      <c r="I13274" s="12">
        <v>0</v>
      </c>
      <c r="J13274" s="11"/>
      <c r="K13274" s="12">
        <v>0</v>
      </c>
      <c r="L13274" s="10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M13274" s="10" t="str">
        <f>HYPERLINK("mailto:nicola.fiorese@crm.otsuka-europe.com", "nicola.fiorese@crm.otsuka-europe.com")</f>
        <v>nicola.fiorese@crm.otsuka-europe.com</v>
      </c>
      <c r="N13274" s="13">
        <v>46202.724814814814</v>
      </c>
      <c r="O13274" s="14" t="str">
        <f>HYPERLINK("https://otsuka-europe-crm.veevavault.com/ui/#object/email_activity__v/V8C000000042423", "EN-002100586")</f>
        <v>EN-002100586</v>
      </c>
    </row>
    <row r="13275" spans="1:15" ht="80" x14ac:dyDescent="0.2">
      <c r="A13275" s="7" t="str">
        <f>HYPERLINK("https://otsuka-europe-crm.veevavault.com/ui/#object/account__v/V4TZ06G6O71SC19", "LORENA RAGAZZOLI")</f>
        <v>LORENA RAGAZZOLI</v>
      </c>
      <c r="B13275" s="7" t="str">
        <f>HYPERLINK("https://otsuka-europe-crm.veevavault.com/ui/#object/vcountry__v/VENZ000004SONFQ", "IT")</f>
        <v>IT</v>
      </c>
      <c r="C13275" s="8" t="s">
        <v>44</v>
      </c>
      <c r="D13275" s="9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E13275" s="10" t="str">
        <f>HYPERLINK("https://otsuka-europe-crm.veevavault.com/ui/#object/sent_email__v/VBL00000002Y111", "SE-001438762")</f>
        <v>SE-001438762</v>
      </c>
      <c r="F13275" s="11"/>
      <c r="G13275" s="12">
        <v>0</v>
      </c>
      <c r="H13275" s="12">
        <v>0</v>
      </c>
      <c r="I13275" s="12">
        <v>0</v>
      </c>
      <c r="J13275" s="11"/>
      <c r="K13275" s="12">
        <v>0</v>
      </c>
      <c r="L13275" s="10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M13275" s="10" t="str">
        <f>HYPERLINK("mailto:nicola.fiorese@crm.otsuka-europe.com", "nicola.fiorese@crm.otsuka-europe.com")</f>
        <v>nicola.fiorese@crm.otsuka-europe.com</v>
      </c>
      <c r="N13275" s="13">
        <v>46202.725092592591</v>
      </c>
      <c r="O13275" s="14" t="str">
        <f>HYPERLINK("https://otsuka-europe-crm.veevavault.com/ui/#object/email_activity__v/V8C000000042424", "EN-002100587")</f>
        <v>EN-002100587</v>
      </c>
    </row>
    <row r="13276" spans="1:15" ht="16" x14ac:dyDescent="0.2">
      <c r="A13276" s="17" t="str">
        <f>HYPERLINK("https://otsuka-europe-crm.veevavault.com/ui/#object/account__v/V4TZ025E85E5LYU", "ALESSIA RENOLFI FERRO")</f>
        <v>ALESSIA RENOLFI FERRO</v>
      </c>
      <c r="B13276" s="17" t="str">
        <f>HYPERLINK("https://otsuka-europe-crm.veevavault.com/ui/#object/vcountry__v/VENZ000004SONFQ", "IT")</f>
        <v>IT</v>
      </c>
      <c r="C13276" s="20" t="s">
        <v>44</v>
      </c>
      <c r="D13276" s="21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E13276" s="22" t="str">
        <f>HYPERLINK("https://otsuka-europe-crm.veevavault.com/ui/#object/sent_email__v/VBL00000002Y112", "SE-001438763")</f>
        <v>SE-001438763</v>
      </c>
      <c r="F13276" s="23">
        <v>46203.729444444441</v>
      </c>
      <c r="G13276" s="24">
        <v>1</v>
      </c>
      <c r="H13276" s="24">
        <v>2</v>
      </c>
      <c r="I13276" s="24">
        <v>0</v>
      </c>
      <c r="J13276" s="25"/>
      <c r="K13276" s="24">
        <v>0</v>
      </c>
      <c r="L13276" s="22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M13276" s="22" t="str">
        <f>HYPERLINK("mailto:nicola.fiorese@crm.otsuka-europe.com", "nicola.fiorese@crm.otsuka-europe.com")</f>
        <v>nicola.fiorese@crm.otsuka-europe.com</v>
      </c>
      <c r="N13276" s="23">
        <v>46202.725416666668</v>
      </c>
      <c r="O13276" s="14" t="str">
        <f>HYPERLINK("https://otsuka-europe-crm.veevavault.com/ui/#object/email_activity__v/V8C000000041697", "EN-002101080")</f>
        <v>EN-002101080</v>
      </c>
    </row>
    <row r="13277" spans="1:15" ht="16" x14ac:dyDescent="0.2">
      <c r="A13277" s="18"/>
      <c r="B13277" s="18"/>
      <c r="C13277" s="18"/>
      <c r="D13277" s="18"/>
      <c r="E13277" s="18"/>
      <c r="F13277" s="18"/>
      <c r="G13277" s="18"/>
      <c r="H13277" s="18"/>
      <c r="I13277" s="18"/>
      <c r="J13277" s="18"/>
      <c r="K13277" s="18"/>
      <c r="L13277" s="18"/>
      <c r="M13277" s="18"/>
      <c r="N13277" s="18"/>
      <c r="O13277" s="14" t="str">
        <f>HYPERLINK("https://otsuka-europe-crm.veevavault.com/ui/#object/email_activity__v/V8C000000041698", "EN-002101081")</f>
        <v>EN-002101081</v>
      </c>
    </row>
    <row r="13278" spans="1:15" ht="16" x14ac:dyDescent="0.2">
      <c r="A13278" s="19"/>
      <c r="B13278" s="19"/>
      <c r="C13278" s="19"/>
      <c r="D13278" s="19"/>
      <c r="E13278" s="19"/>
      <c r="F13278" s="19"/>
      <c r="G13278" s="19"/>
      <c r="H13278" s="19"/>
      <c r="I13278" s="19"/>
      <c r="J13278" s="19"/>
      <c r="K13278" s="19"/>
      <c r="L13278" s="19"/>
      <c r="M13278" s="19"/>
      <c r="N13278" s="19"/>
      <c r="O13278" s="14" t="str">
        <f>HYPERLINK("https://otsuka-europe-crm.veevavault.com/ui/#object/email_activity__v/V8C000000042425", "EN-002100588")</f>
        <v>EN-002100588</v>
      </c>
    </row>
    <row r="13279" spans="1:15" ht="16" x14ac:dyDescent="0.2">
      <c r="A13279" s="17" t="str">
        <f>HYPERLINK("https://otsuka-europe-crm.veevavault.com/ui/#object/account__v/V4TZ06G6OBUDLFQ", "ADAMANTIA RESOS")</f>
        <v>ADAMANTIA RESOS</v>
      </c>
      <c r="B13279" s="17" t="str">
        <f>HYPERLINK("https://otsuka-europe-crm.veevavault.com/ui/#object/vcountry__v/VENZ000004SONFQ", "IT")</f>
        <v>IT</v>
      </c>
      <c r="C13279" s="20" t="s">
        <v>44</v>
      </c>
      <c r="D13279" s="21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E13279" s="22" t="str">
        <f>HYPERLINK("https://otsuka-europe-crm.veevavault.com/ui/#object/sent_email__v/VBL00000002Z290", "SE-001438764")</f>
        <v>SE-001438764</v>
      </c>
      <c r="F13279" s="23">
        <v>46203.600185185183</v>
      </c>
      <c r="G13279" s="24">
        <v>1</v>
      </c>
      <c r="H13279" s="24">
        <v>3</v>
      </c>
      <c r="I13279" s="24">
        <v>0</v>
      </c>
      <c r="J13279" s="25"/>
      <c r="K13279" s="24">
        <v>0</v>
      </c>
      <c r="L13279" s="22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M13279" s="22" t="str">
        <f>HYPERLINK("mailto:nicola.fiorese@crm.otsuka-europe.com", "nicola.fiorese@crm.otsuka-europe.com")</f>
        <v>nicola.fiorese@crm.otsuka-europe.com</v>
      </c>
      <c r="N13279" s="23">
        <v>46202.725694444445</v>
      </c>
      <c r="O13279" s="14" t="str">
        <f>HYPERLINK("https://otsuka-europe-crm.veevavault.com/ui/#object/email_activity__v/V8C000000041478", "EN-002100591")</f>
        <v>EN-002100591</v>
      </c>
    </row>
    <row r="13280" spans="1:15" ht="16" x14ac:dyDescent="0.2">
      <c r="A13280" s="18"/>
      <c r="B13280" s="18"/>
      <c r="C13280" s="18"/>
      <c r="D13280" s="18"/>
      <c r="E13280" s="18"/>
      <c r="F13280" s="18"/>
      <c r="G13280" s="18"/>
      <c r="H13280" s="18"/>
      <c r="I13280" s="18"/>
      <c r="J13280" s="18"/>
      <c r="K13280" s="18"/>
      <c r="L13280" s="18"/>
      <c r="M13280" s="18"/>
      <c r="N13280" s="18"/>
      <c r="O13280" s="14" t="str">
        <f>HYPERLINK("https://otsuka-europe-crm.veevavault.com/ui/#object/email_activity__v/V8C000000041557", "EN-002100759")</f>
        <v>EN-002100759</v>
      </c>
    </row>
    <row r="13281" spans="1:15" ht="16" x14ac:dyDescent="0.2">
      <c r="A13281" s="18"/>
      <c r="B13281" s="18"/>
      <c r="C13281" s="18"/>
      <c r="D13281" s="18"/>
      <c r="E13281" s="18"/>
      <c r="F13281" s="18"/>
      <c r="G13281" s="18"/>
      <c r="H13281" s="18"/>
      <c r="I13281" s="18"/>
      <c r="J13281" s="18"/>
      <c r="K13281" s="18"/>
      <c r="L13281" s="18"/>
      <c r="M13281" s="18"/>
      <c r="N13281" s="18"/>
      <c r="O13281" s="14" t="str">
        <f>HYPERLINK("https://otsuka-europe-crm.veevavault.com/ui/#object/email_activity__v/V8C000000042426", "EN-002100589")</f>
        <v>EN-002100589</v>
      </c>
    </row>
    <row r="13282" spans="1:15" ht="16" x14ac:dyDescent="0.2">
      <c r="A13282" s="19"/>
      <c r="B13282" s="19"/>
      <c r="C13282" s="19"/>
      <c r="D13282" s="19"/>
      <c r="E13282" s="19"/>
      <c r="F13282" s="19"/>
      <c r="G13282" s="19"/>
      <c r="H13282" s="19"/>
      <c r="I13282" s="19"/>
      <c r="J13282" s="19"/>
      <c r="K13282" s="19"/>
      <c r="L13282" s="19"/>
      <c r="M13282" s="19"/>
      <c r="N13282" s="19"/>
      <c r="O13282" s="14" t="str">
        <f>HYPERLINK("https://otsuka-europe-crm.veevavault.com/ui/#object/email_activity__v/V8C000000042594", "EN-002100894")</f>
        <v>EN-002100894</v>
      </c>
    </row>
    <row r="13283" spans="1:15" ht="80" x14ac:dyDescent="0.2">
      <c r="A13283" s="7" t="str">
        <f>HYPERLINK("https://otsuka-europe-crm.veevavault.com/ui/#object/account__v/V4TZ025E83W1AGL", "SOFIA RIGHETTI")</f>
        <v>SOFIA RIGHETTI</v>
      </c>
      <c r="B13283" s="7" t="str">
        <f>HYPERLINK("https://otsuka-europe-crm.veevavault.com/ui/#object/vcountry__v/VENZ000004SONFQ", "IT")</f>
        <v>IT</v>
      </c>
      <c r="C13283" s="8" t="s">
        <v>44</v>
      </c>
      <c r="D13283" s="9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E13283" s="10" t="str">
        <f>HYPERLINK("https://otsuka-europe-crm.veevavault.com/ui/#object/sent_email__v/VBL00000002Z291", "SE-001438765")</f>
        <v>SE-001438765</v>
      </c>
      <c r="F13283" s="11"/>
      <c r="G13283" s="12">
        <v>0</v>
      </c>
      <c r="H13283" s="12">
        <v>0</v>
      </c>
      <c r="I13283" s="12">
        <v>0</v>
      </c>
      <c r="J13283" s="11"/>
      <c r="K13283" s="12">
        <v>0</v>
      </c>
      <c r="L13283" s="10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M13283" s="10" t="str">
        <f>HYPERLINK("mailto:nicola.fiorese@crm.otsuka-europe.com", "nicola.fiorese@crm.otsuka-europe.com")</f>
        <v>nicola.fiorese@crm.otsuka-europe.com</v>
      </c>
      <c r="N13283" s="13">
        <v>46202.725844907407</v>
      </c>
      <c r="O13283" s="14" t="str">
        <f>HYPERLINK("https://otsuka-europe-crm.veevavault.com/ui/#object/email_activity__v/V8C000000041477", "EN-002100590")</f>
        <v>EN-002100590</v>
      </c>
    </row>
    <row r="13284" spans="1:15" ht="80" x14ac:dyDescent="0.2">
      <c r="A13284" s="7" t="str">
        <f>HYPERLINK("https://otsuka-europe-crm.veevavault.com/ui/#object/account__v/V4TZ04ASGFI1HIR", "LUIGI RIONDINO")</f>
        <v>LUIGI RIONDINO</v>
      </c>
      <c r="B13284" s="7" t="str">
        <f>HYPERLINK("https://otsuka-europe-crm.veevavault.com/ui/#object/vcountry__v/VENZ000004SONFQ", "IT")</f>
        <v>IT</v>
      </c>
      <c r="C13284" s="8" t="s">
        <v>44</v>
      </c>
      <c r="D13284" s="9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E13284" s="10" t="str">
        <f>HYPERLINK("https://otsuka-europe-crm.veevavault.com/ui/#object/sent_email__v/VBL00000002Y113", "SE-001438766")</f>
        <v>SE-001438766</v>
      </c>
      <c r="F13284" s="11"/>
      <c r="G13284" s="12">
        <v>0</v>
      </c>
      <c r="H13284" s="12">
        <v>0</v>
      </c>
      <c r="I13284" s="12">
        <v>0</v>
      </c>
      <c r="J13284" s="11"/>
      <c r="K13284" s="12">
        <v>0</v>
      </c>
      <c r="L13284" s="10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M13284" s="10" t="str">
        <f>HYPERLINK("mailto:nicola.fiorese@crm.otsuka-europe.com", "nicola.fiorese@crm.otsuka-europe.com")</f>
        <v>nicola.fiorese@crm.otsuka-europe.com</v>
      </c>
      <c r="N13284" s="13">
        <v>46202.726053240738</v>
      </c>
      <c r="O13284" s="14" t="str">
        <f>HYPERLINK("https://otsuka-europe-crm.veevavault.com/ui/#object/email_activity__v/V8C000000042427", "EN-002100592")</f>
        <v>EN-002100592</v>
      </c>
    </row>
    <row r="13285" spans="1:15" ht="16" x14ac:dyDescent="0.2">
      <c r="A13285" s="17" t="str">
        <f>HYPERLINK("https://otsuka-europe-crm.veevavault.com/ui/#object/account__v/V4TZ06G6O71SC3U", "RAFFAELLA RIZZO")</f>
        <v>RAFFAELLA RIZZO</v>
      </c>
      <c r="B13285" s="17" t="str">
        <f>HYPERLINK("https://otsuka-europe-crm.veevavault.com/ui/#object/vcountry__v/VENZ000004SONFQ", "IT")</f>
        <v>IT</v>
      </c>
      <c r="C13285" s="20" t="s">
        <v>44</v>
      </c>
      <c r="D13285" s="21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E13285" s="22" t="str">
        <f>HYPERLINK("https://otsuka-europe-crm.veevavault.com/ui/#object/sent_email__v/VBL00000002Y114", "SE-001438767")</f>
        <v>SE-001438767</v>
      </c>
      <c r="F13285" s="23">
        <v>46203.52144675926</v>
      </c>
      <c r="G13285" s="24">
        <v>1</v>
      </c>
      <c r="H13285" s="24">
        <v>2</v>
      </c>
      <c r="I13285" s="24">
        <v>0</v>
      </c>
      <c r="J13285" s="25"/>
      <c r="K13285" s="24">
        <v>0</v>
      </c>
      <c r="L13285" s="22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M13285" s="22" t="str">
        <f>HYPERLINK("mailto:nicola.fiorese@crm.otsuka-europe.com", "nicola.fiorese@crm.otsuka-europe.com")</f>
        <v>nicola.fiorese@crm.otsuka-europe.com</v>
      </c>
      <c r="N13285" s="23">
        <v>46202.726273148146</v>
      </c>
      <c r="O13285" s="14" t="str">
        <f>HYPERLINK("https://otsuka-europe-crm.veevavault.com/ui/#object/email_activity__v/V8C000000041490", "EN-002100639")</f>
        <v>EN-002100639</v>
      </c>
    </row>
    <row r="13286" spans="1:15" ht="16" x14ac:dyDescent="0.2">
      <c r="A13286" s="18"/>
      <c r="B13286" s="18"/>
      <c r="C13286" s="18"/>
      <c r="D13286" s="18"/>
      <c r="E13286" s="18"/>
      <c r="F13286" s="18"/>
      <c r="G13286" s="18"/>
      <c r="H13286" s="18"/>
      <c r="I13286" s="18"/>
      <c r="J13286" s="18"/>
      <c r="K13286" s="18"/>
      <c r="L13286" s="18"/>
      <c r="M13286" s="18"/>
      <c r="N13286" s="18"/>
      <c r="O13286" s="14" t="str">
        <f>HYPERLINK("https://otsuka-europe-crm.veevavault.com/ui/#object/email_activity__v/V8C000000041601", "EN-002100844")</f>
        <v>EN-002100844</v>
      </c>
    </row>
    <row r="13287" spans="1:15" ht="16" x14ac:dyDescent="0.2">
      <c r="A13287" s="19"/>
      <c r="B13287" s="19"/>
      <c r="C13287" s="19"/>
      <c r="D13287" s="19"/>
      <c r="E13287" s="19"/>
      <c r="F13287" s="19"/>
      <c r="G13287" s="19"/>
      <c r="H13287" s="19"/>
      <c r="I13287" s="19"/>
      <c r="J13287" s="19"/>
      <c r="K13287" s="19"/>
      <c r="L13287" s="19"/>
      <c r="M13287" s="19"/>
      <c r="N13287" s="19"/>
      <c r="O13287" s="14" t="str">
        <f>HYPERLINK("https://otsuka-europe-crm.veevavault.com/ui/#object/email_activity__v/V8C000000042428", "EN-002100593")</f>
        <v>EN-002100593</v>
      </c>
    </row>
    <row r="13288" spans="1:15" ht="16" x14ac:dyDescent="0.2">
      <c r="A13288" s="17" t="str">
        <f>HYPERLINK("https://otsuka-europe-crm.veevavault.com/ui/#object/account__v/V4TZ06G6O8SHN7Y", "GIACOMO ROLMA")</f>
        <v>GIACOMO ROLMA</v>
      </c>
      <c r="B13288" s="17" t="str">
        <f>HYPERLINK("https://otsuka-europe-crm.veevavault.com/ui/#object/vcountry__v/VENZ000004SONFQ", "IT")</f>
        <v>IT</v>
      </c>
      <c r="C13288" s="20" t="s">
        <v>44</v>
      </c>
      <c r="D13288" s="21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E13288" s="22" t="str">
        <f>HYPERLINK("https://otsuka-europe-crm.veevavault.com/ui/#object/sent_email__v/VBL00000002Y115", "SE-001438768")</f>
        <v>SE-001438768</v>
      </c>
      <c r="F13288" s="23">
        <v>46203.388043981482</v>
      </c>
      <c r="G13288" s="24">
        <v>1</v>
      </c>
      <c r="H13288" s="24">
        <v>1</v>
      </c>
      <c r="I13288" s="24">
        <v>0</v>
      </c>
      <c r="J13288" s="25"/>
      <c r="K13288" s="24">
        <v>0</v>
      </c>
      <c r="L13288" s="22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M13288" s="22" t="str">
        <f>HYPERLINK("mailto:nicola.fiorese@crm.otsuka-europe.com", "nicola.fiorese@crm.otsuka-europe.com")</f>
        <v>nicola.fiorese@crm.otsuka-europe.com</v>
      </c>
      <c r="N13288" s="23">
        <v>46202.7265625</v>
      </c>
      <c r="O13288" s="14" t="str">
        <f>HYPERLINK("https://otsuka-europe-crm.veevavault.com/ui/#object/email_activity__v/V8C000000042429", "EN-002100594")</f>
        <v>EN-002100594</v>
      </c>
    </row>
    <row r="13289" spans="1:15" ht="16" x14ac:dyDescent="0.2">
      <c r="A13289" s="19"/>
      <c r="B13289" s="19"/>
      <c r="C13289" s="19"/>
      <c r="D13289" s="19"/>
      <c r="E13289" s="19"/>
      <c r="F13289" s="19"/>
      <c r="G13289" s="19"/>
      <c r="H13289" s="19"/>
      <c r="I13289" s="19"/>
      <c r="J13289" s="19"/>
      <c r="K13289" s="19"/>
      <c r="L13289" s="19"/>
      <c r="M13289" s="19"/>
      <c r="N13289" s="19"/>
      <c r="O13289" s="14" t="str">
        <f>HYPERLINK("https://otsuka-europe-crm.veevavault.com/ui/#object/email_activity__v/V8C000000042518", "EN-002100767")</f>
        <v>EN-002100767</v>
      </c>
    </row>
    <row r="13290" spans="1:15" ht="80" x14ac:dyDescent="0.2">
      <c r="A13290" s="7" t="str">
        <f>HYPERLINK("https://otsuka-europe-crm.veevavault.com/ui/#object/account__v/V4TZ06G6O71SC4H", "GIUSEPPE ROMANO")</f>
        <v>GIUSEPPE ROMANO</v>
      </c>
      <c r="B13290" s="7" t="str">
        <f>HYPERLINK("https://otsuka-europe-crm.veevavault.com/ui/#object/vcountry__v/VENZ000004SONFQ", "IT")</f>
        <v>IT</v>
      </c>
      <c r="C13290" s="8" t="s">
        <v>44</v>
      </c>
      <c r="D13290" s="9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E13290" s="10" t="str">
        <f>HYPERLINK("https://otsuka-europe-crm.veevavault.com/ui/#object/sent_email__v/VBL00000002Z292", "SE-001438769")</f>
        <v>SE-001438769</v>
      </c>
      <c r="F13290" s="11"/>
      <c r="G13290" s="12">
        <v>0</v>
      </c>
      <c r="H13290" s="12">
        <v>0</v>
      </c>
      <c r="I13290" s="12">
        <v>0</v>
      </c>
      <c r="J13290" s="11"/>
      <c r="K13290" s="12">
        <v>0</v>
      </c>
      <c r="L13290" s="10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M13290" s="10" t="str">
        <f>HYPERLINK("mailto:nicola.fiorese@crm.otsuka-europe.com", "nicola.fiorese@crm.otsuka-europe.com")</f>
        <v>nicola.fiorese@crm.otsuka-europe.com</v>
      </c>
      <c r="N13290" s="13">
        <v>46202.726909722223</v>
      </c>
      <c r="O13290" s="14" t="str">
        <f>HYPERLINK("https://otsuka-europe-crm.veevavault.com/ui/#object/email_activity__v/V8C000000042430", "EN-002100595")</f>
        <v>EN-002100595</v>
      </c>
    </row>
    <row r="13291" spans="1:15" ht="16" x14ac:dyDescent="0.2">
      <c r="A13291" s="17" t="str">
        <f>HYPERLINK("https://otsuka-europe-crm.veevavault.com/ui/#object/account__v/V4TZ025E88RVUJF", "SARA RONCA")</f>
        <v>SARA RONCA</v>
      </c>
      <c r="B13291" s="17" t="str">
        <f>HYPERLINK("https://otsuka-europe-crm.veevavault.com/ui/#object/vcountry__v/VENZ000004SONFQ", "IT")</f>
        <v>IT</v>
      </c>
      <c r="C13291" s="20" t="s">
        <v>44</v>
      </c>
      <c r="D13291" s="21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E13291" s="22" t="str">
        <f>HYPERLINK("https://otsuka-europe-crm.veevavault.com/ui/#object/sent_email__v/VBL00000002Z293", "SE-001438770")</f>
        <v>SE-001438770</v>
      </c>
      <c r="F13291" s="23">
        <v>46204.381493055553</v>
      </c>
      <c r="G13291" s="24">
        <v>1</v>
      </c>
      <c r="H13291" s="24">
        <v>4</v>
      </c>
      <c r="I13291" s="24">
        <v>0</v>
      </c>
      <c r="J13291" s="25"/>
      <c r="K13291" s="24">
        <v>0</v>
      </c>
      <c r="L13291" s="22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M13291" s="22" t="str">
        <f>HYPERLINK("mailto:nicola.fiorese@crm.otsuka-europe.com", "nicola.fiorese@crm.otsuka-europe.com")</f>
        <v>nicola.fiorese@crm.otsuka-europe.com</v>
      </c>
      <c r="N13291" s="23">
        <v>46202.727256944447</v>
      </c>
      <c r="O13291" s="14" t="str">
        <f>HYPERLINK("https://otsuka-europe-crm.veevavault.com/ui/#object/email_activity__v/V8C000000041508", "EN-002100671")</f>
        <v>EN-002100671</v>
      </c>
    </row>
    <row r="13292" spans="1:15" ht="16" x14ac:dyDescent="0.2">
      <c r="A13292" s="18"/>
      <c r="B13292" s="18"/>
      <c r="C13292" s="18"/>
      <c r="D13292" s="18"/>
      <c r="E13292" s="18"/>
      <c r="F13292" s="18"/>
      <c r="G13292" s="18"/>
      <c r="H13292" s="18"/>
      <c r="I13292" s="18"/>
      <c r="J13292" s="18"/>
      <c r="K13292" s="18"/>
      <c r="L13292" s="18"/>
      <c r="M13292" s="18"/>
      <c r="N13292" s="18"/>
      <c r="O13292" s="14" t="str">
        <f>HYPERLINK("https://otsuka-europe-crm.veevavault.com/ui/#object/email_activity__v/V8C000000042431", "EN-002100596")</f>
        <v>EN-002100596</v>
      </c>
    </row>
    <row r="13293" spans="1:15" ht="16" x14ac:dyDescent="0.2">
      <c r="A13293" s="18"/>
      <c r="B13293" s="18"/>
      <c r="C13293" s="18"/>
      <c r="D13293" s="18"/>
      <c r="E13293" s="18"/>
      <c r="F13293" s="18"/>
      <c r="G13293" s="18"/>
      <c r="H13293" s="18"/>
      <c r="I13293" s="18"/>
      <c r="J13293" s="18"/>
      <c r="K13293" s="18"/>
      <c r="L13293" s="18"/>
      <c r="M13293" s="18"/>
      <c r="N13293" s="18"/>
      <c r="O13293" s="14" t="str">
        <f>HYPERLINK("https://otsuka-europe-crm.veevavault.com/ui/#object/email_activity__v/V8C000000042465", "EN-002100644")</f>
        <v>EN-002100644</v>
      </c>
    </row>
    <row r="13294" spans="1:15" ht="16" x14ac:dyDescent="0.2">
      <c r="A13294" s="18"/>
      <c r="B13294" s="18"/>
      <c r="C13294" s="18"/>
      <c r="D13294" s="18"/>
      <c r="E13294" s="18"/>
      <c r="F13294" s="18"/>
      <c r="G13294" s="18"/>
      <c r="H13294" s="18"/>
      <c r="I13294" s="18"/>
      <c r="J13294" s="18"/>
      <c r="K13294" s="18"/>
      <c r="L13294" s="18"/>
      <c r="M13294" s="18"/>
      <c r="N13294" s="18"/>
      <c r="O13294" s="14" t="str">
        <f>HYPERLINK("https://otsuka-europe-crm.veevavault.com/ui/#object/email_activity__v/V8C000000042466", "EN-002100645")</f>
        <v>EN-002100645</v>
      </c>
    </row>
    <row r="13295" spans="1:15" ht="16" x14ac:dyDescent="0.2">
      <c r="A13295" s="19"/>
      <c r="B13295" s="19"/>
      <c r="C13295" s="19"/>
      <c r="D13295" s="19"/>
      <c r="E13295" s="19"/>
      <c r="F13295" s="19"/>
      <c r="G13295" s="19"/>
      <c r="H13295" s="19"/>
      <c r="I13295" s="19"/>
      <c r="J13295" s="19"/>
      <c r="K13295" s="19"/>
      <c r="L13295" s="19"/>
      <c r="M13295" s="19"/>
      <c r="N13295" s="19"/>
      <c r="O13295" s="14" t="str">
        <f>HYPERLINK("https://otsuka-europe-crm.veevavault.com/ui/#object/email_activity__v/V8C000000042866", "EN-002101321")</f>
        <v>EN-002101321</v>
      </c>
    </row>
    <row r="13296" spans="1:15" ht="80" x14ac:dyDescent="0.2">
      <c r="A13296" s="7" t="str">
        <f>HYPERLINK("https://otsuka-europe-crm.veevavault.com/ui/#object/account__v/V4T00000001X031", "DAVIDE RONCALI")</f>
        <v>DAVIDE RONCALI</v>
      </c>
      <c r="B13296" s="7" t="str">
        <f t="shared" ref="B13296:B13304" si="963">HYPERLINK("https://otsuka-europe-crm.veevavault.com/ui/#object/vcountry__v/VENZ000004SONFQ", "IT")</f>
        <v>IT</v>
      </c>
      <c r="C13296" s="8" t="s">
        <v>44</v>
      </c>
      <c r="D13296" s="9" t="str">
        <f t="shared" ref="D13296:D13304" si="964"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E13296" s="10" t="str">
        <f>HYPERLINK("https://otsuka-europe-crm.veevavault.com/ui/#object/sent_email__v/VBL00000002Z294", "SE-001438771")</f>
        <v>SE-001438771</v>
      </c>
      <c r="F13296" s="11"/>
      <c r="G13296" s="12">
        <v>0</v>
      </c>
      <c r="H13296" s="12">
        <v>0</v>
      </c>
      <c r="I13296" s="12">
        <v>0</v>
      </c>
      <c r="J13296" s="11"/>
      <c r="K13296" s="12">
        <v>0</v>
      </c>
      <c r="L13296" s="10" t="str">
        <f t="shared" ref="L13296:L13304" si="965"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M13296" s="10" t="str">
        <f t="shared" ref="M13296:M13304" si="966">HYPERLINK("mailto:nicola.fiorese@crm.otsuka-europe.com", "nicola.fiorese@crm.otsuka-europe.com")</f>
        <v>nicola.fiorese@crm.otsuka-europe.com</v>
      </c>
      <c r="N13296" s="13">
        <v>46202.727395833332</v>
      </c>
      <c r="O13296" s="14" t="str">
        <f>HYPERLINK("https://otsuka-europe-crm.veevavault.com/ui/#object/email_activity__v/V8C000000042432", "EN-002100597")</f>
        <v>EN-002100597</v>
      </c>
    </row>
    <row r="13297" spans="1:15" ht="80" x14ac:dyDescent="0.2">
      <c r="A13297" s="7" t="str">
        <f>HYPERLINK("https://otsuka-europe-crm.veevavault.com/ui/#object/account__v/V4T00000001X032", "LUDOVICA SALVINI")</f>
        <v>LUDOVICA SALVINI</v>
      </c>
      <c r="B13297" s="7" t="str">
        <f t="shared" si="963"/>
        <v>IT</v>
      </c>
      <c r="C13297" s="8" t="s">
        <v>44</v>
      </c>
      <c r="D13297" s="9" t="str">
        <f t="shared" si="964"/>
        <v>OTSUKA-RXULTI_Branded_AE abuso di sostanze aggiornamento_ IT-RXU-2600022</v>
      </c>
      <c r="E13297" s="10" t="str">
        <f>HYPERLINK("https://otsuka-europe-crm.veevavault.com/ui/#object/sent_email__v/VBL00000002Y116", "SE-001438772")</f>
        <v>SE-001438772</v>
      </c>
      <c r="F13297" s="11"/>
      <c r="G13297" s="12">
        <v>0</v>
      </c>
      <c r="H13297" s="12">
        <v>0</v>
      </c>
      <c r="I13297" s="12">
        <v>0</v>
      </c>
      <c r="J13297" s="11"/>
      <c r="K13297" s="12">
        <v>0</v>
      </c>
      <c r="L13297" s="10" t="str">
        <f t="shared" si="965"/>
        <v>OTSUKA-RXULTI_Branded_AE abuso di sostanze aggiornamento_ IT-RXU-2600022</v>
      </c>
      <c r="M13297" s="10" t="str">
        <f t="shared" si="966"/>
        <v>nicola.fiorese@crm.otsuka-europe.com</v>
      </c>
      <c r="N13297" s="13">
        <v>46202.727673611109</v>
      </c>
      <c r="O13297" s="14" t="str">
        <f>HYPERLINK("https://otsuka-europe-crm.veevavault.com/ui/#object/email_activity__v/V8C000000042433", "EN-002100598")</f>
        <v>EN-002100598</v>
      </c>
    </row>
    <row r="13298" spans="1:15" ht="80" x14ac:dyDescent="0.2">
      <c r="A13298" s="7" t="str">
        <f>HYPERLINK("https://otsuka-europe-crm.veevavault.com/ui/#object/account__v/V4TZ06G6O71SC6Y", "GIUSEPPE SEGGIOLI")</f>
        <v>GIUSEPPE SEGGIOLI</v>
      </c>
      <c r="B13298" s="7" t="str">
        <f t="shared" si="963"/>
        <v>IT</v>
      </c>
      <c r="C13298" s="8" t="s">
        <v>44</v>
      </c>
      <c r="D13298" s="9" t="str">
        <f t="shared" si="964"/>
        <v>OTSUKA-RXULTI_Branded_AE abuso di sostanze aggiornamento_ IT-RXU-2600022</v>
      </c>
      <c r="E13298" s="10" t="str">
        <f>HYPERLINK("https://otsuka-europe-crm.veevavault.com/ui/#object/sent_email__v/VBL00000002Z295", "SE-001438773")</f>
        <v>SE-001438773</v>
      </c>
      <c r="F13298" s="11"/>
      <c r="G13298" s="12">
        <v>0</v>
      </c>
      <c r="H13298" s="12">
        <v>0</v>
      </c>
      <c r="I13298" s="12">
        <v>0</v>
      </c>
      <c r="J13298" s="11"/>
      <c r="K13298" s="12">
        <v>0</v>
      </c>
      <c r="L13298" s="10" t="str">
        <f t="shared" si="965"/>
        <v>OTSUKA-RXULTI_Branded_AE abuso di sostanze aggiornamento_ IT-RXU-2600022</v>
      </c>
      <c r="M13298" s="10" t="str">
        <f t="shared" si="966"/>
        <v>nicola.fiorese@crm.otsuka-europe.com</v>
      </c>
      <c r="N13298" s="13">
        <v>46202.727951388886</v>
      </c>
      <c r="O13298" s="14" t="str">
        <f>HYPERLINK("https://otsuka-europe-crm.veevavault.com/ui/#object/email_activity__v/V8C000000042434", "EN-002100599")</f>
        <v>EN-002100599</v>
      </c>
    </row>
    <row r="13299" spans="1:15" ht="80" x14ac:dyDescent="0.2">
      <c r="A13299" s="7" t="str">
        <f>HYPERLINK("https://otsuka-europe-crm.veevavault.com/ui/#object/account__v/V4TZ06G6O71SCFU", "MADDALENA SPEZIALI")</f>
        <v>MADDALENA SPEZIALI</v>
      </c>
      <c r="B13299" s="7" t="str">
        <f t="shared" si="963"/>
        <v>IT</v>
      </c>
      <c r="C13299" s="8" t="s">
        <v>44</v>
      </c>
      <c r="D13299" s="9" t="str">
        <f t="shared" si="964"/>
        <v>OTSUKA-RXULTI_Branded_AE abuso di sostanze aggiornamento_ IT-RXU-2600022</v>
      </c>
      <c r="E13299" s="10" t="str">
        <f>HYPERLINK("https://otsuka-europe-crm.veevavault.com/ui/#object/sent_email__v/VBL00000002Y117", "SE-001438774")</f>
        <v>SE-001438774</v>
      </c>
      <c r="F13299" s="11"/>
      <c r="G13299" s="12">
        <v>0</v>
      </c>
      <c r="H13299" s="12">
        <v>0</v>
      </c>
      <c r="I13299" s="12">
        <v>0</v>
      </c>
      <c r="J13299" s="11"/>
      <c r="K13299" s="12">
        <v>0</v>
      </c>
      <c r="L13299" s="10" t="str">
        <f t="shared" si="965"/>
        <v>OTSUKA-RXULTI_Branded_AE abuso di sostanze aggiornamento_ IT-RXU-2600022</v>
      </c>
      <c r="M13299" s="10" t="str">
        <f t="shared" si="966"/>
        <v>nicola.fiorese@crm.otsuka-europe.com</v>
      </c>
      <c r="N13299" s="13">
        <v>46202.728101851855</v>
      </c>
      <c r="O13299" s="14" t="str">
        <f>HYPERLINK("https://otsuka-europe-crm.veevavault.com/ui/#object/email_activity__v/V8C000000042435", "EN-002100600")</f>
        <v>EN-002100600</v>
      </c>
    </row>
    <row r="13300" spans="1:15" ht="80" x14ac:dyDescent="0.2">
      <c r="A13300" s="7" t="str">
        <f>HYPERLINK("https://otsuka-europe-crm.veevavault.com/ui/#object/account__v/V4TZ06G6O71S9RJ", "FEDERICA SPILIMBERGO")</f>
        <v>FEDERICA SPILIMBERGO</v>
      </c>
      <c r="B13300" s="7" t="str">
        <f t="shared" si="963"/>
        <v>IT</v>
      </c>
      <c r="C13300" s="8" t="s">
        <v>44</v>
      </c>
      <c r="D13300" s="9" t="str">
        <f t="shared" si="964"/>
        <v>OTSUKA-RXULTI_Branded_AE abuso di sostanze aggiornamento_ IT-RXU-2600022</v>
      </c>
      <c r="E13300" s="10" t="str">
        <f>HYPERLINK("https://otsuka-europe-crm.veevavault.com/ui/#object/sent_email__v/VBL00000002Y118", "SE-001438775")</f>
        <v>SE-001438775</v>
      </c>
      <c r="F13300" s="11"/>
      <c r="G13300" s="12">
        <v>0</v>
      </c>
      <c r="H13300" s="12">
        <v>0</v>
      </c>
      <c r="I13300" s="12">
        <v>0</v>
      </c>
      <c r="J13300" s="11"/>
      <c r="K13300" s="12">
        <v>0</v>
      </c>
      <c r="L13300" s="10" t="str">
        <f t="shared" si="965"/>
        <v>OTSUKA-RXULTI_Branded_AE abuso di sostanze aggiornamento_ IT-RXU-2600022</v>
      </c>
      <c r="M13300" s="10" t="str">
        <f t="shared" si="966"/>
        <v>nicola.fiorese@crm.otsuka-europe.com</v>
      </c>
      <c r="N13300" s="13">
        <v>46202.728472222225</v>
      </c>
      <c r="O13300" s="14" t="str">
        <f>HYPERLINK("https://otsuka-europe-crm.veevavault.com/ui/#object/email_activity__v/V8C000000042437", "EN-002100602")</f>
        <v>EN-002100602</v>
      </c>
    </row>
    <row r="13301" spans="1:15" ht="80" x14ac:dyDescent="0.2">
      <c r="A13301" s="7" t="str">
        <f>HYPERLINK("https://otsuka-europe-crm.veevavault.com/ui/#object/account__v/V4TZ025E87I757C", "MADDALENA TENGATTINI")</f>
        <v>MADDALENA TENGATTINI</v>
      </c>
      <c r="B13301" s="7" t="str">
        <f t="shared" si="963"/>
        <v>IT</v>
      </c>
      <c r="C13301" s="8" t="s">
        <v>44</v>
      </c>
      <c r="D13301" s="9" t="str">
        <f t="shared" si="964"/>
        <v>OTSUKA-RXULTI_Branded_AE abuso di sostanze aggiornamento_ IT-RXU-2600022</v>
      </c>
      <c r="E13301" s="10" t="str">
        <f>HYPERLINK("https://otsuka-europe-crm.veevavault.com/ui/#object/sent_email__v/VBL00000002Y119", "SE-001438776")</f>
        <v>SE-001438776</v>
      </c>
      <c r="F13301" s="11"/>
      <c r="G13301" s="12">
        <v>0</v>
      </c>
      <c r="H13301" s="12">
        <v>0</v>
      </c>
      <c r="I13301" s="12">
        <v>0</v>
      </c>
      <c r="J13301" s="11"/>
      <c r="K13301" s="12">
        <v>0</v>
      </c>
      <c r="L13301" s="10" t="str">
        <f t="shared" si="965"/>
        <v>OTSUKA-RXULTI_Branded_AE abuso di sostanze aggiornamento_ IT-RXU-2600022</v>
      </c>
      <c r="M13301" s="10" t="str">
        <f t="shared" si="966"/>
        <v>nicola.fiorese@crm.otsuka-europe.com</v>
      </c>
      <c r="N13301" s="13">
        <v>46202.728622685187</v>
      </c>
      <c r="O13301" s="14" t="str">
        <f>HYPERLINK("https://otsuka-europe-crm.veevavault.com/ui/#object/email_activity__v/V8C000000042436", "EN-002100601")</f>
        <v>EN-002100601</v>
      </c>
    </row>
    <row r="13302" spans="1:15" ht="80" x14ac:dyDescent="0.2">
      <c r="A13302" s="7" t="str">
        <f>HYPERLINK("https://otsuka-europe-crm.veevavault.com/ui/#object/account__v/V4TZ06G6O71SCMS", "LAURA TINTI")</f>
        <v>LAURA TINTI</v>
      </c>
      <c r="B13302" s="7" t="str">
        <f t="shared" si="963"/>
        <v>IT</v>
      </c>
      <c r="C13302" s="8" t="s">
        <v>44</v>
      </c>
      <c r="D13302" s="9" t="str">
        <f t="shared" si="964"/>
        <v>OTSUKA-RXULTI_Branded_AE abuso di sostanze aggiornamento_ IT-RXU-2600022</v>
      </c>
      <c r="E13302" s="10" t="str">
        <f>HYPERLINK("https://otsuka-europe-crm.veevavault.com/ui/#object/sent_email__v/VBL00000002Y120", "SE-001438777")</f>
        <v>SE-001438777</v>
      </c>
      <c r="F13302" s="11"/>
      <c r="G13302" s="12">
        <v>0</v>
      </c>
      <c r="H13302" s="12">
        <v>0</v>
      </c>
      <c r="I13302" s="12">
        <v>0</v>
      </c>
      <c r="J13302" s="11"/>
      <c r="K13302" s="12">
        <v>0</v>
      </c>
      <c r="L13302" s="10" t="str">
        <f t="shared" si="965"/>
        <v>OTSUKA-RXULTI_Branded_AE abuso di sostanze aggiornamento_ IT-RXU-2600022</v>
      </c>
      <c r="M13302" s="10" t="str">
        <f t="shared" si="966"/>
        <v>nicola.fiorese@crm.otsuka-europe.com</v>
      </c>
      <c r="N13302" s="13">
        <v>46202.729074074072</v>
      </c>
      <c r="O13302" s="14" t="str">
        <f>HYPERLINK("https://otsuka-europe-crm.veevavault.com/ui/#object/email_activity__v/V8C000000042438", "EN-002100603")</f>
        <v>EN-002100603</v>
      </c>
    </row>
    <row r="13303" spans="1:15" ht="80" x14ac:dyDescent="0.2">
      <c r="A13303" s="7" t="str">
        <f>HYPERLINK("https://otsuka-europe-crm.veevavault.com/ui/#object/account__v/V4T00000000Y163", "DILETTA TOMASINI BERTOLI")</f>
        <v>DILETTA TOMASINI BERTOLI</v>
      </c>
      <c r="B13303" s="7" t="str">
        <f t="shared" si="963"/>
        <v>IT</v>
      </c>
      <c r="C13303" s="8" t="s">
        <v>44</v>
      </c>
      <c r="D13303" s="9" t="str">
        <f t="shared" si="964"/>
        <v>OTSUKA-RXULTI_Branded_AE abuso di sostanze aggiornamento_ IT-RXU-2600022</v>
      </c>
      <c r="E13303" s="10" t="str">
        <f>HYPERLINK("https://otsuka-europe-crm.veevavault.com/ui/#object/sent_email__v/VBL00000002Z296", "SE-001438778")</f>
        <v>SE-001438778</v>
      </c>
      <c r="F13303" s="11"/>
      <c r="G13303" s="12">
        <v>0</v>
      </c>
      <c r="H13303" s="12">
        <v>0</v>
      </c>
      <c r="I13303" s="12">
        <v>0</v>
      </c>
      <c r="J13303" s="11"/>
      <c r="K13303" s="12">
        <v>0</v>
      </c>
      <c r="L13303" s="10" t="str">
        <f t="shared" si="965"/>
        <v>OTSUKA-RXULTI_Branded_AE abuso di sostanze aggiornamento_ IT-RXU-2600022</v>
      </c>
      <c r="M13303" s="10" t="str">
        <f t="shared" si="966"/>
        <v>nicola.fiorese@crm.otsuka-europe.com</v>
      </c>
      <c r="N13303" s="13">
        <v>46202.729398148149</v>
      </c>
      <c r="O13303" s="14" t="str">
        <f>HYPERLINK("https://otsuka-europe-crm.veevavault.com/ui/#object/email_activity__v/V8C000000042439", "EN-002100604")</f>
        <v>EN-002100604</v>
      </c>
    </row>
    <row r="13304" spans="1:15" ht="16" x14ac:dyDescent="0.2">
      <c r="A13304" s="17" t="str">
        <f>HYPERLINK("https://otsuka-europe-crm.veevavault.com/ui/#object/account__v/V4TZ06G6O71S9HU", "CARLOTTA TRESPIDI")</f>
        <v>CARLOTTA TRESPIDI</v>
      </c>
      <c r="B13304" s="17" t="str">
        <f t="shared" si="963"/>
        <v>IT</v>
      </c>
      <c r="C13304" s="20" t="s">
        <v>44</v>
      </c>
      <c r="D13304" s="21" t="str">
        <f t="shared" si="964"/>
        <v>OTSUKA-RXULTI_Branded_AE abuso di sostanze aggiornamento_ IT-RXU-2600022</v>
      </c>
      <c r="E13304" s="22" t="str">
        <f>HYPERLINK("https://otsuka-europe-crm.veevavault.com/ui/#object/sent_email__v/VBL00000002Y121", "SE-001438779")</f>
        <v>SE-001438779</v>
      </c>
      <c r="F13304" s="23">
        <v>46203.573263888888</v>
      </c>
      <c r="G13304" s="24">
        <v>1</v>
      </c>
      <c r="H13304" s="24">
        <v>1</v>
      </c>
      <c r="I13304" s="24">
        <v>0</v>
      </c>
      <c r="J13304" s="25"/>
      <c r="K13304" s="24">
        <v>0</v>
      </c>
      <c r="L13304" s="22" t="str">
        <f t="shared" si="965"/>
        <v>OTSUKA-RXULTI_Branded_AE abuso di sostanze aggiornamento_ IT-RXU-2600022</v>
      </c>
      <c r="M13304" s="22" t="str">
        <f t="shared" si="966"/>
        <v>nicola.fiorese@crm.otsuka-europe.com</v>
      </c>
      <c r="N13304" s="23">
        <v>46202.729467592595</v>
      </c>
      <c r="O13304" s="14" t="str">
        <f>HYPERLINK("https://otsuka-europe-crm.veevavault.com/ui/#object/email_activity__v/V8C000000041606", "EN-002100847")</f>
        <v>EN-002100847</v>
      </c>
    </row>
    <row r="13305" spans="1:15" ht="16" x14ac:dyDescent="0.2">
      <c r="A13305" s="19"/>
      <c r="B13305" s="19"/>
      <c r="C13305" s="19"/>
      <c r="D13305" s="19"/>
      <c r="E13305" s="19"/>
      <c r="F13305" s="19"/>
      <c r="G13305" s="19"/>
      <c r="H13305" s="19"/>
      <c r="I13305" s="19"/>
      <c r="J13305" s="19"/>
      <c r="K13305" s="19"/>
      <c r="L13305" s="19"/>
      <c r="M13305" s="19"/>
      <c r="N13305" s="19"/>
      <c r="O13305" s="14" t="str">
        <f>HYPERLINK("https://otsuka-europe-crm.veevavault.com/ui/#object/email_activity__v/V8C000000042440", "EN-002100605")</f>
        <v>EN-002100605</v>
      </c>
    </row>
    <row r="13306" spans="1:15" ht="80" x14ac:dyDescent="0.2">
      <c r="A13306" s="7" t="str">
        <f>HYPERLINK("https://otsuka-europe-crm.veevavault.com/ui/#object/account__v/V4TZ04ASG7NLBIT", "LARA TUMINO")</f>
        <v>LARA TUMINO</v>
      </c>
      <c r="B13306" s="7" t="str">
        <f>HYPERLINK("https://otsuka-europe-crm.veevavault.com/ui/#object/vcountry__v/VENZ000004SONFQ", "IT")</f>
        <v>IT</v>
      </c>
      <c r="C13306" s="8" t="s">
        <v>44</v>
      </c>
      <c r="D13306" s="9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E13306" s="10" t="str">
        <f>HYPERLINK("https://otsuka-europe-crm.veevavault.com/ui/#object/sent_email__v/VBL00000002Y122", "SE-001438780")</f>
        <v>SE-001438780</v>
      </c>
      <c r="F13306" s="11"/>
      <c r="G13306" s="12">
        <v>0</v>
      </c>
      <c r="H13306" s="12">
        <v>0</v>
      </c>
      <c r="I13306" s="12">
        <v>0</v>
      </c>
      <c r="J13306" s="11"/>
      <c r="K13306" s="12">
        <v>0</v>
      </c>
      <c r="L13306" s="10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M13306" s="10" t="str">
        <f>HYPERLINK("mailto:nicola.fiorese@crm.otsuka-europe.com", "nicola.fiorese@crm.otsuka-europe.com")</f>
        <v>nicola.fiorese@crm.otsuka-europe.com</v>
      </c>
      <c r="N13306" s="13">
        <v>46202.729768518519</v>
      </c>
      <c r="O13306" s="14" t="str">
        <f>HYPERLINK("https://otsuka-europe-crm.veevavault.com/ui/#object/email_activity__v/V8C000000042441", "EN-002100606")</f>
        <v>EN-002100606</v>
      </c>
    </row>
    <row r="13307" spans="1:15" ht="80" x14ac:dyDescent="0.2">
      <c r="A13307" s="7" t="str">
        <f>HYPERLINK("https://otsuka-europe-crm.veevavault.com/ui/#object/account__v/V4TZ06G6O71SCME", "GIOVANNI BATTISTA TURA")</f>
        <v>GIOVANNI BATTISTA TURA</v>
      </c>
      <c r="B13307" s="7" t="str">
        <f>HYPERLINK("https://otsuka-europe-crm.veevavault.com/ui/#object/vcountry__v/VENZ000004SONFQ", "IT")</f>
        <v>IT</v>
      </c>
      <c r="C13307" s="8" t="s">
        <v>44</v>
      </c>
      <c r="D13307" s="9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E13307" s="10" t="str">
        <f>HYPERLINK("https://otsuka-europe-crm.veevavault.com/ui/#object/sent_email__v/VBL00000002Y123", "SE-001438781")</f>
        <v>SE-001438781</v>
      </c>
      <c r="F13307" s="11"/>
      <c r="G13307" s="12">
        <v>0</v>
      </c>
      <c r="H13307" s="12">
        <v>0</v>
      </c>
      <c r="I13307" s="12">
        <v>0</v>
      </c>
      <c r="J13307" s="11"/>
      <c r="K13307" s="12">
        <v>0</v>
      </c>
      <c r="L13307" s="10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M13307" s="10" t="str">
        <f>HYPERLINK("mailto:nicola.fiorese@crm.otsuka-europe.com", "nicola.fiorese@crm.otsuka-europe.com")</f>
        <v>nicola.fiorese@crm.otsuka-europe.com</v>
      </c>
      <c r="N13307" s="13">
        <v>46202.730057870373</v>
      </c>
      <c r="O13307" s="14" t="str">
        <f>HYPERLINK("https://otsuka-europe-crm.veevavault.com/ui/#object/email_activity__v/V8C000000042443", "EN-002100608")</f>
        <v>EN-002100608</v>
      </c>
    </row>
    <row r="13308" spans="1:15" ht="16" x14ac:dyDescent="0.2">
      <c r="A13308" s="17" t="str">
        <f>HYPERLINK("https://otsuka-europe-crm.veevavault.com/ui/#object/account__v/V4T00000001X204", "MARGARITA TYROPANI")</f>
        <v>MARGARITA TYROPANI</v>
      </c>
      <c r="B13308" s="17" t="str">
        <f>HYPERLINK("https://otsuka-europe-crm.veevavault.com/ui/#object/vcountry__v/VENZ000004SONFQ", "IT")</f>
        <v>IT</v>
      </c>
      <c r="C13308" s="20" t="s">
        <v>44</v>
      </c>
      <c r="D13308" s="21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E13308" s="22" t="str">
        <f>HYPERLINK("https://otsuka-europe-crm.veevavault.com/ui/#object/sent_email__v/VBL00000002Z297", "SE-001438782")</f>
        <v>SE-001438782</v>
      </c>
      <c r="F13308" s="23">
        <v>46204.349872685183</v>
      </c>
      <c r="G13308" s="24">
        <v>1</v>
      </c>
      <c r="H13308" s="24">
        <v>1</v>
      </c>
      <c r="I13308" s="24">
        <v>0</v>
      </c>
      <c r="J13308" s="25"/>
      <c r="K13308" s="24">
        <v>0</v>
      </c>
      <c r="L13308" s="22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M13308" s="22" t="str">
        <f>HYPERLINK("mailto:nicola.fiorese@crm.otsuka-europe.com", "nicola.fiorese@crm.otsuka-europe.com")</f>
        <v>nicola.fiorese@crm.otsuka-europe.com</v>
      </c>
      <c r="N13308" s="23">
        <v>46202.730173611111</v>
      </c>
      <c r="O13308" s="14" t="str">
        <f>HYPERLINK("https://otsuka-europe-crm.veevavault.com/ui/#object/email_activity__v/V8C000000041772", "EN-002101228")</f>
        <v>EN-002101228</v>
      </c>
    </row>
    <row r="13309" spans="1:15" ht="16" x14ac:dyDescent="0.2">
      <c r="A13309" s="19"/>
      <c r="B13309" s="19"/>
      <c r="C13309" s="19"/>
      <c r="D13309" s="19"/>
      <c r="E13309" s="19"/>
      <c r="F13309" s="19"/>
      <c r="G13309" s="19"/>
      <c r="H13309" s="19"/>
      <c r="I13309" s="19"/>
      <c r="J13309" s="19"/>
      <c r="K13309" s="19"/>
      <c r="L13309" s="19"/>
      <c r="M13309" s="19"/>
      <c r="N13309" s="19"/>
      <c r="O13309" s="14" t="str">
        <f>HYPERLINK("https://otsuka-europe-crm.veevavault.com/ui/#object/email_activity__v/V8C000000042442", "EN-002100607")</f>
        <v>EN-002100607</v>
      </c>
    </row>
    <row r="13310" spans="1:15" ht="80" x14ac:dyDescent="0.2">
      <c r="A13310" s="7" t="str">
        <f>HYPERLINK("https://otsuka-europe-crm.veevavault.com/ui/#object/account__v/V4TZ06G6O71SCOL", "ILARIA HELENE MARIA VALLET")</f>
        <v>ILARIA HELENE MARIA VALLET</v>
      </c>
      <c r="B13310" s="7" t="str">
        <f>HYPERLINK("https://otsuka-europe-crm.veevavault.com/ui/#object/vcountry__v/VENZ000004SONFQ", "IT")</f>
        <v>IT</v>
      </c>
      <c r="C13310" s="8" t="s">
        <v>44</v>
      </c>
      <c r="D13310" s="9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E13310" s="10" t="str">
        <f>HYPERLINK("https://otsuka-europe-crm.veevavault.com/ui/#object/sent_email__v/VBL00000002Y124", "SE-001438783")</f>
        <v>SE-001438783</v>
      </c>
      <c r="F13310" s="11"/>
      <c r="G13310" s="12">
        <v>0</v>
      </c>
      <c r="H13310" s="12">
        <v>0</v>
      </c>
      <c r="I13310" s="12">
        <v>0</v>
      </c>
      <c r="J13310" s="11"/>
      <c r="K13310" s="12">
        <v>0</v>
      </c>
      <c r="L13310" s="10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M13310" s="10" t="str">
        <f>HYPERLINK("mailto:nicola.fiorese@crm.otsuka-europe.com", "nicola.fiorese@crm.otsuka-europe.com")</f>
        <v>nicola.fiorese@crm.otsuka-europe.com</v>
      </c>
      <c r="N13310" s="13">
        <v>46202.730393518519</v>
      </c>
      <c r="O13310" s="14" t="str">
        <f>HYPERLINK("https://otsuka-europe-crm.veevavault.com/ui/#object/email_activity__v/V8C000000042444", "EN-002100609")</f>
        <v>EN-002100609</v>
      </c>
    </row>
    <row r="13311" spans="1:15" ht="16" x14ac:dyDescent="0.2">
      <c r="A13311" s="17" t="str">
        <f>HYPERLINK("https://otsuka-europe-crm.veevavault.com/ui/#object/account__v/V4TZ06G6O71SCQ6", "PAOLA VINCENZI")</f>
        <v>PAOLA VINCENZI</v>
      </c>
      <c r="B13311" s="17" t="str">
        <f>HYPERLINK("https://otsuka-europe-crm.veevavault.com/ui/#object/vcountry__v/VENZ000004SONFQ", "IT")</f>
        <v>IT</v>
      </c>
      <c r="C13311" s="20" t="s">
        <v>44</v>
      </c>
      <c r="D13311" s="21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E13311" s="22" t="str">
        <f>HYPERLINK("https://otsuka-europe-crm.veevavault.com/ui/#object/sent_email__v/VBL00000002Y125", "SE-001438784")</f>
        <v>SE-001438784</v>
      </c>
      <c r="F13311" s="23">
        <v>46202.849351851852</v>
      </c>
      <c r="G13311" s="24">
        <v>1</v>
      </c>
      <c r="H13311" s="24">
        <v>1</v>
      </c>
      <c r="I13311" s="24">
        <v>0</v>
      </c>
      <c r="J13311" s="25"/>
      <c r="K13311" s="24">
        <v>0</v>
      </c>
      <c r="L13311" s="22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M13311" s="22" t="str">
        <f>HYPERLINK("mailto:nicola.fiorese@crm.otsuka-europe.com", "nicola.fiorese@crm.otsuka-europe.com")</f>
        <v>nicola.fiorese@crm.otsuka-europe.com</v>
      </c>
      <c r="N13311" s="23">
        <v>46202.730555555558</v>
      </c>
      <c r="O13311" s="14" t="str">
        <f>HYPERLINK("https://otsuka-europe-crm.veevavault.com/ui/#object/email_activity__v/V8C000000042445", "EN-002100610")</f>
        <v>EN-002100610</v>
      </c>
    </row>
    <row r="13312" spans="1:15" ht="16" x14ac:dyDescent="0.2">
      <c r="A13312" s="19"/>
      <c r="B13312" s="19"/>
      <c r="C13312" s="19"/>
      <c r="D13312" s="19"/>
      <c r="E13312" s="19"/>
      <c r="F13312" s="19"/>
      <c r="G13312" s="19"/>
      <c r="H13312" s="19"/>
      <c r="I13312" s="19"/>
      <c r="J13312" s="19"/>
      <c r="K13312" s="19"/>
      <c r="L13312" s="19"/>
      <c r="M13312" s="19"/>
      <c r="N13312" s="19"/>
      <c r="O13312" s="14" t="str">
        <f>HYPERLINK("https://otsuka-europe-crm.veevavault.com/ui/#object/email_activity__v/V8C000000042463", "EN-002100640")</f>
        <v>EN-002100640</v>
      </c>
    </row>
    <row r="13313" spans="1:15" ht="80" x14ac:dyDescent="0.2">
      <c r="A13313" s="7" t="str">
        <f>HYPERLINK("https://otsuka-europe-crm.veevavault.com/ui/#object/account__v/V4T00000000X157", "ROSSELLA VIRGILLITO")</f>
        <v>ROSSELLA VIRGILLITO</v>
      </c>
      <c r="B13313" s="7" t="str">
        <f>HYPERLINK("https://otsuka-europe-crm.veevavault.com/ui/#object/vcountry__v/VENZ000004SONFQ", "IT")</f>
        <v>IT</v>
      </c>
      <c r="C13313" s="8" t="s">
        <v>44</v>
      </c>
      <c r="D13313" s="9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E13313" s="10" t="str">
        <f>HYPERLINK("https://otsuka-europe-crm.veevavault.com/ui/#object/sent_email__v/VBL00000002Z298", "SE-001438785")</f>
        <v>SE-001438785</v>
      </c>
      <c r="F13313" s="11"/>
      <c r="G13313" s="12">
        <v>0</v>
      </c>
      <c r="H13313" s="12">
        <v>0</v>
      </c>
      <c r="I13313" s="12">
        <v>0</v>
      </c>
      <c r="J13313" s="11"/>
      <c r="K13313" s="12">
        <v>0</v>
      </c>
      <c r="L13313" s="10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M13313" s="10" t="str">
        <f>HYPERLINK("mailto:nicola.fiorese@crm.otsuka-europe.com", "nicola.fiorese@crm.otsuka-europe.com")</f>
        <v>nicola.fiorese@crm.otsuka-europe.com</v>
      </c>
      <c r="N13313" s="13">
        <v>46202.730810185189</v>
      </c>
      <c r="O13313" s="14" t="str">
        <f>HYPERLINK("https://otsuka-europe-crm.veevavault.com/ui/#object/email_activity__v/V8C000000042446", "EN-002100611")</f>
        <v>EN-002100611</v>
      </c>
    </row>
    <row r="13314" spans="1:15" ht="80" x14ac:dyDescent="0.2">
      <c r="A13314" s="7" t="str">
        <f>HYPERLINK("https://otsuka-europe-crm.veevavault.com/ui/#object/account__v/V4T00000001X236", "FABIO VITA")</f>
        <v>FABIO VITA</v>
      </c>
      <c r="B13314" s="7" t="str">
        <f>HYPERLINK("https://otsuka-europe-crm.veevavault.com/ui/#object/vcountry__v/VENZ000004SONFQ", "IT")</f>
        <v>IT</v>
      </c>
      <c r="C13314" s="8" t="s">
        <v>44</v>
      </c>
      <c r="D13314" s="9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E13314" s="10" t="str">
        <f>HYPERLINK("https://otsuka-europe-crm.veevavault.com/ui/#object/sent_email__v/VBL00000002Y126", "SE-001438786")</f>
        <v>SE-001438786</v>
      </c>
      <c r="F13314" s="11"/>
      <c r="G13314" s="12">
        <v>0</v>
      </c>
      <c r="H13314" s="12">
        <v>0</v>
      </c>
      <c r="I13314" s="12">
        <v>0</v>
      </c>
      <c r="J13314" s="11"/>
      <c r="K13314" s="12">
        <v>0</v>
      </c>
      <c r="L13314" s="10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M13314" s="10" t="str">
        <f>HYPERLINK("mailto:nicola.fiorese@crm.otsuka-europe.com", "nicola.fiorese@crm.otsuka-europe.com")</f>
        <v>nicola.fiorese@crm.otsuka-europe.com</v>
      </c>
      <c r="N13314" s="13">
        <v>46202.730949074074</v>
      </c>
      <c r="O13314" s="14" t="str">
        <f>HYPERLINK("https://otsuka-europe-crm.veevavault.com/ui/#object/email_activity__v/V8C000000042448", "EN-002100613")</f>
        <v>EN-002100613</v>
      </c>
    </row>
    <row r="13315" spans="1:15" ht="80" x14ac:dyDescent="0.2">
      <c r="A13315" s="7" t="str">
        <f>HYPERLINK("https://otsuka-europe-crm.veevavault.com/ui/#object/account__v/V4TZ06G6O71SCPJ", "MARIANGELA VITTO")</f>
        <v>MARIANGELA VITTO</v>
      </c>
      <c r="B13315" s="7" t="str">
        <f>HYPERLINK("https://otsuka-europe-crm.veevavault.com/ui/#object/vcountry__v/VENZ000004SONFQ", "IT")</f>
        <v>IT</v>
      </c>
      <c r="C13315" s="8" t="s">
        <v>44</v>
      </c>
      <c r="D13315" s="9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E13315" s="10" t="str">
        <f>HYPERLINK("https://otsuka-europe-crm.veevavault.com/ui/#object/sent_email__v/VBL00000002Y127", "SE-001438787")</f>
        <v>SE-001438787</v>
      </c>
      <c r="F13315" s="11"/>
      <c r="G13315" s="12">
        <v>0</v>
      </c>
      <c r="H13315" s="12">
        <v>0</v>
      </c>
      <c r="I13315" s="12">
        <v>0</v>
      </c>
      <c r="J13315" s="11"/>
      <c r="K13315" s="12">
        <v>0</v>
      </c>
      <c r="L13315" s="10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M13315" s="10" t="str">
        <f>HYPERLINK("mailto:nicola.fiorese@crm.otsuka-europe.com", "nicola.fiorese@crm.otsuka-europe.com")</f>
        <v>nicola.fiorese@crm.otsuka-europe.com</v>
      </c>
      <c r="N13315" s="13">
        <v>46202.731261574074</v>
      </c>
      <c r="O13315" s="14" t="str">
        <f>HYPERLINK("https://otsuka-europe-crm.veevavault.com/ui/#object/email_activity__v/V8C000000042450", "EN-002100615")</f>
        <v>EN-002100615</v>
      </c>
    </row>
    <row r="13316" spans="1:15" ht="80" x14ac:dyDescent="0.2">
      <c r="A13316" s="7" t="str">
        <f>HYPERLINK("https://otsuka-europe-crm.veevavault.com/ui/#object/account__v/V4TZ06G6O71S9D0", "ELISA ZAMPIERI")</f>
        <v>ELISA ZAMPIERI</v>
      </c>
      <c r="B13316" s="7" t="str">
        <f>HYPERLINK("https://otsuka-europe-crm.veevavault.com/ui/#object/vcountry__v/VENZ000004SONFQ", "IT")</f>
        <v>IT</v>
      </c>
      <c r="C13316" s="8" t="s">
        <v>44</v>
      </c>
      <c r="D13316" s="9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E13316" s="10" t="str">
        <f>HYPERLINK("https://otsuka-europe-crm.veevavault.com/ui/#object/sent_email__v/VBL00000002Y128", "SE-001438788")</f>
        <v>SE-001438788</v>
      </c>
      <c r="F13316" s="11"/>
      <c r="G13316" s="12">
        <v>0</v>
      </c>
      <c r="H13316" s="12">
        <v>0</v>
      </c>
      <c r="I13316" s="12">
        <v>0</v>
      </c>
      <c r="J13316" s="11"/>
      <c r="K13316" s="12">
        <v>0</v>
      </c>
      <c r="L13316" s="10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M13316" s="10" t="str">
        <f>HYPERLINK("mailto:nicola.fiorese@crm.otsuka-europe.com", "nicola.fiorese@crm.otsuka-europe.com")</f>
        <v>nicola.fiorese@crm.otsuka-europe.com</v>
      </c>
      <c r="N13316" s="13">
        <v>46202.731377314813</v>
      </c>
      <c r="O13316" s="14" t="str">
        <f>HYPERLINK("https://otsuka-europe-crm.veevavault.com/ui/#object/email_activity__v/V8C000000042449", "EN-002100614")</f>
        <v>EN-002100614</v>
      </c>
    </row>
    <row r="13317" spans="1:15" ht="16" x14ac:dyDescent="0.2">
      <c r="A13317" s="17" t="str">
        <f>HYPERLINK("https://otsuka-europe-crm.veevavault.com/ui/#object/account__v/V4TZ025E85CTKNA", "SILVIA ZANABONI")</f>
        <v>SILVIA ZANABONI</v>
      </c>
      <c r="B13317" s="17" t="str">
        <f>HYPERLINK("https://otsuka-europe-crm.veevavault.com/ui/#object/vcountry__v/VENZ000004SONFQ", "IT")</f>
        <v>IT</v>
      </c>
      <c r="C13317" s="20" t="s">
        <v>44</v>
      </c>
      <c r="D13317" s="21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E13317" s="22" t="str">
        <f>HYPERLINK("https://otsuka-europe-crm.veevavault.com/ui/#object/sent_email__v/VBL00000002Z299", "SE-001438789")</f>
        <v>SE-001438789</v>
      </c>
      <c r="F13317" s="23">
        <v>46203.311655092592</v>
      </c>
      <c r="G13317" s="24">
        <v>1</v>
      </c>
      <c r="H13317" s="24">
        <v>2</v>
      </c>
      <c r="I13317" s="24">
        <v>0</v>
      </c>
      <c r="J13317" s="25"/>
      <c r="K13317" s="24">
        <v>0</v>
      </c>
      <c r="L13317" s="22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M13317" s="22" t="str">
        <f>HYPERLINK("mailto:nicola.fiorese@crm.otsuka-europe.com", "nicola.fiorese@crm.otsuka-europe.com")</f>
        <v>nicola.fiorese@crm.otsuka-europe.com</v>
      </c>
      <c r="N13317" s="23">
        <v>46202.731608796297</v>
      </c>
      <c r="O13317" s="14" t="str">
        <f>HYPERLINK("https://otsuka-europe-crm.veevavault.com/ui/#object/email_activity__v/V8C000000041489", "EN-002100638")</f>
        <v>EN-002100638</v>
      </c>
    </row>
    <row r="13318" spans="1:15" ht="16" x14ac:dyDescent="0.2">
      <c r="A13318" s="18"/>
      <c r="B13318" s="18"/>
      <c r="C13318" s="18"/>
      <c r="D13318" s="18"/>
      <c r="E13318" s="18"/>
      <c r="F13318" s="18"/>
      <c r="G13318" s="18"/>
      <c r="H13318" s="18"/>
      <c r="I13318" s="18"/>
      <c r="J13318" s="18"/>
      <c r="K13318" s="18"/>
      <c r="L13318" s="18"/>
      <c r="M13318" s="18"/>
      <c r="N13318" s="18"/>
      <c r="O13318" s="14" t="str">
        <f>HYPERLINK("https://otsuka-europe-crm.veevavault.com/ui/#object/email_activity__v/V8C000000041506", "EN-002100668")</f>
        <v>EN-002100668</v>
      </c>
    </row>
    <row r="13319" spans="1:15" ht="16" x14ac:dyDescent="0.2">
      <c r="A13319" s="19"/>
      <c r="B13319" s="19"/>
      <c r="C13319" s="19"/>
      <c r="D13319" s="19"/>
      <c r="E13319" s="19"/>
      <c r="F13319" s="19"/>
      <c r="G13319" s="19"/>
      <c r="H13319" s="19"/>
      <c r="I13319" s="19"/>
      <c r="J13319" s="19"/>
      <c r="K13319" s="19"/>
      <c r="L13319" s="19"/>
      <c r="M13319" s="19"/>
      <c r="N13319" s="19"/>
      <c r="O13319" s="14" t="str">
        <f>HYPERLINK("https://otsuka-europe-crm.veevavault.com/ui/#object/email_activity__v/V8C000000042451", "EN-002100616")</f>
        <v>EN-002100616</v>
      </c>
    </row>
    <row r="13320" spans="1:15" ht="80" x14ac:dyDescent="0.2">
      <c r="A13320" s="7" t="str">
        <f>HYPERLINK("https://otsuka-europe-crm.veevavault.com/ui/#object/account__v/V4TZ06G6O71S9RI", "SILVIO ZANARDELLI")</f>
        <v>SILVIO ZANARDELLI</v>
      </c>
      <c r="B13320" s="7" t="str">
        <f>HYPERLINK("https://otsuka-europe-crm.veevavault.com/ui/#object/vcountry__v/VENZ000004SONFQ", "IT")</f>
        <v>IT</v>
      </c>
      <c r="C13320" s="8" t="s">
        <v>44</v>
      </c>
      <c r="D13320" s="9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E13320" s="10" t="str">
        <f>HYPERLINK("https://otsuka-europe-crm.veevavault.com/ui/#object/sent_email__v/VBL00000002Y129", "SE-001438790")</f>
        <v>SE-001438790</v>
      </c>
      <c r="F13320" s="11"/>
      <c r="G13320" s="12">
        <v>0</v>
      </c>
      <c r="H13320" s="12">
        <v>0</v>
      </c>
      <c r="I13320" s="12">
        <v>0</v>
      </c>
      <c r="J13320" s="11"/>
      <c r="K13320" s="12">
        <v>0</v>
      </c>
      <c r="L13320" s="10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M13320" s="10" t="str">
        <f>HYPERLINK("mailto:nicola.fiorese@crm.otsuka-europe.com", "nicola.fiorese@crm.otsuka-europe.com")</f>
        <v>nicola.fiorese@crm.otsuka-europe.com</v>
      </c>
      <c r="N13320" s="13">
        <v>46202.731840277775</v>
      </c>
      <c r="O13320" s="14" t="str">
        <f>HYPERLINK("https://otsuka-europe-crm.veevavault.com/ui/#object/email_activity__v/V8C000000042452", "EN-002100617")</f>
        <v>EN-002100617</v>
      </c>
    </row>
    <row r="13321" spans="1:15" ht="16" x14ac:dyDescent="0.2">
      <c r="A13321" s="17" t="str">
        <f>HYPERLINK("https://otsuka-europe-crm.veevavault.com/ui/#object/account__v/V4T00000001X036", "COSTANZA ZANINI")</f>
        <v>COSTANZA ZANINI</v>
      </c>
      <c r="B13321" s="17" t="str">
        <f>HYPERLINK("https://otsuka-europe-crm.veevavault.com/ui/#object/vcountry__v/VENZ000004SONFQ", "IT")</f>
        <v>IT</v>
      </c>
      <c r="C13321" s="20" t="s">
        <v>44</v>
      </c>
      <c r="D13321" s="21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E13321" s="22" t="str">
        <f>HYPERLINK("https://otsuka-europe-crm.veevavault.com/ui/#object/sent_email__v/VBL00000002Y130", "SE-001438791")</f>
        <v>SE-001438791</v>
      </c>
      <c r="F13321" s="23">
        <v>46203.453136574077</v>
      </c>
      <c r="G13321" s="24">
        <v>1</v>
      </c>
      <c r="H13321" s="24">
        <v>2</v>
      </c>
      <c r="I13321" s="24">
        <v>1</v>
      </c>
      <c r="J13321" s="23">
        <v>46203.453703703701</v>
      </c>
      <c r="K13321" s="24">
        <v>1</v>
      </c>
      <c r="L13321" s="22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M13321" s="22" t="str">
        <f>HYPERLINK("mailto:nicola.fiorese@crm.otsuka-europe.com", "nicola.fiorese@crm.otsuka-europe.com")</f>
        <v>nicola.fiorese@crm.otsuka-europe.com</v>
      </c>
      <c r="N13321" s="23">
        <v>46202.732303240744</v>
      </c>
      <c r="O13321" s="14" t="str">
        <f>HYPERLINK("https://otsuka-europe-crm.veevavault.com/ui/#object/email_activity__v/V8C000000041482", "EN-002100624")</f>
        <v>EN-002100624</v>
      </c>
    </row>
    <row r="13322" spans="1:15" ht="16" x14ac:dyDescent="0.2">
      <c r="A13322" s="18"/>
      <c r="B13322" s="18"/>
      <c r="C13322" s="18"/>
      <c r="D13322" s="18"/>
      <c r="E13322" s="18"/>
      <c r="F13322" s="18"/>
      <c r="G13322" s="18"/>
      <c r="H13322" s="18"/>
      <c r="I13322" s="18"/>
      <c r="J13322" s="18"/>
      <c r="K13322" s="18"/>
      <c r="L13322" s="18"/>
      <c r="M13322" s="18"/>
      <c r="N13322" s="18"/>
      <c r="O13322" s="14" t="str">
        <f>HYPERLINK("https://otsuka-europe-crm.veevavault.com/ui/#object/email_activity__v/V8C000000041590", "EN-002100824")</f>
        <v>EN-002100824</v>
      </c>
    </row>
    <row r="13323" spans="1:15" ht="16" x14ac:dyDescent="0.2">
      <c r="A13323" s="18"/>
      <c r="B13323" s="18"/>
      <c r="C13323" s="18"/>
      <c r="D13323" s="18"/>
      <c r="E13323" s="18"/>
      <c r="F13323" s="18"/>
      <c r="G13323" s="18"/>
      <c r="H13323" s="18"/>
      <c r="I13323" s="18"/>
      <c r="J13323" s="18"/>
      <c r="K13323" s="18"/>
      <c r="L13323" s="18"/>
      <c r="M13323" s="18"/>
      <c r="N13323" s="18"/>
      <c r="O13323" s="14" t="str">
        <f>HYPERLINK("https://otsuka-europe-crm.veevavault.com/ui/#object/email_activity__v/V8C000000042453", "EN-002100618")</f>
        <v>EN-002100618</v>
      </c>
    </row>
    <row r="13324" spans="1:15" ht="16" x14ac:dyDescent="0.2">
      <c r="A13324" s="19"/>
      <c r="B13324" s="19"/>
      <c r="C13324" s="19"/>
      <c r="D13324" s="19"/>
      <c r="E13324" s="19"/>
      <c r="F13324" s="19"/>
      <c r="G13324" s="19"/>
      <c r="H13324" s="19"/>
      <c r="I13324" s="19"/>
      <c r="J13324" s="19"/>
      <c r="K13324" s="19"/>
      <c r="L13324" s="19"/>
      <c r="M13324" s="19"/>
      <c r="N13324" s="19"/>
      <c r="O13324" s="14" t="str">
        <f>HYPERLINK("https://otsuka-europe-crm.veevavault.com/ui/#object/email_activity__v/V8C000000042550", "EN-002100823")</f>
        <v>EN-002100823</v>
      </c>
    </row>
    <row r="13325" spans="1:15" ht="32" x14ac:dyDescent="0.2">
      <c r="A13325" s="7" t="str">
        <f>HYPERLINK("https://otsuka-europe-crm.veevavault.com/ui/#object/account__v/V4T000000029033", "GIOVANNI VITA")</f>
        <v>GIOVANNI VITA</v>
      </c>
      <c r="B13325" s="7" t="str">
        <f>HYPERLINK("https://otsuka-europe-crm.veevavault.com/ui/#object/vcountry__v/VENZ000004SONFQ", "IT")</f>
        <v>IT</v>
      </c>
      <c r="C13325" s="8" t="s">
        <v>44</v>
      </c>
      <c r="D13325" s="9" t="str">
        <f>HYPERLINK("https://otsuka-europe-crm.veevavault.com/ui/#object/approved_document__v/V5OZ06G6O6RG2EV", "IT Veeva Privacy Notice Email")</f>
        <v>IT Veeva Privacy Notice Email</v>
      </c>
      <c r="E13325" s="10" t="str">
        <f>HYPERLINK("https://otsuka-europe-crm.veevavault.com/ui/#object/sent_email__v/VBL00000002Y131", "SE-001438792")</f>
        <v>SE-001438792</v>
      </c>
      <c r="F13325" s="11"/>
      <c r="G13325" s="12">
        <v>0</v>
      </c>
      <c r="H13325" s="12">
        <v>0</v>
      </c>
      <c r="I13325" s="12">
        <v>0</v>
      </c>
      <c r="J13325" s="11"/>
      <c r="K13325" s="12">
        <v>0</v>
      </c>
      <c r="L13325" s="10" t="str">
        <f>HYPERLINK("https://otsuka-europe-crm.veevavault.com/ui/#object/approved_document__v/V5OZ06G6O6RG2EV", "IT Veeva Privacy Notice Email")</f>
        <v>IT Veeva Privacy Notice Email</v>
      </c>
      <c r="M13325" s="10" t="str">
        <f>HYPERLINK("mailto:laura.mallia@crm.otsuka-europe.com", "laura.mallia@crm.otsuka-europe.com")</f>
        <v>laura.mallia@crm.otsuka-europe.com</v>
      </c>
      <c r="N13325" s="13">
        <v>46202.732361111113</v>
      </c>
      <c r="O13325" s="14" t="str">
        <f>HYPERLINK("https://otsuka-europe-crm.veevavault.com/ui/#object/email_activity__v/V8C000000042454", "EN-002100619")</f>
        <v>EN-002100619</v>
      </c>
    </row>
    <row r="13326" spans="1:15" ht="80" x14ac:dyDescent="0.2">
      <c r="A13326" s="7" t="str">
        <f>HYPERLINK("https://otsuka-europe-crm.veevavault.com/ui/#object/account__v/V4T00000001W035", "DANIELA ZARDINI")</f>
        <v>DANIELA ZARDINI</v>
      </c>
      <c r="B13326" s="7" t="str">
        <f>HYPERLINK("https://otsuka-europe-crm.veevavault.com/ui/#object/vcountry__v/VENZ000004SONFQ", "IT")</f>
        <v>IT</v>
      </c>
      <c r="C13326" s="8" t="s">
        <v>44</v>
      </c>
      <c r="D13326" s="9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E13326" s="10" t="str">
        <f>HYPERLINK("https://otsuka-europe-crm.veevavault.com/ui/#object/sent_email__v/VBL00000002Y132", "SE-001438793")</f>
        <v>SE-001438793</v>
      </c>
      <c r="F13326" s="11"/>
      <c r="G13326" s="12">
        <v>0</v>
      </c>
      <c r="H13326" s="12">
        <v>0</v>
      </c>
      <c r="I13326" s="12">
        <v>0</v>
      </c>
      <c r="J13326" s="11"/>
      <c r="K13326" s="12">
        <v>0</v>
      </c>
      <c r="L13326" s="10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M13326" s="10" t="str">
        <f>HYPERLINK("mailto:nicola.fiorese@crm.otsuka-europe.com", "nicola.fiorese@crm.otsuka-europe.com")</f>
        <v>nicola.fiorese@crm.otsuka-europe.com</v>
      </c>
      <c r="N13326" s="13">
        <v>46202.732430555552</v>
      </c>
      <c r="O13326" s="14" t="str">
        <f>HYPERLINK("https://otsuka-europe-crm.veevavault.com/ui/#object/email_activity__v/V8C000000042455", "EN-002100621")</f>
        <v>EN-002100621</v>
      </c>
    </row>
    <row r="13327" spans="1:15" ht="16" x14ac:dyDescent="0.2">
      <c r="A13327" s="17" t="str">
        <f>HYPERLINK("https://otsuka-europe-crm.veevavault.com/ui/#object/account__v/V4TZ06G6O71SCS4", "ANTONIO ZONIN")</f>
        <v>ANTONIO ZONIN</v>
      </c>
      <c r="B13327" s="17" t="str">
        <f>HYPERLINK("https://otsuka-europe-crm.veevavault.com/ui/#object/vcountry__v/VENZ000004SONFQ", "IT")</f>
        <v>IT</v>
      </c>
      <c r="C13327" s="20" t="s">
        <v>44</v>
      </c>
      <c r="D13327" s="21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E13327" s="22" t="str">
        <f>HYPERLINK("https://otsuka-europe-crm.veevavault.com/ui/#object/sent_email__v/VBL00000002Z300", "SE-001438794")</f>
        <v>SE-001438794</v>
      </c>
      <c r="F13327" s="23">
        <v>46203.235752314817</v>
      </c>
      <c r="G13327" s="24">
        <v>1</v>
      </c>
      <c r="H13327" s="24">
        <v>8</v>
      </c>
      <c r="I13327" s="24">
        <v>0</v>
      </c>
      <c r="J13327" s="25"/>
      <c r="K13327" s="24">
        <v>0</v>
      </c>
      <c r="L13327" s="22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M13327" s="22" t="str">
        <f>HYPERLINK("mailto:nicola.fiorese@crm.otsuka-europe.com", "nicola.fiorese@crm.otsuka-europe.com")</f>
        <v>nicola.fiorese@crm.otsuka-europe.com</v>
      </c>
      <c r="N13327" s="23">
        <v>46202.732673611114</v>
      </c>
      <c r="O13327" s="14" t="str">
        <f>HYPERLINK("https://otsuka-europe-crm.veevavault.com/ui/#object/email_activity__v/V8C000000041480", "EN-002100622")</f>
        <v>EN-002100622</v>
      </c>
    </row>
    <row r="13328" spans="1:15" ht="16" x14ac:dyDescent="0.2">
      <c r="A13328" s="18"/>
      <c r="B13328" s="18"/>
      <c r="C13328" s="18"/>
      <c r="D13328" s="18"/>
      <c r="E13328" s="18"/>
      <c r="F13328" s="18"/>
      <c r="G13328" s="18"/>
      <c r="H13328" s="18"/>
      <c r="I13328" s="18"/>
      <c r="J13328" s="18"/>
      <c r="K13328" s="18"/>
      <c r="L13328" s="18"/>
      <c r="M13328" s="18"/>
      <c r="N13328" s="18"/>
      <c r="O13328" s="14" t="str">
        <f>HYPERLINK("https://otsuka-europe-crm.veevavault.com/ui/#object/email_activity__v/V8C000000041487", "EN-002100632")</f>
        <v>EN-002100632</v>
      </c>
    </row>
    <row r="13329" spans="1:15" ht="16" x14ac:dyDescent="0.2">
      <c r="A13329" s="18"/>
      <c r="B13329" s="18"/>
      <c r="C13329" s="18"/>
      <c r="D13329" s="18"/>
      <c r="E13329" s="18"/>
      <c r="F13329" s="18"/>
      <c r="G13329" s="18"/>
      <c r="H13329" s="18"/>
      <c r="I13329" s="18"/>
      <c r="J13329" s="18"/>
      <c r="K13329" s="18"/>
      <c r="L13329" s="18"/>
      <c r="M13329" s="18"/>
      <c r="N13329" s="18"/>
      <c r="O13329" s="14" t="str">
        <f>HYPERLINK("https://otsuka-europe-crm.veevavault.com/ui/#object/email_activity__v/V8C000000041501", "EN-002100659")</f>
        <v>EN-002100659</v>
      </c>
    </row>
    <row r="13330" spans="1:15" ht="16" x14ac:dyDescent="0.2">
      <c r="A13330" s="18"/>
      <c r="B13330" s="18"/>
      <c r="C13330" s="18"/>
      <c r="D13330" s="18"/>
      <c r="E13330" s="18"/>
      <c r="F13330" s="18"/>
      <c r="G13330" s="18"/>
      <c r="H13330" s="18"/>
      <c r="I13330" s="18"/>
      <c r="J13330" s="18"/>
      <c r="K13330" s="18"/>
      <c r="L13330" s="18"/>
      <c r="M13330" s="18"/>
      <c r="N13330" s="18"/>
      <c r="O13330" s="14" t="str">
        <f>HYPERLINK("https://otsuka-europe-crm.veevavault.com/ui/#object/email_activity__v/V8C000000042458", "EN-002100631")</f>
        <v>EN-002100631</v>
      </c>
    </row>
    <row r="13331" spans="1:15" ht="16" x14ac:dyDescent="0.2">
      <c r="A13331" s="18"/>
      <c r="B13331" s="18"/>
      <c r="C13331" s="18"/>
      <c r="D13331" s="18"/>
      <c r="E13331" s="18"/>
      <c r="F13331" s="18"/>
      <c r="G13331" s="18"/>
      <c r="H13331" s="18"/>
      <c r="I13331" s="18"/>
      <c r="J13331" s="18"/>
      <c r="K13331" s="18"/>
      <c r="L13331" s="18"/>
      <c r="M13331" s="18"/>
      <c r="N13331" s="18"/>
      <c r="O13331" s="14" t="str">
        <f>HYPERLINK("https://otsuka-europe-crm.veevavault.com/ui/#object/email_activity__v/V8C000000042459", "EN-002100633")</f>
        <v>EN-002100633</v>
      </c>
    </row>
    <row r="13332" spans="1:15" ht="16" x14ac:dyDescent="0.2">
      <c r="A13332" s="18"/>
      <c r="B13332" s="18"/>
      <c r="C13332" s="18"/>
      <c r="D13332" s="18"/>
      <c r="E13332" s="18"/>
      <c r="F13332" s="18"/>
      <c r="G13332" s="18"/>
      <c r="H13332" s="18"/>
      <c r="I13332" s="18"/>
      <c r="J13332" s="18"/>
      <c r="K13332" s="18"/>
      <c r="L13332" s="18"/>
      <c r="M13332" s="18"/>
      <c r="N13332" s="18"/>
      <c r="O13332" s="14" t="str">
        <f>HYPERLINK("https://otsuka-europe-crm.veevavault.com/ui/#object/email_activity__v/V8C000000042460", "EN-002100634")</f>
        <v>EN-002100634</v>
      </c>
    </row>
    <row r="13333" spans="1:15" ht="16" x14ac:dyDescent="0.2">
      <c r="A13333" s="18"/>
      <c r="B13333" s="18"/>
      <c r="C13333" s="18"/>
      <c r="D13333" s="18"/>
      <c r="E13333" s="18"/>
      <c r="F13333" s="18"/>
      <c r="G13333" s="18"/>
      <c r="H13333" s="18"/>
      <c r="I13333" s="18"/>
      <c r="J13333" s="18"/>
      <c r="K13333" s="18"/>
      <c r="L13333" s="18"/>
      <c r="M13333" s="18"/>
      <c r="N13333" s="18"/>
      <c r="O13333" s="14" t="str">
        <f>HYPERLINK("https://otsuka-europe-crm.veevavault.com/ui/#object/email_activity__v/V8C000000042461", "EN-002100635")</f>
        <v>EN-002100635</v>
      </c>
    </row>
    <row r="13334" spans="1:15" ht="16" x14ac:dyDescent="0.2">
      <c r="A13334" s="18"/>
      <c r="B13334" s="18"/>
      <c r="C13334" s="18"/>
      <c r="D13334" s="18"/>
      <c r="E13334" s="18"/>
      <c r="F13334" s="18"/>
      <c r="G13334" s="18"/>
      <c r="H13334" s="18"/>
      <c r="I13334" s="18"/>
      <c r="J13334" s="18"/>
      <c r="K13334" s="18"/>
      <c r="L13334" s="18"/>
      <c r="M13334" s="18"/>
      <c r="N13334" s="18"/>
      <c r="O13334" s="14" t="str">
        <f>HYPERLINK("https://otsuka-europe-crm.veevavault.com/ui/#object/email_activity__v/V8C000000042462", "EN-002100636")</f>
        <v>EN-002100636</v>
      </c>
    </row>
    <row r="13335" spans="1:15" ht="16" x14ac:dyDescent="0.2">
      <c r="A13335" s="19"/>
      <c r="B13335" s="19"/>
      <c r="C13335" s="19"/>
      <c r="D13335" s="19"/>
      <c r="E13335" s="19"/>
      <c r="F13335" s="19"/>
      <c r="G13335" s="19"/>
      <c r="H13335" s="19"/>
      <c r="I13335" s="19"/>
      <c r="J13335" s="19"/>
      <c r="K13335" s="19"/>
      <c r="L13335" s="19"/>
      <c r="M13335" s="19"/>
      <c r="N13335" s="19"/>
      <c r="O13335" s="14" t="str">
        <f>HYPERLINK("https://otsuka-europe-crm.veevavault.com/ui/#object/email_activity__v/V8C000000042471", "EN-002100658")</f>
        <v>EN-002100658</v>
      </c>
    </row>
    <row r="13336" spans="1:15" ht="80" x14ac:dyDescent="0.2">
      <c r="A13336" s="7" t="str">
        <f>HYPERLINK("https://otsuka-europe-crm.veevavault.com/ui/#object/account__v/V4TZ06G6O71SCSA", "DENISE ZUBANI")</f>
        <v>DENISE ZUBANI</v>
      </c>
      <c r="B13336" s="7" t="str">
        <f>HYPERLINK("https://otsuka-europe-crm.veevavault.com/ui/#object/vcountry__v/VENZ000004SONFQ", "IT")</f>
        <v>IT</v>
      </c>
      <c r="C13336" s="8" t="s">
        <v>44</v>
      </c>
      <c r="D13336" s="9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E13336" s="10" t="str">
        <f>HYPERLINK("https://otsuka-europe-crm.veevavault.com/ui/#object/sent_email__v/VBL00000002Y133", "SE-001438795")</f>
        <v>SE-001438795</v>
      </c>
      <c r="F13336" s="11"/>
      <c r="G13336" s="12">
        <v>0</v>
      </c>
      <c r="H13336" s="12">
        <v>0</v>
      </c>
      <c r="I13336" s="12">
        <v>0</v>
      </c>
      <c r="J13336" s="11"/>
      <c r="K13336" s="12">
        <v>0</v>
      </c>
      <c r="L13336" s="10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M13336" s="10" t="str">
        <f>HYPERLINK("mailto:nicola.fiorese@crm.otsuka-europe.com", "nicola.fiorese@crm.otsuka-europe.com")</f>
        <v>nicola.fiorese@crm.otsuka-europe.com</v>
      </c>
      <c r="N13336" s="13">
        <v>46202.732812499999</v>
      </c>
      <c r="O13336" s="14" t="str">
        <f>HYPERLINK("https://otsuka-europe-crm.veevavault.com/ui/#object/email_activity__v/V8C000000041481", "EN-002100623")</f>
        <v>EN-002100623</v>
      </c>
    </row>
    <row r="13337" spans="1:15" ht="32" x14ac:dyDescent="0.2">
      <c r="A13337" s="7" t="str">
        <f>HYPERLINK("https://otsuka-europe-crm.veevavault.com/ui/#object/account__v/V4TZ00000633LW3", "MARIA MAGDALENA CONSTANTIN")</f>
        <v>MARIA MAGDALENA CONSTANTIN</v>
      </c>
      <c r="B13337" s="7" t="str">
        <f>HYPERLINK("https://otsuka-europe-crm.veevavault.com/ui/#object/vcountry__v/VENZ000004SONFA", "FR")</f>
        <v>FR</v>
      </c>
      <c r="C13337" s="8" t="s">
        <v>42</v>
      </c>
      <c r="D13337" s="9" t="str">
        <f>HYPERLINK("https://otsuka-europe-crm.veevavault.com/ui/#object/approved_document__v/V5OZ04ASG4G02Y6", "INVITATION_VAD_2023")</f>
        <v>INVITATION_VAD_2023</v>
      </c>
      <c r="E13337" s="10" t="str">
        <f>HYPERLINK("https://otsuka-europe-crm.veevavault.com/ui/#object/sent_email__v/VBL00000002Y134", "SE-001438796")</f>
        <v>SE-001438796</v>
      </c>
      <c r="F13337" s="11"/>
      <c r="G13337" s="12">
        <v>0</v>
      </c>
      <c r="H13337" s="12">
        <v>0</v>
      </c>
      <c r="I13337" s="12">
        <v>0</v>
      </c>
      <c r="J13337" s="11"/>
      <c r="K13337" s="12">
        <v>0</v>
      </c>
      <c r="L13337" s="10" t="str">
        <f>HYPERLINK("https://otsuka-europe-crm.veevavault.com/ui/#object/approved_document__v/V5OZ04ASG4G02Y6", "INVITATION_VAD_2023")</f>
        <v>INVITATION_VAD_2023</v>
      </c>
      <c r="M13337" s="10" t="str">
        <f>HYPERLINK("mailto:sblancheland@crm.otsuka-europe.com", "sblancheland@crm.otsuka-europe.com")</f>
        <v>sblancheland@crm.otsuka-europe.com</v>
      </c>
      <c r="N13337" s="13">
        <v>46203.293969907405</v>
      </c>
      <c r="O13337" s="14" t="str">
        <f>HYPERLINK("https://otsuka-europe-crm.veevavault.com/ui/#object/email_activity__v/V8C000000042473", "EN-002100664")</f>
        <v>EN-002100664</v>
      </c>
    </row>
    <row r="13338" spans="1:15" ht="32" x14ac:dyDescent="0.2">
      <c r="A13338" s="7" t="str">
        <f>HYPERLINK("https://otsuka-europe-crm.veevavault.com/ui/#object/account__v/V4TZ025E85ECBXX", "EVELYNE VERNAY")</f>
        <v>EVELYNE VERNAY</v>
      </c>
      <c r="B13338" s="7" t="str">
        <f>HYPERLINK("https://otsuka-europe-crm.veevavault.com/ui/#object/vcountry__v/VENZ000004SONFA", "FR")</f>
        <v>FR</v>
      </c>
      <c r="C13338" s="8" t="s">
        <v>42</v>
      </c>
      <c r="D13338" s="9" t="str">
        <f>HYPERLINK("https://otsuka-europe-crm.veevavault.com/ui/#object/approved_document__v/V5OZ04ASG4G02Y6", "INVITATION_VAD_2023")</f>
        <v>INVITATION_VAD_2023</v>
      </c>
      <c r="E13338" s="10" t="str">
        <f>HYPERLINK("https://otsuka-europe-crm.veevavault.com/ui/#object/sent_email__v/VBL00000002Z301", "SE-001438797")</f>
        <v>SE-001438797</v>
      </c>
      <c r="F13338" s="11"/>
      <c r="G13338" s="12">
        <v>0</v>
      </c>
      <c r="H13338" s="12">
        <v>0</v>
      </c>
      <c r="I13338" s="12">
        <v>0</v>
      </c>
      <c r="J13338" s="11"/>
      <c r="K13338" s="12">
        <v>0</v>
      </c>
      <c r="L13338" s="10" t="str">
        <f>HYPERLINK("https://otsuka-europe-crm.veevavault.com/ui/#object/approved_document__v/V5OZ04ASG4G02Y6", "INVITATION_VAD_2023")</f>
        <v>INVITATION_VAD_2023</v>
      </c>
      <c r="M13338" s="10" t="str">
        <f>HYPERLINK("mailto:achabbal@crm.otsuka-europe.com", "achabbal@crm.otsuka-europe.com")</f>
        <v>achabbal@crm.otsuka-europe.com</v>
      </c>
      <c r="N13338" s="13">
        <v>46203.295717592591</v>
      </c>
      <c r="O13338" s="14" t="str">
        <f>HYPERLINK("https://otsuka-europe-crm.veevavault.com/ui/#object/email_activity__v/V8C000000042474", "EN-002100665")</f>
        <v>EN-002100665</v>
      </c>
    </row>
    <row r="13339" spans="1:15" ht="32" x14ac:dyDescent="0.2">
      <c r="A13339" s="7" t="str">
        <f>HYPERLINK("https://otsuka-europe-crm.veevavault.com/ui/#object/account__v/V4TZ025E85OJ6CH", "MARTA SITGES ARRIAGA")</f>
        <v>MARTA SITGES ARRIAGA</v>
      </c>
      <c r="B13339" s="7" t="str">
        <f t="shared" ref="B13339:B13352" si="967">HYPERLINK("https://otsuka-europe-crm.veevavault.com/ui/#object/vcountry__v/VENZ000004SONF5", "ES")</f>
        <v>ES</v>
      </c>
      <c r="C13339" s="8" t="s">
        <v>41</v>
      </c>
      <c r="D13339" s="9" t="str">
        <f>HYPERLINK("https://otsuka-europe-crm.veevavault.com/ui/#object/approved_document__v/V5O00000001R001", "INA - VAE Cierre ""Nos quedamos en Casa""")</f>
        <v>INA - VAE Cierre "Nos quedamos en Casa"</v>
      </c>
      <c r="E13339" s="10" t="str">
        <f>HYPERLINK("https://otsuka-europe-crm.veevavault.com/ui/#object/sent_email__v/VBL00000002Z302", "SE-001438798")</f>
        <v>SE-001438798</v>
      </c>
      <c r="F13339" s="11"/>
      <c r="G13339" s="12">
        <v>0</v>
      </c>
      <c r="H13339" s="12">
        <v>0</v>
      </c>
      <c r="I13339" s="12">
        <v>0</v>
      </c>
      <c r="J13339" s="11"/>
      <c r="K13339" s="12">
        <v>0</v>
      </c>
      <c r="L13339" s="10" t="str">
        <f>HYPERLINK("https://otsuka-europe-crm.veevavault.com/ui/#object/approved_document__v/V5O00000001R001", "INA - VAE Cierre ""Nos quedamos en Casa""")</f>
        <v>INA - VAE Cierre "Nos quedamos en Casa"</v>
      </c>
      <c r="M13339" s="10" t="str">
        <f t="shared" ref="M13339:M13352" si="968">HYPERLINK("mailto:gsammali@crm.otsuka-europe.com", "gsammali@crm.otsuka-europe.com")</f>
        <v>gsammali@crm.otsuka-europe.com</v>
      </c>
      <c r="N13339" s="13">
        <v>46203.342303240737</v>
      </c>
      <c r="O13339" s="14" t="str">
        <f>HYPERLINK("https://otsuka-europe-crm.veevavault.com/ui/#object/email_activity__v/V8C000000041516", "EN-002100683")</f>
        <v>EN-002100683</v>
      </c>
    </row>
    <row r="13340" spans="1:15" ht="32" x14ac:dyDescent="0.2">
      <c r="A13340" s="7" t="str">
        <f>HYPERLINK("https://otsuka-europe-crm.veevavault.com/ui/#object/account__v/V4TZ06G6O71TALS", "ROSA COLL JORDA")</f>
        <v>ROSA COLL JORDA</v>
      </c>
      <c r="B13340" s="7" t="str">
        <f t="shared" si="967"/>
        <v>ES</v>
      </c>
      <c r="C13340" s="8" t="s">
        <v>41</v>
      </c>
      <c r="D13340" s="9" t="str">
        <f>HYPERLINK("https://otsuka-europe-crm.veevavault.com/ui/#object/approved_document__v/V5O00000001R001", "INA - VAE Cierre ""Nos quedamos en Casa""")</f>
        <v>INA - VAE Cierre "Nos quedamos en Casa"</v>
      </c>
      <c r="E13340" s="10" t="str">
        <f>HYPERLINK("https://otsuka-europe-crm.veevavault.com/ui/#object/sent_email__v/VBL00000002Z303", "SE-001438799")</f>
        <v>SE-001438799</v>
      </c>
      <c r="F13340" s="11"/>
      <c r="G13340" s="12">
        <v>0</v>
      </c>
      <c r="H13340" s="12">
        <v>0</v>
      </c>
      <c r="I13340" s="12">
        <v>0</v>
      </c>
      <c r="J13340" s="11"/>
      <c r="K13340" s="12">
        <v>0</v>
      </c>
      <c r="L13340" s="10" t="str">
        <f>HYPERLINK("https://otsuka-europe-crm.veevavault.com/ui/#object/approved_document__v/V5O00000001R001", "INA - VAE Cierre ""Nos quedamos en Casa""")</f>
        <v>INA - VAE Cierre "Nos quedamos en Casa"</v>
      </c>
      <c r="M13340" s="10" t="str">
        <f t="shared" si="968"/>
        <v>gsammali@crm.otsuka-europe.com</v>
      </c>
      <c r="N13340" s="13">
        <v>46203.342303240737</v>
      </c>
      <c r="O13340" s="14" t="str">
        <f>HYPERLINK("https://otsuka-europe-crm.veevavault.com/ui/#object/email_activity__v/V8C000000041517", "EN-002100684")</f>
        <v>EN-002100684</v>
      </c>
    </row>
    <row r="13341" spans="1:15" ht="48" x14ac:dyDescent="0.2">
      <c r="A13341" s="7" t="str">
        <f>HYPERLINK("https://otsuka-europe-crm.veevavault.com/ui/#object/account__v/V4TZ025E85OJ6CH", "MARTA SITGES ARRIAGA")</f>
        <v>MARTA SITGES ARRIAGA</v>
      </c>
      <c r="B13341" s="7" t="str">
        <f t="shared" si="967"/>
        <v>ES</v>
      </c>
      <c r="C13341" s="8" t="s">
        <v>41</v>
      </c>
      <c r="D13341" s="9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13341" s="10" t="str">
        <f>HYPERLINK("https://otsuka-europe-crm.veevavault.com/ui/#object/sent_email__v/VBL00000002Z304", "SE-001438800")</f>
        <v>SE-001438800</v>
      </c>
      <c r="F13341" s="11"/>
      <c r="G13341" s="12">
        <v>0</v>
      </c>
      <c r="H13341" s="12">
        <v>0</v>
      </c>
      <c r="I13341" s="12">
        <v>0</v>
      </c>
      <c r="J13341" s="11"/>
      <c r="K13341" s="12">
        <v>0</v>
      </c>
      <c r="L13341" s="10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13341" s="10" t="str">
        <f t="shared" si="968"/>
        <v>gsammali@crm.otsuka-europe.com</v>
      </c>
      <c r="N13341" s="13">
        <v>46203.342303240737</v>
      </c>
      <c r="O13341" s="14" t="str">
        <f>HYPERLINK("https://otsuka-europe-crm.veevavault.com/ui/#object/email_activity__v/V8C000000041518", "EN-002100685")</f>
        <v>EN-002100685</v>
      </c>
    </row>
    <row r="13342" spans="1:15" ht="48" x14ac:dyDescent="0.2">
      <c r="A13342" s="7" t="str">
        <f>HYPERLINK("https://otsuka-europe-crm.veevavault.com/ui/#object/account__v/V4TZ06G6O71TALS", "ROSA COLL JORDA")</f>
        <v>ROSA COLL JORDA</v>
      </c>
      <c r="B13342" s="7" t="str">
        <f t="shared" si="967"/>
        <v>ES</v>
      </c>
      <c r="C13342" s="8" t="s">
        <v>41</v>
      </c>
      <c r="D13342" s="9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13342" s="10" t="str">
        <f>HYPERLINK("https://otsuka-europe-crm.veevavault.com/ui/#object/sent_email__v/VBL00000002Z305", "SE-001438801")</f>
        <v>SE-001438801</v>
      </c>
      <c r="F13342" s="11"/>
      <c r="G13342" s="12">
        <v>0</v>
      </c>
      <c r="H13342" s="12">
        <v>0</v>
      </c>
      <c r="I13342" s="12">
        <v>0</v>
      </c>
      <c r="J13342" s="11"/>
      <c r="K13342" s="12">
        <v>0</v>
      </c>
      <c r="L13342" s="10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13342" s="10" t="str">
        <f t="shared" si="968"/>
        <v>gsammali@crm.otsuka-europe.com</v>
      </c>
      <c r="N13342" s="13">
        <v>46203.342303240737</v>
      </c>
      <c r="O13342" s="14" t="str">
        <f>HYPERLINK("https://otsuka-europe-crm.veevavault.com/ui/#object/email_activity__v/V8C000000042480", "EN-002100682")</f>
        <v>EN-002100682</v>
      </c>
    </row>
    <row r="13343" spans="1:15" ht="32" x14ac:dyDescent="0.2">
      <c r="A13343" s="7" t="str">
        <f>HYPERLINK("https://otsuka-europe-crm.veevavault.com/ui/#object/account__v/V4TZ06G6O71TCMK", "SUSANA VIVES POLO")</f>
        <v>SUSANA VIVES POLO</v>
      </c>
      <c r="B13343" s="7" t="str">
        <f t="shared" si="967"/>
        <v>ES</v>
      </c>
      <c r="C13343" s="8" t="s">
        <v>41</v>
      </c>
      <c r="D13343" s="9" t="str">
        <f>HYPERLINK("https://otsuka-europe-crm.veevavault.com/ui/#object/approved_document__v/V5O00000001R001", "INA - VAE Cierre ""Nos quedamos en Casa""")</f>
        <v>INA - VAE Cierre "Nos quedamos en Casa"</v>
      </c>
      <c r="E13343" s="10" t="str">
        <f>HYPERLINK("https://otsuka-europe-crm.veevavault.com/ui/#object/sent_email__v/VBL00000002Z306", "SE-001438802")</f>
        <v>SE-001438802</v>
      </c>
      <c r="F13343" s="11"/>
      <c r="G13343" s="12">
        <v>0</v>
      </c>
      <c r="H13343" s="12">
        <v>0</v>
      </c>
      <c r="I13343" s="12">
        <v>0</v>
      </c>
      <c r="J13343" s="11"/>
      <c r="K13343" s="12">
        <v>0</v>
      </c>
      <c r="L13343" s="10" t="str">
        <f>HYPERLINK("https://otsuka-europe-crm.veevavault.com/ui/#object/approved_document__v/V5O00000001R001", "INA - VAE Cierre ""Nos quedamos en Casa""")</f>
        <v>INA - VAE Cierre "Nos quedamos en Casa"</v>
      </c>
      <c r="M13343" s="10" t="str">
        <f t="shared" si="968"/>
        <v>gsammali@crm.otsuka-europe.com</v>
      </c>
      <c r="N13343" s="13">
        <v>46203.343078703707</v>
      </c>
      <c r="O13343" s="14" t="str">
        <f>HYPERLINK("https://otsuka-europe-crm.veevavault.com/ui/#object/email_activity__v/V8C000000041523", "EN-002100693")</f>
        <v>EN-002100693</v>
      </c>
    </row>
    <row r="13344" spans="1:15" ht="32" x14ac:dyDescent="0.2">
      <c r="A13344" s="7" t="str">
        <f>HYPERLINK("https://otsuka-europe-crm.veevavault.com/ui/#object/account__v/V4TZ025E866IMJ0", "DANIEL ESTEBAN CORREDERA")</f>
        <v>DANIEL ESTEBAN CORREDERA</v>
      </c>
      <c r="B13344" s="7" t="str">
        <f t="shared" si="967"/>
        <v>ES</v>
      </c>
      <c r="C13344" s="8" t="s">
        <v>41</v>
      </c>
      <c r="D13344" s="9" t="str">
        <f>HYPERLINK("https://otsuka-europe-crm.veevavault.com/ui/#object/approved_document__v/V5O00000001R001", "INA - VAE Cierre ""Nos quedamos en Casa""")</f>
        <v>INA - VAE Cierre "Nos quedamos en Casa"</v>
      </c>
      <c r="E13344" s="10" t="str">
        <f>HYPERLINK("https://otsuka-europe-crm.veevavault.com/ui/#object/sent_email__v/VBL00000002Z307", "SE-001438803")</f>
        <v>SE-001438803</v>
      </c>
      <c r="F13344" s="11"/>
      <c r="G13344" s="12">
        <v>0</v>
      </c>
      <c r="H13344" s="12">
        <v>0</v>
      </c>
      <c r="I13344" s="12">
        <v>0</v>
      </c>
      <c r="J13344" s="11"/>
      <c r="K13344" s="12">
        <v>0</v>
      </c>
      <c r="L13344" s="10" t="str">
        <f>HYPERLINK("https://otsuka-europe-crm.veevavault.com/ui/#object/approved_document__v/V5O00000001R001", "INA - VAE Cierre ""Nos quedamos en Casa""")</f>
        <v>INA - VAE Cierre "Nos quedamos en Casa"</v>
      </c>
      <c r="M13344" s="10" t="str">
        <f t="shared" si="968"/>
        <v>gsammali@crm.otsuka-europe.com</v>
      </c>
      <c r="N13344" s="13">
        <v>46203.343078703707</v>
      </c>
      <c r="O13344" s="14" t="str">
        <f>HYPERLINK("https://otsuka-europe-crm.veevavault.com/ui/#object/email_activity__v/V8C000000041524", "EN-002100694")</f>
        <v>EN-002100694</v>
      </c>
    </row>
    <row r="13345" spans="1:15" ht="32" x14ac:dyDescent="0.2">
      <c r="A13345" s="7" t="str">
        <f>HYPERLINK("https://otsuka-europe-crm.veevavault.com/ui/#object/account__v/V4TZ025E84XCRFJ", "GEORGINA GENER RICOS")</f>
        <v>GEORGINA GENER RICOS</v>
      </c>
      <c r="B13345" s="7" t="str">
        <f t="shared" si="967"/>
        <v>ES</v>
      </c>
      <c r="C13345" s="8" t="s">
        <v>41</v>
      </c>
      <c r="D13345" s="9" t="str">
        <f>HYPERLINK("https://otsuka-europe-crm.veevavault.com/ui/#object/approved_document__v/V5O00000001R001", "INA - VAE Cierre ""Nos quedamos en Casa""")</f>
        <v>INA - VAE Cierre "Nos quedamos en Casa"</v>
      </c>
      <c r="E13345" s="10" t="str">
        <f>HYPERLINK("https://otsuka-europe-crm.veevavault.com/ui/#object/sent_email__v/VBL00000002Z308", "SE-001438804")</f>
        <v>SE-001438804</v>
      </c>
      <c r="F13345" s="11"/>
      <c r="G13345" s="12">
        <v>0</v>
      </c>
      <c r="H13345" s="12">
        <v>0</v>
      </c>
      <c r="I13345" s="12">
        <v>0</v>
      </c>
      <c r="J13345" s="11"/>
      <c r="K13345" s="12">
        <v>0</v>
      </c>
      <c r="L13345" s="10" t="str">
        <f>HYPERLINK("https://otsuka-europe-crm.veevavault.com/ui/#object/approved_document__v/V5O00000001R001", "INA - VAE Cierre ""Nos quedamos en Casa""")</f>
        <v>INA - VAE Cierre "Nos quedamos en Casa"</v>
      </c>
      <c r="M13345" s="10" t="str">
        <f t="shared" si="968"/>
        <v>gsammali@crm.otsuka-europe.com</v>
      </c>
      <c r="N13345" s="13">
        <v>46203.343078703707</v>
      </c>
      <c r="O13345" s="14" t="str">
        <f>HYPERLINK("https://otsuka-europe-crm.veevavault.com/ui/#object/email_activity__v/V8C000000042481", "EN-002100689")</f>
        <v>EN-002100689</v>
      </c>
    </row>
    <row r="13346" spans="1:15" ht="32" x14ac:dyDescent="0.2">
      <c r="A13346" s="7" t="str">
        <f>HYPERLINK("https://otsuka-europe-crm.veevavault.com/ui/#object/account__v/V4T000000025064", "MARTA GOMEZ HERNANDO")</f>
        <v>MARTA GOMEZ HERNANDO</v>
      </c>
      <c r="B13346" s="7" t="str">
        <f t="shared" si="967"/>
        <v>ES</v>
      </c>
      <c r="C13346" s="8" t="s">
        <v>41</v>
      </c>
      <c r="D13346" s="9" t="str">
        <f>HYPERLINK("https://otsuka-europe-crm.veevavault.com/ui/#object/approved_document__v/V5O00000001R001", "INA - VAE Cierre ""Nos quedamos en Casa""")</f>
        <v>INA - VAE Cierre "Nos quedamos en Casa"</v>
      </c>
      <c r="E13346" s="10" t="str">
        <f>HYPERLINK("https://otsuka-europe-crm.veevavault.com/ui/#object/sent_email__v/VBL00000002Z309", "SE-001438805")</f>
        <v>SE-001438805</v>
      </c>
      <c r="F13346" s="11"/>
      <c r="G13346" s="12">
        <v>0</v>
      </c>
      <c r="H13346" s="12">
        <v>0</v>
      </c>
      <c r="I13346" s="12">
        <v>0</v>
      </c>
      <c r="J13346" s="11"/>
      <c r="K13346" s="12">
        <v>0</v>
      </c>
      <c r="L13346" s="10" t="str">
        <f>HYPERLINK("https://otsuka-europe-crm.veevavault.com/ui/#object/approved_document__v/V5O00000001R001", "INA - VAE Cierre ""Nos quedamos en Casa""")</f>
        <v>INA - VAE Cierre "Nos quedamos en Casa"</v>
      </c>
      <c r="M13346" s="10" t="str">
        <f t="shared" si="968"/>
        <v>gsammali@crm.otsuka-europe.com</v>
      </c>
      <c r="N13346" s="13">
        <v>46203.343090277776</v>
      </c>
      <c r="O13346" s="14" t="str">
        <f>HYPERLINK("https://otsuka-europe-crm.veevavault.com/ui/#object/email_activity__v/V8C000000042483", "EN-002100691")</f>
        <v>EN-002100691</v>
      </c>
    </row>
    <row r="13347" spans="1:15" ht="48" x14ac:dyDescent="0.2">
      <c r="A13347" s="7" t="str">
        <f>HYPERLINK("https://otsuka-europe-crm.veevavault.com/ui/#object/account__v/V4TZ06G6O71TCMK", "SUSANA VIVES POLO")</f>
        <v>SUSANA VIVES POLO</v>
      </c>
      <c r="B13347" s="7" t="str">
        <f t="shared" si="967"/>
        <v>ES</v>
      </c>
      <c r="C13347" s="8" t="s">
        <v>41</v>
      </c>
      <c r="D13347" s="9" t="str">
        <f t="shared" ref="D13347:D13352" si="969"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13347" s="10" t="str">
        <f>HYPERLINK("https://otsuka-europe-crm.veevavault.com/ui/#object/sent_email__v/VBL00000002Y135", "SE-001438806")</f>
        <v>SE-001438806</v>
      </c>
      <c r="F13347" s="11"/>
      <c r="G13347" s="12">
        <v>0</v>
      </c>
      <c r="H13347" s="12">
        <v>0</v>
      </c>
      <c r="I13347" s="12">
        <v>0</v>
      </c>
      <c r="J13347" s="11"/>
      <c r="K13347" s="12">
        <v>0</v>
      </c>
      <c r="L13347" s="10" t="str">
        <f t="shared" ref="L13347:L13352" si="970"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13347" s="10" t="str">
        <f t="shared" si="968"/>
        <v>gsammali@crm.otsuka-europe.com</v>
      </c>
      <c r="N13347" s="13">
        <v>46203.343090277776</v>
      </c>
      <c r="O13347" s="14" t="str">
        <f>HYPERLINK("https://otsuka-europe-crm.veevavault.com/ui/#object/email_activity__v/V8C000000042482", "EN-002100690")</f>
        <v>EN-002100690</v>
      </c>
    </row>
    <row r="13348" spans="1:15" ht="48" x14ac:dyDescent="0.2">
      <c r="A13348" s="7" t="str">
        <f>HYPERLINK("https://otsuka-europe-crm.veevavault.com/ui/#object/account__v/V4TZ025E866IMJ0", "DANIEL ESTEBAN CORREDERA")</f>
        <v>DANIEL ESTEBAN CORREDERA</v>
      </c>
      <c r="B13348" s="7" t="str">
        <f t="shared" si="967"/>
        <v>ES</v>
      </c>
      <c r="C13348" s="8" t="s">
        <v>41</v>
      </c>
      <c r="D13348" s="9" t="str">
        <f t="shared" si="969"/>
        <v>INA - VAE vídeos “Mejor en casa: el desafío del paciente unfit”</v>
      </c>
      <c r="E13348" s="10" t="str">
        <f>HYPERLINK("https://otsuka-europe-crm.veevavault.com/ui/#object/sent_email__v/VBL00000002Y136", "SE-001438807")</f>
        <v>SE-001438807</v>
      </c>
      <c r="F13348" s="11"/>
      <c r="G13348" s="12">
        <v>0</v>
      </c>
      <c r="H13348" s="12">
        <v>0</v>
      </c>
      <c r="I13348" s="12">
        <v>0</v>
      </c>
      <c r="J13348" s="11"/>
      <c r="K13348" s="12">
        <v>0</v>
      </c>
      <c r="L13348" s="10" t="str">
        <f t="shared" si="970"/>
        <v>INA - VAE vídeos “Mejor en casa: el desafío del paciente unfit”</v>
      </c>
      <c r="M13348" s="10" t="str">
        <f t="shared" si="968"/>
        <v>gsammali@crm.otsuka-europe.com</v>
      </c>
      <c r="N13348" s="13">
        <v>46203.343090277776</v>
      </c>
      <c r="O13348" s="14" t="str">
        <f>HYPERLINK("https://otsuka-europe-crm.veevavault.com/ui/#object/email_activity__v/V8C000000041520", "EN-002100687")</f>
        <v>EN-002100687</v>
      </c>
    </row>
    <row r="13349" spans="1:15" ht="48" x14ac:dyDescent="0.2">
      <c r="A13349" s="7" t="str">
        <f>HYPERLINK("https://otsuka-europe-crm.veevavault.com/ui/#object/account__v/V4TZ025E84XCRFJ", "GEORGINA GENER RICOS")</f>
        <v>GEORGINA GENER RICOS</v>
      </c>
      <c r="B13349" s="7" t="str">
        <f t="shared" si="967"/>
        <v>ES</v>
      </c>
      <c r="C13349" s="8" t="s">
        <v>41</v>
      </c>
      <c r="D13349" s="9" t="str">
        <f t="shared" si="969"/>
        <v>INA - VAE vídeos “Mejor en casa: el desafío del paciente unfit”</v>
      </c>
      <c r="E13349" s="10" t="str">
        <f>HYPERLINK("https://otsuka-europe-crm.veevavault.com/ui/#object/sent_email__v/VBL00000002Y137", "SE-001438808")</f>
        <v>SE-001438808</v>
      </c>
      <c r="F13349" s="11"/>
      <c r="G13349" s="12">
        <v>0</v>
      </c>
      <c r="H13349" s="12">
        <v>0</v>
      </c>
      <c r="I13349" s="12">
        <v>0</v>
      </c>
      <c r="J13349" s="11"/>
      <c r="K13349" s="12">
        <v>0</v>
      </c>
      <c r="L13349" s="10" t="str">
        <f t="shared" si="970"/>
        <v>INA - VAE vídeos “Mejor en casa: el desafío del paciente unfit”</v>
      </c>
      <c r="M13349" s="10" t="str">
        <f t="shared" si="968"/>
        <v>gsammali@crm.otsuka-europe.com</v>
      </c>
      <c r="N13349" s="13">
        <v>46203.343090277776</v>
      </c>
      <c r="O13349" s="14" t="str">
        <f>HYPERLINK("https://otsuka-europe-crm.veevavault.com/ui/#object/email_activity__v/V8C000000041521", "EN-002100688")</f>
        <v>EN-002100688</v>
      </c>
    </row>
    <row r="13350" spans="1:15" ht="48" x14ac:dyDescent="0.2">
      <c r="A13350" s="7" t="str">
        <f>HYPERLINK("https://otsuka-europe-crm.veevavault.com/ui/#object/account__v/V4T000000025064", "MARTA GOMEZ HERNANDO")</f>
        <v>MARTA GOMEZ HERNANDO</v>
      </c>
      <c r="B13350" s="7" t="str">
        <f t="shared" si="967"/>
        <v>ES</v>
      </c>
      <c r="C13350" s="8" t="s">
        <v>41</v>
      </c>
      <c r="D13350" s="9" t="str">
        <f t="shared" si="969"/>
        <v>INA - VAE vídeos “Mejor en casa: el desafío del paciente unfit”</v>
      </c>
      <c r="E13350" s="10" t="str">
        <f>HYPERLINK("https://otsuka-europe-crm.veevavault.com/ui/#object/sent_email__v/VBL00000002Y138", "SE-001438809")</f>
        <v>SE-001438809</v>
      </c>
      <c r="F13350" s="11"/>
      <c r="G13350" s="12">
        <v>0</v>
      </c>
      <c r="H13350" s="12">
        <v>0</v>
      </c>
      <c r="I13350" s="12">
        <v>0</v>
      </c>
      <c r="J13350" s="11"/>
      <c r="K13350" s="12">
        <v>0</v>
      </c>
      <c r="L13350" s="10" t="str">
        <f t="shared" si="970"/>
        <v>INA - VAE vídeos “Mejor en casa: el desafío del paciente unfit”</v>
      </c>
      <c r="M13350" s="10" t="str">
        <f t="shared" si="968"/>
        <v>gsammali@crm.otsuka-europe.com</v>
      </c>
      <c r="N13350" s="13">
        <v>46203.343090277776</v>
      </c>
      <c r="O13350" s="14" t="str">
        <f>HYPERLINK("https://otsuka-europe-crm.veevavault.com/ui/#object/email_activity__v/V8C000000041522", "EN-002100692")</f>
        <v>EN-002100692</v>
      </c>
    </row>
    <row r="13351" spans="1:15" ht="48" x14ac:dyDescent="0.2">
      <c r="A13351" s="7" t="str">
        <f>HYPERLINK("https://otsuka-europe-crm.veevavault.com/ui/#object/account__v/V4T00000001N046", "JAVIER OCTAVIO DIAZ CARBONERO")</f>
        <v>JAVIER OCTAVIO DIAZ CARBONERO</v>
      </c>
      <c r="B13351" s="7" t="str">
        <f t="shared" si="967"/>
        <v>ES</v>
      </c>
      <c r="C13351" s="8" t="s">
        <v>41</v>
      </c>
      <c r="D13351" s="9" t="str">
        <f t="shared" si="969"/>
        <v>INA - VAE vídeos “Mejor en casa: el desafío del paciente unfit”</v>
      </c>
      <c r="E13351" s="10" t="str">
        <f>HYPERLINK("https://otsuka-europe-crm.veevavault.com/ui/#object/sent_email__v/VBL00000002Y139", "SE-001438810")</f>
        <v>SE-001438810</v>
      </c>
      <c r="F13351" s="11"/>
      <c r="G13351" s="12">
        <v>0</v>
      </c>
      <c r="H13351" s="12">
        <v>0</v>
      </c>
      <c r="I13351" s="12">
        <v>0</v>
      </c>
      <c r="J13351" s="11"/>
      <c r="K13351" s="12">
        <v>0</v>
      </c>
      <c r="L13351" s="10" t="str">
        <f t="shared" si="970"/>
        <v>INA - VAE vídeos “Mejor en casa: el desafío del paciente unfit”</v>
      </c>
      <c r="M13351" s="10" t="str">
        <f t="shared" si="968"/>
        <v>gsammali@crm.otsuka-europe.com</v>
      </c>
      <c r="N13351" s="13">
        <v>46203.345092592594</v>
      </c>
      <c r="O13351" s="14" t="str">
        <f>HYPERLINK("https://otsuka-europe-crm.veevavault.com/ui/#object/email_activity__v/V8C000000041528", "EN-002100698")</f>
        <v>EN-002100698</v>
      </c>
    </row>
    <row r="13352" spans="1:15" ht="16" x14ac:dyDescent="0.2">
      <c r="A13352" s="17" t="str">
        <f>HYPERLINK("https://otsuka-europe-crm.veevavault.com/ui/#object/account__v/V4TZ025E878VCXH", "HELENA POMARES MARIN")</f>
        <v>HELENA POMARES MARIN</v>
      </c>
      <c r="B13352" s="17" t="str">
        <f t="shared" si="967"/>
        <v>ES</v>
      </c>
      <c r="C13352" s="20" t="s">
        <v>41</v>
      </c>
      <c r="D13352" s="21" t="str">
        <f t="shared" si="969"/>
        <v>INA - VAE vídeos “Mejor en casa: el desafío del paciente unfit”</v>
      </c>
      <c r="E13352" s="22" t="str">
        <f>HYPERLINK("https://otsuka-europe-crm.veevavault.com/ui/#object/sent_email__v/VBL00000002Y140", "SE-001438811")</f>
        <v>SE-001438811</v>
      </c>
      <c r="F13352" s="23">
        <v>46203.398935185185</v>
      </c>
      <c r="G13352" s="24">
        <v>1</v>
      </c>
      <c r="H13352" s="24">
        <v>1</v>
      </c>
      <c r="I13352" s="24">
        <v>0</v>
      </c>
      <c r="J13352" s="25"/>
      <c r="K13352" s="24">
        <v>0</v>
      </c>
      <c r="L13352" s="22" t="str">
        <f t="shared" si="970"/>
        <v>INA - VAE vídeos “Mejor en casa: el desafío del paciente unfit”</v>
      </c>
      <c r="M13352" s="22" t="str">
        <f t="shared" si="968"/>
        <v>gsammali@crm.otsuka-europe.com</v>
      </c>
      <c r="N13352" s="23">
        <v>46203.345092592594</v>
      </c>
      <c r="O13352" s="14" t="str">
        <f>HYPERLINK("https://otsuka-europe-crm.veevavault.com/ui/#object/email_activity__v/V8C000000041527", "EN-002100697")</f>
        <v>EN-002100697</v>
      </c>
    </row>
    <row r="13353" spans="1:15" ht="16" x14ac:dyDescent="0.2">
      <c r="A13353" s="19"/>
      <c r="B13353" s="19"/>
      <c r="C13353" s="19"/>
      <c r="D13353" s="19"/>
      <c r="E13353" s="19"/>
      <c r="F13353" s="19"/>
      <c r="G13353" s="19"/>
      <c r="H13353" s="19"/>
      <c r="I13353" s="19"/>
      <c r="J13353" s="19"/>
      <c r="K13353" s="19"/>
      <c r="L13353" s="19"/>
      <c r="M13353" s="19"/>
      <c r="N13353" s="19"/>
      <c r="O13353" s="14" t="str">
        <f>HYPERLINK("https://otsuka-europe-crm.veevavault.com/ui/#object/email_activity__v/V8C000000041563", "EN-002100771")</f>
        <v>EN-002100771</v>
      </c>
    </row>
    <row r="13354" spans="1:15" ht="16" x14ac:dyDescent="0.2">
      <c r="A13354" s="17" t="str">
        <f>HYPERLINK("https://otsuka-europe-crm.veevavault.com/ui/#object/account__v/V4TZ025E88X9XT5", "ENRIQUE GAMUNDI GRIMALT")</f>
        <v>ENRIQUE GAMUNDI GRIMALT</v>
      </c>
      <c r="B13354" s="17" t="str">
        <f>HYPERLINK("https://otsuka-europe-crm.veevavault.com/ui/#object/vcountry__v/VENZ000004SONF5", "ES")</f>
        <v>ES</v>
      </c>
      <c r="C13354" s="20" t="s">
        <v>41</v>
      </c>
      <c r="D13354" s="21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13354" s="22" t="str">
        <f>HYPERLINK("https://otsuka-europe-crm.veevavault.com/ui/#object/sent_email__v/VBL00000002Y141", "SE-001438812")</f>
        <v>SE-001438812</v>
      </c>
      <c r="F13354" s="23">
        <v>46203.390601851854</v>
      </c>
      <c r="G13354" s="24">
        <v>1</v>
      </c>
      <c r="H13354" s="24">
        <v>1</v>
      </c>
      <c r="I13354" s="24">
        <v>0</v>
      </c>
      <c r="J13354" s="25"/>
      <c r="K13354" s="24">
        <v>0</v>
      </c>
      <c r="L13354" s="22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13354" s="22" t="str">
        <f>HYPERLINK("mailto:gsammali@crm.otsuka-europe.com", "gsammali@crm.otsuka-europe.com")</f>
        <v>gsammali@crm.otsuka-europe.com</v>
      </c>
      <c r="N13354" s="23">
        <v>46203.345104166663</v>
      </c>
      <c r="O13354" s="14" t="str">
        <f>HYPERLINK("https://otsuka-europe-crm.veevavault.com/ui/#object/email_activity__v/V8C000000041529", "EN-002100699")</f>
        <v>EN-002100699</v>
      </c>
    </row>
    <row r="13355" spans="1:15" ht="16" x14ac:dyDescent="0.2">
      <c r="A13355" s="19"/>
      <c r="B13355" s="19"/>
      <c r="C13355" s="19"/>
      <c r="D13355" s="19"/>
      <c r="E13355" s="19"/>
      <c r="F13355" s="19"/>
      <c r="G13355" s="19"/>
      <c r="H13355" s="19"/>
      <c r="I13355" s="19"/>
      <c r="J13355" s="19"/>
      <c r="K13355" s="19"/>
      <c r="L13355" s="19"/>
      <c r="M13355" s="19"/>
      <c r="N13355" s="19"/>
      <c r="O13355" s="14" t="str">
        <f>HYPERLINK("https://otsuka-europe-crm.veevavault.com/ui/#object/email_activity__v/V8C000000042520", "EN-002100769")</f>
        <v>EN-002100769</v>
      </c>
    </row>
    <row r="13356" spans="1:15" ht="48" x14ac:dyDescent="0.2">
      <c r="A13356" s="7" t="str">
        <f>HYPERLINK("https://otsuka-europe-crm.veevavault.com/ui/#object/account__v/V4TZ06G6O71T992", "MONTSERRAT ARNAN SANGERMAN")</f>
        <v>MONTSERRAT ARNAN SANGERMAN</v>
      </c>
      <c r="B13356" s="7" t="str">
        <f>HYPERLINK("https://otsuka-europe-crm.veevavault.com/ui/#object/vcountry__v/VENZ000004SONF5", "ES")</f>
        <v>ES</v>
      </c>
      <c r="C13356" s="8" t="s">
        <v>41</v>
      </c>
      <c r="D13356" s="9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13356" s="10" t="str">
        <f>HYPERLINK("https://otsuka-europe-crm.veevavault.com/ui/#object/sent_email__v/VBL00000002Y142", "SE-001438813")</f>
        <v>SE-001438813</v>
      </c>
      <c r="F13356" s="11"/>
      <c r="G13356" s="12">
        <v>0</v>
      </c>
      <c r="H13356" s="12">
        <v>0</v>
      </c>
      <c r="I13356" s="12">
        <v>0</v>
      </c>
      <c r="J13356" s="11"/>
      <c r="K13356" s="12">
        <v>0</v>
      </c>
      <c r="L13356" s="10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13356" s="10" t="str">
        <f>HYPERLINK("mailto:gsammali@crm.otsuka-europe.com", "gsammali@crm.otsuka-europe.com")</f>
        <v>gsammali@crm.otsuka-europe.com</v>
      </c>
      <c r="N13356" s="13">
        <v>46203.345092592594</v>
      </c>
      <c r="O13356" s="14" t="str">
        <f>HYPERLINK("https://otsuka-europe-crm.veevavault.com/ui/#object/email_activity__v/V8C000000041526", "EN-002100696")</f>
        <v>EN-002100696</v>
      </c>
    </row>
    <row r="13357" spans="1:15" ht="16" x14ac:dyDescent="0.2">
      <c r="A13357" s="17" t="str">
        <f>HYPERLINK("https://otsuka-europe-crm.veevavault.com/ui/#object/account__v/V4TZ025E878VCXH", "HELENA POMARES MARIN")</f>
        <v>HELENA POMARES MARIN</v>
      </c>
      <c r="B13357" s="17" t="str">
        <f>HYPERLINK("https://otsuka-europe-crm.veevavault.com/ui/#object/vcountry__v/VENZ000004SONF5", "ES")</f>
        <v>ES</v>
      </c>
      <c r="C13357" s="20" t="s">
        <v>41</v>
      </c>
      <c r="D13357" s="21" t="str">
        <f>HYPERLINK("https://otsuka-europe-crm.veevavault.com/ui/#object/approved_document__v/V5O00000001R001", "INA - VAE Cierre ""Nos quedamos en Casa""")</f>
        <v>INA - VAE Cierre "Nos quedamos en Casa"</v>
      </c>
      <c r="E13357" s="22" t="str">
        <f>HYPERLINK("https://otsuka-europe-crm.veevavault.com/ui/#object/sent_email__v/VBL00000002Y143", "SE-001438814")</f>
        <v>SE-001438814</v>
      </c>
      <c r="F13357" s="23">
        <v>46203.398958333331</v>
      </c>
      <c r="G13357" s="24">
        <v>1</v>
      </c>
      <c r="H13357" s="24">
        <v>1</v>
      </c>
      <c r="I13357" s="24">
        <v>0</v>
      </c>
      <c r="J13357" s="25"/>
      <c r="K13357" s="24">
        <v>0</v>
      </c>
      <c r="L13357" s="22" t="str">
        <f>HYPERLINK("https://otsuka-europe-crm.veevavault.com/ui/#object/approved_document__v/V5O00000001R001", "INA - VAE Cierre ""Nos quedamos en Casa""")</f>
        <v>INA - VAE Cierre "Nos quedamos en Casa"</v>
      </c>
      <c r="M13357" s="22" t="str">
        <f>HYPERLINK("mailto:gsammali@crm.otsuka-europe.com", "gsammali@crm.otsuka-europe.com")</f>
        <v>gsammali@crm.otsuka-europe.com</v>
      </c>
      <c r="N13357" s="23">
        <v>46203.345127314817</v>
      </c>
      <c r="O13357" s="14" t="str">
        <f>HYPERLINK("https://otsuka-europe-crm.veevavault.com/ui/#object/email_activity__v/V8C000000041525", "EN-002100695")</f>
        <v>EN-002100695</v>
      </c>
    </row>
    <row r="13358" spans="1:15" ht="16" x14ac:dyDescent="0.2">
      <c r="A13358" s="19"/>
      <c r="B13358" s="19"/>
      <c r="C13358" s="19"/>
      <c r="D13358" s="19"/>
      <c r="E13358" s="19"/>
      <c r="F13358" s="19"/>
      <c r="G13358" s="19"/>
      <c r="H13358" s="19"/>
      <c r="I13358" s="19"/>
      <c r="J13358" s="19"/>
      <c r="K13358" s="19"/>
      <c r="L13358" s="19"/>
      <c r="M13358" s="19"/>
      <c r="N13358" s="19"/>
      <c r="O13358" s="14" t="str">
        <f>HYPERLINK("https://otsuka-europe-crm.veevavault.com/ui/#object/email_activity__v/V8C000000041564", "EN-002100772")</f>
        <v>EN-002100772</v>
      </c>
    </row>
    <row r="13359" spans="1:15" ht="16" x14ac:dyDescent="0.2">
      <c r="A13359" s="17" t="str">
        <f>HYPERLINK("https://otsuka-europe-crm.veevavault.com/ui/#object/account__v/V4TZ025E88X9XT5", "ENRIQUE GAMUNDI GRIMALT")</f>
        <v>ENRIQUE GAMUNDI GRIMALT</v>
      </c>
      <c r="B13359" s="17" t="str">
        <f>HYPERLINK("https://otsuka-europe-crm.veevavault.com/ui/#object/vcountry__v/VENZ000004SONF5", "ES")</f>
        <v>ES</v>
      </c>
      <c r="C13359" s="20" t="s">
        <v>41</v>
      </c>
      <c r="D13359" s="21" t="str">
        <f>HYPERLINK("https://otsuka-europe-crm.veevavault.com/ui/#object/approved_document__v/V5O00000001R001", "INA - VAE Cierre ""Nos quedamos en Casa""")</f>
        <v>INA - VAE Cierre "Nos quedamos en Casa"</v>
      </c>
      <c r="E13359" s="22" t="str">
        <f>HYPERLINK("https://otsuka-europe-crm.veevavault.com/ui/#object/sent_email__v/VBL00000002Y144", "SE-001438815")</f>
        <v>SE-001438815</v>
      </c>
      <c r="F13359" s="23">
        <v>46203.390590277777</v>
      </c>
      <c r="G13359" s="24">
        <v>1</v>
      </c>
      <c r="H13359" s="24">
        <v>1</v>
      </c>
      <c r="I13359" s="24">
        <v>0</v>
      </c>
      <c r="J13359" s="25"/>
      <c r="K13359" s="24">
        <v>0</v>
      </c>
      <c r="L13359" s="22" t="str">
        <f>HYPERLINK("https://otsuka-europe-crm.veevavault.com/ui/#object/approved_document__v/V5O00000001R001", "INA - VAE Cierre ""Nos quedamos en Casa""")</f>
        <v>INA - VAE Cierre "Nos quedamos en Casa"</v>
      </c>
      <c r="M13359" s="22" t="str">
        <f>HYPERLINK("mailto:gsammali@crm.otsuka-europe.com", "gsammali@crm.otsuka-europe.com")</f>
        <v>gsammali@crm.otsuka-europe.com</v>
      </c>
      <c r="N13359" s="23">
        <v>46203.345104166663</v>
      </c>
      <c r="O13359" s="14" t="str">
        <f>HYPERLINK("https://otsuka-europe-crm.veevavault.com/ui/#object/email_activity__v/V8C000000041532", "EN-002100702")</f>
        <v>EN-002100702</v>
      </c>
    </row>
    <row r="13360" spans="1:15" ht="16" x14ac:dyDescent="0.2">
      <c r="A13360" s="19"/>
      <c r="B13360" s="19"/>
      <c r="C13360" s="19"/>
      <c r="D13360" s="19"/>
      <c r="E13360" s="19"/>
      <c r="F13360" s="19"/>
      <c r="G13360" s="19"/>
      <c r="H13360" s="19"/>
      <c r="I13360" s="19"/>
      <c r="J13360" s="19"/>
      <c r="K13360" s="19"/>
      <c r="L13360" s="19"/>
      <c r="M13360" s="19"/>
      <c r="N13360" s="19"/>
      <c r="O13360" s="14" t="str">
        <f>HYPERLINK("https://otsuka-europe-crm.veevavault.com/ui/#object/email_activity__v/V8C000000042519", "EN-002100768")</f>
        <v>EN-002100768</v>
      </c>
    </row>
    <row r="13361" spans="1:15" ht="16" x14ac:dyDescent="0.2">
      <c r="A13361" s="17" t="str">
        <f>HYPERLINK("https://otsuka-europe-crm.veevavault.com/ui/#object/account__v/V4TZ06G6O71T992", "MONTSERRAT ARNAN SANGERMAN")</f>
        <v>MONTSERRAT ARNAN SANGERMAN</v>
      </c>
      <c r="B13361" s="17" t="str">
        <f>HYPERLINK("https://otsuka-europe-crm.veevavault.com/ui/#object/vcountry__v/VENZ000004SONF5", "ES")</f>
        <v>ES</v>
      </c>
      <c r="C13361" s="20" t="s">
        <v>41</v>
      </c>
      <c r="D13361" s="21" t="str">
        <f>HYPERLINK("https://otsuka-europe-crm.veevavault.com/ui/#object/approved_document__v/V5O00000001R001", "INA - VAE Cierre ""Nos quedamos en Casa""")</f>
        <v>INA - VAE Cierre "Nos quedamos en Casa"</v>
      </c>
      <c r="E13361" s="22" t="str">
        <f>HYPERLINK("https://otsuka-europe-crm.veevavault.com/ui/#object/sent_email__v/VBL00000002Y145", "SE-001438816")</f>
        <v>SE-001438816</v>
      </c>
      <c r="F13361" s="23">
        <v>46203.460370370369</v>
      </c>
      <c r="G13361" s="24">
        <v>1</v>
      </c>
      <c r="H13361" s="24">
        <v>2</v>
      </c>
      <c r="I13361" s="24">
        <v>0</v>
      </c>
      <c r="J13361" s="25"/>
      <c r="K13361" s="24">
        <v>0</v>
      </c>
      <c r="L13361" s="22" t="str">
        <f>HYPERLINK("https://otsuka-europe-crm.veevavault.com/ui/#object/approved_document__v/V5O00000001R001", "INA - VAE Cierre ""Nos quedamos en Casa""")</f>
        <v>INA - VAE Cierre "Nos quedamos en Casa"</v>
      </c>
      <c r="M13361" s="22" t="str">
        <f>HYPERLINK("mailto:gsammali@crm.otsuka-europe.com", "gsammali@crm.otsuka-europe.com")</f>
        <v>gsammali@crm.otsuka-europe.com</v>
      </c>
      <c r="N13361" s="23">
        <v>46203.345104166663</v>
      </c>
      <c r="O13361" s="14" t="str">
        <f>HYPERLINK("https://otsuka-europe-crm.veevavault.com/ui/#object/email_activity__v/V8C000000041531", "EN-002100701")</f>
        <v>EN-002100701</v>
      </c>
    </row>
    <row r="13362" spans="1:15" ht="16" x14ac:dyDescent="0.2">
      <c r="A13362" s="18"/>
      <c r="B13362" s="18"/>
      <c r="C13362" s="18"/>
      <c r="D13362" s="18"/>
      <c r="E13362" s="18"/>
      <c r="F13362" s="18"/>
      <c r="G13362" s="18"/>
      <c r="H13362" s="18"/>
      <c r="I13362" s="18"/>
      <c r="J13362" s="18"/>
      <c r="K13362" s="18"/>
      <c r="L13362" s="18"/>
      <c r="M13362" s="18"/>
      <c r="N13362" s="18"/>
      <c r="O13362" s="14" t="str">
        <f>HYPERLINK("https://otsuka-europe-crm.veevavault.com/ui/#object/email_activity__v/V8C000000042554", "EN-002100828")</f>
        <v>EN-002100828</v>
      </c>
    </row>
    <row r="13363" spans="1:15" ht="16" x14ac:dyDescent="0.2">
      <c r="A13363" s="19"/>
      <c r="B13363" s="19"/>
      <c r="C13363" s="19"/>
      <c r="D13363" s="19"/>
      <c r="E13363" s="19"/>
      <c r="F13363" s="19"/>
      <c r="G13363" s="19"/>
      <c r="H13363" s="19"/>
      <c r="I13363" s="19"/>
      <c r="J13363" s="19"/>
      <c r="K13363" s="19"/>
      <c r="L13363" s="19"/>
      <c r="M13363" s="19"/>
      <c r="N13363" s="19"/>
      <c r="O13363" s="14" t="str">
        <f>HYPERLINK("https://otsuka-europe-crm.veevavault.com/ui/#object/email_activity__v/V8C000000042555", "EN-002100829")</f>
        <v>EN-002100829</v>
      </c>
    </row>
    <row r="13364" spans="1:15" ht="32" x14ac:dyDescent="0.2">
      <c r="A13364" s="7" t="str">
        <f>HYPERLINK("https://otsuka-europe-crm.veevavault.com/ui/#object/account__v/V4T00000001N046", "JAVIER OCTAVIO DIAZ CARBONERO")</f>
        <v>JAVIER OCTAVIO DIAZ CARBONERO</v>
      </c>
      <c r="B13364" s="7" t="str">
        <f>HYPERLINK("https://otsuka-europe-crm.veevavault.com/ui/#object/vcountry__v/VENZ000004SONF5", "ES")</f>
        <v>ES</v>
      </c>
      <c r="C13364" s="8" t="s">
        <v>41</v>
      </c>
      <c r="D13364" s="9" t="str">
        <f>HYPERLINK("https://otsuka-europe-crm.veevavault.com/ui/#object/approved_document__v/V5O00000001R001", "INA - VAE Cierre ""Nos quedamos en Casa""")</f>
        <v>INA - VAE Cierre "Nos quedamos en Casa"</v>
      </c>
      <c r="E13364" s="10" t="str">
        <f>HYPERLINK("https://otsuka-europe-crm.veevavault.com/ui/#object/sent_email__v/VBL00000002Y146", "SE-001438817")</f>
        <v>SE-001438817</v>
      </c>
      <c r="F13364" s="11"/>
      <c r="G13364" s="12">
        <v>0</v>
      </c>
      <c r="H13364" s="12">
        <v>0</v>
      </c>
      <c r="I13364" s="12">
        <v>0</v>
      </c>
      <c r="J13364" s="11"/>
      <c r="K13364" s="12">
        <v>0</v>
      </c>
      <c r="L13364" s="10" t="str">
        <f>HYPERLINK("https://otsuka-europe-crm.veevavault.com/ui/#object/approved_document__v/V5O00000001R001", "INA - VAE Cierre ""Nos quedamos en Casa""")</f>
        <v>INA - VAE Cierre "Nos quedamos en Casa"</v>
      </c>
      <c r="M13364" s="10" t="str">
        <f>HYPERLINK("mailto:gsammali@crm.otsuka-europe.com", "gsammali@crm.otsuka-europe.com")</f>
        <v>gsammali@crm.otsuka-europe.com</v>
      </c>
      <c r="N13364" s="13">
        <v>46203.345104166663</v>
      </c>
      <c r="O13364" s="14" t="str">
        <f>HYPERLINK("https://otsuka-europe-crm.veevavault.com/ui/#object/email_activity__v/V8C000000041530", "EN-002100700")</f>
        <v>EN-002100700</v>
      </c>
    </row>
    <row r="13365" spans="1:15" ht="48" x14ac:dyDescent="0.2">
      <c r="A13365" s="7" t="str">
        <f>HYPERLINK("https://otsuka-europe-crm.veevavault.com/ui/#object/account__v/V4TZ025E878U8QD", "FERRAN VALL-LLOVERA CALMET")</f>
        <v>FERRAN VALL-LLOVERA CALMET</v>
      </c>
      <c r="B13365" s="7" t="str">
        <f>HYPERLINK("https://otsuka-europe-crm.veevavault.com/ui/#object/vcountry__v/VENZ000004SONF5", "ES")</f>
        <v>ES</v>
      </c>
      <c r="C13365" s="8" t="s">
        <v>41</v>
      </c>
      <c r="D13365" s="9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13365" s="10" t="str">
        <f>HYPERLINK("https://otsuka-europe-crm.veevavault.com/ui/#object/sent_email__v/VBL00000002Z310", "SE-001438818")</f>
        <v>SE-001438818</v>
      </c>
      <c r="F13365" s="11"/>
      <c r="G13365" s="12">
        <v>0</v>
      </c>
      <c r="H13365" s="12">
        <v>0</v>
      </c>
      <c r="I13365" s="12">
        <v>0</v>
      </c>
      <c r="J13365" s="11"/>
      <c r="K13365" s="12">
        <v>0</v>
      </c>
      <c r="L13365" s="10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13365" s="10" t="str">
        <f>HYPERLINK("mailto:gsammali@crm.otsuka-europe.com", "gsammali@crm.otsuka-europe.com")</f>
        <v>gsammali@crm.otsuka-europe.com</v>
      </c>
      <c r="N13365" s="13">
        <v>46203.34579861111</v>
      </c>
      <c r="O13365" s="14" t="str">
        <f>HYPERLINK("https://otsuka-europe-crm.veevavault.com/ui/#object/email_activity__v/V8C000000041535", "EN-002100705")</f>
        <v>EN-002100705</v>
      </c>
    </row>
    <row r="13366" spans="1:15" ht="16" x14ac:dyDescent="0.2">
      <c r="A13366" s="17" t="str">
        <f>HYPERLINK("https://otsuka-europe-crm.veevavault.com/ui/#object/account__v/V4TZ025E86TKB9X", "MARTA SANTALIESTRA TOMAS")</f>
        <v>MARTA SANTALIESTRA TOMAS</v>
      </c>
      <c r="B13366" s="17" t="str">
        <f>HYPERLINK("https://otsuka-europe-crm.veevavault.com/ui/#object/vcountry__v/VENZ000004SONF5", "ES")</f>
        <v>ES</v>
      </c>
      <c r="C13366" s="20" t="s">
        <v>41</v>
      </c>
      <c r="D13366" s="21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13366" s="22" t="str">
        <f>HYPERLINK("https://otsuka-europe-crm.veevavault.com/ui/#object/sent_email__v/VBL00000002Z311", "SE-001438819")</f>
        <v>SE-001438819</v>
      </c>
      <c r="F13366" s="25"/>
      <c r="G13366" s="24">
        <v>0</v>
      </c>
      <c r="H13366" s="24">
        <v>0</v>
      </c>
      <c r="I13366" s="24">
        <v>0</v>
      </c>
      <c r="J13366" s="25"/>
      <c r="K13366" s="24">
        <v>0</v>
      </c>
      <c r="L13366" s="22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13366" s="22" t="str">
        <f>HYPERLINK("mailto:gsammali@crm.otsuka-europe.com", "gsammali@crm.otsuka-europe.com")</f>
        <v>gsammali@crm.otsuka-europe.com</v>
      </c>
      <c r="N13366" s="23">
        <v>46203.34579861111</v>
      </c>
      <c r="O13366" s="14" t="str">
        <f>HYPERLINK("https://otsuka-europe-crm.veevavault.com/ui/#object/email_activity__v/V8C000000041536", "EN-002100706")</f>
        <v>EN-002100706</v>
      </c>
    </row>
    <row r="13367" spans="1:15" ht="16" x14ac:dyDescent="0.2">
      <c r="A13367" s="19"/>
      <c r="B13367" s="19"/>
      <c r="C13367" s="19"/>
      <c r="D13367" s="19"/>
      <c r="E13367" s="19"/>
      <c r="F13367" s="19"/>
      <c r="G13367" s="19"/>
      <c r="H13367" s="19"/>
      <c r="I13367" s="19"/>
      <c r="J13367" s="19"/>
      <c r="K13367" s="19"/>
      <c r="L13367" s="19"/>
      <c r="M13367" s="19"/>
      <c r="N13367" s="19"/>
      <c r="O13367" s="14" t="str">
        <f>HYPERLINK("https://otsuka-europe-crm.veevavault.com/ui/#object/email_activity__v/V8C000000042743", "EN-002101133")</f>
        <v>EN-002101133</v>
      </c>
    </row>
    <row r="13368" spans="1:15" ht="32" x14ac:dyDescent="0.2">
      <c r="A13368" s="7" t="str">
        <f>HYPERLINK("https://otsuka-europe-crm.veevavault.com/ui/#object/account__v/V4TZ025E878U8QD", "FERRAN VALL-LLOVERA CALMET")</f>
        <v>FERRAN VALL-LLOVERA CALMET</v>
      </c>
      <c r="B13368" s="7" t="str">
        <f>HYPERLINK("https://otsuka-europe-crm.veevavault.com/ui/#object/vcountry__v/VENZ000004SONF5", "ES")</f>
        <v>ES</v>
      </c>
      <c r="C13368" s="8" t="s">
        <v>41</v>
      </c>
      <c r="D13368" s="9" t="str">
        <f>HYPERLINK("https://otsuka-europe-crm.veevavault.com/ui/#object/approved_document__v/V5O00000001R001", "INA - VAE Cierre ""Nos quedamos en Casa""")</f>
        <v>INA - VAE Cierre "Nos quedamos en Casa"</v>
      </c>
      <c r="E13368" s="10" t="str">
        <f>HYPERLINK("https://otsuka-europe-crm.veevavault.com/ui/#object/sent_email__v/VBL00000002Z312", "SE-001438820")</f>
        <v>SE-001438820</v>
      </c>
      <c r="F13368" s="11"/>
      <c r="G13368" s="12">
        <v>0</v>
      </c>
      <c r="H13368" s="12">
        <v>0</v>
      </c>
      <c r="I13368" s="12">
        <v>0</v>
      </c>
      <c r="J13368" s="11"/>
      <c r="K13368" s="12">
        <v>0</v>
      </c>
      <c r="L13368" s="10" t="str">
        <f>HYPERLINK("https://otsuka-europe-crm.veevavault.com/ui/#object/approved_document__v/V5O00000001R001", "INA - VAE Cierre ""Nos quedamos en Casa""")</f>
        <v>INA - VAE Cierre "Nos quedamos en Casa"</v>
      </c>
      <c r="M13368" s="10" t="str">
        <f>HYPERLINK("mailto:gsammali@crm.otsuka-europe.com", "gsammali@crm.otsuka-europe.com")</f>
        <v>gsammali@crm.otsuka-europe.com</v>
      </c>
      <c r="N13368" s="13">
        <v>46203.34579861111</v>
      </c>
      <c r="O13368" s="14" t="str">
        <f>HYPERLINK("https://otsuka-europe-crm.veevavault.com/ui/#object/email_activity__v/V8C000000041533", "EN-002100703")</f>
        <v>EN-002100703</v>
      </c>
    </row>
    <row r="13369" spans="1:15" ht="16" x14ac:dyDescent="0.2">
      <c r="A13369" s="17" t="str">
        <f>HYPERLINK("https://otsuka-europe-crm.veevavault.com/ui/#object/account__v/V4TZ025E86TKB9X", "MARTA SANTALIESTRA TOMAS")</f>
        <v>MARTA SANTALIESTRA TOMAS</v>
      </c>
      <c r="B13369" s="17" t="str">
        <f>HYPERLINK("https://otsuka-europe-crm.veevavault.com/ui/#object/vcountry__v/VENZ000004SONF5", "ES")</f>
        <v>ES</v>
      </c>
      <c r="C13369" s="20" t="s">
        <v>41</v>
      </c>
      <c r="D13369" s="21" t="str">
        <f>HYPERLINK("https://otsuka-europe-crm.veevavault.com/ui/#object/approved_document__v/V5O00000001R001", "INA - VAE Cierre ""Nos quedamos en Casa""")</f>
        <v>INA - VAE Cierre "Nos quedamos en Casa"</v>
      </c>
      <c r="E13369" s="22" t="str">
        <f>HYPERLINK("https://otsuka-europe-crm.veevavault.com/ui/#object/sent_email__v/VBL00000002Z313", "SE-001438821")</f>
        <v>SE-001438821</v>
      </c>
      <c r="F13369" s="25"/>
      <c r="G13369" s="24">
        <v>0</v>
      </c>
      <c r="H13369" s="24">
        <v>0</v>
      </c>
      <c r="I13369" s="24">
        <v>0</v>
      </c>
      <c r="J13369" s="25"/>
      <c r="K13369" s="24">
        <v>0</v>
      </c>
      <c r="L13369" s="22" t="str">
        <f>HYPERLINK("https://otsuka-europe-crm.veevavault.com/ui/#object/approved_document__v/V5O00000001R001", "INA - VAE Cierre ""Nos quedamos en Casa""")</f>
        <v>INA - VAE Cierre "Nos quedamos en Casa"</v>
      </c>
      <c r="M13369" s="22" t="str">
        <f>HYPERLINK("mailto:gsammali@crm.otsuka-europe.com", "gsammali@crm.otsuka-europe.com")</f>
        <v>gsammali@crm.otsuka-europe.com</v>
      </c>
      <c r="N13369" s="23">
        <v>46203.34579861111</v>
      </c>
      <c r="O13369" s="14" t="str">
        <f>HYPERLINK("https://otsuka-europe-crm.veevavault.com/ui/#object/email_activity__v/V8C000000041534", "EN-002100704")</f>
        <v>EN-002100704</v>
      </c>
    </row>
    <row r="13370" spans="1:15" ht="16" x14ac:dyDescent="0.2">
      <c r="A13370" s="19"/>
      <c r="B13370" s="19"/>
      <c r="C13370" s="19"/>
      <c r="D13370" s="19"/>
      <c r="E13370" s="19"/>
      <c r="F13370" s="19"/>
      <c r="G13370" s="19"/>
      <c r="H13370" s="19"/>
      <c r="I13370" s="19"/>
      <c r="J13370" s="19"/>
      <c r="K13370" s="19"/>
      <c r="L13370" s="19"/>
      <c r="M13370" s="19"/>
      <c r="N13370" s="19"/>
      <c r="O13370" s="14" t="str">
        <f>HYPERLINK("https://otsuka-europe-crm.veevavault.com/ui/#object/email_activity__v/V8C000000042557", "EN-002100832")</f>
        <v>EN-002100832</v>
      </c>
    </row>
    <row r="13371" spans="1:15" ht="16" x14ac:dyDescent="0.2">
      <c r="A13371" s="17" t="str">
        <f>HYPERLINK("https://otsuka-europe-crm.veevavault.com/ui/#object/account__v/V4TZ025E840J3B3", "ISABEL IZQUIERDO GARCIA")</f>
        <v>ISABEL IZQUIERDO GARCIA</v>
      </c>
      <c r="B13371" s="17" t="str">
        <f>HYPERLINK("https://otsuka-europe-crm.veevavault.com/ui/#object/vcountry__v/VENZ000004SONF5", "ES")</f>
        <v>ES</v>
      </c>
      <c r="C13371" s="20" t="s">
        <v>41</v>
      </c>
      <c r="D13371" s="21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13371" s="22" t="str">
        <f>HYPERLINK("https://otsuka-europe-crm.veevavault.com/ui/#object/sent_email__v/VBL00000002Z314", "SE-001438822")</f>
        <v>SE-001438822</v>
      </c>
      <c r="F13371" s="23">
        <v>46203.346921296295</v>
      </c>
      <c r="G13371" s="24">
        <v>1</v>
      </c>
      <c r="H13371" s="24">
        <v>1</v>
      </c>
      <c r="I13371" s="24">
        <v>1</v>
      </c>
      <c r="J13371" s="23">
        <v>46203.347175925926</v>
      </c>
      <c r="K13371" s="24">
        <v>2</v>
      </c>
      <c r="L13371" s="22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13371" s="22" t="str">
        <f>HYPERLINK("mailto:gsammali@crm.otsuka-europe.com", "gsammali@crm.otsuka-europe.com")</f>
        <v>gsammali@crm.otsuka-europe.com</v>
      </c>
      <c r="N13371" s="23">
        <v>46203.346817129626</v>
      </c>
      <c r="O13371" s="14" t="str">
        <f>HYPERLINK("https://otsuka-europe-crm.veevavault.com/ui/#object/email_activity__v/V8C000000041556", "EN-002100758")</f>
        <v>EN-002100758</v>
      </c>
    </row>
    <row r="13372" spans="1:15" ht="16" x14ac:dyDescent="0.2">
      <c r="A13372" s="18"/>
      <c r="B13372" s="18"/>
      <c r="C13372" s="18"/>
      <c r="D13372" s="18"/>
      <c r="E13372" s="18"/>
      <c r="F13372" s="18"/>
      <c r="G13372" s="18"/>
      <c r="H13372" s="18"/>
      <c r="I13372" s="18"/>
      <c r="J13372" s="18"/>
      <c r="K13372" s="18"/>
      <c r="L13372" s="18"/>
      <c r="M13372" s="18"/>
      <c r="N13372" s="18"/>
      <c r="O13372" s="14" t="str">
        <f>HYPERLINK("https://otsuka-europe-crm.veevavault.com/ui/#object/email_activity__v/V8C000000042486", "EN-002100709")</f>
        <v>EN-002100709</v>
      </c>
    </row>
    <row r="13373" spans="1:15" ht="16" x14ac:dyDescent="0.2">
      <c r="A13373" s="18"/>
      <c r="B13373" s="18"/>
      <c r="C13373" s="18"/>
      <c r="D13373" s="18"/>
      <c r="E13373" s="18"/>
      <c r="F13373" s="18"/>
      <c r="G13373" s="18"/>
      <c r="H13373" s="18"/>
      <c r="I13373" s="18"/>
      <c r="J13373" s="18"/>
      <c r="K13373" s="18"/>
      <c r="L13373" s="18"/>
      <c r="M13373" s="18"/>
      <c r="N13373" s="18"/>
      <c r="O13373" s="14" t="str">
        <f>HYPERLINK("https://otsuka-europe-crm.veevavault.com/ui/#object/email_activity__v/V8C000000042487", "EN-002100710")</f>
        <v>EN-002100710</v>
      </c>
    </row>
    <row r="13374" spans="1:15" ht="16" x14ac:dyDescent="0.2">
      <c r="A13374" s="18"/>
      <c r="B13374" s="18"/>
      <c r="C13374" s="18"/>
      <c r="D13374" s="18"/>
      <c r="E13374" s="18"/>
      <c r="F13374" s="18"/>
      <c r="G13374" s="18"/>
      <c r="H13374" s="18"/>
      <c r="I13374" s="18"/>
      <c r="J13374" s="18"/>
      <c r="K13374" s="18"/>
      <c r="L13374" s="18"/>
      <c r="M13374" s="18"/>
      <c r="N13374" s="18"/>
      <c r="O13374" s="14" t="str">
        <f>HYPERLINK("https://otsuka-europe-crm.veevavault.com/ui/#object/email_activity__v/V8C000000042490", "EN-002100713")</f>
        <v>EN-002100713</v>
      </c>
    </row>
    <row r="13375" spans="1:15" ht="16" x14ac:dyDescent="0.2">
      <c r="A13375" s="19"/>
      <c r="B13375" s="19"/>
      <c r="C13375" s="19"/>
      <c r="D13375" s="19"/>
      <c r="E13375" s="19"/>
      <c r="F13375" s="19"/>
      <c r="G13375" s="19"/>
      <c r="H13375" s="19"/>
      <c r="I13375" s="19"/>
      <c r="J13375" s="19"/>
      <c r="K13375" s="19"/>
      <c r="L13375" s="19"/>
      <c r="M13375" s="19"/>
      <c r="N13375" s="19"/>
      <c r="O13375" s="14" t="str">
        <f>HYPERLINK("https://otsuka-europe-crm.veevavault.com/ui/#object/email_activity__v/V8C000000042491", "EN-002100714")</f>
        <v>EN-002100714</v>
      </c>
    </row>
    <row r="13376" spans="1:15" ht="16" x14ac:dyDescent="0.2">
      <c r="A13376" s="17" t="str">
        <f>HYPERLINK("https://otsuka-europe-crm.veevavault.com/ui/#object/account__v/V4TZ025E8791SYB", "CLARA AURIA CABALLERO")</f>
        <v>CLARA AURIA CABALLERO</v>
      </c>
      <c r="B13376" s="17" t="str">
        <f>HYPERLINK("https://otsuka-europe-crm.veevavault.com/ui/#object/vcountry__v/VENZ000004SONF5", "ES")</f>
        <v>ES</v>
      </c>
      <c r="C13376" s="20" t="s">
        <v>41</v>
      </c>
      <c r="D13376" s="21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13376" s="22" t="str">
        <f>HYPERLINK("https://otsuka-europe-crm.veevavault.com/ui/#object/sent_email__v/VBL00000002Z315", "SE-001438823")</f>
        <v>SE-001438823</v>
      </c>
      <c r="F13376" s="23">
        <v>46203.357349537036</v>
      </c>
      <c r="G13376" s="24">
        <v>1</v>
      </c>
      <c r="H13376" s="24">
        <v>1</v>
      </c>
      <c r="I13376" s="24">
        <v>0</v>
      </c>
      <c r="J13376" s="25"/>
      <c r="K13376" s="24">
        <v>0</v>
      </c>
      <c r="L13376" s="22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13376" s="22" t="str">
        <f>HYPERLINK("mailto:gsammali@crm.otsuka-europe.com", "gsammali@crm.otsuka-europe.com")</f>
        <v>gsammali@crm.otsuka-europe.com</v>
      </c>
      <c r="N13376" s="23">
        <v>46203.346817129626</v>
      </c>
      <c r="O13376" s="14" t="str">
        <f>HYPERLINK("https://otsuka-europe-crm.veevavault.com/ui/#object/email_activity__v/V8C000000041560", "EN-002100762")</f>
        <v>EN-002100762</v>
      </c>
    </row>
    <row r="13377" spans="1:15" ht="16" x14ac:dyDescent="0.2">
      <c r="A13377" s="19"/>
      <c r="B13377" s="19"/>
      <c r="C13377" s="19"/>
      <c r="D13377" s="19"/>
      <c r="E13377" s="19"/>
      <c r="F13377" s="19"/>
      <c r="G13377" s="19"/>
      <c r="H13377" s="19"/>
      <c r="I13377" s="19"/>
      <c r="J13377" s="19"/>
      <c r="K13377" s="19"/>
      <c r="L13377" s="19"/>
      <c r="M13377" s="19"/>
      <c r="N13377" s="19"/>
      <c r="O13377" s="14" t="str">
        <f>HYPERLINK("https://otsuka-europe-crm.veevavault.com/ui/#object/email_activity__v/V8C000000042484", "EN-002100707")</f>
        <v>EN-002100707</v>
      </c>
    </row>
    <row r="13378" spans="1:15" ht="16" x14ac:dyDescent="0.2">
      <c r="A13378" s="17" t="str">
        <f>HYPERLINK("https://otsuka-europe-crm.veevavault.com/ui/#object/account__v/V4TZ025E840J3B3", "ISABEL IZQUIERDO GARCIA")</f>
        <v>ISABEL IZQUIERDO GARCIA</v>
      </c>
      <c r="B13378" s="17" t="str">
        <f>HYPERLINK("https://otsuka-europe-crm.veevavault.com/ui/#object/vcountry__v/VENZ000004SONF5", "ES")</f>
        <v>ES</v>
      </c>
      <c r="C13378" s="20" t="s">
        <v>41</v>
      </c>
      <c r="D13378" s="21" t="str">
        <f>HYPERLINK("https://otsuka-europe-crm.veevavault.com/ui/#object/approved_document__v/V5O00000001R001", "INA - VAE Cierre ""Nos quedamos en Casa""")</f>
        <v>INA - VAE Cierre "Nos quedamos en Casa"</v>
      </c>
      <c r="E13378" s="22" t="str">
        <f>HYPERLINK("https://otsuka-europe-crm.veevavault.com/ui/#object/sent_email__v/VBL00000002Z316", "SE-001438824")</f>
        <v>SE-001438824</v>
      </c>
      <c r="F13378" s="23">
        <v>46203.347083333334</v>
      </c>
      <c r="G13378" s="24">
        <v>1</v>
      </c>
      <c r="H13378" s="24">
        <v>1</v>
      </c>
      <c r="I13378" s="24">
        <v>1</v>
      </c>
      <c r="J13378" s="23">
        <v>46203.347581018519</v>
      </c>
      <c r="K13378" s="24">
        <v>1</v>
      </c>
      <c r="L13378" s="22" t="str">
        <f>HYPERLINK("https://otsuka-europe-crm.veevavault.com/ui/#object/approved_document__v/V5O00000001R001", "INA - VAE Cierre ""Nos quedamos en Casa""")</f>
        <v>INA - VAE Cierre "Nos quedamos en Casa"</v>
      </c>
      <c r="M13378" s="22" t="str">
        <f>HYPERLINK("mailto:gsammali@crm.otsuka-europe.com", "gsammali@crm.otsuka-europe.com")</f>
        <v>gsammali@crm.otsuka-europe.com</v>
      </c>
      <c r="N13378" s="23">
        <v>46203.346817129626</v>
      </c>
      <c r="O13378" s="14" t="str">
        <f>HYPERLINK("https://otsuka-europe-crm.veevavault.com/ui/#object/email_activity__v/V8C000000041538", "EN-002100717")</f>
        <v>EN-002100717</v>
      </c>
    </row>
    <row r="13379" spans="1:15" ht="16" x14ac:dyDescent="0.2">
      <c r="A13379" s="18"/>
      <c r="B13379" s="18"/>
      <c r="C13379" s="18"/>
      <c r="D13379" s="18"/>
      <c r="E13379" s="18"/>
      <c r="F13379" s="18"/>
      <c r="G13379" s="18"/>
      <c r="H13379" s="18"/>
      <c r="I13379" s="18"/>
      <c r="J13379" s="18"/>
      <c r="K13379" s="18"/>
      <c r="L13379" s="18"/>
      <c r="M13379" s="18"/>
      <c r="N13379" s="18"/>
      <c r="O13379" s="14" t="str">
        <f>HYPERLINK("https://otsuka-europe-crm.veevavault.com/ui/#object/email_activity__v/V8C000000042488", "EN-002100711")</f>
        <v>EN-002100711</v>
      </c>
    </row>
    <row r="13380" spans="1:15" ht="16" x14ac:dyDescent="0.2">
      <c r="A13380" s="18"/>
      <c r="B13380" s="18"/>
      <c r="C13380" s="18"/>
      <c r="D13380" s="18"/>
      <c r="E13380" s="18"/>
      <c r="F13380" s="18"/>
      <c r="G13380" s="18"/>
      <c r="H13380" s="18"/>
      <c r="I13380" s="18"/>
      <c r="J13380" s="18"/>
      <c r="K13380" s="18"/>
      <c r="L13380" s="18"/>
      <c r="M13380" s="18"/>
      <c r="N13380" s="18"/>
      <c r="O13380" s="14" t="str">
        <f>HYPERLINK("https://otsuka-europe-crm.veevavault.com/ui/#object/email_activity__v/V8C000000042489", "EN-002100712")</f>
        <v>EN-002100712</v>
      </c>
    </row>
    <row r="13381" spans="1:15" ht="16" x14ac:dyDescent="0.2">
      <c r="A13381" s="19"/>
      <c r="B13381" s="19"/>
      <c r="C13381" s="19"/>
      <c r="D13381" s="19"/>
      <c r="E13381" s="19"/>
      <c r="F13381" s="19"/>
      <c r="G13381" s="19"/>
      <c r="H13381" s="19"/>
      <c r="I13381" s="19"/>
      <c r="J13381" s="19"/>
      <c r="K13381" s="19"/>
      <c r="L13381" s="19"/>
      <c r="M13381" s="19"/>
      <c r="N13381" s="19"/>
      <c r="O13381" s="14" t="str">
        <f>HYPERLINK("https://otsuka-europe-crm.veevavault.com/ui/#object/email_activity__v/V8C000000042492", "EN-002100715")</f>
        <v>EN-002100715</v>
      </c>
    </row>
    <row r="13382" spans="1:15" ht="16" x14ac:dyDescent="0.2">
      <c r="A13382" s="17" t="str">
        <f>HYPERLINK("https://otsuka-europe-crm.veevavault.com/ui/#object/account__v/V4TZ025E8791SYB", "CLARA AURIA CABALLERO")</f>
        <v>CLARA AURIA CABALLERO</v>
      </c>
      <c r="B13382" s="17" t="str">
        <f>HYPERLINK("https://otsuka-europe-crm.veevavault.com/ui/#object/vcountry__v/VENZ000004SONF5", "ES")</f>
        <v>ES</v>
      </c>
      <c r="C13382" s="20" t="s">
        <v>41</v>
      </c>
      <c r="D13382" s="21" t="str">
        <f>HYPERLINK("https://otsuka-europe-crm.veevavault.com/ui/#object/approved_document__v/V5O00000001R001", "INA - VAE Cierre ""Nos quedamos en Casa""")</f>
        <v>INA - VAE Cierre "Nos quedamos en Casa"</v>
      </c>
      <c r="E13382" s="22" t="str">
        <f>HYPERLINK("https://otsuka-europe-crm.veevavault.com/ui/#object/sent_email__v/VBL00000002Z317", "SE-001438825")</f>
        <v>SE-001438825</v>
      </c>
      <c r="F13382" s="23">
        <v>46203.357395833336</v>
      </c>
      <c r="G13382" s="24">
        <v>1</v>
      </c>
      <c r="H13382" s="24">
        <v>2</v>
      </c>
      <c r="I13382" s="24">
        <v>0</v>
      </c>
      <c r="J13382" s="25"/>
      <c r="K13382" s="24">
        <v>0</v>
      </c>
      <c r="L13382" s="22" t="str">
        <f>HYPERLINK("https://otsuka-europe-crm.veevavault.com/ui/#object/approved_document__v/V5O00000001R001", "INA - VAE Cierre ""Nos quedamos en Casa""")</f>
        <v>INA - VAE Cierre "Nos quedamos en Casa"</v>
      </c>
      <c r="M13382" s="22" t="str">
        <f>HYPERLINK("mailto:gsammali@crm.otsuka-europe.com", "gsammali@crm.otsuka-europe.com")</f>
        <v>gsammali@crm.otsuka-europe.com</v>
      </c>
      <c r="N13382" s="23">
        <v>46203.346817129626</v>
      </c>
      <c r="O13382" s="14" t="str">
        <f>HYPERLINK("https://otsuka-europe-crm.veevavault.com/ui/#object/email_activity__v/V8C000000041558", "EN-002100760")</f>
        <v>EN-002100760</v>
      </c>
    </row>
    <row r="13383" spans="1:15" ht="16" x14ac:dyDescent="0.2">
      <c r="A13383" s="18"/>
      <c r="B13383" s="18"/>
      <c r="C13383" s="18"/>
      <c r="D13383" s="18"/>
      <c r="E13383" s="18"/>
      <c r="F13383" s="18"/>
      <c r="G13383" s="18"/>
      <c r="H13383" s="18"/>
      <c r="I13383" s="18"/>
      <c r="J13383" s="18"/>
      <c r="K13383" s="18"/>
      <c r="L13383" s="18"/>
      <c r="M13383" s="18"/>
      <c r="N13383" s="18"/>
      <c r="O13383" s="14" t="str">
        <f>HYPERLINK("https://otsuka-europe-crm.veevavault.com/ui/#object/email_activity__v/V8C000000041559", "EN-002100761")</f>
        <v>EN-002100761</v>
      </c>
    </row>
    <row r="13384" spans="1:15" ht="16" x14ac:dyDescent="0.2">
      <c r="A13384" s="19"/>
      <c r="B13384" s="19"/>
      <c r="C13384" s="19"/>
      <c r="D13384" s="19"/>
      <c r="E13384" s="19"/>
      <c r="F13384" s="19"/>
      <c r="G13384" s="19"/>
      <c r="H13384" s="19"/>
      <c r="I13384" s="19"/>
      <c r="J13384" s="19"/>
      <c r="K13384" s="19"/>
      <c r="L13384" s="19"/>
      <c r="M13384" s="19"/>
      <c r="N13384" s="19"/>
      <c r="O13384" s="14" t="str">
        <f>HYPERLINK("https://otsuka-europe-crm.veevavault.com/ui/#object/email_activity__v/V8C000000042485", "EN-002100708")</f>
        <v>EN-002100708</v>
      </c>
    </row>
    <row r="13385" spans="1:15" ht="48" x14ac:dyDescent="0.2">
      <c r="A13385" s="7" t="str">
        <f>HYPERLINK("https://otsuka-europe-crm.veevavault.com/ui/#object/account__v/V4TZ025E8811Q4X", "MARIA TERESA ORDUNA ARNAL")</f>
        <v>MARIA TERESA ORDUNA ARNAL</v>
      </c>
      <c r="B13385" s="7" t="str">
        <f>HYPERLINK("https://otsuka-europe-crm.veevavault.com/ui/#object/vcountry__v/VENZ000004SONF5", "ES")</f>
        <v>ES</v>
      </c>
      <c r="C13385" s="8" t="s">
        <v>41</v>
      </c>
      <c r="D13385" s="9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13385" s="10" t="str">
        <f>HYPERLINK("https://otsuka-europe-crm.veevavault.com/ui/#object/sent_email__v/VBL00000002Y147", "SE-001438826")</f>
        <v>SE-001438826</v>
      </c>
      <c r="F13385" s="11"/>
      <c r="G13385" s="12">
        <v>0</v>
      </c>
      <c r="H13385" s="12">
        <v>0</v>
      </c>
      <c r="I13385" s="12">
        <v>0</v>
      </c>
      <c r="J13385" s="11"/>
      <c r="K13385" s="12">
        <v>0</v>
      </c>
      <c r="L13385" s="10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13385" s="10" t="str">
        <f>HYPERLINK("mailto:gsammali@crm.otsuka-europe.com", "gsammali@crm.otsuka-europe.com")</f>
        <v>gsammali@crm.otsuka-europe.com</v>
      </c>
      <c r="N13385" s="13">
        <v>46203.350219907406</v>
      </c>
      <c r="O13385" s="14" t="str">
        <f>HYPERLINK("https://otsuka-europe-crm.veevavault.com/ui/#object/email_activity__v/V8C000000042500", "EN-002100725")</f>
        <v>EN-002100725</v>
      </c>
    </row>
    <row r="13386" spans="1:15" ht="48" x14ac:dyDescent="0.2">
      <c r="A13386" s="7" t="str">
        <f>HYPERLINK("https://otsuka-europe-crm.veevavault.com/ui/#object/account__v/V4TZ025E87PPRHK", "PEDRO JOSE PAUL VIDALLER")</f>
        <v>PEDRO JOSE PAUL VIDALLER</v>
      </c>
      <c r="B13386" s="7" t="str">
        <f>HYPERLINK("https://otsuka-europe-crm.veevavault.com/ui/#object/vcountry__v/VENZ000004SONF5", "ES")</f>
        <v>ES</v>
      </c>
      <c r="C13386" s="8" t="s">
        <v>41</v>
      </c>
      <c r="D13386" s="9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13386" s="10" t="str">
        <f>HYPERLINK("https://otsuka-europe-crm.veevavault.com/ui/#object/sent_email__v/VBL00000002Y148", "SE-001438827")</f>
        <v>SE-001438827</v>
      </c>
      <c r="F13386" s="11"/>
      <c r="G13386" s="12">
        <v>0</v>
      </c>
      <c r="H13386" s="12">
        <v>0</v>
      </c>
      <c r="I13386" s="12">
        <v>0</v>
      </c>
      <c r="J13386" s="11"/>
      <c r="K13386" s="12">
        <v>0</v>
      </c>
      <c r="L13386" s="10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13386" s="10" t="str">
        <f>HYPERLINK("mailto:gsammali@crm.otsuka-europe.com", "gsammali@crm.otsuka-europe.com")</f>
        <v>gsammali@crm.otsuka-europe.com</v>
      </c>
      <c r="N13386" s="13">
        <v>46203.350219907406</v>
      </c>
      <c r="O13386" s="14" t="str">
        <f>HYPERLINK("https://otsuka-europe-crm.veevavault.com/ui/#object/email_activity__v/V8C000000042503", "EN-002100730")</f>
        <v>EN-002100730</v>
      </c>
    </row>
    <row r="13387" spans="1:15" ht="16" x14ac:dyDescent="0.2">
      <c r="A13387" s="17" t="str">
        <f>HYPERLINK("https://otsuka-europe-crm.veevavault.com/ui/#object/account__v/V4TZ025E83OXRGQ", "MARIA TERESA OLAVE RUBIO")</f>
        <v>MARIA TERESA OLAVE RUBIO</v>
      </c>
      <c r="B13387" s="17" t="str">
        <f>HYPERLINK("https://otsuka-europe-crm.veevavault.com/ui/#object/vcountry__v/VENZ000004SONF5", "ES")</f>
        <v>ES</v>
      </c>
      <c r="C13387" s="20" t="s">
        <v>41</v>
      </c>
      <c r="D13387" s="21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13387" s="22" t="str">
        <f>HYPERLINK("https://otsuka-europe-crm.veevavault.com/ui/#object/sent_email__v/VBL00000002Y149", "SE-001438828")</f>
        <v>SE-001438828</v>
      </c>
      <c r="F13387" s="23">
        <v>46203.350335648145</v>
      </c>
      <c r="G13387" s="24">
        <v>1</v>
      </c>
      <c r="H13387" s="24">
        <v>1</v>
      </c>
      <c r="I13387" s="24">
        <v>1</v>
      </c>
      <c r="J13387" s="23">
        <v>46203.350636574076</v>
      </c>
      <c r="K13387" s="24">
        <v>2</v>
      </c>
      <c r="L13387" s="22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13387" s="22" t="str">
        <f>HYPERLINK("mailto:gsammali@crm.otsuka-europe.com", "gsammali@crm.otsuka-europe.com")</f>
        <v>gsammali@crm.otsuka-europe.com</v>
      </c>
      <c r="N13387" s="23">
        <v>46203.350219907406</v>
      </c>
      <c r="O13387" s="14" t="str">
        <f>HYPERLINK("https://otsuka-europe-crm.veevavault.com/ui/#object/email_activity__v/V8C000000041541", "EN-002100734")</f>
        <v>EN-002100734</v>
      </c>
    </row>
    <row r="13388" spans="1:15" ht="16" x14ac:dyDescent="0.2">
      <c r="A13388" s="18"/>
      <c r="B13388" s="18"/>
      <c r="C13388" s="18"/>
      <c r="D13388" s="18"/>
      <c r="E13388" s="18"/>
      <c r="F13388" s="18"/>
      <c r="G13388" s="18"/>
      <c r="H13388" s="18"/>
      <c r="I13388" s="18"/>
      <c r="J13388" s="18"/>
      <c r="K13388" s="18"/>
      <c r="L13388" s="18"/>
      <c r="M13388" s="18"/>
      <c r="N13388" s="18"/>
      <c r="O13388" s="14" t="str">
        <f>HYPERLINK("https://otsuka-europe-crm.veevavault.com/ui/#object/email_activity__v/V8C000000041545", "EN-002100741")</f>
        <v>EN-002100741</v>
      </c>
    </row>
    <row r="13389" spans="1:15" ht="16" x14ac:dyDescent="0.2">
      <c r="A13389" s="18"/>
      <c r="B13389" s="18"/>
      <c r="C13389" s="18"/>
      <c r="D13389" s="18"/>
      <c r="E13389" s="18"/>
      <c r="F13389" s="18"/>
      <c r="G13389" s="18"/>
      <c r="H13389" s="18"/>
      <c r="I13389" s="18"/>
      <c r="J13389" s="18"/>
      <c r="K13389" s="18"/>
      <c r="L13389" s="18"/>
      <c r="M13389" s="18"/>
      <c r="N13389" s="18"/>
      <c r="O13389" s="14" t="str">
        <f>HYPERLINK("https://otsuka-europe-crm.veevavault.com/ui/#object/email_activity__v/V8C000000041546", "EN-002100744")</f>
        <v>EN-002100744</v>
      </c>
    </row>
    <row r="13390" spans="1:15" ht="16" x14ac:dyDescent="0.2">
      <c r="A13390" s="19"/>
      <c r="B13390" s="19"/>
      <c r="C13390" s="19"/>
      <c r="D13390" s="19"/>
      <c r="E13390" s="19"/>
      <c r="F13390" s="19"/>
      <c r="G13390" s="19"/>
      <c r="H13390" s="19"/>
      <c r="I13390" s="19"/>
      <c r="J13390" s="19"/>
      <c r="K13390" s="19"/>
      <c r="L13390" s="19"/>
      <c r="M13390" s="19"/>
      <c r="N13390" s="19"/>
      <c r="O13390" s="14" t="str">
        <f>HYPERLINK("https://otsuka-europe-crm.veevavault.com/ui/#object/email_activity__v/V8C000000042511", "EN-002100743")</f>
        <v>EN-002100743</v>
      </c>
    </row>
    <row r="13391" spans="1:15" ht="16" x14ac:dyDescent="0.2">
      <c r="A13391" s="17" t="str">
        <f>HYPERLINK("https://otsuka-europe-crm.veevavault.com/ui/#object/account__v/V4TZ025E87PPOH6", "MARIA MAR MOLES GUERRERO")</f>
        <v>MARIA MAR MOLES GUERRERO</v>
      </c>
      <c r="B13391" s="17" t="str">
        <f>HYPERLINK("https://otsuka-europe-crm.veevavault.com/ui/#object/vcountry__v/VENZ000004SONF5", "ES")</f>
        <v>ES</v>
      </c>
      <c r="C13391" s="20" t="s">
        <v>41</v>
      </c>
      <c r="D13391" s="21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13391" s="22" t="str">
        <f>HYPERLINK("https://otsuka-europe-crm.veevavault.com/ui/#object/sent_email__v/VBL00000002Y150", "SE-001438829")</f>
        <v>SE-001438829</v>
      </c>
      <c r="F13391" s="23">
        <v>46203.636724537035</v>
      </c>
      <c r="G13391" s="24">
        <v>1</v>
      </c>
      <c r="H13391" s="24">
        <v>2</v>
      </c>
      <c r="I13391" s="24">
        <v>0</v>
      </c>
      <c r="J13391" s="25"/>
      <c r="K13391" s="24">
        <v>0</v>
      </c>
      <c r="L13391" s="22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13391" s="22" t="str">
        <f>HYPERLINK("mailto:gsammali@crm.otsuka-europe.com", "gsammali@crm.otsuka-europe.com")</f>
        <v>gsammali@crm.otsuka-europe.com</v>
      </c>
      <c r="N13391" s="23">
        <v>46203.350219907406</v>
      </c>
      <c r="O13391" s="14" t="str">
        <f>HYPERLINK("https://otsuka-europe-crm.veevavault.com/ui/#object/email_activity__v/V8C000000042496", "EN-002100721")</f>
        <v>EN-002100721</v>
      </c>
    </row>
    <row r="13392" spans="1:15" ht="16" x14ac:dyDescent="0.2">
      <c r="A13392" s="18"/>
      <c r="B13392" s="18"/>
      <c r="C13392" s="18"/>
      <c r="D13392" s="18"/>
      <c r="E13392" s="18"/>
      <c r="F13392" s="18"/>
      <c r="G13392" s="18"/>
      <c r="H13392" s="18"/>
      <c r="I13392" s="18"/>
      <c r="J13392" s="18"/>
      <c r="K13392" s="18"/>
      <c r="L13392" s="18"/>
      <c r="M13392" s="18"/>
      <c r="N13392" s="18"/>
      <c r="O13392" s="14" t="str">
        <f>HYPERLINK("https://otsuka-europe-crm.veevavault.com/ui/#object/email_activity__v/V8C000000042600", "EN-002100902")</f>
        <v>EN-002100902</v>
      </c>
    </row>
    <row r="13393" spans="1:15" ht="16" x14ac:dyDescent="0.2">
      <c r="A13393" s="19"/>
      <c r="B13393" s="19"/>
      <c r="C13393" s="19"/>
      <c r="D13393" s="19"/>
      <c r="E13393" s="19"/>
      <c r="F13393" s="19"/>
      <c r="G13393" s="19"/>
      <c r="H13393" s="19"/>
      <c r="I13393" s="19"/>
      <c r="J13393" s="19"/>
      <c r="K13393" s="19"/>
      <c r="L13393" s="19"/>
      <c r="M13393" s="19"/>
      <c r="N13393" s="19"/>
      <c r="O13393" s="14" t="str">
        <f>HYPERLINK("https://otsuka-europe-crm.veevavault.com/ui/#object/email_activity__v/V8C000000042601", "EN-002100903")</f>
        <v>EN-002100903</v>
      </c>
    </row>
    <row r="13394" spans="1:15" ht="48" x14ac:dyDescent="0.2">
      <c r="A13394" s="7" t="str">
        <f>HYPERLINK("https://otsuka-europe-crm.veevavault.com/ui/#object/account__v/V4TZ025E842ZOW1", "ANASTASIA PILAR AULES LEONARDO")</f>
        <v>ANASTASIA PILAR AULES LEONARDO</v>
      </c>
      <c r="B13394" s="7" t="str">
        <f>HYPERLINK("https://otsuka-europe-crm.veevavault.com/ui/#object/vcountry__v/VENZ000004SONF5", "ES")</f>
        <v>ES</v>
      </c>
      <c r="C13394" s="8" t="s">
        <v>41</v>
      </c>
      <c r="D13394" s="9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13394" s="10" t="str">
        <f>HYPERLINK("https://otsuka-europe-crm.veevavault.com/ui/#object/sent_email__v/VBL00000002Y151", "SE-001438830")</f>
        <v>SE-001438830</v>
      </c>
      <c r="F13394" s="11"/>
      <c r="G13394" s="12">
        <v>0</v>
      </c>
      <c r="H13394" s="12">
        <v>0</v>
      </c>
      <c r="I13394" s="12">
        <v>0</v>
      </c>
      <c r="J13394" s="11"/>
      <c r="K13394" s="12">
        <v>0</v>
      </c>
      <c r="L13394" s="10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13394" s="10" t="str">
        <f>HYPERLINK("mailto:gsammali@crm.otsuka-europe.com", "gsammali@crm.otsuka-europe.com")</f>
        <v>gsammali@crm.otsuka-europe.com</v>
      </c>
      <c r="N13394" s="13">
        <v>46203.350219907406</v>
      </c>
      <c r="O13394" s="14" t="str">
        <f>HYPERLINK("https://otsuka-europe-crm.veevavault.com/ui/#object/email_activity__v/V8C000000042502", "EN-002100729")</f>
        <v>EN-002100729</v>
      </c>
    </row>
    <row r="13395" spans="1:15" ht="48" x14ac:dyDescent="0.2">
      <c r="A13395" s="7" t="str">
        <f>HYPERLINK("https://otsuka-europe-crm.veevavault.com/ui/#object/account__v/V4TZ025E842LQCD", "MIGUEL LUCIANO DIAZ MORFA")</f>
        <v>MIGUEL LUCIANO DIAZ MORFA</v>
      </c>
      <c r="B13395" s="7" t="str">
        <f>HYPERLINK("https://otsuka-europe-crm.veevavault.com/ui/#object/vcountry__v/VENZ000004SONF5", "ES")</f>
        <v>ES</v>
      </c>
      <c r="C13395" s="8" t="s">
        <v>41</v>
      </c>
      <c r="D13395" s="9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13395" s="10" t="str">
        <f>HYPERLINK("https://otsuka-europe-crm.veevavault.com/ui/#object/sent_email__v/VBL00000002Y152", "SE-001438831")</f>
        <v>SE-001438831</v>
      </c>
      <c r="F13395" s="11"/>
      <c r="G13395" s="12">
        <v>0</v>
      </c>
      <c r="H13395" s="12">
        <v>0</v>
      </c>
      <c r="I13395" s="12">
        <v>0</v>
      </c>
      <c r="J13395" s="11"/>
      <c r="K13395" s="12">
        <v>0</v>
      </c>
      <c r="L13395" s="10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13395" s="10" t="str">
        <f>HYPERLINK("mailto:gsammali@crm.otsuka-europe.com", "gsammali@crm.otsuka-europe.com")</f>
        <v>gsammali@crm.otsuka-europe.com</v>
      </c>
      <c r="N13395" s="13">
        <v>46203.350219907406</v>
      </c>
      <c r="O13395" s="14" t="str">
        <f>HYPERLINK("https://otsuka-europe-crm.veevavault.com/ui/#object/email_activity__v/V8C000000041543", "EN-002100736")</f>
        <v>EN-002100736</v>
      </c>
    </row>
    <row r="13396" spans="1:15" ht="48" x14ac:dyDescent="0.2">
      <c r="A13396" s="7" t="str">
        <f>HYPERLINK("https://otsuka-europe-crm.veevavault.com/ui/#object/account__v/V4T000000013167", "MATILDE INES PERELLA ARNAL")</f>
        <v>MATILDE INES PERELLA ARNAL</v>
      </c>
      <c r="B13396" s="7" t="str">
        <f>HYPERLINK("https://otsuka-europe-crm.veevavault.com/ui/#object/vcountry__v/VENZ000004SONF5", "ES")</f>
        <v>ES</v>
      </c>
      <c r="C13396" s="8" t="s">
        <v>41</v>
      </c>
      <c r="D13396" s="9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13396" s="10" t="str">
        <f>HYPERLINK("https://otsuka-europe-crm.veevavault.com/ui/#object/sent_email__v/VBL00000002Y153", "SE-001438832")</f>
        <v>SE-001438832</v>
      </c>
      <c r="F13396" s="11"/>
      <c r="G13396" s="12">
        <v>0</v>
      </c>
      <c r="H13396" s="12">
        <v>0</v>
      </c>
      <c r="I13396" s="12">
        <v>0</v>
      </c>
      <c r="J13396" s="11"/>
      <c r="K13396" s="12">
        <v>0</v>
      </c>
      <c r="L13396" s="10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13396" s="10" t="str">
        <f>HYPERLINK("mailto:gsammali@crm.otsuka-europe.com", "gsammali@crm.otsuka-europe.com")</f>
        <v>gsammali@crm.otsuka-europe.com</v>
      </c>
      <c r="N13396" s="13">
        <v>46203.350219907406</v>
      </c>
      <c r="O13396" s="14" t="str">
        <f>HYPERLINK("https://otsuka-europe-crm.veevavault.com/ui/#object/email_activity__v/V8C000000042505", "EN-002100732")</f>
        <v>EN-002100732</v>
      </c>
    </row>
    <row r="13397" spans="1:15" ht="16" x14ac:dyDescent="0.2">
      <c r="A13397" s="17" t="str">
        <f>HYPERLINK("https://otsuka-europe-crm.veevavault.com/ui/#object/account__v/V4TZ025E87AK7AG", "LISSETTE PILAR COSTILLA BARRIGA")</f>
        <v>LISSETTE PILAR COSTILLA BARRIGA</v>
      </c>
      <c r="B13397" s="17" t="str">
        <f>HYPERLINK("https://otsuka-europe-crm.veevavault.com/ui/#object/vcountry__v/VENZ000004SONF5", "ES")</f>
        <v>ES</v>
      </c>
      <c r="C13397" s="20" t="s">
        <v>41</v>
      </c>
      <c r="D13397" s="21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13397" s="22" t="str">
        <f>HYPERLINK("https://otsuka-europe-crm.veevavault.com/ui/#object/sent_email__v/VBL00000002Y154", "SE-001438833")</f>
        <v>SE-001438833</v>
      </c>
      <c r="F13397" s="25"/>
      <c r="G13397" s="24">
        <v>0</v>
      </c>
      <c r="H13397" s="24">
        <v>0</v>
      </c>
      <c r="I13397" s="24">
        <v>0</v>
      </c>
      <c r="J13397" s="25"/>
      <c r="K13397" s="24">
        <v>0</v>
      </c>
      <c r="L13397" s="22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13397" s="22" t="str">
        <f>HYPERLINK("mailto:gsammali@crm.otsuka-europe.com", "gsammali@crm.otsuka-europe.com")</f>
        <v>gsammali@crm.otsuka-europe.com</v>
      </c>
      <c r="N13397" s="23">
        <v>46203.350219907406</v>
      </c>
      <c r="O13397" s="14" t="str">
        <f>HYPERLINK("https://otsuka-europe-crm.veevavault.com/ui/#object/email_activity__v/V8C000000041864", "EN-002101442")</f>
        <v>EN-002101442</v>
      </c>
    </row>
    <row r="13398" spans="1:15" ht="16" x14ac:dyDescent="0.2">
      <c r="A13398" s="19"/>
      <c r="B13398" s="19"/>
      <c r="C13398" s="19"/>
      <c r="D13398" s="19"/>
      <c r="E13398" s="19"/>
      <c r="F13398" s="19"/>
      <c r="G13398" s="19"/>
      <c r="H13398" s="19"/>
      <c r="I13398" s="19"/>
      <c r="J13398" s="19"/>
      <c r="K13398" s="19"/>
      <c r="L13398" s="19"/>
      <c r="M13398" s="19"/>
      <c r="N13398" s="19"/>
      <c r="O13398" s="14" t="str">
        <f>HYPERLINK("https://otsuka-europe-crm.veevavault.com/ui/#object/email_activity__v/V8C000000042494", "EN-002100719")</f>
        <v>EN-002100719</v>
      </c>
    </row>
    <row r="13399" spans="1:15" ht="48" x14ac:dyDescent="0.2">
      <c r="A13399" s="7" t="str">
        <f>HYPERLINK("https://otsuka-europe-crm.veevavault.com/ui/#object/account__v/V4TZ025E871CATY", "MARIA CIVEIRA MARIN")</f>
        <v>MARIA CIVEIRA MARIN</v>
      </c>
      <c r="B13399" s="7" t="str">
        <f>HYPERLINK("https://otsuka-europe-crm.veevavault.com/ui/#object/vcountry__v/VENZ000004SONF5", "ES")</f>
        <v>ES</v>
      </c>
      <c r="C13399" s="8" t="s">
        <v>41</v>
      </c>
      <c r="D13399" s="9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13399" s="10" t="str">
        <f>HYPERLINK("https://otsuka-europe-crm.veevavault.com/ui/#object/sent_email__v/VBL00000002Y155", "SE-001438834")</f>
        <v>SE-001438834</v>
      </c>
      <c r="F13399" s="11"/>
      <c r="G13399" s="12">
        <v>0</v>
      </c>
      <c r="H13399" s="12">
        <v>0</v>
      </c>
      <c r="I13399" s="12">
        <v>0</v>
      </c>
      <c r="J13399" s="11"/>
      <c r="K13399" s="12">
        <v>0</v>
      </c>
      <c r="L13399" s="10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13399" s="10" t="str">
        <f>HYPERLINK("mailto:gsammali@crm.otsuka-europe.com", "gsammali@crm.otsuka-europe.com")</f>
        <v>gsammali@crm.otsuka-europe.com</v>
      </c>
      <c r="N13399" s="13">
        <v>46203.350208333337</v>
      </c>
      <c r="O13399" s="14" t="str">
        <f>HYPERLINK("https://otsuka-europe-crm.veevavault.com/ui/#object/email_activity__v/V8C000000042493", "EN-002100718")</f>
        <v>EN-002100718</v>
      </c>
    </row>
    <row r="13400" spans="1:15" ht="48" x14ac:dyDescent="0.2">
      <c r="A13400" s="7" t="str">
        <f>HYPERLINK("https://otsuka-europe-crm.veevavault.com/ui/#object/account__v/V4T00000001D064", "LAURA FERNANDEZ CUEZVA")</f>
        <v>LAURA FERNANDEZ CUEZVA</v>
      </c>
      <c r="B13400" s="7" t="str">
        <f>HYPERLINK("https://otsuka-europe-crm.veevavault.com/ui/#object/vcountry__v/VENZ000004SONF5", "ES")</f>
        <v>ES</v>
      </c>
      <c r="C13400" s="8" t="s">
        <v>41</v>
      </c>
      <c r="D13400" s="9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13400" s="10" t="str">
        <f>HYPERLINK("https://otsuka-europe-crm.veevavault.com/ui/#object/sent_email__v/VBL00000002Y156", "SE-001438835")</f>
        <v>SE-001438835</v>
      </c>
      <c r="F13400" s="11"/>
      <c r="G13400" s="12">
        <v>0</v>
      </c>
      <c r="H13400" s="12">
        <v>0</v>
      </c>
      <c r="I13400" s="12">
        <v>0</v>
      </c>
      <c r="J13400" s="11"/>
      <c r="K13400" s="12">
        <v>0</v>
      </c>
      <c r="L13400" s="10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13400" s="10" t="str">
        <f>HYPERLINK("mailto:gsammali@crm.otsuka-europe.com", "gsammali@crm.otsuka-europe.com")</f>
        <v>gsammali@crm.otsuka-europe.com</v>
      </c>
      <c r="N13400" s="13">
        <v>46203.350208333337</v>
      </c>
      <c r="O13400" s="14" t="str">
        <f>HYPERLINK("https://otsuka-europe-crm.veevavault.com/ui/#object/email_activity__v/V8C000000042508", "EN-002100738")</f>
        <v>EN-002100738</v>
      </c>
    </row>
    <row r="13401" spans="1:15" ht="48" x14ac:dyDescent="0.2">
      <c r="A13401" s="7" t="str">
        <f>HYPERLINK("https://otsuka-europe-crm.veevavault.com/ui/#object/account__v/V4TZ025E83OWVD8", "MARIA PILAR DELGADO BELTRAN")</f>
        <v>MARIA PILAR DELGADO BELTRAN</v>
      </c>
      <c r="B13401" s="7" t="str">
        <f>HYPERLINK("https://otsuka-europe-crm.veevavault.com/ui/#object/vcountry__v/VENZ000004SONF5", "ES")</f>
        <v>ES</v>
      </c>
      <c r="C13401" s="8" t="s">
        <v>41</v>
      </c>
      <c r="D13401" s="9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13401" s="10" t="str">
        <f>HYPERLINK("https://otsuka-europe-crm.veevavault.com/ui/#object/sent_email__v/VBL00000002Y157", "SE-001438836")</f>
        <v>SE-001438836</v>
      </c>
      <c r="F13401" s="11"/>
      <c r="G13401" s="12">
        <v>0</v>
      </c>
      <c r="H13401" s="12">
        <v>0</v>
      </c>
      <c r="I13401" s="12">
        <v>0</v>
      </c>
      <c r="J13401" s="11"/>
      <c r="K13401" s="12">
        <v>0</v>
      </c>
      <c r="L13401" s="10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13401" s="10" t="str">
        <f>HYPERLINK("mailto:gsammali@crm.otsuka-europe.com", "gsammali@crm.otsuka-europe.com")</f>
        <v>gsammali@crm.otsuka-europe.com</v>
      </c>
      <c r="N13401" s="13">
        <v>46203.350219907406</v>
      </c>
      <c r="O13401" s="14" t="str">
        <f>HYPERLINK("https://otsuka-europe-crm.veevavault.com/ui/#object/email_activity__v/V8C000000041539", "EN-002100726")</f>
        <v>EN-002100726</v>
      </c>
    </row>
    <row r="13402" spans="1:15" ht="16" x14ac:dyDescent="0.2">
      <c r="A13402" s="17" t="str">
        <f>HYPERLINK("https://otsuka-europe-crm.veevavault.com/ui/#object/account__v/V4TZ025E87AK7AG", "LISSETTE PILAR COSTILLA BARRIGA")</f>
        <v>LISSETTE PILAR COSTILLA BARRIGA</v>
      </c>
      <c r="B13402" s="17" t="str">
        <f>HYPERLINK("https://otsuka-europe-crm.veevavault.com/ui/#object/vcountry__v/VENZ000004SONF5", "ES")</f>
        <v>ES</v>
      </c>
      <c r="C13402" s="20" t="s">
        <v>41</v>
      </c>
      <c r="D13402" s="21" t="str">
        <f>HYPERLINK("https://otsuka-europe-crm.veevavault.com/ui/#object/approved_document__v/V5O00000001R001", "INA - VAE Cierre ""Nos quedamos en Casa""")</f>
        <v>INA - VAE Cierre "Nos quedamos en Casa"</v>
      </c>
      <c r="E13402" s="22" t="str">
        <f>HYPERLINK("https://otsuka-europe-crm.veevavault.com/ui/#object/sent_email__v/VBL00000002Y158", "SE-001438837")</f>
        <v>SE-001438837</v>
      </c>
      <c r="F13402" s="25"/>
      <c r="G13402" s="24">
        <v>0</v>
      </c>
      <c r="H13402" s="24">
        <v>0</v>
      </c>
      <c r="I13402" s="24">
        <v>0</v>
      </c>
      <c r="J13402" s="25"/>
      <c r="K13402" s="24">
        <v>0</v>
      </c>
      <c r="L13402" s="22" t="str">
        <f>HYPERLINK("https://otsuka-europe-crm.veevavault.com/ui/#object/approved_document__v/V5O00000001R001", "INA - VAE Cierre ""Nos quedamos en Casa""")</f>
        <v>INA - VAE Cierre "Nos quedamos en Casa"</v>
      </c>
      <c r="M13402" s="22" t="str">
        <f>HYPERLINK("mailto:gsammali@crm.otsuka-europe.com", "gsammali@crm.otsuka-europe.com")</f>
        <v>gsammali@crm.otsuka-europe.com</v>
      </c>
      <c r="N13402" s="23">
        <v>46203.350231481483</v>
      </c>
      <c r="O13402" s="14" t="str">
        <f>HYPERLINK("https://otsuka-europe-crm.veevavault.com/ui/#object/email_activity__v/V8C000000041540", "EN-002100727")</f>
        <v>EN-002100727</v>
      </c>
    </row>
    <row r="13403" spans="1:15" ht="16" x14ac:dyDescent="0.2">
      <c r="A13403" s="19"/>
      <c r="B13403" s="19"/>
      <c r="C13403" s="19"/>
      <c r="D13403" s="19"/>
      <c r="E13403" s="19"/>
      <c r="F13403" s="19"/>
      <c r="G13403" s="19"/>
      <c r="H13403" s="19"/>
      <c r="I13403" s="19"/>
      <c r="J13403" s="19"/>
      <c r="K13403" s="19"/>
      <c r="L13403" s="19"/>
      <c r="M13403" s="19"/>
      <c r="N13403" s="19"/>
      <c r="O13403" s="14" t="str">
        <f>HYPERLINK("https://otsuka-europe-crm.veevavault.com/ui/#object/email_activity__v/V8C000000041863", "EN-002101441")</f>
        <v>EN-002101441</v>
      </c>
    </row>
    <row r="13404" spans="1:15" ht="32" x14ac:dyDescent="0.2">
      <c r="A13404" s="7" t="str">
        <f>HYPERLINK("https://otsuka-europe-crm.veevavault.com/ui/#object/account__v/V4T00000001D064", "LAURA FERNANDEZ CUEZVA")</f>
        <v>LAURA FERNANDEZ CUEZVA</v>
      </c>
      <c r="B13404" s="7" t="str">
        <f>HYPERLINK("https://otsuka-europe-crm.veevavault.com/ui/#object/vcountry__v/VENZ000004SONF5", "ES")</f>
        <v>ES</v>
      </c>
      <c r="C13404" s="8" t="s">
        <v>41</v>
      </c>
      <c r="D13404" s="9" t="str">
        <f>HYPERLINK("https://otsuka-europe-crm.veevavault.com/ui/#object/approved_document__v/V5O00000001R001", "INA - VAE Cierre ""Nos quedamos en Casa""")</f>
        <v>INA - VAE Cierre "Nos quedamos en Casa"</v>
      </c>
      <c r="E13404" s="10" t="str">
        <f>HYPERLINK("https://otsuka-europe-crm.veevavault.com/ui/#object/sent_email__v/VBL00000002Y159", "SE-001438838")</f>
        <v>SE-001438838</v>
      </c>
      <c r="F13404" s="11"/>
      <c r="G13404" s="12">
        <v>0</v>
      </c>
      <c r="H13404" s="12">
        <v>0</v>
      </c>
      <c r="I13404" s="12">
        <v>0</v>
      </c>
      <c r="J13404" s="11"/>
      <c r="K13404" s="12">
        <v>0</v>
      </c>
      <c r="L13404" s="10" t="str">
        <f>HYPERLINK("https://otsuka-europe-crm.veevavault.com/ui/#object/approved_document__v/V5O00000001R001", "INA - VAE Cierre ""Nos quedamos en Casa""")</f>
        <v>INA - VAE Cierre "Nos quedamos en Casa"</v>
      </c>
      <c r="M13404" s="10" t="str">
        <f>HYPERLINK("mailto:gsammali@crm.otsuka-europe.com", "gsammali@crm.otsuka-europe.com")</f>
        <v>gsammali@crm.otsuka-europe.com</v>
      </c>
      <c r="N13404" s="13">
        <v>46203.350219907406</v>
      </c>
      <c r="O13404" s="14" t="str">
        <f>HYPERLINK("https://otsuka-europe-crm.veevavault.com/ui/#object/email_activity__v/V8C000000042506", "EN-002100733")</f>
        <v>EN-002100733</v>
      </c>
    </row>
    <row r="13405" spans="1:15" ht="16" x14ac:dyDescent="0.2">
      <c r="A13405" s="17" t="str">
        <f>HYPERLINK("https://otsuka-europe-crm.veevavault.com/ui/#object/account__v/V4TZ025E87PPOH6", "MARIA MAR MOLES GUERRERO")</f>
        <v>MARIA MAR MOLES GUERRERO</v>
      </c>
      <c r="B13405" s="17" t="str">
        <f>HYPERLINK("https://otsuka-europe-crm.veevavault.com/ui/#object/vcountry__v/VENZ000004SONF5", "ES")</f>
        <v>ES</v>
      </c>
      <c r="C13405" s="20" t="s">
        <v>41</v>
      </c>
      <c r="D13405" s="21" t="str">
        <f>HYPERLINK("https://otsuka-europe-crm.veevavault.com/ui/#object/approved_document__v/V5O00000001R001", "INA - VAE Cierre ""Nos quedamos en Casa""")</f>
        <v>INA - VAE Cierre "Nos quedamos en Casa"</v>
      </c>
      <c r="E13405" s="22" t="str">
        <f>HYPERLINK("https://otsuka-europe-crm.veevavault.com/ui/#object/sent_email__v/VBL00000002Y160", "SE-001438839")</f>
        <v>SE-001438839</v>
      </c>
      <c r="F13405" s="23">
        <v>46203.636782407404</v>
      </c>
      <c r="G13405" s="24">
        <v>1</v>
      </c>
      <c r="H13405" s="24">
        <v>2</v>
      </c>
      <c r="I13405" s="24">
        <v>0</v>
      </c>
      <c r="J13405" s="25"/>
      <c r="K13405" s="24">
        <v>0</v>
      </c>
      <c r="L13405" s="22" t="str">
        <f>HYPERLINK("https://otsuka-europe-crm.veevavault.com/ui/#object/approved_document__v/V5O00000001R001", "INA - VAE Cierre ""Nos quedamos en Casa""")</f>
        <v>INA - VAE Cierre "Nos quedamos en Casa"</v>
      </c>
      <c r="M13405" s="22" t="str">
        <f>HYPERLINK("mailto:gsammali@crm.otsuka-europe.com", "gsammali@crm.otsuka-europe.com")</f>
        <v>gsammali@crm.otsuka-europe.com</v>
      </c>
      <c r="N13405" s="23">
        <v>46203.350231481483</v>
      </c>
      <c r="O13405" s="14" t="str">
        <f>HYPERLINK("https://otsuka-europe-crm.veevavault.com/ui/#object/email_activity__v/V8C000000041542", "EN-002100735")</f>
        <v>EN-002100735</v>
      </c>
    </row>
    <row r="13406" spans="1:15" ht="16" x14ac:dyDescent="0.2">
      <c r="A13406" s="18"/>
      <c r="B13406" s="18"/>
      <c r="C13406" s="18"/>
      <c r="D13406" s="18"/>
      <c r="E13406" s="18"/>
      <c r="F13406" s="18"/>
      <c r="G13406" s="18"/>
      <c r="H13406" s="18"/>
      <c r="I13406" s="18"/>
      <c r="J13406" s="18"/>
      <c r="K13406" s="18"/>
      <c r="L13406" s="18"/>
      <c r="M13406" s="18"/>
      <c r="N13406" s="18"/>
      <c r="O13406" s="14" t="str">
        <f>HYPERLINK("https://otsuka-europe-crm.veevavault.com/ui/#object/email_activity__v/V8C000000041625", "EN-002100904")</f>
        <v>EN-002100904</v>
      </c>
    </row>
    <row r="13407" spans="1:15" ht="16" x14ac:dyDescent="0.2">
      <c r="A13407" s="19"/>
      <c r="B13407" s="19"/>
      <c r="C13407" s="19"/>
      <c r="D13407" s="19"/>
      <c r="E13407" s="19"/>
      <c r="F13407" s="19"/>
      <c r="G13407" s="19"/>
      <c r="H13407" s="19"/>
      <c r="I13407" s="19"/>
      <c r="J13407" s="19"/>
      <c r="K13407" s="19"/>
      <c r="L13407" s="19"/>
      <c r="M13407" s="19"/>
      <c r="N13407" s="19"/>
      <c r="O13407" s="14" t="str">
        <f>HYPERLINK("https://otsuka-europe-crm.veevavault.com/ui/#object/email_activity__v/V8C000000042602", "EN-002100905")</f>
        <v>EN-002100905</v>
      </c>
    </row>
    <row r="13408" spans="1:15" ht="32" x14ac:dyDescent="0.2">
      <c r="A13408" s="7" t="str">
        <f>HYPERLINK("https://otsuka-europe-crm.veevavault.com/ui/#object/account__v/V4TZ025E83OWVD8", "MARIA PILAR DELGADO BELTRAN")</f>
        <v>MARIA PILAR DELGADO BELTRAN</v>
      </c>
      <c r="B13408" s="7" t="str">
        <f>HYPERLINK("https://otsuka-europe-crm.veevavault.com/ui/#object/vcountry__v/VENZ000004SONF5", "ES")</f>
        <v>ES</v>
      </c>
      <c r="C13408" s="8" t="s">
        <v>41</v>
      </c>
      <c r="D13408" s="9" t="str">
        <f>HYPERLINK("https://otsuka-europe-crm.veevavault.com/ui/#object/approved_document__v/V5O00000001R001", "INA - VAE Cierre ""Nos quedamos en Casa""")</f>
        <v>INA - VAE Cierre "Nos quedamos en Casa"</v>
      </c>
      <c r="E13408" s="10" t="str">
        <f>HYPERLINK("https://otsuka-europe-crm.veevavault.com/ui/#object/sent_email__v/VBL00000002Y161", "SE-001438840")</f>
        <v>SE-001438840</v>
      </c>
      <c r="F13408" s="11"/>
      <c r="G13408" s="12">
        <v>0</v>
      </c>
      <c r="H13408" s="12">
        <v>0</v>
      </c>
      <c r="I13408" s="12">
        <v>0</v>
      </c>
      <c r="J13408" s="11"/>
      <c r="K13408" s="12">
        <v>0</v>
      </c>
      <c r="L13408" s="10" t="str">
        <f>HYPERLINK("https://otsuka-europe-crm.veevavault.com/ui/#object/approved_document__v/V5O00000001R001", "INA - VAE Cierre ""Nos quedamos en Casa""")</f>
        <v>INA - VAE Cierre "Nos quedamos en Casa"</v>
      </c>
      <c r="M13408" s="10" t="str">
        <f>HYPERLINK("mailto:gsammali@crm.otsuka-europe.com", "gsammali@crm.otsuka-europe.com")</f>
        <v>gsammali@crm.otsuka-europe.com</v>
      </c>
      <c r="N13408" s="13">
        <v>46203.350231481483</v>
      </c>
      <c r="O13408" s="14" t="str">
        <f>HYPERLINK("https://otsuka-europe-crm.veevavault.com/ui/#object/email_activity__v/V8C000000042509", "EN-002100739")</f>
        <v>EN-002100739</v>
      </c>
    </row>
    <row r="13409" spans="1:15" ht="32" x14ac:dyDescent="0.2">
      <c r="A13409" s="7" t="str">
        <f>HYPERLINK("https://otsuka-europe-crm.veevavault.com/ui/#object/account__v/V4T000000013167", "MATILDE INES PERELLA ARNAL")</f>
        <v>MATILDE INES PERELLA ARNAL</v>
      </c>
      <c r="B13409" s="7" t="str">
        <f>HYPERLINK("https://otsuka-europe-crm.veevavault.com/ui/#object/vcountry__v/VENZ000004SONF5", "ES")</f>
        <v>ES</v>
      </c>
      <c r="C13409" s="8" t="s">
        <v>41</v>
      </c>
      <c r="D13409" s="9" t="str">
        <f>HYPERLINK("https://otsuka-europe-crm.veevavault.com/ui/#object/approved_document__v/V5O00000001R001", "INA - VAE Cierre ""Nos quedamos en Casa""")</f>
        <v>INA - VAE Cierre "Nos quedamos en Casa"</v>
      </c>
      <c r="E13409" s="10" t="str">
        <f>HYPERLINK("https://otsuka-europe-crm.veevavault.com/ui/#object/sent_email__v/VBL00000002Y162", "SE-001438841")</f>
        <v>SE-001438841</v>
      </c>
      <c r="F13409" s="11"/>
      <c r="G13409" s="12">
        <v>0</v>
      </c>
      <c r="H13409" s="12">
        <v>0</v>
      </c>
      <c r="I13409" s="12">
        <v>0</v>
      </c>
      <c r="J13409" s="11"/>
      <c r="K13409" s="12">
        <v>0</v>
      </c>
      <c r="L13409" s="10" t="str">
        <f>HYPERLINK("https://otsuka-europe-crm.veevavault.com/ui/#object/approved_document__v/V5O00000001R001", "INA - VAE Cierre ""Nos quedamos en Casa""")</f>
        <v>INA - VAE Cierre "Nos quedamos en Casa"</v>
      </c>
      <c r="M13409" s="10" t="str">
        <f>HYPERLINK("mailto:gsammali@crm.otsuka-europe.com", "gsammali@crm.otsuka-europe.com")</f>
        <v>gsammali@crm.otsuka-europe.com</v>
      </c>
      <c r="N13409" s="13">
        <v>46203.350231481483</v>
      </c>
      <c r="O13409" s="14" t="str">
        <f>HYPERLINK("https://otsuka-europe-crm.veevavault.com/ui/#object/email_activity__v/V8C000000042497", "EN-002100722")</f>
        <v>EN-002100722</v>
      </c>
    </row>
    <row r="13410" spans="1:15" ht="16" x14ac:dyDescent="0.2">
      <c r="A13410" s="17" t="str">
        <f>HYPERLINK("https://otsuka-europe-crm.veevavault.com/ui/#object/account__v/V4TZ025E871CATY", "MARIA CIVEIRA MARIN")</f>
        <v>MARIA CIVEIRA MARIN</v>
      </c>
      <c r="B13410" s="17" t="str">
        <f>HYPERLINK("https://otsuka-europe-crm.veevavault.com/ui/#object/vcountry__v/VENZ000004SONF5", "ES")</f>
        <v>ES</v>
      </c>
      <c r="C13410" s="20" t="s">
        <v>41</v>
      </c>
      <c r="D13410" s="21" t="str">
        <f>HYPERLINK("https://otsuka-europe-crm.veevavault.com/ui/#object/approved_document__v/V5O00000001R001", "INA - VAE Cierre ""Nos quedamos en Casa""")</f>
        <v>INA - VAE Cierre "Nos quedamos en Casa"</v>
      </c>
      <c r="E13410" s="22" t="str">
        <f>HYPERLINK("https://otsuka-europe-crm.veevavault.com/ui/#object/sent_email__v/VBL00000002Y163", "SE-001438842")</f>
        <v>SE-001438842</v>
      </c>
      <c r="F13410" s="23">
        <v>46203.646608796298</v>
      </c>
      <c r="G13410" s="24">
        <v>1</v>
      </c>
      <c r="H13410" s="24">
        <v>2</v>
      </c>
      <c r="I13410" s="24">
        <v>0</v>
      </c>
      <c r="J13410" s="25"/>
      <c r="K13410" s="24">
        <v>0</v>
      </c>
      <c r="L13410" s="22" t="str">
        <f>HYPERLINK("https://otsuka-europe-crm.veevavault.com/ui/#object/approved_document__v/V5O00000001R001", "INA - VAE Cierre ""Nos quedamos en Casa""")</f>
        <v>INA - VAE Cierre "Nos quedamos en Casa"</v>
      </c>
      <c r="M13410" s="22" t="str">
        <f>HYPERLINK("mailto:gsammali@crm.otsuka-europe.com", "gsammali@crm.otsuka-europe.com")</f>
        <v>gsammali@crm.otsuka-europe.com</v>
      </c>
      <c r="N13410" s="23">
        <v>46203.350231481483</v>
      </c>
      <c r="O13410" s="14" t="str">
        <f>HYPERLINK("https://otsuka-europe-crm.veevavault.com/ui/#object/email_activity__v/V8C000000041629", "EN-002100908")</f>
        <v>EN-002100908</v>
      </c>
    </row>
    <row r="13411" spans="1:15" ht="16" x14ac:dyDescent="0.2">
      <c r="A13411" s="18"/>
      <c r="B13411" s="18"/>
      <c r="C13411" s="18"/>
      <c r="D13411" s="18"/>
      <c r="E13411" s="18"/>
      <c r="F13411" s="18"/>
      <c r="G13411" s="18"/>
      <c r="H13411" s="18"/>
      <c r="I13411" s="18"/>
      <c r="J13411" s="18"/>
      <c r="K13411" s="18"/>
      <c r="L13411" s="18"/>
      <c r="M13411" s="18"/>
      <c r="N13411" s="18"/>
      <c r="O13411" s="14" t="str">
        <f>HYPERLINK("https://otsuka-europe-crm.veevavault.com/ui/#object/email_activity__v/V8C000000042501", "EN-002100728")</f>
        <v>EN-002100728</v>
      </c>
    </row>
    <row r="13412" spans="1:15" ht="16" x14ac:dyDescent="0.2">
      <c r="A13412" s="19"/>
      <c r="B13412" s="19"/>
      <c r="C13412" s="19"/>
      <c r="D13412" s="19"/>
      <c r="E13412" s="19"/>
      <c r="F13412" s="19"/>
      <c r="G13412" s="19"/>
      <c r="H13412" s="19"/>
      <c r="I13412" s="19"/>
      <c r="J13412" s="19"/>
      <c r="K13412" s="19"/>
      <c r="L13412" s="19"/>
      <c r="M13412" s="19"/>
      <c r="N13412" s="19"/>
      <c r="O13412" s="14" t="str">
        <f>HYPERLINK("https://otsuka-europe-crm.veevavault.com/ui/#object/email_activity__v/V8C000000042510", "EN-002100742")</f>
        <v>EN-002100742</v>
      </c>
    </row>
    <row r="13413" spans="1:15" ht="32" x14ac:dyDescent="0.2">
      <c r="A13413" s="7" t="str">
        <f>HYPERLINK("https://otsuka-europe-crm.veevavault.com/ui/#object/account__v/V4TZ025E842ZOW1", "ANASTASIA PILAR AULES LEONARDO")</f>
        <v>ANASTASIA PILAR AULES LEONARDO</v>
      </c>
      <c r="B13413" s="7" t="str">
        <f>HYPERLINK("https://otsuka-europe-crm.veevavault.com/ui/#object/vcountry__v/VENZ000004SONF5", "ES")</f>
        <v>ES</v>
      </c>
      <c r="C13413" s="8" t="s">
        <v>41</v>
      </c>
      <c r="D13413" s="9" t="str">
        <f>HYPERLINK("https://otsuka-europe-crm.veevavault.com/ui/#object/approved_document__v/V5O00000001R001", "INA - VAE Cierre ""Nos quedamos en Casa""")</f>
        <v>INA - VAE Cierre "Nos quedamos en Casa"</v>
      </c>
      <c r="E13413" s="10" t="str">
        <f>HYPERLINK("https://otsuka-europe-crm.veevavault.com/ui/#object/sent_email__v/VBL00000002Y164", "SE-001438843")</f>
        <v>SE-001438843</v>
      </c>
      <c r="F13413" s="11"/>
      <c r="G13413" s="12">
        <v>0</v>
      </c>
      <c r="H13413" s="12">
        <v>0</v>
      </c>
      <c r="I13413" s="12">
        <v>0</v>
      </c>
      <c r="J13413" s="11"/>
      <c r="K13413" s="12">
        <v>0</v>
      </c>
      <c r="L13413" s="10" t="str">
        <f>HYPERLINK("https://otsuka-europe-crm.veevavault.com/ui/#object/approved_document__v/V5O00000001R001", "INA - VAE Cierre ""Nos quedamos en Casa""")</f>
        <v>INA - VAE Cierre "Nos quedamos en Casa"</v>
      </c>
      <c r="M13413" s="10" t="str">
        <f>HYPERLINK("mailto:gsammali@crm.otsuka-europe.com", "gsammali@crm.otsuka-europe.com")</f>
        <v>gsammali@crm.otsuka-europe.com</v>
      </c>
      <c r="N13413" s="13">
        <v>46203.350219907406</v>
      </c>
      <c r="O13413" s="14" t="str">
        <f>HYPERLINK("https://otsuka-europe-crm.veevavault.com/ui/#object/email_activity__v/V8C000000042507", "EN-002100737")</f>
        <v>EN-002100737</v>
      </c>
    </row>
    <row r="13414" spans="1:15" ht="16" x14ac:dyDescent="0.2">
      <c r="A13414" s="17" t="str">
        <f>HYPERLINK("https://otsuka-europe-crm.veevavault.com/ui/#object/account__v/V4TZ025E83OXRGQ", "MARIA TERESA OLAVE RUBIO")</f>
        <v>MARIA TERESA OLAVE RUBIO</v>
      </c>
      <c r="B13414" s="17" t="str">
        <f>HYPERLINK("https://otsuka-europe-crm.veevavault.com/ui/#object/vcountry__v/VENZ000004SONF5", "ES")</f>
        <v>ES</v>
      </c>
      <c r="C13414" s="20" t="s">
        <v>41</v>
      </c>
      <c r="D13414" s="21" t="str">
        <f>HYPERLINK("https://otsuka-europe-crm.veevavault.com/ui/#object/approved_document__v/V5O00000001R001", "INA - VAE Cierre ""Nos quedamos en Casa""")</f>
        <v>INA - VAE Cierre "Nos quedamos en Casa"</v>
      </c>
      <c r="E13414" s="22" t="str">
        <f>HYPERLINK("https://otsuka-europe-crm.veevavault.com/ui/#object/sent_email__v/VBL00000002Y165", "SE-001438844")</f>
        <v>SE-001438844</v>
      </c>
      <c r="F13414" s="23">
        <v>46203.350393518522</v>
      </c>
      <c r="G13414" s="24">
        <v>1</v>
      </c>
      <c r="H13414" s="24">
        <v>1</v>
      </c>
      <c r="I13414" s="24">
        <v>1</v>
      </c>
      <c r="J13414" s="23">
        <v>46203.350821759261</v>
      </c>
      <c r="K13414" s="24">
        <v>1</v>
      </c>
      <c r="L13414" s="22" t="str">
        <f>HYPERLINK("https://otsuka-europe-crm.veevavault.com/ui/#object/approved_document__v/V5O00000001R001", "INA - VAE Cierre ""Nos quedamos en Casa""")</f>
        <v>INA - VAE Cierre "Nos quedamos en Casa"</v>
      </c>
      <c r="M13414" s="22" t="str">
        <f>HYPERLINK("mailto:gsammali@crm.otsuka-europe.com", "gsammali@crm.otsuka-europe.com")</f>
        <v>gsammali@crm.otsuka-europe.com</v>
      </c>
      <c r="N13414" s="23">
        <v>46203.350219907406</v>
      </c>
      <c r="O13414" s="14" t="str">
        <f>HYPERLINK("https://otsuka-europe-crm.veevavault.com/ui/#object/email_activity__v/V8C000000041544", "EN-002100740")</f>
        <v>EN-002100740</v>
      </c>
    </row>
    <row r="13415" spans="1:15" ht="16" x14ac:dyDescent="0.2">
      <c r="A13415" s="18"/>
      <c r="B13415" s="18"/>
      <c r="C13415" s="18"/>
      <c r="D13415" s="18"/>
      <c r="E13415" s="18"/>
      <c r="F13415" s="18"/>
      <c r="G13415" s="18"/>
      <c r="H13415" s="18"/>
      <c r="I13415" s="18"/>
      <c r="J13415" s="18"/>
      <c r="K13415" s="18"/>
      <c r="L13415" s="18"/>
      <c r="M13415" s="18"/>
      <c r="N13415" s="18"/>
      <c r="O13415" s="14" t="str">
        <f>HYPERLINK("https://otsuka-europe-crm.veevavault.com/ui/#object/email_activity__v/V8C000000041547", "EN-002100745")</f>
        <v>EN-002100745</v>
      </c>
    </row>
    <row r="13416" spans="1:15" ht="16" x14ac:dyDescent="0.2">
      <c r="A13416" s="19"/>
      <c r="B13416" s="19"/>
      <c r="C13416" s="19"/>
      <c r="D13416" s="19"/>
      <c r="E13416" s="19"/>
      <c r="F13416" s="19"/>
      <c r="G13416" s="19"/>
      <c r="H13416" s="19"/>
      <c r="I13416" s="19"/>
      <c r="J13416" s="19"/>
      <c r="K13416" s="19"/>
      <c r="L13416" s="19"/>
      <c r="M13416" s="19"/>
      <c r="N13416" s="19"/>
      <c r="O13416" s="14" t="str">
        <f>HYPERLINK("https://otsuka-europe-crm.veevavault.com/ui/#object/email_activity__v/V8C000000042498", "EN-002100723")</f>
        <v>EN-002100723</v>
      </c>
    </row>
    <row r="13417" spans="1:15" ht="32" x14ac:dyDescent="0.2">
      <c r="A13417" s="7" t="str">
        <f>HYPERLINK("https://otsuka-europe-crm.veevavault.com/ui/#object/account__v/V4TZ025E87PPRHK", "PEDRO JOSE PAUL VIDALLER")</f>
        <v>PEDRO JOSE PAUL VIDALLER</v>
      </c>
      <c r="B13417" s="7" t="str">
        <f>HYPERLINK("https://otsuka-europe-crm.veevavault.com/ui/#object/vcountry__v/VENZ000004SONF5", "ES")</f>
        <v>ES</v>
      </c>
      <c r="C13417" s="8" t="s">
        <v>41</v>
      </c>
      <c r="D13417" s="9" t="str">
        <f>HYPERLINK("https://otsuka-europe-crm.veevavault.com/ui/#object/approved_document__v/V5O00000001R001", "INA - VAE Cierre ""Nos quedamos en Casa""")</f>
        <v>INA - VAE Cierre "Nos quedamos en Casa"</v>
      </c>
      <c r="E13417" s="10" t="str">
        <f>HYPERLINK("https://otsuka-europe-crm.veevavault.com/ui/#object/sent_email__v/VBL00000002Y166", "SE-001438845")</f>
        <v>SE-001438845</v>
      </c>
      <c r="F13417" s="11"/>
      <c r="G13417" s="12">
        <v>0</v>
      </c>
      <c r="H13417" s="12">
        <v>0</v>
      </c>
      <c r="I13417" s="12">
        <v>0</v>
      </c>
      <c r="J13417" s="11"/>
      <c r="K13417" s="12">
        <v>0</v>
      </c>
      <c r="L13417" s="10" t="str">
        <f>HYPERLINK("https://otsuka-europe-crm.veevavault.com/ui/#object/approved_document__v/V5O00000001R001", "INA - VAE Cierre ""Nos quedamos en Casa""")</f>
        <v>INA - VAE Cierre "Nos quedamos en Casa"</v>
      </c>
      <c r="M13417" s="10" t="str">
        <f>HYPERLINK("mailto:gsammali@crm.otsuka-europe.com", "gsammali@crm.otsuka-europe.com")</f>
        <v>gsammali@crm.otsuka-europe.com</v>
      </c>
      <c r="N13417" s="13">
        <v>46203.350219907406</v>
      </c>
      <c r="O13417" s="14" t="str">
        <f>HYPERLINK("https://otsuka-europe-crm.veevavault.com/ui/#object/email_activity__v/V8C000000042499", "EN-002100724")</f>
        <v>EN-002100724</v>
      </c>
    </row>
    <row r="13418" spans="1:15" ht="32" x14ac:dyDescent="0.2">
      <c r="A13418" s="7" t="str">
        <f>HYPERLINK("https://otsuka-europe-crm.veevavault.com/ui/#object/account__v/V4TZ025E8811Q4X", "MARIA TERESA ORDUNA ARNAL")</f>
        <v>MARIA TERESA ORDUNA ARNAL</v>
      </c>
      <c r="B13418" s="7" t="str">
        <f>HYPERLINK("https://otsuka-europe-crm.veevavault.com/ui/#object/vcountry__v/VENZ000004SONF5", "ES")</f>
        <v>ES</v>
      </c>
      <c r="C13418" s="8" t="s">
        <v>41</v>
      </c>
      <c r="D13418" s="9" t="str">
        <f>HYPERLINK("https://otsuka-europe-crm.veevavault.com/ui/#object/approved_document__v/V5O00000001R001", "INA - VAE Cierre ""Nos quedamos en Casa""")</f>
        <v>INA - VAE Cierre "Nos quedamos en Casa"</v>
      </c>
      <c r="E13418" s="10" t="str">
        <f>HYPERLINK("https://otsuka-europe-crm.veevavault.com/ui/#object/sent_email__v/VBL00000002Y167", "SE-001438846")</f>
        <v>SE-001438846</v>
      </c>
      <c r="F13418" s="11"/>
      <c r="G13418" s="12">
        <v>0</v>
      </c>
      <c r="H13418" s="12">
        <v>0</v>
      </c>
      <c r="I13418" s="12">
        <v>0</v>
      </c>
      <c r="J13418" s="11"/>
      <c r="K13418" s="12">
        <v>0</v>
      </c>
      <c r="L13418" s="10" t="str">
        <f>HYPERLINK("https://otsuka-europe-crm.veevavault.com/ui/#object/approved_document__v/V5O00000001R001", "INA - VAE Cierre ""Nos quedamos en Casa""")</f>
        <v>INA - VAE Cierre "Nos quedamos en Casa"</v>
      </c>
      <c r="M13418" s="10" t="str">
        <f>HYPERLINK("mailto:gsammali@crm.otsuka-europe.com", "gsammali@crm.otsuka-europe.com")</f>
        <v>gsammali@crm.otsuka-europe.com</v>
      </c>
      <c r="N13418" s="13">
        <v>46203.350219907406</v>
      </c>
      <c r="O13418" s="14" t="str">
        <f>HYPERLINK("https://otsuka-europe-crm.veevavault.com/ui/#object/email_activity__v/V8C000000042495", "EN-002100720")</f>
        <v>EN-002100720</v>
      </c>
    </row>
    <row r="13419" spans="1:15" ht="32" x14ac:dyDescent="0.2">
      <c r="A13419" s="7" t="str">
        <f>HYPERLINK("https://otsuka-europe-crm.veevavault.com/ui/#object/account__v/V4TZ025E842LQCD", "MIGUEL LUCIANO DIAZ MORFA")</f>
        <v>MIGUEL LUCIANO DIAZ MORFA</v>
      </c>
      <c r="B13419" s="7" t="str">
        <f>HYPERLINK("https://otsuka-europe-crm.veevavault.com/ui/#object/vcountry__v/VENZ000004SONF5", "ES")</f>
        <v>ES</v>
      </c>
      <c r="C13419" s="8" t="s">
        <v>41</v>
      </c>
      <c r="D13419" s="9" t="str">
        <f>HYPERLINK("https://otsuka-europe-crm.veevavault.com/ui/#object/approved_document__v/V5O00000001R001", "INA - VAE Cierre ""Nos quedamos en Casa""")</f>
        <v>INA - VAE Cierre "Nos quedamos en Casa"</v>
      </c>
      <c r="E13419" s="10" t="str">
        <f>HYPERLINK("https://otsuka-europe-crm.veevavault.com/ui/#object/sent_email__v/VBL00000002Y168", "SE-001438847")</f>
        <v>SE-001438847</v>
      </c>
      <c r="F13419" s="11"/>
      <c r="G13419" s="12">
        <v>0</v>
      </c>
      <c r="H13419" s="12">
        <v>0</v>
      </c>
      <c r="I13419" s="12">
        <v>0</v>
      </c>
      <c r="J13419" s="11"/>
      <c r="K13419" s="12">
        <v>0</v>
      </c>
      <c r="L13419" s="10" t="str">
        <f>HYPERLINK("https://otsuka-europe-crm.veevavault.com/ui/#object/approved_document__v/V5O00000001R001", "INA - VAE Cierre ""Nos quedamos en Casa""")</f>
        <v>INA - VAE Cierre "Nos quedamos en Casa"</v>
      </c>
      <c r="M13419" s="10" t="str">
        <f>HYPERLINK("mailto:gsammali@crm.otsuka-europe.com", "gsammali@crm.otsuka-europe.com")</f>
        <v>gsammali@crm.otsuka-europe.com</v>
      </c>
      <c r="N13419" s="13">
        <v>46203.350231481483</v>
      </c>
      <c r="O13419" s="14" t="str">
        <f>HYPERLINK("https://otsuka-europe-crm.veevavault.com/ui/#object/email_activity__v/V8C000000042504", "EN-002100731")</f>
        <v>EN-002100731</v>
      </c>
    </row>
    <row r="13420" spans="1:15" ht="16" x14ac:dyDescent="0.2">
      <c r="A13420" s="17" t="str">
        <f>HYPERLINK("https://otsuka-europe-crm.veevavault.com/ui/#object/account__v/V4TZ025E87BWKKD", "ROSANNA PAGNOTTA")</f>
        <v>ROSANNA PAGNOTTA</v>
      </c>
      <c r="B13420" s="17" t="str">
        <f>HYPERLINK("https://otsuka-europe-crm.veevavault.com/ui/#object/vcountry__v/VENZ000004SONFQ", "IT")</f>
        <v>IT</v>
      </c>
      <c r="C13420" s="20" t="s">
        <v>44</v>
      </c>
      <c r="D13420" s="21" t="str">
        <f>HYPERLINK("https://otsuka-europe-crm.veevavault.com/ui/#object/approved_document__v/V5O00000001G004", "Branded_RXULTI_AE Ansia_IT-RXU-2500035")</f>
        <v>Branded_RXULTI_AE Ansia_IT-RXU-2500035</v>
      </c>
      <c r="E13420" s="22" t="str">
        <f>HYPERLINK("https://otsuka-europe-crm.veevavault.com/ui/#object/sent_email__v/VBL00000002Y169", "SE-001438848")</f>
        <v>SE-001438848</v>
      </c>
      <c r="F13420" s="23">
        <v>46203.352361111109</v>
      </c>
      <c r="G13420" s="24">
        <v>1</v>
      </c>
      <c r="H13420" s="24">
        <v>2</v>
      </c>
      <c r="I13420" s="24">
        <v>0</v>
      </c>
      <c r="J13420" s="25"/>
      <c r="K13420" s="24">
        <v>0</v>
      </c>
      <c r="L13420" s="22" t="str">
        <f>HYPERLINK("https://otsuka-europe-crm.veevavault.com/ui/#object/approved_document__v/V5O00000001G004", "Branded_RXULTI_AE Ansia_IT-RXU-2500035")</f>
        <v>Branded_RXULTI_AE Ansia_IT-RXU-2500035</v>
      </c>
      <c r="M13420" s="22" t="str">
        <f>HYPERLINK("mailto:gianpaolo.fichera@crm.otsuka-europe.com", "gianpaolo.fichera@crm.otsuka-europe.com")</f>
        <v>gianpaolo.fichera@crm.otsuka-europe.com</v>
      </c>
      <c r="N13420" s="23">
        <v>46203.351759259262</v>
      </c>
      <c r="O13420" s="14" t="str">
        <f>HYPERLINK("https://otsuka-europe-crm.veevavault.com/ui/#object/email_activity__v/V8C000000041553", "EN-002100754")</f>
        <v>EN-002100754</v>
      </c>
    </row>
    <row r="13421" spans="1:15" ht="16" x14ac:dyDescent="0.2">
      <c r="A13421" s="18"/>
      <c r="B13421" s="18"/>
      <c r="C13421" s="18"/>
      <c r="D13421" s="18"/>
      <c r="E13421" s="18"/>
      <c r="F13421" s="18"/>
      <c r="G13421" s="18"/>
      <c r="H13421" s="18"/>
      <c r="I13421" s="18"/>
      <c r="J13421" s="18"/>
      <c r="K13421" s="18"/>
      <c r="L13421" s="18"/>
      <c r="M13421" s="18"/>
      <c r="N13421" s="18"/>
      <c r="O13421" s="14" t="str">
        <f>HYPERLINK("https://otsuka-europe-crm.veevavault.com/ui/#object/email_activity__v/V8C000000041555", "EN-002100757")</f>
        <v>EN-002100757</v>
      </c>
    </row>
    <row r="13422" spans="1:15" ht="16" x14ac:dyDescent="0.2">
      <c r="A13422" s="19"/>
      <c r="B13422" s="19"/>
      <c r="C13422" s="19"/>
      <c r="D13422" s="19"/>
      <c r="E13422" s="19"/>
      <c r="F13422" s="19"/>
      <c r="G13422" s="19"/>
      <c r="H13422" s="19"/>
      <c r="I13422" s="19"/>
      <c r="J13422" s="19"/>
      <c r="K13422" s="19"/>
      <c r="L13422" s="19"/>
      <c r="M13422" s="19"/>
      <c r="N13422" s="19"/>
      <c r="O13422" s="14" t="str">
        <f>HYPERLINK("https://otsuka-europe-crm.veevavault.com/ui/#object/email_activity__v/V8C000000042512", "EN-002100746")</f>
        <v>EN-002100746</v>
      </c>
    </row>
    <row r="13423" spans="1:15" ht="48" x14ac:dyDescent="0.2">
      <c r="A13423" s="7" t="str">
        <f>HYPERLINK("https://otsuka-europe-crm.veevavault.com/ui/#object/account__v/V4TZ025E83OWVD8", "MARIA PILAR DELGADO BELTRAN")</f>
        <v>MARIA PILAR DELGADO BELTRAN</v>
      </c>
      <c r="B13423" s="7" t="str">
        <f>HYPERLINK("https://otsuka-europe-crm.veevavault.com/ui/#object/vcountry__v/VENZ000004SONF5", "ES")</f>
        <v>ES</v>
      </c>
      <c r="C13423" s="8" t="s">
        <v>41</v>
      </c>
      <c r="D13423" s="9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13423" s="10" t="str">
        <f>HYPERLINK("https://otsuka-europe-crm.veevavault.com/ui/#object/sent_email__v/VBL00000002Y170", "SE-001438849")</f>
        <v>SE-001438849</v>
      </c>
      <c r="F13423" s="11"/>
      <c r="G13423" s="12">
        <v>0</v>
      </c>
      <c r="H13423" s="12">
        <v>0</v>
      </c>
      <c r="I13423" s="12">
        <v>0</v>
      </c>
      <c r="J13423" s="11"/>
      <c r="K13423" s="12">
        <v>0</v>
      </c>
      <c r="L13423" s="10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13423" s="10" t="str">
        <f>HYPERLINK("mailto:gsammali@crm.otsuka-europe.com", "gsammali@crm.otsuka-europe.com")</f>
        <v>gsammali@crm.otsuka-europe.com</v>
      </c>
      <c r="N13423" s="13">
        <v>46203.351759259262</v>
      </c>
      <c r="O13423" s="14" t="str">
        <f>HYPERLINK("https://otsuka-europe-crm.veevavault.com/ui/#object/email_activity__v/V8C000000042513", "EN-002100751")</f>
        <v>EN-002100751</v>
      </c>
    </row>
    <row r="13424" spans="1:15" ht="16" x14ac:dyDescent="0.2">
      <c r="A13424" s="17" t="str">
        <f>HYPERLINK("https://otsuka-europe-crm.veevavault.com/ui/#object/account__v/V4T00000001E035", "EDUARDO GONZALEZ GOMEZ")</f>
        <v>EDUARDO GONZALEZ GOMEZ</v>
      </c>
      <c r="B13424" s="17" t="str">
        <f>HYPERLINK("https://otsuka-europe-crm.veevavault.com/ui/#object/vcountry__v/VENZ000004SONF5", "ES")</f>
        <v>ES</v>
      </c>
      <c r="C13424" s="20" t="s">
        <v>41</v>
      </c>
      <c r="D13424" s="21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13424" s="22" t="str">
        <f>HYPERLINK("https://otsuka-europe-crm.veevavault.com/ui/#object/sent_email__v/VBL00000002Y171", "SE-001438850")</f>
        <v>SE-001438850</v>
      </c>
      <c r="F13424" s="23">
        <v>46203.617719907408</v>
      </c>
      <c r="G13424" s="24">
        <v>1</v>
      </c>
      <c r="H13424" s="24">
        <v>1</v>
      </c>
      <c r="I13424" s="24">
        <v>0</v>
      </c>
      <c r="J13424" s="25"/>
      <c r="K13424" s="24">
        <v>0</v>
      </c>
      <c r="L13424" s="22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13424" s="22" t="str">
        <f>HYPERLINK("mailto:gsammali@crm.otsuka-europe.com", "gsammali@crm.otsuka-europe.com")</f>
        <v>gsammali@crm.otsuka-europe.com</v>
      </c>
      <c r="N13424" s="23">
        <v>46203.351793981485</v>
      </c>
      <c r="O13424" s="14" t="str">
        <f>HYPERLINK("https://otsuka-europe-crm.veevavault.com/ui/#object/email_activity__v/V8C000000041550", "EN-002100748")</f>
        <v>EN-002100748</v>
      </c>
    </row>
    <row r="13425" spans="1:15" ht="16" x14ac:dyDescent="0.2">
      <c r="A13425" s="19"/>
      <c r="B13425" s="19"/>
      <c r="C13425" s="19"/>
      <c r="D13425" s="19"/>
      <c r="E13425" s="19"/>
      <c r="F13425" s="19"/>
      <c r="G13425" s="19"/>
      <c r="H13425" s="19"/>
      <c r="I13425" s="19"/>
      <c r="J13425" s="19"/>
      <c r="K13425" s="19"/>
      <c r="L13425" s="19"/>
      <c r="M13425" s="19"/>
      <c r="N13425" s="19"/>
      <c r="O13425" s="14" t="str">
        <f>HYPERLINK("https://otsuka-europe-crm.veevavault.com/ui/#object/email_activity__v/V8C000000041624", "EN-002100900")</f>
        <v>EN-002100900</v>
      </c>
    </row>
    <row r="13426" spans="1:15" ht="48" x14ac:dyDescent="0.2">
      <c r="A13426" s="7" t="str">
        <f>HYPERLINK("https://otsuka-europe-crm.veevavault.com/ui/#object/account__v/V4T00000001E036", "ANA GOMEZ MARTINEZ")</f>
        <v>ANA GOMEZ MARTINEZ</v>
      </c>
      <c r="B13426" s="7" t="str">
        <f>HYPERLINK("https://otsuka-europe-crm.veevavault.com/ui/#object/vcountry__v/VENZ000004SONF5", "ES")</f>
        <v>ES</v>
      </c>
      <c r="C13426" s="8" t="s">
        <v>41</v>
      </c>
      <c r="D13426" s="9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13426" s="10" t="str">
        <f>HYPERLINK("https://otsuka-europe-crm.veevavault.com/ui/#object/sent_email__v/VBL00000002Y172", "SE-001438851")</f>
        <v>SE-001438851</v>
      </c>
      <c r="F13426" s="11"/>
      <c r="G13426" s="12">
        <v>0</v>
      </c>
      <c r="H13426" s="12">
        <v>0</v>
      </c>
      <c r="I13426" s="12">
        <v>0</v>
      </c>
      <c r="J13426" s="11"/>
      <c r="K13426" s="12">
        <v>0</v>
      </c>
      <c r="L13426" s="10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13426" s="10" t="str">
        <f>HYPERLINK("mailto:gsammali@crm.otsuka-europe.com", "gsammali@crm.otsuka-europe.com")</f>
        <v>gsammali@crm.otsuka-europe.com</v>
      </c>
      <c r="N13426" s="13">
        <v>46203.351759259262</v>
      </c>
      <c r="O13426" s="14" t="str">
        <f>HYPERLINK("https://otsuka-europe-crm.veevavault.com/ui/#object/email_activity__v/V8C000000042514", "EN-002100752")</f>
        <v>EN-002100752</v>
      </c>
    </row>
    <row r="13427" spans="1:15" ht="32" x14ac:dyDescent="0.2">
      <c r="A13427" s="7" t="str">
        <f>HYPERLINK("https://otsuka-europe-crm.veevavault.com/ui/#object/account__v/V4T00000001E036", "ANA GOMEZ MARTINEZ")</f>
        <v>ANA GOMEZ MARTINEZ</v>
      </c>
      <c r="B13427" s="7" t="str">
        <f>HYPERLINK("https://otsuka-europe-crm.veevavault.com/ui/#object/vcountry__v/VENZ000004SONF5", "ES")</f>
        <v>ES</v>
      </c>
      <c r="C13427" s="8" t="s">
        <v>41</v>
      </c>
      <c r="D13427" s="9" t="str">
        <f>HYPERLINK("https://otsuka-europe-crm.veevavault.com/ui/#object/approved_document__v/V5O00000001R001", "INA - VAE Cierre ""Nos quedamos en Casa""")</f>
        <v>INA - VAE Cierre "Nos quedamos en Casa"</v>
      </c>
      <c r="E13427" s="10" t="str">
        <f>HYPERLINK("https://otsuka-europe-crm.veevavault.com/ui/#object/sent_email__v/VBL00000002Y173", "SE-001438852")</f>
        <v>SE-001438852</v>
      </c>
      <c r="F13427" s="11"/>
      <c r="G13427" s="12">
        <v>0</v>
      </c>
      <c r="H13427" s="12">
        <v>0</v>
      </c>
      <c r="I13427" s="12">
        <v>0</v>
      </c>
      <c r="J13427" s="11"/>
      <c r="K13427" s="12">
        <v>0</v>
      </c>
      <c r="L13427" s="10" t="str">
        <f>HYPERLINK("https://otsuka-europe-crm.veevavault.com/ui/#object/approved_document__v/V5O00000001R001", "INA - VAE Cierre ""Nos quedamos en Casa""")</f>
        <v>INA - VAE Cierre "Nos quedamos en Casa"</v>
      </c>
      <c r="M13427" s="10" t="str">
        <f>HYPERLINK("mailto:gsammali@crm.otsuka-europe.com", "gsammali@crm.otsuka-europe.com")</f>
        <v>gsammali@crm.otsuka-europe.com</v>
      </c>
      <c r="N13427" s="13">
        <v>46203.351793981485</v>
      </c>
      <c r="O13427" s="14" t="str">
        <f>HYPERLINK("https://otsuka-europe-crm.veevavault.com/ui/#object/email_activity__v/V8C000000041552", "EN-002100753")</f>
        <v>EN-002100753</v>
      </c>
    </row>
    <row r="13428" spans="1:15" ht="32" x14ac:dyDescent="0.2">
      <c r="A13428" s="7" t="str">
        <f>HYPERLINK("https://otsuka-europe-crm.veevavault.com/ui/#object/account__v/V4TZ025E83OWVD8", "MARIA PILAR DELGADO BELTRAN")</f>
        <v>MARIA PILAR DELGADO BELTRAN</v>
      </c>
      <c r="B13428" s="7" t="str">
        <f>HYPERLINK("https://otsuka-europe-crm.veevavault.com/ui/#object/vcountry__v/VENZ000004SONF5", "ES")</f>
        <v>ES</v>
      </c>
      <c r="C13428" s="8" t="s">
        <v>41</v>
      </c>
      <c r="D13428" s="9" t="str">
        <f>HYPERLINK("https://otsuka-europe-crm.veevavault.com/ui/#object/approved_document__v/V5O00000001R001", "INA - VAE Cierre ""Nos quedamos en Casa""")</f>
        <v>INA - VAE Cierre "Nos quedamos en Casa"</v>
      </c>
      <c r="E13428" s="10" t="str">
        <f>HYPERLINK("https://otsuka-europe-crm.veevavault.com/ui/#object/sent_email__v/VBL00000002Y174", "SE-001438853")</f>
        <v>SE-001438853</v>
      </c>
      <c r="F13428" s="11"/>
      <c r="G13428" s="12">
        <v>0</v>
      </c>
      <c r="H13428" s="12">
        <v>0</v>
      </c>
      <c r="I13428" s="12">
        <v>0</v>
      </c>
      <c r="J13428" s="11"/>
      <c r="K13428" s="12">
        <v>0</v>
      </c>
      <c r="L13428" s="10" t="str">
        <f>HYPERLINK("https://otsuka-europe-crm.veevavault.com/ui/#object/approved_document__v/V5O00000001R001", "INA - VAE Cierre ""Nos quedamos en Casa""")</f>
        <v>INA - VAE Cierre "Nos quedamos en Casa"</v>
      </c>
      <c r="M13428" s="10" t="str">
        <f>HYPERLINK("mailto:gsammali@crm.otsuka-europe.com", "gsammali@crm.otsuka-europe.com")</f>
        <v>gsammali@crm.otsuka-europe.com</v>
      </c>
      <c r="N13428" s="13">
        <v>46203.351805555554</v>
      </c>
      <c r="O13428" s="14" t="str">
        <f>HYPERLINK("https://otsuka-europe-crm.veevavault.com/ui/#object/email_activity__v/V8C000000041548", "EN-002100750")</f>
        <v>EN-002100750</v>
      </c>
    </row>
    <row r="13429" spans="1:15" ht="16" x14ac:dyDescent="0.2">
      <c r="A13429" s="17" t="str">
        <f>HYPERLINK("https://otsuka-europe-crm.veevavault.com/ui/#object/account__v/V4T00000001E035", "EDUARDO GONZALEZ GOMEZ")</f>
        <v>EDUARDO GONZALEZ GOMEZ</v>
      </c>
      <c r="B13429" s="17" t="str">
        <f>HYPERLINK("https://otsuka-europe-crm.veevavault.com/ui/#object/vcountry__v/VENZ000004SONF5", "ES")</f>
        <v>ES</v>
      </c>
      <c r="C13429" s="20" t="s">
        <v>41</v>
      </c>
      <c r="D13429" s="21" t="str">
        <f>HYPERLINK("https://otsuka-europe-crm.veevavault.com/ui/#object/approved_document__v/V5O00000001R001", "INA - VAE Cierre ""Nos quedamos en Casa""")</f>
        <v>INA - VAE Cierre "Nos quedamos en Casa"</v>
      </c>
      <c r="E13429" s="22" t="str">
        <f>HYPERLINK("https://otsuka-europe-crm.veevavault.com/ui/#object/sent_email__v/VBL00000002Y175", "SE-001438854")</f>
        <v>SE-001438854</v>
      </c>
      <c r="F13429" s="23">
        <v>46203.617789351854</v>
      </c>
      <c r="G13429" s="24">
        <v>1</v>
      </c>
      <c r="H13429" s="24">
        <v>1</v>
      </c>
      <c r="I13429" s="24">
        <v>0</v>
      </c>
      <c r="J13429" s="25"/>
      <c r="K13429" s="24">
        <v>0</v>
      </c>
      <c r="L13429" s="22" t="str">
        <f>HYPERLINK("https://otsuka-europe-crm.veevavault.com/ui/#object/approved_document__v/V5O00000001R001", "INA - VAE Cierre ""Nos quedamos en Casa""")</f>
        <v>INA - VAE Cierre "Nos quedamos en Casa"</v>
      </c>
      <c r="M13429" s="22" t="str">
        <f>HYPERLINK("mailto:gsammali@crm.otsuka-europe.com", "gsammali@crm.otsuka-europe.com")</f>
        <v>gsammali@crm.otsuka-europe.com</v>
      </c>
      <c r="N13429" s="23">
        <v>46203.351840277777</v>
      </c>
      <c r="O13429" s="14" t="str">
        <f>HYPERLINK("https://otsuka-europe-crm.veevavault.com/ui/#object/email_activity__v/V8C000000041551", "EN-002100749")</f>
        <v>EN-002100749</v>
      </c>
    </row>
    <row r="13430" spans="1:15" ht="16" x14ac:dyDescent="0.2">
      <c r="A13430" s="19"/>
      <c r="B13430" s="19"/>
      <c r="C13430" s="19"/>
      <c r="D13430" s="19"/>
      <c r="E13430" s="19"/>
      <c r="F13430" s="19"/>
      <c r="G13430" s="19"/>
      <c r="H13430" s="19"/>
      <c r="I13430" s="19"/>
      <c r="J13430" s="19"/>
      <c r="K13430" s="19"/>
      <c r="L13430" s="19"/>
      <c r="M13430" s="19"/>
      <c r="N13430" s="19"/>
      <c r="O13430" s="14" t="str">
        <f>HYPERLINK("https://otsuka-europe-crm.veevavault.com/ui/#object/email_activity__v/V8C000000041623", "EN-002100899")</f>
        <v>EN-002100899</v>
      </c>
    </row>
    <row r="13431" spans="1:15" ht="16" x14ac:dyDescent="0.2">
      <c r="A13431" s="17" t="str">
        <f>HYPERLINK("https://otsuka-europe-crm.veevavault.com/ui/#object/account__v/V4TZ04ASGE7971C", "YARA GOMEZ GONZALEZ DE LENA")</f>
        <v>YARA GOMEZ GONZALEZ DE LENA</v>
      </c>
      <c r="B13431" s="17" t="str">
        <f>HYPERLINK("https://otsuka-europe-crm.veevavault.com/ui/#object/vcountry__v/VENZ000004SONF5", "ES")</f>
        <v>ES</v>
      </c>
      <c r="C13431" s="20" t="s">
        <v>41</v>
      </c>
      <c r="D13431" s="21" t="str">
        <f>HYPERLINK("https://otsuka-europe-crm.veevavault.com/ui/#object/approved_document__v/V5O00000000R009", "AM2M - PSIQUIATRIA - Guía manejo práctico AM2M")</f>
        <v>AM2M - PSIQUIATRIA - Guía manejo práctico AM2M</v>
      </c>
      <c r="E13431" s="22" t="str">
        <f>HYPERLINK("https://otsuka-europe-crm.veevavault.com/ui/#object/sent_email__v/VBL00000002Y176", "SE-001438855")</f>
        <v>SE-001438855</v>
      </c>
      <c r="F13431" s="25"/>
      <c r="G13431" s="24">
        <v>0</v>
      </c>
      <c r="H13431" s="24">
        <v>0</v>
      </c>
      <c r="I13431" s="24">
        <v>0</v>
      </c>
      <c r="J13431" s="25"/>
      <c r="K13431" s="24">
        <v>0</v>
      </c>
      <c r="L13431" s="22" t="str">
        <f>HYPERLINK("https://otsuka-europe-crm.veevavault.com/ui/#object/approved_document__v/V5O00000000R009", "AM2M - PSIQUIATRIA - Guía manejo práctico AM2M")</f>
        <v>AM2M - PSIQUIATRIA - Guía manejo práctico AM2M</v>
      </c>
      <c r="M13431" s="22" t="str">
        <f>HYPERLINK("mailto:fdiaz@crm.otsuka-europe.com", "fdiaz@crm.otsuka-europe.com")</f>
        <v>fdiaz@crm.otsuka-europe.com</v>
      </c>
      <c r="N13431" s="23">
        <v>46203.366342592592</v>
      </c>
      <c r="O13431" s="14" t="str">
        <f>HYPERLINK("https://otsuka-europe-crm.veevavault.com/ui/#object/email_activity__v/V8C000000041561", "EN-002100763")</f>
        <v>EN-002100763</v>
      </c>
    </row>
    <row r="13432" spans="1:15" ht="16" x14ac:dyDescent="0.2">
      <c r="A13432" s="19"/>
      <c r="B13432" s="19"/>
      <c r="C13432" s="19"/>
      <c r="D13432" s="19"/>
      <c r="E13432" s="19"/>
      <c r="F13432" s="19"/>
      <c r="G13432" s="19"/>
      <c r="H13432" s="19"/>
      <c r="I13432" s="19"/>
      <c r="J13432" s="19"/>
      <c r="K13432" s="19"/>
      <c r="L13432" s="19"/>
      <c r="M13432" s="19"/>
      <c r="N13432" s="19"/>
      <c r="O13432" s="14" t="str">
        <f>HYPERLINK("https://otsuka-europe-crm.veevavault.com/ui/#object/email_activity__v/V8C000000042558", "EN-002100836")</f>
        <v>EN-002100836</v>
      </c>
    </row>
    <row r="13433" spans="1:15" ht="32" x14ac:dyDescent="0.2">
      <c r="A13433" s="7" t="str">
        <f>HYPERLINK("https://otsuka-europe-crm.veevavault.com/ui/#object/account__v/V4TZ025E85ECBXX", "EVELYNE VERNAY")</f>
        <v>EVELYNE VERNAY</v>
      </c>
      <c r="B13433" s="7" t="str">
        <f>HYPERLINK("https://otsuka-europe-crm.veevavault.com/ui/#object/vcountry__v/VENZ000004SONFA", "FR")</f>
        <v>FR</v>
      </c>
      <c r="C13433" s="8" t="s">
        <v>42</v>
      </c>
      <c r="D13433" s="9" t="str">
        <f>HYPERLINK("https://otsuka-europe-crm.veevavault.com/ui/#object/approved_document__v/V5OZ04ASG4G02Y7", "REMERCIEMENTS_VAD_2023")</f>
        <v>REMERCIEMENTS_VAD_2023</v>
      </c>
      <c r="E13433" s="10" t="str">
        <f>HYPERLINK("https://otsuka-europe-crm.veevavault.com/ui/#object/sent_email__v/VBL00000002Z318", "SE-001438856")</f>
        <v>SE-001438856</v>
      </c>
      <c r="F13433" s="11"/>
      <c r="G13433" s="12">
        <v>0</v>
      </c>
      <c r="H13433" s="12">
        <v>0</v>
      </c>
      <c r="I13433" s="12">
        <v>0</v>
      </c>
      <c r="J13433" s="11"/>
      <c r="K13433" s="12">
        <v>0</v>
      </c>
      <c r="L13433" s="10" t="str">
        <f>HYPERLINK("https://otsuka-europe-crm.veevavault.com/ui/#object/approved_document__v/V5OZ04ASG4G02Y7", "REMERCIEMENTS_VAD_2023")</f>
        <v>REMERCIEMENTS_VAD_2023</v>
      </c>
      <c r="M13433" s="10" t="str">
        <f>HYPERLINK("mailto:achabbal@crm.otsuka-europe.com", "achabbal@crm.otsuka-europe.com")</f>
        <v>achabbal@crm.otsuka-europe.com</v>
      </c>
      <c r="N13433" s="13">
        <v>46203.374178240738</v>
      </c>
      <c r="O13433" s="14" t="str">
        <f>HYPERLINK("https://otsuka-europe-crm.veevavault.com/ui/#object/email_activity__v/V8C000000042516", "EN-002100764")</f>
        <v>EN-002100764</v>
      </c>
    </row>
    <row r="13434" spans="1:15" ht="16" x14ac:dyDescent="0.2">
      <c r="A13434" s="17" t="str">
        <f>HYPERLINK("https://otsuka-europe-crm.veevavault.com/ui/#object/account__v/V4TZ025E85ECBXX", "EVELYNE VERNAY")</f>
        <v>EVELYNE VERNAY</v>
      </c>
      <c r="B13434" s="17" t="str">
        <f>HYPERLINK("https://otsuka-europe-crm.veevavault.com/ui/#object/vcountry__v/VENZ000004SONFA", "FR")</f>
        <v>FR</v>
      </c>
      <c r="C13434" s="20" t="s">
        <v>42</v>
      </c>
      <c r="D13434" s="21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E13434" s="22" t="str">
        <f>HYPERLINK("https://otsuka-europe-crm.veevavault.com/ui/#object/sent_email__v/VBL00000002Z319", "SE-001438857")</f>
        <v>SE-001438857</v>
      </c>
      <c r="F13434" s="23">
        <v>46203.521655092591</v>
      </c>
      <c r="G13434" s="24">
        <v>1</v>
      </c>
      <c r="H13434" s="24">
        <v>1</v>
      </c>
      <c r="I13434" s="24">
        <v>0</v>
      </c>
      <c r="J13434" s="25"/>
      <c r="K13434" s="24">
        <v>0</v>
      </c>
      <c r="L13434" s="22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M13434" s="22" t="str">
        <f>HYPERLINK("mailto:achabbal@crm.otsuka-europe.com", "achabbal@crm.otsuka-europe.com")</f>
        <v>achabbal@crm.otsuka-europe.com</v>
      </c>
      <c r="N13434" s="23">
        <v>46203.507071759261</v>
      </c>
      <c r="O13434" s="14" t="str">
        <f>HYPERLINK("https://otsuka-europe-crm.veevavault.com/ui/#object/email_activity__v/V8C000000041600", "EN-002100843")</f>
        <v>EN-002100843</v>
      </c>
    </row>
    <row r="13435" spans="1:15" ht="16" x14ac:dyDescent="0.2">
      <c r="A13435" s="19"/>
      <c r="B13435" s="19"/>
      <c r="C13435" s="19"/>
      <c r="D13435" s="19"/>
      <c r="E13435" s="19"/>
      <c r="F13435" s="19"/>
      <c r="G13435" s="19"/>
      <c r="H13435" s="19"/>
      <c r="I13435" s="19"/>
      <c r="J13435" s="19"/>
      <c r="K13435" s="19"/>
      <c r="L13435" s="19"/>
      <c r="M13435" s="19"/>
      <c r="N13435" s="19"/>
      <c r="O13435" s="14" t="str">
        <f>HYPERLINK("https://otsuka-europe-crm.veevavault.com/ui/#object/email_activity__v/V8C000000041602", "EN-002100845")</f>
        <v>EN-002100845</v>
      </c>
    </row>
    <row r="13436" spans="1:15" ht="32" x14ac:dyDescent="0.2">
      <c r="A13436" s="7" t="str">
        <f>HYPERLINK("https://otsuka-europe-crm.veevavault.com/ui/#object/account__v/V4TZ06G6O71TC67", "MARTA CERVERA CALVO")</f>
        <v>MARTA CERVERA CALVO</v>
      </c>
      <c r="B13436" s="7" t="str">
        <f>HYPERLINK("https://otsuka-europe-crm.veevavault.com/ui/#object/vcountry__v/VENZ000004SONF5", "ES")</f>
        <v>ES</v>
      </c>
      <c r="C13436" s="8" t="s">
        <v>41</v>
      </c>
      <c r="D13436" s="9" t="str">
        <f>HYPERLINK("https://otsuka-europe-crm.veevavault.com/ui/#object/approved_document__v/V5O00000001R001", "INA - VAE Cierre ""Nos quedamos en Casa""")</f>
        <v>INA - VAE Cierre "Nos quedamos en Casa"</v>
      </c>
      <c r="E13436" s="10" t="str">
        <f>HYPERLINK("https://otsuka-europe-crm.veevavault.com/ui/#object/sent_email__v/VBL00000002Y182", "SE-001438858")</f>
        <v>SE-001438858</v>
      </c>
      <c r="F13436" s="11"/>
      <c r="G13436" s="12">
        <v>0</v>
      </c>
      <c r="H13436" s="12">
        <v>0</v>
      </c>
      <c r="I13436" s="12">
        <v>0</v>
      </c>
      <c r="J13436" s="11"/>
      <c r="K13436" s="12">
        <v>0</v>
      </c>
      <c r="L13436" s="10" t="str">
        <f>HYPERLINK("https://otsuka-europe-crm.veevavault.com/ui/#object/approved_document__v/V5O00000001R001", "INA - VAE Cierre ""Nos quedamos en Casa""")</f>
        <v>INA - VAE Cierre "Nos quedamos en Casa"</v>
      </c>
      <c r="M13436" s="10" t="str">
        <f>HYPERLINK("mailto:ccoll@crm.otsuka-europe.com", "ccoll@crm.otsuka-europe.com")</f>
        <v>ccoll@crm.otsuka-europe.com</v>
      </c>
      <c r="N13436" s="13">
        <v>46203.414363425924</v>
      </c>
      <c r="O13436" s="14" t="str">
        <f>HYPERLINK("https://otsuka-europe-crm.veevavault.com/ui/#object/email_activity__v/V8C000000041571", "EN-002100779")</f>
        <v>EN-002100779</v>
      </c>
    </row>
    <row r="13437" spans="1:15" ht="32" x14ac:dyDescent="0.2">
      <c r="A13437" s="7" t="str">
        <f>HYPERLINK("https://otsuka-europe-crm.veevavault.com/ui/#object/account__v/V4TZ06G6O71T9X6", "JORDI ESTEVE REYNER")</f>
        <v>JORDI ESTEVE REYNER</v>
      </c>
      <c r="B13437" s="7" t="str">
        <f>HYPERLINK("https://otsuka-europe-crm.veevavault.com/ui/#object/vcountry__v/VENZ000004SONF5", "ES")</f>
        <v>ES</v>
      </c>
      <c r="C13437" s="8" t="s">
        <v>41</v>
      </c>
      <c r="D13437" s="9" t="str">
        <f>HYPERLINK("https://otsuka-europe-crm.veevavault.com/ui/#object/approved_document__v/V5O00000001R001", "INA - VAE Cierre ""Nos quedamos en Casa""")</f>
        <v>INA - VAE Cierre "Nos quedamos en Casa"</v>
      </c>
      <c r="E13437" s="10" t="str">
        <f>HYPERLINK("https://otsuka-europe-crm.veevavault.com/ui/#object/sent_email__v/VBL00000002Y183", "SE-001438859")</f>
        <v>SE-001438859</v>
      </c>
      <c r="F13437" s="11"/>
      <c r="G13437" s="12">
        <v>0</v>
      </c>
      <c r="H13437" s="12">
        <v>0</v>
      </c>
      <c r="I13437" s="12">
        <v>0</v>
      </c>
      <c r="J13437" s="11"/>
      <c r="K13437" s="12">
        <v>0</v>
      </c>
      <c r="L13437" s="10" t="str">
        <f>HYPERLINK("https://otsuka-europe-crm.veevavault.com/ui/#object/approved_document__v/V5O00000001R001", "INA - VAE Cierre ""Nos quedamos en Casa""")</f>
        <v>INA - VAE Cierre "Nos quedamos en Casa"</v>
      </c>
      <c r="M13437" s="10" t="str">
        <f>HYPERLINK("mailto:ccoll@crm.otsuka-europe.com", "ccoll@crm.otsuka-europe.com")</f>
        <v>ccoll@crm.otsuka-europe.com</v>
      </c>
      <c r="N13437" s="13">
        <v>46203.414363425924</v>
      </c>
      <c r="O13437" s="14" t="str">
        <f>HYPERLINK("https://otsuka-europe-crm.veevavault.com/ui/#object/email_activity__v/V8C000000041575", "EN-002100783")</f>
        <v>EN-002100783</v>
      </c>
    </row>
    <row r="13438" spans="1:15" ht="32" x14ac:dyDescent="0.2">
      <c r="A13438" s="7" t="str">
        <f>HYPERLINK("https://otsuka-europe-crm.veevavault.com/ui/#object/account__v/V4TZ025E83439SM", "ANA GARRIDO DIAZ")</f>
        <v>ANA GARRIDO DIAZ</v>
      </c>
      <c r="B13438" s="7" t="str">
        <f>HYPERLINK("https://otsuka-europe-crm.veevavault.com/ui/#object/vcountry__v/VENZ000004SONF5", "ES")</f>
        <v>ES</v>
      </c>
      <c r="C13438" s="8" t="s">
        <v>41</v>
      </c>
      <c r="D13438" s="9" t="str">
        <f>HYPERLINK("https://otsuka-europe-crm.veevavault.com/ui/#object/approved_document__v/V5O00000001R001", "INA - VAE Cierre ""Nos quedamos en Casa""")</f>
        <v>INA - VAE Cierre "Nos quedamos en Casa"</v>
      </c>
      <c r="E13438" s="10" t="str">
        <f>HYPERLINK("https://otsuka-europe-crm.veevavault.com/ui/#object/sent_email__v/VBL00000002Y184", "SE-001438860")</f>
        <v>SE-001438860</v>
      </c>
      <c r="F13438" s="11"/>
      <c r="G13438" s="12">
        <v>0</v>
      </c>
      <c r="H13438" s="12">
        <v>0</v>
      </c>
      <c r="I13438" s="12">
        <v>0</v>
      </c>
      <c r="J13438" s="11"/>
      <c r="K13438" s="12">
        <v>0</v>
      </c>
      <c r="L13438" s="10" t="str">
        <f>HYPERLINK("https://otsuka-europe-crm.veevavault.com/ui/#object/approved_document__v/V5O00000001R001", "INA - VAE Cierre ""Nos quedamos en Casa""")</f>
        <v>INA - VAE Cierre "Nos quedamos en Casa"</v>
      </c>
      <c r="M13438" s="10" t="str">
        <f>HYPERLINK("mailto:ccoll@crm.otsuka-europe.com", "ccoll@crm.otsuka-europe.com")</f>
        <v>ccoll@crm.otsuka-europe.com</v>
      </c>
      <c r="N13438" s="13">
        <v>46203.414363425924</v>
      </c>
      <c r="O13438" s="14" t="str">
        <f>HYPERLINK("https://otsuka-europe-crm.veevavault.com/ui/#object/email_activity__v/V8C000000041579", "EN-002100792")</f>
        <v>EN-002100792</v>
      </c>
    </row>
    <row r="13439" spans="1:15" ht="16" x14ac:dyDescent="0.2">
      <c r="A13439" s="17" t="str">
        <f>HYPERLINK("https://otsuka-europe-crm.veevavault.com/ui/#object/account__v/V4TZ025E881EZ59", "PAULA GOMEZ FERNANDEZ")</f>
        <v>PAULA GOMEZ FERNANDEZ</v>
      </c>
      <c r="B13439" s="17" t="str">
        <f>HYPERLINK("https://otsuka-europe-crm.veevavault.com/ui/#object/vcountry__v/VENZ000004SONF5", "ES")</f>
        <v>ES</v>
      </c>
      <c r="C13439" s="20" t="s">
        <v>41</v>
      </c>
      <c r="D13439" s="21" t="str">
        <f>HYPERLINK("https://otsuka-europe-crm.veevavault.com/ui/#object/approved_document__v/V5O00000001R001", "INA - VAE Cierre ""Nos quedamos en Casa""")</f>
        <v>INA - VAE Cierre "Nos quedamos en Casa"</v>
      </c>
      <c r="E13439" s="22" t="str">
        <f>HYPERLINK("https://otsuka-europe-crm.veevavault.com/ui/#object/sent_email__v/VBL00000002Y185", "SE-001438861")</f>
        <v>SE-001438861</v>
      </c>
      <c r="F13439" s="23">
        <v>46203.459386574075</v>
      </c>
      <c r="G13439" s="24">
        <v>1</v>
      </c>
      <c r="H13439" s="24">
        <v>2</v>
      </c>
      <c r="I13439" s="24">
        <v>0</v>
      </c>
      <c r="J13439" s="25"/>
      <c r="K13439" s="24">
        <v>0</v>
      </c>
      <c r="L13439" s="22" t="str">
        <f>HYPERLINK("https://otsuka-europe-crm.veevavault.com/ui/#object/approved_document__v/V5O00000001R001", "INA - VAE Cierre ""Nos quedamos en Casa""")</f>
        <v>INA - VAE Cierre "Nos quedamos en Casa"</v>
      </c>
      <c r="M13439" s="22" t="str">
        <f>HYPERLINK("mailto:ccoll@crm.otsuka-europe.com", "ccoll@crm.otsuka-europe.com")</f>
        <v>ccoll@crm.otsuka-europe.com</v>
      </c>
      <c r="N13439" s="23">
        <v>46203.414363425924</v>
      </c>
      <c r="O13439" s="14" t="str">
        <f>HYPERLINK("https://otsuka-europe-crm.veevavault.com/ui/#object/email_activity__v/V8C000000041567", "EN-002100775")</f>
        <v>EN-002100775</v>
      </c>
    </row>
    <row r="13440" spans="1:15" ht="16" x14ac:dyDescent="0.2">
      <c r="A13440" s="18"/>
      <c r="B13440" s="18"/>
      <c r="C13440" s="18"/>
      <c r="D13440" s="18"/>
      <c r="E13440" s="18"/>
      <c r="F13440" s="18"/>
      <c r="G13440" s="18"/>
      <c r="H13440" s="18"/>
      <c r="I13440" s="18"/>
      <c r="J13440" s="18"/>
      <c r="K13440" s="18"/>
      <c r="L13440" s="18"/>
      <c r="M13440" s="18"/>
      <c r="N13440" s="18"/>
      <c r="O13440" s="14" t="str">
        <f>HYPERLINK("https://otsuka-europe-crm.veevavault.com/ui/#object/email_activity__v/V8C000000042551", "EN-002100825")</f>
        <v>EN-002100825</v>
      </c>
    </row>
    <row r="13441" spans="1:15" ht="16" x14ac:dyDescent="0.2">
      <c r="A13441" s="19"/>
      <c r="B13441" s="19"/>
      <c r="C13441" s="19"/>
      <c r="D13441" s="19"/>
      <c r="E13441" s="19"/>
      <c r="F13441" s="19"/>
      <c r="G13441" s="19"/>
      <c r="H13441" s="19"/>
      <c r="I13441" s="19"/>
      <c r="J13441" s="19"/>
      <c r="K13441" s="19"/>
      <c r="L13441" s="19"/>
      <c r="M13441" s="19"/>
      <c r="N13441" s="19"/>
      <c r="O13441" s="14" t="str">
        <f>HYPERLINK("https://otsuka-europe-crm.veevavault.com/ui/#object/email_activity__v/V8C000000042552", "EN-002100826")</f>
        <v>EN-002100826</v>
      </c>
    </row>
    <row r="13442" spans="1:15" ht="32" x14ac:dyDescent="0.2">
      <c r="A13442" s="7" t="str">
        <f>HYPERLINK("https://otsuka-europe-crm.veevavault.com/ui/#object/account__v/V4TZ06G6O71TALS", "ROSA COLL JORDA")</f>
        <v>ROSA COLL JORDA</v>
      </c>
      <c r="B13442" s="7" t="str">
        <f>HYPERLINK("https://otsuka-europe-crm.veevavault.com/ui/#object/vcountry__v/VENZ000004SONF5", "ES")</f>
        <v>ES</v>
      </c>
      <c r="C13442" s="8" t="s">
        <v>41</v>
      </c>
      <c r="D13442" s="9" t="str">
        <f>HYPERLINK("https://otsuka-europe-crm.veevavault.com/ui/#object/approved_document__v/V5O00000001R001", "INA - VAE Cierre ""Nos quedamos en Casa""")</f>
        <v>INA - VAE Cierre "Nos quedamos en Casa"</v>
      </c>
      <c r="E13442" s="10" t="str">
        <f>HYPERLINK("https://otsuka-europe-crm.veevavault.com/ui/#object/sent_email__v/VBL00000002Y186", "SE-001438862")</f>
        <v>SE-001438862</v>
      </c>
      <c r="F13442" s="11"/>
      <c r="G13442" s="12">
        <v>0</v>
      </c>
      <c r="H13442" s="12">
        <v>0</v>
      </c>
      <c r="I13442" s="12">
        <v>0</v>
      </c>
      <c r="J13442" s="11"/>
      <c r="K13442" s="12">
        <v>0</v>
      </c>
      <c r="L13442" s="10" t="str">
        <f>HYPERLINK("https://otsuka-europe-crm.veevavault.com/ui/#object/approved_document__v/V5O00000001R001", "INA - VAE Cierre ""Nos quedamos en Casa""")</f>
        <v>INA - VAE Cierre "Nos quedamos en Casa"</v>
      </c>
      <c r="M13442" s="10" t="str">
        <f>HYPERLINK("mailto:ccoll@crm.otsuka-europe.com", "ccoll@crm.otsuka-europe.com")</f>
        <v>ccoll@crm.otsuka-europe.com</v>
      </c>
      <c r="N13442" s="13">
        <v>46203.414363425924</v>
      </c>
      <c r="O13442" s="14" t="str">
        <f>HYPERLINK("https://otsuka-europe-crm.veevavault.com/ui/#object/email_activity__v/V8C000000042524", "EN-002100787")</f>
        <v>EN-002100787</v>
      </c>
    </row>
    <row r="13443" spans="1:15" ht="32" x14ac:dyDescent="0.2">
      <c r="A13443" s="7" t="str">
        <f>HYPERLINK("https://otsuka-europe-crm.veevavault.com/ui/#object/account__v/V4TZ025E83OV5SH", "MARINA DIAZ BEYA")</f>
        <v>MARINA DIAZ BEYA</v>
      </c>
      <c r="B13443" s="7" t="str">
        <f>HYPERLINK("https://otsuka-europe-crm.veevavault.com/ui/#object/vcountry__v/VENZ000004SONF5", "ES")</f>
        <v>ES</v>
      </c>
      <c r="C13443" s="8" t="s">
        <v>41</v>
      </c>
      <c r="D13443" s="9" t="str">
        <f>HYPERLINK("https://otsuka-europe-crm.veevavault.com/ui/#object/approved_document__v/V5O00000001R001", "INA - VAE Cierre ""Nos quedamos en Casa""")</f>
        <v>INA - VAE Cierre "Nos quedamos en Casa"</v>
      </c>
      <c r="E13443" s="10" t="str">
        <f>HYPERLINK("https://otsuka-europe-crm.veevavault.com/ui/#object/sent_email__v/VBL00000002Y187", "SE-001438863")</f>
        <v>SE-001438863</v>
      </c>
      <c r="F13443" s="11"/>
      <c r="G13443" s="12">
        <v>0</v>
      </c>
      <c r="H13443" s="12">
        <v>0</v>
      </c>
      <c r="I13443" s="12">
        <v>0</v>
      </c>
      <c r="J13443" s="11"/>
      <c r="K13443" s="12">
        <v>0</v>
      </c>
      <c r="L13443" s="10" t="str">
        <f>HYPERLINK("https://otsuka-europe-crm.veevavault.com/ui/#object/approved_document__v/V5O00000001R001", "INA - VAE Cierre ""Nos quedamos en Casa""")</f>
        <v>INA - VAE Cierre "Nos quedamos en Casa"</v>
      </c>
      <c r="M13443" s="10" t="str">
        <f>HYPERLINK("mailto:ccoll@crm.otsuka-europe.com", "ccoll@crm.otsuka-europe.com")</f>
        <v>ccoll@crm.otsuka-europe.com</v>
      </c>
      <c r="N13443" s="13">
        <v>46203.414363425924</v>
      </c>
      <c r="O13443" s="14" t="str">
        <f>HYPERLINK("https://otsuka-europe-crm.veevavault.com/ui/#object/email_activity__v/V8C000000041570", "EN-002100778")</f>
        <v>EN-002100778</v>
      </c>
    </row>
    <row r="13444" spans="1:15" ht="32" x14ac:dyDescent="0.2">
      <c r="A13444" s="7" t="str">
        <f>HYPERLINK("https://otsuka-europe-crm.veevavault.com/ui/#object/account__v/V4TZ025E833RHVH", "JUAN JOSE BARGAY LLEONART")</f>
        <v>JUAN JOSE BARGAY LLEONART</v>
      </c>
      <c r="B13444" s="7" t="str">
        <f>HYPERLINK("https://otsuka-europe-crm.veevavault.com/ui/#object/vcountry__v/VENZ000004SONF5", "ES")</f>
        <v>ES</v>
      </c>
      <c r="C13444" s="8" t="s">
        <v>41</v>
      </c>
      <c r="D13444" s="9" t="str">
        <f>HYPERLINK("https://otsuka-europe-crm.veevavault.com/ui/#object/approved_document__v/V5O00000001R001", "INA - VAE Cierre ""Nos quedamos en Casa""")</f>
        <v>INA - VAE Cierre "Nos quedamos en Casa"</v>
      </c>
      <c r="E13444" s="10" t="str">
        <f>HYPERLINK("https://otsuka-europe-crm.veevavault.com/ui/#object/sent_email__v/VBL00000002Y188", "SE-001438864")</f>
        <v>SE-001438864</v>
      </c>
      <c r="F13444" s="11"/>
      <c r="G13444" s="12">
        <v>0</v>
      </c>
      <c r="H13444" s="12">
        <v>0</v>
      </c>
      <c r="I13444" s="12">
        <v>0</v>
      </c>
      <c r="J13444" s="11"/>
      <c r="K13444" s="12">
        <v>0</v>
      </c>
      <c r="L13444" s="10" t="str">
        <f>HYPERLINK("https://otsuka-europe-crm.veevavault.com/ui/#object/approved_document__v/V5O00000001R001", "INA - VAE Cierre ""Nos quedamos en Casa""")</f>
        <v>INA - VAE Cierre "Nos quedamos en Casa"</v>
      </c>
      <c r="M13444" s="10" t="str">
        <f>HYPERLINK("mailto:ccoll@crm.otsuka-europe.com", "ccoll@crm.otsuka-europe.com")</f>
        <v>ccoll@crm.otsuka-europe.com</v>
      </c>
      <c r="N13444" s="13">
        <v>46203.414351851854</v>
      </c>
      <c r="O13444" s="14" t="str">
        <f>HYPERLINK("https://otsuka-europe-crm.veevavault.com/ui/#object/email_activity__v/V8C000000041577", "EN-002100790")</f>
        <v>EN-002100790</v>
      </c>
    </row>
    <row r="13445" spans="1:15" ht="16" x14ac:dyDescent="0.2">
      <c r="A13445" s="17" t="str">
        <f>HYPERLINK("https://otsuka-europe-crm.veevavault.com/ui/#object/account__v/V4TZ04ASGE7FDFX", "ANA ALFONSO PIEROLA")</f>
        <v>ANA ALFONSO PIEROLA</v>
      </c>
      <c r="B13445" s="17" t="str">
        <f>HYPERLINK("https://otsuka-europe-crm.veevavault.com/ui/#object/vcountry__v/VENZ000004SONF5", "ES")</f>
        <v>ES</v>
      </c>
      <c r="C13445" s="20" t="s">
        <v>41</v>
      </c>
      <c r="D13445" s="21" t="str">
        <f>HYPERLINK("https://otsuka-europe-crm.veevavault.com/ui/#object/approved_document__v/V5O00000001R001", "INA - VAE Cierre ""Nos quedamos en Casa""")</f>
        <v>INA - VAE Cierre "Nos quedamos en Casa"</v>
      </c>
      <c r="E13445" s="22" t="str">
        <f>HYPERLINK("https://otsuka-europe-crm.veevavault.com/ui/#object/sent_email__v/VBL00000002Y189", "SE-001438865")</f>
        <v>SE-001438865</v>
      </c>
      <c r="F13445" s="23">
        <v>46203.431562500002</v>
      </c>
      <c r="G13445" s="24">
        <v>1</v>
      </c>
      <c r="H13445" s="24">
        <v>2</v>
      </c>
      <c r="I13445" s="24">
        <v>0</v>
      </c>
      <c r="J13445" s="25"/>
      <c r="K13445" s="24">
        <v>0</v>
      </c>
      <c r="L13445" s="22" t="str">
        <f>HYPERLINK("https://otsuka-europe-crm.veevavault.com/ui/#object/approved_document__v/V5O00000001R001", "INA - VAE Cierre ""Nos quedamos en Casa""")</f>
        <v>INA - VAE Cierre "Nos quedamos en Casa"</v>
      </c>
      <c r="M13445" s="22" t="str">
        <f>HYPERLINK("mailto:ccoll@crm.otsuka-europe.com", "ccoll@crm.otsuka-europe.com")</f>
        <v>ccoll@crm.otsuka-europe.com</v>
      </c>
      <c r="N13445" s="23">
        <v>46203.414351851854</v>
      </c>
      <c r="O13445" s="14" t="str">
        <f>HYPERLINK("https://otsuka-europe-crm.veevavault.com/ui/#object/email_activity__v/V8C000000041587", "EN-002100811")</f>
        <v>EN-002100811</v>
      </c>
    </row>
    <row r="13446" spans="1:15" ht="16" x14ac:dyDescent="0.2">
      <c r="A13446" s="18"/>
      <c r="B13446" s="18"/>
      <c r="C13446" s="18"/>
      <c r="D13446" s="18"/>
      <c r="E13446" s="18"/>
      <c r="F13446" s="18"/>
      <c r="G13446" s="18"/>
      <c r="H13446" s="18"/>
      <c r="I13446" s="18"/>
      <c r="J13446" s="18"/>
      <c r="K13446" s="18"/>
      <c r="L13446" s="18"/>
      <c r="M13446" s="18"/>
      <c r="N13446" s="18"/>
      <c r="O13446" s="14" t="str">
        <f>HYPERLINK("https://otsuka-europe-crm.veevavault.com/ui/#object/email_activity__v/V8C000000042527", "EN-002100785")</f>
        <v>EN-002100785</v>
      </c>
    </row>
    <row r="13447" spans="1:15" ht="16" x14ac:dyDescent="0.2">
      <c r="A13447" s="19"/>
      <c r="B13447" s="19"/>
      <c r="C13447" s="19"/>
      <c r="D13447" s="19"/>
      <c r="E13447" s="19"/>
      <c r="F13447" s="19"/>
      <c r="G13447" s="19"/>
      <c r="H13447" s="19"/>
      <c r="I13447" s="19"/>
      <c r="J13447" s="19"/>
      <c r="K13447" s="19"/>
      <c r="L13447" s="19"/>
      <c r="M13447" s="19"/>
      <c r="N13447" s="19"/>
      <c r="O13447" s="14" t="str">
        <f>HYPERLINK("https://otsuka-europe-crm.veevavault.com/ui/#object/email_activity__v/V8C000000042536", "EN-002100806")</f>
        <v>EN-002100806</v>
      </c>
    </row>
    <row r="13448" spans="1:15" ht="16" x14ac:dyDescent="0.2">
      <c r="A13448" s="17" t="str">
        <f>HYPERLINK("https://otsuka-europe-crm.veevavault.com/ui/#object/account__v/V4TZ025E838LAFY", "ANTONIA SAMPOL MAYOL")</f>
        <v>ANTONIA SAMPOL MAYOL</v>
      </c>
      <c r="B13448" s="17" t="str">
        <f>HYPERLINK("https://otsuka-europe-crm.veevavault.com/ui/#object/vcountry__v/VENZ000004SONF5", "ES")</f>
        <v>ES</v>
      </c>
      <c r="C13448" s="20" t="s">
        <v>41</v>
      </c>
      <c r="D13448" s="21" t="str">
        <f>HYPERLINK("https://otsuka-europe-crm.veevavault.com/ui/#object/approved_document__v/V5O00000001R001", "INA - VAE Cierre ""Nos quedamos en Casa""")</f>
        <v>INA - VAE Cierre "Nos quedamos en Casa"</v>
      </c>
      <c r="E13448" s="22" t="str">
        <f>HYPERLINK("https://otsuka-europe-crm.veevavault.com/ui/#object/sent_email__v/VBL00000002Y190", "SE-001438866")</f>
        <v>SE-001438866</v>
      </c>
      <c r="F13448" s="25"/>
      <c r="G13448" s="24">
        <v>0</v>
      </c>
      <c r="H13448" s="24">
        <v>0</v>
      </c>
      <c r="I13448" s="24">
        <v>0</v>
      </c>
      <c r="J13448" s="25"/>
      <c r="K13448" s="24">
        <v>0</v>
      </c>
      <c r="L13448" s="22" t="str">
        <f>HYPERLINK("https://otsuka-europe-crm.veevavault.com/ui/#object/approved_document__v/V5O00000001R001", "INA - VAE Cierre ""Nos quedamos en Casa""")</f>
        <v>INA - VAE Cierre "Nos quedamos en Casa"</v>
      </c>
      <c r="M13448" s="22" t="str">
        <f>HYPERLINK("mailto:ccoll@crm.otsuka-europe.com", "ccoll@crm.otsuka-europe.com")</f>
        <v>ccoll@crm.otsuka-europe.com</v>
      </c>
      <c r="N13448" s="23">
        <v>46203.414375</v>
      </c>
      <c r="O13448" s="14" t="str">
        <f>HYPERLINK("https://otsuka-europe-crm.veevavault.com/ui/#object/email_activity__v/V8C000000041572", "EN-002100780")</f>
        <v>EN-002100780</v>
      </c>
    </row>
    <row r="13449" spans="1:15" ht="16" x14ac:dyDescent="0.2">
      <c r="A13449" s="19"/>
      <c r="B13449" s="19"/>
      <c r="C13449" s="19"/>
      <c r="D13449" s="19"/>
      <c r="E13449" s="19"/>
      <c r="F13449" s="19"/>
      <c r="G13449" s="19"/>
      <c r="H13449" s="19"/>
      <c r="I13449" s="19"/>
      <c r="J13449" s="19"/>
      <c r="K13449" s="19"/>
      <c r="L13449" s="19"/>
      <c r="M13449" s="19"/>
      <c r="N13449" s="19"/>
      <c r="O13449" s="14" t="str">
        <f>HYPERLINK("https://otsuka-europe-crm.veevavault.com/ui/#object/email_activity__v/V8C000000042744", "EN-002101134")</f>
        <v>EN-002101134</v>
      </c>
    </row>
    <row r="13450" spans="1:15" ht="32" x14ac:dyDescent="0.2">
      <c r="A13450" s="7" t="str">
        <f>HYPERLINK("https://otsuka-europe-crm.veevavault.com/ui/#object/account__v/V4TZ025E85BLCLE", "MARINA CORNEJO GARCIA")</f>
        <v>MARINA CORNEJO GARCIA</v>
      </c>
      <c r="B13450" s="7" t="str">
        <f>HYPERLINK("https://otsuka-europe-crm.veevavault.com/ui/#object/vcountry__v/VENZ000004SONF5", "ES")</f>
        <v>ES</v>
      </c>
      <c r="C13450" s="8" t="s">
        <v>41</v>
      </c>
      <c r="D13450" s="9" t="str">
        <f>HYPERLINK("https://otsuka-europe-crm.veevavault.com/ui/#object/approved_document__v/V5O00000001R001", "INA - VAE Cierre ""Nos quedamos en Casa""")</f>
        <v>INA - VAE Cierre "Nos quedamos en Casa"</v>
      </c>
      <c r="E13450" s="10" t="str">
        <f>HYPERLINK("https://otsuka-europe-crm.veevavault.com/ui/#object/sent_email__v/VBL00000002Y191", "SE-001438867")</f>
        <v>SE-001438867</v>
      </c>
      <c r="F13450" s="11"/>
      <c r="G13450" s="12">
        <v>0</v>
      </c>
      <c r="H13450" s="12">
        <v>0</v>
      </c>
      <c r="I13450" s="12">
        <v>0</v>
      </c>
      <c r="J13450" s="11"/>
      <c r="K13450" s="12">
        <v>0</v>
      </c>
      <c r="L13450" s="10" t="str">
        <f>HYPERLINK("https://otsuka-europe-crm.veevavault.com/ui/#object/approved_document__v/V5O00000001R001", "INA - VAE Cierre ""Nos quedamos en Casa""")</f>
        <v>INA - VAE Cierre "Nos quedamos en Casa"</v>
      </c>
      <c r="M13450" s="10" t="str">
        <f>HYPERLINK("mailto:ccoll@crm.otsuka-europe.com", "ccoll@crm.otsuka-europe.com")</f>
        <v>ccoll@crm.otsuka-europe.com</v>
      </c>
      <c r="N13450" s="13">
        <v>46203.414363425924</v>
      </c>
      <c r="O13450" s="14" t="str">
        <f>HYPERLINK("https://otsuka-europe-crm.veevavault.com/ui/#object/email_activity__v/V8C000000042531", "EN-002100798")</f>
        <v>EN-002100798</v>
      </c>
    </row>
    <row r="13451" spans="1:15" ht="32" x14ac:dyDescent="0.2">
      <c r="A13451" s="7" t="str">
        <f>HYPERLINK("https://otsuka-europe-crm.veevavault.com/ui/#object/account__v/V4TZ025E83OWHHA", "ANA PEREZ GONZALEZ")</f>
        <v>ANA PEREZ GONZALEZ</v>
      </c>
      <c r="B13451" s="7" t="str">
        <f>HYPERLINK("https://otsuka-europe-crm.veevavault.com/ui/#object/vcountry__v/VENZ000004SONF5", "ES")</f>
        <v>ES</v>
      </c>
      <c r="C13451" s="8" t="s">
        <v>41</v>
      </c>
      <c r="D13451" s="9" t="str">
        <f>HYPERLINK("https://otsuka-europe-crm.veevavault.com/ui/#object/approved_document__v/V5O00000001R001", "INA - VAE Cierre ""Nos quedamos en Casa""")</f>
        <v>INA - VAE Cierre "Nos quedamos en Casa"</v>
      </c>
      <c r="E13451" s="10" t="str">
        <f>HYPERLINK("https://otsuka-europe-crm.veevavault.com/ui/#object/sent_email__v/VBL00000002Y192", "SE-001438868")</f>
        <v>SE-001438868</v>
      </c>
      <c r="F13451" s="11"/>
      <c r="G13451" s="12">
        <v>0</v>
      </c>
      <c r="H13451" s="12">
        <v>0</v>
      </c>
      <c r="I13451" s="12">
        <v>0</v>
      </c>
      <c r="J13451" s="11"/>
      <c r="K13451" s="12">
        <v>0</v>
      </c>
      <c r="L13451" s="10" t="str">
        <f>HYPERLINK("https://otsuka-europe-crm.veevavault.com/ui/#object/approved_document__v/V5O00000001R001", "INA - VAE Cierre ""Nos quedamos en Casa""")</f>
        <v>INA - VAE Cierre "Nos quedamos en Casa"</v>
      </c>
      <c r="M13451" s="10" t="str">
        <f>HYPERLINK("mailto:ccoll@crm.otsuka-europe.com", "ccoll@crm.otsuka-europe.com")</f>
        <v>ccoll@crm.otsuka-europe.com</v>
      </c>
      <c r="N13451" s="13">
        <v>46203.414363425924</v>
      </c>
      <c r="O13451" s="14" t="str">
        <f>HYPERLINK("https://otsuka-europe-crm.veevavault.com/ui/#object/email_activity__v/V8C000000041576", "EN-002100784")</f>
        <v>EN-002100784</v>
      </c>
    </row>
    <row r="13452" spans="1:15" ht="32" x14ac:dyDescent="0.2">
      <c r="A13452" s="7" t="str">
        <f>HYPERLINK("https://otsuka-europe-crm.veevavault.com/ui/#object/account__v/V4TZ025E841A9ML", "LUIS RODRIGUEZ FERNANDEZ")</f>
        <v>LUIS RODRIGUEZ FERNANDEZ</v>
      </c>
      <c r="B13452" s="7" t="str">
        <f>HYPERLINK("https://otsuka-europe-crm.veevavault.com/ui/#object/vcountry__v/VENZ000004SONF5", "ES")</f>
        <v>ES</v>
      </c>
      <c r="C13452" s="8" t="s">
        <v>41</v>
      </c>
      <c r="D13452" s="9" t="str">
        <f>HYPERLINK("https://otsuka-europe-crm.veevavault.com/ui/#object/approved_document__v/V5O00000001R001", "INA - VAE Cierre ""Nos quedamos en Casa""")</f>
        <v>INA - VAE Cierre "Nos quedamos en Casa"</v>
      </c>
      <c r="E13452" s="10" t="str">
        <f>HYPERLINK("https://otsuka-europe-crm.veevavault.com/ui/#object/sent_email__v/VBL00000002Y193", "SE-001438869")</f>
        <v>SE-001438869</v>
      </c>
      <c r="F13452" s="11"/>
      <c r="G13452" s="12">
        <v>0</v>
      </c>
      <c r="H13452" s="12">
        <v>0</v>
      </c>
      <c r="I13452" s="12">
        <v>0</v>
      </c>
      <c r="J13452" s="11"/>
      <c r="K13452" s="12">
        <v>0</v>
      </c>
      <c r="L13452" s="10" t="str">
        <f>HYPERLINK("https://otsuka-europe-crm.veevavault.com/ui/#object/approved_document__v/V5O00000001R001", "INA - VAE Cierre ""Nos quedamos en Casa""")</f>
        <v>INA - VAE Cierre "Nos quedamos en Casa"</v>
      </c>
      <c r="M13452" s="10" t="str">
        <f>HYPERLINK("mailto:ccoll@crm.otsuka-europe.com", "ccoll@crm.otsuka-europe.com")</f>
        <v>ccoll@crm.otsuka-europe.com</v>
      </c>
      <c r="N13452" s="13">
        <v>46203.414375</v>
      </c>
      <c r="O13452" s="14" t="str">
        <f>HYPERLINK("https://otsuka-europe-crm.veevavault.com/ui/#object/email_activity__v/V8C000000042535", "EN-002100805")</f>
        <v>EN-002100805</v>
      </c>
    </row>
    <row r="13453" spans="1:15" ht="32" x14ac:dyDescent="0.2">
      <c r="A13453" s="7" t="str">
        <f>HYPERLINK("https://otsuka-europe-crm.veevavault.com/ui/#object/account__v/V4TZ025E83OWVD8", "MARIA PILAR DELGADO BELTRAN")</f>
        <v>MARIA PILAR DELGADO BELTRAN</v>
      </c>
      <c r="B13453" s="7" t="str">
        <f>HYPERLINK("https://otsuka-europe-crm.veevavault.com/ui/#object/vcountry__v/VENZ000004SONF5", "ES")</f>
        <v>ES</v>
      </c>
      <c r="C13453" s="8" t="s">
        <v>41</v>
      </c>
      <c r="D13453" s="9" t="str">
        <f>HYPERLINK("https://otsuka-europe-crm.veevavault.com/ui/#object/approved_document__v/V5O00000001R001", "INA - VAE Cierre ""Nos quedamos en Casa""")</f>
        <v>INA - VAE Cierre "Nos quedamos en Casa"</v>
      </c>
      <c r="E13453" s="10" t="str">
        <f>HYPERLINK("https://otsuka-europe-crm.veevavault.com/ui/#object/sent_email__v/VBL00000002Y194", "SE-001438870")</f>
        <v>SE-001438870</v>
      </c>
      <c r="F13453" s="11"/>
      <c r="G13453" s="12">
        <v>0</v>
      </c>
      <c r="H13453" s="12">
        <v>0</v>
      </c>
      <c r="I13453" s="12">
        <v>0</v>
      </c>
      <c r="J13453" s="11"/>
      <c r="K13453" s="12">
        <v>0</v>
      </c>
      <c r="L13453" s="10" t="str">
        <f>HYPERLINK("https://otsuka-europe-crm.veevavault.com/ui/#object/approved_document__v/V5O00000001R001", "INA - VAE Cierre ""Nos quedamos en Casa""")</f>
        <v>INA - VAE Cierre "Nos quedamos en Casa"</v>
      </c>
      <c r="M13453" s="10" t="str">
        <f>HYPERLINK("mailto:ccoll@crm.otsuka-europe.com", "ccoll@crm.otsuka-europe.com")</f>
        <v>ccoll@crm.otsuka-europe.com</v>
      </c>
      <c r="N13453" s="13">
        <v>46203.414375</v>
      </c>
      <c r="O13453" s="14" t="str">
        <f>HYPERLINK("https://otsuka-europe-crm.veevavault.com/ui/#object/email_activity__v/V8C000000042528", "EN-002100795")</f>
        <v>EN-002100795</v>
      </c>
    </row>
    <row r="13454" spans="1:15" ht="16" x14ac:dyDescent="0.2">
      <c r="A13454" s="17" t="str">
        <f>HYPERLINK("https://otsuka-europe-crm.veevavault.com/ui/#object/account__v/V4TZ025E83JBE1U", "MARIA MAR TORMO DIAZ")</f>
        <v>MARIA MAR TORMO DIAZ</v>
      </c>
      <c r="B13454" s="17" t="str">
        <f>HYPERLINK("https://otsuka-europe-crm.veevavault.com/ui/#object/vcountry__v/VENZ000004SONF5", "ES")</f>
        <v>ES</v>
      </c>
      <c r="C13454" s="20" t="s">
        <v>41</v>
      </c>
      <c r="D13454" s="21" t="str">
        <f>HYPERLINK("https://otsuka-europe-crm.veevavault.com/ui/#object/approved_document__v/V5O00000001R001", "INA - VAE Cierre ""Nos quedamos en Casa""")</f>
        <v>INA - VAE Cierre "Nos quedamos en Casa"</v>
      </c>
      <c r="E13454" s="22" t="str">
        <f>HYPERLINK("https://otsuka-europe-crm.veevavault.com/ui/#object/sent_email__v/VBL00000002Y195", "SE-001438871")</f>
        <v>SE-001438871</v>
      </c>
      <c r="F13454" s="25"/>
      <c r="G13454" s="24">
        <v>0</v>
      </c>
      <c r="H13454" s="24">
        <v>0</v>
      </c>
      <c r="I13454" s="24">
        <v>0</v>
      </c>
      <c r="J13454" s="25"/>
      <c r="K13454" s="24">
        <v>0</v>
      </c>
      <c r="L13454" s="22" t="str">
        <f>HYPERLINK("https://otsuka-europe-crm.veevavault.com/ui/#object/approved_document__v/V5O00000001R001", "INA - VAE Cierre ""Nos quedamos en Casa""")</f>
        <v>INA - VAE Cierre "Nos quedamos en Casa"</v>
      </c>
      <c r="M13454" s="22" t="str">
        <f>HYPERLINK("mailto:ccoll@crm.otsuka-europe.com", "ccoll@crm.otsuka-europe.com")</f>
        <v>ccoll@crm.otsuka-europe.com</v>
      </c>
      <c r="N13454" s="23">
        <v>46203.414375</v>
      </c>
      <c r="O13454" s="14" t="str">
        <f>HYPERLINK("https://otsuka-europe-crm.veevavault.com/ui/#object/email_activity__v/V8C000000042534", "EN-002100801")</f>
        <v>EN-002100801</v>
      </c>
    </row>
    <row r="13455" spans="1:15" ht="16" x14ac:dyDescent="0.2">
      <c r="A13455" s="19"/>
      <c r="B13455" s="19"/>
      <c r="C13455" s="19"/>
      <c r="D13455" s="19"/>
      <c r="E13455" s="19"/>
      <c r="F13455" s="19"/>
      <c r="G13455" s="19"/>
      <c r="H13455" s="19"/>
      <c r="I13455" s="19"/>
      <c r="J13455" s="19"/>
      <c r="K13455" s="19"/>
      <c r="L13455" s="19"/>
      <c r="M13455" s="19"/>
      <c r="N13455" s="19"/>
      <c r="O13455" s="14" t="str">
        <f>HYPERLINK("https://otsuka-europe-crm.veevavault.com/ui/#object/email_activity__v/V8C000000042709", "EN-002101079")</f>
        <v>EN-002101079</v>
      </c>
    </row>
    <row r="13456" spans="1:15" ht="32" x14ac:dyDescent="0.2">
      <c r="A13456" s="7" t="str">
        <f>HYPERLINK("https://otsuka-europe-crm.veevavault.com/ui/#object/account__v/V4TZ025E85QV2KD", "LUCIA GARCIA MAÑO")</f>
        <v>LUCIA GARCIA MAÑO</v>
      </c>
      <c r="B13456" s="7" t="str">
        <f>HYPERLINK("https://otsuka-europe-crm.veevavault.com/ui/#object/vcountry__v/VENZ000004SONF5", "ES")</f>
        <v>ES</v>
      </c>
      <c r="C13456" s="8" t="s">
        <v>41</v>
      </c>
      <c r="D13456" s="9" t="str">
        <f>HYPERLINK("https://otsuka-europe-crm.veevavault.com/ui/#object/approved_document__v/V5O00000001R001", "INA - VAE Cierre ""Nos quedamos en Casa""")</f>
        <v>INA - VAE Cierre "Nos quedamos en Casa"</v>
      </c>
      <c r="E13456" s="10" t="str">
        <f>HYPERLINK("https://otsuka-europe-crm.veevavault.com/ui/#object/sent_email__v/VBL00000002Y196", "SE-001438872")</f>
        <v>SE-001438872</v>
      </c>
      <c r="F13456" s="11"/>
      <c r="G13456" s="12">
        <v>0</v>
      </c>
      <c r="H13456" s="12">
        <v>0</v>
      </c>
      <c r="I13456" s="12">
        <v>0</v>
      </c>
      <c r="J13456" s="11"/>
      <c r="K13456" s="12">
        <v>0</v>
      </c>
      <c r="L13456" s="10" t="str">
        <f>HYPERLINK("https://otsuka-europe-crm.veevavault.com/ui/#object/approved_document__v/V5O00000001R001", "INA - VAE Cierre ""Nos quedamos en Casa""")</f>
        <v>INA - VAE Cierre "Nos quedamos en Casa"</v>
      </c>
      <c r="M13456" s="10" t="str">
        <f>HYPERLINK("mailto:ccoll@crm.otsuka-europe.com", "ccoll@crm.otsuka-europe.com")</f>
        <v>ccoll@crm.otsuka-europe.com</v>
      </c>
      <c r="N13456" s="13">
        <v>46203.414375</v>
      </c>
      <c r="O13456" s="14" t="str">
        <f>HYPERLINK("https://otsuka-europe-crm.veevavault.com/ui/#object/email_activity__v/V8C000000042529", "EN-002100796")</f>
        <v>EN-002100796</v>
      </c>
    </row>
    <row r="13457" spans="1:15" ht="16" x14ac:dyDescent="0.2">
      <c r="A13457" s="17" t="str">
        <f>HYPERLINK("https://otsuka-europe-crm.veevavault.com/ui/#object/account__v/V4TZ025E83OXRGQ", "MARIA TERESA OLAVE RUBIO")</f>
        <v>MARIA TERESA OLAVE RUBIO</v>
      </c>
      <c r="B13457" s="17" t="str">
        <f>HYPERLINK("https://otsuka-europe-crm.veevavault.com/ui/#object/vcountry__v/VENZ000004SONF5", "ES")</f>
        <v>ES</v>
      </c>
      <c r="C13457" s="20" t="s">
        <v>41</v>
      </c>
      <c r="D13457" s="21" t="str">
        <f>HYPERLINK("https://otsuka-europe-crm.veevavault.com/ui/#object/approved_document__v/V5O00000001R001", "INA - VAE Cierre ""Nos quedamos en Casa""")</f>
        <v>INA - VAE Cierre "Nos quedamos en Casa"</v>
      </c>
      <c r="E13457" s="22" t="str">
        <f>HYPERLINK("https://otsuka-europe-crm.veevavault.com/ui/#object/sent_email__v/VBL00000002Y197", "SE-001438873")</f>
        <v>SE-001438873</v>
      </c>
      <c r="F13457" s="23">
        <v>46203.414479166669</v>
      </c>
      <c r="G13457" s="24">
        <v>1</v>
      </c>
      <c r="H13457" s="24">
        <v>1</v>
      </c>
      <c r="I13457" s="24">
        <v>1</v>
      </c>
      <c r="J13457" s="23">
        <v>46203.414780092593</v>
      </c>
      <c r="K13457" s="24">
        <v>2</v>
      </c>
      <c r="L13457" s="22" t="str">
        <f>HYPERLINK("https://otsuka-europe-crm.veevavault.com/ui/#object/approved_document__v/V5O00000001R001", "INA - VAE Cierre ""Nos quedamos en Casa""")</f>
        <v>INA - VAE Cierre "Nos quedamos en Casa"</v>
      </c>
      <c r="M13457" s="22" t="str">
        <f>HYPERLINK("mailto:ccoll@crm.otsuka-europe.com", "ccoll@crm.otsuka-europe.com")</f>
        <v>ccoll@crm.otsuka-europe.com</v>
      </c>
      <c r="N13457" s="23">
        <v>46203.414363425924</v>
      </c>
      <c r="O13457" s="14" t="str">
        <f>HYPERLINK("https://otsuka-europe-crm.veevavault.com/ui/#object/email_activity__v/V8C000000041585", "EN-002100807")</f>
        <v>EN-002100807</v>
      </c>
    </row>
    <row r="13458" spans="1:15" ht="16" x14ac:dyDescent="0.2">
      <c r="A13458" s="18"/>
      <c r="B13458" s="18"/>
      <c r="C13458" s="18"/>
      <c r="D13458" s="18"/>
      <c r="E13458" s="18"/>
      <c r="F13458" s="18"/>
      <c r="G13458" s="18"/>
      <c r="H13458" s="18"/>
      <c r="I13458" s="18"/>
      <c r="J13458" s="18"/>
      <c r="K13458" s="18"/>
      <c r="L13458" s="18"/>
      <c r="M13458" s="18"/>
      <c r="N13458" s="18"/>
      <c r="O13458" s="14" t="str">
        <f>HYPERLINK("https://otsuka-europe-crm.veevavault.com/ui/#object/email_activity__v/V8C000000041586", "EN-002100808")</f>
        <v>EN-002100808</v>
      </c>
    </row>
    <row r="13459" spans="1:15" ht="16" x14ac:dyDescent="0.2">
      <c r="A13459" s="18"/>
      <c r="B13459" s="18"/>
      <c r="C13459" s="18"/>
      <c r="D13459" s="18"/>
      <c r="E13459" s="18"/>
      <c r="F13459" s="18"/>
      <c r="G13459" s="18"/>
      <c r="H13459" s="18"/>
      <c r="I13459" s="18"/>
      <c r="J13459" s="18"/>
      <c r="K13459" s="18"/>
      <c r="L13459" s="18"/>
      <c r="M13459" s="18"/>
      <c r="N13459" s="18"/>
      <c r="O13459" s="14" t="str">
        <f>HYPERLINK("https://otsuka-europe-crm.veevavault.com/ui/#object/email_activity__v/V8C000000042530", "EN-002100797")</f>
        <v>EN-002100797</v>
      </c>
    </row>
    <row r="13460" spans="1:15" ht="16" x14ac:dyDescent="0.2">
      <c r="A13460" s="19"/>
      <c r="B13460" s="19"/>
      <c r="C13460" s="19"/>
      <c r="D13460" s="19"/>
      <c r="E13460" s="19"/>
      <c r="F13460" s="19"/>
      <c r="G13460" s="19"/>
      <c r="H13460" s="19"/>
      <c r="I13460" s="19"/>
      <c r="J13460" s="19"/>
      <c r="K13460" s="19"/>
      <c r="L13460" s="19"/>
      <c r="M13460" s="19"/>
      <c r="N13460" s="19"/>
      <c r="O13460" s="14" t="str">
        <f>HYPERLINK("https://otsuka-europe-crm.veevavault.com/ui/#object/email_activity__v/V8C000000042537", "EN-002100809")</f>
        <v>EN-002100809</v>
      </c>
    </row>
    <row r="13461" spans="1:15" ht="32" x14ac:dyDescent="0.2">
      <c r="A13461" s="7" t="str">
        <f>HYPERLINK("https://otsuka-europe-crm.veevavault.com/ui/#object/account__v/V4TZ025E82D5OMH", "MARIA DIEZ CAMPELO")</f>
        <v>MARIA DIEZ CAMPELO</v>
      </c>
      <c r="B13461" s="7" t="str">
        <f>HYPERLINK("https://otsuka-europe-crm.veevavault.com/ui/#object/vcountry__v/VENZ000004SONF5", "ES")</f>
        <v>ES</v>
      </c>
      <c r="C13461" s="8" t="s">
        <v>41</v>
      </c>
      <c r="D13461" s="9" t="str">
        <f>HYPERLINK("https://otsuka-europe-crm.veevavault.com/ui/#object/approved_document__v/V5O00000001R001", "INA - VAE Cierre ""Nos quedamos en Casa""")</f>
        <v>INA - VAE Cierre "Nos quedamos en Casa"</v>
      </c>
      <c r="E13461" s="10" t="str">
        <f>HYPERLINK("https://otsuka-europe-crm.veevavault.com/ui/#object/sent_email__v/VBL00000002Y198", "SE-001438874")</f>
        <v>SE-001438874</v>
      </c>
      <c r="F13461" s="11"/>
      <c r="G13461" s="12">
        <v>0</v>
      </c>
      <c r="H13461" s="12">
        <v>0</v>
      </c>
      <c r="I13461" s="12">
        <v>0</v>
      </c>
      <c r="J13461" s="11"/>
      <c r="K13461" s="12">
        <v>0</v>
      </c>
      <c r="L13461" s="10" t="str">
        <f>HYPERLINK("https://otsuka-europe-crm.veevavault.com/ui/#object/approved_document__v/V5O00000001R001", "INA - VAE Cierre ""Nos quedamos en Casa""")</f>
        <v>INA - VAE Cierre "Nos quedamos en Casa"</v>
      </c>
      <c r="M13461" s="10" t="str">
        <f>HYPERLINK("mailto:ccoll@crm.otsuka-europe.com", "ccoll@crm.otsuka-europe.com")</f>
        <v>ccoll@crm.otsuka-europe.com</v>
      </c>
      <c r="N13461" s="13">
        <v>46203.414363425924</v>
      </c>
      <c r="O13461" s="14" t="str">
        <f>HYPERLINK("https://otsuka-europe-crm.veevavault.com/ui/#object/email_activity__v/V8C000000041583", "EN-002100803")</f>
        <v>EN-002100803</v>
      </c>
    </row>
    <row r="13462" spans="1:15" ht="16" x14ac:dyDescent="0.2">
      <c r="A13462" s="17" t="str">
        <f>HYPERLINK("https://otsuka-europe-crm.veevavault.com/ui/#object/account__v/V4TZ025E83OWVZD", "ANTONIO GARCIA GUIÑON")</f>
        <v>ANTONIO GARCIA GUIÑON</v>
      </c>
      <c r="B13462" s="17" t="str">
        <f>HYPERLINK("https://otsuka-europe-crm.veevavault.com/ui/#object/vcountry__v/VENZ000004SONF5", "ES")</f>
        <v>ES</v>
      </c>
      <c r="C13462" s="20" t="s">
        <v>41</v>
      </c>
      <c r="D13462" s="21" t="str">
        <f>HYPERLINK("https://otsuka-europe-crm.veevavault.com/ui/#object/approved_document__v/V5O00000001R001", "INA - VAE Cierre ""Nos quedamos en Casa""")</f>
        <v>INA - VAE Cierre "Nos quedamos en Casa"</v>
      </c>
      <c r="E13462" s="22" t="str">
        <f>HYPERLINK("https://otsuka-europe-crm.veevavault.com/ui/#object/sent_email__v/VBL00000002Y199", "SE-001438875")</f>
        <v>SE-001438875</v>
      </c>
      <c r="F13462" s="23">
        <v>46203.446099537039</v>
      </c>
      <c r="G13462" s="24">
        <v>1</v>
      </c>
      <c r="H13462" s="24">
        <v>1</v>
      </c>
      <c r="I13462" s="24">
        <v>0</v>
      </c>
      <c r="J13462" s="25"/>
      <c r="K13462" s="24">
        <v>0</v>
      </c>
      <c r="L13462" s="22" t="str">
        <f>HYPERLINK("https://otsuka-europe-crm.veevavault.com/ui/#object/approved_document__v/V5O00000001R001", "INA - VAE Cierre ""Nos quedamos en Casa""")</f>
        <v>INA - VAE Cierre "Nos quedamos en Casa"</v>
      </c>
      <c r="M13462" s="22" t="str">
        <f>HYPERLINK("mailto:ccoll@crm.otsuka-europe.com", "ccoll@crm.otsuka-europe.com")</f>
        <v>ccoll@crm.otsuka-europe.com</v>
      </c>
      <c r="N13462" s="23">
        <v>46203.414363425924</v>
      </c>
      <c r="O13462" s="14" t="str">
        <f>HYPERLINK("https://otsuka-europe-crm.veevavault.com/ui/#object/email_activity__v/V8C000000042523", "EN-002100786")</f>
        <v>EN-002100786</v>
      </c>
    </row>
    <row r="13463" spans="1:15" ht="16" x14ac:dyDescent="0.2">
      <c r="A13463" s="19"/>
      <c r="B13463" s="19"/>
      <c r="C13463" s="19"/>
      <c r="D13463" s="19"/>
      <c r="E13463" s="19"/>
      <c r="F13463" s="19"/>
      <c r="G13463" s="19"/>
      <c r="H13463" s="19"/>
      <c r="I13463" s="19"/>
      <c r="J13463" s="19"/>
      <c r="K13463" s="19"/>
      <c r="L13463" s="19"/>
      <c r="M13463" s="19"/>
      <c r="N13463" s="19"/>
      <c r="O13463" s="14" t="str">
        <f>HYPERLINK("https://otsuka-europe-crm.veevavault.com/ui/#object/email_activity__v/V8C000000042547", "EN-002100820")</f>
        <v>EN-002100820</v>
      </c>
    </row>
    <row r="13464" spans="1:15" ht="32" x14ac:dyDescent="0.2">
      <c r="A13464" s="7" t="str">
        <f>HYPERLINK("https://otsuka-europe-crm.veevavault.com/ui/#object/account__v/V4TZ025E83BM3Y7", "DAVID GALLARDO GIRALT")</f>
        <v>DAVID GALLARDO GIRALT</v>
      </c>
      <c r="B13464" s="7" t="str">
        <f t="shared" ref="B13464:B13469" si="971">HYPERLINK("https://otsuka-europe-crm.veevavault.com/ui/#object/vcountry__v/VENZ000004SONF5", "ES")</f>
        <v>ES</v>
      </c>
      <c r="C13464" s="8" t="s">
        <v>41</v>
      </c>
      <c r="D13464" s="9" t="str">
        <f t="shared" ref="D13464:D13469" si="972">HYPERLINK("https://otsuka-europe-crm.veevavault.com/ui/#object/approved_document__v/V5O00000001R001", "INA - VAE Cierre ""Nos quedamos en Casa""")</f>
        <v>INA - VAE Cierre "Nos quedamos en Casa"</v>
      </c>
      <c r="E13464" s="10" t="str">
        <f>HYPERLINK("https://otsuka-europe-crm.veevavault.com/ui/#object/sent_email__v/VBL00000002Y200", "SE-001438876")</f>
        <v>SE-001438876</v>
      </c>
      <c r="F13464" s="11"/>
      <c r="G13464" s="12">
        <v>0</v>
      </c>
      <c r="H13464" s="12">
        <v>0</v>
      </c>
      <c r="I13464" s="12">
        <v>0</v>
      </c>
      <c r="J13464" s="11"/>
      <c r="K13464" s="12">
        <v>0</v>
      </c>
      <c r="L13464" s="10" t="str">
        <f t="shared" ref="L13464:L13469" si="973">HYPERLINK("https://otsuka-europe-crm.veevavault.com/ui/#object/approved_document__v/V5O00000001R001", "INA - VAE Cierre ""Nos quedamos en Casa""")</f>
        <v>INA - VAE Cierre "Nos quedamos en Casa"</v>
      </c>
      <c r="M13464" s="10" t="str">
        <f t="shared" ref="M13464:M13469" si="974">HYPERLINK("mailto:ccoll@crm.otsuka-europe.com", "ccoll@crm.otsuka-europe.com")</f>
        <v>ccoll@crm.otsuka-europe.com</v>
      </c>
      <c r="N13464" s="13">
        <v>46203.414351851854</v>
      </c>
      <c r="O13464" s="14" t="str">
        <f>HYPERLINK("https://otsuka-europe-crm.veevavault.com/ui/#object/email_activity__v/V8C000000041568", "EN-002100776")</f>
        <v>EN-002100776</v>
      </c>
    </row>
    <row r="13465" spans="1:15" ht="32" x14ac:dyDescent="0.2">
      <c r="A13465" s="7" t="str">
        <f>HYPERLINK("https://otsuka-europe-crm.veevavault.com/ui/#object/account__v/V4TZ025E830AE3D", "RAIMUNDO GARCIA BOYERO")</f>
        <v>RAIMUNDO GARCIA BOYERO</v>
      </c>
      <c r="B13465" s="7" t="str">
        <f t="shared" si="971"/>
        <v>ES</v>
      </c>
      <c r="C13465" s="8" t="s">
        <v>41</v>
      </c>
      <c r="D13465" s="9" t="str">
        <f t="shared" si="972"/>
        <v>INA - VAE Cierre "Nos quedamos en Casa"</v>
      </c>
      <c r="E13465" s="10" t="str">
        <f>HYPERLINK("https://otsuka-europe-crm.veevavault.com/ui/#object/sent_email__v/VBL00000002Y201", "SE-001438877")</f>
        <v>SE-001438877</v>
      </c>
      <c r="F13465" s="11"/>
      <c r="G13465" s="12">
        <v>0</v>
      </c>
      <c r="H13465" s="12">
        <v>0</v>
      </c>
      <c r="I13465" s="12">
        <v>0</v>
      </c>
      <c r="J13465" s="11"/>
      <c r="K13465" s="12">
        <v>0</v>
      </c>
      <c r="L13465" s="10" t="str">
        <f t="shared" si="973"/>
        <v>INA - VAE Cierre "Nos quedamos en Casa"</v>
      </c>
      <c r="M13465" s="10" t="str">
        <f t="shared" si="974"/>
        <v>ccoll@crm.otsuka-europe.com</v>
      </c>
      <c r="N13465" s="13">
        <v>46203.414363425924</v>
      </c>
      <c r="O13465" s="14" t="str">
        <f>HYPERLINK("https://otsuka-europe-crm.veevavault.com/ui/#object/email_activity__v/V8C000000041581", "EN-002100794")</f>
        <v>EN-002100794</v>
      </c>
    </row>
    <row r="13466" spans="1:15" ht="32" x14ac:dyDescent="0.2">
      <c r="A13466" s="7" t="str">
        <f>HYPERLINK("https://otsuka-europe-crm.veevavault.com/ui/#object/account__v/V4TZ025E834H7KJ", "GUADALUPE OÑATE HOSPITAL")</f>
        <v>GUADALUPE OÑATE HOSPITAL</v>
      </c>
      <c r="B13466" s="7" t="str">
        <f t="shared" si="971"/>
        <v>ES</v>
      </c>
      <c r="C13466" s="8" t="s">
        <v>41</v>
      </c>
      <c r="D13466" s="9" t="str">
        <f t="shared" si="972"/>
        <v>INA - VAE Cierre "Nos quedamos en Casa"</v>
      </c>
      <c r="E13466" s="10" t="str">
        <f>HYPERLINK("https://otsuka-europe-crm.veevavault.com/ui/#object/sent_email__v/VBL00000002Y202", "SE-001438878")</f>
        <v>SE-001438878</v>
      </c>
      <c r="F13466" s="11"/>
      <c r="G13466" s="12">
        <v>0</v>
      </c>
      <c r="H13466" s="12">
        <v>0</v>
      </c>
      <c r="I13466" s="12">
        <v>0</v>
      </c>
      <c r="J13466" s="11"/>
      <c r="K13466" s="12">
        <v>0</v>
      </c>
      <c r="L13466" s="10" t="str">
        <f t="shared" si="973"/>
        <v>INA - VAE Cierre "Nos quedamos en Casa"</v>
      </c>
      <c r="M13466" s="10" t="str">
        <f t="shared" si="974"/>
        <v>ccoll@crm.otsuka-europe.com</v>
      </c>
      <c r="N13466" s="13">
        <v>46203.414363425924</v>
      </c>
      <c r="O13466" s="14" t="str">
        <f>HYPERLINK("https://otsuka-europe-crm.veevavault.com/ui/#object/email_activity__v/V8C000000041574", "EN-002100782")</f>
        <v>EN-002100782</v>
      </c>
    </row>
    <row r="13467" spans="1:15" ht="32" x14ac:dyDescent="0.2">
      <c r="A13467" s="7" t="str">
        <f>HYPERLINK("https://otsuka-europe-crm.veevavault.com/ui/#object/account__v/V4TZ025E85WU2ZU", "ANTONIA CLADERA SERRA")</f>
        <v>ANTONIA CLADERA SERRA</v>
      </c>
      <c r="B13467" s="7" t="str">
        <f t="shared" si="971"/>
        <v>ES</v>
      </c>
      <c r="C13467" s="8" t="s">
        <v>41</v>
      </c>
      <c r="D13467" s="9" t="str">
        <f t="shared" si="972"/>
        <v>INA - VAE Cierre "Nos quedamos en Casa"</v>
      </c>
      <c r="E13467" s="10" t="str">
        <f>HYPERLINK("https://otsuka-europe-crm.veevavault.com/ui/#object/sent_email__v/VBL00000002Y203", "SE-001438879")</f>
        <v>SE-001438879</v>
      </c>
      <c r="F13467" s="11"/>
      <c r="G13467" s="12">
        <v>0</v>
      </c>
      <c r="H13467" s="12">
        <v>0</v>
      </c>
      <c r="I13467" s="12">
        <v>0</v>
      </c>
      <c r="J13467" s="11"/>
      <c r="K13467" s="12">
        <v>0</v>
      </c>
      <c r="L13467" s="10" t="str">
        <f t="shared" si="973"/>
        <v>INA - VAE Cierre "Nos quedamos en Casa"</v>
      </c>
      <c r="M13467" s="10" t="str">
        <f t="shared" si="974"/>
        <v>ccoll@crm.otsuka-europe.com</v>
      </c>
      <c r="N13467" s="13">
        <v>46203.414363425924</v>
      </c>
      <c r="O13467" s="14" t="str">
        <f>HYPERLINK("https://otsuka-europe-crm.veevavault.com/ui/#object/email_activity__v/V8C000000041569", "EN-002100777")</f>
        <v>EN-002100777</v>
      </c>
    </row>
    <row r="13468" spans="1:15" ht="32" x14ac:dyDescent="0.2">
      <c r="A13468" s="7" t="str">
        <f>HYPERLINK("https://otsuka-europe-crm.veevavault.com/ui/#object/account__v/V4TZ025E881UBZY", "SARA MONTOLIO CHIVA")</f>
        <v>SARA MONTOLIO CHIVA</v>
      </c>
      <c r="B13468" s="7" t="str">
        <f t="shared" si="971"/>
        <v>ES</v>
      </c>
      <c r="C13468" s="8" t="s">
        <v>41</v>
      </c>
      <c r="D13468" s="9" t="str">
        <f t="shared" si="972"/>
        <v>INA - VAE Cierre "Nos quedamos en Casa"</v>
      </c>
      <c r="E13468" s="10" t="str">
        <f>HYPERLINK("https://otsuka-europe-crm.veevavault.com/ui/#object/sent_email__v/VBL00000002Y204", "SE-001438880")</f>
        <v>SE-001438880</v>
      </c>
      <c r="F13468" s="11"/>
      <c r="G13468" s="12">
        <v>0</v>
      </c>
      <c r="H13468" s="12">
        <v>0</v>
      </c>
      <c r="I13468" s="12">
        <v>0</v>
      </c>
      <c r="J13468" s="11"/>
      <c r="K13468" s="12">
        <v>0</v>
      </c>
      <c r="L13468" s="10" t="str">
        <f t="shared" si="973"/>
        <v>INA - VAE Cierre "Nos quedamos en Casa"</v>
      </c>
      <c r="M13468" s="10" t="str">
        <f t="shared" si="974"/>
        <v>ccoll@crm.otsuka-europe.com</v>
      </c>
      <c r="N13468" s="13">
        <v>46203.414363425924</v>
      </c>
      <c r="O13468" s="14" t="str">
        <f>HYPERLINK("https://otsuka-europe-crm.veevavault.com/ui/#object/email_activity__v/V8C000000041584", "EN-002100804")</f>
        <v>EN-002100804</v>
      </c>
    </row>
    <row r="13469" spans="1:15" ht="16" x14ac:dyDescent="0.2">
      <c r="A13469" s="17" t="str">
        <f>HYPERLINK("https://otsuka-europe-crm.veevavault.com/ui/#object/account__v/V4TZ025E83OXP5G", "JESUS FELIU SANCHEZ")</f>
        <v>JESUS FELIU SANCHEZ</v>
      </c>
      <c r="B13469" s="17" t="str">
        <f t="shared" si="971"/>
        <v>ES</v>
      </c>
      <c r="C13469" s="20" t="s">
        <v>41</v>
      </c>
      <c r="D13469" s="21" t="str">
        <f t="shared" si="972"/>
        <v>INA - VAE Cierre "Nos quedamos en Casa"</v>
      </c>
      <c r="E13469" s="22" t="str">
        <f>HYPERLINK("https://otsuka-europe-crm.veevavault.com/ui/#object/sent_email__v/VBL00000002Y205", "SE-001438881")</f>
        <v>SE-001438881</v>
      </c>
      <c r="F13469" s="25"/>
      <c r="G13469" s="24">
        <v>0</v>
      </c>
      <c r="H13469" s="24">
        <v>0</v>
      </c>
      <c r="I13469" s="24">
        <v>0</v>
      </c>
      <c r="J13469" s="25"/>
      <c r="K13469" s="24">
        <v>0</v>
      </c>
      <c r="L13469" s="22" t="str">
        <f t="shared" si="973"/>
        <v>INA - VAE Cierre "Nos quedamos en Casa"</v>
      </c>
      <c r="M13469" s="22" t="str">
        <f t="shared" si="974"/>
        <v>ccoll@crm.otsuka-europe.com</v>
      </c>
      <c r="N13469" s="23">
        <v>46203.414363425924</v>
      </c>
      <c r="O13469" s="14" t="str">
        <f>HYPERLINK("https://otsuka-europe-crm.veevavault.com/ui/#object/email_activity__v/V8C000000042533", "EN-002100800")</f>
        <v>EN-002100800</v>
      </c>
    </row>
    <row r="13470" spans="1:15" ht="16" x14ac:dyDescent="0.2">
      <c r="A13470" s="19"/>
      <c r="B13470" s="19"/>
      <c r="C13470" s="19"/>
      <c r="D13470" s="19"/>
      <c r="E13470" s="19"/>
      <c r="F13470" s="19"/>
      <c r="G13470" s="19"/>
      <c r="H13470" s="19"/>
      <c r="I13470" s="19"/>
      <c r="J13470" s="19"/>
      <c r="K13470" s="19"/>
      <c r="L13470" s="19"/>
      <c r="M13470" s="19"/>
      <c r="N13470" s="19"/>
      <c r="O13470" s="14" t="str">
        <f>HYPERLINK("https://otsuka-europe-crm.veevavault.com/ui/#object/email_activity__v/V8C000000042546", "EN-002100819")</f>
        <v>EN-002100819</v>
      </c>
    </row>
    <row r="13471" spans="1:15" ht="32" x14ac:dyDescent="0.2">
      <c r="A13471" s="7" t="str">
        <f>HYPERLINK("https://otsuka-europe-crm.veevavault.com/ui/#object/account__v/V4TZ025E85BKBK9", "INES ZUGASTI ASIN")</f>
        <v>INES ZUGASTI ASIN</v>
      </c>
      <c r="B13471" s="7" t="str">
        <f t="shared" ref="B13471:B13477" si="975">HYPERLINK("https://otsuka-europe-crm.veevavault.com/ui/#object/vcountry__v/VENZ000004SONF5", "ES")</f>
        <v>ES</v>
      </c>
      <c r="C13471" s="8" t="s">
        <v>41</v>
      </c>
      <c r="D13471" s="9" t="str">
        <f t="shared" ref="D13471:D13477" si="976">HYPERLINK("https://otsuka-europe-crm.veevavault.com/ui/#object/approved_document__v/V5O00000001R001", "INA - VAE Cierre ""Nos quedamos en Casa""")</f>
        <v>INA - VAE Cierre "Nos quedamos en Casa"</v>
      </c>
      <c r="E13471" s="10" t="str">
        <f>HYPERLINK("https://otsuka-europe-crm.veevavault.com/ui/#object/sent_email__v/VBL00000002Y206", "SE-001438882")</f>
        <v>SE-001438882</v>
      </c>
      <c r="F13471" s="11"/>
      <c r="G13471" s="12">
        <v>0</v>
      </c>
      <c r="H13471" s="12">
        <v>0</v>
      </c>
      <c r="I13471" s="12">
        <v>0</v>
      </c>
      <c r="J13471" s="11"/>
      <c r="K13471" s="12">
        <v>0</v>
      </c>
      <c r="L13471" s="10" t="str">
        <f t="shared" ref="L13471:L13477" si="977">HYPERLINK("https://otsuka-europe-crm.veevavault.com/ui/#object/approved_document__v/V5O00000001R001", "INA - VAE Cierre ""Nos quedamos en Casa""")</f>
        <v>INA - VAE Cierre "Nos quedamos en Casa"</v>
      </c>
      <c r="M13471" s="10" t="str">
        <f t="shared" ref="M13471:M13477" si="978">HYPERLINK("mailto:ccoll@crm.otsuka-europe.com", "ccoll@crm.otsuka-europe.com")</f>
        <v>ccoll@crm.otsuka-europe.com</v>
      </c>
      <c r="N13471" s="13">
        <v>46203.414363425924</v>
      </c>
      <c r="O13471" s="14" t="str">
        <f>HYPERLINK("https://otsuka-europe-crm.veevavault.com/ui/#object/email_activity__v/V8C000000042526", "EN-002100789")</f>
        <v>EN-002100789</v>
      </c>
    </row>
    <row r="13472" spans="1:15" ht="32" x14ac:dyDescent="0.2">
      <c r="A13472" s="7" t="str">
        <f>HYPERLINK("https://otsuka-europe-crm.veevavault.com/ui/#object/account__v/V4TZ025E83OXU0F", "MARIA PILAR HERRERA PEREZ")</f>
        <v>MARIA PILAR HERRERA PEREZ</v>
      </c>
      <c r="B13472" s="7" t="str">
        <f t="shared" si="975"/>
        <v>ES</v>
      </c>
      <c r="C13472" s="8" t="s">
        <v>41</v>
      </c>
      <c r="D13472" s="9" t="str">
        <f t="shared" si="976"/>
        <v>INA - VAE Cierre "Nos quedamos en Casa"</v>
      </c>
      <c r="E13472" s="10" t="str">
        <f>HYPERLINK("https://otsuka-europe-crm.veevavault.com/ui/#object/sent_email__v/VBL00000002Y207", "SE-001438883")</f>
        <v>SE-001438883</v>
      </c>
      <c r="F13472" s="11"/>
      <c r="G13472" s="12">
        <v>0</v>
      </c>
      <c r="H13472" s="12">
        <v>0</v>
      </c>
      <c r="I13472" s="12">
        <v>0</v>
      </c>
      <c r="J13472" s="11"/>
      <c r="K13472" s="12">
        <v>0</v>
      </c>
      <c r="L13472" s="10" t="str">
        <f t="shared" si="977"/>
        <v>INA - VAE Cierre "Nos quedamos en Casa"</v>
      </c>
      <c r="M13472" s="10" t="str">
        <f t="shared" si="978"/>
        <v>ccoll@crm.otsuka-europe.com</v>
      </c>
      <c r="N13472" s="13">
        <v>46203.414363425924</v>
      </c>
      <c r="O13472" s="14" t="str">
        <f>HYPERLINK("https://otsuka-europe-crm.veevavault.com/ui/#object/email_activity__v/V8C000000042532", "EN-002100799")</f>
        <v>EN-002100799</v>
      </c>
    </row>
    <row r="13473" spans="1:15" ht="32" x14ac:dyDescent="0.2">
      <c r="A13473" s="7" t="str">
        <f>HYPERLINK("https://otsuka-europe-crm.veevavault.com/ui/#object/account__v/V4TZ025E83OY8QY", "MARIA JOSEFA NAJERA IRAZU")</f>
        <v>MARIA JOSEFA NAJERA IRAZU</v>
      </c>
      <c r="B13473" s="7" t="str">
        <f t="shared" si="975"/>
        <v>ES</v>
      </c>
      <c r="C13473" s="8" t="s">
        <v>41</v>
      </c>
      <c r="D13473" s="9" t="str">
        <f t="shared" si="976"/>
        <v>INA - VAE Cierre "Nos quedamos en Casa"</v>
      </c>
      <c r="E13473" s="10" t="str">
        <f>HYPERLINK("https://otsuka-europe-crm.veevavault.com/ui/#object/sent_email__v/VBL00000002Y208", "SE-001438884")</f>
        <v>SE-001438884</v>
      </c>
      <c r="F13473" s="11"/>
      <c r="G13473" s="12">
        <v>0</v>
      </c>
      <c r="H13473" s="12">
        <v>0</v>
      </c>
      <c r="I13473" s="12">
        <v>0</v>
      </c>
      <c r="J13473" s="11"/>
      <c r="K13473" s="12">
        <v>0</v>
      </c>
      <c r="L13473" s="10" t="str">
        <f t="shared" si="977"/>
        <v>INA - VAE Cierre "Nos quedamos en Casa"</v>
      </c>
      <c r="M13473" s="10" t="str">
        <f t="shared" si="978"/>
        <v>ccoll@crm.otsuka-europe.com</v>
      </c>
      <c r="N13473" s="13">
        <v>46203.414363425924</v>
      </c>
      <c r="O13473" s="14" t="str">
        <f>HYPERLINK("https://otsuka-europe-crm.veevavault.com/ui/#object/email_activity__v/V8C000000041580", "EN-002100793")</f>
        <v>EN-002100793</v>
      </c>
    </row>
    <row r="13474" spans="1:15" ht="32" x14ac:dyDescent="0.2">
      <c r="A13474" s="7" t="str">
        <f>HYPERLINK("https://otsuka-europe-crm.veevavault.com/ui/#object/account__v/V4TZ025E83OY19I", "MARIA MAR HERMOSILLA FERNANDEZ")</f>
        <v>MARIA MAR HERMOSILLA FERNANDEZ</v>
      </c>
      <c r="B13474" s="7" t="str">
        <f t="shared" si="975"/>
        <v>ES</v>
      </c>
      <c r="C13474" s="8" t="s">
        <v>41</v>
      </c>
      <c r="D13474" s="9" t="str">
        <f t="shared" si="976"/>
        <v>INA - VAE Cierre "Nos quedamos en Casa"</v>
      </c>
      <c r="E13474" s="10" t="str">
        <f>HYPERLINK("https://otsuka-europe-crm.veevavault.com/ui/#object/sent_email__v/VBL00000002Y209", "SE-001438885")</f>
        <v>SE-001438885</v>
      </c>
      <c r="F13474" s="11"/>
      <c r="G13474" s="12">
        <v>0</v>
      </c>
      <c r="H13474" s="12">
        <v>0</v>
      </c>
      <c r="I13474" s="12">
        <v>0</v>
      </c>
      <c r="J13474" s="11"/>
      <c r="K13474" s="12">
        <v>0</v>
      </c>
      <c r="L13474" s="10" t="str">
        <f t="shared" si="977"/>
        <v>INA - VAE Cierre "Nos quedamos en Casa"</v>
      </c>
      <c r="M13474" s="10" t="str">
        <f t="shared" si="978"/>
        <v>ccoll@crm.otsuka-europe.com</v>
      </c>
      <c r="N13474" s="13">
        <v>46203.414363425924</v>
      </c>
      <c r="O13474" s="14" t="str">
        <f>HYPERLINK("https://otsuka-europe-crm.veevavault.com/ui/#object/email_activity__v/V8C000000041578", "EN-002100791")</f>
        <v>EN-002100791</v>
      </c>
    </row>
    <row r="13475" spans="1:15" ht="32" x14ac:dyDescent="0.2">
      <c r="A13475" s="7" t="str">
        <f>HYPERLINK("https://otsuka-europe-crm.veevavault.com/ui/#object/account__v/V4TZ06G6O71TCMK", "SUSANA VIVES POLO")</f>
        <v>SUSANA VIVES POLO</v>
      </c>
      <c r="B13475" s="7" t="str">
        <f t="shared" si="975"/>
        <v>ES</v>
      </c>
      <c r="C13475" s="8" t="s">
        <v>41</v>
      </c>
      <c r="D13475" s="9" t="str">
        <f t="shared" si="976"/>
        <v>INA - VAE Cierre "Nos quedamos en Casa"</v>
      </c>
      <c r="E13475" s="10" t="str">
        <f>HYPERLINK("https://otsuka-europe-crm.veevavault.com/ui/#object/sent_email__v/VBL00000002Y210", "SE-001438886")</f>
        <v>SE-001438886</v>
      </c>
      <c r="F13475" s="11"/>
      <c r="G13475" s="12">
        <v>0</v>
      </c>
      <c r="H13475" s="12">
        <v>0</v>
      </c>
      <c r="I13475" s="12">
        <v>0</v>
      </c>
      <c r="J13475" s="11"/>
      <c r="K13475" s="12">
        <v>0</v>
      </c>
      <c r="L13475" s="10" t="str">
        <f t="shared" si="977"/>
        <v>INA - VAE Cierre "Nos quedamos en Casa"</v>
      </c>
      <c r="M13475" s="10" t="str">
        <f t="shared" si="978"/>
        <v>ccoll@crm.otsuka-europe.com</v>
      </c>
      <c r="N13475" s="13">
        <v>46203.414363425924</v>
      </c>
      <c r="O13475" s="14" t="str">
        <f>HYPERLINK("https://otsuka-europe-crm.veevavault.com/ui/#object/email_activity__v/V8C000000042525", "EN-002100788")</f>
        <v>EN-002100788</v>
      </c>
    </row>
    <row r="13476" spans="1:15" ht="32" x14ac:dyDescent="0.2">
      <c r="A13476" s="7" t="str">
        <f>HYPERLINK("https://otsuka-europe-crm.veevavault.com/ui/#object/account__v/V4TZ06G6O71T9CT", "MARIA TERESA BERNAL DEL CASTILLO")</f>
        <v>MARIA TERESA BERNAL DEL CASTILLO</v>
      </c>
      <c r="B13476" s="7" t="str">
        <f t="shared" si="975"/>
        <v>ES</v>
      </c>
      <c r="C13476" s="8" t="s">
        <v>41</v>
      </c>
      <c r="D13476" s="9" t="str">
        <f t="shared" si="976"/>
        <v>INA - VAE Cierre "Nos quedamos en Casa"</v>
      </c>
      <c r="E13476" s="10" t="str">
        <f>HYPERLINK("https://otsuka-europe-crm.veevavault.com/ui/#object/sent_email__v/VBL00000002Y211", "SE-001438887")</f>
        <v>SE-001438887</v>
      </c>
      <c r="F13476" s="11"/>
      <c r="G13476" s="12">
        <v>0</v>
      </c>
      <c r="H13476" s="12">
        <v>0</v>
      </c>
      <c r="I13476" s="12">
        <v>0</v>
      </c>
      <c r="J13476" s="11"/>
      <c r="K13476" s="12">
        <v>0</v>
      </c>
      <c r="L13476" s="10" t="str">
        <f t="shared" si="977"/>
        <v>INA - VAE Cierre "Nos quedamos en Casa"</v>
      </c>
      <c r="M13476" s="10" t="str">
        <f t="shared" si="978"/>
        <v>ccoll@crm.otsuka-europe.com</v>
      </c>
      <c r="N13476" s="13">
        <v>46203.414363425924</v>
      </c>
      <c r="O13476" s="14" t="str">
        <f>HYPERLINK("https://otsuka-europe-crm.veevavault.com/ui/#object/email_activity__v/V8C000000041582", "EN-002100802")</f>
        <v>EN-002100802</v>
      </c>
    </row>
    <row r="13477" spans="1:15" ht="32" x14ac:dyDescent="0.2">
      <c r="A13477" s="7" t="str">
        <f>HYPERLINK("https://otsuka-europe-crm.veevavault.com/ui/#object/account__v/V4TZ025E878U8QD", "FERRAN VALL-LLOVERA CALMET")</f>
        <v>FERRAN VALL-LLOVERA CALMET</v>
      </c>
      <c r="B13477" s="7" t="str">
        <f t="shared" si="975"/>
        <v>ES</v>
      </c>
      <c r="C13477" s="8" t="s">
        <v>41</v>
      </c>
      <c r="D13477" s="9" t="str">
        <f t="shared" si="976"/>
        <v>INA - VAE Cierre "Nos quedamos en Casa"</v>
      </c>
      <c r="E13477" s="10" t="str">
        <f>HYPERLINK("https://otsuka-europe-crm.veevavault.com/ui/#object/sent_email__v/VBL00000002Y212", "SE-001438888")</f>
        <v>SE-001438888</v>
      </c>
      <c r="F13477" s="11"/>
      <c r="G13477" s="12">
        <v>0</v>
      </c>
      <c r="H13477" s="12">
        <v>0</v>
      </c>
      <c r="I13477" s="12">
        <v>0</v>
      </c>
      <c r="J13477" s="11"/>
      <c r="K13477" s="12">
        <v>0</v>
      </c>
      <c r="L13477" s="10" t="str">
        <f t="shared" si="977"/>
        <v>INA - VAE Cierre "Nos quedamos en Casa"</v>
      </c>
      <c r="M13477" s="10" t="str">
        <f t="shared" si="978"/>
        <v>ccoll@crm.otsuka-europe.com</v>
      </c>
      <c r="N13477" s="13">
        <v>46203.414363425924</v>
      </c>
      <c r="O13477" s="14" t="str">
        <f>HYPERLINK("https://otsuka-europe-crm.veevavault.com/ui/#object/email_activity__v/V8C000000041573", "EN-002100781")</f>
        <v>EN-002100781</v>
      </c>
    </row>
    <row r="13478" spans="1:15" ht="32" x14ac:dyDescent="0.2">
      <c r="A13478" s="7" t="str">
        <f>HYPERLINK("https://otsuka-europe-crm.veevavault.com/ui/#object/account__v/V4T000000017506", "CLIZIA ANGELICA LONATI")</f>
        <v>CLIZIA ANGELICA LONATI</v>
      </c>
      <c r="B13478" s="7" t="str">
        <f>HYPERLINK("https://otsuka-europe-crm.veevavault.com/ui/#object/vcountry__v/VENZ000004SONFQ", "IT")</f>
        <v>IT</v>
      </c>
      <c r="C13478" s="8" t="s">
        <v>44</v>
      </c>
      <c r="D13478" s="9" t="str">
        <f>HYPERLINK("https://otsuka-europe-crm.veevavault.com/ui/#object/approved_document__v/V5O000000018003", "AE dialoghi di tempo fiducia e cura episodi 2-3-4")</f>
        <v>AE dialoghi di tempo fiducia e cura episodi 2-3-4</v>
      </c>
      <c r="E13478" s="10" t="str">
        <f>HYPERLINK("https://otsuka-europe-crm.veevavault.com/ui/#object/sent_email__v/VBL00000002Y213", "SE-001438889")</f>
        <v>SE-001438889</v>
      </c>
      <c r="F13478" s="11"/>
      <c r="G13478" s="12">
        <v>0</v>
      </c>
      <c r="H13478" s="12">
        <v>0</v>
      </c>
      <c r="I13478" s="12">
        <v>0</v>
      </c>
      <c r="J13478" s="11"/>
      <c r="K13478" s="12">
        <v>0</v>
      </c>
      <c r="L13478" s="10" t="str">
        <f>HYPERLINK("https://otsuka-europe-crm.veevavault.com/ui/#object/approved_document__v/V5O000000018003", "AE dialoghi di tempo fiducia e cura episodi 2-3-4")</f>
        <v>AE dialoghi di tempo fiducia e cura episodi 2-3-4</v>
      </c>
      <c r="M13478" s="10" t="str">
        <f>HYPERLINK("mailto:laura.mallia@crm.otsuka-europe.com", "laura.mallia@crm.otsuka-europe.com")</f>
        <v>laura.mallia@crm.otsuka-europe.com</v>
      </c>
      <c r="N13478" s="13">
        <v>46203.442002314812</v>
      </c>
      <c r="O13478" s="14" t="str">
        <f>HYPERLINK("https://otsuka-europe-crm.veevavault.com/ui/#object/email_activity__v/V8C000000042540", "EN-002100813")</f>
        <v>EN-002100813</v>
      </c>
    </row>
    <row r="13479" spans="1:15" ht="48" x14ac:dyDescent="0.2">
      <c r="A13479" s="7" t="str">
        <f>HYPERLINK("https://otsuka-europe-crm.veevavault.com/ui/#object/account__v/V4T000000017506", "CLIZIA ANGELICA LONATI")</f>
        <v>CLIZIA ANGELICA LONATI</v>
      </c>
      <c r="B13479" s="7" t="str">
        <f>HYPERLINK("https://otsuka-europe-crm.veevavault.com/ui/#object/vcountry__v/VENZ000004SONFQ", "IT")</f>
        <v>IT</v>
      </c>
      <c r="C13479" s="8" t="s">
        <v>44</v>
      </c>
      <c r="D13479" s="9" t="str">
        <f>HYPERLINK("https://otsuka-europe-crm.veevavault.com/ui/#object/approved_document__v/V5OZ025E82T9SYM", "ABILIFY 960/720_Branded_AE Burden_IT-AM2-2500124")</f>
        <v>ABILIFY 960/720_Branded_AE Burden_IT-AM2-2500124</v>
      </c>
      <c r="E13479" s="10" t="str">
        <f>HYPERLINK("https://otsuka-europe-crm.veevavault.com/ui/#object/sent_email__v/VBL00000002Y215", "SE-001438891")</f>
        <v>SE-001438891</v>
      </c>
      <c r="F13479" s="11"/>
      <c r="G13479" s="12">
        <v>0</v>
      </c>
      <c r="H13479" s="12">
        <v>0</v>
      </c>
      <c r="I13479" s="12">
        <v>0</v>
      </c>
      <c r="J13479" s="11"/>
      <c r="K13479" s="12">
        <v>0</v>
      </c>
      <c r="L13479" s="10" t="str">
        <f>HYPERLINK("https://otsuka-europe-crm.veevavault.com/ui/#object/approved_document__v/V5OZ025E82T9SYM", "ABILIFY 960/720_Branded_AE Burden_IT-AM2-2500124")</f>
        <v>ABILIFY 960/720_Branded_AE Burden_IT-AM2-2500124</v>
      </c>
      <c r="M13479" s="10" t="str">
        <f>HYPERLINK("mailto:laura.mallia@crm.otsuka-europe.com", "laura.mallia@crm.otsuka-europe.com")</f>
        <v>laura.mallia@crm.otsuka-europe.com</v>
      </c>
      <c r="N13479" s="13">
        <v>46203.442129629628</v>
      </c>
      <c r="O13479" s="14" t="str">
        <f>HYPERLINK("https://otsuka-europe-crm.veevavault.com/ui/#object/email_activity__v/V8C000000042541", "EN-002100814")</f>
        <v>EN-002100814</v>
      </c>
    </row>
    <row r="13480" spans="1:15" ht="64" x14ac:dyDescent="0.2">
      <c r="A13480" s="7" t="str">
        <f>HYPERLINK("https://otsuka-europe-crm.veevavault.com/ui/#object/account__v/V4T000000017506", "CLIZIA ANGELICA LONATI")</f>
        <v>CLIZIA ANGELICA LONATI</v>
      </c>
      <c r="B13480" s="7" t="str">
        <f>HYPERLINK("https://otsuka-europe-crm.veevavault.com/ui/#object/vcountry__v/VENZ000004SONFQ", "IT")</f>
        <v>IT</v>
      </c>
      <c r="C13480" s="8" t="s">
        <v>44</v>
      </c>
      <c r="D13480" s="9" t="str">
        <f>HYPERLINK("https://otsuka-europe-crm.veevavault.com/ui/#object/approved_document__v/V5OZ025E82T9SYL", "OTSUKA_ABILIFY 960/720_Branded_AE lancio 960/720_IT-AM2-2500122")</f>
        <v>OTSUKA_ABILIFY 960/720_Branded_AE lancio 960/720_IT-AM2-2500122</v>
      </c>
      <c r="E13480" s="10" t="str">
        <f>HYPERLINK("https://otsuka-europe-crm.veevavault.com/ui/#object/sent_email__v/VBL00000002Y216", "SE-001438892")</f>
        <v>SE-001438892</v>
      </c>
      <c r="F13480" s="11"/>
      <c r="G13480" s="12">
        <v>0</v>
      </c>
      <c r="H13480" s="12">
        <v>0</v>
      </c>
      <c r="I13480" s="12">
        <v>0</v>
      </c>
      <c r="J13480" s="11"/>
      <c r="K13480" s="12">
        <v>0</v>
      </c>
      <c r="L13480" s="10" t="str">
        <f>HYPERLINK("https://otsuka-europe-crm.veevavault.com/ui/#object/approved_document__v/V5OZ025E82T9SYL", "OTSUKA_ABILIFY 960/720_Branded_AE lancio 960/720_IT-AM2-2500122")</f>
        <v>OTSUKA_ABILIFY 960/720_Branded_AE lancio 960/720_IT-AM2-2500122</v>
      </c>
      <c r="M13480" s="10" t="str">
        <f>HYPERLINK("mailto:laura.mallia@crm.otsuka-europe.com", "laura.mallia@crm.otsuka-europe.com")</f>
        <v>laura.mallia@crm.otsuka-europe.com</v>
      </c>
      <c r="N13480" s="13">
        <v>46203.442337962966</v>
      </c>
      <c r="O13480" s="14" t="str">
        <f>HYPERLINK("https://otsuka-europe-crm.veevavault.com/ui/#object/email_activity__v/V8C000000041588", "EN-002100815")</f>
        <v>EN-002100815</v>
      </c>
    </row>
    <row r="13481" spans="1:15" ht="16" x14ac:dyDescent="0.2">
      <c r="A13481" s="17" t="str">
        <f>HYPERLINK("https://otsuka-europe-crm.veevavault.com/ui/#object/account__v/V4TZ06G6OA5WQFG", "TEST OPSA HCP TEST OPSA HCP")</f>
        <v>TEST OPSA HCP TEST OPSA HCP</v>
      </c>
      <c r="B13481" s="17" t="str">
        <f>HYPERLINK("https://otsuka-europe-crm.veevavault.com/ui/#object/vcountry__v/VENZ000004SONF5", "ES")</f>
        <v>ES</v>
      </c>
      <c r="C13481" s="20" t="s">
        <v>41</v>
      </c>
      <c r="D13481" s="21" t="str">
        <f>HYPERLINK("https://otsuka-europe-crm.veevavault.com/ui/#object/approved_document__v/V5O00000001R002", "Programa X Jornada UHB")</f>
        <v>Programa X Jornada UHB</v>
      </c>
      <c r="E13481" s="22" t="str">
        <f>HYPERLINK("https://otsuka-europe-crm.veevavault.com/ui/#object/sent_email__v/VBL00000002Y217", "SE-001438893")</f>
        <v>SE-001438893</v>
      </c>
      <c r="F13481" s="23">
        <v>46203.445706018516</v>
      </c>
      <c r="G13481" s="24">
        <v>1</v>
      </c>
      <c r="H13481" s="24">
        <v>1</v>
      </c>
      <c r="I13481" s="24">
        <v>1</v>
      </c>
      <c r="J13481" s="23">
        <v>46203.446493055555</v>
      </c>
      <c r="K13481" s="24">
        <v>3</v>
      </c>
      <c r="L13481" s="22" t="str">
        <f>HYPERLINK("https://otsuka-europe-crm.veevavault.com/ui/#object/approved_document__v/V5O00000001R002", "Programa X Jornada UHB")</f>
        <v>Programa X Jornada UHB</v>
      </c>
      <c r="M13481" s="22" t="str">
        <f>HYPERLINK("mailto:msala@crm.otsuka-europe.com", "msala@crm.otsuka-europe.com")</f>
        <v>msala@crm.otsuka-europe.com</v>
      </c>
      <c r="N13481" s="23">
        <v>46203.445648148147</v>
      </c>
      <c r="O13481" s="14" t="str">
        <f>HYPERLINK("https://otsuka-europe-crm.veevavault.com/ui/#object/email_activity__v/V8C000000041594", "EN-002100835")</f>
        <v>EN-002100835</v>
      </c>
    </row>
    <row r="13482" spans="1:15" ht="16" x14ac:dyDescent="0.2">
      <c r="A13482" s="18"/>
      <c r="B13482" s="18"/>
      <c r="C13482" s="18"/>
      <c r="D13482" s="18"/>
      <c r="E13482" s="18"/>
      <c r="F13482" s="18"/>
      <c r="G13482" s="18"/>
      <c r="H13482" s="18"/>
      <c r="I13482" s="18"/>
      <c r="J13482" s="18"/>
      <c r="K13482" s="18"/>
      <c r="L13482" s="18"/>
      <c r="M13482" s="18"/>
      <c r="N13482" s="18"/>
      <c r="O13482" s="14" t="str">
        <f>HYPERLINK("https://otsuka-europe-crm.veevavault.com/ui/#object/email_activity__v/V8C000000042543", "EN-002100816")</f>
        <v>EN-002100816</v>
      </c>
    </row>
    <row r="13483" spans="1:15" ht="16" x14ac:dyDescent="0.2">
      <c r="A13483" s="18"/>
      <c r="B13483" s="18"/>
      <c r="C13483" s="18"/>
      <c r="D13483" s="18"/>
      <c r="E13483" s="18"/>
      <c r="F13483" s="18"/>
      <c r="G13483" s="18"/>
      <c r="H13483" s="18"/>
      <c r="I13483" s="18"/>
      <c r="J13483" s="18"/>
      <c r="K13483" s="18"/>
      <c r="L13483" s="18"/>
      <c r="M13483" s="18"/>
      <c r="N13483" s="18"/>
      <c r="O13483" s="14" t="str">
        <f>HYPERLINK("https://otsuka-europe-crm.veevavault.com/ui/#object/email_activity__v/V8C000000042544", "EN-002100817")</f>
        <v>EN-002100817</v>
      </c>
    </row>
    <row r="13484" spans="1:15" ht="16" x14ac:dyDescent="0.2">
      <c r="A13484" s="18"/>
      <c r="B13484" s="18"/>
      <c r="C13484" s="18"/>
      <c r="D13484" s="18"/>
      <c r="E13484" s="18"/>
      <c r="F13484" s="18"/>
      <c r="G13484" s="18"/>
      <c r="H13484" s="18"/>
      <c r="I13484" s="18"/>
      <c r="J13484" s="18"/>
      <c r="K13484" s="18"/>
      <c r="L13484" s="18"/>
      <c r="M13484" s="18"/>
      <c r="N13484" s="18"/>
      <c r="O13484" s="14" t="str">
        <f>HYPERLINK("https://otsuka-europe-crm.veevavault.com/ui/#object/email_activity__v/V8C000000042545", "EN-002100818")</f>
        <v>EN-002100818</v>
      </c>
    </row>
    <row r="13485" spans="1:15" ht="16" x14ac:dyDescent="0.2">
      <c r="A13485" s="18"/>
      <c r="B13485" s="18"/>
      <c r="C13485" s="18"/>
      <c r="D13485" s="18"/>
      <c r="E13485" s="18"/>
      <c r="F13485" s="18"/>
      <c r="G13485" s="18"/>
      <c r="H13485" s="18"/>
      <c r="I13485" s="18"/>
      <c r="J13485" s="18"/>
      <c r="K13485" s="18"/>
      <c r="L13485" s="18"/>
      <c r="M13485" s="18"/>
      <c r="N13485" s="18"/>
      <c r="O13485" s="14" t="str">
        <f>HYPERLINK("https://otsuka-europe-crm.veevavault.com/ui/#object/email_activity__v/V8C000000042548", "EN-002100821")</f>
        <v>EN-002100821</v>
      </c>
    </row>
    <row r="13486" spans="1:15" ht="16" x14ac:dyDescent="0.2">
      <c r="A13486" s="19"/>
      <c r="B13486" s="19"/>
      <c r="C13486" s="19"/>
      <c r="D13486" s="19"/>
      <c r="E13486" s="19"/>
      <c r="F13486" s="19"/>
      <c r="G13486" s="19"/>
      <c r="H13486" s="19"/>
      <c r="I13486" s="19"/>
      <c r="J13486" s="19"/>
      <c r="K13486" s="19"/>
      <c r="L13486" s="19"/>
      <c r="M13486" s="19"/>
      <c r="N13486" s="19"/>
      <c r="O13486" s="14" t="str">
        <f>HYPERLINK("https://otsuka-europe-crm.veevavault.com/ui/#object/email_activity__v/V8C000000042549", "EN-002100822")</f>
        <v>EN-002100822</v>
      </c>
    </row>
    <row r="13487" spans="1:15" ht="16" x14ac:dyDescent="0.2">
      <c r="A13487" s="17" t="str">
        <f>HYPERLINK("https://otsuka-europe-crm.veevavault.com/ui/#object/account__v/V4TZ00000633QHU", "KAMAL DJEBBAR")</f>
        <v>KAMAL DJEBBAR</v>
      </c>
      <c r="B13487" s="17" t="str">
        <f>HYPERLINK("https://otsuka-europe-crm.veevavault.com/ui/#object/vcountry__v/VENZ000004SONFA", "FR")</f>
        <v>FR</v>
      </c>
      <c r="C13487" s="20" t="s">
        <v>42</v>
      </c>
      <c r="D13487" s="21" t="str">
        <f>HYPERLINK("https://otsuka-europe-crm.veevavault.com/ui/#object/approved_document__v/V5OZ04ASG4G02Y6", "INVITATION_VAD_2023")</f>
        <v>INVITATION_VAD_2023</v>
      </c>
      <c r="E13487" s="22" t="str">
        <f>HYPERLINK("https://otsuka-europe-crm.veevavault.com/ui/#object/sent_email__v/VBL00000002Y218", "SE-001438894")</f>
        <v>SE-001438894</v>
      </c>
      <c r="F13487" s="23">
        <v>46204.391770833332</v>
      </c>
      <c r="G13487" s="24">
        <v>1</v>
      </c>
      <c r="H13487" s="24">
        <v>1</v>
      </c>
      <c r="I13487" s="24">
        <v>0</v>
      </c>
      <c r="J13487" s="25"/>
      <c r="K13487" s="24">
        <v>0</v>
      </c>
      <c r="L13487" s="22" t="str">
        <f>HYPERLINK("https://otsuka-europe-crm.veevavault.com/ui/#object/approved_document__v/V5OZ04ASG4G02Y6", "INVITATION_VAD_2023")</f>
        <v>INVITATION_VAD_2023</v>
      </c>
      <c r="M13487" s="22" t="str">
        <f>HYPERLINK("mailto:kpoperen@crm.otsuka-europe.com", "kpoperen@crm.otsuka-europe.com")</f>
        <v>kpoperen@crm.otsuka-europe.com</v>
      </c>
      <c r="N13487" s="23">
        <v>46203.499780092592</v>
      </c>
      <c r="O13487" s="14" t="str">
        <f>HYPERLINK("https://otsuka-europe-crm.veevavault.com/ui/#object/email_activity__v/V8C000000041596", "EN-002100837")</f>
        <v>EN-002100837</v>
      </c>
    </row>
    <row r="13488" spans="1:15" ht="16" x14ac:dyDescent="0.2">
      <c r="A13488" s="19"/>
      <c r="B13488" s="19"/>
      <c r="C13488" s="19"/>
      <c r="D13488" s="19"/>
      <c r="E13488" s="19"/>
      <c r="F13488" s="19"/>
      <c r="G13488" s="19"/>
      <c r="H13488" s="19"/>
      <c r="I13488" s="19"/>
      <c r="J13488" s="19"/>
      <c r="K13488" s="19"/>
      <c r="L13488" s="19"/>
      <c r="M13488" s="19"/>
      <c r="N13488" s="19"/>
      <c r="O13488" s="14" t="str">
        <f>HYPERLINK("https://otsuka-europe-crm.veevavault.com/ui/#object/email_activity__v/V8C000000042871", "EN-002101329")</f>
        <v>EN-002101329</v>
      </c>
    </row>
    <row r="13489" spans="1:15" ht="32" x14ac:dyDescent="0.2">
      <c r="A13489" s="7" t="str">
        <f>HYPERLINK("https://otsuka-europe-crm.veevavault.com/ui/#object/account__v/V4T000000023098", "ANTONELA SCIARROTTA")</f>
        <v>ANTONELA SCIARROTTA</v>
      </c>
      <c r="B13489" s="7" t="str">
        <f>HYPERLINK("https://otsuka-europe-crm.veevavault.com/ui/#object/vcountry__v/VENZ000004SONF5", "ES")</f>
        <v>ES</v>
      </c>
      <c r="C13489" s="8" t="s">
        <v>41</v>
      </c>
      <c r="D13489" s="9" t="str">
        <f>HYPERLINK("https://otsuka-europe-crm.veevavault.com/ui/#object/approved_document__v/V5OZ06G6O6RFL1P", "ES Veeva Privacy Notice Email")</f>
        <v>ES Veeva Privacy Notice Email</v>
      </c>
      <c r="E13489" s="10" t="str">
        <f>HYPERLINK("https://otsuka-europe-crm.veevavault.com/ui/#object/sent_email__v/VBL00000002Y219", "SE-001438895")</f>
        <v>SE-001438895</v>
      </c>
      <c r="F13489" s="11"/>
      <c r="G13489" s="12">
        <v>0</v>
      </c>
      <c r="H13489" s="12">
        <v>0</v>
      </c>
      <c r="I13489" s="12">
        <v>0</v>
      </c>
      <c r="J13489" s="11"/>
      <c r="K13489" s="12">
        <v>0</v>
      </c>
      <c r="L13489" s="10" t="str">
        <f>HYPERLINK("https://otsuka-europe-crm.veevavault.com/ui/#object/approved_document__v/V5OZ06G6O6RFL1P", "ES Veeva Privacy Notice Email")</f>
        <v>ES Veeva Privacy Notice Email</v>
      </c>
      <c r="M13489" s="10" t="str">
        <f>HYPERLINK("mailto:jllombart@crm.otsuka-europe.com", "jllombart@crm.otsuka-europe.com")</f>
        <v>jllombart@crm.otsuka-europe.com</v>
      </c>
      <c r="N13489" s="13">
        <v>46203.502534722225</v>
      </c>
      <c r="O13489" s="14" t="str">
        <f>HYPERLINK("https://otsuka-europe-crm.veevavault.com/ui/#object/email_activity__v/V8C000000041598", "EN-002100840")</f>
        <v>EN-002100840</v>
      </c>
    </row>
    <row r="13490" spans="1:15" ht="16" x14ac:dyDescent="0.2">
      <c r="A13490" s="17" t="str">
        <f>HYPERLINK("https://otsuka-europe-crm.veevavault.com/ui/#object/account__v/V4TZ00000633QHU", "KAMAL DJEBBAR")</f>
        <v>KAMAL DJEBBAR</v>
      </c>
      <c r="B13490" s="17" t="str">
        <f>HYPERLINK("https://otsuka-europe-crm.veevavault.com/ui/#object/vcountry__v/VENZ000004SONFA", "FR")</f>
        <v>FR</v>
      </c>
      <c r="C13490" s="20" t="s">
        <v>42</v>
      </c>
      <c r="D13490" s="21" t="str">
        <f>HYPERLINK("https://otsuka-europe-crm.veevavault.com/ui/#object/approved_document__v/V5OZ04ASG4G02Y6", "INVITATION_VAD_2023")</f>
        <v>INVITATION_VAD_2023</v>
      </c>
      <c r="E13490" s="22" t="str">
        <f>HYPERLINK("https://otsuka-europe-crm.veevavault.com/ui/#object/sent_email__v/VBL00000002Y220", "SE-001438896")</f>
        <v>SE-001438896</v>
      </c>
      <c r="F13490" s="23">
        <v>46204.391585648147</v>
      </c>
      <c r="G13490" s="24">
        <v>1</v>
      </c>
      <c r="H13490" s="24">
        <v>1</v>
      </c>
      <c r="I13490" s="24">
        <v>0</v>
      </c>
      <c r="J13490" s="25"/>
      <c r="K13490" s="24">
        <v>0</v>
      </c>
      <c r="L13490" s="22" t="str">
        <f>HYPERLINK("https://otsuka-europe-crm.veevavault.com/ui/#object/approved_document__v/V5OZ04ASG4G02Y6", "INVITATION_VAD_2023")</f>
        <v>INVITATION_VAD_2023</v>
      </c>
      <c r="M13490" s="22" t="str">
        <f>HYPERLINK("mailto:kpoperen@crm.otsuka-europe.com", "kpoperen@crm.otsuka-europe.com")</f>
        <v>kpoperen@crm.otsuka-europe.com</v>
      </c>
      <c r="N13490" s="23">
        <v>46203.502534722225</v>
      </c>
      <c r="O13490" s="14" t="str">
        <f>HYPERLINK("https://otsuka-europe-crm.veevavault.com/ui/#object/email_activity__v/V8C000000041597", "EN-002100839")</f>
        <v>EN-002100839</v>
      </c>
    </row>
    <row r="13491" spans="1:15" ht="16" x14ac:dyDescent="0.2">
      <c r="A13491" s="19"/>
      <c r="B13491" s="19"/>
      <c r="C13491" s="19"/>
      <c r="D13491" s="19"/>
      <c r="E13491" s="19"/>
      <c r="F13491" s="19"/>
      <c r="G13491" s="19"/>
      <c r="H13491" s="19"/>
      <c r="I13491" s="19"/>
      <c r="J13491" s="19"/>
      <c r="K13491" s="19"/>
      <c r="L13491" s="19"/>
      <c r="M13491" s="19"/>
      <c r="N13491" s="19"/>
      <c r="O13491" s="14" t="str">
        <f>HYPERLINK("https://otsuka-europe-crm.veevavault.com/ui/#object/email_activity__v/V8C000000042870", "EN-002101328")</f>
        <v>EN-002101328</v>
      </c>
    </row>
    <row r="13492" spans="1:15" ht="32" x14ac:dyDescent="0.2">
      <c r="A13492" s="7" t="str">
        <f>HYPERLINK("https://otsuka-europe-crm.veevavault.com/ui/#object/account__v/V4TZ00000633QHU", "KAMAL DJEBBAR")</f>
        <v>KAMAL DJEBBAR</v>
      </c>
      <c r="B13492" s="7" t="str">
        <f>HYPERLINK("https://otsuka-europe-crm.veevavault.com/ui/#object/vcountry__v/VENZ000004SONFA", "FR")</f>
        <v>FR</v>
      </c>
      <c r="C13492" s="8" t="s">
        <v>42</v>
      </c>
      <c r="D13492" s="9" t="str">
        <f>HYPERLINK("https://otsuka-europe-crm.veevavault.com/ui/#object/approved_document__v/V5OZ04ASG4G02Y6", "INVITATION_VAD_2023")</f>
        <v>INVITATION_VAD_2023</v>
      </c>
      <c r="E13492" s="10" t="str">
        <f>HYPERLINK("https://otsuka-europe-crm.veevavault.com/ui/#object/sent_email__v/VBL00000002Y221", "SE-001438897")</f>
        <v>SE-001438897</v>
      </c>
      <c r="F13492" s="11"/>
      <c r="G13492" s="12">
        <v>0</v>
      </c>
      <c r="H13492" s="12">
        <v>0</v>
      </c>
      <c r="I13492" s="12">
        <v>0</v>
      </c>
      <c r="J13492" s="11"/>
      <c r="K13492" s="12">
        <v>0</v>
      </c>
      <c r="L13492" s="10" t="str">
        <f>HYPERLINK("https://otsuka-europe-crm.veevavault.com/ui/#object/approved_document__v/V5OZ04ASG4G02Y6", "INVITATION_VAD_2023")</f>
        <v>INVITATION_VAD_2023</v>
      </c>
      <c r="M13492" s="10" t="str">
        <f>HYPERLINK("mailto:kpoperen@crm.otsuka-europe.com", "kpoperen@crm.otsuka-europe.com")</f>
        <v>kpoperen@crm.otsuka-europe.com</v>
      </c>
      <c r="N13492" s="13">
        <v>46203.504108796296</v>
      </c>
      <c r="O13492" s="14" t="str">
        <f>HYPERLINK("https://otsuka-europe-crm.veevavault.com/ui/#object/email_activity__v/V8C000000041599", "EN-002100842")</f>
        <v>EN-002100842</v>
      </c>
    </row>
    <row r="13493" spans="1:15" ht="16" x14ac:dyDescent="0.2">
      <c r="A13493" s="17" t="str">
        <f>HYPERLINK("https://otsuka-europe-crm.veevavault.com/ui/#object/account__v/V4TZ025E88YV8P2", "NADIA LANZILLOTTA")</f>
        <v>NADIA LANZILLOTTA</v>
      </c>
      <c r="B13493" s="17" t="str">
        <f>HYPERLINK("https://otsuka-europe-crm.veevavault.com/ui/#object/vcountry__v/VENZ000004SONFQ", "IT")</f>
        <v>IT</v>
      </c>
      <c r="C13493" s="20" t="s">
        <v>44</v>
      </c>
      <c r="D13493" s="21" t="str">
        <f>HYPERLINK("https://otsuka-europe-crm.veevavault.com/ui/#object/approved_document__v/V5OZ025E82T9SYM", "ABILIFY 960/720_Branded_AE Burden_IT-AM2-2500124")</f>
        <v>ABILIFY 960/720_Branded_AE Burden_IT-AM2-2500124</v>
      </c>
      <c r="E13493" s="22" t="str">
        <f>HYPERLINK("https://otsuka-europe-crm.veevavault.com/ui/#object/sent_email__v/VBL00000002Y222", "SE-001438898")</f>
        <v>SE-001438898</v>
      </c>
      <c r="F13493" s="23">
        <v>46204.413321759261</v>
      </c>
      <c r="G13493" s="24">
        <v>1</v>
      </c>
      <c r="H13493" s="24">
        <v>2</v>
      </c>
      <c r="I13493" s="24">
        <v>0</v>
      </c>
      <c r="J13493" s="25"/>
      <c r="K13493" s="24">
        <v>0</v>
      </c>
      <c r="L13493" s="22" t="str">
        <f>HYPERLINK("https://otsuka-europe-crm.veevavault.com/ui/#object/approved_document__v/V5OZ025E82T9SYM", "ABILIFY 960/720_Branded_AE Burden_IT-AM2-2500124")</f>
        <v>ABILIFY 960/720_Branded_AE Burden_IT-AM2-2500124</v>
      </c>
      <c r="M13493" s="22" t="str">
        <f>HYPERLINK("mailto:sandro.vitto@crm.otsuka-europe.com", "sandro.vitto@crm.otsuka-europe.com")</f>
        <v>sandro.vitto@crm.otsuka-europe.com</v>
      </c>
      <c r="N13493" s="23">
        <v>46203.582233796296</v>
      </c>
      <c r="O13493" s="14" t="str">
        <f>HYPERLINK("https://otsuka-europe-crm.veevavault.com/ui/#object/email_activity__v/V8C000000041607", "EN-002100848")</f>
        <v>EN-002100848</v>
      </c>
    </row>
    <row r="13494" spans="1:15" ht="16" x14ac:dyDescent="0.2">
      <c r="A13494" s="18"/>
      <c r="B13494" s="18"/>
      <c r="C13494" s="18"/>
      <c r="D13494" s="18"/>
      <c r="E13494" s="18"/>
      <c r="F13494" s="18"/>
      <c r="G13494" s="18"/>
      <c r="H13494" s="18"/>
      <c r="I13494" s="18"/>
      <c r="J13494" s="18"/>
      <c r="K13494" s="18"/>
      <c r="L13494" s="18"/>
      <c r="M13494" s="18"/>
      <c r="N13494" s="18"/>
      <c r="O13494" s="14" t="str">
        <f>HYPERLINK("https://otsuka-europe-crm.veevavault.com/ui/#object/email_activity__v/V8C000000042877", "EN-002101340")</f>
        <v>EN-002101340</v>
      </c>
    </row>
    <row r="13495" spans="1:15" ht="16" x14ac:dyDescent="0.2">
      <c r="A13495" s="19"/>
      <c r="B13495" s="19"/>
      <c r="C13495" s="19"/>
      <c r="D13495" s="19"/>
      <c r="E13495" s="19"/>
      <c r="F13495" s="19"/>
      <c r="G13495" s="19"/>
      <c r="H13495" s="19"/>
      <c r="I13495" s="19"/>
      <c r="J13495" s="19"/>
      <c r="K13495" s="19"/>
      <c r="L13495" s="19"/>
      <c r="M13495" s="19"/>
      <c r="N13495" s="19"/>
      <c r="O13495" s="14" t="str">
        <f>HYPERLINK("https://otsuka-europe-crm.veevavault.com/ui/#object/email_activity__v/V8C000000042880", "EN-002101343")</f>
        <v>EN-002101343</v>
      </c>
    </row>
    <row r="13496" spans="1:15" ht="16" x14ac:dyDescent="0.2">
      <c r="A13496" s="17" t="str">
        <f>HYPERLINK("https://otsuka-europe-crm.veevavault.com/ui/#object/account__v/V4TZ025E88YV8P2", "NADIA LANZILLOTTA")</f>
        <v>NADIA LANZILLOTTA</v>
      </c>
      <c r="B13496" s="17" t="str">
        <f>HYPERLINK("https://otsuka-europe-crm.veevavault.com/ui/#object/vcountry__v/VENZ000004SONFQ", "IT")</f>
        <v>IT</v>
      </c>
      <c r="C13496" s="20" t="s">
        <v>44</v>
      </c>
      <c r="D13496" s="21" t="str">
        <f>HYPERLINK("https://otsuka-europe-crm.veevavault.com/ui/#object/approved_document__v/V5OZ025E82T9SYL", "OTSUKA_ABILIFY 960/720_Branded_AE lancio 960/720_IT-AM2-2500122")</f>
        <v>OTSUKA_ABILIFY 960/720_Branded_AE lancio 960/720_IT-AM2-2500122</v>
      </c>
      <c r="E13496" s="22" t="str">
        <f>HYPERLINK("https://otsuka-europe-crm.veevavault.com/ui/#object/sent_email__v/VBL00000002Y223", "SE-001438899")</f>
        <v>SE-001438899</v>
      </c>
      <c r="F13496" s="23">
        <v>46204.413310185184</v>
      </c>
      <c r="G13496" s="24">
        <v>1</v>
      </c>
      <c r="H13496" s="24">
        <v>2</v>
      </c>
      <c r="I13496" s="24">
        <v>0</v>
      </c>
      <c r="J13496" s="25"/>
      <c r="K13496" s="24">
        <v>0</v>
      </c>
      <c r="L13496" s="22" t="str">
        <f>HYPERLINK("https://otsuka-europe-crm.veevavault.com/ui/#object/approved_document__v/V5OZ025E82T9SYL", "OTSUKA_ABILIFY 960/720_Branded_AE lancio 960/720_IT-AM2-2500122")</f>
        <v>OTSUKA_ABILIFY 960/720_Branded_AE lancio 960/720_IT-AM2-2500122</v>
      </c>
      <c r="M13496" s="22" t="str">
        <f>HYPERLINK("mailto:sandro.vitto@crm.otsuka-europe.com", "sandro.vitto@crm.otsuka-europe.com")</f>
        <v>sandro.vitto@crm.otsuka-europe.com</v>
      </c>
      <c r="N13496" s="23">
        <v>46203.582361111112</v>
      </c>
      <c r="O13496" s="14" t="str">
        <f>HYPERLINK("https://otsuka-europe-crm.veevavault.com/ui/#object/email_activity__v/V8C000000041608", "EN-002100849")</f>
        <v>EN-002100849</v>
      </c>
    </row>
    <row r="13497" spans="1:15" ht="16" x14ac:dyDescent="0.2">
      <c r="A13497" s="18"/>
      <c r="B13497" s="18"/>
      <c r="C13497" s="18"/>
      <c r="D13497" s="18"/>
      <c r="E13497" s="18"/>
      <c r="F13497" s="18"/>
      <c r="G13497" s="18"/>
      <c r="H13497" s="18"/>
      <c r="I13497" s="18"/>
      <c r="J13497" s="18"/>
      <c r="K13497" s="18"/>
      <c r="L13497" s="18"/>
      <c r="M13497" s="18"/>
      <c r="N13497" s="18"/>
      <c r="O13497" s="14" t="str">
        <f>HYPERLINK("https://otsuka-europe-crm.veevavault.com/ui/#object/email_activity__v/V8C000000042878", "EN-002101341")</f>
        <v>EN-002101341</v>
      </c>
    </row>
    <row r="13498" spans="1:15" ht="16" x14ac:dyDescent="0.2">
      <c r="A13498" s="19"/>
      <c r="B13498" s="19"/>
      <c r="C13498" s="19"/>
      <c r="D13498" s="19"/>
      <c r="E13498" s="19"/>
      <c r="F13498" s="19"/>
      <c r="G13498" s="19"/>
      <c r="H13498" s="19"/>
      <c r="I13498" s="19"/>
      <c r="J13498" s="19"/>
      <c r="K13498" s="19"/>
      <c r="L13498" s="19"/>
      <c r="M13498" s="19"/>
      <c r="N13498" s="19"/>
      <c r="O13498" s="14" t="str">
        <f>HYPERLINK("https://otsuka-europe-crm.veevavault.com/ui/#object/email_activity__v/V8C000000042879", "EN-002101342")</f>
        <v>EN-002101342</v>
      </c>
    </row>
    <row r="13499" spans="1:15" ht="16" x14ac:dyDescent="0.2">
      <c r="A13499" s="17" t="str">
        <f>HYPERLINK("https://otsuka-europe-crm.veevavault.com/ui/#object/account__v/V4TZ06G6O71S9D2", "MADIA LOZUPONE")</f>
        <v>MADIA LOZUPONE</v>
      </c>
      <c r="B13499" s="17" t="str">
        <f>HYPERLINK("https://otsuka-europe-crm.veevavault.com/ui/#object/vcountry__v/VENZ000004SONFQ", "IT")</f>
        <v>IT</v>
      </c>
      <c r="C13499" s="20" t="s">
        <v>44</v>
      </c>
      <c r="D13499" s="21" t="str">
        <f>HYPERLINK("https://otsuka-europe-crm.veevavault.com/ui/#object/approved_document__v/V5OZ025E82T9SYM", "ABILIFY 960/720_Branded_AE Burden_IT-AM2-2500124")</f>
        <v>ABILIFY 960/720_Branded_AE Burden_IT-AM2-2500124</v>
      </c>
      <c r="E13499" s="22" t="str">
        <f>HYPERLINK("https://otsuka-europe-crm.veevavault.com/ui/#object/sent_email__v/VBL00000002Z323", "SE-001438900")</f>
        <v>SE-001438900</v>
      </c>
      <c r="F13499" s="25"/>
      <c r="G13499" s="24">
        <v>0</v>
      </c>
      <c r="H13499" s="24">
        <v>0</v>
      </c>
      <c r="I13499" s="24">
        <v>0</v>
      </c>
      <c r="J13499" s="25"/>
      <c r="K13499" s="24">
        <v>0</v>
      </c>
      <c r="L13499" s="22" t="str">
        <f>HYPERLINK("https://otsuka-europe-crm.veevavault.com/ui/#object/approved_document__v/V5OZ025E82T9SYM", "ABILIFY 960/720_Branded_AE Burden_IT-AM2-2500124")</f>
        <v>ABILIFY 960/720_Branded_AE Burden_IT-AM2-2500124</v>
      </c>
      <c r="M13499" s="22" t="str">
        <f>HYPERLINK("mailto:sandro.vitto@crm.otsuka-europe.com", "sandro.vitto@crm.otsuka-europe.com")</f>
        <v>sandro.vitto@crm.otsuka-europe.com</v>
      </c>
      <c r="N13499" s="23">
        <v>46203.583773148152</v>
      </c>
      <c r="O13499" s="14" t="str">
        <f>HYPERLINK("https://otsuka-europe-crm.veevavault.com/ui/#object/email_activity__v/V8C000000041609", "EN-002100850")</f>
        <v>EN-002100850</v>
      </c>
    </row>
    <row r="13500" spans="1:15" ht="16" x14ac:dyDescent="0.2">
      <c r="A13500" s="18"/>
      <c r="B13500" s="18"/>
      <c r="C13500" s="18"/>
      <c r="D13500" s="18"/>
      <c r="E13500" s="18"/>
      <c r="F13500" s="18"/>
      <c r="G13500" s="18"/>
      <c r="H13500" s="18"/>
      <c r="I13500" s="18"/>
      <c r="J13500" s="18"/>
      <c r="K13500" s="18"/>
      <c r="L13500" s="18"/>
      <c r="M13500" s="18"/>
      <c r="N13500" s="18"/>
      <c r="O13500" s="14" t="str">
        <f>HYPERLINK("https://otsuka-europe-crm.veevavault.com/ui/#object/email_activity__v/V8C000000041618", "EN-002100889")</f>
        <v>EN-002100889</v>
      </c>
    </row>
    <row r="13501" spans="1:15" ht="16" x14ac:dyDescent="0.2">
      <c r="A13501" s="19"/>
      <c r="B13501" s="19"/>
      <c r="C13501" s="19"/>
      <c r="D13501" s="19"/>
      <c r="E13501" s="19"/>
      <c r="F13501" s="19"/>
      <c r="G13501" s="19"/>
      <c r="H13501" s="19"/>
      <c r="I13501" s="19"/>
      <c r="J13501" s="19"/>
      <c r="K13501" s="19"/>
      <c r="L13501" s="19"/>
      <c r="M13501" s="19"/>
      <c r="N13501" s="19"/>
      <c r="O13501" s="14" t="str">
        <f>HYPERLINK("https://otsuka-europe-crm.veevavault.com/ui/#object/email_activity__v/V8C000000042584", "EN-002100876")</f>
        <v>EN-002100876</v>
      </c>
    </row>
    <row r="13502" spans="1:15" ht="16" x14ac:dyDescent="0.2">
      <c r="A13502" s="17" t="str">
        <f>HYPERLINK("https://otsuka-europe-crm.veevavault.com/ui/#object/account__v/V4TZ06G6O71S9D2", "MADIA LOZUPONE")</f>
        <v>MADIA LOZUPONE</v>
      </c>
      <c r="B13502" s="17" t="str">
        <f>HYPERLINK("https://otsuka-europe-crm.veevavault.com/ui/#object/vcountry__v/VENZ000004SONFQ", "IT")</f>
        <v>IT</v>
      </c>
      <c r="C13502" s="20" t="s">
        <v>44</v>
      </c>
      <c r="D13502" s="21" t="str">
        <f>HYPERLINK("https://otsuka-europe-crm.veevavault.com/ui/#object/approved_document__v/V5OZ025E82T9SYL", "OTSUKA_ABILIFY 960/720_Branded_AE lancio 960/720_IT-AM2-2500122")</f>
        <v>OTSUKA_ABILIFY 960/720_Branded_AE lancio 960/720_IT-AM2-2500122</v>
      </c>
      <c r="E13502" s="22" t="str">
        <f>HYPERLINK("https://otsuka-europe-crm.veevavault.com/ui/#object/sent_email__v/VBL00000002Z324", "SE-001438901")</f>
        <v>SE-001438901</v>
      </c>
      <c r="F13502" s="25"/>
      <c r="G13502" s="24">
        <v>0</v>
      </c>
      <c r="H13502" s="24">
        <v>0</v>
      </c>
      <c r="I13502" s="24">
        <v>0</v>
      </c>
      <c r="J13502" s="25"/>
      <c r="K13502" s="24">
        <v>0</v>
      </c>
      <c r="L13502" s="22" t="str">
        <f>HYPERLINK("https://otsuka-europe-crm.veevavault.com/ui/#object/approved_document__v/V5OZ025E82T9SYL", "OTSUKA_ABILIFY 960/720_Branded_AE lancio 960/720_IT-AM2-2500122")</f>
        <v>OTSUKA_ABILIFY 960/720_Branded_AE lancio 960/720_IT-AM2-2500122</v>
      </c>
      <c r="M13502" s="22" t="str">
        <f>HYPERLINK("mailto:sandro.vitto@crm.otsuka-europe.com", "sandro.vitto@crm.otsuka-europe.com")</f>
        <v>sandro.vitto@crm.otsuka-europe.com</v>
      </c>
      <c r="N13502" s="23">
        <v>46203.584120370368</v>
      </c>
      <c r="O13502" s="14" t="str">
        <f>HYPERLINK("https://otsuka-europe-crm.veevavault.com/ui/#object/email_activity__v/V8C000000042563", "EN-002100851")</f>
        <v>EN-002100851</v>
      </c>
    </row>
    <row r="13503" spans="1:15" ht="16" x14ac:dyDescent="0.2">
      <c r="A13503" s="18"/>
      <c r="B13503" s="18"/>
      <c r="C13503" s="18"/>
      <c r="D13503" s="18"/>
      <c r="E13503" s="18"/>
      <c r="F13503" s="18"/>
      <c r="G13503" s="18"/>
      <c r="H13503" s="18"/>
      <c r="I13503" s="18"/>
      <c r="J13503" s="18"/>
      <c r="K13503" s="18"/>
      <c r="L13503" s="18"/>
      <c r="M13503" s="18"/>
      <c r="N13503" s="18"/>
      <c r="O13503" s="14" t="str">
        <f>HYPERLINK("https://otsuka-europe-crm.veevavault.com/ui/#object/email_activity__v/V8C000000042586", "EN-002100878")</f>
        <v>EN-002100878</v>
      </c>
    </row>
    <row r="13504" spans="1:15" ht="16" x14ac:dyDescent="0.2">
      <c r="A13504" s="19"/>
      <c r="B13504" s="19"/>
      <c r="C13504" s="19"/>
      <c r="D13504" s="19"/>
      <c r="E13504" s="19"/>
      <c r="F13504" s="19"/>
      <c r="G13504" s="19"/>
      <c r="H13504" s="19"/>
      <c r="I13504" s="19"/>
      <c r="J13504" s="19"/>
      <c r="K13504" s="19"/>
      <c r="L13504" s="19"/>
      <c r="M13504" s="19"/>
      <c r="N13504" s="19"/>
      <c r="O13504" s="14" t="str">
        <f>HYPERLINK("https://otsuka-europe-crm.veevavault.com/ui/#object/email_activity__v/V8C000000042592", "EN-002100888")</f>
        <v>EN-002100888</v>
      </c>
    </row>
    <row r="13505" spans="1:15" ht="16" x14ac:dyDescent="0.2">
      <c r="A13505" s="17" t="str">
        <f>HYPERLINK("https://otsuka-europe-crm.veevavault.com/ui/#object/account__v/V4TZ06G6O71S9D2", "MADIA LOZUPONE")</f>
        <v>MADIA LOZUPONE</v>
      </c>
      <c r="B13505" s="17" t="str">
        <f>HYPERLINK("https://otsuka-europe-crm.veevavault.com/ui/#object/vcountry__v/VENZ000004SONFQ", "IT")</f>
        <v>IT</v>
      </c>
      <c r="C13505" s="20" t="s">
        <v>44</v>
      </c>
      <c r="D13505" s="21" t="str">
        <f>HYPERLINK("https://otsuka-europe-crm.veevavault.com/ui/#object/approved_document__v/V5OZ025E82MQEQD", "ABILIFY MAINTENA 960_Unbranded_AE GU_ IT-NPR-2500045")</f>
        <v>ABILIFY MAINTENA 960_Unbranded_AE GU_ IT-NPR-2500045</v>
      </c>
      <c r="E13505" s="22" t="str">
        <f>HYPERLINK("https://otsuka-europe-crm.veevavault.com/ui/#object/sent_email__v/VBL00000002Z325", "SE-001438902")</f>
        <v>SE-001438902</v>
      </c>
      <c r="F13505" s="25"/>
      <c r="G13505" s="24">
        <v>0</v>
      </c>
      <c r="H13505" s="24">
        <v>0</v>
      </c>
      <c r="I13505" s="24">
        <v>0</v>
      </c>
      <c r="J13505" s="25"/>
      <c r="K13505" s="24">
        <v>0</v>
      </c>
      <c r="L13505" s="22" t="str">
        <f>HYPERLINK("https://otsuka-europe-crm.veevavault.com/ui/#object/approved_document__v/V5OZ025E82MQEQD", "ABILIFY MAINTENA 960_Unbranded_AE GU_ IT-NPR-2500045")</f>
        <v>ABILIFY MAINTENA 960_Unbranded_AE GU_ IT-NPR-2500045</v>
      </c>
      <c r="M13505" s="22" t="str">
        <f>HYPERLINK("mailto:sandro.vitto@crm.otsuka-europe.com", "sandro.vitto@crm.otsuka-europe.com")</f>
        <v>sandro.vitto@crm.otsuka-europe.com</v>
      </c>
      <c r="N13505" s="23">
        <v>46203.584293981483</v>
      </c>
      <c r="O13505" s="14" t="str">
        <f>HYPERLINK("https://otsuka-europe-crm.veevavault.com/ui/#object/email_activity__v/V8C000000041619", "EN-002100890")</f>
        <v>EN-002100890</v>
      </c>
    </row>
    <row r="13506" spans="1:15" ht="16" x14ac:dyDescent="0.2">
      <c r="A13506" s="18"/>
      <c r="B13506" s="18"/>
      <c r="C13506" s="18"/>
      <c r="D13506" s="18"/>
      <c r="E13506" s="18"/>
      <c r="F13506" s="18"/>
      <c r="G13506" s="18"/>
      <c r="H13506" s="18"/>
      <c r="I13506" s="18"/>
      <c r="J13506" s="18"/>
      <c r="K13506" s="18"/>
      <c r="L13506" s="18"/>
      <c r="M13506" s="18"/>
      <c r="N13506" s="18"/>
      <c r="O13506" s="14" t="str">
        <f>HYPERLINK("https://otsuka-europe-crm.veevavault.com/ui/#object/email_activity__v/V8C000000042564", "EN-002100852")</f>
        <v>EN-002100852</v>
      </c>
    </row>
    <row r="13507" spans="1:15" ht="16" x14ac:dyDescent="0.2">
      <c r="A13507" s="19"/>
      <c r="B13507" s="19"/>
      <c r="C13507" s="19"/>
      <c r="D13507" s="19"/>
      <c r="E13507" s="19"/>
      <c r="F13507" s="19"/>
      <c r="G13507" s="19"/>
      <c r="H13507" s="19"/>
      <c r="I13507" s="19"/>
      <c r="J13507" s="19"/>
      <c r="K13507" s="19"/>
      <c r="L13507" s="19"/>
      <c r="M13507" s="19"/>
      <c r="N13507" s="19"/>
      <c r="O13507" s="14" t="str">
        <f>HYPERLINK("https://otsuka-europe-crm.veevavault.com/ui/#object/email_activity__v/V8C000000042585", "EN-002100877")</f>
        <v>EN-002100877</v>
      </c>
    </row>
    <row r="13508" spans="1:15" ht="16" x14ac:dyDescent="0.2">
      <c r="A13508" s="17" t="str">
        <f>HYPERLINK("https://otsuka-europe-crm.veevavault.com/ui/#object/account__v/V4TZ06G6O71TLEK", "GIUSEPPE CARACCIOLO")</f>
        <v>GIUSEPPE CARACCIOLO</v>
      </c>
      <c r="B13508" s="17" t="str">
        <f>HYPERLINK("https://otsuka-europe-crm.veevavault.com/ui/#object/vcountry__v/VENZ000004SONFQ", "IT")</f>
        <v>IT</v>
      </c>
      <c r="C13508" s="20" t="s">
        <v>44</v>
      </c>
      <c r="D13508" s="21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E13508" s="22" t="str">
        <f>HYPERLINK("https://otsuka-europe-crm.veevavault.com/ui/#object/sent_email__v/VBL00000002Z326", "SE-001438903")</f>
        <v>SE-001438903</v>
      </c>
      <c r="F13508" s="23">
        <v>46203.600173611114</v>
      </c>
      <c r="G13508" s="24">
        <v>1</v>
      </c>
      <c r="H13508" s="24">
        <v>2</v>
      </c>
      <c r="I13508" s="24">
        <v>0</v>
      </c>
      <c r="J13508" s="25"/>
      <c r="K13508" s="24">
        <v>0</v>
      </c>
      <c r="L13508" s="22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M13508" s="22" t="str">
        <f>HYPERLINK("mailto:sandro.vitto@crm.otsuka-europe.com", "sandro.vitto@crm.otsuka-europe.com")</f>
        <v>sandro.vitto@crm.otsuka-europe.com</v>
      </c>
      <c r="N13508" s="23">
        <v>46203.585057870368</v>
      </c>
      <c r="O13508" s="14" t="str">
        <f>HYPERLINK("https://otsuka-europe-crm.veevavault.com/ui/#object/email_activity__v/V8C000000042565", "EN-002100853")</f>
        <v>EN-002100853</v>
      </c>
    </row>
    <row r="13509" spans="1:15" ht="16" x14ac:dyDescent="0.2">
      <c r="A13509" s="18"/>
      <c r="B13509" s="18"/>
      <c r="C13509" s="18"/>
      <c r="D13509" s="18"/>
      <c r="E13509" s="18"/>
      <c r="F13509" s="18"/>
      <c r="G13509" s="18"/>
      <c r="H13509" s="18"/>
      <c r="I13509" s="18"/>
      <c r="J13509" s="18"/>
      <c r="K13509" s="18"/>
      <c r="L13509" s="18"/>
      <c r="M13509" s="18"/>
      <c r="N13509" s="18"/>
      <c r="O13509" s="14" t="str">
        <f>HYPERLINK("https://otsuka-europe-crm.veevavault.com/ui/#object/email_activity__v/V8C000000042577", "EN-002100868")</f>
        <v>EN-002100868</v>
      </c>
    </row>
    <row r="13510" spans="1:15" ht="16" x14ac:dyDescent="0.2">
      <c r="A13510" s="19"/>
      <c r="B13510" s="19"/>
      <c r="C13510" s="19"/>
      <c r="D13510" s="19"/>
      <c r="E13510" s="19"/>
      <c r="F13510" s="19"/>
      <c r="G13510" s="19"/>
      <c r="H13510" s="19"/>
      <c r="I13510" s="19"/>
      <c r="J13510" s="19"/>
      <c r="K13510" s="19"/>
      <c r="L13510" s="19"/>
      <c r="M13510" s="19"/>
      <c r="N13510" s="19"/>
      <c r="O13510" s="14" t="str">
        <f>HYPERLINK("https://otsuka-europe-crm.veevavault.com/ui/#object/email_activity__v/V8C000000042596", "EN-002100896")</f>
        <v>EN-002100896</v>
      </c>
    </row>
    <row r="13511" spans="1:15" ht="16" x14ac:dyDescent="0.2">
      <c r="A13511" s="17" t="str">
        <f>HYPERLINK("https://otsuka-europe-crm.veevavault.com/ui/#object/account__v/V4TZ06G6O71TLEK", "GIUSEPPE CARACCIOLO")</f>
        <v>GIUSEPPE CARACCIOLO</v>
      </c>
      <c r="B13511" s="17" t="str">
        <f>HYPERLINK("https://otsuka-europe-crm.veevavault.com/ui/#object/vcountry__v/VENZ000004SONFQ", "IT")</f>
        <v>IT</v>
      </c>
      <c r="C13511" s="20" t="s">
        <v>44</v>
      </c>
      <c r="D13511" s="21" t="str">
        <f>HYPERLINK("https://otsuka-europe-crm.veevavault.com/ui/#object/approved_document__v/V5O00000001H009", "RXULTI_Branded_ DE FILIPPIS aggiornamento_ IT-RXU-2600020")</f>
        <v>RXULTI_Branded_ DE FILIPPIS aggiornamento_ IT-RXU-2600020</v>
      </c>
      <c r="E13511" s="22" t="str">
        <f>HYPERLINK("https://otsuka-europe-crm.veevavault.com/ui/#object/sent_email__v/VBL00000002Z327", "SE-001438904")</f>
        <v>SE-001438904</v>
      </c>
      <c r="F13511" s="23">
        <v>46203.600162037037</v>
      </c>
      <c r="G13511" s="24">
        <v>1</v>
      </c>
      <c r="H13511" s="24">
        <v>3</v>
      </c>
      <c r="I13511" s="24">
        <v>1</v>
      </c>
      <c r="J13511" s="23">
        <v>46203.600902777776</v>
      </c>
      <c r="K13511" s="24">
        <v>2</v>
      </c>
      <c r="L13511" s="22" t="str">
        <f>HYPERLINK("https://otsuka-europe-crm.veevavault.com/ui/#object/approved_document__v/V5O00000001H009", "RXULTI_Branded_ DE FILIPPIS aggiornamento_ IT-RXU-2600020")</f>
        <v>RXULTI_Branded_ DE FILIPPIS aggiornamento_ IT-RXU-2600020</v>
      </c>
      <c r="M13511" s="22" t="str">
        <f>HYPERLINK("mailto:sandro.vitto@crm.otsuka-europe.com", "sandro.vitto@crm.otsuka-europe.com")</f>
        <v>sandro.vitto@crm.otsuka-europe.com</v>
      </c>
      <c r="N13511" s="23">
        <v>46203.585347222222</v>
      </c>
      <c r="O13511" s="14" t="str">
        <f>HYPERLINK("https://otsuka-europe-crm.veevavault.com/ui/#object/email_activity__v/V8C000000041621", "EN-002100892")</f>
        <v>EN-002100892</v>
      </c>
    </row>
    <row r="13512" spans="1:15" ht="16" x14ac:dyDescent="0.2">
      <c r="A13512" s="18"/>
      <c r="B13512" s="18"/>
      <c r="C13512" s="18"/>
      <c r="D13512" s="18"/>
      <c r="E13512" s="18"/>
      <c r="F13512" s="18"/>
      <c r="G13512" s="18"/>
      <c r="H13512" s="18"/>
      <c r="I13512" s="18"/>
      <c r="J13512" s="18"/>
      <c r="K13512" s="18"/>
      <c r="L13512" s="18"/>
      <c r="M13512" s="18"/>
      <c r="N13512" s="18"/>
      <c r="O13512" s="14" t="str">
        <f>HYPERLINK("https://otsuka-europe-crm.veevavault.com/ui/#object/email_activity__v/V8C000000042566", "EN-002100854")</f>
        <v>EN-002100854</v>
      </c>
    </row>
    <row r="13513" spans="1:15" ht="16" x14ac:dyDescent="0.2">
      <c r="A13513" s="18"/>
      <c r="B13513" s="18"/>
      <c r="C13513" s="18"/>
      <c r="D13513" s="18"/>
      <c r="E13513" s="18"/>
      <c r="F13513" s="18"/>
      <c r="G13513" s="18"/>
      <c r="H13513" s="18"/>
      <c r="I13513" s="18"/>
      <c r="J13513" s="18"/>
      <c r="K13513" s="18"/>
      <c r="L13513" s="18"/>
      <c r="M13513" s="18"/>
      <c r="N13513" s="18"/>
      <c r="O13513" s="14" t="str">
        <f>HYPERLINK("https://otsuka-europe-crm.veevavault.com/ui/#object/email_activity__v/V8C000000042575", "EN-002100866")</f>
        <v>EN-002100866</v>
      </c>
    </row>
    <row r="13514" spans="1:15" ht="16" x14ac:dyDescent="0.2">
      <c r="A13514" s="18"/>
      <c r="B13514" s="18"/>
      <c r="C13514" s="18"/>
      <c r="D13514" s="18"/>
      <c r="E13514" s="18"/>
      <c r="F13514" s="18"/>
      <c r="G13514" s="18"/>
      <c r="H13514" s="18"/>
      <c r="I13514" s="18"/>
      <c r="J13514" s="18"/>
      <c r="K13514" s="18"/>
      <c r="L13514" s="18"/>
      <c r="M13514" s="18"/>
      <c r="N13514" s="18"/>
      <c r="O13514" s="14" t="str">
        <f>HYPERLINK("https://otsuka-europe-crm.veevavault.com/ui/#object/email_activity__v/V8C000000042593", "EN-002100893")</f>
        <v>EN-002100893</v>
      </c>
    </row>
    <row r="13515" spans="1:15" ht="16" x14ac:dyDescent="0.2">
      <c r="A13515" s="18"/>
      <c r="B13515" s="18"/>
      <c r="C13515" s="18"/>
      <c r="D13515" s="18"/>
      <c r="E13515" s="18"/>
      <c r="F13515" s="18"/>
      <c r="G13515" s="18"/>
      <c r="H13515" s="18"/>
      <c r="I13515" s="18"/>
      <c r="J13515" s="18"/>
      <c r="K13515" s="18"/>
      <c r="L13515" s="18"/>
      <c r="M13515" s="18"/>
      <c r="N13515" s="18"/>
      <c r="O13515" s="14" t="str">
        <f>HYPERLINK("https://otsuka-europe-crm.veevavault.com/ui/#object/email_activity__v/V8C000000042597", "EN-002100897")</f>
        <v>EN-002100897</v>
      </c>
    </row>
    <row r="13516" spans="1:15" ht="16" x14ac:dyDescent="0.2">
      <c r="A13516" s="19"/>
      <c r="B13516" s="19"/>
      <c r="C13516" s="19"/>
      <c r="D13516" s="19"/>
      <c r="E13516" s="19"/>
      <c r="F13516" s="19"/>
      <c r="G13516" s="19"/>
      <c r="H13516" s="19"/>
      <c r="I13516" s="19"/>
      <c r="J13516" s="19"/>
      <c r="K13516" s="19"/>
      <c r="L13516" s="19"/>
      <c r="M13516" s="19"/>
      <c r="N13516" s="19"/>
      <c r="O13516" s="14" t="str">
        <f>HYPERLINK("https://otsuka-europe-crm.veevavault.com/ui/#object/email_activity__v/V8C000000042598", "EN-002100898")</f>
        <v>EN-002100898</v>
      </c>
    </row>
    <row r="13517" spans="1:15" ht="16" x14ac:dyDescent="0.2">
      <c r="A13517" s="17" t="str">
        <f>HYPERLINK("https://otsuka-europe-crm.veevavault.com/ui/#object/account__v/V4TZ06G6O71TLEK", "GIUSEPPE CARACCIOLO")</f>
        <v>GIUSEPPE CARACCIOLO</v>
      </c>
      <c r="B13517" s="17" t="str">
        <f>HYPERLINK("https://otsuka-europe-crm.veevavault.com/ui/#object/vcountry__v/VENZ000004SONFQ", "IT")</f>
        <v>IT</v>
      </c>
      <c r="C13517" s="20" t="s">
        <v>44</v>
      </c>
      <c r="D13517" s="21" t="str">
        <f>HYPERLINK("https://otsuka-europe-crm.veevavault.com/ui/#object/approved_document__v/V5O00000001G004", "Branded_RXULTI_AE Ansia_IT-RXU-2500035")</f>
        <v>Branded_RXULTI_AE Ansia_IT-RXU-2500035</v>
      </c>
      <c r="E13517" s="22" t="str">
        <f>HYPERLINK("https://otsuka-europe-crm.veevavault.com/ui/#object/sent_email__v/VBL00000002Z328", "SE-001438905")</f>
        <v>SE-001438905</v>
      </c>
      <c r="F13517" s="23">
        <v>46204.547638888886</v>
      </c>
      <c r="G13517" s="24">
        <v>1</v>
      </c>
      <c r="H13517" s="24">
        <v>3</v>
      </c>
      <c r="I13517" s="24">
        <v>0</v>
      </c>
      <c r="J13517" s="25"/>
      <c r="K13517" s="24">
        <v>0</v>
      </c>
      <c r="L13517" s="22" t="str">
        <f>HYPERLINK("https://otsuka-europe-crm.veevavault.com/ui/#object/approved_document__v/V5O00000001G004", "Branded_RXULTI_AE Ansia_IT-RXU-2500035")</f>
        <v>Branded_RXULTI_AE Ansia_IT-RXU-2500035</v>
      </c>
      <c r="M13517" s="22" t="str">
        <f>HYPERLINK("mailto:sandro.vitto@crm.otsuka-europe.com", "sandro.vitto@crm.otsuka-europe.com")</f>
        <v>sandro.vitto@crm.otsuka-europe.com</v>
      </c>
      <c r="N13517" s="23">
        <v>46203.585370370369</v>
      </c>
      <c r="O13517" s="14" t="str">
        <f>HYPERLINK("https://otsuka-europe-crm.veevavault.com/ui/#object/email_activity__v/V8C000000041610", "EN-002100855")</f>
        <v>EN-002100855</v>
      </c>
    </row>
    <row r="13518" spans="1:15" ht="16" x14ac:dyDescent="0.2">
      <c r="A13518" s="18"/>
      <c r="B13518" s="18"/>
      <c r="C13518" s="18"/>
      <c r="D13518" s="18"/>
      <c r="E13518" s="18"/>
      <c r="F13518" s="18"/>
      <c r="G13518" s="18"/>
      <c r="H13518" s="18"/>
      <c r="I13518" s="18"/>
      <c r="J13518" s="18"/>
      <c r="K13518" s="18"/>
      <c r="L13518" s="18"/>
      <c r="M13518" s="18"/>
      <c r="N13518" s="18"/>
      <c r="O13518" s="14" t="str">
        <f>HYPERLINK("https://otsuka-europe-crm.veevavault.com/ui/#object/email_activity__v/V8C000000041620", "EN-002100891")</f>
        <v>EN-002100891</v>
      </c>
    </row>
    <row r="13519" spans="1:15" ht="16" x14ac:dyDescent="0.2">
      <c r="A13519" s="18"/>
      <c r="B13519" s="18"/>
      <c r="C13519" s="18"/>
      <c r="D13519" s="18"/>
      <c r="E13519" s="18"/>
      <c r="F13519" s="18"/>
      <c r="G13519" s="18"/>
      <c r="H13519" s="18"/>
      <c r="I13519" s="18"/>
      <c r="J13519" s="18"/>
      <c r="K13519" s="18"/>
      <c r="L13519" s="18"/>
      <c r="M13519" s="18"/>
      <c r="N13519" s="18"/>
      <c r="O13519" s="14" t="str">
        <f>HYPERLINK("https://otsuka-europe-crm.veevavault.com/ui/#object/email_activity__v/V8C000000042595", "EN-002100895")</f>
        <v>EN-002100895</v>
      </c>
    </row>
    <row r="13520" spans="1:15" ht="16" x14ac:dyDescent="0.2">
      <c r="A13520" s="19"/>
      <c r="B13520" s="19"/>
      <c r="C13520" s="19"/>
      <c r="D13520" s="19"/>
      <c r="E13520" s="19"/>
      <c r="F13520" s="19"/>
      <c r="G13520" s="19"/>
      <c r="H13520" s="19"/>
      <c r="I13520" s="19"/>
      <c r="J13520" s="19"/>
      <c r="K13520" s="19"/>
      <c r="L13520" s="19"/>
      <c r="M13520" s="19"/>
      <c r="N13520" s="19"/>
      <c r="O13520" s="14" t="str">
        <f>HYPERLINK("https://otsuka-europe-crm.veevavault.com/ui/#object/email_activity__v/V8C000000042927", "EN-002101429")</f>
        <v>EN-002101429</v>
      </c>
    </row>
    <row r="13521" spans="1:15" ht="48" x14ac:dyDescent="0.2">
      <c r="A13521" s="7" t="str">
        <f>HYPERLINK("https://otsuka-europe-crm.veevavault.com/ui/#object/account__v/V4TZ06G6O71SC3Z", "GIANLUCA ROBERTO")</f>
        <v>GIANLUCA ROBERTO</v>
      </c>
      <c r="B13521" s="7" t="str">
        <f t="shared" ref="B13521:B13526" si="979">HYPERLINK("https://otsuka-europe-crm.veevavault.com/ui/#object/vcountry__v/VENZ000004SONFQ", "IT")</f>
        <v>IT</v>
      </c>
      <c r="C13521" s="8" t="s">
        <v>44</v>
      </c>
      <c r="D13521" s="9" t="str">
        <f>HYPERLINK("https://otsuka-europe-crm.veevavault.com/ui/#object/approved_document__v/V5OZ025E82T9SYM", "ABILIFY 960/720_Branded_AE Burden_IT-AM2-2500124")</f>
        <v>ABILIFY 960/720_Branded_AE Burden_IT-AM2-2500124</v>
      </c>
      <c r="E13521" s="10" t="str">
        <f>HYPERLINK("https://otsuka-europe-crm.veevavault.com/ui/#object/sent_email__v/VBL00000002Z329", "SE-001438906")</f>
        <v>SE-001438906</v>
      </c>
      <c r="F13521" s="11"/>
      <c r="G13521" s="12">
        <v>0</v>
      </c>
      <c r="H13521" s="12">
        <v>0</v>
      </c>
      <c r="I13521" s="12">
        <v>0</v>
      </c>
      <c r="J13521" s="11"/>
      <c r="K13521" s="12">
        <v>0</v>
      </c>
      <c r="L13521" s="10" t="str">
        <f>HYPERLINK("https://otsuka-europe-crm.veevavault.com/ui/#object/approved_document__v/V5OZ025E82T9SYM", "ABILIFY 960/720_Branded_AE Burden_IT-AM2-2500124")</f>
        <v>ABILIFY 960/720_Branded_AE Burden_IT-AM2-2500124</v>
      </c>
      <c r="M13521" s="10" t="str">
        <f t="shared" ref="M13521:M13526" si="980">HYPERLINK("mailto:sandro.vitto@crm.otsuka-europe.com", "sandro.vitto@crm.otsuka-europe.com")</f>
        <v>sandro.vitto@crm.otsuka-europe.com</v>
      </c>
      <c r="N13521" s="13">
        <v>46203.585868055554</v>
      </c>
      <c r="O13521" s="14" t="str">
        <f>HYPERLINK("https://otsuka-europe-crm.veevavault.com/ui/#object/email_activity__v/V8C000000042567", "EN-002100856")</f>
        <v>EN-002100856</v>
      </c>
    </row>
    <row r="13522" spans="1:15" ht="64" x14ac:dyDescent="0.2">
      <c r="A13522" s="7" t="str">
        <f>HYPERLINK("https://otsuka-europe-crm.veevavault.com/ui/#object/account__v/V4TZ06G6O71SC3Z", "GIANLUCA ROBERTO")</f>
        <v>GIANLUCA ROBERTO</v>
      </c>
      <c r="B13522" s="7" t="str">
        <f t="shared" si="979"/>
        <v>IT</v>
      </c>
      <c r="C13522" s="8" t="s">
        <v>44</v>
      </c>
      <c r="D13522" s="9" t="str">
        <f>HYPERLINK("https://otsuka-europe-crm.veevavault.com/ui/#object/approved_document__v/V5OZ025E82T9SYL", "OTSUKA_ABILIFY 960/720_Branded_AE lancio 960/720_IT-AM2-2500122")</f>
        <v>OTSUKA_ABILIFY 960/720_Branded_AE lancio 960/720_IT-AM2-2500122</v>
      </c>
      <c r="E13522" s="10" t="str">
        <f>HYPERLINK("https://otsuka-europe-crm.veevavault.com/ui/#object/sent_email__v/VBL00000002Y224", "SE-001438907")</f>
        <v>SE-001438907</v>
      </c>
      <c r="F13522" s="11"/>
      <c r="G13522" s="12">
        <v>0</v>
      </c>
      <c r="H13522" s="12">
        <v>0</v>
      </c>
      <c r="I13522" s="12">
        <v>0</v>
      </c>
      <c r="J13522" s="11"/>
      <c r="K13522" s="12">
        <v>0</v>
      </c>
      <c r="L13522" s="10" t="str">
        <f>HYPERLINK("https://otsuka-europe-crm.veevavault.com/ui/#object/approved_document__v/V5OZ025E82T9SYL", "OTSUKA_ABILIFY 960/720_Branded_AE lancio 960/720_IT-AM2-2500122")</f>
        <v>OTSUKA_ABILIFY 960/720_Branded_AE lancio 960/720_IT-AM2-2500122</v>
      </c>
      <c r="M13522" s="10" t="str">
        <f t="shared" si="980"/>
        <v>sandro.vitto@crm.otsuka-europe.com</v>
      </c>
      <c r="N13522" s="13">
        <v>46203.585868055554</v>
      </c>
      <c r="O13522" s="14" t="str">
        <f>HYPERLINK("https://otsuka-europe-crm.veevavault.com/ui/#object/email_activity__v/V8C000000042568", "EN-002100857")</f>
        <v>EN-002100857</v>
      </c>
    </row>
    <row r="13523" spans="1:15" ht="48" x14ac:dyDescent="0.2">
      <c r="A13523" s="7" t="str">
        <f>HYPERLINK("https://otsuka-europe-crm.veevavault.com/ui/#object/account__v/V4TZ06G6O71SC3Z", "GIANLUCA ROBERTO")</f>
        <v>GIANLUCA ROBERTO</v>
      </c>
      <c r="B13523" s="7" t="str">
        <f t="shared" si="979"/>
        <v>IT</v>
      </c>
      <c r="C13523" s="8" t="s">
        <v>44</v>
      </c>
      <c r="D13523" s="9" t="str">
        <f>HYPERLINK("https://otsuka-europe-crm.veevavault.com/ui/#object/approved_document__v/V5OZ025E82MQEQD", "ABILIFY MAINTENA 960_Unbranded_AE GU_ IT-NPR-2500045")</f>
        <v>ABILIFY MAINTENA 960_Unbranded_AE GU_ IT-NPR-2500045</v>
      </c>
      <c r="E13523" s="10" t="str">
        <f>HYPERLINK("https://otsuka-europe-crm.veevavault.com/ui/#object/sent_email__v/VBL00000002Z330", "SE-001438908")</f>
        <v>SE-001438908</v>
      </c>
      <c r="F13523" s="11"/>
      <c r="G13523" s="12">
        <v>0</v>
      </c>
      <c r="H13523" s="12">
        <v>0</v>
      </c>
      <c r="I13523" s="12">
        <v>0</v>
      </c>
      <c r="J13523" s="11"/>
      <c r="K13523" s="12">
        <v>0</v>
      </c>
      <c r="L13523" s="10" t="str">
        <f>HYPERLINK("https://otsuka-europe-crm.veevavault.com/ui/#object/approved_document__v/V5OZ025E82MQEQD", "ABILIFY MAINTENA 960_Unbranded_AE GU_ IT-NPR-2500045")</f>
        <v>ABILIFY MAINTENA 960_Unbranded_AE GU_ IT-NPR-2500045</v>
      </c>
      <c r="M13523" s="10" t="str">
        <f t="shared" si="980"/>
        <v>sandro.vitto@crm.otsuka-europe.com</v>
      </c>
      <c r="N13523" s="13">
        <v>46203.585868055554</v>
      </c>
      <c r="O13523" s="14" t="str">
        <f>HYPERLINK("https://otsuka-europe-crm.veevavault.com/ui/#object/email_activity__v/V8C000000042569", "EN-002100858")</f>
        <v>EN-002100858</v>
      </c>
    </row>
    <row r="13524" spans="1:15" ht="48" x14ac:dyDescent="0.2">
      <c r="A13524" s="7" t="str">
        <f>HYPERLINK("https://otsuka-europe-crm.veevavault.com/ui/#object/account__v/V4TZ06G6O71TFLX", "ASSUNTA PUGLIESE")</f>
        <v>ASSUNTA PUGLIESE</v>
      </c>
      <c r="B13524" s="7" t="str">
        <f t="shared" si="979"/>
        <v>IT</v>
      </c>
      <c r="C13524" s="8" t="s">
        <v>44</v>
      </c>
      <c r="D13524" s="9" t="str">
        <f>HYPERLINK("https://otsuka-europe-crm.veevavault.com/ui/#object/approved_document__v/V5OZ025E82T9SYM", "ABILIFY 960/720_Branded_AE Burden_IT-AM2-2500124")</f>
        <v>ABILIFY 960/720_Branded_AE Burden_IT-AM2-2500124</v>
      </c>
      <c r="E13524" s="10" t="str">
        <f>HYPERLINK("https://otsuka-europe-crm.veevavault.com/ui/#object/sent_email__v/VBL00000002Z331", "SE-001438909")</f>
        <v>SE-001438909</v>
      </c>
      <c r="F13524" s="11"/>
      <c r="G13524" s="12">
        <v>0</v>
      </c>
      <c r="H13524" s="12">
        <v>0</v>
      </c>
      <c r="I13524" s="12">
        <v>0</v>
      </c>
      <c r="J13524" s="11"/>
      <c r="K13524" s="12">
        <v>0</v>
      </c>
      <c r="L13524" s="10" t="str">
        <f>HYPERLINK("https://otsuka-europe-crm.veevavault.com/ui/#object/approved_document__v/V5OZ025E82T9SYM", "ABILIFY 960/720_Branded_AE Burden_IT-AM2-2500124")</f>
        <v>ABILIFY 960/720_Branded_AE Burden_IT-AM2-2500124</v>
      </c>
      <c r="M13524" s="10" t="str">
        <f t="shared" si="980"/>
        <v>sandro.vitto@crm.otsuka-europe.com</v>
      </c>
      <c r="N13524" s="13">
        <v>46203.586215277777</v>
      </c>
      <c r="O13524" s="14" t="str">
        <f>HYPERLINK("https://otsuka-europe-crm.veevavault.com/ui/#object/email_activity__v/V8C000000041611", "EN-002100860")</f>
        <v>EN-002100860</v>
      </c>
    </row>
    <row r="13525" spans="1:15" ht="64" x14ac:dyDescent="0.2">
      <c r="A13525" s="7" t="str">
        <f>HYPERLINK("https://otsuka-europe-crm.veevavault.com/ui/#object/account__v/V4TZ06G6O71TFLX", "ASSUNTA PUGLIESE")</f>
        <v>ASSUNTA PUGLIESE</v>
      </c>
      <c r="B13525" s="7" t="str">
        <f t="shared" si="979"/>
        <v>IT</v>
      </c>
      <c r="C13525" s="8" t="s">
        <v>44</v>
      </c>
      <c r="D13525" s="9" t="str">
        <f>HYPERLINK("https://otsuka-europe-crm.veevavault.com/ui/#object/approved_document__v/V5OZ025E82T9SYL", "OTSUKA_ABILIFY 960/720_Branded_AE lancio 960/720_IT-AM2-2500122")</f>
        <v>OTSUKA_ABILIFY 960/720_Branded_AE lancio 960/720_IT-AM2-2500122</v>
      </c>
      <c r="E13525" s="10" t="str">
        <f>HYPERLINK("https://otsuka-europe-crm.veevavault.com/ui/#object/sent_email__v/VBL00000002Z332", "SE-001438910")</f>
        <v>SE-001438910</v>
      </c>
      <c r="F13525" s="11"/>
      <c r="G13525" s="12">
        <v>0</v>
      </c>
      <c r="H13525" s="12">
        <v>0</v>
      </c>
      <c r="I13525" s="12">
        <v>0</v>
      </c>
      <c r="J13525" s="11"/>
      <c r="K13525" s="12">
        <v>0</v>
      </c>
      <c r="L13525" s="10" t="str">
        <f>HYPERLINK("https://otsuka-europe-crm.veevavault.com/ui/#object/approved_document__v/V5OZ025E82T9SYL", "OTSUKA_ABILIFY 960/720_Branded_AE lancio 960/720_IT-AM2-2500122")</f>
        <v>OTSUKA_ABILIFY 960/720_Branded_AE lancio 960/720_IT-AM2-2500122</v>
      </c>
      <c r="M13525" s="10" t="str">
        <f t="shared" si="980"/>
        <v>sandro.vitto@crm.otsuka-europe.com</v>
      </c>
      <c r="N13525" s="13">
        <v>46203.586215277777</v>
      </c>
      <c r="O13525" s="14" t="str">
        <f>HYPERLINK("https://otsuka-europe-crm.veevavault.com/ui/#object/email_activity__v/V8C000000042571", "EN-002100861")</f>
        <v>EN-002100861</v>
      </c>
    </row>
    <row r="13526" spans="1:15" ht="48" x14ac:dyDescent="0.2">
      <c r="A13526" s="7" t="str">
        <f>HYPERLINK("https://otsuka-europe-crm.veevavault.com/ui/#object/account__v/V4TZ06G6O71TFLX", "ASSUNTA PUGLIESE")</f>
        <v>ASSUNTA PUGLIESE</v>
      </c>
      <c r="B13526" s="7" t="str">
        <f t="shared" si="979"/>
        <v>IT</v>
      </c>
      <c r="C13526" s="8" t="s">
        <v>44</v>
      </c>
      <c r="D13526" s="9" t="str">
        <f>HYPERLINK("https://otsuka-europe-crm.veevavault.com/ui/#object/approved_document__v/V5OZ025E82MQEQD", "ABILIFY MAINTENA 960_Unbranded_AE GU_ IT-NPR-2500045")</f>
        <v>ABILIFY MAINTENA 960_Unbranded_AE GU_ IT-NPR-2500045</v>
      </c>
      <c r="E13526" s="10" t="str">
        <f>HYPERLINK("https://otsuka-europe-crm.veevavault.com/ui/#object/sent_email__v/VBL00000002Y225", "SE-001438911")</f>
        <v>SE-001438911</v>
      </c>
      <c r="F13526" s="11"/>
      <c r="G13526" s="12">
        <v>0</v>
      </c>
      <c r="H13526" s="12">
        <v>0</v>
      </c>
      <c r="I13526" s="12">
        <v>0</v>
      </c>
      <c r="J13526" s="11"/>
      <c r="K13526" s="12">
        <v>0</v>
      </c>
      <c r="L13526" s="10" t="str">
        <f>HYPERLINK("https://otsuka-europe-crm.veevavault.com/ui/#object/approved_document__v/V5OZ025E82MQEQD", "ABILIFY MAINTENA 960_Unbranded_AE GU_ IT-NPR-2500045")</f>
        <v>ABILIFY MAINTENA 960_Unbranded_AE GU_ IT-NPR-2500045</v>
      </c>
      <c r="M13526" s="10" t="str">
        <f t="shared" si="980"/>
        <v>sandro.vitto@crm.otsuka-europe.com</v>
      </c>
      <c r="N13526" s="13">
        <v>46203.586238425924</v>
      </c>
      <c r="O13526" s="14" t="str">
        <f>HYPERLINK("https://otsuka-europe-crm.veevavault.com/ui/#object/email_activity__v/V8C000000042570", "EN-002100859")</f>
        <v>EN-002100859</v>
      </c>
    </row>
    <row r="13527" spans="1:15" ht="16" x14ac:dyDescent="0.2">
      <c r="A13527" s="17" t="str">
        <f>HYPERLINK("https://otsuka-europe-crm.veevavault.com/ui/#object/account__v/V4TZ025E88RJQ1I", "JOHANNA SIBONI")</f>
        <v>JOHANNA SIBONI</v>
      </c>
      <c r="B13527" s="17" t="str">
        <f>HYPERLINK("https://otsuka-europe-crm.veevavault.com/ui/#object/vcountry__v/VENZ000004SONFA", "FR")</f>
        <v>FR</v>
      </c>
      <c r="C13527" s="20" t="s">
        <v>42</v>
      </c>
      <c r="D13527" s="21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13527" s="22" t="str">
        <f>HYPERLINK("https://otsuka-europe-crm.veevavault.com/ui/#object/sent_email__v/VBL00000002Y226", "SE-001438912")</f>
        <v>SE-001438912</v>
      </c>
      <c r="F13527" s="23">
        <v>46203.723020833335</v>
      </c>
      <c r="G13527" s="24">
        <v>1</v>
      </c>
      <c r="H13527" s="24">
        <v>2</v>
      </c>
      <c r="I13527" s="24">
        <v>0</v>
      </c>
      <c r="J13527" s="25"/>
      <c r="K13527" s="24">
        <v>0</v>
      </c>
      <c r="L13527" s="22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13527" s="22" t="str">
        <f>HYPERLINK("mailto:mperrin@crm.otsuka-europe.com", "mperrin@crm.otsuka-europe.com")</f>
        <v>mperrin@crm.otsuka-europe.com</v>
      </c>
      <c r="N13527" s="23">
        <v>46203.586481481485</v>
      </c>
      <c r="O13527" s="14" t="str">
        <f>HYPERLINK("https://otsuka-europe-crm.veevavault.com/ui/#object/email_activity__v/V8C000000042576", "EN-002100867")</f>
        <v>EN-002100867</v>
      </c>
    </row>
    <row r="13528" spans="1:15" ht="16" x14ac:dyDescent="0.2">
      <c r="A13528" s="18"/>
      <c r="B13528" s="18"/>
      <c r="C13528" s="18"/>
      <c r="D13528" s="18"/>
      <c r="E13528" s="18"/>
      <c r="F13528" s="18"/>
      <c r="G13528" s="18"/>
      <c r="H13528" s="18"/>
      <c r="I13528" s="18"/>
      <c r="J13528" s="18"/>
      <c r="K13528" s="18"/>
      <c r="L13528" s="18"/>
      <c r="M13528" s="18"/>
      <c r="N13528" s="18"/>
      <c r="O13528" s="14" t="str">
        <f>HYPERLINK("https://otsuka-europe-crm.veevavault.com/ui/#object/email_activity__v/V8C000000042706", "EN-002101076")</f>
        <v>EN-002101076</v>
      </c>
    </row>
    <row r="13529" spans="1:15" ht="16" x14ac:dyDescent="0.2">
      <c r="A13529" s="19"/>
      <c r="B13529" s="19"/>
      <c r="C13529" s="19"/>
      <c r="D13529" s="19"/>
      <c r="E13529" s="19"/>
      <c r="F13529" s="19"/>
      <c r="G13529" s="19"/>
      <c r="H13529" s="19"/>
      <c r="I13529" s="19"/>
      <c r="J13529" s="19"/>
      <c r="K13529" s="19"/>
      <c r="L13529" s="19"/>
      <c r="M13529" s="19"/>
      <c r="N13529" s="19"/>
      <c r="O13529" s="14" t="str">
        <f>HYPERLINK("https://otsuka-europe-crm.veevavault.com/ui/#object/email_activity__v/V8C000000042708", "EN-002101078")</f>
        <v>EN-002101078</v>
      </c>
    </row>
    <row r="13530" spans="1:15" ht="48" x14ac:dyDescent="0.2">
      <c r="A13530" s="7" t="str">
        <f>HYPERLINK("https://otsuka-europe-crm.veevavault.com/ui/#object/account__v/V4TZ06G6O71SAC9", "ANDREA FALSETTI")</f>
        <v>ANDREA FALSETTI</v>
      </c>
      <c r="B13530" s="7" t="str">
        <f>HYPERLINK("https://otsuka-europe-crm.veevavault.com/ui/#object/vcountry__v/VENZ000004SONFQ", "IT")</f>
        <v>IT</v>
      </c>
      <c r="C13530" s="8" t="s">
        <v>44</v>
      </c>
      <c r="D13530" s="9" t="str">
        <f>HYPERLINK("https://otsuka-europe-crm.veevavault.com/ui/#object/approved_document__v/V5OZ025E82T9SYM", "ABILIFY 960/720_Branded_AE Burden_IT-AM2-2500124")</f>
        <v>ABILIFY 960/720_Branded_AE Burden_IT-AM2-2500124</v>
      </c>
      <c r="E13530" s="10" t="str">
        <f>HYPERLINK("https://otsuka-europe-crm.veevavault.com/ui/#object/sent_email__v/VBL00000002Y227", "SE-001438913")</f>
        <v>SE-001438913</v>
      </c>
      <c r="F13530" s="11"/>
      <c r="G13530" s="12">
        <v>0</v>
      </c>
      <c r="H13530" s="12">
        <v>0</v>
      </c>
      <c r="I13530" s="12">
        <v>0</v>
      </c>
      <c r="J13530" s="11"/>
      <c r="K13530" s="12">
        <v>0</v>
      </c>
      <c r="L13530" s="10" t="str">
        <f>HYPERLINK("https://otsuka-europe-crm.veevavault.com/ui/#object/approved_document__v/V5OZ025E82T9SYM", "ABILIFY 960/720_Branded_AE Burden_IT-AM2-2500124")</f>
        <v>ABILIFY 960/720_Branded_AE Burden_IT-AM2-2500124</v>
      </c>
      <c r="M13530" s="10" t="str">
        <f>HYPERLINK("mailto:sandro.vitto@crm.otsuka-europe.com", "sandro.vitto@crm.otsuka-europe.com")</f>
        <v>sandro.vitto@crm.otsuka-europe.com</v>
      </c>
      <c r="N13530" s="13">
        <v>46203.586469907408</v>
      </c>
      <c r="O13530" s="14" t="str">
        <f>HYPERLINK("https://otsuka-europe-crm.veevavault.com/ui/#object/email_activity__v/V8C000000042573", "EN-002100863")</f>
        <v>EN-002100863</v>
      </c>
    </row>
    <row r="13531" spans="1:15" ht="48" x14ac:dyDescent="0.2">
      <c r="A13531" s="7" t="str">
        <f>HYPERLINK("https://otsuka-europe-crm.veevavault.com/ui/#object/account__v/V4TZ00000633OJM", "CATHERINE BOITEUX")</f>
        <v>CATHERINE BOITEUX</v>
      </c>
      <c r="B13531" s="7" t="str">
        <f>HYPERLINK("https://otsuka-europe-crm.veevavault.com/ui/#object/vcountry__v/VENZ000004SONFA", "FR")</f>
        <v>FR</v>
      </c>
      <c r="C13531" s="8" t="s">
        <v>42</v>
      </c>
      <c r="D13531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13531" s="10" t="str">
        <f>HYPERLINK("https://otsuka-europe-crm.veevavault.com/ui/#object/sent_email__v/VBL00000002Z333", "SE-001438914")</f>
        <v>SE-001438914</v>
      </c>
      <c r="F13531" s="11"/>
      <c r="G13531" s="12">
        <v>0</v>
      </c>
      <c r="H13531" s="12">
        <v>0</v>
      </c>
      <c r="I13531" s="12">
        <v>0</v>
      </c>
      <c r="J13531" s="11"/>
      <c r="K13531" s="12">
        <v>0</v>
      </c>
      <c r="L13531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13531" s="10" t="str">
        <f>HYPERLINK("mailto:mperrin@crm.otsuka-europe.com", "mperrin@crm.otsuka-europe.com")</f>
        <v>mperrin@crm.otsuka-europe.com</v>
      </c>
      <c r="N13531" s="13">
        <v>46203.586481481485</v>
      </c>
      <c r="O13531" s="14" t="str">
        <f>HYPERLINK("https://otsuka-europe-crm.veevavault.com/ui/#object/email_activity__v/V8C000000042574", "EN-002100864")</f>
        <v>EN-002100864</v>
      </c>
    </row>
    <row r="13532" spans="1:15" ht="64" x14ac:dyDescent="0.2">
      <c r="A13532" s="7" t="str">
        <f>HYPERLINK("https://otsuka-europe-crm.veevavault.com/ui/#object/account__v/V4TZ06G6O71SAC9", "ANDREA FALSETTI")</f>
        <v>ANDREA FALSETTI</v>
      </c>
      <c r="B13532" s="7" t="str">
        <f>HYPERLINK("https://otsuka-europe-crm.veevavault.com/ui/#object/vcountry__v/VENZ000004SONFQ", "IT")</f>
        <v>IT</v>
      </c>
      <c r="C13532" s="8" t="s">
        <v>44</v>
      </c>
      <c r="D13532" s="9" t="str">
        <f>HYPERLINK("https://otsuka-europe-crm.veevavault.com/ui/#object/approved_document__v/V5OZ025E82T9SYL", "OTSUKA_ABILIFY 960/720_Branded_AE lancio 960/720_IT-AM2-2500122")</f>
        <v>OTSUKA_ABILIFY 960/720_Branded_AE lancio 960/720_IT-AM2-2500122</v>
      </c>
      <c r="E13532" s="10" t="str">
        <f>HYPERLINK("https://otsuka-europe-crm.veevavault.com/ui/#object/sent_email__v/VBL00000002Z334", "SE-001438915")</f>
        <v>SE-001438915</v>
      </c>
      <c r="F13532" s="11"/>
      <c r="G13532" s="12">
        <v>0</v>
      </c>
      <c r="H13532" s="12">
        <v>0</v>
      </c>
      <c r="I13532" s="12">
        <v>0</v>
      </c>
      <c r="J13532" s="11"/>
      <c r="K13532" s="12">
        <v>0</v>
      </c>
      <c r="L13532" s="10" t="str">
        <f>HYPERLINK("https://otsuka-europe-crm.veevavault.com/ui/#object/approved_document__v/V5OZ025E82T9SYL", "OTSUKA_ABILIFY 960/720_Branded_AE lancio 960/720_IT-AM2-2500122")</f>
        <v>OTSUKA_ABILIFY 960/720_Branded_AE lancio 960/720_IT-AM2-2500122</v>
      </c>
      <c r="M13532" s="10" t="str">
        <f>HYPERLINK("mailto:sandro.vitto@crm.otsuka-europe.com", "sandro.vitto@crm.otsuka-europe.com")</f>
        <v>sandro.vitto@crm.otsuka-europe.com</v>
      </c>
      <c r="N13532" s="13">
        <v>46203.586481481485</v>
      </c>
      <c r="O13532" s="14" t="str">
        <f>HYPERLINK("https://otsuka-europe-crm.veevavault.com/ui/#object/email_activity__v/V8C000000041613", "EN-002100869")</f>
        <v>EN-002100869</v>
      </c>
    </row>
    <row r="13533" spans="1:15" ht="16" x14ac:dyDescent="0.2">
      <c r="A13533" s="17" t="str">
        <f>HYPERLINK("https://otsuka-europe-crm.veevavault.com/ui/#object/account__v/V4TZ06G6O71SAC9", "ANDREA FALSETTI")</f>
        <v>ANDREA FALSETTI</v>
      </c>
      <c r="B13533" s="17" t="str">
        <f>HYPERLINK("https://otsuka-europe-crm.veevavault.com/ui/#object/vcountry__v/VENZ000004SONFQ", "IT")</f>
        <v>IT</v>
      </c>
      <c r="C13533" s="20" t="s">
        <v>44</v>
      </c>
      <c r="D13533" s="21" t="str">
        <f>HYPERLINK("https://otsuka-europe-crm.veevavault.com/ui/#object/approved_document__v/V5OZ025E82MQEQD", "ABILIFY MAINTENA 960_Unbranded_AE GU_ IT-NPR-2500045")</f>
        <v>ABILIFY MAINTENA 960_Unbranded_AE GU_ IT-NPR-2500045</v>
      </c>
      <c r="E13533" s="22" t="str">
        <f>HYPERLINK("https://otsuka-europe-crm.veevavault.com/ui/#object/sent_email__v/VBL00000002Z335", "SE-001438916")</f>
        <v>SE-001438916</v>
      </c>
      <c r="F13533" s="23">
        <v>46204.491585648146</v>
      </c>
      <c r="G13533" s="24">
        <v>1</v>
      </c>
      <c r="H13533" s="24">
        <v>4</v>
      </c>
      <c r="I13533" s="24">
        <v>0</v>
      </c>
      <c r="J13533" s="25"/>
      <c r="K13533" s="24">
        <v>0</v>
      </c>
      <c r="L13533" s="22" t="str">
        <f>HYPERLINK("https://otsuka-europe-crm.veevavault.com/ui/#object/approved_document__v/V5OZ025E82MQEQD", "ABILIFY MAINTENA 960_Unbranded_AE GU_ IT-NPR-2500045")</f>
        <v>ABILIFY MAINTENA 960_Unbranded_AE GU_ IT-NPR-2500045</v>
      </c>
      <c r="M13533" s="22" t="str">
        <f>HYPERLINK("mailto:sandro.vitto@crm.otsuka-europe.com", "sandro.vitto@crm.otsuka-europe.com")</f>
        <v>sandro.vitto@crm.otsuka-europe.com</v>
      </c>
      <c r="N13533" s="23">
        <v>46203.586516203701</v>
      </c>
      <c r="O13533" s="14" t="str">
        <f>HYPERLINK("https://otsuka-europe-crm.veevavault.com/ui/#object/email_activity__v/V8C000000041612", "EN-002100865")</f>
        <v>EN-002100865</v>
      </c>
    </row>
    <row r="13534" spans="1:15" ht="16" x14ac:dyDescent="0.2">
      <c r="A13534" s="18"/>
      <c r="B13534" s="18"/>
      <c r="C13534" s="18"/>
      <c r="D13534" s="18"/>
      <c r="E13534" s="18"/>
      <c r="F13534" s="18"/>
      <c r="G13534" s="18"/>
      <c r="H13534" s="18"/>
      <c r="I13534" s="18"/>
      <c r="J13534" s="18"/>
      <c r="K13534" s="18"/>
      <c r="L13534" s="18"/>
      <c r="M13534" s="18"/>
      <c r="N13534" s="18"/>
      <c r="O13534" s="14" t="str">
        <f>HYPERLINK("https://otsuka-europe-crm.veevavault.com/ui/#object/email_activity__v/V8C000000041614", "EN-002100880")</f>
        <v>EN-002100880</v>
      </c>
    </row>
    <row r="13535" spans="1:15" ht="16" x14ac:dyDescent="0.2">
      <c r="A13535" s="18"/>
      <c r="B13535" s="18"/>
      <c r="C13535" s="18"/>
      <c r="D13535" s="18"/>
      <c r="E13535" s="18"/>
      <c r="F13535" s="18"/>
      <c r="G13535" s="18"/>
      <c r="H13535" s="18"/>
      <c r="I13535" s="18"/>
      <c r="J13535" s="18"/>
      <c r="K13535" s="18"/>
      <c r="L13535" s="18"/>
      <c r="M13535" s="18"/>
      <c r="N13535" s="18"/>
      <c r="O13535" s="14" t="str">
        <f>HYPERLINK("https://otsuka-europe-crm.veevavault.com/ui/#object/email_activity__v/V8C000000042588", "EN-002100881")</f>
        <v>EN-002100881</v>
      </c>
    </row>
    <row r="13536" spans="1:15" ht="16" x14ac:dyDescent="0.2">
      <c r="A13536" s="18"/>
      <c r="B13536" s="18"/>
      <c r="C13536" s="18"/>
      <c r="D13536" s="18"/>
      <c r="E13536" s="18"/>
      <c r="F13536" s="18"/>
      <c r="G13536" s="18"/>
      <c r="H13536" s="18"/>
      <c r="I13536" s="18"/>
      <c r="J13536" s="18"/>
      <c r="K13536" s="18"/>
      <c r="L13536" s="18"/>
      <c r="M13536" s="18"/>
      <c r="N13536" s="18"/>
      <c r="O13536" s="14" t="str">
        <f>HYPERLINK("https://otsuka-europe-crm.veevavault.com/ui/#object/email_activity__v/V8C000000042590", "EN-002100885")</f>
        <v>EN-002100885</v>
      </c>
    </row>
    <row r="13537" spans="1:15" ht="16" x14ac:dyDescent="0.2">
      <c r="A13537" s="19"/>
      <c r="B13537" s="19"/>
      <c r="C13537" s="19"/>
      <c r="D13537" s="19"/>
      <c r="E13537" s="19"/>
      <c r="F13537" s="19"/>
      <c r="G13537" s="19"/>
      <c r="H13537" s="19"/>
      <c r="I13537" s="19"/>
      <c r="J13537" s="19"/>
      <c r="K13537" s="19"/>
      <c r="L13537" s="19"/>
      <c r="M13537" s="19"/>
      <c r="N13537" s="19"/>
      <c r="O13537" s="14" t="str">
        <f>HYPERLINK("https://otsuka-europe-crm.veevavault.com/ui/#object/email_activity__v/V8C000000042905", "EN-002101396")</f>
        <v>EN-002101396</v>
      </c>
    </row>
    <row r="13538" spans="1:15" ht="48" x14ac:dyDescent="0.2">
      <c r="A13538" s="7" t="str">
        <f>HYPERLINK("https://otsuka-europe-crm.veevavault.com/ui/#object/account__v/V4TZ06G6O71S9XR", "FRANCESCO ANELLI")</f>
        <v>FRANCESCO ANELLI</v>
      </c>
      <c r="B13538" s="7" t="str">
        <f>HYPERLINK("https://otsuka-europe-crm.veevavault.com/ui/#object/vcountry__v/VENZ000004SONFQ", "IT")</f>
        <v>IT</v>
      </c>
      <c r="C13538" s="8" t="s">
        <v>44</v>
      </c>
      <c r="D13538" s="9" t="str">
        <f>HYPERLINK("https://otsuka-europe-crm.veevavault.com/ui/#object/approved_document__v/V5OZ025E82T9SYM", "ABILIFY 960/720_Branded_AE Burden_IT-AM2-2500124")</f>
        <v>ABILIFY 960/720_Branded_AE Burden_IT-AM2-2500124</v>
      </c>
      <c r="E13538" s="10" t="str">
        <f>HYPERLINK("https://otsuka-europe-crm.veevavault.com/ui/#object/sent_email__v/VBL00000002Y228", "SE-001438917")</f>
        <v>SE-001438917</v>
      </c>
      <c r="F13538" s="11"/>
      <c r="G13538" s="12">
        <v>0</v>
      </c>
      <c r="H13538" s="12">
        <v>0</v>
      </c>
      <c r="I13538" s="12">
        <v>0</v>
      </c>
      <c r="J13538" s="11"/>
      <c r="K13538" s="12">
        <v>0</v>
      </c>
      <c r="L13538" s="10" t="str">
        <f>HYPERLINK("https://otsuka-europe-crm.veevavault.com/ui/#object/approved_document__v/V5OZ025E82T9SYM", "ABILIFY 960/720_Branded_AE Burden_IT-AM2-2500124")</f>
        <v>ABILIFY 960/720_Branded_AE Burden_IT-AM2-2500124</v>
      </c>
      <c r="M13538" s="10" t="str">
        <f>HYPERLINK("mailto:sandro.vitto@crm.otsuka-europe.com", "sandro.vitto@crm.otsuka-europe.com")</f>
        <v>sandro.vitto@crm.otsuka-europe.com</v>
      </c>
      <c r="N13538" s="13">
        <v>46203.586817129632</v>
      </c>
      <c r="O13538" s="14" t="str">
        <f>HYPERLINK("https://otsuka-europe-crm.veevavault.com/ui/#object/email_activity__v/V8C000000042579", "EN-002100871")</f>
        <v>EN-002100871</v>
      </c>
    </row>
    <row r="13539" spans="1:15" ht="64" x14ac:dyDescent="0.2">
      <c r="A13539" s="7" t="str">
        <f>HYPERLINK("https://otsuka-europe-crm.veevavault.com/ui/#object/account__v/V4TZ06G6O71S9XR", "FRANCESCO ANELLI")</f>
        <v>FRANCESCO ANELLI</v>
      </c>
      <c r="B13539" s="7" t="str">
        <f>HYPERLINK("https://otsuka-europe-crm.veevavault.com/ui/#object/vcountry__v/VENZ000004SONFQ", "IT")</f>
        <v>IT</v>
      </c>
      <c r="C13539" s="8" t="s">
        <v>44</v>
      </c>
      <c r="D13539" s="9" t="str">
        <f>HYPERLINK("https://otsuka-europe-crm.veevavault.com/ui/#object/approved_document__v/V5OZ025E82T9SYL", "OTSUKA_ABILIFY 960/720_Branded_AE lancio 960/720_IT-AM2-2500122")</f>
        <v>OTSUKA_ABILIFY 960/720_Branded_AE lancio 960/720_IT-AM2-2500122</v>
      </c>
      <c r="E13539" s="10" t="str">
        <f>HYPERLINK("https://otsuka-europe-crm.veevavault.com/ui/#object/sent_email__v/VBL00000002Z336", "SE-001438918")</f>
        <v>SE-001438918</v>
      </c>
      <c r="F13539" s="11"/>
      <c r="G13539" s="12">
        <v>0</v>
      </c>
      <c r="H13539" s="12">
        <v>0</v>
      </c>
      <c r="I13539" s="12">
        <v>0</v>
      </c>
      <c r="J13539" s="11"/>
      <c r="K13539" s="12">
        <v>0</v>
      </c>
      <c r="L13539" s="10" t="str">
        <f>HYPERLINK("https://otsuka-europe-crm.veevavault.com/ui/#object/approved_document__v/V5OZ025E82T9SYL", "OTSUKA_ABILIFY 960/720_Branded_AE lancio 960/720_IT-AM2-2500122")</f>
        <v>OTSUKA_ABILIFY 960/720_Branded_AE lancio 960/720_IT-AM2-2500122</v>
      </c>
      <c r="M13539" s="10" t="str">
        <f>HYPERLINK("mailto:sandro.vitto@crm.otsuka-europe.com", "sandro.vitto@crm.otsuka-europe.com")</f>
        <v>sandro.vitto@crm.otsuka-europe.com</v>
      </c>
      <c r="N13539" s="13">
        <v>46203.586805555555</v>
      </c>
      <c r="O13539" s="14" t="str">
        <f>HYPERLINK("https://otsuka-europe-crm.veevavault.com/ui/#object/email_activity__v/V8C000000042578", "EN-002100870")</f>
        <v>EN-002100870</v>
      </c>
    </row>
    <row r="13540" spans="1:15" ht="16" x14ac:dyDescent="0.2">
      <c r="A13540" s="17" t="str">
        <f>HYPERLINK("https://otsuka-europe-crm.veevavault.com/ui/#object/account__v/V4TZ06G6O71S9XR", "FRANCESCO ANELLI")</f>
        <v>FRANCESCO ANELLI</v>
      </c>
      <c r="B13540" s="17" t="str">
        <f>HYPERLINK("https://otsuka-europe-crm.veevavault.com/ui/#object/vcountry__v/VENZ000004SONFQ", "IT")</f>
        <v>IT</v>
      </c>
      <c r="C13540" s="20" t="s">
        <v>44</v>
      </c>
      <c r="D13540" s="21" t="str">
        <f>HYPERLINK("https://otsuka-europe-crm.veevavault.com/ui/#object/approved_document__v/V5OZ025E82MQEQD", "ABILIFY MAINTENA 960_Unbranded_AE GU_ IT-NPR-2500045")</f>
        <v>ABILIFY MAINTENA 960_Unbranded_AE GU_ IT-NPR-2500045</v>
      </c>
      <c r="E13540" s="22" t="str">
        <f>HYPERLINK("https://otsuka-europe-crm.veevavault.com/ui/#object/sent_email__v/VBL00000002Y229", "SE-001438919")</f>
        <v>SE-001438919</v>
      </c>
      <c r="F13540" s="25"/>
      <c r="G13540" s="24">
        <v>0</v>
      </c>
      <c r="H13540" s="24">
        <v>0</v>
      </c>
      <c r="I13540" s="24">
        <v>0</v>
      </c>
      <c r="J13540" s="25"/>
      <c r="K13540" s="24">
        <v>0</v>
      </c>
      <c r="L13540" s="22" t="str">
        <f>HYPERLINK("https://otsuka-europe-crm.veevavault.com/ui/#object/approved_document__v/V5OZ025E82MQEQD", "ABILIFY MAINTENA 960_Unbranded_AE GU_ IT-NPR-2500045")</f>
        <v>ABILIFY MAINTENA 960_Unbranded_AE GU_ IT-NPR-2500045</v>
      </c>
      <c r="M13540" s="22" t="str">
        <f>HYPERLINK("mailto:sandro.vitto@crm.otsuka-europe.com", "sandro.vitto@crm.otsuka-europe.com")</f>
        <v>sandro.vitto@crm.otsuka-europe.com</v>
      </c>
      <c r="N13540" s="23">
        <v>46203.586851851855</v>
      </c>
      <c r="O13540" s="14" t="str">
        <f>HYPERLINK("https://otsuka-europe-crm.veevavault.com/ui/#object/email_activity__v/V8C000000042580", "EN-002100872")</f>
        <v>EN-002100872</v>
      </c>
    </row>
    <row r="13541" spans="1:15" ht="16" x14ac:dyDescent="0.2">
      <c r="A13541" s="19"/>
      <c r="B13541" s="19"/>
      <c r="C13541" s="19"/>
      <c r="D13541" s="19"/>
      <c r="E13541" s="19"/>
      <c r="F13541" s="19"/>
      <c r="G13541" s="19"/>
      <c r="H13541" s="19"/>
      <c r="I13541" s="19"/>
      <c r="J13541" s="19"/>
      <c r="K13541" s="19"/>
      <c r="L13541" s="19"/>
      <c r="M13541" s="19"/>
      <c r="N13541" s="19"/>
      <c r="O13541" s="14" t="str">
        <f>HYPERLINK("https://otsuka-europe-crm.veevavault.com/ui/#object/email_activity__v/V8C000000042745", "EN-002101136")</f>
        <v>EN-002101136</v>
      </c>
    </row>
    <row r="13542" spans="1:15" ht="16" x14ac:dyDescent="0.2">
      <c r="A13542" s="17" t="str">
        <f>HYPERLINK("https://otsuka-europe-crm.veevavault.com/ui/#object/account__v/V4TZ06G6O71S9I9", "SILVESTRO TRIZIO")</f>
        <v>SILVESTRO TRIZIO</v>
      </c>
      <c r="B13542" s="17" t="str">
        <f>HYPERLINK("https://otsuka-europe-crm.veevavault.com/ui/#object/vcountry__v/VENZ000004SONFQ", "IT")</f>
        <v>IT</v>
      </c>
      <c r="C13542" s="20" t="s">
        <v>44</v>
      </c>
      <c r="D13542" s="21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E13542" s="22" t="str">
        <f>HYPERLINK("https://otsuka-europe-crm.veevavault.com/ui/#object/sent_email__v/VBL00000002Y230", "SE-001438920")</f>
        <v>SE-001438920</v>
      </c>
      <c r="F13542" s="25"/>
      <c r="G13542" s="24">
        <v>0</v>
      </c>
      <c r="H13542" s="24">
        <v>0</v>
      </c>
      <c r="I13542" s="24">
        <v>0</v>
      </c>
      <c r="J13542" s="25"/>
      <c r="K13542" s="24">
        <v>0</v>
      </c>
      <c r="L13542" s="22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M13542" s="22" t="str">
        <f>HYPERLINK("mailto:sandro.vitto@crm.otsuka-europe.com", "sandro.vitto@crm.otsuka-europe.com")</f>
        <v>sandro.vitto@crm.otsuka-europe.com</v>
      </c>
      <c r="N13542" s="23">
        <v>46203.587083333332</v>
      </c>
      <c r="O13542" s="14" t="str">
        <f>HYPERLINK("https://otsuka-europe-crm.veevavault.com/ui/#object/email_activity__v/V8C000000042582", "EN-002100874")</f>
        <v>EN-002100874</v>
      </c>
    </row>
    <row r="13543" spans="1:15" ht="16" x14ac:dyDescent="0.2">
      <c r="A13543" s="19"/>
      <c r="B13543" s="19"/>
      <c r="C13543" s="19"/>
      <c r="D13543" s="19"/>
      <c r="E13543" s="19"/>
      <c r="F13543" s="19"/>
      <c r="G13543" s="19"/>
      <c r="H13543" s="19"/>
      <c r="I13543" s="19"/>
      <c r="J13543" s="19"/>
      <c r="K13543" s="19"/>
      <c r="L13543" s="19"/>
      <c r="M13543" s="19"/>
      <c r="N13543" s="19"/>
      <c r="O13543" s="14" t="str">
        <f>HYPERLINK("https://otsuka-europe-crm.veevavault.com/ui/#object/email_activity__v/V8C000000042796", "EN-002101220")</f>
        <v>EN-002101220</v>
      </c>
    </row>
    <row r="13544" spans="1:15" ht="16" x14ac:dyDescent="0.2">
      <c r="A13544" s="17" t="str">
        <f>HYPERLINK("https://otsuka-europe-crm.veevavault.com/ui/#object/account__v/V4TZ06G6O71S9I9", "SILVESTRO TRIZIO")</f>
        <v>SILVESTRO TRIZIO</v>
      </c>
      <c r="B13544" s="17" t="str">
        <f>HYPERLINK("https://otsuka-europe-crm.veevavault.com/ui/#object/vcountry__v/VENZ000004SONFQ", "IT")</f>
        <v>IT</v>
      </c>
      <c r="C13544" s="20" t="s">
        <v>44</v>
      </c>
      <c r="D13544" s="21" t="str">
        <f>HYPERLINK("https://otsuka-europe-crm.veevavault.com/ui/#object/approved_document__v/V5O00000001H009", "RXULTI_Branded_ DE FILIPPIS aggiornamento_ IT-RXU-2600020")</f>
        <v>RXULTI_Branded_ DE FILIPPIS aggiornamento_ IT-RXU-2600020</v>
      </c>
      <c r="E13544" s="22" t="str">
        <f>HYPERLINK("https://otsuka-europe-crm.veevavault.com/ui/#object/sent_email__v/VBL00000002Z337", "SE-001438921")</f>
        <v>SE-001438921</v>
      </c>
      <c r="F13544" s="25"/>
      <c r="G13544" s="24">
        <v>0</v>
      </c>
      <c r="H13544" s="24">
        <v>0</v>
      </c>
      <c r="I13544" s="24">
        <v>0</v>
      </c>
      <c r="J13544" s="25"/>
      <c r="K13544" s="24">
        <v>0</v>
      </c>
      <c r="L13544" s="22" t="str">
        <f>HYPERLINK("https://otsuka-europe-crm.veevavault.com/ui/#object/approved_document__v/V5O00000001H009", "RXULTI_Branded_ DE FILIPPIS aggiornamento_ IT-RXU-2600020")</f>
        <v>RXULTI_Branded_ DE FILIPPIS aggiornamento_ IT-RXU-2600020</v>
      </c>
      <c r="M13544" s="22" t="str">
        <f>HYPERLINK("mailto:sandro.vitto@crm.otsuka-europe.com", "sandro.vitto@crm.otsuka-europe.com")</f>
        <v>sandro.vitto@crm.otsuka-europe.com</v>
      </c>
      <c r="N13544" s="23">
        <v>46203.587118055555</v>
      </c>
      <c r="O13544" s="14" t="str">
        <f>HYPERLINK("https://otsuka-europe-crm.veevavault.com/ui/#object/email_activity__v/V8C000000042581", "EN-002100873")</f>
        <v>EN-002100873</v>
      </c>
    </row>
    <row r="13545" spans="1:15" ht="16" x14ac:dyDescent="0.2">
      <c r="A13545" s="19"/>
      <c r="B13545" s="19"/>
      <c r="C13545" s="19"/>
      <c r="D13545" s="19"/>
      <c r="E13545" s="19"/>
      <c r="F13545" s="19"/>
      <c r="G13545" s="19"/>
      <c r="H13545" s="19"/>
      <c r="I13545" s="19"/>
      <c r="J13545" s="19"/>
      <c r="K13545" s="19"/>
      <c r="L13545" s="19"/>
      <c r="M13545" s="19"/>
      <c r="N13545" s="19"/>
      <c r="O13545" s="14" t="str">
        <f>HYPERLINK("https://otsuka-europe-crm.veevavault.com/ui/#object/email_activity__v/V8C000000042797", "EN-002101221")</f>
        <v>EN-002101221</v>
      </c>
    </row>
    <row r="13546" spans="1:15" ht="16" x14ac:dyDescent="0.2">
      <c r="A13546" s="17" t="str">
        <f>HYPERLINK("https://otsuka-europe-crm.veevavault.com/ui/#object/account__v/V4TZ06G6O71S9I9", "SILVESTRO TRIZIO")</f>
        <v>SILVESTRO TRIZIO</v>
      </c>
      <c r="B13546" s="17" t="str">
        <f>HYPERLINK("https://otsuka-europe-crm.veevavault.com/ui/#object/vcountry__v/VENZ000004SONFQ", "IT")</f>
        <v>IT</v>
      </c>
      <c r="C13546" s="20" t="s">
        <v>44</v>
      </c>
      <c r="D13546" s="21" t="str">
        <f>HYPERLINK("https://otsuka-europe-crm.veevavault.com/ui/#object/approved_document__v/V5O00000001G004", "Branded_RXULTI_AE Ansia_IT-RXU-2500035")</f>
        <v>Branded_RXULTI_AE Ansia_IT-RXU-2500035</v>
      </c>
      <c r="E13546" s="22" t="str">
        <f>HYPERLINK("https://otsuka-europe-crm.veevavault.com/ui/#object/sent_email__v/VBL00000002Z338", "SE-001438922")</f>
        <v>SE-001438922</v>
      </c>
      <c r="F13546" s="25"/>
      <c r="G13546" s="24">
        <v>0</v>
      </c>
      <c r="H13546" s="24">
        <v>0</v>
      </c>
      <c r="I13546" s="24">
        <v>0</v>
      </c>
      <c r="J13546" s="25"/>
      <c r="K13546" s="24">
        <v>0</v>
      </c>
      <c r="L13546" s="22" t="str">
        <f>HYPERLINK("https://otsuka-europe-crm.veevavault.com/ui/#object/approved_document__v/V5O00000001G004", "Branded_RXULTI_AE Ansia_IT-RXU-2500035")</f>
        <v>Branded_RXULTI_AE Ansia_IT-RXU-2500035</v>
      </c>
      <c r="M13546" s="22" t="str">
        <f>HYPERLINK("mailto:sandro.vitto@crm.otsuka-europe.com", "sandro.vitto@crm.otsuka-europe.com")</f>
        <v>sandro.vitto@crm.otsuka-europe.com</v>
      </c>
      <c r="N13546" s="23">
        <v>46203.587141203701</v>
      </c>
      <c r="O13546" s="14" t="str">
        <f>HYPERLINK("https://otsuka-europe-crm.veevavault.com/ui/#object/email_activity__v/V8C000000041770", "EN-002101222")</f>
        <v>EN-002101222</v>
      </c>
    </row>
    <row r="13547" spans="1:15" ht="16" x14ac:dyDescent="0.2">
      <c r="A13547" s="19"/>
      <c r="B13547" s="19"/>
      <c r="C13547" s="19"/>
      <c r="D13547" s="19"/>
      <c r="E13547" s="19"/>
      <c r="F13547" s="19"/>
      <c r="G13547" s="19"/>
      <c r="H13547" s="19"/>
      <c r="I13547" s="19"/>
      <c r="J13547" s="19"/>
      <c r="K13547" s="19"/>
      <c r="L13547" s="19"/>
      <c r="M13547" s="19"/>
      <c r="N13547" s="19"/>
      <c r="O13547" s="14" t="str">
        <f>HYPERLINK("https://otsuka-europe-crm.veevavault.com/ui/#object/email_activity__v/V8C000000042583", "EN-002100875")</f>
        <v>EN-002100875</v>
      </c>
    </row>
    <row r="13548" spans="1:15" ht="16" x14ac:dyDescent="0.2">
      <c r="A13548" s="17" t="str">
        <f>HYPERLINK("https://otsuka-europe-crm.veevavault.com/ui/#object/account__v/V4T00000001W059", "ALBA LOPEZ LAMEIRO")</f>
        <v>ALBA LOPEZ LAMEIRO</v>
      </c>
      <c r="B13548" s="17" t="str">
        <f>HYPERLINK("https://otsuka-europe-crm.veevavault.com/ui/#object/vcountry__v/VENZ000004SONF5", "ES")</f>
        <v>ES</v>
      </c>
      <c r="C13548" s="20" t="s">
        <v>41</v>
      </c>
      <c r="D13548" s="21" t="str">
        <f>HYPERLINK("https://otsuka-europe-crm.veevavault.com/ui/#object/approved_document__v/V5O00000000D100", "Spain - Consent Email 1 Aug 25")</f>
        <v>Spain - Consent Email 1 Aug 25</v>
      </c>
      <c r="E13548" s="22" t="str">
        <f>HYPERLINK("https://otsuka-europe-crm.veevavault.com/ui/#object/sent_email__v/VBL00000002Y231", "SE-001438923")</f>
        <v>SE-001438923</v>
      </c>
      <c r="F13548" s="23">
        <v>46203.710833333331</v>
      </c>
      <c r="G13548" s="24">
        <v>1</v>
      </c>
      <c r="H13548" s="24">
        <v>1</v>
      </c>
      <c r="I13548" s="24">
        <v>1</v>
      </c>
      <c r="J13548" s="23">
        <v>46204.315694444442</v>
      </c>
      <c r="K13548" s="24">
        <v>2</v>
      </c>
      <c r="L13548" s="22" t="str">
        <f>HYPERLINK("https://otsuka-europe-crm.veevavault.com/ui/#object/approved_document__v/V5O00000000D100", "Spain - Consent Email 1 Aug 25")</f>
        <v>Spain - Consent Email 1 Aug 25</v>
      </c>
      <c r="M13548" s="22" t="str">
        <f>HYPERLINK("mailto:malonso@crm.otsuka-europe.com", "malonso@crm.otsuka-europe.com")</f>
        <v>malonso@crm.otsuka-europe.com</v>
      </c>
      <c r="N13548" s="23">
        <v>46203.591354166667</v>
      </c>
      <c r="O13548" s="14" t="str">
        <f>HYPERLINK("https://otsuka-europe-crm.veevavault.com/ui/#object/email_activity__v/V8C000000042589", "EN-002100882")</f>
        <v>EN-002100882</v>
      </c>
    </row>
    <row r="13549" spans="1:15" ht="16" x14ac:dyDescent="0.2">
      <c r="A13549" s="18"/>
      <c r="B13549" s="18"/>
      <c r="C13549" s="18"/>
      <c r="D13549" s="18"/>
      <c r="E13549" s="18"/>
      <c r="F13549" s="18"/>
      <c r="G13549" s="18"/>
      <c r="H13549" s="18"/>
      <c r="I13549" s="18"/>
      <c r="J13549" s="18"/>
      <c r="K13549" s="18"/>
      <c r="L13549" s="18"/>
      <c r="M13549" s="18"/>
      <c r="N13549" s="18"/>
      <c r="O13549" s="14" t="str">
        <f>HYPERLINK("https://otsuka-europe-crm.veevavault.com/ui/#object/email_activity__v/V8C000000042698", "EN-002101063")</f>
        <v>EN-002101063</v>
      </c>
    </row>
    <row r="13550" spans="1:15" ht="16" x14ac:dyDescent="0.2">
      <c r="A13550" s="18"/>
      <c r="B13550" s="18"/>
      <c r="C13550" s="18"/>
      <c r="D13550" s="18"/>
      <c r="E13550" s="18"/>
      <c r="F13550" s="18"/>
      <c r="G13550" s="18"/>
      <c r="H13550" s="18"/>
      <c r="I13550" s="18"/>
      <c r="J13550" s="18"/>
      <c r="K13550" s="18"/>
      <c r="L13550" s="18"/>
      <c r="M13550" s="18"/>
      <c r="N13550" s="18"/>
      <c r="O13550" s="14" t="str">
        <f>HYPERLINK("https://otsuka-europe-crm.veevavault.com/ui/#object/email_activity__v/V8C000000042699", "EN-002101062")</f>
        <v>EN-002101062</v>
      </c>
    </row>
    <row r="13551" spans="1:15" ht="16" x14ac:dyDescent="0.2">
      <c r="A13551" s="19"/>
      <c r="B13551" s="19"/>
      <c r="C13551" s="19"/>
      <c r="D13551" s="19"/>
      <c r="E13551" s="19"/>
      <c r="F13551" s="19"/>
      <c r="G13551" s="19"/>
      <c r="H13551" s="19"/>
      <c r="I13551" s="19"/>
      <c r="J13551" s="19"/>
      <c r="K13551" s="19"/>
      <c r="L13551" s="19"/>
      <c r="M13551" s="19"/>
      <c r="N13551" s="19"/>
      <c r="O13551" s="14" t="str">
        <f>HYPERLINK("https://otsuka-europe-crm.veevavault.com/ui/#object/email_activity__v/V8C000000042777", "EN-002101189")</f>
        <v>EN-002101189</v>
      </c>
    </row>
    <row r="13552" spans="1:15" ht="16" x14ac:dyDescent="0.2">
      <c r="A13552" s="17" t="str">
        <f>HYPERLINK("https://otsuka-europe-crm.veevavault.com/ui/#object/account__v/V4T00000001W059", "ALBA LOPEZ LAMEIRO")</f>
        <v>ALBA LOPEZ LAMEIRO</v>
      </c>
      <c r="B13552" s="17" t="str">
        <f>HYPERLINK("https://otsuka-europe-crm.veevavault.com/ui/#object/vcountry__v/VENZ000004SONF5", "ES")</f>
        <v>ES</v>
      </c>
      <c r="C13552" s="20" t="s">
        <v>41</v>
      </c>
      <c r="D13552" s="21" t="str">
        <f>HYPERLINK("https://otsuka-europe-crm.veevavault.com/ui/#object/approved_document__v/V5OZ04ASG4FWKA9", "Documento Autorizaciขn Centro Empleador")</f>
        <v>Documento Autorizaciขn Centro Empleador</v>
      </c>
      <c r="E13552" s="22" t="str">
        <f>HYPERLINK("https://otsuka-europe-crm.veevavault.com/ui/#object/sent_email__v/VBL00000002Y232", "SE-001438924")</f>
        <v>SE-001438924</v>
      </c>
      <c r="F13552" s="23">
        <v>46204.315497685187</v>
      </c>
      <c r="G13552" s="24">
        <v>1</v>
      </c>
      <c r="H13552" s="24">
        <v>1</v>
      </c>
      <c r="I13552" s="24">
        <v>1</v>
      </c>
      <c r="J13552" s="23">
        <v>46204.315497685187</v>
      </c>
      <c r="K13552" s="24">
        <v>1</v>
      </c>
      <c r="L13552" s="22" t="str">
        <f>HYPERLINK("https://otsuka-europe-crm.veevavault.com/ui/#object/approved_document__v/V5OZ04ASG4FWKA9", "Documento Autorizaciขn Centro Empleador")</f>
        <v>Documento Autorizaciขn Centro Empleador</v>
      </c>
      <c r="M13552" s="22" t="str">
        <f>HYPERLINK("mailto:malonso@crm.otsuka-europe.com", "malonso@crm.otsuka-europe.com")</f>
        <v>malonso@crm.otsuka-europe.com</v>
      </c>
      <c r="N13552" s="23">
        <v>46203.591354166667</v>
      </c>
      <c r="O13552" s="14" t="str">
        <f>HYPERLINK("https://otsuka-europe-crm.veevavault.com/ui/#object/email_activity__v/V8C000000041616", "EN-002100884")</f>
        <v>EN-002100884</v>
      </c>
    </row>
    <row r="13553" spans="1:15" ht="16" x14ac:dyDescent="0.2">
      <c r="A13553" s="18"/>
      <c r="B13553" s="18"/>
      <c r="C13553" s="18"/>
      <c r="D13553" s="18"/>
      <c r="E13553" s="18"/>
      <c r="F13553" s="18"/>
      <c r="G13553" s="18"/>
      <c r="H13553" s="18"/>
      <c r="I13553" s="18"/>
      <c r="J13553" s="18"/>
      <c r="K13553" s="18"/>
      <c r="L13553" s="18"/>
      <c r="M13553" s="18"/>
      <c r="N13553" s="18"/>
      <c r="O13553" s="14" t="str">
        <f>HYPERLINK("https://otsuka-europe-crm.veevavault.com/ui/#object/email_activity__v/V8C000000042775", "EN-002101188")</f>
        <v>EN-002101188</v>
      </c>
    </row>
    <row r="13554" spans="1:15" ht="16" x14ac:dyDescent="0.2">
      <c r="A13554" s="19"/>
      <c r="B13554" s="19"/>
      <c r="C13554" s="19"/>
      <c r="D13554" s="19"/>
      <c r="E13554" s="19"/>
      <c r="F13554" s="19"/>
      <c r="G13554" s="19"/>
      <c r="H13554" s="19"/>
      <c r="I13554" s="19"/>
      <c r="J13554" s="19"/>
      <c r="K13554" s="19"/>
      <c r="L13554" s="19"/>
      <c r="M13554" s="19"/>
      <c r="N13554" s="19"/>
      <c r="O13554" s="14" t="str">
        <f>HYPERLINK("https://otsuka-europe-crm.veevavault.com/ui/#object/email_activity__v/V8C000000042776", "EN-002101187")</f>
        <v>EN-002101187</v>
      </c>
    </row>
    <row r="13555" spans="1:15" ht="16" x14ac:dyDescent="0.2">
      <c r="A13555" s="17" t="str">
        <f>HYPERLINK("https://otsuka-europe-crm.veevavault.com/ui/#object/account__v/V4T00000001W059", "ALBA LOPEZ LAMEIRO")</f>
        <v>ALBA LOPEZ LAMEIRO</v>
      </c>
      <c r="B13555" s="17" t="str">
        <f>HYPERLINK("https://otsuka-europe-crm.veevavault.com/ui/#object/vcountry__v/VENZ000004SONF5", "ES")</f>
        <v>ES</v>
      </c>
      <c r="C13555" s="20" t="s">
        <v>41</v>
      </c>
      <c r="D13555" s="21" t="str">
        <f>HYPERLINK("https://otsuka-europe-crm.veevavault.com/ui/#object/approved_document__v/V5OZ04ASG4FWKA7", "Reuniones Online Consent - 2")</f>
        <v>Reuniones Online Consent - 2</v>
      </c>
      <c r="E13555" s="22" t="str">
        <f>HYPERLINK("https://otsuka-europe-crm.veevavault.com/ui/#object/sent_email__v/VBL00000002Y233", "SE-001438925")</f>
        <v>SE-001438925</v>
      </c>
      <c r="F13555" s="23">
        <v>46203.710694444446</v>
      </c>
      <c r="G13555" s="24">
        <v>1</v>
      </c>
      <c r="H13555" s="24">
        <v>1</v>
      </c>
      <c r="I13555" s="24">
        <v>1</v>
      </c>
      <c r="J13555" s="23">
        <v>46204.315740740742</v>
      </c>
      <c r="K13555" s="24">
        <v>2</v>
      </c>
      <c r="L13555" s="22" t="str">
        <f>HYPERLINK("https://otsuka-europe-crm.veevavault.com/ui/#object/approved_document__v/V5OZ04ASG4FWKA7", "Reuniones Online Consent - 2")</f>
        <v>Reuniones Online Consent - 2</v>
      </c>
      <c r="M13555" s="22" t="str">
        <f>HYPERLINK("mailto:malonso@crm.otsuka-europe.com", "malonso@crm.otsuka-europe.com")</f>
        <v>malonso@crm.otsuka-europe.com</v>
      </c>
      <c r="N13555" s="23">
        <v>46203.591354166667</v>
      </c>
      <c r="O13555" s="14" t="str">
        <f>HYPERLINK("https://otsuka-europe-crm.veevavault.com/ui/#object/email_activity__v/V8C000000041615", "EN-002100883")</f>
        <v>EN-002100883</v>
      </c>
    </row>
    <row r="13556" spans="1:15" ht="16" x14ac:dyDescent="0.2">
      <c r="A13556" s="18"/>
      <c r="B13556" s="18"/>
      <c r="C13556" s="18"/>
      <c r="D13556" s="18"/>
      <c r="E13556" s="18"/>
      <c r="F13556" s="18"/>
      <c r="G13556" s="18"/>
      <c r="H13556" s="18"/>
      <c r="I13556" s="18"/>
      <c r="J13556" s="18"/>
      <c r="K13556" s="18"/>
      <c r="L13556" s="18"/>
      <c r="M13556" s="18"/>
      <c r="N13556" s="18"/>
      <c r="O13556" s="14" t="str">
        <f>HYPERLINK("https://otsuka-europe-crm.veevavault.com/ui/#object/email_activity__v/V8C000000041688", "EN-002101061")</f>
        <v>EN-002101061</v>
      </c>
    </row>
    <row r="13557" spans="1:15" ht="16" x14ac:dyDescent="0.2">
      <c r="A13557" s="18"/>
      <c r="B13557" s="18"/>
      <c r="C13557" s="18"/>
      <c r="D13557" s="18"/>
      <c r="E13557" s="18"/>
      <c r="F13557" s="18"/>
      <c r="G13557" s="18"/>
      <c r="H13557" s="18"/>
      <c r="I13557" s="18"/>
      <c r="J13557" s="18"/>
      <c r="K13557" s="18"/>
      <c r="L13557" s="18"/>
      <c r="M13557" s="18"/>
      <c r="N13557" s="18"/>
      <c r="O13557" s="14" t="str">
        <f>HYPERLINK("https://otsuka-europe-crm.veevavault.com/ui/#object/email_activity__v/V8C000000041689", "EN-002101060")</f>
        <v>EN-002101060</v>
      </c>
    </row>
    <row r="13558" spans="1:15" ht="16" x14ac:dyDescent="0.2">
      <c r="A13558" s="19"/>
      <c r="B13558" s="19"/>
      <c r="C13558" s="19"/>
      <c r="D13558" s="19"/>
      <c r="E13558" s="19"/>
      <c r="F13558" s="19"/>
      <c r="G13558" s="19"/>
      <c r="H13558" s="19"/>
      <c r="I13558" s="19"/>
      <c r="J13558" s="19"/>
      <c r="K13558" s="19"/>
      <c r="L13558" s="19"/>
      <c r="M13558" s="19"/>
      <c r="N13558" s="19"/>
      <c r="O13558" s="14" t="str">
        <f>HYPERLINK("https://otsuka-europe-crm.veevavault.com/ui/#object/email_activity__v/V8C000000042778", "EN-002101190")</f>
        <v>EN-002101190</v>
      </c>
    </row>
    <row r="13559" spans="1:15" ht="32" x14ac:dyDescent="0.2">
      <c r="A13559" s="7" t="str">
        <f>HYPERLINK("https://otsuka-europe-crm.veevavault.com/ui/#object/account__v/V4TZ025E853L9U6", "LETICIA ELOISA CAÑAS DE DIOS")</f>
        <v>LETICIA ELOISA CAÑAS DE DIOS</v>
      </c>
      <c r="B13559" s="7" t="str">
        <f>HYPERLINK("https://otsuka-europe-crm.veevavault.com/ui/#object/vcountry__v/VENZ000004SONF5", "ES")</f>
        <v>ES</v>
      </c>
      <c r="C13559" s="8" t="s">
        <v>41</v>
      </c>
      <c r="D13559" s="9" t="str">
        <f>HYPERLINK("https://otsuka-europe-crm.veevavault.com/ui/#object/approved_document__v/V5O00000001R001", "INA - VAE Cierre ""Nos quedamos en Casa""")</f>
        <v>INA - VAE Cierre "Nos quedamos en Casa"</v>
      </c>
      <c r="E13559" s="10" t="str">
        <f>HYPERLINK("https://otsuka-europe-crm.veevavault.com/ui/#object/sent_email__v/VBL00000002Y235", "SE-001438927")</f>
        <v>SE-001438927</v>
      </c>
      <c r="F13559" s="11"/>
      <c r="G13559" s="12">
        <v>0</v>
      </c>
      <c r="H13559" s="12">
        <v>0</v>
      </c>
      <c r="I13559" s="12">
        <v>0</v>
      </c>
      <c r="J13559" s="11"/>
      <c r="K13559" s="12">
        <v>0</v>
      </c>
      <c r="L13559" s="10" t="str">
        <f>HYPERLINK("https://otsuka-europe-crm.veevavault.com/ui/#object/approved_document__v/V5O00000001R001", "INA - VAE Cierre ""Nos quedamos en Casa""")</f>
        <v>INA - VAE Cierre "Nos quedamos en Casa"</v>
      </c>
      <c r="M13559" s="10" t="str">
        <f>HYPERLINK("mailto:cmaroto@crm.otsuka-europe.com", "cmaroto@crm.otsuka-europe.com")</f>
        <v>cmaroto@crm.otsuka-europe.com</v>
      </c>
      <c r="N13559" s="13">
        <v>46203.654016203705</v>
      </c>
      <c r="O13559" s="14" t="str">
        <f>HYPERLINK("https://otsuka-europe-crm.veevavault.com/ui/#object/email_activity__v/V8C000000041666", "EN-002100954")</f>
        <v>EN-002100954</v>
      </c>
    </row>
    <row r="13560" spans="1:15" ht="16" x14ac:dyDescent="0.2">
      <c r="A13560" s="17" t="str">
        <f>HYPERLINK("https://otsuka-europe-crm.veevavault.com/ui/#object/account__v/V4TZ025E84EEFRT", "WILLIANA MELISSA TORRES JIMENEZ")</f>
        <v>WILLIANA MELISSA TORRES JIMENEZ</v>
      </c>
      <c r="B13560" s="17" t="str">
        <f>HYPERLINK("https://otsuka-europe-crm.veevavault.com/ui/#object/vcountry__v/VENZ000004SONF5", "ES")</f>
        <v>ES</v>
      </c>
      <c r="C13560" s="20" t="s">
        <v>41</v>
      </c>
      <c r="D13560" s="21" t="str">
        <f>HYPERLINK("https://otsuka-europe-crm.veevavault.com/ui/#object/approved_document__v/V5O00000001R001", "INA - VAE Cierre ""Nos quedamos en Casa""")</f>
        <v>INA - VAE Cierre "Nos quedamos en Casa"</v>
      </c>
      <c r="E13560" s="22" t="str">
        <f>HYPERLINK("https://otsuka-europe-crm.veevavault.com/ui/#object/sent_email__v/VBL00000002Y236", "SE-001438928")</f>
        <v>SE-001438928</v>
      </c>
      <c r="F13560" s="25"/>
      <c r="G13560" s="24">
        <v>0</v>
      </c>
      <c r="H13560" s="24">
        <v>0</v>
      </c>
      <c r="I13560" s="24">
        <v>0</v>
      </c>
      <c r="J13560" s="25"/>
      <c r="K13560" s="24">
        <v>0</v>
      </c>
      <c r="L13560" s="22" t="str">
        <f>HYPERLINK("https://otsuka-europe-crm.veevavault.com/ui/#object/approved_document__v/V5O00000001R001", "INA - VAE Cierre ""Nos quedamos en Casa""")</f>
        <v>INA - VAE Cierre "Nos quedamos en Casa"</v>
      </c>
      <c r="M13560" s="22" t="str">
        <f>HYPERLINK("mailto:cmaroto@crm.otsuka-europe.com", "cmaroto@crm.otsuka-europe.com")</f>
        <v>cmaroto@crm.otsuka-europe.com</v>
      </c>
      <c r="N13560" s="23">
        <v>46203.654016203705</v>
      </c>
      <c r="O13560" s="14" t="str">
        <f>HYPERLINK("https://otsuka-europe-crm.veevavault.com/ui/#object/email_activity__v/V8C000000041668", "EN-002100956")</f>
        <v>EN-002100956</v>
      </c>
    </row>
    <row r="13561" spans="1:15" ht="16" x14ac:dyDescent="0.2">
      <c r="A13561" s="19"/>
      <c r="B13561" s="19"/>
      <c r="C13561" s="19"/>
      <c r="D13561" s="19"/>
      <c r="E13561" s="19"/>
      <c r="F13561" s="19"/>
      <c r="G13561" s="19"/>
      <c r="H13561" s="19"/>
      <c r="I13561" s="19"/>
      <c r="J13561" s="19"/>
      <c r="K13561" s="19"/>
      <c r="L13561" s="19"/>
      <c r="M13561" s="19"/>
      <c r="N13561" s="19"/>
      <c r="O13561" s="14" t="str">
        <f>HYPERLINK("https://otsuka-europe-crm.veevavault.com/ui/#object/email_activity__v/V8C000000041743", "EN-002101171")</f>
        <v>EN-002101171</v>
      </c>
    </row>
    <row r="13562" spans="1:15" ht="16" x14ac:dyDescent="0.2">
      <c r="A13562" s="17" t="str">
        <f>HYPERLINK("https://otsuka-europe-crm.veevavault.com/ui/#object/account__v/V4TZ025E85HGB1F", "MARIA JOSE OTERO MARTINEZ-FORNES")</f>
        <v>MARIA JOSE OTERO MARTINEZ-FORNES</v>
      </c>
      <c r="B13562" s="17" t="str">
        <f>HYPERLINK("https://otsuka-europe-crm.veevavault.com/ui/#object/vcountry__v/VENZ000004SONF5", "ES")</f>
        <v>ES</v>
      </c>
      <c r="C13562" s="20" t="s">
        <v>41</v>
      </c>
      <c r="D13562" s="21" t="str">
        <f>HYPERLINK("https://otsuka-europe-crm.veevavault.com/ui/#object/approved_document__v/V5O00000001R001", "INA - VAE Cierre ""Nos quedamos en Casa""")</f>
        <v>INA - VAE Cierre "Nos quedamos en Casa"</v>
      </c>
      <c r="E13562" s="22" t="str">
        <f>HYPERLINK("https://otsuka-europe-crm.veevavault.com/ui/#object/sent_email__v/VBL00000002Y237", "SE-001438929")</f>
        <v>SE-001438929</v>
      </c>
      <c r="F13562" s="23">
        <v>46204.354120370372</v>
      </c>
      <c r="G13562" s="24">
        <v>1</v>
      </c>
      <c r="H13562" s="24">
        <v>1</v>
      </c>
      <c r="I13562" s="24">
        <v>1</v>
      </c>
      <c r="J13562" s="23">
        <v>46204.467557870368</v>
      </c>
      <c r="K13562" s="24">
        <v>1</v>
      </c>
      <c r="L13562" s="22" t="str">
        <f>HYPERLINK("https://otsuka-europe-crm.veevavault.com/ui/#object/approved_document__v/V5O00000001R001", "INA - VAE Cierre ""Nos quedamos en Casa""")</f>
        <v>INA - VAE Cierre "Nos quedamos en Casa"</v>
      </c>
      <c r="M13562" s="22" t="str">
        <f>HYPERLINK("mailto:cmaroto@crm.otsuka-europe.com", "cmaroto@crm.otsuka-europe.com")</f>
        <v>cmaroto@crm.otsuka-europe.com</v>
      </c>
      <c r="N13562" s="23">
        <v>46203.654016203705</v>
      </c>
      <c r="O13562" s="14" t="str">
        <f>HYPERLINK("https://otsuka-europe-crm.veevavault.com/ui/#object/email_activity__v/V8C000000041642", "EN-002100923")</f>
        <v>EN-002100923</v>
      </c>
    </row>
    <row r="13563" spans="1:15" ht="16" x14ac:dyDescent="0.2">
      <c r="A13563" s="18"/>
      <c r="B13563" s="18"/>
      <c r="C13563" s="18"/>
      <c r="D13563" s="18"/>
      <c r="E13563" s="18"/>
      <c r="F13563" s="18"/>
      <c r="G13563" s="18"/>
      <c r="H13563" s="18"/>
      <c r="I13563" s="18"/>
      <c r="J13563" s="18"/>
      <c r="K13563" s="18"/>
      <c r="L13563" s="18"/>
      <c r="M13563" s="18"/>
      <c r="N13563" s="18"/>
      <c r="O13563" s="14" t="str">
        <f>HYPERLINK("https://otsuka-europe-crm.veevavault.com/ui/#object/email_activity__v/V8C000000041774", "EN-002101230")</f>
        <v>EN-002101230</v>
      </c>
    </row>
    <row r="13564" spans="1:15" ht="16" x14ac:dyDescent="0.2">
      <c r="A13564" s="18"/>
      <c r="B13564" s="18"/>
      <c r="C13564" s="18"/>
      <c r="D13564" s="18"/>
      <c r="E13564" s="18"/>
      <c r="F13564" s="18"/>
      <c r="G13564" s="18"/>
      <c r="H13564" s="18"/>
      <c r="I13564" s="18"/>
      <c r="J13564" s="18"/>
      <c r="K13564" s="18"/>
      <c r="L13564" s="18"/>
      <c r="M13564" s="18"/>
      <c r="N13564" s="18"/>
      <c r="O13564" s="14" t="str">
        <f>HYPERLINK("https://otsuka-europe-crm.veevavault.com/ui/#object/email_activity__v/V8C000000042688", "EN-002101044")</f>
        <v>EN-002101044</v>
      </c>
    </row>
    <row r="13565" spans="1:15" ht="16" x14ac:dyDescent="0.2">
      <c r="A13565" s="19"/>
      <c r="B13565" s="19"/>
      <c r="C13565" s="19"/>
      <c r="D13565" s="19"/>
      <c r="E13565" s="19"/>
      <c r="F13565" s="19"/>
      <c r="G13565" s="19"/>
      <c r="H13565" s="19"/>
      <c r="I13565" s="19"/>
      <c r="J13565" s="19"/>
      <c r="K13565" s="19"/>
      <c r="L13565" s="19"/>
      <c r="M13565" s="19"/>
      <c r="N13565" s="19"/>
      <c r="O13565" s="14" t="str">
        <f>HYPERLINK("https://otsuka-europe-crm.veevavault.com/ui/#object/email_activity__v/V8C000000042890", "EN-002101361")</f>
        <v>EN-002101361</v>
      </c>
    </row>
    <row r="13566" spans="1:15" ht="32" x14ac:dyDescent="0.2">
      <c r="A13566" s="7" t="str">
        <f>HYPERLINK("https://otsuka-europe-crm.veevavault.com/ui/#object/account__v/V4TZ025E853M2UP", "JOSE ROGELIO DIAZ VALDES")</f>
        <v>JOSE ROGELIO DIAZ VALDES</v>
      </c>
      <c r="B13566" s="7" t="str">
        <f>HYPERLINK("https://otsuka-europe-crm.veevavault.com/ui/#object/vcountry__v/VENZ000004SONF5", "ES")</f>
        <v>ES</v>
      </c>
      <c r="C13566" s="8" t="s">
        <v>41</v>
      </c>
      <c r="D13566" s="9" t="str">
        <f>HYPERLINK("https://otsuka-europe-crm.veevavault.com/ui/#object/approved_document__v/V5O00000001R001", "INA - VAE Cierre ""Nos quedamos en Casa""")</f>
        <v>INA - VAE Cierre "Nos quedamos en Casa"</v>
      </c>
      <c r="E13566" s="10" t="str">
        <f>HYPERLINK("https://otsuka-europe-crm.veevavault.com/ui/#object/sent_email__v/VBL00000002Y238", "SE-001438930")</f>
        <v>SE-001438930</v>
      </c>
      <c r="F13566" s="11"/>
      <c r="G13566" s="12">
        <v>0</v>
      </c>
      <c r="H13566" s="12">
        <v>0</v>
      </c>
      <c r="I13566" s="12">
        <v>0</v>
      </c>
      <c r="J13566" s="11"/>
      <c r="K13566" s="12">
        <v>0</v>
      </c>
      <c r="L13566" s="10" t="str">
        <f>HYPERLINK("https://otsuka-europe-crm.veevavault.com/ui/#object/approved_document__v/V5O00000001R001", "INA - VAE Cierre ""Nos quedamos en Casa""")</f>
        <v>INA - VAE Cierre "Nos quedamos en Casa"</v>
      </c>
      <c r="M13566" s="10" t="str">
        <f>HYPERLINK("mailto:cmaroto@crm.otsuka-europe.com", "cmaroto@crm.otsuka-europe.com")</f>
        <v>cmaroto@crm.otsuka-europe.com</v>
      </c>
      <c r="N13566" s="13">
        <v>46203.653993055559</v>
      </c>
      <c r="O13566" s="14" t="str">
        <f>HYPERLINK("https://otsuka-europe-crm.veevavault.com/ui/#object/email_activity__v/V8C000000041656", "EN-002100944")</f>
        <v>EN-002100944</v>
      </c>
    </row>
    <row r="13567" spans="1:15" ht="16" x14ac:dyDescent="0.2">
      <c r="A13567" s="17" t="str">
        <f>HYPERLINK("https://otsuka-europe-crm.veevavault.com/ui/#object/account__v/V4T00000001D104", "RAFAEL COLMENARES GIL")</f>
        <v>RAFAEL COLMENARES GIL</v>
      </c>
      <c r="B13567" s="17" t="str">
        <f>HYPERLINK("https://otsuka-europe-crm.veevavault.com/ui/#object/vcountry__v/VENZ000004SONF5", "ES")</f>
        <v>ES</v>
      </c>
      <c r="C13567" s="20" t="s">
        <v>41</v>
      </c>
      <c r="D13567" s="21" t="str">
        <f>HYPERLINK("https://otsuka-europe-crm.veevavault.com/ui/#object/approved_document__v/V5O00000001R001", "INA - VAE Cierre ""Nos quedamos en Casa""")</f>
        <v>INA - VAE Cierre "Nos quedamos en Casa"</v>
      </c>
      <c r="E13567" s="22" t="str">
        <f>HYPERLINK("https://otsuka-europe-crm.veevavault.com/ui/#object/sent_email__v/VBL00000002Y239", "SE-001438931")</f>
        <v>SE-001438931</v>
      </c>
      <c r="F13567" s="23">
        <v>46203.66034722222</v>
      </c>
      <c r="G13567" s="24">
        <v>1</v>
      </c>
      <c r="H13567" s="24">
        <v>2</v>
      </c>
      <c r="I13567" s="24">
        <v>0</v>
      </c>
      <c r="J13567" s="25"/>
      <c r="K13567" s="24">
        <v>0</v>
      </c>
      <c r="L13567" s="22" t="str">
        <f>HYPERLINK("https://otsuka-europe-crm.veevavault.com/ui/#object/approved_document__v/V5O00000001R001", "INA - VAE Cierre ""Nos quedamos en Casa""")</f>
        <v>INA - VAE Cierre "Nos quedamos en Casa"</v>
      </c>
      <c r="M13567" s="22" t="str">
        <f>HYPERLINK("mailto:cmaroto@crm.otsuka-europe.com", "cmaroto@crm.otsuka-europe.com")</f>
        <v>cmaroto@crm.otsuka-europe.com</v>
      </c>
      <c r="N13567" s="23">
        <v>46203.653993055559</v>
      </c>
      <c r="O13567" s="14" t="str">
        <f>HYPERLINK("https://otsuka-europe-crm.veevavault.com/ui/#object/email_activity__v/V8C000000041647", "EN-002100928")</f>
        <v>EN-002100928</v>
      </c>
    </row>
    <row r="13568" spans="1:15" ht="16" x14ac:dyDescent="0.2">
      <c r="A13568" s="18"/>
      <c r="B13568" s="18"/>
      <c r="C13568" s="18"/>
      <c r="D13568" s="18"/>
      <c r="E13568" s="18"/>
      <c r="F13568" s="18"/>
      <c r="G13568" s="18"/>
      <c r="H13568" s="18"/>
      <c r="I13568" s="18"/>
      <c r="J13568" s="18"/>
      <c r="K13568" s="18"/>
      <c r="L13568" s="18"/>
      <c r="M13568" s="18"/>
      <c r="N13568" s="18"/>
      <c r="O13568" s="14" t="str">
        <f>HYPERLINK("https://otsuka-europe-crm.veevavault.com/ui/#object/email_activity__v/V8C000000042603", "EN-002100912")</f>
        <v>EN-002100912</v>
      </c>
    </row>
    <row r="13569" spans="1:15" ht="16" x14ac:dyDescent="0.2">
      <c r="A13569" s="19"/>
      <c r="B13569" s="19"/>
      <c r="C13569" s="19"/>
      <c r="D13569" s="19"/>
      <c r="E13569" s="19"/>
      <c r="F13569" s="19"/>
      <c r="G13569" s="19"/>
      <c r="H13569" s="19"/>
      <c r="I13569" s="19"/>
      <c r="J13569" s="19"/>
      <c r="K13569" s="19"/>
      <c r="L13569" s="19"/>
      <c r="M13569" s="19"/>
      <c r="N13569" s="19"/>
      <c r="O13569" s="14" t="str">
        <f>HYPERLINK("https://otsuka-europe-crm.veevavault.com/ui/#object/email_activity__v/V8C000000042683", "EN-002101033")</f>
        <v>EN-002101033</v>
      </c>
    </row>
    <row r="13570" spans="1:15" ht="16" x14ac:dyDescent="0.2">
      <c r="A13570" s="17" t="str">
        <f>HYPERLINK("https://otsuka-europe-crm.veevavault.com/ui/#object/account__v/V4TZ025E85T7NJR", "BOLIVAR LUIS DIAZ JORDAN")</f>
        <v>BOLIVAR LUIS DIAZ JORDAN</v>
      </c>
      <c r="B13570" s="17" t="str">
        <f>HYPERLINK("https://otsuka-europe-crm.veevavault.com/ui/#object/vcountry__v/VENZ000004SONF5", "ES")</f>
        <v>ES</v>
      </c>
      <c r="C13570" s="20" t="s">
        <v>41</v>
      </c>
      <c r="D13570" s="21" t="str">
        <f>HYPERLINK("https://otsuka-europe-crm.veevavault.com/ui/#object/approved_document__v/V5O00000001R001", "INA - VAE Cierre ""Nos quedamos en Casa""")</f>
        <v>INA - VAE Cierre "Nos quedamos en Casa"</v>
      </c>
      <c r="E13570" s="22" t="str">
        <f>HYPERLINK("https://otsuka-europe-crm.veevavault.com/ui/#object/sent_email__v/VBL00000002Y240", "SE-001438932")</f>
        <v>SE-001438932</v>
      </c>
      <c r="F13570" s="25"/>
      <c r="G13570" s="24">
        <v>0</v>
      </c>
      <c r="H13570" s="24">
        <v>0</v>
      </c>
      <c r="I13570" s="24">
        <v>0</v>
      </c>
      <c r="J13570" s="25"/>
      <c r="K13570" s="24">
        <v>0</v>
      </c>
      <c r="L13570" s="22" t="str">
        <f>HYPERLINK("https://otsuka-europe-crm.veevavault.com/ui/#object/approved_document__v/V5O00000001R001", "INA - VAE Cierre ""Nos quedamos en Casa""")</f>
        <v>INA - VAE Cierre "Nos quedamos en Casa"</v>
      </c>
      <c r="M13570" s="22" t="str">
        <f>HYPERLINK("mailto:cmaroto@crm.otsuka-europe.com", "cmaroto@crm.otsuka-europe.com")</f>
        <v>cmaroto@crm.otsuka-europe.com</v>
      </c>
      <c r="N13570" s="23">
        <v>46203.654016203705</v>
      </c>
      <c r="O13570" s="14" t="str">
        <f>HYPERLINK("https://otsuka-europe-crm.veevavault.com/ui/#object/email_activity__v/V8C000000041652", "EN-002100933")</f>
        <v>EN-002100933</v>
      </c>
    </row>
    <row r="13571" spans="1:15" ht="16" x14ac:dyDescent="0.2">
      <c r="A13571" s="19"/>
      <c r="B13571" s="19"/>
      <c r="C13571" s="19"/>
      <c r="D13571" s="19"/>
      <c r="E13571" s="19"/>
      <c r="F13571" s="19"/>
      <c r="G13571" s="19"/>
      <c r="H13571" s="19"/>
      <c r="I13571" s="19"/>
      <c r="J13571" s="19"/>
      <c r="K13571" s="19"/>
      <c r="L13571" s="19"/>
      <c r="M13571" s="19"/>
      <c r="N13571" s="19"/>
      <c r="O13571" s="14" t="str">
        <f>HYPERLINK("https://otsuka-europe-crm.veevavault.com/ui/#object/email_activity__v/V8C000000041739", "EN-002101160")</f>
        <v>EN-002101160</v>
      </c>
    </row>
    <row r="13572" spans="1:15" ht="16" x14ac:dyDescent="0.2">
      <c r="A13572" s="17" t="str">
        <f>HYPERLINK("https://otsuka-europe-crm.veevavault.com/ui/#object/account__v/V4TZ025E853M663", "EDNA MARGARITA SANDOVAL BARRETO")</f>
        <v>EDNA MARGARITA SANDOVAL BARRETO</v>
      </c>
      <c r="B13572" s="17" t="str">
        <f>HYPERLINK("https://otsuka-europe-crm.veevavault.com/ui/#object/vcountry__v/VENZ000004SONF5", "ES")</f>
        <v>ES</v>
      </c>
      <c r="C13572" s="20" t="s">
        <v>41</v>
      </c>
      <c r="D13572" s="21" t="str">
        <f>HYPERLINK("https://otsuka-europe-crm.veevavault.com/ui/#object/approved_document__v/V5O00000001R001", "INA - VAE Cierre ""Nos quedamos en Casa""")</f>
        <v>INA - VAE Cierre "Nos quedamos en Casa"</v>
      </c>
      <c r="E13572" s="22" t="str">
        <f>HYPERLINK("https://otsuka-europe-crm.veevavault.com/ui/#object/sent_email__v/VBL00000002Y241", "SE-001438933")</f>
        <v>SE-001438933</v>
      </c>
      <c r="F13572" s="25"/>
      <c r="G13572" s="24">
        <v>0</v>
      </c>
      <c r="H13572" s="24">
        <v>0</v>
      </c>
      <c r="I13572" s="24">
        <v>0</v>
      </c>
      <c r="J13572" s="25"/>
      <c r="K13572" s="24">
        <v>0</v>
      </c>
      <c r="L13572" s="22" t="str">
        <f>HYPERLINK("https://otsuka-europe-crm.veevavault.com/ui/#object/approved_document__v/V5O00000001R001", "INA - VAE Cierre ""Nos quedamos en Casa""")</f>
        <v>INA - VAE Cierre "Nos quedamos en Casa"</v>
      </c>
      <c r="M13572" s="22" t="str">
        <f>HYPERLINK("mailto:cmaroto@crm.otsuka-europe.com", "cmaroto@crm.otsuka-europe.com")</f>
        <v>cmaroto@crm.otsuka-europe.com</v>
      </c>
      <c r="N13572" s="23">
        <v>46203.654004629629</v>
      </c>
      <c r="O13572" s="14" t="str">
        <f>HYPERLINK("https://otsuka-europe-crm.veevavault.com/ui/#object/email_activity__v/V8C000000041643", "EN-002100924")</f>
        <v>EN-002100924</v>
      </c>
    </row>
    <row r="13573" spans="1:15" ht="16" x14ac:dyDescent="0.2">
      <c r="A13573" s="19"/>
      <c r="B13573" s="19"/>
      <c r="C13573" s="19"/>
      <c r="D13573" s="19"/>
      <c r="E13573" s="19"/>
      <c r="F13573" s="19"/>
      <c r="G13573" s="19"/>
      <c r="H13573" s="19"/>
      <c r="I13573" s="19"/>
      <c r="J13573" s="19"/>
      <c r="K13573" s="19"/>
      <c r="L13573" s="19"/>
      <c r="M13573" s="19"/>
      <c r="N13573" s="19"/>
      <c r="O13573" s="14" t="str">
        <f>HYPERLINK("https://otsuka-europe-crm.veevavault.com/ui/#object/email_activity__v/V8C000000042677", "EN-002101027")</f>
        <v>EN-002101027</v>
      </c>
    </row>
    <row r="13574" spans="1:15" ht="16" x14ac:dyDescent="0.2">
      <c r="A13574" s="17" t="str">
        <f>HYPERLINK("https://otsuka-europe-crm.veevavault.com/ui/#object/account__v/V4TZ06G6O71T7DX", "MARTIN ANTONIO CABERO BECERRA")</f>
        <v>MARTIN ANTONIO CABERO BECERRA</v>
      </c>
      <c r="B13574" s="17" t="str">
        <f>HYPERLINK("https://otsuka-europe-crm.veevavault.com/ui/#object/vcountry__v/VENZ000004SONF5", "ES")</f>
        <v>ES</v>
      </c>
      <c r="C13574" s="20" t="s">
        <v>41</v>
      </c>
      <c r="D13574" s="21" t="str">
        <f>HYPERLINK("https://otsuka-europe-crm.veevavault.com/ui/#object/approved_document__v/V5O00000001R001", "INA - VAE Cierre ""Nos quedamos en Casa""")</f>
        <v>INA - VAE Cierre "Nos quedamos en Casa"</v>
      </c>
      <c r="E13574" s="22" t="str">
        <f>HYPERLINK("https://otsuka-europe-crm.veevavault.com/ui/#object/sent_email__v/VBL00000002Y242", "SE-001438934")</f>
        <v>SE-001438934</v>
      </c>
      <c r="F13574" s="25"/>
      <c r="G13574" s="24">
        <v>0</v>
      </c>
      <c r="H13574" s="24">
        <v>0</v>
      </c>
      <c r="I13574" s="24">
        <v>0</v>
      </c>
      <c r="J13574" s="25"/>
      <c r="K13574" s="24">
        <v>0</v>
      </c>
      <c r="L13574" s="22" t="str">
        <f>HYPERLINK("https://otsuka-europe-crm.veevavault.com/ui/#object/approved_document__v/V5O00000001R001", "INA - VAE Cierre ""Nos quedamos en Casa""")</f>
        <v>INA - VAE Cierre "Nos quedamos en Casa"</v>
      </c>
      <c r="M13574" s="22" t="str">
        <f>HYPERLINK("mailto:cmaroto@crm.otsuka-europe.com", "cmaroto@crm.otsuka-europe.com")</f>
        <v>cmaroto@crm.otsuka-europe.com</v>
      </c>
      <c r="N13574" s="23">
        <v>46203.654016203705</v>
      </c>
      <c r="O13574" s="14" t="str">
        <f>HYPERLINK("https://otsuka-europe-crm.veevavault.com/ui/#object/email_activity__v/V8C000000041646", "EN-002100927")</f>
        <v>EN-002100927</v>
      </c>
    </row>
    <row r="13575" spans="1:15" ht="16" x14ac:dyDescent="0.2">
      <c r="A13575" s="19"/>
      <c r="B13575" s="19"/>
      <c r="C13575" s="19"/>
      <c r="D13575" s="19"/>
      <c r="E13575" s="19"/>
      <c r="F13575" s="19"/>
      <c r="G13575" s="19"/>
      <c r="H13575" s="19"/>
      <c r="I13575" s="19"/>
      <c r="J13575" s="19"/>
      <c r="K13575" s="19"/>
      <c r="L13575" s="19"/>
      <c r="M13575" s="19"/>
      <c r="N13575" s="19"/>
      <c r="O13575" s="14" t="str">
        <f>HYPERLINK("https://otsuka-europe-crm.veevavault.com/ui/#object/email_activity__v/V8C000000042642", "EN-002100992")</f>
        <v>EN-002100992</v>
      </c>
    </row>
    <row r="13576" spans="1:15" ht="32" x14ac:dyDescent="0.2">
      <c r="A13576" s="7" t="str">
        <f>HYPERLINK("https://otsuka-europe-crm.veevavault.com/ui/#object/account__v/V4TZ025E84E746Y", "KYRA VELAZQUEZ KENNEDY")</f>
        <v>KYRA VELAZQUEZ KENNEDY</v>
      </c>
      <c r="B13576" s="7" t="str">
        <f>HYPERLINK("https://otsuka-europe-crm.veevavault.com/ui/#object/vcountry__v/VENZ000004SONF5", "ES")</f>
        <v>ES</v>
      </c>
      <c r="C13576" s="8" t="s">
        <v>41</v>
      </c>
      <c r="D13576" s="9" t="str">
        <f>HYPERLINK("https://otsuka-europe-crm.veevavault.com/ui/#object/approved_document__v/V5O00000001R001", "INA - VAE Cierre ""Nos quedamos en Casa""")</f>
        <v>INA - VAE Cierre "Nos quedamos en Casa"</v>
      </c>
      <c r="E13576" s="10" t="str">
        <f>HYPERLINK("https://otsuka-europe-crm.veevavault.com/ui/#object/sent_email__v/VBL00000002Y243", "SE-001438935")</f>
        <v>SE-001438935</v>
      </c>
      <c r="F13576" s="11"/>
      <c r="G13576" s="12">
        <v>0</v>
      </c>
      <c r="H13576" s="12">
        <v>0</v>
      </c>
      <c r="I13576" s="12">
        <v>0</v>
      </c>
      <c r="J13576" s="11"/>
      <c r="K13576" s="12">
        <v>0</v>
      </c>
      <c r="L13576" s="10" t="str">
        <f>HYPERLINK("https://otsuka-europe-crm.veevavault.com/ui/#object/approved_document__v/V5O00000001R001", "INA - VAE Cierre ""Nos quedamos en Casa""")</f>
        <v>INA - VAE Cierre "Nos quedamos en Casa"</v>
      </c>
      <c r="M13576" s="10" t="str">
        <f>HYPERLINK("mailto:cmaroto@crm.otsuka-europe.com", "cmaroto@crm.otsuka-europe.com")</f>
        <v>cmaroto@crm.otsuka-europe.com</v>
      </c>
      <c r="N13576" s="13">
        <v>46203.653993055559</v>
      </c>
      <c r="O13576" s="14" t="str">
        <f>HYPERLINK("https://otsuka-europe-crm.veevavault.com/ui/#object/email_activity__v/V8C000000042604", "EN-002100913")</f>
        <v>EN-002100913</v>
      </c>
    </row>
    <row r="13577" spans="1:15" ht="16" x14ac:dyDescent="0.2">
      <c r="A13577" s="17" t="str">
        <f>HYPERLINK("https://otsuka-europe-crm.veevavault.com/ui/#object/account__v/V4TZ06G6O71T817", "NATALIA ESPINOSA LARA")</f>
        <v>NATALIA ESPINOSA LARA</v>
      </c>
      <c r="B13577" s="17" t="str">
        <f>HYPERLINK("https://otsuka-europe-crm.veevavault.com/ui/#object/vcountry__v/VENZ000004SONF5", "ES")</f>
        <v>ES</v>
      </c>
      <c r="C13577" s="20" t="s">
        <v>41</v>
      </c>
      <c r="D13577" s="21" t="str">
        <f>HYPERLINK("https://otsuka-europe-crm.veevavault.com/ui/#object/approved_document__v/V5O00000001R001", "INA - VAE Cierre ""Nos quedamos en Casa""")</f>
        <v>INA - VAE Cierre "Nos quedamos en Casa"</v>
      </c>
      <c r="E13577" s="22" t="str">
        <f>HYPERLINK("https://otsuka-europe-crm.veevavault.com/ui/#object/sent_email__v/VBL00000002Y244", "SE-001438936")</f>
        <v>SE-001438936</v>
      </c>
      <c r="F13577" s="23">
        <v>46203.655949074076</v>
      </c>
      <c r="G13577" s="24">
        <v>1</v>
      </c>
      <c r="H13577" s="24">
        <v>1</v>
      </c>
      <c r="I13577" s="24">
        <v>0</v>
      </c>
      <c r="J13577" s="25"/>
      <c r="K13577" s="24">
        <v>0</v>
      </c>
      <c r="L13577" s="22" t="str">
        <f>HYPERLINK("https://otsuka-europe-crm.veevavault.com/ui/#object/approved_document__v/V5O00000001R001", "INA - VAE Cierre ""Nos quedamos en Casa""")</f>
        <v>INA - VAE Cierre "Nos quedamos en Casa"</v>
      </c>
      <c r="M13577" s="22" t="str">
        <f>HYPERLINK("mailto:cmaroto@crm.otsuka-europe.com", "cmaroto@crm.otsuka-europe.com")</f>
        <v>cmaroto@crm.otsuka-europe.com</v>
      </c>
      <c r="N13577" s="23">
        <v>46203.653993055559</v>
      </c>
      <c r="O13577" s="14" t="str">
        <f>HYPERLINK("https://otsuka-europe-crm.veevavault.com/ui/#object/email_activity__v/V8C000000041654", "EN-002100942")</f>
        <v>EN-002100942</v>
      </c>
    </row>
    <row r="13578" spans="1:15" ht="16" x14ac:dyDescent="0.2">
      <c r="A13578" s="19"/>
      <c r="B13578" s="19"/>
      <c r="C13578" s="19"/>
      <c r="D13578" s="19"/>
      <c r="E13578" s="19"/>
      <c r="F13578" s="19"/>
      <c r="G13578" s="19"/>
      <c r="H13578" s="19"/>
      <c r="I13578" s="19"/>
      <c r="J13578" s="19"/>
      <c r="K13578" s="19"/>
      <c r="L13578" s="19"/>
      <c r="M13578" s="19"/>
      <c r="N13578" s="19"/>
      <c r="O13578" s="14" t="str">
        <f>HYPERLINK("https://otsuka-europe-crm.veevavault.com/ui/#object/email_activity__v/V8C000000042637", "EN-002100987")</f>
        <v>EN-002100987</v>
      </c>
    </row>
    <row r="13579" spans="1:15" ht="16" x14ac:dyDescent="0.2">
      <c r="A13579" s="17" t="str">
        <f>HYPERLINK("https://otsuka-europe-crm.veevavault.com/ui/#object/account__v/V4TZ025E84E7D55", "MARIA CARMEN CALLE PRIMO")</f>
        <v>MARIA CARMEN CALLE PRIMO</v>
      </c>
      <c r="B13579" s="17" t="str">
        <f>HYPERLINK("https://otsuka-europe-crm.veevavault.com/ui/#object/vcountry__v/VENZ000004SONF5", "ES")</f>
        <v>ES</v>
      </c>
      <c r="C13579" s="20" t="s">
        <v>41</v>
      </c>
      <c r="D13579" s="21" t="str">
        <f>HYPERLINK("https://otsuka-europe-crm.veevavault.com/ui/#object/approved_document__v/V5O00000001R001", "INA - VAE Cierre ""Nos quedamos en Casa""")</f>
        <v>INA - VAE Cierre "Nos quedamos en Casa"</v>
      </c>
      <c r="E13579" s="22" t="str">
        <f>HYPERLINK("https://otsuka-europe-crm.veevavault.com/ui/#object/sent_email__v/VBL00000002Y245", "SE-001438937")</f>
        <v>SE-001438937</v>
      </c>
      <c r="F13579" s="23">
        <v>46203.659039351849</v>
      </c>
      <c r="G13579" s="24">
        <v>1</v>
      </c>
      <c r="H13579" s="24">
        <v>2</v>
      </c>
      <c r="I13579" s="24">
        <v>0</v>
      </c>
      <c r="J13579" s="25"/>
      <c r="K13579" s="24">
        <v>0</v>
      </c>
      <c r="L13579" s="22" t="str">
        <f>HYPERLINK("https://otsuka-europe-crm.veevavault.com/ui/#object/approved_document__v/V5O00000001R001", "INA - VAE Cierre ""Nos quedamos en Casa""")</f>
        <v>INA - VAE Cierre "Nos quedamos en Casa"</v>
      </c>
      <c r="M13579" s="22" t="str">
        <f>HYPERLINK("mailto:cmaroto@crm.otsuka-europe.com", "cmaroto@crm.otsuka-europe.com")</f>
        <v>cmaroto@crm.otsuka-europe.com</v>
      </c>
      <c r="N13579" s="23">
        <v>46203.654016203705</v>
      </c>
      <c r="O13579" s="14" t="str">
        <f>HYPERLINK("https://otsuka-europe-crm.veevavault.com/ui/#object/email_activity__v/V8C000000041641", "EN-002100922")</f>
        <v>EN-002100922</v>
      </c>
    </row>
    <row r="13580" spans="1:15" ht="16" x14ac:dyDescent="0.2">
      <c r="A13580" s="18"/>
      <c r="B13580" s="18"/>
      <c r="C13580" s="18"/>
      <c r="D13580" s="18"/>
      <c r="E13580" s="18"/>
      <c r="F13580" s="18"/>
      <c r="G13580" s="18"/>
      <c r="H13580" s="18"/>
      <c r="I13580" s="18"/>
      <c r="J13580" s="18"/>
      <c r="K13580" s="18"/>
      <c r="L13580" s="18"/>
      <c r="M13580" s="18"/>
      <c r="N13580" s="18"/>
      <c r="O13580" s="14" t="str">
        <f>HYPERLINK("https://otsuka-europe-crm.veevavault.com/ui/#object/email_activity__v/V8C000000042678", "EN-002101028")</f>
        <v>EN-002101028</v>
      </c>
    </row>
    <row r="13581" spans="1:15" ht="16" x14ac:dyDescent="0.2">
      <c r="A13581" s="19"/>
      <c r="B13581" s="19"/>
      <c r="C13581" s="19"/>
      <c r="D13581" s="19"/>
      <c r="E13581" s="19"/>
      <c r="F13581" s="19"/>
      <c r="G13581" s="19"/>
      <c r="H13581" s="19"/>
      <c r="I13581" s="19"/>
      <c r="J13581" s="19"/>
      <c r="K13581" s="19"/>
      <c r="L13581" s="19"/>
      <c r="M13581" s="19"/>
      <c r="N13581" s="19"/>
      <c r="O13581" s="14" t="str">
        <f>HYPERLINK("https://otsuka-europe-crm.veevavault.com/ui/#object/email_activity__v/V8C000000042679", "EN-002101029")</f>
        <v>EN-002101029</v>
      </c>
    </row>
    <row r="13582" spans="1:15" ht="32" x14ac:dyDescent="0.2">
      <c r="A13582" s="7" t="str">
        <f>HYPERLINK("https://otsuka-europe-crm.veevavault.com/ui/#object/account__v/V4TZ06G6O71T8JM", "MARIA PILAR HERRERA PUENTE")</f>
        <v>MARIA PILAR HERRERA PUENTE</v>
      </c>
      <c r="B13582" s="7" t="str">
        <f>HYPERLINK("https://otsuka-europe-crm.veevavault.com/ui/#object/vcountry__v/VENZ000004SONF5", "ES")</f>
        <v>ES</v>
      </c>
      <c r="C13582" s="8" t="s">
        <v>41</v>
      </c>
      <c r="D13582" s="9" t="str">
        <f>HYPERLINK("https://otsuka-europe-crm.veevavault.com/ui/#object/approved_document__v/V5O00000001R001", "INA - VAE Cierre ""Nos quedamos en Casa""")</f>
        <v>INA - VAE Cierre "Nos quedamos en Casa"</v>
      </c>
      <c r="E13582" s="10" t="str">
        <f>HYPERLINK("https://otsuka-europe-crm.veevavault.com/ui/#object/sent_email__v/VBL00000002Y246", "SE-001438938")</f>
        <v>SE-001438938</v>
      </c>
      <c r="F13582" s="11"/>
      <c r="G13582" s="12">
        <v>0</v>
      </c>
      <c r="H13582" s="12">
        <v>0</v>
      </c>
      <c r="I13582" s="12">
        <v>0</v>
      </c>
      <c r="J13582" s="11"/>
      <c r="K13582" s="12">
        <v>0</v>
      </c>
      <c r="L13582" s="10" t="str">
        <f>HYPERLINK("https://otsuka-europe-crm.veevavault.com/ui/#object/approved_document__v/V5O00000001R001", "INA - VAE Cierre ""Nos quedamos en Casa""")</f>
        <v>INA - VAE Cierre "Nos quedamos en Casa"</v>
      </c>
      <c r="M13582" s="10" t="str">
        <f>HYPERLINK("mailto:cmaroto@crm.otsuka-europe.com", "cmaroto@crm.otsuka-europe.com")</f>
        <v>cmaroto@crm.otsuka-europe.com</v>
      </c>
      <c r="N13582" s="13">
        <v>46203.654016203705</v>
      </c>
      <c r="O13582" s="14" t="str">
        <f>HYPERLINK("https://otsuka-europe-crm.veevavault.com/ui/#object/email_activity__v/V8C000000041657", "EN-002100945")</f>
        <v>EN-002100945</v>
      </c>
    </row>
    <row r="13583" spans="1:15" ht="32" x14ac:dyDescent="0.2">
      <c r="A13583" s="7" t="str">
        <f>HYPERLINK("https://otsuka-europe-crm.veevavault.com/ui/#object/account__v/V4TZ025E86XW8MK", "ANGELA GIL PEREZ")</f>
        <v>ANGELA GIL PEREZ</v>
      </c>
      <c r="B13583" s="7" t="str">
        <f>HYPERLINK("https://otsuka-europe-crm.veevavault.com/ui/#object/vcountry__v/VENZ000004SONF5", "ES")</f>
        <v>ES</v>
      </c>
      <c r="C13583" s="8" t="s">
        <v>41</v>
      </c>
      <c r="D13583" s="9" t="str">
        <f>HYPERLINK("https://otsuka-europe-crm.veevavault.com/ui/#object/approved_document__v/V5O00000001R001", "INA - VAE Cierre ""Nos quedamos en Casa""")</f>
        <v>INA - VAE Cierre "Nos quedamos en Casa"</v>
      </c>
      <c r="E13583" s="10" t="str">
        <f>HYPERLINK("https://otsuka-europe-crm.veevavault.com/ui/#object/sent_email__v/VBL00000002Y247", "SE-001438939")</f>
        <v>SE-001438939</v>
      </c>
      <c r="F13583" s="11"/>
      <c r="G13583" s="12">
        <v>0</v>
      </c>
      <c r="H13583" s="12">
        <v>0</v>
      </c>
      <c r="I13583" s="12">
        <v>0</v>
      </c>
      <c r="J13583" s="11"/>
      <c r="K13583" s="12">
        <v>0</v>
      </c>
      <c r="L13583" s="10" t="str">
        <f>HYPERLINK("https://otsuka-europe-crm.veevavault.com/ui/#object/approved_document__v/V5O00000001R001", "INA - VAE Cierre ""Nos quedamos en Casa""")</f>
        <v>INA - VAE Cierre "Nos quedamos en Casa"</v>
      </c>
      <c r="M13583" s="10" t="str">
        <f>HYPERLINK("mailto:cmaroto@crm.otsuka-europe.com", "cmaroto@crm.otsuka-europe.com")</f>
        <v>cmaroto@crm.otsuka-europe.com</v>
      </c>
      <c r="N13583" s="13">
        <v>46203.654016203705</v>
      </c>
      <c r="O13583" s="14" t="str">
        <f>HYPERLINK("https://otsuka-europe-crm.veevavault.com/ui/#object/email_activity__v/V8C000000041634", "EN-002100915")</f>
        <v>EN-002100915</v>
      </c>
    </row>
    <row r="13584" spans="1:15" ht="16" x14ac:dyDescent="0.2">
      <c r="A13584" s="17" t="str">
        <f>HYPERLINK("https://otsuka-europe-crm.veevavault.com/ui/#object/account__v/V4T00000001D081", "ANGEL MAYORALAS TENDERO")</f>
        <v>ANGEL MAYORALAS TENDERO</v>
      </c>
      <c r="B13584" s="17" t="str">
        <f>HYPERLINK("https://otsuka-europe-crm.veevavault.com/ui/#object/vcountry__v/VENZ000004SONF5", "ES")</f>
        <v>ES</v>
      </c>
      <c r="C13584" s="20" t="s">
        <v>41</v>
      </c>
      <c r="D13584" s="21" t="str">
        <f>HYPERLINK("https://otsuka-europe-crm.veevavault.com/ui/#object/approved_document__v/V5O00000001R001", "INA - VAE Cierre ""Nos quedamos en Casa""")</f>
        <v>INA - VAE Cierre "Nos quedamos en Casa"</v>
      </c>
      <c r="E13584" s="22" t="str">
        <f>HYPERLINK("https://otsuka-europe-crm.veevavault.com/ui/#object/sent_email__v/VBL00000002Y248", "SE-001438940")</f>
        <v>SE-001438940</v>
      </c>
      <c r="F13584" s="23">
        <v>46203.819004629629</v>
      </c>
      <c r="G13584" s="24">
        <v>1</v>
      </c>
      <c r="H13584" s="24">
        <v>2</v>
      </c>
      <c r="I13584" s="24">
        <v>0</v>
      </c>
      <c r="J13584" s="25"/>
      <c r="K13584" s="24">
        <v>0</v>
      </c>
      <c r="L13584" s="22" t="str">
        <f>HYPERLINK("https://otsuka-europe-crm.veevavault.com/ui/#object/approved_document__v/V5O00000001R001", "INA - VAE Cierre ""Nos quedamos en Casa""")</f>
        <v>INA - VAE Cierre "Nos quedamos en Casa"</v>
      </c>
      <c r="M13584" s="22" t="str">
        <f>HYPERLINK("mailto:cmaroto@crm.otsuka-europe.com", "cmaroto@crm.otsuka-europe.com")</f>
        <v>cmaroto@crm.otsuka-europe.com</v>
      </c>
      <c r="N13584" s="23">
        <v>46203.654016203705</v>
      </c>
      <c r="O13584" s="14" t="str">
        <f>HYPERLINK("https://otsuka-europe-crm.veevavault.com/ui/#object/email_activity__v/V8C000000041632", "EN-002100911")</f>
        <v>EN-002100911</v>
      </c>
    </row>
    <row r="13585" spans="1:15" ht="16" x14ac:dyDescent="0.2">
      <c r="A13585" s="18"/>
      <c r="B13585" s="18"/>
      <c r="C13585" s="18"/>
      <c r="D13585" s="18"/>
      <c r="E13585" s="18"/>
      <c r="F13585" s="18"/>
      <c r="G13585" s="18"/>
      <c r="H13585" s="18"/>
      <c r="I13585" s="18"/>
      <c r="J13585" s="18"/>
      <c r="K13585" s="18"/>
      <c r="L13585" s="18"/>
      <c r="M13585" s="18"/>
      <c r="N13585" s="18"/>
      <c r="O13585" s="14" t="str">
        <f>HYPERLINK("https://otsuka-europe-crm.veevavault.com/ui/#object/email_activity__v/V8C000000041679", "EN-002101043")</f>
        <v>EN-002101043</v>
      </c>
    </row>
    <row r="13586" spans="1:15" ht="16" x14ac:dyDescent="0.2">
      <c r="A13586" s="19"/>
      <c r="B13586" s="19"/>
      <c r="C13586" s="19"/>
      <c r="D13586" s="19"/>
      <c r="E13586" s="19"/>
      <c r="F13586" s="19"/>
      <c r="G13586" s="19"/>
      <c r="H13586" s="19"/>
      <c r="I13586" s="19"/>
      <c r="J13586" s="19"/>
      <c r="K13586" s="19"/>
      <c r="L13586" s="19"/>
      <c r="M13586" s="19"/>
      <c r="N13586" s="19"/>
      <c r="O13586" s="14" t="str">
        <f>HYPERLINK("https://otsuka-europe-crm.veevavault.com/ui/#object/email_activity__v/V8C000000041716", "EN-002101111")</f>
        <v>EN-002101111</v>
      </c>
    </row>
    <row r="13587" spans="1:15" ht="32" x14ac:dyDescent="0.2">
      <c r="A13587" s="7" t="str">
        <f>HYPERLINK("https://otsuka-europe-crm.veevavault.com/ui/#object/account__v/V4TZ025E88VI6L9", "MARIA DUNIA DE MIGUEL LLORENTE")</f>
        <v>MARIA DUNIA DE MIGUEL LLORENTE</v>
      </c>
      <c r="B13587" s="7" t="str">
        <f>HYPERLINK("https://otsuka-europe-crm.veevavault.com/ui/#object/vcountry__v/VENZ000004SONF5", "ES")</f>
        <v>ES</v>
      </c>
      <c r="C13587" s="8" t="s">
        <v>41</v>
      </c>
      <c r="D13587" s="9" t="str">
        <f>HYPERLINK("https://otsuka-europe-crm.veevavault.com/ui/#object/approved_document__v/V5O00000001R001", "INA - VAE Cierre ""Nos quedamos en Casa""")</f>
        <v>INA - VAE Cierre "Nos quedamos en Casa"</v>
      </c>
      <c r="E13587" s="10" t="str">
        <f>HYPERLINK("https://otsuka-europe-crm.veevavault.com/ui/#object/sent_email__v/VBL00000002Y249", "SE-001438941")</f>
        <v>SE-001438941</v>
      </c>
      <c r="F13587" s="11"/>
      <c r="G13587" s="12">
        <v>0</v>
      </c>
      <c r="H13587" s="12">
        <v>0</v>
      </c>
      <c r="I13587" s="12">
        <v>0</v>
      </c>
      <c r="J13587" s="11"/>
      <c r="K13587" s="12">
        <v>0</v>
      </c>
      <c r="L13587" s="10" t="str">
        <f>HYPERLINK("https://otsuka-europe-crm.veevavault.com/ui/#object/approved_document__v/V5O00000001R001", "INA - VAE Cierre ""Nos quedamos en Casa""")</f>
        <v>INA - VAE Cierre "Nos quedamos en Casa"</v>
      </c>
      <c r="M13587" s="10" t="str">
        <f>HYPERLINK("mailto:cmaroto@crm.otsuka-europe.com", "cmaroto@crm.otsuka-europe.com")</f>
        <v>cmaroto@crm.otsuka-europe.com</v>
      </c>
      <c r="N13587" s="13">
        <v>46203.654016203705</v>
      </c>
      <c r="O13587" s="14" t="str">
        <f>HYPERLINK("https://otsuka-europe-crm.veevavault.com/ui/#object/email_activity__v/V8C000000041671", "EN-002100959")</f>
        <v>EN-002100959</v>
      </c>
    </row>
    <row r="13588" spans="1:15" ht="16" x14ac:dyDescent="0.2">
      <c r="A13588" s="17" t="str">
        <f>HYPERLINK("https://otsuka-europe-crm.veevavault.com/ui/#object/account__v/V4TZ025E861PYXT", "ALEJANDRO VAZQUEZ RAMO")</f>
        <v>ALEJANDRO VAZQUEZ RAMO</v>
      </c>
      <c r="B13588" s="17" t="str">
        <f>HYPERLINK("https://otsuka-europe-crm.veevavault.com/ui/#object/vcountry__v/VENZ000004SONF5", "ES")</f>
        <v>ES</v>
      </c>
      <c r="C13588" s="20" t="s">
        <v>41</v>
      </c>
      <c r="D13588" s="21" t="str">
        <f>HYPERLINK("https://otsuka-europe-crm.veevavault.com/ui/#object/approved_document__v/V5O00000001R001", "INA - VAE Cierre ""Nos quedamos en Casa""")</f>
        <v>INA - VAE Cierre "Nos quedamos en Casa"</v>
      </c>
      <c r="E13588" s="22" t="str">
        <f>HYPERLINK("https://otsuka-europe-crm.veevavault.com/ui/#object/sent_email__v/VBL00000002Y250", "SE-001438942")</f>
        <v>SE-001438942</v>
      </c>
      <c r="F13588" s="23">
        <v>46203.846921296295</v>
      </c>
      <c r="G13588" s="24">
        <v>1</v>
      </c>
      <c r="H13588" s="24">
        <v>1</v>
      </c>
      <c r="I13588" s="24">
        <v>0</v>
      </c>
      <c r="J13588" s="25"/>
      <c r="K13588" s="24">
        <v>0</v>
      </c>
      <c r="L13588" s="22" t="str">
        <f>HYPERLINK("https://otsuka-europe-crm.veevavault.com/ui/#object/approved_document__v/V5O00000001R001", "INA - VAE Cierre ""Nos quedamos en Casa""")</f>
        <v>INA - VAE Cierre "Nos quedamos en Casa"</v>
      </c>
      <c r="M13588" s="22" t="str">
        <f>HYPERLINK("mailto:cmaroto@crm.otsuka-europe.com", "cmaroto@crm.otsuka-europe.com")</f>
        <v>cmaroto@crm.otsuka-europe.com</v>
      </c>
      <c r="N13588" s="23">
        <v>46203.654016203705</v>
      </c>
      <c r="O13588" s="14" t="str">
        <f>HYPERLINK("https://otsuka-europe-crm.veevavault.com/ui/#object/email_activity__v/V8C000000041658", "EN-002100946")</f>
        <v>EN-002100946</v>
      </c>
    </row>
    <row r="13589" spans="1:15" ht="16" x14ac:dyDescent="0.2">
      <c r="A13589" s="19"/>
      <c r="B13589" s="19"/>
      <c r="C13589" s="19"/>
      <c r="D13589" s="19"/>
      <c r="E13589" s="19"/>
      <c r="F13589" s="19"/>
      <c r="G13589" s="19"/>
      <c r="H13589" s="19"/>
      <c r="I13589" s="19"/>
      <c r="J13589" s="19"/>
      <c r="K13589" s="19"/>
      <c r="L13589" s="19"/>
      <c r="M13589" s="19"/>
      <c r="N13589" s="19"/>
      <c r="O13589" s="14" t="str">
        <f>HYPERLINK("https://otsuka-europe-crm.veevavault.com/ui/#object/email_activity__v/V8C000000041718", "EN-002101117")</f>
        <v>EN-002101117</v>
      </c>
    </row>
    <row r="13590" spans="1:15" ht="16" x14ac:dyDescent="0.2">
      <c r="A13590" s="17" t="str">
        <f>HYPERLINK("https://otsuka-europe-crm.veevavault.com/ui/#object/account__v/V4TZ025E85AIP5R", "JESUS LORENZO ALGARRA ALGARRA")</f>
        <v>JESUS LORENZO ALGARRA ALGARRA</v>
      </c>
      <c r="B13590" s="17" t="str">
        <f>HYPERLINK("https://otsuka-europe-crm.veevavault.com/ui/#object/vcountry__v/VENZ000004SONF5", "ES")</f>
        <v>ES</v>
      </c>
      <c r="C13590" s="20" t="s">
        <v>41</v>
      </c>
      <c r="D13590" s="21" t="str">
        <f>HYPERLINK("https://otsuka-europe-crm.veevavault.com/ui/#object/approved_document__v/V5O00000001R001", "INA - VAE Cierre ""Nos quedamos en Casa""")</f>
        <v>INA - VAE Cierre "Nos quedamos en Casa"</v>
      </c>
      <c r="E13590" s="22" t="str">
        <f>HYPERLINK("https://otsuka-europe-crm.veevavault.com/ui/#object/sent_email__v/VBL00000002Y251", "SE-001438943")</f>
        <v>SE-001438943</v>
      </c>
      <c r="F13590" s="23">
        <v>46203.743159722224</v>
      </c>
      <c r="G13590" s="24">
        <v>1</v>
      </c>
      <c r="H13590" s="24">
        <v>1</v>
      </c>
      <c r="I13590" s="24">
        <v>1</v>
      </c>
      <c r="J13590" s="23">
        <v>46203.744108796294</v>
      </c>
      <c r="K13590" s="24">
        <v>1</v>
      </c>
      <c r="L13590" s="22" t="str">
        <f>HYPERLINK("https://otsuka-europe-crm.veevavault.com/ui/#object/approved_document__v/V5O00000001R001", "INA - VAE Cierre ""Nos quedamos en Casa""")</f>
        <v>INA - VAE Cierre "Nos quedamos en Casa"</v>
      </c>
      <c r="M13590" s="22" t="str">
        <f>HYPERLINK("mailto:cmaroto@crm.otsuka-europe.com", "cmaroto@crm.otsuka-europe.com")</f>
        <v>cmaroto@crm.otsuka-europe.com</v>
      </c>
      <c r="N13590" s="23">
        <v>46203.654016203705</v>
      </c>
      <c r="O13590" s="14" t="str">
        <f>HYPERLINK("https://otsuka-europe-crm.veevavault.com/ui/#object/email_activity__v/V8C000000041644", "EN-002100925")</f>
        <v>EN-002100925</v>
      </c>
    </row>
    <row r="13591" spans="1:15" ht="16" x14ac:dyDescent="0.2">
      <c r="A13591" s="18"/>
      <c r="B13591" s="18"/>
      <c r="C13591" s="18"/>
      <c r="D13591" s="18"/>
      <c r="E13591" s="18"/>
      <c r="F13591" s="18"/>
      <c r="G13591" s="18"/>
      <c r="H13591" s="18"/>
      <c r="I13591" s="18"/>
      <c r="J13591" s="18"/>
      <c r="K13591" s="18"/>
      <c r="L13591" s="18"/>
      <c r="M13591" s="18"/>
      <c r="N13591" s="18"/>
      <c r="O13591" s="14" t="str">
        <f>HYPERLINK("https://otsuka-europe-crm.veevavault.com/ui/#object/email_activity__v/V8C000000041700", "EN-002101084")</f>
        <v>EN-002101084</v>
      </c>
    </row>
    <row r="13592" spans="1:15" ht="16" x14ac:dyDescent="0.2">
      <c r="A13592" s="19"/>
      <c r="B13592" s="19"/>
      <c r="C13592" s="19"/>
      <c r="D13592" s="19"/>
      <c r="E13592" s="19"/>
      <c r="F13592" s="19"/>
      <c r="G13592" s="19"/>
      <c r="H13592" s="19"/>
      <c r="I13592" s="19"/>
      <c r="J13592" s="19"/>
      <c r="K13592" s="19"/>
      <c r="L13592" s="19"/>
      <c r="M13592" s="19"/>
      <c r="N13592" s="19"/>
      <c r="O13592" s="14" t="str">
        <f>HYPERLINK("https://otsuka-europe-crm.veevavault.com/ui/#object/email_activity__v/V8C000000042710", "EN-002101083")</f>
        <v>EN-002101083</v>
      </c>
    </row>
    <row r="13593" spans="1:15" ht="16" x14ac:dyDescent="0.2">
      <c r="A13593" s="17" t="str">
        <f>HYPERLINK("https://otsuka-europe-crm.veevavault.com/ui/#object/account__v/V4TZ025E86XWXE5", "HORACIO MARTIN GULINO")</f>
        <v>HORACIO MARTIN GULINO</v>
      </c>
      <c r="B13593" s="17" t="str">
        <f>HYPERLINK("https://otsuka-europe-crm.veevavault.com/ui/#object/vcountry__v/VENZ000004SONF5", "ES")</f>
        <v>ES</v>
      </c>
      <c r="C13593" s="20" t="s">
        <v>41</v>
      </c>
      <c r="D13593" s="21" t="str">
        <f>HYPERLINK("https://otsuka-europe-crm.veevavault.com/ui/#object/approved_document__v/V5O00000001R001", "INA - VAE Cierre ""Nos quedamos en Casa""")</f>
        <v>INA - VAE Cierre "Nos quedamos en Casa"</v>
      </c>
      <c r="E13593" s="22" t="str">
        <f>HYPERLINK("https://otsuka-europe-crm.veevavault.com/ui/#object/sent_email__v/VBL00000002Y252", "SE-001438944")</f>
        <v>SE-001438944</v>
      </c>
      <c r="F13593" s="23">
        <v>46203.798472222225</v>
      </c>
      <c r="G13593" s="24">
        <v>1</v>
      </c>
      <c r="H13593" s="24">
        <v>1</v>
      </c>
      <c r="I13593" s="24">
        <v>0</v>
      </c>
      <c r="J13593" s="25"/>
      <c r="K13593" s="24">
        <v>0</v>
      </c>
      <c r="L13593" s="22" t="str">
        <f>HYPERLINK("https://otsuka-europe-crm.veevavault.com/ui/#object/approved_document__v/V5O00000001R001", "INA - VAE Cierre ""Nos quedamos en Casa""")</f>
        <v>INA - VAE Cierre "Nos quedamos en Casa"</v>
      </c>
      <c r="M13593" s="22" t="str">
        <f>HYPERLINK("mailto:cmaroto@crm.otsuka-europe.com", "cmaroto@crm.otsuka-europe.com")</f>
        <v>cmaroto@crm.otsuka-europe.com</v>
      </c>
      <c r="N13593" s="23">
        <v>46203.654016203705</v>
      </c>
      <c r="O13593" s="14" t="str">
        <f>HYPERLINK("https://otsuka-europe-crm.veevavault.com/ui/#object/email_activity__v/V8C000000041649", "EN-002100930")</f>
        <v>EN-002100930</v>
      </c>
    </row>
    <row r="13594" spans="1:15" ht="16" x14ac:dyDescent="0.2">
      <c r="A13594" s="19"/>
      <c r="B13594" s="19"/>
      <c r="C13594" s="19"/>
      <c r="D13594" s="19"/>
      <c r="E13594" s="19"/>
      <c r="F13594" s="19"/>
      <c r="G13594" s="19"/>
      <c r="H13594" s="19"/>
      <c r="I13594" s="19"/>
      <c r="J13594" s="19"/>
      <c r="K13594" s="19"/>
      <c r="L13594" s="19"/>
      <c r="M13594" s="19"/>
      <c r="N13594" s="19"/>
      <c r="O13594" s="14" t="str">
        <f>HYPERLINK("https://otsuka-europe-crm.veevavault.com/ui/#object/email_activity__v/V8C000000041710", "EN-002101104")</f>
        <v>EN-002101104</v>
      </c>
    </row>
    <row r="13595" spans="1:15" ht="16" x14ac:dyDescent="0.2">
      <c r="A13595" s="17" t="str">
        <f>HYPERLINK("https://otsuka-europe-crm.veevavault.com/ui/#object/account__v/V4TZ025E84EE2FD", "ANA LERMA VERDEJO")</f>
        <v>ANA LERMA VERDEJO</v>
      </c>
      <c r="B13595" s="17" t="str">
        <f>HYPERLINK("https://otsuka-europe-crm.veevavault.com/ui/#object/vcountry__v/VENZ000004SONF5", "ES")</f>
        <v>ES</v>
      </c>
      <c r="C13595" s="20" t="s">
        <v>41</v>
      </c>
      <c r="D13595" s="21" t="str">
        <f>HYPERLINK("https://otsuka-europe-crm.veevavault.com/ui/#object/approved_document__v/V5O00000001R001", "INA - VAE Cierre ""Nos quedamos en Casa""")</f>
        <v>INA - VAE Cierre "Nos quedamos en Casa"</v>
      </c>
      <c r="E13595" s="22" t="str">
        <f>HYPERLINK("https://otsuka-europe-crm.veevavault.com/ui/#object/sent_email__v/VBL00000002Y253", "SE-001438945")</f>
        <v>SE-001438945</v>
      </c>
      <c r="F13595" s="23">
        <v>46203.783645833333</v>
      </c>
      <c r="G13595" s="24">
        <v>1</v>
      </c>
      <c r="H13595" s="24">
        <v>2</v>
      </c>
      <c r="I13595" s="24">
        <v>0</v>
      </c>
      <c r="J13595" s="25"/>
      <c r="K13595" s="24">
        <v>0</v>
      </c>
      <c r="L13595" s="22" t="str">
        <f>HYPERLINK("https://otsuka-europe-crm.veevavault.com/ui/#object/approved_document__v/V5O00000001R001", "INA - VAE Cierre ""Nos quedamos en Casa""")</f>
        <v>INA - VAE Cierre "Nos quedamos en Casa"</v>
      </c>
      <c r="M13595" s="22" t="str">
        <f>HYPERLINK("mailto:cmaroto@crm.otsuka-europe.com", "cmaroto@crm.otsuka-europe.com")</f>
        <v>cmaroto@crm.otsuka-europe.com</v>
      </c>
      <c r="N13595" s="23">
        <v>46203.654016203705</v>
      </c>
      <c r="O13595" s="14" t="str">
        <f>HYPERLINK("https://otsuka-europe-crm.veevavault.com/ui/#object/email_activity__v/V8C000000041655", "EN-002100943")</f>
        <v>EN-002100943</v>
      </c>
    </row>
    <row r="13596" spans="1:15" ht="16" x14ac:dyDescent="0.2">
      <c r="A13596" s="18"/>
      <c r="B13596" s="18"/>
      <c r="C13596" s="18"/>
      <c r="D13596" s="18"/>
      <c r="E13596" s="18"/>
      <c r="F13596" s="18"/>
      <c r="G13596" s="18"/>
      <c r="H13596" s="18"/>
      <c r="I13596" s="18"/>
      <c r="J13596" s="18"/>
      <c r="K13596" s="18"/>
      <c r="L13596" s="18"/>
      <c r="M13596" s="18"/>
      <c r="N13596" s="18"/>
      <c r="O13596" s="14" t="str">
        <f>HYPERLINK("https://otsuka-europe-crm.veevavault.com/ui/#object/email_activity__v/V8C000000041708", "EN-002101099")</f>
        <v>EN-002101099</v>
      </c>
    </row>
    <row r="13597" spans="1:15" ht="16" x14ac:dyDescent="0.2">
      <c r="A13597" s="19"/>
      <c r="B13597" s="19"/>
      <c r="C13597" s="19"/>
      <c r="D13597" s="19"/>
      <c r="E13597" s="19"/>
      <c r="F13597" s="19"/>
      <c r="G13597" s="19"/>
      <c r="H13597" s="19"/>
      <c r="I13597" s="19"/>
      <c r="J13597" s="19"/>
      <c r="K13597" s="19"/>
      <c r="L13597" s="19"/>
      <c r="M13597" s="19"/>
      <c r="N13597" s="19"/>
      <c r="O13597" s="14" t="str">
        <f>HYPERLINK("https://otsuka-europe-crm.veevavault.com/ui/#object/email_activity__v/V8C000000042609", "EN-002100939")</f>
        <v>EN-002100939</v>
      </c>
    </row>
    <row r="13598" spans="1:15" ht="16" x14ac:dyDescent="0.2">
      <c r="A13598" s="17" t="str">
        <f>HYPERLINK("https://otsuka-europe-crm.veevavault.com/ui/#object/account__v/V4TZ025E86XWVDZ", "MARIA JOSE CAÑIZARES VILLALBA")</f>
        <v>MARIA JOSE CAÑIZARES VILLALBA</v>
      </c>
      <c r="B13598" s="17" t="str">
        <f>HYPERLINK("https://otsuka-europe-crm.veevavault.com/ui/#object/vcountry__v/VENZ000004SONF5", "ES")</f>
        <v>ES</v>
      </c>
      <c r="C13598" s="20" t="s">
        <v>41</v>
      </c>
      <c r="D13598" s="21" t="str">
        <f>HYPERLINK("https://otsuka-europe-crm.veevavault.com/ui/#object/approved_document__v/V5O00000001R001", "INA - VAE Cierre ""Nos quedamos en Casa""")</f>
        <v>INA - VAE Cierre "Nos quedamos en Casa"</v>
      </c>
      <c r="E13598" s="22" t="str">
        <f>HYPERLINK("https://otsuka-europe-crm.veevavault.com/ui/#object/sent_email__v/VBL00000002Y254", "SE-001438946")</f>
        <v>SE-001438946</v>
      </c>
      <c r="F13598" s="25"/>
      <c r="G13598" s="24">
        <v>0</v>
      </c>
      <c r="H13598" s="24">
        <v>0</v>
      </c>
      <c r="I13598" s="24">
        <v>1</v>
      </c>
      <c r="J13598" s="23">
        <v>46203.682314814818</v>
      </c>
      <c r="K13598" s="24">
        <v>1</v>
      </c>
      <c r="L13598" s="22" t="str">
        <f>HYPERLINK("https://otsuka-europe-crm.veevavault.com/ui/#object/approved_document__v/V5O00000001R001", "INA - VAE Cierre ""Nos quedamos en Casa""")</f>
        <v>INA - VAE Cierre "Nos quedamos en Casa"</v>
      </c>
      <c r="M13598" s="22" t="str">
        <f>HYPERLINK("mailto:cmaroto@crm.otsuka-europe.com", "cmaroto@crm.otsuka-europe.com")</f>
        <v>cmaroto@crm.otsuka-europe.com</v>
      </c>
      <c r="N13598" s="23">
        <v>46203.654016203705</v>
      </c>
      <c r="O13598" s="14" t="str">
        <f>HYPERLINK("https://otsuka-europe-crm.veevavault.com/ui/#object/email_activity__v/V8C000000041640", "EN-002100921")</f>
        <v>EN-002100921</v>
      </c>
    </row>
    <row r="13599" spans="1:15" ht="16" x14ac:dyDescent="0.2">
      <c r="A13599" s="18"/>
      <c r="B13599" s="18"/>
      <c r="C13599" s="18"/>
      <c r="D13599" s="18"/>
      <c r="E13599" s="18"/>
      <c r="F13599" s="18"/>
      <c r="G13599" s="18"/>
      <c r="H13599" s="18"/>
      <c r="I13599" s="18"/>
      <c r="J13599" s="18"/>
      <c r="K13599" s="18"/>
      <c r="L13599" s="18"/>
      <c r="M13599" s="18"/>
      <c r="N13599" s="18"/>
      <c r="O13599" s="14" t="str">
        <f>HYPERLINK("https://otsuka-europe-crm.veevavault.com/ui/#object/email_activity__v/V8C000000042692", "EN-002101053")</f>
        <v>EN-002101053</v>
      </c>
    </row>
    <row r="13600" spans="1:15" ht="16" x14ac:dyDescent="0.2">
      <c r="A13600" s="19"/>
      <c r="B13600" s="19"/>
      <c r="C13600" s="19"/>
      <c r="D13600" s="19"/>
      <c r="E13600" s="19"/>
      <c r="F13600" s="19"/>
      <c r="G13600" s="19"/>
      <c r="H13600" s="19"/>
      <c r="I13600" s="19"/>
      <c r="J13600" s="19"/>
      <c r="K13600" s="19"/>
      <c r="L13600" s="19"/>
      <c r="M13600" s="19"/>
      <c r="N13600" s="19"/>
      <c r="O13600" s="14" t="str">
        <f>HYPERLINK("https://otsuka-europe-crm.veevavault.com/ui/#object/email_activity__v/V8C000000042693", "EN-002101054")</f>
        <v>EN-002101054</v>
      </c>
    </row>
    <row r="13601" spans="1:15" ht="16" x14ac:dyDescent="0.2">
      <c r="A13601" s="17" t="str">
        <f>HYPERLINK("https://otsuka-europe-crm.veevavault.com/ui/#object/account__v/V4T00000000D012", "LUCIA MEDINA DE ALBA")</f>
        <v>LUCIA MEDINA DE ALBA</v>
      </c>
      <c r="B13601" s="17" t="str">
        <f>HYPERLINK("https://otsuka-europe-crm.veevavault.com/ui/#object/vcountry__v/VENZ000004SONF5", "ES")</f>
        <v>ES</v>
      </c>
      <c r="C13601" s="20" t="s">
        <v>41</v>
      </c>
      <c r="D13601" s="21" t="str">
        <f>HYPERLINK("https://otsuka-europe-crm.veevavault.com/ui/#object/approved_document__v/V5O00000001R001", "INA - VAE Cierre ""Nos quedamos en Casa""")</f>
        <v>INA - VAE Cierre "Nos quedamos en Casa"</v>
      </c>
      <c r="E13601" s="22" t="str">
        <f>HYPERLINK("https://otsuka-europe-crm.veevavault.com/ui/#object/sent_email__v/VBL00000002Y255", "SE-001438947")</f>
        <v>SE-001438947</v>
      </c>
      <c r="F13601" s="25"/>
      <c r="G13601" s="24">
        <v>0</v>
      </c>
      <c r="H13601" s="24">
        <v>0</v>
      </c>
      <c r="I13601" s="24">
        <v>0</v>
      </c>
      <c r="J13601" s="25"/>
      <c r="K13601" s="24">
        <v>0</v>
      </c>
      <c r="L13601" s="22" t="str">
        <f>HYPERLINK("https://otsuka-europe-crm.veevavault.com/ui/#object/approved_document__v/V5O00000001R001", "INA - VAE Cierre ""Nos quedamos en Casa""")</f>
        <v>INA - VAE Cierre "Nos quedamos en Casa"</v>
      </c>
      <c r="M13601" s="22" t="str">
        <f>HYPERLINK("mailto:cmaroto@crm.otsuka-europe.com", "cmaroto@crm.otsuka-europe.com")</f>
        <v>cmaroto@crm.otsuka-europe.com</v>
      </c>
      <c r="N13601" s="23">
        <v>46203.654016203705</v>
      </c>
      <c r="O13601" s="14" t="str">
        <f>HYPERLINK("https://otsuka-europe-crm.veevavault.com/ui/#object/email_activity__v/V8C000000041638", "EN-002100919")</f>
        <v>EN-002100919</v>
      </c>
    </row>
    <row r="13602" spans="1:15" ht="16" x14ac:dyDescent="0.2">
      <c r="A13602" s="18"/>
      <c r="B13602" s="18"/>
      <c r="C13602" s="18"/>
      <c r="D13602" s="18"/>
      <c r="E13602" s="18"/>
      <c r="F13602" s="18"/>
      <c r="G13602" s="18"/>
      <c r="H13602" s="18"/>
      <c r="I13602" s="18"/>
      <c r="J13602" s="18"/>
      <c r="K13602" s="18"/>
      <c r="L13602" s="18"/>
      <c r="M13602" s="18"/>
      <c r="N13602" s="18"/>
      <c r="O13602" s="14" t="str">
        <f>HYPERLINK("https://otsuka-europe-crm.veevavault.com/ui/#object/email_activity__v/V8C000000041694", "EN-002101071")</f>
        <v>EN-002101071</v>
      </c>
    </row>
    <row r="13603" spans="1:15" ht="16" x14ac:dyDescent="0.2">
      <c r="A13603" s="19"/>
      <c r="B13603" s="19"/>
      <c r="C13603" s="19"/>
      <c r="D13603" s="19"/>
      <c r="E13603" s="19"/>
      <c r="F13603" s="19"/>
      <c r="G13603" s="19"/>
      <c r="H13603" s="19"/>
      <c r="I13603" s="19"/>
      <c r="J13603" s="19"/>
      <c r="K13603" s="19"/>
      <c r="L13603" s="19"/>
      <c r="M13603" s="19"/>
      <c r="N13603" s="19"/>
      <c r="O13603" s="14" t="str">
        <f>HYPERLINK("https://otsuka-europe-crm.veevavault.com/ui/#object/email_activity__v/V8C000000042734", "EN-002101122")</f>
        <v>EN-002101122</v>
      </c>
    </row>
    <row r="13604" spans="1:15" ht="16" x14ac:dyDescent="0.2">
      <c r="A13604" s="17" t="str">
        <f>HYPERLINK("https://otsuka-europe-crm.veevavault.com/ui/#object/account__v/V4T00000001K019", "JESUS VIÑAS SOLER")</f>
        <v>JESUS VIÑAS SOLER</v>
      </c>
      <c r="B13604" s="17" t="str">
        <f>HYPERLINK("https://otsuka-europe-crm.veevavault.com/ui/#object/vcountry__v/VENZ000004SONF5", "ES")</f>
        <v>ES</v>
      </c>
      <c r="C13604" s="20" t="s">
        <v>41</v>
      </c>
      <c r="D13604" s="21" t="str">
        <f>HYPERLINK("https://otsuka-europe-crm.veevavault.com/ui/#object/approved_document__v/V5O00000001R001", "INA - VAE Cierre ""Nos quedamos en Casa""")</f>
        <v>INA - VAE Cierre "Nos quedamos en Casa"</v>
      </c>
      <c r="E13604" s="22" t="str">
        <f>HYPERLINK("https://otsuka-europe-crm.veevavault.com/ui/#object/sent_email__v/VBL00000002Y256", "SE-001438948")</f>
        <v>SE-001438948</v>
      </c>
      <c r="F13604" s="23">
        <v>46203.659548611111</v>
      </c>
      <c r="G13604" s="24">
        <v>1</v>
      </c>
      <c r="H13604" s="24">
        <v>1</v>
      </c>
      <c r="I13604" s="24">
        <v>0</v>
      </c>
      <c r="J13604" s="25"/>
      <c r="K13604" s="24">
        <v>0</v>
      </c>
      <c r="L13604" s="22" t="str">
        <f>HYPERLINK("https://otsuka-europe-crm.veevavault.com/ui/#object/approved_document__v/V5O00000001R001", "INA - VAE Cierre ""Nos quedamos en Casa""")</f>
        <v>INA - VAE Cierre "Nos quedamos en Casa"</v>
      </c>
      <c r="M13604" s="22" t="str">
        <f>HYPERLINK("mailto:cmaroto@crm.otsuka-europe.com", "cmaroto@crm.otsuka-europe.com")</f>
        <v>cmaroto@crm.otsuka-europe.com</v>
      </c>
      <c r="N13604" s="23">
        <v>46203.654016203705</v>
      </c>
      <c r="O13604" s="14" t="str">
        <f>HYPERLINK("https://otsuka-europe-crm.veevavault.com/ui/#object/email_activity__v/V8C000000041645", "EN-002100926")</f>
        <v>EN-002100926</v>
      </c>
    </row>
    <row r="13605" spans="1:15" ht="16" x14ac:dyDescent="0.2">
      <c r="A13605" s="19"/>
      <c r="B13605" s="19"/>
      <c r="C13605" s="19"/>
      <c r="D13605" s="19"/>
      <c r="E13605" s="19"/>
      <c r="F13605" s="19"/>
      <c r="G13605" s="19"/>
      <c r="H13605" s="19"/>
      <c r="I13605" s="19"/>
      <c r="J13605" s="19"/>
      <c r="K13605" s="19"/>
      <c r="L13605" s="19"/>
      <c r="M13605" s="19"/>
      <c r="N13605" s="19"/>
      <c r="O13605" s="14" t="str">
        <f>HYPERLINK("https://otsuka-europe-crm.veevavault.com/ui/#object/email_activity__v/V8C000000042682", "EN-002101032")</f>
        <v>EN-002101032</v>
      </c>
    </row>
    <row r="13606" spans="1:15" ht="16" x14ac:dyDescent="0.2">
      <c r="A13606" s="17" t="str">
        <f>HYPERLINK("https://otsuka-europe-crm.veevavault.com/ui/#object/account__v/V4TZ06G6O71TB19", "JOAQUIN MARTINEZ LOPEZ")</f>
        <v>JOAQUIN MARTINEZ LOPEZ</v>
      </c>
      <c r="B13606" s="17" t="str">
        <f>HYPERLINK("https://otsuka-europe-crm.veevavault.com/ui/#object/vcountry__v/VENZ000004SONF5", "ES")</f>
        <v>ES</v>
      </c>
      <c r="C13606" s="20" t="s">
        <v>41</v>
      </c>
      <c r="D13606" s="21" t="str">
        <f>HYPERLINK("https://otsuka-europe-crm.veevavault.com/ui/#object/approved_document__v/V5O00000001R001", "INA - VAE Cierre ""Nos quedamos en Casa""")</f>
        <v>INA - VAE Cierre "Nos quedamos en Casa"</v>
      </c>
      <c r="E13606" s="22" t="str">
        <f>HYPERLINK("https://otsuka-europe-crm.veevavault.com/ui/#object/sent_email__v/VBL00000002Y257", "SE-001438949")</f>
        <v>SE-001438949</v>
      </c>
      <c r="F13606" s="23">
        <v>46204.276666666665</v>
      </c>
      <c r="G13606" s="24">
        <v>1</v>
      </c>
      <c r="H13606" s="24">
        <v>1</v>
      </c>
      <c r="I13606" s="24">
        <v>0</v>
      </c>
      <c r="J13606" s="25"/>
      <c r="K13606" s="24">
        <v>0</v>
      </c>
      <c r="L13606" s="22" t="str">
        <f>HYPERLINK("https://otsuka-europe-crm.veevavault.com/ui/#object/approved_document__v/V5O00000001R001", "INA - VAE Cierre ""Nos quedamos en Casa""")</f>
        <v>INA - VAE Cierre "Nos quedamos en Casa"</v>
      </c>
      <c r="M13606" s="22" t="str">
        <f>HYPERLINK("mailto:cmaroto@crm.otsuka-europe.com", "cmaroto@crm.otsuka-europe.com")</f>
        <v>cmaroto@crm.otsuka-europe.com</v>
      </c>
      <c r="N13606" s="23">
        <v>46203.654027777775</v>
      </c>
      <c r="O13606" s="14" t="str">
        <f>HYPERLINK("https://otsuka-europe-crm.veevavault.com/ui/#object/email_activity__v/V8C000000041660", "EN-002100948")</f>
        <v>EN-002100948</v>
      </c>
    </row>
    <row r="13607" spans="1:15" ht="16" x14ac:dyDescent="0.2">
      <c r="A13607" s="18"/>
      <c r="B13607" s="18"/>
      <c r="C13607" s="18"/>
      <c r="D13607" s="18"/>
      <c r="E13607" s="18"/>
      <c r="F13607" s="18"/>
      <c r="G13607" s="18"/>
      <c r="H13607" s="18"/>
      <c r="I13607" s="18"/>
      <c r="J13607" s="18"/>
      <c r="K13607" s="18"/>
      <c r="L13607" s="18"/>
      <c r="M13607" s="18"/>
      <c r="N13607" s="18"/>
      <c r="O13607" s="14" t="str">
        <f>HYPERLINK("https://otsuka-europe-crm.veevavault.com/ui/#object/email_activity__v/V8C000000041753", "EN-002101179")</f>
        <v>EN-002101179</v>
      </c>
    </row>
    <row r="13608" spans="1:15" ht="16" x14ac:dyDescent="0.2">
      <c r="A13608" s="19"/>
      <c r="B13608" s="19"/>
      <c r="C13608" s="19"/>
      <c r="D13608" s="19"/>
      <c r="E13608" s="19"/>
      <c r="F13608" s="19"/>
      <c r="G13608" s="19"/>
      <c r="H13608" s="19"/>
      <c r="I13608" s="19"/>
      <c r="J13608" s="19"/>
      <c r="K13608" s="19"/>
      <c r="L13608" s="19"/>
      <c r="M13608" s="19"/>
      <c r="N13608" s="19"/>
      <c r="O13608" s="14" t="str">
        <f>HYPERLINK("https://otsuka-europe-crm.veevavault.com/ui/#object/email_activity__v/V8C000000042606", "EN-002100936")</f>
        <v>EN-002100936</v>
      </c>
    </row>
    <row r="13609" spans="1:15" ht="32" x14ac:dyDescent="0.2">
      <c r="A13609" s="7" t="str">
        <f>HYPERLINK("https://otsuka-europe-crm.veevavault.com/ui/#object/account__v/V4TZ025E846YP72", "JUAN MANUEL ALONSO DOMINGUEZ")</f>
        <v>JUAN MANUEL ALONSO DOMINGUEZ</v>
      </c>
      <c r="B13609" s="7" t="str">
        <f>HYPERLINK("https://otsuka-europe-crm.veevavault.com/ui/#object/vcountry__v/VENZ000004SONF5", "ES")</f>
        <v>ES</v>
      </c>
      <c r="C13609" s="8" t="s">
        <v>41</v>
      </c>
      <c r="D13609" s="9" t="str">
        <f>HYPERLINK("https://otsuka-europe-crm.veevavault.com/ui/#object/approved_document__v/V5O00000001R001", "INA - VAE Cierre ""Nos quedamos en Casa""")</f>
        <v>INA - VAE Cierre "Nos quedamos en Casa"</v>
      </c>
      <c r="E13609" s="10" t="str">
        <f>HYPERLINK("https://otsuka-europe-crm.veevavault.com/ui/#object/sent_email__v/VBL00000002Y258", "SE-001438950")</f>
        <v>SE-001438950</v>
      </c>
      <c r="F13609" s="11"/>
      <c r="G13609" s="12">
        <v>0</v>
      </c>
      <c r="H13609" s="12">
        <v>0</v>
      </c>
      <c r="I13609" s="12">
        <v>0</v>
      </c>
      <c r="J13609" s="11"/>
      <c r="K13609" s="12">
        <v>0</v>
      </c>
      <c r="L13609" s="10" t="str">
        <f>HYPERLINK("https://otsuka-europe-crm.veevavault.com/ui/#object/approved_document__v/V5O00000001R001", "INA - VAE Cierre ""Nos quedamos en Casa""")</f>
        <v>INA - VAE Cierre "Nos quedamos en Casa"</v>
      </c>
      <c r="M13609" s="10" t="str">
        <f>HYPERLINK("mailto:cmaroto@crm.otsuka-europe.com", "cmaroto@crm.otsuka-europe.com")</f>
        <v>cmaroto@crm.otsuka-europe.com</v>
      </c>
      <c r="N13609" s="13">
        <v>46203.654050925928</v>
      </c>
      <c r="O13609" s="14" t="str">
        <f>HYPERLINK("https://otsuka-europe-crm.veevavault.com/ui/#object/email_activity__v/V8C000000042610", "EN-002100940")</f>
        <v>EN-002100940</v>
      </c>
    </row>
    <row r="13610" spans="1:15" ht="32" x14ac:dyDescent="0.2">
      <c r="A13610" s="7" t="str">
        <f>HYPERLINK("https://otsuka-europe-crm.veevavault.com/ui/#object/account__v/V4T00000001U038", "TERESA ARQUERO PORTERO")</f>
        <v>TERESA ARQUERO PORTERO</v>
      </c>
      <c r="B13610" s="7" t="str">
        <f>HYPERLINK("https://otsuka-europe-crm.veevavault.com/ui/#object/vcountry__v/VENZ000004SONF5", "ES")</f>
        <v>ES</v>
      </c>
      <c r="C13610" s="8" t="s">
        <v>41</v>
      </c>
      <c r="D13610" s="9" t="str">
        <f>HYPERLINK("https://otsuka-europe-crm.veevavault.com/ui/#object/approved_document__v/V5O00000001R001", "INA - VAE Cierre ""Nos quedamos en Casa""")</f>
        <v>INA - VAE Cierre "Nos quedamos en Casa"</v>
      </c>
      <c r="E13610" s="10" t="str">
        <f>HYPERLINK("https://otsuka-europe-crm.veevavault.com/ui/#object/sent_email__v/VBL00000002Y259", "SE-001438951")</f>
        <v>SE-001438951</v>
      </c>
      <c r="F13610" s="11"/>
      <c r="G13610" s="12">
        <v>0</v>
      </c>
      <c r="H13610" s="12">
        <v>0</v>
      </c>
      <c r="I13610" s="12">
        <v>0</v>
      </c>
      <c r="J13610" s="11"/>
      <c r="K13610" s="12">
        <v>0</v>
      </c>
      <c r="L13610" s="10" t="str">
        <f>HYPERLINK("https://otsuka-europe-crm.veevavault.com/ui/#object/approved_document__v/V5O00000001R001", "INA - VAE Cierre ""Nos quedamos en Casa""")</f>
        <v>INA - VAE Cierre "Nos quedamos en Casa"</v>
      </c>
      <c r="M13610" s="10" t="str">
        <f>HYPERLINK("mailto:cmaroto@crm.otsuka-europe.com", "cmaroto@crm.otsuka-europe.com")</f>
        <v>cmaroto@crm.otsuka-europe.com</v>
      </c>
      <c r="N13610" s="13">
        <v>46203.654016203705</v>
      </c>
      <c r="O13610" s="14" t="str">
        <f>HYPERLINK("https://otsuka-europe-crm.veevavault.com/ui/#object/email_activity__v/V8C000000041665", "EN-002100953")</f>
        <v>EN-002100953</v>
      </c>
    </row>
    <row r="13611" spans="1:15" ht="16" x14ac:dyDescent="0.2">
      <c r="A13611" s="17" t="str">
        <f>HYPERLINK("https://otsuka-europe-crm.veevavault.com/ui/#object/account__v/V4TZ025E86B3J96", "GONZALO DEL CAMPO BALGUERIAS")</f>
        <v>GONZALO DEL CAMPO BALGUERIAS</v>
      </c>
      <c r="B13611" s="17" t="str">
        <f>HYPERLINK("https://otsuka-europe-crm.veevavault.com/ui/#object/vcountry__v/VENZ000004SONF5", "ES")</f>
        <v>ES</v>
      </c>
      <c r="C13611" s="20" t="s">
        <v>41</v>
      </c>
      <c r="D13611" s="21" t="str">
        <f>HYPERLINK("https://otsuka-europe-crm.veevavault.com/ui/#object/approved_document__v/V5O00000001R001", "INA - VAE Cierre ""Nos quedamos en Casa""")</f>
        <v>INA - VAE Cierre "Nos quedamos en Casa"</v>
      </c>
      <c r="E13611" s="22" t="str">
        <f>HYPERLINK("https://otsuka-europe-crm.veevavault.com/ui/#object/sent_email__v/VBL00000002Y260", "SE-001438952")</f>
        <v>SE-001438952</v>
      </c>
      <c r="F13611" s="23">
        <v>46204.42763888889</v>
      </c>
      <c r="G13611" s="24">
        <v>1</v>
      </c>
      <c r="H13611" s="24">
        <v>2</v>
      </c>
      <c r="I13611" s="24">
        <v>0</v>
      </c>
      <c r="J13611" s="25"/>
      <c r="K13611" s="24">
        <v>0</v>
      </c>
      <c r="L13611" s="22" t="str">
        <f>HYPERLINK("https://otsuka-europe-crm.veevavault.com/ui/#object/approved_document__v/V5O00000001R001", "INA - VAE Cierre ""Nos quedamos en Casa""")</f>
        <v>INA - VAE Cierre "Nos quedamos en Casa"</v>
      </c>
      <c r="M13611" s="22" t="str">
        <f>HYPERLINK("mailto:cmaroto@crm.otsuka-europe.com", "cmaroto@crm.otsuka-europe.com")</f>
        <v>cmaroto@crm.otsuka-europe.com</v>
      </c>
      <c r="N13611" s="23">
        <v>46203.654027777775</v>
      </c>
      <c r="O13611" s="14" t="str">
        <f>HYPERLINK("https://otsuka-europe-crm.veevavault.com/ui/#object/email_activity__v/V8C000000041661", "EN-002100949")</f>
        <v>EN-002100949</v>
      </c>
    </row>
    <row r="13612" spans="1:15" ht="16" x14ac:dyDescent="0.2">
      <c r="A13612" s="18"/>
      <c r="B13612" s="18"/>
      <c r="C13612" s="18"/>
      <c r="D13612" s="18"/>
      <c r="E13612" s="18"/>
      <c r="F13612" s="18"/>
      <c r="G13612" s="18"/>
      <c r="H13612" s="18"/>
      <c r="I13612" s="18"/>
      <c r="J13612" s="18"/>
      <c r="K13612" s="18"/>
      <c r="L13612" s="18"/>
      <c r="M13612" s="18"/>
      <c r="N13612" s="18"/>
      <c r="O13612" s="14" t="str">
        <f>HYPERLINK("https://otsuka-europe-crm.veevavault.com/ui/#object/email_activity__v/V8C000000042608", "EN-002100938")</f>
        <v>EN-002100938</v>
      </c>
    </row>
    <row r="13613" spans="1:15" ht="16" x14ac:dyDescent="0.2">
      <c r="A13613" s="19"/>
      <c r="B13613" s="19"/>
      <c r="C13613" s="19"/>
      <c r="D13613" s="19"/>
      <c r="E13613" s="19"/>
      <c r="F13613" s="19"/>
      <c r="G13613" s="19"/>
      <c r="H13613" s="19"/>
      <c r="I13613" s="19"/>
      <c r="J13613" s="19"/>
      <c r="K13613" s="19"/>
      <c r="L13613" s="19"/>
      <c r="M13613" s="19"/>
      <c r="N13613" s="19"/>
      <c r="O13613" s="14" t="str">
        <f>HYPERLINK("https://otsuka-europe-crm.veevavault.com/ui/#object/email_activity__v/V8C000000042884", "EN-002101347")</f>
        <v>EN-002101347</v>
      </c>
    </row>
    <row r="13614" spans="1:15" ht="32" x14ac:dyDescent="0.2">
      <c r="A13614" s="7" t="str">
        <f>HYPERLINK("https://otsuka-europe-crm.veevavault.com/ui/#object/account__v/V4T00000001E077", "FRANCISCO SALAS HERNANDEZ")</f>
        <v>FRANCISCO SALAS HERNANDEZ</v>
      </c>
      <c r="B13614" s="7" t="str">
        <f>HYPERLINK("https://otsuka-europe-crm.veevavault.com/ui/#object/vcountry__v/VENZ000004SONF5", "ES")</f>
        <v>ES</v>
      </c>
      <c r="C13614" s="8" t="s">
        <v>41</v>
      </c>
      <c r="D13614" s="9" t="str">
        <f>HYPERLINK("https://otsuka-europe-crm.veevavault.com/ui/#object/approved_document__v/V5O00000001R001", "INA - VAE Cierre ""Nos quedamos en Casa""")</f>
        <v>INA - VAE Cierre "Nos quedamos en Casa"</v>
      </c>
      <c r="E13614" s="10" t="str">
        <f>HYPERLINK("https://otsuka-europe-crm.veevavault.com/ui/#object/sent_email__v/VBL00000002Y261", "SE-001438953")</f>
        <v>SE-001438953</v>
      </c>
      <c r="F13614" s="11"/>
      <c r="G13614" s="12">
        <v>0</v>
      </c>
      <c r="H13614" s="12">
        <v>0</v>
      </c>
      <c r="I13614" s="12">
        <v>0</v>
      </c>
      <c r="J13614" s="11"/>
      <c r="K13614" s="12">
        <v>0</v>
      </c>
      <c r="L13614" s="10" t="str">
        <f>HYPERLINK("https://otsuka-europe-crm.veevavault.com/ui/#object/approved_document__v/V5O00000001R001", "INA - VAE Cierre ""Nos quedamos en Casa""")</f>
        <v>INA - VAE Cierre "Nos quedamos en Casa"</v>
      </c>
      <c r="M13614" s="10" t="str">
        <f>HYPERLINK("mailto:cmaroto@crm.otsuka-europe.com", "cmaroto@crm.otsuka-europe.com")</f>
        <v>cmaroto@crm.otsuka-europe.com</v>
      </c>
      <c r="N13614" s="13">
        <v>46203.654016203705</v>
      </c>
      <c r="O13614" s="14" t="str">
        <f>HYPERLINK("https://otsuka-europe-crm.veevavault.com/ui/#object/email_activity__v/V8C000000041653", "EN-002100934")</f>
        <v>EN-002100934</v>
      </c>
    </row>
    <row r="13615" spans="1:15" ht="32" x14ac:dyDescent="0.2">
      <c r="A13615" s="7" t="str">
        <f>HYPERLINK("https://otsuka-europe-crm.veevavault.com/ui/#object/account__v/V4TZ06G6O71TAQX", "FRANCISCO JAVIER LOPEZ JIMENEZ")</f>
        <v>FRANCISCO JAVIER LOPEZ JIMENEZ</v>
      </c>
      <c r="B13615" s="7" t="str">
        <f>HYPERLINK("https://otsuka-europe-crm.veevavault.com/ui/#object/vcountry__v/VENZ000004SONF5", "ES")</f>
        <v>ES</v>
      </c>
      <c r="C13615" s="8" t="s">
        <v>41</v>
      </c>
      <c r="D13615" s="9" t="str">
        <f>HYPERLINK("https://otsuka-europe-crm.veevavault.com/ui/#object/approved_document__v/V5O00000001R001", "INA - VAE Cierre ""Nos quedamos en Casa""")</f>
        <v>INA - VAE Cierre "Nos quedamos en Casa"</v>
      </c>
      <c r="E13615" s="10" t="str">
        <f>HYPERLINK("https://otsuka-europe-crm.veevavault.com/ui/#object/sent_email__v/VBL00000002Y262", "SE-001438954")</f>
        <v>SE-001438954</v>
      </c>
      <c r="F13615" s="11"/>
      <c r="G13615" s="12">
        <v>0</v>
      </c>
      <c r="H13615" s="12">
        <v>0</v>
      </c>
      <c r="I13615" s="12">
        <v>0</v>
      </c>
      <c r="J13615" s="11"/>
      <c r="K13615" s="12">
        <v>0</v>
      </c>
      <c r="L13615" s="10" t="str">
        <f>HYPERLINK("https://otsuka-europe-crm.veevavault.com/ui/#object/approved_document__v/V5O00000001R001", "INA - VAE Cierre ""Nos quedamos en Casa""")</f>
        <v>INA - VAE Cierre "Nos quedamos en Casa"</v>
      </c>
      <c r="M13615" s="10" t="str">
        <f>HYPERLINK("mailto:cmaroto@crm.otsuka-europe.com", "cmaroto@crm.otsuka-europe.com")</f>
        <v>cmaroto@crm.otsuka-europe.com</v>
      </c>
      <c r="N13615" s="13">
        <v>46203.654016203705</v>
      </c>
      <c r="O13615" s="14" t="str">
        <f>HYPERLINK("https://otsuka-europe-crm.veevavault.com/ui/#object/email_activity__v/V8C000000041667", "EN-002100955")</f>
        <v>EN-002100955</v>
      </c>
    </row>
    <row r="13616" spans="1:15" ht="16" x14ac:dyDescent="0.2">
      <c r="A13616" s="17" t="str">
        <f>HYPERLINK("https://otsuka-europe-crm.veevavault.com/ui/#object/account__v/V4TZ025E85BOKC8", "TAMARA CASTAÑO BONILLA")</f>
        <v>TAMARA CASTAÑO BONILLA</v>
      </c>
      <c r="B13616" s="17" t="str">
        <f>HYPERLINK("https://otsuka-europe-crm.veevavault.com/ui/#object/vcountry__v/VENZ000004SONF5", "ES")</f>
        <v>ES</v>
      </c>
      <c r="C13616" s="20" t="s">
        <v>41</v>
      </c>
      <c r="D13616" s="21" t="str">
        <f>HYPERLINK("https://otsuka-europe-crm.veevavault.com/ui/#object/approved_document__v/V5O00000001R001", "INA - VAE Cierre ""Nos quedamos en Casa""")</f>
        <v>INA - VAE Cierre "Nos quedamos en Casa"</v>
      </c>
      <c r="E13616" s="22" t="str">
        <f>HYPERLINK("https://otsuka-europe-crm.veevavault.com/ui/#object/sent_email__v/VBL00000002Y263", "SE-001438955")</f>
        <v>SE-001438955</v>
      </c>
      <c r="F13616" s="23">
        <v>46203.655092592591</v>
      </c>
      <c r="G13616" s="24">
        <v>1</v>
      </c>
      <c r="H13616" s="24">
        <v>1</v>
      </c>
      <c r="I13616" s="24">
        <v>0</v>
      </c>
      <c r="J13616" s="25"/>
      <c r="K13616" s="24">
        <v>0</v>
      </c>
      <c r="L13616" s="22" t="str">
        <f>HYPERLINK("https://otsuka-europe-crm.veevavault.com/ui/#object/approved_document__v/V5O00000001R001", "INA - VAE Cierre ""Nos quedamos en Casa""")</f>
        <v>INA - VAE Cierre "Nos quedamos en Casa"</v>
      </c>
      <c r="M13616" s="22" t="str">
        <f>HYPERLINK("mailto:cmaroto@crm.otsuka-europe.com", "cmaroto@crm.otsuka-europe.com")</f>
        <v>cmaroto@crm.otsuka-europe.com</v>
      </c>
      <c r="N13616" s="23">
        <v>46203.654004629629</v>
      </c>
      <c r="O13616" s="14" t="str">
        <f>HYPERLINK("https://otsuka-europe-crm.veevavault.com/ui/#object/email_activity__v/V8C000000041650", "EN-002100931")</f>
        <v>EN-002100931</v>
      </c>
    </row>
    <row r="13617" spans="1:15" ht="16" x14ac:dyDescent="0.2">
      <c r="A13617" s="19"/>
      <c r="B13617" s="19"/>
      <c r="C13617" s="19"/>
      <c r="D13617" s="19"/>
      <c r="E13617" s="19"/>
      <c r="F13617" s="19"/>
      <c r="G13617" s="19"/>
      <c r="H13617" s="19"/>
      <c r="I13617" s="19"/>
      <c r="J13617" s="19"/>
      <c r="K13617" s="19"/>
      <c r="L13617" s="19"/>
      <c r="M13617" s="19"/>
      <c r="N13617" s="19"/>
      <c r="O13617" s="14" t="str">
        <f>HYPERLINK("https://otsuka-europe-crm.veevavault.com/ui/#object/email_activity__v/V8C000000042612", "EN-002100962")</f>
        <v>EN-002100962</v>
      </c>
    </row>
    <row r="13618" spans="1:15" ht="16" x14ac:dyDescent="0.2">
      <c r="A13618" s="17" t="str">
        <f>HYPERLINK("https://otsuka-europe-crm.veevavault.com/ui/#object/account__v/V4T00000000O235", "JORGE MIGUEL CARTIER GOMEZ")</f>
        <v>JORGE MIGUEL CARTIER GOMEZ</v>
      </c>
      <c r="B13618" s="17" t="str">
        <f>HYPERLINK("https://otsuka-europe-crm.veevavault.com/ui/#object/vcountry__v/VENZ000004SONF5", "ES")</f>
        <v>ES</v>
      </c>
      <c r="C13618" s="20" t="s">
        <v>41</v>
      </c>
      <c r="D13618" s="21" t="str">
        <f>HYPERLINK("https://otsuka-europe-crm.veevavault.com/ui/#object/approved_document__v/V5O00000001R001", "INA - VAE Cierre ""Nos quedamos en Casa""")</f>
        <v>INA - VAE Cierre "Nos quedamos en Casa"</v>
      </c>
      <c r="E13618" s="22" t="str">
        <f>HYPERLINK("https://otsuka-europe-crm.veevavault.com/ui/#object/sent_email__v/VBL00000002Y264", "SE-001438956")</f>
        <v>SE-001438956</v>
      </c>
      <c r="F13618" s="25"/>
      <c r="G13618" s="24">
        <v>0</v>
      </c>
      <c r="H13618" s="24">
        <v>0</v>
      </c>
      <c r="I13618" s="24">
        <v>0</v>
      </c>
      <c r="J13618" s="25"/>
      <c r="K13618" s="24">
        <v>0</v>
      </c>
      <c r="L13618" s="22" t="str">
        <f>HYPERLINK("https://otsuka-europe-crm.veevavault.com/ui/#object/approved_document__v/V5O00000001R001", "INA - VAE Cierre ""Nos quedamos en Casa""")</f>
        <v>INA - VAE Cierre "Nos quedamos en Casa"</v>
      </c>
      <c r="M13618" s="22" t="str">
        <f>HYPERLINK("mailto:cmaroto@crm.otsuka-europe.com", "cmaroto@crm.otsuka-europe.com")</f>
        <v>cmaroto@crm.otsuka-europe.com</v>
      </c>
      <c r="N13618" s="23">
        <v>46203.654027777775</v>
      </c>
      <c r="O13618" s="14" t="str">
        <f>HYPERLINK("https://otsuka-europe-crm.veevavault.com/ui/#object/email_activity__v/V8C000000042607", "EN-002100937")</f>
        <v>EN-002100937</v>
      </c>
    </row>
    <row r="13619" spans="1:15" ht="16" x14ac:dyDescent="0.2">
      <c r="A13619" s="19"/>
      <c r="B13619" s="19"/>
      <c r="C13619" s="19"/>
      <c r="D13619" s="19"/>
      <c r="E13619" s="19"/>
      <c r="F13619" s="19"/>
      <c r="G13619" s="19"/>
      <c r="H13619" s="19"/>
      <c r="I13619" s="19"/>
      <c r="J13619" s="19"/>
      <c r="K13619" s="19"/>
      <c r="L13619" s="19"/>
      <c r="M13619" s="19"/>
      <c r="N13619" s="19"/>
      <c r="O13619" s="14" t="str">
        <f>HYPERLINK("https://otsuka-europe-crm.veevavault.com/ui/#object/email_activity__v/V8C000000042736", "EN-002101125")</f>
        <v>EN-002101125</v>
      </c>
    </row>
    <row r="13620" spans="1:15" ht="16" x14ac:dyDescent="0.2">
      <c r="A13620" s="17" t="str">
        <f>HYPERLINK("https://otsuka-europe-crm.veevavault.com/ui/#object/account__v/V4TZ025E84EE87M", "NAHIR DANIELA MORENO PAREDES")</f>
        <v>NAHIR DANIELA MORENO PAREDES</v>
      </c>
      <c r="B13620" s="17" t="str">
        <f>HYPERLINK("https://otsuka-europe-crm.veevavault.com/ui/#object/vcountry__v/VENZ000004SONF5", "ES")</f>
        <v>ES</v>
      </c>
      <c r="C13620" s="20" t="s">
        <v>41</v>
      </c>
      <c r="D13620" s="21" t="str">
        <f>HYPERLINK("https://otsuka-europe-crm.veevavault.com/ui/#object/approved_document__v/V5O00000001R001", "INA - VAE Cierre ""Nos quedamos en Casa""")</f>
        <v>INA - VAE Cierre "Nos quedamos en Casa"</v>
      </c>
      <c r="E13620" s="22" t="str">
        <f>HYPERLINK("https://otsuka-europe-crm.veevavault.com/ui/#object/sent_email__v/VBL00000002Y265", "SE-001438957")</f>
        <v>SE-001438957</v>
      </c>
      <c r="F13620" s="23">
        <v>46203.716319444444</v>
      </c>
      <c r="G13620" s="24">
        <v>1</v>
      </c>
      <c r="H13620" s="24">
        <v>1</v>
      </c>
      <c r="I13620" s="24">
        <v>0</v>
      </c>
      <c r="J13620" s="25"/>
      <c r="K13620" s="24">
        <v>0</v>
      </c>
      <c r="L13620" s="22" t="str">
        <f>HYPERLINK("https://otsuka-europe-crm.veevavault.com/ui/#object/approved_document__v/V5O00000001R001", "INA - VAE Cierre ""Nos quedamos en Casa""")</f>
        <v>INA - VAE Cierre "Nos quedamos en Casa"</v>
      </c>
      <c r="M13620" s="22" t="str">
        <f>HYPERLINK("mailto:cmaroto@crm.otsuka-europe.com", "cmaroto@crm.otsuka-europe.com")</f>
        <v>cmaroto@crm.otsuka-europe.com</v>
      </c>
      <c r="N13620" s="23">
        <v>46203.653993055559</v>
      </c>
      <c r="O13620" s="14" t="str">
        <f>HYPERLINK("https://otsuka-europe-crm.veevavault.com/ui/#object/email_activity__v/V8C000000041669", "EN-002100957")</f>
        <v>EN-002100957</v>
      </c>
    </row>
    <row r="13621" spans="1:15" ht="16" x14ac:dyDescent="0.2">
      <c r="A13621" s="19"/>
      <c r="B13621" s="19"/>
      <c r="C13621" s="19"/>
      <c r="D13621" s="19"/>
      <c r="E13621" s="19"/>
      <c r="F13621" s="19"/>
      <c r="G13621" s="19"/>
      <c r="H13621" s="19"/>
      <c r="I13621" s="19"/>
      <c r="J13621" s="19"/>
      <c r="K13621" s="19"/>
      <c r="L13621" s="19"/>
      <c r="M13621" s="19"/>
      <c r="N13621" s="19"/>
      <c r="O13621" s="14" t="str">
        <f>HYPERLINK("https://otsuka-europe-crm.veevavault.com/ui/#object/email_activity__v/V8C000000041693", "EN-002101070")</f>
        <v>EN-002101070</v>
      </c>
    </row>
    <row r="13622" spans="1:15" ht="32" x14ac:dyDescent="0.2">
      <c r="A13622" s="7" t="str">
        <f>HYPERLINK("https://otsuka-europe-crm.veevavault.com/ui/#object/account__v/V4TZ025E861PXXP", "MARTA MORA ARGUMANEZ")</f>
        <v>MARTA MORA ARGUMANEZ</v>
      </c>
      <c r="B13622" s="7" t="str">
        <f>HYPERLINK("https://otsuka-europe-crm.veevavault.com/ui/#object/vcountry__v/VENZ000004SONF5", "ES")</f>
        <v>ES</v>
      </c>
      <c r="C13622" s="8" t="s">
        <v>41</v>
      </c>
      <c r="D13622" s="9" t="str">
        <f>HYPERLINK("https://otsuka-europe-crm.veevavault.com/ui/#object/approved_document__v/V5O00000001R001", "INA - VAE Cierre ""Nos quedamos en Casa""")</f>
        <v>INA - VAE Cierre "Nos quedamos en Casa"</v>
      </c>
      <c r="E13622" s="10" t="str">
        <f>HYPERLINK("https://otsuka-europe-crm.veevavault.com/ui/#object/sent_email__v/VBL00000002Y266", "SE-001438958")</f>
        <v>SE-001438958</v>
      </c>
      <c r="F13622" s="11"/>
      <c r="G13622" s="12">
        <v>0</v>
      </c>
      <c r="H13622" s="12">
        <v>0</v>
      </c>
      <c r="I13622" s="12">
        <v>0</v>
      </c>
      <c r="J13622" s="11"/>
      <c r="K13622" s="12">
        <v>0</v>
      </c>
      <c r="L13622" s="10" t="str">
        <f>HYPERLINK("https://otsuka-europe-crm.veevavault.com/ui/#object/approved_document__v/V5O00000001R001", "INA - VAE Cierre ""Nos quedamos en Casa""")</f>
        <v>INA - VAE Cierre "Nos quedamos en Casa"</v>
      </c>
      <c r="M13622" s="10" t="str">
        <f>HYPERLINK("mailto:cmaroto@crm.otsuka-europe.com", "cmaroto@crm.otsuka-europe.com")</f>
        <v>cmaroto@crm.otsuka-europe.com</v>
      </c>
      <c r="N13622" s="13">
        <v>46203.654004629629</v>
      </c>
      <c r="O13622" s="14" t="str">
        <f>HYPERLINK("https://otsuka-europe-crm.veevavault.com/ui/#object/email_activity__v/V8C000000041659", "EN-002100947")</f>
        <v>EN-002100947</v>
      </c>
    </row>
    <row r="13623" spans="1:15" ht="16" x14ac:dyDescent="0.2">
      <c r="A13623" s="17" t="str">
        <f>HYPERLINK("https://otsuka-europe-crm.veevavault.com/ui/#object/account__v/V4T00000001M034", "PABLO JIMENEZ MONTERO")</f>
        <v>PABLO JIMENEZ MONTERO</v>
      </c>
      <c r="B13623" s="17" t="str">
        <f>HYPERLINK("https://otsuka-europe-crm.veevavault.com/ui/#object/vcountry__v/VENZ000004SONF5", "ES")</f>
        <v>ES</v>
      </c>
      <c r="C13623" s="20" t="s">
        <v>41</v>
      </c>
      <c r="D13623" s="21" t="str">
        <f>HYPERLINK("https://otsuka-europe-crm.veevavault.com/ui/#object/approved_document__v/V5O00000001R001", "INA - VAE Cierre ""Nos quedamos en Casa""")</f>
        <v>INA - VAE Cierre "Nos quedamos en Casa"</v>
      </c>
      <c r="E13623" s="22" t="str">
        <f>HYPERLINK("https://otsuka-europe-crm.veevavault.com/ui/#object/sent_email__v/VBL00000002Y267", "SE-001438959")</f>
        <v>SE-001438959</v>
      </c>
      <c r="F13623" s="23">
        <v>46203.654641203706</v>
      </c>
      <c r="G13623" s="24">
        <v>1</v>
      </c>
      <c r="H13623" s="24">
        <v>2</v>
      </c>
      <c r="I13623" s="24">
        <v>0</v>
      </c>
      <c r="J13623" s="25"/>
      <c r="K13623" s="24">
        <v>0</v>
      </c>
      <c r="L13623" s="22" t="str">
        <f>HYPERLINK("https://otsuka-europe-crm.veevavault.com/ui/#object/approved_document__v/V5O00000001R001", "INA - VAE Cierre ""Nos quedamos en Casa""")</f>
        <v>INA - VAE Cierre "Nos quedamos en Casa"</v>
      </c>
      <c r="M13623" s="22" t="str">
        <f>HYPERLINK("mailto:cmaroto@crm.otsuka-europe.com", "cmaroto@crm.otsuka-europe.com")</f>
        <v>cmaroto@crm.otsuka-europe.com</v>
      </c>
      <c r="N13623" s="23">
        <v>46203.654016203705</v>
      </c>
      <c r="O13623" s="14" t="str">
        <f>HYPERLINK("https://otsuka-europe-crm.veevavault.com/ui/#object/email_activity__v/V8C000000041651", "EN-002100932")</f>
        <v>EN-002100932</v>
      </c>
    </row>
    <row r="13624" spans="1:15" ht="16" x14ac:dyDescent="0.2">
      <c r="A13624" s="18"/>
      <c r="B13624" s="18"/>
      <c r="C13624" s="18"/>
      <c r="D13624" s="18"/>
      <c r="E13624" s="18"/>
      <c r="F13624" s="18"/>
      <c r="G13624" s="18"/>
      <c r="H13624" s="18"/>
      <c r="I13624" s="18"/>
      <c r="J13624" s="18"/>
      <c r="K13624" s="18"/>
      <c r="L13624" s="18"/>
      <c r="M13624" s="18"/>
      <c r="N13624" s="18"/>
      <c r="O13624" s="14" t="str">
        <f>HYPERLINK("https://otsuka-europe-crm.veevavault.com/ui/#object/email_activity__v/V8C000000041672", "EN-002100960")</f>
        <v>EN-002100960</v>
      </c>
    </row>
    <row r="13625" spans="1:15" ht="16" x14ac:dyDescent="0.2">
      <c r="A13625" s="19"/>
      <c r="B13625" s="19"/>
      <c r="C13625" s="19"/>
      <c r="D13625" s="19"/>
      <c r="E13625" s="19"/>
      <c r="F13625" s="19"/>
      <c r="G13625" s="19"/>
      <c r="H13625" s="19"/>
      <c r="I13625" s="19"/>
      <c r="J13625" s="19"/>
      <c r="K13625" s="19"/>
      <c r="L13625" s="19"/>
      <c r="M13625" s="19"/>
      <c r="N13625" s="19"/>
      <c r="O13625" s="14" t="str">
        <f>HYPERLINK("https://otsuka-europe-crm.veevavault.com/ui/#object/email_activity__v/V8C000000041673", "EN-002100961")</f>
        <v>EN-002100961</v>
      </c>
    </row>
    <row r="13626" spans="1:15" ht="16" x14ac:dyDescent="0.2">
      <c r="A13626" s="17" t="str">
        <f>HYPERLINK("https://otsuka-europe-crm.veevavault.com/ui/#object/account__v/V4TZ025E87MOMHW", "MARIA PILAR LLAMAS SILLERO")</f>
        <v>MARIA PILAR LLAMAS SILLERO</v>
      </c>
      <c r="B13626" s="17" t="str">
        <f>HYPERLINK("https://otsuka-europe-crm.veevavault.com/ui/#object/vcountry__v/VENZ000004SONF5", "ES")</f>
        <v>ES</v>
      </c>
      <c r="C13626" s="20" t="s">
        <v>41</v>
      </c>
      <c r="D13626" s="21" t="str">
        <f>HYPERLINK("https://otsuka-europe-crm.veevavault.com/ui/#object/approved_document__v/V5O00000001R001", "INA - VAE Cierre ""Nos quedamos en Casa""")</f>
        <v>INA - VAE Cierre "Nos quedamos en Casa"</v>
      </c>
      <c r="E13626" s="22" t="str">
        <f>HYPERLINK("https://otsuka-europe-crm.veevavault.com/ui/#object/sent_email__v/VBL00000002Y268", "SE-001438960")</f>
        <v>SE-001438960</v>
      </c>
      <c r="F13626" s="23">
        <v>46203.929189814815</v>
      </c>
      <c r="G13626" s="24">
        <v>1</v>
      </c>
      <c r="H13626" s="24">
        <v>1</v>
      </c>
      <c r="I13626" s="24">
        <v>0</v>
      </c>
      <c r="J13626" s="25"/>
      <c r="K13626" s="24">
        <v>0</v>
      </c>
      <c r="L13626" s="22" t="str">
        <f>HYPERLINK("https://otsuka-europe-crm.veevavault.com/ui/#object/approved_document__v/V5O00000001R001", "INA - VAE Cierre ""Nos quedamos en Casa""")</f>
        <v>INA - VAE Cierre "Nos quedamos en Casa"</v>
      </c>
      <c r="M13626" s="22" t="str">
        <f>HYPERLINK("mailto:cmaroto@crm.otsuka-europe.com", "cmaroto@crm.otsuka-europe.com")</f>
        <v>cmaroto@crm.otsuka-europe.com</v>
      </c>
      <c r="N13626" s="23">
        <v>46203.654050925928</v>
      </c>
      <c r="O13626" s="14" t="str">
        <f>HYPERLINK("https://otsuka-europe-crm.veevavault.com/ui/#object/email_activity__v/V8C000000042611", "EN-002100941")</f>
        <v>EN-002100941</v>
      </c>
    </row>
    <row r="13627" spans="1:15" ht="16" x14ac:dyDescent="0.2">
      <c r="A13627" s="19"/>
      <c r="B13627" s="19"/>
      <c r="C13627" s="19"/>
      <c r="D13627" s="19"/>
      <c r="E13627" s="19"/>
      <c r="F13627" s="19"/>
      <c r="G13627" s="19"/>
      <c r="H13627" s="19"/>
      <c r="I13627" s="19"/>
      <c r="J13627" s="19"/>
      <c r="K13627" s="19"/>
      <c r="L13627" s="19"/>
      <c r="M13627" s="19"/>
      <c r="N13627" s="19"/>
      <c r="O13627" s="14" t="str">
        <f>HYPERLINK("https://otsuka-europe-crm.veevavault.com/ui/#object/email_activity__v/V8C000000042747", "EN-002101139")</f>
        <v>EN-002101139</v>
      </c>
    </row>
    <row r="13628" spans="1:15" ht="16" x14ac:dyDescent="0.2">
      <c r="A13628" s="17" t="str">
        <f>HYPERLINK("https://otsuka-europe-crm.veevavault.com/ui/#object/account__v/V4TZ025E833M9RA", "MARIA CALBACHO ROBLES")</f>
        <v>MARIA CALBACHO ROBLES</v>
      </c>
      <c r="B13628" s="17" t="str">
        <f>HYPERLINK("https://otsuka-europe-crm.veevavault.com/ui/#object/vcountry__v/VENZ000004SONF5", "ES")</f>
        <v>ES</v>
      </c>
      <c r="C13628" s="20" t="s">
        <v>41</v>
      </c>
      <c r="D13628" s="21" t="str">
        <f>HYPERLINK("https://otsuka-europe-crm.veevavault.com/ui/#object/approved_document__v/V5O00000001R001", "INA - VAE Cierre ""Nos quedamos en Casa""")</f>
        <v>INA - VAE Cierre "Nos quedamos en Casa"</v>
      </c>
      <c r="E13628" s="22" t="str">
        <f>HYPERLINK("https://otsuka-europe-crm.veevavault.com/ui/#object/sent_email__v/VBL00000002Y269", "SE-001438961")</f>
        <v>SE-001438961</v>
      </c>
      <c r="F13628" s="23">
        <v>46204.388657407406</v>
      </c>
      <c r="G13628" s="24">
        <v>1</v>
      </c>
      <c r="H13628" s="24">
        <v>3</v>
      </c>
      <c r="I13628" s="24">
        <v>0</v>
      </c>
      <c r="J13628" s="25"/>
      <c r="K13628" s="24">
        <v>0</v>
      </c>
      <c r="L13628" s="22" t="str">
        <f>HYPERLINK("https://otsuka-europe-crm.veevavault.com/ui/#object/approved_document__v/V5O00000001R001", "INA - VAE Cierre ""Nos quedamos en Casa""")</f>
        <v>INA - VAE Cierre "Nos quedamos en Casa"</v>
      </c>
      <c r="M13628" s="22" t="str">
        <f>HYPERLINK("mailto:cmaroto@crm.otsuka-europe.com", "cmaroto@crm.otsuka-europe.com")</f>
        <v>cmaroto@crm.otsuka-europe.com</v>
      </c>
      <c r="N13628" s="23">
        <v>46203.654016203705</v>
      </c>
      <c r="O13628" s="14" t="str">
        <f>HYPERLINK("https://otsuka-europe-crm.veevavault.com/ui/#object/email_activity__v/V8C000000041639", "EN-002100920")</f>
        <v>EN-002100920</v>
      </c>
    </row>
    <row r="13629" spans="1:15" ht="16" x14ac:dyDescent="0.2">
      <c r="A13629" s="18"/>
      <c r="B13629" s="18"/>
      <c r="C13629" s="18"/>
      <c r="D13629" s="18"/>
      <c r="E13629" s="18"/>
      <c r="F13629" s="18"/>
      <c r="G13629" s="18"/>
      <c r="H13629" s="18"/>
      <c r="I13629" s="18"/>
      <c r="J13629" s="18"/>
      <c r="K13629" s="18"/>
      <c r="L13629" s="18"/>
      <c r="M13629" s="18"/>
      <c r="N13629" s="18"/>
      <c r="O13629" s="14" t="str">
        <f>HYPERLINK("https://otsuka-europe-crm.veevavault.com/ui/#object/email_activity__v/V8C000000041662", "EN-002100950")</f>
        <v>EN-002100950</v>
      </c>
    </row>
    <row r="13630" spans="1:15" ht="16" x14ac:dyDescent="0.2">
      <c r="A13630" s="18"/>
      <c r="B13630" s="18"/>
      <c r="C13630" s="18"/>
      <c r="D13630" s="18"/>
      <c r="E13630" s="18"/>
      <c r="F13630" s="18"/>
      <c r="G13630" s="18"/>
      <c r="H13630" s="18"/>
      <c r="I13630" s="18"/>
      <c r="J13630" s="18"/>
      <c r="K13630" s="18"/>
      <c r="L13630" s="18"/>
      <c r="M13630" s="18"/>
      <c r="N13630" s="18"/>
      <c r="O13630" s="14" t="str">
        <f>HYPERLINK("https://otsuka-europe-crm.veevavault.com/ui/#object/email_activity__v/V8C000000041686", "EN-002101052")</f>
        <v>EN-002101052</v>
      </c>
    </row>
    <row r="13631" spans="1:15" ht="16" x14ac:dyDescent="0.2">
      <c r="A13631" s="19"/>
      <c r="B13631" s="19"/>
      <c r="C13631" s="19"/>
      <c r="D13631" s="19"/>
      <c r="E13631" s="19"/>
      <c r="F13631" s="19"/>
      <c r="G13631" s="19"/>
      <c r="H13631" s="19"/>
      <c r="I13631" s="19"/>
      <c r="J13631" s="19"/>
      <c r="K13631" s="19"/>
      <c r="L13631" s="19"/>
      <c r="M13631" s="19"/>
      <c r="N13631" s="19"/>
      <c r="O13631" s="14" t="str">
        <f>HYPERLINK("https://otsuka-europe-crm.veevavault.com/ui/#object/email_activity__v/V8C000000042868", "EN-002101326")</f>
        <v>EN-002101326</v>
      </c>
    </row>
    <row r="13632" spans="1:15" ht="32" x14ac:dyDescent="0.2">
      <c r="A13632" s="7" t="str">
        <f>HYPERLINK("https://otsuka-europe-crm.veevavault.com/ui/#object/account__v/V4TZ025E84EEGJL", "AURA LETICIA MUÑOZ RODRIGUEZ")</f>
        <v>AURA LETICIA MUÑOZ RODRIGUEZ</v>
      </c>
      <c r="B13632" s="7" t="str">
        <f>HYPERLINK("https://otsuka-europe-crm.veevavault.com/ui/#object/vcountry__v/VENZ000004SONF5", "ES")</f>
        <v>ES</v>
      </c>
      <c r="C13632" s="8" t="s">
        <v>41</v>
      </c>
      <c r="D13632" s="9" t="str">
        <f>HYPERLINK("https://otsuka-europe-crm.veevavault.com/ui/#object/approved_document__v/V5O00000001R001", "INA - VAE Cierre ""Nos quedamos en Casa""")</f>
        <v>INA - VAE Cierre "Nos quedamos en Casa"</v>
      </c>
      <c r="E13632" s="10" t="str">
        <f>HYPERLINK("https://otsuka-europe-crm.veevavault.com/ui/#object/sent_email__v/VBL00000002Y270", "SE-001438962")</f>
        <v>SE-001438962</v>
      </c>
      <c r="F13632" s="11"/>
      <c r="G13632" s="12">
        <v>0</v>
      </c>
      <c r="H13632" s="12">
        <v>0</v>
      </c>
      <c r="I13632" s="12">
        <v>0</v>
      </c>
      <c r="J13632" s="11"/>
      <c r="K13632" s="12">
        <v>0</v>
      </c>
      <c r="L13632" s="10" t="str">
        <f>HYPERLINK("https://otsuka-europe-crm.veevavault.com/ui/#object/approved_document__v/V5O00000001R001", "INA - VAE Cierre ""Nos quedamos en Casa""")</f>
        <v>INA - VAE Cierre "Nos quedamos en Casa"</v>
      </c>
      <c r="M13632" s="10" t="str">
        <f>HYPERLINK("mailto:cmaroto@crm.otsuka-europe.com", "cmaroto@crm.otsuka-europe.com")</f>
        <v>cmaroto@crm.otsuka-europe.com</v>
      </c>
      <c r="N13632" s="13">
        <v>46203.654027777775</v>
      </c>
      <c r="O13632" s="14" t="str">
        <f>HYPERLINK("https://otsuka-europe-crm.veevavault.com/ui/#object/email_activity__v/V8C000000042605", "EN-002100935")</f>
        <v>EN-002100935</v>
      </c>
    </row>
    <row r="13633" spans="1:15" ht="16" x14ac:dyDescent="0.2">
      <c r="A13633" s="17" t="str">
        <f>HYPERLINK("https://otsuka-europe-crm.veevavault.com/ui/#object/account__v/V4TZ025E86XVV4J", "IRYNA LUTS KHOROZ")</f>
        <v>IRYNA LUTS KHOROZ</v>
      </c>
      <c r="B13633" s="17" t="str">
        <f>HYPERLINK("https://otsuka-europe-crm.veevavault.com/ui/#object/vcountry__v/VENZ000004SONF5", "ES")</f>
        <v>ES</v>
      </c>
      <c r="C13633" s="20" t="s">
        <v>41</v>
      </c>
      <c r="D13633" s="21" t="str">
        <f>HYPERLINK("https://otsuka-europe-crm.veevavault.com/ui/#object/approved_document__v/V5O00000001R001", "INA - VAE Cierre ""Nos quedamos en Casa""")</f>
        <v>INA - VAE Cierre "Nos quedamos en Casa"</v>
      </c>
      <c r="E13633" s="22" t="str">
        <f>HYPERLINK("https://otsuka-europe-crm.veevavault.com/ui/#object/sent_email__v/VBL00000002Y271", "SE-001438963")</f>
        <v>SE-001438963</v>
      </c>
      <c r="F13633" s="23">
        <v>46203.701331018521</v>
      </c>
      <c r="G13633" s="24">
        <v>1</v>
      </c>
      <c r="H13633" s="24">
        <v>1</v>
      </c>
      <c r="I13633" s="24">
        <v>0</v>
      </c>
      <c r="J13633" s="25"/>
      <c r="K13633" s="24">
        <v>0</v>
      </c>
      <c r="L13633" s="22" t="str">
        <f>HYPERLINK("https://otsuka-europe-crm.veevavault.com/ui/#object/approved_document__v/V5O00000001R001", "INA - VAE Cierre ""Nos quedamos en Casa""")</f>
        <v>INA - VAE Cierre "Nos quedamos en Casa"</v>
      </c>
      <c r="M13633" s="22" t="str">
        <f>HYPERLINK("mailto:cmaroto@crm.otsuka-europe.com", "cmaroto@crm.otsuka-europe.com")</f>
        <v>cmaroto@crm.otsuka-europe.com</v>
      </c>
      <c r="N13633" s="23">
        <v>46203.654016203705</v>
      </c>
      <c r="O13633" s="14" t="str">
        <f>HYPERLINK("https://otsuka-europe-crm.veevavault.com/ui/#object/email_activity__v/V8C000000041635", "EN-002100916")</f>
        <v>EN-002100916</v>
      </c>
    </row>
    <row r="13634" spans="1:15" ht="16" x14ac:dyDescent="0.2">
      <c r="A13634" s="19"/>
      <c r="B13634" s="19"/>
      <c r="C13634" s="19"/>
      <c r="D13634" s="19"/>
      <c r="E13634" s="19"/>
      <c r="F13634" s="19"/>
      <c r="G13634" s="19"/>
      <c r="H13634" s="19"/>
      <c r="I13634" s="19"/>
      <c r="J13634" s="19"/>
      <c r="K13634" s="19"/>
      <c r="L13634" s="19"/>
      <c r="M13634" s="19"/>
      <c r="N13634" s="19"/>
      <c r="O13634" s="14" t="str">
        <f>HYPERLINK("https://otsuka-europe-crm.veevavault.com/ui/#object/email_activity__v/V8C000000041687", "EN-002101058")</f>
        <v>EN-002101058</v>
      </c>
    </row>
    <row r="13635" spans="1:15" ht="32" x14ac:dyDescent="0.2">
      <c r="A13635" s="7" t="str">
        <f>HYPERLINK("https://otsuka-europe-crm.veevavault.com/ui/#object/account__v/V4TZ025E832AZFZ", "MARIA TERESA CEDENA ROMERO")</f>
        <v>MARIA TERESA CEDENA ROMERO</v>
      </c>
      <c r="B13635" s="7" t="str">
        <f>HYPERLINK("https://otsuka-europe-crm.veevavault.com/ui/#object/vcountry__v/VENZ000004SONF5", "ES")</f>
        <v>ES</v>
      </c>
      <c r="C13635" s="8" t="s">
        <v>41</v>
      </c>
      <c r="D13635" s="9" t="str">
        <f>HYPERLINK("https://otsuka-europe-crm.veevavault.com/ui/#object/approved_document__v/V5O00000001R001", "INA - VAE Cierre ""Nos quedamos en Casa""")</f>
        <v>INA - VAE Cierre "Nos quedamos en Casa"</v>
      </c>
      <c r="E13635" s="10" t="str">
        <f>HYPERLINK("https://otsuka-europe-crm.veevavault.com/ui/#object/sent_email__v/VBL00000002Y272", "SE-001438964")</f>
        <v>SE-001438964</v>
      </c>
      <c r="F13635" s="11"/>
      <c r="G13635" s="12">
        <v>0</v>
      </c>
      <c r="H13635" s="12">
        <v>0</v>
      </c>
      <c r="I13635" s="12">
        <v>0</v>
      </c>
      <c r="J13635" s="11"/>
      <c r="K13635" s="12">
        <v>0</v>
      </c>
      <c r="L13635" s="10" t="str">
        <f>HYPERLINK("https://otsuka-europe-crm.veevavault.com/ui/#object/approved_document__v/V5O00000001R001", "INA - VAE Cierre ""Nos quedamos en Casa""")</f>
        <v>INA - VAE Cierre "Nos quedamos en Casa"</v>
      </c>
      <c r="M13635" s="10" t="str">
        <f>HYPERLINK("mailto:cmaroto@crm.otsuka-europe.com", "cmaroto@crm.otsuka-europe.com")</f>
        <v>cmaroto@crm.otsuka-europe.com</v>
      </c>
      <c r="N13635" s="13">
        <v>46203.654016203705</v>
      </c>
      <c r="O13635" s="14" t="str">
        <f>HYPERLINK("https://otsuka-europe-crm.veevavault.com/ui/#object/email_activity__v/V8C000000041664", "EN-002100952")</f>
        <v>EN-002100952</v>
      </c>
    </row>
    <row r="13636" spans="1:15" ht="16" x14ac:dyDescent="0.2">
      <c r="A13636" s="17" t="str">
        <f>HYPERLINK("https://otsuka-europe-crm.veevavault.com/ui/#object/account__v/V4TZ025E843JDUA", "SARA MORENO RAMIREZ")</f>
        <v>SARA MORENO RAMIREZ</v>
      </c>
      <c r="B13636" s="17" t="str">
        <f>HYPERLINK("https://otsuka-europe-crm.veevavault.com/ui/#object/vcountry__v/VENZ000004SONF5", "ES")</f>
        <v>ES</v>
      </c>
      <c r="C13636" s="20" t="s">
        <v>41</v>
      </c>
      <c r="D13636" s="21" t="str">
        <f>HYPERLINK("https://otsuka-europe-crm.veevavault.com/ui/#object/approved_document__v/V5O00000001R001", "INA - VAE Cierre ""Nos quedamos en Casa""")</f>
        <v>INA - VAE Cierre "Nos quedamos en Casa"</v>
      </c>
      <c r="E13636" s="22" t="str">
        <f>HYPERLINK("https://otsuka-europe-crm.veevavault.com/ui/#object/sent_email__v/VBL00000002Y273", "SE-001438965")</f>
        <v>SE-001438965</v>
      </c>
      <c r="F13636" s="23">
        <v>46203.808171296296</v>
      </c>
      <c r="G13636" s="24">
        <v>1</v>
      </c>
      <c r="H13636" s="24">
        <v>1</v>
      </c>
      <c r="I13636" s="24">
        <v>0</v>
      </c>
      <c r="J13636" s="25"/>
      <c r="K13636" s="24">
        <v>0</v>
      </c>
      <c r="L13636" s="22" t="str">
        <f>HYPERLINK("https://otsuka-europe-crm.veevavault.com/ui/#object/approved_document__v/V5O00000001R001", "INA - VAE Cierre ""Nos quedamos en Casa""")</f>
        <v>INA - VAE Cierre "Nos quedamos en Casa"</v>
      </c>
      <c r="M13636" s="22" t="str">
        <f>HYPERLINK("mailto:cmaroto@crm.otsuka-europe.com", "cmaroto@crm.otsuka-europe.com")</f>
        <v>cmaroto@crm.otsuka-europe.com</v>
      </c>
      <c r="N13636" s="23">
        <v>46203.654016203705</v>
      </c>
      <c r="O13636" s="14" t="str">
        <f>HYPERLINK("https://otsuka-europe-crm.veevavault.com/ui/#object/email_activity__v/V8C000000041636", "EN-002100917")</f>
        <v>EN-002100917</v>
      </c>
    </row>
    <row r="13637" spans="1:15" ht="16" x14ac:dyDescent="0.2">
      <c r="A13637" s="18"/>
      <c r="B13637" s="18"/>
      <c r="C13637" s="18"/>
      <c r="D13637" s="18"/>
      <c r="E13637" s="18"/>
      <c r="F13637" s="18"/>
      <c r="G13637" s="18"/>
      <c r="H13637" s="18"/>
      <c r="I13637" s="18"/>
      <c r="J13637" s="18"/>
      <c r="K13637" s="18"/>
      <c r="L13637" s="18"/>
      <c r="M13637" s="18"/>
      <c r="N13637" s="18"/>
      <c r="O13637" s="14" t="str">
        <f>HYPERLINK("https://otsuka-europe-crm.veevavault.com/ui/#object/email_activity__v/V8C000000041714", "EN-002101109")</f>
        <v>EN-002101109</v>
      </c>
    </row>
    <row r="13638" spans="1:15" ht="16" x14ac:dyDescent="0.2">
      <c r="A13638" s="19"/>
      <c r="B13638" s="19"/>
      <c r="C13638" s="19"/>
      <c r="D13638" s="19"/>
      <c r="E13638" s="19"/>
      <c r="F13638" s="19"/>
      <c r="G13638" s="19"/>
      <c r="H13638" s="19"/>
      <c r="I13638" s="19"/>
      <c r="J13638" s="19"/>
      <c r="K13638" s="19"/>
      <c r="L13638" s="19"/>
      <c r="M13638" s="19"/>
      <c r="N13638" s="19"/>
      <c r="O13638" s="14" t="str">
        <f>HYPERLINK("https://otsuka-europe-crm.veevavault.com/ui/#object/email_activity__v/V8C000000042724", "EN-002101108")</f>
        <v>EN-002101108</v>
      </c>
    </row>
    <row r="13639" spans="1:15" ht="32" x14ac:dyDescent="0.2">
      <c r="A13639" s="7" t="str">
        <f>HYPERLINK("https://otsuka-europe-crm.veevavault.com/ui/#object/account__v/V4T00000000O233", "LAURA SOLAN BLANCO")</f>
        <v>LAURA SOLAN BLANCO</v>
      </c>
      <c r="B13639" s="7" t="str">
        <f>HYPERLINK("https://otsuka-europe-crm.veevavault.com/ui/#object/vcountry__v/VENZ000004SONF5", "ES")</f>
        <v>ES</v>
      </c>
      <c r="C13639" s="8" t="s">
        <v>41</v>
      </c>
      <c r="D13639" s="9" t="str">
        <f>HYPERLINK("https://otsuka-europe-crm.veevavault.com/ui/#object/approved_document__v/V5O00000001R001", "INA - VAE Cierre ""Nos quedamos en Casa""")</f>
        <v>INA - VAE Cierre "Nos quedamos en Casa"</v>
      </c>
      <c r="E13639" s="10" t="str">
        <f>HYPERLINK("https://otsuka-europe-crm.veevavault.com/ui/#object/sent_email__v/VBL00000002Y274", "SE-001438966")</f>
        <v>SE-001438966</v>
      </c>
      <c r="F13639" s="11"/>
      <c r="G13639" s="12">
        <v>0</v>
      </c>
      <c r="H13639" s="12">
        <v>0</v>
      </c>
      <c r="I13639" s="12">
        <v>0</v>
      </c>
      <c r="J13639" s="11"/>
      <c r="K13639" s="12">
        <v>0</v>
      </c>
      <c r="L13639" s="10" t="str">
        <f>HYPERLINK("https://otsuka-europe-crm.veevavault.com/ui/#object/approved_document__v/V5O00000001R001", "INA - VAE Cierre ""Nos quedamos en Casa""")</f>
        <v>INA - VAE Cierre "Nos quedamos en Casa"</v>
      </c>
      <c r="M13639" s="10" t="str">
        <f>HYPERLINK("mailto:cmaroto@crm.otsuka-europe.com", "cmaroto@crm.otsuka-europe.com")</f>
        <v>cmaroto@crm.otsuka-europe.com</v>
      </c>
      <c r="N13639" s="13">
        <v>46203.654016203705</v>
      </c>
      <c r="O13639" s="14" t="str">
        <f>HYPERLINK("https://otsuka-europe-crm.veevavault.com/ui/#object/email_activity__v/V8C000000041663", "EN-002100951")</f>
        <v>EN-002100951</v>
      </c>
    </row>
    <row r="13640" spans="1:15" ht="32" x14ac:dyDescent="0.2">
      <c r="A13640" s="7" t="str">
        <f>HYPERLINK("https://otsuka-europe-crm.veevavault.com/ui/#object/account__v/V4TZ025E84E7BR5", "ESTHER BOTON CONTRERAS")</f>
        <v>ESTHER BOTON CONTRERAS</v>
      </c>
      <c r="B13640" s="7" t="str">
        <f>HYPERLINK("https://otsuka-europe-crm.veevavault.com/ui/#object/vcountry__v/VENZ000004SONF5", "ES")</f>
        <v>ES</v>
      </c>
      <c r="C13640" s="8" t="s">
        <v>41</v>
      </c>
      <c r="D13640" s="9" t="str">
        <f>HYPERLINK("https://otsuka-europe-crm.veevavault.com/ui/#object/approved_document__v/V5O00000001R001", "INA - VAE Cierre ""Nos quedamos en Casa""")</f>
        <v>INA - VAE Cierre "Nos quedamos en Casa"</v>
      </c>
      <c r="E13640" s="10" t="str">
        <f>HYPERLINK("https://otsuka-europe-crm.veevavault.com/ui/#object/sent_email__v/VBL00000002Y275", "SE-001438967")</f>
        <v>SE-001438967</v>
      </c>
      <c r="F13640" s="11"/>
      <c r="G13640" s="12">
        <v>0</v>
      </c>
      <c r="H13640" s="12">
        <v>0</v>
      </c>
      <c r="I13640" s="12">
        <v>0</v>
      </c>
      <c r="J13640" s="11"/>
      <c r="K13640" s="12">
        <v>0</v>
      </c>
      <c r="L13640" s="10" t="str">
        <f>HYPERLINK("https://otsuka-europe-crm.veevavault.com/ui/#object/approved_document__v/V5O00000001R001", "INA - VAE Cierre ""Nos quedamos en Casa""")</f>
        <v>INA - VAE Cierre "Nos quedamos en Casa"</v>
      </c>
      <c r="M13640" s="10" t="str">
        <f>HYPERLINK("mailto:cmaroto@crm.otsuka-europe.com", "cmaroto@crm.otsuka-europe.com")</f>
        <v>cmaroto@crm.otsuka-europe.com</v>
      </c>
      <c r="N13640" s="13">
        <v>46203.654016203705</v>
      </c>
      <c r="O13640" s="14" t="str">
        <f>HYPERLINK("https://otsuka-europe-crm.veevavault.com/ui/#object/email_activity__v/V8C000000041631", "EN-002100910")</f>
        <v>EN-002100910</v>
      </c>
    </row>
    <row r="13641" spans="1:15" ht="32" x14ac:dyDescent="0.2">
      <c r="A13641" s="7" t="str">
        <f>HYPERLINK("https://otsuka-europe-crm.veevavault.com/ui/#object/account__v/V4TZ025E88Q0LH1", "LAURA PARDO GAMBARTE")</f>
        <v>LAURA PARDO GAMBARTE</v>
      </c>
      <c r="B13641" s="7" t="str">
        <f>HYPERLINK("https://otsuka-europe-crm.veevavault.com/ui/#object/vcountry__v/VENZ000004SONF5", "ES")</f>
        <v>ES</v>
      </c>
      <c r="C13641" s="8" t="s">
        <v>41</v>
      </c>
      <c r="D13641" s="9" t="str">
        <f>HYPERLINK("https://otsuka-europe-crm.veevavault.com/ui/#object/approved_document__v/V5O00000001R001", "INA - VAE Cierre ""Nos quedamos en Casa""")</f>
        <v>INA - VAE Cierre "Nos quedamos en Casa"</v>
      </c>
      <c r="E13641" s="10" t="str">
        <f>HYPERLINK("https://otsuka-europe-crm.veevavault.com/ui/#object/sent_email__v/VBL00000002Y276", "SE-001438968")</f>
        <v>SE-001438968</v>
      </c>
      <c r="F13641" s="11"/>
      <c r="G13641" s="12">
        <v>0</v>
      </c>
      <c r="H13641" s="12">
        <v>0</v>
      </c>
      <c r="I13641" s="12">
        <v>0</v>
      </c>
      <c r="J13641" s="11"/>
      <c r="K13641" s="12">
        <v>0</v>
      </c>
      <c r="L13641" s="10" t="str">
        <f>HYPERLINK("https://otsuka-europe-crm.veevavault.com/ui/#object/approved_document__v/V5O00000001R001", "INA - VAE Cierre ""Nos quedamos en Casa""")</f>
        <v>INA - VAE Cierre "Nos quedamos en Casa"</v>
      </c>
      <c r="M13641" s="10" t="str">
        <f>HYPERLINK("mailto:cmaroto@crm.otsuka-europe.com", "cmaroto@crm.otsuka-europe.com")</f>
        <v>cmaroto@crm.otsuka-europe.com</v>
      </c>
      <c r="N13641" s="13">
        <v>46203.654016203705</v>
      </c>
      <c r="O13641" s="14" t="str">
        <f>HYPERLINK("https://otsuka-europe-crm.veevavault.com/ui/#object/email_activity__v/V8C000000041637", "EN-002100918")</f>
        <v>EN-002100918</v>
      </c>
    </row>
    <row r="13642" spans="1:15" ht="32" x14ac:dyDescent="0.2">
      <c r="A13642" s="7" t="str">
        <f>HYPERLINK("https://otsuka-europe-crm.veevavault.com/ui/#object/account__v/V4TZ025E8329Q5F", "MARIA PILAR MARTINEZ SANCHEZ")</f>
        <v>MARIA PILAR MARTINEZ SANCHEZ</v>
      </c>
      <c r="B13642" s="7" t="str">
        <f>HYPERLINK("https://otsuka-europe-crm.veevavault.com/ui/#object/vcountry__v/VENZ000004SONF5", "ES")</f>
        <v>ES</v>
      </c>
      <c r="C13642" s="8" t="s">
        <v>41</v>
      </c>
      <c r="D13642" s="9" t="str">
        <f>HYPERLINK("https://otsuka-europe-crm.veevavault.com/ui/#object/approved_document__v/V5O00000001R001", "INA - VAE Cierre ""Nos quedamos en Casa""")</f>
        <v>INA - VAE Cierre "Nos quedamos en Casa"</v>
      </c>
      <c r="E13642" s="10" t="str">
        <f>HYPERLINK("https://otsuka-europe-crm.veevavault.com/ui/#object/sent_email__v/VBL00000002Y277", "SE-001438969")</f>
        <v>SE-001438969</v>
      </c>
      <c r="F13642" s="11"/>
      <c r="G13642" s="12">
        <v>0</v>
      </c>
      <c r="H13642" s="12">
        <v>0</v>
      </c>
      <c r="I13642" s="12">
        <v>0</v>
      </c>
      <c r="J13642" s="11"/>
      <c r="K13642" s="12">
        <v>0</v>
      </c>
      <c r="L13642" s="10" t="str">
        <f>HYPERLINK("https://otsuka-europe-crm.veevavault.com/ui/#object/approved_document__v/V5O00000001R001", "INA - VAE Cierre ""Nos quedamos en Casa""")</f>
        <v>INA - VAE Cierre "Nos quedamos en Casa"</v>
      </c>
      <c r="M13642" s="10" t="str">
        <f>HYPERLINK("mailto:cmaroto@crm.otsuka-europe.com", "cmaroto@crm.otsuka-europe.com")</f>
        <v>cmaroto@crm.otsuka-europe.com</v>
      </c>
      <c r="N13642" s="13">
        <v>46203.654016203705</v>
      </c>
      <c r="O13642" s="14" t="str">
        <f>HYPERLINK("https://otsuka-europe-crm.veevavault.com/ui/#object/email_activity__v/V8C000000041630", "EN-002100909")</f>
        <v>EN-002100909</v>
      </c>
    </row>
    <row r="13643" spans="1:15" ht="16" x14ac:dyDescent="0.2">
      <c r="A13643" s="17" t="str">
        <f>HYPERLINK("https://otsuka-europe-crm.veevavault.com/ui/#object/account__v/V4TZ025E861P9H9", "MARIA IRENE NUEVO LOPEZ")</f>
        <v>MARIA IRENE NUEVO LOPEZ</v>
      </c>
      <c r="B13643" s="17" t="str">
        <f>HYPERLINK("https://otsuka-europe-crm.veevavault.com/ui/#object/vcountry__v/VENZ000004SONF5", "ES")</f>
        <v>ES</v>
      </c>
      <c r="C13643" s="20" t="s">
        <v>41</v>
      </c>
      <c r="D13643" s="21" t="str">
        <f>HYPERLINK("https://otsuka-europe-crm.veevavault.com/ui/#object/approved_document__v/V5O00000001R001", "INA - VAE Cierre ""Nos quedamos en Casa""")</f>
        <v>INA - VAE Cierre "Nos quedamos en Casa"</v>
      </c>
      <c r="E13643" s="22" t="str">
        <f>HYPERLINK("https://otsuka-europe-crm.veevavault.com/ui/#object/sent_email__v/VBL00000002Y278", "SE-001438970")</f>
        <v>SE-001438970</v>
      </c>
      <c r="F13643" s="23">
        <v>46203.661261574074</v>
      </c>
      <c r="G13643" s="24">
        <v>1</v>
      </c>
      <c r="H13643" s="24">
        <v>1</v>
      </c>
      <c r="I13643" s="24">
        <v>0</v>
      </c>
      <c r="J13643" s="25"/>
      <c r="K13643" s="24">
        <v>0</v>
      </c>
      <c r="L13643" s="22" t="str">
        <f>HYPERLINK("https://otsuka-europe-crm.veevavault.com/ui/#object/approved_document__v/V5O00000001R001", "INA - VAE Cierre ""Nos quedamos en Casa""")</f>
        <v>INA - VAE Cierre "Nos quedamos en Casa"</v>
      </c>
      <c r="M13643" s="22" t="str">
        <f>HYPERLINK("mailto:cmaroto@crm.otsuka-europe.com", "cmaroto@crm.otsuka-europe.com")</f>
        <v>cmaroto@crm.otsuka-europe.com</v>
      </c>
      <c r="N13643" s="23">
        <v>46203.654016203705</v>
      </c>
      <c r="O13643" s="14" t="str">
        <f>HYPERLINK("https://otsuka-europe-crm.veevavault.com/ui/#object/email_activity__v/V8C000000041633", "EN-002100914")</f>
        <v>EN-002100914</v>
      </c>
    </row>
    <row r="13644" spans="1:15" ht="16" x14ac:dyDescent="0.2">
      <c r="A13644" s="19"/>
      <c r="B13644" s="19"/>
      <c r="C13644" s="19"/>
      <c r="D13644" s="19"/>
      <c r="E13644" s="19"/>
      <c r="F13644" s="19"/>
      <c r="G13644" s="19"/>
      <c r="H13644" s="19"/>
      <c r="I13644" s="19"/>
      <c r="J13644" s="19"/>
      <c r="K13644" s="19"/>
      <c r="L13644" s="19"/>
      <c r="M13644" s="19"/>
      <c r="N13644" s="19"/>
      <c r="O13644" s="14" t="str">
        <f>HYPERLINK("https://otsuka-europe-crm.veevavault.com/ui/#object/email_activity__v/V8C000000042685", "EN-002101035")</f>
        <v>EN-002101035</v>
      </c>
    </row>
    <row r="13645" spans="1:15" ht="32" x14ac:dyDescent="0.2">
      <c r="A13645" s="7" t="str">
        <f>HYPERLINK("https://otsuka-europe-crm.veevavault.com/ui/#object/account__v/V4TZ06G6O71T7BI", "LAURA MONTEJANO ORTEGA")</f>
        <v>LAURA MONTEJANO ORTEGA</v>
      </c>
      <c r="B13645" s="7" t="str">
        <f>HYPERLINK("https://otsuka-europe-crm.veevavault.com/ui/#object/vcountry__v/VENZ000004SONF5", "ES")</f>
        <v>ES</v>
      </c>
      <c r="C13645" s="8" t="s">
        <v>41</v>
      </c>
      <c r="D13645" s="9" t="str">
        <f>HYPERLINK("https://otsuka-europe-crm.veevavault.com/ui/#object/approved_document__v/V5O00000001R001", "INA - VAE Cierre ""Nos quedamos en Casa""")</f>
        <v>INA - VAE Cierre "Nos quedamos en Casa"</v>
      </c>
      <c r="E13645" s="10" t="str">
        <f>HYPERLINK("https://otsuka-europe-crm.veevavault.com/ui/#object/sent_email__v/VBL00000002Y279", "SE-001438971")</f>
        <v>SE-001438971</v>
      </c>
      <c r="F13645" s="11"/>
      <c r="G13645" s="12">
        <v>0</v>
      </c>
      <c r="H13645" s="12">
        <v>0</v>
      </c>
      <c r="I13645" s="12">
        <v>0</v>
      </c>
      <c r="J13645" s="11"/>
      <c r="K13645" s="12">
        <v>0</v>
      </c>
      <c r="L13645" s="10" t="str">
        <f>HYPERLINK("https://otsuka-europe-crm.veevavault.com/ui/#object/approved_document__v/V5O00000001R001", "INA - VAE Cierre ""Nos quedamos en Casa""")</f>
        <v>INA - VAE Cierre "Nos quedamos en Casa"</v>
      </c>
      <c r="M13645" s="10" t="str">
        <f>HYPERLINK("mailto:cmaroto@crm.otsuka-europe.com", "cmaroto@crm.otsuka-europe.com")</f>
        <v>cmaroto@crm.otsuka-europe.com</v>
      </c>
      <c r="N13645" s="13">
        <v>46203.654016203705</v>
      </c>
      <c r="O13645" s="14" t="str">
        <f>HYPERLINK("https://otsuka-europe-crm.veevavault.com/ui/#object/email_activity__v/V8C000000041648", "EN-002100929")</f>
        <v>EN-002100929</v>
      </c>
    </row>
    <row r="13646" spans="1:15" ht="16" x14ac:dyDescent="0.2">
      <c r="A13646" s="17" t="str">
        <f>HYPERLINK("https://otsuka-europe-crm.veevavault.com/ui/#object/account__v/V4TZ025E853O051", "CRISTINA SERI MERINO")</f>
        <v>CRISTINA SERI MERINO</v>
      </c>
      <c r="B13646" s="17" t="str">
        <f>HYPERLINK("https://otsuka-europe-crm.veevavault.com/ui/#object/vcountry__v/VENZ000004SONF5", "ES")</f>
        <v>ES</v>
      </c>
      <c r="C13646" s="20" t="s">
        <v>41</v>
      </c>
      <c r="D13646" s="21" t="str">
        <f>HYPERLINK("https://otsuka-europe-crm.veevavault.com/ui/#object/approved_document__v/V5O00000001R001", "INA - VAE Cierre ""Nos quedamos en Casa""")</f>
        <v>INA - VAE Cierre "Nos quedamos en Casa"</v>
      </c>
      <c r="E13646" s="22" t="str">
        <f>HYPERLINK("https://otsuka-europe-crm.veevavault.com/ui/#object/sent_email__v/VBL00000002Y280", "SE-001438972")</f>
        <v>SE-001438972</v>
      </c>
      <c r="F13646" s="25"/>
      <c r="G13646" s="24">
        <v>0</v>
      </c>
      <c r="H13646" s="24">
        <v>0</v>
      </c>
      <c r="I13646" s="24">
        <v>0</v>
      </c>
      <c r="J13646" s="25"/>
      <c r="K13646" s="24">
        <v>0</v>
      </c>
      <c r="L13646" s="22" t="str">
        <f>HYPERLINK("https://otsuka-europe-crm.veevavault.com/ui/#object/approved_document__v/V5O00000001R001", "INA - VAE Cierre ""Nos quedamos en Casa""")</f>
        <v>INA - VAE Cierre "Nos quedamos en Casa"</v>
      </c>
      <c r="M13646" s="22" t="str">
        <f>HYPERLINK("mailto:cmaroto@crm.otsuka-europe.com", "cmaroto@crm.otsuka-europe.com")</f>
        <v>cmaroto@crm.otsuka-europe.com</v>
      </c>
      <c r="N13646" s="23">
        <v>46203.654016203705</v>
      </c>
      <c r="O13646" s="14" t="str">
        <f>HYPERLINK("https://otsuka-europe-crm.veevavault.com/ui/#object/email_activity__v/V8C000000041670", "EN-002100958")</f>
        <v>EN-002100958</v>
      </c>
    </row>
    <row r="13647" spans="1:15" ht="16" x14ac:dyDescent="0.2">
      <c r="A13647" s="19"/>
      <c r="B13647" s="19"/>
      <c r="C13647" s="19"/>
      <c r="D13647" s="19"/>
      <c r="E13647" s="19"/>
      <c r="F13647" s="19"/>
      <c r="G13647" s="19"/>
      <c r="H13647" s="19"/>
      <c r="I13647" s="19"/>
      <c r="J13647" s="19"/>
      <c r="K13647" s="19"/>
      <c r="L13647" s="19"/>
      <c r="M13647" s="19"/>
      <c r="N13647" s="19"/>
      <c r="O13647" s="14" t="str">
        <f>HYPERLINK("https://otsuka-europe-crm.veevavault.com/ui/#object/email_activity__v/V8C000000041723", "EN-002101135")</f>
        <v>EN-002101135</v>
      </c>
    </row>
    <row r="13648" spans="1:15" ht="16" x14ac:dyDescent="0.2">
      <c r="A13648" s="17" t="str">
        <f>HYPERLINK("https://otsuka-europe-crm.veevavault.com/ui/#object/account__v/V4TZ04ASGABW98D", "ALEJANDRO AVELLO ESCRIBANO")</f>
        <v>ALEJANDRO AVELLO ESCRIBANO</v>
      </c>
      <c r="B13648" s="17" t="str">
        <f>HYPERLINK("https://otsuka-europe-crm.veevavault.com/ui/#object/vcountry__v/VENZ000004SONF5", "ES")</f>
        <v>ES</v>
      </c>
      <c r="C13648" s="20" t="s">
        <v>41</v>
      </c>
      <c r="D13648" s="21" t="str">
        <f>HYPERLINK("https://otsuka-europe-crm.veevavault.com/ui/#object/approved_document__v/V5O00000001A037", "LUP - VAE Póster Adelphi - Nefro")</f>
        <v>LUP - VAE Póster Adelphi - Nefro</v>
      </c>
      <c r="E13648" s="22" t="str">
        <f>HYPERLINK("https://otsuka-europe-crm.veevavault.com/ui/#object/sent_email__v/VBL00000002Z340", "SE-001438973")</f>
        <v>SE-001438973</v>
      </c>
      <c r="F13648" s="23">
        <v>46203.656226851854</v>
      </c>
      <c r="G13648" s="24">
        <v>1</v>
      </c>
      <c r="H13648" s="24">
        <v>2</v>
      </c>
      <c r="I13648" s="24">
        <v>0</v>
      </c>
      <c r="J13648" s="25"/>
      <c r="K13648" s="24">
        <v>0</v>
      </c>
      <c r="L13648" s="22" t="str">
        <f>HYPERLINK("https://otsuka-europe-crm.veevavault.com/ui/#object/approved_document__v/V5O00000001A037", "LUP - VAE Póster Adelphi - Nefro")</f>
        <v>LUP - VAE Póster Adelphi - Nefro</v>
      </c>
      <c r="M13648" s="22" t="str">
        <f>HYPERLINK("mailto:cmaroto@crm.otsuka-europe.com", "cmaroto@crm.otsuka-europe.com")</f>
        <v>cmaroto@crm.otsuka-europe.com</v>
      </c>
      <c r="N13648" s="23">
        <v>46203.655949074076</v>
      </c>
      <c r="O13648" s="14" t="str">
        <f>HYPERLINK("https://otsuka-europe-crm.veevavault.com/ui/#object/email_activity__v/V8C000000042628", "EN-002100978")</f>
        <v>EN-002100978</v>
      </c>
    </row>
    <row r="13649" spans="1:15" ht="16" x14ac:dyDescent="0.2">
      <c r="A13649" s="18"/>
      <c r="B13649" s="18"/>
      <c r="C13649" s="18"/>
      <c r="D13649" s="18"/>
      <c r="E13649" s="18"/>
      <c r="F13649" s="18"/>
      <c r="G13649" s="18"/>
      <c r="H13649" s="18"/>
      <c r="I13649" s="18"/>
      <c r="J13649" s="18"/>
      <c r="K13649" s="18"/>
      <c r="L13649" s="18"/>
      <c r="M13649" s="18"/>
      <c r="N13649" s="18"/>
      <c r="O13649" s="14" t="str">
        <f>HYPERLINK("https://otsuka-europe-crm.veevavault.com/ui/#object/email_activity__v/V8C000000042645", "EN-002100995")</f>
        <v>EN-002100995</v>
      </c>
    </row>
    <row r="13650" spans="1:15" ht="16" x14ac:dyDescent="0.2">
      <c r="A13650" s="19"/>
      <c r="B13650" s="19"/>
      <c r="C13650" s="19"/>
      <c r="D13650" s="19"/>
      <c r="E13650" s="19"/>
      <c r="F13650" s="19"/>
      <c r="G13650" s="19"/>
      <c r="H13650" s="19"/>
      <c r="I13650" s="19"/>
      <c r="J13650" s="19"/>
      <c r="K13650" s="19"/>
      <c r="L13650" s="19"/>
      <c r="M13650" s="19"/>
      <c r="N13650" s="19"/>
      <c r="O13650" s="14" t="str">
        <f>HYPERLINK("https://otsuka-europe-crm.veevavault.com/ui/#object/email_activity__v/V8C000000042671", "EN-002101021")</f>
        <v>EN-002101021</v>
      </c>
    </row>
    <row r="13651" spans="1:15" ht="16" x14ac:dyDescent="0.2">
      <c r="A13651" s="17" t="str">
        <f>HYPERLINK("https://otsuka-europe-crm.veevavault.com/ui/#object/account__v/V4TZ06G6OA5WQEC", "JULIO PASCUAL SANTOS")</f>
        <v>JULIO PASCUAL SANTOS</v>
      </c>
      <c r="B13651" s="17" t="str">
        <f>HYPERLINK("https://otsuka-europe-crm.veevavault.com/ui/#object/vcountry__v/VENZ000004SONF5", "ES")</f>
        <v>ES</v>
      </c>
      <c r="C13651" s="20" t="s">
        <v>41</v>
      </c>
      <c r="D13651" s="21" t="str">
        <f>HYPERLINK("https://otsuka-europe-crm.veevavault.com/ui/#object/approved_document__v/V5O00000001A037", "LUP - VAE Póster Adelphi - Nefro")</f>
        <v>LUP - VAE Póster Adelphi - Nefro</v>
      </c>
      <c r="E13651" s="22" t="str">
        <f>HYPERLINK("https://otsuka-europe-crm.veevavault.com/ui/#object/sent_email__v/VBL00000002Z341", "SE-001438974")</f>
        <v>SE-001438974</v>
      </c>
      <c r="F13651" s="23">
        <v>46203.809120370373</v>
      </c>
      <c r="G13651" s="24">
        <v>1</v>
      </c>
      <c r="H13651" s="24">
        <v>1</v>
      </c>
      <c r="I13651" s="24">
        <v>0</v>
      </c>
      <c r="J13651" s="25"/>
      <c r="K13651" s="24">
        <v>0</v>
      </c>
      <c r="L13651" s="22" t="str">
        <f>HYPERLINK("https://otsuka-europe-crm.veevavault.com/ui/#object/approved_document__v/V5O00000001A037", "LUP - VAE Póster Adelphi - Nefro")</f>
        <v>LUP - VAE Póster Adelphi - Nefro</v>
      </c>
      <c r="M13651" s="22" t="str">
        <f>HYPERLINK("mailto:cmaroto@crm.otsuka-europe.com", "cmaroto@crm.otsuka-europe.com")</f>
        <v>cmaroto@crm.otsuka-europe.com</v>
      </c>
      <c r="N13651" s="23">
        <v>46203.655914351853</v>
      </c>
      <c r="O13651" s="14" t="str">
        <f>HYPERLINK("https://otsuka-europe-crm.veevavault.com/ui/#object/email_activity__v/V8C000000041715", "EN-002101110")</f>
        <v>EN-002101110</v>
      </c>
    </row>
    <row r="13652" spans="1:15" ht="16" x14ac:dyDescent="0.2">
      <c r="A13652" s="19"/>
      <c r="B13652" s="19"/>
      <c r="C13652" s="19"/>
      <c r="D13652" s="19"/>
      <c r="E13652" s="19"/>
      <c r="F13652" s="19"/>
      <c r="G13652" s="19"/>
      <c r="H13652" s="19"/>
      <c r="I13652" s="19"/>
      <c r="J13652" s="19"/>
      <c r="K13652" s="19"/>
      <c r="L13652" s="19"/>
      <c r="M13652" s="19"/>
      <c r="N13652" s="19"/>
      <c r="O13652" s="14" t="str">
        <f>HYPERLINK("https://otsuka-europe-crm.veevavault.com/ui/#object/email_activity__v/V8C000000042619", "EN-002100969")</f>
        <v>EN-002100969</v>
      </c>
    </row>
    <row r="13653" spans="1:15" ht="16" x14ac:dyDescent="0.2">
      <c r="A13653" s="17" t="str">
        <f>HYPERLINK("https://otsuka-europe-crm.veevavault.com/ui/#object/account__v/V4TZ06G6O71TC7U", "MARIA DOLORES SANCHEZ DE LA NIETA GARCIA")</f>
        <v>MARIA DOLORES SANCHEZ DE LA NIETA GARCIA</v>
      </c>
      <c r="B13653" s="17" t="str">
        <f>HYPERLINK("https://otsuka-europe-crm.veevavault.com/ui/#object/vcountry__v/VENZ000004SONF5", "ES")</f>
        <v>ES</v>
      </c>
      <c r="C13653" s="20" t="s">
        <v>41</v>
      </c>
      <c r="D13653" s="21" t="str">
        <f>HYPERLINK("https://otsuka-europe-crm.veevavault.com/ui/#object/approved_document__v/V5O00000001A037", "LUP - VAE Póster Adelphi - Nefro")</f>
        <v>LUP - VAE Póster Adelphi - Nefro</v>
      </c>
      <c r="E13653" s="22" t="str">
        <f>HYPERLINK("https://otsuka-europe-crm.veevavault.com/ui/#object/sent_email__v/VBL00000002Z342", "SE-001438975")</f>
        <v>SE-001438975</v>
      </c>
      <c r="F13653" s="25"/>
      <c r="G13653" s="24">
        <v>0</v>
      </c>
      <c r="H13653" s="24">
        <v>0</v>
      </c>
      <c r="I13653" s="24">
        <v>1</v>
      </c>
      <c r="J13653" s="23">
        <v>46203.962719907409</v>
      </c>
      <c r="K13653" s="24">
        <v>1</v>
      </c>
      <c r="L13653" s="22" t="str">
        <f>HYPERLINK("https://otsuka-europe-crm.veevavault.com/ui/#object/approved_document__v/V5O00000001A037", "LUP - VAE Póster Adelphi - Nefro")</f>
        <v>LUP - VAE Póster Adelphi - Nefro</v>
      </c>
      <c r="M13653" s="22" t="str">
        <f>HYPERLINK("mailto:cmaroto@crm.otsuka-europe.com", "cmaroto@crm.otsuka-europe.com")</f>
        <v>cmaroto@crm.otsuka-europe.com</v>
      </c>
      <c r="N13653" s="23">
        <v>46203.655914351853</v>
      </c>
      <c r="O13653" s="14" t="str">
        <f>HYPERLINK("https://otsuka-europe-crm.veevavault.com/ui/#object/email_activity__v/V8C000000042636", "EN-002100986")</f>
        <v>EN-002100986</v>
      </c>
    </row>
    <row r="13654" spans="1:15" ht="16" x14ac:dyDescent="0.2">
      <c r="A13654" s="18"/>
      <c r="B13654" s="18"/>
      <c r="C13654" s="18"/>
      <c r="D13654" s="18"/>
      <c r="E13654" s="18"/>
      <c r="F13654" s="18"/>
      <c r="G13654" s="18"/>
      <c r="H13654" s="18"/>
      <c r="I13654" s="18"/>
      <c r="J13654" s="18"/>
      <c r="K13654" s="18"/>
      <c r="L13654" s="18"/>
      <c r="M13654" s="18"/>
      <c r="N13654" s="18"/>
      <c r="O13654" s="14" t="str">
        <f>HYPERLINK("https://otsuka-europe-crm.veevavault.com/ui/#object/email_activity__v/V8C000000042748", "EN-002101151")</f>
        <v>EN-002101151</v>
      </c>
    </row>
    <row r="13655" spans="1:15" ht="16" x14ac:dyDescent="0.2">
      <c r="A13655" s="18"/>
      <c r="B13655" s="18"/>
      <c r="C13655" s="18"/>
      <c r="D13655" s="18"/>
      <c r="E13655" s="18"/>
      <c r="F13655" s="18"/>
      <c r="G13655" s="18"/>
      <c r="H13655" s="18"/>
      <c r="I13655" s="18"/>
      <c r="J13655" s="18"/>
      <c r="K13655" s="18"/>
      <c r="L13655" s="18"/>
      <c r="M13655" s="18"/>
      <c r="N13655" s="18"/>
      <c r="O13655" s="14" t="str">
        <f>HYPERLINK("https://otsuka-europe-crm.veevavault.com/ui/#object/email_activity__v/V8C000000042750", "EN-002101153")</f>
        <v>EN-002101153</v>
      </c>
    </row>
    <row r="13656" spans="1:15" ht="16" x14ac:dyDescent="0.2">
      <c r="A13656" s="19"/>
      <c r="B13656" s="19"/>
      <c r="C13656" s="19"/>
      <c r="D13656" s="19"/>
      <c r="E13656" s="19"/>
      <c r="F13656" s="19"/>
      <c r="G13656" s="19"/>
      <c r="H13656" s="19"/>
      <c r="I13656" s="19"/>
      <c r="J13656" s="19"/>
      <c r="K13656" s="19"/>
      <c r="L13656" s="19"/>
      <c r="M13656" s="19"/>
      <c r="N13656" s="19"/>
      <c r="O13656" s="14" t="str">
        <f>HYPERLINK("https://otsuka-europe-crm.veevavault.com/ui/#object/email_activity__v/V8C000000042751", "EN-002101154")</f>
        <v>EN-002101154</v>
      </c>
    </row>
    <row r="13657" spans="1:15" ht="32" x14ac:dyDescent="0.2">
      <c r="A13657" s="7" t="str">
        <f>HYPERLINK("https://otsuka-europe-crm.veevavault.com/ui/#object/account__v/V4TZ06G6O71TAA6", "MARIA LUISA ILLESCAS FERNANDEZ-BERMEJO")</f>
        <v>MARIA LUISA ILLESCAS FERNANDEZ-BERMEJO</v>
      </c>
      <c r="B13657" s="7" t="str">
        <f>HYPERLINK("https://otsuka-europe-crm.veevavault.com/ui/#object/vcountry__v/VENZ000004SONF5", "ES")</f>
        <v>ES</v>
      </c>
      <c r="C13657" s="8" t="s">
        <v>41</v>
      </c>
      <c r="D13657" s="9" t="str">
        <f>HYPERLINK("https://otsuka-europe-crm.veevavault.com/ui/#object/approved_document__v/V5O00000001A037", "LUP - VAE Póster Adelphi - Nefro")</f>
        <v>LUP - VAE Póster Adelphi - Nefro</v>
      </c>
      <c r="E13657" s="10" t="str">
        <f>HYPERLINK("https://otsuka-europe-crm.veevavault.com/ui/#object/sent_email__v/VBL00000002Z343", "SE-001438976")</f>
        <v>SE-001438976</v>
      </c>
      <c r="F13657" s="11"/>
      <c r="G13657" s="12">
        <v>0</v>
      </c>
      <c r="H13657" s="12">
        <v>0</v>
      </c>
      <c r="I13657" s="12">
        <v>0</v>
      </c>
      <c r="J13657" s="11"/>
      <c r="K13657" s="12">
        <v>0</v>
      </c>
      <c r="L13657" s="10" t="str">
        <f>HYPERLINK("https://otsuka-europe-crm.veevavault.com/ui/#object/approved_document__v/V5O00000001A037", "LUP - VAE Póster Adelphi - Nefro")</f>
        <v>LUP - VAE Póster Adelphi - Nefro</v>
      </c>
      <c r="M13657" s="10" t="str">
        <f>HYPERLINK("mailto:cmaroto@crm.otsuka-europe.com", "cmaroto@crm.otsuka-europe.com")</f>
        <v>cmaroto@crm.otsuka-europe.com</v>
      </c>
      <c r="N13657" s="13">
        <v>46203.6559375</v>
      </c>
      <c r="O13657" s="14" t="str">
        <f>HYPERLINK("https://otsuka-europe-crm.veevavault.com/ui/#object/email_activity__v/V8C000000042630", "EN-002100980")</f>
        <v>EN-002100980</v>
      </c>
    </row>
    <row r="13658" spans="1:15" ht="32" x14ac:dyDescent="0.2">
      <c r="A13658" s="7" t="str">
        <f>HYPERLINK("https://otsuka-europe-crm.veevavault.com/ui/#object/account__v/V4TZ04ASG8DPFKI", "ELENA PASCUAL PAJARES")</f>
        <v>ELENA PASCUAL PAJARES</v>
      </c>
      <c r="B13658" s="7" t="str">
        <f>HYPERLINK("https://otsuka-europe-crm.veevavault.com/ui/#object/vcountry__v/VENZ000004SONF5", "ES")</f>
        <v>ES</v>
      </c>
      <c r="C13658" s="8" t="s">
        <v>41</v>
      </c>
      <c r="D13658" s="9" t="str">
        <f>HYPERLINK("https://otsuka-europe-crm.veevavault.com/ui/#object/approved_document__v/V5O00000001A037", "LUP - VAE Póster Adelphi - Nefro")</f>
        <v>LUP - VAE Póster Adelphi - Nefro</v>
      </c>
      <c r="E13658" s="10" t="str">
        <f>HYPERLINK("https://otsuka-europe-crm.veevavault.com/ui/#object/sent_email__v/VBL00000002Z344", "SE-001438977")</f>
        <v>SE-001438977</v>
      </c>
      <c r="F13658" s="11"/>
      <c r="G13658" s="12">
        <v>0</v>
      </c>
      <c r="H13658" s="12">
        <v>0</v>
      </c>
      <c r="I13658" s="12">
        <v>0</v>
      </c>
      <c r="J13658" s="11"/>
      <c r="K13658" s="12">
        <v>0</v>
      </c>
      <c r="L13658" s="10" t="str">
        <f>HYPERLINK("https://otsuka-europe-crm.veevavault.com/ui/#object/approved_document__v/V5O00000001A037", "LUP - VAE Póster Adelphi - Nefro")</f>
        <v>LUP - VAE Póster Adelphi - Nefro</v>
      </c>
      <c r="M13658" s="10" t="str">
        <f>HYPERLINK("mailto:cmaroto@crm.otsuka-europe.com", "cmaroto@crm.otsuka-europe.com")</f>
        <v>cmaroto@crm.otsuka-europe.com</v>
      </c>
      <c r="N13658" s="13">
        <v>46203.655914351853</v>
      </c>
      <c r="O13658" s="14" t="str">
        <f>HYPERLINK("https://otsuka-europe-crm.veevavault.com/ui/#object/email_activity__v/V8C000000042633", "EN-002100983")</f>
        <v>EN-002100983</v>
      </c>
    </row>
    <row r="13659" spans="1:15" ht="32" x14ac:dyDescent="0.2">
      <c r="A13659" s="7" t="str">
        <f>HYPERLINK("https://otsuka-europe-crm.veevavault.com/ui/#object/account__v/V4TZ06G6O71T98M", "GABRIEL DE ARRIBA DE LA FUENTE")</f>
        <v>GABRIEL DE ARRIBA DE LA FUENTE</v>
      </c>
      <c r="B13659" s="7" t="str">
        <f>HYPERLINK("https://otsuka-europe-crm.veevavault.com/ui/#object/vcountry__v/VENZ000004SONF5", "ES")</f>
        <v>ES</v>
      </c>
      <c r="C13659" s="8" t="s">
        <v>41</v>
      </c>
      <c r="D13659" s="9" t="str">
        <f>HYPERLINK("https://otsuka-europe-crm.veevavault.com/ui/#object/approved_document__v/V5O00000001A037", "LUP - VAE Póster Adelphi - Nefro")</f>
        <v>LUP - VAE Póster Adelphi - Nefro</v>
      </c>
      <c r="E13659" s="10" t="str">
        <f>HYPERLINK("https://otsuka-europe-crm.veevavault.com/ui/#object/sent_email__v/VBL00000002Z345", "SE-001438978")</f>
        <v>SE-001438978</v>
      </c>
      <c r="F13659" s="11"/>
      <c r="G13659" s="12">
        <v>0</v>
      </c>
      <c r="H13659" s="12">
        <v>0</v>
      </c>
      <c r="I13659" s="12">
        <v>0</v>
      </c>
      <c r="J13659" s="11"/>
      <c r="K13659" s="12">
        <v>0</v>
      </c>
      <c r="L13659" s="10" t="str">
        <f>HYPERLINK("https://otsuka-europe-crm.veevavault.com/ui/#object/approved_document__v/V5O00000001A037", "LUP - VAE Póster Adelphi - Nefro")</f>
        <v>LUP - VAE Póster Adelphi - Nefro</v>
      </c>
      <c r="M13659" s="10" t="str">
        <f>HYPERLINK("mailto:cmaroto@crm.otsuka-europe.com", "cmaroto@crm.otsuka-europe.com")</f>
        <v>cmaroto@crm.otsuka-europe.com</v>
      </c>
      <c r="N13659" s="13">
        <v>46203.6559375</v>
      </c>
      <c r="O13659" s="14" t="str">
        <f>HYPERLINK("https://otsuka-europe-crm.veevavault.com/ui/#object/email_activity__v/V8C000000042625", "EN-002100975")</f>
        <v>EN-002100975</v>
      </c>
    </row>
    <row r="13660" spans="1:15" ht="32" x14ac:dyDescent="0.2">
      <c r="A13660" s="7" t="str">
        <f>HYPERLINK("https://otsuka-europe-crm.veevavault.com/ui/#object/account__v/V4TZ06G6O71TC16", "ANA MARIA ROMERA SEGORBE")</f>
        <v>ANA MARIA ROMERA SEGORBE</v>
      </c>
      <c r="B13660" s="7" t="str">
        <f>HYPERLINK("https://otsuka-europe-crm.veevavault.com/ui/#object/vcountry__v/VENZ000004SONF5", "ES")</f>
        <v>ES</v>
      </c>
      <c r="C13660" s="8" t="s">
        <v>41</v>
      </c>
      <c r="D13660" s="9" t="str">
        <f>HYPERLINK("https://otsuka-europe-crm.veevavault.com/ui/#object/approved_document__v/V5O00000001A037", "LUP - VAE Póster Adelphi - Nefro")</f>
        <v>LUP - VAE Póster Adelphi - Nefro</v>
      </c>
      <c r="E13660" s="10" t="str">
        <f>HYPERLINK("https://otsuka-europe-crm.veevavault.com/ui/#object/sent_email__v/VBL00000002Z346", "SE-001438979")</f>
        <v>SE-001438979</v>
      </c>
      <c r="F13660" s="11"/>
      <c r="G13660" s="12">
        <v>0</v>
      </c>
      <c r="H13660" s="12">
        <v>0</v>
      </c>
      <c r="I13660" s="12">
        <v>0</v>
      </c>
      <c r="J13660" s="11"/>
      <c r="K13660" s="12">
        <v>0</v>
      </c>
      <c r="L13660" s="10" t="str">
        <f>HYPERLINK("https://otsuka-europe-crm.veevavault.com/ui/#object/approved_document__v/V5O00000001A037", "LUP - VAE Póster Adelphi - Nefro")</f>
        <v>LUP - VAE Póster Adelphi - Nefro</v>
      </c>
      <c r="M13660" s="10" t="str">
        <f>HYPERLINK("mailto:cmaroto@crm.otsuka-europe.com", "cmaroto@crm.otsuka-europe.com")</f>
        <v>cmaroto@crm.otsuka-europe.com</v>
      </c>
      <c r="N13660" s="13">
        <v>46203.655914351853</v>
      </c>
      <c r="O13660" s="14" t="str">
        <f>HYPERLINK("https://otsuka-europe-crm.veevavault.com/ui/#object/email_activity__v/V8C000000042614", "EN-002100964")</f>
        <v>EN-002100964</v>
      </c>
    </row>
    <row r="13661" spans="1:15" ht="16" x14ac:dyDescent="0.2">
      <c r="A13661" s="17" t="str">
        <f>HYPERLINK("https://otsuka-europe-crm.veevavault.com/ui/#object/account__v/V4TZ06G6O71T83E", "TANIA LINARES GRAVALOS")</f>
        <v>TANIA LINARES GRAVALOS</v>
      </c>
      <c r="B13661" s="17" t="str">
        <f>HYPERLINK("https://otsuka-europe-crm.veevavault.com/ui/#object/vcountry__v/VENZ000004SONF5", "ES")</f>
        <v>ES</v>
      </c>
      <c r="C13661" s="20" t="s">
        <v>41</v>
      </c>
      <c r="D13661" s="21" t="str">
        <f>HYPERLINK("https://otsuka-europe-crm.veevavault.com/ui/#object/approved_document__v/V5O00000001A037", "LUP - VAE Póster Adelphi - Nefro")</f>
        <v>LUP - VAE Póster Adelphi - Nefro</v>
      </c>
      <c r="E13661" s="22" t="str">
        <f>HYPERLINK("https://otsuka-europe-crm.veevavault.com/ui/#object/sent_email__v/VBL00000002Z347", "SE-001438980")</f>
        <v>SE-001438980</v>
      </c>
      <c r="F13661" s="25"/>
      <c r="G13661" s="24">
        <v>0</v>
      </c>
      <c r="H13661" s="24">
        <v>0</v>
      </c>
      <c r="I13661" s="24">
        <v>0</v>
      </c>
      <c r="J13661" s="25"/>
      <c r="K13661" s="24">
        <v>0</v>
      </c>
      <c r="L13661" s="22" t="str">
        <f>HYPERLINK("https://otsuka-europe-crm.veevavault.com/ui/#object/approved_document__v/V5O00000001A037", "LUP - VAE Póster Adelphi - Nefro")</f>
        <v>LUP - VAE Póster Adelphi - Nefro</v>
      </c>
      <c r="M13661" s="22" t="str">
        <f>HYPERLINK("mailto:cmaroto@crm.otsuka-europe.com", "cmaroto@crm.otsuka-europe.com")</f>
        <v>cmaroto@crm.otsuka-europe.com</v>
      </c>
      <c r="N13661" s="23">
        <v>46203.655914351853</v>
      </c>
      <c r="O13661" s="14" t="str">
        <f>HYPERLINK("https://otsuka-europe-crm.veevavault.com/ui/#object/email_activity__v/V8C000000042643", "EN-002100993")</f>
        <v>EN-002100993</v>
      </c>
    </row>
    <row r="13662" spans="1:15" ht="16" x14ac:dyDescent="0.2">
      <c r="A13662" s="19"/>
      <c r="B13662" s="19"/>
      <c r="C13662" s="19"/>
      <c r="D13662" s="19"/>
      <c r="E13662" s="19"/>
      <c r="F13662" s="19"/>
      <c r="G13662" s="19"/>
      <c r="H13662" s="19"/>
      <c r="I13662" s="19"/>
      <c r="J13662" s="19"/>
      <c r="K13662" s="19"/>
      <c r="L13662" s="19"/>
      <c r="M13662" s="19"/>
      <c r="N13662" s="19"/>
      <c r="O13662" s="14" t="str">
        <f>HYPERLINK("https://otsuka-europe-crm.veevavault.com/ui/#object/email_activity__v/V8C000000042767", "EN-002101173")</f>
        <v>EN-002101173</v>
      </c>
    </row>
    <row r="13663" spans="1:15" ht="16" x14ac:dyDescent="0.2">
      <c r="A13663" s="17" t="str">
        <f>HYPERLINK("https://otsuka-europe-crm.veevavault.com/ui/#object/account__v/V4TZ04ASG6ZSX9E", "PABLO ALEJANDRO SARDUY CORONADO")</f>
        <v>PABLO ALEJANDRO SARDUY CORONADO</v>
      </c>
      <c r="B13663" s="17" t="str">
        <f>HYPERLINK("https://otsuka-europe-crm.veevavault.com/ui/#object/vcountry__v/VENZ000004SONF5", "ES")</f>
        <v>ES</v>
      </c>
      <c r="C13663" s="20" t="s">
        <v>41</v>
      </c>
      <c r="D13663" s="21" t="str">
        <f>HYPERLINK("https://otsuka-europe-crm.veevavault.com/ui/#object/approved_document__v/V5O00000001A037", "LUP - VAE Póster Adelphi - Nefro")</f>
        <v>LUP - VAE Póster Adelphi - Nefro</v>
      </c>
      <c r="E13663" s="22" t="str">
        <f>HYPERLINK("https://otsuka-europe-crm.veevavault.com/ui/#object/sent_email__v/VBL00000002Z348", "SE-001438981")</f>
        <v>SE-001438981</v>
      </c>
      <c r="F13663" s="23">
        <v>46203.659490740742</v>
      </c>
      <c r="G13663" s="24">
        <v>1</v>
      </c>
      <c r="H13663" s="24">
        <v>2</v>
      </c>
      <c r="I13663" s="24">
        <v>0</v>
      </c>
      <c r="J13663" s="25"/>
      <c r="K13663" s="24">
        <v>0</v>
      </c>
      <c r="L13663" s="22" t="str">
        <f>HYPERLINK("https://otsuka-europe-crm.veevavault.com/ui/#object/approved_document__v/V5O00000001A037", "LUP - VAE Póster Adelphi - Nefro")</f>
        <v>LUP - VAE Póster Adelphi - Nefro</v>
      </c>
      <c r="M13663" s="22" t="str">
        <f>HYPERLINK("mailto:cmaroto@crm.otsuka-europe.com", "cmaroto@crm.otsuka-europe.com")</f>
        <v>cmaroto@crm.otsuka-europe.com</v>
      </c>
      <c r="N13663" s="23">
        <v>46203.655925925923</v>
      </c>
      <c r="O13663" s="14" t="str">
        <f>HYPERLINK("https://otsuka-europe-crm.veevavault.com/ui/#object/email_activity__v/V8C000000042621", "EN-002100971")</f>
        <v>EN-002100971</v>
      </c>
    </row>
    <row r="13664" spans="1:15" ht="16" x14ac:dyDescent="0.2">
      <c r="A13664" s="18"/>
      <c r="B13664" s="18"/>
      <c r="C13664" s="18"/>
      <c r="D13664" s="18"/>
      <c r="E13664" s="18"/>
      <c r="F13664" s="18"/>
      <c r="G13664" s="18"/>
      <c r="H13664" s="18"/>
      <c r="I13664" s="18"/>
      <c r="J13664" s="18"/>
      <c r="K13664" s="18"/>
      <c r="L13664" s="18"/>
      <c r="M13664" s="18"/>
      <c r="N13664" s="18"/>
      <c r="O13664" s="14" t="str">
        <f>HYPERLINK("https://otsuka-europe-crm.veevavault.com/ui/#object/email_activity__v/V8C000000042680", "EN-002101030")</f>
        <v>EN-002101030</v>
      </c>
    </row>
    <row r="13665" spans="1:15" ht="16" x14ac:dyDescent="0.2">
      <c r="A13665" s="19"/>
      <c r="B13665" s="19"/>
      <c r="C13665" s="19"/>
      <c r="D13665" s="19"/>
      <c r="E13665" s="19"/>
      <c r="F13665" s="19"/>
      <c r="G13665" s="19"/>
      <c r="H13665" s="19"/>
      <c r="I13665" s="19"/>
      <c r="J13665" s="19"/>
      <c r="K13665" s="19"/>
      <c r="L13665" s="19"/>
      <c r="M13665" s="19"/>
      <c r="N13665" s="19"/>
      <c r="O13665" s="14" t="str">
        <f>HYPERLINK("https://otsuka-europe-crm.veevavault.com/ui/#object/email_activity__v/V8C000000042681", "EN-002101031")</f>
        <v>EN-002101031</v>
      </c>
    </row>
    <row r="13666" spans="1:15" ht="32" x14ac:dyDescent="0.2">
      <c r="A13666" s="7" t="str">
        <f>HYPERLINK("https://otsuka-europe-crm.veevavault.com/ui/#object/account__v/V4TZ06G6O71T8JB", "RAUL FERNANDEZ PRADO")</f>
        <v>RAUL FERNANDEZ PRADO</v>
      </c>
      <c r="B13666" s="7" t="str">
        <f>HYPERLINK("https://otsuka-europe-crm.veevavault.com/ui/#object/vcountry__v/VENZ000004SONF5", "ES")</f>
        <v>ES</v>
      </c>
      <c r="C13666" s="8" t="s">
        <v>41</v>
      </c>
      <c r="D13666" s="9" t="str">
        <f>HYPERLINK("https://otsuka-europe-crm.veevavault.com/ui/#object/approved_document__v/V5O00000001A037", "LUP - VAE Póster Adelphi - Nefro")</f>
        <v>LUP - VAE Póster Adelphi - Nefro</v>
      </c>
      <c r="E13666" s="10" t="str">
        <f>HYPERLINK("https://otsuka-europe-crm.veevavault.com/ui/#object/sent_email__v/VBL00000002Z349", "SE-001438982")</f>
        <v>SE-001438982</v>
      </c>
      <c r="F13666" s="11"/>
      <c r="G13666" s="12">
        <v>0</v>
      </c>
      <c r="H13666" s="12">
        <v>0</v>
      </c>
      <c r="I13666" s="12">
        <v>0</v>
      </c>
      <c r="J13666" s="11"/>
      <c r="K13666" s="12">
        <v>0</v>
      </c>
      <c r="L13666" s="10" t="str">
        <f>HYPERLINK("https://otsuka-europe-crm.veevavault.com/ui/#object/approved_document__v/V5O00000001A037", "LUP - VAE Póster Adelphi - Nefro")</f>
        <v>LUP - VAE Póster Adelphi - Nefro</v>
      </c>
      <c r="M13666" s="10" t="str">
        <f>HYPERLINK("mailto:cmaroto@crm.otsuka-europe.com", "cmaroto@crm.otsuka-europe.com")</f>
        <v>cmaroto@crm.otsuka-europe.com</v>
      </c>
      <c r="N13666" s="13">
        <v>46203.655891203707</v>
      </c>
      <c r="O13666" s="14" t="str">
        <f>HYPERLINK("https://otsuka-europe-crm.veevavault.com/ui/#object/email_activity__v/V8C000000042615", "EN-002100965")</f>
        <v>EN-002100965</v>
      </c>
    </row>
    <row r="13667" spans="1:15" ht="32" x14ac:dyDescent="0.2">
      <c r="A13667" s="7" t="str">
        <f>HYPERLINK("https://otsuka-europe-crm.veevavault.com/ui/#object/account__v/V4T00000001U111", "PATRICIA TORRES MARTINEZ")</f>
        <v>PATRICIA TORRES MARTINEZ</v>
      </c>
      <c r="B13667" s="7" t="str">
        <f>HYPERLINK("https://otsuka-europe-crm.veevavault.com/ui/#object/vcountry__v/VENZ000004SONF5", "ES")</f>
        <v>ES</v>
      </c>
      <c r="C13667" s="8" t="s">
        <v>41</v>
      </c>
      <c r="D13667" s="9" t="str">
        <f>HYPERLINK("https://otsuka-europe-crm.veevavault.com/ui/#object/approved_document__v/V5O00000001A037", "LUP - VAE Póster Adelphi - Nefro")</f>
        <v>LUP - VAE Póster Adelphi - Nefro</v>
      </c>
      <c r="E13667" s="10" t="str">
        <f>HYPERLINK("https://otsuka-europe-crm.veevavault.com/ui/#object/sent_email__v/VBL00000002Z350", "SE-001438983")</f>
        <v>SE-001438983</v>
      </c>
      <c r="F13667" s="11"/>
      <c r="G13667" s="12">
        <v>0</v>
      </c>
      <c r="H13667" s="12">
        <v>0</v>
      </c>
      <c r="I13667" s="12">
        <v>0</v>
      </c>
      <c r="J13667" s="11"/>
      <c r="K13667" s="12">
        <v>0</v>
      </c>
      <c r="L13667" s="10" t="str">
        <f>HYPERLINK("https://otsuka-europe-crm.veevavault.com/ui/#object/approved_document__v/V5O00000001A037", "LUP - VAE Póster Adelphi - Nefro")</f>
        <v>LUP - VAE Póster Adelphi - Nefro</v>
      </c>
      <c r="M13667" s="10" t="str">
        <f>HYPERLINK("mailto:cmaroto@crm.otsuka-europe.com", "cmaroto@crm.otsuka-europe.com")</f>
        <v>cmaroto@crm.otsuka-europe.com</v>
      </c>
      <c r="N13667" s="13">
        <v>46203.6559375</v>
      </c>
      <c r="O13667" s="14" t="str">
        <f>HYPERLINK("https://otsuka-europe-crm.veevavault.com/ui/#object/email_activity__v/V8C000000042626", "EN-002100976")</f>
        <v>EN-002100976</v>
      </c>
    </row>
    <row r="13668" spans="1:15" ht="16" x14ac:dyDescent="0.2">
      <c r="A13668" s="17" t="str">
        <f>HYPERLINK("https://otsuka-europe-crm.veevavault.com/ui/#object/account__v/V4TZ06G6O71UQRP", "IRENE MARTIN CAPON")</f>
        <v>IRENE MARTIN CAPON</v>
      </c>
      <c r="B13668" s="17" t="str">
        <f>HYPERLINK("https://otsuka-europe-crm.veevavault.com/ui/#object/vcountry__v/VENZ000004SONF5", "ES")</f>
        <v>ES</v>
      </c>
      <c r="C13668" s="20" t="s">
        <v>41</v>
      </c>
      <c r="D13668" s="21" t="str">
        <f>HYPERLINK("https://otsuka-europe-crm.veevavault.com/ui/#object/approved_document__v/V5O00000001A037", "LUP - VAE Póster Adelphi - Nefro")</f>
        <v>LUP - VAE Póster Adelphi - Nefro</v>
      </c>
      <c r="E13668" s="22" t="str">
        <f>HYPERLINK("https://otsuka-europe-crm.veevavault.com/ui/#object/sent_email__v/VBL00000002Z351", "SE-001438984")</f>
        <v>SE-001438984</v>
      </c>
      <c r="F13668" s="25"/>
      <c r="G13668" s="24">
        <v>0</v>
      </c>
      <c r="H13668" s="24">
        <v>0</v>
      </c>
      <c r="I13668" s="24">
        <v>0</v>
      </c>
      <c r="J13668" s="25"/>
      <c r="K13668" s="24">
        <v>0</v>
      </c>
      <c r="L13668" s="22" t="str">
        <f>HYPERLINK("https://otsuka-europe-crm.veevavault.com/ui/#object/approved_document__v/V5O00000001A037", "LUP - VAE Póster Adelphi - Nefro")</f>
        <v>LUP - VAE Póster Adelphi - Nefro</v>
      </c>
      <c r="M13668" s="22" t="str">
        <f>HYPERLINK("mailto:cmaroto@crm.otsuka-europe.com", "cmaroto@crm.otsuka-europe.com")</f>
        <v>cmaroto@crm.otsuka-europe.com</v>
      </c>
      <c r="N13668" s="23">
        <v>46203.655960648146</v>
      </c>
      <c r="O13668" s="14" t="str">
        <f>HYPERLINK("https://otsuka-europe-crm.veevavault.com/ui/#object/email_activity__v/V8C000000041704", "EN-002101088")</f>
        <v>EN-002101088</v>
      </c>
    </row>
    <row r="13669" spans="1:15" ht="16" x14ac:dyDescent="0.2">
      <c r="A13669" s="19"/>
      <c r="B13669" s="19"/>
      <c r="C13669" s="19"/>
      <c r="D13669" s="19"/>
      <c r="E13669" s="19"/>
      <c r="F13669" s="19"/>
      <c r="G13669" s="19"/>
      <c r="H13669" s="19"/>
      <c r="I13669" s="19"/>
      <c r="J13669" s="19"/>
      <c r="K13669" s="19"/>
      <c r="L13669" s="19"/>
      <c r="M13669" s="19"/>
      <c r="N13669" s="19"/>
      <c r="O13669" s="14" t="str">
        <f>HYPERLINK("https://otsuka-europe-crm.veevavault.com/ui/#object/email_activity__v/V8C000000042620", "EN-002100970")</f>
        <v>EN-002100970</v>
      </c>
    </row>
    <row r="13670" spans="1:15" ht="16" x14ac:dyDescent="0.2">
      <c r="A13670" s="17" t="str">
        <f>HYPERLINK("https://otsuka-europe-crm.veevavault.com/ui/#object/account__v/V4TZ06G6O71TB9P", "ENRIQUE MORALES RUIZ")</f>
        <v>ENRIQUE MORALES RUIZ</v>
      </c>
      <c r="B13670" s="17" t="str">
        <f>HYPERLINK("https://otsuka-europe-crm.veevavault.com/ui/#object/vcountry__v/VENZ000004SONF5", "ES")</f>
        <v>ES</v>
      </c>
      <c r="C13670" s="20" t="s">
        <v>41</v>
      </c>
      <c r="D13670" s="21" t="str">
        <f>HYPERLINK("https://otsuka-europe-crm.veevavault.com/ui/#object/approved_document__v/V5O00000001A037", "LUP - VAE Póster Adelphi - Nefro")</f>
        <v>LUP - VAE Póster Adelphi - Nefro</v>
      </c>
      <c r="E13670" s="22" t="str">
        <f>HYPERLINK("https://otsuka-europe-crm.veevavault.com/ui/#object/sent_email__v/VBL00000002Z352", "SE-001438985")</f>
        <v>SE-001438985</v>
      </c>
      <c r="F13670" s="23">
        <v>46203.747835648152</v>
      </c>
      <c r="G13670" s="24">
        <v>1</v>
      </c>
      <c r="H13670" s="24">
        <v>1</v>
      </c>
      <c r="I13670" s="24">
        <v>1</v>
      </c>
      <c r="J13670" s="23">
        <v>46203.747835648152</v>
      </c>
      <c r="K13670" s="24">
        <v>1</v>
      </c>
      <c r="L13670" s="22" t="str">
        <f>HYPERLINK("https://otsuka-europe-crm.veevavault.com/ui/#object/approved_document__v/V5O00000001A037", "LUP - VAE Póster Adelphi - Nefro")</f>
        <v>LUP - VAE Póster Adelphi - Nefro</v>
      </c>
      <c r="M13670" s="22" t="str">
        <f>HYPERLINK("mailto:cmaroto@crm.otsuka-europe.com", "cmaroto@crm.otsuka-europe.com")</f>
        <v>cmaroto@crm.otsuka-europe.com</v>
      </c>
      <c r="N13670" s="23">
        <v>46203.655925925923</v>
      </c>
      <c r="O13670" s="14" t="str">
        <f>HYPERLINK("https://otsuka-europe-crm.veevavault.com/ui/#object/email_activity__v/V8C000000041701", "EN-002101086")</f>
        <v>EN-002101086</v>
      </c>
    </row>
    <row r="13671" spans="1:15" ht="16" x14ac:dyDescent="0.2">
      <c r="A13671" s="18"/>
      <c r="B13671" s="18"/>
      <c r="C13671" s="18"/>
      <c r="D13671" s="18"/>
      <c r="E13671" s="18"/>
      <c r="F13671" s="18"/>
      <c r="G13671" s="18"/>
      <c r="H13671" s="18"/>
      <c r="I13671" s="18"/>
      <c r="J13671" s="18"/>
      <c r="K13671" s="18"/>
      <c r="L13671" s="18"/>
      <c r="M13671" s="18"/>
      <c r="N13671" s="18"/>
      <c r="O13671" s="14" t="str">
        <f>HYPERLINK("https://otsuka-europe-crm.veevavault.com/ui/#object/email_activity__v/V8C000000041702", "EN-002101085")</f>
        <v>EN-002101085</v>
      </c>
    </row>
    <row r="13672" spans="1:15" ht="16" x14ac:dyDescent="0.2">
      <c r="A13672" s="18"/>
      <c r="B13672" s="18"/>
      <c r="C13672" s="18"/>
      <c r="D13672" s="18"/>
      <c r="E13672" s="18"/>
      <c r="F13672" s="18"/>
      <c r="G13672" s="18"/>
      <c r="H13672" s="18"/>
      <c r="I13672" s="18"/>
      <c r="J13672" s="18"/>
      <c r="K13672" s="18"/>
      <c r="L13672" s="18"/>
      <c r="M13672" s="18"/>
      <c r="N13672" s="18"/>
      <c r="O13672" s="14" t="str">
        <f>HYPERLINK("https://otsuka-europe-crm.veevavault.com/ui/#object/email_activity__v/V8C000000042629", "EN-002100979")</f>
        <v>EN-002100979</v>
      </c>
    </row>
    <row r="13673" spans="1:15" ht="16" x14ac:dyDescent="0.2">
      <c r="A13673" s="18"/>
      <c r="B13673" s="18"/>
      <c r="C13673" s="18"/>
      <c r="D13673" s="18"/>
      <c r="E13673" s="18"/>
      <c r="F13673" s="18"/>
      <c r="G13673" s="18"/>
      <c r="H13673" s="18"/>
      <c r="I13673" s="18"/>
      <c r="J13673" s="18"/>
      <c r="K13673" s="18"/>
      <c r="L13673" s="18"/>
      <c r="M13673" s="18"/>
      <c r="N13673" s="18"/>
      <c r="O13673" s="14" t="str">
        <f>HYPERLINK("https://otsuka-europe-crm.veevavault.com/ui/#object/email_activity__v/V8C000000042711", "EN-002101089")</f>
        <v>EN-002101089</v>
      </c>
    </row>
    <row r="13674" spans="1:15" ht="16" x14ac:dyDescent="0.2">
      <c r="A13674" s="18"/>
      <c r="B13674" s="18"/>
      <c r="C13674" s="18"/>
      <c r="D13674" s="18"/>
      <c r="E13674" s="18"/>
      <c r="F13674" s="18"/>
      <c r="G13674" s="18"/>
      <c r="H13674" s="18"/>
      <c r="I13674" s="18"/>
      <c r="J13674" s="18"/>
      <c r="K13674" s="18"/>
      <c r="L13674" s="18"/>
      <c r="M13674" s="18"/>
      <c r="N13674" s="18"/>
      <c r="O13674" s="14" t="str">
        <f>HYPERLINK("https://otsuka-europe-crm.veevavault.com/ui/#object/email_activity__v/V8C000000042712", "EN-002101090")</f>
        <v>EN-002101090</v>
      </c>
    </row>
    <row r="13675" spans="1:15" ht="16" x14ac:dyDescent="0.2">
      <c r="A13675" s="18"/>
      <c r="B13675" s="18"/>
      <c r="C13675" s="18"/>
      <c r="D13675" s="18"/>
      <c r="E13675" s="18"/>
      <c r="F13675" s="18"/>
      <c r="G13675" s="18"/>
      <c r="H13675" s="18"/>
      <c r="I13675" s="18"/>
      <c r="J13675" s="18"/>
      <c r="K13675" s="18"/>
      <c r="L13675" s="18"/>
      <c r="M13675" s="18"/>
      <c r="N13675" s="18"/>
      <c r="O13675" s="14" t="str">
        <f>HYPERLINK("https://otsuka-europe-crm.veevavault.com/ui/#object/email_activity__v/V8C000000042713", "EN-002101091")</f>
        <v>EN-002101091</v>
      </c>
    </row>
    <row r="13676" spans="1:15" ht="16" x14ac:dyDescent="0.2">
      <c r="A13676" s="18"/>
      <c r="B13676" s="18"/>
      <c r="C13676" s="18"/>
      <c r="D13676" s="18"/>
      <c r="E13676" s="18"/>
      <c r="F13676" s="18"/>
      <c r="G13676" s="18"/>
      <c r="H13676" s="18"/>
      <c r="I13676" s="18"/>
      <c r="J13676" s="18"/>
      <c r="K13676" s="18"/>
      <c r="L13676" s="18"/>
      <c r="M13676" s="18"/>
      <c r="N13676" s="18"/>
      <c r="O13676" s="14" t="str">
        <f>HYPERLINK("https://otsuka-europe-crm.veevavault.com/ui/#object/email_activity__v/V8C000000042714", "EN-002101092")</f>
        <v>EN-002101092</v>
      </c>
    </row>
    <row r="13677" spans="1:15" ht="16" x14ac:dyDescent="0.2">
      <c r="A13677" s="19"/>
      <c r="B13677" s="19"/>
      <c r="C13677" s="19"/>
      <c r="D13677" s="19"/>
      <c r="E13677" s="19"/>
      <c r="F13677" s="19"/>
      <c r="G13677" s="19"/>
      <c r="H13677" s="19"/>
      <c r="I13677" s="19"/>
      <c r="J13677" s="19"/>
      <c r="K13677" s="19"/>
      <c r="L13677" s="19"/>
      <c r="M13677" s="19"/>
      <c r="N13677" s="19"/>
      <c r="O13677" s="14" t="str">
        <f>HYPERLINK("https://otsuka-europe-crm.veevavault.com/ui/#object/email_activity__v/V8C000000042754", "EN-002101156")</f>
        <v>EN-002101156</v>
      </c>
    </row>
    <row r="13678" spans="1:15" ht="32" x14ac:dyDescent="0.2">
      <c r="A13678" s="7" t="str">
        <f>HYPERLINK("https://otsuka-europe-crm.veevavault.com/ui/#object/account__v/V4TZ025E8720CEX", "LUCIA CORDERO GARCIA-GALAN")</f>
        <v>LUCIA CORDERO GARCIA-GALAN</v>
      </c>
      <c r="B13678" s="7" t="str">
        <f>HYPERLINK("https://otsuka-europe-crm.veevavault.com/ui/#object/vcountry__v/VENZ000004SONF5", "ES")</f>
        <v>ES</v>
      </c>
      <c r="C13678" s="8" t="s">
        <v>41</v>
      </c>
      <c r="D13678" s="9" t="str">
        <f>HYPERLINK("https://otsuka-europe-crm.veevavault.com/ui/#object/approved_document__v/V5O00000001A037", "LUP - VAE Póster Adelphi - Nefro")</f>
        <v>LUP - VAE Póster Adelphi - Nefro</v>
      </c>
      <c r="E13678" s="10" t="str">
        <f>HYPERLINK("https://otsuka-europe-crm.veevavault.com/ui/#object/sent_email__v/VBL00000002Z353", "SE-001438986")</f>
        <v>SE-001438986</v>
      </c>
      <c r="F13678" s="11"/>
      <c r="G13678" s="12">
        <v>0</v>
      </c>
      <c r="H13678" s="12">
        <v>0</v>
      </c>
      <c r="I13678" s="12">
        <v>0</v>
      </c>
      <c r="J13678" s="11"/>
      <c r="K13678" s="12">
        <v>0</v>
      </c>
      <c r="L13678" s="10" t="str">
        <f>HYPERLINK("https://otsuka-europe-crm.veevavault.com/ui/#object/approved_document__v/V5O00000001A037", "LUP - VAE Póster Adelphi - Nefro")</f>
        <v>LUP - VAE Póster Adelphi - Nefro</v>
      </c>
      <c r="M13678" s="10" t="str">
        <f>HYPERLINK("mailto:cmaroto@crm.otsuka-europe.com", "cmaroto@crm.otsuka-europe.com")</f>
        <v>cmaroto@crm.otsuka-europe.com</v>
      </c>
      <c r="N13678" s="13">
        <v>46203.655925925923</v>
      </c>
      <c r="O13678" s="14" t="str">
        <f>HYPERLINK("https://otsuka-europe-crm.veevavault.com/ui/#object/email_activity__v/V8C000000042623", "EN-002100973")</f>
        <v>EN-002100973</v>
      </c>
    </row>
    <row r="13679" spans="1:15" ht="16" x14ac:dyDescent="0.2">
      <c r="A13679" s="17" t="str">
        <f>HYPERLINK("https://otsuka-europe-crm.veevavault.com/ui/#object/account__v/V4TZ06G6O71T8XF", "MARIA CARMEN HERNAIZ VALENCIA")</f>
        <v>MARIA CARMEN HERNAIZ VALENCIA</v>
      </c>
      <c r="B13679" s="17" t="str">
        <f>HYPERLINK("https://otsuka-europe-crm.veevavault.com/ui/#object/vcountry__v/VENZ000004SONF5", "ES")</f>
        <v>ES</v>
      </c>
      <c r="C13679" s="20" t="s">
        <v>41</v>
      </c>
      <c r="D13679" s="21" t="str">
        <f>HYPERLINK("https://otsuka-europe-crm.veevavault.com/ui/#object/approved_document__v/V5O00000001A037", "LUP - VAE Póster Adelphi - Nefro")</f>
        <v>LUP - VAE Póster Adelphi - Nefro</v>
      </c>
      <c r="E13679" s="22" t="str">
        <f>HYPERLINK("https://otsuka-europe-crm.veevavault.com/ui/#object/sent_email__v/VBL00000002Z354", "SE-001438987")</f>
        <v>SE-001438987</v>
      </c>
      <c r="F13679" s="23">
        <v>46203.939479166664</v>
      </c>
      <c r="G13679" s="24">
        <v>1</v>
      </c>
      <c r="H13679" s="24">
        <v>1</v>
      </c>
      <c r="I13679" s="24">
        <v>0</v>
      </c>
      <c r="J13679" s="25"/>
      <c r="K13679" s="24">
        <v>0</v>
      </c>
      <c r="L13679" s="22" t="str">
        <f>HYPERLINK("https://otsuka-europe-crm.veevavault.com/ui/#object/approved_document__v/V5O00000001A037", "LUP - VAE Póster Adelphi - Nefro")</f>
        <v>LUP - VAE Póster Adelphi - Nefro</v>
      </c>
      <c r="M13679" s="22" t="str">
        <f>HYPERLINK("mailto:cmaroto@crm.otsuka-europe.com", "cmaroto@crm.otsuka-europe.com")</f>
        <v>cmaroto@crm.otsuka-europe.com</v>
      </c>
      <c r="N13679" s="23">
        <v>46203.655891203707</v>
      </c>
      <c r="O13679" s="14" t="str">
        <f>HYPERLINK("https://otsuka-europe-crm.veevavault.com/ui/#object/email_activity__v/V8C000000041683", "EN-002101048")</f>
        <v>EN-002101048</v>
      </c>
    </row>
    <row r="13680" spans="1:15" ht="16" x14ac:dyDescent="0.2">
      <c r="A13680" s="18"/>
      <c r="B13680" s="18"/>
      <c r="C13680" s="18"/>
      <c r="D13680" s="18"/>
      <c r="E13680" s="18"/>
      <c r="F13680" s="18"/>
      <c r="G13680" s="18"/>
      <c r="H13680" s="18"/>
      <c r="I13680" s="18"/>
      <c r="J13680" s="18"/>
      <c r="K13680" s="18"/>
      <c r="L13680" s="18"/>
      <c r="M13680" s="18"/>
      <c r="N13680" s="18"/>
      <c r="O13680" s="14" t="str">
        <f>HYPERLINK("https://otsuka-europe-crm.veevavault.com/ui/#object/email_activity__v/V8C000000041726", "EN-002101140")</f>
        <v>EN-002101140</v>
      </c>
    </row>
    <row r="13681" spans="1:15" ht="16" x14ac:dyDescent="0.2">
      <c r="A13681" s="19"/>
      <c r="B13681" s="19"/>
      <c r="C13681" s="19"/>
      <c r="D13681" s="19"/>
      <c r="E13681" s="19"/>
      <c r="F13681" s="19"/>
      <c r="G13681" s="19"/>
      <c r="H13681" s="19"/>
      <c r="I13681" s="19"/>
      <c r="J13681" s="19"/>
      <c r="K13681" s="19"/>
      <c r="L13681" s="19"/>
      <c r="M13681" s="19"/>
      <c r="N13681" s="19"/>
      <c r="O13681" s="14" t="str">
        <f>HYPERLINK("https://otsuka-europe-crm.veevavault.com/ui/#object/email_activity__v/V8C000000042631", "EN-002100981")</f>
        <v>EN-002100981</v>
      </c>
    </row>
    <row r="13682" spans="1:15" ht="32" x14ac:dyDescent="0.2">
      <c r="A13682" s="7" t="str">
        <f>HYPERLINK("https://otsuka-europe-crm.veevavault.com/ui/#object/account__v/V4TZ06G6O71T8BN", "BASILIO JESUS CABEZUELO RODRIGUEZ")</f>
        <v>BASILIO JESUS CABEZUELO RODRIGUEZ</v>
      </c>
      <c r="B13682" s="7" t="str">
        <f>HYPERLINK("https://otsuka-europe-crm.veevavault.com/ui/#object/vcountry__v/VENZ000004SONF5", "ES")</f>
        <v>ES</v>
      </c>
      <c r="C13682" s="8" t="s">
        <v>41</v>
      </c>
      <c r="D13682" s="9" t="str">
        <f>HYPERLINK("https://otsuka-europe-crm.veevavault.com/ui/#object/approved_document__v/V5O00000001A037", "LUP - VAE Póster Adelphi - Nefro")</f>
        <v>LUP - VAE Póster Adelphi - Nefro</v>
      </c>
      <c r="E13682" s="10" t="str">
        <f>HYPERLINK("https://otsuka-europe-crm.veevavault.com/ui/#object/sent_email__v/VBL00000002Z355", "SE-001438988")</f>
        <v>SE-001438988</v>
      </c>
      <c r="F13682" s="11"/>
      <c r="G13682" s="12">
        <v>0</v>
      </c>
      <c r="H13682" s="12">
        <v>0</v>
      </c>
      <c r="I13682" s="12">
        <v>0</v>
      </c>
      <c r="J13682" s="11"/>
      <c r="K13682" s="12">
        <v>0</v>
      </c>
      <c r="L13682" s="10" t="str">
        <f>HYPERLINK("https://otsuka-europe-crm.veevavault.com/ui/#object/approved_document__v/V5O00000001A037", "LUP - VAE Póster Adelphi - Nefro")</f>
        <v>LUP - VAE Póster Adelphi - Nefro</v>
      </c>
      <c r="M13682" s="10" t="str">
        <f>HYPERLINK("mailto:cmaroto@crm.otsuka-europe.com", "cmaroto@crm.otsuka-europe.com")</f>
        <v>cmaroto@crm.otsuka-europe.com</v>
      </c>
      <c r="N13682" s="13">
        <v>46203.655891203707</v>
      </c>
      <c r="O13682" s="14" t="str">
        <f>HYPERLINK("https://otsuka-europe-crm.veevavault.com/ui/#object/email_activity__v/V8C000000042616", "EN-002100966")</f>
        <v>EN-002100966</v>
      </c>
    </row>
    <row r="13683" spans="1:15" ht="16" x14ac:dyDescent="0.2">
      <c r="A13683" s="17" t="str">
        <f>HYPERLINK("https://otsuka-europe-crm.veevavault.com/ui/#object/account__v/V4TZ06G6O71TBSU", "BEGOÑA RINCON RUIZ")</f>
        <v>BEGOÑA RINCON RUIZ</v>
      </c>
      <c r="B13683" s="17" t="str">
        <f>HYPERLINK("https://otsuka-europe-crm.veevavault.com/ui/#object/vcountry__v/VENZ000004SONF5", "ES")</f>
        <v>ES</v>
      </c>
      <c r="C13683" s="20" t="s">
        <v>41</v>
      </c>
      <c r="D13683" s="21" t="str">
        <f>HYPERLINK("https://otsuka-europe-crm.veevavault.com/ui/#object/approved_document__v/V5O00000001A037", "LUP - VAE Póster Adelphi - Nefro")</f>
        <v>LUP - VAE Póster Adelphi - Nefro</v>
      </c>
      <c r="E13683" s="22" t="str">
        <f>HYPERLINK("https://otsuka-europe-crm.veevavault.com/ui/#object/sent_email__v/VBL00000002Z356", "SE-001438989")</f>
        <v>SE-001438989</v>
      </c>
      <c r="F13683" s="23">
        <v>46203.882280092592</v>
      </c>
      <c r="G13683" s="24">
        <v>1</v>
      </c>
      <c r="H13683" s="24">
        <v>1</v>
      </c>
      <c r="I13683" s="24">
        <v>0</v>
      </c>
      <c r="J13683" s="25"/>
      <c r="K13683" s="24">
        <v>0</v>
      </c>
      <c r="L13683" s="22" t="str">
        <f>HYPERLINK("https://otsuka-europe-crm.veevavault.com/ui/#object/approved_document__v/V5O00000001A037", "LUP - VAE Póster Adelphi - Nefro")</f>
        <v>LUP - VAE Póster Adelphi - Nefro</v>
      </c>
      <c r="M13683" s="22" t="str">
        <f>HYPERLINK("mailto:cmaroto@crm.otsuka-europe.com", "cmaroto@crm.otsuka-europe.com")</f>
        <v>cmaroto@crm.otsuka-europe.com</v>
      </c>
      <c r="N13683" s="23">
        <v>46203.655914351853</v>
      </c>
      <c r="O13683" s="14" t="str">
        <f>HYPERLINK("https://otsuka-europe-crm.veevavault.com/ui/#object/email_activity__v/V8C000000041722", "EN-002101131")</f>
        <v>EN-002101131</v>
      </c>
    </row>
    <row r="13684" spans="1:15" ht="16" x14ac:dyDescent="0.2">
      <c r="A13684" s="18"/>
      <c r="B13684" s="18"/>
      <c r="C13684" s="18"/>
      <c r="D13684" s="18"/>
      <c r="E13684" s="18"/>
      <c r="F13684" s="18"/>
      <c r="G13684" s="18"/>
      <c r="H13684" s="18"/>
      <c r="I13684" s="18"/>
      <c r="J13684" s="18"/>
      <c r="K13684" s="18"/>
      <c r="L13684" s="18"/>
      <c r="M13684" s="18"/>
      <c r="N13684" s="18"/>
      <c r="O13684" s="14" t="str">
        <f>HYPERLINK("https://otsuka-europe-crm.veevavault.com/ui/#object/email_activity__v/V8C000000041748", "EN-002101175")</f>
        <v>EN-002101175</v>
      </c>
    </row>
    <row r="13685" spans="1:15" ht="16" x14ac:dyDescent="0.2">
      <c r="A13685" s="19"/>
      <c r="B13685" s="19"/>
      <c r="C13685" s="19"/>
      <c r="D13685" s="19"/>
      <c r="E13685" s="19"/>
      <c r="F13685" s="19"/>
      <c r="G13685" s="19"/>
      <c r="H13685" s="19"/>
      <c r="I13685" s="19"/>
      <c r="J13685" s="19"/>
      <c r="K13685" s="19"/>
      <c r="L13685" s="19"/>
      <c r="M13685" s="19"/>
      <c r="N13685" s="19"/>
      <c r="O13685" s="14" t="str">
        <f>HYPERLINK("https://otsuka-europe-crm.veevavault.com/ui/#object/email_activity__v/V8C000000042641", "EN-002100991")</f>
        <v>EN-002100991</v>
      </c>
    </row>
    <row r="13686" spans="1:15" ht="32" x14ac:dyDescent="0.2">
      <c r="A13686" s="7" t="str">
        <f>HYPERLINK("https://otsuka-europe-crm.veevavault.com/ui/#object/account__v/V4TZ06G6O71TA00", "REBECA GARCIA AGUDO")</f>
        <v>REBECA GARCIA AGUDO</v>
      </c>
      <c r="B13686" s="7" t="str">
        <f>HYPERLINK("https://otsuka-europe-crm.veevavault.com/ui/#object/vcountry__v/VENZ000004SONF5", "ES")</f>
        <v>ES</v>
      </c>
      <c r="C13686" s="8" t="s">
        <v>41</v>
      </c>
      <c r="D13686" s="9" t="str">
        <f>HYPERLINK("https://otsuka-europe-crm.veevavault.com/ui/#object/approved_document__v/V5O00000001A037", "LUP - VAE Póster Adelphi - Nefro")</f>
        <v>LUP - VAE Póster Adelphi - Nefro</v>
      </c>
      <c r="E13686" s="10" t="str">
        <f>HYPERLINK("https://otsuka-europe-crm.veevavault.com/ui/#object/sent_email__v/VBL00000002Z357", "SE-001438990")</f>
        <v>SE-001438990</v>
      </c>
      <c r="F13686" s="11"/>
      <c r="G13686" s="12">
        <v>0</v>
      </c>
      <c r="H13686" s="12">
        <v>0</v>
      </c>
      <c r="I13686" s="12">
        <v>0</v>
      </c>
      <c r="J13686" s="11"/>
      <c r="K13686" s="12">
        <v>0</v>
      </c>
      <c r="L13686" s="10" t="str">
        <f>HYPERLINK("https://otsuka-europe-crm.veevavault.com/ui/#object/approved_document__v/V5O00000001A037", "LUP - VAE Póster Adelphi - Nefro")</f>
        <v>LUP - VAE Póster Adelphi - Nefro</v>
      </c>
      <c r="M13686" s="10" t="str">
        <f>HYPERLINK("mailto:cmaroto@crm.otsuka-europe.com", "cmaroto@crm.otsuka-europe.com")</f>
        <v>cmaroto@crm.otsuka-europe.com</v>
      </c>
      <c r="N13686" s="13">
        <v>46203.655914351853</v>
      </c>
      <c r="O13686" s="14" t="str">
        <f>HYPERLINK("https://otsuka-europe-crm.veevavault.com/ui/#object/email_activity__v/V8C000000042634", "EN-002100984")</f>
        <v>EN-002100984</v>
      </c>
    </row>
    <row r="13687" spans="1:15" ht="16" x14ac:dyDescent="0.2">
      <c r="A13687" s="17" t="str">
        <f>HYPERLINK("https://otsuka-europe-crm.veevavault.com/ui/#object/account__v/V4TZ06G6O71URQ7", "XAVIER ENRIQUE GUERRA TORRES")</f>
        <v>XAVIER ENRIQUE GUERRA TORRES</v>
      </c>
      <c r="B13687" s="17" t="str">
        <f>HYPERLINK("https://otsuka-europe-crm.veevavault.com/ui/#object/vcountry__v/VENZ000004SONF5", "ES")</f>
        <v>ES</v>
      </c>
      <c r="C13687" s="20" t="s">
        <v>41</v>
      </c>
      <c r="D13687" s="21" t="str">
        <f>HYPERLINK("https://otsuka-europe-crm.veevavault.com/ui/#object/approved_document__v/V5O00000001A037", "LUP - VAE Póster Adelphi - Nefro")</f>
        <v>LUP - VAE Póster Adelphi - Nefro</v>
      </c>
      <c r="E13687" s="22" t="str">
        <f>HYPERLINK("https://otsuka-europe-crm.veevavault.com/ui/#object/sent_email__v/VBL00000002Z358", "SE-001438991")</f>
        <v>SE-001438991</v>
      </c>
      <c r="F13687" s="25"/>
      <c r="G13687" s="24">
        <v>0</v>
      </c>
      <c r="H13687" s="24">
        <v>0</v>
      </c>
      <c r="I13687" s="24">
        <v>0</v>
      </c>
      <c r="J13687" s="25"/>
      <c r="K13687" s="24">
        <v>0</v>
      </c>
      <c r="L13687" s="22" t="str">
        <f>HYPERLINK("https://otsuka-europe-crm.veevavault.com/ui/#object/approved_document__v/V5O00000001A037", "LUP - VAE Póster Adelphi - Nefro")</f>
        <v>LUP - VAE Póster Adelphi - Nefro</v>
      </c>
      <c r="M13687" s="22" t="str">
        <f>HYPERLINK("mailto:cmaroto@crm.otsuka-europe.com", "cmaroto@crm.otsuka-europe.com")</f>
        <v>cmaroto@crm.otsuka-europe.com</v>
      </c>
      <c r="N13687" s="23">
        <v>46203.655902777777</v>
      </c>
      <c r="O13687" s="14" t="str">
        <f>HYPERLINK("https://otsuka-europe-crm.veevavault.com/ui/#object/email_activity__v/V8C000000042672", "EN-002101022")</f>
        <v>EN-002101022</v>
      </c>
    </row>
    <row r="13688" spans="1:15" ht="16" x14ac:dyDescent="0.2">
      <c r="A13688" s="19"/>
      <c r="B13688" s="19"/>
      <c r="C13688" s="19"/>
      <c r="D13688" s="19"/>
      <c r="E13688" s="19"/>
      <c r="F13688" s="19"/>
      <c r="G13688" s="19"/>
      <c r="H13688" s="19"/>
      <c r="I13688" s="19"/>
      <c r="J13688" s="19"/>
      <c r="K13688" s="19"/>
      <c r="L13688" s="19"/>
      <c r="M13688" s="19"/>
      <c r="N13688" s="19"/>
      <c r="O13688" s="14" t="str">
        <f>HYPERLINK("https://otsuka-europe-crm.veevavault.com/ui/#object/email_activity__v/V8C000000042695", "EN-002101056")</f>
        <v>EN-002101056</v>
      </c>
    </row>
    <row r="13689" spans="1:15" ht="16" x14ac:dyDescent="0.2">
      <c r="A13689" s="17" t="str">
        <f>HYPERLINK("https://otsuka-europe-crm.veevavault.com/ui/#object/account__v/V4TZ06G6O71URT9", "BEATRIZ SUALDEA PEÑA")</f>
        <v>BEATRIZ SUALDEA PEÑA</v>
      </c>
      <c r="B13689" s="17" t="str">
        <f>HYPERLINK("https://otsuka-europe-crm.veevavault.com/ui/#object/vcountry__v/VENZ000004SONF5", "ES")</f>
        <v>ES</v>
      </c>
      <c r="C13689" s="20" t="s">
        <v>41</v>
      </c>
      <c r="D13689" s="21" t="str">
        <f>HYPERLINK("https://otsuka-europe-crm.veevavault.com/ui/#object/approved_document__v/V5O00000001A037", "LUP - VAE Póster Adelphi - Nefro")</f>
        <v>LUP - VAE Póster Adelphi - Nefro</v>
      </c>
      <c r="E13689" s="22" t="str">
        <f>HYPERLINK("https://otsuka-europe-crm.veevavault.com/ui/#object/sent_email__v/VBL00000002Z359", "SE-001438992")</f>
        <v>SE-001438992</v>
      </c>
      <c r="F13689" s="23">
        <v>46203.663437499999</v>
      </c>
      <c r="G13689" s="24">
        <v>1</v>
      </c>
      <c r="H13689" s="24">
        <v>2</v>
      </c>
      <c r="I13689" s="24">
        <v>0</v>
      </c>
      <c r="J13689" s="25"/>
      <c r="K13689" s="24">
        <v>0</v>
      </c>
      <c r="L13689" s="22" t="str">
        <f>HYPERLINK("https://otsuka-europe-crm.veevavault.com/ui/#object/approved_document__v/V5O00000001A037", "LUP - VAE Póster Adelphi - Nefro")</f>
        <v>LUP - VAE Póster Adelphi - Nefro</v>
      </c>
      <c r="M13689" s="22" t="str">
        <f>HYPERLINK("mailto:cmaroto@crm.otsuka-europe.com", "cmaroto@crm.otsuka-europe.com")</f>
        <v>cmaroto@crm.otsuka-europe.com</v>
      </c>
      <c r="N13689" s="23">
        <v>46203.655902777777</v>
      </c>
      <c r="O13689" s="14" t="str">
        <f>HYPERLINK("https://otsuka-europe-crm.veevavault.com/ui/#object/email_activity__v/V8C000000041678", "EN-002101042")</f>
        <v>EN-002101042</v>
      </c>
    </row>
    <row r="13690" spans="1:15" ht="16" x14ac:dyDescent="0.2">
      <c r="A13690" s="18"/>
      <c r="B13690" s="18"/>
      <c r="C13690" s="18"/>
      <c r="D13690" s="18"/>
      <c r="E13690" s="18"/>
      <c r="F13690" s="18"/>
      <c r="G13690" s="18"/>
      <c r="H13690" s="18"/>
      <c r="I13690" s="18"/>
      <c r="J13690" s="18"/>
      <c r="K13690" s="18"/>
      <c r="L13690" s="18"/>
      <c r="M13690" s="18"/>
      <c r="N13690" s="18"/>
      <c r="O13690" s="14" t="str">
        <f>HYPERLINK("https://otsuka-europe-crm.veevavault.com/ui/#object/email_activity__v/V8C000000042639", "EN-002100989")</f>
        <v>EN-002100989</v>
      </c>
    </row>
    <row r="13691" spans="1:15" ht="16" x14ac:dyDescent="0.2">
      <c r="A13691" s="19"/>
      <c r="B13691" s="19"/>
      <c r="C13691" s="19"/>
      <c r="D13691" s="19"/>
      <c r="E13691" s="19"/>
      <c r="F13691" s="19"/>
      <c r="G13691" s="19"/>
      <c r="H13691" s="19"/>
      <c r="I13691" s="19"/>
      <c r="J13691" s="19"/>
      <c r="K13691" s="19"/>
      <c r="L13691" s="19"/>
      <c r="M13691" s="19"/>
      <c r="N13691" s="19"/>
      <c r="O13691" s="14" t="str">
        <f>HYPERLINK("https://otsuka-europe-crm.veevavault.com/ui/#object/email_activity__v/V8C000000042684", "EN-002101034")</f>
        <v>EN-002101034</v>
      </c>
    </row>
    <row r="13692" spans="1:15" ht="16" x14ac:dyDescent="0.2">
      <c r="A13692" s="17" t="str">
        <f>HYPERLINK("https://otsuka-europe-crm.veevavault.com/ui/#object/account__v/V4T00000001G031", "MARIA LAURA BUCALO MANA")</f>
        <v>MARIA LAURA BUCALO MANA</v>
      </c>
      <c r="B13692" s="17" t="str">
        <f>HYPERLINK("https://otsuka-europe-crm.veevavault.com/ui/#object/vcountry__v/VENZ000004SONF5", "ES")</f>
        <v>ES</v>
      </c>
      <c r="C13692" s="20" t="s">
        <v>41</v>
      </c>
      <c r="D13692" s="21" t="str">
        <f>HYPERLINK("https://otsuka-europe-crm.veevavault.com/ui/#object/approved_document__v/V5O00000001A037", "LUP - VAE Póster Adelphi - Nefro")</f>
        <v>LUP - VAE Póster Adelphi - Nefro</v>
      </c>
      <c r="E13692" s="22" t="str">
        <f>HYPERLINK("https://otsuka-europe-crm.veevavault.com/ui/#object/sent_email__v/VBL00000002Z360", "SE-001438993")</f>
        <v>SE-001438993</v>
      </c>
      <c r="F13692" s="23">
        <v>46203.855567129627</v>
      </c>
      <c r="G13692" s="24">
        <v>1</v>
      </c>
      <c r="H13692" s="24">
        <v>2</v>
      </c>
      <c r="I13692" s="24">
        <v>0</v>
      </c>
      <c r="J13692" s="25"/>
      <c r="K13692" s="24">
        <v>0</v>
      </c>
      <c r="L13692" s="22" t="str">
        <f>HYPERLINK("https://otsuka-europe-crm.veevavault.com/ui/#object/approved_document__v/V5O00000001A037", "LUP - VAE Póster Adelphi - Nefro")</f>
        <v>LUP - VAE Póster Adelphi - Nefro</v>
      </c>
      <c r="M13692" s="22" t="str">
        <f>HYPERLINK("mailto:cmaroto@crm.otsuka-europe.com", "cmaroto@crm.otsuka-europe.com")</f>
        <v>cmaroto@crm.otsuka-europe.com</v>
      </c>
      <c r="N13692" s="23">
        <v>46203.655914351853</v>
      </c>
      <c r="O13692" s="14" t="str">
        <f>HYPERLINK("https://otsuka-europe-crm.veevavault.com/ui/#object/email_activity__v/V8C000000041699", "EN-002101082")</f>
        <v>EN-002101082</v>
      </c>
    </row>
    <row r="13693" spans="1:15" ht="16" x14ac:dyDescent="0.2">
      <c r="A13693" s="18"/>
      <c r="B13693" s="18"/>
      <c r="C13693" s="18"/>
      <c r="D13693" s="18"/>
      <c r="E13693" s="18"/>
      <c r="F13693" s="18"/>
      <c r="G13693" s="18"/>
      <c r="H13693" s="18"/>
      <c r="I13693" s="18"/>
      <c r="J13693" s="18"/>
      <c r="K13693" s="18"/>
      <c r="L13693" s="18"/>
      <c r="M13693" s="18"/>
      <c r="N13693" s="18"/>
      <c r="O13693" s="14" t="str">
        <f>HYPERLINK("https://otsuka-europe-crm.veevavault.com/ui/#object/email_activity__v/V8C000000041719", "EN-002101119")</f>
        <v>EN-002101119</v>
      </c>
    </row>
    <row r="13694" spans="1:15" ht="16" x14ac:dyDescent="0.2">
      <c r="A13694" s="19"/>
      <c r="B13694" s="19"/>
      <c r="C13694" s="19"/>
      <c r="D13694" s="19"/>
      <c r="E13694" s="19"/>
      <c r="F13694" s="19"/>
      <c r="G13694" s="19"/>
      <c r="H13694" s="19"/>
      <c r="I13694" s="19"/>
      <c r="J13694" s="19"/>
      <c r="K13694" s="19"/>
      <c r="L13694" s="19"/>
      <c r="M13694" s="19"/>
      <c r="N13694" s="19"/>
      <c r="O13694" s="14" t="str">
        <f>HYPERLINK("https://otsuka-europe-crm.veevavault.com/ui/#object/email_activity__v/V8C000000042632", "EN-002100982")</f>
        <v>EN-002100982</v>
      </c>
    </row>
    <row r="13695" spans="1:15" ht="16" x14ac:dyDescent="0.2">
      <c r="A13695" s="17" t="str">
        <f>HYPERLINK("https://otsuka-europe-crm.veevavault.com/ui/#object/account__v/V4TZ06G6O71T7D0", "IVAN GILBERTO ARENAS MONCALEANO")</f>
        <v>IVAN GILBERTO ARENAS MONCALEANO</v>
      </c>
      <c r="B13695" s="17" t="str">
        <f>HYPERLINK("https://otsuka-europe-crm.veevavault.com/ui/#object/vcountry__v/VENZ000004SONF5", "ES")</f>
        <v>ES</v>
      </c>
      <c r="C13695" s="20" t="s">
        <v>41</v>
      </c>
      <c r="D13695" s="21" t="str">
        <f>HYPERLINK("https://otsuka-europe-crm.veevavault.com/ui/#object/approved_document__v/V5O00000001A037", "LUP - VAE Póster Adelphi - Nefro")</f>
        <v>LUP - VAE Póster Adelphi - Nefro</v>
      </c>
      <c r="E13695" s="22" t="str">
        <f>HYPERLINK("https://otsuka-europe-crm.veevavault.com/ui/#object/sent_email__v/VBL00000002Z361", "SE-001438994")</f>
        <v>SE-001438994</v>
      </c>
      <c r="F13695" s="23">
        <v>46203.965324074074</v>
      </c>
      <c r="G13695" s="24">
        <v>1</v>
      </c>
      <c r="H13695" s="24">
        <v>1</v>
      </c>
      <c r="I13695" s="24">
        <v>0</v>
      </c>
      <c r="J13695" s="25"/>
      <c r="K13695" s="24">
        <v>0</v>
      </c>
      <c r="L13695" s="22" t="str">
        <f>HYPERLINK("https://otsuka-europe-crm.veevavault.com/ui/#object/approved_document__v/V5O00000001A037", "LUP - VAE Póster Adelphi - Nefro")</f>
        <v>LUP - VAE Póster Adelphi - Nefro</v>
      </c>
      <c r="M13695" s="22" t="str">
        <f>HYPERLINK("mailto:cmaroto@crm.otsuka-europe.com", "cmaroto@crm.otsuka-europe.com")</f>
        <v>cmaroto@crm.otsuka-europe.com</v>
      </c>
      <c r="N13695" s="23">
        <v>46203.655914351853</v>
      </c>
      <c r="O13695" s="14" t="str">
        <f>HYPERLINK("https://otsuka-europe-crm.veevavault.com/ui/#object/email_activity__v/V8C000000042635", "EN-002100985")</f>
        <v>EN-002100985</v>
      </c>
    </row>
    <row r="13696" spans="1:15" ht="16" x14ac:dyDescent="0.2">
      <c r="A13696" s="19"/>
      <c r="B13696" s="19"/>
      <c r="C13696" s="19"/>
      <c r="D13696" s="19"/>
      <c r="E13696" s="19"/>
      <c r="F13696" s="19"/>
      <c r="G13696" s="19"/>
      <c r="H13696" s="19"/>
      <c r="I13696" s="19"/>
      <c r="J13696" s="19"/>
      <c r="K13696" s="19"/>
      <c r="L13696" s="19"/>
      <c r="M13696" s="19"/>
      <c r="N13696" s="19"/>
      <c r="O13696" s="14" t="str">
        <f>HYPERLINK("https://otsuka-europe-crm.veevavault.com/ui/#object/email_activity__v/V8C000000042752", "EN-002101155")</f>
        <v>EN-002101155</v>
      </c>
    </row>
    <row r="13697" spans="1:15" ht="16" x14ac:dyDescent="0.2">
      <c r="A13697" s="17" t="str">
        <f>HYPERLINK("https://otsuka-europe-crm.veevavault.com/ui/#object/account__v/V4TZ06G6O71TA5J", "EDUARDO GUTIERREZ MARTINEZ")</f>
        <v>EDUARDO GUTIERREZ MARTINEZ</v>
      </c>
      <c r="B13697" s="17" t="str">
        <f>HYPERLINK("https://otsuka-europe-crm.veevavault.com/ui/#object/vcountry__v/VENZ000004SONF5", "ES")</f>
        <v>ES</v>
      </c>
      <c r="C13697" s="20" t="s">
        <v>41</v>
      </c>
      <c r="D13697" s="21" t="str">
        <f>HYPERLINK("https://otsuka-europe-crm.veevavault.com/ui/#object/approved_document__v/V5O00000001A037", "LUP - VAE Póster Adelphi - Nefro")</f>
        <v>LUP - VAE Póster Adelphi - Nefro</v>
      </c>
      <c r="E13697" s="22" t="str">
        <f>HYPERLINK("https://otsuka-europe-crm.veevavault.com/ui/#object/sent_email__v/VBL00000002Z362", "SE-001438995")</f>
        <v>SE-001438995</v>
      </c>
      <c r="F13697" s="25"/>
      <c r="G13697" s="24">
        <v>0</v>
      </c>
      <c r="H13697" s="24">
        <v>0</v>
      </c>
      <c r="I13697" s="24">
        <v>0</v>
      </c>
      <c r="J13697" s="25"/>
      <c r="K13697" s="24">
        <v>0</v>
      </c>
      <c r="L13697" s="22" t="str">
        <f>HYPERLINK("https://otsuka-europe-crm.veevavault.com/ui/#object/approved_document__v/V5O00000001A037", "LUP - VAE Póster Adelphi - Nefro")</f>
        <v>LUP - VAE Póster Adelphi - Nefro</v>
      </c>
      <c r="M13697" s="22" t="str">
        <f>HYPERLINK("mailto:cmaroto@crm.otsuka-europe.com", "cmaroto@crm.otsuka-europe.com")</f>
        <v>cmaroto@crm.otsuka-europe.com</v>
      </c>
      <c r="N13697" s="23">
        <v>46203.655914351853</v>
      </c>
      <c r="O13697" s="14" t="str">
        <f>HYPERLINK("https://otsuka-europe-crm.veevavault.com/ui/#object/email_activity__v/V8C000000042617", "EN-002100967")</f>
        <v>EN-002100967</v>
      </c>
    </row>
    <row r="13698" spans="1:15" ht="16" x14ac:dyDescent="0.2">
      <c r="A13698" s="19"/>
      <c r="B13698" s="19"/>
      <c r="C13698" s="19"/>
      <c r="D13698" s="19"/>
      <c r="E13698" s="19"/>
      <c r="F13698" s="19"/>
      <c r="G13698" s="19"/>
      <c r="H13698" s="19"/>
      <c r="I13698" s="19"/>
      <c r="J13698" s="19"/>
      <c r="K13698" s="19"/>
      <c r="L13698" s="19"/>
      <c r="M13698" s="19"/>
      <c r="N13698" s="19"/>
      <c r="O13698" s="14" t="str">
        <f>HYPERLINK("https://otsuka-europe-crm.veevavault.com/ui/#object/email_activity__v/V8C000000042686", "EN-002101036")</f>
        <v>EN-002101036</v>
      </c>
    </row>
    <row r="13699" spans="1:15" ht="16" x14ac:dyDescent="0.2">
      <c r="A13699" s="17" t="str">
        <f>HYPERLINK("https://otsuka-europe-crm.veevavault.com/ui/#object/account__v/V4TZ06G6O71T97L", "SARA ANAYA FERNANDEZ")</f>
        <v>SARA ANAYA FERNANDEZ</v>
      </c>
      <c r="B13699" s="17" t="str">
        <f>HYPERLINK("https://otsuka-europe-crm.veevavault.com/ui/#object/vcountry__v/VENZ000004SONF5", "ES")</f>
        <v>ES</v>
      </c>
      <c r="C13699" s="20" t="s">
        <v>41</v>
      </c>
      <c r="D13699" s="21" t="str">
        <f>HYPERLINK("https://otsuka-europe-crm.veevavault.com/ui/#object/approved_document__v/V5O00000001A037", "LUP - VAE Póster Adelphi - Nefro")</f>
        <v>LUP - VAE Póster Adelphi - Nefro</v>
      </c>
      <c r="E13699" s="22" t="str">
        <f>HYPERLINK("https://otsuka-europe-crm.veevavault.com/ui/#object/sent_email__v/VBL00000002Z363", "SE-001438996")</f>
        <v>SE-001438996</v>
      </c>
      <c r="F13699" s="23">
        <v>46203.752534722225</v>
      </c>
      <c r="G13699" s="24">
        <v>1</v>
      </c>
      <c r="H13699" s="24">
        <v>1</v>
      </c>
      <c r="I13699" s="24">
        <v>0</v>
      </c>
      <c r="J13699" s="25"/>
      <c r="K13699" s="24">
        <v>0</v>
      </c>
      <c r="L13699" s="22" t="str">
        <f>HYPERLINK("https://otsuka-europe-crm.veevavault.com/ui/#object/approved_document__v/V5O00000001A037", "LUP - VAE Póster Adelphi - Nefro")</f>
        <v>LUP - VAE Póster Adelphi - Nefro</v>
      </c>
      <c r="M13699" s="22" t="str">
        <f>HYPERLINK("mailto:cmaroto@crm.otsuka-europe.com", "cmaroto@crm.otsuka-europe.com")</f>
        <v>cmaroto@crm.otsuka-europe.com</v>
      </c>
      <c r="N13699" s="23">
        <v>46203.655914351853</v>
      </c>
      <c r="O13699" s="14" t="str">
        <f>HYPERLINK("https://otsuka-europe-crm.veevavault.com/ui/#object/email_activity__v/V8C000000041703", "EN-002101087")</f>
        <v>EN-002101087</v>
      </c>
    </row>
    <row r="13700" spans="1:15" ht="16" x14ac:dyDescent="0.2">
      <c r="A13700" s="19"/>
      <c r="B13700" s="19"/>
      <c r="C13700" s="19"/>
      <c r="D13700" s="19"/>
      <c r="E13700" s="19"/>
      <c r="F13700" s="19"/>
      <c r="G13700" s="19"/>
      <c r="H13700" s="19"/>
      <c r="I13700" s="19"/>
      <c r="J13700" s="19"/>
      <c r="K13700" s="19"/>
      <c r="L13700" s="19"/>
      <c r="M13700" s="19"/>
      <c r="N13700" s="19"/>
      <c r="O13700" s="14" t="str">
        <f>HYPERLINK("https://otsuka-europe-crm.veevavault.com/ui/#object/email_activity__v/V8C000000042640", "EN-002100990")</f>
        <v>EN-002100990</v>
      </c>
    </row>
    <row r="13701" spans="1:15" ht="32" x14ac:dyDescent="0.2">
      <c r="A13701" s="7" t="str">
        <f>HYPERLINK("https://otsuka-europe-crm.veevavault.com/ui/#object/account__v/V4TZ06G6O71TBUD", "DABAIBA REGIDOR RODRIGUEZ")</f>
        <v>DABAIBA REGIDOR RODRIGUEZ</v>
      </c>
      <c r="B13701" s="7" t="str">
        <f>HYPERLINK("https://otsuka-europe-crm.veevavault.com/ui/#object/vcountry__v/VENZ000004SONF5", "ES")</f>
        <v>ES</v>
      </c>
      <c r="C13701" s="8" t="s">
        <v>41</v>
      </c>
      <c r="D13701" s="9" t="str">
        <f>HYPERLINK("https://otsuka-europe-crm.veevavault.com/ui/#object/approved_document__v/V5O00000001A037", "LUP - VAE Póster Adelphi - Nefro")</f>
        <v>LUP - VAE Póster Adelphi - Nefro</v>
      </c>
      <c r="E13701" s="10" t="str">
        <f>HYPERLINK("https://otsuka-europe-crm.veevavault.com/ui/#object/sent_email__v/VBL00000002Z364", "SE-001438997")</f>
        <v>SE-001438997</v>
      </c>
      <c r="F13701" s="11"/>
      <c r="G13701" s="12">
        <v>0</v>
      </c>
      <c r="H13701" s="12">
        <v>0</v>
      </c>
      <c r="I13701" s="12">
        <v>0</v>
      </c>
      <c r="J13701" s="11"/>
      <c r="K13701" s="12">
        <v>0</v>
      </c>
      <c r="L13701" s="10" t="str">
        <f>HYPERLINK("https://otsuka-europe-crm.veevavault.com/ui/#object/approved_document__v/V5O00000001A037", "LUP - VAE Póster Adelphi - Nefro")</f>
        <v>LUP - VAE Póster Adelphi - Nefro</v>
      </c>
      <c r="M13701" s="10" t="str">
        <f>HYPERLINK("mailto:cmaroto@crm.otsuka-europe.com", "cmaroto@crm.otsuka-europe.com")</f>
        <v>cmaroto@crm.otsuka-europe.com</v>
      </c>
      <c r="N13701" s="13">
        <v>46203.655914351853</v>
      </c>
      <c r="O13701" s="14" t="str">
        <f>HYPERLINK("https://otsuka-europe-crm.veevavault.com/ui/#object/email_activity__v/V8C000000042618", "EN-002100968")</f>
        <v>EN-002100968</v>
      </c>
    </row>
    <row r="13702" spans="1:15" ht="16" x14ac:dyDescent="0.2">
      <c r="A13702" s="17" t="str">
        <f>HYPERLINK("https://otsuka-europe-crm.veevavault.com/ui/#object/account__v/V4TZ06G6O71TCAB", "SERAFIN TALLON LOBO")</f>
        <v>SERAFIN TALLON LOBO</v>
      </c>
      <c r="B13702" s="17" t="str">
        <f>HYPERLINK("https://otsuka-europe-crm.veevavault.com/ui/#object/vcountry__v/VENZ000004SONF5", "ES")</f>
        <v>ES</v>
      </c>
      <c r="C13702" s="20" t="s">
        <v>41</v>
      </c>
      <c r="D13702" s="21" t="str">
        <f>HYPERLINK("https://otsuka-europe-crm.veevavault.com/ui/#object/approved_document__v/V5O00000001A037", "LUP - VAE Póster Adelphi - Nefro")</f>
        <v>LUP - VAE Póster Adelphi - Nefro</v>
      </c>
      <c r="E13702" s="22" t="str">
        <f>HYPERLINK("https://otsuka-europe-crm.veevavault.com/ui/#object/sent_email__v/VBL00000002Z365", "SE-001438998")</f>
        <v>SE-001438998</v>
      </c>
      <c r="F13702" s="23">
        <v>46203.656134259261</v>
      </c>
      <c r="G13702" s="24">
        <v>1</v>
      </c>
      <c r="H13702" s="24">
        <v>1</v>
      </c>
      <c r="I13702" s="24">
        <v>0</v>
      </c>
      <c r="J13702" s="25"/>
      <c r="K13702" s="24">
        <v>0</v>
      </c>
      <c r="L13702" s="22" t="str">
        <f>HYPERLINK("https://otsuka-europe-crm.veevavault.com/ui/#object/approved_document__v/V5O00000001A037", "LUP - VAE Póster Adelphi - Nefro")</f>
        <v>LUP - VAE Póster Adelphi - Nefro</v>
      </c>
      <c r="M13702" s="22" t="str">
        <f>HYPERLINK("mailto:cmaroto@crm.otsuka-europe.com", "cmaroto@crm.otsuka-europe.com")</f>
        <v>cmaroto@crm.otsuka-europe.com</v>
      </c>
      <c r="N13702" s="23">
        <v>46203.655914351853</v>
      </c>
      <c r="O13702" s="14" t="str">
        <f>HYPERLINK("https://otsuka-europe-crm.veevavault.com/ui/#object/email_activity__v/V8C000000042613", "EN-002100963")</f>
        <v>EN-002100963</v>
      </c>
    </row>
    <row r="13703" spans="1:15" ht="16" x14ac:dyDescent="0.2">
      <c r="A13703" s="19"/>
      <c r="B13703" s="19"/>
      <c r="C13703" s="19"/>
      <c r="D13703" s="19"/>
      <c r="E13703" s="19"/>
      <c r="F13703" s="19"/>
      <c r="G13703" s="19"/>
      <c r="H13703" s="19"/>
      <c r="I13703" s="19"/>
      <c r="J13703" s="19"/>
      <c r="K13703" s="19"/>
      <c r="L13703" s="19"/>
      <c r="M13703" s="19"/>
      <c r="N13703" s="19"/>
      <c r="O13703" s="14" t="str">
        <f>HYPERLINK("https://otsuka-europe-crm.veevavault.com/ui/#object/email_activity__v/V8C000000042644", "EN-002100994")</f>
        <v>EN-002100994</v>
      </c>
    </row>
    <row r="13704" spans="1:15" ht="16" x14ac:dyDescent="0.2">
      <c r="A13704" s="17" t="str">
        <f>HYPERLINK("https://otsuka-europe-crm.veevavault.com/ui/#object/account__v/V4TZ06G6O71T7H6", "JOSE CARLOS DE LA FLOR MERINO")</f>
        <v>JOSE CARLOS DE LA FLOR MERINO</v>
      </c>
      <c r="B13704" s="17" t="str">
        <f>HYPERLINK("https://otsuka-europe-crm.veevavault.com/ui/#object/vcountry__v/VENZ000004SONF5", "ES")</f>
        <v>ES</v>
      </c>
      <c r="C13704" s="20" t="s">
        <v>41</v>
      </c>
      <c r="D13704" s="21" t="str">
        <f>HYPERLINK("https://otsuka-europe-crm.veevavault.com/ui/#object/approved_document__v/V5O00000001A037", "LUP - VAE Póster Adelphi - Nefro")</f>
        <v>LUP - VAE Póster Adelphi - Nefro</v>
      </c>
      <c r="E13704" s="22" t="str">
        <f>HYPERLINK("https://otsuka-europe-crm.veevavault.com/ui/#object/sent_email__v/VBL00000002Z366", "SE-001438999")</f>
        <v>SE-001438999</v>
      </c>
      <c r="F13704" s="25"/>
      <c r="G13704" s="24">
        <v>0</v>
      </c>
      <c r="H13704" s="24">
        <v>0</v>
      </c>
      <c r="I13704" s="24">
        <v>0</v>
      </c>
      <c r="J13704" s="25"/>
      <c r="K13704" s="24">
        <v>0</v>
      </c>
      <c r="L13704" s="22" t="str">
        <f>HYPERLINK("https://otsuka-europe-crm.veevavault.com/ui/#object/approved_document__v/V5O00000001A037", "LUP - VAE Póster Adelphi - Nefro")</f>
        <v>LUP - VAE Póster Adelphi - Nefro</v>
      </c>
      <c r="M13704" s="22" t="str">
        <f>HYPERLINK("mailto:cmaroto@crm.otsuka-europe.com", "cmaroto@crm.otsuka-europe.com")</f>
        <v>cmaroto@crm.otsuka-europe.com</v>
      </c>
      <c r="N13704" s="23">
        <v>46203.655925925923</v>
      </c>
      <c r="O13704" s="14" t="str">
        <f>HYPERLINK("https://otsuka-europe-crm.veevavault.com/ui/#object/email_activity__v/V8C000000042622", "EN-002100972")</f>
        <v>EN-002100972</v>
      </c>
    </row>
    <row r="13705" spans="1:15" ht="16" x14ac:dyDescent="0.2">
      <c r="A13705" s="19"/>
      <c r="B13705" s="19"/>
      <c r="C13705" s="19"/>
      <c r="D13705" s="19"/>
      <c r="E13705" s="19"/>
      <c r="F13705" s="19"/>
      <c r="G13705" s="19"/>
      <c r="H13705" s="19"/>
      <c r="I13705" s="19"/>
      <c r="J13705" s="19"/>
      <c r="K13705" s="19"/>
      <c r="L13705" s="19"/>
      <c r="M13705" s="19"/>
      <c r="N13705" s="19"/>
      <c r="O13705" s="14" t="str">
        <f>HYPERLINK("https://otsuka-europe-crm.veevavault.com/ui/#object/email_activity__v/V8C000000042676", "EN-002101026")</f>
        <v>EN-002101026</v>
      </c>
    </row>
    <row r="13706" spans="1:15" ht="16" x14ac:dyDescent="0.2">
      <c r="A13706" s="17" t="str">
        <f>HYPERLINK("https://otsuka-europe-crm.veevavault.com/ui/#object/account__v/V4TZ06G6O71TASC", "MARIA ESPERANZA LOPEZ RUBIO")</f>
        <v>MARIA ESPERANZA LOPEZ RUBIO</v>
      </c>
      <c r="B13706" s="17" t="str">
        <f>HYPERLINK("https://otsuka-europe-crm.veevavault.com/ui/#object/vcountry__v/VENZ000004SONF5", "ES")</f>
        <v>ES</v>
      </c>
      <c r="C13706" s="20" t="s">
        <v>41</v>
      </c>
      <c r="D13706" s="21" t="str">
        <f>HYPERLINK("https://otsuka-europe-crm.veevavault.com/ui/#object/approved_document__v/V5O00000001A037", "LUP - VAE Póster Adelphi - Nefro")</f>
        <v>LUP - VAE Póster Adelphi - Nefro</v>
      </c>
      <c r="E13706" s="22" t="str">
        <f>HYPERLINK("https://otsuka-europe-crm.veevavault.com/ui/#object/sent_email__v/VBL00000002Z367", "SE-001439000")</f>
        <v>SE-001439000</v>
      </c>
      <c r="F13706" s="23">
        <v>46203.768738425926</v>
      </c>
      <c r="G13706" s="24">
        <v>1</v>
      </c>
      <c r="H13706" s="24">
        <v>1</v>
      </c>
      <c r="I13706" s="24">
        <v>1</v>
      </c>
      <c r="J13706" s="23">
        <v>46203.768738425926</v>
      </c>
      <c r="K13706" s="24">
        <v>1</v>
      </c>
      <c r="L13706" s="22" t="str">
        <f>HYPERLINK("https://otsuka-europe-crm.veevavault.com/ui/#object/approved_document__v/V5O00000001A037", "LUP - VAE Póster Adelphi - Nefro")</f>
        <v>LUP - VAE Póster Adelphi - Nefro</v>
      </c>
      <c r="M13706" s="22" t="str">
        <f>HYPERLINK("mailto:cmaroto@crm.otsuka-europe.com", "cmaroto@crm.otsuka-europe.com")</f>
        <v>cmaroto@crm.otsuka-europe.com</v>
      </c>
      <c r="N13706" s="23">
        <v>46203.655914351853</v>
      </c>
      <c r="O13706" s="14" t="str">
        <f>HYPERLINK("https://otsuka-europe-crm.veevavault.com/ui/#object/email_activity__v/V8C000000041711", "EN-002101105")</f>
        <v>EN-002101105</v>
      </c>
    </row>
    <row r="13707" spans="1:15" ht="16" x14ac:dyDescent="0.2">
      <c r="A13707" s="18"/>
      <c r="B13707" s="18"/>
      <c r="C13707" s="18"/>
      <c r="D13707" s="18"/>
      <c r="E13707" s="18"/>
      <c r="F13707" s="18"/>
      <c r="G13707" s="18"/>
      <c r="H13707" s="18"/>
      <c r="I13707" s="18"/>
      <c r="J13707" s="18"/>
      <c r="K13707" s="18"/>
      <c r="L13707" s="18"/>
      <c r="M13707" s="18"/>
      <c r="N13707" s="18"/>
      <c r="O13707" s="14" t="str">
        <f>HYPERLINK("https://otsuka-europe-crm.veevavault.com/ui/#object/email_activity__v/V8C000000041712", "EN-002101106")</f>
        <v>EN-002101106</v>
      </c>
    </row>
    <row r="13708" spans="1:15" ht="16" x14ac:dyDescent="0.2">
      <c r="A13708" s="18"/>
      <c r="B13708" s="18"/>
      <c r="C13708" s="18"/>
      <c r="D13708" s="18"/>
      <c r="E13708" s="18"/>
      <c r="F13708" s="18"/>
      <c r="G13708" s="18"/>
      <c r="H13708" s="18"/>
      <c r="I13708" s="18"/>
      <c r="J13708" s="18"/>
      <c r="K13708" s="18"/>
      <c r="L13708" s="18"/>
      <c r="M13708" s="18"/>
      <c r="N13708" s="18"/>
      <c r="O13708" s="14" t="str">
        <f>HYPERLINK("https://otsuka-europe-crm.veevavault.com/ui/#object/email_activity__v/V8C000000041713", "EN-002101107")</f>
        <v>EN-002101107</v>
      </c>
    </row>
    <row r="13709" spans="1:15" ht="16" x14ac:dyDescent="0.2">
      <c r="A13709" s="18"/>
      <c r="B13709" s="18"/>
      <c r="C13709" s="18"/>
      <c r="D13709" s="18"/>
      <c r="E13709" s="18"/>
      <c r="F13709" s="18"/>
      <c r="G13709" s="18"/>
      <c r="H13709" s="18"/>
      <c r="I13709" s="18"/>
      <c r="J13709" s="18"/>
      <c r="K13709" s="18"/>
      <c r="L13709" s="18"/>
      <c r="M13709" s="18"/>
      <c r="N13709" s="18"/>
      <c r="O13709" s="14" t="str">
        <f>HYPERLINK("https://otsuka-europe-crm.veevavault.com/ui/#object/email_activity__v/V8C000000042638", "EN-002100988")</f>
        <v>EN-002100988</v>
      </c>
    </row>
    <row r="13710" spans="1:15" ht="16" x14ac:dyDescent="0.2">
      <c r="A13710" s="18"/>
      <c r="B13710" s="18"/>
      <c r="C13710" s="18"/>
      <c r="D13710" s="18"/>
      <c r="E13710" s="18"/>
      <c r="F13710" s="18"/>
      <c r="G13710" s="18"/>
      <c r="H13710" s="18"/>
      <c r="I13710" s="18"/>
      <c r="J13710" s="18"/>
      <c r="K13710" s="18"/>
      <c r="L13710" s="18"/>
      <c r="M13710" s="18"/>
      <c r="N13710" s="18"/>
      <c r="O13710" s="14" t="str">
        <f>HYPERLINK("https://otsuka-europe-crm.veevavault.com/ui/#object/email_activity__v/V8C000000042717", "EN-002101096")</f>
        <v>EN-002101096</v>
      </c>
    </row>
    <row r="13711" spans="1:15" ht="16" x14ac:dyDescent="0.2">
      <c r="A13711" s="19"/>
      <c r="B13711" s="19"/>
      <c r="C13711" s="19"/>
      <c r="D13711" s="19"/>
      <c r="E13711" s="19"/>
      <c r="F13711" s="19"/>
      <c r="G13711" s="19"/>
      <c r="H13711" s="19"/>
      <c r="I13711" s="19"/>
      <c r="J13711" s="19"/>
      <c r="K13711" s="19"/>
      <c r="L13711" s="19"/>
      <c r="M13711" s="19"/>
      <c r="N13711" s="19"/>
      <c r="O13711" s="14" t="str">
        <f>HYPERLINK("https://otsuka-europe-crm.veevavault.com/ui/#object/email_activity__v/V8C000000042718", "EN-002101095")</f>
        <v>EN-002101095</v>
      </c>
    </row>
    <row r="13712" spans="1:15" ht="16" x14ac:dyDescent="0.2">
      <c r="A13712" s="17" t="str">
        <f>HYPERLINK("https://otsuka-europe-crm.veevavault.com/ui/#object/account__v/V4TZ06G6O71T7R1", "CRISTINA HERRAIZ CORREDOR")</f>
        <v>CRISTINA HERRAIZ CORREDOR</v>
      </c>
      <c r="B13712" s="17" t="str">
        <f>HYPERLINK("https://otsuka-europe-crm.veevavault.com/ui/#object/vcountry__v/VENZ000004SONF5", "ES")</f>
        <v>ES</v>
      </c>
      <c r="C13712" s="20" t="s">
        <v>41</v>
      </c>
      <c r="D13712" s="21" t="str">
        <f>HYPERLINK("https://otsuka-europe-crm.veevavault.com/ui/#object/approved_document__v/V5O00000001A037", "LUP - VAE Póster Adelphi - Nefro")</f>
        <v>LUP - VAE Póster Adelphi - Nefro</v>
      </c>
      <c r="E13712" s="22" t="str">
        <f>HYPERLINK("https://otsuka-europe-crm.veevavault.com/ui/#object/sent_email__v/VBL00000002Z368", "SE-001439001")</f>
        <v>SE-001439001</v>
      </c>
      <c r="F13712" s="25"/>
      <c r="G13712" s="24">
        <v>0</v>
      </c>
      <c r="H13712" s="24">
        <v>0</v>
      </c>
      <c r="I13712" s="24">
        <v>0</v>
      </c>
      <c r="J13712" s="25"/>
      <c r="K13712" s="24">
        <v>0</v>
      </c>
      <c r="L13712" s="22" t="str">
        <f>HYPERLINK("https://otsuka-europe-crm.veevavault.com/ui/#object/approved_document__v/V5O00000001A037", "LUP - VAE Póster Adelphi - Nefro")</f>
        <v>LUP - VAE Póster Adelphi - Nefro</v>
      </c>
      <c r="M13712" s="22" t="str">
        <f>HYPERLINK("mailto:cmaroto@crm.otsuka-europe.com", "cmaroto@crm.otsuka-europe.com")</f>
        <v>cmaroto@crm.otsuka-europe.com</v>
      </c>
      <c r="N13712" s="23">
        <v>46203.6559375</v>
      </c>
      <c r="O13712" s="14" t="str">
        <f>HYPERLINK("https://otsuka-europe-crm.veevavault.com/ui/#object/email_activity__v/V8C000000041758", "EN-002101191")</f>
        <v>EN-002101191</v>
      </c>
    </row>
    <row r="13713" spans="1:15" ht="16" x14ac:dyDescent="0.2">
      <c r="A13713" s="19"/>
      <c r="B13713" s="19"/>
      <c r="C13713" s="19"/>
      <c r="D13713" s="19"/>
      <c r="E13713" s="19"/>
      <c r="F13713" s="19"/>
      <c r="G13713" s="19"/>
      <c r="H13713" s="19"/>
      <c r="I13713" s="19"/>
      <c r="J13713" s="19"/>
      <c r="K13713" s="19"/>
      <c r="L13713" s="19"/>
      <c r="M13713" s="19"/>
      <c r="N13713" s="19"/>
      <c r="O13713" s="14" t="str">
        <f>HYPERLINK("https://otsuka-europe-crm.veevavault.com/ui/#object/email_activity__v/V8C000000042624", "EN-002100974")</f>
        <v>EN-002100974</v>
      </c>
    </row>
    <row r="13714" spans="1:15" ht="32" x14ac:dyDescent="0.2">
      <c r="A13714" s="7" t="str">
        <f>HYPERLINK("https://otsuka-europe-crm.veevavault.com/ui/#object/account__v/V4TZ06G6O71TBEJ", "ALBERTO ORTIZ ARDUAN")</f>
        <v>ALBERTO ORTIZ ARDUAN</v>
      </c>
      <c r="B13714" s="7" t="str">
        <f>HYPERLINK("https://otsuka-europe-crm.veevavault.com/ui/#object/vcountry__v/VENZ000004SONF5", "ES")</f>
        <v>ES</v>
      </c>
      <c r="C13714" s="8" t="s">
        <v>41</v>
      </c>
      <c r="D13714" s="9" t="str">
        <f>HYPERLINK("https://otsuka-europe-crm.veevavault.com/ui/#object/approved_document__v/V5O00000001A037", "LUP - VAE Póster Adelphi - Nefro")</f>
        <v>LUP - VAE Póster Adelphi - Nefro</v>
      </c>
      <c r="E13714" s="10" t="str">
        <f>HYPERLINK("https://otsuka-europe-crm.veevavault.com/ui/#object/sent_email__v/VBL00000002Z369", "SE-001439002")</f>
        <v>SE-001439002</v>
      </c>
      <c r="F13714" s="11"/>
      <c r="G13714" s="12">
        <v>0</v>
      </c>
      <c r="H13714" s="12">
        <v>0</v>
      </c>
      <c r="I13714" s="12">
        <v>0</v>
      </c>
      <c r="J13714" s="11"/>
      <c r="K13714" s="12">
        <v>0</v>
      </c>
      <c r="L13714" s="10" t="str">
        <f>HYPERLINK("https://otsuka-europe-crm.veevavault.com/ui/#object/approved_document__v/V5O00000001A037", "LUP - VAE Póster Adelphi - Nefro")</f>
        <v>LUP - VAE Póster Adelphi - Nefro</v>
      </c>
      <c r="M13714" s="10" t="str">
        <f>HYPERLINK("mailto:cmaroto@crm.otsuka-europe.com", "cmaroto@crm.otsuka-europe.com")</f>
        <v>cmaroto@crm.otsuka-europe.com</v>
      </c>
      <c r="N13714" s="13">
        <v>46203.6559375</v>
      </c>
      <c r="O13714" s="14" t="str">
        <f>HYPERLINK("https://otsuka-europe-crm.veevavault.com/ui/#object/email_activity__v/V8C000000042627", "EN-002100977")</f>
        <v>EN-002100977</v>
      </c>
    </row>
    <row r="13715" spans="1:15" ht="32" x14ac:dyDescent="0.2">
      <c r="A13715" s="7" t="str">
        <f>HYPERLINK("https://otsuka-europe-crm.veevavault.com/ui/#object/account__v/V4TZ025E82XIINC", "EVA REVUELTA EVRARD")</f>
        <v>EVA REVUELTA EVRARD</v>
      </c>
      <c r="B13715" s="7" t="str">
        <f>HYPERLINK("https://otsuka-europe-crm.veevavault.com/ui/#object/vcountry__v/VENZ000004SONF5", "ES")</f>
        <v>ES</v>
      </c>
      <c r="C13715" s="8" t="s">
        <v>41</v>
      </c>
      <c r="D13715" s="9" t="str">
        <f>HYPERLINK("https://otsuka-europe-crm.veevavault.com/ui/#object/approved_document__v/V5O00000001B037", "LUP - VAE Póster Adelphi - Reuma")</f>
        <v>LUP - VAE Póster Adelphi - Reuma</v>
      </c>
      <c r="E13715" s="10" t="str">
        <f>HYPERLINK("https://otsuka-europe-crm.veevavault.com/ui/#object/sent_email__v/VBL00000002Y281", "SE-001439003")</f>
        <v>SE-001439003</v>
      </c>
      <c r="F13715" s="11"/>
      <c r="G13715" s="12">
        <v>0</v>
      </c>
      <c r="H13715" s="12">
        <v>0</v>
      </c>
      <c r="I13715" s="12">
        <v>0</v>
      </c>
      <c r="J13715" s="11"/>
      <c r="K13715" s="12">
        <v>0</v>
      </c>
      <c r="L13715" s="10" t="str">
        <f>HYPERLINK("https://otsuka-europe-crm.veevavault.com/ui/#object/approved_document__v/V5O00000001B037", "LUP - VAE Póster Adelphi - Reuma")</f>
        <v>LUP - VAE Póster Adelphi - Reuma</v>
      </c>
      <c r="M13715" s="10" t="str">
        <f>HYPERLINK("mailto:cmaroto@crm.otsuka-europe.com", "cmaroto@crm.otsuka-europe.com")</f>
        <v>cmaroto@crm.otsuka-europe.com</v>
      </c>
      <c r="N13715" s="13">
        <v>46203.656273148146</v>
      </c>
      <c r="O13715" s="14" t="str">
        <f>HYPERLINK("https://otsuka-europe-crm.veevavault.com/ui/#object/email_activity__v/V8C000000042660", "EN-002101010")</f>
        <v>EN-002101010</v>
      </c>
    </row>
    <row r="13716" spans="1:15" ht="16" x14ac:dyDescent="0.2">
      <c r="A13716" s="17" t="str">
        <f>HYPERLINK("https://otsuka-europe-crm.veevavault.com/ui/#object/account__v/V4TZ04ASG8QA81M", "MARIA JESUS GARCIA VILLANUEVA")</f>
        <v>MARIA JESUS GARCIA VILLANUEVA</v>
      </c>
      <c r="B13716" s="17" t="str">
        <f>HYPERLINK("https://otsuka-europe-crm.veevavault.com/ui/#object/vcountry__v/VENZ000004SONF5", "ES")</f>
        <v>ES</v>
      </c>
      <c r="C13716" s="20" t="s">
        <v>41</v>
      </c>
      <c r="D13716" s="21" t="str">
        <f>HYPERLINK("https://otsuka-europe-crm.veevavault.com/ui/#object/approved_document__v/V5O00000001B037", "LUP - VAE Póster Adelphi - Reuma")</f>
        <v>LUP - VAE Póster Adelphi - Reuma</v>
      </c>
      <c r="E13716" s="22" t="str">
        <f>HYPERLINK("https://otsuka-europe-crm.veevavault.com/ui/#object/sent_email__v/VBL00000002Y282", "SE-001439004")</f>
        <v>SE-001439004</v>
      </c>
      <c r="F13716" s="25"/>
      <c r="G13716" s="24">
        <v>0</v>
      </c>
      <c r="H13716" s="24">
        <v>0</v>
      </c>
      <c r="I13716" s="24">
        <v>0</v>
      </c>
      <c r="J13716" s="25"/>
      <c r="K13716" s="24">
        <v>0</v>
      </c>
      <c r="L13716" s="22" t="str">
        <f>HYPERLINK("https://otsuka-europe-crm.veevavault.com/ui/#object/approved_document__v/V5O00000001B037", "LUP - VAE Póster Adelphi - Reuma")</f>
        <v>LUP - VAE Póster Adelphi - Reuma</v>
      </c>
      <c r="M13716" s="22" t="str">
        <f>HYPERLINK("mailto:cmaroto@crm.otsuka-europe.com", "cmaroto@crm.otsuka-europe.com")</f>
        <v>cmaroto@crm.otsuka-europe.com</v>
      </c>
      <c r="N13716" s="23">
        <v>46203.656273148146</v>
      </c>
      <c r="O13716" s="14" t="str">
        <f>HYPERLINK("https://otsuka-europe-crm.veevavault.com/ui/#object/email_activity__v/V8C000000042647", "EN-002100997")</f>
        <v>EN-002100997</v>
      </c>
    </row>
    <row r="13717" spans="1:15" ht="16" x14ac:dyDescent="0.2">
      <c r="A13717" s="19"/>
      <c r="B13717" s="19"/>
      <c r="C13717" s="19"/>
      <c r="D13717" s="19"/>
      <c r="E13717" s="19"/>
      <c r="F13717" s="19"/>
      <c r="G13717" s="19"/>
      <c r="H13717" s="19"/>
      <c r="I13717" s="19"/>
      <c r="J13717" s="19"/>
      <c r="K13717" s="19"/>
      <c r="L13717" s="19"/>
      <c r="M13717" s="19"/>
      <c r="N13717" s="19"/>
      <c r="O13717" s="14" t="str">
        <f>HYPERLINK("https://otsuka-europe-crm.veevavault.com/ui/#object/email_activity__v/V8C000000042760", "EN-002101164")</f>
        <v>EN-002101164</v>
      </c>
    </row>
    <row r="13718" spans="1:15" ht="16" x14ac:dyDescent="0.2">
      <c r="A13718" s="17" t="str">
        <f>HYPERLINK("https://otsuka-europe-crm.veevavault.com/ui/#object/account__v/V4TZ025E85RTM8I", "MARIA ANGELES BLAZQUEZ CAÑAMERO")</f>
        <v>MARIA ANGELES BLAZQUEZ CAÑAMERO</v>
      </c>
      <c r="B13718" s="17" t="str">
        <f>HYPERLINK("https://otsuka-europe-crm.veevavault.com/ui/#object/vcountry__v/VENZ000004SONF5", "ES")</f>
        <v>ES</v>
      </c>
      <c r="C13718" s="20" t="s">
        <v>41</v>
      </c>
      <c r="D13718" s="21" t="str">
        <f>HYPERLINK("https://otsuka-europe-crm.veevavault.com/ui/#object/approved_document__v/V5O00000001B037", "LUP - VAE Póster Adelphi - Reuma")</f>
        <v>LUP - VAE Póster Adelphi - Reuma</v>
      </c>
      <c r="E13718" s="22" t="str">
        <f>HYPERLINK("https://otsuka-europe-crm.veevavault.com/ui/#object/sent_email__v/VBL00000002Y283", "SE-001439005")</f>
        <v>SE-001439005</v>
      </c>
      <c r="F13718" s="23">
        <v>46203.677662037036</v>
      </c>
      <c r="G13718" s="24">
        <v>1</v>
      </c>
      <c r="H13718" s="24">
        <v>1</v>
      </c>
      <c r="I13718" s="24">
        <v>1</v>
      </c>
      <c r="J13718" s="23">
        <v>46203.677893518521</v>
      </c>
      <c r="K13718" s="24">
        <v>1</v>
      </c>
      <c r="L13718" s="22" t="str">
        <f>HYPERLINK("https://otsuka-europe-crm.veevavault.com/ui/#object/approved_document__v/V5O00000001B037", "LUP - VAE Póster Adelphi - Reuma")</f>
        <v>LUP - VAE Póster Adelphi - Reuma</v>
      </c>
      <c r="M13718" s="22" t="str">
        <f>HYPERLINK("mailto:cmaroto@crm.otsuka-europe.com", "cmaroto@crm.otsuka-europe.com")</f>
        <v>cmaroto@crm.otsuka-europe.com</v>
      </c>
      <c r="N13718" s="23">
        <v>46203.656273148146</v>
      </c>
      <c r="O13718" s="14" t="str">
        <f>HYPERLINK("https://otsuka-europe-crm.veevavault.com/ui/#object/email_activity__v/V8C000000042674", "EN-002101024")</f>
        <v>EN-002101024</v>
      </c>
    </row>
    <row r="13719" spans="1:15" ht="16" x14ac:dyDescent="0.2">
      <c r="A13719" s="18"/>
      <c r="B13719" s="18"/>
      <c r="C13719" s="18"/>
      <c r="D13719" s="18"/>
      <c r="E13719" s="18"/>
      <c r="F13719" s="18"/>
      <c r="G13719" s="18"/>
      <c r="H13719" s="18"/>
      <c r="I13719" s="18"/>
      <c r="J13719" s="18"/>
      <c r="K13719" s="18"/>
      <c r="L13719" s="18"/>
      <c r="M13719" s="18"/>
      <c r="N13719" s="18"/>
      <c r="O13719" s="14" t="str">
        <f>HYPERLINK("https://otsuka-europe-crm.veevavault.com/ui/#object/email_activity__v/V8C000000042690", "EN-002101049")</f>
        <v>EN-002101049</v>
      </c>
    </row>
    <row r="13720" spans="1:15" ht="16" x14ac:dyDescent="0.2">
      <c r="A13720" s="18"/>
      <c r="B13720" s="18"/>
      <c r="C13720" s="18"/>
      <c r="D13720" s="18"/>
      <c r="E13720" s="18"/>
      <c r="F13720" s="18"/>
      <c r="G13720" s="18"/>
      <c r="H13720" s="18"/>
      <c r="I13720" s="18"/>
      <c r="J13720" s="18"/>
      <c r="K13720" s="18"/>
      <c r="L13720" s="18"/>
      <c r="M13720" s="18"/>
      <c r="N13720" s="18"/>
      <c r="O13720" s="14" t="str">
        <f>HYPERLINK("https://otsuka-europe-crm.veevavault.com/ui/#object/email_activity__v/V8C000000042691", "EN-002101050")</f>
        <v>EN-002101050</v>
      </c>
    </row>
    <row r="13721" spans="1:15" ht="16" x14ac:dyDescent="0.2">
      <c r="A13721" s="19"/>
      <c r="B13721" s="19"/>
      <c r="C13721" s="19"/>
      <c r="D13721" s="19"/>
      <c r="E13721" s="19"/>
      <c r="F13721" s="19"/>
      <c r="G13721" s="19"/>
      <c r="H13721" s="19"/>
      <c r="I13721" s="19"/>
      <c r="J13721" s="19"/>
      <c r="K13721" s="19"/>
      <c r="L13721" s="19"/>
      <c r="M13721" s="19"/>
      <c r="N13721" s="19"/>
      <c r="O13721" s="14" t="str">
        <f>HYPERLINK("https://otsuka-europe-crm.veevavault.com/ui/#object/email_activity__v/V8C000000042701", "EN-002101067")</f>
        <v>EN-002101067</v>
      </c>
    </row>
    <row r="13722" spans="1:15" ht="16" x14ac:dyDescent="0.2">
      <c r="A13722" s="17" t="str">
        <f>HYPERLINK("https://otsuka-europe-crm.veevavault.com/ui/#object/account__v/V4TZ04ASG9RG6AY", "RAUL MARIA VEIGA CABELLO")</f>
        <v>RAUL MARIA VEIGA CABELLO</v>
      </c>
      <c r="B13722" s="17" t="str">
        <f>HYPERLINK("https://otsuka-europe-crm.veevavault.com/ui/#object/vcountry__v/VENZ000004SONF5", "ES")</f>
        <v>ES</v>
      </c>
      <c r="C13722" s="20" t="s">
        <v>41</v>
      </c>
      <c r="D13722" s="21" t="str">
        <f>HYPERLINK("https://otsuka-europe-crm.veevavault.com/ui/#object/approved_document__v/V5O00000001B037", "LUP - VAE Póster Adelphi - Reuma")</f>
        <v>LUP - VAE Póster Adelphi - Reuma</v>
      </c>
      <c r="E13722" s="22" t="str">
        <f>HYPERLINK("https://otsuka-europe-crm.veevavault.com/ui/#object/sent_email__v/VBL00000002Y284", "SE-001439006")</f>
        <v>SE-001439006</v>
      </c>
      <c r="F13722" s="23">
        <v>46203.854004629633</v>
      </c>
      <c r="G13722" s="24">
        <v>1</v>
      </c>
      <c r="H13722" s="24">
        <v>1</v>
      </c>
      <c r="I13722" s="24">
        <v>0</v>
      </c>
      <c r="J13722" s="25"/>
      <c r="K13722" s="24">
        <v>0</v>
      </c>
      <c r="L13722" s="22" t="str">
        <f>HYPERLINK("https://otsuka-europe-crm.veevavault.com/ui/#object/approved_document__v/V5O00000001B037", "LUP - VAE Póster Adelphi - Reuma")</f>
        <v>LUP - VAE Póster Adelphi - Reuma</v>
      </c>
      <c r="M13722" s="22" t="str">
        <f>HYPERLINK("mailto:cmaroto@crm.otsuka-europe.com", "cmaroto@crm.otsuka-europe.com")</f>
        <v>cmaroto@crm.otsuka-europe.com</v>
      </c>
      <c r="N13722" s="23">
        <v>46203.656273148146</v>
      </c>
      <c r="O13722" s="14" t="str">
        <f>HYPERLINK("https://otsuka-europe-crm.veevavault.com/ui/#object/email_activity__v/V8C000000041741", "EN-002101165")</f>
        <v>EN-002101165</v>
      </c>
    </row>
    <row r="13723" spans="1:15" ht="16" x14ac:dyDescent="0.2">
      <c r="A13723" s="18"/>
      <c r="B13723" s="18"/>
      <c r="C13723" s="18"/>
      <c r="D13723" s="18"/>
      <c r="E13723" s="18"/>
      <c r="F13723" s="18"/>
      <c r="G13723" s="18"/>
      <c r="H13723" s="18"/>
      <c r="I13723" s="18"/>
      <c r="J13723" s="18"/>
      <c r="K13723" s="18"/>
      <c r="L13723" s="18"/>
      <c r="M13723" s="18"/>
      <c r="N13723" s="18"/>
      <c r="O13723" s="14" t="str">
        <f>HYPERLINK("https://otsuka-europe-crm.veevavault.com/ui/#object/email_activity__v/V8C000000042663", "EN-002101013")</f>
        <v>EN-002101013</v>
      </c>
    </row>
    <row r="13724" spans="1:15" ht="16" x14ac:dyDescent="0.2">
      <c r="A13724" s="19"/>
      <c r="B13724" s="19"/>
      <c r="C13724" s="19"/>
      <c r="D13724" s="19"/>
      <c r="E13724" s="19"/>
      <c r="F13724" s="19"/>
      <c r="G13724" s="19"/>
      <c r="H13724" s="19"/>
      <c r="I13724" s="19"/>
      <c r="J13724" s="19"/>
      <c r="K13724" s="19"/>
      <c r="L13724" s="19"/>
      <c r="M13724" s="19"/>
      <c r="N13724" s="19"/>
      <c r="O13724" s="14" t="str">
        <f>HYPERLINK("https://otsuka-europe-crm.veevavault.com/ui/#object/email_activity__v/V8C000000042731", "EN-002101118")</f>
        <v>EN-002101118</v>
      </c>
    </row>
    <row r="13725" spans="1:15" ht="16" x14ac:dyDescent="0.2">
      <c r="A13725" s="17" t="str">
        <f>HYPERLINK("https://otsuka-europe-crm.veevavault.com/ui/#object/account__v/V4TZ04ASGBJNHN5", "MARIA LUISA BRIS OCHAITA")</f>
        <v>MARIA LUISA BRIS OCHAITA</v>
      </c>
      <c r="B13725" s="17" t="str">
        <f>HYPERLINK("https://otsuka-europe-crm.veevavault.com/ui/#object/vcountry__v/VENZ000004SONF5", "ES")</f>
        <v>ES</v>
      </c>
      <c r="C13725" s="20" t="s">
        <v>41</v>
      </c>
      <c r="D13725" s="21" t="str">
        <f>HYPERLINK("https://otsuka-europe-crm.veevavault.com/ui/#object/approved_document__v/V5O00000001B037", "LUP - VAE Póster Adelphi - Reuma")</f>
        <v>LUP - VAE Póster Adelphi - Reuma</v>
      </c>
      <c r="E13725" s="22" t="str">
        <f>HYPERLINK("https://otsuka-europe-crm.veevavault.com/ui/#object/sent_email__v/VBL00000002Y285", "SE-001439007")</f>
        <v>SE-001439007</v>
      </c>
      <c r="F13725" s="25"/>
      <c r="G13725" s="24">
        <v>0</v>
      </c>
      <c r="H13725" s="24">
        <v>0</v>
      </c>
      <c r="I13725" s="24">
        <v>1</v>
      </c>
      <c r="J13725" s="23">
        <v>46204.54010416667</v>
      </c>
      <c r="K13725" s="24">
        <v>1</v>
      </c>
      <c r="L13725" s="22" t="str">
        <f>HYPERLINK("https://otsuka-europe-crm.veevavault.com/ui/#object/approved_document__v/V5O00000001B037", "LUP - VAE Póster Adelphi - Reuma")</f>
        <v>LUP - VAE Póster Adelphi - Reuma</v>
      </c>
      <c r="M13725" s="22" t="str">
        <f>HYPERLINK("mailto:cmaroto@crm.otsuka-europe.com", "cmaroto@crm.otsuka-europe.com")</f>
        <v>cmaroto@crm.otsuka-europe.com</v>
      </c>
      <c r="N13725" s="23">
        <v>46203.656261574077</v>
      </c>
      <c r="O13725" s="14" t="str">
        <f>HYPERLINK("https://otsuka-europe-crm.veevavault.com/ui/#object/email_activity__v/V8C000000041859", "EN-002101435")</f>
        <v>EN-002101435</v>
      </c>
    </row>
    <row r="13726" spans="1:15" ht="16" x14ac:dyDescent="0.2">
      <c r="A13726" s="18"/>
      <c r="B13726" s="18"/>
      <c r="C13726" s="18"/>
      <c r="D13726" s="18"/>
      <c r="E13726" s="18"/>
      <c r="F13726" s="18"/>
      <c r="G13726" s="18"/>
      <c r="H13726" s="18"/>
      <c r="I13726" s="18"/>
      <c r="J13726" s="18"/>
      <c r="K13726" s="18"/>
      <c r="L13726" s="18"/>
      <c r="M13726" s="18"/>
      <c r="N13726" s="18"/>
      <c r="O13726" s="14" t="str">
        <f>HYPERLINK("https://otsuka-europe-crm.veevavault.com/ui/#object/email_activity__v/V8C000000042669", "EN-002101019")</f>
        <v>EN-002101019</v>
      </c>
    </row>
    <row r="13727" spans="1:15" ht="16" x14ac:dyDescent="0.2">
      <c r="A13727" s="18"/>
      <c r="B13727" s="18"/>
      <c r="C13727" s="18"/>
      <c r="D13727" s="18"/>
      <c r="E13727" s="18"/>
      <c r="F13727" s="18"/>
      <c r="G13727" s="18"/>
      <c r="H13727" s="18"/>
      <c r="I13727" s="18"/>
      <c r="J13727" s="18"/>
      <c r="K13727" s="18"/>
      <c r="L13727" s="18"/>
      <c r="M13727" s="18"/>
      <c r="N13727" s="18"/>
      <c r="O13727" s="14" t="str">
        <f>HYPERLINK("https://otsuka-europe-crm.veevavault.com/ui/#object/email_activity__v/V8C000000042697", "EN-002101059")</f>
        <v>EN-002101059</v>
      </c>
    </row>
    <row r="13728" spans="1:15" ht="16" x14ac:dyDescent="0.2">
      <c r="A13728" s="19"/>
      <c r="B13728" s="19"/>
      <c r="C13728" s="19"/>
      <c r="D13728" s="19"/>
      <c r="E13728" s="19"/>
      <c r="F13728" s="19"/>
      <c r="G13728" s="19"/>
      <c r="H13728" s="19"/>
      <c r="I13728" s="19"/>
      <c r="J13728" s="19"/>
      <c r="K13728" s="19"/>
      <c r="L13728" s="19"/>
      <c r="M13728" s="19"/>
      <c r="N13728" s="19"/>
      <c r="O13728" s="14" t="str">
        <f>HYPERLINK("https://otsuka-europe-crm.veevavault.com/ui/#object/email_activity__v/V8C000000042924", "EN-002101427")</f>
        <v>EN-002101427</v>
      </c>
    </row>
    <row r="13729" spans="1:15" ht="32" x14ac:dyDescent="0.2">
      <c r="A13729" s="7" t="str">
        <f>HYPERLINK("https://otsuka-europe-crm.veevavault.com/ui/#object/account__v/V4TZ04ASGBJNHN6", "MANUEL FERNANDEZ PRADA")</f>
        <v>MANUEL FERNANDEZ PRADA</v>
      </c>
      <c r="B13729" s="7" t="str">
        <f>HYPERLINK("https://otsuka-europe-crm.veevavault.com/ui/#object/vcountry__v/VENZ000004SONF5", "ES")</f>
        <v>ES</v>
      </c>
      <c r="C13729" s="8" t="s">
        <v>41</v>
      </c>
      <c r="D13729" s="9" t="str">
        <f>HYPERLINK("https://otsuka-europe-crm.veevavault.com/ui/#object/approved_document__v/V5O00000001B037", "LUP - VAE Póster Adelphi - Reuma")</f>
        <v>LUP - VAE Póster Adelphi - Reuma</v>
      </c>
      <c r="E13729" s="10" t="str">
        <f>HYPERLINK("https://otsuka-europe-crm.veevavault.com/ui/#object/sent_email__v/VBL00000002Y286", "SE-001439008")</f>
        <v>SE-001439008</v>
      </c>
      <c r="F13729" s="11"/>
      <c r="G13729" s="12">
        <v>0</v>
      </c>
      <c r="H13729" s="12">
        <v>0</v>
      </c>
      <c r="I13729" s="12">
        <v>0</v>
      </c>
      <c r="J13729" s="11"/>
      <c r="K13729" s="12">
        <v>0</v>
      </c>
      <c r="L13729" s="10" t="str">
        <f>HYPERLINK("https://otsuka-europe-crm.veevavault.com/ui/#object/approved_document__v/V5O00000001B037", "LUP - VAE Póster Adelphi - Reuma")</f>
        <v>LUP - VAE Póster Adelphi - Reuma</v>
      </c>
      <c r="M13729" s="10" t="str">
        <f>HYPERLINK("mailto:cmaroto@crm.otsuka-europe.com", "cmaroto@crm.otsuka-europe.com")</f>
        <v>cmaroto@crm.otsuka-europe.com</v>
      </c>
      <c r="N13729" s="13">
        <v>46203.656261574077</v>
      </c>
      <c r="O13729" s="14" t="str">
        <f>HYPERLINK("https://otsuka-europe-crm.veevavault.com/ui/#object/email_activity__v/V8C000000042656", "EN-002101006")</f>
        <v>EN-002101006</v>
      </c>
    </row>
    <row r="13730" spans="1:15" ht="32" x14ac:dyDescent="0.2">
      <c r="A13730" s="7" t="str">
        <f>HYPERLINK("https://otsuka-europe-crm.veevavault.com/ui/#object/account__v/V4TZ06G6OB46CWI", "FERNANDO LOZANO MORILLO")</f>
        <v>FERNANDO LOZANO MORILLO</v>
      </c>
      <c r="B13730" s="7" t="str">
        <f>HYPERLINK("https://otsuka-europe-crm.veevavault.com/ui/#object/vcountry__v/VENZ000004SONF5", "ES")</f>
        <v>ES</v>
      </c>
      <c r="C13730" s="8" t="s">
        <v>41</v>
      </c>
      <c r="D13730" s="9" t="str">
        <f>HYPERLINK("https://otsuka-europe-crm.veevavault.com/ui/#object/approved_document__v/V5O00000001B037", "LUP - VAE Póster Adelphi - Reuma")</f>
        <v>LUP - VAE Póster Adelphi - Reuma</v>
      </c>
      <c r="E13730" s="10" t="str">
        <f>HYPERLINK("https://otsuka-europe-crm.veevavault.com/ui/#object/sent_email__v/VBL00000002Y287", "SE-001439009")</f>
        <v>SE-001439009</v>
      </c>
      <c r="F13730" s="11"/>
      <c r="G13730" s="12">
        <v>0</v>
      </c>
      <c r="H13730" s="12">
        <v>0</v>
      </c>
      <c r="I13730" s="12">
        <v>0</v>
      </c>
      <c r="J13730" s="11"/>
      <c r="K13730" s="12">
        <v>0</v>
      </c>
      <c r="L13730" s="10" t="str">
        <f>HYPERLINK("https://otsuka-europe-crm.veevavault.com/ui/#object/approved_document__v/V5O00000001B037", "LUP - VAE Póster Adelphi - Reuma")</f>
        <v>LUP - VAE Póster Adelphi - Reuma</v>
      </c>
      <c r="M13730" s="10" t="str">
        <f>HYPERLINK("mailto:cmaroto@crm.otsuka-europe.com", "cmaroto@crm.otsuka-europe.com")</f>
        <v>cmaroto@crm.otsuka-europe.com</v>
      </c>
      <c r="N13730" s="13">
        <v>46203.656261574077</v>
      </c>
      <c r="O13730" s="14" t="str">
        <f>HYPERLINK("https://otsuka-europe-crm.veevavault.com/ui/#object/email_activity__v/V8C000000042667", "EN-002101017")</f>
        <v>EN-002101017</v>
      </c>
    </row>
    <row r="13731" spans="1:15" ht="16" x14ac:dyDescent="0.2">
      <c r="A13731" s="17" t="str">
        <f>HYPERLINK("https://otsuka-europe-crm.veevavault.com/ui/#object/account__v/V4TZ04ASGBNZZE2", "SANDRA GARROTE CORRAL")</f>
        <v>SANDRA GARROTE CORRAL</v>
      </c>
      <c r="B13731" s="17" t="str">
        <f>HYPERLINK("https://otsuka-europe-crm.veevavault.com/ui/#object/vcountry__v/VENZ000004SONF5", "ES")</f>
        <v>ES</v>
      </c>
      <c r="C13731" s="20" t="s">
        <v>41</v>
      </c>
      <c r="D13731" s="21" t="str">
        <f>HYPERLINK("https://otsuka-europe-crm.veevavault.com/ui/#object/approved_document__v/V5O00000001B037", "LUP - VAE Póster Adelphi - Reuma")</f>
        <v>LUP - VAE Póster Adelphi - Reuma</v>
      </c>
      <c r="E13731" s="22" t="str">
        <f>HYPERLINK("https://otsuka-europe-crm.veevavault.com/ui/#object/sent_email__v/VBL00000002Y288", "SE-001439010")</f>
        <v>SE-001439010</v>
      </c>
      <c r="F13731" s="25"/>
      <c r="G13731" s="24">
        <v>0</v>
      </c>
      <c r="H13731" s="24">
        <v>0</v>
      </c>
      <c r="I13731" s="24">
        <v>0</v>
      </c>
      <c r="J13731" s="25"/>
      <c r="K13731" s="24">
        <v>0</v>
      </c>
      <c r="L13731" s="22" t="str">
        <f>HYPERLINK("https://otsuka-europe-crm.veevavault.com/ui/#object/approved_document__v/V5O00000001B037", "LUP - VAE Póster Adelphi - Reuma")</f>
        <v>LUP - VAE Póster Adelphi - Reuma</v>
      </c>
      <c r="M13731" s="22" t="str">
        <f>HYPERLINK("mailto:cmaroto@crm.otsuka-europe.com", "cmaroto@crm.otsuka-europe.com")</f>
        <v>cmaroto@crm.otsuka-europe.com</v>
      </c>
      <c r="N13731" s="23">
        <v>46203.656261574077</v>
      </c>
      <c r="O13731" s="14" t="str">
        <f>HYPERLINK("https://otsuka-europe-crm.veevavault.com/ui/#object/email_activity__v/V8C000000041692", "EN-002101065")</f>
        <v>EN-002101065</v>
      </c>
    </row>
    <row r="13732" spans="1:15" ht="16" x14ac:dyDescent="0.2">
      <c r="A13732" s="19"/>
      <c r="B13732" s="19"/>
      <c r="C13732" s="19"/>
      <c r="D13732" s="19"/>
      <c r="E13732" s="19"/>
      <c r="F13732" s="19"/>
      <c r="G13732" s="19"/>
      <c r="H13732" s="19"/>
      <c r="I13732" s="19"/>
      <c r="J13732" s="19"/>
      <c r="K13732" s="19"/>
      <c r="L13732" s="19"/>
      <c r="M13732" s="19"/>
      <c r="N13732" s="19"/>
      <c r="O13732" s="14" t="str">
        <f>HYPERLINK("https://otsuka-europe-crm.veevavault.com/ui/#object/email_activity__v/V8C000000042652", "EN-002101002")</f>
        <v>EN-002101002</v>
      </c>
    </row>
    <row r="13733" spans="1:15" ht="32" x14ac:dyDescent="0.2">
      <c r="A13733" s="7" t="str">
        <f>HYPERLINK("https://otsuka-europe-crm.veevavault.com/ui/#object/account__v/V4TZ06G6OB46COF", "MIGUEL ANGEL GONZALEZ-GAY MANTECON")</f>
        <v>MIGUEL ANGEL GONZALEZ-GAY MANTECON</v>
      </c>
      <c r="B13733" s="7" t="str">
        <f>HYPERLINK("https://otsuka-europe-crm.veevavault.com/ui/#object/vcountry__v/VENZ000004SONF5", "ES")</f>
        <v>ES</v>
      </c>
      <c r="C13733" s="8" t="s">
        <v>41</v>
      </c>
      <c r="D13733" s="9" t="str">
        <f>HYPERLINK("https://otsuka-europe-crm.veevavault.com/ui/#object/approved_document__v/V5O00000001B037", "LUP - VAE Póster Adelphi - Reuma")</f>
        <v>LUP - VAE Póster Adelphi - Reuma</v>
      </c>
      <c r="E13733" s="10" t="str">
        <f>HYPERLINK("https://otsuka-europe-crm.veevavault.com/ui/#object/sent_email__v/VBL00000002Y289", "SE-001439011")</f>
        <v>SE-001439011</v>
      </c>
      <c r="F13733" s="11"/>
      <c r="G13733" s="12">
        <v>0</v>
      </c>
      <c r="H13733" s="12">
        <v>0</v>
      </c>
      <c r="I13733" s="12">
        <v>0</v>
      </c>
      <c r="J13733" s="11"/>
      <c r="K13733" s="12">
        <v>0</v>
      </c>
      <c r="L13733" s="10" t="str">
        <f>HYPERLINK("https://otsuka-europe-crm.veevavault.com/ui/#object/approved_document__v/V5O00000001B037", "LUP - VAE Póster Adelphi - Reuma")</f>
        <v>LUP - VAE Póster Adelphi - Reuma</v>
      </c>
      <c r="M13733" s="10" t="str">
        <f>HYPERLINK("mailto:cmaroto@crm.otsuka-europe.com", "cmaroto@crm.otsuka-europe.com")</f>
        <v>cmaroto@crm.otsuka-europe.com</v>
      </c>
      <c r="N13733" s="13">
        <v>46203.656273148146</v>
      </c>
      <c r="O13733" s="14" t="str">
        <f>HYPERLINK("https://otsuka-europe-crm.veevavault.com/ui/#object/email_activity__v/V8C000000042657", "EN-002101007")</f>
        <v>EN-002101007</v>
      </c>
    </row>
    <row r="13734" spans="1:15" ht="16" x14ac:dyDescent="0.2">
      <c r="A13734" s="17" t="str">
        <f>HYPERLINK("https://otsuka-europe-crm.veevavault.com/ui/#object/account__v/V4TZ025E870865L", "SANDRA SORO MARIN")</f>
        <v>SANDRA SORO MARIN</v>
      </c>
      <c r="B13734" s="17" t="str">
        <f>HYPERLINK("https://otsuka-europe-crm.veevavault.com/ui/#object/vcountry__v/VENZ000004SONF5", "ES")</f>
        <v>ES</v>
      </c>
      <c r="C13734" s="20" t="s">
        <v>41</v>
      </c>
      <c r="D13734" s="21" t="str">
        <f>HYPERLINK("https://otsuka-europe-crm.veevavault.com/ui/#object/approved_document__v/V5O00000001B037", "LUP - VAE Póster Adelphi - Reuma")</f>
        <v>LUP - VAE Póster Adelphi - Reuma</v>
      </c>
      <c r="E13734" s="22" t="str">
        <f>HYPERLINK("https://otsuka-europe-crm.veevavault.com/ui/#object/sent_email__v/VBL00000002Y290", "SE-001439012")</f>
        <v>SE-001439012</v>
      </c>
      <c r="F13734" s="23">
        <v>46203.882835648146</v>
      </c>
      <c r="G13734" s="24">
        <v>1</v>
      </c>
      <c r="H13734" s="24">
        <v>1</v>
      </c>
      <c r="I13734" s="24">
        <v>0</v>
      </c>
      <c r="J13734" s="25"/>
      <c r="K13734" s="24">
        <v>0</v>
      </c>
      <c r="L13734" s="22" t="str">
        <f>HYPERLINK("https://otsuka-europe-crm.veevavault.com/ui/#object/approved_document__v/V5O00000001B037", "LUP - VAE Póster Adelphi - Reuma")</f>
        <v>LUP - VAE Póster Adelphi - Reuma</v>
      </c>
      <c r="M13734" s="22" t="str">
        <f>HYPERLINK("mailto:cmaroto@crm.otsuka-europe.com", "cmaroto@crm.otsuka-europe.com")</f>
        <v>cmaroto@crm.otsuka-europe.com</v>
      </c>
      <c r="N13734" s="23">
        <v>46203.656273148146</v>
      </c>
      <c r="O13734" s="14" t="str">
        <f>HYPERLINK("https://otsuka-europe-crm.veevavault.com/ui/#object/email_activity__v/V8C000000042658", "EN-002101008")</f>
        <v>EN-002101008</v>
      </c>
    </row>
    <row r="13735" spans="1:15" ht="16" x14ac:dyDescent="0.2">
      <c r="A13735" s="19"/>
      <c r="B13735" s="19"/>
      <c r="C13735" s="19"/>
      <c r="D13735" s="19"/>
      <c r="E13735" s="19"/>
      <c r="F13735" s="19"/>
      <c r="G13735" s="19"/>
      <c r="H13735" s="19"/>
      <c r="I13735" s="19"/>
      <c r="J13735" s="19"/>
      <c r="K13735" s="19"/>
      <c r="L13735" s="19"/>
      <c r="M13735" s="19"/>
      <c r="N13735" s="19"/>
      <c r="O13735" s="14" t="str">
        <f>HYPERLINK("https://otsuka-europe-crm.veevavault.com/ui/#object/email_activity__v/V8C000000042742", "EN-002101132")</f>
        <v>EN-002101132</v>
      </c>
    </row>
    <row r="13736" spans="1:15" ht="16" x14ac:dyDescent="0.2">
      <c r="A13736" s="17" t="str">
        <f>HYPERLINK("https://otsuka-europe-crm.veevavault.com/ui/#object/account__v/V4TZ04ASGABZ38V", "SIMON ANGEL SANCHEZ FERNANDEZ")</f>
        <v>SIMON ANGEL SANCHEZ FERNANDEZ</v>
      </c>
      <c r="B13736" s="17" t="str">
        <f>HYPERLINK("https://otsuka-europe-crm.veevavault.com/ui/#object/vcountry__v/VENZ000004SONF5", "ES")</f>
        <v>ES</v>
      </c>
      <c r="C13736" s="20" t="s">
        <v>41</v>
      </c>
      <c r="D13736" s="21" t="str">
        <f>HYPERLINK("https://otsuka-europe-crm.veevavault.com/ui/#object/approved_document__v/V5O00000001B037", "LUP - VAE Póster Adelphi - Reuma")</f>
        <v>LUP - VAE Póster Adelphi - Reuma</v>
      </c>
      <c r="E13736" s="22" t="str">
        <f>HYPERLINK("https://otsuka-europe-crm.veevavault.com/ui/#object/sent_email__v/VBL00000002Y291", "SE-001439013")</f>
        <v>SE-001439013</v>
      </c>
      <c r="F13736" s="23">
        <v>46203.656423611108</v>
      </c>
      <c r="G13736" s="24">
        <v>1</v>
      </c>
      <c r="H13736" s="24">
        <v>1</v>
      </c>
      <c r="I13736" s="24">
        <v>0</v>
      </c>
      <c r="J13736" s="25"/>
      <c r="K13736" s="24">
        <v>0</v>
      </c>
      <c r="L13736" s="22" t="str">
        <f>HYPERLINK("https://otsuka-europe-crm.veevavault.com/ui/#object/approved_document__v/V5O00000001B037", "LUP - VAE Póster Adelphi - Reuma")</f>
        <v>LUP - VAE Póster Adelphi - Reuma</v>
      </c>
      <c r="M13736" s="22" t="str">
        <f>HYPERLINK("mailto:cmaroto@crm.otsuka-europe.com", "cmaroto@crm.otsuka-europe.com")</f>
        <v>cmaroto@crm.otsuka-europe.com</v>
      </c>
      <c r="N13736" s="23">
        <v>46203.656273148146</v>
      </c>
      <c r="O13736" s="14" t="str">
        <f>HYPERLINK("https://otsuka-europe-crm.veevavault.com/ui/#object/email_activity__v/V8C000000042646", "EN-002100996")</f>
        <v>EN-002100996</v>
      </c>
    </row>
    <row r="13737" spans="1:15" ht="16" x14ac:dyDescent="0.2">
      <c r="A13737" s="19"/>
      <c r="B13737" s="19"/>
      <c r="C13737" s="19"/>
      <c r="D13737" s="19"/>
      <c r="E13737" s="19"/>
      <c r="F13737" s="19"/>
      <c r="G13737" s="19"/>
      <c r="H13737" s="19"/>
      <c r="I13737" s="19"/>
      <c r="J13737" s="19"/>
      <c r="K13737" s="19"/>
      <c r="L13737" s="19"/>
      <c r="M13737" s="19"/>
      <c r="N13737" s="19"/>
      <c r="O13737" s="14" t="str">
        <f>HYPERLINK("https://otsuka-europe-crm.veevavault.com/ui/#object/email_activity__v/V8C000000042670", "EN-002101020")</f>
        <v>EN-002101020</v>
      </c>
    </row>
    <row r="13738" spans="1:15" ht="32" x14ac:dyDescent="0.2">
      <c r="A13738" s="7" t="str">
        <f>HYPERLINK("https://otsuka-europe-crm.veevavault.com/ui/#object/account__v/V4TZ06G6OB46CMI", "MARIA GALINDO IZQUIERDO")</f>
        <v>MARIA GALINDO IZQUIERDO</v>
      </c>
      <c r="B13738" s="7" t="str">
        <f>HYPERLINK("https://otsuka-europe-crm.veevavault.com/ui/#object/vcountry__v/VENZ000004SONF5", "ES")</f>
        <v>ES</v>
      </c>
      <c r="C13738" s="8" t="s">
        <v>41</v>
      </c>
      <c r="D13738" s="9" t="str">
        <f>HYPERLINK("https://otsuka-europe-crm.veevavault.com/ui/#object/approved_document__v/V5O00000001B037", "LUP - VAE Póster Adelphi - Reuma")</f>
        <v>LUP - VAE Póster Adelphi - Reuma</v>
      </c>
      <c r="E13738" s="10" t="str">
        <f>HYPERLINK("https://otsuka-europe-crm.veevavault.com/ui/#object/sent_email__v/VBL00000002Y292", "SE-001439014")</f>
        <v>SE-001439014</v>
      </c>
      <c r="F13738" s="11"/>
      <c r="G13738" s="12">
        <v>0</v>
      </c>
      <c r="H13738" s="12">
        <v>0</v>
      </c>
      <c r="I13738" s="12">
        <v>0</v>
      </c>
      <c r="J13738" s="11"/>
      <c r="K13738" s="12">
        <v>0</v>
      </c>
      <c r="L13738" s="10" t="str">
        <f>HYPERLINK("https://otsuka-europe-crm.veevavault.com/ui/#object/approved_document__v/V5O00000001B037", "LUP - VAE Póster Adelphi - Reuma")</f>
        <v>LUP - VAE Póster Adelphi - Reuma</v>
      </c>
      <c r="M13738" s="10" t="str">
        <f>HYPERLINK("mailto:cmaroto@crm.otsuka-europe.com", "cmaroto@crm.otsuka-europe.com")</f>
        <v>cmaroto@crm.otsuka-europe.com</v>
      </c>
      <c r="N13738" s="13">
        <v>46203.656273148146</v>
      </c>
      <c r="O13738" s="14" t="str">
        <f>HYPERLINK("https://otsuka-europe-crm.veevavault.com/ui/#object/email_activity__v/V8C000000042655", "EN-002101005")</f>
        <v>EN-002101005</v>
      </c>
    </row>
    <row r="13739" spans="1:15" ht="16" x14ac:dyDescent="0.2">
      <c r="A13739" s="17" t="str">
        <f>HYPERLINK("https://otsuka-europe-crm.veevavault.com/ui/#object/account__v/V4TZ025E82XR34V", "DAVID CASTRO CORREDOR")</f>
        <v>DAVID CASTRO CORREDOR</v>
      </c>
      <c r="B13739" s="17" t="str">
        <f>HYPERLINK("https://otsuka-europe-crm.veevavault.com/ui/#object/vcountry__v/VENZ000004SONF5", "ES")</f>
        <v>ES</v>
      </c>
      <c r="C13739" s="20" t="s">
        <v>41</v>
      </c>
      <c r="D13739" s="21" t="str">
        <f>HYPERLINK("https://otsuka-europe-crm.veevavault.com/ui/#object/approved_document__v/V5O00000001B037", "LUP - VAE Póster Adelphi - Reuma")</f>
        <v>LUP - VAE Póster Adelphi - Reuma</v>
      </c>
      <c r="E13739" s="22" t="str">
        <f>HYPERLINK("https://otsuka-europe-crm.veevavault.com/ui/#object/sent_email__v/VBL00000002Y293", "SE-001439015")</f>
        <v>SE-001439015</v>
      </c>
      <c r="F13739" s="23">
        <v>46203.663229166668</v>
      </c>
      <c r="G13739" s="24">
        <v>1</v>
      </c>
      <c r="H13739" s="24">
        <v>1</v>
      </c>
      <c r="I13739" s="24">
        <v>0</v>
      </c>
      <c r="J13739" s="25"/>
      <c r="K13739" s="24">
        <v>0</v>
      </c>
      <c r="L13739" s="22" t="str">
        <f>HYPERLINK("https://otsuka-europe-crm.veevavault.com/ui/#object/approved_document__v/V5O00000001B037", "LUP - VAE Póster Adelphi - Reuma")</f>
        <v>LUP - VAE Póster Adelphi - Reuma</v>
      </c>
      <c r="M13739" s="22" t="str">
        <f>HYPERLINK("mailto:cmaroto@crm.otsuka-europe.com", "cmaroto@crm.otsuka-europe.com")</f>
        <v>cmaroto@crm.otsuka-europe.com</v>
      </c>
      <c r="N13739" s="23">
        <v>46203.656273148146</v>
      </c>
      <c r="O13739" s="14" t="str">
        <f>HYPERLINK("https://otsuka-europe-crm.veevavault.com/ui/#object/email_activity__v/V8C000000041685", "EN-002101051")</f>
        <v>EN-002101051</v>
      </c>
    </row>
    <row r="13740" spans="1:15" ht="16" x14ac:dyDescent="0.2">
      <c r="A13740" s="18"/>
      <c r="B13740" s="18"/>
      <c r="C13740" s="18"/>
      <c r="D13740" s="18"/>
      <c r="E13740" s="18"/>
      <c r="F13740" s="18"/>
      <c r="G13740" s="18"/>
      <c r="H13740" s="18"/>
      <c r="I13740" s="18"/>
      <c r="J13740" s="18"/>
      <c r="K13740" s="18"/>
      <c r="L13740" s="18"/>
      <c r="M13740" s="18"/>
      <c r="N13740" s="18"/>
      <c r="O13740" s="14" t="str">
        <f>HYPERLINK("https://otsuka-europe-crm.veevavault.com/ui/#object/email_activity__v/V8C000000042649", "EN-002100999")</f>
        <v>EN-002100999</v>
      </c>
    </row>
    <row r="13741" spans="1:15" ht="16" x14ac:dyDescent="0.2">
      <c r="A13741" s="19"/>
      <c r="B13741" s="19"/>
      <c r="C13741" s="19"/>
      <c r="D13741" s="19"/>
      <c r="E13741" s="19"/>
      <c r="F13741" s="19"/>
      <c r="G13741" s="19"/>
      <c r="H13741" s="19"/>
      <c r="I13741" s="19"/>
      <c r="J13741" s="19"/>
      <c r="K13741" s="19"/>
      <c r="L13741" s="19"/>
      <c r="M13741" s="19"/>
      <c r="N13741" s="19"/>
      <c r="O13741" s="14" t="str">
        <f>HYPERLINK("https://otsuka-europe-crm.veevavault.com/ui/#object/email_activity__v/V8C000000042687", "EN-002101041")</f>
        <v>EN-002101041</v>
      </c>
    </row>
    <row r="13742" spans="1:15" ht="32" x14ac:dyDescent="0.2">
      <c r="A13742" s="7" t="str">
        <f>HYPERLINK("https://otsuka-europe-crm.veevavault.com/ui/#object/account__v/V4TZ025E85BHGUT", "JESSICA BEATRIZ POLO Y LA BORDA CHUMPITAZ")</f>
        <v>JESSICA BEATRIZ POLO Y LA BORDA CHUMPITAZ</v>
      </c>
      <c r="B13742" s="7" t="str">
        <f>HYPERLINK("https://otsuka-europe-crm.veevavault.com/ui/#object/vcountry__v/VENZ000004SONF5", "ES")</f>
        <v>ES</v>
      </c>
      <c r="C13742" s="8" t="s">
        <v>41</v>
      </c>
      <c r="D13742" s="9" t="str">
        <f>HYPERLINK("https://otsuka-europe-crm.veevavault.com/ui/#object/approved_document__v/V5O00000001B037", "LUP - VAE Póster Adelphi - Reuma")</f>
        <v>LUP - VAE Póster Adelphi - Reuma</v>
      </c>
      <c r="E13742" s="10" t="str">
        <f>HYPERLINK("https://otsuka-europe-crm.veevavault.com/ui/#object/sent_email__v/VBL00000002Y294", "SE-001439016")</f>
        <v>SE-001439016</v>
      </c>
      <c r="F13742" s="11"/>
      <c r="G13742" s="12">
        <v>0</v>
      </c>
      <c r="H13742" s="12">
        <v>0</v>
      </c>
      <c r="I13742" s="12">
        <v>0</v>
      </c>
      <c r="J13742" s="11"/>
      <c r="K13742" s="12">
        <v>0</v>
      </c>
      <c r="L13742" s="10" t="str">
        <f>HYPERLINK("https://otsuka-europe-crm.veevavault.com/ui/#object/approved_document__v/V5O00000001B037", "LUP - VAE Póster Adelphi - Reuma")</f>
        <v>LUP - VAE Póster Adelphi - Reuma</v>
      </c>
      <c r="M13742" s="10" t="str">
        <f>HYPERLINK("mailto:cmaroto@crm.otsuka-europe.com", "cmaroto@crm.otsuka-europe.com")</f>
        <v>cmaroto@crm.otsuka-europe.com</v>
      </c>
      <c r="N13742" s="13">
        <v>46203.656273148146</v>
      </c>
      <c r="O13742" s="14" t="str">
        <f>HYPERLINK("https://otsuka-europe-crm.veevavault.com/ui/#object/email_activity__v/V8C000000042662", "EN-002101012")</f>
        <v>EN-002101012</v>
      </c>
    </row>
    <row r="13743" spans="1:15" ht="16" x14ac:dyDescent="0.2">
      <c r="A13743" s="17" t="str">
        <f>HYPERLINK("https://otsuka-europe-crm.veevavault.com/ui/#object/account__v/V4TZ04ASGAZN3BE", "ENRIQUE JUDEZ NAVARRO")</f>
        <v>ENRIQUE JUDEZ NAVARRO</v>
      </c>
      <c r="B13743" s="17" t="str">
        <f>HYPERLINK("https://otsuka-europe-crm.veevavault.com/ui/#object/vcountry__v/VENZ000004SONF5", "ES")</f>
        <v>ES</v>
      </c>
      <c r="C13743" s="20" t="s">
        <v>41</v>
      </c>
      <c r="D13743" s="21" t="str">
        <f>HYPERLINK("https://otsuka-europe-crm.veevavault.com/ui/#object/approved_document__v/V5O00000001B037", "LUP - VAE Póster Adelphi - Reuma")</f>
        <v>LUP - VAE Póster Adelphi - Reuma</v>
      </c>
      <c r="E13743" s="22" t="str">
        <f>HYPERLINK("https://otsuka-europe-crm.veevavault.com/ui/#object/sent_email__v/VBL00000002Y295", "SE-001439017")</f>
        <v>SE-001439017</v>
      </c>
      <c r="F13743" s="23">
        <v>46203.683634259258</v>
      </c>
      <c r="G13743" s="24">
        <v>1</v>
      </c>
      <c r="H13743" s="24">
        <v>1</v>
      </c>
      <c r="I13743" s="24">
        <v>0</v>
      </c>
      <c r="J13743" s="25"/>
      <c r="K13743" s="24">
        <v>0</v>
      </c>
      <c r="L13743" s="22" t="str">
        <f>HYPERLINK("https://otsuka-europe-crm.veevavault.com/ui/#object/approved_document__v/V5O00000001B037", "LUP - VAE Póster Adelphi - Reuma")</f>
        <v>LUP - VAE Póster Adelphi - Reuma</v>
      </c>
      <c r="M13743" s="22" t="str">
        <f>HYPERLINK("mailto:cmaroto@crm.otsuka-europe.com", "cmaroto@crm.otsuka-europe.com")</f>
        <v>cmaroto@crm.otsuka-europe.com</v>
      </c>
      <c r="N13743" s="23">
        <v>46203.656273148146</v>
      </c>
      <c r="O13743" s="14" t="str">
        <f>HYPERLINK("https://otsuka-europe-crm.veevavault.com/ui/#object/email_activity__v/V8C000000042673", "EN-002101023")</f>
        <v>EN-002101023</v>
      </c>
    </row>
    <row r="13744" spans="1:15" ht="16" x14ac:dyDescent="0.2">
      <c r="A13744" s="19"/>
      <c r="B13744" s="19"/>
      <c r="C13744" s="19"/>
      <c r="D13744" s="19"/>
      <c r="E13744" s="19"/>
      <c r="F13744" s="19"/>
      <c r="G13744" s="19"/>
      <c r="H13744" s="19"/>
      <c r="I13744" s="19"/>
      <c r="J13744" s="19"/>
      <c r="K13744" s="19"/>
      <c r="L13744" s="19"/>
      <c r="M13744" s="19"/>
      <c r="N13744" s="19"/>
      <c r="O13744" s="14" t="str">
        <f>HYPERLINK("https://otsuka-europe-crm.veevavault.com/ui/#object/email_activity__v/V8C000000042694", "EN-002101055")</f>
        <v>EN-002101055</v>
      </c>
    </row>
    <row r="13745" spans="1:15" ht="16" x14ac:dyDescent="0.2">
      <c r="A13745" s="17" t="str">
        <f>HYPERLINK("https://otsuka-europe-crm.veevavault.com/ui/#object/account__v/V4TZ06G6OBIL6W5", "JOSE ANTONIO CARRASCO FERNANDEZ")</f>
        <v>JOSE ANTONIO CARRASCO FERNANDEZ</v>
      </c>
      <c r="B13745" s="17" t="str">
        <f>HYPERLINK("https://otsuka-europe-crm.veevavault.com/ui/#object/vcountry__v/VENZ000004SONF5", "ES")</f>
        <v>ES</v>
      </c>
      <c r="C13745" s="20" t="s">
        <v>41</v>
      </c>
      <c r="D13745" s="21" t="str">
        <f>HYPERLINK("https://otsuka-europe-crm.veevavault.com/ui/#object/approved_document__v/V5O00000001B037", "LUP - VAE Póster Adelphi - Reuma")</f>
        <v>LUP - VAE Póster Adelphi - Reuma</v>
      </c>
      <c r="E13745" s="22" t="str">
        <f>HYPERLINK("https://otsuka-europe-crm.veevavault.com/ui/#object/sent_email__v/VBL00000002Y296", "SE-001439018")</f>
        <v>SE-001439018</v>
      </c>
      <c r="F13745" s="25"/>
      <c r="G13745" s="24">
        <v>0</v>
      </c>
      <c r="H13745" s="24">
        <v>0</v>
      </c>
      <c r="I13745" s="24">
        <v>0</v>
      </c>
      <c r="J13745" s="25"/>
      <c r="K13745" s="24">
        <v>0</v>
      </c>
      <c r="L13745" s="22" t="str">
        <f>HYPERLINK("https://otsuka-europe-crm.veevavault.com/ui/#object/approved_document__v/V5O00000001B037", "LUP - VAE Póster Adelphi - Reuma")</f>
        <v>LUP - VAE Póster Adelphi - Reuma</v>
      </c>
      <c r="M13745" s="22" t="str">
        <f>HYPERLINK("mailto:cmaroto@crm.otsuka-europe.com", "cmaroto@crm.otsuka-europe.com")</f>
        <v>cmaroto@crm.otsuka-europe.com</v>
      </c>
      <c r="N13745" s="23">
        <v>46203.656273148146</v>
      </c>
      <c r="O13745" s="14" t="str">
        <f>HYPERLINK("https://otsuka-europe-crm.veevavault.com/ui/#object/email_activity__v/V8C000000041705", "EN-002101093")</f>
        <v>EN-002101093</v>
      </c>
    </row>
    <row r="13746" spans="1:15" ht="16" x14ac:dyDescent="0.2">
      <c r="A13746" s="18"/>
      <c r="B13746" s="18"/>
      <c r="C13746" s="18"/>
      <c r="D13746" s="18"/>
      <c r="E13746" s="18"/>
      <c r="F13746" s="18"/>
      <c r="G13746" s="18"/>
      <c r="H13746" s="18"/>
      <c r="I13746" s="18"/>
      <c r="J13746" s="18"/>
      <c r="K13746" s="18"/>
      <c r="L13746" s="18"/>
      <c r="M13746" s="18"/>
      <c r="N13746" s="18"/>
      <c r="O13746" s="14" t="str">
        <f>HYPERLINK("https://otsuka-europe-crm.veevavault.com/ui/#object/email_activity__v/V8C000000041706", "EN-002101094")</f>
        <v>EN-002101094</v>
      </c>
    </row>
    <row r="13747" spans="1:15" ht="16" x14ac:dyDescent="0.2">
      <c r="A13747" s="19"/>
      <c r="B13747" s="19"/>
      <c r="C13747" s="19"/>
      <c r="D13747" s="19"/>
      <c r="E13747" s="19"/>
      <c r="F13747" s="19"/>
      <c r="G13747" s="19"/>
      <c r="H13747" s="19"/>
      <c r="I13747" s="19"/>
      <c r="J13747" s="19"/>
      <c r="K13747" s="19"/>
      <c r="L13747" s="19"/>
      <c r="M13747" s="19"/>
      <c r="N13747" s="19"/>
      <c r="O13747" s="14" t="str">
        <f>HYPERLINK("https://otsuka-europe-crm.veevavault.com/ui/#object/email_activity__v/V8C000000042664", "EN-002101014")</f>
        <v>EN-002101014</v>
      </c>
    </row>
    <row r="13748" spans="1:15" ht="32" x14ac:dyDescent="0.2">
      <c r="A13748" s="7" t="str">
        <f>HYPERLINK("https://otsuka-europe-crm.veevavault.com/ui/#object/account__v/V4TZ025E82Y4CR9", "NOELIA GARCIA CASTAÑEDA")</f>
        <v>NOELIA GARCIA CASTAÑEDA</v>
      </c>
      <c r="B13748" s="7" t="str">
        <f>HYPERLINK("https://otsuka-europe-crm.veevavault.com/ui/#object/vcountry__v/VENZ000004SONF5", "ES")</f>
        <v>ES</v>
      </c>
      <c r="C13748" s="8" t="s">
        <v>41</v>
      </c>
      <c r="D13748" s="9" t="str">
        <f>HYPERLINK("https://otsuka-europe-crm.veevavault.com/ui/#object/approved_document__v/V5O00000001B037", "LUP - VAE Póster Adelphi - Reuma")</f>
        <v>LUP - VAE Póster Adelphi - Reuma</v>
      </c>
      <c r="E13748" s="10" t="str">
        <f>HYPERLINK("https://otsuka-europe-crm.veevavault.com/ui/#object/sent_email__v/VBL00000002Y297", "SE-001439019")</f>
        <v>SE-001439019</v>
      </c>
      <c r="F13748" s="11"/>
      <c r="G13748" s="12">
        <v>0</v>
      </c>
      <c r="H13748" s="12">
        <v>0</v>
      </c>
      <c r="I13748" s="12">
        <v>0</v>
      </c>
      <c r="J13748" s="11"/>
      <c r="K13748" s="12">
        <v>0</v>
      </c>
      <c r="L13748" s="10" t="str">
        <f>HYPERLINK("https://otsuka-europe-crm.veevavault.com/ui/#object/approved_document__v/V5O00000001B037", "LUP - VAE Póster Adelphi - Reuma")</f>
        <v>LUP - VAE Póster Adelphi - Reuma</v>
      </c>
      <c r="M13748" s="10" t="str">
        <f>HYPERLINK("mailto:cmaroto@crm.otsuka-europe.com", "cmaroto@crm.otsuka-europe.com")</f>
        <v>cmaroto@crm.otsuka-europe.com</v>
      </c>
      <c r="N13748" s="13">
        <v>46203.656273148146</v>
      </c>
      <c r="O13748" s="14" t="str">
        <f>HYPERLINK("https://otsuka-europe-crm.veevavault.com/ui/#object/email_activity__v/V8C000000042661", "EN-002101011")</f>
        <v>EN-002101011</v>
      </c>
    </row>
    <row r="13749" spans="1:15" ht="32" x14ac:dyDescent="0.2">
      <c r="A13749" s="7" t="str">
        <f>HYPERLINK("https://otsuka-europe-crm.veevavault.com/ui/#object/account__v/V4TZ04ASGABZ2VC", "ADELA ALIA JIMENEZ")</f>
        <v>ADELA ALIA JIMENEZ</v>
      </c>
      <c r="B13749" s="7" t="str">
        <f>HYPERLINK("https://otsuka-europe-crm.veevavault.com/ui/#object/vcountry__v/VENZ000004SONF5", "ES")</f>
        <v>ES</v>
      </c>
      <c r="C13749" s="8" t="s">
        <v>41</v>
      </c>
      <c r="D13749" s="9" t="str">
        <f>HYPERLINK("https://otsuka-europe-crm.veevavault.com/ui/#object/approved_document__v/V5O00000001B037", "LUP - VAE Póster Adelphi - Reuma")</f>
        <v>LUP - VAE Póster Adelphi - Reuma</v>
      </c>
      <c r="E13749" s="10" t="str">
        <f>HYPERLINK("https://otsuka-europe-crm.veevavault.com/ui/#object/sent_email__v/VBL00000002Y298", "SE-001439020")</f>
        <v>SE-001439020</v>
      </c>
      <c r="F13749" s="11"/>
      <c r="G13749" s="12">
        <v>0</v>
      </c>
      <c r="H13749" s="12">
        <v>0</v>
      </c>
      <c r="I13749" s="12">
        <v>0</v>
      </c>
      <c r="J13749" s="11"/>
      <c r="K13749" s="12">
        <v>0</v>
      </c>
      <c r="L13749" s="10" t="str">
        <f>HYPERLINK("https://otsuka-europe-crm.veevavault.com/ui/#object/approved_document__v/V5O00000001B037", "LUP - VAE Póster Adelphi - Reuma")</f>
        <v>LUP - VAE Póster Adelphi - Reuma</v>
      </c>
      <c r="M13749" s="10" t="str">
        <f>HYPERLINK("mailto:cmaroto@crm.otsuka-europe.com", "cmaroto@crm.otsuka-europe.com")</f>
        <v>cmaroto@crm.otsuka-europe.com</v>
      </c>
      <c r="N13749" s="13">
        <v>46203.656273148146</v>
      </c>
      <c r="O13749" s="14" t="str">
        <f>HYPERLINK("https://otsuka-europe-crm.veevavault.com/ui/#object/email_activity__v/V8C000000042651", "EN-002101001")</f>
        <v>EN-002101001</v>
      </c>
    </row>
    <row r="13750" spans="1:15" ht="16" x14ac:dyDescent="0.2">
      <c r="A13750" s="17" t="str">
        <f>HYPERLINK("https://otsuka-europe-crm.veevavault.com/ui/#object/account__v/V4TZ04ASGAPA4M6", "JUAN ANTONIO MARTINEZ LOPEZ")</f>
        <v>JUAN ANTONIO MARTINEZ LOPEZ</v>
      </c>
      <c r="B13750" s="17" t="str">
        <f>HYPERLINK("https://otsuka-europe-crm.veevavault.com/ui/#object/vcountry__v/VENZ000004SONF5", "ES")</f>
        <v>ES</v>
      </c>
      <c r="C13750" s="20" t="s">
        <v>41</v>
      </c>
      <c r="D13750" s="21" t="str">
        <f>HYPERLINK("https://otsuka-europe-crm.veevavault.com/ui/#object/approved_document__v/V5O00000001B037", "LUP - VAE Póster Adelphi - Reuma")</f>
        <v>LUP - VAE Póster Adelphi - Reuma</v>
      </c>
      <c r="E13750" s="22" t="str">
        <f>HYPERLINK("https://otsuka-europe-crm.veevavault.com/ui/#object/sent_email__v/VBL00000002Y299", "SE-001439021")</f>
        <v>SE-001439021</v>
      </c>
      <c r="F13750" s="23">
        <v>46203.661886574075</v>
      </c>
      <c r="G13750" s="24">
        <v>1</v>
      </c>
      <c r="H13750" s="24">
        <v>4</v>
      </c>
      <c r="I13750" s="24">
        <v>0</v>
      </c>
      <c r="J13750" s="25"/>
      <c r="K13750" s="24">
        <v>0</v>
      </c>
      <c r="L13750" s="22" t="str">
        <f>HYPERLINK("https://otsuka-europe-crm.veevavault.com/ui/#object/approved_document__v/V5O00000001B037", "LUP - VAE Póster Adelphi - Reuma")</f>
        <v>LUP - VAE Póster Adelphi - Reuma</v>
      </c>
      <c r="M13750" s="22" t="str">
        <f>HYPERLINK("mailto:cmaroto@crm.otsuka-europe.com", "cmaroto@crm.otsuka-europe.com")</f>
        <v>cmaroto@crm.otsuka-europe.com</v>
      </c>
      <c r="N13750" s="23">
        <v>46203.656273148146</v>
      </c>
      <c r="O13750" s="14" t="str">
        <f>HYPERLINK("https://otsuka-europe-crm.veevavault.com/ui/#object/email_activity__v/V8C000000041674", "EN-002101037")</f>
        <v>EN-002101037</v>
      </c>
    </row>
    <row r="13751" spans="1:15" ht="16" x14ac:dyDescent="0.2">
      <c r="A13751" s="18"/>
      <c r="B13751" s="18"/>
      <c r="C13751" s="18"/>
      <c r="D13751" s="18"/>
      <c r="E13751" s="18"/>
      <c r="F13751" s="18"/>
      <c r="G13751" s="18"/>
      <c r="H13751" s="18"/>
      <c r="I13751" s="18"/>
      <c r="J13751" s="18"/>
      <c r="K13751" s="18"/>
      <c r="L13751" s="18"/>
      <c r="M13751" s="18"/>
      <c r="N13751" s="18"/>
      <c r="O13751" s="14" t="str">
        <f>HYPERLINK("https://otsuka-europe-crm.veevavault.com/ui/#object/email_activity__v/V8C000000041675", "EN-002101038")</f>
        <v>EN-002101038</v>
      </c>
    </row>
    <row r="13752" spans="1:15" ht="16" x14ac:dyDescent="0.2">
      <c r="A13752" s="18"/>
      <c r="B13752" s="18"/>
      <c r="C13752" s="18"/>
      <c r="D13752" s="18"/>
      <c r="E13752" s="18"/>
      <c r="F13752" s="18"/>
      <c r="G13752" s="18"/>
      <c r="H13752" s="18"/>
      <c r="I13752" s="18"/>
      <c r="J13752" s="18"/>
      <c r="K13752" s="18"/>
      <c r="L13752" s="18"/>
      <c r="M13752" s="18"/>
      <c r="N13752" s="18"/>
      <c r="O13752" s="14" t="str">
        <f>HYPERLINK("https://otsuka-europe-crm.veevavault.com/ui/#object/email_activity__v/V8C000000041676", "EN-002101039")</f>
        <v>EN-002101039</v>
      </c>
    </row>
    <row r="13753" spans="1:15" ht="16" x14ac:dyDescent="0.2">
      <c r="A13753" s="18"/>
      <c r="B13753" s="18"/>
      <c r="C13753" s="18"/>
      <c r="D13753" s="18"/>
      <c r="E13753" s="18"/>
      <c r="F13753" s="18"/>
      <c r="G13753" s="18"/>
      <c r="H13753" s="18"/>
      <c r="I13753" s="18"/>
      <c r="J13753" s="18"/>
      <c r="K13753" s="18"/>
      <c r="L13753" s="18"/>
      <c r="M13753" s="18"/>
      <c r="N13753" s="18"/>
      <c r="O13753" s="14" t="str">
        <f>HYPERLINK("https://otsuka-europe-crm.veevavault.com/ui/#object/email_activity__v/V8C000000041677", "EN-002101040")</f>
        <v>EN-002101040</v>
      </c>
    </row>
    <row r="13754" spans="1:15" ht="16" x14ac:dyDescent="0.2">
      <c r="A13754" s="19"/>
      <c r="B13754" s="19"/>
      <c r="C13754" s="19"/>
      <c r="D13754" s="19"/>
      <c r="E13754" s="19"/>
      <c r="F13754" s="19"/>
      <c r="G13754" s="19"/>
      <c r="H13754" s="19"/>
      <c r="I13754" s="19"/>
      <c r="J13754" s="19"/>
      <c r="K13754" s="19"/>
      <c r="L13754" s="19"/>
      <c r="M13754" s="19"/>
      <c r="N13754" s="19"/>
      <c r="O13754" s="14" t="str">
        <f>HYPERLINK("https://otsuka-europe-crm.veevavault.com/ui/#object/email_activity__v/V8C000000042659", "EN-002101009")</f>
        <v>EN-002101009</v>
      </c>
    </row>
    <row r="13755" spans="1:15" ht="32" x14ac:dyDescent="0.2">
      <c r="A13755" s="7" t="str">
        <f>HYPERLINK("https://otsuka-europe-crm.veevavault.com/ui/#object/account__v/V4TZ04ASGBXC95A", "SILVIA MONTES GARCIA")</f>
        <v>SILVIA MONTES GARCIA</v>
      </c>
      <c r="B13755" s="7" t="str">
        <f t="shared" ref="B13755:B13761" si="981">HYPERLINK("https://otsuka-europe-crm.veevavault.com/ui/#object/vcountry__v/VENZ000004SONF5", "ES")</f>
        <v>ES</v>
      </c>
      <c r="C13755" s="8" t="s">
        <v>41</v>
      </c>
      <c r="D13755" s="9" t="str">
        <f t="shared" ref="D13755:D13761" si="982">HYPERLINK("https://otsuka-europe-crm.veevavault.com/ui/#object/approved_document__v/V5O00000001B037", "LUP - VAE Póster Adelphi - Reuma")</f>
        <v>LUP - VAE Póster Adelphi - Reuma</v>
      </c>
      <c r="E13755" s="10" t="str">
        <f>HYPERLINK("https://otsuka-europe-crm.veevavault.com/ui/#object/sent_email__v/VBL00000002Y300", "SE-001439022")</f>
        <v>SE-001439022</v>
      </c>
      <c r="F13755" s="11"/>
      <c r="G13755" s="12">
        <v>0</v>
      </c>
      <c r="H13755" s="12">
        <v>0</v>
      </c>
      <c r="I13755" s="12">
        <v>0</v>
      </c>
      <c r="J13755" s="11"/>
      <c r="K13755" s="12">
        <v>0</v>
      </c>
      <c r="L13755" s="10" t="str">
        <f t="shared" ref="L13755:L13761" si="983">HYPERLINK("https://otsuka-europe-crm.veevavault.com/ui/#object/approved_document__v/V5O00000001B037", "LUP - VAE Póster Adelphi - Reuma")</f>
        <v>LUP - VAE Póster Adelphi - Reuma</v>
      </c>
      <c r="M13755" s="10" t="str">
        <f t="shared" ref="M13755:M13761" si="984">HYPERLINK("mailto:cmaroto@crm.otsuka-europe.com", "cmaroto@crm.otsuka-europe.com")</f>
        <v>cmaroto@crm.otsuka-europe.com</v>
      </c>
      <c r="N13755" s="13">
        <v>46203.656273148146</v>
      </c>
      <c r="O13755" s="14" t="str">
        <f>HYPERLINK("https://otsuka-europe-crm.veevavault.com/ui/#object/email_activity__v/V8C000000042654", "EN-002101004")</f>
        <v>EN-002101004</v>
      </c>
    </row>
    <row r="13756" spans="1:15" ht="32" x14ac:dyDescent="0.2">
      <c r="A13756" s="7" t="str">
        <f>HYPERLINK("https://otsuka-europe-crm.veevavault.com/ui/#object/account__v/V4TZ04ASGBXC915", "NATIVIDAD CARO FERNANDEZ")</f>
        <v>NATIVIDAD CARO FERNANDEZ</v>
      </c>
      <c r="B13756" s="7" t="str">
        <f t="shared" si="981"/>
        <v>ES</v>
      </c>
      <c r="C13756" s="8" t="s">
        <v>41</v>
      </c>
      <c r="D13756" s="9" t="str">
        <f t="shared" si="982"/>
        <v>LUP - VAE Póster Adelphi - Reuma</v>
      </c>
      <c r="E13756" s="10" t="str">
        <f>HYPERLINK("https://otsuka-europe-crm.veevavault.com/ui/#object/sent_email__v/VBL00000002Y301", "SE-001439023")</f>
        <v>SE-001439023</v>
      </c>
      <c r="F13756" s="11"/>
      <c r="G13756" s="12">
        <v>0</v>
      </c>
      <c r="H13756" s="12">
        <v>0</v>
      </c>
      <c r="I13756" s="12">
        <v>0</v>
      </c>
      <c r="J13756" s="11"/>
      <c r="K13756" s="12">
        <v>0</v>
      </c>
      <c r="L13756" s="10" t="str">
        <f t="shared" si="983"/>
        <v>LUP - VAE Póster Adelphi - Reuma</v>
      </c>
      <c r="M13756" s="10" t="str">
        <f t="shared" si="984"/>
        <v>cmaroto@crm.otsuka-europe.com</v>
      </c>
      <c r="N13756" s="13">
        <v>46203.656273148146</v>
      </c>
      <c r="O13756" s="14" t="str">
        <f>HYPERLINK("https://otsuka-europe-crm.veevavault.com/ui/#object/email_activity__v/V8C000000042653", "EN-002101003")</f>
        <v>EN-002101003</v>
      </c>
    </row>
    <row r="13757" spans="1:15" ht="32" x14ac:dyDescent="0.2">
      <c r="A13757" s="7" t="str">
        <f>HYPERLINK("https://otsuka-europe-crm.veevavault.com/ui/#object/account__v/V4TZ04ASGE05KZ6", "MARCO AURELIO RAMIREZ HUARANGA")</f>
        <v>MARCO AURELIO RAMIREZ HUARANGA</v>
      </c>
      <c r="B13757" s="7" t="str">
        <f t="shared" si="981"/>
        <v>ES</v>
      </c>
      <c r="C13757" s="8" t="s">
        <v>41</v>
      </c>
      <c r="D13757" s="9" t="str">
        <f t="shared" si="982"/>
        <v>LUP - VAE Póster Adelphi - Reuma</v>
      </c>
      <c r="E13757" s="10" t="str">
        <f>HYPERLINK("https://otsuka-europe-crm.veevavault.com/ui/#object/sent_email__v/VBL00000002Y302", "SE-001439024")</f>
        <v>SE-001439024</v>
      </c>
      <c r="F13757" s="11"/>
      <c r="G13757" s="12">
        <v>0</v>
      </c>
      <c r="H13757" s="12">
        <v>0</v>
      </c>
      <c r="I13757" s="12">
        <v>0</v>
      </c>
      <c r="J13757" s="11"/>
      <c r="K13757" s="12">
        <v>0</v>
      </c>
      <c r="L13757" s="10" t="str">
        <f t="shared" si="983"/>
        <v>LUP - VAE Póster Adelphi - Reuma</v>
      </c>
      <c r="M13757" s="10" t="str">
        <f t="shared" si="984"/>
        <v>cmaroto@crm.otsuka-europe.com</v>
      </c>
      <c r="N13757" s="13">
        <v>46203.656261574077</v>
      </c>
      <c r="O13757" s="14" t="str">
        <f>HYPERLINK("https://otsuka-europe-crm.veevavault.com/ui/#object/email_activity__v/V8C000000042665", "EN-002101015")</f>
        <v>EN-002101015</v>
      </c>
    </row>
    <row r="13758" spans="1:15" ht="32" x14ac:dyDescent="0.2">
      <c r="A13758" s="7" t="str">
        <f>HYPERLINK("https://otsuka-europe-crm.veevavault.com/ui/#object/account__v/V4TZ04ASGC47POP", "MARCOS PAULINO HUERTAS")</f>
        <v>MARCOS PAULINO HUERTAS</v>
      </c>
      <c r="B13758" s="7" t="str">
        <f t="shared" si="981"/>
        <v>ES</v>
      </c>
      <c r="C13758" s="8" t="s">
        <v>41</v>
      </c>
      <c r="D13758" s="9" t="str">
        <f t="shared" si="982"/>
        <v>LUP - VAE Póster Adelphi - Reuma</v>
      </c>
      <c r="E13758" s="10" t="str">
        <f>HYPERLINK("https://otsuka-europe-crm.veevavault.com/ui/#object/sent_email__v/VBL00000002Y303", "SE-001439025")</f>
        <v>SE-001439025</v>
      </c>
      <c r="F13758" s="11"/>
      <c r="G13758" s="12">
        <v>0</v>
      </c>
      <c r="H13758" s="12">
        <v>0</v>
      </c>
      <c r="I13758" s="12">
        <v>0</v>
      </c>
      <c r="J13758" s="11"/>
      <c r="K13758" s="12">
        <v>0</v>
      </c>
      <c r="L13758" s="10" t="str">
        <f t="shared" si="983"/>
        <v>LUP - VAE Póster Adelphi - Reuma</v>
      </c>
      <c r="M13758" s="10" t="str">
        <f t="shared" si="984"/>
        <v>cmaroto@crm.otsuka-europe.com</v>
      </c>
      <c r="N13758" s="13">
        <v>46203.656273148146</v>
      </c>
      <c r="O13758" s="14" t="str">
        <f>HYPERLINK("https://otsuka-europe-crm.veevavault.com/ui/#object/email_activity__v/V8C000000042648", "EN-002100998")</f>
        <v>EN-002100998</v>
      </c>
    </row>
    <row r="13759" spans="1:15" ht="32" x14ac:dyDescent="0.2">
      <c r="A13759" s="7" t="str">
        <f>HYPERLINK("https://otsuka-europe-crm.veevavault.com/ui/#object/account__v/V4TZ04ASGAOWLBL", "ANGEL MARIA GARCIA APARICIO")</f>
        <v>ANGEL MARIA GARCIA APARICIO</v>
      </c>
      <c r="B13759" s="7" t="str">
        <f t="shared" si="981"/>
        <v>ES</v>
      </c>
      <c r="C13759" s="8" t="s">
        <v>41</v>
      </c>
      <c r="D13759" s="9" t="str">
        <f t="shared" si="982"/>
        <v>LUP - VAE Póster Adelphi - Reuma</v>
      </c>
      <c r="E13759" s="10" t="str">
        <f>HYPERLINK("https://otsuka-europe-crm.veevavault.com/ui/#object/sent_email__v/VBL00000002Y304", "SE-001439026")</f>
        <v>SE-001439026</v>
      </c>
      <c r="F13759" s="11"/>
      <c r="G13759" s="12">
        <v>0</v>
      </c>
      <c r="H13759" s="12">
        <v>0</v>
      </c>
      <c r="I13759" s="12">
        <v>0</v>
      </c>
      <c r="J13759" s="11"/>
      <c r="K13759" s="12">
        <v>0</v>
      </c>
      <c r="L13759" s="10" t="str">
        <f t="shared" si="983"/>
        <v>LUP - VAE Póster Adelphi - Reuma</v>
      </c>
      <c r="M13759" s="10" t="str">
        <f t="shared" si="984"/>
        <v>cmaroto@crm.otsuka-europe.com</v>
      </c>
      <c r="N13759" s="13">
        <v>46203.656273148146</v>
      </c>
      <c r="O13759" s="14" t="str">
        <f>HYPERLINK("https://otsuka-europe-crm.veevavault.com/ui/#object/email_activity__v/V8C000000042666", "EN-002101016")</f>
        <v>EN-002101016</v>
      </c>
    </row>
    <row r="13760" spans="1:15" ht="32" x14ac:dyDescent="0.2">
      <c r="A13760" s="7" t="str">
        <f>HYPERLINK("https://otsuka-europe-crm.veevavault.com/ui/#object/account__v/V4TZ04ASGC4AYQQ", "VERONICA SALAS MANZANEDO")</f>
        <v>VERONICA SALAS MANZANEDO</v>
      </c>
      <c r="B13760" s="7" t="str">
        <f t="shared" si="981"/>
        <v>ES</v>
      </c>
      <c r="C13760" s="8" t="s">
        <v>41</v>
      </c>
      <c r="D13760" s="9" t="str">
        <f t="shared" si="982"/>
        <v>LUP - VAE Póster Adelphi - Reuma</v>
      </c>
      <c r="E13760" s="10" t="str">
        <f>HYPERLINK("https://otsuka-europe-crm.veevavault.com/ui/#object/sent_email__v/VBL00000002Y305", "SE-001439027")</f>
        <v>SE-001439027</v>
      </c>
      <c r="F13760" s="11"/>
      <c r="G13760" s="12">
        <v>0</v>
      </c>
      <c r="H13760" s="12">
        <v>0</v>
      </c>
      <c r="I13760" s="12">
        <v>0</v>
      </c>
      <c r="J13760" s="11"/>
      <c r="K13760" s="12">
        <v>0</v>
      </c>
      <c r="L13760" s="10" t="str">
        <f t="shared" si="983"/>
        <v>LUP - VAE Póster Adelphi - Reuma</v>
      </c>
      <c r="M13760" s="10" t="str">
        <f t="shared" si="984"/>
        <v>cmaroto@crm.otsuka-europe.com</v>
      </c>
      <c r="N13760" s="13">
        <v>46203.656273148146</v>
      </c>
      <c r="O13760" s="14" t="str">
        <f>HYPERLINK("https://otsuka-europe-crm.veevavault.com/ui/#object/email_activity__v/V8C000000042650", "EN-002101000")</f>
        <v>EN-002101000</v>
      </c>
    </row>
    <row r="13761" spans="1:15" ht="16" x14ac:dyDescent="0.2">
      <c r="A13761" s="17" t="str">
        <f>HYPERLINK("https://otsuka-europe-crm.veevavault.com/ui/#object/account__v/V4TZ04ASGABWN5R", "ANTIA ASUNCION GARCIA FERNANDEZ")</f>
        <v>ANTIA ASUNCION GARCIA FERNANDEZ</v>
      </c>
      <c r="B13761" s="17" t="str">
        <f t="shared" si="981"/>
        <v>ES</v>
      </c>
      <c r="C13761" s="20" t="s">
        <v>41</v>
      </c>
      <c r="D13761" s="21" t="str">
        <f t="shared" si="982"/>
        <v>LUP - VAE Póster Adelphi - Reuma</v>
      </c>
      <c r="E13761" s="22" t="str">
        <f>HYPERLINK("https://otsuka-europe-crm.veevavault.com/ui/#object/sent_email__v/VBL00000002Y306", "SE-001439028")</f>
        <v>SE-001439028</v>
      </c>
      <c r="F13761" s="23">
        <v>46203.673854166664</v>
      </c>
      <c r="G13761" s="24">
        <v>1</v>
      </c>
      <c r="H13761" s="24">
        <v>2</v>
      </c>
      <c r="I13761" s="24">
        <v>1</v>
      </c>
      <c r="J13761" s="23">
        <v>46203.673981481479</v>
      </c>
      <c r="K13761" s="24">
        <v>1</v>
      </c>
      <c r="L13761" s="22" t="str">
        <f t="shared" si="983"/>
        <v>LUP - VAE Póster Adelphi - Reuma</v>
      </c>
      <c r="M13761" s="22" t="str">
        <f t="shared" si="984"/>
        <v>cmaroto@crm.otsuka-europe.com</v>
      </c>
      <c r="N13761" s="23">
        <v>46203.656273148146</v>
      </c>
      <c r="O13761" s="14" t="str">
        <f>HYPERLINK("https://otsuka-europe-crm.veevavault.com/ui/#object/email_activity__v/V8C000000041680", "EN-002101045")</f>
        <v>EN-002101045</v>
      </c>
    </row>
    <row r="13762" spans="1:15" ht="16" x14ac:dyDescent="0.2">
      <c r="A13762" s="18"/>
      <c r="B13762" s="18"/>
      <c r="C13762" s="18"/>
      <c r="D13762" s="18"/>
      <c r="E13762" s="18"/>
      <c r="F13762" s="18"/>
      <c r="G13762" s="18"/>
      <c r="H13762" s="18"/>
      <c r="I13762" s="18"/>
      <c r="J13762" s="18"/>
      <c r="K13762" s="18"/>
      <c r="L13762" s="18"/>
      <c r="M13762" s="18"/>
      <c r="N13762" s="18"/>
      <c r="O13762" s="14" t="str">
        <f>HYPERLINK("https://otsuka-europe-crm.veevavault.com/ui/#object/email_activity__v/V8C000000041681", "EN-002101046")</f>
        <v>EN-002101046</v>
      </c>
    </row>
    <row r="13763" spans="1:15" ht="16" x14ac:dyDescent="0.2">
      <c r="A13763" s="18"/>
      <c r="B13763" s="18"/>
      <c r="C13763" s="18"/>
      <c r="D13763" s="18"/>
      <c r="E13763" s="18"/>
      <c r="F13763" s="18"/>
      <c r="G13763" s="18"/>
      <c r="H13763" s="18"/>
      <c r="I13763" s="18"/>
      <c r="J13763" s="18"/>
      <c r="K13763" s="18"/>
      <c r="L13763" s="18"/>
      <c r="M13763" s="18"/>
      <c r="N13763" s="18"/>
      <c r="O13763" s="14" t="str">
        <f>HYPERLINK("https://otsuka-europe-crm.veevavault.com/ui/#object/email_activity__v/V8C000000041682", "EN-002101047")</f>
        <v>EN-002101047</v>
      </c>
    </row>
    <row r="13764" spans="1:15" ht="16" x14ac:dyDescent="0.2">
      <c r="A13764" s="18"/>
      <c r="B13764" s="18"/>
      <c r="C13764" s="18"/>
      <c r="D13764" s="18"/>
      <c r="E13764" s="18"/>
      <c r="F13764" s="18"/>
      <c r="G13764" s="18"/>
      <c r="H13764" s="18"/>
      <c r="I13764" s="18"/>
      <c r="J13764" s="18"/>
      <c r="K13764" s="18"/>
      <c r="L13764" s="18"/>
      <c r="M13764" s="18"/>
      <c r="N13764" s="18"/>
      <c r="O13764" s="14" t="str">
        <f>HYPERLINK("https://otsuka-europe-crm.veevavault.com/ui/#object/email_activity__v/V8C000000042675", "EN-002101025")</f>
        <v>EN-002101025</v>
      </c>
    </row>
    <row r="13765" spans="1:15" ht="16" x14ac:dyDescent="0.2">
      <c r="A13765" s="18"/>
      <c r="B13765" s="18"/>
      <c r="C13765" s="18"/>
      <c r="D13765" s="18"/>
      <c r="E13765" s="18"/>
      <c r="F13765" s="18"/>
      <c r="G13765" s="18"/>
      <c r="H13765" s="18"/>
      <c r="I13765" s="18"/>
      <c r="J13765" s="18"/>
      <c r="K13765" s="18"/>
      <c r="L13765" s="18"/>
      <c r="M13765" s="18"/>
      <c r="N13765" s="18"/>
      <c r="O13765" s="14" t="str">
        <f>HYPERLINK("https://otsuka-europe-crm.veevavault.com/ui/#object/email_activity__v/V8C000000042700", "EN-002101066")</f>
        <v>EN-002101066</v>
      </c>
    </row>
    <row r="13766" spans="1:15" ht="16" x14ac:dyDescent="0.2">
      <c r="A13766" s="18"/>
      <c r="B13766" s="18"/>
      <c r="C13766" s="18"/>
      <c r="D13766" s="18"/>
      <c r="E13766" s="18"/>
      <c r="F13766" s="18"/>
      <c r="G13766" s="18"/>
      <c r="H13766" s="18"/>
      <c r="I13766" s="18"/>
      <c r="J13766" s="18"/>
      <c r="K13766" s="18"/>
      <c r="L13766" s="18"/>
      <c r="M13766" s="18"/>
      <c r="N13766" s="18"/>
      <c r="O13766" s="14" t="str">
        <f>HYPERLINK("https://otsuka-europe-crm.veevavault.com/ui/#object/email_activity__v/V8C000000042702", "EN-002101068")</f>
        <v>EN-002101068</v>
      </c>
    </row>
    <row r="13767" spans="1:15" ht="16" x14ac:dyDescent="0.2">
      <c r="A13767" s="19"/>
      <c r="B13767" s="19"/>
      <c r="C13767" s="19"/>
      <c r="D13767" s="19"/>
      <c r="E13767" s="19"/>
      <c r="F13767" s="19"/>
      <c r="G13767" s="19"/>
      <c r="H13767" s="19"/>
      <c r="I13767" s="19"/>
      <c r="J13767" s="19"/>
      <c r="K13767" s="19"/>
      <c r="L13767" s="19"/>
      <c r="M13767" s="19"/>
      <c r="N13767" s="19"/>
      <c r="O13767" s="14" t="str">
        <f>HYPERLINK("https://otsuka-europe-crm.veevavault.com/ui/#object/email_activity__v/V8C000000042703", "EN-002101069")</f>
        <v>EN-002101069</v>
      </c>
    </row>
    <row r="13768" spans="1:15" ht="32" x14ac:dyDescent="0.2">
      <c r="A13768" s="7" t="str">
        <f>HYPERLINK("https://otsuka-europe-crm.veevavault.com/ui/#object/account__v/V4TZ04ASGBCM2W1", "FREDESWINDA ISABEL ROMERO BUENO")</f>
        <v>FREDESWINDA ISABEL ROMERO BUENO</v>
      </c>
      <c r="B13768" s="7" t="str">
        <f>HYPERLINK("https://otsuka-europe-crm.veevavault.com/ui/#object/vcountry__v/VENZ000004SONF5", "ES")</f>
        <v>ES</v>
      </c>
      <c r="C13768" s="8" t="s">
        <v>41</v>
      </c>
      <c r="D13768" s="9" t="str">
        <f>HYPERLINK("https://otsuka-europe-crm.veevavault.com/ui/#object/approved_document__v/V5O00000001B037", "LUP - VAE Póster Adelphi - Reuma")</f>
        <v>LUP - VAE Póster Adelphi - Reuma</v>
      </c>
      <c r="E13768" s="10" t="str">
        <f>HYPERLINK("https://otsuka-europe-crm.veevavault.com/ui/#object/sent_email__v/VBL00000002Y307", "SE-001439029")</f>
        <v>SE-001439029</v>
      </c>
      <c r="F13768" s="11"/>
      <c r="G13768" s="12">
        <v>0</v>
      </c>
      <c r="H13768" s="12">
        <v>0</v>
      </c>
      <c r="I13768" s="12">
        <v>0</v>
      </c>
      <c r="J13768" s="11"/>
      <c r="K13768" s="12">
        <v>0</v>
      </c>
      <c r="L13768" s="10" t="str">
        <f>HYPERLINK("https://otsuka-europe-crm.veevavault.com/ui/#object/approved_document__v/V5O00000001B037", "LUP - VAE Póster Adelphi - Reuma")</f>
        <v>LUP - VAE Póster Adelphi - Reuma</v>
      </c>
      <c r="M13768" s="10" t="str">
        <f>HYPERLINK("mailto:cmaroto@crm.otsuka-europe.com", "cmaroto@crm.otsuka-europe.com")</f>
        <v>cmaroto@crm.otsuka-europe.com</v>
      </c>
      <c r="N13768" s="13">
        <v>46203.656273148146</v>
      </c>
      <c r="O13768" s="14" t="str">
        <f>HYPERLINK("https://otsuka-europe-crm.veevavault.com/ui/#object/email_activity__v/V8C000000042668", "EN-002101018")</f>
        <v>EN-002101018</v>
      </c>
    </row>
    <row r="13769" spans="1:15" ht="32" x14ac:dyDescent="0.2">
      <c r="A13769" s="7" t="str">
        <f>HYPERLINK("https://otsuka-europe-crm.veevavault.com/ui/#object/account__v/V4TZ00000633QHU", "KAMAL DJEBBAR")</f>
        <v>KAMAL DJEBBAR</v>
      </c>
      <c r="B13769" s="7" t="str">
        <f>HYPERLINK("https://otsuka-europe-crm.veevavault.com/ui/#object/vcountry__v/VENZ000004SONFA", "FR")</f>
        <v>FR</v>
      </c>
      <c r="C13769" s="8" t="s">
        <v>42</v>
      </c>
      <c r="D13769" s="9" t="str">
        <f>HYPERLINK("https://otsuka-europe-crm.veevavault.com/ui/#object/approved_document__v/V5OZ04ASG4G02Y6", "INVITATION_VAD_2023")</f>
        <v>INVITATION_VAD_2023</v>
      </c>
      <c r="E13769" s="10" t="str">
        <f>HYPERLINK("https://otsuka-europe-crm.veevavault.com/ui/#object/sent_email__v/VBL00000002Y308", "SE-001439030")</f>
        <v>SE-001439030</v>
      </c>
      <c r="F13769" s="11"/>
      <c r="G13769" s="12">
        <v>0</v>
      </c>
      <c r="H13769" s="12">
        <v>0</v>
      </c>
      <c r="I13769" s="12">
        <v>0</v>
      </c>
      <c r="J13769" s="11"/>
      <c r="K13769" s="12">
        <v>0</v>
      </c>
      <c r="L13769" s="10" t="str">
        <f>HYPERLINK("https://otsuka-europe-crm.veevavault.com/ui/#object/approved_document__v/V5OZ04ASG4G02Y6", "INVITATION_VAD_2023")</f>
        <v>INVITATION_VAD_2023</v>
      </c>
      <c r="M13769" s="10" t="str">
        <f>HYPERLINK("mailto:kpoperen@crm.otsuka-europe.com", "kpoperen@crm.otsuka-europe.com")</f>
        <v>kpoperen@crm.otsuka-europe.com</v>
      </c>
      <c r="N13769" s="13">
        <v>46203.719143518516</v>
      </c>
      <c r="O13769" s="14" t="str">
        <f>HYPERLINK("https://otsuka-europe-crm.veevavault.com/ui/#object/email_activity__v/V8C000000041696", "EN-002101073")</f>
        <v>EN-002101073</v>
      </c>
    </row>
    <row r="13770" spans="1:15" ht="32" x14ac:dyDescent="0.2">
      <c r="A13770" s="7" t="str">
        <f>HYPERLINK("https://otsuka-europe-crm.veevavault.com/ui/#object/account__v/V4TZ00000633SPR", "MARIE MADELEINE GROSBOIS")</f>
        <v>MARIE MADELEINE GROSBOIS</v>
      </c>
      <c r="B13770" s="7" t="str">
        <f>HYPERLINK("https://otsuka-europe-crm.veevavault.com/ui/#object/vcountry__v/VENZ000004SONFA", "FR")</f>
        <v>FR</v>
      </c>
      <c r="C13770" s="8" t="s">
        <v>42</v>
      </c>
      <c r="D13770" s="9" t="str">
        <f>HYPERLINK("https://otsuka-europe-crm.veevavault.com/ui/#object/approved_document__v/V5OZ04ASG4G02Y6", "INVITATION_VAD_2023")</f>
        <v>INVITATION_VAD_2023</v>
      </c>
      <c r="E13770" s="10" t="str">
        <f>HYPERLINK("https://otsuka-europe-crm.veevavault.com/ui/#object/sent_email__v/VBL00000002Y309", "SE-001439031")</f>
        <v>SE-001439031</v>
      </c>
      <c r="F13770" s="11"/>
      <c r="G13770" s="12">
        <v>0</v>
      </c>
      <c r="H13770" s="12">
        <v>0</v>
      </c>
      <c r="I13770" s="12">
        <v>0</v>
      </c>
      <c r="J13770" s="11"/>
      <c r="K13770" s="12">
        <v>0</v>
      </c>
      <c r="L13770" s="10" t="str">
        <f>HYPERLINK("https://otsuka-europe-crm.veevavault.com/ui/#object/approved_document__v/V5OZ04ASG4G02Y6", "INVITATION_VAD_2023")</f>
        <v>INVITATION_VAD_2023</v>
      </c>
      <c r="M13770" s="10" t="str">
        <f>HYPERLINK("mailto:kpoperen@crm.otsuka-europe.com", "kpoperen@crm.otsuka-europe.com")</f>
        <v>kpoperen@crm.otsuka-europe.com</v>
      </c>
      <c r="N13770" s="13">
        <v>46203.719143518516</v>
      </c>
      <c r="O13770" s="14" t="str">
        <f>HYPERLINK("https://otsuka-europe-crm.veevavault.com/ui/#object/email_activity__v/V8C000000041695", "EN-002101072")</f>
        <v>EN-002101072</v>
      </c>
    </row>
    <row r="13771" spans="1:15" ht="48" x14ac:dyDescent="0.2">
      <c r="A13771" s="7" t="str">
        <f>HYPERLINK("https://otsuka-europe-crm.veevavault.com/ui/#object/account__v/V4TZ06G6OB44SMD", "LUMINITA ELENA LUCA")</f>
        <v>LUMINITA ELENA LUCA</v>
      </c>
      <c r="B13771" s="7" t="str">
        <f>HYPERLINK("https://otsuka-europe-crm.veevavault.com/ui/#object/vcountry__v/VENZ000004SONFA", "FR")</f>
        <v>FR</v>
      </c>
      <c r="C13771" s="8" t="s">
        <v>42</v>
      </c>
      <c r="D13771" s="9" t="str">
        <f>HYPERLINK("https://otsuka-europe-crm.veevavault.com/ui/#object/approved_document__v/V5O000000019007", "REMERCIEMENTS PARCOURS DE SOINS HAE")</f>
        <v>REMERCIEMENTS PARCOURS DE SOINS HAE</v>
      </c>
      <c r="E13771" s="10" t="str">
        <f>HYPERLINK("https://otsuka-europe-crm.veevavault.com/ui/#object/sent_email__v/VBL00000002Z381", "SE-001439032")</f>
        <v>SE-001439032</v>
      </c>
      <c r="F13771" s="11"/>
      <c r="G13771" s="12">
        <v>0</v>
      </c>
      <c r="H13771" s="12">
        <v>0</v>
      </c>
      <c r="I13771" s="12">
        <v>0</v>
      </c>
      <c r="J13771" s="11"/>
      <c r="K13771" s="12">
        <v>0</v>
      </c>
      <c r="L13771" s="10" t="str">
        <f>HYPERLINK("https://otsuka-europe-crm.veevavault.com/ui/#object/approved_document__v/V5O000000019007", "REMERCIEMENTS PARCOURS DE SOINS HAE")</f>
        <v>REMERCIEMENTS PARCOURS DE SOINS HAE</v>
      </c>
      <c r="M13771" s="10" t="str">
        <f>HYPERLINK("mailto:lopizzi-delerat@crm.otsuka-europe.com", "lopizzi-delerat@crm.otsuka-europe.com")</f>
        <v>lopizzi-delerat@crm.otsuka-europe.com</v>
      </c>
      <c r="N13771" s="13">
        <v>46203.779872685183</v>
      </c>
      <c r="O13771" s="14" t="str">
        <f>HYPERLINK("https://otsuka-europe-crm.veevavault.com/ui/#object/email_activity__v/V8C000000041707", "EN-002101098")</f>
        <v>EN-002101098</v>
      </c>
    </row>
    <row r="13772" spans="1:15" ht="16" x14ac:dyDescent="0.2">
      <c r="A13772" s="17" t="str">
        <f>HYPERLINK("https://otsuka-europe-crm.veevavault.com/ui/#object/account__v/V4TZ00000633J1E", "MANUEL DIAS ALVES")</f>
        <v>MANUEL DIAS ALVES</v>
      </c>
      <c r="B13772" s="17" t="str">
        <f>HYPERLINK("https://otsuka-europe-crm.veevavault.com/ui/#object/vcountry__v/VENZ000004SONFA", "FR")</f>
        <v>FR</v>
      </c>
      <c r="C13772" s="20" t="s">
        <v>42</v>
      </c>
      <c r="D13772" s="21" t="str">
        <f>HYPERLINK("https://otsuka-europe-crm.veevavault.com/ui/#object/approved_document__v/V5OZ04ASG4G02Y6", "INVITATION_VAD_2023")</f>
        <v>INVITATION_VAD_2023</v>
      </c>
      <c r="E13772" s="22" t="str">
        <f>HYPERLINK("https://otsuka-europe-crm.veevavault.com/ui/#object/sent_email__v/VBL00000002Y310", "SE-001439033")</f>
        <v>SE-001439033</v>
      </c>
      <c r="F13772" s="23">
        <v>46204.25508101852</v>
      </c>
      <c r="G13772" s="24">
        <v>1</v>
      </c>
      <c r="H13772" s="24">
        <v>3</v>
      </c>
      <c r="I13772" s="24">
        <v>0</v>
      </c>
      <c r="J13772" s="25"/>
      <c r="K13772" s="24">
        <v>0</v>
      </c>
      <c r="L13772" s="22" t="str">
        <f>HYPERLINK("https://otsuka-europe-crm.veevavault.com/ui/#object/approved_document__v/V5OZ04ASG4G02Y6", "INVITATION_VAD_2023")</f>
        <v>INVITATION_VAD_2023</v>
      </c>
      <c r="M13772" s="22" t="str">
        <f>HYPERLINK("mailto:kpoperen@crm.otsuka-europe.com", "kpoperen@crm.otsuka-europe.com")</f>
        <v>kpoperen@crm.otsuka-europe.com</v>
      </c>
      <c r="N13772" s="23">
        <v>46203.793564814812</v>
      </c>
      <c r="O13772" s="14" t="str">
        <f>HYPERLINK("https://otsuka-europe-crm.veevavault.com/ui/#object/email_activity__v/V8C000000041709", "EN-002101103")</f>
        <v>EN-002101103</v>
      </c>
    </row>
    <row r="13773" spans="1:15" ht="16" x14ac:dyDescent="0.2">
      <c r="A13773" s="18"/>
      <c r="B13773" s="18"/>
      <c r="C13773" s="18"/>
      <c r="D13773" s="18"/>
      <c r="E13773" s="18"/>
      <c r="F13773" s="18"/>
      <c r="G13773" s="18"/>
      <c r="H13773" s="18"/>
      <c r="I13773" s="18"/>
      <c r="J13773" s="18"/>
      <c r="K13773" s="18"/>
      <c r="L13773" s="18"/>
      <c r="M13773" s="18"/>
      <c r="N13773" s="18"/>
      <c r="O13773" s="14" t="str">
        <f>HYPERLINK("https://otsuka-europe-crm.veevavault.com/ui/#object/email_activity__v/V8C000000041749", "EN-002101176")</f>
        <v>EN-002101176</v>
      </c>
    </row>
    <row r="13774" spans="1:15" ht="16" x14ac:dyDescent="0.2">
      <c r="A13774" s="18"/>
      <c r="B13774" s="18"/>
      <c r="C13774" s="18"/>
      <c r="D13774" s="18"/>
      <c r="E13774" s="18"/>
      <c r="F13774" s="18"/>
      <c r="G13774" s="18"/>
      <c r="H13774" s="18"/>
      <c r="I13774" s="18"/>
      <c r="J13774" s="18"/>
      <c r="K13774" s="18"/>
      <c r="L13774" s="18"/>
      <c r="M13774" s="18"/>
      <c r="N13774" s="18"/>
      <c r="O13774" s="14" t="str">
        <f>HYPERLINK("https://otsuka-europe-crm.veevavault.com/ui/#object/email_activity__v/V8C000000041750", "EN-002101177")</f>
        <v>EN-002101177</v>
      </c>
    </row>
    <row r="13775" spans="1:15" ht="16" x14ac:dyDescent="0.2">
      <c r="A13775" s="19"/>
      <c r="B13775" s="19"/>
      <c r="C13775" s="19"/>
      <c r="D13775" s="19"/>
      <c r="E13775" s="19"/>
      <c r="F13775" s="19"/>
      <c r="G13775" s="19"/>
      <c r="H13775" s="19"/>
      <c r="I13775" s="19"/>
      <c r="J13775" s="19"/>
      <c r="K13775" s="19"/>
      <c r="L13775" s="19"/>
      <c r="M13775" s="19"/>
      <c r="N13775" s="19"/>
      <c r="O13775" s="14" t="str">
        <f>HYPERLINK("https://otsuka-europe-crm.veevavault.com/ui/#object/email_activity__v/V8C000000042722", "EN-002101101")</f>
        <v>EN-002101101</v>
      </c>
    </row>
    <row r="13776" spans="1:15" ht="32" x14ac:dyDescent="0.2">
      <c r="A13776" s="7" t="str">
        <f>HYPERLINK("https://otsuka-europe-crm.veevavault.com/ui/#object/account__v/V4T000000028046", "MARIA ANDREA BELTRAN GUERRERO")</f>
        <v>MARIA ANDREA BELTRAN GUERRERO</v>
      </c>
      <c r="B13776" s="7" t="str">
        <f>HYPERLINK("https://otsuka-europe-crm.veevavault.com/ui/#object/vcountry__v/VENZ000004SONF5", "ES")</f>
        <v>ES</v>
      </c>
      <c r="C13776" s="8" t="s">
        <v>41</v>
      </c>
      <c r="D13776" s="9" t="str">
        <f>HYPERLINK("https://otsuka-europe-crm.veevavault.com/ui/#object/approved_document__v/V5OZ06G6O6RFL1P", "ES Veeva Privacy Notice Email")</f>
        <v>ES Veeva Privacy Notice Email</v>
      </c>
      <c r="E13776" s="10" t="str">
        <f>HYPERLINK("https://otsuka-europe-crm.veevavault.com/ui/#object/sent_email__v/VBL00000002Y311", "SE-001439034")</f>
        <v>SE-001439034</v>
      </c>
      <c r="F13776" s="11"/>
      <c r="G13776" s="12">
        <v>0</v>
      </c>
      <c r="H13776" s="12">
        <v>0</v>
      </c>
      <c r="I13776" s="12">
        <v>0</v>
      </c>
      <c r="J13776" s="11"/>
      <c r="K13776" s="12">
        <v>0</v>
      </c>
      <c r="L13776" s="10" t="str">
        <f>HYPERLINK("https://otsuka-europe-crm.veevavault.com/ui/#object/approved_document__v/V5OZ06G6O6RFL1P", "ES Veeva Privacy Notice Email")</f>
        <v>ES Veeva Privacy Notice Email</v>
      </c>
      <c r="M13776" s="10" t="str">
        <f>HYPERLINK("mailto:mgravan@crm.otsuka-europe.com", "mgravan@crm.otsuka-europe.com")</f>
        <v>mgravan@crm.otsuka-europe.com</v>
      </c>
      <c r="N13776" s="13">
        <v>46203.945671296293</v>
      </c>
      <c r="O13776" s="14" t="str">
        <f>HYPERLINK("https://otsuka-europe-crm.veevavault.com/ui/#object/email_activity__v/V8C000000041729", "EN-002101143")</f>
        <v>EN-002101143</v>
      </c>
    </row>
    <row r="13777" spans="1:15" ht="16" x14ac:dyDescent="0.2">
      <c r="A13777" s="17" t="str">
        <f>HYPERLINK("https://otsuka-europe-crm.veevavault.com/ui/#object/account__v/V4T000000028046", "MARIA ANDREA BELTRAN GUERRERO")</f>
        <v>MARIA ANDREA BELTRAN GUERRERO</v>
      </c>
      <c r="B13777" s="17" t="str">
        <f>HYPERLINK("https://otsuka-europe-crm.veevavault.com/ui/#object/vcountry__v/VENZ000004SONF5", "ES")</f>
        <v>ES</v>
      </c>
      <c r="C13777" s="20" t="s">
        <v>41</v>
      </c>
      <c r="D13777" s="21" t="str">
        <f>HYPERLINK("https://otsuka-europe-crm.veevavault.com/ui/#object/approved_document__v/V5O00000000D100", "Spain - Consent Email 1 Aug 25")</f>
        <v>Spain - Consent Email 1 Aug 25</v>
      </c>
      <c r="E13777" s="22" t="str">
        <f>HYPERLINK("https://otsuka-europe-crm.veevavault.com/ui/#object/sent_email__v/VBL00000002Y312", "SE-001439035")</f>
        <v>SE-001439035</v>
      </c>
      <c r="F13777" s="23">
        <v>46204.322581018518</v>
      </c>
      <c r="G13777" s="24">
        <v>1</v>
      </c>
      <c r="H13777" s="24">
        <v>1</v>
      </c>
      <c r="I13777" s="24">
        <v>1</v>
      </c>
      <c r="J13777" s="23">
        <v>46204.322581018518</v>
      </c>
      <c r="K13777" s="24">
        <v>1</v>
      </c>
      <c r="L13777" s="22" t="str">
        <f>HYPERLINK("https://otsuka-europe-crm.veevavault.com/ui/#object/approved_document__v/V5O00000000D100", "Spain - Consent Email 1 Aug 25")</f>
        <v>Spain - Consent Email 1 Aug 25</v>
      </c>
      <c r="M13777" s="22" t="str">
        <f>HYPERLINK("mailto:mgravan@crm.otsuka-europe.com", "mgravan@crm.otsuka-europe.com")</f>
        <v>mgravan@crm.otsuka-europe.com</v>
      </c>
      <c r="N13777" s="23">
        <v>46203.946631944447</v>
      </c>
      <c r="O13777" s="14" t="str">
        <f>HYPERLINK("https://otsuka-europe-crm.veevavault.com/ui/#object/email_activity__v/V8C000000041732", "EN-002101146")</f>
        <v>EN-002101146</v>
      </c>
    </row>
    <row r="13778" spans="1:15" ht="16" x14ac:dyDescent="0.2">
      <c r="A13778" s="18"/>
      <c r="B13778" s="18"/>
      <c r="C13778" s="18"/>
      <c r="D13778" s="18"/>
      <c r="E13778" s="18"/>
      <c r="F13778" s="18"/>
      <c r="G13778" s="18"/>
      <c r="H13778" s="18"/>
      <c r="I13778" s="18"/>
      <c r="J13778" s="18"/>
      <c r="K13778" s="18"/>
      <c r="L13778" s="18"/>
      <c r="M13778" s="18"/>
      <c r="N13778" s="18"/>
      <c r="O13778" s="14" t="str">
        <f>HYPERLINK("https://otsuka-europe-crm.veevavault.com/ui/#object/email_activity__v/V8C000000042781", "EN-002101195")</f>
        <v>EN-002101195</v>
      </c>
    </row>
    <row r="13779" spans="1:15" ht="16" x14ac:dyDescent="0.2">
      <c r="A13779" s="19"/>
      <c r="B13779" s="19"/>
      <c r="C13779" s="19"/>
      <c r="D13779" s="19"/>
      <c r="E13779" s="19"/>
      <c r="F13779" s="19"/>
      <c r="G13779" s="19"/>
      <c r="H13779" s="19"/>
      <c r="I13779" s="19"/>
      <c r="J13779" s="19"/>
      <c r="K13779" s="19"/>
      <c r="L13779" s="19"/>
      <c r="M13779" s="19"/>
      <c r="N13779" s="19"/>
      <c r="O13779" s="14" t="str">
        <f>HYPERLINK("https://otsuka-europe-crm.veevavault.com/ui/#object/email_activity__v/V8C000000042782", "EN-002101194")</f>
        <v>EN-002101194</v>
      </c>
    </row>
    <row r="13780" spans="1:15" ht="16" x14ac:dyDescent="0.2">
      <c r="A13780" s="17" t="str">
        <f>HYPERLINK("https://otsuka-europe-crm.veevavault.com/ui/#object/account__v/V4T000000028046", "MARIA ANDREA BELTRAN GUERRERO")</f>
        <v>MARIA ANDREA BELTRAN GUERRERO</v>
      </c>
      <c r="B13780" s="17" t="str">
        <f>HYPERLINK("https://otsuka-europe-crm.veevavault.com/ui/#object/vcountry__v/VENZ000004SONF5", "ES")</f>
        <v>ES</v>
      </c>
      <c r="C13780" s="20" t="s">
        <v>41</v>
      </c>
      <c r="D13780" s="21" t="str">
        <f>HYPERLINK("https://otsuka-europe-crm.veevavault.com/ui/#object/approved_document__v/V5OZ04ASG4FWKA7", "Reuniones Online Consent - 2")</f>
        <v>Reuniones Online Consent - 2</v>
      </c>
      <c r="E13780" s="22" t="str">
        <f>HYPERLINK("https://otsuka-europe-crm.veevavault.com/ui/#object/sent_email__v/VBL00000002Y313", "SE-001439036")</f>
        <v>SE-001439036</v>
      </c>
      <c r="F13780" s="23">
        <v>46204.29247685185</v>
      </c>
      <c r="G13780" s="24">
        <v>1</v>
      </c>
      <c r="H13780" s="24">
        <v>1</v>
      </c>
      <c r="I13780" s="24">
        <v>1</v>
      </c>
      <c r="J13780" s="23">
        <v>46204.29247685185</v>
      </c>
      <c r="K13780" s="24">
        <v>1</v>
      </c>
      <c r="L13780" s="22" t="str">
        <f>HYPERLINK("https://otsuka-europe-crm.veevavault.com/ui/#object/approved_document__v/V5OZ04ASG4FWKA7", "Reuniones Online Consent - 2")</f>
        <v>Reuniones Online Consent - 2</v>
      </c>
      <c r="M13780" s="22" t="str">
        <f>HYPERLINK("mailto:mgravan@crm.otsuka-europe.com", "mgravan@crm.otsuka-europe.com")</f>
        <v>mgravan@crm.otsuka-europe.com</v>
      </c>
      <c r="N13780" s="23">
        <v>46203.946643518517</v>
      </c>
      <c r="O13780" s="14" t="str">
        <f>HYPERLINK("https://otsuka-europe-crm.veevavault.com/ui/#object/email_activity__v/V8C000000041731", "EN-002101145")</f>
        <v>EN-002101145</v>
      </c>
    </row>
    <row r="13781" spans="1:15" ht="16" x14ac:dyDescent="0.2">
      <c r="A13781" s="18"/>
      <c r="B13781" s="18"/>
      <c r="C13781" s="18"/>
      <c r="D13781" s="18"/>
      <c r="E13781" s="18"/>
      <c r="F13781" s="18"/>
      <c r="G13781" s="18"/>
      <c r="H13781" s="18"/>
      <c r="I13781" s="18"/>
      <c r="J13781" s="18"/>
      <c r="K13781" s="18"/>
      <c r="L13781" s="18"/>
      <c r="M13781" s="18"/>
      <c r="N13781" s="18"/>
      <c r="O13781" s="14" t="str">
        <f>HYPERLINK("https://otsuka-europe-crm.veevavault.com/ui/#object/email_activity__v/V8C000000042772", "EN-002101184")</f>
        <v>EN-002101184</v>
      </c>
    </row>
    <row r="13782" spans="1:15" ht="16" x14ac:dyDescent="0.2">
      <c r="A13782" s="19"/>
      <c r="B13782" s="19"/>
      <c r="C13782" s="19"/>
      <c r="D13782" s="19"/>
      <c r="E13782" s="19"/>
      <c r="F13782" s="19"/>
      <c r="G13782" s="19"/>
      <c r="H13782" s="19"/>
      <c r="I13782" s="19"/>
      <c r="J13782" s="19"/>
      <c r="K13782" s="19"/>
      <c r="L13782" s="19"/>
      <c r="M13782" s="19"/>
      <c r="N13782" s="19"/>
      <c r="O13782" s="14" t="str">
        <f>HYPERLINK("https://otsuka-europe-crm.veevavault.com/ui/#object/email_activity__v/V8C000000042773", "EN-002101183")</f>
        <v>EN-002101183</v>
      </c>
    </row>
    <row r="13783" spans="1:15" ht="16" x14ac:dyDescent="0.2">
      <c r="A13783" s="17" t="str">
        <f>HYPERLINK("https://otsuka-europe-crm.veevavault.com/ui/#object/account__v/V4T000000028046", "MARIA ANDREA BELTRAN GUERRERO")</f>
        <v>MARIA ANDREA BELTRAN GUERRERO</v>
      </c>
      <c r="B13783" s="17" t="str">
        <f>HYPERLINK("https://otsuka-europe-crm.veevavault.com/ui/#object/vcountry__v/VENZ000004SONF5", "ES")</f>
        <v>ES</v>
      </c>
      <c r="C13783" s="20" t="s">
        <v>41</v>
      </c>
      <c r="D13783" s="21" t="str">
        <f>HYPERLINK("https://otsuka-europe-crm.veevavault.com/ui/#object/approved_document__v/V5OZ04ASG4FWKA9", "Documento Autorizaciขn Centro Empleador")</f>
        <v>Documento Autorizaciขn Centro Empleador</v>
      </c>
      <c r="E13783" s="22" t="str">
        <f>HYPERLINK("https://otsuka-europe-crm.veevavault.com/ui/#object/sent_email__v/VBL00000002Y314", "SE-001439037")</f>
        <v>SE-001439037</v>
      </c>
      <c r="F13783" s="23">
        <v>46204.29210648148</v>
      </c>
      <c r="G13783" s="24">
        <v>1</v>
      </c>
      <c r="H13783" s="24">
        <v>1</v>
      </c>
      <c r="I13783" s="24">
        <v>1</v>
      </c>
      <c r="J13783" s="23">
        <v>46204.29210648148</v>
      </c>
      <c r="K13783" s="24">
        <v>1</v>
      </c>
      <c r="L13783" s="22" t="str">
        <f>HYPERLINK("https://otsuka-europe-crm.veevavault.com/ui/#object/approved_document__v/V5OZ04ASG4FWKA9", "Documento Autorizaciขn Centro Empleador")</f>
        <v>Documento Autorizaciขn Centro Empleador</v>
      </c>
      <c r="M13783" s="22" t="str">
        <f>HYPERLINK("mailto:mgravan@crm.otsuka-europe.com", "mgravan@crm.otsuka-europe.com")</f>
        <v>mgravan@crm.otsuka-europe.com</v>
      </c>
      <c r="N13783" s="23">
        <v>46203.946655092594</v>
      </c>
      <c r="O13783" s="14" t="str">
        <f>HYPERLINK("https://otsuka-europe-crm.veevavault.com/ui/#object/email_activity__v/V8C000000041730", "EN-002101144")</f>
        <v>EN-002101144</v>
      </c>
    </row>
    <row r="13784" spans="1:15" ht="16" x14ac:dyDescent="0.2">
      <c r="A13784" s="18"/>
      <c r="B13784" s="18"/>
      <c r="C13784" s="18"/>
      <c r="D13784" s="18"/>
      <c r="E13784" s="18"/>
      <c r="F13784" s="18"/>
      <c r="G13784" s="18"/>
      <c r="H13784" s="18"/>
      <c r="I13784" s="18"/>
      <c r="J13784" s="18"/>
      <c r="K13784" s="18"/>
      <c r="L13784" s="18"/>
      <c r="M13784" s="18"/>
      <c r="N13784" s="18"/>
      <c r="O13784" s="14" t="str">
        <f>HYPERLINK("https://otsuka-europe-crm.veevavault.com/ui/#object/email_activity__v/V8C000000042770", "EN-002101182")</f>
        <v>EN-002101182</v>
      </c>
    </row>
    <row r="13785" spans="1:15" ht="16" x14ac:dyDescent="0.2">
      <c r="A13785" s="19"/>
      <c r="B13785" s="19"/>
      <c r="C13785" s="19"/>
      <c r="D13785" s="19"/>
      <c r="E13785" s="19"/>
      <c r="F13785" s="19"/>
      <c r="G13785" s="19"/>
      <c r="H13785" s="19"/>
      <c r="I13785" s="19"/>
      <c r="J13785" s="19"/>
      <c r="K13785" s="19"/>
      <c r="L13785" s="19"/>
      <c r="M13785" s="19"/>
      <c r="N13785" s="19"/>
      <c r="O13785" s="14" t="str">
        <f>HYPERLINK("https://otsuka-europe-crm.veevavault.com/ui/#object/email_activity__v/V8C000000042771", "EN-002101181")</f>
        <v>EN-002101181</v>
      </c>
    </row>
    <row r="13786" spans="1:15" ht="32" x14ac:dyDescent="0.2">
      <c r="A13786" s="7" t="str">
        <f>HYPERLINK("https://otsuka-europe-crm.veevavault.com/ui/#object/account__v/V4T000000029063", "ANA BARRIOS VARGAS")</f>
        <v>ANA BARRIOS VARGAS</v>
      </c>
      <c r="B13786" s="7" t="str">
        <f>HYPERLINK("https://otsuka-europe-crm.veevavault.com/ui/#object/vcountry__v/VENZ000004SONF5", "ES")</f>
        <v>ES</v>
      </c>
      <c r="C13786" s="8" t="s">
        <v>41</v>
      </c>
      <c r="D13786" s="9" t="str">
        <f>HYPERLINK("https://otsuka-europe-crm.veevavault.com/ui/#object/approved_document__v/V5OZ06G6O6RFL1P", "ES Veeva Privacy Notice Email")</f>
        <v>ES Veeva Privacy Notice Email</v>
      </c>
      <c r="E13786" s="10" t="str">
        <f>HYPERLINK("https://otsuka-europe-crm.veevavault.com/ui/#object/sent_email__v/VBL00000002Y315", "SE-001439038")</f>
        <v>SE-001439038</v>
      </c>
      <c r="F13786" s="11"/>
      <c r="G13786" s="12">
        <v>0</v>
      </c>
      <c r="H13786" s="12">
        <v>0</v>
      </c>
      <c r="I13786" s="12">
        <v>0</v>
      </c>
      <c r="J13786" s="11"/>
      <c r="K13786" s="12">
        <v>0</v>
      </c>
      <c r="L13786" s="10" t="str">
        <f>HYPERLINK("https://otsuka-europe-crm.veevavault.com/ui/#object/approved_document__v/V5OZ06G6O6RFL1P", "ES Veeva Privacy Notice Email")</f>
        <v>ES Veeva Privacy Notice Email</v>
      </c>
      <c r="M13786" s="10" t="str">
        <f>HYPERLINK("mailto:mgravan@crm.otsuka-europe.com", "mgravan@crm.otsuka-europe.com")</f>
        <v>mgravan@crm.otsuka-europe.com</v>
      </c>
      <c r="N13786" s="13">
        <v>46203.949074074073</v>
      </c>
      <c r="O13786" s="14" t="str">
        <f>HYPERLINK("https://otsuka-europe-crm.veevavault.com/ui/#object/email_activity__v/V8C000000041733", "EN-002101147")</f>
        <v>EN-002101147</v>
      </c>
    </row>
    <row r="13787" spans="1:15" ht="16" x14ac:dyDescent="0.2">
      <c r="A13787" s="17" t="str">
        <f>HYPERLINK("https://otsuka-europe-crm.veevavault.com/ui/#object/account__v/V4T000000029063", "ANA BARRIOS VARGAS")</f>
        <v>ANA BARRIOS VARGAS</v>
      </c>
      <c r="B13787" s="17" t="str">
        <f>HYPERLINK("https://otsuka-europe-crm.veevavault.com/ui/#object/vcountry__v/VENZ000004SONF5", "ES")</f>
        <v>ES</v>
      </c>
      <c r="C13787" s="20" t="s">
        <v>41</v>
      </c>
      <c r="D13787" s="21" t="str">
        <f>HYPERLINK("https://otsuka-europe-crm.veevavault.com/ui/#object/approved_document__v/V5O00000000D100", "Spain - Consent Email 1 Aug 25")</f>
        <v>Spain - Consent Email 1 Aug 25</v>
      </c>
      <c r="E13787" s="22" t="str">
        <f>HYPERLINK("https://otsuka-europe-crm.veevavault.com/ui/#object/sent_email__v/VBL00000002Y316", "SE-001439039")</f>
        <v>SE-001439039</v>
      </c>
      <c r="F13787" s="23">
        <v>46204.52652777778</v>
      </c>
      <c r="G13787" s="24">
        <v>1</v>
      </c>
      <c r="H13787" s="24">
        <v>1</v>
      </c>
      <c r="I13787" s="24">
        <v>1</v>
      </c>
      <c r="J13787" s="23">
        <v>46204.52652777778</v>
      </c>
      <c r="K13787" s="24">
        <v>1</v>
      </c>
      <c r="L13787" s="22" t="str">
        <f>HYPERLINK("https://otsuka-europe-crm.veevavault.com/ui/#object/approved_document__v/V5O00000000D100", "Spain - Consent Email 1 Aug 25")</f>
        <v>Spain - Consent Email 1 Aug 25</v>
      </c>
      <c r="M13787" s="22" t="str">
        <f>HYPERLINK("mailto:mgravan@crm.otsuka-europe.com", "mgravan@crm.otsuka-europe.com")</f>
        <v>mgravan@crm.otsuka-europe.com</v>
      </c>
      <c r="N13787" s="23">
        <v>46203.949837962966</v>
      </c>
      <c r="O13787" s="14" t="str">
        <f>HYPERLINK("https://otsuka-europe-crm.veevavault.com/ui/#object/email_activity__v/V8C000000041734", "EN-002101148")</f>
        <v>EN-002101148</v>
      </c>
    </row>
    <row r="13788" spans="1:15" ht="16" x14ac:dyDescent="0.2">
      <c r="A13788" s="18"/>
      <c r="B13788" s="18"/>
      <c r="C13788" s="18"/>
      <c r="D13788" s="18"/>
      <c r="E13788" s="18"/>
      <c r="F13788" s="18"/>
      <c r="G13788" s="18"/>
      <c r="H13788" s="18"/>
      <c r="I13788" s="18"/>
      <c r="J13788" s="18"/>
      <c r="K13788" s="18"/>
      <c r="L13788" s="18"/>
      <c r="M13788" s="18"/>
      <c r="N13788" s="18"/>
      <c r="O13788" s="14" t="str">
        <f>HYPERLINK("https://otsuka-europe-crm.veevavault.com/ui/#object/email_activity__v/V8C000000042914", "EN-002101412")</f>
        <v>EN-002101412</v>
      </c>
    </row>
    <row r="13789" spans="1:15" ht="16" x14ac:dyDescent="0.2">
      <c r="A13789" s="19"/>
      <c r="B13789" s="19"/>
      <c r="C13789" s="19"/>
      <c r="D13789" s="19"/>
      <c r="E13789" s="19"/>
      <c r="F13789" s="19"/>
      <c r="G13789" s="19"/>
      <c r="H13789" s="19"/>
      <c r="I13789" s="19"/>
      <c r="J13789" s="19"/>
      <c r="K13789" s="19"/>
      <c r="L13789" s="19"/>
      <c r="M13789" s="19"/>
      <c r="N13789" s="19"/>
      <c r="O13789" s="14" t="str">
        <f>HYPERLINK("https://otsuka-europe-crm.veevavault.com/ui/#object/email_activity__v/V8C000000042915", "EN-002101411")</f>
        <v>EN-002101411</v>
      </c>
    </row>
    <row r="13790" spans="1:15" ht="16" x14ac:dyDescent="0.2">
      <c r="A13790" s="17" t="str">
        <f>HYPERLINK("https://otsuka-europe-crm.veevavault.com/ui/#object/account__v/V4T000000029063", "ANA BARRIOS VARGAS")</f>
        <v>ANA BARRIOS VARGAS</v>
      </c>
      <c r="B13790" s="17" t="str">
        <f>HYPERLINK("https://otsuka-europe-crm.veevavault.com/ui/#object/vcountry__v/VENZ000004SONF5", "ES")</f>
        <v>ES</v>
      </c>
      <c r="C13790" s="20" t="s">
        <v>41</v>
      </c>
      <c r="D13790" s="21" t="str">
        <f>HYPERLINK("https://otsuka-europe-crm.veevavault.com/ui/#object/approved_document__v/V5OZ04ASG4FWKA7", "Reuniones Online Consent - 2")</f>
        <v>Reuniones Online Consent - 2</v>
      </c>
      <c r="E13790" s="22" t="str">
        <f>HYPERLINK("https://otsuka-europe-crm.veevavault.com/ui/#object/sent_email__v/VBL00000002Y317", "SE-001439040")</f>
        <v>SE-001439040</v>
      </c>
      <c r="F13790" s="23">
        <v>46204.526712962965</v>
      </c>
      <c r="G13790" s="24">
        <v>1</v>
      </c>
      <c r="H13790" s="24">
        <v>1</v>
      </c>
      <c r="I13790" s="24">
        <v>1</v>
      </c>
      <c r="J13790" s="23">
        <v>46204.526712962965</v>
      </c>
      <c r="K13790" s="24">
        <v>1</v>
      </c>
      <c r="L13790" s="22" t="str">
        <f>HYPERLINK("https://otsuka-europe-crm.veevavault.com/ui/#object/approved_document__v/V5OZ04ASG4FWKA7", "Reuniones Online Consent - 2")</f>
        <v>Reuniones Online Consent - 2</v>
      </c>
      <c r="M13790" s="22" t="str">
        <f>HYPERLINK("mailto:mgravan@crm.otsuka-europe.com", "mgravan@crm.otsuka-europe.com")</f>
        <v>mgravan@crm.otsuka-europe.com</v>
      </c>
      <c r="N13790" s="23">
        <v>46203.949849537035</v>
      </c>
      <c r="O13790" s="14" t="str">
        <f>HYPERLINK("https://otsuka-europe-crm.veevavault.com/ui/#object/email_activity__v/V8C000000041735", "EN-002101149")</f>
        <v>EN-002101149</v>
      </c>
    </row>
    <row r="13791" spans="1:15" ht="16" x14ac:dyDescent="0.2">
      <c r="A13791" s="18"/>
      <c r="B13791" s="18"/>
      <c r="C13791" s="18"/>
      <c r="D13791" s="18"/>
      <c r="E13791" s="18"/>
      <c r="F13791" s="18"/>
      <c r="G13791" s="18"/>
      <c r="H13791" s="18"/>
      <c r="I13791" s="18"/>
      <c r="J13791" s="18"/>
      <c r="K13791" s="18"/>
      <c r="L13791" s="18"/>
      <c r="M13791" s="18"/>
      <c r="N13791" s="18"/>
      <c r="O13791" s="14" t="str">
        <f>HYPERLINK("https://otsuka-europe-crm.veevavault.com/ui/#object/email_activity__v/V8C000000042916", "EN-002101414")</f>
        <v>EN-002101414</v>
      </c>
    </row>
    <row r="13792" spans="1:15" ht="16" x14ac:dyDescent="0.2">
      <c r="A13792" s="19"/>
      <c r="B13792" s="19"/>
      <c r="C13792" s="19"/>
      <c r="D13792" s="19"/>
      <c r="E13792" s="19"/>
      <c r="F13792" s="19"/>
      <c r="G13792" s="19"/>
      <c r="H13792" s="19"/>
      <c r="I13792" s="19"/>
      <c r="J13792" s="19"/>
      <c r="K13792" s="19"/>
      <c r="L13792" s="19"/>
      <c r="M13792" s="19"/>
      <c r="N13792" s="19"/>
      <c r="O13792" s="14" t="str">
        <f>HYPERLINK("https://otsuka-europe-crm.veevavault.com/ui/#object/email_activity__v/V8C000000042917", "EN-002101413")</f>
        <v>EN-002101413</v>
      </c>
    </row>
    <row r="13793" spans="1:15" ht="16" x14ac:dyDescent="0.2">
      <c r="A13793" s="17" t="str">
        <f>HYPERLINK("https://otsuka-europe-crm.veevavault.com/ui/#object/account__v/V4T000000029063", "ANA BARRIOS VARGAS")</f>
        <v>ANA BARRIOS VARGAS</v>
      </c>
      <c r="B13793" s="17" t="str">
        <f>HYPERLINK("https://otsuka-europe-crm.veevavault.com/ui/#object/vcountry__v/VENZ000004SONF5", "ES")</f>
        <v>ES</v>
      </c>
      <c r="C13793" s="20" t="s">
        <v>41</v>
      </c>
      <c r="D13793" s="21" t="str">
        <f>HYPERLINK("https://otsuka-europe-crm.veevavault.com/ui/#object/approved_document__v/V5OZ04ASG4FWKA9", "Documento Autorizaciขn Centro Empleador")</f>
        <v>Documento Autorizaciขn Centro Empleador</v>
      </c>
      <c r="E13793" s="22" t="str">
        <f>HYPERLINK("https://otsuka-europe-crm.veevavault.com/ui/#object/sent_email__v/VBL00000002Y318", "SE-001439041")</f>
        <v>SE-001439041</v>
      </c>
      <c r="F13793" s="23">
        <v>46204.319849537038</v>
      </c>
      <c r="G13793" s="24">
        <v>1</v>
      </c>
      <c r="H13793" s="24">
        <v>1</v>
      </c>
      <c r="I13793" s="24">
        <v>1</v>
      </c>
      <c r="J13793" s="23">
        <v>46204.527025462965</v>
      </c>
      <c r="K13793" s="24">
        <v>2</v>
      </c>
      <c r="L13793" s="22" t="str">
        <f>HYPERLINK("https://otsuka-europe-crm.veevavault.com/ui/#object/approved_document__v/V5OZ04ASG4FWKA9", "Documento Autorizaciขn Centro Empleador")</f>
        <v>Documento Autorizaciขn Centro Empleador</v>
      </c>
      <c r="M13793" s="22" t="str">
        <f>HYPERLINK("mailto:mgravan@crm.otsuka-europe.com", "mgravan@crm.otsuka-europe.com")</f>
        <v>mgravan@crm.otsuka-europe.com</v>
      </c>
      <c r="N13793" s="23">
        <v>46203.949872685182</v>
      </c>
      <c r="O13793" s="14" t="str">
        <f>HYPERLINK("https://otsuka-europe-crm.veevavault.com/ui/#object/email_activity__v/V8C000000041736", "EN-002101150")</f>
        <v>EN-002101150</v>
      </c>
    </row>
    <row r="13794" spans="1:15" ht="16" x14ac:dyDescent="0.2">
      <c r="A13794" s="18"/>
      <c r="B13794" s="18"/>
      <c r="C13794" s="18"/>
      <c r="D13794" s="18"/>
      <c r="E13794" s="18"/>
      <c r="F13794" s="18"/>
      <c r="G13794" s="18"/>
      <c r="H13794" s="18"/>
      <c r="I13794" s="18"/>
      <c r="J13794" s="18"/>
      <c r="K13794" s="18"/>
      <c r="L13794" s="18"/>
      <c r="M13794" s="18"/>
      <c r="N13794" s="18"/>
      <c r="O13794" s="14" t="str">
        <f>HYPERLINK("https://otsuka-europe-crm.veevavault.com/ui/#object/email_activity__v/V8C000000042779", "EN-002101193")</f>
        <v>EN-002101193</v>
      </c>
    </row>
    <row r="13795" spans="1:15" ht="16" x14ac:dyDescent="0.2">
      <c r="A13795" s="18"/>
      <c r="B13795" s="18"/>
      <c r="C13795" s="18"/>
      <c r="D13795" s="18"/>
      <c r="E13795" s="18"/>
      <c r="F13795" s="18"/>
      <c r="G13795" s="18"/>
      <c r="H13795" s="18"/>
      <c r="I13795" s="18"/>
      <c r="J13795" s="18"/>
      <c r="K13795" s="18"/>
      <c r="L13795" s="18"/>
      <c r="M13795" s="18"/>
      <c r="N13795" s="18"/>
      <c r="O13795" s="14" t="str">
        <f>HYPERLINK("https://otsuka-europe-crm.veevavault.com/ui/#object/email_activity__v/V8C000000042780", "EN-002101192")</f>
        <v>EN-002101192</v>
      </c>
    </row>
    <row r="13796" spans="1:15" ht="16" x14ac:dyDescent="0.2">
      <c r="A13796" s="19"/>
      <c r="B13796" s="19"/>
      <c r="C13796" s="19"/>
      <c r="D13796" s="19"/>
      <c r="E13796" s="19"/>
      <c r="F13796" s="19"/>
      <c r="G13796" s="19"/>
      <c r="H13796" s="19"/>
      <c r="I13796" s="19"/>
      <c r="J13796" s="19"/>
      <c r="K13796" s="19"/>
      <c r="L13796" s="19"/>
      <c r="M13796" s="19"/>
      <c r="N13796" s="19"/>
      <c r="O13796" s="14" t="str">
        <f>HYPERLINK("https://otsuka-europe-crm.veevavault.com/ui/#object/email_activity__v/V8C000000042918", "EN-002101415")</f>
        <v>EN-002101415</v>
      </c>
    </row>
  </sheetData>
  <mergeCells count="38320">
    <mergeCell ref="A1:C1"/>
    <mergeCell ref="E1:N1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J9:J11"/>
    <mergeCell ref="K9:K11"/>
    <mergeCell ref="L9:L11"/>
    <mergeCell ref="M9:M11"/>
    <mergeCell ref="N9:N11"/>
    <mergeCell ref="A15:A18"/>
    <mergeCell ref="B15:B18"/>
    <mergeCell ref="C15:C18"/>
    <mergeCell ref="D15:D18"/>
    <mergeCell ref="E15:E18"/>
    <mergeCell ref="F15:F18"/>
    <mergeCell ref="G15:G18"/>
    <mergeCell ref="H15:H18"/>
    <mergeCell ref="I15:I18"/>
    <mergeCell ref="J15:J18"/>
    <mergeCell ref="K15:K18"/>
    <mergeCell ref="L15:L18"/>
    <mergeCell ref="M15:M18"/>
    <mergeCell ref="N15:N18"/>
    <mergeCell ref="A22:A41"/>
    <mergeCell ref="B22:B41"/>
    <mergeCell ref="C22:C41"/>
    <mergeCell ref="D22:D41"/>
    <mergeCell ref="E22:E41"/>
    <mergeCell ref="F22:F41"/>
    <mergeCell ref="G22:G41"/>
    <mergeCell ref="H22:H41"/>
    <mergeCell ref="I22:I41"/>
    <mergeCell ref="J22:J41"/>
    <mergeCell ref="K22:K41"/>
    <mergeCell ref="L22:L41"/>
    <mergeCell ref="M22:M41"/>
    <mergeCell ref="N22:N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J42:J44"/>
    <mergeCell ref="K42:K44"/>
    <mergeCell ref="L42:L44"/>
    <mergeCell ref="M42:M44"/>
    <mergeCell ref="N42:N44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J45:J47"/>
    <mergeCell ref="K45:K47"/>
    <mergeCell ref="L45:L47"/>
    <mergeCell ref="M45:M47"/>
    <mergeCell ref="N45:N47"/>
    <mergeCell ref="A50:A52"/>
    <mergeCell ref="B50:B52"/>
    <mergeCell ref="C50:C52"/>
    <mergeCell ref="D50:D52"/>
    <mergeCell ref="E50:E52"/>
    <mergeCell ref="F50:F52"/>
    <mergeCell ref="G50:G52"/>
    <mergeCell ref="H50:H52"/>
    <mergeCell ref="I50:I52"/>
    <mergeCell ref="J50:J52"/>
    <mergeCell ref="K50:K52"/>
    <mergeCell ref="L50:L52"/>
    <mergeCell ref="M50:M52"/>
    <mergeCell ref="N50:N52"/>
    <mergeCell ref="A55:A58"/>
    <mergeCell ref="B55:B58"/>
    <mergeCell ref="C55:C58"/>
    <mergeCell ref="D55:D58"/>
    <mergeCell ref="E55:E58"/>
    <mergeCell ref="F55:F58"/>
    <mergeCell ref="G55:G58"/>
    <mergeCell ref="H55:H58"/>
    <mergeCell ref="I55:I58"/>
    <mergeCell ref="J55:J58"/>
    <mergeCell ref="K55:K58"/>
    <mergeCell ref="L55:L58"/>
    <mergeCell ref="M55:M58"/>
    <mergeCell ref="N55:N58"/>
    <mergeCell ref="A59:A62"/>
    <mergeCell ref="B59:B62"/>
    <mergeCell ref="C59:C62"/>
    <mergeCell ref="D59:D62"/>
    <mergeCell ref="E59:E62"/>
    <mergeCell ref="F59:F62"/>
    <mergeCell ref="G59:G62"/>
    <mergeCell ref="H59:H62"/>
    <mergeCell ref="I59:I62"/>
    <mergeCell ref="J59:J62"/>
    <mergeCell ref="K59:K62"/>
    <mergeCell ref="L59:L62"/>
    <mergeCell ref="M59:M62"/>
    <mergeCell ref="N59:N62"/>
    <mergeCell ref="A63:A64"/>
    <mergeCell ref="B63:B64"/>
    <mergeCell ref="C63:C64"/>
    <mergeCell ref="D63:D64"/>
    <mergeCell ref="E63:E64"/>
    <mergeCell ref="F63:F64"/>
    <mergeCell ref="G63:G64"/>
    <mergeCell ref="H63:H64"/>
    <mergeCell ref="I63:I64"/>
    <mergeCell ref="J63:J64"/>
    <mergeCell ref="K63:K64"/>
    <mergeCell ref="L63:L64"/>
    <mergeCell ref="M63:M64"/>
    <mergeCell ref="N63:N64"/>
    <mergeCell ref="A65:A67"/>
    <mergeCell ref="B65:B67"/>
    <mergeCell ref="C65:C67"/>
    <mergeCell ref="D65:D67"/>
    <mergeCell ref="E65:E67"/>
    <mergeCell ref="F65:F67"/>
    <mergeCell ref="G65:G67"/>
    <mergeCell ref="H65:H67"/>
    <mergeCell ref="I65:I67"/>
    <mergeCell ref="J65:J67"/>
    <mergeCell ref="K65:K67"/>
    <mergeCell ref="L65:L67"/>
    <mergeCell ref="M65:M67"/>
    <mergeCell ref="N65:N67"/>
    <mergeCell ref="A74:A75"/>
    <mergeCell ref="B74:B75"/>
    <mergeCell ref="C74:C75"/>
    <mergeCell ref="D74:D75"/>
    <mergeCell ref="E74:E75"/>
    <mergeCell ref="F74:F75"/>
    <mergeCell ref="G74:G75"/>
    <mergeCell ref="H74:H75"/>
    <mergeCell ref="I74:I75"/>
    <mergeCell ref="J74:J75"/>
    <mergeCell ref="K74:K75"/>
    <mergeCell ref="L74:L75"/>
    <mergeCell ref="M74:M75"/>
    <mergeCell ref="N74:N75"/>
    <mergeCell ref="A76:A78"/>
    <mergeCell ref="B76:B78"/>
    <mergeCell ref="C76:C78"/>
    <mergeCell ref="D76:D78"/>
    <mergeCell ref="E76:E78"/>
    <mergeCell ref="F76:F78"/>
    <mergeCell ref="G76:G78"/>
    <mergeCell ref="H76:H78"/>
    <mergeCell ref="I76:I78"/>
    <mergeCell ref="J76:J78"/>
    <mergeCell ref="K76:K78"/>
    <mergeCell ref="L76:L78"/>
    <mergeCell ref="M76:M78"/>
    <mergeCell ref="N76:N78"/>
    <mergeCell ref="A79:A80"/>
    <mergeCell ref="B79:B80"/>
    <mergeCell ref="C79:C80"/>
    <mergeCell ref="D79:D80"/>
    <mergeCell ref="E79:E80"/>
    <mergeCell ref="F79:F80"/>
    <mergeCell ref="G79:G80"/>
    <mergeCell ref="H79:H80"/>
    <mergeCell ref="I79:I80"/>
    <mergeCell ref="J79:J80"/>
    <mergeCell ref="K79:K80"/>
    <mergeCell ref="L79:L80"/>
    <mergeCell ref="M79:M80"/>
    <mergeCell ref="N79:N80"/>
    <mergeCell ref="A83:A85"/>
    <mergeCell ref="B83:B85"/>
    <mergeCell ref="C83:C85"/>
    <mergeCell ref="D83:D85"/>
    <mergeCell ref="E83:E85"/>
    <mergeCell ref="F83:F85"/>
    <mergeCell ref="G83:G85"/>
    <mergeCell ref="H83:H85"/>
    <mergeCell ref="I83:I85"/>
    <mergeCell ref="J83:J85"/>
    <mergeCell ref="K83:K85"/>
    <mergeCell ref="L83:L85"/>
    <mergeCell ref="M83:M85"/>
    <mergeCell ref="N83:N85"/>
    <mergeCell ref="A87:A88"/>
    <mergeCell ref="B87:B88"/>
    <mergeCell ref="C87:C88"/>
    <mergeCell ref="D87:D88"/>
    <mergeCell ref="E87:E88"/>
    <mergeCell ref="F87:F88"/>
    <mergeCell ref="G87:G88"/>
    <mergeCell ref="H87:H88"/>
    <mergeCell ref="I87:I88"/>
    <mergeCell ref="J87:J88"/>
    <mergeCell ref="K87:K88"/>
    <mergeCell ref="L87:L88"/>
    <mergeCell ref="M87:M88"/>
    <mergeCell ref="N87:N88"/>
    <mergeCell ref="A89:A91"/>
    <mergeCell ref="B89:B91"/>
    <mergeCell ref="C89:C91"/>
    <mergeCell ref="D89:D91"/>
    <mergeCell ref="E89:E91"/>
    <mergeCell ref="F89:F91"/>
    <mergeCell ref="G89:G91"/>
    <mergeCell ref="H89:H91"/>
    <mergeCell ref="I89:I91"/>
    <mergeCell ref="J89:J91"/>
    <mergeCell ref="K89:K91"/>
    <mergeCell ref="L89:L91"/>
    <mergeCell ref="M89:M91"/>
    <mergeCell ref="N89:N91"/>
    <mergeCell ref="A98:A100"/>
    <mergeCell ref="B98:B100"/>
    <mergeCell ref="C98:C100"/>
    <mergeCell ref="D98:D100"/>
    <mergeCell ref="E98:E100"/>
    <mergeCell ref="F98:F100"/>
    <mergeCell ref="G98:G100"/>
    <mergeCell ref="H98:H100"/>
    <mergeCell ref="I98:I100"/>
    <mergeCell ref="J98:J100"/>
    <mergeCell ref="K98:K100"/>
    <mergeCell ref="L98:L100"/>
    <mergeCell ref="M98:M100"/>
    <mergeCell ref="N98:N100"/>
    <mergeCell ref="A102:A103"/>
    <mergeCell ref="B102:B103"/>
    <mergeCell ref="C102:C103"/>
    <mergeCell ref="D102:D103"/>
    <mergeCell ref="E102:E103"/>
    <mergeCell ref="F102:F103"/>
    <mergeCell ref="G102:G103"/>
    <mergeCell ref="H102:H103"/>
    <mergeCell ref="I102:I103"/>
    <mergeCell ref="J102:J103"/>
    <mergeCell ref="K102:K103"/>
    <mergeCell ref="L102:L103"/>
    <mergeCell ref="M102:M103"/>
    <mergeCell ref="N102:N103"/>
    <mergeCell ref="A104:A105"/>
    <mergeCell ref="B104:B105"/>
    <mergeCell ref="C104:C105"/>
    <mergeCell ref="D104:D105"/>
    <mergeCell ref="E104:E105"/>
    <mergeCell ref="F104:F105"/>
    <mergeCell ref="G104:G105"/>
    <mergeCell ref="H104:H105"/>
    <mergeCell ref="I104:I105"/>
    <mergeCell ref="J104:J105"/>
    <mergeCell ref="K104:K105"/>
    <mergeCell ref="L104:L105"/>
    <mergeCell ref="M104:M105"/>
    <mergeCell ref="N104:N105"/>
    <mergeCell ref="A107:A108"/>
    <mergeCell ref="B107:B108"/>
    <mergeCell ref="C107:C108"/>
    <mergeCell ref="D107:D108"/>
    <mergeCell ref="E107:E108"/>
    <mergeCell ref="F107:F108"/>
    <mergeCell ref="G107:G108"/>
    <mergeCell ref="H107:H108"/>
    <mergeCell ref="I107:I108"/>
    <mergeCell ref="J107:J108"/>
    <mergeCell ref="K107:K108"/>
    <mergeCell ref="L107:L108"/>
    <mergeCell ref="M107:M108"/>
    <mergeCell ref="N107:N108"/>
    <mergeCell ref="A112:A114"/>
    <mergeCell ref="B112:B114"/>
    <mergeCell ref="C112:C114"/>
    <mergeCell ref="D112:D114"/>
    <mergeCell ref="E112:E114"/>
    <mergeCell ref="F112:F114"/>
    <mergeCell ref="G112:G114"/>
    <mergeCell ref="H112:H114"/>
    <mergeCell ref="I112:I114"/>
    <mergeCell ref="J112:J114"/>
    <mergeCell ref="K112:K114"/>
    <mergeCell ref="L112:L114"/>
    <mergeCell ref="M112:M114"/>
    <mergeCell ref="N112:N114"/>
    <mergeCell ref="A115:A117"/>
    <mergeCell ref="B115:B117"/>
    <mergeCell ref="C115:C117"/>
    <mergeCell ref="D115:D117"/>
    <mergeCell ref="E115:E117"/>
    <mergeCell ref="F115:F117"/>
    <mergeCell ref="G115:G117"/>
    <mergeCell ref="H115:H117"/>
    <mergeCell ref="I115:I117"/>
    <mergeCell ref="J115:J117"/>
    <mergeCell ref="K115:K117"/>
    <mergeCell ref="L115:L117"/>
    <mergeCell ref="M115:M117"/>
    <mergeCell ref="N115:N117"/>
    <mergeCell ref="A118:A121"/>
    <mergeCell ref="B118:B121"/>
    <mergeCell ref="C118:C121"/>
    <mergeCell ref="D118:D121"/>
    <mergeCell ref="E118:E121"/>
    <mergeCell ref="F118:F121"/>
    <mergeCell ref="G118:G121"/>
    <mergeCell ref="H118:H121"/>
    <mergeCell ref="I118:I121"/>
    <mergeCell ref="J118:J121"/>
    <mergeCell ref="K118:K121"/>
    <mergeCell ref="L118:L121"/>
    <mergeCell ref="M118:M121"/>
    <mergeCell ref="N118:N121"/>
    <mergeCell ref="A122:A123"/>
    <mergeCell ref="B122:B123"/>
    <mergeCell ref="C122:C123"/>
    <mergeCell ref="D122:D123"/>
    <mergeCell ref="E122:E123"/>
    <mergeCell ref="F122:F123"/>
    <mergeCell ref="G122:G123"/>
    <mergeCell ref="H122:H123"/>
    <mergeCell ref="I122:I123"/>
    <mergeCell ref="J122:J123"/>
    <mergeCell ref="K122:K123"/>
    <mergeCell ref="L122:L123"/>
    <mergeCell ref="M122:M123"/>
    <mergeCell ref="N122:N123"/>
    <mergeCell ref="A124:A136"/>
    <mergeCell ref="B124:B136"/>
    <mergeCell ref="C124:C136"/>
    <mergeCell ref="D124:D136"/>
    <mergeCell ref="E124:E136"/>
    <mergeCell ref="F124:F136"/>
    <mergeCell ref="G124:G136"/>
    <mergeCell ref="H124:H136"/>
    <mergeCell ref="I124:I136"/>
    <mergeCell ref="J124:J136"/>
    <mergeCell ref="K124:K136"/>
    <mergeCell ref="L124:L136"/>
    <mergeCell ref="M124:M136"/>
    <mergeCell ref="N124:N136"/>
    <mergeCell ref="A137:A141"/>
    <mergeCell ref="B137:B141"/>
    <mergeCell ref="C137:C141"/>
    <mergeCell ref="D137:D141"/>
    <mergeCell ref="E137:E141"/>
    <mergeCell ref="F137:F141"/>
    <mergeCell ref="G137:G141"/>
    <mergeCell ref="H137:H141"/>
    <mergeCell ref="I137:I141"/>
    <mergeCell ref="J137:J141"/>
    <mergeCell ref="K137:K141"/>
    <mergeCell ref="L137:L141"/>
    <mergeCell ref="M137:M141"/>
    <mergeCell ref="N137:N141"/>
    <mergeCell ref="A142:A143"/>
    <mergeCell ref="B142:B143"/>
    <mergeCell ref="C142:C143"/>
    <mergeCell ref="D142:D143"/>
    <mergeCell ref="E142:E143"/>
    <mergeCell ref="F142:F143"/>
    <mergeCell ref="G142:G143"/>
    <mergeCell ref="H142:H143"/>
    <mergeCell ref="I142:I143"/>
    <mergeCell ref="J142:J143"/>
    <mergeCell ref="K142:K143"/>
    <mergeCell ref="L142:L143"/>
    <mergeCell ref="M142:M143"/>
    <mergeCell ref="N142:N143"/>
    <mergeCell ref="A147:A148"/>
    <mergeCell ref="B147:B148"/>
    <mergeCell ref="C147:C148"/>
    <mergeCell ref="D147:D148"/>
    <mergeCell ref="E147:E148"/>
    <mergeCell ref="F147:F148"/>
    <mergeCell ref="G147:G148"/>
    <mergeCell ref="H147:H148"/>
    <mergeCell ref="I147:I148"/>
    <mergeCell ref="J147:J148"/>
    <mergeCell ref="K147:K148"/>
    <mergeCell ref="L147:L148"/>
    <mergeCell ref="M147:M148"/>
    <mergeCell ref="N147:N148"/>
    <mergeCell ref="A151:A152"/>
    <mergeCell ref="B151:B152"/>
    <mergeCell ref="C151:C152"/>
    <mergeCell ref="D151:D152"/>
    <mergeCell ref="E151:E152"/>
    <mergeCell ref="F151:F152"/>
    <mergeCell ref="G151:G152"/>
    <mergeCell ref="H151:H152"/>
    <mergeCell ref="I151:I152"/>
    <mergeCell ref="J151:J152"/>
    <mergeCell ref="K151:K152"/>
    <mergeCell ref="L151:L152"/>
    <mergeCell ref="M151:M152"/>
    <mergeCell ref="N151:N152"/>
    <mergeCell ref="A153:A154"/>
    <mergeCell ref="B153:B154"/>
    <mergeCell ref="C153:C154"/>
    <mergeCell ref="D153:D154"/>
    <mergeCell ref="E153:E154"/>
    <mergeCell ref="F153:F154"/>
    <mergeCell ref="G153:G154"/>
    <mergeCell ref="H153:H154"/>
    <mergeCell ref="I153:I154"/>
    <mergeCell ref="J153:J154"/>
    <mergeCell ref="K153:K154"/>
    <mergeCell ref="L153:L154"/>
    <mergeCell ref="M153:M154"/>
    <mergeCell ref="N153:N154"/>
    <mergeCell ref="A155:A158"/>
    <mergeCell ref="B155:B158"/>
    <mergeCell ref="C155:C158"/>
    <mergeCell ref="D155:D158"/>
    <mergeCell ref="E155:E158"/>
    <mergeCell ref="F155:F158"/>
    <mergeCell ref="G155:G158"/>
    <mergeCell ref="H155:H158"/>
    <mergeCell ref="I155:I158"/>
    <mergeCell ref="J155:J158"/>
    <mergeCell ref="K155:K158"/>
    <mergeCell ref="L155:L158"/>
    <mergeCell ref="M155:M158"/>
    <mergeCell ref="N155:N158"/>
    <mergeCell ref="A162:A163"/>
    <mergeCell ref="B162:B163"/>
    <mergeCell ref="C162:C163"/>
    <mergeCell ref="D162:D163"/>
    <mergeCell ref="E162:E163"/>
    <mergeCell ref="F162:F163"/>
    <mergeCell ref="G162:G163"/>
    <mergeCell ref="H162:H163"/>
    <mergeCell ref="I162:I163"/>
    <mergeCell ref="J162:J163"/>
    <mergeCell ref="K162:K163"/>
    <mergeCell ref="L162:L163"/>
    <mergeCell ref="M162:M163"/>
    <mergeCell ref="N162:N163"/>
    <mergeCell ref="A167:A169"/>
    <mergeCell ref="B167:B169"/>
    <mergeCell ref="C167:C169"/>
    <mergeCell ref="D167:D169"/>
    <mergeCell ref="E167:E169"/>
    <mergeCell ref="F167:F169"/>
    <mergeCell ref="G167:G169"/>
    <mergeCell ref="H167:H169"/>
    <mergeCell ref="I167:I169"/>
    <mergeCell ref="J167:J169"/>
    <mergeCell ref="K167:K169"/>
    <mergeCell ref="L167:L169"/>
    <mergeCell ref="M167:M169"/>
    <mergeCell ref="N167:N169"/>
    <mergeCell ref="A171:A172"/>
    <mergeCell ref="B171:B172"/>
    <mergeCell ref="C171:C172"/>
    <mergeCell ref="D171:D172"/>
    <mergeCell ref="E171:E172"/>
    <mergeCell ref="F171:F172"/>
    <mergeCell ref="G171:G172"/>
    <mergeCell ref="H171:H172"/>
    <mergeCell ref="I171:I172"/>
    <mergeCell ref="J171:J172"/>
    <mergeCell ref="K171:K172"/>
    <mergeCell ref="L171:L172"/>
    <mergeCell ref="M171:M172"/>
    <mergeCell ref="N171:N172"/>
    <mergeCell ref="A173:A178"/>
    <mergeCell ref="B173:B178"/>
    <mergeCell ref="C173:C178"/>
    <mergeCell ref="D173:D178"/>
    <mergeCell ref="E173:E178"/>
    <mergeCell ref="F173:F178"/>
    <mergeCell ref="G173:G178"/>
    <mergeCell ref="H173:H178"/>
    <mergeCell ref="I173:I178"/>
    <mergeCell ref="J173:J178"/>
    <mergeCell ref="K173:K178"/>
    <mergeCell ref="L173:L178"/>
    <mergeCell ref="M173:M178"/>
    <mergeCell ref="N173:N178"/>
    <mergeCell ref="A179:A181"/>
    <mergeCell ref="B179:B181"/>
    <mergeCell ref="C179:C181"/>
    <mergeCell ref="D179:D181"/>
    <mergeCell ref="E179:E181"/>
    <mergeCell ref="F179:F181"/>
    <mergeCell ref="G179:G181"/>
    <mergeCell ref="H179:H181"/>
    <mergeCell ref="I179:I181"/>
    <mergeCell ref="J179:J181"/>
    <mergeCell ref="K179:K181"/>
    <mergeCell ref="L179:L181"/>
    <mergeCell ref="M179:M181"/>
    <mergeCell ref="N179:N181"/>
    <mergeCell ref="A184:A185"/>
    <mergeCell ref="B184:B185"/>
    <mergeCell ref="C184:C185"/>
    <mergeCell ref="D184:D185"/>
    <mergeCell ref="E184:E185"/>
    <mergeCell ref="F184:F185"/>
    <mergeCell ref="G184:G185"/>
    <mergeCell ref="H184:H185"/>
    <mergeCell ref="I184:I185"/>
    <mergeCell ref="J184:J185"/>
    <mergeCell ref="K184:K185"/>
    <mergeCell ref="L184:L185"/>
    <mergeCell ref="M184:M185"/>
    <mergeCell ref="N184:N185"/>
    <mergeCell ref="A190:A191"/>
    <mergeCell ref="B190:B191"/>
    <mergeCell ref="C190:C191"/>
    <mergeCell ref="D190:D191"/>
    <mergeCell ref="E190:E191"/>
    <mergeCell ref="F190:F191"/>
    <mergeCell ref="G190:G191"/>
    <mergeCell ref="H190:H191"/>
    <mergeCell ref="I190:I191"/>
    <mergeCell ref="J190:J191"/>
    <mergeCell ref="K190:K191"/>
    <mergeCell ref="L190:L191"/>
    <mergeCell ref="M190:M191"/>
    <mergeCell ref="N190:N191"/>
    <mergeCell ref="A192:A195"/>
    <mergeCell ref="B192:B195"/>
    <mergeCell ref="C192:C195"/>
    <mergeCell ref="D192:D195"/>
    <mergeCell ref="E192:E195"/>
    <mergeCell ref="F192:F195"/>
    <mergeCell ref="G192:G195"/>
    <mergeCell ref="H192:H195"/>
    <mergeCell ref="I192:I195"/>
    <mergeCell ref="J192:J195"/>
    <mergeCell ref="K192:K195"/>
    <mergeCell ref="L192:L195"/>
    <mergeCell ref="M192:M195"/>
    <mergeCell ref="N192:N195"/>
    <mergeCell ref="A197:A198"/>
    <mergeCell ref="B197:B198"/>
    <mergeCell ref="C197:C198"/>
    <mergeCell ref="D197:D198"/>
    <mergeCell ref="E197:E198"/>
    <mergeCell ref="F197:F198"/>
    <mergeCell ref="G197:G198"/>
    <mergeCell ref="H197:H198"/>
    <mergeCell ref="I197:I198"/>
    <mergeCell ref="J197:J198"/>
    <mergeCell ref="K197:K198"/>
    <mergeCell ref="L197:L198"/>
    <mergeCell ref="M197:M198"/>
    <mergeCell ref="N197:N198"/>
    <mergeCell ref="A201:A205"/>
    <mergeCell ref="B201:B205"/>
    <mergeCell ref="C201:C205"/>
    <mergeCell ref="D201:D205"/>
    <mergeCell ref="E201:E205"/>
    <mergeCell ref="F201:F205"/>
    <mergeCell ref="G201:G205"/>
    <mergeCell ref="H201:H205"/>
    <mergeCell ref="I201:I205"/>
    <mergeCell ref="J201:J205"/>
    <mergeCell ref="K201:K205"/>
    <mergeCell ref="L201:L205"/>
    <mergeCell ref="M201:M205"/>
    <mergeCell ref="N201:N205"/>
    <mergeCell ref="A207:A209"/>
    <mergeCell ref="B207:B209"/>
    <mergeCell ref="C207:C209"/>
    <mergeCell ref="D207:D209"/>
    <mergeCell ref="E207:E209"/>
    <mergeCell ref="F207:F209"/>
    <mergeCell ref="G207:G209"/>
    <mergeCell ref="H207:H209"/>
    <mergeCell ref="I207:I209"/>
    <mergeCell ref="J207:J209"/>
    <mergeCell ref="K207:K209"/>
    <mergeCell ref="L207:L209"/>
    <mergeCell ref="M207:M209"/>
    <mergeCell ref="N207:N209"/>
    <mergeCell ref="A211:A216"/>
    <mergeCell ref="B211:B216"/>
    <mergeCell ref="C211:C216"/>
    <mergeCell ref="D211:D216"/>
    <mergeCell ref="E211:E216"/>
    <mergeCell ref="F211:F216"/>
    <mergeCell ref="G211:G216"/>
    <mergeCell ref="H211:H216"/>
    <mergeCell ref="I211:I216"/>
    <mergeCell ref="J211:J216"/>
    <mergeCell ref="K211:K216"/>
    <mergeCell ref="L211:L216"/>
    <mergeCell ref="M211:M216"/>
    <mergeCell ref="N211:N216"/>
    <mergeCell ref="A218:A219"/>
    <mergeCell ref="B218:B219"/>
    <mergeCell ref="C218:C219"/>
    <mergeCell ref="D218:D219"/>
    <mergeCell ref="E218:E219"/>
    <mergeCell ref="F218:F219"/>
    <mergeCell ref="G218:G219"/>
    <mergeCell ref="H218:H219"/>
    <mergeCell ref="I218:I219"/>
    <mergeCell ref="J218:J219"/>
    <mergeCell ref="K218:K219"/>
    <mergeCell ref="L218:L219"/>
    <mergeCell ref="M218:M219"/>
    <mergeCell ref="N218:N219"/>
    <mergeCell ref="A223:A225"/>
    <mergeCell ref="B223:B225"/>
    <mergeCell ref="C223:C225"/>
    <mergeCell ref="D223:D225"/>
    <mergeCell ref="E223:E225"/>
    <mergeCell ref="F223:F225"/>
    <mergeCell ref="G223:G225"/>
    <mergeCell ref="H223:H225"/>
    <mergeCell ref="I223:I225"/>
    <mergeCell ref="J223:J225"/>
    <mergeCell ref="K223:K225"/>
    <mergeCell ref="L223:L225"/>
    <mergeCell ref="M223:M225"/>
    <mergeCell ref="N223:N225"/>
    <mergeCell ref="A226:A227"/>
    <mergeCell ref="B226:B227"/>
    <mergeCell ref="C226:C227"/>
    <mergeCell ref="D226:D227"/>
    <mergeCell ref="E226:E227"/>
    <mergeCell ref="F226:F227"/>
    <mergeCell ref="G226:G227"/>
    <mergeCell ref="H226:H227"/>
    <mergeCell ref="I226:I227"/>
    <mergeCell ref="J226:J227"/>
    <mergeCell ref="K226:K227"/>
    <mergeCell ref="L226:L227"/>
    <mergeCell ref="M226:M227"/>
    <mergeCell ref="N226:N227"/>
    <mergeCell ref="A229:A230"/>
    <mergeCell ref="B229:B230"/>
    <mergeCell ref="C229:C230"/>
    <mergeCell ref="D229:D230"/>
    <mergeCell ref="E229:E230"/>
    <mergeCell ref="F229:F230"/>
    <mergeCell ref="G229:G230"/>
    <mergeCell ref="H229:H230"/>
    <mergeCell ref="I229:I230"/>
    <mergeCell ref="J229:J230"/>
    <mergeCell ref="K229:K230"/>
    <mergeCell ref="L229:L230"/>
    <mergeCell ref="M229:M230"/>
    <mergeCell ref="N229:N230"/>
    <mergeCell ref="A232:A236"/>
    <mergeCell ref="B232:B236"/>
    <mergeCell ref="C232:C236"/>
    <mergeCell ref="D232:D236"/>
    <mergeCell ref="E232:E236"/>
    <mergeCell ref="F232:F236"/>
    <mergeCell ref="G232:G236"/>
    <mergeCell ref="H232:H236"/>
    <mergeCell ref="I232:I236"/>
    <mergeCell ref="J232:J236"/>
    <mergeCell ref="K232:K236"/>
    <mergeCell ref="L232:L236"/>
    <mergeCell ref="M232:M236"/>
    <mergeCell ref="N232:N236"/>
    <mergeCell ref="A239:A242"/>
    <mergeCell ref="B239:B242"/>
    <mergeCell ref="C239:C242"/>
    <mergeCell ref="D239:D242"/>
    <mergeCell ref="E239:E242"/>
    <mergeCell ref="F239:F242"/>
    <mergeCell ref="G239:G242"/>
    <mergeCell ref="H239:H242"/>
    <mergeCell ref="I239:I242"/>
    <mergeCell ref="J239:J242"/>
    <mergeCell ref="K239:K242"/>
    <mergeCell ref="L239:L242"/>
    <mergeCell ref="M239:M242"/>
    <mergeCell ref="N239:N242"/>
    <mergeCell ref="A244:A251"/>
    <mergeCell ref="B244:B251"/>
    <mergeCell ref="C244:C251"/>
    <mergeCell ref="D244:D251"/>
    <mergeCell ref="E244:E251"/>
    <mergeCell ref="F244:F251"/>
    <mergeCell ref="G244:G251"/>
    <mergeCell ref="H244:H251"/>
    <mergeCell ref="I244:I251"/>
    <mergeCell ref="J244:J251"/>
    <mergeCell ref="K244:K251"/>
    <mergeCell ref="L244:L251"/>
    <mergeCell ref="M244:M251"/>
    <mergeCell ref="N244:N251"/>
    <mergeCell ref="A252:A253"/>
    <mergeCell ref="B252:B253"/>
    <mergeCell ref="C252:C253"/>
    <mergeCell ref="D252:D253"/>
    <mergeCell ref="E252:E253"/>
    <mergeCell ref="F252:F253"/>
    <mergeCell ref="G252:G253"/>
    <mergeCell ref="H252:H253"/>
    <mergeCell ref="I252:I253"/>
    <mergeCell ref="J252:J253"/>
    <mergeCell ref="K252:K253"/>
    <mergeCell ref="L252:L253"/>
    <mergeCell ref="M252:M253"/>
    <mergeCell ref="N252:N253"/>
    <mergeCell ref="A255:A256"/>
    <mergeCell ref="B255:B256"/>
    <mergeCell ref="C255:C256"/>
    <mergeCell ref="D255:D256"/>
    <mergeCell ref="E255:E256"/>
    <mergeCell ref="F255:F256"/>
    <mergeCell ref="G255:G256"/>
    <mergeCell ref="H255:H256"/>
    <mergeCell ref="I255:I256"/>
    <mergeCell ref="J255:J256"/>
    <mergeCell ref="K255:K256"/>
    <mergeCell ref="L255:L256"/>
    <mergeCell ref="M255:M256"/>
    <mergeCell ref="N255:N256"/>
    <mergeCell ref="A257:A258"/>
    <mergeCell ref="B257:B258"/>
    <mergeCell ref="C257:C258"/>
    <mergeCell ref="D257:D258"/>
    <mergeCell ref="E257:E258"/>
    <mergeCell ref="F257:F258"/>
    <mergeCell ref="G257:G258"/>
    <mergeCell ref="H257:H258"/>
    <mergeCell ref="I257:I258"/>
    <mergeCell ref="J257:J258"/>
    <mergeCell ref="K257:K258"/>
    <mergeCell ref="L257:L258"/>
    <mergeCell ref="M257:M258"/>
    <mergeCell ref="N257:N258"/>
    <mergeCell ref="A261:A262"/>
    <mergeCell ref="B261:B262"/>
    <mergeCell ref="C261:C262"/>
    <mergeCell ref="D261:D262"/>
    <mergeCell ref="E261:E262"/>
    <mergeCell ref="F261:F262"/>
    <mergeCell ref="G261:G262"/>
    <mergeCell ref="H261:H262"/>
    <mergeCell ref="I261:I262"/>
    <mergeCell ref="J261:J262"/>
    <mergeCell ref="K261:K262"/>
    <mergeCell ref="L261:L262"/>
    <mergeCell ref="M261:M262"/>
    <mergeCell ref="N261:N262"/>
    <mergeCell ref="A263:A264"/>
    <mergeCell ref="B263:B264"/>
    <mergeCell ref="C263:C264"/>
    <mergeCell ref="D263:D264"/>
    <mergeCell ref="E263:E264"/>
    <mergeCell ref="F263:F264"/>
    <mergeCell ref="G263:G264"/>
    <mergeCell ref="H263:H264"/>
    <mergeCell ref="I263:I264"/>
    <mergeCell ref="J263:J264"/>
    <mergeCell ref="K263:K264"/>
    <mergeCell ref="L263:L264"/>
    <mergeCell ref="M263:M264"/>
    <mergeCell ref="N263:N264"/>
    <mergeCell ref="A267:A268"/>
    <mergeCell ref="B267:B268"/>
    <mergeCell ref="C267:C268"/>
    <mergeCell ref="D267:D268"/>
    <mergeCell ref="E267:E268"/>
    <mergeCell ref="F267:F268"/>
    <mergeCell ref="G267:G268"/>
    <mergeCell ref="H267:H268"/>
    <mergeCell ref="I267:I268"/>
    <mergeCell ref="J267:J268"/>
    <mergeCell ref="K267:K268"/>
    <mergeCell ref="L267:L268"/>
    <mergeCell ref="M267:M268"/>
    <mergeCell ref="N267:N268"/>
    <mergeCell ref="A275:A277"/>
    <mergeCell ref="B275:B277"/>
    <mergeCell ref="C275:C277"/>
    <mergeCell ref="D275:D277"/>
    <mergeCell ref="E275:E277"/>
    <mergeCell ref="F275:F277"/>
    <mergeCell ref="G275:G277"/>
    <mergeCell ref="H275:H277"/>
    <mergeCell ref="I275:I277"/>
    <mergeCell ref="J275:J277"/>
    <mergeCell ref="K275:K277"/>
    <mergeCell ref="L275:L277"/>
    <mergeCell ref="M275:M277"/>
    <mergeCell ref="N275:N277"/>
    <mergeCell ref="A279:A280"/>
    <mergeCell ref="B279:B280"/>
    <mergeCell ref="C279:C280"/>
    <mergeCell ref="D279:D280"/>
    <mergeCell ref="E279:E280"/>
    <mergeCell ref="F279:F280"/>
    <mergeCell ref="G279:G280"/>
    <mergeCell ref="H279:H280"/>
    <mergeCell ref="I279:I280"/>
    <mergeCell ref="J279:J280"/>
    <mergeCell ref="K279:K280"/>
    <mergeCell ref="L279:L280"/>
    <mergeCell ref="M279:M280"/>
    <mergeCell ref="N279:N280"/>
    <mergeCell ref="A281:A305"/>
    <mergeCell ref="B281:B305"/>
    <mergeCell ref="C281:C305"/>
    <mergeCell ref="D281:D305"/>
    <mergeCell ref="E281:E305"/>
    <mergeCell ref="F281:F305"/>
    <mergeCell ref="G281:G305"/>
    <mergeCell ref="H281:H305"/>
    <mergeCell ref="I281:I305"/>
    <mergeCell ref="J281:J305"/>
    <mergeCell ref="K281:K305"/>
    <mergeCell ref="L281:L305"/>
    <mergeCell ref="M281:M305"/>
    <mergeCell ref="N281:N305"/>
    <mergeCell ref="A306:A307"/>
    <mergeCell ref="B306:B307"/>
    <mergeCell ref="C306:C307"/>
    <mergeCell ref="D306:D307"/>
    <mergeCell ref="E306:E307"/>
    <mergeCell ref="F306:F307"/>
    <mergeCell ref="G306:G307"/>
    <mergeCell ref="H306:H307"/>
    <mergeCell ref="I306:I307"/>
    <mergeCell ref="J306:J307"/>
    <mergeCell ref="K306:K307"/>
    <mergeCell ref="L306:L307"/>
    <mergeCell ref="M306:M307"/>
    <mergeCell ref="N306:N307"/>
    <mergeCell ref="A308:A309"/>
    <mergeCell ref="B308:B309"/>
    <mergeCell ref="C308:C309"/>
    <mergeCell ref="D308:D309"/>
    <mergeCell ref="E308:E309"/>
    <mergeCell ref="F308:F309"/>
    <mergeCell ref="G308:G309"/>
    <mergeCell ref="H308:H309"/>
    <mergeCell ref="I308:I309"/>
    <mergeCell ref="J308:J309"/>
    <mergeCell ref="K308:K309"/>
    <mergeCell ref="L308:L309"/>
    <mergeCell ref="M308:M309"/>
    <mergeCell ref="N308:N309"/>
    <mergeCell ref="A310:A311"/>
    <mergeCell ref="B310:B311"/>
    <mergeCell ref="C310:C311"/>
    <mergeCell ref="D310:D311"/>
    <mergeCell ref="E310:E311"/>
    <mergeCell ref="F310:F311"/>
    <mergeCell ref="G310:G311"/>
    <mergeCell ref="H310:H311"/>
    <mergeCell ref="I310:I311"/>
    <mergeCell ref="J310:J311"/>
    <mergeCell ref="K310:K311"/>
    <mergeCell ref="L310:L311"/>
    <mergeCell ref="M310:M311"/>
    <mergeCell ref="N310:N311"/>
    <mergeCell ref="A315:A317"/>
    <mergeCell ref="B315:B317"/>
    <mergeCell ref="C315:C317"/>
    <mergeCell ref="D315:D317"/>
    <mergeCell ref="E315:E317"/>
    <mergeCell ref="F315:F317"/>
    <mergeCell ref="G315:G317"/>
    <mergeCell ref="H315:H317"/>
    <mergeCell ref="I315:I317"/>
    <mergeCell ref="J315:J317"/>
    <mergeCell ref="K315:K317"/>
    <mergeCell ref="L315:L317"/>
    <mergeCell ref="M315:M317"/>
    <mergeCell ref="N315:N317"/>
    <mergeCell ref="A318:A321"/>
    <mergeCell ref="B318:B321"/>
    <mergeCell ref="C318:C321"/>
    <mergeCell ref="D318:D321"/>
    <mergeCell ref="E318:E321"/>
    <mergeCell ref="F318:F321"/>
    <mergeCell ref="G318:G321"/>
    <mergeCell ref="H318:H321"/>
    <mergeCell ref="I318:I321"/>
    <mergeCell ref="J318:J321"/>
    <mergeCell ref="K318:K321"/>
    <mergeCell ref="L318:L321"/>
    <mergeCell ref="M318:M321"/>
    <mergeCell ref="N318:N321"/>
    <mergeCell ref="A324:A325"/>
    <mergeCell ref="B324:B325"/>
    <mergeCell ref="C324:C325"/>
    <mergeCell ref="D324:D325"/>
    <mergeCell ref="E324:E325"/>
    <mergeCell ref="F324:F325"/>
    <mergeCell ref="G324:G325"/>
    <mergeCell ref="H324:H325"/>
    <mergeCell ref="I324:I325"/>
    <mergeCell ref="J324:J325"/>
    <mergeCell ref="K324:K325"/>
    <mergeCell ref="L324:L325"/>
    <mergeCell ref="M324:M325"/>
    <mergeCell ref="N324:N325"/>
    <mergeCell ref="A329:A332"/>
    <mergeCell ref="B329:B332"/>
    <mergeCell ref="C329:C332"/>
    <mergeCell ref="D329:D332"/>
    <mergeCell ref="E329:E332"/>
    <mergeCell ref="F329:F332"/>
    <mergeCell ref="G329:G332"/>
    <mergeCell ref="H329:H332"/>
    <mergeCell ref="I329:I332"/>
    <mergeCell ref="J329:J332"/>
    <mergeCell ref="K329:K332"/>
    <mergeCell ref="L329:L332"/>
    <mergeCell ref="M329:M332"/>
    <mergeCell ref="N329:N332"/>
    <mergeCell ref="A333:A334"/>
    <mergeCell ref="B333:B334"/>
    <mergeCell ref="C333:C334"/>
    <mergeCell ref="D333:D334"/>
    <mergeCell ref="E333:E334"/>
    <mergeCell ref="F333:F334"/>
    <mergeCell ref="G333:G334"/>
    <mergeCell ref="H333:H334"/>
    <mergeCell ref="I333:I334"/>
    <mergeCell ref="J333:J334"/>
    <mergeCell ref="K333:K334"/>
    <mergeCell ref="L333:L334"/>
    <mergeCell ref="M333:M334"/>
    <mergeCell ref="N333:N334"/>
    <mergeCell ref="A336:A339"/>
    <mergeCell ref="B336:B339"/>
    <mergeCell ref="C336:C339"/>
    <mergeCell ref="D336:D339"/>
    <mergeCell ref="E336:E339"/>
    <mergeCell ref="F336:F339"/>
    <mergeCell ref="G336:G339"/>
    <mergeCell ref="H336:H339"/>
    <mergeCell ref="I336:I339"/>
    <mergeCell ref="J336:J339"/>
    <mergeCell ref="K336:K339"/>
    <mergeCell ref="L336:L339"/>
    <mergeCell ref="M336:M339"/>
    <mergeCell ref="N336:N339"/>
    <mergeCell ref="A341:A342"/>
    <mergeCell ref="B341:B342"/>
    <mergeCell ref="C341:C342"/>
    <mergeCell ref="D341:D342"/>
    <mergeCell ref="E341:E342"/>
    <mergeCell ref="F341:F342"/>
    <mergeCell ref="G341:G342"/>
    <mergeCell ref="H341:H342"/>
    <mergeCell ref="I341:I342"/>
    <mergeCell ref="J341:J342"/>
    <mergeCell ref="K341:K342"/>
    <mergeCell ref="L341:L342"/>
    <mergeCell ref="M341:M342"/>
    <mergeCell ref="N341:N342"/>
    <mergeCell ref="A344:A345"/>
    <mergeCell ref="B344:B345"/>
    <mergeCell ref="C344:C345"/>
    <mergeCell ref="D344:D345"/>
    <mergeCell ref="E344:E345"/>
    <mergeCell ref="F344:F345"/>
    <mergeCell ref="G344:G345"/>
    <mergeCell ref="H344:H345"/>
    <mergeCell ref="I344:I345"/>
    <mergeCell ref="J344:J345"/>
    <mergeCell ref="K344:K345"/>
    <mergeCell ref="L344:L345"/>
    <mergeCell ref="M344:M345"/>
    <mergeCell ref="N344:N345"/>
    <mergeCell ref="A347:A348"/>
    <mergeCell ref="B347:B348"/>
    <mergeCell ref="C347:C348"/>
    <mergeCell ref="D347:D348"/>
    <mergeCell ref="E347:E348"/>
    <mergeCell ref="F347:F348"/>
    <mergeCell ref="G347:G348"/>
    <mergeCell ref="H347:H348"/>
    <mergeCell ref="I347:I348"/>
    <mergeCell ref="J347:J348"/>
    <mergeCell ref="K347:K348"/>
    <mergeCell ref="L347:L348"/>
    <mergeCell ref="M347:M348"/>
    <mergeCell ref="N347:N348"/>
    <mergeCell ref="A349:A353"/>
    <mergeCell ref="B349:B353"/>
    <mergeCell ref="C349:C353"/>
    <mergeCell ref="D349:D353"/>
    <mergeCell ref="E349:E353"/>
    <mergeCell ref="F349:F353"/>
    <mergeCell ref="G349:G353"/>
    <mergeCell ref="H349:H353"/>
    <mergeCell ref="I349:I353"/>
    <mergeCell ref="J349:J353"/>
    <mergeCell ref="K349:K353"/>
    <mergeCell ref="L349:L353"/>
    <mergeCell ref="M349:M353"/>
    <mergeCell ref="N349:N353"/>
    <mergeCell ref="A357:A363"/>
    <mergeCell ref="B357:B363"/>
    <mergeCell ref="C357:C363"/>
    <mergeCell ref="D357:D363"/>
    <mergeCell ref="E357:E363"/>
    <mergeCell ref="F357:F363"/>
    <mergeCell ref="G357:G363"/>
    <mergeCell ref="H357:H363"/>
    <mergeCell ref="I357:I363"/>
    <mergeCell ref="J357:J363"/>
    <mergeCell ref="K357:K363"/>
    <mergeCell ref="L357:L363"/>
    <mergeCell ref="M357:M363"/>
    <mergeCell ref="N357:N363"/>
    <mergeCell ref="A364:A365"/>
    <mergeCell ref="B364:B365"/>
    <mergeCell ref="C364:C365"/>
    <mergeCell ref="D364:D365"/>
    <mergeCell ref="E364:E365"/>
    <mergeCell ref="F364:F365"/>
    <mergeCell ref="G364:G365"/>
    <mergeCell ref="H364:H365"/>
    <mergeCell ref="I364:I365"/>
    <mergeCell ref="J364:J365"/>
    <mergeCell ref="K364:K365"/>
    <mergeCell ref="L364:L365"/>
    <mergeCell ref="M364:M365"/>
    <mergeCell ref="N364:N365"/>
    <mergeCell ref="A368:A378"/>
    <mergeCell ref="B368:B378"/>
    <mergeCell ref="C368:C378"/>
    <mergeCell ref="D368:D378"/>
    <mergeCell ref="E368:E378"/>
    <mergeCell ref="F368:F378"/>
    <mergeCell ref="G368:G378"/>
    <mergeCell ref="H368:H378"/>
    <mergeCell ref="I368:I378"/>
    <mergeCell ref="J368:J378"/>
    <mergeCell ref="K368:K378"/>
    <mergeCell ref="L368:L378"/>
    <mergeCell ref="M368:M378"/>
    <mergeCell ref="N368:N378"/>
    <mergeCell ref="A380:A382"/>
    <mergeCell ref="B380:B382"/>
    <mergeCell ref="C380:C382"/>
    <mergeCell ref="D380:D382"/>
    <mergeCell ref="E380:E382"/>
    <mergeCell ref="F380:F382"/>
    <mergeCell ref="G380:G382"/>
    <mergeCell ref="H380:H382"/>
    <mergeCell ref="I380:I382"/>
    <mergeCell ref="J380:J382"/>
    <mergeCell ref="K380:K382"/>
    <mergeCell ref="L380:L382"/>
    <mergeCell ref="M380:M382"/>
    <mergeCell ref="N380:N382"/>
    <mergeCell ref="A383:A384"/>
    <mergeCell ref="B383:B384"/>
    <mergeCell ref="C383:C384"/>
    <mergeCell ref="D383:D384"/>
    <mergeCell ref="E383:E384"/>
    <mergeCell ref="F383:F384"/>
    <mergeCell ref="G383:G384"/>
    <mergeCell ref="H383:H384"/>
    <mergeCell ref="I383:I384"/>
    <mergeCell ref="J383:J384"/>
    <mergeCell ref="K383:K384"/>
    <mergeCell ref="L383:L384"/>
    <mergeCell ref="M383:M384"/>
    <mergeCell ref="N383:N384"/>
    <mergeCell ref="A385:A387"/>
    <mergeCell ref="B385:B387"/>
    <mergeCell ref="C385:C387"/>
    <mergeCell ref="D385:D387"/>
    <mergeCell ref="E385:E387"/>
    <mergeCell ref="F385:F387"/>
    <mergeCell ref="G385:G387"/>
    <mergeCell ref="H385:H387"/>
    <mergeCell ref="I385:I387"/>
    <mergeCell ref="J385:J387"/>
    <mergeCell ref="K385:K387"/>
    <mergeCell ref="L385:L387"/>
    <mergeCell ref="M385:M387"/>
    <mergeCell ref="N385:N387"/>
    <mergeCell ref="A388:A389"/>
    <mergeCell ref="B388:B389"/>
    <mergeCell ref="C388:C389"/>
    <mergeCell ref="D388:D389"/>
    <mergeCell ref="E388:E389"/>
    <mergeCell ref="F388:F389"/>
    <mergeCell ref="G388:G389"/>
    <mergeCell ref="H388:H389"/>
    <mergeCell ref="I388:I389"/>
    <mergeCell ref="J388:J389"/>
    <mergeCell ref="K388:K389"/>
    <mergeCell ref="L388:L389"/>
    <mergeCell ref="M388:M389"/>
    <mergeCell ref="N388:N389"/>
    <mergeCell ref="A392:A394"/>
    <mergeCell ref="B392:B394"/>
    <mergeCell ref="C392:C394"/>
    <mergeCell ref="D392:D394"/>
    <mergeCell ref="E392:E394"/>
    <mergeCell ref="F392:F394"/>
    <mergeCell ref="G392:G394"/>
    <mergeCell ref="H392:H394"/>
    <mergeCell ref="I392:I394"/>
    <mergeCell ref="J392:J394"/>
    <mergeCell ref="K392:K394"/>
    <mergeCell ref="L392:L394"/>
    <mergeCell ref="M392:M394"/>
    <mergeCell ref="N392:N394"/>
    <mergeCell ref="A397:A398"/>
    <mergeCell ref="B397:B398"/>
    <mergeCell ref="C397:C398"/>
    <mergeCell ref="D397:D398"/>
    <mergeCell ref="E397:E398"/>
    <mergeCell ref="F397:F398"/>
    <mergeCell ref="G397:G398"/>
    <mergeCell ref="H397:H398"/>
    <mergeCell ref="I397:I398"/>
    <mergeCell ref="J397:J398"/>
    <mergeCell ref="K397:K398"/>
    <mergeCell ref="L397:L398"/>
    <mergeCell ref="M397:M398"/>
    <mergeCell ref="N397:N398"/>
    <mergeCell ref="A399:A404"/>
    <mergeCell ref="B399:B404"/>
    <mergeCell ref="C399:C404"/>
    <mergeCell ref="D399:D404"/>
    <mergeCell ref="E399:E404"/>
    <mergeCell ref="F399:F404"/>
    <mergeCell ref="G399:G404"/>
    <mergeCell ref="H399:H404"/>
    <mergeCell ref="I399:I404"/>
    <mergeCell ref="J399:J404"/>
    <mergeCell ref="K399:K404"/>
    <mergeCell ref="L399:L404"/>
    <mergeCell ref="M399:M404"/>
    <mergeCell ref="N399:N404"/>
    <mergeCell ref="A405:A408"/>
    <mergeCell ref="B405:B408"/>
    <mergeCell ref="C405:C408"/>
    <mergeCell ref="D405:D408"/>
    <mergeCell ref="E405:E408"/>
    <mergeCell ref="F405:F408"/>
    <mergeCell ref="G405:G408"/>
    <mergeCell ref="H405:H408"/>
    <mergeCell ref="I405:I408"/>
    <mergeCell ref="J405:J408"/>
    <mergeCell ref="K405:K408"/>
    <mergeCell ref="L405:L408"/>
    <mergeCell ref="M405:M408"/>
    <mergeCell ref="N405:N408"/>
    <mergeCell ref="A411:A412"/>
    <mergeCell ref="B411:B412"/>
    <mergeCell ref="C411:C412"/>
    <mergeCell ref="D411:D412"/>
    <mergeCell ref="E411:E412"/>
    <mergeCell ref="F411:F412"/>
    <mergeCell ref="G411:G412"/>
    <mergeCell ref="H411:H412"/>
    <mergeCell ref="I411:I412"/>
    <mergeCell ref="J411:J412"/>
    <mergeCell ref="K411:K412"/>
    <mergeCell ref="L411:L412"/>
    <mergeCell ref="M411:M412"/>
    <mergeCell ref="N411:N412"/>
    <mergeCell ref="A414:A416"/>
    <mergeCell ref="B414:B416"/>
    <mergeCell ref="C414:C416"/>
    <mergeCell ref="D414:D416"/>
    <mergeCell ref="E414:E416"/>
    <mergeCell ref="F414:F416"/>
    <mergeCell ref="G414:G416"/>
    <mergeCell ref="H414:H416"/>
    <mergeCell ref="I414:I416"/>
    <mergeCell ref="J414:J416"/>
    <mergeCell ref="K414:K416"/>
    <mergeCell ref="L414:L416"/>
    <mergeCell ref="M414:M416"/>
    <mergeCell ref="N414:N416"/>
    <mergeCell ref="A417:A422"/>
    <mergeCell ref="B417:B422"/>
    <mergeCell ref="C417:C422"/>
    <mergeCell ref="D417:D422"/>
    <mergeCell ref="E417:E422"/>
    <mergeCell ref="F417:F422"/>
    <mergeCell ref="G417:G422"/>
    <mergeCell ref="H417:H422"/>
    <mergeCell ref="I417:I422"/>
    <mergeCell ref="J417:J422"/>
    <mergeCell ref="K417:K422"/>
    <mergeCell ref="L417:L422"/>
    <mergeCell ref="M417:M422"/>
    <mergeCell ref="N417:N422"/>
    <mergeCell ref="A427:A428"/>
    <mergeCell ref="B427:B428"/>
    <mergeCell ref="C427:C428"/>
    <mergeCell ref="D427:D428"/>
    <mergeCell ref="E427:E428"/>
    <mergeCell ref="F427:F428"/>
    <mergeCell ref="G427:G428"/>
    <mergeCell ref="H427:H428"/>
    <mergeCell ref="I427:I428"/>
    <mergeCell ref="J427:J428"/>
    <mergeCell ref="K427:K428"/>
    <mergeCell ref="L427:L428"/>
    <mergeCell ref="M427:M428"/>
    <mergeCell ref="N427:N428"/>
    <mergeCell ref="A438:A442"/>
    <mergeCell ref="B438:B442"/>
    <mergeCell ref="C438:C442"/>
    <mergeCell ref="D438:D442"/>
    <mergeCell ref="E438:E442"/>
    <mergeCell ref="F438:F442"/>
    <mergeCell ref="G438:G442"/>
    <mergeCell ref="H438:H442"/>
    <mergeCell ref="I438:I442"/>
    <mergeCell ref="J438:J442"/>
    <mergeCell ref="K438:K442"/>
    <mergeCell ref="L438:L442"/>
    <mergeCell ref="M438:M442"/>
    <mergeCell ref="N438:N442"/>
    <mergeCell ref="A444:A446"/>
    <mergeCell ref="B444:B446"/>
    <mergeCell ref="C444:C446"/>
    <mergeCell ref="D444:D446"/>
    <mergeCell ref="E444:E446"/>
    <mergeCell ref="F444:F446"/>
    <mergeCell ref="G444:G446"/>
    <mergeCell ref="H444:H446"/>
    <mergeCell ref="I444:I446"/>
    <mergeCell ref="J444:J446"/>
    <mergeCell ref="K444:K446"/>
    <mergeCell ref="L444:L446"/>
    <mergeCell ref="M444:M446"/>
    <mergeCell ref="N444:N446"/>
    <mergeCell ref="A447:A450"/>
    <mergeCell ref="B447:B450"/>
    <mergeCell ref="C447:C450"/>
    <mergeCell ref="D447:D450"/>
    <mergeCell ref="E447:E450"/>
    <mergeCell ref="F447:F450"/>
    <mergeCell ref="G447:G450"/>
    <mergeCell ref="H447:H450"/>
    <mergeCell ref="I447:I450"/>
    <mergeCell ref="J447:J450"/>
    <mergeCell ref="K447:K450"/>
    <mergeCell ref="L447:L450"/>
    <mergeCell ref="M447:M450"/>
    <mergeCell ref="N447:N450"/>
    <mergeCell ref="A452:A454"/>
    <mergeCell ref="B452:B454"/>
    <mergeCell ref="C452:C454"/>
    <mergeCell ref="D452:D454"/>
    <mergeCell ref="E452:E454"/>
    <mergeCell ref="F452:F454"/>
    <mergeCell ref="G452:G454"/>
    <mergeCell ref="H452:H454"/>
    <mergeCell ref="I452:I454"/>
    <mergeCell ref="J452:J454"/>
    <mergeCell ref="K452:K454"/>
    <mergeCell ref="L452:L454"/>
    <mergeCell ref="M452:M454"/>
    <mergeCell ref="N452:N454"/>
    <mergeCell ref="A457:A460"/>
    <mergeCell ref="B457:B460"/>
    <mergeCell ref="C457:C460"/>
    <mergeCell ref="D457:D460"/>
    <mergeCell ref="E457:E460"/>
    <mergeCell ref="F457:F460"/>
    <mergeCell ref="G457:G460"/>
    <mergeCell ref="H457:H460"/>
    <mergeCell ref="I457:I460"/>
    <mergeCell ref="J457:J460"/>
    <mergeCell ref="K457:K460"/>
    <mergeCell ref="L457:L460"/>
    <mergeCell ref="M457:M460"/>
    <mergeCell ref="N457:N460"/>
    <mergeCell ref="A461:A462"/>
    <mergeCell ref="B461:B462"/>
    <mergeCell ref="C461:C462"/>
    <mergeCell ref="D461:D462"/>
    <mergeCell ref="E461:E462"/>
    <mergeCell ref="F461:F462"/>
    <mergeCell ref="G461:G462"/>
    <mergeCell ref="H461:H462"/>
    <mergeCell ref="I461:I462"/>
    <mergeCell ref="J461:J462"/>
    <mergeCell ref="K461:K462"/>
    <mergeCell ref="L461:L462"/>
    <mergeCell ref="M461:M462"/>
    <mergeCell ref="N461:N462"/>
    <mergeCell ref="A464:A466"/>
    <mergeCell ref="B464:B466"/>
    <mergeCell ref="C464:C466"/>
    <mergeCell ref="D464:D466"/>
    <mergeCell ref="E464:E466"/>
    <mergeCell ref="F464:F466"/>
    <mergeCell ref="G464:G466"/>
    <mergeCell ref="H464:H466"/>
    <mergeCell ref="I464:I466"/>
    <mergeCell ref="J464:J466"/>
    <mergeCell ref="K464:K466"/>
    <mergeCell ref="L464:L466"/>
    <mergeCell ref="M464:M466"/>
    <mergeCell ref="N464:N466"/>
    <mergeCell ref="A468:A470"/>
    <mergeCell ref="B468:B470"/>
    <mergeCell ref="C468:C470"/>
    <mergeCell ref="D468:D470"/>
    <mergeCell ref="E468:E470"/>
    <mergeCell ref="F468:F470"/>
    <mergeCell ref="G468:G470"/>
    <mergeCell ref="H468:H470"/>
    <mergeCell ref="I468:I470"/>
    <mergeCell ref="J468:J470"/>
    <mergeCell ref="K468:K470"/>
    <mergeCell ref="L468:L470"/>
    <mergeCell ref="M468:M470"/>
    <mergeCell ref="N468:N470"/>
    <mergeCell ref="A471:A475"/>
    <mergeCell ref="B471:B475"/>
    <mergeCell ref="C471:C475"/>
    <mergeCell ref="D471:D475"/>
    <mergeCell ref="E471:E475"/>
    <mergeCell ref="F471:F475"/>
    <mergeCell ref="G471:G475"/>
    <mergeCell ref="H471:H475"/>
    <mergeCell ref="I471:I475"/>
    <mergeCell ref="J471:J475"/>
    <mergeCell ref="K471:K475"/>
    <mergeCell ref="L471:L475"/>
    <mergeCell ref="M471:M475"/>
    <mergeCell ref="N471:N475"/>
    <mergeCell ref="A476:A477"/>
    <mergeCell ref="B476:B477"/>
    <mergeCell ref="C476:C477"/>
    <mergeCell ref="D476:D477"/>
    <mergeCell ref="E476:E477"/>
    <mergeCell ref="F476:F477"/>
    <mergeCell ref="G476:G477"/>
    <mergeCell ref="H476:H477"/>
    <mergeCell ref="I476:I477"/>
    <mergeCell ref="J476:J477"/>
    <mergeCell ref="K476:K477"/>
    <mergeCell ref="L476:L477"/>
    <mergeCell ref="M476:M477"/>
    <mergeCell ref="N476:N477"/>
    <mergeCell ref="A480:A481"/>
    <mergeCell ref="B480:B481"/>
    <mergeCell ref="C480:C481"/>
    <mergeCell ref="D480:D481"/>
    <mergeCell ref="E480:E481"/>
    <mergeCell ref="F480:F481"/>
    <mergeCell ref="G480:G481"/>
    <mergeCell ref="H480:H481"/>
    <mergeCell ref="I480:I481"/>
    <mergeCell ref="J480:J481"/>
    <mergeCell ref="K480:K481"/>
    <mergeCell ref="L480:L481"/>
    <mergeCell ref="M480:M481"/>
    <mergeCell ref="N480:N481"/>
    <mergeCell ref="A482:A483"/>
    <mergeCell ref="B482:B483"/>
    <mergeCell ref="C482:C483"/>
    <mergeCell ref="D482:D483"/>
    <mergeCell ref="E482:E483"/>
    <mergeCell ref="F482:F483"/>
    <mergeCell ref="G482:G483"/>
    <mergeCell ref="H482:H483"/>
    <mergeCell ref="I482:I483"/>
    <mergeCell ref="J482:J483"/>
    <mergeCell ref="K482:K483"/>
    <mergeCell ref="L482:L483"/>
    <mergeCell ref="M482:M483"/>
    <mergeCell ref="N482:N483"/>
    <mergeCell ref="A484:A488"/>
    <mergeCell ref="B484:B488"/>
    <mergeCell ref="C484:C488"/>
    <mergeCell ref="D484:D488"/>
    <mergeCell ref="E484:E488"/>
    <mergeCell ref="F484:F488"/>
    <mergeCell ref="G484:G488"/>
    <mergeCell ref="H484:H488"/>
    <mergeCell ref="I484:I488"/>
    <mergeCell ref="J484:J488"/>
    <mergeCell ref="K484:K488"/>
    <mergeCell ref="L484:L488"/>
    <mergeCell ref="M484:M488"/>
    <mergeCell ref="N484:N488"/>
    <mergeCell ref="A490:A491"/>
    <mergeCell ref="B490:B491"/>
    <mergeCell ref="C490:C491"/>
    <mergeCell ref="D490:D491"/>
    <mergeCell ref="E490:E491"/>
    <mergeCell ref="F490:F491"/>
    <mergeCell ref="G490:G491"/>
    <mergeCell ref="H490:H491"/>
    <mergeCell ref="I490:I491"/>
    <mergeCell ref="J490:J491"/>
    <mergeCell ref="K490:K491"/>
    <mergeCell ref="L490:L491"/>
    <mergeCell ref="M490:M491"/>
    <mergeCell ref="N490:N491"/>
    <mergeCell ref="A492:A494"/>
    <mergeCell ref="B492:B494"/>
    <mergeCell ref="C492:C494"/>
    <mergeCell ref="D492:D494"/>
    <mergeCell ref="E492:E494"/>
    <mergeCell ref="F492:F494"/>
    <mergeCell ref="G492:G494"/>
    <mergeCell ref="H492:H494"/>
    <mergeCell ref="I492:I494"/>
    <mergeCell ref="J492:J494"/>
    <mergeCell ref="K492:K494"/>
    <mergeCell ref="L492:L494"/>
    <mergeCell ref="M492:M494"/>
    <mergeCell ref="N492:N494"/>
    <mergeCell ref="A497:A498"/>
    <mergeCell ref="B497:B498"/>
    <mergeCell ref="C497:C498"/>
    <mergeCell ref="D497:D498"/>
    <mergeCell ref="E497:E498"/>
    <mergeCell ref="F497:F498"/>
    <mergeCell ref="G497:G498"/>
    <mergeCell ref="H497:H498"/>
    <mergeCell ref="I497:I498"/>
    <mergeCell ref="J497:J498"/>
    <mergeCell ref="K497:K498"/>
    <mergeCell ref="L497:L498"/>
    <mergeCell ref="M497:M498"/>
    <mergeCell ref="N497:N498"/>
    <mergeCell ref="A500:A505"/>
    <mergeCell ref="B500:B505"/>
    <mergeCell ref="C500:C505"/>
    <mergeCell ref="D500:D505"/>
    <mergeCell ref="E500:E505"/>
    <mergeCell ref="F500:F505"/>
    <mergeCell ref="G500:G505"/>
    <mergeCell ref="H500:H505"/>
    <mergeCell ref="I500:I505"/>
    <mergeCell ref="J500:J505"/>
    <mergeCell ref="K500:K505"/>
    <mergeCell ref="L500:L505"/>
    <mergeCell ref="M500:M505"/>
    <mergeCell ref="N500:N505"/>
    <mergeCell ref="A506:A507"/>
    <mergeCell ref="B506:B507"/>
    <mergeCell ref="C506:C507"/>
    <mergeCell ref="D506:D507"/>
    <mergeCell ref="E506:E507"/>
    <mergeCell ref="F506:F507"/>
    <mergeCell ref="G506:G507"/>
    <mergeCell ref="H506:H507"/>
    <mergeCell ref="I506:I507"/>
    <mergeCell ref="J506:J507"/>
    <mergeCell ref="K506:K507"/>
    <mergeCell ref="L506:L507"/>
    <mergeCell ref="M506:M507"/>
    <mergeCell ref="N506:N507"/>
    <mergeCell ref="A509:A510"/>
    <mergeCell ref="B509:B510"/>
    <mergeCell ref="C509:C510"/>
    <mergeCell ref="D509:D510"/>
    <mergeCell ref="E509:E510"/>
    <mergeCell ref="F509:F510"/>
    <mergeCell ref="G509:G510"/>
    <mergeCell ref="H509:H510"/>
    <mergeCell ref="I509:I510"/>
    <mergeCell ref="J509:J510"/>
    <mergeCell ref="K509:K510"/>
    <mergeCell ref="L509:L510"/>
    <mergeCell ref="M509:M510"/>
    <mergeCell ref="N509:N510"/>
    <mergeCell ref="A516:A517"/>
    <mergeCell ref="B516:B517"/>
    <mergeCell ref="C516:C517"/>
    <mergeCell ref="D516:D517"/>
    <mergeCell ref="E516:E517"/>
    <mergeCell ref="F516:F517"/>
    <mergeCell ref="G516:G517"/>
    <mergeCell ref="H516:H517"/>
    <mergeCell ref="I516:I517"/>
    <mergeCell ref="J516:J517"/>
    <mergeCell ref="K516:K517"/>
    <mergeCell ref="L516:L517"/>
    <mergeCell ref="M516:M517"/>
    <mergeCell ref="N516:N517"/>
    <mergeCell ref="A518:A524"/>
    <mergeCell ref="B518:B524"/>
    <mergeCell ref="C518:C524"/>
    <mergeCell ref="D518:D524"/>
    <mergeCell ref="E518:E524"/>
    <mergeCell ref="F518:F524"/>
    <mergeCell ref="G518:G524"/>
    <mergeCell ref="H518:H524"/>
    <mergeCell ref="I518:I524"/>
    <mergeCell ref="J518:J524"/>
    <mergeCell ref="K518:K524"/>
    <mergeCell ref="L518:L524"/>
    <mergeCell ref="M518:M524"/>
    <mergeCell ref="N518:N524"/>
    <mergeCell ref="A526:A529"/>
    <mergeCell ref="B526:B529"/>
    <mergeCell ref="C526:C529"/>
    <mergeCell ref="D526:D529"/>
    <mergeCell ref="E526:E529"/>
    <mergeCell ref="F526:F529"/>
    <mergeCell ref="G526:G529"/>
    <mergeCell ref="H526:H529"/>
    <mergeCell ref="I526:I529"/>
    <mergeCell ref="J526:J529"/>
    <mergeCell ref="K526:K529"/>
    <mergeCell ref="L526:L529"/>
    <mergeCell ref="M526:M529"/>
    <mergeCell ref="N526:N529"/>
    <mergeCell ref="A535:A536"/>
    <mergeCell ref="B535:B536"/>
    <mergeCell ref="C535:C536"/>
    <mergeCell ref="D535:D536"/>
    <mergeCell ref="E535:E536"/>
    <mergeCell ref="F535:F536"/>
    <mergeCell ref="G535:G536"/>
    <mergeCell ref="H535:H536"/>
    <mergeCell ref="I535:I536"/>
    <mergeCell ref="J535:J536"/>
    <mergeCell ref="K535:K536"/>
    <mergeCell ref="L535:L536"/>
    <mergeCell ref="M535:M536"/>
    <mergeCell ref="N535:N536"/>
    <mergeCell ref="A537:A540"/>
    <mergeCell ref="B537:B540"/>
    <mergeCell ref="C537:C540"/>
    <mergeCell ref="D537:D540"/>
    <mergeCell ref="E537:E540"/>
    <mergeCell ref="F537:F540"/>
    <mergeCell ref="G537:G540"/>
    <mergeCell ref="H537:H540"/>
    <mergeCell ref="I537:I540"/>
    <mergeCell ref="J537:J540"/>
    <mergeCell ref="K537:K540"/>
    <mergeCell ref="L537:L540"/>
    <mergeCell ref="M537:M540"/>
    <mergeCell ref="N537:N540"/>
    <mergeCell ref="A545:A546"/>
    <mergeCell ref="B545:B546"/>
    <mergeCell ref="C545:C546"/>
    <mergeCell ref="D545:D546"/>
    <mergeCell ref="E545:E546"/>
    <mergeCell ref="F545:F546"/>
    <mergeCell ref="G545:G546"/>
    <mergeCell ref="H545:H546"/>
    <mergeCell ref="I545:I546"/>
    <mergeCell ref="J545:J546"/>
    <mergeCell ref="K545:K546"/>
    <mergeCell ref="L545:L546"/>
    <mergeCell ref="M545:M546"/>
    <mergeCell ref="N545:N546"/>
    <mergeCell ref="A549:A551"/>
    <mergeCell ref="B549:B551"/>
    <mergeCell ref="C549:C551"/>
    <mergeCell ref="D549:D551"/>
    <mergeCell ref="E549:E551"/>
    <mergeCell ref="F549:F551"/>
    <mergeCell ref="G549:G551"/>
    <mergeCell ref="H549:H551"/>
    <mergeCell ref="I549:I551"/>
    <mergeCell ref="J549:J551"/>
    <mergeCell ref="K549:K551"/>
    <mergeCell ref="L549:L551"/>
    <mergeCell ref="M549:M551"/>
    <mergeCell ref="N549:N551"/>
    <mergeCell ref="A552:A554"/>
    <mergeCell ref="B552:B554"/>
    <mergeCell ref="C552:C554"/>
    <mergeCell ref="D552:D554"/>
    <mergeCell ref="E552:E554"/>
    <mergeCell ref="F552:F554"/>
    <mergeCell ref="G552:G554"/>
    <mergeCell ref="H552:H554"/>
    <mergeCell ref="I552:I554"/>
    <mergeCell ref="J552:J554"/>
    <mergeCell ref="K552:K554"/>
    <mergeCell ref="L552:L554"/>
    <mergeCell ref="M552:M554"/>
    <mergeCell ref="N552:N554"/>
    <mergeCell ref="A556:A561"/>
    <mergeCell ref="B556:B561"/>
    <mergeCell ref="C556:C561"/>
    <mergeCell ref="D556:D561"/>
    <mergeCell ref="E556:E561"/>
    <mergeCell ref="F556:F561"/>
    <mergeCell ref="G556:G561"/>
    <mergeCell ref="H556:H561"/>
    <mergeCell ref="I556:I561"/>
    <mergeCell ref="J556:J561"/>
    <mergeCell ref="K556:K561"/>
    <mergeCell ref="L556:L561"/>
    <mergeCell ref="M556:M561"/>
    <mergeCell ref="N556:N561"/>
    <mergeCell ref="A563:A566"/>
    <mergeCell ref="B563:B566"/>
    <mergeCell ref="C563:C566"/>
    <mergeCell ref="D563:D566"/>
    <mergeCell ref="E563:E566"/>
    <mergeCell ref="F563:F566"/>
    <mergeCell ref="G563:G566"/>
    <mergeCell ref="H563:H566"/>
    <mergeCell ref="I563:I566"/>
    <mergeCell ref="J563:J566"/>
    <mergeCell ref="K563:K566"/>
    <mergeCell ref="L563:L566"/>
    <mergeCell ref="M563:M566"/>
    <mergeCell ref="N563:N566"/>
    <mergeCell ref="A567:A569"/>
    <mergeCell ref="B567:B569"/>
    <mergeCell ref="C567:C569"/>
    <mergeCell ref="D567:D569"/>
    <mergeCell ref="E567:E569"/>
    <mergeCell ref="F567:F569"/>
    <mergeCell ref="G567:G569"/>
    <mergeCell ref="H567:H569"/>
    <mergeCell ref="I567:I569"/>
    <mergeCell ref="J567:J569"/>
    <mergeCell ref="K567:K569"/>
    <mergeCell ref="L567:L569"/>
    <mergeCell ref="M567:M569"/>
    <mergeCell ref="N567:N569"/>
    <mergeCell ref="A571:A572"/>
    <mergeCell ref="B571:B572"/>
    <mergeCell ref="C571:C572"/>
    <mergeCell ref="D571:D572"/>
    <mergeCell ref="E571:E572"/>
    <mergeCell ref="F571:F572"/>
    <mergeCell ref="G571:G572"/>
    <mergeCell ref="H571:H572"/>
    <mergeCell ref="I571:I572"/>
    <mergeCell ref="J571:J572"/>
    <mergeCell ref="K571:K572"/>
    <mergeCell ref="L571:L572"/>
    <mergeCell ref="M571:M572"/>
    <mergeCell ref="N571:N572"/>
    <mergeCell ref="A573:A574"/>
    <mergeCell ref="B573:B574"/>
    <mergeCell ref="C573:C574"/>
    <mergeCell ref="D573:D574"/>
    <mergeCell ref="E573:E574"/>
    <mergeCell ref="F573:F574"/>
    <mergeCell ref="G573:G574"/>
    <mergeCell ref="H573:H574"/>
    <mergeCell ref="I573:I574"/>
    <mergeCell ref="J573:J574"/>
    <mergeCell ref="K573:K574"/>
    <mergeCell ref="L573:L574"/>
    <mergeCell ref="M573:M574"/>
    <mergeCell ref="N573:N574"/>
    <mergeCell ref="A575:A578"/>
    <mergeCell ref="B575:B578"/>
    <mergeCell ref="C575:C578"/>
    <mergeCell ref="D575:D578"/>
    <mergeCell ref="E575:E578"/>
    <mergeCell ref="F575:F578"/>
    <mergeCell ref="G575:G578"/>
    <mergeCell ref="H575:H578"/>
    <mergeCell ref="I575:I578"/>
    <mergeCell ref="J575:J578"/>
    <mergeCell ref="K575:K578"/>
    <mergeCell ref="L575:L578"/>
    <mergeCell ref="M575:M578"/>
    <mergeCell ref="N575:N578"/>
    <mergeCell ref="A584:A585"/>
    <mergeCell ref="B584:B585"/>
    <mergeCell ref="C584:C585"/>
    <mergeCell ref="D584:D585"/>
    <mergeCell ref="E584:E585"/>
    <mergeCell ref="F584:F585"/>
    <mergeCell ref="G584:G585"/>
    <mergeCell ref="H584:H585"/>
    <mergeCell ref="I584:I585"/>
    <mergeCell ref="J584:J585"/>
    <mergeCell ref="K584:K585"/>
    <mergeCell ref="L584:L585"/>
    <mergeCell ref="M584:M585"/>
    <mergeCell ref="N584:N585"/>
    <mergeCell ref="A586:A590"/>
    <mergeCell ref="B586:B590"/>
    <mergeCell ref="C586:C590"/>
    <mergeCell ref="D586:D590"/>
    <mergeCell ref="E586:E590"/>
    <mergeCell ref="F586:F590"/>
    <mergeCell ref="G586:G590"/>
    <mergeCell ref="H586:H590"/>
    <mergeCell ref="I586:I590"/>
    <mergeCell ref="J586:J590"/>
    <mergeCell ref="K586:K590"/>
    <mergeCell ref="L586:L590"/>
    <mergeCell ref="M586:M590"/>
    <mergeCell ref="N586:N590"/>
    <mergeCell ref="A593:A594"/>
    <mergeCell ref="B593:B594"/>
    <mergeCell ref="C593:C594"/>
    <mergeCell ref="D593:D594"/>
    <mergeCell ref="E593:E594"/>
    <mergeCell ref="F593:F594"/>
    <mergeCell ref="G593:G594"/>
    <mergeCell ref="H593:H594"/>
    <mergeCell ref="I593:I594"/>
    <mergeCell ref="J593:J594"/>
    <mergeCell ref="K593:K594"/>
    <mergeCell ref="L593:L594"/>
    <mergeCell ref="M593:M594"/>
    <mergeCell ref="N593:N594"/>
    <mergeCell ref="A595:A596"/>
    <mergeCell ref="B595:B596"/>
    <mergeCell ref="C595:C596"/>
    <mergeCell ref="D595:D596"/>
    <mergeCell ref="E595:E596"/>
    <mergeCell ref="F595:F596"/>
    <mergeCell ref="G595:G596"/>
    <mergeCell ref="H595:H596"/>
    <mergeCell ref="I595:I596"/>
    <mergeCell ref="J595:J596"/>
    <mergeCell ref="K595:K596"/>
    <mergeCell ref="L595:L596"/>
    <mergeCell ref="M595:M596"/>
    <mergeCell ref="N595:N596"/>
    <mergeCell ref="A598:A599"/>
    <mergeCell ref="B598:B599"/>
    <mergeCell ref="C598:C599"/>
    <mergeCell ref="D598:D599"/>
    <mergeCell ref="E598:E599"/>
    <mergeCell ref="F598:F599"/>
    <mergeCell ref="G598:G599"/>
    <mergeCell ref="H598:H599"/>
    <mergeCell ref="I598:I599"/>
    <mergeCell ref="J598:J599"/>
    <mergeCell ref="K598:K599"/>
    <mergeCell ref="L598:L599"/>
    <mergeCell ref="M598:M599"/>
    <mergeCell ref="N598:N599"/>
    <mergeCell ref="A601:A604"/>
    <mergeCell ref="B601:B604"/>
    <mergeCell ref="C601:C604"/>
    <mergeCell ref="D601:D604"/>
    <mergeCell ref="E601:E604"/>
    <mergeCell ref="F601:F604"/>
    <mergeCell ref="G601:G604"/>
    <mergeCell ref="H601:H604"/>
    <mergeCell ref="I601:I604"/>
    <mergeCell ref="J601:J604"/>
    <mergeCell ref="K601:K604"/>
    <mergeCell ref="L601:L604"/>
    <mergeCell ref="M601:M604"/>
    <mergeCell ref="N601:N604"/>
    <mergeCell ref="A605:A606"/>
    <mergeCell ref="B605:B606"/>
    <mergeCell ref="C605:C606"/>
    <mergeCell ref="D605:D606"/>
    <mergeCell ref="E605:E606"/>
    <mergeCell ref="F605:F606"/>
    <mergeCell ref="G605:G606"/>
    <mergeCell ref="H605:H606"/>
    <mergeCell ref="I605:I606"/>
    <mergeCell ref="J605:J606"/>
    <mergeCell ref="K605:K606"/>
    <mergeCell ref="L605:L606"/>
    <mergeCell ref="M605:M606"/>
    <mergeCell ref="N605:N606"/>
    <mergeCell ref="A607:A616"/>
    <mergeCell ref="B607:B616"/>
    <mergeCell ref="C607:C616"/>
    <mergeCell ref="D607:D616"/>
    <mergeCell ref="E607:E616"/>
    <mergeCell ref="F607:F616"/>
    <mergeCell ref="G607:G616"/>
    <mergeCell ref="H607:H616"/>
    <mergeCell ref="I607:I616"/>
    <mergeCell ref="J607:J616"/>
    <mergeCell ref="K607:K616"/>
    <mergeCell ref="L607:L616"/>
    <mergeCell ref="M607:M616"/>
    <mergeCell ref="N607:N616"/>
    <mergeCell ref="A618:A620"/>
    <mergeCell ref="B618:B620"/>
    <mergeCell ref="C618:C620"/>
    <mergeCell ref="D618:D620"/>
    <mergeCell ref="E618:E620"/>
    <mergeCell ref="F618:F620"/>
    <mergeCell ref="G618:G620"/>
    <mergeCell ref="H618:H620"/>
    <mergeCell ref="I618:I620"/>
    <mergeCell ref="J618:J620"/>
    <mergeCell ref="K618:K620"/>
    <mergeCell ref="L618:L620"/>
    <mergeCell ref="M618:M620"/>
    <mergeCell ref="N618:N620"/>
    <mergeCell ref="A623:A624"/>
    <mergeCell ref="B623:B624"/>
    <mergeCell ref="C623:C624"/>
    <mergeCell ref="D623:D624"/>
    <mergeCell ref="E623:E624"/>
    <mergeCell ref="F623:F624"/>
    <mergeCell ref="G623:G624"/>
    <mergeCell ref="H623:H624"/>
    <mergeCell ref="I623:I624"/>
    <mergeCell ref="J623:J624"/>
    <mergeCell ref="K623:K624"/>
    <mergeCell ref="L623:L624"/>
    <mergeCell ref="M623:M624"/>
    <mergeCell ref="N623:N624"/>
    <mergeCell ref="A627:A628"/>
    <mergeCell ref="B627:B628"/>
    <mergeCell ref="C627:C628"/>
    <mergeCell ref="D627:D628"/>
    <mergeCell ref="E627:E628"/>
    <mergeCell ref="F627:F628"/>
    <mergeCell ref="G627:G628"/>
    <mergeCell ref="H627:H628"/>
    <mergeCell ref="I627:I628"/>
    <mergeCell ref="J627:J628"/>
    <mergeCell ref="K627:K628"/>
    <mergeCell ref="L627:L628"/>
    <mergeCell ref="M627:M628"/>
    <mergeCell ref="N627:N628"/>
    <mergeCell ref="A632:A636"/>
    <mergeCell ref="B632:B636"/>
    <mergeCell ref="C632:C636"/>
    <mergeCell ref="D632:D636"/>
    <mergeCell ref="E632:E636"/>
    <mergeCell ref="F632:F636"/>
    <mergeCell ref="G632:G636"/>
    <mergeCell ref="H632:H636"/>
    <mergeCell ref="I632:I636"/>
    <mergeCell ref="J632:J636"/>
    <mergeCell ref="K632:K636"/>
    <mergeCell ref="L632:L636"/>
    <mergeCell ref="M632:M636"/>
    <mergeCell ref="N632:N636"/>
    <mergeCell ref="A638:A639"/>
    <mergeCell ref="B638:B639"/>
    <mergeCell ref="C638:C639"/>
    <mergeCell ref="D638:D639"/>
    <mergeCell ref="E638:E639"/>
    <mergeCell ref="F638:F639"/>
    <mergeCell ref="G638:G639"/>
    <mergeCell ref="H638:H639"/>
    <mergeCell ref="I638:I639"/>
    <mergeCell ref="J638:J639"/>
    <mergeCell ref="K638:K639"/>
    <mergeCell ref="L638:L639"/>
    <mergeCell ref="M638:M639"/>
    <mergeCell ref="N638:N639"/>
    <mergeCell ref="A641:A646"/>
    <mergeCell ref="B641:B646"/>
    <mergeCell ref="C641:C646"/>
    <mergeCell ref="D641:D646"/>
    <mergeCell ref="E641:E646"/>
    <mergeCell ref="F641:F646"/>
    <mergeCell ref="G641:G646"/>
    <mergeCell ref="H641:H646"/>
    <mergeCell ref="I641:I646"/>
    <mergeCell ref="J641:J646"/>
    <mergeCell ref="K641:K646"/>
    <mergeCell ref="L641:L646"/>
    <mergeCell ref="M641:M646"/>
    <mergeCell ref="N641:N646"/>
    <mergeCell ref="A647:A652"/>
    <mergeCell ref="B647:B652"/>
    <mergeCell ref="C647:C652"/>
    <mergeCell ref="D647:D652"/>
    <mergeCell ref="E647:E652"/>
    <mergeCell ref="F647:F652"/>
    <mergeCell ref="G647:G652"/>
    <mergeCell ref="H647:H652"/>
    <mergeCell ref="I647:I652"/>
    <mergeCell ref="J647:J652"/>
    <mergeCell ref="K647:K652"/>
    <mergeCell ref="L647:L652"/>
    <mergeCell ref="M647:M652"/>
    <mergeCell ref="N647:N652"/>
    <mergeCell ref="A653:A659"/>
    <mergeCell ref="B653:B659"/>
    <mergeCell ref="C653:C659"/>
    <mergeCell ref="D653:D659"/>
    <mergeCell ref="E653:E659"/>
    <mergeCell ref="F653:F659"/>
    <mergeCell ref="G653:G659"/>
    <mergeCell ref="H653:H659"/>
    <mergeCell ref="I653:I659"/>
    <mergeCell ref="J653:J659"/>
    <mergeCell ref="K653:K659"/>
    <mergeCell ref="L653:L659"/>
    <mergeCell ref="M653:M659"/>
    <mergeCell ref="N653:N659"/>
    <mergeCell ref="A661:A663"/>
    <mergeCell ref="B661:B663"/>
    <mergeCell ref="C661:C663"/>
    <mergeCell ref="D661:D663"/>
    <mergeCell ref="E661:E663"/>
    <mergeCell ref="F661:F663"/>
    <mergeCell ref="G661:G663"/>
    <mergeCell ref="H661:H663"/>
    <mergeCell ref="I661:I663"/>
    <mergeCell ref="J661:J663"/>
    <mergeCell ref="K661:K663"/>
    <mergeCell ref="L661:L663"/>
    <mergeCell ref="M661:M663"/>
    <mergeCell ref="N661:N663"/>
    <mergeCell ref="A664:A667"/>
    <mergeCell ref="B664:B667"/>
    <mergeCell ref="C664:C667"/>
    <mergeCell ref="D664:D667"/>
    <mergeCell ref="E664:E667"/>
    <mergeCell ref="F664:F667"/>
    <mergeCell ref="G664:G667"/>
    <mergeCell ref="H664:H667"/>
    <mergeCell ref="I664:I667"/>
    <mergeCell ref="J664:J667"/>
    <mergeCell ref="K664:K667"/>
    <mergeCell ref="L664:L667"/>
    <mergeCell ref="M664:M667"/>
    <mergeCell ref="N664:N667"/>
    <mergeCell ref="A668:A670"/>
    <mergeCell ref="B668:B670"/>
    <mergeCell ref="C668:C670"/>
    <mergeCell ref="D668:D670"/>
    <mergeCell ref="E668:E670"/>
    <mergeCell ref="F668:F670"/>
    <mergeCell ref="G668:G670"/>
    <mergeCell ref="H668:H670"/>
    <mergeCell ref="I668:I670"/>
    <mergeCell ref="J668:J670"/>
    <mergeCell ref="K668:K670"/>
    <mergeCell ref="L668:L670"/>
    <mergeCell ref="M668:M670"/>
    <mergeCell ref="N668:N670"/>
    <mergeCell ref="A672:A673"/>
    <mergeCell ref="B672:B673"/>
    <mergeCell ref="C672:C673"/>
    <mergeCell ref="D672:D673"/>
    <mergeCell ref="E672:E673"/>
    <mergeCell ref="F672:F673"/>
    <mergeCell ref="G672:G673"/>
    <mergeCell ref="H672:H673"/>
    <mergeCell ref="I672:I673"/>
    <mergeCell ref="J672:J673"/>
    <mergeCell ref="K672:K673"/>
    <mergeCell ref="L672:L673"/>
    <mergeCell ref="M672:M673"/>
    <mergeCell ref="N672:N673"/>
    <mergeCell ref="A677:A678"/>
    <mergeCell ref="B677:B678"/>
    <mergeCell ref="C677:C678"/>
    <mergeCell ref="D677:D678"/>
    <mergeCell ref="E677:E678"/>
    <mergeCell ref="F677:F678"/>
    <mergeCell ref="G677:G678"/>
    <mergeCell ref="H677:H678"/>
    <mergeCell ref="I677:I678"/>
    <mergeCell ref="J677:J678"/>
    <mergeCell ref="K677:K678"/>
    <mergeCell ref="L677:L678"/>
    <mergeCell ref="M677:M678"/>
    <mergeCell ref="N677:N678"/>
    <mergeCell ref="A681:A683"/>
    <mergeCell ref="B681:B683"/>
    <mergeCell ref="C681:C683"/>
    <mergeCell ref="D681:D683"/>
    <mergeCell ref="E681:E683"/>
    <mergeCell ref="F681:F683"/>
    <mergeCell ref="G681:G683"/>
    <mergeCell ref="H681:H683"/>
    <mergeCell ref="I681:I683"/>
    <mergeCell ref="J681:J683"/>
    <mergeCell ref="K681:K683"/>
    <mergeCell ref="L681:L683"/>
    <mergeCell ref="M681:M683"/>
    <mergeCell ref="N681:N683"/>
    <mergeCell ref="A687:A689"/>
    <mergeCell ref="B687:B689"/>
    <mergeCell ref="C687:C689"/>
    <mergeCell ref="D687:D689"/>
    <mergeCell ref="E687:E689"/>
    <mergeCell ref="F687:F689"/>
    <mergeCell ref="G687:G689"/>
    <mergeCell ref="H687:H689"/>
    <mergeCell ref="I687:I689"/>
    <mergeCell ref="J687:J689"/>
    <mergeCell ref="K687:K689"/>
    <mergeCell ref="L687:L689"/>
    <mergeCell ref="M687:M689"/>
    <mergeCell ref="N687:N689"/>
    <mergeCell ref="A691:A692"/>
    <mergeCell ref="B691:B692"/>
    <mergeCell ref="C691:C692"/>
    <mergeCell ref="D691:D692"/>
    <mergeCell ref="E691:E692"/>
    <mergeCell ref="F691:F692"/>
    <mergeCell ref="G691:G692"/>
    <mergeCell ref="H691:H692"/>
    <mergeCell ref="I691:I692"/>
    <mergeCell ref="J691:J692"/>
    <mergeCell ref="K691:K692"/>
    <mergeCell ref="L691:L692"/>
    <mergeCell ref="M691:M692"/>
    <mergeCell ref="N691:N692"/>
    <mergeCell ref="A693:A694"/>
    <mergeCell ref="B693:B694"/>
    <mergeCell ref="C693:C694"/>
    <mergeCell ref="D693:D694"/>
    <mergeCell ref="E693:E694"/>
    <mergeCell ref="F693:F694"/>
    <mergeCell ref="G693:G694"/>
    <mergeCell ref="H693:H694"/>
    <mergeCell ref="I693:I694"/>
    <mergeCell ref="J693:J694"/>
    <mergeCell ref="K693:K694"/>
    <mergeCell ref="L693:L694"/>
    <mergeCell ref="M693:M694"/>
    <mergeCell ref="N693:N694"/>
    <mergeCell ref="A697:A698"/>
    <mergeCell ref="B697:B698"/>
    <mergeCell ref="C697:C698"/>
    <mergeCell ref="D697:D698"/>
    <mergeCell ref="E697:E698"/>
    <mergeCell ref="F697:F698"/>
    <mergeCell ref="G697:G698"/>
    <mergeCell ref="H697:H698"/>
    <mergeCell ref="I697:I698"/>
    <mergeCell ref="J697:J698"/>
    <mergeCell ref="K697:K698"/>
    <mergeCell ref="L697:L698"/>
    <mergeCell ref="M697:M698"/>
    <mergeCell ref="N697:N698"/>
    <mergeCell ref="A700:A703"/>
    <mergeCell ref="B700:B703"/>
    <mergeCell ref="C700:C703"/>
    <mergeCell ref="D700:D703"/>
    <mergeCell ref="E700:E703"/>
    <mergeCell ref="F700:F703"/>
    <mergeCell ref="G700:G703"/>
    <mergeCell ref="H700:H703"/>
    <mergeCell ref="I700:I703"/>
    <mergeCell ref="J700:J703"/>
    <mergeCell ref="K700:K703"/>
    <mergeCell ref="L700:L703"/>
    <mergeCell ref="M700:M703"/>
    <mergeCell ref="N700:N703"/>
    <mergeCell ref="A706:A709"/>
    <mergeCell ref="B706:B709"/>
    <mergeCell ref="C706:C709"/>
    <mergeCell ref="D706:D709"/>
    <mergeCell ref="E706:E709"/>
    <mergeCell ref="F706:F709"/>
    <mergeCell ref="G706:G709"/>
    <mergeCell ref="H706:H709"/>
    <mergeCell ref="I706:I709"/>
    <mergeCell ref="J706:J709"/>
    <mergeCell ref="K706:K709"/>
    <mergeCell ref="L706:L709"/>
    <mergeCell ref="M706:M709"/>
    <mergeCell ref="N706:N709"/>
    <mergeCell ref="A710:A711"/>
    <mergeCell ref="B710:B711"/>
    <mergeCell ref="C710:C711"/>
    <mergeCell ref="D710:D711"/>
    <mergeCell ref="E710:E711"/>
    <mergeCell ref="F710:F711"/>
    <mergeCell ref="G710:G711"/>
    <mergeCell ref="H710:H711"/>
    <mergeCell ref="I710:I711"/>
    <mergeCell ref="J710:J711"/>
    <mergeCell ref="K710:K711"/>
    <mergeCell ref="L710:L711"/>
    <mergeCell ref="M710:M711"/>
    <mergeCell ref="N710:N711"/>
    <mergeCell ref="A712:A713"/>
    <mergeCell ref="B712:B713"/>
    <mergeCell ref="C712:C713"/>
    <mergeCell ref="D712:D713"/>
    <mergeCell ref="E712:E713"/>
    <mergeCell ref="F712:F713"/>
    <mergeCell ref="G712:G713"/>
    <mergeCell ref="H712:H713"/>
    <mergeCell ref="I712:I713"/>
    <mergeCell ref="J712:J713"/>
    <mergeCell ref="K712:K713"/>
    <mergeCell ref="L712:L713"/>
    <mergeCell ref="M712:M713"/>
    <mergeCell ref="N712:N713"/>
    <mergeCell ref="A714:A716"/>
    <mergeCell ref="B714:B716"/>
    <mergeCell ref="C714:C716"/>
    <mergeCell ref="D714:D716"/>
    <mergeCell ref="E714:E716"/>
    <mergeCell ref="F714:F716"/>
    <mergeCell ref="G714:G716"/>
    <mergeCell ref="H714:H716"/>
    <mergeCell ref="I714:I716"/>
    <mergeCell ref="J714:J716"/>
    <mergeCell ref="K714:K716"/>
    <mergeCell ref="L714:L716"/>
    <mergeCell ref="M714:M716"/>
    <mergeCell ref="N714:N716"/>
    <mergeCell ref="A717:A721"/>
    <mergeCell ref="B717:B721"/>
    <mergeCell ref="C717:C721"/>
    <mergeCell ref="D717:D721"/>
    <mergeCell ref="E717:E721"/>
    <mergeCell ref="F717:F721"/>
    <mergeCell ref="G717:G721"/>
    <mergeCell ref="H717:H721"/>
    <mergeCell ref="I717:I721"/>
    <mergeCell ref="J717:J721"/>
    <mergeCell ref="K717:K721"/>
    <mergeCell ref="L717:L721"/>
    <mergeCell ref="M717:M721"/>
    <mergeCell ref="N717:N721"/>
    <mergeCell ref="A722:A729"/>
    <mergeCell ref="B722:B729"/>
    <mergeCell ref="C722:C729"/>
    <mergeCell ref="D722:D729"/>
    <mergeCell ref="E722:E729"/>
    <mergeCell ref="F722:F729"/>
    <mergeCell ref="G722:G729"/>
    <mergeCell ref="H722:H729"/>
    <mergeCell ref="I722:I729"/>
    <mergeCell ref="J722:J729"/>
    <mergeCell ref="K722:K729"/>
    <mergeCell ref="L722:L729"/>
    <mergeCell ref="M722:M729"/>
    <mergeCell ref="N722:N729"/>
    <mergeCell ref="A730:A733"/>
    <mergeCell ref="B730:B733"/>
    <mergeCell ref="C730:C733"/>
    <mergeCell ref="D730:D733"/>
    <mergeCell ref="E730:E733"/>
    <mergeCell ref="F730:F733"/>
    <mergeCell ref="G730:G733"/>
    <mergeCell ref="H730:H733"/>
    <mergeCell ref="I730:I733"/>
    <mergeCell ref="J730:J733"/>
    <mergeCell ref="K730:K733"/>
    <mergeCell ref="L730:L733"/>
    <mergeCell ref="M730:M733"/>
    <mergeCell ref="N730:N733"/>
    <mergeCell ref="A734:A737"/>
    <mergeCell ref="B734:B737"/>
    <mergeCell ref="C734:C737"/>
    <mergeCell ref="D734:D737"/>
    <mergeCell ref="E734:E737"/>
    <mergeCell ref="F734:F737"/>
    <mergeCell ref="G734:G737"/>
    <mergeCell ref="H734:H737"/>
    <mergeCell ref="I734:I737"/>
    <mergeCell ref="J734:J737"/>
    <mergeCell ref="K734:K737"/>
    <mergeCell ref="L734:L737"/>
    <mergeCell ref="M734:M737"/>
    <mergeCell ref="N734:N737"/>
    <mergeCell ref="A738:A739"/>
    <mergeCell ref="B738:B739"/>
    <mergeCell ref="C738:C739"/>
    <mergeCell ref="D738:D739"/>
    <mergeCell ref="E738:E739"/>
    <mergeCell ref="F738:F739"/>
    <mergeCell ref="G738:G739"/>
    <mergeCell ref="H738:H739"/>
    <mergeCell ref="I738:I739"/>
    <mergeCell ref="J738:J739"/>
    <mergeCell ref="K738:K739"/>
    <mergeCell ref="L738:L739"/>
    <mergeCell ref="M738:M739"/>
    <mergeCell ref="N738:N739"/>
    <mergeCell ref="A740:A744"/>
    <mergeCell ref="B740:B744"/>
    <mergeCell ref="C740:C744"/>
    <mergeCell ref="D740:D744"/>
    <mergeCell ref="E740:E744"/>
    <mergeCell ref="F740:F744"/>
    <mergeCell ref="G740:G744"/>
    <mergeCell ref="H740:H744"/>
    <mergeCell ref="I740:I744"/>
    <mergeCell ref="J740:J744"/>
    <mergeCell ref="K740:K744"/>
    <mergeCell ref="L740:L744"/>
    <mergeCell ref="M740:M744"/>
    <mergeCell ref="N740:N744"/>
    <mergeCell ref="A746:A748"/>
    <mergeCell ref="B746:B748"/>
    <mergeCell ref="C746:C748"/>
    <mergeCell ref="D746:D748"/>
    <mergeCell ref="E746:E748"/>
    <mergeCell ref="F746:F748"/>
    <mergeCell ref="G746:G748"/>
    <mergeCell ref="H746:H748"/>
    <mergeCell ref="I746:I748"/>
    <mergeCell ref="J746:J748"/>
    <mergeCell ref="K746:K748"/>
    <mergeCell ref="L746:L748"/>
    <mergeCell ref="M746:M748"/>
    <mergeCell ref="N746:N748"/>
    <mergeCell ref="A749:A751"/>
    <mergeCell ref="B749:B751"/>
    <mergeCell ref="C749:C751"/>
    <mergeCell ref="D749:D751"/>
    <mergeCell ref="E749:E751"/>
    <mergeCell ref="F749:F751"/>
    <mergeCell ref="G749:G751"/>
    <mergeCell ref="H749:H751"/>
    <mergeCell ref="I749:I751"/>
    <mergeCell ref="J749:J751"/>
    <mergeCell ref="K749:K751"/>
    <mergeCell ref="L749:L751"/>
    <mergeCell ref="M749:M751"/>
    <mergeCell ref="N749:N751"/>
    <mergeCell ref="A752:A753"/>
    <mergeCell ref="B752:B753"/>
    <mergeCell ref="C752:C753"/>
    <mergeCell ref="D752:D753"/>
    <mergeCell ref="E752:E753"/>
    <mergeCell ref="F752:F753"/>
    <mergeCell ref="G752:G753"/>
    <mergeCell ref="H752:H753"/>
    <mergeCell ref="I752:I753"/>
    <mergeCell ref="J752:J753"/>
    <mergeCell ref="K752:K753"/>
    <mergeCell ref="L752:L753"/>
    <mergeCell ref="M752:M753"/>
    <mergeCell ref="N752:N753"/>
    <mergeCell ref="A755:A757"/>
    <mergeCell ref="B755:B757"/>
    <mergeCell ref="C755:C757"/>
    <mergeCell ref="D755:D757"/>
    <mergeCell ref="E755:E757"/>
    <mergeCell ref="F755:F757"/>
    <mergeCell ref="G755:G757"/>
    <mergeCell ref="H755:H757"/>
    <mergeCell ref="I755:I757"/>
    <mergeCell ref="J755:J757"/>
    <mergeCell ref="K755:K757"/>
    <mergeCell ref="L755:L757"/>
    <mergeCell ref="M755:M757"/>
    <mergeCell ref="N755:N757"/>
    <mergeCell ref="A758:A768"/>
    <mergeCell ref="B758:B768"/>
    <mergeCell ref="C758:C768"/>
    <mergeCell ref="D758:D768"/>
    <mergeCell ref="E758:E768"/>
    <mergeCell ref="F758:F768"/>
    <mergeCell ref="G758:G768"/>
    <mergeCell ref="H758:H768"/>
    <mergeCell ref="I758:I768"/>
    <mergeCell ref="J758:J768"/>
    <mergeCell ref="K758:K768"/>
    <mergeCell ref="L758:L768"/>
    <mergeCell ref="M758:M768"/>
    <mergeCell ref="N758:N768"/>
    <mergeCell ref="A769:A770"/>
    <mergeCell ref="B769:B770"/>
    <mergeCell ref="C769:C770"/>
    <mergeCell ref="D769:D770"/>
    <mergeCell ref="E769:E770"/>
    <mergeCell ref="F769:F770"/>
    <mergeCell ref="G769:G770"/>
    <mergeCell ref="H769:H770"/>
    <mergeCell ref="I769:I770"/>
    <mergeCell ref="J769:J770"/>
    <mergeCell ref="K769:K770"/>
    <mergeCell ref="L769:L770"/>
    <mergeCell ref="M769:M770"/>
    <mergeCell ref="N769:N770"/>
    <mergeCell ref="A771:A773"/>
    <mergeCell ref="B771:B773"/>
    <mergeCell ref="C771:C773"/>
    <mergeCell ref="D771:D773"/>
    <mergeCell ref="E771:E773"/>
    <mergeCell ref="F771:F773"/>
    <mergeCell ref="G771:G773"/>
    <mergeCell ref="H771:H773"/>
    <mergeCell ref="I771:I773"/>
    <mergeCell ref="J771:J773"/>
    <mergeCell ref="K771:K773"/>
    <mergeCell ref="L771:L773"/>
    <mergeCell ref="M771:M773"/>
    <mergeCell ref="N771:N773"/>
    <mergeCell ref="A774:A777"/>
    <mergeCell ref="B774:B777"/>
    <mergeCell ref="C774:C777"/>
    <mergeCell ref="D774:D777"/>
    <mergeCell ref="E774:E777"/>
    <mergeCell ref="F774:F777"/>
    <mergeCell ref="G774:G777"/>
    <mergeCell ref="H774:H777"/>
    <mergeCell ref="I774:I777"/>
    <mergeCell ref="J774:J777"/>
    <mergeCell ref="K774:K777"/>
    <mergeCell ref="L774:L777"/>
    <mergeCell ref="M774:M777"/>
    <mergeCell ref="N774:N777"/>
    <mergeCell ref="A778:A781"/>
    <mergeCell ref="B778:B781"/>
    <mergeCell ref="C778:C781"/>
    <mergeCell ref="D778:D781"/>
    <mergeCell ref="E778:E781"/>
    <mergeCell ref="F778:F781"/>
    <mergeCell ref="G778:G781"/>
    <mergeCell ref="H778:H781"/>
    <mergeCell ref="I778:I781"/>
    <mergeCell ref="J778:J781"/>
    <mergeCell ref="K778:K781"/>
    <mergeCell ref="L778:L781"/>
    <mergeCell ref="M778:M781"/>
    <mergeCell ref="N778:N781"/>
    <mergeCell ref="A783:A787"/>
    <mergeCell ref="B783:B787"/>
    <mergeCell ref="C783:C787"/>
    <mergeCell ref="D783:D787"/>
    <mergeCell ref="E783:E787"/>
    <mergeCell ref="F783:F787"/>
    <mergeCell ref="G783:G787"/>
    <mergeCell ref="H783:H787"/>
    <mergeCell ref="I783:I787"/>
    <mergeCell ref="J783:J787"/>
    <mergeCell ref="K783:K787"/>
    <mergeCell ref="L783:L787"/>
    <mergeCell ref="M783:M787"/>
    <mergeCell ref="N783:N787"/>
    <mergeCell ref="A788:A791"/>
    <mergeCell ref="B788:B791"/>
    <mergeCell ref="C788:C791"/>
    <mergeCell ref="D788:D791"/>
    <mergeCell ref="E788:E791"/>
    <mergeCell ref="F788:F791"/>
    <mergeCell ref="G788:G791"/>
    <mergeCell ref="H788:H791"/>
    <mergeCell ref="I788:I791"/>
    <mergeCell ref="J788:J791"/>
    <mergeCell ref="K788:K791"/>
    <mergeCell ref="L788:L791"/>
    <mergeCell ref="M788:M791"/>
    <mergeCell ref="N788:N791"/>
    <mergeCell ref="A792:A795"/>
    <mergeCell ref="B792:B795"/>
    <mergeCell ref="C792:C795"/>
    <mergeCell ref="D792:D795"/>
    <mergeCell ref="E792:E795"/>
    <mergeCell ref="F792:F795"/>
    <mergeCell ref="G792:G795"/>
    <mergeCell ref="H792:H795"/>
    <mergeCell ref="I792:I795"/>
    <mergeCell ref="J792:J795"/>
    <mergeCell ref="K792:K795"/>
    <mergeCell ref="L792:L795"/>
    <mergeCell ref="M792:M795"/>
    <mergeCell ref="N792:N795"/>
    <mergeCell ref="A796:A799"/>
    <mergeCell ref="B796:B799"/>
    <mergeCell ref="C796:C799"/>
    <mergeCell ref="D796:D799"/>
    <mergeCell ref="E796:E799"/>
    <mergeCell ref="F796:F799"/>
    <mergeCell ref="G796:G799"/>
    <mergeCell ref="H796:H799"/>
    <mergeCell ref="I796:I799"/>
    <mergeCell ref="J796:J799"/>
    <mergeCell ref="K796:K799"/>
    <mergeCell ref="L796:L799"/>
    <mergeCell ref="M796:M799"/>
    <mergeCell ref="N796:N799"/>
    <mergeCell ref="A800:A804"/>
    <mergeCell ref="B800:B804"/>
    <mergeCell ref="C800:C804"/>
    <mergeCell ref="D800:D804"/>
    <mergeCell ref="E800:E804"/>
    <mergeCell ref="F800:F804"/>
    <mergeCell ref="G800:G804"/>
    <mergeCell ref="H800:H804"/>
    <mergeCell ref="I800:I804"/>
    <mergeCell ref="J800:J804"/>
    <mergeCell ref="K800:K804"/>
    <mergeCell ref="L800:L804"/>
    <mergeCell ref="M800:M804"/>
    <mergeCell ref="N800:N804"/>
    <mergeCell ref="A805:A808"/>
    <mergeCell ref="B805:B808"/>
    <mergeCell ref="C805:C808"/>
    <mergeCell ref="D805:D808"/>
    <mergeCell ref="E805:E808"/>
    <mergeCell ref="F805:F808"/>
    <mergeCell ref="G805:G808"/>
    <mergeCell ref="H805:H808"/>
    <mergeCell ref="I805:I808"/>
    <mergeCell ref="J805:J808"/>
    <mergeCell ref="K805:K808"/>
    <mergeCell ref="L805:L808"/>
    <mergeCell ref="M805:M808"/>
    <mergeCell ref="N805:N808"/>
    <mergeCell ref="A809:A817"/>
    <mergeCell ref="B809:B817"/>
    <mergeCell ref="C809:C817"/>
    <mergeCell ref="D809:D817"/>
    <mergeCell ref="E809:E817"/>
    <mergeCell ref="F809:F817"/>
    <mergeCell ref="G809:G817"/>
    <mergeCell ref="H809:H817"/>
    <mergeCell ref="I809:I817"/>
    <mergeCell ref="J809:J817"/>
    <mergeCell ref="K809:K817"/>
    <mergeCell ref="L809:L817"/>
    <mergeCell ref="M809:M817"/>
    <mergeCell ref="N809:N817"/>
    <mergeCell ref="A818:A825"/>
    <mergeCell ref="B818:B825"/>
    <mergeCell ref="C818:C825"/>
    <mergeCell ref="D818:D825"/>
    <mergeCell ref="E818:E825"/>
    <mergeCell ref="F818:F825"/>
    <mergeCell ref="G818:G825"/>
    <mergeCell ref="H818:H825"/>
    <mergeCell ref="I818:I825"/>
    <mergeCell ref="J818:J825"/>
    <mergeCell ref="K818:K825"/>
    <mergeCell ref="L818:L825"/>
    <mergeCell ref="M818:M825"/>
    <mergeCell ref="N818:N825"/>
    <mergeCell ref="A826:A837"/>
    <mergeCell ref="B826:B837"/>
    <mergeCell ref="C826:C837"/>
    <mergeCell ref="D826:D837"/>
    <mergeCell ref="E826:E837"/>
    <mergeCell ref="F826:F837"/>
    <mergeCell ref="G826:G837"/>
    <mergeCell ref="H826:H837"/>
    <mergeCell ref="I826:I837"/>
    <mergeCell ref="J826:J837"/>
    <mergeCell ref="K826:K837"/>
    <mergeCell ref="L826:L837"/>
    <mergeCell ref="M826:M837"/>
    <mergeCell ref="N826:N837"/>
    <mergeCell ref="A838:A841"/>
    <mergeCell ref="B838:B841"/>
    <mergeCell ref="C838:C841"/>
    <mergeCell ref="D838:D841"/>
    <mergeCell ref="E838:E841"/>
    <mergeCell ref="F838:F841"/>
    <mergeCell ref="G838:G841"/>
    <mergeCell ref="H838:H841"/>
    <mergeCell ref="I838:I841"/>
    <mergeCell ref="J838:J841"/>
    <mergeCell ref="K838:K841"/>
    <mergeCell ref="L838:L841"/>
    <mergeCell ref="M838:M841"/>
    <mergeCell ref="N838:N841"/>
    <mergeCell ref="A842:A844"/>
    <mergeCell ref="B842:B844"/>
    <mergeCell ref="C842:C844"/>
    <mergeCell ref="D842:D844"/>
    <mergeCell ref="E842:E844"/>
    <mergeCell ref="F842:F844"/>
    <mergeCell ref="G842:G844"/>
    <mergeCell ref="H842:H844"/>
    <mergeCell ref="I842:I844"/>
    <mergeCell ref="J842:J844"/>
    <mergeCell ref="K842:K844"/>
    <mergeCell ref="L842:L844"/>
    <mergeCell ref="M842:M844"/>
    <mergeCell ref="N842:N844"/>
    <mergeCell ref="A846:A849"/>
    <mergeCell ref="B846:B849"/>
    <mergeCell ref="C846:C849"/>
    <mergeCell ref="D846:D849"/>
    <mergeCell ref="E846:E849"/>
    <mergeCell ref="F846:F849"/>
    <mergeCell ref="G846:G849"/>
    <mergeCell ref="H846:H849"/>
    <mergeCell ref="I846:I849"/>
    <mergeCell ref="J846:J849"/>
    <mergeCell ref="K846:K849"/>
    <mergeCell ref="L846:L849"/>
    <mergeCell ref="M846:M849"/>
    <mergeCell ref="N846:N849"/>
    <mergeCell ref="A851:A852"/>
    <mergeCell ref="B851:B852"/>
    <mergeCell ref="C851:C852"/>
    <mergeCell ref="D851:D852"/>
    <mergeCell ref="E851:E852"/>
    <mergeCell ref="F851:F852"/>
    <mergeCell ref="G851:G852"/>
    <mergeCell ref="H851:H852"/>
    <mergeCell ref="I851:I852"/>
    <mergeCell ref="J851:J852"/>
    <mergeCell ref="K851:K852"/>
    <mergeCell ref="L851:L852"/>
    <mergeCell ref="M851:M852"/>
    <mergeCell ref="N851:N852"/>
    <mergeCell ref="A853:A856"/>
    <mergeCell ref="B853:B856"/>
    <mergeCell ref="C853:C856"/>
    <mergeCell ref="D853:D856"/>
    <mergeCell ref="E853:E856"/>
    <mergeCell ref="F853:F856"/>
    <mergeCell ref="G853:G856"/>
    <mergeCell ref="H853:H856"/>
    <mergeCell ref="I853:I856"/>
    <mergeCell ref="J853:J856"/>
    <mergeCell ref="K853:K856"/>
    <mergeCell ref="L853:L856"/>
    <mergeCell ref="M853:M856"/>
    <mergeCell ref="N853:N856"/>
    <mergeCell ref="A858:A860"/>
    <mergeCell ref="B858:B860"/>
    <mergeCell ref="C858:C860"/>
    <mergeCell ref="D858:D860"/>
    <mergeCell ref="E858:E860"/>
    <mergeCell ref="F858:F860"/>
    <mergeCell ref="G858:G860"/>
    <mergeCell ref="H858:H860"/>
    <mergeCell ref="I858:I860"/>
    <mergeCell ref="J858:J860"/>
    <mergeCell ref="K858:K860"/>
    <mergeCell ref="L858:L860"/>
    <mergeCell ref="M858:M860"/>
    <mergeCell ref="N858:N860"/>
    <mergeCell ref="A861:A863"/>
    <mergeCell ref="B861:B863"/>
    <mergeCell ref="C861:C863"/>
    <mergeCell ref="D861:D863"/>
    <mergeCell ref="E861:E863"/>
    <mergeCell ref="F861:F863"/>
    <mergeCell ref="G861:G863"/>
    <mergeCell ref="H861:H863"/>
    <mergeCell ref="I861:I863"/>
    <mergeCell ref="J861:J863"/>
    <mergeCell ref="K861:K863"/>
    <mergeCell ref="L861:L863"/>
    <mergeCell ref="M861:M863"/>
    <mergeCell ref="N861:N863"/>
    <mergeCell ref="A865:A866"/>
    <mergeCell ref="B865:B866"/>
    <mergeCell ref="C865:C866"/>
    <mergeCell ref="D865:D866"/>
    <mergeCell ref="E865:E866"/>
    <mergeCell ref="F865:F866"/>
    <mergeCell ref="G865:G866"/>
    <mergeCell ref="H865:H866"/>
    <mergeCell ref="I865:I866"/>
    <mergeCell ref="J865:J866"/>
    <mergeCell ref="K865:K866"/>
    <mergeCell ref="L865:L866"/>
    <mergeCell ref="M865:M866"/>
    <mergeCell ref="N865:N866"/>
    <mergeCell ref="A867:A868"/>
    <mergeCell ref="B867:B868"/>
    <mergeCell ref="C867:C868"/>
    <mergeCell ref="D867:D868"/>
    <mergeCell ref="E867:E868"/>
    <mergeCell ref="F867:F868"/>
    <mergeCell ref="G867:G868"/>
    <mergeCell ref="H867:H868"/>
    <mergeCell ref="I867:I868"/>
    <mergeCell ref="J867:J868"/>
    <mergeCell ref="K867:K868"/>
    <mergeCell ref="L867:L868"/>
    <mergeCell ref="M867:M868"/>
    <mergeCell ref="N867:N868"/>
    <mergeCell ref="A869:A870"/>
    <mergeCell ref="B869:B870"/>
    <mergeCell ref="C869:C870"/>
    <mergeCell ref="D869:D870"/>
    <mergeCell ref="E869:E870"/>
    <mergeCell ref="F869:F870"/>
    <mergeCell ref="G869:G870"/>
    <mergeCell ref="H869:H870"/>
    <mergeCell ref="I869:I870"/>
    <mergeCell ref="J869:J870"/>
    <mergeCell ref="K869:K870"/>
    <mergeCell ref="L869:L870"/>
    <mergeCell ref="M869:M870"/>
    <mergeCell ref="N869:N870"/>
    <mergeCell ref="A871:A873"/>
    <mergeCell ref="B871:B873"/>
    <mergeCell ref="C871:C873"/>
    <mergeCell ref="D871:D873"/>
    <mergeCell ref="E871:E873"/>
    <mergeCell ref="F871:F873"/>
    <mergeCell ref="G871:G873"/>
    <mergeCell ref="H871:H873"/>
    <mergeCell ref="I871:I873"/>
    <mergeCell ref="J871:J873"/>
    <mergeCell ref="K871:K873"/>
    <mergeCell ref="L871:L873"/>
    <mergeCell ref="M871:M873"/>
    <mergeCell ref="N871:N873"/>
    <mergeCell ref="A874:A875"/>
    <mergeCell ref="B874:B875"/>
    <mergeCell ref="C874:C875"/>
    <mergeCell ref="D874:D875"/>
    <mergeCell ref="E874:E875"/>
    <mergeCell ref="F874:F875"/>
    <mergeCell ref="G874:G875"/>
    <mergeCell ref="H874:H875"/>
    <mergeCell ref="I874:I875"/>
    <mergeCell ref="J874:J875"/>
    <mergeCell ref="K874:K875"/>
    <mergeCell ref="L874:L875"/>
    <mergeCell ref="M874:M875"/>
    <mergeCell ref="N874:N875"/>
    <mergeCell ref="A876:A877"/>
    <mergeCell ref="B876:B877"/>
    <mergeCell ref="C876:C877"/>
    <mergeCell ref="D876:D877"/>
    <mergeCell ref="E876:E877"/>
    <mergeCell ref="F876:F877"/>
    <mergeCell ref="G876:G877"/>
    <mergeCell ref="H876:H877"/>
    <mergeCell ref="I876:I877"/>
    <mergeCell ref="J876:J877"/>
    <mergeCell ref="K876:K877"/>
    <mergeCell ref="L876:L877"/>
    <mergeCell ref="M876:M877"/>
    <mergeCell ref="N876:N877"/>
    <mergeCell ref="A882:A890"/>
    <mergeCell ref="B882:B890"/>
    <mergeCell ref="C882:C890"/>
    <mergeCell ref="D882:D890"/>
    <mergeCell ref="E882:E890"/>
    <mergeCell ref="F882:F890"/>
    <mergeCell ref="G882:G890"/>
    <mergeCell ref="H882:H890"/>
    <mergeCell ref="I882:I890"/>
    <mergeCell ref="J882:J890"/>
    <mergeCell ref="K882:K890"/>
    <mergeCell ref="L882:L890"/>
    <mergeCell ref="M882:M890"/>
    <mergeCell ref="N882:N890"/>
    <mergeCell ref="A894:A895"/>
    <mergeCell ref="B894:B895"/>
    <mergeCell ref="C894:C895"/>
    <mergeCell ref="D894:D895"/>
    <mergeCell ref="E894:E895"/>
    <mergeCell ref="F894:F895"/>
    <mergeCell ref="G894:G895"/>
    <mergeCell ref="H894:H895"/>
    <mergeCell ref="I894:I895"/>
    <mergeCell ref="J894:J895"/>
    <mergeCell ref="K894:K895"/>
    <mergeCell ref="L894:L895"/>
    <mergeCell ref="M894:M895"/>
    <mergeCell ref="N894:N895"/>
    <mergeCell ref="A899:A901"/>
    <mergeCell ref="B899:B901"/>
    <mergeCell ref="C899:C901"/>
    <mergeCell ref="D899:D901"/>
    <mergeCell ref="E899:E901"/>
    <mergeCell ref="F899:F901"/>
    <mergeCell ref="G899:G901"/>
    <mergeCell ref="H899:H901"/>
    <mergeCell ref="I899:I901"/>
    <mergeCell ref="J899:J901"/>
    <mergeCell ref="K899:K901"/>
    <mergeCell ref="L899:L901"/>
    <mergeCell ref="M899:M901"/>
    <mergeCell ref="N899:N901"/>
    <mergeCell ref="A907:A908"/>
    <mergeCell ref="B907:B908"/>
    <mergeCell ref="C907:C908"/>
    <mergeCell ref="D907:D908"/>
    <mergeCell ref="E907:E908"/>
    <mergeCell ref="F907:F908"/>
    <mergeCell ref="G907:G908"/>
    <mergeCell ref="H907:H908"/>
    <mergeCell ref="I907:I908"/>
    <mergeCell ref="J907:J908"/>
    <mergeCell ref="K907:K908"/>
    <mergeCell ref="L907:L908"/>
    <mergeCell ref="M907:M908"/>
    <mergeCell ref="N907:N908"/>
    <mergeCell ref="A911:A912"/>
    <mergeCell ref="B911:B912"/>
    <mergeCell ref="C911:C912"/>
    <mergeCell ref="D911:D912"/>
    <mergeCell ref="E911:E912"/>
    <mergeCell ref="F911:F912"/>
    <mergeCell ref="G911:G912"/>
    <mergeCell ref="H911:H912"/>
    <mergeCell ref="I911:I912"/>
    <mergeCell ref="J911:J912"/>
    <mergeCell ref="K911:K912"/>
    <mergeCell ref="L911:L912"/>
    <mergeCell ref="M911:M912"/>
    <mergeCell ref="N911:N912"/>
    <mergeCell ref="A913:A925"/>
    <mergeCell ref="B913:B925"/>
    <mergeCell ref="C913:C925"/>
    <mergeCell ref="D913:D925"/>
    <mergeCell ref="E913:E925"/>
    <mergeCell ref="F913:F925"/>
    <mergeCell ref="G913:G925"/>
    <mergeCell ref="H913:H925"/>
    <mergeCell ref="I913:I925"/>
    <mergeCell ref="J913:J925"/>
    <mergeCell ref="K913:K925"/>
    <mergeCell ref="L913:L925"/>
    <mergeCell ref="M913:M925"/>
    <mergeCell ref="N913:N925"/>
    <mergeCell ref="A927:A928"/>
    <mergeCell ref="B927:B928"/>
    <mergeCell ref="C927:C928"/>
    <mergeCell ref="D927:D928"/>
    <mergeCell ref="E927:E928"/>
    <mergeCell ref="F927:F928"/>
    <mergeCell ref="G927:G928"/>
    <mergeCell ref="H927:H928"/>
    <mergeCell ref="I927:I928"/>
    <mergeCell ref="J927:J928"/>
    <mergeCell ref="K927:K928"/>
    <mergeCell ref="L927:L928"/>
    <mergeCell ref="M927:M928"/>
    <mergeCell ref="N927:N928"/>
    <mergeCell ref="A929:A931"/>
    <mergeCell ref="B929:B931"/>
    <mergeCell ref="C929:C931"/>
    <mergeCell ref="D929:D931"/>
    <mergeCell ref="E929:E931"/>
    <mergeCell ref="F929:F931"/>
    <mergeCell ref="G929:G931"/>
    <mergeCell ref="H929:H931"/>
    <mergeCell ref="I929:I931"/>
    <mergeCell ref="J929:J931"/>
    <mergeCell ref="K929:K931"/>
    <mergeCell ref="L929:L931"/>
    <mergeCell ref="M929:M931"/>
    <mergeCell ref="N929:N931"/>
    <mergeCell ref="A936:A937"/>
    <mergeCell ref="B936:B937"/>
    <mergeCell ref="C936:C937"/>
    <mergeCell ref="D936:D937"/>
    <mergeCell ref="E936:E937"/>
    <mergeCell ref="F936:F937"/>
    <mergeCell ref="G936:G937"/>
    <mergeCell ref="H936:H937"/>
    <mergeCell ref="I936:I937"/>
    <mergeCell ref="J936:J937"/>
    <mergeCell ref="K936:K937"/>
    <mergeCell ref="L936:L937"/>
    <mergeCell ref="M936:M937"/>
    <mergeCell ref="N936:N937"/>
    <mergeCell ref="A939:A941"/>
    <mergeCell ref="B939:B941"/>
    <mergeCell ref="C939:C941"/>
    <mergeCell ref="D939:D941"/>
    <mergeCell ref="E939:E941"/>
    <mergeCell ref="F939:F941"/>
    <mergeCell ref="G939:G941"/>
    <mergeCell ref="H939:H941"/>
    <mergeCell ref="I939:I941"/>
    <mergeCell ref="J939:J941"/>
    <mergeCell ref="K939:K941"/>
    <mergeCell ref="L939:L941"/>
    <mergeCell ref="M939:M941"/>
    <mergeCell ref="N939:N941"/>
    <mergeCell ref="A942:A943"/>
    <mergeCell ref="B942:B943"/>
    <mergeCell ref="C942:C943"/>
    <mergeCell ref="D942:D943"/>
    <mergeCell ref="E942:E943"/>
    <mergeCell ref="F942:F943"/>
    <mergeCell ref="G942:G943"/>
    <mergeCell ref="H942:H943"/>
    <mergeCell ref="I942:I943"/>
    <mergeCell ref="J942:J943"/>
    <mergeCell ref="K942:K943"/>
    <mergeCell ref="L942:L943"/>
    <mergeCell ref="M942:M943"/>
    <mergeCell ref="N942:N943"/>
    <mergeCell ref="A944:A946"/>
    <mergeCell ref="B944:B946"/>
    <mergeCell ref="C944:C946"/>
    <mergeCell ref="D944:D946"/>
    <mergeCell ref="E944:E946"/>
    <mergeCell ref="F944:F946"/>
    <mergeCell ref="G944:G946"/>
    <mergeCell ref="H944:H946"/>
    <mergeCell ref="I944:I946"/>
    <mergeCell ref="J944:J946"/>
    <mergeCell ref="K944:K946"/>
    <mergeCell ref="L944:L946"/>
    <mergeCell ref="M944:M946"/>
    <mergeCell ref="N944:N946"/>
    <mergeCell ref="A947:A949"/>
    <mergeCell ref="B947:B949"/>
    <mergeCell ref="C947:C949"/>
    <mergeCell ref="D947:D949"/>
    <mergeCell ref="E947:E949"/>
    <mergeCell ref="F947:F949"/>
    <mergeCell ref="G947:G949"/>
    <mergeCell ref="H947:H949"/>
    <mergeCell ref="I947:I949"/>
    <mergeCell ref="J947:J949"/>
    <mergeCell ref="K947:K949"/>
    <mergeCell ref="L947:L949"/>
    <mergeCell ref="M947:M949"/>
    <mergeCell ref="N947:N949"/>
    <mergeCell ref="A950:A951"/>
    <mergeCell ref="B950:B951"/>
    <mergeCell ref="C950:C951"/>
    <mergeCell ref="D950:D951"/>
    <mergeCell ref="E950:E951"/>
    <mergeCell ref="F950:F951"/>
    <mergeCell ref="G950:G951"/>
    <mergeCell ref="H950:H951"/>
    <mergeCell ref="I950:I951"/>
    <mergeCell ref="J950:J951"/>
    <mergeCell ref="K950:K951"/>
    <mergeCell ref="L950:L951"/>
    <mergeCell ref="M950:M951"/>
    <mergeCell ref="N950:N951"/>
    <mergeCell ref="A952:A954"/>
    <mergeCell ref="B952:B954"/>
    <mergeCell ref="C952:C954"/>
    <mergeCell ref="D952:D954"/>
    <mergeCell ref="E952:E954"/>
    <mergeCell ref="F952:F954"/>
    <mergeCell ref="G952:G954"/>
    <mergeCell ref="H952:H954"/>
    <mergeCell ref="I952:I954"/>
    <mergeCell ref="J952:J954"/>
    <mergeCell ref="K952:K954"/>
    <mergeCell ref="L952:L954"/>
    <mergeCell ref="M952:M954"/>
    <mergeCell ref="N952:N954"/>
    <mergeCell ref="A956:A957"/>
    <mergeCell ref="B956:B957"/>
    <mergeCell ref="C956:C957"/>
    <mergeCell ref="D956:D957"/>
    <mergeCell ref="E956:E957"/>
    <mergeCell ref="F956:F957"/>
    <mergeCell ref="G956:G957"/>
    <mergeCell ref="H956:H957"/>
    <mergeCell ref="I956:I957"/>
    <mergeCell ref="J956:J957"/>
    <mergeCell ref="K956:K957"/>
    <mergeCell ref="L956:L957"/>
    <mergeCell ref="M956:M957"/>
    <mergeCell ref="N956:N957"/>
    <mergeCell ref="A958:A960"/>
    <mergeCell ref="B958:B960"/>
    <mergeCell ref="C958:C960"/>
    <mergeCell ref="D958:D960"/>
    <mergeCell ref="E958:E960"/>
    <mergeCell ref="F958:F960"/>
    <mergeCell ref="G958:G960"/>
    <mergeCell ref="H958:H960"/>
    <mergeCell ref="I958:I960"/>
    <mergeCell ref="J958:J960"/>
    <mergeCell ref="K958:K960"/>
    <mergeCell ref="L958:L960"/>
    <mergeCell ref="M958:M960"/>
    <mergeCell ref="N958:N960"/>
    <mergeCell ref="A961:A971"/>
    <mergeCell ref="B961:B971"/>
    <mergeCell ref="C961:C971"/>
    <mergeCell ref="D961:D971"/>
    <mergeCell ref="E961:E971"/>
    <mergeCell ref="F961:F971"/>
    <mergeCell ref="G961:G971"/>
    <mergeCell ref="H961:H971"/>
    <mergeCell ref="I961:I971"/>
    <mergeCell ref="J961:J971"/>
    <mergeCell ref="K961:K971"/>
    <mergeCell ref="L961:L971"/>
    <mergeCell ref="M961:M971"/>
    <mergeCell ref="N961:N971"/>
    <mergeCell ref="A972:A973"/>
    <mergeCell ref="B972:B973"/>
    <mergeCell ref="C972:C973"/>
    <mergeCell ref="D972:D973"/>
    <mergeCell ref="E972:E973"/>
    <mergeCell ref="F972:F973"/>
    <mergeCell ref="G972:G973"/>
    <mergeCell ref="H972:H973"/>
    <mergeCell ref="I972:I973"/>
    <mergeCell ref="J972:J973"/>
    <mergeCell ref="K972:K973"/>
    <mergeCell ref="L972:L973"/>
    <mergeCell ref="M972:M973"/>
    <mergeCell ref="N972:N973"/>
    <mergeCell ref="A974:A975"/>
    <mergeCell ref="B974:B975"/>
    <mergeCell ref="C974:C975"/>
    <mergeCell ref="D974:D975"/>
    <mergeCell ref="E974:E975"/>
    <mergeCell ref="F974:F975"/>
    <mergeCell ref="G974:G975"/>
    <mergeCell ref="H974:H975"/>
    <mergeCell ref="I974:I975"/>
    <mergeCell ref="J974:J975"/>
    <mergeCell ref="K974:K975"/>
    <mergeCell ref="L974:L975"/>
    <mergeCell ref="M974:M975"/>
    <mergeCell ref="N974:N975"/>
    <mergeCell ref="A977:A982"/>
    <mergeCell ref="B977:B982"/>
    <mergeCell ref="C977:C982"/>
    <mergeCell ref="D977:D982"/>
    <mergeCell ref="E977:E982"/>
    <mergeCell ref="F977:F982"/>
    <mergeCell ref="G977:G982"/>
    <mergeCell ref="H977:H982"/>
    <mergeCell ref="I977:I982"/>
    <mergeCell ref="J977:J982"/>
    <mergeCell ref="K977:K982"/>
    <mergeCell ref="L977:L982"/>
    <mergeCell ref="M977:M982"/>
    <mergeCell ref="N977:N982"/>
    <mergeCell ref="A985:A986"/>
    <mergeCell ref="B985:B986"/>
    <mergeCell ref="C985:C986"/>
    <mergeCell ref="D985:D986"/>
    <mergeCell ref="E985:E986"/>
    <mergeCell ref="F985:F986"/>
    <mergeCell ref="G985:G986"/>
    <mergeCell ref="H985:H986"/>
    <mergeCell ref="I985:I986"/>
    <mergeCell ref="J985:J986"/>
    <mergeCell ref="K985:K986"/>
    <mergeCell ref="L985:L986"/>
    <mergeCell ref="M985:M986"/>
    <mergeCell ref="N985:N986"/>
    <mergeCell ref="A987:A988"/>
    <mergeCell ref="B987:B988"/>
    <mergeCell ref="C987:C988"/>
    <mergeCell ref="D987:D988"/>
    <mergeCell ref="E987:E988"/>
    <mergeCell ref="F987:F988"/>
    <mergeCell ref="G987:G988"/>
    <mergeCell ref="H987:H988"/>
    <mergeCell ref="I987:I988"/>
    <mergeCell ref="J987:J988"/>
    <mergeCell ref="K987:K988"/>
    <mergeCell ref="L987:L988"/>
    <mergeCell ref="M987:M988"/>
    <mergeCell ref="N987:N988"/>
    <mergeCell ref="A989:A991"/>
    <mergeCell ref="B989:B991"/>
    <mergeCell ref="C989:C991"/>
    <mergeCell ref="D989:D991"/>
    <mergeCell ref="E989:E991"/>
    <mergeCell ref="F989:F991"/>
    <mergeCell ref="G989:G991"/>
    <mergeCell ref="H989:H991"/>
    <mergeCell ref="I989:I991"/>
    <mergeCell ref="J989:J991"/>
    <mergeCell ref="K989:K991"/>
    <mergeCell ref="L989:L991"/>
    <mergeCell ref="M989:M991"/>
    <mergeCell ref="N989:N991"/>
    <mergeCell ref="A994:A996"/>
    <mergeCell ref="B994:B996"/>
    <mergeCell ref="C994:C996"/>
    <mergeCell ref="D994:D996"/>
    <mergeCell ref="E994:E996"/>
    <mergeCell ref="F994:F996"/>
    <mergeCell ref="G994:G996"/>
    <mergeCell ref="H994:H996"/>
    <mergeCell ref="I994:I996"/>
    <mergeCell ref="J994:J996"/>
    <mergeCell ref="K994:K996"/>
    <mergeCell ref="L994:L996"/>
    <mergeCell ref="M994:M996"/>
    <mergeCell ref="N994:N996"/>
    <mergeCell ref="A997:A1000"/>
    <mergeCell ref="B997:B1000"/>
    <mergeCell ref="C997:C1000"/>
    <mergeCell ref="D997:D1000"/>
    <mergeCell ref="E997:E1000"/>
    <mergeCell ref="F997:F1000"/>
    <mergeCell ref="G997:G1000"/>
    <mergeCell ref="H997:H1000"/>
    <mergeCell ref="I997:I1000"/>
    <mergeCell ref="J997:J1000"/>
    <mergeCell ref="K997:K1000"/>
    <mergeCell ref="L997:L1000"/>
    <mergeCell ref="M997:M1000"/>
    <mergeCell ref="N997:N1000"/>
    <mergeCell ref="A1002:A1004"/>
    <mergeCell ref="B1002:B1004"/>
    <mergeCell ref="C1002:C1004"/>
    <mergeCell ref="D1002:D1004"/>
    <mergeCell ref="E1002:E1004"/>
    <mergeCell ref="F1002:F1004"/>
    <mergeCell ref="G1002:G1004"/>
    <mergeCell ref="H1002:H1004"/>
    <mergeCell ref="I1002:I1004"/>
    <mergeCell ref="J1002:J1004"/>
    <mergeCell ref="K1002:K1004"/>
    <mergeCell ref="L1002:L1004"/>
    <mergeCell ref="M1002:M1004"/>
    <mergeCell ref="N1002:N1004"/>
    <mergeCell ref="A1005:A1006"/>
    <mergeCell ref="B1005:B1006"/>
    <mergeCell ref="C1005:C1006"/>
    <mergeCell ref="D1005:D1006"/>
    <mergeCell ref="E1005:E1006"/>
    <mergeCell ref="F1005:F1006"/>
    <mergeCell ref="G1005:G1006"/>
    <mergeCell ref="H1005:H1006"/>
    <mergeCell ref="I1005:I1006"/>
    <mergeCell ref="J1005:J1006"/>
    <mergeCell ref="K1005:K1006"/>
    <mergeCell ref="L1005:L1006"/>
    <mergeCell ref="M1005:M1006"/>
    <mergeCell ref="N1005:N1006"/>
    <mergeCell ref="A1009:A1010"/>
    <mergeCell ref="B1009:B1010"/>
    <mergeCell ref="C1009:C1010"/>
    <mergeCell ref="D1009:D1010"/>
    <mergeCell ref="E1009:E1010"/>
    <mergeCell ref="F1009:F1010"/>
    <mergeCell ref="G1009:G1010"/>
    <mergeCell ref="H1009:H1010"/>
    <mergeCell ref="I1009:I1010"/>
    <mergeCell ref="J1009:J1010"/>
    <mergeCell ref="K1009:K1010"/>
    <mergeCell ref="L1009:L1010"/>
    <mergeCell ref="M1009:M1010"/>
    <mergeCell ref="N1009:N1010"/>
    <mergeCell ref="A1011:A1013"/>
    <mergeCell ref="B1011:B1013"/>
    <mergeCell ref="C1011:C1013"/>
    <mergeCell ref="D1011:D1013"/>
    <mergeCell ref="E1011:E1013"/>
    <mergeCell ref="F1011:F1013"/>
    <mergeCell ref="G1011:G1013"/>
    <mergeCell ref="H1011:H1013"/>
    <mergeCell ref="I1011:I1013"/>
    <mergeCell ref="J1011:J1013"/>
    <mergeCell ref="K1011:K1013"/>
    <mergeCell ref="L1011:L1013"/>
    <mergeCell ref="M1011:M1013"/>
    <mergeCell ref="N1011:N1013"/>
    <mergeCell ref="A1014:A1015"/>
    <mergeCell ref="B1014:B1015"/>
    <mergeCell ref="C1014:C1015"/>
    <mergeCell ref="D1014:D1015"/>
    <mergeCell ref="E1014:E1015"/>
    <mergeCell ref="F1014:F1015"/>
    <mergeCell ref="G1014:G1015"/>
    <mergeCell ref="H1014:H1015"/>
    <mergeCell ref="I1014:I1015"/>
    <mergeCell ref="J1014:J1015"/>
    <mergeCell ref="K1014:K1015"/>
    <mergeCell ref="L1014:L1015"/>
    <mergeCell ref="M1014:M1015"/>
    <mergeCell ref="N1014:N1015"/>
    <mergeCell ref="A1017:A1020"/>
    <mergeCell ref="B1017:B1020"/>
    <mergeCell ref="C1017:C1020"/>
    <mergeCell ref="D1017:D1020"/>
    <mergeCell ref="E1017:E1020"/>
    <mergeCell ref="F1017:F1020"/>
    <mergeCell ref="G1017:G1020"/>
    <mergeCell ref="H1017:H1020"/>
    <mergeCell ref="I1017:I1020"/>
    <mergeCell ref="J1017:J1020"/>
    <mergeCell ref="K1017:K1020"/>
    <mergeCell ref="L1017:L1020"/>
    <mergeCell ref="M1017:M1020"/>
    <mergeCell ref="N1017:N1020"/>
    <mergeCell ref="A1025:A1028"/>
    <mergeCell ref="B1025:B1028"/>
    <mergeCell ref="C1025:C1028"/>
    <mergeCell ref="D1025:D1028"/>
    <mergeCell ref="E1025:E1028"/>
    <mergeCell ref="F1025:F1028"/>
    <mergeCell ref="G1025:G1028"/>
    <mergeCell ref="H1025:H1028"/>
    <mergeCell ref="I1025:I1028"/>
    <mergeCell ref="J1025:J1028"/>
    <mergeCell ref="K1025:K1028"/>
    <mergeCell ref="L1025:L1028"/>
    <mergeCell ref="M1025:M1028"/>
    <mergeCell ref="N1025:N1028"/>
    <mergeCell ref="A1029:A1030"/>
    <mergeCell ref="B1029:B1030"/>
    <mergeCell ref="C1029:C1030"/>
    <mergeCell ref="D1029:D1030"/>
    <mergeCell ref="E1029:E1030"/>
    <mergeCell ref="F1029:F1030"/>
    <mergeCell ref="G1029:G1030"/>
    <mergeCell ref="H1029:H1030"/>
    <mergeCell ref="I1029:I1030"/>
    <mergeCell ref="J1029:J1030"/>
    <mergeCell ref="K1029:K1030"/>
    <mergeCell ref="L1029:L1030"/>
    <mergeCell ref="M1029:M1030"/>
    <mergeCell ref="N1029:N1030"/>
    <mergeCell ref="A1031:A1032"/>
    <mergeCell ref="B1031:B1032"/>
    <mergeCell ref="C1031:C1032"/>
    <mergeCell ref="D1031:D1032"/>
    <mergeCell ref="E1031:E1032"/>
    <mergeCell ref="F1031:F1032"/>
    <mergeCell ref="G1031:G1032"/>
    <mergeCell ref="H1031:H1032"/>
    <mergeCell ref="I1031:I1032"/>
    <mergeCell ref="J1031:J1032"/>
    <mergeCell ref="K1031:K1032"/>
    <mergeCell ref="L1031:L1032"/>
    <mergeCell ref="M1031:M1032"/>
    <mergeCell ref="N1031:N1032"/>
    <mergeCell ref="A1033:A1034"/>
    <mergeCell ref="B1033:B1034"/>
    <mergeCell ref="C1033:C1034"/>
    <mergeCell ref="D1033:D1034"/>
    <mergeCell ref="E1033:E1034"/>
    <mergeCell ref="F1033:F1034"/>
    <mergeCell ref="G1033:G1034"/>
    <mergeCell ref="H1033:H1034"/>
    <mergeCell ref="I1033:I1034"/>
    <mergeCell ref="J1033:J1034"/>
    <mergeCell ref="K1033:K1034"/>
    <mergeCell ref="L1033:L1034"/>
    <mergeCell ref="M1033:M1034"/>
    <mergeCell ref="N1033:N1034"/>
    <mergeCell ref="A1035:A1038"/>
    <mergeCell ref="B1035:B1038"/>
    <mergeCell ref="C1035:C1038"/>
    <mergeCell ref="D1035:D1038"/>
    <mergeCell ref="E1035:E1038"/>
    <mergeCell ref="F1035:F1038"/>
    <mergeCell ref="G1035:G1038"/>
    <mergeCell ref="H1035:H1038"/>
    <mergeCell ref="I1035:I1038"/>
    <mergeCell ref="J1035:J1038"/>
    <mergeCell ref="K1035:K1038"/>
    <mergeCell ref="L1035:L1038"/>
    <mergeCell ref="M1035:M1038"/>
    <mergeCell ref="N1035:N1038"/>
    <mergeCell ref="A1041:A1044"/>
    <mergeCell ref="B1041:B1044"/>
    <mergeCell ref="C1041:C1044"/>
    <mergeCell ref="D1041:D1044"/>
    <mergeCell ref="E1041:E1044"/>
    <mergeCell ref="F1041:F1044"/>
    <mergeCell ref="G1041:G1044"/>
    <mergeCell ref="H1041:H1044"/>
    <mergeCell ref="I1041:I1044"/>
    <mergeCell ref="J1041:J1044"/>
    <mergeCell ref="K1041:K1044"/>
    <mergeCell ref="L1041:L1044"/>
    <mergeCell ref="M1041:M1044"/>
    <mergeCell ref="N1041:N1044"/>
    <mergeCell ref="A1045:A1048"/>
    <mergeCell ref="B1045:B1048"/>
    <mergeCell ref="C1045:C1048"/>
    <mergeCell ref="D1045:D1048"/>
    <mergeCell ref="E1045:E1048"/>
    <mergeCell ref="F1045:F1048"/>
    <mergeCell ref="G1045:G1048"/>
    <mergeCell ref="H1045:H1048"/>
    <mergeCell ref="I1045:I1048"/>
    <mergeCell ref="J1045:J1048"/>
    <mergeCell ref="K1045:K1048"/>
    <mergeCell ref="L1045:L1048"/>
    <mergeCell ref="M1045:M1048"/>
    <mergeCell ref="N1045:N1048"/>
    <mergeCell ref="A1051:A1056"/>
    <mergeCell ref="B1051:B1056"/>
    <mergeCell ref="C1051:C1056"/>
    <mergeCell ref="D1051:D1056"/>
    <mergeCell ref="E1051:E1056"/>
    <mergeCell ref="F1051:F1056"/>
    <mergeCell ref="G1051:G1056"/>
    <mergeCell ref="H1051:H1056"/>
    <mergeCell ref="I1051:I1056"/>
    <mergeCell ref="J1051:J1056"/>
    <mergeCell ref="K1051:K1056"/>
    <mergeCell ref="L1051:L1056"/>
    <mergeCell ref="M1051:M1056"/>
    <mergeCell ref="N1051:N1056"/>
    <mergeCell ref="A1057:A1059"/>
    <mergeCell ref="B1057:B1059"/>
    <mergeCell ref="C1057:C1059"/>
    <mergeCell ref="D1057:D1059"/>
    <mergeCell ref="E1057:E1059"/>
    <mergeCell ref="F1057:F1059"/>
    <mergeCell ref="G1057:G1059"/>
    <mergeCell ref="H1057:H1059"/>
    <mergeCell ref="I1057:I1059"/>
    <mergeCell ref="J1057:J1059"/>
    <mergeCell ref="K1057:K1059"/>
    <mergeCell ref="L1057:L1059"/>
    <mergeCell ref="M1057:M1059"/>
    <mergeCell ref="N1057:N1059"/>
    <mergeCell ref="A1064:A1065"/>
    <mergeCell ref="B1064:B1065"/>
    <mergeCell ref="C1064:C1065"/>
    <mergeCell ref="D1064:D1065"/>
    <mergeCell ref="E1064:E1065"/>
    <mergeCell ref="F1064:F1065"/>
    <mergeCell ref="G1064:G1065"/>
    <mergeCell ref="H1064:H1065"/>
    <mergeCell ref="I1064:I1065"/>
    <mergeCell ref="J1064:J1065"/>
    <mergeCell ref="K1064:K1065"/>
    <mergeCell ref="L1064:L1065"/>
    <mergeCell ref="M1064:M1065"/>
    <mergeCell ref="N1064:N1065"/>
    <mergeCell ref="A1068:A1072"/>
    <mergeCell ref="B1068:B1072"/>
    <mergeCell ref="C1068:C1072"/>
    <mergeCell ref="D1068:D1072"/>
    <mergeCell ref="E1068:E1072"/>
    <mergeCell ref="F1068:F1072"/>
    <mergeCell ref="G1068:G1072"/>
    <mergeCell ref="H1068:H1072"/>
    <mergeCell ref="I1068:I1072"/>
    <mergeCell ref="J1068:J1072"/>
    <mergeCell ref="K1068:K1072"/>
    <mergeCell ref="L1068:L1072"/>
    <mergeCell ref="M1068:M1072"/>
    <mergeCell ref="N1068:N1072"/>
    <mergeCell ref="A1073:A1074"/>
    <mergeCell ref="B1073:B1074"/>
    <mergeCell ref="C1073:C1074"/>
    <mergeCell ref="D1073:D1074"/>
    <mergeCell ref="E1073:E1074"/>
    <mergeCell ref="F1073:F1074"/>
    <mergeCell ref="G1073:G1074"/>
    <mergeCell ref="H1073:H1074"/>
    <mergeCell ref="I1073:I1074"/>
    <mergeCell ref="J1073:J1074"/>
    <mergeCell ref="K1073:K1074"/>
    <mergeCell ref="L1073:L1074"/>
    <mergeCell ref="M1073:M1074"/>
    <mergeCell ref="N1073:N1074"/>
    <mergeCell ref="A1076:A1077"/>
    <mergeCell ref="B1076:B1077"/>
    <mergeCell ref="C1076:C1077"/>
    <mergeCell ref="D1076:D1077"/>
    <mergeCell ref="E1076:E1077"/>
    <mergeCell ref="F1076:F1077"/>
    <mergeCell ref="G1076:G1077"/>
    <mergeCell ref="H1076:H1077"/>
    <mergeCell ref="I1076:I1077"/>
    <mergeCell ref="J1076:J1077"/>
    <mergeCell ref="K1076:K1077"/>
    <mergeCell ref="L1076:L1077"/>
    <mergeCell ref="M1076:M1077"/>
    <mergeCell ref="N1076:N1077"/>
    <mergeCell ref="A1078:A1083"/>
    <mergeCell ref="B1078:B1083"/>
    <mergeCell ref="C1078:C1083"/>
    <mergeCell ref="D1078:D1083"/>
    <mergeCell ref="E1078:E1083"/>
    <mergeCell ref="F1078:F1083"/>
    <mergeCell ref="G1078:G1083"/>
    <mergeCell ref="H1078:H1083"/>
    <mergeCell ref="I1078:I1083"/>
    <mergeCell ref="J1078:J1083"/>
    <mergeCell ref="K1078:K1083"/>
    <mergeCell ref="L1078:L1083"/>
    <mergeCell ref="M1078:M1083"/>
    <mergeCell ref="N1078:N1083"/>
    <mergeCell ref="A1084:A1085"/>
    <mergeCell ref="B1084:B1085"/>
    <mergeCell ref="C1084:C1085"/>
    <mergeCell ref="D1084:D1085"/>
    <mergeCell ref="E1084:E1085"/>
    <mergeCell ref="F1084:F1085"/>
    <mergeCell ref="G1084:G1085"/>
    <mergeCell ref="H1084:H1085"/>
    <mergeCell ref="I1084:I1085"/>
    <mergeCell ref="J1084:J1085"/>
    <mergeCell ref="K1084:K1085"/>
    <mergeCell ref="L1084:L1085"/>
    <mergeCell ref="M1084:M1085"/>
    <mergeCell ref="N1084:N1085"/>
    <mergeCell ref="A1086:A1087"/>
    <mergeCell ref="B1086:B1087"/>
    <mergeCell ref="C1086:C1087"/>
    <mergeCell ref="D1086:D1087"/>
    <mergeCell ref="E1086:E1087"/>
    <mergeCell ref="F1086:F1087"/>
    <mergeCell ref="G1086:G1087"/>
    <mergeCell ref="H1086:H1087"/>
    <mergeCell ref="I1086:I1087"/>
    <mergeCell ref="J1086:J1087"/>
    <mergeCell ref="K1086:K1087"/>
    <mergeCell ref="L1086:L1087"/>
    <mergeCell ref="M1086:M1087"/>
    <mergeCell ref="N1086:N1087"/>
    <mergeCell ref="A1092:A1093"/>
    <mergeCell ref="B1092:B1093"/>
    <mergeCell ref="C1092:C1093"/>
    <mergeCell ref="D1092:D1093"/>
    <mergeCell ref="E1092:E1093"/>
    <mergeCell ref="F1092:F1093"/>
    <mergeCell ref="G1092:G1093"/>
    <mergeCell ref="H1092:H1093"/>
    <mergeCell ref="I1092:I1093"/>
    <mergeCell ref="J1092:J1093"/>
    <mergeCell ref="K1092:K1093"/>
    <mergeCell ref="L1092:L1093"/>
    <mergeCell ref="M1092:M1093"/>
    <mergeCell ref="N1092:N1093"/>
    <mergeCell ref="A1096:A1097"/>
    <mergeCell ref="B1096:B1097"/>
    <mergeCell ref="C1096:C1097"/>
    <mergeCell ref="D1096:D1097"/>
    <mergeCell ref="E1096:E1097"/>
    <mergeCell ref="F1096:F1097"/>
    <mergeCell ref="G1096:G1097"/>
    <mergeCell ref="H1096:H1097"/>
    <mergeCell ref="I1096:I1097"/>
    <mergeCell ref="J1096:J1097"/>
    <mergeCell ref="K1096:K1097"/>
    <mergeCell ref="L1096:L1097"/>
    <mergeCell ref="M1096:M1097"/>
    <mergeCell ref="N1096:N1097"/>
    <mergeCell ref="A1098:A1105"/>
    <mergeCell ref="B1098:B1105"/>
    <mergeCell ref="C1098:C1105"/>
    <mergeCell ref="D1098:D1105"/>
    <mergeCell ref="E1098:E1105"/>
    <mergeCell ref="F1098:F1105"/>
    <mergeCell ref="G1098:G1105"/>
    <mergeCell ref="H1098:H1105"/>
    <mergeCell ref="I1098:I1105"/>
    <mergeCell ref="J1098:J1105"/>
    <mergeCell ref="K1098:K1105"/>
    <mergeCell ref="L1098:L1105"/>
    <mergeCell ref="M1098:M1105"/>
    <mergeCell ref="N1098:N1105"/>
    <mergeCell ref="A1110:A1117"/>
    <mergeCell ref="B1110:B1117"/>
    <mergeCell ref="C1110:C1117"/>
    <mergeCell ref="D1110:D1117"/>
    <mergeCell ref="E1110:E1117"/>
    <mergeCell ref="F1110:F1117"/>
    <mergeCell ref="G1110:G1117"/>
    <mergeCell ref="H1110:H1117"/>
    <mergeCell ref="I1110:I1117"/>
    <mergeCell ref="J1110:J1117"/>
    <mergeCell ref="K1110:K1117"/>
    <mergeCell ref="L1110:L1117"/>
    <mergeCell ref="M1110:M1117"/>
    <mergeCell ref="N1110:N1117"/>
    <mergeCell ref="A1121:A1131"/>
    <mergeCell ref="B1121:B1131"/>
    <mergeCell ref="C1121:C1131"/>
    <mergeCell ref="D1121:D1131"/>
    <mergeCell ref="E1121:E1131"/>
    <mergeCell ref="F1121:F1131"/>
    <mergeCell ref="G1121:G1131"/>
    <mergeCell ref="H1121:H1131"/>
    <mergeCell ref="I1121:I1131"/>
    <mergeCell ref="J1121:J1131"/>
    <mergeCell ref="K1121:K1131"/>
    <mergeCell ref="L1121:L1131"/>
    <mergeCell ref="M1121:M1131"/>
    <mergeCell ref="N1121:N1131"/>
    <mergeCell ref="A1132:A1141"/>
    <mergeCell ref="B1132:B1141"/>
    <mergeCell ref="C1132:C1141"/>
    <mergeCell ref="D1132:D1141"/>
    <mergeCell ref="E1132:E1141"/>
    <mergeCell ref="F1132:F1141"/>
    <mergeCell ref="G1132:G1141"/>
    <mergeCell ref="H1132:H1141"/>
    <mergeCell ref="I1132:I1141"/>
    <mergeCell ref="J1132:J1141"/>
    <mergeCell ref="K1132:K1141"/>
    <mergeCell ref="L1132:L1141"/>
    <mergeCell ref="M1132:M1141"/>
    <mergeCell ref="N1132:N1141"/>
    <mergeCell ref="A1143:A1144"/>
    <mergeCell ref="B1143:B1144"/>
    <mergeCell ref="C1143:C1144"/>
    <mergeCell ref="D1143:D1144"/>
    <mergeCell ref="E1143:E1144"/>
    <mergeCell ref="F1143:F1144"/>
    <mergeCell ref="G1143:G1144"/>
    <mergeCell ref="H1143:H1144"/>
    <mergeCell ref="I1143:I1144"/>
    <mergeCell ref="J1143:J1144"/>
    <mergeCell ref="K1143:K1144"/>
    <mergeCell ref="L1143:L1144"/>
    <mergeCell ref="M1143:M1144"/>
    <mergeCell ref="N1143:N1144"/>
    <mergeCell ref="A1145:A1146"/>
    <mergeCell ref="B1145:B1146"/>
    <mergeCell ref="C1145:C1146"/>
    <mergeCell ref="D1145:D1146"/>
    <mergeCell ref="E1145:E1146"/>
    <mergeCell ref="F1145:F1146"/>
    <mergeCell ref="G1145:G1146"/>
    <mergeCell ref="H1145:H1146"/>
    <mergeCell ref="I1145:I1146"/>
    <mergeCell ref="J1145:J1146"/>
    <mergeCell ref="K1145:K1146"/>
    <mergeCell ref="L1145:L1146"/>
    <mergeCell ref="M1145:M1146"/>
    <mergeCell ref="N1145:N1146"/>
    <mergeCell ref="A1147:A1150"/>
    <mergeCell ref="B1147:B1150"/>
    <mergeCell ref="C1147:C1150"/>
    <mergeCell ref="D1147:D1150"/>
    <mergeCell ref="E1147:E1150"/>
    <mergeCell ref="F1147:F1150"/>
    <mergeCell ref="G1147:G1150"/>
    <mergeCell ref="H1147:H1150"/>
    <mergeCell ref="I1147:I1150"/>
    <mergeCell ref="J1147:J1150"/>
    <mergeCell ref="K1147:K1150"/>
    <mergeCell ref="L1147:L1150"/>
    <mergeCell ref="M1147:M1150"/>
    <mergeCell ref="N1147:N1150"/>
    <mergeCell ref="A1151:A1153"/>
    <mergeCell ref="B1151:B1153"/>
    <mergeCell ref="C1151:C1153"/>
    <mergeCell ref="D1151:D1153"/>
    <mergeCell ref="E1151:E1153"/>
    <mergeCell ref="F1151:F1153"/>
    <mergeCell ref="G1151:G1153"/>
    <mergeCell ref="H1151:H1153"/>
    <mergeCell ref="I1151:I1153"/>
    <mergeCell ref="J1151:J1153"/>
    <mergeCell ref="K1151:K1153"/>
    <mergeCell ref="L1151:L1153"/>
    <mergeCell ref="M1151:M1153"/>
    <mergeCell ref="N1151:N1153"/>
    <mergeCell ref="A1157:A1159"/>
    <mergeCell ref="B1157:B1159"/>
    <mergeCell ref="C1157:C1159"/>
    <mergeCell ref="D1157:D1159"/>
    <mergeCell ref="E1157:E1159"/>
    <mergeCell ref="F1157:F1159"/>
    <mergeCell ref="G1157:G1159"/>
    <mergeCell ref="H1157:H1159"/>
    <mergeCell ref="I1157:I1159"/>
    <mergeCell ref="J1157:J1159"/>
    <mergeCell ref="K1157:K1159"/>
    <mergeCell ref="L1157:L1159"/>
    <mergeCell ref="M1157:M1159"/>
    <mergeCell ref="N1157:N1159"/>
    <mergeCell ref="A1160:A1162"/>
    <mergeCell ref="B1160:B1162"/>
    <mergeCell ref="C1160:C1162"/>
    <mergeCell ref="D1160:D1162"/>
    <mergeCell ref="E1160:E1162"/>
    <mergeCell ref="F1160:F1162"/>
    <mergeCell ref="G1160:G1162"/>
    <mergeCell ref="H1160:H1162"/>
    <mergeCell ref="I1160:I1162"/>
    <mergeCell ref="J1160:J1162"/>
    <mergeCell ref="K1160:K1162"/>
    <mergeCell ref="L1160:L1162"/>
    <mergeCell ref="M1160:M1162"/>
    <mergeCell ref="N1160:N1162"/>
    <mergeCell ref="A1165:A1167"/>
    <mergeCell ref="B1165:B1167"/>
    <mergeCell ref="C1165:C1167"/>
    <mergeCell ref="D1165:D1167"/>
    <mergeCell ref="E1165:E1167"/>
    <mergeCell ref="F1165:F1167"/>
    <mergeCell ref="G1165:G1167"/>
    <mergeCell ref="H1165:H1167"/>
    <mergeCell ref="I1165:I1167"/>
    <mergeCell ref="J1165:J1167"/>
    <mergeCell ref="K1165:K1167"/>
    <mergeCell ref="L1165:L1167"/>
    <mergeCell ref="M1165:M1167"/>
    <mergeCell ref="N1165:N1167"/>
    <mergeCell ref="A1170:A1173"/>
    <mergeCell ref="B1170:B1173"/>
    <mergeCell ref="C1170:C1173"/>
    <mergeCell ref="D1170:D1173"/>
    <mergeCell ref="E1170:E1173"/>
    <mergeCell ref="F1170:F1173"/>
    <mergeCell ref="G1170:G1173"/>
    <mergeCell ref="H1170:H1173"/>
    <mergeCell ref="I1170:I1173"/>
    <mergeCell ref="J1170:J1173"/>
    <mergeCell ref="K1170:K1173"/>
    <mergeCell ref="L1170:L1173"/>
    <mergeCell ref="M1170:M1173"/>
    <mergeCell ref="N1170:N1173"/>
    <mergeCell ref="A1175:A1176"/>
    <mergeCell ref="B1175:B1176"/>
    <mergeCell ref="C1175:C1176"/>
    <mergeCell ref="D1175:D1176"/>
    <mergeCell ref="E1175:E1176"/>
    <mergeCell ref="F1175:F1176"/>
    <mergeCell ref="G1175:G1176"/>
    <mergeCell ref="H1175:H1176"/>
    <mergeCell ref="I1175:I1176"/>
    <mergeCell ref="J1175:J1176"/>
    <mergeCell ref="K1175:K1176"/>
    <mergeCell ref="L1175:L1176"/>
    <mergeCell ref="M1175:M1176"/>
    <mergeCell ref="N1175:N1176"/>
    <mergeCell ref="A1177:A1179"/>
    <mergeCell ref="B1177:B1179"/>
    <mergeCell ref="C1177:C1179"/>
    <mergeCell ref="D1177:D1179"/>
    <mergeCell ref="E1177:E1179"/>
    <mergeCell ref="F1177:F1179"/>
    <mergeCell ref="G1177:G1179"/>
    <mergeCell ref="H1177:H1179"/>
    <mergeCell ref="I1177:I1179"/>
    <mergeCell ref="J1177:J1179"/>
    <mergeCell ref="K1177:K1179"/>
    <mergeCell ref="L1177:L1179"/>
    <mergeCell ref="M1177:M1179"/>
    <mergeCell ref="N1177:N1179"/>
    <mergeCell ref="A1180:A1182"/>
    <mergeCell ref="B1180:B1182"/>
    <mergeCell ref="C1180:C1182"/>
    <mergeCell ref="D1180:D1182"/>
    <mergeCell ref="E1180:E1182"/>
    <mergeCell ref="F1180:F1182"/>
    <mergeCell ref="G1180:G1182"/>
    <mergeCell ref="H1180:H1182"/>
    <mergeCell ref="I1180:I1182"/>
    <mergeCell ref="J1180:J1182"/>
    <mergeCell ref="K1180:K1182"/>
    <mergeCell ref="L1180:L1182"/>
    <mergeCell ref="M1180:M1182"/>
    <mergeCell ref="N1180:N1182"/>
    <mergeCell ref="A1183:A1188"/>
    <mergeCell ref="B1183:B1188"/>
    <mergeCell ref="C1183:C1188"/>
    <mergeCell ref="D1183:D1188"/>
    <mergeCell ref="E1183:E1188"/>
    <mergeCell ref="F1183:F1188"/>
    <mergeCell ref="G1183:G1188"/>
    <mergeCell ref="H1183:H1188"/>
    <mergeCell ref="I1183:I1188"/>
    <mergeCell ref="J1183:J1188"/>
    <mergeCell ref="K1183:K1188"/>
    <mergeCell ref="L1183:L1188"/>
    <mergeCell ref="M1183:M1188"/>
    <mergeCell ref="N1183:N1188"/>
    <mergeCell ref="A1190:A1191"/>
    <mergeCell ref="B1190:B1191"/>
    <mergeCell ref="C1190:C1191"/>
    <mergeCell ref="D1190:D1191"/>
    <mergeCell ref="E1190:E1191"/>
    <mergeCell ref="F1190:F1191"/>
    <mergeCell ref="G1190:G1191"/>
    <mergeCell ref="H1190:H1191"/>
    <mergeCell ref="I1190:I1191"/>
    <mergeCell ref="J1190:J1191"/>
    <mergeCell ref="K1190:K1191"/>
    <mergeCell ref="L1190:L1191"/>
    <mergeCell ref="M1190:M1191"/>
    <mergeCell ref="N1190:N1191"/>
    <mergeCell ref="A1192:A1194"/>
    <mergeCell ref="B1192:B1194"/>
    <mergeCell ref="C1192:C1194"/>
    <mergeCell ref="D1192:D1194"/>
    <mergeCell ref="E1192:E1194"/>
    <mergeCell ref="F1192:F1194"/>
    <mergeCell ref="G1192:G1194"/>
    <mergeCell ref="H1192:H1194"/>
    <mergeCell ref="I1192:I1194"/>
    <mergeCell ref="J1192:J1194"/>
    <mergeCell ref="K1192:K1194"/>
    <mergeCell ref="L1192:L1194"/>
    <mergeCell ref="M1192:M1194"/>
    <mergeCell ref="N1192:N1194"/>
    <mergeCell ref="A1195:A1198"/>
    <mergeCell ref="B1195:B1198"/>
    <mergeCell ref="C1195:C1198"/>
    <mergeCell ref="D1195:D1198"/>
    <mergeCell ref="E1195:E1198"/>
    <mergeCell ref="F1195:F1198"/>
    <mergeCell ref="G1195:G1198"/>
    <mergeCell ref="H1195:H1198"/>
    <mergeCell ref="I1195:I1198"/>
    <mergeCell ref="J1195:J1198"/>
    <mergeCell ref="K1195:K1198"/>
    <mergeCell ref="L1195:L1198"/>
    <mergeCell ref="M1195:M1198"/>
    <mergeCell ref="N1195:N1198"/>
    <mergeCell ref="A1202:A1203"/>
    <mergeCell ref="B1202:B1203"/>
    <mergeCell ref="C1202:C1203"/>
    <mergeCell ref="D1202:D1203"/>
    <mergeCell ref="E1202:E1203"/>
    <mergeCell ref="F1202:F1203"/>
    <mergeCell ref="G1202:G1203"/>
    <mergeCell ref="H1202:H1203"/>
    <mergeCell ref="I1202:I1203"/>
    <mergeCell ref="J1202:J1203"/>
    <mergeCell ref="K1202:K1203"/>
    <mergeCell ref="L1202:L1203"/>
    <mergeCell ref="M1202:M1203"/>
    <mergeCell ref="N1202:N1203"/>
    <mergeCell ref="A1205:A1206"/>
    <mergeCell ref="B1205:B1206"/>
    <mergeCell ref="C1205:C1206"/>
    <mergeCell ref="D1205:D1206"/>
    <mergeCell ref="E1205:E1206"/>
    <mergeCell ref="F1205:F1206"/>
    <mergeCell ref="G1205:G1206"/>
    <mergeCell ref="H1205:H1206"/>
    <mergeCell ref="I1205:I1206"/>
    <mergeCell ref="J1205:J1206"/>
    <mergeCell ref="K1205:K1206"/>
    <mergeCell ref="L1205:L1206"/>
    <mergeCell ref="M1205:M1206"/>
    <mergeCell ref="N1205:N1206"/>
    <mergeCell ref="A1209:A1210"/>
    <mergeCell ref="B1209:B1210"/>
    <mergeCell ref="C1209:C1210"/>
    <mergeCell ref="D1209:D1210"/>
    <mergeCell ref="E1209:E1210"/>
    <mergeCell ref="F1209:F1210"/>
    <mergeCell ref="G1209:G1210"/>
    <mergeCell ref="H1209:H1210"/>
    <mergeCell ref="I1209:I1210"/>
    <mergeCell ref="J1209:J1210"/>
    <mergeCell ref="K1209:K1210"/>
    <mergeCell ref="L1209:L1210"/>
    <mergeCell ref="M1209:M1210"/>
    <mergeCell ref="N1209:N1210"/>
    <mergeCell ref="A1211:A1212"/>
    <mergeCell ref="B1211:B1212"/>
    <mergeCell ref="C1211:C1212"/>
    <mergeCell ref="D1211:D1212"/>
    <mergeCell ref="E1211:E1212"/>
    <mergeCell ref="F1211:F1212"/>
    <mergeCell ref="G1211:G1212"/>
    <mergeCell ref="H1211:H1212"/>
    <mergeCell ref="I1211:I1212"/>
    <mergeCell ref="J1211:J1212"/>
    <mergeCell ref="K1211:K1212"/>
    <mergeCell ref="L1211:L1212"/>
    <mergeCell ref="M1211:M1212"/>
    <mergeCell ref="N1211:N1212"/>
    <mergeCell ref="A1213:A1214"/>
    <mergeCell ref="B1213:B1214"/>
    <mergeCell ref="C1213:C1214"/>
    <mergeCell ref="D1213:D1214"/>
    <mergeCell ref="E1213:E1214"/>
    <mergeCell ref="F1213:F1214"/>
    <mergeCell ref="G1213:G1214"/>
    <mergeCell ref="H1213:H1214"/>
    <mergeCell ref="I1213:I1214"/>
    <mergeCell ref="J1213:J1214"/>
    <mergeCell ref="K1213:K1214"/>
    <mergeCell ref="L1213:L1214"/>
    <mergeCell ref="M1213:M1214"/>
    <mergeCell ref="N1213:N1214"/>
    <mergeCell ref="A1217:A1218"/>
    <mergeCell ref="B1217:B1218"/>
    <mergeCell ref="C1217:C1218"/>
    <mergeCell ref="D1217:D1218"/>
    <mergeCell ref="E1217:E1218"/>
    <mergeCell ref="F1217:F1218"/>
    <mergeCell ref="G1217:G1218"/>
    <mergeCell ref="H1217:H1218"/>
    <mergeCell ref="I1217:I1218"/>
    <mergeCell ref="J1217:J1218"/>
    <mergeCell ref="K1217:K1218"/>
    <mergeCell ref="L1217:L1218"/>
    <mergeCell ref="M1217:M1218"/>
    <mergeCell ref="N1217:N1218"/>
    <mergeCell ref="A1220:A1222"/>
    <mergeCell ref="B1220:B1222"/>
    <mergeCell ref="C1220:C1222"/>
    <mergeCell ref="D1220:D1222"/>
    <mergeCell ref="E1220:E1222"/>
    <mergeCell ref="F1220:F1222"/>
    <mergeCell ref="G1220:G1222"/>
    <mergeCell ref="H1220:H1222"/>
    <mergeCell ref="I1220:I1222"/>
    <mergeCell ref="J1220:J1222"/>
    <mergeCell ref="K1220:K1222"/>
    <mergeCell ref="L1220:L1222"/>
    <mergeCell ref="M1220:M1222"/>
    <mergeCell ref="N1220:N1222"/>
    <mergeCell ref="A1223:A1224"/>
    <mergeCell ref="B1223:B1224"/>
    <mergeCell ref="C1223:C1224"/>
    <mergeCell ref="D1223:D1224"/>
    <mergeCell ref="E1223:E1224"/>
    <mergeCell ref="F1223:F1224"/>
    <mergeCell ref="G1223:G1224"/>
    <mergeCell ref="H1223:H1224"/>
    <mergeCell ref="I1223:I1224"/>
    <mergeCell ref="J1223:J1224"/>
    <mergeCell ref="K1223:K1224"/>
    <mergeCell ref="L1223:L1224"/>
    <mergeCell ref="M1223:M1224"/>
    <mergeCell ref="N1223:N1224"/>
    <mergeCell ref="A1225:A1227"/>
    <mergeCell ref="B1225:B1227"/>
    <mergeCell ref="C1225:C1227"/>
    <mergeCell ref="D1225:D1227"/>
    <mergeCell ref="E1225:E1227"/>
    <mergeCell ref="F1225:F1227"/>
    <mergeCell ref="G1225:G1227"/>
    <mergeCell ref="H1225:H1227"/>
    <mergeCell ref="I1225:I1227"/>
    <mergeCell ref="J1225:J1227"/>
    <mergeCell ref="K1225:K1227"/>
    <mergeCell ref="L1225:L1227"/>
    <mergeCell ref="M1225:M1227"/>
    <mergeCell ref="N1225:N1227"/>
    <mergeCell ref="A1230:A1231"/>
    <mergeCell ref="B1230:B1231"/>
    <mergeCell ref="C1230:C1231"/>
    <mergeCell ref="D1230:D1231"/>
    <mergeCell ref="E1230:E1231"/>
    <mergeCell ref="F1230:F1231"/>
    <mergeCell ref="G1230:G1231"/>
    <mergeCell ref="H1230:H1231"/>
    <mergeCell ref="I1230:I1231"/>
    <mergeCell ref="J1230:J1231"/>
    <mergeCell ref="K1230:K1231"/>
    <mergeCell ref="L1230:L1231"/>
    <mergeCell ref="M1230:M1231"/>
    <mergeCell ref="N1230:N1231"/>
    <mergeCell ref="A1232:A1233"/>
    <mergeCell ref="B1232:B1233"/>
    <mergeCell ref="C1232:C1233"/>
    <mergeCell ref="D1232:D1233"/>
    <mergeCell ref="E1232:E1233"/>
    <mergeCell ref="F1232:F1233"/>
    <mergeCell ref="G1232:G1233"/>
    <mergeCell ref="H1232:H1233"/>
    <mergeCell ref="I1232:I1233"/>
    <mergeCell ref="J1232:J1233"/>
    <mergeCell ref="K1232:K1233"/>
    <mergeCell ref="L1232:L1233"/>
    <mergeCell ref="M1232:M1233"/>
    <mergeCell ref="N1232:N1233"/>
    <mergeCell ref="A1235:A1237"/>
    <mergeCell ref="B1235:B1237"/>
    <mergeCell ref="C1235:C1237"/>
    <mergeCell ref="D1235:D1237"/>
    <mergeCell ref="E1235:E1237"/>
    <mergeCell ref="F1235:F1237"/>
    <mergeCell ref="G1235:G1237"/>
    <mergeCell ref="H1235:H1237"/>
    <mergeCell ref="I1235:I1237"/>
    <mergeCell ref="J1235:J1237"/>
    <mergeCell ref="K1235:K1237"/>
    <mergeCell ref="L1235:L1237"/>
    <mergeCell ref="M1235:M1237"/>
    <mergeCell ref="N1235:N1237"/>
    <mergeCell ref="A1239:A1242"/>
    <mergeCell ref="B1239:B1242"/>
    <mergeCell ref="C1239:C1242"/>
    <mergeCell ref="D1239:D1242"/>
    <mergeCell ref="E1239:E1242"/>
    <mergeCell ref="F1239:F1242"/>
    <mergeCell ref="G1239:G1242"/>
    <mergeCell ref="H1239:H1242"/>
    <mergeCell ref="I1239:I1242"/>
    <mergeCell ref="J1239:J1242"/>
    <mergeCell ref="K1239:K1242"/>
    <mergeCell ref="L1239:L1242"/>
    <mergeCell ref="M1239:M1242"/>
    <mergeCell ref="N1239:N1242"/>
    <mergeCell ref="A1244:A1245"/>
    <mergeCell ref="B1244:B1245"/>
    <mergeCell ref="C1244:C1245"/>
    <mergeCell ref="D1244:D1245"/>
    <mergeCell ref="E1244:E1245"/>
    <mergeCell ref="F1244:F1245"/>
    <mergeCell ref="G1244:G1245"/>
    <mergeCell ref="H1244:H1245"/>
    <mergeCell ref="I1244:I1245"/>
    <mergeCell ref="J1244:J1245"/>
    <mergeCell ref="K1244:K1245"/>
    <mergeCell ref="L1244:L1245"/>
    <mergeCell ref="M1244:M1245"/>
    <mergeCell ref="N1244:N1245"/>
    <mergeCell ref="A1248:A1260"/>
    <mergeCell ref="B1248:B1260"/>
    <mergeCell ref="C1248:C1260"/>
    <mergeCell ref="D1248:D1260"/>
    <mergeCell ref="E1248:E1260"/>
    <mergeCell ref="F1248:F1260"/>
    <mergeCell ref="G1248:G1260"/>
    <mergeCell ref="H1248:H1260"/>
    <mergeCell ref="I1248:I1260"/>
    <mergeCell ref="J1248:J1260"/>
    <mergeCell ref="K1248:K1260"/>
    <mergeCell ref="L1248:L1260"/>
    <mergeCell ref="M1248:M1260"/>
    <mergeCell ref="N1248:N1260"/>
    <mergeCell ref="A1261:A1262"/>
    <mergeCell ref="B1261:B1262"/>
    <mergeCell ref="C1261:C1262"/>
    <mergeCell ref="D1261:D1262"/>
    <mergeCell ref="E1261:E1262"/>
    <mergeCell ref="F1261:F1262"/>
    <mergeCell ref="G1261:G1262"/>
    <mergeCell ref="H1261:H1262"/>
    <mergeCell ref="I1261:I1262"/>
    <mergeCell ref="J1261:J1262"/>
    <mergeCell ref="K1261:K1262"/>
    <mergeCell ref="L1261:L1262"/>
    <mergeCell ref="M1261:M1262"/>
    <mergeCell ref="N1261:N1262"/>
    <mergeCell ref="A1265:A1271"/>
    <mergeCell ref="B1265:B1271"/>
    <mergeCell ref="C1265:C1271"/>
    <mergeCell ref="D1265:D1271"/>
    <mergeCell ref="E1265:E1271"/>
    <mergeCell ref="F1265:F1271"/>
    <mergeCell ref="G1265:G1271"/>
    <mergeCell ref="H1265:H1271"/>
    <mergeCell ref="I1265:I1271"/>
    <mergeCell ref="J1265:J1271"/>
    <mergeCell ref="K1265:K1271"/>
    <mergeCell ref="L1265:L1271"/>
    <mergeCell ref="M1265:M1271"/>
    <mergeCell ref="N1265:N1271"/>
    <mergeCell ref="A1273:A1274"/>
    <mergeCell ref="B1273:B1274"/>
    <mergeCell ref="C1273:C1274"/>
    <mergeCell ref="D1273:D1274"/>
    <mergeCell ref="E1273:E1274"/>
    <mergeCell ref="F1273:F1274"/>
    <mergeCell ref="G1273:G1274"/>
    <mergeCell ref="H1273:H1274"/>
    <mergeCell ref="I1273:I1274"/>
    <mergeCell ref="J1273:J1274"/>
    <mergeCell ref="K1273:K1274"/>
    <mergeCell ref="L1273:L1274"/>
    <mergeCell ref="M1273:M1274"/>
    <mergeCell ref="N1273:N1274"/>
    <mergeCell ref="A1276:A1277"/>
    <mergeCell ref="B1276:B1277"/>
    <mergeCell ref="C1276:C1277"/>
    <mergeCell ref="D1276:D1277"/>
    <mergeCell ref="E1276:E1277"/>
    <mergeCell ref="F1276:F1277"/>
    <mergeCell ref="G1276:G1277"/>
    <mergeCell ref="H1276:H1277"/>
    <mergeCell ref="I1276:I1277"/>
    <mergeCell ref="J1276:J1277"/>
    <mergeCell ref="K1276:K1277"/>
    <mergeCell ref="L1276:L1277"/>
    <mergeCell ref="M1276:M1277"/>
    <mergeCell ref="N1276:N1277"/>
    <mergeCell ref="A1279:A1281"/>
    <mergeCell ref="B1279:B1281"/>
    <mergeCell ref="C1279:C1281"/>
    <mergeCell ref="D1279:D1281"/>
    <mergeCell ref="E1279:E1281"/>
    <mergeCell ref="F1279:F1281"/>
    <mergeCell ref="G1279:G1281"/>
    <mergeCell ref="H1279:H1281"/>
    <mergeCell ref="I1279:I1281"/>
    <mergeCell ref="J1279:J1281"/>
    <mergeCell ref="K1279:K1281"/>
    <mergeCell ref="L1279:L1281"/>
    <mergeCell ref="M1279:M1281"/>
    <mergeCell ref="N1279:N1281"/>
    <mergeCell ref="A1282:A1285"/>
    <mergeCell ref="B1282:B1285"/>
    <mergeCell ref="C1282:C1285"/>
    <mergeCell ref="D1282:D1285"/>
    <mergeCell ref="E1282:E1285"/>
    <mergeCell ref="F1282:F1285"/>
    <mergeCell ref="G1282:G1285"/>
    <mergeCell ref="H1282:H1285"/>
    <mergeCell ref="I1282:I1285"/>
    <mergeCell ref="J1282:J1285"/>
    <mergeCell ref="K1282:K1285"/>
    <mergeCell ref="L1282:L1285"/>
    <mergeCell ref="M1282:M1285"/>
    <mergeCell ref="N1282:N1285"/>
    <mergeCell ref="A1286:A1293"/>
    <mergeCell ref="B1286:B1293"/>
    <mergeCell ref="C1286:C1293"/>
    <mergeCell ref="D1286:D1293"/>
    <mergeCell ref="E1286:E1293"/>
    <mergeCell ref="F1286:F1293"/>
    <mergeCell ref="G1286:G1293"/>
    <mergeCell ref="H1286:H1293"/>
    <mergeCell ref="I1286:I1293"/>
    <mergeCell ref="J1286:J1293"/>
    <mergeCell ref="K1286:K1293"/>
    <mergeCell ref="L1286:L1293"/>
    <mergeCell ref="M1286:M1293"/>
    <mergeCell ref="N1286:N1293"/>
    <mergeCell ref="A1295:A1296"/>
    <mergeCell ref="B1295:B1296"/>
    <mergeCell ref="C1295:C1296"/>
    <mergeCell ref="D1295:D1296"/>
    <mergeCell ref="E1295:E1296"/>
    <mergeCell ref="F1295:F1296"/>
    <mergeCell ref="G1295:G1296"/>
    <mergeCell ref="H1295:H1296"/>
    <mergeCell ref="I1295:I1296"/>
    <mergeCell ref="J1295:J1296"/>
    <mergeCell ref="K1295:K1296"/>
    <mergeCell ref="L1295:L1296"/>
    <mergeCell ref="M1295:M1296"/>
    <mergeCell ref="N1295:N1296"/>
    <mergeCell ref="A1300:A1303"/>
    <mergeCell ref="B1300:B1303"/>
    <mergeCell ref="C1300:C1303"/>
    <mergeCell ref="D1300:D1303"/>
    <mergeCell ref="E1300:E1303"/>
    <mergeCell ref="F1300:F1303"/>
    <mergeCell ref="G1300:G1303"/>
    <mergeCell ref="H1300:H1303"/>
    <mergeCell ref="I1300:I1303"/>
    <mergeCell ref="J1300:J1303"/>
    <mergeCell ref="K1300:K1303"/>
    <mergeCell ref="L1300:L1303"/>
    <mergeCell ref="M1300:M1303"/>
    <mergeCell ref="N1300:N1303"/>
    <mergeCell ref="A1305:A1306"/>
    <mergeCell ref="B1305:B1306"/>
    <mergeCell ref="C1305:C1306"/>
    <mergeCell ref="D1305:D1306"/>
    <mergeCell ref="E1305:E1306"/>
    <mergeCell ref="F1305:F1306"/>
    <mergeCell ref="G1305:G1306"/>
    <mergeCell ref="H1305:H1306"/>
    <mergeCell ref="I1305:I1306"/>
    <mergeCell ref="J1305:J1306"/>
    <mergeCell ref="K1305:K1306"/>
    <mergeCell ref="L1305:L1306"/>
    <mergeCell ref="M1305:M1306"/>
    <mergeCell ref="N1305:N1306"/>
    <mergeCell ref="A1307:A1309"/>
    <mergeCell ref="B1307:B1309"/>
    <mergeCell ref="C1307:C1309"/>
    <mergeCell ref="D1307:D1309"/>
    <mergeCell ref="E1307:E1309"/>
    <mergeCell ref="F1307:F1309"/>
    <mergeCell ref="G1307:G1309"/>
    <mergeCell ref="H1307:H1309"/>
    <mergeCell ref="I1307:I1309"/>
    <mergeCell ref="J1307:J1309"/>
    <mergeCell ref="K1307:K1309"/>
    <mergeCell ref="L1307:L1309"/>
    <mergeCell ref="M1307:M1309"/>
    <mergeCell ref="N1307:N1309"/>
    <mergeCell ref="A1310:A1325"/>
    <mergeCell ref="B1310:B1325"/>
    <mergeCell ref="C1310:C1325"/>
    <mergeCell ref="D1310:D1325"/>
    <mergeCell ref="E1310:E1325"/>
    <mergeCell ref="F1310:F1325"/>
    <mergeCell ref="G1310:G1325"/>
    <mergeCell ref="H1310:H1325"/>
    <mergeCell ref="I1310:I1325"/>
    <mergeCell ref="J1310:J1325"/>
    <mergeCell ref="K1310:K1325"/>
    <mergeCell ref="L1310:L1325"/>
    <mergeCell ref="M1310:M1325"/>
    <mergeCell ref="N1310:N1325"/>
    <mergeCell ref="A1326:A1330"/>
    <mergeCell ref="B1326:B1330"/>
    <mergeCell ref="C1326:C1330"/>
    <mergeCell ref="D1326:D1330"/>
    <mergeCell ref="E1326:E1330"/>
    <mergeCell ref="F1326:F1330"/>
    <mergeCell ref="G1326:G1330"/>
    <mergeCell ref="H1326:H1330"/>
    <mergeCell ref="I1326:I1330"/>
    <mergeCell ref="J1326:J1330"/>
    <mergeCell ref="K1326:K1330"/>
    <mergeCell ref="L1326:L1330"/>
    <mergeCell ref="M1326:M1330"/>
    <mergeCell ref="N1326:N1330"/>
    <mergeCell ref="A1331:A1332"/>
    <mergeCell ref="B1331:B1332"/>
    <mergeCell ref="C1331:C1332"/>
    <mergeCell ref="D1331:D1332"/>
    <mergeCell ref="E1331:E1332"/>
    <mergeCell ref="F1331:F1332"/>
    <mergeCell ref="G1331:G1332"/>
    <mergeCell ref="H1331:H1332"/>
    <mergeCell ref="I1331:I1332"/>
    <mergeCell ref="J1331:J1332"/>
    <mergeCell ref="K1331:K1332"/>
    <mergeCell ref="L1331:L1332"/>
    <mergeCell ref="M1331:M1332"/>
    <mergeCell ref="N1331:N1332"/>
    <mergeCell ref="A1333:A1341"/>
    <mergeCell ref="B1333:B1341"/>
    <mergeCell ref="C1333:C1341"/>
    <mergeCell ref="D1333:D1341"/>
    <mergeCell ref="E1333:E1341"/>
    <mergeCell ref="F1333:F1341"/>
    <mergeCell ref="G1333:G1341"/>
    <mergeCell ref="H1333:H1341"/>
    <mergeCell ref="I1333:I1341"/>
    <mergeCell ref="J1333:J1341"/>
    <mergeCell ref="K1333:K1341"/>
    <mergeCell ref="L1333:L1341"/>
    <mergeCell ref="M1333:M1341"/>
    <mergeCell ref="N1333:N1341"/>
    <mergeCell ref="A1342:A1343"/>
    <mergeCell ref="B1342:B1343"/>
    <mergeCell ref="C1342:C1343"/>
    <mergeCell ref="D1342:D1343"/>
    <mergeCell ref="E1342:E1343"/>
    <mergeCell ref="F1342:F1343"/>
    <mergeCell ref="G1342:G1343"/>
    <mergeCell ref="H1342:H1343"/>
    <mergeCell ref="I1342:I1343"/>
    <mergeCell ref="J1342:J1343"/>
    <mergeCell ref="K1342:K1343"/>
    <mergeCell ref="L1342:L1343"/>
    <mergeCell ref="M1342:M1343"/>
    <mergeCell ref="N1342:N1343"/>
    <mergeCell ref="A1344:A1349"/>
    <mergeCell ref="B1344:B1349"/>
    <mergeCell ref="C1344:C1349"/>
    <mergeCell ref="D1344:D1349"/>
    <mergeCell ref="E1344:E1349"/>
    <mergeCell ref="F1344:F1349"/>
    <mergeCell ref="G1344:G1349"/>
    <mergeCell ref="H1344:H1349"/>
    <mergeCell ref="I1344:I1349"/>
    <mergeCell ref="J1344:J1349"/>
    <mergeCell ref="K1344:K1349"/>
    <mergeCell ref="L1344:L1349"/>
    <mergeCell ref="M1344:M1349"/>
    <mergeCell ref="N1344:N1349"/>
    <mergeCell ref="A1350:A1352"/>
    <mergeCell ref="B1350:B1352"/>
    <mergeCell ref="C1350:C1352"/>
    <mergeCell ref="D1350:D1352"/>
    <mergeCell ref="E1350:E1352"/>
    <mergeCell ref="F1350:F1352"/>
    <mergeCell ref="G1350:G1352"/>
    <mergeCell ref="H1350:H1352"/>
    <mergeCell ref="I1350:I1352"/>
    <mergeCell ref="J1350:J1352"/>
    <mergeCell ref="K1350:K1352"/>
    <mergeCell ref="L1350:L1352"/>
    <mergeCell ref="M1350:M1352"/>
    <mergeCell ref="N1350:N1352"/>
    <mergeCell ref="A1353:A1358"/>
    <mergeCell ref="B1353:B1358"/>
    <mergeCell ref="C1353:C1358"/>
    <mergeCell ref="D1353:D1358"/>
    <mergeCell ref="E1353:E1358"/>
    <mergeCell ref="F1353:F1358"/>
    <mergeCell ref="G1353:G1358"/>
    <mergeCell ref="H1353:H1358"/>
    <mergeCell ref="I1353:I1358"/>
    <mergeCell ref="J1353:J1358"/>
    <mergeCell ref="K1353:K1358"/>
    <mergeCell ref="L1353:L1358"/>
    <mergeCell ref="M1353:M1358"/>
    <mergeCell ref="N1353:N1358"/>
    <mergeCell ref="A1359:A1361"/>
    <mergeCell ref="B1359:B1361"/>
    <mergeCell ref="C1359:C1361"/>
    <mergeCell ref="D1359:D1361"/>
    <mergeCell ref="E1359:E1361"/>
    <mergeCell ref="F1359:F1361"/>
    <mergeCell ref="G1359:G1361"/>
    <mergeCell ref="H1359:H1361"/>
    <mergeCell ref="I1359:I1361"/>
    <mergeCell ref="J1359:J1361"/>
    <mergeCell ref="K1359:K1361"/>
    <mergeCell ref="L1359:L1361"/>
    <mergeCell ref="M1359:M1361"/>
    <mergeCell ref="N1359:N1361"/>
    <mergeCell ref="A1362:A1375"/>
    <mergeCell ref="B1362:B1375"/>
    <mergeCell ref="C1362:C1375"/>
    <mergeCell ref="D1362:D1375"/>
    <mergeCell ref="E1362:E1375"/>
    <mergeCell ref="F1362:F1375"/>
    <mergeCell ref="G1362:G1375"/>
    <mergeCell ref="H1362:H1375"/>
    <mergeCell ref="I1362:I1375"/>
    <mergeCell ref="J1362:J1375"/>
    <mergeCell ref="K1362:K1375"/>
    <mergeCell ref="L1362:L1375"/>
    <mergeCell ref="M1362:M1375"/>
    <mergeCell ref="N1362:N1375"/>
    <mergeCell ref="A1376:A1377"/>
    <mergeCell ref="B1376:B1377"/>
    <mergeCell ref="C1376:C1377"/>
    <mergeCell ref="D1376:D1377"/>
    <mergeCell ref="E1376:E1377"/>
    <mergeCell ref="F1376:F1377"/>
    <mergeCell ref="G1376:G1377"/>
    <mergeCell ref="H1376:H1377"/>
    <mergeCell ref="I1376:I1377"/>
    <mergeCell ref="J1376:J1377"/>
    <mergeCell ref="K1376:K1377"/>
    <mergeCell ref="L1376:L1377"/>
    <mergeCell ref="M1376:M1377"/>
    <mergeCell ref="N1376:N1377"/>
    <mergeCell ref="A1378:A1384"/>
    <mergeCell ref="B1378:B1384"/>
    <mergeCell ref="C1378:C1384"/>
    <mergeCell ref="D1378:D1384"/>
    <mergeCell ref="E1378:E1384"/>
    <mergeCell ref="F1378:F1384"/>
    <mergeCell ref="G1378:G1384"/>
    <mergeCell ref="H1378:H1384"/>
    <mergeCell ref="I1378:I1384"/>
    <mergeCell ref="J1378:J1384"/>
    <mergeCell ref="K1378:K1384"/>
    <mergeCell ref="L1378:L1384"/>
    <mergeCell ref="M1378:M1384"/>
    <mergeCell ref="N1378:N1384"/>
    <mergeCell ref="A1385:A1390"/>
    <mergeCell ref="B1385:B1390"/>
    <mergeCell ref="C1385:C1390"/>
    <mergeCell ref="D1385:D1390"/>
    <mergeCell ref="E1385:E1390"/>
    <mergeCell ref="F1385:F1390"/>
    <mergeCell ref="G1385:G1390"/>
    <mergeCell ref="H1385:H1390"/>
    <mergeCell ref="I1385:I1390"/>
    <mergeCell ref="J1385:J1390"/>
    <mergeCell ref="K1385:K1390"/>
    <mergeCell ref="L1385:L1390"/>
    <mergeCell ref="M1385:M1390"/>
    <mergeCell ref="N1385:N1390"/>
    <mergeCell ref="A1391:A1394"/>
    <mergeCell ref="B1391:B1394"/>
    <mergeCell ref="C1391:C1394"/>
    <mergeCell ref="D1391:D1394"/>
    <mergeCell ref="E1391:E1394"/>
    <mergeCell ref="F1391:F1394"/>
    <mergeCell ref="G1391:G1394"/>
    <mergeCell ref="H1391:H1394"/>
    <mergeCell ref="I1391:I1394"/>
    <mergeCell ref="J1391:J1394"/>
    <mergeCell ref="K1391:K1394"/>
    <mergeCell ref="L1391:L1394"/>
    <mergeCell ref="M1391:M1394"/>
    <mergeCell ref="N1391:N1394"/>
    <mergeCell ref="A1396:A1397"/>
    <mergeCell ref="B1396:B1397"/>
    <mergeCell ref="C1396:C1397"/>
    <mergeCell ref="D1396:D1397"/>
    <mergeCell ref="E1396:E1397"/>
    <mergeCell ref="F1396:F1397"/>
    <mergeCell ref="G1396:G1397"/>
    <mergeCell ref="H1396:H1397"/>
    <mergeCell ref="I1396:I1397"/>
    <mergeCell ref="J1396:J1397"/>
    <mergeCell ref="K1396:K1397"/>
    <mergeCell ref="L1396:L1397"/>
    <mergeCell ref="M1396:M1397"/>
    <mergeCell ref="N1396:N1397"/>
    <mergeCell ref="A1401:A1403"/>
    <mergeCell ref="B1401:B1403"/>
    <mergeCell ref="C1401:C1403"/>
    <mergeCell ref="D1401:D1403"/>
    <mergeCell ref="E1401:E1403"/>
    <mergeCell ref="F1401:F1403"/>
    <mergeCell ref="G1401:G1403"/>
    <mergeCell ref="H1401:H1403"/>
    <mergeCell ref="I1401:I1403"/>
    <mergeCell ref="J1401:J1403"/>
    <mergeCell ref="K1401:K1403"/>
    <mergeCell ref="L1401:L1403"/>
    <mergeCell ref="M1401:M1403"/>
    <mergeCell ref="N1401:N1403"/>
    <mergeCell ref="A1404:A1405"/>
    <mergeCell ref="B1404:B1405"/>
    <mergeCell ref="C1404:C1405"/>
    <mergeCell ref="D1404:D1405"/>
    <mergeCell ref="E1404:E1405"/>
    <mergeCell ref="F1404:F1405"/>
    <mergeCell ref="G1404:G1405"/>
    <mergeCell ref="H1404:H1405"/>
    <mergeCell ref="I1404:I1405"/>
    <mergeCell ref="J1404:J1405"/>
    <mergeCell ref="K1404:K1405"/>
    <mergeCell ref="L1404:L1405"/>
    <mergeCell ref="M1404:M1405"/>
    <mergeCell ref="N1404:N1405"/>
    <mergeCell ref="A1406:A1407"/>
    <mergeCell ref="B1406:B1407"/>
    <mergeCell ref="C1406:C1407"/>
    <mergeCell ref="D1406:D1407"/>
    <mergeCell ref="E1406:E1407"/>
    <mergeCell ref="F1406:F1407"/>
    <mergeCell ref="G1406:G1407"/>
    <mergeCell ref="H1406:H1407"/>
    <mergeCell ref="I1406:I1407"/>
    <mergeCell ref="J1406:J1407"/>
    <mergeCell ref="K1406:K1407"/>
    <mergeCell ref="L1406:L1407"/>
    <mergeCell ref="M1406:M1407"/>
    <mergeCell ref="N1406:N1407"/>
    <mergeCell ref="A1408:A1409"/>
    <mergeCell ref="B1408:B1409"/>
    <mergeCell ref="C1408:C1409"/>
    <mergeCell ref="D1408:D1409"/>
    <mergeCell ref="E1408:E1409"/>
    <mergeCell ref="F1408:F1409"/>
    <mergeCell ref="G1408:G1409"/>
    <mergeCell ref="H1408:H1409"/>
    <mergeCell ref="I1408:I1409"/>
    <mergeCell ref="J1408:J1409"/>
    <mergeCell ref="K1408:K1409"/>
    <mergeCell ref="L1408:L1409"/>
    <mergeCell ref="M1408:M1409"/>
    <mergeCell ref="N1408:N1409"/>
    <mergeCell ref="A1410:A1412"/>
    <mergeCell ref="B1410:B1412"/>
    <mergeCell ref="C1410:C1412"/>
    <mergeCell ref="D1410:D1412"/>
    <mergeCell ref="E1410:E1412"/>
    <mergeCell ref="F1410:F1412"/>
    <mergeCell ref="G1410:G1412"/>
    <mergeCell ref="H1410:H1412"/>
    <mergeCell ref="I1410:I1412"/>
    <mergeCell ref="J1410:J1412"/>
    <mergeCell ref="K1410:K1412"/>
    <mergeCell ref="L1410:L1412"/>
    <mergeCell ref="M1410:M1412"/>
    <mergeCell ref="N1410:N1412"/>
    <mergeCell ref="A1413:A1414"/>
    <mergeCell ref="B1413:B1414"/>
    <mergeCell ref="C1413:C1414"/>
    <mergeCell ref="D1413:D1414"/>
    <mergeCell ref="E1413:E1414"/>
    <mergeCell ref="F1413:F1414"/>
    <mergeCell ref="G1413:G1414"/>
    <mergeCell ref="H1413:H1414"/>
    <mergeCell ref="I1413:I1414"/>
    <mergeCell ref="J1413:J1414"/>
    <mergeCell ref="K1413:K1414"/>
    <mergeCell ref="L1413:L1414"/>
    <mergeCell ref="M1413:M1414"/>
    <mergeCell ref="N1413:N1414"/>
    <mergeCell ref="A1415:A1416"/>
    <mergeCell ref="B1415:B1416"/>
    <mergeCell ref="C1415:C1416"/>
    <mergeCell ref="D1415:D1416"/>
    <mergeCell ref="E1415:E1416"/>
    <mergeCell ref="F1415:F1416"/>
    <mergeCell ref="G1415:G1416"/>
    <mergeCell ref="H1415:H1416"/>
    <mergeCell ref="I1415:I1416"/>
    <mergeCell ref="J1415:J1416"/>
    <mergeCell ref="K1415:K1416"/>
    <mergeCell ref="L1415:L1416"/>
    <mergeCell ref="M1415:M1416"/>
    <mergeCell ref="N1415:N1416"/>
    <mergeCell ref="A1417:A1418"/>
    <mergeCell ref="B1417:B1418"/>
    <mergeCell ref="C1417:C1418"/>
    <mergeCell ref="D1417:D1418"/>
    <mergeCell ref="E1417:E1418"/>
    <mergeCell ref="F1417:F1418"/>
    <mergeCell ref="G1417:G1418"/>
    <mergeCell ref="H1417:H1418"/>
    <mergeCell ref="I1417:I1418"/>
    <mergeCell ref="J1417:J1418"/>
    <mergeCell ref="K1417:K1418"/>
    <mergeCell ref="L1417:L1418"/>
    <mergeCell ref="M1417:M1418"/>
    <mergeCell ref="N1417:N1418"/>
    <mergeCell ref="A1419:A1422"/>
    <mergeCell ref="B1419:B1422"/>
    <mergeCell ref="C1419:C1422"/>
    <mergeCell ref="D1419:D1422"/>
    <mergeCell ref="E1419:E1422"/>
    <mergeCell ref="F1419:F1422"/>
    <mergeCell ref="G1419:G1422"/>
    <mergeCell ref="H1419:H1422"/>
    <mergeCell ref="I1419:I1422"/>
    <mergeCell ref="J1419:J1422"/>
    <mergeCell ref="K1419:K1422"/>
    <mergeCell ref="L1419:L1422"/>
    <mergeCell ref="M1419:M1422"/>
    <mergeCell ref="N1419:N1422"/>
    <mergeCell ref="A1424:A1425"/>
    <mergeCell ref="B1424:B1425"/>
    <mergeCell ref="C1424:C1425"/>
    <mergeCell ref="D1424:D1425"/>
    <mergeCell ref="E1424:E1425"/>
    <mergeCell ref="F1424:F1425"/>
    <mergeCell ref="G1424:G1425"/>
    <mergeCell ref="H1424:H1425"/>
    <mergeCell ref="I1424:I1425"/>
    <mergeCell ref="J1424:J1425"/>
    <mergeCell ref="K1424:K1425"/>
    <mergeCell ref="L1424:L1425"/>
    <mergeCell ref="M1424:M1425"/>
    <mergeCell ref="N1424:N1425"/>
    <mergeCell ref="A1428:A1429"/>
    <mergeCell ref="B1428:B1429"/>
    <mergeCell ref="C1428:C1429"/>
    <mergeCell ref="D1428:D1429"/>
    <mergeCell ref="E1428:E1429"/>
    <mergeCell ref="F1428:F1429"/>
    <mergeCell ref="G1428:G1429"/>
    <mergeCell ref="H1428:H1429"/>
    <mergeCell ref="I1428:I1429"/>
    <mergeCell ref="J1428:J1429"/>
    <mergeCell ref="K1428:K1429"/>
    <mergeCell ref="L1428:L1429"/>
    <mergeCell ref="M1428:M1429"/>
    <mergeCell ref="N1428:N1429"/>
    <mergeCell ref="A1431:A1432"/>
    <mergeCell ref="B1431:B1432"/>
    <mergeCell ref="C1431:C1432"/>
    <mergeCell ref="D1431:D1432"/>
    <mergeCell ref="E1431:E1432"/>
    <mergeCell ref="F1431:F1432"/>
    <mergeCell ref="G1431:G1432"/>
    <mergeCell ref="H1431:H1432"/>
    <mergeCell ref="I1431:I1432"/>
    <mergeCell ref="J1431:J1432"/>
    <mergeCell ref="K1431:K1432"/>
    <mergeCell ref="L1431:L1432"/>
    <mergeCell ref="M1431:M1432"/>
    <mergeCell ref="N1431:N1432"/>
    <mergeCell ref="A1433:A1437"/>
    <mergeCell ref="B1433:B1437"/>
    <mergeCell ref="C1433:C1437"/>
    <mergeCell ref="D1433:D1437"/>
    <mergeCell ref="E1433:E1437"/>
    <mergeCell ref="F1433:F1437"/>
    <mergeCell ref="G1433:G1437"/>
    <mergeCell ref="H1433:H1437"/>
    <mergeCell ref="I1433:I1437"/>
    <mergeCell ref="J1433:J1437"/>
    <mergeCell ref="K1433:K1437"/>
    <mergeCell ref="L1433:L1437"/>
    <mergeCell ref="M1433:M1437"/>
    <mergeCell ref="N1433:N1437"/>
    <mergeCell ref="A1438:A1439"/>
    <mergeCell ref="B1438:B1439"/>
    <mergeCell ref="C1438:C1439"/>
    <mergeCell ref="D1438:D1439"/>
    <mergeCell ref="E1438:E1439"/>
    <mergeCell ref="F1438:F1439"/>
    <mergeCell ref="G1438:G1439"/>
    <mergeCell ref="H1438:H1439"/>
    <mergeCell ref="I1438:I1439"/>
    <mergeCell ref="J1438:J1439"/>
    <mergeCell ref="K1438:K1439"/>
    <mergeCell ref="L1438:L1439"/>
    <mergeCell ref="M1438:M1439"/>
    <mergeCell ref="N1438:N1439"/>
    <mergeCell ref="A1440:A1446"/>
    <mergeCell ref="B1440:B1446"/>
    <mergeCell ref="C1440:C1446"/>
    <mergeCell ref="D1440:D1446"/>
    <mergeCell ref="E1440:E1446"/>
    <mergeCell ref="F1440:F1446"/>
    <mergeCell ref="G1440:G1446"/>
    <mergeCell ref="H1440:H1446"/>
    <mergeCell ref="I1440:I1446"/>
    <mergeCell ref="J1440:J1446"/>
    <mergeCell ref="K1440:K1446"/>
    <mergeCell ref="L1440:L1446"/>
    <mergeCell ref="M1440:M1446"/>
    <mergeCell ref="N1440:N1446"/>
    <mergeCell ref="A1447:A1449"/>
    <mergeCell ref="B1447:B1449"/>
    <mergeCell ref="C1447:C1449"/>
    <mergeCell ref="D1447:D1449"/>
    <mergeCell ref="E1447:E1449"/>
    <mergeCell ref="F1447:F1449"/>
    <mergeCell ref="G1447:G1449"/>
    <mergeCell ref="H1447:H1449"/>
    <mergeCell ref="I1447:I1449"/>
    <mergeCell ref="J1447:J1449"/>
    <mergeCell ref="K1447:K1449"/>
    <mergeCell ref="L1447:L1449"/>
    <mergeCell ref="M1447:M1449"/>
    <mergeCell ref="N1447:N1449"/>
    <mergeCell ref="A1450:A1453"/>
    <mergeCell ref="B1450:B1453"/>
    <mergeCell ref="C1450:C1453"/>
    <mergeCell ref="D1450:D1453"/>
    <mergeCell ref="E1450:E1453"/>
    <mergeCell ref="F1450:F1453"/>
    <mergeCell ref="G1450:G1453"/>
    <mergeCell ref="H1450:H1453"/>
    <mergeCell ref="I1450:I1453"/>
    <mergeCell ref="J1450:J1453"/>
    <mergeCell ref="K1450:K1453"/>
    <mergeCell ref="L1450:L1453"/>
    <mergeCell ref="M1450:M1453"/>
    <mergeCell ref="N1450:N1453"/>
    <mergeCell ref="A1456:A1465"/>
    <mergeCell ref="B1456:B1465"/>
    <mergeCell ref="C1456:C1465"/>
    <mergeCell ref="D1456:D1465"/>
    <mergeCell ref="E1456:E1465"/>
    <mergeCell ref="F1456:F1465"/>
    <mergeCell ref="G1456:G1465"/>
    <mergeCell ref="H1456:H1465"/>
    <mergeCell ref="I1456:I1465"/>
    <mergeCell ref="J1456:J1465"/>
    <mergeCell ref="K1456:K1465"/>
    <mergeCell ref="L1456:L1465"/>
    <mergeCell ref="M1456:M1465"/>
    <mergeCell ref="N1456:N1465"/>
    <mergeCell ref="A1466:A1467"/>
    <mergeCell ref="B1466:B1467"/>
    <mergeCell ref="C1466:C1467"/>
    <mergeCell ref="D1466:D1467"/>
    <mergeCell ref="E1466:E1467"/>
    <mergeCell ref="F1466:F1467"/>
    <mergeCell ref="G1466:G1467"/>
    <mergeCell ref="H1466:H1467"/>
    <mergeCell ref="I1466:I1467"/>
    <mergeCell ref="J1466:J1467"/>
    <mergeCell ref="K1466:K1467"/>
    <mergeCell ref="L1466:L1467"/>
    <mergeCell ref="M1466:M1467"/>
    <mergeCell ref="N1466:N1467"/>
    <mergeCell ref="A1468:A1469"/>
    <mergeCell ref="B1468:B1469"/>
    <mergeCell ref="C1468:C1469"/>
    <mergeCell ref="D1468:D1469"/>
    <mergeCell ref="E1468:E1469"/>
    <mergeCell ref="F1468:F1469"/>
    <mergeCell ref="G1468:G1469"/>
    <mergeCell ref="H1468:H1469"/>
    <mergeCell ref="I1468:I1469"/>
    <mergeCell ref="J1468:J1469"/>
    <mergeCell ref="K1468:K1469"/>
    <mergeCell ref="L1468:L1469"/>
    <mergeCell ref="M1468:M1469"/>
    <mergeCell ref="N1468:N1469"/>
    <mergeCell ref="A1470:A1472"/>
    <mergeCell ref="B1470:B1472"/>
    <mergeCell ref="C1470:C1472"/>
    <mergeCell ref="D1470:D1472"/>
    <mergeCell ref="E1470:E1472"/>
    <mergeCell ref="F1470:F1472"/>
    <mergeCell ref="G1470:G1472"/>
    <mergeCell ref="H1470:H1472"/>
    <mergeCell ref="I1470:I1472"/>
    <mergeCell ref="J1470:J1472"/>
    <mergeCell ref="K1470:K1472"/>
    <mergeCell ref="L1470:L1472"/>
    <mergeCell ref="M1470:M1472"/>
    <mergeCell ref="N1470:N1472"/>
    <mergeCell ref="A1473:A1478"/>
    <mergeCell ref="B1473:B1478"/>
    <mergeCell ref="C1473:C1478"/>
    <mergeCell ref="D1473:D1478"/>
    <mergeCell ref="E1473:E1478"/>
    <mergeCell ref="F1473:F1478"/>
    <mergeCell ref="G1473:G1478"/>
    <mergeCell ref="H1473:H1478"/>
    <mergeCell ref="I1473:I1478"/>
    <mergeCell ref="J1473:J1478"/>
    <mergeCell ref="K1473:K1478"/>
    <mergeCell ref="L1473:L1478"/>
    <mergeCell ref="M1473:M1478"/>
    <mergeCell ref="N1473:N1478"/>
    <mergeCell ref="A1479:A1480"/>
    <mergeCell ref="B1479:B1480"/>
    <mergeCell ref="C1479:C1480"/>
    <mergeCell ref="D1479:D1480"/>
    <mergeCell ref="E1479:E1480"/>
    <mergeCell ref="F1479:F1480"/>
    <mergeCell ref="G1479:G1480"/>
    <mergeCell ref="H1479:H1480"/>
    <mergeCell ref="I1479:I1480"/>
    <mergeCell ref="J1479:J1480"/>
    <mergeCell ref="K1479:K1480"/>
    <mergeCell ref="L1479:L1480"/>
    <mergeCell ref="M1479:M1480"/>
    <mergeCell ref="N1479:N1480"/>
    <mergeCell ref="A1481:A1482"/>
    <mergeCell ref="B1481:B1482"/>
    <mergeCell ref="C1481:C1482"/>
    <mergeCell ref="D1481:D1482"/>
    <mergeCell ref="E1481:E1482"/>
    <mergeCell ref="F1481:F1482"/>
    <mergeCell ref="G1481:G1482"/>
    <mergeCell ref="H1481:H1482"/>
    <mergeCell ref="I1481:I1482"/>
    <mergeCell ref="J1481:J1482"/>
    <mergeCell ref="K1481:K1482"/>
    <mergeCell ref="L1481:L1482"/>
    <mergeCell ref="M1481:M1482"/>
    <mergeCell ref="N1481:N1482"/>
    <mergeCell ref="A1484:A1494"/>
    <mergeCell ref="B1484:B1494"/>
    <mergeCell ref="C1484:C1494"/>
    <mergeCell ref="D1484:D1494"/>
    <mergeCell ref="E1484:E1494"/>
    <mergeCell ref="F1484:F1494"/>
    <mergeCell ref="G1484:G1494"/>
    <mergeCell ref="H1484:H1494"/>
    <mergeCell ref="I1484:I1494"/>
    <mergeCell ref="J1484:J1494"/>
    <mergeCell ref="K1484:K1494"/>
    <mergeCell ref="L1484:L1494"/>
    <mergeCell ref="M1484:M1494"/>
    <mergeCell ref="N1484:N1494"/>
    <mergeCell ref="A1495:A1496"/>
    <mergeCell ref="B1495:B1496"/>
    <mergeCell ref="C1495:C1496"/>
    <mergeCell ref="D1495:D1496"/>
    <mergeCell ref="E1495:E1496"/>
    <mergeCell ref="F1495:F1496"/>
    <mergeCell ref="G1495:G1496"/>
    <mergeCell ref="H1495:H1496"/>
    <mergeCell ref="I1495:I1496"/>
    <mergeCell ref="J1495:J1496"/>
    <mergeCell ref="K1495:K1496"/>
    <mergeCell ref="L1495:L1496"/>
    <mergeCell ref="M1495:M1496"/>
    <mergeCell ref="N1495:N1496"/>
    <mergeCell ref="A1497:A1500"/>
    <mergeCell ref="B1497:B1500"/>
    <mergeCell ref="C1497:C1500"/>
    <mergeCell ref="D1497:D1500"/>
    <mergeCell ref="E1497:E1500"/>
    <mergeCell ref="F1497:F1500"/>
    <mergeCell ref="G1497:G1500"/>
    <mergeCell ref="H1497:H1500"/>
    <mergeCell ref="I1497:I1500"/>
    <mergeCell ref="J1497:J1500"/>
    <mergeCell ref="K1497:K1500"/>
    <mergeCell ref="L1497:L1500"/>
    <mergeCell ref="M1497:M1500"/>
    <mergeCell ref="N1497:N1500"/>
    <mergeCell ref="A1501:A1502"/>
    <mergeCell ref="B1501:B1502"/>
    <mergeCell ref="C1501:C1502"/>
    <mergeCell ref="D1501:D1502"/>
    <mergeCell ref="E1501:E1502"/>
    <mergeCell ref="F1501:F1502"/>
    <mergeCell ref="G1501:G1502"/>
    <mergeCell ref="H1501:H1502"/>
    <mergeCell ref="I1501:I1502"/>
    <mergeCell ref="J1501:J1502"/>
    <mergeCell ref="K1501:K1502"/>
    <mergeCell ref="L1501:L1502"/>
    <mergeCell ref="M1501:M1502"/>
    <mergeCell ref="N1501:N1502"/>
    <mergeCell ref="A1503:A1510"/>
    <mergeCell ref="B1503:B1510"/>
    <mergeCell ref="C1503:C1510"/>
    <mergeCell ref="D1503:D1510"/>
    <mergeCell ref="E1503:E1510"/>
    <mergeCell ref="F1503:F1510"/>
    <mergeCell ref="G1503:G1510"/>
    <mergeCell ref="H1503:H1510"/>
    <mergeCell ref="I1503:I1510"/>
    <mergeCell ref="J1503:J1510"/>
    <mergeCell ref="K1503:K1510"/>
    <mergeCell ref="L1503:L1510"/>
    <mergeCell ref="M1503:M1510"/>
    <mergeCell ref="N1503:N1510"/>
    <mergeCell ref="A1512:A1514"/>
    <mergeCell ref="B1512:B1514"/>
    <mergeCell ref="C1512:C1514"/>
    <mergeCell ref="D1512:D1514"/>
    <mergeCell ref="E1512:E1514"/>
    <mergeCell ref="F1512:F1514"/>
    <mergeCell ref="G1512:G1514"/>
    <mergeCell ref="H1512:H1514"/>
    <mergeCell ref="I1512:I1514"/>
    <mergeCell ref="J1512:J1514"/>
    <mergeCell ref="K1512:K1514"/>
    <mergeCell ref="L1512:L1514"/>
    <mergeCell ref="M1512:M1514"/>
    <mergeCell ref="N1512:N1514"/>
    <mergeCell ref="A1517:A1518"/>
    <mergeCell ref="B1517:B1518"/>
    <mergeCell ref="C1517:C1518"/>
    <mergeCell ref="D1517:D1518"/>
    <mergeCell ref="E1517:E1518"/>
    <mergeCell ref="F1517:F1518"/>
    <mergeCell ref="G1517:G1518"/>
    <mergeCell ref="H1517:H1518"/>
    <mergeCell ref="I1517:I1518"/>
    <mergeCell ref="J1517:J1518"/>
    <mergeCell ref="K1517:K1518"/>
    <mergeCell ref="L1517:L1518"/>
    <mergeCell ref="M1517:M1518"/>
    <mergeCell ref="N1517:N1518"/>
    <mergeCell ref="A1519:A1520"/>
    <mergeCell ref="B1519:B1520"/>
    <mergeCell ref="C1519:C1520"/>
    <mergeCell ref="D1519:D1520"/>
    <mergeCell ref="E1519:E1520"/>
    <mergeCell ref="F1519:F1520"/>
    <mergeCell ref="G1519:G1520"/>
    <mergeCell ref="H1519:H1520"/>
    <mergeCell ref="I1519:I1520"/>
    <mergeCell ref="J1519:J1520"/>
    <mergeCell ref="K1519:K1520"/>
    <mergeCell ref="L1519:L1520"/>
    <mergeCell ref="M1519:M1520"/>
    <mergeCell ref="N1519:N1520"/>
    <mergeCell ref="A1528:A1534"/>
    <mergeCell ref="B1528:B1534"/>
    <mergeCell ref="C1528:C1534"/>
    <mergeCell ref="D1528:D1534"/>
    <mergeCell ref="E1528:E1534"/>
    <mergeCell ref="F1528:F1534"/>
    <mergeCell ref="G1528:G1534"/>
    <mergeCell ref="H1528:H1534"/>
    <mergeCell ref="I1528:I1534"/>
    <mergeCell ref="J1528:J1534"/>
    <mergeCell ref="K1528:K1534"/>
    <mergeCell ref="L1528:L1534"/>
    <mergeCell ref="M1528:M1534"/>
    <mergeCell ref="N1528:N1534"/>
    <mergeCell ref="A1536:A1537"/>
    <mergeCell ref="B1536:B1537"/>
    <mergeCell ref="C1536:C1537"/>
    <mergeCell ref="D1536:D1537"/>
    <mergeCell ref="E1536:E1537"/>
    <mergeCell ref="F1536:F1537"/>
    <mergeCell ref="G1536:G1537"/>
    <mergeCell ref="H1536:H1537"/>
    <mergeCell ref="I1536:I1537"/>
    <mergeCell ref="J1536:J1537"/>
    <mergeCell ref="K1536:K1537"/>
    <mergeCell ref="L1536:L1537"/>
    <mergeCell ref="M1536:M1537"/>
    <mergeCell ref="N1536:N1537"/>
    <mergeCell ref="A1541:A1543"/>
    <mergeCell ref="B1541:B1543"/>
    <mergeCell ref="C1541:C1543"/>
    <mergeCell ref="D1541:D1543"/>
    <mergeCell ref="E1541:E1543"/>
    <mergeCell ref="F1541:F1543"/>
    <mergeCell ref="G1541:G1543"/>
    <mergeCell ref="H1541:H1543"/>
    <mergeCell ref="I1541:I1543"/>
    <mergeCell ref="J1541:J1543"/>
    <mergeCell ref="K1541:K1543"/>
    <mergeCell ref="L1541:L1543"/>
    <mergeCell ref="M1541:M1543"/>
    <mergeCell ref="N1541:N1543"/>
    <mergeCell ref="A1544:A1545"/>
    <mergeCell ref="B1544:B1545"/>
    <mergeCell ref="C1544:C1545"/>
    <mergeCell ref="D1544:D1545"/>
    <mergeCell ref="E1544:E1545"/>
    <mergeCell ref="F1544:F1545"/>
    <mergeCell ref="G1544:G1545"/>
    <mergeCell ref="H1544:H1545"/>
    <mergeCell ref="I1544:I1545"/>
    <mergeCell ref="J1544:J1545"/>
    <mergeCell ref="K1544:K1545"/>
    <mergeCell ref="L1544:L1545"/>
    <mergeCell ref="M1544:M1545"/>
    <mergeCell ref="N1544:N1545"/>
    <mergeCell ref="A1546:A1547"/>
    <mergeCell ref="B1546:B1547"/>
    <mergeCell ref="C1546:C1547"/>
    <mergeCell ref="D1546:D1547"/>
    <mergeCell ref="E1546:E1547"/>
    <mergeCell ref="F1546:F1547"/>
    <mergeCell ref="G1546:G1547"/>
    <mergeCell ref="H1546:H1547"/>
    <mergeCell ref="I1546:I1547"/>
    <mergeCell ref="J1546:J1547"/>
    <mergeCell ref="K1546:K1547"/>
    <mergeCell ref="L1546:L1547"/>
    <mergeCell ref="M1546:M1547"/>
    <mergeCell ref="N1546:N1547"/>
    <mergeCell ref="A1551:A1553"/>
    <mergeCell ref="B1551:B1553"/>
    <mergeCell ref="C1551:C1553"/>
    <mergeCell ref="D1551:D1553"/>
    <mergeCell ref="E1551:E1553"/>
    <mergeCell ref="F1551:F1553"/>
    <mergeCell ref="G1551:G1553"/>
    <mergeCell ref="H1551:H1553"/>
    <mergeCell ref="I1551:I1553"/>
    <mergeCell ref="J1551:J1553"/>
    <mergeCell ref="K1551:K1553"/>
    <mergeCell ref="L1551:L1553"/>
    <mergeCell ref="M1551:M1553"/>
    <mergeCell ref="N1551:N1553"/>
    <mergeCell ref="A1557:A1559"/>
    <mergeCell ref="B1557:B1559"/>
    <mergeCell ref="C1557:C1559"/>
    <mergeCell ref="D1557:D1559"/>
    <mergeCell ref="E1557:E1559"/>
    <mergeCell ref="F1557:F1559"/>
    <mergeCell ref="G1557:G1559"/>
    <mergeCell ref="H1557:H1559"/>
    <mergeCell ref="I1557:I1559"/>
    <mergeCell ref="J1557:J1559"/>
    <mergeCell ref="K1557:K1559"/>
    <mergeCell ref="L1557:L1559"/>
    <mergeCell ref="M1557:M1559"/>
    <mergeCell ref="N1557:N1559"/>
    <mergeCell ref="A1560:A1561"/>
    <mergeCell ref="B1560:B1561"/>
    <mergeCell ref="C1560:C1561"/>
    <mergeCell ref="D1560:D1561"/>
    <mergeCell ref="E1560:E1561"/>
    <mergeCell ref="F1560:F1561"/>
    <mergeCell ref="G1560:G1561"/>
    <mergeCell ref="H1560:H1561"/>
    <mergeCell ref="I1560:I1561"/>
    <mergeCell ref="J1560:J1561"/>
    <mergeCell ref="K1560:K1561"/>
    <mergeCell ref="L1560:L1561"/>
    <mergeCell ref="M1560:M1561"/>
    <mergeCell ref="N1560:N1561"/>
    <mergeCell ref="A1563:A1564"/>
    <mergeCell ref="B1563:B1564"/>
    <mergeCell ref="C1563:C1564"/>
    <mergeCell ref="D1563:D1564"/>
    <mergeCell ref="E1563:E1564"/>
    <mergeCell ref="F1563:F1564"/>
    <mergeCell ref="G1563:G1564"/>
    <mergeCell ref="H1563:H1564"/>
    <mergeCell ref="I1563:I1564"/>
    <mergeCell ref="J1563:J1564"/>
    <mergeCell ref="K1563:K1564"/>
    <mergeCell ref="L1563:L1564"/>
    <mergeCell ref="M1563:M1564"/>
    <mergeCell ref="N1563:N1564"/>
    <mergeCell ref="A1567:A1572"/>
    <mergeCell ref="B1567:B1572"/>
    <mergeCell ref="C1567:C1572"/>
    <mergeCell ref="D1567:D1572"/>
    <mergeCell ref="E1567:E1572"/>
    <mergeCell ref="F1567:F1572"/>
    <mergeCell ref="G1567:G1572"/>
    <mergeCell ref="H1567:H1572"/>
    <mergeCell ref="I1567:I1572"/>
    <mergeCell ref="J1567:J1572"/>
    <mergeCell ref="K1567:K1572"/>
    <mergeCell ref="L1567:L1572"/>
    <mergeCell ref="M1567:M1572"/>
    <mergeCell ref="N1567:N1572"/>
    <mergeCell ref="A1580:A1581"/>
    <mergeCell ref="B1580:B1581"/>
    <mergeCell ref="C1580:C1581"/>
    <mergeCell ref="D1580:D1581"/>
    <mergeCell ref="E1580:E1581"/>
    <mergeCell ref="F1580:F1581"/>
    <mergeCell ref="G1580:G1581"/>
    <mergeCell ref="H1580:H1581"/>
    <mergeCell ref="I1580:I1581"/>
    <mergeCell ref="J1580:J1581"/>
    <mergeCell ref="K1580:K1581"/>
    <mergeCell ref="L1580:L1581"/>
    <mergeCell ref="M1580:M1581"/>
    <mergeCell ref="N1580:N1581"/>
    <mergeCell ref="A1582:A1584"/>
    <mergeCell ref="B1582:B1584"/>
    <mergeCell ref="C1582:C1584"/>
    <mergeCell ref="D1582:D1584"/>
    <mergeCell ref="E1582:E1584"/>
    <mergeCell ref="F1582:F1584"/>
    <mergeCell ref="G1582:G1584"/>
    <mergeCell ref="H1582:H1584"/>
    <mergeCell ref="I1582:I1584"/>
    <mergeCell ref="J1582:J1584"/>
    <mergeCell ref="K1582:K1584"/>
    <mergeCell ref="L1582:L1584"/>
    <mergeCell ref="M1582:M1584"/>
    <mergeCell ref="N1582:N1584"/>
    <mergeCell ref="A1585:A1588"/>
    <mergeCell ref="B1585:B1588"/>
    <mergeCell ref="C1585:C1588"/>
    <mergeCell ref="D1585:D1588"/>
    <mergeCell ref="E1585:E1588"/>
    <mergeCell ref="F1585:F1588"/>
    <mergeCell ref="G1585:G1588"/>
    <mergeCell ref="H1585:H1588"/>
    <mergeCell ref="I1585:I1588"/>
    <mergeCell ref="J1585:J1588"/>
    <mergeCell ref="K1585:K1588"/>
    <mergeCell ref="L1585:L1588"/>
    <mergeCell ref="M1585:M1588"/>
    <mergeCell ref="N1585:N1588"/>
    <mergeCell ref="A1589:A1590"/>
    <mergeCell ref="B1589:B1590"/>
    <mergeCell ref="C1589:C1590"/>
    <mergeCell ref="D1589:D1590"/>
    <mergeCell ref="E1589:E1590"/>
    <mergeCell ref="F1589:F1590"/>
    <mergeCell ref="G1589:G1590"/>
    <mergeCell ref="H1589:H1590"/>
    <mergeCell ref="I1589:I1590"/>
    <mergeCell ref="J1589:J1590"/>
    <mergeCell ref="K1589:K1590"/>
    <mergeCell ref="L1589:L1590"/>
    <mergeCell ref="M1589:M1590"/>
    <mergeCell ref="N1589:N1590"/>
    <mergeCell ref="A1594:A1596"/>
    <mergeCell ref="B1594:B1596"/>
    <mergeCell ref="C1594:C1596"/>
    <mergeCell ref="D1594:D1596"/>
    <mergeCell ref="E1594:E1596"/>
    <mergeCell ref="F1594:F1596"/>
    <mergeCell ref="G1594:G1596"/>
    <mergeCell ref="H1594:H1596"/>
    <mergeCell ref="I1594:I1596"/>
    <mergeCell ref="J1594:J1596"/>
    <mergeCell ref="K1594:K1596"/>
    <mergeCell ref="L1594:L1596"/>
    <mergeCell ref="M1594:M1596"/>
    <mergeCell ref="N1594:N1596"/>
    <mergeCell ref="A1599:A1601"/>
    <mergeCell ref="B1599:B1601"/>
    <mergeCell ref="C1599:C1601"/>
    <mergeCell ref="D1599:D1601"/>
    <mergeCell ref="E1599:E1601"/>
    <mergeCell ref="F1599:F1601"/>
    <mergeCell ref="G1599:G1601"/>
    <mergeCell ref="H1599:H1601"/>
    <mergeCell ref="I1599:I1601"/>
    <mergeCell ref="J1599:J1601"/>
    <mergeCell ref="K1599:K1601"/>
    <mergeCell ref="L1599:L1601"/>
    <mergeCell ref="M1599:M1601"/>
    <mergeCell ref="N1599:N1601"/>
    <mergeCell ref="A1602:A1606"/>
    <mergeCell ref="B1602:B1606"/>
    <mergeCell ref="C1602:C1606"/>
    <mergeCell ref="D1602:D1606"/>
    <mergeCell ref="E1602:E1606"/>
    <mergeCell ref="F1602:F1606"/>
    <mergeCell ref="G1602:G1606"/>
    <mergeCell ref="H1602:H1606"/>
    <mergeCell ref="I1602:I1606"/>
    <mergeCell ref="J1602:J1606"/>
    <mergeCell ref="K1602:K1606"/>
    <mergeCell ref="L1602:L1606"/>
    <mergeCell ref="M1602:M1606"/>
    <mergeCell ref="N1602:N1606"/>
    <mergeCell ref="A1608:A1609"/>
    <mergeCell ref="B1608:B1609"/>
    <mergeCell ref="C1608:C1609"/>
    <mergeCell ref="D1608:D1609"/>
    <mergeCell ref="E1608:E1609"/>
    <mergeCell ref="F1608:F1609"/>
    <mergeCell ref="G1608:G1609"/>
    <mergeCell ref="H1608:H1609"/>
    <mergeCell ref="I1608:I1609"/>
    <mergeCell ref="J1608:J1609"/>
    <mergeCell ref="K1608:K1609"/>
    <mergeCell ref="L1608:L1609"/>
    <mergeCell ref="M1608:M1609"/>
    <mergeCell ref="N1608:N1609"/>
    <mergeCell ref="A1613:A1614"/>
    <mergeCell ref="B1613:B1614"/>
    <mergeCell ref="C1613:C1614"/>
    <mergeCell ref="D1613:D1614"/>
    <mergeCell ref="E1613:E1614"/>
    <mergeCell ref="F1613:F1614"/>
    <mergeCell ref="G1613:G1614"/>
    <mergeCell ref="H1613:H1614"/>
    <mergeCell ref="I1613:I1614"/>
    <mergeCell ref="J1613:J1614"/>
    <mergeCell ref="K1613:K1614"/>
    <mergeCell ref="L1613:L1614"/>
    <mergeCell ref="M1613:M1614"/>
    <mergeCell ref="N1613:N1614"/>
    <mergeCell ref="A1615:A1616"/>
    <mergeCell ref="B1615:B1616"/>
    <mergeCell ref="C1615:C1616"/>
    <mergeCell ref="D1615:D1616"/>
    <mergeCell ref="E1615:E1616"/>
    <mergeCell ref="F1615:F1616"/>
    <mergeCell ref="G1615:G1616"/>
    <mergeCell ref="H1615:H1616"/>
    <mergeCell ref="I1615:I1616"/>
    <mergeCell ref="J1615:J1616"/>
    <mergeCell ref="K1615:K1616"/>
    <mergeCell ref="L1615:L1616"/>
    <mergeCell ref="M1615:M1616"/>
    <mergeCell ref="N1615:N1616"/>
    <mergeCell ref="A1617:A1618"/>
    <mergeCell ref="B1617:B1618"/>
    <mergeCell ref="C1617:C1618"/>
    <mergeCell ref="D1617:D1618"/>
    <mergeCell ref="E1617:E1618"/>
    <mergeCell ref="F1617:F1618"/>
    <mergeCell ref="G1617:G1618"/>
    <mergeCell ref="H1617:H1618"/>
    <mergeCell ref="I1617:I1618"/>
    <mergeCell ref="J1617:J1618"/>
    <mergeCell ref="K1617:K1618"/>
    <mergeCell ref="L1617:L1618"/>
    <mergeCell ref="M1617:M1618"/>
    <mergeCell ref="N1617:N1618"/>
    <mergeCell ref="A1622:A1623"/>
    <mergeCell ref="B1622:B1623"/>
    <mergeCell ref="C1622:C1623"/>
    <mergeCell ref="D1622:D1623"/>
    <mergeCell ref="E1622:E1623"/>
    <mergeCell ref="F1622:F1623"/>
    <mergeCell ref="G1622:G1623"/>
    <mergeCell ref="H1622:H1623"/>
    <mergeCell ref="I1622:I1623"/>
    <mergeCell ref="J1622:J1623"/>
    <mergeCell ref="K1622:K1623"/>
    <mergeCell ref="L1622:L1623"/>
    <mergeCell ref="M1622:M1623"/>
    <mergeCell ref="N1622:N1623"/>
    <mergeCell ref="A1627:A1629"/>
    <mergeCell ref="B1627:B1629"/>
    <mergeCell ref="C1627:C1629"/>
    <mergeCell ref="D1627:D1629"/>
    <mergeCell ref="E1627:E1629"/>
    <mergeCell ref="F1627:F1629"/>
    <mergeCell ref="G1627:G1629"/>
    <mergeCell ref="H1627:H1629"/>
    <mergeCell ref="I1627:I1629"/>
    <mergeCell ref="J1627:J1629"/>
    <mergeCell ref="K1627:K1629"/>
    <mergeCell ref="L1627:L1629"/>
    <mergeCell ref="M1627:M1629"/>
    <mergeCell ref="N1627:N1629"/>
    <mergeCell ref="A1630:A1631"/>
    <mergeCell ref="B1630:B1631"/>
    <mergeCell ref="C1630:C1631"/>
    <mergeCell ref="D1630:D1631"/>
    <mergeCell ref="E1630:E1631"/>
    <mergeCell ref="F1630:F1631"/>
    <mergeCell ref="G1630:G1631"/>
    <mergeCell ref="H1630:H1631"/>
    <mergeCell ref="I1630:I1631"/>
    <mergeCell ref="J1630:J1631"/>
    <mergeCell ref="K1630:K1631"/>
    <mergeCell ref="L1630:L1631"/>
    <mergeCell ref="M1630:M1631"/>
    <mergeCell ref="N1630:N1631"/>
    <mergeCell ref="A1633:A1634"/>
    <mergeCell ref="B1633:B1634"/>
    <mergeCell ref="C1633:C1634"/>
    <mergeCell ref="D1633:D1634"/>
    <mergeCell ref="E1633:E1634"/>
    <mergeCell ref="F1633:F1634"/>
    <mergeCell ref="G1633:G1634"/>
    <mergeCell ref="H1633:H1634"/>
    <mergeCell ref="I1633:I1634"/>
    <mergeCell ref="J1633:J1634"/>
    <mergeCell ref="K1633:K1634"/>
    <mergeCell ref="L1633:L1634"/>
    <mergeCell ref="M1633:M1634"/>
    <mergeCell ref="N1633:N1634"/>
    <mergeCell ref="A1635:A1636"/>
    <mergeCell ref="B1635:B1636"/>
    <mergeCell ref="C1635:C1636"/>
    <mergeCell ref="D1635:D1636"/>
    <mergeCell ref="E1635:E1636"/>
    <mergeCell ref="F1635:F1636"/>
    <mergeCell ref="G1635:G1636"/>
    <mergeCell ref="H1635:H1636"/>
    <mergeCell ref="I1635:I1636"/>
    <mergeCell ref="J1635:J1636"/>
    <mergeCell ref="K1635:K1636"/>
    <mergeCell ref="L1635:L1636"/>
    <mergeCell ref="M1635:M1636"/>
    <mergeCell ref="N1635:N1636"/>
    <mergeCell ref="A1638:A1642"/>
    <mergeCell ref="B1638:B1642"/>
    <mergeCell ref="C1638:C1642"/>
    <mergeCell ref="D1638:D1642"/>
    <mergeCell ref="E1638:E1642"/>
    <mergeCell ref="F1638:F1642"/>
    <mergeCell ref="G1638:G1642"/>
    <mergeCell ref="H1638:H1642"/>
    <mergeCell ref="I1638:I1642"/>
    <mergeCell ref="J1638:J1642"/>
    <mergeCell ref="K1638:K1642"/>
    <mergeCell ref="L1638:L1642"/>
    <mergeCell ref="M1638:M1642"/>
    <mergeCell ref="N1638:N1642"/>
    <mergeCell ref="A1644:A1646"/>
    <mergeCell ref="B1644:B1646"/>
    <mergeCell ref="C1644:C1646"/>
    <mergeCell ref="D1644:D1646"/>
    <mergeCell ref="E1644:E1646"/>
    <mergeCell ref="F1644:F1646"/>
    <mergeCell ref="G1644:G1646"/>
    <mergeCell ref="H1644:H1646"/>
    <mergeCell ref="I1644:I1646"/>
    <mergeCell ref="J1644:J1646"/>
    <mergeCell ref="K1644:K1646"/>
    <mergeCell ref="L1644:L1646"/>
    <mergeCell ref="M1644:M1646"/>
    <mergeCell ref="N1644:N1646"/>
    <mergeCell ref="A1647:A1658"/>
    <mergeCell ref="B1647:B1658"/>
    <mergeCell ref="C1647:C1658"/>
    <mergeCell ref="D1647:D1658"/>
    <mergeCell ref="E1647:E1658"/>
    <mergeCell ref="F1647:F1658"/>
    <mergeCell ref="G1647:G1658"/>
    <mergeCell ref="H1647:H1658"/>
    <mergeCell ref="I1647:I1658"/>
    <mergeCell ref="J1647:J1658"/>
    <mergeCell ref="K1647:K1658"/>
    <mergeCell ref="L1647:L1658"/>
    <mergeCell ref="M1647:M1658"/>
    <mergeCell ref="N1647:N1658"/>
    <mergeCell ref="A1663:A1664"/>
    <mergeCell ref="B1663:B1664"/>
    <mergeCell ref="C1663:C1664"/>
    <mergeCell ref="D1663:D1664"/>
    <mergeCell ref="E1663:E1664"/>
    <mergeCell ref="F1663:F1664"/>
    <mergeCell ref="G1663:G1664"/>
    <mergeCell ref="H1663:H1664"/>
    <mergeCell ref="I1663:I1664"/>
    <mergeCell ref="J1663:J1664"/>
    <mergeCell ref="K1663:K1664"/>
    <mergeCell ref="L1663:L1664"/>
    <mergeCell ref="M1663:M1664"/>
    <mergeCell ref="N1663:N1664"/>
    <mergeCell ref="A1665:A1667"/>
    <mergeCell ref="B1665:B1667"/>
    <mergeCell ref="C1665:C1667"/>
    <mergeCell ref="D1665:D1667"/>
    <mergeCell ref="E1665:E1667"/>
    <mergeCell ref="F1665:F1667"/>
    <mergeCell ref="G1665:G1667"/>
    <mergeCell ref="H1665:H1667"/>
    <mergeCell ref="I1665:I1667"/>
    <mergeCell ref="J1665:J1667"/>
    <mergeCell ref="K1665:K1667"/>
    <mergeCell ref="L1665:L1667"/>
    <mergeCell ref="M1665:M1667"/>
    <mergeCell ref="N1665:N1667"/>
    <mergeCell ref="A1669:A1670"/>
    <mergeCell ref="B1669:B1670"/>
    <mergeCell ref="C1669:C1670"/>
    <mergeCell ref="D1669:D1670"/>
    <mergeCell ref="E1669:E1670"/>
    <mergeCell ref="F1669:F1670"/>
    <mergeCell ref="G1669:G1670"/>
    <mergeCell ref="H1669:H1670"/>
    <mergeCell ref="I1669:I1670"/>
    <mergeCell ref="J1669:J1670"/>
    <mergeCell ref="K1669:K1670"/>
    <mergeCell ref="L1669:L1670"/>
    <mergeCell ref="M1669:M1670"/>
    <mergeCell ref="N1669:N1670"/>
    <mergeCell ref="A1673:A1674"/>
    <mergeCell ref="B1673:B1674"/>
    <mergeCell ref="C1673:C1674"/>
    <mergeCell ref="D1673:D1674"/>
    <mergeCell ref="E1673:E1674"/>
    <mergeCell ref="F1673:F1674"/>
    <mergeCell ref="G1673:G1674"/>
    <mergeCell ref="H1673:H1674"/>
    <mergeCell ref="I1673:I1674"/>
    <mergeCell ref="J1673:J1674"/>
    <mergeCell ref="K1673:K1674"/>
    <mergeCell ref="L1673:L1674"/>
    <mergeCell ref="M1673:M1674"/>
    <mergeCell ref="N1673:N1674"/>
    <mergeCell ref="A1683:A1686"/>
    <mergeCell ref="B1683:B1686"/>
    <mergeCell ref="C1683:C1686"/>
    <mergeCell ref="D1683:D1686"/>
    <mergeCell ref="E1683:E1686"/>
    <mergeCell ref="F1683:F1686"/>
    <mergeCell ref="G1683:G1686"/>
    <mergeCell ref="H1683:H1686"/>
    <mergeCell ref="I1683:I1686"/>
    <mergeCell ref="J1683:J1686"/>
    <mergeCell ref="K1683:K1686"/>
    <mergeCell ref="L1683:L1686"/>
    <mergeCell ref="M1683:M1686"/>
    <mergeCell ref="N1683:N1686"/>
    <mergeCell ref="A1690:A1691"/>
    <mergeCell ref="B1690:B1691"/>
    <mergeCell ref="C1690:C1691"/>
    <mergeCell ref="D1690:D1691"/>
    <mergeCell ref="E1690:E1691"/>
    <mergeCell ref="F1690:F1691"/>
    <mergeCell ref="G1690:G1691"/>
    <mergeCell ref="H1690:H1691"/>
    <mergeCell ref="I1690:I1691"/>
    <mergeCell ref="J1690:J1691"/>
    <mergeCell ref="K1690:K1691"/>
    <mergeCell ref="L1690:L1691"/>
    <mergeCell ref="M1690:M1691"/>
    <mergeCell ref="N1690:N1691"/>
    <mergeCell ref="A1693:A1695"/>
    <mergeCell ref="B1693:B1695"/>
    <mergeCell ref="C1693:C1695"/>
    <mergeCell ref="D1693:D1695"/>
    <mergeCell ref="E1693:E1695"/>
    <mergeCell ref="F1693:F1695"/>
    <mergeCell ref="G1693:G1695"/>
    <mergeCell ref="H1693:H1695"/>
    <mergeCell ref="I1693:I1695"/>
    <mergeCell ref="J1693:J1695"/>
    <mergeCell ref="K1693:K1695"/>
    <mergeCell ref="L1693:L1695"/>
    <mergeCell ref="M1693:M1695"/>
    <mergeCell ref="N1693:N1695"/>
    <mergeCell ref="A1697:A1699"/>
    <mergeCell ref="B1697:B1699"/>
    <mergeCell ref="C1697:C1699"/>
    <mergeCell ref="D1697:D1699"/>
    <mergeCell ref="E1697:E1699"/>
    <mergeCell ref="F1697:F1699"/>
    <mergeCell ref="G1697:G1699"/>
    <mergeCell ref="H1697:H1699"/>
    <mergeCell ref="I1697:I1699"/>
    <mergeCell ref="J1697:J1699"/>
    <mergeCell ref="K1697:K1699"/>
    <mergeCell ref="L1697:L1699"/>
    <mergeCell ref="M1697:M1699"/>
    <mergeCell ref="N1697:N1699"/>
    <mergeCell ref="A1700:A1703"/>
    <mergeCell ref="B1700:B1703"/>
    <mergeCell ref="C1700:C1703"/>
    <mergeCell ref="D1700:D1703"/>
    <mergeCell ref="E1700:E1703"/>
    <mergeCell ref="F1700:F1703"/>
    <mergeCell ref="G1700:G1703"/>
    <mergeCell ref="H1700:H1703"/>
    <mergeCell ref="I1700:I1703"/>
    <mergeCell ref="J1700:J1703"/>
    <mergeCell ref="K1700:K1703"/>
    <mergeCell ref="L1700:L1703"/>
    <mergeCell ref="M1700:M1703"/>
    <mergeCell ref="N1700:N1703"/>
    <mergeCell ref="A1704:A1705"/>
    <mergeCell ref="B1704:B1705"/>
    <mergeCell ref="C1704:C1705"/>
    <mergeCell ref="D1704:D1705"/>
    <mergeCell ref="E1704:E1705"/>
    <mergeCell ref="F1704:F1705"/>
    <mergeCell ref="G1704:G1705"/>
    <mergeCell ref="H1704:H1705"/>
    <mergeCell ref="I1704:I1705"/>
    <mergeCell ref="J1704:J1705"/>
    <mergeCell ref="K1704:K1705"/>
    <mergeCell ref="L1704:L1705"/>
    <mergeCell ref="M1704:M1705"/>
    <mergeCell ref="N1704:N1705"/>
    <mergeCell ref="A1710:A1712"/>
    <mergeCell ref="B1710:B1712"/>
    <mergeCell ref="C1710:C1712"/>
    <mergeCell ref="D1710:D1712"/>
    <mergeCell ref="E1710:E1712"/>
    <mergeCell ref="F1710:F1712"/>
    <mergeCell ref="G1710:G1712"/>
    <mergeCell ref="H1710:H1712"/>
    <mergeCell ref="I1710:I1712"/>
    <mergeCell ref="J1710:J1712"/>
    <mergeCell ref="K1710:K1712"/>
    <mergeCell ref="L1710:L1712"/>
    <mergeCell ref="M1710:M1712"/>
    <mergeCell ref="N1710:N1712"/>
    <mergeCell ref="A1713:A1715"/>
    <mergeCell ref="B1713:B1715"/>
    <mergeCell ref="C1713:C1715"/>
    <mergeCell ref="D1713:D1715"/>
    <mergeCell ref="E1713:E1715"/>
    <mergeCell ref="F1713:F1715"/>
    <mergeCell ref="G1713:G1715"/>
    <mergeCell ref="H1713:H1715"/>
    <mergeCell ref="I1713:I1715"/>
    <mergeCell ref="J1713:J1715"/>
    <mergeCell ref="K1713:K1715"/>
    <mergeCell ref="L1713:L1715"/>
    <mergeCell ref="M1713:M1715"/>
    <mergeCell ref="N1713:N1715"/>
    <mergeCell ref="A1716:A1744"/>
    <mergeCell ref="B1716:B1744"/>
    <mergeCell ref="C1716:C1744"/>
    <mergeCell ref="D1716:D1744"/>
    <mergeCell ref="E1716:E1744"/>
    <mergeCell ref="F1716:F1744"/>
    <mergeCell ref="G1716:G1744"/>
    <mergeCell ref="H1716:H1744"/>
    <mergeCell ref="I1716:I1744"/>
    <mergeCell ref="J1716:J1744"/>
    <mergeCell ref="K1716:K1744"/>
    <mergeCell ref="L1716:L1744"/>
    <mergeCell ref="M1716:M1744"/>
    <mergeCell ref="N1716:N1744"/>
    <mergeCell ref="A1746:A1749"/>
    <mergeCell ref="B1746:B1749"/>
    <mergeCell ref="C1746:C1749"/>
    <mergeCell ref="D1746:D1749"/>
    <mergeCell ref="E1746:E1749"/>
    <mergeCell ref="F1746:F1749"/>
    <mergeCell ref="G1746:G1749"/>
    <mergeCell ref="H1746:H1749"/>
    <mergeCell ref="I1746:I1749"/>
    <mergeCell ref="J1746:J1749"/>
    <mergeCell ref="K1746:K1749"/>
    <mergeCell ref="L1746:L1749"/>
    <mergeCell ref="M1746:M1749"/>
    <mergeCell ref="N1746:N1749"/>
    <mergeCell ref="A1750:A1753"/>
    <mergeCell ref="B1750:B1753"/>
    <mergeCell ref="C1750:C1753"/>
    <mergeCell ref="D1750:D1753"/>
    <mergeCell ref="E1750:E1753"/>
    <mergeCell ref="F1750:F1753"/>
    <mergeCell ref="G1750:G1753"/>
    <mergeCell ref="H1750:H1753"/>
    <mergeCell ref="I1750:I1753"/>
    <mergeCell ref="J1750:J1753"/>
    <mergeCell ref="K1750:K1753"/>
    <mergeCell ref="L1750:L1753"/>
    <mergeCell ref="M1750:M1753"/>
    <mergeCell ref="N1750:N1753"/>
    <mergeCell ref="A1754:A1756"/>
    <mergeCell ref="B1754:B1756"/>
    <mergeCell ref="C1754:C1756"/>
    <mergeCell ref="D1754:D1756"/>
    <mergeCell ref="E1754:E1756"/>
    <mergeCell ref="F1754:F1756"/>
    <mergeCell ref="G1754:G1756"/>
    <mergeCell ref="H1754:H1756"/>
    <mergeCell ref="I1754:I1756"/>
    <mergeCell ref="J1754:J1756"/>
    <mergeCell ref="K1754:K1756"/>
    <mergeCell ref="L1754:L1756"/>
    <mergeCell ref="M1754:M1756"/>
    <mergeCell ref="N1754:N1756"/>
    <mergeCell ref="A1757:A1759"/>
    <mergeCell ref="B1757:B1759"/>
    <mergeCell ref="C1757:C1759"/>
    <mergeCell ref="D1757:D1759"/>
    <mergeCell ref="E1757:E1759"/>
    <mergeCell ref="F1757:F1759"/>
    <mergeCell ref="G1757:G1759"/>
    <mergeCell ref="H1757:H1759"/>
    <mergeCell ref="I1757:I1759"/>
    <mergeCell ref="J1757:J1759"/>
    <mergeCell ref="K1757:K1759"/>
    <mergeCell ref="L1757:L1759"/>
    <mergeCell ref="M1757:M1759"/>
    <mergeCell ref="N1757:N1759"/>
    <mergeCell ref="A1760:A1763"/>
    <mergeCell ref="B1760:B1763"/>
    <mergeCell ref="C1760:C1763"/>
    <mergeCell ref="D1760:D1763"/>
    <mergeCell ref="E1760:E1763"/>
    <mergeCell ref="F1760:F1763"/>
    <mergeCell ref="G1760:G1763"/>
    <mergeCell ref="H1760:H1763"/>
    <mergeCell ref="I1760:I1763"/>
    <mergeCell ref="J1760:J1763"/>
    <mergeCell ref="K1760:K1763"/>
    <mergeCell ref="L1760:L1763"/>
    <mergeCell ref="M1760:M1763"/>
    <mergeCell ref="N1760:N1763"/>
    <mergeCell ref="A1764:A1766"/>
    <mergeCell ref="B1764:B1766"/>
    <mergeCell ref="C1764:C1766"/>
    <mergeCell ref="D1764:D1766"/>
    <mergeCell ref="E1764:E1766"/>
    <mergeCell ref="F1764:F1766"/>
    <mergeCell ref="G1764:G1766"/>
    <mergeCell ref="H1764:H1766"/>
    <mergeCell ref="I1764:I1766"/>
    <mergeCell ref="J1764:J1766"/>
    <mergeCell ref="K1764:K1766"/>
    <mergeCell ref="L1764:L1766"/>
    <mergeCell ref="M1764:M1766"/>
    <mergeCell ref="N1764:N1766"/>
    <mergeCell ref="A1767:A1770"/>
    <mergeCell ref="B1767:B1770"/>
    <mergeCell ref="C1767:C1770"/>
    <mergeCell ref="D1767:D1770"/>
    <mergeCell ref="E1767:E1770"/>
    <mergeCell ref="F1767:F1770"/>
    <mergeCell ref="G1767:G1770"/>
    <mergeCell ref="H1767:H1770"/>
    <mergeCell ref="I1767:I1770"/>
    <mergeCell ref="J1767:J1770"/>
    <mergeCell ref="K1767:K1770"/>
    <mergeCell ref="L1767:L1770"/>
    <mergeCell ref="M1767:M1770"/>
    <mergeCell ref="N1767:N1770"/>
    <mergeCell ref="A1771:A1772"/>
    <mergeCell ref="B1771:B1772"/>
    <mergeCell ref="C1771:C1772"/>
    <mergeCell ref="D1771:D1772"/>
    <mergeCell ref="E1771:E1772"/>
    <mergeCell ref="F1771:F1772"/>
    <mergeCell ref="G1771:G1772"/>
    <mergeCell ref="H1771:H1772"/>
    <mergeCell ref="I1771:I1772"/>
    <mergeCell ref="J1771:J1772"/>
    <mergeCell ref="K1771:K1772"/>
    <mergeCell ref="L1771:L1772"/>
    <mergeCell ref="M1771:M1772"/>
    <mergeCell ref="N1771:N1772"/>
    <mergeCell ref="A1773:A1774"/>
    <mergeCell ref="B1773:B1774"/>
    <mergeCell ref="C1773:C1774"/>
    <mergeCell ref="D1773:D1774"/>
    <mergeCell ref="E1773:E1774"/>
    <mergeCell ref="F1773:F1774"/>
    <mergeCell ref="G1773:G1774"/>
    <mergeCell ref="H1773:H1774"/>
    <mergeCell ref="I1773:I1774"/>
    <mergeCell ref="J1773:J1774"/>
    <mergeCell ref="K1773:K1774"/>
    <mergeCell ref="L1773:L1774"/>
    <mergeCell ref="M1773:M1774"/>
    <mergeCell ref="N1773:N1774"/>
    <mergeCell ref="A1775:A1776"/>
    <mergeCell ref="B1775:B1776"/>
    <mergeCell ref="C1775:C1776"/>
    <mergeCell ref="D1775:D1776"/>
    <mergeCell ref="E1775:E1776"/>
    <mergeCell ref="F1775:F1776"/>
    <mergeCell ref="G1775:G1776"/>
    <mergeCell ref="H1775:H1776"/>
    <mergeCell ref="I1775:I1776"/>
    <mergeCell ref="J1775:J1776"/>
    <mergeCell ref="K1775:K1776"/>
    <mergeCell ref="L1775:L1776"/>
    <mergeCell ref="M1775:M1776"/>
    <mergeCell ref="N1775:N1776"/>
    <mergeCell ref="A1777:A1781"/>
    <mergeCell ref="B1777:B1781"/>
    <mergeCell ref="C1777:C1781"/>
    <mergeCell ref="D1777:D1781"/>
    <mergeCell ref="E1777:E1781"/>
    <mergeCell ref="F1777:F1781"/>
    <mergeCell ref="G1777:G1781"/>
    <mergeCell ref="H1777:H1781"/>
    <mergeCell ref="I1777:I1781"/>
    <mergeCell ref="J1777:J1781"/>
    <mergeCell ref="K1777:K1781"/>
    <mergeCell ref="L1777:L1781"/>
    <mergeCell ref="M1777:M1781"/>
    <mergeCell ref="N1777:N1781"/>
    <mergeCell ref="A1782:A1785"/>
    <mergeCell ref="B1782:B1785"/>
    <mergeCell ref="C1782:C1785"/>
    <mergeCell ref="D1782:D1785"/>
    <mergeCell ref="E1782:E1785"/>
    <mergeCell ref="F1782:F1785"/>
    <mergeCell ref="G1782:G1785"/>
    <mergeCell ref="H1782:H1785"/>
    <mergeCell ref="I1782:I1785"/>
    <mergeCell ref="J1782:J1785"/>
    <mergeCell ref="K1782:K1785"/>
    <mergeCell ref="L1782:L1785"/>
    <mergeCell ref="M1782:M1785"/>
    <mergeCell ref="N1782:N1785"/>
    <mergeCell ref="A1786:A1788"/>
    <mergeCell ref="B1786:B1788"/>
    <mergeCell ref="C1786:C1788"/>
    <mergeCell ref="D1786:D1788"/>
    <mergeCell ref="E1786:E1788"/>
    <mergeCell ref="F1786:F1788"/>
    <mergeCell ref="G1786:G1788"/>
    <mergeCell ref="H1786:H1788"/>
    <mergeCell ref="I1786:I1788"/>
    <mergeCell ref="J1786:J1788"/>
    <mergeCell ref="K1786:K1788"/>
    <mergeCell ref="L1786:L1788"/>
    <mergeCell ref="M1786:M1788"/>
    <mergeCell ref="N1786:N1788"/>
    <mergeCell ref="A1789:A1790"/>
    <mergeCell ref="B1789:B1790"/>
    <mergeCell ref="C1789:C1790"/>
    <mergeCell ref="D1789:D1790"/>
    <mergeCell ref="E1789:E1790"/>
    <mergeCell ref="F1789:F1790"/>
    <mergeCell ref="G1789:G1790"/>
    <mergeCell ref="H1789:H1790"/>
    <mergeCell ref="I1789:I1790"/>
    <mergeCell ref="J1789:J1790"/>
    <mergeCell ref="K1789:K1790"/>
    <mergeCell ref="L1789:L1790"/>
    <mergeCell ref="M1789:M1790"/>
    <mergeCell ref="N1789:N1790"/>
    <mergeCell ref="A1791:A1792"/>
    <mergeCell ref="B1791:B1792"/>
    <mergeCell ref="C1791:C1792"/>
    <mergeCell ref="D1791:D1792"/>
    <mergeCell ref="E1791:E1792"/>
    <mergeCell ref="F1791:F1792"/>
    <mergeCell ref="G1791:G1792"/>
    <mergeCell ref="H1791:H1792"/>
    <mergeCell ref="I1791:I1792"/>
    <mergeCell ref="J1791:J1792"/>
    <mergeCell ref="K1791:K1792"/>
    <mergeCell ref="L1791:L1792"/>
    <mergeCell ref="M1791:M1792"/>
    <mergeCell ref="N1791:N1792"/>
    <mergeCell ref="A1793:A1794"/>
    <mergeCell ref="B1793:B1794"/>
    <mergeCell ref="C1793:C1794"/>
    <mergeCell ref="D1793:D1794"/>
    <mergeCell ref="E1793:E1794"/>
    <mergeCell ref="F1793:F1794"/>
    <mergeCell ref="G1793:G1794"/>
    <mergeCell ref="H1793:H1794"/>
    <mergeCell ref="I1793:I1794"/>
    <mergeCell ref="J1793:J1794"/>
    <mergeCell ref="K1793:K1794"/>
    <mergeCell ref="L1793:L1794"/>
    <mergeCell ref="M1793:M1794"/>
    <mergeCell ref="N1793:N1794"/>
    <mergeCell ref="A1795:A1796"/>
    <mergeCell ref="B1795:B1796"/>
    <mergeCell ref="C1795:C1796"/>
    <mergeCell ref="D1795:D1796"/>
    <mergeCell ref="E1795:E1796"/>
    <mergeCell ref="F1795:F1796"/>
    <mergeCell ref="G1795:G1796"/>
    <mergeCell ref="H1795:H1796"/>
    <mergeCell ref="I1795:I1796"/>
    <mergeCell ref="J1795:J1796"/>
    <mergeCell ref="K1795:K1796"/>
    <mergeCell ref="L1795:L1796"/>
    <mergeCell ref="M1795:M1796"/>
    <mergeCell ref="N1795:N1796"/>
    <mergeCell ref="A1798:A1799"/>
    <mergeCell ref="B1798:B1799"/>
    <mergeCell ref="C1798:C1799"/>
    <mergeCell ref="D1798:D1799"/>
    <mergeCell ref="E1798:E1799"/>
    <mergeCell ref="F1798:F1799"/>
    <mergeCell ref="G1798:G1799"/>
    <mergeCell ref="H1798:H1799"/>
    <mergeCell ref="I1798:I1799"/>
    <mergeCell ref="J1798:J1799"/>
    <mergeCell ref="K1798:K1799"/>
    <mergeCell ref="L1798:L1799"/>
    <mergeCell ref="M1798:M1799"/>
    <mergeCell ref="N1798:N1799"/>
    <mergeCell ref="A1800:A1810"/>
    <mergeCell ref="B1800:B1810"/>
    <mergeCell ref="C1800:C1810"/>
    <mergeCell ref="D1800:D1810"/>
    <mergeCell ref="E1800:E1810"/>
    <mergeCell ref="F1800:F1810"/>
    <mergeCell ref="G1800:G1810"/>
    <mergeCell ref="H1800:H1810"/>
    <mergeCell ref="I1800:I1810"/>
    <mergeCell ref="J1800:J1810"/>
    <mergeCell ref="K1800:K1810"/>
    <mergeCell ref="L1800:L1810"/>
    <mergeCell ref="M1800:M1810"/>
    <mergeCell ref="N1800:N1810"/>
    <mergeCell ref="A1811:A1813"/>
    <mergeCell ref="B1811:B1813"/>
    <mergeCell ref="C1811:C1813"/>
    <mergeCell ref="D1811:D1813"/>
    <mergeCell ref="E1811:E1813"/>
    <mergeCell ref="F1811:F1813"/>
    <mergeCell ref="G1811:G1813"/>
    <mergeCell ref="H1811:H1813"/>
    <mergeCell ref="I1811:I1813"/>
    <mergeCell ref="J1811:J1813"/>
    <mergeCell ref="K1811:K1813"/>
    <mergeCell ref="L1811:L1813"/>
    <mergeCell ref="M1811:M1813"/>
    <mergeCell ref="N1811:N1813"/>
    <mergeCell ref="A1814:A1816"/>
    <mergeCell ref="B1814:B1816"/>
    <mergeCell ref="C1814:C1816"/>
    <mergeCell ref="D1814:D1816"/>
    <mergeCell ref="E1814:E1816"/>
    <mergeCell ref="F1814:F1816"/>
    <mergeCell ref="G1814:G1816"/>
    <mergeCell ref="H1814:H1816"/>
    <mergeCell ref="I1814:I1816"/>
    <mergeCell ref="J1814:J1816"/>
    <mergeCell ref="K1814:K1816"/>
    <mergeCell ref="L1814:L1816"/>
    <mergeCell ref="M1814:M1816"/>
    <mergeCell ref="N1814:N1816"/>
    <mergeCell ref="A1818:A1821"/>
    <mergeCell ref="B1818:B1821"/>
    <mergeCell ref="C1818:C1821"/>
    <mergeCell ref="D1818:D1821"/>
    <mergeCell ref="E1818:E1821"/>
    <mergeCell ref="F1818:F1821"/>
    <mergeCell ref="G1818:G1821"/>
    <mergeCell ref="H1818:H1821"/>
    <mergeCell ref="I1818:I1821"/>
    <mergeCell ref="J1818:J1821"/>
    <mergeCell ref="K1818:K1821"/>
    <mergeCell ref="L1818:L1821"/>
    <mergeCell ref="M1818:M1821"/>
    <mergeCell ref="N1818:N1821"/>
    <mergeCell ref="A1822:A1823"/>
    <mergeCell ref="B1822:B1823"/>
    <mergeCell ref="C1822:C1823"/>
    <mergeCell ref="D1822:D1823"/>
    <mergeCell ref="E1822:E1823"/>
    <mergeCell ref="F1822:F1823"/>
    <mergeCell ref="G1822:G1823"/>
    <mergeCell ref="H1822:H1823"/>
    <mergeCell ref="I1822:I1823"/>
    <mergeCell ref="J1822:J1823"/>
    <mergeCell ref="K1822:K1823"/>
    <mergeCell ref="L1822:L1823"/>
    <mergeCell ref="M1822:M1823"/>
    <mergeCell ref="N1822:N1823"/>
    <mergeCell ref="A1824:A1825"/>
    <mergeCell ref="B1824:B1825"/>
    <mergeCell ref="C1824:C1825"/>
    <mergeCell ref="D1824:D1825"/>
    <mergeCell ref="E1824:E1825"/>
    <mergeCell ref="F1824:F1825"/>
    <mergeCell ref="G1824:G1825"/>
    <mergeCell ref="H1824:H1825"/>
    <mergeCell ref="I1824:I1825"/>
    <mergeCell ref="J1824:J1825"/>
    <mergeCell ref="K1824:K1825"/>
    <mergeCell ref="L1824:L1825"/>
    <mergeCell ref="M1824:M1825"/>
    <mergeCell ref="N1824:N1825"/>
    <mergeCell ref="A1826:A1827"/>
    <mergeCell ref="B1826:B1827"/>
    <mergeCell ref="C1826:C1827"/>
    <mergeCell ref="D1826:D1827"/>
    <mergeCell ref="E1826:E1827"/>
    <mergeCell ref="F1826:F1827"/>
    <mergeCell ref="G1826:G1827"/>
    <mergeCell ref="H1826:H1827"/>
    <mergeCell ref="I1826:I1827"/>
    <mergeCell ref="J1826:J1827"/>
    <mergeCell ref="K1826:K1827"/>
    <mergeCell ref="L1826:L1827"/>
    <mergeCell ref="M1826:M1827"/>
    <mergeCell ref="N1826:N1827"/>
    <mergeCell ref="A1828:A1836"/>
    <mergeCell ref="B1828:B1836"/>
    <mergeCell ref="C1828:C1836"/>
    <mergeCell ref="D1828:D1836"/>
    <mergeCell ref="E1828:E1836"/>
    <mergeCell ref="F1828:F1836"/>
    <mergeCell ref="G1828:G1836"/>
    <mergeCell ref="H1828:H1836"/>
    <mergeCell ref="I1828:I1836"/>
    <mergeCell ref="J1828:J1836"/>
    <mergeCell ref="K1828:K1836"/>
    <mergeCell ref="L1828:L1836"/>
    <mergeCell ref="M1828:M1836"/>
    <mergeCell ref="N1828:N1836"/>
    <mergeCell ref="A1837:A1841"/>
    <mergeCell ref="B1837:B1841"/>
    <mergeCell ref="C1837:C1841"/>
    <mergeCell ref="D1837:D1841"/>
    <mergeCell ref="E1837:E1841"/>
    <mergeCell ref="F1837:F1841"/>
    <mergeCell ref="G1837:G1841"/>
    <mergeCell ref="H1837:H1841"/>
    <mergeCell ref="I1837:I1841"/>
    <mergeCell ref="J1837:J1841"/>
    <mergeCell ref="K1837:K1841"/>
    <mergeCell ref="L1837:L1841"/>
    <mergeCell ref="M1837:M1841"/>
    <mergeCell ref="N1837:N1841"/>
    <mergeCell ref="A1843:A1844"/>
    <mergeCell ref="B1843:B1844"/>
    <mergeCell ref="C1843:C1844"/>
    <mergeCell ref="D1843:D1844"/>
    <mergeCell ref="E1843:E1844"/>
    <mergeCell ref="F1843:F1844"/>
    <mergeCell ref="G1843:G1844"/>
    <mergeCell ref="H1843:H1844"/>
    <mergeCell ref="I1843:I1844"/>
    <mergeCell ref="J1843:J1844"/>
    <mergeCell ref="K1843:K1844"/>
    <mergeCell ref="L1843:L1844"/>
    <mergeCell ref="M1843:M1844"/>
    <mergeCell ref="N1843:N1844"/>
    <mergeCell ref="A1845:A1846"/>
    <mergeCell ref="B1845:B1846"/>
    <mergeCell ref="C1845:C1846"/>
    <mergeCell ref="D1845:D1846"/>
    <mergeCell ref="E1845:E1846"/>
    <mergeCell ref="F1845:F1846"/>
    <mergeCell ref="G1845:G1846"/>
    <mergeCell ref="H1845:H1846"/>
    <mergeCell ref="I1845:I1846"/>
    <mergeCell ref="J1845:J1846"/>
    <mergeCell ref="K1845:K1846"/>
    <mergeCell ref="L1845:L1846"/>
    <mergeCell ref="M1845:M1846"/>
    <mergeCell ref="N1845:N1846"/>
    <mergeCell ref="A1851:A1852"/>
    <mergeCell ref="B1851:B1852"/>
    <mergeCell ref="C1851:C1852"/>
    <mergeCell ref="D1851:D1852"/>
    <mergeCell ref="E1851:E1852"/>
    <mergeCell ref="F1851:F1852"/>
    <mergeCell ref="G1851:G1852"/>
    <mergeCell ref="H1851:H1852"/>
    <mergeCell ref="I1851:I1852"/>
    <mergeCell ref="J1851:J1852"/>
    <mergeCell ref="K1851:K1852"/>
    <mergeCell ref="L1851:L1852"/>
    <mergeCell ref="M1851:M1852"/>
    <mergeCell ref="N1851:N1852"/>
    <mergeCell ref="A1855:A1858"/>
    <mergeCell ref="B1855:B1858"/>
    <mergeCell ref="C1855:C1858"/>
    <mergeCell ref="D1855:D1858"/>
    <mergeCell ref="E1855:E1858"/>
    <mergeCell ref="F1855:F1858"/>
    <mergeCell ref="G1855:G1858"/>
    <mergeCell ref="H1855:H1858"/>
    <mergeCell ref="I1855:I1858"/>
    <mergeCell ref="J1855:J1858"/>
    <mergeCell ref="K1855:K1858"/>
    <mergeCell ref="L1855:L1858"/>
    <mergeCell ref="M1855:M1858"/>
    <mergeCell ref="N1855:N1858"/>
    <mergeCell ref="A1860:A1862"/>
    <mergeCell ref="B1860:B1862"/>
    <mergeCell ref="C1860:C1862"/>
    <mergeCell ref="D1860:D1862"/>
    <mergeCell ref="E1860:E1862"/>
    <mergeCell ref="F1860:F1862"/>
    <mergeCell ref="G1860:G1862"/>
    <mergeCell ref="H1860:H1862"/>
    <mergeCell ref="I1860:I1862"/>
    <mergeCell ref="J1860:J1862"/>
    <mergeCell ref="K1860:K1862"/>
    <mergeCell ref="L1860:L1862"/>
    <mergeCell ref="M1860:M1862"/>
    <mergeCell ref="N1860:N1862"/>
    <mergeCell ref="A1863:A1864"/>
    <mergeCell ref="B1863:B1864"/>
    <mergeCell ref="C1863:C1864"/>
    <mergeCell ref="D1863:D1864"/>
    <mergeCell ref="E1863:E1864"/>
    <mergeCell ref="F1863:F1864"/>
    <mergeCell ref="G1863:G1864"/>
    <mergeCell ref="H1863:H1864"/>
    <mergeCell ref="I1863:I1864"/>
    <mergeCell ref="J1863:J1864"/>
    <mergeCell ref="K1863:K1864"/>
    <mergeCell ref="L1863:L1864"/>
    <mergeCell ref="M1863:M1864"/>
    <mergeCell ref="N1863:N1864"/>
    <mergeCell ref="A1869:A1870"/>
    <mergeCell ref="B1869:B1870"/>
    <mergeCell ref="C1869:C1870"/>
    <mergeCell ref="D1869:D1870"/>
    <mergeCell ref="E1869:E1870"/>
    <mergeCell ref="F1869:F1870"/>
    <mergeCell ref="G1869:G1870"/>
    <mergeCell ref="H1869:H1870"/>
    <mergeCell ref="I1869:I1870"/>
    <mergeCell ref="J1869:J1870"/>
    <mergeCell ref="K1869:K1870"/>
    <mergeCell ref="L1869:L1870"/>
    <mergeCell ref="M1869:M1870"/>
    <mergeCell ref="N1869:N1870"/>
    <mergeCell ref="A1872:A1873"/>
    <mergeCell ref="B1872:B1873"/>
    <mergeCell ref="C1872:C1873"/>
    <mergeCell ref="D1872:D1873"/>
    <mergeCell ref="E1872:E1873"/>
    <mergeCell ref="F1872:F1873"/>
    <mergeCell ref="G1872:G1873"/>
    <mergeCell ref="H1872:H1873"/>
    <mergeCell ref="I1872:I1873"/>
    <mergeCell ref="J1872:J1873"/>
    <mergeCell ref="K1872:K1873"/>
    <mergeCell ref="L1872:L1873"/>
    <mergeCell ref="M1872:M1873"/>
    <mergeCell ref="N1872:N1873"/>
    <mergeCell ref="A1874:A1875"/>
    <mergeCell ref="B1874:B1875"/>
    <mergeCell ref="C1874:C1875"/>
    <mergeCell ref="D1874:D1875"/>
    <mergeCell ref="E1874:E1875"/>
    <mergeCell ref="F1874:F1875"/>
    <mergeCell ref="G1874:G1875"/>
    <mergeCell ref="H1874:H1875"/>
    <mergeCell ref="I1874:I1875"/>
    <mergeCell ref="J1874:J1875"/>
    <mergeCell ref="K1874:K1875"/>
    <mergeCell ref="L1874:L1875"/>
    <mergeCell ref="M1874:M1875"/>
    <mergeCell ref="N1874:N1875"/>
    <mergeCell ref="A1876:A1877"/>
    <mergeCell ref="B1876:B1877"/>
    <mergeCell ref="C1876:C1877"/>
    <mergeCell ref="D1876:D1877"/>
    <mergeCell ref="E1876:E1877"/>
    <mergeCell ref="F1876:F1877"/>
    <mergeCell ref="G1876:G1877"/>
    <mergeCell ref="H1876:H1877"/>
    <mergeCell ref="I1876:I1877"/>
    <mergeCell ref="J1876:J1877"/>
    <mergeCell ref="K1876:K1877"/>
    <mergeCell ref="L1876:L1877"/>
    <mergeCell ref="M1876:M1877"/>
    <mergeCell ref="N1876:N1877"/>
    <mergeCell ref="A1879:A1881"/>
    <mergeCell ref="B1879:B1881"/>
    <mergeCell ref="C1879:C1881"/>
    <mergeCell ref="D1879:D1881"/>
    <mergeCell ref="E1879:E1881"/>
    <mergeCell ref="F1879:F1881"/>
    <mergeCell ref="G1879:G1881"/>
    <mergeCell ref="H1879:H1881"/>
    <mergeCell ref="I1879:I1881"/>
    <mergeCell ref="J1879:J1881"/>
    <mergeCell ref="K1879:K1881"/>
    <mergeCell ref="L1879:L1881"/>
    <mergeCell ref="M1879:M1881"/>
    <mergeCell ref="N1879:N1881"/>
    <mergeCell ref="A1882:A1883"/>
    <mergeCell ref="B1882:B1883"/>
    <mergeCell ref="C1882:C1883"/>
    <mergeCell ref="D1882:D1883"/>
    <mergeCell ref="E1882:E1883"/>
    <mergeCell ref="F1882:F1883"/>
    <mergeCell ref="G1882:G1883"/>
    <mergeCell ref="H1882:H1883"/>
    <mergeCell ref="I1882:I1883"/>
    <mergeCell ref="J1882:J1883"/>
    <mergeCell ref="K1882:K1883"/>
    <mergeCell ref="L1882:L1883"/>
    <mergeCell ref="M1882:M1883"/>
    <mergeCell ref="N1882:N1883"/>
    <mergeCell ref="A1885:A1886"/>
    <mergeCell ref="B1885:B1886"/>
    <mergeCell ref="C1885:C1886"/>
    <mergeCell ref="D1885:D1886"/>
    <mergeCell ref="E1885:E1886"/>
    <mergeCell ref="F1885:F1886"/>
    <mergeCell ref="G1885:G1886"/>
    <mergeCell ref="H1885:H1886"/>
    <mergeCell ref="I1885:I1886"/>
    <mergeCell ref="J1885:J1886"/>
    <mergeCell ref="K1885:K1886"/>
    <mergeCell ref="L1885:L1886"/>
    <mergeCell ref="M1885:M1886"/>
    <mergeCell ref="N1885:N1886"/>
    <mergeCell ref="A1888:A1891"/>
    <mergeCell ref="B1888:B1891"/>
    <mergeCell ref="C1888:C1891"/>
    <mergeCell ref="D1888:D1891"/>
    <mergeCell ref="E1888:E1891"/>
    <mergeCell ref="F1888:F1891"/>
    <mergeCell ref="G1888:G1891"/>
    <mergeCell ref="H1888:H1891"/>
    <mergeCell ref="I1888:I1891"/>
    <mergeCell ref="J1888:J1891"/>
    <mergeCell ref="K1888:K1891"/>
    <mergeCell ref="L1888:L1891"/>
    <mergeCell ref="M1888:M1891"/>
    <mergeCell ref="N1888:N1891"/>
    <mergeCell ref="A1892:A1898"/>
    <mergeCell ref="B1892:B1898"/>
    <mergeCell ref="C1892:C1898"/>
    <mergeCell ref="D1892:D1898"/>
    <mergeCell ref="E1892:E1898"/>
    <mergeCell ref="F1892:F1898"/>
    <mergeCell ref="G1892:G1898"/>
    <mergeCell ref="H1892:H1898"/>
    <mergeCell ref="I1892:I1898"/>
    <mergeCell ref="J1892:J1898"/>
    <mergeCell ref="K1892:K1898"/>
    <mergeCell ref="L1892:L1898"/>
    <mergeCell ref="M1892:M1898"/>
    <mergeCell ref="N1892:N1898"/>
    <mergeCell ref="A1899:A1900"/>
    <mergeCell ref="B1899:B1900"/>
    <mergeCell ref="C1899:C1900"/>
    <mergeCell ref="D1899:D1900"/>
    <mergeCell ref="E1899:E1900"/>
    <mergeCell ref="F1899:F1900"/>
    <mergeCell ref="G1899:G1900"/>
    <mergeCell ref="H1899:H1900"/>
    <mergeCell ref="I1899:I1900"/>
    <mergeCell ref="J1899:J1900"/>
    <mergeCell ref="K1899:K1900"/>
    <mergeCell ref="L1899:L1900"/>
    <mergeCell ref="M1899:M1900"/>
    <mergeCell ref="N1899:N1900"/>
    <mergeCell ref="A1904:A1907"/>
    <mergeCell ref="B1904:B1907"/>
    <mergeCell ref="C1904:C1907"/>
    <mergeCell ref="D1904:D1907"/>
    <mergeCell ref="E1904:E1907"/>
    <mergeCell ref="F1904:F1907"/>
    <mergeCell ref="G1904:G1907"/>
    <mergeCell ref="H1904:H1907"/>
    <mergeCell ref="I1904:I1907"/>
    <mergeCell ref="J1904:J1907"/>
    <mergeCell ref="K1904:K1907"/>
    <mergeCell ref="L1904:L1907"/>
    <mergeCell ref="M1904:M1907"/>
    <mergeCell ref="N1904:N1907"/>
    <mergeCell ref="A1909:A1910"/>
    <mergeCell ref="B1909:B1910"/>
    <mergeCell ref="C1909:C1910"/>
    <mergeCell ref="D1909:D1910"/>
    <mergeCell ref="E1909:E1910"/>
    <mergeCell ref="F1909:F1910"/>
    <mergeCell ref="G1909:G1910"/>
    <mergeCell ref="H1909:H1910"/>
    <mergeCell ref="I1909:I1910"/>
    <mergeCell ref="J1909:J1910"/>
    <mergeCell ref="K1909:K1910"/>
    <mergeCell ref="L1909:L1910"/>
    <mergeCell ref="M1909:M1910"/>
    <mergeCell ref="N1909:N1910"/>
    <mergeCell ref="A1912:A1916"/>
    <mergeCell ref="B1912:B1916"/>
    <mergeCell ref="C1912:C1916"/>
    <mergeCell ref="D1912:D1916"/>
    <mergeCell ref="E1912:E1916"/>
    <mergeCell ref="F1912:F1916"/>
    <mergeCell ref="G1912:G1916"/>
    <mergeCell ref="H1912:H1916"/>
    <mergeCell ref="I1912:I1916"/>
    <mergeCell ref="J1912:J1916"/>
    <mergeCell ref="K1912:K1916"/>
    <mergeCell ref="L1912:L1916"/>
    <mergeCell ref="M1912:M1916"/>
    <mergeCell ref="N1912:N1916"/>
    <mergeCell ref="A1917:A1921"/>
    <mergeCell ref="B1917:B1921"/>
    <mergeCell ref="C1917:C1921"/>
    <mergeCell ref="D1917:D1921"/>
    <mergeCell ref="E1917:E1921"/>
    <mergeCell ref="F1917:F1921"/>
    <mergeCell ref="G1917:G1921"/>
    <mergeCell ref="H1917:H1921"/>
    <mergeCell ref="I1917:I1921"/>
    <mergeCell ref="J1917:J1921"/>
    <mergeCell ref="K1917:K1921"/>
    <mergeCell ref="L1917:L1921"/>
    <mergeCell ref="M1917:M1921"/>
    <mergeCell ref="N1917:N1921"/>
    <mergeCell ref="A1922:A1924"/>
    <mergeCell ref="B1922:B1924"/>
    <mergeCell ref="C1922:C1924"/>
    <mergeCell ref="D1922:D1924"/>
    <mergeCell ref="E1922:E1924"/>
    <mergeCell ref="F1922:F1924"/>
    <mergeCell ref="G1922:G1924"/>
    <mergeCell ref="H1922:H1924"/>
    <mergeCell ref="I1922:I1924"/>
    <mergeCell ref="J1922:J1924"/>
    <mergeCell ref="K1922:K1924"/>
    <mergeCell ref="L1922:L1924"/>
    <mergeCell ref="M1922:M1924"/>
    <mergeCell ref="N1922:N1924"/>
    <mergeCell ref="A1925:A1927"/>
    <mergeCell ref="B1925:B1927"/>
    <mergeCell ref="C1925:C1927"/>
    <mergeCell ref="D1925:D1927"/>
    <mergeCell ref="E1925:E1927"/>
    <mergeCell ref="F1925:F1927"/>
    <mergeCell ref="G1925:G1927"/>
    <mergeCell ref="H1925:H1927"/>
    <mergeCell ref="I1925:I1927"/>
    <mergeCell ref="J1925:J1927"/>
    <mergeCell ref="K1925:K1927"/>
    <mergeCell ref="L1925:L1927"/>
    <mergeCell ref="M1925:M1927"/>
    <mergeCell ref="N1925:N1927"/>
    <mergeCell ref="A1932:A1934"/>
    <mergeCell ref="B1932:B1934"/>
    <mergeCell ref="C1932:C1934"/>
    <mergeCell ref="D1932:D1934"/>
    <mergeCell ref="E1932:E1934"/>
    <mergeCell ref="F1932:F1934"/>
    <mergeCell ref="G1932:G1934"/>
    <mergeCell ref="H1932:H1934"/>
    <mergeCell ref="I1932:I1934"/>
    <mergeCell ref="J1932:J1934"/>
    <mergeCell ref="K1932:K1934"/>
    <mergeCell ref="L1932:L1934"/>
    <mergeCell ref="M1932:M1934"/>
    <mergeCell ref="N1932:N1934"/>
    <mergeCell ref="A1937:A1938"/>
    <mergeCell ref="B1937:B1938"/>
    <mergeCell ref="C1937:C1938"/>
    <mergeCell ref="D1937:D1938"/>
    <mergeCell ref="E1937:E1938"/>
    <mergeCell ref="F1937:F1938"/>
    <mergeCell ref="G1937:G1938"/>
    <mergeCell ref="H1937:H1938"/>
    <mergeCell ref="I1937:I1938"/>
    <mergeCell ref="J1937:J1938"/>
    <mergeCell ref="K1937:K1938"/>
    <mergeCell ref="L1937:L1938"/>
    <mergeCell ref="M1937:M1938"/>
    <mergeCell ref="N1937:N1938"/>
    <mergeCell ref="A1939:A1941"/>
    <mergeCell ref="B1939:B1941"/>
    <mergeCell ref="C1939:C1941"/>
    <mergeCell ref="D1939:D1941"/>
    <mergeCell ref="E1939:E1941"/>
    <mergeCell ref="F1939:F1941"/>
    <mergeCell ref="G1939:G1941"/>
    <mergeCell ref="H1939:H1941"/>
    <mergeCell ref="I1939:I1941"/>
    <mergeCell ref="J1939:J1941"/>
    <mergeCell ref="K1939:K1941"/>
    <mergeCell ref="L1939:L1941"/>
    <mergeCell ref="M1939:M1941"/>
    <mergeCell ref="N1939:N1941"/>
    <mergeCell ref="A1942:A1949"/>
    <mergeCell ref="B1942:B1949"/>
    <mergeCell ref="C1942:C1949"/>
    <mergeCell ref="D1942:D1949"/>
    <mergeCell ref="E1942:E1949"/>
    <mergeCell ref="F1942:F1949"/>
    <mergeCell ref="G1942:G1949"/>
    <mergeCell ref="H1942:H1949"/>
    <mergeCell ref="I1942:I1949"/>
    <mergeCell ref="J1942:J1949"/>
    <mergeCell ref="K1942:K1949"/>
    <mergeCell ref="L1942:L1949"/>
    <mergeCell ref="M1942:M1949"/>
    <mergeCell ref="N1942:N1949"/>
    <mergeCell ref="A1951:A1957"/>
    <mergeCell ref="B1951:B1957"/>
    <mergeCell ref="C1951:C1957"/>
    <mergeCell ref="D1951:D1957"/>
    <mergeCell ref="E1951:E1957"/>
    <mergeCell ref="F1951:F1957"/>
    <mergeCell ref="G1951:G1957"/>
    <mergeCell ref="H1951:H1957"/>
    <mergeCell ref="I1951:I1957"/>
    <mergeCell ref="J1951:J1957"/>
    <mergeCell ref="K1951:K1957"/>
    <mergeCell ref="L1951:L1957"/>
    <mergeCell ref="M1951:M1957"/>
    <mergeCell ref="N1951:N1957"/>
    <mergeCell ref="A1958:A1960"/>
    <mergeCell ref="B1958:B1960"/>
    <mergeCell ref="C1958:C1960"/>
    <mergeCell ref="D1958:D1960"/>
    <mergeCell ref="E1958:E1960"/>
    <mergeCell ref="F1958:F1960"/>
    <mergeCell ref="G1958:G1960"/>
    <mergeCell ref="H1958:H1960"/>
    <mergeCell ref="I1958:I1960"/>
    <mergeCell ref="J1958:J1960"/>
    <mergeCell ref="K1958:K1960"/>
    <mergeCell ref="L1958:L1960"/>
    <mergeCell ref="M1958:M1960"/>
    <mergeCell ref="N1958:N1960"/>
    <mergeCell ref="A1963:A1964"/>
    <mergeCell ref="B1963:B1964"/>
    <mergeCell ref="C1963:C1964"/>
    <mergeCell ref="D1963:D1964"/>
    <mergeCell ref="E1963:E1964"/>
    <mergeCell ref="F1963:F1964"/>
    <mergeCell ref="G1963:G1964"/>
    <mergeCell ref="H1963:H1964"/>
    <mergeCell ref="I1963:I1964"/>
    <mergeCell ref="J1963:J1964"/>
    <mergeCell ref="K1963:K1964"/>
    <mergeCell ref="L1963:L1964"/>
    <mergeCell ref="M1963:M1964"/>
    <mergeCell ref="N1963:N1964"/>
    <mergeCell ref="A1966:A1968"/>
    <mergeCell ref="B1966:B1968"/>
    <mergeCell ref="C1966:C1968"/>
    <mergeCell ref="D1966:D1968"/>
    <mergeCell ref="E1966:E1968"/>
    <mergeCell ref="F1966:F1968"/>
    <mergeCell ref="G1966:G1968"/>
    <mergeCell ref="H1966:H1968"/>
    <mergeCell ref="I1966:I1968"/>
    <mergeCell ref="J1966:J1968"/>
    <mergeCell ref="K1966:K1968"/>
    <mergeCell ref="L1966:L1968"/>
    <mergeCell ref="M1966:M1968"/>
    <mergeCell ref="N1966:N1968"/>
    <mergeCell ref="A1969:A1970"/>
    <mergeCell ref="B1969:B1970"/>
    <mergeCell ref="C1969:C1970"/>
    <mergeCell ref="D1969:D1970"/>
    <mergeCell ref="E1969:E1970"/>
    <mergeCell ref="F1969:F1970"/>
    <mergeCell ref="G1969:G1970"/>
    <mergeCell ref="H1969:H1970"/>
    <mergeCell ref="I1969:I1970"/>
    <mergeCell ref="J1969:J1970"/>
    <mergeCell ref="K1969:K1970"/>
    <mergeCell ref="L1969:L1970"/>
    <mergeCell ref="M1969:M1970"/>
    <mergeCell ref="N1969:N1970"/>
    <mergeCell ref="A1971:A1973"/>
    <mergeCell ref="B1971:B1973"/>
    <mergeCell ref="C1971:C1973"/>
    <mergeCell ref="D1971:D1973"/>
    <mergeCell ref="E1971:E1973"/>
    <mergeCell ref="F1971:F1973"/>
    <mergeCell ref="G1971:G1973"/>
    <mergeCell ref="H1971:H1973"/>
    <mergeCell ref="I1971:I1973"/>
    <mergeCell ref="J1971:J1973"/>
    <mergeCell ref="K1971:K1973"/>
    <mergeCell ref="L1971:L1973"/>
    <mergeCell ref="M1971:M1973"/>
    <mergeCell ref="N1971:N1973"/>
    <mergeCell ref="A1974:A1976"/>
    <mergeCell ref="B1974:B1976"/>
    <mergeCell ref="C1974:C1976"/>
    <mergeCell ref="D1974:D1976"/>
    <mergeCell ref="E1974:E1976"/>
    <mergeCell ref="F1974:F1976"/>
    <mergeCell ref="G1974:G1976"/>
    <mergeCell ref="H1974:H1976"/>
    <mergeCell ref="I1974:I1976"/>
    <mergeCell ref="J1974:J1976"/>
    <mergeCell ref="K1974:K1976"/>
    <mergeCell ref="L1974:L1976"/>
    <mergeCell ref="M1974:M1976"/>
    <mergeCell ref="N1974:N1976"/>
    <mergeCell ref="A1977:A1979"/>
    <mergeCell ref="B1977:B1979"/>
    <mergeCell ref="C1977:C1979"/>
    <mergeCell ref="D1977:D1979"/>
    <mergeCell ref="E1977:E1979"/>
    <mergeCell ref="F1977:F1979"/>
    <mergeCell ref="G1977:G1979"/>
    <mergeCell ref="H1977:H1979"/>
    <mergeCell ref="I1977:I1979"/>
    <mergeCell ref="J1977:J1979"/>
    <mergeCell ref="K1977:K1979"/>
    <mergeCell ref="L1977:L1979"/>
    <mergeCell ref="M1977:M1979"/>
    <mergeCell ref="N1977:N1979"/>
    <mergeCell ref="A1980:A1982"/>
    <mergeCell ref="B1980:B1982"/>
    <mergeCell ref="C1980:C1982"/>
    <mergeCell ref="D1980:D1982"/>
    <mergeCell ref="E1980:E1982"/>
    <mergeCell ref="F1980:F1982"/>
    <mergeCell ref="G1980:G1982"/>
    <mergeCell ref="H1980:H1982"/>
    <mergeCell ref="I1980:I1982"/>
    <mergeCell ref="J1980:J1982"/>
    <mergeCell ref="K1980:K1982"/>
    <mergeCell ref="L1980:L1982"/>
    <mergeCell ref="M1980:M1982"/>
    <mergeCell ref="N1980:N1982"/>
    <mergeCell ref="A1984:A1985"/>
    <mergeCell ref="B1984:B1985"/>
    <mergeCell ref="C1984:C1985"/>
    <mergeCell ref="D1984:D1985"/>
    <mergeCell ref="E1984:E1985"/>
    <mergeCell ref="F1984:F1985"/>
    <mergeCell ref="G1984:G1985"/>
    <mergeCell ref="H1984:H1985"/>
    <mergeCell ref="I1984:I1985"/>
    <mergeCell ref="J1984:J1985"/>
    <mergeCell ref="K1984:K1985"/>
    <mergeCell ref="L1984:L1985"/>
    <mergeCell ref="M1984:M1985"/>
    <mergeCell ref="N1984:N1985"/>
    <mergeCell ref="A1988:A1989"/>
    <mergeCell ref="B1988:B1989"/>
    <mergeCell ref="C1988:C1989"/>
    <mergeCell ref="D1988:D1989"/>
    <mergeCell ref="E1988:E1989"/>
    <mergeCell ref="F1988:F1989"/>
    <mergeCell ref="G1988:G1989"/>
    <mergeCell ref="H1988:H1989"/>
    <mergeCell ref="I1988:I1989"/>
    <mergeCell ref="J1988:J1989"/>
    <mergeCell ref="K1988:K1989"/>
    <mergeCell ref="L1988:L1989"/>
    <mergeCell ref="M1988:M1989"/>
    <mergeCell ref="N1988:N1989"/>
    <mergeCell ref="A1990:A1992"/>
    <mergeCell ref="B1990:B1992"/>
    <mergeCell ref="C1990:C1992"/>
    <mergeCell ref="D1990:D1992"/>
    <mergeCell ref="E1990:E1992"/>
    <mergeCell ref="F1990:F1992"/>
    <mergeCell ref="G1990:G1992"/>
    <mergeCell ref="H1990:H1992"/>
    <mergeCell ref="I1990:I1992"/>
    <mergeCell ref="J1990:J1992"/>
    <mergeCell ref="K1990:K1992"/>
    <mergeCell ref="L1990:L1992"/>
    <mergeCell ref="M1990:M1992"/>
    <mergeCell ref="N1990:N1992"/>
    <mergeCell ref="A1993:A1996"/>
    <mergeCell ref="B1993:B1996"/>
    <mergeCell ref="C1993:C1996"/>
    <mergeCell ref="D1993:D1996"/>
    <mergeCell ref="E1993:E1996"/>
    <mergeCell ref="F1993:F1996"/>
    <mergeCell ref="G1993:G1996"/>
    <mergeCell ref="H1993:H1996"/>
    <mergeCell ref="I1993:I1996"/>
    <mergeCell ref="J1993:J1996"/>
    <mergeCell ref="K1993:K1996"/>
    <mergeCell ref="L1993:L1996"/>
    <mergeCell ref="M1993:M1996"/>
    <mergeCell ref="N1993:N1996"/>
    <mergeCell ref="A1997:A1998"/>
    <mergeCell ref="B1997:B1998"/>
    <mergeCell ref="C1997:C1998"/>
    <mergeCell ref="D1997:D1998"/>
    <mergeCell ref="E1997:E1998"/>
    <mergeCell ref="F1997:F1998"/>
    <mergeCell ref="G1997:G1998"/>
    <mergeCell ref="H1997:H1998"/>
    <mergeCell ref="I1997:I1998"/>
    <mergeCell ref="J1997:J1998"/>
    <mergeCell ref="K1997:K1998"/>
    <mergeCell ref="L1997:L1998"/>
    <mergeCell ref="M1997:M1998"/>
    <mergeCell ref="N1997:N1998"/>
    <mergeCell ref="A2000:A2001"/>
    <mergeCell ref="B2000:B2001"/>
    <mergeCell ref="C2000:C2001"/>
    <mergeCell ref="D2000:D2001"/>
    <mergeCell ref="E2000:E2001"/>
    <mergeCell ref="F2000:F2001"/>
    <mergeCell ref="G2000:G2001"/>
    <mergeCell ref="H2000:H2001"/>
    <mergeCell ref="I2000:I2001"/>
    <mergeCell ref="J2000:J2001"/>
    <mergeCell ref="K2000:K2001"/>
    <mergeCell ref="L2000:L2001"/>
    <mergeCell ref="M2000:M2001"/>
    <mergeCell ref="N2000:N2001"/>
    <mergeCell ref="A2003:A2004"/>
    <mergeCell ref="B2003:B2004"/>
    <mergeCell ref="C2003:C2004"/>
    <mergeCell ref="D2003:D2004"/>
    <mergeCell ref="E2003:E2004"/>
    <mergeCell ref="F2003:F2004"/>
    <mergeCell ref="G2003:G2004"/>
    <mergeCell ref="H2003:H2004"/>
    <mergeCell ref="I2003:I2004"/>
    <mergeCell ref="J2003:J2004"/>
    <mergeCell ref="K2003:K2004"/>
    <mergeCell ref="L2003:L2004"/>
    <mergeCell ref="M2003:M2004"/>
    <mergeCell ref="N2003:N2004"/>
    <mergeCell ref="A2006:A2007"/>
    <mergeCell ref="B2006:B2007"/>
    <mergeCell ref="C2006:C2007"/>
    <mergeCell ref="D2006:D2007"/>
    <mergeCell ref="E2006:E2007"/>
    <mergeCell ref="F2006:F2007"/>
    <mergeCell ref="G2006:G2007"/>
    <mergeCell ref="H2006:H2007"/>
    <mergeCell ref="I2006:I2007"/>
    <mergeCell ref="J2006:J2007"/>
    <mergeCell ref="K2006:K2007"/>
    <mergeCell ref="L2006:L2007"/>
    <mergeCell ref="M2006:M2007"/>
    <mergeCell ref="N2006:N2007"/>
    <mergeCell ref="A2008:A2009"/>
    <mergeCell ref="B2008:B2009"/>
    <mergeCell ref="C2008:C2009"/>
    <mergeCell ref="D2008:D2009"/>
    <mergeCell ref="E2008:E2009"/>
    <mergeCell ref="F2008:F2009"/>
    <mergeCell ref="G2008:G2009"/>
    <mergeCell ref="H2008:H2009"/>
    <mergeCell ref="I2008:I2009"/>
    <mergeCell ref="J2008:J2009"/>
    <mergeCell ref="K2008:K2009"/>
    <mergeCell ref="L2008:L2009"/>
    <mergeCell ref="M2008:M2009"/>
    <mergeCell ref="N2008:N2009"/>
    <mergeCell ref="A2011:A2012"/>
    <mergeCell ref="B2011:B2012"/>
    <mergeCell ref="C2011:C2012"/>
    <mergeCell ref="D2011:D2012"/>
    <mergeCell ref="E2011:E2012"/>
    <mergeCell ref="F2011:F2012"/>
    <mergeCell ref="G2011:G2012"/>
    <mergeCell ref="H2011:H2012"/>
    <mergeCell ref="I2011:I2012"/>
    <mergeCell ref="J2011:J2012"/>
    <mergeCell ref="K2011:K2012"/>
    <mergeCell ref="L2011:L2012"/>
    <mergeCell ref="M2011:M2012"/>
    <mergeCell ref="N2011:N2012"/>
    <mergeCell ref="A2015:A2017"/>
    <mergeCell ref="B2015:B2017"/>
    <mergeCell ref="C2015:C2017"/>
    <mergeCell ref="D2015:D2017"/>
    <mergeCell ref="E2015:E2017"/>
    <mergeCell ref="F2015:F2017"/>
    <mergeCell ref="G2015:G2017"/>
    <mergeCell ref="H2015:H2017"/>
    <mergeCell ref="I2015:I2017"/>
    <mergeCell ref="J2015:J2017"/>
    <mergeCell ref="K2015:K2017"/>
    <mergeCell ref="L2015:L2017"/>
    <mergeCell ref="M2015:M2017"/>
    <mergeCell ref="N2015:N2017"/>
    <mergeCell ref="A2018:A2019"/>
    <mergeCell ref="B2018:B2019"/>
    <mergeCell ref="C2018:C2019"/>
    <mergeCell ref="D2018:D2019"/>
    <mergeCell ref="E2018:E2019"/>
    <mergeCell ref="F2018:F2019"/>
    <mergeCell ref="G2018:G2019"/>
    <mergeCell ref="H2018:H2019"/>
    <mergeCell ref="I2018:I2019"/>
    <mergeCell ref="J2018:J2019"/>
    <mergeCell ref="K2018:K2019"/>
    <mergeCell ref="L2018:L2019"/>
    <mergeCell ref="M2018:M2019"/>
    <mergeCell ref="N2018:N2019"/>
    <mergeCell ref="A2020:A2021"/>
    <mergeCell ref="B2020:B2021"/>
    <mergeCell ref="C2020:C2021"/>
    <mergeCell ref="D2020:D2021"/>
    <mergeCell ref="E2020:E2021"/>
    <mergeCell ref="F2020:F2021"/>
    <mergeCell ref="G2020:G2021"/>
    <mergeCell ref="H2020:H2021"/>
    <mergeCell ref="I2020:I2021"/>
    <mergeCell ref="J2020:J2021"/>
    <mergeCell ref="K2020:K2021"/>
    <mergeCell ref="L2020:L2021"/>
    <mergeCell ref="M2020:M2021"/>
    <mergeCell ref="N2020:N2021"/>
    <mergeCell ref="A2023:A2024"/>
    <mergeCell ref="B2023:B2024"/>
    <mergeCell ref="C2023:C2024"/>
    <mergeCell ref="D2023:D2024"/>
    <mergeCell ref="E2023:E2024"/>
    <mergeCell ref="F2023:F2024"/>
    <mergeCell ref="G2023:G2024"/>
    <mergeCell ref="H2023:H2024"/>
    <mergeCell ref="I2023:I2024"/>
    <mergeCell ref="J2023:J2024"/>
    <mergeCell ref="K2023:K2024"/>
    <mergeCell ref="L2023:L2024"/>
    <mergeCell ref="M2023:M2024"/>
    <mergeCell ref="N2023:N2024"/>
    <mergeCell ref="A2026:A2029"/>
    <mergeCell ref="B2026:B2029"/>
    <mergeCell ref="C2026:C2029"/>
    <mergeCell ref="D2026:D2029"/>
    <mergeCell ref="E2026:E2029"/>
    <mergeCell ref="F2026:F2029"/>
    <mergeCell ref="G2026:G2029"/>
    <mergeCell ref="H2026:H2029"/>
    <mergeCell ref="I2026:I2029"/>
    <mergeCell ref="J2026:J2029"/>
    <mergeCell ref="K2026:K2029"/>
    <mergeCell ref="L2026:L2029"/>
    <mergeCell ref="M2026:M2029"/>
    <mergeCell ref="N2026:N2029"/>
    <mergeCell ref="A2030:A2032"/>
    <mergeCell ref="B2030:B2032"/>
    <mergeCell ref="C2030:C2032"/>
    <mergeCell ref="D2030:D2032"/>
    <mergeCell ref="E2030:E2032"/>
    <mergeCell ref="F2030:F2032"/>
    <mergeCell ref="G2030:G2032"/>
    <mergeCell ref="H2030:H2032"/>
    <mergeCell ref="I2030:I2032"/>
    <mergeCell ref="J2030:J2032"/>
    <mergeCell ref="K2030:K2032"/>
    <mergeCell ref="L2030:L2032"/>
    <mergeCell ref="M2030:M2032"/>
    <mergeCell ref="N2030:N2032"/>
    <mergeCell ref="A2033:A2034"/>
    <mergeCell ref="B2033:B2034"/>
    <mergeCell ref="C2033:C2034"/>
    <mergeCell ref="D2033:D2034"/>
    <mergeCell ref="E2033:E2034"/>
    <mergeCell ref="F2033:F2034"/>
    <mergeCell ref="G2033:G2034"/>
    <mergeCell ref="H2033:H2034"/>
    <mergeCell ref="I2033:I2034"/>
    <mergeCell ref="J2033:J2034"/>
    <mergeCell ref="K2033:K2034"/>
    <mergeCell ref="L2033:L2034"/>
    <mergeCell ref="M2033:M2034"/>
    <mergeCell ref="N2033:N2034"/>
    <mergeCell ref="A2035:A2036"/>
    <mergeCell ref="B2035:B2036"/>
    <mergeCell ref="C2035:C2036"/>
    <mergeCell ref="D2035:D2036"/>
    <mergeCell ref="E2035:E2036"/>
    <mergeCell ref="F2035:F2036"/>
    <mergeCell ref="G2035:G2036"/>
    <mergeCell ref="H2035:H2036"/>
    <mergeCell ref="I2035:I2036"/>
    <mergeCell ref="J2035:J2036"/>
    <mergeCell ref="K2035:K2036"/>
    <mergeCell ref="L2035:L2036"/>
    <mergeCell ref="M2035:M2036"/>
    <mergeCell ref="N2035:N2036"/>
    <mergeCell ref="A2040:A2041"/>
    <mergeCell ref="B2040:B2041"/>
    <mergeCell ref="C2040:C2041"/>
    <mergeCell ref="D2040:D2041"/>
    <mergeCell ref="E2040:E2041"/>
    <mergeCell ref="F2040:F2041"/>
    <mergeCell ref="G2040:G2041"/>
    <mergeCell ref="H2040:H2041"/>
    <mergeCell ref="I2040:I2041"/>
    <mergeCell ref="J2040:J2041"/>
    <mergeCell ref="K2040:K2041"/>
    <mergeCell ref="L2040:L2041"/>
    <mergeCell ref="M2040:M2041"/>
    <mergeCell ref="N2040:N2041"/>
    <mergeCell ref="A2042:A2043"/>
    <mergeCell ref="B2042:B2043"/>
    <mergeCell ref="C2042:C2043"/>
    <mergeCell ref="D2042:D2043"/>
    <mergeCell ref="E2042:E2043"/>
    <mergeCell ref="F2042:F2043"/>
    <mergeCell ref="G2042:G2043"/>
    <mergeCell ref="H2042:H2043"/>
    <mergeCell ref="I2042:I2043"/>
    <mergeCell ref="J2042:J2043"/>
    <mergeCell ref="K2042:K2043"/>
    <mergeCell ref="L2042:L2043"/>
    <mergeCell ref="M2042:M2043"/>
    <mergeCell ref="N2042:N2043"/>
    <mergeCell ref="A2045:A2047"/>
    <mergeCell ref="B2045:B2047"/>
    <mergeCell ref="C2045:C2047"/>
    <mergeCell ref="D2045:D2047"/>
    <mergeCell ref="E2045:E2047"/>
    <mergeCell ref="F2045:F2047"/>
    <mergeCell ref="G2045:G2047"/>
    <mergeCell ref="H2045:H2047"/>
    <mergeCell ref="I2045:I2047"/>
    <mergeCell ref="J2045:J2047"/>
    <mergeCell ref="K2045:K2047"/>
    <mergeCell ref="L2045:L2047"/>
    <mergeCell ref="M2045:M2047"/>
    <mergeCell ref="N2045:N2047"/>
    <mergeCell ref="A2048:A2050"/>
    <mergeCell ref="B2048:B2050"/>
    <mergeCell ref="C2048:C2050"/>
    <mergeCell ref="D2048:D2050"/>
    <mergeCell ref="E2048:E2050"/>
    <mergeCell ref="F2048:F2050"/>
    <mergeCell ref="G2048:G2050"/>
    <mergeCell ref="H2048:H2050"/>
    <mergeCell ref="I2048:I2050"/>
    <mergeCell ref="J2048:J2050"/>
    <mergeCell ref="K2048:K2050"/>
    <mergeCell ref="L2048:L2050"/>
    <mergeCell ref="M2048:M2050"/>
    <mergeCell ref="N2048:N2050"/>
    <mergeCell ref="A2051:A2056"/>
    <mergeCell ref="B2051:B2056"/>
    <mergeCell ref="C2051:C2056"/>
    <mergeCell ref="D2051:D2056"/>
    <mergeCell ref="E2051:E2056"/>
    <mergeCell ref="F2051:F2056"/>
    <mergeCell ref="G2051:G2056"/>
    <mergeCell ref="H2051:H2056"/>
    <mergeCell ref="I2051:I2056"/>
    <mergeCell ref="J2051:J2056"/>
    <mergeCell ref="K2051:K2056"/>
    <mergeCell ref="L2051:L2056"/>
    <mergeCell ref="M2051:M2056"/>
    <mergeCell ref="N2051:N2056"/>
    <mergeCell ref="A2057:A2058"/>
    <mergeCell ref="B2057:B2058"/>
    <mergeCell ref="C2057:C2058"/>
    <mergeCell ref="D2057:D2058"/>
    <mergeCell ref="E2057:E2058"/>
    <mergeCell ref="F2057:F2058"/>
    <mergeCell ref="G2057:G2058"/>
    <mergeCell ref="H2057:H2058"/>
    <mergeCell ref="I2057:I2058"/>
    <mergeCell ref="J2057:J2058"/>
    <mergeCell ref="K2057:K2058"/>
    <mergeCell ref="L2057:L2058"/>
    <mergeCell ref="M2057:M2058"/>
    <mergeCell ref="N2057:N2058"/>
    <mergeCell ref="A2059:A2061"/>
    <mergeCell ref="B2059:B2061"/>
    <mergeCell ref="C2059:C2061"/>
    <mergeCell ref="D2059:D2061"/>
    <mergeCell ref="E2059:E2061"/>
    <mergeCell ref="F2059:F2061"/>
    <mergeCell ref="G2059:G2061"/>
    <mergeCell ref="H2059:H2061"/>
    <mergeCell ref="I2059:I2061"/>
    <mergeCell ref="J2059:J2061"/>
    <mergeCell ref="K2059:K2061"/>
    <mergeCell ref="L2059:L2061"/>
    <mergeCell ref="M2059:M2061"/>
    <mergeCell ref="N2059:N2061"/>
    <mergeCell ref="A2063:A2064"/>
    <mergeCell ref="B2063:B2064"/>
    <mergeCell ref="C2063:C2064"/>
    <mergeCell ref="D2063:D2064"/>
    <mergeCell ref="E2063:E2064"/>
    <mergeCell ref="F2063:F2064"/>
    <mergeCell ref="G2063:G2064"/>
    <mergeCell ref="H2063:H2064"/>
    <mergeCell ref="I2063:I2064"/>
    <mergeCell ref="J2063:J2064"/>
    <mergeCell ref="K2063:K2064"/>
    <mergeCell ref="L2063:L2064"/>
    <mergeCell ref="M2063:M2064"/>
    <mergeCell ref="N2063:N2064"/>
    <mergeCell ref="A2065:A2066"/>
    <mergeCell ref="B2065:B2066"/>
    <mergeCell ref="C2065:C2066"/>
    <mergeCell ref="D2065:D2066"/>
    <mergeCell ref="E2065:E2066"/>
    <mergeCell ref="F2065:F2066"/>
    <mergeCell ref="G2065:G2066"/>
    <mergeCell ref="H2065:H2066"/>
    <mergeCell ref="I2065:I2066"/>
    <mergeCell ref="J2065:J2066"/>
    <mergeCell ref="K2065:K2066"/>
    <mergeCell ref="L2065:L2066"/>
    <mergeCell ref="M2065:M2066"/>
    <mergeCell ref="N2065:N2066"/>
    <mergeCell ref="A2070:A2094"/>
    <mergeCell ref="B2070:B2094"/>
    <mergeCell ref="C2070:C2094"/>
    <mergeCell ref="D2070:D2094"/>
    <mergeCell ref="E2070:E2094"/>
    <mergeCell ref="F2070:F2094"/>
    <mergeCell ref="G2070:G2094"/>
    <mergeCell ref="H2070:H2094"/>
    <mergeCell ref="I2070:I2094"/>
    <mergeCell ref="J2070:J2094"/>
    <mergeCell ref="K2070:K2094"/>
    <mergeCell ref="L2070:L2094"/>
    <mergeCell ref="M2070:M2094"/>
    <mergeCell ref="N2070:N2094"/>
    <mergeCell ref="A2095:A2098"/>
    <mergeCell ref="B2095:B2098"/>
    <mergeCell ref="C2095:C2098"/>
    <mergeCell ref="D2095:D2098"/>
    <mergeCell ref="E2095:E2098"/>
    <mergeCell ref="F2095:F2098"/>
    <mergeCell ref="G2095:G2098"/>
    <mergeCell ref="H2095:H2098"/>
    <mergeCell ref="I2095:I2098"/>
    <mergeCell ref="J2095:J2098"/>
    <mergeCell ref="K2095:K2098"/>
    <mergeCell ref="L2095:L2098"/>
    <mergeCell ref="M2095:M2098"/>
    <mergeCell ref="N2095:N2098"/>
    <mergeCell ref="A2100:A2103"/>
    <mergeCell ref="B2100:B2103"/>
    <mergeCell ref="C2100:C2103"/>
    <mergeCell ref="D2100:D2103"/>
    <mergeCell ref="E2100:E2103"/>
    <mergeCell ref="F2100:F2103"/>
    <mergeCell ref="G2100:G2103"/>
    <mergeCell ref="H2100:H2103"/>
    <mergeCell ref="I2100:I2103"/>
    <mergeCell ref="J2100:J2103"/>
    <mergeCell ref="K2100:K2103"/>
    <mergeCell ref="L2100:L2103"/>
    <mergeCell ref="M2100:M2103"/>
    <mergeCell ref="N2100:N2103"/>
    <mergeCell ref="A2104:A2109"/>
    <mergeCell ref="B2104:B2109"/>
    <mergeCell ref="C2104:C2109"/>
    <mergeCell ref="D2104:D2109"/>
    <mergeCell ref="E2104:E2109"/>
    <mergeCell ref="F2104:F2109"/>
    <mergeCell ref="G2104:G2109"/>
    <mergeCell ref="H2104:H2109"/>
    <mergeCell ref="I2104:I2109"/>
    <mergeCell ref="J2104:J2109"/>
    <mergeCell ref="K2104:K2109"/>
    <mergeCell ref="L2104:L2109"/>
    <mergeCell ref="M2104:M2109"/>
    <mergeCell ref="N2104:N2109"/>
    <mergeCell ref="A2110:A2113"/>
    <mergeCell ref="B2110:B2113"/>
    <mergeCell ref="C2110:C2113"/>
    <mergeCell ref="D2110:D2113"/>
    <mergeCell ref="E2110:E2113"/>
    <mergeCell ref="F2110:F2113"/>
    <mergeCell ref="G2110:G2113"/>
    <mergeCell ref="H2110:H2113"/>
    <mergeCell ref="I2110:I2113"/>
    <mergeCell ref="J2110:J2113"/>
    <mergeCell ref="K2110:K2113"/>
    <mergeCell ref="L2110:L2113"/>
    <mergeCell ref="M2110:M2113"/>
    <mergeCell ref="N2110:N2113"/>
    <mergeCell ref="A2114:A2115"/>
    <mergeCell ref="B2114:B2115"/>
    <mergeCell ref="C2114:C2115"/>
    <mergeCell ref="D2114:D2115"/>
    <mergeCell ref="E2114:E2115"/>
    <mergeCell ref="F2114:F2115"/>
    <mergeCell ref="G2114:G2115"/>
    <mergeCell ref="H2114:H2115"/>
    <mergeCell ref="I2114:I2115"/>
    <mergeCell ref="J2114:J2115"/>
    <mergeCell ref="K2114:K2115"/>
    <mergeCell ref="L2114:L2115"/>
    <mergeCell ref="M2114:M2115"/>
    <mergeCell ref="N2114:N2115"/>
    <mergeCell ref="A2121:A2122"/>
    <mergeCell ref="B2121:B2122"/>
    <mergeCell ref="C2121:C2122"/>
    <mergeCell ref="D2121:D2122"/>
    <mergeCell ref="E2121:E2122"/>
    <mergeCell ref="F2121:F2122"/>
    <mergeCell ref="G2121:G2122"/>
    <mergeCell ref="H2121:H2122"/>
    <mergeCell ref="I2121:I2122"/>
    <mergeCell ref="J2121:J2122"/>
    <mergeCell ref="K2121:K2122"/>
    <mergeCell ref="L2121:L2122"/>
    <mergeCell ref="M2121:M2122"/>
    <mergeCell ref="N2121:N2122"/>
    <mergeCell ref="A2123:A2124"/>
    <mergeCell ref="B2123:B2124"/>
    <mergeCell ref="C2123:C2124"/>
    <mergeCell ref="D2123:D2124"/>
    <mergeCell ref="E2123:E2124"/>
    <mergeCell ref="F2123:F2124"/>
    <mergeCell ref="G2123:G2124"/>
    <mergeCell ref="H2123:H2124"/>
    <mergeCell ref="I2123:I2124"/>
    <mergeCell ref="J2123:J2124"/>
    <mergeCell ref="K2123:K2124"/>
    <mergeCell ref="L2123:L2124"/>
    <mergeCell ref="M2123:M2124"/>
    <mergeCell ref="N2123:N2124"/>
    <mergeCell ref="A2126:A2128"/>
    <mergeCell ref="B2126:B2128"/>
    <mergeCell ref="C2126:C2128"/>
    <mergeCell ref="D2126:D2128"/>
    <mergeCell ref="E2126:E2128"/>
    <mergeCell ref="F2126:F2128"/>
    <mergeCell ref="G2126:G2128"/>
    <mergeCell ref="H2126:H2128"/>
    <mergeCell ref="I2126:I2128"/>
    <mergeCell ref="J2126:J2128"/>
    <mergeCell ref="K2126:K2128"/>
    <mergeCell ref="L2126:L2128"/>
    <mergeCell ref="M2126:M2128"/>
    <mergeCell ref="N2126:N2128"/>
    <mergeCell ref="A2131:A2132"/>
    <mergeCell ref="B2131:B2132"/>
    <mergeCell ref="C2131:C2132"/>
    <mergeCell ref="D2131:D2132"/>
    <mergeCell ref="E2131:E2132"/>
    <mergeCell ref="F2131:F2132"/>
    <mergeCell ref="G2131:G2132"/>
    <mergeCell ref="H2131:H2132"/>
    <mergeCell ref="I2131:I2132"/>
    <mergeCell ref="J2131:J2132"/>
    <mergeCell ref="K2131:K2132"/>
    <mergeCell ref="L2131:L2132"/>
    <mergeCell ref="M2131:M2132"/>
    <mergeCell ref="N2131:N2132"/>
    <mergeCell ref="A2133:A2135"/>
    <mergeCell ref="B2133:B2135"/>
    <mergeCell ref="C2133:C2135"/>
    <mergeCell ref="D2133:D2135"/>
    <mergeCell ref="E2133:E2135"/>
    <mergeCell ref="F2133:F2135"/>
    <mergeCell ref="G2133:G2135"/>
    <mergeCell ref="H2133:H2135"/>
    <mergeCell ref="I2133:I2135"/>
    <mergeCell ref="J2133:J2135"/>
    <mergeCell ref="K2133:K2135"/>
    <mergeCell ref="L2133:L2135"/>
    <mergeCell ref="M2133:M2135"/>
    <mergeCell ref="N2133:N2135"/>
    <mergeCell ref="A2136:A2139"/>
    <mergeCell ref="B2136:B2139"/>
    <mergeCell ref="C2136:C2139"/>
    <mergeCell ref="D2136:D2139"/>
    <mergeCell ref="E2136:E2139"/>
    <mergeCell ref="F2136:F2139"/>
    <mergeCell ref="G2136:G2139"/>
    <mergeCell ref="H2136:H2139"/>
    <mergeCell ref="I2136:I2139"/>
    <mergeCell ref="J2136:J2139"/>
    <mergeCell ref="K2136:K2139"/>
    <mergeCell ref="L2136:L2139"/>
    <mergeCell ref="M2136:M2139"/>
    <mergeCell ref="N2136:N2139"/>
    <mergeCell ref="A2142:A2143"/>
    <mergeCell ref="B2142:B2143"/>
    <mergeCell ref="C2142:C2143"/>
    <mergeCell ref="D2142:D2143"/>
    <mergeCell ref="E2142:E2143"/>
    <mergeCell ref="F2142:F2143"/>
    <mergeCell ref="G2142:G2143"/>
    <mergeCell ref="H2142:H2143"/>
    <mergeCell ref="I2142:I2143"/>
    <mergeCell ref="J2142:J2143"/>
    <mergeCell ref="K2142:K2143"/>
    <mergeCell ref="L2142:L2143"/>
    <mergeCell ref="M2142:M2143"/>
    <mergeCell ref="N2142:N2143"/>
    <mergeCell ref="A2146:A2150"/>
    <mergeCell ref="B2146:B2150"/>
    <mergeCell ref="C2146:C2150"/>
    <mergeCell ref="D2146:D2150"/>
    <mergeCell ref="E2146:E2150"/>
    <mergeCell ref="F2146:F2150"/>
    <mergeCell ref="G2146:G2150"/>
    <mergeCell ref="H2146:H2150"/>
    <mergeCell ref="I2146:I2150"/>
    <mergeCell ref="J2146:J2150"/>
    <mergeCell ref="K2146:K2150"/>
    <mergeCell ref="L2146:L2150"/>
    <mergeCell ref="M2146:M2150"/>
    <mergeCell ref="N2146:N2150"/>
    <mergeCell ref="A2152:A2153"/>
    <mergeCell ref="B2152:B2153"/>
    <mergeCell ref="C2152:C2153"/>
    <mergeCell ref="D2152:D2153"/>
    <mergeCell ref="E2152:E2153"/>
    <mergeCell ref="F2152:F2153"/>
    <mergeCell ref="G2152:G2153"/>
    <mergeCell ref="H2152:H2153"/>
    <mergeCell ref="I2152:I2153"/>
    <mergeCell ref="J2152:J2153"/>
    <mergeCell ref="K2152:K2153"/>
    <mergeCell ref="L2152:L2153"/>
    <mergeCell ref="M2152:M2153"/>
    <mergeCell ref="N2152:N2153"/>
    <mergeCell ref="A2154:A2158"/>
    <mergeCell ref="B2154:B2158"/>
    <mergeCell ref="C2154:C2158"/>
    <mergeCell ref="D2154:D2158"/>
    <mergeCell ref="E2154:E2158"/>
    <mergeCell ref="F2154:F2158"/>
    <mergeCell ref="G2154:G2158"/>
    <mergeCell ref="H2154:H2158"/>
    <mergeCell ref="I2154:I2158"/>
    <mergeCell ref="J2154:J2158"/>
    <mergeCell ref="K2154:K2158"/>
    <mergeCell ref="L2154:L2158"/>
    <mergeCell ref="M2154:M2158"/>
    <mergeCell ref="N2154:N2158"/>
    <mergeCell ref="A2159:A2160"/>
    <mergeCell ref="B2159:B2160"/>
    <mergeCell ref="C2159:C2160"/>
    <mergeCell ref="D2159:D2160"/>
    <mergeCell ref="E2159:E2160"/>
    <mergeCell ref="F2159:F2160"/>
    <mergeCell ref="G2159:G2160"/>
    <mergeCell ref="H2159:H2160"/>
    <mergeCell ref="I2159:I2160"/>
    <mergeCell ref="J2159:J2160"/>
    <mergeCell ref="K2159:K2160"/>
    <mergeCell ref="L2159:L2160"/>
    <mergeCell ref="M2159:M2160"/>
    <mergeCell ref="N2159:N2160"/>
    <mergeCell ref="A2162:A2166"/>
    <mergeCell ref="B2162:B2166"/>
    <mergeCell ref="C2162:C2166"/>
    <mergeCell ref="D2162:D2166"/>
    <mergeCell ref="E2162:E2166"/>
    <mergeCell ref="F2162:F2166"/>
    <mergeCell ref="G2162:G2166"/>
    <mergeCell ref="H2162:H2166"/>
    <mergeCell ref="I2162:I2166"/>
    <mergeCell ref="J2162:J2166"/>
    <mergeCell ref="K2162:K2166"/>
    <mergeCell ref="L2162:L2166"/>
    <mergeCell ref="M2162:M2166"/>
    <mergeCell ref="N2162:N2166"/>
    <mergeCell ref="A2167:A2170"/>
    <mergeCell ref="B2167:B2170"/>
    <mergeCell ref="C2167:C2170"/>
    <mergeCell ref="D2167:D2170"/>
    <mergeCell ref="E2167:E2170"/>
    <mergeCell ref="F2167:F2170"/>
    <mergeCell ref="G2167:G2170"/>
    <mergeCell ref="H2167:H2170"/>
    <mergeCell ref="I2167:I2170"/>
    <mergeCell ref="J2167:J2170"/>
    <mergeCell ref="K2167:K2170"/>
    <mergeCell ref="L2167:L2170"/>
    <mergeCell ref="M2167:M2170"/>
    <mergeCell ref="N2167:N2170"/>
    <mergeCell ref="A2171:A2177"/>
    <mergeCell ref="B2171:B2177"/>
    <mergeCell ref="C2171:C2177"/>
    <mergeCell ref="D2171:D2177"/>
    <mergeCell ref="E2171:E2177"/>
    <mergeCell ref="F2171:F2177"/>
    <mergeCell ref="G2171:G2177"/>
    <mergeCell ref="H2171:H2177"/>
    <mergeCell ref="I2171:I2177"/>
    <mergeCell ref="J2171:J2177"/>
    <mergeCell ref="K2171:K2177"/>
    <mergeCell ref="L2171:L2177"/>
    <mergeCell ref="M2171:M2177"/>
    <mergeCell ref="N2171:N2177"/>
    <mergeCell ref="A2178:A2179"/>
    <mergeCell ref="B2178:B2179"/>
    <mergeCell ref="C2178:C2179"/>
    <mergeCell ref="D2178:D2179"/>
    <mergeCell ref="E2178:E2179"/>
    <mergeCell ref="F2178:F2179"/>
    <mergeCell ref="G2178:G2179"/>
    <mergeCell ref="H2178:H2179"/>
    <mergeCell ref="I2178:I2179"/>
    <mergeCell ref="J2178:J2179"/>
    <mergeCell ref="K2178:K2179"/>
    <mergeCell ref="L2178:L2179"/>
    <mergeCell ref="M2178:M2179"/>
    <mergeCell ref="N2178:N2179"/>
    <mergeCell ref="A2180:A2181"/>
    <mergeCell ref="B2180:B2181"/>
    <mergeCell ref="C2180:C2181"/>
    <mergeCell ref="D2180:D2181"/>
    <mergeCell ref="E2180:E2181"/>
    <mergeCell ref="F2180:F2181"/>
    <mergeCell ref="G2180:G2181"/>
    <mergeCell ref="H2180:H2181"/>
    <mergeCell ref="I2180:I2181"/>
    <mergeCell ref="J2180:J2181"/>
    <mergeCell ref="K2180:K2181"/>
    <mergeCell ref="L2180:L2181"/>
    <mergeCell ref="M2180:M2181"/>
    <mergeCell ref="N2180:N2181"/>
    <mergeCell ref="A2184:A2185"/>
    <mergeCell ref="B2184:B2185"/>
    <mergeCell ref="C2184:C2185"/>
    <mergeCell ref="D2184:D2185"/>
    <mergeCell ref="E2184:E2185"/>
    <mergeCell ref="F2184:F2185"/>
    <mergeCell ref="G2184:G2185"/>
    <mergeCell ref="H2184:H2185"/>
    <mergeCell ref="I2184:I2185"/>
    <mergeCell ref="J2184:J2185"/>
    <mergeCell ref="K2184:K2185"/>
    <mergeCell ref="L2184:L2185"/>
    <mergeCell ref="M2184:M2185"/>
    <mergeCell ref="N2184:N2185"/>
    <mergeCell ref="A2188:A2191"/>
    <mergeCell ref="B2188:B2191"/>
    <mergeCell ref="C2188:C2191"/>
    <mergeCell ref="D2188:D2191"/>
    <mergeCell ref="E2188:E2191"/>
    <mergeCell ref="F2188:F2191"/>
    <mergeCell ref="G2188:G2191"/>
    <mergeCell ref="H2188:H2191"/>
    <mergeCell ref="I2188:I2191"/>
    <mergeCell ref="J2188:J2191"/>
    <mergeCell ref="K2188:K2191"/>
    <mergeCell ref="L2188:L2191"/>
    <mergeCell ref="M2188:M2191"/>
    <mergeCell ref="N2188:N2191"/>
    <mergeCell ref="A2193:A2194"/>
    <mergeCell ref="B2193:B2194"/>
    <mergeCell ref="C2193:C2194"/>
    <mergeCell ref="D2193:D2194"/>
    <mergeCell ref="E2193:E2194"/>
    <mergeCell ref="F2193:F2194"/>
    <mergeCell ref="G2193:G2194"/>
    <mergeCell ref="H2193:H2194"/>
    <mergeCell ref="I2193:I2194"/>
    <mergeCell ref="J2193:J2194"/>
    <mergeCell ref="K2193:K2194"/>
    <mergeCell ref="L2193:L2194"/>
    <mergeCell ref="M2193:M2194"/>
    <mergeCell ref="N2193:N2194"/>
    <mergeCell ref="A2195:A2198"/>
    <mergeCell ref="B2195:B2198"/>
    <mergeCell ref="C2195:C2198"/>
    <mergeCell ref="D2195:D2198"/>
    <mergeCell ref="E2195:E2198"/>
    <mergeCell ref="F2195:F2198"/>
    <mergeCell ref="G2195:G2198"/>
    <mergeCell ref="H2195:H2198"/>
    <mergeCell ref="I2195:I2198"/>
    <mergeCell ref="J2195:J2198"/>
    <mergeCell ref="K2195:K2198"/>
    <mergeCell ref="L2195:L2198"/>
    <mergeCell ref="M2195:M2198"/>
    <mergeCell ref="N2195:N2198"/>
    <mergeCell ref="A2201:A2202"/>
    <mergeCell ref="B2201:B2202"/>
    <mergeCell ref="C2201:C2202"/>
    <mergeCell ref="D2201:D2202"/>
    <mergeCell ref="E2201:E2202"/>
    <mergeCell ref="F2201:F2202"/>
    <mergeCell ref="G2201:G2202"/>
    <mergeCell ref="H2201:H2202"/>
    <mergeCell ref="I2201:I2202"/>
    <mergeCell ref="J2201:J2202"/>
    <mergeCell ref="K2201:K2202"/>
    <mergeCell ref="L2201:L2202"/>
    <mergeCell ref="M2201:M2202"/>
    <mergeCell ref="N2201:N2202"/>
    <mergeCell ref="A2203:A2205"/>
    <mergeCell ref="B2203:B2205"/>
    <mergeCell ref="C2203:C2205"/>
    <mergeCell ref="D2203:D2205"/>
    <mergeCell ref="E2203:E2205"/>
    <mergeCell ref="F2203:F2205"/>
    <mergeCell ref="G2203:G2205"/>
    <mergeCell ref="H2203:H2205"/>
    <mergeCell ref="I2203:I2205"/>
    <mergeCell ref="J2203:J2205"/>
    <mergeCell ref="K2203:K2205"/>
    <mergeCell ref="L2203:L2205"/>
    <mergeCell ref="M2203:M2205"/>
    <mergeCell ref="N2203:N2205"/>
    <mergeCell ref="A2206:A2212"/>
    <mergeCell ref="B2206:B2212"/>
    <mergeCell ref="C2206:C2212"/>
    <mergeCell ref="D2206:D2212"/>
    <mergeCell ref="E2206:E2212"/>
    <mergeCell ref="F2206:F2212"/>
    <mergeCell ref="G2206:G2212"/>
    <mergeCell ref="H2206:H2212"/>
    <mergeCell ref="I2206:I2212"/>
    <mergeCell ref="J2206:J2212"/>
    <mergeCell ref="K2206:K2212"/>
    <mergeCell ref="L2206:L2212"/>
    <mergeCell ref="M2206:M2212"/>
    <mergeCell ref="N2206:N2212"/>
    <mergeCell ref="A2213:A2216"/>
    <mergeCell ref="B2213:B2216"/>
    <mergeCell ref="C2213:C2216"/>
    <mergeCell ref="D2213:D2216"/>
    <mergeCell ref="E2213:E2216"/>
    <mergeCell ref="F2213:F2216"/>
    <mergeCell ref="G2213:G2216"/>
    <mergeCell ref="H2213:H2216"/>
    <mergeCell ref="I2213:I2216"/>
    <mergeCell ref="J2213:J2216"/>
    <mergeCell ref="K2213:K2216"/>
    <mergeCell ref="L2213:L2216"/>
    <mergeCell ref="M2213:M2216"/>
    <mergeCell ref="N2213:N2216"/>
    <mergeCell ref="A2217:A2218"/>
    <mergeCell ref="B2217:B2218"/>
    <mergeCell ref="C2217:C2218"/>
    <mergeCell ref="D2217:D2218"/>
    <mergeCell ref="E2217:E2218"/>
    <mergeCell ref="F2217:F2218"/>
    <mergeCell ref="G2217:G2218"/>
    <mergeCell ref="H2217:H2218"/>
    <mergeCell ref="I2217:I2218"/>
    <mergeCell ref="J2217:J2218"/>
    <mergeCell ref="K2217:K2218"/>
    <mergeCell ref="L2217:L2218"/>
    <mergeCell ref="M2217:M2218"/>
    <mergeCell ref="N2217:N2218"/>
    <mergeCell ref="A2220:A2226"/>
    <mergeCell ref="B2220:B2226"/>
    <mergeCell ref="C2220:C2226"/>
    <mergeCell ref="D2220:D2226"/>
    <mergeCell ref="E2220:E2226"/>
    <mergeCell ref="F2220:F2226"/>
    <mergeCell ref="G2220:G2226"/>
    <mergeCell ref="H2220:H2226"/>
    <mergeCell ref="I2220:I2226"/>
    <mergeCell ref="J2220:J2226"/>
    <mergeCell ref="K2220:K2226"/>
    <mergeCell ref="L2220:L2226"/>
    <mergeCell ref="M2220:M2226"/>
    <mergeCell ref="N2220:N2226"/>
    <mergeCell ref="A2227:A2228"/>
    <mergeCell ref="B2227:B2228"/>
    <mergeCell ref="C2227:C2228"/>
    <mergeCell ref="D2227:D2228"/>
    <mergeCell ref="E2227:E2228"/>
    <mergeCell ref="F2227:F2228"/>
    <mergeCell ref="G2227:G2228"/>
    <mergeCell ref="H2227:H2228"/>
    <mergeCell ref="I2227:I2228"/>
    <mergeCell ref="J2227:J2228"/>
    <mergeCell ref="K2227:K2228"/>
    <mergeCell ref="L2227:L2228"/>
    <mergeCell ref="M2227:M2228"/>
    <mergeCell ref="N2227:N2228"/>
    <mergeCell ref="A2229:A2231"/>
    <mergeCell ref="B2229:B2231"/>
    <mergeCell ref="C2229:C2231"/>
    <mergeCell ref="D2229:D2231"/>
    <mergeCell ref="E2229:E2231"/>
    <mergeCell ref="F2229:F2231"/>
    <mergeCell ref="G2229:G2231"/>
    <mergeCell ref="H2229:H2231"/>
    <mergeCell ref="I2229:I2231"/>
    <mergeCell ref="J2229:J2231"/>
    <mergeCell ref="K2229:K2231"/>
    <mergeCell ref="L2229:L2231"/>
    <mergeCell ref="M2229:M2231"/>
    <mergeCell ref="N2229:N2231"/>
    <mergeCell ref="A2232:A2235"/>
    <mergeCell ref="B2232:B2235"/>
    <mergeCell ref="C2232:C2235"/>
    <mergeCell ref="D2232:D2235"/>
    <mergeCell ref="E2232:E2235"/>
    <mergeCell ref="F2232:F2235"/>
    <mergeCell ref="G2232:G2235"/>
    <mergeCell ref="H2232:H2235"/>
    <mergeCell ref="I2232:I2235"/>
    <mergeCell ref="J2232:J2235"/>
    <mergeCell ref="K2232:K2235"/>
    <mergeCell ref="L2232:L2235"/>
    <mergeCell ref="M2232:M2235"/>
    <mergeCell ref="N2232:N2235"/>
    <mergeCell ref="A2236:A2238"/>
    <mergeCell ref="B2236:B2238"/>
    <mergeCell ref="C2236:C2238"/>
    <mergeCell ref="D2236:D2238"/>
    <mergeCell ref="E2236:E2238"/>
    <mergeCell ref="F2236:F2238"/>
    <mergeCell ref="G2236:G2238"/>
    <mergeCell ref="H2236:H2238"/>
    <mergeCell ref="I2236:I2238"/>
    <mergeCell ref="J2236:J2238"/>
    <mergeCell ref="K2236:K2238"/>
    <mergeCell ref="L2236:L2238"/>
    <mergeCell ref="M2236:M2238"/>
    <mergeCell ref="N2236:N2238"/>
    <mergeCell ref="A2242:A2243"/>
    <mergeCell ref="B2242:B2243"/>
    <mergeCell ref="C2242:C2243"/>
    <mergeCell ref="D2242:D2243"/>
    <mergeCell ref="E2242:E2243"/>
    <mergeCell ref="F2242:F2243"/>
    <mergeCell ref="G2242:G2243"/>
    <mergeCell ref="H2242:H2243"/>
    <mergeCell ref="I2242:I2243"/>
    <mergeCell ref="J2242:J2243"/>
    <mergeCell ref="K2242:K2243"/>
    <mergeCell ref="L2242:L2243"/>
    <mergeCell ref="M2242:M2243"/>
    <mergeCell ref="N2242:N2243"/>
    <mergeCell ref="A2245:A2249"/>
    <mergeCell ref="B2245:B2249"/>
    <mergeCell ref="C2245:C2249"/>
    <mergeCell ref="D2245:D2249"/>
    <mergeCell ref="E2245:E2249"/>
    <mergeCell ref="F2245:F2249"/>
    <mergeCell ref="G2245:G2249"/>
    <mergeCell ref="H2245:H2249"/>
    <mergeCell ref="I2245:I2249"/>
    <mergeCell ref="J2245:J2249"/>
    <mergeCell ref="K2245:K2249"/>
    <mergeCell ref="L2245:L2249"/>
    <mergeCell ref="M2245:M2249"/>
    <mergeCell ref="N2245:N2249"/>
    <mergeCell ref="A2250:A2251"/>
    <mergeCell ref="B2250:B2251"/>
    <mergeCell ref="C2250:C2251"/>
    <mergeCell ref="D2250:D2251"/>
    <mergeCell ref="E2250:E2251"/>
    <mergeCell ref="F2250:F2251"/>
    <mergeCell ref="G2250:G2251"/>
    <mergeCell ref="H2250:H2251"/>
    <mergeCell ref="I2250:I2251"/>
    <mergeCell ref="J2250:J2251"/>
    <mergeCell ref="K2250:K2251"/>
    <mergeCell ref="L2250:L2251"/>
    <mergeCell ref="M2250:M2251"/>
    <mergeCell ref="N2250:N2251"/>
    <mergeCell ref="A2252:A2254"/>
    <mergeCell ref="B2252:B2254"/>
    <mergeCell ref="C2252:C2254"/>
    <mergeCell ref="D2252:D2254"/>
    <mergeCell ref="E2252:E2254"/>
    <mergeCell ref="F2252:F2254"/>
    <mergeCell ref="G2252:G2254"/>
    <mergeCell ref="H2252:H2254"/>
    <mergeCell ref="I2252:I2254"/>
    <mergeCell ref="J2252:J2254"/>
    <mergeCell ref="K2252:K2254"/>
    <mergeCell ref="L2252:L2254"/>
    <mergeCell ref="M2252:M2254"/>
    <mergeCell ref="N2252:N2254"/>
    <mergeCell ref="A2255:A2256"/>
    <mergeCell ref="B2255:B2256"/>
    <mergeCell ref="C2255:C2256"/>
    <mergeCell ref="D2255:D2256"/>
    <mergeCell ref="E2255:E2256"/>
    <mergeCell ref="F2255:F2256"/>
    <mergeCell ref="G2255:G2256"/>
    <mergeCell ref="H2255:H2256"/>
    <mergeCell ref="I2255:I2256"/>
    <mergeCell ref="J2255:J2256"/>
    <mergeCell ref="K2255:K2256"/>
    <mergeCell ref="L2255:L2256"/>
    <mergeCell ref="M2255:M2256"/>
    <mergeCell ref="N2255:N2256"/>
    <mergeCell ref="A2257:A2261"/>
    <mergeCell ref="B2257:B2261"/>
    <mergeCell ref="C2257:C2261"/>
    <mergeCell ref="D2257:D2261"/>
    <mergeCell ref="E2257:E2261"/>
    <mergeCell ref="F2257:F2261"/>
    <mergeCell ref="G2257:G2261"/>
    <mergeCell ref="H2257:H2261"/>
    <mergeCell ref="I2257:I2261"/>
    <mergeCell ref="J2257:J2261"/>
    <mergeCell ref="K2257:K2261"/>
    <mergeCell ref="L2257:L2261"/>
    <mergeCell ref="M2257:M2261"/>
    <mergeCell ref="N2257:N2261"/>
    <mergeCell ref="A2262:A2265"/>
    <mergeCell ref="B2262:B2265"/>
    <mergeCell ref="C2262:C2265"/>
    <mergeCell ref="D2262:D2265"/>
    <mergeCell ref="E2262:E2265"/>
    <mergeCell ref="F2262:F2265"/>
    <mergeCell ref="G2262:G2265"/>
    <mergeCell ref="H2262:H2265"/>
    <mergeCell ref="I2262:I2265"/>
    <mergeCell ref="J2262:J2265"/>
    <mergeCell ref="K2262:K2265"/>
    <mergeCell ref="L2262:L2265"/>
    <mergeCell ref="M2262:M2265"/>
    <mergeCell ref="N2262:N2265"/>
    <mergeCell ref="A2266:A2267"/>
    <mergeCell ref="B2266:B2267"/>
    <mergeCell ref="C2266:C2267"/>
    <mergeCell ref="D2266:D2267"/>
    <mergeCell ref="E2266:E2267"/>
    <mergeCell ref="F2266:F2267"/>
    <mergeCell ref="G2266:G2267"/>
    <mergeCell ref="H2266:H2267"/>
    <mergeCell ref="I2266:I2267"/>
    <mergeCell ref="J2266:J2267"/>
    <mergeCell ref="K2266:K2267"/>
    <mergeCell ref="L2266:L2267"/>
    <mergeCell ref="M2266:M2267"/>
    <mergeCell ref="N2266:N2267"/>
    <mergeCell ref="A2271:A2273"/>
    <mergeCell ref="B2271:B2273"/>
    <mergeCell ref="C2271:C2273"/>
    <mergeCell ref="D2271:D2273"/>
    <mergeCell ref="E2271:E2273"/>
    <mergeCell ref="F2271:F2273"/>
    <mergeCell ref="G2271:G2273"/>
    <mergeCell ref="H2271:H2273"/>
    <mergeCell ref="I2271:I2273"/>
    <mergeCell ref="J2271:J2273"/>
    <mergeCell ref="K2271:K2273"/>
    <mergeCell ref="L2271:L2273"/>
    <mergeCell ref="M2271:M2273"/>
    <mergeCell ref="N2271:N2273"/>
    <mergeCell ref="A2274:A2275"/>
    <mergeCell ref="B2274:B2275"/>
    <mergeCell ref="C2274:C2275"/>
    <mergeCell ref="D2274:D2275"/>
    <mergeCell ref="E2274:E2275"/>
    <mergeCell ref="F2274:F2275"/>
    <mergeCell ref="G2274:G2275"/>
    <mergeCell ref="H2274:H2275"/>
    <mergeCell ref="I2274:I2275"/>
    <mergeCell ref="J2274:J2275"/>
    <mergeCell ref="K2274:K2275"/>
    <mergeCell ref="L2274:L2275"/>
    <mergeCell ref="M2274:M2275"/>
    <mergeCell ref="N2274:N2275"/>
    <mergeCell ref="A2276:A2278"/>
    <mergeCell ref="B2276:B2278"/>
    <mergeCell ref="C2276:C2278"/>
    <mergeCell ref="D2276:D2278"/>
    <mergeCell ref="E2276:E2278"/>
    <mergeCell ref="F2276:F2278"/>
    <mergeCell ref="G2276:G2278"/>
    <mergeCell ref="H2276:H2278"/>
    <mergeCell ref="I2276:I2278"/>
    <mergeCell ref="J2276:J2278"/>
    <mergeCell ref="K2276:K2278"/>
    <mergeCell ref="L2276:L2278"/>
    <mergeCell ref="M2276:M2278"/>
    <mergeCell ref="N2276:N2278"/>
    <mergeCell ref="A2280:A2281"/>
    <mergeCell ref="B2280:B2281"/>
    <mergeCell ref="C2280:C2281"/>
    <mergeCell ref="D2280:D2281"/>
    <mergeCell ref="E2280:E2281"/>
    <mergeCell ref="F2280:F2281"/>
    <mergeCell ref="G2280:G2281"/>
    <mergeCell ref="H2280:H2281"/>
    <mergeCell ref="I2280:I2281"/>
    <mergeCell ref="J2280:J2281"/>
    <mergeCell ref="K2280:K2281"/>
    <mergeCell ref="L2280:L2281"/>
    <mergeCell ref="M2280:M2281"/>
    <mergeCell ref="N2280:N2281"/>
    <mergeCell ref="A2283:A2286"/>
    <mergeCell ref="B2283:B2286"/>
    <mergeCell ref="C2283:C2286"/>
    <mergeCell ref="D2283:D2286"/>
    <mergeCell ref="E2283:E2286"/>
    <mergeCell ref="F2283:F2286"/>
    <mergeCell ref="G2283:G2286"/>
    <mergeCell ref="H2283:H2286"/>
    <mergeCell ref="I2283:I2286"/>
    <mergeCell ref="J2283:J2286"/>
    <mergeCell ref="K2283:K2286"/>
    <mergeCell ref="L2283:L2286"/>
    <mergeCell ref="M2283:M2286"/>
    <mergeCell ref="N2283:N2286"/>
    <mergeCell ref="A2288:A2289"/>
    <mergeCell ref="B2288:B2289"/>
    <mergeCell ref="C2288:C2289"/>
    <mergeCell ref="D2288:D2289"/>
    <mergeCell ref="E2288:E2289"/>
    <mergeCell ref="F2288:F2289"/>
    <mergeCell ref="G2288:G2289"/>
    <mergeCell ref="H2288:H2289"/>
    <mergeCell ref="I2288:I2289"/>
    <mergeCell ref="J2288:J2289"/>
    <mergeCell ref="K2288:K2289"/>
    <mergeCell ref="L2288:L2289"/>
    <mergeCell ref="M2288:M2289"/>
    <mergeCell ref="N2288:N2289"/>
    <mergeCell ref="A2290:A2296"/>
    <mergeCell ref="B2290:B2296"/>
    <mergeCell ref="C2290:C2296"/>
    <mergeCell ref="D2290:D2296"/>
    <mergeCell ref="E2290:E2296"/>
    <mergeCell ref="F2290:F2296"/>
    <mergeCell ref="G2290:G2296"/>
    <mergeCell ref="H2290:H2296"/>
    <mergeCell ref="I2290:I2296"/>
    <mergeCell ref="J2290:J2296"/>
    <mergeCell ref="K2290:K2296"/>
    <mergeCell ref="L2290:L2296"/>
    <mergeCell ref="M2290:M2296"/>
    <mergeCell ref="N2290:N2296"/>
    <mergeCell ref="A2300:A2302"/>
    <mergeCell ref="B2300:B2302"/>
    <mergeCell ref="C2300:C2302"/>
    <mergeCell ref="D2300:D2302"/>
    <mergeCell ref="E2300:E2302"/>
    <mergeCell ref="F2300:F2302"/>
    <mergeCell ref="G2300:G2302"/>
    <mergeCell ref="H2300:H2302"/>
    <mergeCell ref="I2300:I2302"/>
    <mergeCell ref="J2300:J2302"/>
    <mergeCell ref="K2300:K2302"/>
    <mergeCell ref="L2300:L2302"/>
    <mergeCell ref="M2300:M2302"/>
    <mergeCell ref="N2300:N2302"/>
    <mergeCell ref="A2303:A2304"/>
    <mergeCell ref="B2303:B2304"/>
    <mergeCell ref="C2303:C2304"/>
    <mergeCell ref="D2303:D2304"/>
    <mergeCell ref="E2303:E2304"/>
    <mergeCell ref="F2303:F2304"/>
    <mergeCell ref="G2303:G2304"/>
    <mergeCell ref="H2303:H2304"/>
    <mergeCell ref="I2303:I2304"/>
    <mergeCell ref="J2303:J2304"/>
    <mergeCell ref="K2303:K2304"/>
    <mergeCell ref="L2303:L2304"/>
    <mergeCell ref="M2303:M2304"/>
    <mergeCell ref="N2303:N2304"/>
    <mergeCell ref="A2307:A2308"/>
    <mergeCell ref="B2307:B2308"/>
    <mergeCell ref="C2307:C2308"/>
    <mergeCell ref="D2307:D2308"/>
    <mergeCell ref="E2307:E2308"/>
    <mergeCell ref="F2307:F2308"/>
    <mergeCell ref="G2307:G2308"/>
    <mergeCell ref="H2307:H2308"/>
    <mergeCell ref="I2307:I2308"/>
    <mergeCell ref="J2307:J2308"/>
    <mergeCell ref="K2307:K2308"/>
    <mergeCell ref="L2307:L2308"/>
    <mergeCell ref="M2307:M2308"/>
    <mergeCell ref="N2307:N2308"/>
    <mergeCell ref="A2311:A2313"/>
    <mergeCell ref="B2311:B2313"/>
    <mergeCell ref="C2311:C2313"/>
    <mergeCell ref="D2311:D2313"/>
    <mergeCell ref="E2311:E2313"/>
    <mergeCell ref="F2311:F2313"/>
    <mergeCell ref="G2311:G2313"/>
    <mergeCell ref="H2311:H2313"/>
    <mergeCell ref="I2311:I2313"/>
    <mergeCell ref="J2311:J2313"/>
    <mergeCell ref="K2311:K2313"/>
    <mergeCell ref="L2311:L2313"/>
    <mergeCell ref="M2311:M2313"/>
    <mergeCell ref="N2311:N2313"/>
    <mergeCell ref="A2315:A2329"/>
    <mergeCell ref="B2315:B2329"/>
    <mergeCell ref="C2315:C2329"/>
    <mergeCell ref="D2315:D2329"/>
    <mergeCell ref="E2315:E2329"/>
    <mergeCell ref="F2315:F2329"/>
    <mergeCell ref="G2315:G2329"/>
    <mergeCell ref="H2315:H2329"/>
    <mergeCell ref="I2315:I2329"/>
    <mergeCell ref="J2315:J2329"/>
    <mergeCell ref="K2315:K2329"/>
    <mergeCell ref="L2315:L2329"/>
    <mergeCell ref="M2315:M2329"/>
    <mergeCell ref="N2315:N2329"/>
    <mergeCell ref="A2331:A2332"/>
    <mergeCell ref="B2331:B2332"/>
    <mergeCell ref="C2331:C2332"/>
    <mergeCell ref="D2331:D2332"/>
    <mergeCell ref="E2331:E2332"/>
    <mergeCell ref="F2331:F2332"/>
    <mergeCell ref="G2331:G2332"/>
    <mergeCell ref="H2331:H2332"/>
    <mergeCell ref="I2331:I2332"/>
    <mergeCell ref="J2331:J2332"/>
    <mergeCell ref="K2331:K2332"/>
    <mergeCell ref="L2331:L2332"/>
    <mergeCell ref="M2331:M2332"/>
    <mergeCell ref="N2331:N2332"/>
    <mergeCell ref="A2334:A2340"/>
    <mergeCell ref="B2334:B2340"/>
    <mergeCell ref="C2334:C2340"/>
    <mergeCell ref="D2334:D2340"/>
    <mergeCell ref="E2334:E2340"/>
    <mergeCell ref="F2334:F2340"/>
    <mergeCell ref="G2334:G2340"/>
    <mergeCell ref="H2334:H2340"/>
    <mergeCell ref="I2334:I2340"/>
    <mergeCell ref="J2334:J2340"/>
    <mergeCell ref="K2334:K2340"/>
    <mergeCell ref="L2334:L2340"/>
    <mergeCell ref="M2334:M2340"/>
    <mergeCell ref="N2334:N2340"/>
    <mergeCell ref="A2342:A2343"/>
    <mergeCell ref="B2342:B2343"/>
    <mergeCell ref="C2342:C2343"/>
    <mergeCell ref="D2342:D2343"/>
    <mergeCell ref="E2342:E2343"/>
    <mergeCell ref="F2342:F2343"/>
    <mergeCell ref="G2342:G2343"/>
    <mergeCell ref="H2342:H2343"/>
    <mergeCell ref="I2342:I2343"/>
    <mergeCell ref="J2342:J2343"/>
    <mergeCell ref="K2342:K2343"/>
    <mergeCell ref="L2342:L2343"/>
    <mergeCell ref="M2342:M2343"/>
    <mergeCell ref="N2342:N2343"/>
    <mergeCell ref="A2345:A2348"/>
    <mergeCell ref="B2345:B2348"/>
    <mergeCell ref="C2345:C2348"/>
    <mergeCell ref="D2345:D2348"/>
    <mergeCell ref="E2345:E2348"/>
    <mergeCell ref="F2345:F2348"/>
    <mergeCell ref="G2345:G2348"/>
    <mergeCell ref="H2345:H2348"/>
    <mergeCell ref="I2345:I2348"/>
    <mergeCell ref="J2345:J2348"/>
    <mergeCell ref="K2345:K2348"/>
    <mergeCell ref="L2345:L2348"/>
    <mergeCell ref="M2345:M2348"/>
    <mergeCell ref="N2345:N2348"/>
    <mergeCell ref="A2349:A2351"/>
    <mergeCell ref="B2349:B2351"/>
    <mergeCell ref="C2349:C2351"/>
    <mergeCell ref="D2349:D2351"/>
    <mergeCell ref="E2349:E2351"/>
    <mergeCell ref="F2349:F2351"/>
    <mergeCell ref="G2349:G2351"/>
    <mergeCell ref="H2349:H2351"/>
    <mergeCell ref="I2349:I2351"/>
    <mergeCell ref="J2349:J2351"/>
    <mergeCell ref="K2349:K2351"/>
    <mergeCell ref="L2349:L2351"/>
    <mergeCell ref="M2349:M2351"/>
    <mergeCell ref="N2349:N2351"/>
    <mergeCell ref="A2352:A2353"/>
    <mergeCell ref="B2352:B2353"/>
    <mergeCell ref="C2352:C2353"/>
    <mergeCell ref="D2352:D2353"/>
    <mergeCell ref="E2352:E2353"/>
    <mergeCell ref="F2352:F2353"/>
    <mergeCell ref="G2352:G2353"/>
    <mergeCell ref="H2352:H2353"/>
    <mergeCell ref="I2352:I2353"/>
    <mergeCell ref="J2352:J2353"/>
    <mergeCell ref="K2352:K2353"/>
    <mergeCell ref="L2352:L2353"/>
    <mergeCell ref="M2352:M2353"/>
    <mergeCell ref="N2352:N2353"/>
    <mergeCell ref="A2360:A2362"/>
    <mergeCell ref="B2360:B2362"/>
    <mergeCell ref="C2360:C2362"/>
    <mergeCell ref="D2360:D2362"/>
    <mergeCell ref="E2360:E2362"/>
    <mergeCell ref="F2360:F2362"/>
    <mergeCell ref="G2360:G2362"/>
    <mergeCell ref="H2360:H2362"/>
    <mergeCell ref="I2360:I2362"/>
    <mergeCell ref="J2360:J2362"/>
    <mergeCell ref="K2360:K2362"/>
    <mergeCell ref="L2360:L2362"/>
    <mergeCell ref="M2360:M2362"/>
    <mergeCell ref="N2360:N2362"/>
    <mergeCell ref="A2364:A2365"/>
    <mergeCell ref="B2364:B2365"/>
    <mergeCell ref="C2364:C2365"/>
    <mergeCell ref="D2364:D2365"/>
    <mergeCell ref="E2364:E2365"/>
    <mergeCell ref="F2364:F2365"/>
    <mergeCell ref="G2364:G2365"/>
    <mergeCell ref="H2364:H2365"/>
    <mergeCell ref="I2364:I2365"/>
    <mergeCell ref="J2364:J2365"/>
    <mergeCell ref="K2364:K2365"/>
    <mergeCell ref="L2364:L2365"/>
    <mergeCell ref="M2364:M2365"/>
    <mergeCell ref="N2364:N2365"/>
    <mergeCell ref="A2366:A2368"/>
    <mergeCell ref="B2366:B2368"/>
    <mergeCell ref="C2366:C2368"/>
    <mergeCell ref="D2366:D2368"/>
    <mergeCell ref="E2366:E2368"/>
    <mergeCell ref="F2366:F2368"/>
    <mergeCell ref="G2366:G2368"/>
    <mergeCell ref="H2366:H2368"/>
    <mergeCell ref="I2366:I2368"/>
    <mergeCell ref="J2366:J2368"/>
    <mergeCell ref="K2366:K2368"/>
    <mergeCell ref="L2366:L2368"/>
    <mergeCell ref="M2366:M2368"/>
    <mergeCell ref="N2366:N2368"/>
    <mergeCell ref="A2369:A2370"/>
    <mergeCell ref="B2369:B2370"/>
    <mergeCell ref="C2369:C2370"/>
    <mergeCell ref="D2369:D2370"/>
    <mergeCell ref="E2369:E2370"/>
    <mergeCell ref="F2369:F2370"/>
    <mergeCell ref="G2369:G2370"/>
    <mergeCell ref="H2369:H2370"/>
    <mergeCell ref="I2369:I2370"/>
    <mergeCell ref="J2369:J2370"/>
    <mergeCell ref="K2369:K2370"/>
    <mergeCell ref="L2369:L2370"/>
    <mergeCell ref="M2369:M2370"/>
    <mergeCell ref="N2369:N2370"/>
    <mergeCell ref="A2371:A2372"/>
    <mergeCell ref="B2371:B2372"/>
    <mergeCell ref="C2371:C2372"/>
    <mergeCell ref="D2371:D2372"/>
    <mergeCell ref="E2371:E2372"/>
    <mergeCell ref="F2371:F2372"/>
    <mergeCell ref="G2371:G2372"/>
    <mergeCell ref="H2371:H2372"/>
    <mergeCell ref="I2371:I2372"/>
    <mergeCell ref="J2371:J2372"/>
    <mergeCell ref="K2371:K2372"/>
    <mergeCell ref="L2371:L2372"/>
    <mergeCell ref="M2371:M2372"/>
    <mergeCell ref="N2371:N2372"/>
    <mergeCell ref="A2374:A2377"/>
    <mergeCell ref="B2374:B2377"/>
    <mergeCell ref="C2374:C2377"/>
    <mergeCell ref="D2374:D2377"/>
    <mergeCell ref="E2374:E2377"/>
    <mergeCell ref="F2374:F2377"/>
    <mergeCell ref="G2374:G2377"/>
    <mergeCell ref="H2374:H2377"/>
    <mergeCell ref="I2374:I2377"/>
    <mergeCell ref="J2374:J2377"/>
    <mergeCell ref="K2374:K2377"/>
    <mergeCell ref="L2374:L2377"/>
    <mergeCell ref="M2374:M2377"/>
    <mergeCell ref="N2374:N2377"/>
    <mergeCell ref="A2379:A2380"/>
    <mergeCell ref="B2379:B2380"/>
    <mergeCell ref="C2379:C2380"/>
    <mergeCell ref="D2379:D2380"/>
    <mergeCell ref="E2379:E2380"/>
    <mergeCell ref="F2379:F2380"/>
    <mergeCell ref="G2379:G2380"/>
    <mergeCell ref="H2379:H2380"/>
    <mergeCell ref="I2379:I2380"/>
    <mergeCell ref="J2379:J2380"/>
    <mergeCell ref="K2379:K2380"/>
    <mergeCell ref="L2379:L2380"/>
    <mergeCell ref="M2379:M2380"/>
    <mergeCell ref="N2379:N2380"/>
    <mergeCell ref="A2381:A2385"/>
    <mergeCell ref="B2381:B2385"/>
    <mergeCell ref="C2381:C2385"/>
    <mergeCell ref="D2381:D2385"/>
    <mergeCell ref="E2381:E2385"/>
    <mergeCell ref="F2381:F2385"/>
    <mergeCell ref="G2381:G2385"/>
    <mergeCell ref="H2381:H2385"/>
    <mergeCell ref="I2381:I2385"/>
    <mergeCell ref="J2381:J2385"/>
    <mergeCell ref="K2381:K2385"/>
    <mergeCell ref="L2381:L2385"/>
    <mergeCell ref="M2381:M2385"/>
    <mergeCell ref="N2381:N2385"/>
    <mergeCell ref="A2387:A2388"/>
    <mergeCell ref="B2387:B2388"/>
    <mergeCell ref="C2387:C2388"/>
    <mergeCell ref="D2387:D2388"/>
    <mergeCell ref="E2387:E2388"/>
    <mergeCell ref="F2387:F2388"/>
    <mergeCell ref="G2387:G2388"/>
    <mergeCell ref="H2387:H2388"/>
    <mergeCell ref="I2387:I2388"/>
    <mergeCell ref="J2387:J2388"/>
    <mergeCell ref="K2387:K2388"/>
    <mergeCell ref="L2387:L2388"/>
    <mergeCell ref="M2387:M2388"/>
    <mergeCell ref="N2387:N2388"/>
    <mergeCell ref="A2393:A2395"/>
    <mergeCell ref="B2393:B2395"/>
    <mergeCell ref="C2393:C2395"/>
    <mergeCell ref="D2393:D2395"/>
    <mergeCell ref="E2393:E2395"/>
    <mergeCell ref="F2393:F2395"/>
    <mergeCell ref="G2393:G2395"/>
    <mergeCell ref="H2393:H2395"/>
    <mergeCell ref="I2393:I2395"/>
    <mergeCell ref="J2393:J2395"/>
    <mergeCell ref="K2393:K2395"/>
    <mergeCell ref="L2393:L2395"/>
    <mergeCell ref="M2393:M2395"/>
    <mergeCell ref="N2393:N2395"/>
    <mergeCell ref="A2404:A2405"/>
    <mergeCell ref="B2404:B2405"/>
    <mergeCell ref="C2404:C2405"/>
    <mergeCell ref="D2404:D2405"/>
    <mergeCell ref="E2404:E2405"/>
    <mergeCell ref="F2404:F2405"/>
    <mergeCell ref="G2404:G2405"/>
    <mergeCell ref="H2404:H2405"/>
    <mergeCell ref="I2404:I2405"/>
    <mergeCell ref="J2404:J2405"/>
    <mergeCell ref="K2404:K2405"/>
    <mergeCell ref="L2404:L2405"/>
    <mergeCell ref="M2404:M2405"/>
    <mergeCell ref="N2404:N2405"/>
    <mergeCell ref="A2407:A2408"/>
    <mergeCell ref="B2407:B2408"/>
    <mergeCell ref="C2407:C2408"/>
    <mergeCell ref="D2407:D2408"/>
    <mergeCell ref="E2407:E2408"/>
    <mergeCell ref="F2407:F2408"/>
    <mergeCell ref="G2407:G2408"/>
    <mergeCell ref="H2407:H2408"/>
    <mergeCell ref="I2407:I2408"/>
    <mergeCell ref="J2407:J2408"/>
    <mergeCell ref="K2407:K2408"/>
    <mergeCell ref="L2407:L2408"/>
    <mergeCell ref="M2407:M2408"/>
    <mergeCell ref="N2407:N2408"/>
    <mergeCell ref="A2409:A2411"/>
    <mergeCell ref="B2409:B2411"/>
    <mergeCell ref="C2409:C2411"/>
    <mergeCell ref="D2409:D2411"/>
    <mergeCell ref="E2409:E2411"/>
    <mergeCell ref="F2409:F2411"/>
    <mergeCell ref="G2409:G2411"/>
    <mergeCell ref="H2409:H2411"/>
    <mergeCell ref="I2409:I2411"/>
    <mergeCell ref="J2409:J2411"/>
    <mergeCell ref="K2409:K2411"/>
    <mergeCell ref="L2409:L2411"/>
    <mergeCell ref="M2409:M2411"/>
    <mergeCell ref="N2409:N2411"/>
    <mergeCell ref="A2412:A2413"/>
    <mergeCell ref="B2412:B2413"/>
    <mergeCell ref="C2412:C2413"/>
    <mergeCell ref="D2412:D2413"/>
    <mergeCell ref="E2412:E2413"/>
    <mergeCell ref="F2412:F2413"/>
    <mergeCell ref="G2412:G2413"/>
    <mergeCell ref="H2412:H2413"/>
    <mergeCell ref="I2412:I2413"/>
    <mergeCell ref="J2412:J2413"/>
    <mergeCell ref="K2412:K2413"/>
    <mergeCell ref="L2412:L2413"/>
    <mergeCell ref="M2412:M2413"/>
    <mergeCell ref="N2412:N2413"/>
    <mergeCell ref="A2415:A2423"/>
    <mergeCell ref="B2415:B2423"/>
    <mergeCell ref="C2415:C2423"/>
    <mergeCell ref="D2415:D2423"/>
    <mergeCell ref="E2415:E2423"/>
    <mergeCell ref="F2415:F2423"/>
    <mergeCell ref="G2415:G2423"/>
    <mergeCell ref="H2415:H2423"/>
    <mergeCell ref="I2415:I2423"/>
    <mergeCell ref="J2415:J2423"/>
    <mergeCell ref="K2415:K2423"/>
    <mergeCell ref="L2415:L2423"/>
    <mergeCell ref="M2415:M2423"/>
    <mergeCell ref="N2415:N2423"/>
    <mergeCell ref="A2424:A2426"/>
    <mergeCell ref="B2424:B2426"/>
    <mergeCell ref="C2424:C2426"/>
    <mergeCell ref="D2424:D2426"/>
    <mergeCell ref="E2424:E2426"/>
    <mergeCell ref="F2424:F2426"/>
    <mergeCell ref="G2424:G2426"/>
    <mergeCell ref="H2424:H2426"/>
    <mergeCell ref="I2424:I2426"/>
    <mergeCell ref="J2424:J2426"/>
    <mergeCell ref="K2424:K2426"/>
    <mergeCell ref="L2424:L2426"/>
    <mergeCell ref="M2424:M2426"/>
    <mergeCell ref="N2424:N2426"/>
    <mergeCell ref="A2432:A2435"/>
    <mergeCell ref="B2432:B2435"/>
    <mergeCell ref="C2432:C2435"/>
    <mergeCell ref="D2432:D2435"/>
    <mergeCell ref="E2432:E2435"/>
    <mergeCell ref="F2432:F2435"/>
    <mergeCell ref="G2432:G2435"/>
    <mergeCell ref="H2432:H2435"/>
    <mergeCell ref="I2432:I2435"/>
    <mergeCell ref="J2432:J2435"/>
    <mergeCell ref="K2432:K2435"/>
    <mergeCell ref="L2432:L2435"/>
    <mergeCell ref="M2432:M2435"/>
    <mergeCell ref="N2432:N2435"/>
    <mergeCell ref="A2436:A2437"/>
    <mergeCell ref="B2436:B2437"/>
    <mergeCell ref="C2436:C2437"/>
    <mergeCell ref="D2436:D2437"/>
    <mergeCell ref="E2436:E2437"/>
    <mergeCell ref="F2436:F2437"/>
    <mergeCell ref="G2436:G2437"/>
    <mergeCell ref="H2436:H2437"/>
    <mergeCell ref="I2436:I2437"/>
    <mergeCell ref="J2436:J2437"/>
    <mergeCell ref="K2436:K2437"/>
    <mergeCell ref="L2436:L2437"/>
    <mergeCell ref="M2436:M2437"/>
    <mergeCell ref="N2436:N2437"/>
    <mergeCell ref="A2441:A2442"/>
    <mergeCell ref="B2441:B2442"/>
    <mergeCell ref="C2441:C2442"/>
    <mergeCell ref="D2441:D2442"/>
    <mergeCell ref="E2441:E2442"/>
    <mergeCell ref="F2441:F2442"/>
    <mergeCell ref="G2441:G2442"/>
    <mergeCell ref="H2441:H2442"/>
    <mergeCell ref="I2441:I2442"/>
    <mergeCell ref="J2441:J2442"/>
    <mergeCell ref="K2441:K2442"/>
    <mergeCell ref="L2441:L2442"/>
    <mergeCell ref="M2441:M2442"/>
    <mergeCell ref="N2441:N2442"/>
    <mergeCell ref="A2443:A2451"/>
    <mergeCell ref="B2443:B2451"/>
    <mergeCell ref="C2443:C2451"/>
    <mergeCell ref="D2443:D2451"/>
    <mergeCell ref="E2443:E2451"/>
    <mergeCell ref="F2443:F2451"/>
    <mergeCell ref="G2443:G2451"/>
    <mergeCell ref="H2443:H2451"/>
    <mergeCell ref="I2443:I2451"/>
    <mergeCell ref="J2443:J2451"/>
    <mergeCell ref="K2443:K2451"/>
    <mergeCell ref="L2443:L2451"/>
    <mergeCell ref="M2443:M2451"/>
    <mergeCell ref="N2443:N2451"/>
    <mergeCell ref="A2452:A2454"/>
    <mergeCell ref="B2452:B2454"/>
    <mergeCell ref="C2452:C2454"/>
    <mergeCell ref="D2452:D2454"/>
    <mergeCell ref="E2452:E2454"/>
    <mergeCell ref="F2452:F2454"/>
    <mergeCell ref="G2452:G2454"/>
    <mergeCell ref="H2452:H2454"/>
    <mergeCell ref="I2452:I2454"/>
    <mergeCell ref="J2452:J2454"/>
    <mergeCell ref="K2452:K2454"/>
    <mergeCell ref="L2452:L2454"/>
    <mergeCell ref="M2452:M2454"/>
    <mergeCell ref="N2452:N2454"/>
    <mergeCell ref="A2457:A2458"/>
    <mergeCell ref="B2457:B2458"/>
    <mergeCell ref="C2457:C2458"/>
    <mergeCell ref="D2457:D2458"/>
    <mergeCell ref="E2457:E2458"/>
    <mergeCell ref="F2457:F2458"/>
    <mergeCell ref="G2457:G2458"/>
    <mergeCell ref="H2457:H2458"/>
    <mergeCell ref="I2457:I2458"/>
    <mergeCell ref="J2457:J2458"/>
    <mergeCell ref="K2457:K2458"/>
    <mergeCell ref="L2457:L2458"/>
    <mergeCell ref="M2457:M2458"/>
    <mergeCell ref="N2457:N2458"/>
    <mergeCell ref="A2459:A2460"/>
    <mergeCell ref="B2459:B2460"/>
    <mergeCell ref="C2459:C2460"/>
    <mergeCell ref="D2459:D2460"/>
    <mergeCell ref="E2459:E2460"/>
    <mergeCell ref="F2459:F2460"/>
    <mergeCell ref="G2459:G2460"/>
    <mergeCell ref="H2459:H2460"/>
    <mergeCell ref="I2459:I2460"/>
    <mergeCell ref="J2459:J2460"/>
    <mergeCell ref="K2459:K2460"/>
    <mergeCell ref="L2459:L2460"/>
    <mergeCell ref="M2459:M2460"/>
    <mergeCell ref="N2459:N2460"/>
    <mergeCell ref="A2461:A2462"/>
    <mergeCell ref="B2461:B2462"/>
    <mergeCell ref="C2461:C2462"/>
    <mergeCell ref="D2461:D2462"/>
    <mergeCell ref="E2461:E2462"/>
    <mergeCell ref="F2461:F2462"/>
    <mergeCell ref="G2461:G2462"/>
    <mergeCell ref="H2461:H2462"/>
    <mergeCell ref="I2461:I2462"/>
    <mergeCell ref="J2461:J2462"/>
    <mergeCell ref="K2461:K2462"/>
    <mergeCell ref="L2461:L2462"/>
    <mergeCell ref="M2461:M2462"/>
    <mergeCell ref="N2461:N2462"/>
    <mergeCell ref="A2464:A2467"/>
    <mergeCell ref="B2464:B2467"/>
    <mergeCell ref="C2464:C2467"/>
    <mergeCell ref="D2464:D2467"/>
    <mergeCell ref="E2464:E2467"/>
    <mergeCell ref="F2464:F2467"/>
    <mergeCell ref="G2464:G2467"/>
    <mergeCell ref="H2464:H2467"/>
    <mergeCell ref="I2464:I2467"/>
    <mergeCell ref="J2464:J2467"/>
    <mergeCell ref="K2464:K2467"/>
    <mergeCell ref="L2464:L2467"/>
    <mergeCell ref="M2464:M2467"/>
    <mergeCell ref="N2464:N2467"/>
    <mergeCell ref="A2468:A2469"/>
    <mergeCell ref="B2468:B2469"/>
    <mergeCell ref="C2468:C2469"/>
    <mergeCell ref="D2468:D2469"/>
    <mergeCell ref="E2468:E2469"/>
    <mergeCell ref="F2468:F2469"/>
    <mergeCell ref="G2468:G2469"/>
    <mergeCell ref="H2468:H2469"/>
    <mergeCell ref="I2468:I2469"/>
    <mergeCell ref="J2468:J2469"/>
    <mergeCell ref="K2468:K2469"/>
    <mergeCell ref="L2468:L2469"/>
    <mergeCell ref="M2468:M2469"/>
    <mergeCell ref="N2468:N2469"/>
    <mergeCell ref="A2471:A2473"/>
    <mergeCell ref="B2471:B2473"/>
    <mergeCell ref="C2471:C2473"/>
    <mergeCell ref="D2471:D2473"/>
    <mergeCell ref="E2471:E2473"/>
    <mergeCell ref="F2471:F2473"/>
    <mergeCell ref="G2471:G2473"/>
    <mergeCell ref="H2471:H2473"/>
    <mergeCell ref="I2471:I2473"/>
    <mergeCell ref="J2471:J2473"/>
    <mergeCell ref="K2471:K2473"/>
    <mergeCell ref="L2471:L2473"/>
    <mergeCell ref="M2471:M2473"/>
    <mergeCell ref="N2471:N2473"/>
    <mergeCell ref="A2474:A2475"/>
    <mergeCell ref="B2474:B2475"/>
    <mergeCell ref="C2474:C2475"/>
    <mergeCell ref="D2474:D2475"/>
    <mergeCell ref="E2474:E2475"/>
    <mergeCell ref="F2474:F2475"/>
    <mergeCell ref="G2474:G2475"/>
    <mergeCell ref="H2474:H2475"/>
    <mergeCell ref="I2474:I2475"/>
    <mergeCell ref="J2474:J2475"/>
    <mergeCell ref="K2474:K2475"/>
    <mergeCell ref="L2474:L2475"/>
    <mergeCell ref="M2474:M2475"/>
    <mergeCell ref="N2474:N2475"/>
    <mergeCell ref="A2479:A2509"/>
    <mergeCell ref="B2479:B2509"/>
    <mergeCell ref="C2479:C2509"/>
    <mergeCell ref="D2479:D2509"/>
    <mergeCell ref="E2479:E2509"/>
    <mergeCell ref="F2479:F2509"/>
    <mergeCell ref="G2479:G2509"/>
    <mergeCell ref="H2479:H2509"/>
    <mergeCell ref="I2479:I2509"/>
    <mergeCell ref="J2479:J2509"/>
    <mergeCell ref="K2479:K2509"/>
    <mergeCell ref="L2479:L2509"/>
    <mergeCell ref="M2479:M2509"/>
    <mergeCell ref="N2479:N2509"/>
    <mergeCell ref="A2512:A2514"/>
    <mergeCell ref="B2512:B2514"/>
    <mergeCell ref="C2512:C2514"/>
    <mergeCell ref="D2512:D2514"/>
    <mergeCell ref="E2512:E2514"/>
    <mergeCell ref="F2512:F2514"/>
    <mergeCell ref="G2512:G2514"/>
    <mergeCell ref="H2512:H2514"/>
    <mergeCell ref="I2512:I2514"/>
    <mergeCell ref="J2512:J2514"/>
    <mergeCell ref="K2512:K2514"/>
    <mergeCell ref="L2512:L2514"/>
    <mergeCell ref="M2512:M2514"/>
    <mergeCell ref="N2512:N2514"/>
    <mergeCell ref="A2518:A2519"/>
    <mergeCell ref="B2518:B2519"/>
    <mergeCell ref="C2518:C2519"/>
    <mergeCell ref="D2518:D2519"/>
    <mergeCell ref="E2518:E2519"/>
    <mergeCell ref="F2518:F2519"/>
    <mergeCell ref="G2518:G2519"/>
    <mergeCell ref="H2518:H2519"/>
    <mergeCell ref="I2518:I2519"/>
    <mergeCell ref="J2518:J2519"/>
    <mergeCell ref="K2518:K2519"/>
    <mergeCell ref="L2518:L2519"/>
    <mergeCell ref="M2518:M2519"/>
    <mergeCell ref="N2518:N2519"/>
    <mergeCell ref="A2521:A2523"/>
    <mergeCell ref="B2521:B2523"/>
    <mergeCell ref="C2521:C2523"/>
    <mergeCell ref="D2521:D2523"/>
    <mergeCell ref="E2521:E2523"/>
    <mergeCell ref="F2521:F2523"/>
    <mergeCell ref="G2521:G2523"/>
    <mergeCell ref="H2521:H2523"/>
    <mergeCell ref="I2521:I2523"/>
    <mergeCell ref="J2521:J2523"/>
    <mergeCell ref="K2521:K2523"/>
    <mergeCell ref="L2521:L2523"/>
    <mergeCell ref="M2521:M2523"/>
    <mergeCell ref="N2521:N2523"/>
    <mergeCell ref="A2525:A2526"/>
    <mergeCell ref="B2525:B2526"/>
    <mergeCell ref="C2525:C2526"/>
    <mergeCell ref="D2525:D2526"/>
    <mergeCell ref="E2525:E2526"/>
    <mergeCell ref="F2525:F2526"/>
    <mergeCell ref="G2525:G2526"/>
    <mergeCell ref="H2525:H2526"/>
    <mergeCell ref="I2525:I2526"/>
    <mergeCell ref="J2525:J2526"/>
    <mergeCell ref="K2525:K2526"/>
    <mergeCell ref="L2525:L2526"/>
    <mergeCell ref="M2525:M2526"/>
    <mergeCell ref="N2525:N2526"/>
    <mergeCell ref="A2527:A2529"/>
    <mergeCell ref="B2527:B2529"/>
    <mergeCell ref="C2527:C2529"/>
    <mergeCell ref="D2527:D2529"/>
    <mergeCell ref="E2527:E2529"/>
    <mergeCell ref="F2527:F2529"/>
    <mergeCell ref="G2527:G2529"/>
    <mergeCell ref="H2527:H2529"/>
    <mergeCell ref="I2527:I2529"/>
    <mergeCell ref="J2527:J2529"/>
    <mergeCell ref="K2527:K2529"/>
    <mergeCell ref="L2527:L2529"/>
    <mergeCell ref="M2527:M2529"/>
    <mergeCell ref="N2527:N2529"/>
    <mergeCell ref="A2534:A2536"/>
    <mergeCell ref="B2534:B2536"/>
    <mergeCell ref="C2534:C2536"/>
    <mergeCell ref="D2534:D2536"/>
    <mergeCell ref="E2534:E2536"/>
    <mergeCell ref="F2534:F2536"/>
    <mergeCell ref="G2534:G2536"/>
    <mergeCell ref="H2534:H2536"/>
    <mergeCell ref="I2534:I2536"/>
    <mergeCell ref="J2534:J2536"/>
    <mergeCell ref="K2534:K2536"/>
    <mergeCell ref="L2534:L2536"/>
    <mergeCell ref="M2534:M2536"/>
    <mergeCell ref="N2534:N2536"/>
    <mergeCell ref="A2540:A2547"/>
    <mergeCell ref="B2540:B2547"/>
    <mergeCell ref="C2540:C2547"/>
    <mergeCell ref="D2540:D2547"/>
    <mergeCell ref="E2540:E2547"/>
    <mergeCell ref="F2540:F2547"/>
    <mergeCell ref="G2540:G2547"/>
    <mergeCell ref="H2540:H2547"/>
    <mergeCell ref="I2540:I2547"/>
    <mergeCell ref="J2540:J2547"/>
    <mergeCell ref="K2540:K2547"/>
    <mergeCell ref="L2540:L2547"/>
    <mergeCell ref="M2540:M2547"/>
    <mergeCell ref="N2540:N2547"/>
    <mergeCell ref="A2548:A2549"/>
    <mergeCell ref="B2548:B2549"/>
    <mergeCell ref="C2548:C2549"/>
    <mergeCell ref="D2548:D2549"/>
    <mergeCell ref="E2548:E2549"/>
    <mergeCell ref="F2548:F2549"/>
    <mergeCell ref="G2548:G2549"/>
    <mergeCell ref="H2548:H2549"/>
    <mergeCell ref="I2548:I2549"/>
    <mergeCell ref="J2548:J2549"/>
    <mergeCell ref="K2548:K2549"/>
    <mergeCell ref="L2548:L2549"/>
    <mergeCell ref="M2548:M2549"/>
    <mergeCell ref="N2548:N2549"/>
    <mergeCell ref="A2550:A2551"/>
    <mergeCell ref="B2550:B2551"/>
    <mergeCell ref="C2550:C2551"/>
    <mergeCell ref="D2550:D2551"/>
    <mergeCell ref="E2550:E2551"/>
    <mergeCell ref="F2550:F2551"/>
    <mergeCell ref="G2550:G2551"/>
    <mergeCell ref="H2550:H2551"/>
    <mergeCell ref="I2550:I2551"/>
    <mergeCell ref="J2550:J2551"/>
    <mergeCell ref="K2550:K2551"/>
    <mergeCell ref="L2550:L2551"/>
    <mergeCell ref="M2550:M2551"/>
    <mergeCell ref="N2550:N2551"/>
    <mergeCell ref="A2555:A2559"/>
    <mergeCell ref="B2555:B2559"/>
    <mergeCell ref="C2555:C2559"/>
    <mergeCell ref="D2555:D2559"/>
    <mergeCell ref="E2555:E2559"/>
    <mergeCell ref="F2555:F2559"/>
    <mergeCell ref="G2555:G2559"/>
    <mergeCell ref="H2555:H2559"/>
    <mergeCell ref="I2555:I2559"/>
    <mergeCell ref="J2555:J2559"/>
    <mergeCell ref="K2555:K2559"/>
    <mergeCell ref="L2555:L2559"/>
    <mergeCell ref="M2555:M2559"/>
    <mergeCell ref="N2555:N2559"/>
    <mergeCell ref="A2560:A2561"/>
    <mergeCell ref="B2560:B2561"/>
    <mergeCell ref="C2560:C2561"/>
    <mergeCell ref="D2560:D2561"/>
    <mergeCell ref="E2560:E2561"/>
    <mergeCell ref="F2560:F2561"/>
    <mergeCell ref="G2560:G2561"/>
    <mergeCell ref="H2560:H2561"/>
    <mergeCell ref="I2560:I2561"/>
    <mergeCell ref="J2560:J2561"/>
    <mergeCell ref="K2560:K2561"/>
    <mergeCell ref="L2560:L2561"/>
    <mergeCell ref="M2560:M2561"/>
    <mergeCell ref="N2560:N2561"/>
    <mergeCell ref="A2564:A2566"/>
    <mergeCell ref="B2564:B2566"/>
    <mergeCell ref="C2564:C2566"/>
    <mergeCell ref="D2564:D2566"/>
    <mergeCell ref="E2564:E2566"/>
    <mergeCell ref="F2564:F2566"/>
    <mergeCell ref="G2564:G2566"/>
    <mergeCell ref="H2564:H2566"/>
    <mergeCell ref="I2564:I2566"/>
    <mergeCell ref="J2564:J2566"/>
    <mergeCell ref="K2564:K2566"/>
    <mergeCell ref="L2564:L2566"/>
    <mergeCell ref="M2564:M2566"/>
    <mergeCell ref="N2564:N2566"/>
    <mergeCell ref="A2569:A2570"/>
    <mergeCell ref="B2569:B2570"/>
    <mergeCell ref="C2569:C2570"/>
    <mergeCell ref="D2569:D2570"/>
    <mergeCell ref="E2569:E2570"/>
    <mergeCell ref="F2569:F2570"/>
    <mergeCell ref="G2569:G2570"/>
    <mergeCell ref="H2569:H2570"/>
    <mergeCell ref="I2569:I2570"/>
    <mergeCell ref="J2569:J2570"/>
    <mergeCell ref="K2569:K2570"/>
    <mergeCell ref="L2569:L2570"/>
    <mergeCell ref="M2569:M2570"/>
    <mergeCell ref="N2569:N2570"/>
    <mergeCell ref="A2574:A2577"/>
    <mergeCell ref="B2574:B2577"/>
    <mergeCell ref="C2574:C2577"/>
    <mergeCell ref="D2574:D2577"/>
    <mergeCell ref="E2574:E2577"/>
    <mergeCell ref="F2574:F2577"/>
    <mergeCell ref="G2574:G2577"/>
    <mergeCell ref="H2574:H2577"/>
    <mergeCell ref="I2574:I2577"/>
    <mergeCell ref="J2574:J2577"/>
    <mergeCell ref="K2574:K2577"/>
    <mergeCell ref="L2574:L2577"/>
    <mergeCell ref="M2574:M2577"/>
    <mergeCell ref="N2574:N2577"/>
    <mergeCell ref="A2580:A2583"/>
    <mergeCell ref="B2580:B2583"/>
    <mergeCell ref="C2580:C2583"/>
    <mergeCell ref="D2580:D2583"/>
    <mergeCell ref="E2580:E2583"/>
    <mergeCell ref="F2580:F2583"/>
    <mergeCell ref="G2580:G2583"/>
    <mergeCell ref="H2580:H2583"/>
    <mergeCell ref="I2580:I2583"/>
    <mergeCell ref="J2580:J2583"/>
    <mergeCell ref="K2580:K2583"/>
    <mergeCell ref="L2580:L2583"/>
    <mergeCell ref="M2580:M2583"/>
    <mergeCell ref="N2580:N2583"/>
    <mergeCell ref="A2585:A2586"/>
    <mergeCell ref="B2585:B2586"/>
    <mergeCell ref="C2585:C2586"/>
    <mergeCell ref="D2585:D2586"/>
    <mergeCell ref="E2585:E2586"/>
    <mergeCell ref="F2585:F2586"/>
    <mergeCell ref="G2585:G2586"/>
    <mergeCell ref="H2585:H2586"/>
    <mergeCell ref="I2585:I2586"/>
    <mergeCell ref="J2585:J2586"/>
    <mergeCell ref="K2585:K2586"/>
    <mergeCell ref="L2585:L2586"/>
    <mergeCell ref="M2585:M2586"/>
    <mergeCell ref="N2585:N2586"/>
    <mergeCell ref="A2587:A2595"/>
    <mergeCell ref="B2587:B2595"/>
    <mergeCell ref="C2587:C2595"/>
    <mergeCell ref="D2587:D2595"/>
    <mergeCell ref="E2587:E2595"/>
    <mergeCell ref="F2587:F2595"/>
    <mergeCell ref="G2587:G2595"/>
    <mergeCell ref="H2587:H2595"/>
    <mergeCell ref="I2587:I2595"/>
    <mergeCell ref="J2587:J2595"/>
    <mergeCell ref="K2587:K2595"/>
    <mergeCell ref="L2587:L2595"/>
    <mergeCell ref="M2587:M2595"/>
    <mergeCell ref="N2587:N2595"/>
    <mergeCell ref="A2597:A2599"/>
    <mergeCell ref="B2597:B2599"/>
    <mergeCell ref="C2597:C2599"/>
    <mergeCell ref="D2597:D2599"/>
    <mergeCell ref="E2597:E2599"/>
    <mergeCell ref="F2597:F2599"/>
    <mergeCell ref="G2597:G2599"/>
    <mergeCell ref="H2597:H2599"/>
    <mergeCell ref="I2597:I2599"/>
    <mergeCell ref="J2597:J2599"/>
    <mergeCell ref="K2597:K2599"/>
    <mergeCell ref="L2597:L2599"/>
    <mergeCell ref="M2597:M2599"/>
    <mergeCell ref="N2597:N2599"/>
    <mergeCell ref="A2601:A2603"/>
    <mergeCell ref="B2601:B2603"/>
    <mergeCell ref="C2601:C2603"/>
    <mergeCell ref="D2601:D2603"/>
    <mergeCell ref="E2601:E2603"/>
    <mergeCell ref="F2601:F2603"/>
    <mergeCell ref="G2601:G2603"/>
    <mergeCell ref="H2601:H2603"/>
    <mergeCell ref="I2601:I2603"/>
    <mergeCell ref="J2601:J2603"/>
    <mergeCell ref="K2601:K2603"/>
    <mergeCell ref="L2601:L2603"/>
    <mergeCell ref="M2601:M2603"/>
    <mergeCell ref="N2601:N2603"/>
    <mergeCell ref="A2604:A2605"/>
    <mergeCell ref="B2604:B2605"/>
    <mergeCell ref="C2604:C2605"/>
    <mergeCell ref="D2604:D2605"/>
    <mergeCell ref="E2604:E2605"/>
    <mergeCell ref="F2604:F2605"/>
    <mergeCell ref="G2604:G2605"/>
    <mergeCell ref="H2604:H2605"/>
    <mergeCell ref="I2604:I2605"/>
    <mergeCell ref="J2604:J2605"/>
    <mergeCell ref="K2604:K2605"/>
    <mergeCell ref="L2604:L2605"/>
    <mergeCell ref="M2604:M2605"/>
    <mergeCell ref="N2604:N2605"/>
    <mergeCell ref="A2607:A2610"/>
    <mergeCell ref="B2607:B2610"/>
    <mergeCell ref="C2607:C2610"/>
    <mergeCell ref="D2607:D2610"/>
    <mergeCell ref="E2607:E2610"/>
    <mergeCell ref="F2607:F2610"/>
    <mergeCell ref="G2607:G2610"/>
    <mergeCell ref="H2607:H2610"/>
    <mergeCell ref="I2607:I2610"/>
    <mergeCell ref="J2607:J2610"/>
    <mergeCell ref="K2607:K2610"/>
    <mergeCell ref="L2607:L2610"/>
    <mergeCell ref="M2607:M2610"/>
    <mergeCell ref="N2607:N2610"/>
    <mergeCell ref="A2612:A2613"/>
    <mergeCell ref="B2612:B2613"/>
    <mergeCell ref="C2612:C2613"/>
    <mergeCell ref="D2612:D2613"/>
    <mergeCell ref="E2612:E2613"/>
    <mergeCell ref="F2612:F2613"/>
    <mergeCell ref="G2612:G2613"/>
    <mergeCell ref="H2612:H2613"/>
    <mergeCell ref="I2612:I2613"/>
    <mergeCell ref="J2612:J2613"/>
    <mergeCell ref="K2612:K2613"/>
    <mergeCell ref="L2612:L2613"/>
    <mergeCell ref="M2612:M2613"/>
    <mergeCell ref="N2612:N2613"/>
    <mergeCell ref="A2615:A2617"/>
    <mergeCell ref="B2615:B2617"/>
    <mergeCell ref="C2615:C2617"/>
    <mergeCell ref="D2615:D2617"/>
    <mergeCell ref="E2615:E2617"/>
    <mergeCell ref="F2615:F2617"/>
    <mergeCell ref="G2615:G2617"/>
    <mergeCell ref="H2615:H2617"/>
    <mergeCell ref="I2615:I2617"/>
    <mergeCell ref="J2615:J2617"/>
    <mergeCell ref="K2615:K2617"/>
    <mergeCell ref="L2615:L2617"/>
    <mergeCell ref="M2615:M2617"/>
    <mergeCell ref="N2615:N2617"/>
    <mergeCell ref="A2621:A2624"/>
    <mergeCell ref="B2621:B2624"/>
    <mergeCell ref="C2621:C2624"/>
    <mergeCell ref="D2621:D2624"/>
    <mergeCell ref="E2621:E2624"/>
    <mergeCell ref="F2621:F2624"/>
    <mergeCell ref="G2621:G2624"/>
    <mergeCell ref="H2621:H2624"/>
    <mergeCell ref="I2621:I2624"/>
    <mergeCell ref="J2621:J2624"/>
    <mergeCell ref="K2621:K2624"/>
    <mergeCell ref="L2621:L2624"/>
    <mergeCell ref="M2621:M2624"/>
    <mergeCell ref="N2621:N2624"/>
    <mergeCell ref="A2629:A2630"/>
    <mergeCell ref="B2629:B2630"/>
    <mergeCell ref="C2629:C2630"/>
    <mergeCell ref="D2629:D2630"/>
    <mergeCell ref="E2629:E2630"/>
    <mergeCell ref="F2629:F2630"/>
    <mergeCell ref="G2629:G2630"/>
    <mergeCell ref="H2629:H2630"/>
    <mergeCell ref="I2629:I2630"/>
    <mergeCell ref="J2629:J2630"/>
    <mergeCell ref="K2629:K2630"/>
    <mergeCell ref="L2629:L2630"/>
    <mergeCell ref="M2629:M2630"/>
    <mergeCell ref="N2629:N2630"/>
    <mergeCell ref="A2631:A2633"/>
    <mergeCell ref="B2631:B2633"/>
    <mergeCell ref="C2631:C2633"/>
    <mergeCell ref="D2631:D2633"/>
    <mergeCell ref="E2631:E2633"/>
    <mergeCell ref="F2631:F2633"/>
    <mergeCell ref="G2631:G2633"/>
    <mergeCell ref="H2631:H2633"/>
    <mergeCell ref="I2631:I2633"/>
    <mergeCell ref="J2631:J2633"/>
    <mergeCell ref="K2631:K2633"/>
    <mergeCell ref="L2631:L2633"/>
    <mergeCell ref="M2631:M2633"/>
    <mergeCell ref="N2631:N2633"/>
    <mergeCell ref="A2636:A2637"/>
    <mergeCell ref="B2636:B2637"/>
    <mergeCell ref="C2636:C2637"/>
    <mergeCell ref="D2636:D2637"/>
    <mergeCell ref="E2636:E2637"/>
    <mergeCell ref="F2636:F2637"/>
    <mergeCell ref="G2636:G2637"/>
    <mergeCell ref="H2636:H2637"/>
    <mergeCell ref="I2636:I2637"/>
    <mergeCell ref="J2636:J2637"/>
    <mergeCell ref="K2636:K2637"/>
    <mergeCell ref="L2636:L2637"/>
    <mergeCell ref="M2636:M2637"/>
    <mergeCell ref="N2636:N2637"/>
    <mergeCell ref="A2640:A2642"/>
    <mergeCell ref="B2640:B2642"/>
    <mergeCell ref="C2640:C2642"/>
    <mergeCell ref="D2640:D2642"/>
    <mergeCell ref="E2640:E2642"/>
    <mergeCell ref="F2640:F2642"/>
    <mergeCell ref="G2640:G2642"/>
    <mergeCell ref="H2640:H2642"/>
    <mergeCell ref="I2640:I2642"/>
    <mergeCell ref="J2640:J2642"/>
    <mergeCell ref="K2640:K2642"/>
    <mergeCell ref="L2640:L2642"/>
    <mergeCell ref="M2640:M2642"/>
    <mergeCell ref="N2640:N2642"/>
    <mergeCell ref="A2643:A2644"/>
    <mergeCell ref="B2643:B2644"/>
    <mergeCell ref="C2643:C2644"/>
    <mergeCell ref="D2643:D2644"/>
    <mergeCell ref="E2643:E2644"/>
    <mergeCell ref="F2643:F2644"/>
    <mergeCell ref="G2643:G2644"/>
    <mergeCell ref="H2643:H2644"/>
    <mergeCell ref="I2643:I2644"/>
    <mergeCell ref="J2643:J2644"/>
    <mergeCell ref="K2643:K2644"/>
    <mergeCell ref="L2643:L2644"/>
    <mergeCell ref="M2643:M2644"/>
    <mergeCell ref="N2643:N2644"/>
    <mergeCell ref="A2650:A2651"/>
    <mergeCell ref="B2650:B2651"/>
    <mergeCell ref="C2650:C2651"/>
    <mergeCell ref="D2650:D2651"/>
    <mergeCell ref="E2650:E2651"/>
    <mergeCell ref="F2650:F2651"/>
    <mergeCell ref="G2650:G2651"/>
    <mergeCell ref="H2650:H2651"/>
    <mergeCell ref="I2650:I2651"/>
    <mergeCell ref="J2650:J2651"/>
    <mergeCell ref="K2650:K2651"/>
    <mergeCell ref="L2650:L2651"/>
    <mergeCell ref="M2650:M2651"/>
    <mergeCell ref="N2650:N2651"/>
    <mergeCell ref="A2654:A2657"/>
    <mergeCell ref="B2654:B2657"/>
    <mergeCell ref="C2654:C2657"/>
    <mergeCell ref="D2654:D2657"/>
    <mergeCell ref="E2654:E2657"/>
    <mergeCell ref="F2654:F2657"/>
    <mergeCell ref="G2654:G2657"/>
    <mergeCell ref="H2654:H2657"/>
    <mergeCell ref="I2654:I2657"/>
    <mergeCell ref="J2654:J2657"/>
    <mergeCell ref="K2654:K2657"/>
    <mergeCell ref="L2654:L2657"/>
    <mergeCell ref="M2654:M2657"/>
    <mergeCell ref="N2654:N2657"/>
    <mergeCell ref="A2658:A2659"/>
    <mergeCell ref="B2658:B2659"/>
    <mergeCell ref="C2658:C2659"/>
    <mergeCell ref="D2658:D2659"/>
    <mergeCell ref="E2658:E2659"/>
    <mergeCell ref="F2658:F2659"/>
    <mergeCell ref="G2658:G2659"/>
    <mergeCell ref="H2658:H2659"/>
    <mergeCell ref="I2658:I2659"/>
    <mergeCell ref="J2658:J2659"/>
    <mergeCell ref="K2658:K2659"/>
    <mergeCell ref="L2658:L2659"/>
    <mergeCell ref="M2658:M2659"/>
    <mergeCell ref="N2658:N2659"/>
    <mergeCell ref="A2661:A2662"/>
    <mergeCell ref="B2661:B2662"/>
    <mergeCell ref="C2661:C2662"/>
    <mergeCell ref="D2661:D2662"/>
    <mergeCell ref="E2661:E2662"/>
    <mergeCell ref="F2661:F2662"/>
    <mergeCell ref="G2661:G2662"/>
    <mergeCell ref="H2661:H2662"/>
    <mergeCell ref="I2661:I2662"/>
    <mergeCell ref="J2661:J2662"/>
    <mergeCell ref="K2661:K2662"/>
    <mergeCell ref="L2661:L2662"/>
    <mergeCell ref="M2661:M2662"/>
    <mergeCell ref="N2661:N2662"/>
    <mergeCell ref="A2664:A2669"/>
    <mergeCell ref="B2664:B2669"/>
    <mergeCell ref="C2664:C2669"/>
    <mergeCell ref="D2664:D2669"/>
    <mergeCell ref="E2664:E2669"/>
    <mergeCell ref="F2664:F2669"/>
    <mergeCell ref="G2664:G2669"/>
    <mergeCell ref="H2664:H2669"/>
    <mergeCell ref="I2664:I2669"/>
    <mergeCell ref="J2664:J2669"/>
    <mergeCell ref="K2664:K2669"/>
    <mergeCell ref="L2664:L2669"/>
    <mergeCell ref="M2664:M2669"/>
    <mergeCell ref="N2664:N2669"/>
    <mergeCell ref="A2672:A2673"/>
    <mergeCell ref="B2672:B2673"/>
    <mergeCell ref="C2672:C2673"/>
    <mergeCell ref="D2672:D2673"/>
    <mergeCell ref="E2672:E2673"/>
    <mergeCell ref="F2672:F2673"/>
    <mergeCell ref="G2672:G2673"/>
    <mergeCell ref="H2672:H2673"/>
    <mergeCell ref="I2672:I2673"/>
    <mergeCell ref="J2672:J2673"/>
    <mergeCell ref="K2672:K2673"/>
    <mergeCell ref="L2672:L2673"/>
    <mergeCell ref="M2672:M2673"/>
    <mergeCell ref="N2672:N2673"/>
    <mergeCell ref="A2677:A2679"/>
    <mergeCell ref="B2677:B2679"/>
    <mergeCell ref="C2677:C2679"/>
    <mergeCell ref="D2677:D2679"/>
    <mergeCell ref="E2677:E2679"/>
    <mergeCell ref="F2677:F2679"/>
    <mergeCell ref="G2677:G2679"/>
    <mergeCell ref="H2677:H2679"/>
    <mergeCell ref="I2677:I2679"/>
    <mergeCell ref="J2677:J2679"/>
    <mergeCell ref="K2677:K2679"/>
    <mergeCell ref="L2677:L2679"/>
    <mergeCell ref="M2677:M2679"/>
    <mergeCell ref="N2677:N2679"/>
    <mergeCell ref="A2680:A2681"/>
    <mergeCell ref="B2680:B2681"/>
    <mergeCell ref="C2680:C2681"/>
    <mergeCell ref="D2680:D2681"/>
    <mergeCell ref="E2680:E2681"/>
    <mergeCell ref="F2680:F2681"/>
    <mergeCell ref="G2680:G2681"/>
    <mergeCell ref="H2680:H2681"/>
    <mergeCell ref="I2680:I2681"/>
    <mergeCell ref="J2680:J2681"/>
    <mergeCell ref="K2680:K2681"/>
    <mergeCell ref="L2680:L2681"/>
    <mergeCell ref="M2680:M2681"/>
    <mergeCell ref="N2680:N2681"/>
    <mergeCell ref="A2687:A2689"/>
    <mergeCell ref="B2687:B2689"/>
    <mergeCell ref="C2687:C2689"/>
    <mergeCell ref="D2687:D2689"/>
    <mergeCell ref="E2687:E2689"/>
    <mergeCell ref="F2687:F2689"/>
    <mergeCell ref="G2687:G2689"/>
    <mergeCell ref="H2687:H2689"/>
    <mergeCell ref="I2687:I2689"/>
    <mergeCell ref="J2687:J2689"/>
    <mergeCell ref="K2687:K2689"/>
    <mergeCell ref="L2687:L2689"/>
    <mergeCell ref="M2687:M2689"/>
    <mergeCell ref="N2687:N2689"/>
    <mergeCell ref="A2691:A2693"/>
    <mergeCell ref="B2691:B2693"/>
    <mergeCell ref="C2691:C2693"/>
    <mergeCell ref="D2691:D2693"/>
    <mergeCell ref="E2691:E2693"/>
    <mergeCell ref="F2691:F2693"/>
    <mergeCell ref="G2691:G2693"/>
    <mergeCell ref="H2691:H2693"/>
    <mergeCell ref="I2691:I2693"/>
    <mergeCell ref="J2691:J2693"/>
    <mergeCell ref="K2691:K2693"/>
    <mergeCell ref="L2691:L2693"/>
    <mergeCell ref="M2691:M2693"/>
    <mergeCell ref="N2691:N2693"/>
    <mergeCell ref="A2694:A2698"/>
    <mergeCell ref="B2694:B2698"/>
    <mergeCell ref="C2694:C2698"/>
    <mergeCell ref="D2694:D2698"/>
    <mergeCell ref="E2694:E2698"/>
    <mergeCell ref="F2694:F2698"/>
    <mergeCell ref="G2694:G2698"/>
    <mergeCell ref="H2694:H2698"/>
    <mergeCell ref="I2694:I2698"/>
    <mergeCell ref="J2694:J2698"/>
    <mergeCell ref="K2694:K2698"/>
    <mergeCell ref="L2694:L2698"/>
    <mergeCell ref="M2694:M2698"/>
    <mergeCell ref="N2694:N2698"/>
    <mergeCell ref="A2700:A2701"/>
    <mergeCell ref="B2700:B2701"/>
    <mergeCell ref="C2700:C2701"/>
    <mergeCell ref="D2700:D2701"/>
    <mergeCell ref="E2700:E2701"/>
    <mergeCell ref="F2700:F2701"/>
    <mergeCell ref="G2700:G2701"/>
    <mergeCell ref="H2700:H2701"/>
    <mergeCell ref="I2700:I2701"/>
    <mergeCell ref="J2700:J2701"/>
    <mergeCell ref="K2700:K2701"/>
    <mergeCell ref="L2700:L2701"/>
    <mergeCell ref="M2700:M2701"/>
    <mergeCell ref="N2700:N2701"/>
    <mergeCell ref="A2702:A2705"/>
    <mergeCell ref="B2702:B2705"/>
    <mergeCell ref="C2702:C2705"/>
    <mergeCell ref="D2702:D2705"/>
    <mergeCell ref="E2702:E2705"/>
    <mergeCell ref="F2702:F2705"/>
    <mergeCell ref="G2702:G2705"/>
    <mergeCell ref="H2702:H2705"/>
    <mergeCell ref="I2702:I2705"/>
    <mergeCell ref="J2702:J2705"/>
    <mergeCell ref="K2702:K2705"/>
    <mergeCell ref="L2702:L2705"/>
    <mergeCell ref="M2702:M2705"/>
    <mergeCell ref="N2702:N2705"/>
    <mergeCell ref="A2708:A2711"/>
    <mergeCell ref="B2708:B2711"/>
    <mergeCell ref="C2708:C2711"/>
    <mergeCell ref="D2708:D2711"/>
    <mergeCell ref="E2708:E2711"/>
    <mergeCell ref="F2708:F2711"/>
    <mergeCell ref="G2708:G2711"/>
    <mergeCell ref="H2708:H2711"/>
    <mergeCell ref="I2708:I2711"/>
    <mergeCell ref="J2708:J2711"/>
    <mergeCell ref="K2708:K2711"/>
    <mergeCell ref="L2708:L2711"/>
    <mergeCell ref="M2708:M2711"/>
    <mergeCell ref="N2708:N2711"/>
    <mergeCell ref="A2715:A2721"/>
    <mergeCell ref="B2715:B2721"/>
    <mergeCell ref="C2715:C2721"/>
    <mergeCell ref="D2715:D2721"/>
    <mergeCell ref="E2715:E2721"/>
    <mergeCell ref="F2715:F2721"/>
    <mergeCell ref="G2715:G2721"/>
    <mergeCell ref="H2715:H2721"/>
    <mergeCell ref="I2715:I2721"/>
    <mergeCell ref="J2715:J2721"/>
    <mergeCell ref="K2715:K2721"/>
    <mergeCell ref="L2715:L2721"/>
    <mergeCell ref="M2715:M2721"/>
    <mergeCell ref="N2715:N2721"/>
    <mergeCell ref="A2722:A2723"/>
    <mergeCell ref="B2722:B2723"/>
    <mergeCell ref="C2722:C2723"/>
    <mergeCell ref="D2722:D2723"/>
    <mergeCell ref="E2722:E2723"/>
    <mergeCell ref="F2722:F2723"/>
    <mergeCell ref="G2722:G2723"/>
    <mergeCell ref="H2722:H2723"/>
    <mergeCell ref="I2722:I2723"/>
    <mergeCell ref="J2722:J2723"/>
    <mergeCell ref="K2722:K2723"/>
    <mergeCell ref="L2722:L2723"/>
    <mergeCell ref="M2722:M2723"/>
    <mergeCell ref="N2722:N2723"/>
    <mergeCell ref="A2726:A2727"/>
    <mergeCell ref="B2726:B2727"/>
    <mergeCell ref="C2726:C2727"/>
    <mergeCell ref="D2726:D2727"/>
    <mergeCell ref="E2726:E2727"/>
    <mergeCell ref="F2726:F2727"/>
    <mergeCell ref="G2726:G2727"/>
    <mergeCell ref="H2726:H2727"/>
    <mergeCell ref="I2726:I2727"/>
    <mergeCell ref="J2726:J2727"/>
    <mergeCell ref="K2726:K2727"/>
    <mergeCell ref="L2726:L2727"/>
    <mergeCell ref="M2726:M2727"/>
    <mergeCell ref="N2726:N2727"/>
    <mergeCell ref="A2729:A2733"/>
    <mergeCell ref="B2729:B2733"/>
    <mergeCell ref="C2729:C2733"/>
    <mergeCell ref="D2729:D2733"/>
    <mergeCell ref="E2729:E2733"/>
    <mergeCell ref="F2729:F2733"/>
    <mergeCell ref="G2729:G2733"/>
    <mergeCell ref="H2729:H2733"/>
    <mergeCell ref="I2729:I2733"/>
    <mergeCell ref="J2729:J2733"/>
    <mergeCell ref="K2729:K2733"/>
    <mergeCell ref="L2729:L2733"/>
    <mergeCell ref="M2729:M2733"/>
    <mergeCell ref="N2729:N2733"/>
    <mergeCell ref="A2734:A2737"/>
    <mergeCell ref="B2734:B2737"/>
    <mergeCell ref="C2734:C2737"/>
    <mergeCell ref="D2734:D2737"/>
    <mergeCell ref="E2734:E2737"/>
    <mergeCell ref="F2734:F2737"/>
    <mergeCell ref="G2734:G2737"/>
    <mergeCell ref="H2734:H2737"/>
    <mergeCell ref="I2734:I2737"/>
    <mergeCell ref="J2734:J2737"/>
    <mergeCell ref="K2734:K2737"/>
    <mergeCell ref="L2734:L2737"/>
    <mergeCell ref="M2734:M2737"/>
    <mergeCell ref="N2734:N2737"/>
    <mergeCell ref="A2738:A2740"/>
    <mergeCell ref="B2738:B2740"/>
    <mergeCell ref="C2738:C2740"/>
    <mergeCell ref="D2738:D2740"/>
    <mergeCell ref="E2738:E2740"/>
    <mergeCell ref="F2738:F2740"/>
    <mergeCell ref="G2738:G2740"/>
    <mergeCell ref="H2738:H2740"/>
    <mergeCell ref="I2738:I2740"/>
    <mergeCell ref="J2738:J2740"/>
    <mergeCell ref="K2738:K2740"/>
    <mergeCell ref="L2738:L2740"/>
    <mergeCell ref="M2738:M2740"/>
    <mergeCell ref="N2738:N2740"/>
    <mergeCell ref="A2741:A2747"/>
    <mergeCell ref="B2741:B2747"/>
    <mergeCell ref="C2741:C2747"/>
    <mergeCell ref="D2741:D2747"/>
    <mergeCell ref="E2741:E2747"/>
    <mergeCell ref="F2741:F2747"/>
    <mergeCell ref="G2741:G2747"/>
    <mergeCell ref="H2741:H2747"/>
    <mergeCell ref="I2741:I2747"/>
    <mergeCell ref="J2741:J2747"/>
    <mergeCell ref="K2741:K2747"/>
    <mergeCell ref="L2741:L2747"/>
    <mergeCell ref="M2741:M2747"/>
    <mergeCell ref="N2741:N2747"/>
    <mergeCell ref="A2748:A2753"/>
    <mergeCell ref="B2748:B2753"/>
    <mergeCell ref="C2748:C2753"/>
    <mergeCell ref="D2748:D2753"/>
    <mergeCell ref="E2748:E2753"/>
    <mergeCell ref="F2748:F2753"/>
    <mergeCell ref="G2748:G2753"/>
    <mergeCell ref="H2748:H2753"/>
    <mergeCell ref="I2748:I2753"/>
    <mergeCell ref="J2748:J2753"/>
    <mergeCell ref="K2748:K2753"/>
    <mergeCell ref="L2748:L2753"/>
    <mergeCell ref="M2748:M2753"/>
    <mergeCell ref="N2748:N2753"/>
    <mergeCell ref="A2754:A2756"/>
    <mergeCell ref="B2754:B2756"/>
    <mergeCell ref="C2754:C2756"/>
    <mergeCell ref="D2754:D2756"/>
    <mergeCell ref="E2754:E2756"/>
    <mergeCell ref="F2754:F2756"/>
    <mergeCell ref="G2754:G2756"/>
    <mergeCell ref="H2754:H2756"/>
    <mergeCell ref="I2754:I2756"/>
    <mergeCell ref="J2754:J2756"/>
    <mergeCell ref="K2754:K2756"/>
    <mergeCell ref="L2754:L2756"/>
    <mergeCell ref="M2754:M2756"/>
    <mergeCell ref="N2754:N2756"/>
    <mergeCell ref="A2758:A2767"/>
    <mergeCell ref="B2758:B2767"/>
    <mergeCell ref="C2758:C2767"/>
    <mergeCell ref="D2758:D2767"/>
    <mergeCell ref="E2758:E2767"/>
    <mergeCell ref="F2758:F2767"/>
    <mergeCell ref="G2758:G2767"/>
    <mergeCell ref="H2758:H2767"/>
    <mergeCell ref="I2758:I2767"/>
    <mergeCell ref="J2758:J2767"/>
    <mergeCell ref="K2758:K2767"/>
    <mergeCell ref="L2758:L2767"/>
    <mergeCell ref="M2758:M2767"/>
    <mergeCell ref="N2758:N2767"/>
    <mergeCell ref="A2768:A2772"/>
    <mergeCell ref="B2768:B2772"/>
    <mergeCell ref="C2768:C2772"/>
    <mergeCell ref="D2768:D2772"/>
    <mergeCell ref="E2768:E2772"/>
    <mergeCell ref="F2768:F2772"/>
    <mergeCell ref="G2768:G2772"/>
    <mergeCell ref="H2768:H2772"/>
    <mergeCell ref="I2768:I2772"/>
    <mergeCell ref="J2768:J2772"/>
    <mergeCell ref="K2768:K2772"/>
    <mergeCell ref="L2768:L2772"/>
    <mergeCell ref="M2768:M2772"/>
    <mergeCell ref="N2768:N2772"/>
    <mergeCell ref="A2775:A2780"/>
    <mergeCell ref="B2775:B2780"/>
    <mergeCell ref="C2775:C2780"/>
    <mergeCell ref="D2775:D2780"/>
    <mergeCell ref="E2775:E2780"/>
    <mergeCell ref="F2775:F2780"/>
    <mergeCell ref="G2775:G2780"/>
    <mergeCell ref="H2775:H2780"/>
    <mergeCell ref="I2775:I2780"/>
    <mergeCell ref="J2775:J2780"/>
    <mergeCell ref="K2775:K2780"/>
    <mergeCell ref="L2775:L2780"/>
    <mergeCell ref="M2775:M2780"/>
    <mergeCell ref="N2775:N2780"/>
    <mergeCell ref="A2781:A2787"/>
    <mergeCell ref="B2781:B2787"/>
    <mergeCell ref="C2781:C2787"/>
    <mergeCell ref="D2781:D2787"/>
    <mergeCell ref="E2781:E2787"/>
    <mergeCell ref="F2781:F2787"/>
    <mergeCell ref="G2781:G2787"/>
    <mergeCell ref="H2781:H2787"/>
    <mergeCell ref="I2781:I2787"/>
    <mergeCell ref="J2781:J2787"/>
    <mergeCell ref="K2781:K2787"/>
    <mergeCell ref="L2781:L2787"/>
    <mergeCell ref="M2781:M2787"/>
    <mergeCell ref="N2781:N2787"/>
    <mergeCell ref="A2788:A2819"/>
    <mergeCell ref="B2788:B2819"/>
    <mergeCell ref="C2788:C2819"/>
    <mergeCell ref="D2788:D2819"/>
    <mergeCell ref="E2788:E2819"/>
    <mergeCell ref="F2788:F2819"/>
    <mergeCell ref="G2788:G2819"/>
    <mergeCell ref="H2788:H2819"/>
    <mergeCell ref="I2788:I2819"/>
    <mergeCell ref="J2788:J2819"/>
    <mergeCell ref="K2788:K2819"/>
    <mergeCell ref="L2788:L2819"/>
    <mergeCell ref="M2788:M2819"/>
    <mergeCell ref="N2788:N2819"/>
    <mergeCell ref="A2821:A2823"/>
    <mergeCell ref="B2821:B2823"/>
    <mergeCell ref="C2821:C2823"/>
    <mergeCell ref="D2821:D2823"/>
    <mergeCell ref="E2821:E2823"/>
    <mergeCell ref="F2821:F2823"/>
    <mergeCell ref="G2821:G2823"/>
    <mergeCell ref="H2821:H2823"/>
    <mergeCell ref="I2821:I2823"/>
    <mergeCell ref="J2821:J2823"/>
    <mergeCell ref="K2821:K2823"/>
    <mergeCell ref="L2821:L2823"/>
    <mergeCell ref="M2821:M2823"/>
    <mergeCell ref="N2821:N2823"/>
    <mergeCell ref="A2824:A2825"/>
    <mergeCell ref="B2824:B2825"/>
    <mergeCell ref="C2824:C2825"/>
    <mergeCell ref="D2824:D2825"/>
    <mergeCell ref="E2824:E2825"/>
    <mergeCell ref="F2824:F2825"/>
    <mergeCell ref="G2824:G2825"/>
    <mergeCell ref="H2824:H2825"/>
    <mergeCell ref="I2824:I2825"/>
    <mergeCell ref="J2824:J2825"/>
    <mergeCell ref="K2824:K2825"/>
    <mergeCell ref="L2824:L2825"/>
    <mergeCell ref="M2824:M2825"/>
    <mergeCell ref="N2824:N2825"/>
    <mergeCell ref="A2826:A2829"/>
    <mergeCell ref="B2826:B2829"/>
    <mergeCell ref="C2826:C2829"/>
    <mergeCell ref="D2826:D2829"/>
    <mergeCell ref="E2826:E2829"/>
    <mergeCell ref="F2826:F2829"/>
    <mergeCell ref="G2826:G2829"/>
    <mergeCell ref="H2826:H2829"/>
    <mergeCell ref="I2826:I2829"/>
    <mergeCell ref="J2826:J2829"/>
    <mergeCell ref="K2826:K2829"/>
    <mergeCell ref="L2826:L2829"/>
    <mergeCell ref="M2826:M2829"/>
    <mergeCell ref="N2826:N2829"/>
    <mergeCell ref="A2830:A2831"/>
    <mergeCell ref="B2830:B2831"/>
    <mergeCell ref="C2830:C2831"/>
    <mergeCell ref="D2830:D2831"/>
    <mergeCell ref="E2830:E2831"/>
    <mergeCell ref="F2830:F2831"/>
    <mergeCell ref="G2830:G2831"/>
    <mergeCell ref="H2830:H2831"/>
    <mergeCell ref="I2830:I2831"/>
    <mergeCell ref="J2830:J2831"/>
    <mergeCell ref="K2830:K2831"/>
    <mergeCell ref="L2830:L2831"/>
    <mergeCell ref="M2830:M2831"/>
    <mergeCell ref="N2830:N2831"/>
    <mergeCell ref="A2840:A2841"/>
    <mergeCell ref="B2840:B2841"/>
    <mergeCell ref="C2840:C2841"/>
    <mergeCell ref="D2840:D2841"/>
    <mergeCell ref="E2840:E2841"/>
    <mergeCell ref="F2840:F2841"/>
    <mergeCell ref="G2840:G2841"/>
    <mergeCell ref="H2840:H2841"/>
    <mergeCell ref="I2840:I2841"/>
    <mergeCell ref="J2840:J2841"/>
    <mergeCell ref="K2840:K2841"/>
    <mergeCell ref="L2840:L2841"/>
    <mergeCell ref="M2840:M2841"/>
    <mergeCell ref="N2840:N2841"/>
    <mergeCell ref="A2842:A2845"/>
    <mergeCell ref="B2842:B2845"/>
    <mergeCell ref="C2842:C2845"/>
    <mergeCell ref="D2842:D2845"/>
    <mergeCell ref="E2842:E2845"/>
    <mergeCell ref="F2842:F2845"/>
    <mergeCell ref="G2842:G2845"/>
    <mergeCell ref="H2842:H2845"/>
    <mergeCell ref="I2842:I2845"/>
    <mergeCell ref="J2842:J2845"/>
    <mergeCell ref="K2842:K2845"/>
    <mergeCell ref="L2842:L2845"/>
    <mergeCell ref="M2842:M2845"/>
    <mergeCell ref="N2842:N2845"/>
    <mergeCell ref="A2858:A2859"/>
    <mergeCell ref="B2858:B2859"/>
    <mergeCell ref="C2858:C2859"/>
    <mergeCell ref="D2858:D2859"/>
    <mergeCell ref="E2858:E2859"/>
    <mergeCell ref="F2858:F2859"/>
    <mergeCell ref="G2858:G2859"/>
    <mergeCell ref="H2858:H2859"/>
    <mergeCell ref="I2858:I2859"/>
    <mergeCell ref="J2858:J2859"/>
    <mergeCell ref="K2858:K2859"/>
    <mergeCell ref="L2858:L2859"/>
    <mergeCell ref="M2858:M2859"/>
    <mergeCell ref="N2858:N2859"/>
    <mergeCell ref="A2866:A2868"/>
    <mergeCell ref="B2866:B2868"/>
    <mergeCell ref="C2866:C2868"/>
    <mergeCell ref="D2866:D2868"/>
    <mergeCell ref="E2866:E2868"/>
    <mergeCell ref="F2866:F2868"/>
    <mergeCell ref="G2866:G2868"/>
    <mergeCell ref="H2866:H2868"/>
    <mergeCell ref="I2866:I2868"/>
    <mergeCell ref="J2866:J2868"/>
    <mergeCell ref="K2866:K2868"/>
    <mergeCell ref="L2866:L2868"/>
    <mergeCell ref="M2866:M2868"/>
    <mergeCell ref="N2866:N2868"/>
    <mergeCell ref="A2873:A2876"/>
    <mergeCell ref="B2873:B2876"/>
    <mergeCell ref="C2873:C2876"/>
    <mergeCell ref="D2873:D2876"/>
    <mergeCell ref="E2873:E2876"/>
    <mergeCell ref="F2873:F2876"/>
    <mergeCell ref="G2873:G2876"/>
    <mergeCell ref="H2873:H2876"/>
    <mergeCell ref="I2873:I2876"/>
    <mergeCell ref="J2873:J2876"/>
    <mergeCell ref="K2873:K2876"/>
    <mergeCell ref="L2873:L2876"/>
    <mergeCell ref="M2873:M2876"/>
    <mergeCell ref="N2873:N2876"/>
    <mergeCell ref="A2878:A2879"/>
    <mergeCell ref="B2878:B2879"/>
    <mergeCell ref="C2878:C2879"/>
    <mergeCell ref="D2878:D2879"/>
    <mergeCell ref="E2878:E2879"/>
    <mergeCell ref="F2878:F2879"/>
    <mergeCell ref="G2878:G2879"/>
    <mergeCell ref="H2878:H2879"/>
    <mergeCell ref="I2878:I2879"/>
    <mergeCell ref="J2878:J2879"/>
    <mergeCell ref="K2878:K2879"/>
    <mergeCell ref="L2878:L2879"/>
    <mergeCell ref="M2878:M2879"/>
    <mergeCell ref="N2878:N2879"/>
    <mergeCell ref="A2881:A2883"/>
    <mergeCell ref="B2881:B2883"/>
    <mergeCell ref="C2881:C2883"/>
    <mergeCell ref="D2881:D2883"/>
    <mergeCell ref="E2881:E2883"/>
    <mergeCell ref="F2881:F2883"/>
    <mergeCell ref="G2881:G2883"/>
    <mergeCell ref="H2881:H2883"/>
    <mergeCell ref="I2881:I2883"/>
    <mergeCell ref="J2881:J2883"/>
    <mergeCell ref="K2881:K2883"/>
    <mergeCell ref="L2881:L2883"/>
    <mergeCell ref="M2881:M2883"/>
    <mergeCell ref="N2881:N2883"/>
    <mergeCell ref="A2906:A2907"/>
    <mergeCell ref="B2906:B2907"/>
    <mergeCell ref="C2906:C2907"/>
    <mergeCell ref="D2906:D2907"/>
    <mergeCell ref="E2906:E2907"/>
    <mergeCell ref="F2906:F2907"/>
    <mergeCell ref="G2906:G2907"/>
    <mergeCell ref="H2906:H2907"/>
    <mergeCell ref="I2906:I2907"/>
    <mergeCell ref="J2906:J2907"/>
    <mergeCell ref="K2906:K2907"/>
    <mergeCell ref="L2906:L2907"/>
    <mergeCell ref="M2906:M2907"/>
    <mergeCell ref="N2906:N2907"/>
    <mergeCell ref="A2910:A2911"/>
    <mergeCell ref="B2910:B2911"/>
    <mergeCell ref="C2910:C2911"/>
    <mergeCell ref="D2910:D2911"/>
    <mergeCell ref="E2910:E2911"/>
    <mergeCell ref="F2910:F2911"/>
    <mergeCell ref="G2910:G2911"/>
    <mergeCell ref="H2910:H2911"/>
    <mergeCell ref="I2910:I2911"/>
    <mergeCell ref="J2910:J2911"/>
    <mergeCell ref="K2910:K2911"/>
    <mergeCell ref="L2910:L2911"/>
    <mergeCell ref="M2910:M2911"/>
    <mergeCell ref="N2910:N2911"/>
    <mergeCell ref="A2915:A2916"/>
    <mergeCell ref="B2915:B2916"/>
    <mergeCell ref="C2915:C2916"/>
    <mergeCell ref="D2915:D2916"/>
    <mergeCell ref="E2915:E2916"/>
    <mergeCell ref="F2915:F2916"/>
    <mergeCell ref="G2915:G2916"/>
    <mergeCell ref="H2915:H2916"/>
    <mergeCell ref="I2915:I2916"/>
    <mergeCell ref="J2915:J2916"/>
    <mergeCell ref="K2915:K2916"/>
    <mergeCell ref="L2915:L2916"/>
    <mergeCell ref="M2915:M2916"/>
    <mergeCell ref="N2915:N2916"/>
    <mergeCell ref="A2920:A2921"/>
    <mergeCell ref="B2920:B2921"/>
    <mergeCell ref="C2920:C2921"/>
    <mergeCell ref="D2920:D2921"/>
    <mergeCell ref="E2920:E2921"/>
    <mergeCell ref="F2920:F2921"/>
    <mergeCell ref="G2920:G2921"/>
    <mergeCell ref="H2920:H2921"/>
    <mergeCell ref="I2920:I2921"/>
    <mergeCell ref="J2920:J2921"/>
    <mergeCell ref="K2920:K2921"/>
    <mergeCell ref="L2920:L2921"/>
    <mergeCell ref="M2920:M2921"/>
    <mergeCell ref="N2920:N2921"/>
    <mergeCell ref="A2923:A2924"/>
    <mergeCell ref="B2923:B2924"/>
    <mergeCell ref="C2923:C2924"/>
    <mergeCell ref="D2923:D2924"/>
    <mergeCell ref="E2923:E2924"/>
    <mergeCell ref="F2923:F2924"/>
    <mergeCell ref="G2923:G2924"/>
    <mergeCell ref="H2923:H2924"/>
    <mergeCell ref="I2923:I2924"/>
    <mergeCell ref="J2923:J2924"/>
    <mergeCell ref="K2923:K2924"/>
    <mergeCell ref="L2923:L2924"/>
    <mergeCell ref="M2923:M2924"/>
    <mergeCell ref="N2923:N2924"/>
    <mergeCell ref="A2927:A2928"/>
    <mergeCell ref="B2927:B2928"/>
    <mergeCell ref="C2927:C2928"/>
    <mergeCell ref="D2927:D2928"/>
    <mergeCell ref="E2927:E2928"/>
    <mergeCell ref="F2927:F2928"/>
    <mergeCell ref="G2927:G2928"/>
    <mergeCell ref="H2927:H2928"/>
    <mergeCell ref="I2927:I2928"/>
    <mergeCell ref="J2927:J2928"/>
    <mergeCell ref="K2927:K2928"/>
    <mergeCell ref="L2927:L2928"/>
    <mergeCell ref="M2927:M2928"/>
    <mergeCell ref="N2927:N2928"/>
    <mergeCell ref="A2930:A2932"/>
    <mergeCell ref="B2930:B2932"/>
    <mergeCell ref="C2930:C2932"/>
    <mergeCell ref="D2930:D2932"/>
    <mergeCell ref="E2930:E2932"/>
    <mergeCell ref="F2930:F2932"/>
    <mergeCell ref="G2930:G2932"/>
    <mergeCell ref="H2930:H2932"/>
    <mergeCell ref="I2930:I2932"/>
    <mergeCell ref="J2930:J2932"/>
    <mergeCell ref="K2930:K2932"/>
    <mergeCell ref="L2930:L2932"/>
    <mergeCell ref="M2930:M2932"/>
    <mergeCell ref="N2930:N2932"/>
    <mergeCell ref="A2935:A2938"/>
    <mergeCell ref="B2935:B2938"/>
    <mergeCell ref="C2935:C2938"/>
    <mergeCell ref="D2935:D2938"/>
    <mergeCell ref="E2935:E2938"/>
    <mergeCell ref="F2935:F2938"/>
    <mergeCell ref="G2935:G2938"/>
    <mergeCell ref="H2935:H2938"/>
    <mergeCell ref="I2935:I2938"/>
    <mergeCell ref="J2935:J2938"/>
    <mergeCell ref="K2935:K2938"/>
    <mergeCell ref="L2935:L2938"/>
    <mergeCell ref="M2935:M2938"/>
    <mergeCell ref="N2935:N2938"/>
    <mergeCell ref="A2942:A2943"/>
    <mergeCell ref="B2942:B2943"/>
    <mergeCell ref="C2942:C2943"/>
    <mergeCell ref="D2942:D2943"/>
    <mergeCell ref="E2942:E2943"/>
    <mergeCell ref="F2942:F2943"/>
    <mergeCell ref="G2942:G2943"/>
    <mergeCell ref="H2942:H2943"/>
    <mergeCell ref="I2942:I2943"/>
    <mergeCell ref="J2942:J2943"/>
    <mergeCell ref="K2942:K2943"/>
    <mergeCell ref="L2942:L2943"/>
    <mergeCell ref="M2942:M2943"/>
    <mergeCell ref="N2942:N2943"/>
    <mergeCell ref="A2951:A2952"/>
    <mergeCell ref="B2951:B2952"/>
    <mergeCell ref="C2951:C2952"/>
    <mergeCell ref="D2951:D2952"/>
    <mergeCell ref="E2951:E2952"/>
    <mergeCell ref="F2951:F2952"/>
    <mergeCell ref="G2951:G2952"/>
    <mergeCell ref="H2951:H2952"/>
    <mergeCell ref="I2951:I2952"/>
    <mergeCell ref="J2951:J2952"/>
    <mergeCell ref="K2951:K2952"/>
    <mergeCell ref="L2951:L2952"/>
    <mergeCell ref="M2951:M2952"/>
    <mergeCell ref="N2951:N2952"/>
    <mergeCell ref="A2954:A2961"/>
    <mergeCell ref="B2954:B2961"/>
    <mergeCell ref="C2954:C2961"/>
    <mergeCell ref="D2954:D2961"/>
    <mergeCell ref="E2954:E2961"/>
    <mergeCell ref="F2954:F2961"/>
    <mergeCell ref="G2954:G2961"/>
    <mergeCell ref="H2954:H2961"/>
    <mergeCell ref="I2954:I2961"/>
    <mergeCell ref="J2954:J2961"/>
    <mergeCell ref="K2954:K2961"/>
    <mergeCell ref="L2954:L2961"/>
    <mergeCell ref="M2954:M2961"/>
    <mergeCell ref="N2954:N2961"/>
    <mergeCell ref="A2969:A2972"/>
    <mergeCell ref="B2969:B2972"/>
    <mergeCell ref="C2969:C2972"/>
    <mergeCell ref="D2969:D2972"/>
    <mergeCell ref="E2969:E2972"/>
    <mergeCell ref="F2969:F2972"/>
    <mergeCell ref="G2969:G2972"/>
    <mergeCell ref="H2969:H2972"/>
    <mergeCell ref="I2969:I2972"/>
    <mergeCell ref="J2969:J2972"/>
    <mergeCell ref="K2969:K2972"/>
    <mergeCell ref="L2969:L2972"/>
    <mergeCell ref="M2969:M2972"/>
    <mergeCell ref="N2969:N2972"/>
    <mergeCell ref="A2977:A2978"/>
    <mergeCell ref="B2977:B2978"/>
    <mergeCell ref="C2977:C2978"/>
    <mergeCell ref="D2977:D2978"/>
    <mergeCell ref="E2977:E2978"/>
    <mergeCell ref="F2977:F2978"/>
    <mergeCell ref="G2977:G2978"/>
    <mergeCell ref="H2977:H2978"/>
    <mergeCell ref="I2977:I2978"/>
    <mergeCell ref="J2977:J2978"/>
    <mergeCell ref="K2977:K2978"/>
    <mergeCell ref="L2977:L2978"/>
    <mergeCell ref="M2977:M2978"/>
    <mergeCell ref="N2977:N2978"/>
    <mergeCell ref="A2989:A2992"/>
    <mergeCell ref="B2989:B2992"/>
    <mergeCell ref="C2989:C2992"/>
    <mergeCell ref="D2989:D2992"/>
    <mergeCell ref="E2989:E2992"/>
    <mergeCell ref="F2989:F2992"/>
    <mergeCell ref="G2989:G2992"/>
    <mergeCell ref="H2989:H2992"/>
    <mergeCell ref="I2989:I2992"/>
    <mergeCell ref="J2989:J2992"/>
    <mergeCell ref="K2989:K2992"/>
    <mergeCell ref="L2989:L2992"/>
    <mergeCell ref="M2989:M2992"/>
    <mergeCell ref="N2989:N2992"/>
    <mergeCell ref="A2996:A2997"/>
    <mergeCell ref="B2996:B2997"/>
    <mergeCell ref="C2996:C2997"/>
    <mergeCell ref="D2996:D2997"/>
    <mergeCell ref="E2996:E2997"/>
    <mergeCell ref="F2996:F2997"/>
    <mergeCell ref="G2996:G2997"/>
    <mergeCell ref="H2996:H2997"/>
    <mergeCell ref="I2996:I2997"/>
    <mergeCell ref="J2996:J2997"/>
    <mergeCell ref="K2996:K2997"/>
    <mergeCell ref="L2996:L2997"/>
    <mergeCell ref="M2996:M2997"/>
    <mergeCell ref="N2996:N2997"/>
    <mergeCell ref="A3001:A3002"/>
    <mergeCell ref="B3001:B3002"/>
    <mergeCell ref="C3001:C3002"/>
    <mergeCell ref="D3001:D3002"/>
    <mergeCell ref="E3001:E3002"/>
    <mergeCell ref="F3001:F3002"/>
    <mergeCell ref="G3001:G3002"/>
    <mergeCell ref="H3001:H3002"/>
    <mergeCell ref="I3001:I3002"/>
    <mergeCell ref="J3001:J3002"/>
    <mergeCell ref="K3001:K3002"/>
    <mergeCell ref="L3001:L3002"/>
    <mergeCell ref="M3001:M3002"/>
    <mergeCell ref="N3001:N3002"/>
    <mergeCell ref="A3003:A3006"/>
    <mergeCell ref="B3003:B3006"/>
    <mergeCell ref="C3003:C3006"/>
    <mergeCell ref="D3003:D3006"/>
    <mergeCell ref="E3003:E3006"/>
    <mergeCell ref="F3003:F3006"/>
    <mergeCell ref="G3003:G3006"/>
    <mergeCell ref="H3003:H3006"/>
    <mergeCell ref="I3003:I3006"/>
    <mergeCell ref="J3003:J3006"/>
    <mergeCell ref="K3003:K3006"/>
    <mergeCell ref="L3003:L3006"/>
    <mergeCell ref="M3003:M3006"/>
    <mergeCell ref="N3003:N3006"/>
    <mergeCell ref="A3008:A3010"/>
    <mergeCell ref="B3008:B3010"/>
    <mergeCell ref="C3008:C3010"/>
    <mergeCell ref="D3008:D3010"/>
    <mergeCell ref="E3008:E3010"/>
    <mergeCell ref="F3008:F3010"/>
    <mergeCell ref="G3008:G3010"/>
    <mergeCell ref="H3008:H3010"/>
    <mergeCell ref="I3008:I3010"/>
    <mergeCell ref="J3008:J3010"/>
    <mergeCell ref="K3008:K3010"/>
    <mergeCell ref="L3008:L3010"/>
    <mergeCell ref="M3008:M3010"/>
    <mergeCell ref="N3008:N3010"/>
    <mergeCell ref="A3044:A3045"/>
    <mergeCell ref="B3044:B3045"/>
    <mergeCell ref="C3044:C3045"/>
    <mergeCell ref="D3044:D3045"/>
    <mergeCell ref="E3044:E3045"/>
    <mergeCell ref="F3044:F3045"/>
    <mergeCell ref="G3044:G3045"/>
    <mergeCell ref="H3044:H3045"/>
    <mergeCell ref="I3044:I3045"/>
    <mergeCell ref="J3044:J3045"/>
    <mergeCell ref="K3044:K3045"/>
    <mergeCell ref="L3044:L3045"/>
    <mergeCell ref="M3044:M3045"/>
    <mergeCell ref="N3044:N3045"/>
    <mergeCell ref="A3051:A3053"/>
    <mergeCell ref="B3051:B3053"/>
    <mergeCell ref="C3051:C3053"/>
    <mergeCell ref="D3051:D3053"/>
    <mergeCell ref="E3051:E3053"/>
    <mergeCell ref="F3051:F3053"/>
    <mergeCell ref="G3051:G3053"/>
    <mergeCell ref="H3051:H3053"/>
    <mergeCell ref="I3051:I3053"/>
    <mergeCell ref="J3051:J3053"/>
    <mergeCell ref="K3051:K3053"/>
    <mergeCell ref="L3051:L3053"/>
    <mergeCell ref="M3051:M3053"/>
    <mergeCell ref="N3051:N3053"/>
    <mergeCell ref="A3055:A3057"/>
    <mergeCell ref="B3055:B3057"/>
    <mergeCell ref="C3055:C3057"/>
    <mergeCell ref="D3055:D3057"/>
    <mergeCell ref="E3055:E3057"/>
    <mergeCell ref="F3055:F3057"/>
    <mergeCell ref="G3055:G3057"/>
    <mergeCell ref="H3055:H3057"/>
    <mergeCell ref="I3055:I3057"/>
    <mergeCell ref="J3055:J3057"/>
    <mergeCell ref="K3055:K3057"/>
    <mergeCell ref="L3055:L3057"/>
    <mergeCell ref="M3055:M3057"/>
    <mergeCell ref="N3055:N3057"/>
    <mergeCell ref="A3064:A3065"/>
    <mergeCell ref="B3064:B3065"/>
    <mergeCell ref="C3064:C3065"/>
    <mergeCell ref="D3064:D3065"/>
    <mergeCell ref="E3064:E3065"/>
    <mergeCell ref="F3064:F3065"/>
    <mergeCell ref="G3064:G3065"/>
    <mergeCell ref="H3064:H3065"/>
    <mergeCell ref="I3064:I3065"/>
    <mergeCell ref="J3064:J3065"/>
    <mergeCell ref="K3064:K3065"/>
    <mergeCell ref="L3064:L3065"/>
    <mergeCell ref="M3064:M3065"/>
    <mergeCell ref="N3064:N3065"/>
    <mergeCell ref="A3069:A3071"/>
    <mergeCell ref="B3069:B3071"/>
    <mergeCell ref="C3069:C3071"/>
    <mergeCell ref="D3069:D3071"/>
    <mergeCell ref="E3069:E3071"/>
    <mergeCell ref="F3069:F3071"/>
    <mergeCell ref="G3069:G3071"/>
    <mergeCell ref="H3069:H3071"/>
    <mergeCell ref="I3069:I3071"/>
    <mergeCell ref="J3069:J3071"/>
    <mergeCell ref="K3069:K3071"/>
    <mergeCell ref="L3069:L3071"/>
    <mergeCell ref="M3069:M3071"/>
    <mergeCell ref="N3069:N3071"/>
    <mergeCell ref="A3077:A3079"/>
    <mergeCell ref="B3077:B3079"/>
    <mergeCell ref="C3077:C3079"/>
    <mergeCell ref="D3077:D3079"/>
    <mergeCell ref="E3077:E3079"/>
    <mergeCell ref="F3077:F3079"/>
    <mergeCell ref="G3077:G3079"/>
    <mergeCell ref="H3077:H3079"/>
    <mergeCell ref="I3077:I3079"/>
    <mergeCell ref="J3077:J3079"/>
    <mergeCell ref="K3077:K3079"/>
    <mergeCell ref="L3077:L3079"/>
    <mergeCell ref="M3077:M3079"/>
    <mergeCell ref="N3077:N3079"/>
    <mergeCell ref="A3082:A3083"/>
    <mergeCell ref="B3082:B3083"/>
    <mergeCell ref="C3082:C3083"/>
    <mergeCell ref="D3082:D3083"/>
    <mergeCell ref="E3082:E3083"/>
    <mergeCell ref="F3082:F3083"/>
    <mergeCell ref="G3082:G3083"/>
    <mergeCell ref="H3082:H3083"/>
    <mergeCell ref="I3082:I3083"/>
    <mergeCell ref="J3082:J3083"/>
    <mergeCell ref="K3082:K3083"/>
    <mergeCell ref="L3082:L3083"/>
    <mergeCell ref="M3082:M3083"/>
    <mergeCell ref="N3082:N3083"/>
    <mergeCell ref="A3095:A3098"/>
    <mergeCell ref="B3095:B3098"/>
    <mergeCell ref="C3095:C3098"/>
    <mergeCell ref="D3095:D3098"/>
    <mergeCell ref="E3095:E3098"/>
    <mergeCell ref="F3095:F3098"/>
    <mergeCell ref="G3095:G3098"/>
    <mergeCell ref="H3095:H3098"/>
    <mergeCell ref="I3095:I3098"/>
    <mergeCell ref="J3095:J3098"/>
    <mergeCell ref="K3095:K3098"/>
    <mergeCell ref="L3095:L3098"/>
    <mergeCell ref="M3095:M3098"/>
    <mergeCell ref="N3095:N3098"/>
    <mergeCell ref="A3099:A3103"/>
    <mergeCell ref="B3099:B3103"/>
    <mergeCell ref="C3099:C3103"/>
    <mergeCell ref="D3099:D3103"/>
    <mergeCell ref="E3099:E3103"/>
    <mergeCell ref="F3099:F3103"/>
    <mergeCell ref="G3099:G3103"/>
    <mergeCell ref="H3099:H3103"/>
    <mergeCell ref="I3099:I3103"/>
    <mergeCell ref="J3099:J3103"/>
    <mergeCell ref="K3099:K3103"/>
    <mergeCell ref="L3099:L3103"/>
    <mergeCell ref="M3099:M3103"/>
    <mergeCell ref="N3099:N3103"/>
    <mergeCell ref="A3116:A3119"/>
    <mergeCell ref="B3116:B3119"/>
    <mergeCell ref="C3116:C3119"/>
    <mergeCell ref="D3116:D3119"/>
    <mergeCell ref="E3116:E3119"/>
    <mergeCell ref="F3116:F3119"/>
    <mergeCell ref="G3116:G3119"/>
    <mergeCell ref="H3116:H3119"/>
    <mergeCell ref="I3116:I3119"/>
    <mergeCell ref="J3116:J3119"/>
    <mergeCell ref="K3116:K3119"/>
    <mergeCell ref="L3116:L3119"/>
    <mergeCell ref="M3116:M3119"/>
    <mergeCell ref="N3116:N3119"/>
    <mergeCell ref="A3121:A3124"/>
    <mergeCell ref="B3121:B3124"/>
    <mergeCell ref="C3121:C3124"/>
    <mergeCell ref="D3121:D3124"/>
    <mergeCell ref="E3121:E3124"/>
    <mergeCell ref="F3121:F3124"/>
    <mergeCell ref="G3121:G3124"/>
    <mergeCell ref="H3121:H3124"/>
    <mergeCell ref="I3121:I3124"/>
    <mergeCell ref="J3121:J3124"/>
    <mergeCell ref="K3121:K3124"/>
    <mergeCell ref="L3121:L3124"/>
    <mergeCell ref="M3121:M3124"/>
    <mergeCell ref="N3121:N3124"/>
    <mergeCell ref="A3125:A3126"/>
    <mergeCell ref="B3125:B3126"/>
    <mergeCell ref="C3125:C3126"/>
    <mergeCell ref="D3125:D3126"/>
    <mergeCell ref="E3125:E3126"/>
    <mergeCell ref="F3125:F3126"/>
    <mergeCell ref="G3125:G3126"/>
    <mergeCell ref="H3125:H3126"/>
    <mergeCell ref="I3125:I3126"/>
    <mergeCell ref="J3125:J3126"/>
    <mergeCell ref="K3125:K3126"/>
    <mergeCell ref="L3125:L3126"/>
    <mergeCell ref="M3125:M3126"/>
    <mergeCell ref="N3125:N3126"/>
    <mergeCell ref="A3136:A3137"/>
    <mergeCell ref="B3136:B3137"/>
    <mergeCell ref="C3136:C3137"/>
    <mergeCell ref="D3136:D3137"/>
    <mergeCell ref="E3136:E3137"/>
    <mergeCell ref="F3136:F3137"/>
    <mergeCell ref="G3136:G3137"/>
    <mergeCell ref="H3136:H3137"/>
    <mergeCell ref="I3136:I3137"/>
    <mergeCell ref="J3136:J3137"/>
    <mergeCell ref="K3136:K3137"/>
    <mergeCell ref="L3136:L3137"/>
    <mergeCell ref="M3136:M3137"/>
    <mergeCell ref="N3136:N3137"/>
    <mergeCell ref="A3154:A3156"/>
    <mergeCell ref="B3154:B3156"/>
    <mergeCell ref="C3154:C3156"/>
    <mergeCell ref="D3154:D3156"/>
    <mergeCell ref="E3154:E3156"/>
    <mergeCell ref="F3154:F3156"/>
    <mergeCell ref="G3154:G3156"/>
    <mergeCell ref="H3154:H3156"/>
    <mergeCell ref="I3154:I3156"/>
    <mergeCell ref="J3154:J3156"/>
    <mergeCell ref="K3154:K3156"/>
    <mergeCell ref="L3154:L3156"/>
    <mergeCell ref="M3154:M3156"/>
    <mergeCell ref="N3154:N3156"/>
    <mergeCell ref="A3160:A3163"/>
    <mergeCell ref="B3160:B3163"/>
    <mergeCell ref="C3160:C3163"/>
    <mergeCell ref="D3160:D3163"/>
    <mergeCell ref="E3160:E3163"/>
    <mergeCell ref="F3160:F3163"/>
    <mergeCell ref="G3160:G3163"/>
    <mergeCell ref="H3160:H3163"/>
    <mergeCell ref="I3160:I3163"/>
    <mergeCell ref="J3160:J3163"/>
    <mergeCell ref="K3160:K3163"/>
    <mergeCell ref="L3160:L3163"/>
    <mergeCell ref="M3160:M3163"/>
    <mergeCell ref="N3160:N3163"/>
    <mergeCell ref="A3172:A3173"/>
    <mergeCell ref="B3172:B3173"/>
    <mergeCell ref="C3172:C3173"/>
    <mergeCell ref="D3172:D3173"/>
    <mergeCell ref="E3172:E3173"/>
    <mergeCell ref="F3172:F3173"/>
    <mergeCell ref="G3172:G3173"/>
    <mergeCell ref="H3172:H3173"/>
    <mergeCell ref="I3172:I3173"/>
    <mergeCell ref="J3172:J3173"/>
    <mergeCell ref="K3172:K3173"/>
    <mergeCell ref="L3172:L3173"/>
    <mergeCell ref="M3172:M3173"/>
    <mergeCell ref="N3172:N3173"/>
    <mergeCell ref="A3175:A3178"/>
    <mergeCell ref="B3175:B3178"/>
    <mergeCell ref="C3175:C3178"/>
    <mergeCell ref="D3175:D3178"/>
    <mergeCell ref="E3175:E3178"/>
    <mergeCell ref="F3175:F3178"/>
    <mergeCell ref="G3175:G3178"/>
    <mergeCell ref="H3175:H3178"/>
    <mergeCell ref="I3175:I3178"/>
    <mergeCell ref="J3175:J3178"/>
    <mergeCell ref="K3175:K3178"/>
    <mergeCell ref="L3175:L3178"/>
    <mergeCell ref="M3175:M3178"/>
    <mergeCell ref="N3175:N3178"/>
    <mergeCell ref="A3214:A3215"/>
    <mergeCell ref="B3214:B3215"/>
    <mergeCell ref="C3214:C3215"/>
    <mergeCell ref="D3214:D3215"/>
    <mergeCell ref="E3214:E3215"/>
    <mergeCell ref="F3214:F3215"/>
    <mergeCell ref="G3214:G3215"/>
    <mergeCell ref="H3214:H3215"/>
    <mergeCell ref="I3214:I3215"/>
    <mergeCell ref="J3214:J3215"/>
    <mergeCell ref="K3214:K3215"/>
    <mergeCell ref="L3214:L3215"/>
    <mergeCell ref="M3214:M3215"/>
    <mergeCell ref="N3214:N3215"/>
    <mergeCell ref="A3223:A3224"/>
    <mergeCell ref="B3223:B3224"/>
    <mergeCell ref="C3223:C3224"/>
    <mergeCell ref="D3223:D3224"/>
    <mergeCell ref="E3223:E3224"/>
    <mergeCell ref="F3223:F3224"/>
    <mergeCell ref="G3223:G3224"/>
    <mergeCell ref="H3223:H3224"/>
    <mergeCell ref="I3223:I3224"/>
    <mergeCell ref="J3223:J3224"/>
    <mergeCell ref="K3223:K3224"/>
    <mergeCell ref="L3223:L3224"/>
    <mergeCell ref="M3223:M3224"/>
    <mergeCell ref="N3223:N3224"/>
    <mergeCell ref="A3225:A3226"/>
    <mergeCell ref="B3225:B3226"/>
    <mergeCell ref="C3225:C3226"/>
    <mergeCell ref="D3225:D3226"/>
    <mergeCell ref="E3225:E3226"/>
    <mergeCell ref="F3225:F3226"/>
    <mergeCell ref="G3225:G3226"/>
    <mergeCell ref="H3225:H3226"/>
    <mergeCell ref="I3225:I3226"/>
    <mergeCell ref="J3225:J3226"/>
    <mergeCell ref="K3225:K3226"/>
    <mergeCell ref="L3225:L3226"/>
    <mergeCell ref="M3225:M3226"/>
    <mergeCell ref="N3225:N3226"/>
    <mergeCell ref="A3230:A3233"/>
    <mergeCell ref="B3230:B3233"/>
    <mergeCell ref="C3230:C3233"/>
    <mergeCell ref="D3230:D3233"/>
    <mergeCell ref="E3230:E3233"/>
    <mergeCell ref="F3230:F3233"/>
    <mergeCell ref="G3230:G3233"/>
    <mergeCell ref="H3230:H3233"/>
    <mergeCell ref="I3230:I3233"/>
    <mergeCell ref="J3230:J3233"/>
    <mergeCell ref="K3230:K3233"/>
    <mergeCell ref="L3230:L3233"/>
    <mergeCell ref="M3230:M3233"/>
    <mergeCell ref="N3230:N3233"/>
    <mergeCell ref="A3236:A3237"/>
    <mergeCell ref="B3236:B3237"/>
    <mergeCell ref="C3236:C3237"/>
    <mergeCell ref="D3236:D3237"/>
    <mergeCell ref="E3236:E3237"/>
    <mergeCell ref="F3236:F3237"/>
    <mergeCell ref="G3236:G3237"/>
    <mergeCell ref="H3236:H3237"/>
    <mergeCell ref="I3236:I3237"/>
    <mergeCell ref="J3236:J3237"/>
    <mergeCell ref="K3236:K3237"/>
    <mergeCell ref="L3236:L3237"/>
    <mergeCell ref="M3236:M3237"/>
    <mergeCell ref="N3236:N3237"/>
    <mergeCell ref="A3238:A3239"/>
    <mergeCell ref="B3238:B3239"/>
    <mergeCell ref="C3238:C3239"/>
    <mergeCell ref="D3238:D3239"/>
    <mergeCell ref="E3238:E3239"/>
    <mergeCell ref="F3238:F3239"/>
    <mergeCell ref="G3238:G3239"/>
    <mergeCell ref="H3238:H3239"/>
    <mergeCell ref="I3238:I3239"/>
    <mergeCell ref="J3238:J3239"/>
    <mergeCell ref="K3238:K3239"/>
    <mergeCell ref="L3238:L3239"/>
    <mergeCell ref="M3238:M3239"/>
    <mergeCell ref="N3238:N3239"/>
    <mergeCell ref="A3240:A3242"/>
    <mergeCell ref="B3240:B3242"/>
    <mergeCell ref="C3240:C3242"/>
    <mergeCell ref="D3240:D3242"/>
    <mergeCell ref="E3240:E3242"/>
    <mergeCell ref="F3240:F3242"/>
    <mergeCell ref="G3240:G3242"/>
    <mergeCell ref="H3240:H3242"/>
    <mergeCell ref="I3240:I3242"/>
    <mergeCell ref="J3240:J3242"/>
    <mergeCell ref="K3240:K3242"/>
    <mergeCell ref="L3240:L3242"/>
    <mergeCell ref="M3240:M3242"/>
    <mergeCell ref="N3240:N3242"/>
    <mergeCell ref="A3245:A3246"/>
    <mergeCell ref="B3245:B3246"/>
    <mergeCell ref="C3245:C3246"/>
    <mergeCell ref="D3245:D3246"/>
    <mergeCell ref="E3245:E3246"/>
    <mergeCell ref="F3245:F3246"/>
    <mergeCell ref="G3245:G3246"/>
    <mergeCell ref="H3245:H3246"/>
    <mergeCell ref="I3245:I3246"/>
    <mergeCell ref="J3245:J3246"/>
    <mergeCell ref="K3245:K3246"/>
    <mergeCell ref="L3245:L3246"/>
    <mergeCell ref="M3245:M3246"/>
    <mergeCell ref="N3245:N3246"/>
    <mergeCell ref="A3255:A3256"/>
    <mergeCell ref="B3255:B3256"/>
    <mergeCell ref="C3255:C3256"/>
    <mergeCell ref="D3255:D3256"/>
    <mergeCell ref="E3255:E3256"/>
    <mergeCell ref="F3255:F3256"/>
    <mergeCell ref="G3255:G3256"/>
    <mergeCell ref="H3255:H3256"/>
    <mergeCell ref="I3255:I3256"/>
    <mergeCell ref="J3255:J3256"/>
    <mergeCell ref="K3255:K3256"/>
    <mergeCell ref="L3255:L3256"/>
    <mergeCell ref="M3255:M3256"/>
    <mergeCell ref="N3255:N3256"/>
    <mergeCell ref="A3259:A3261"/>
    <mergeCell ref="B3259:B3261"/>
    <mergeCell ref="C3259:C3261"/>
    <mergeCell ref="D3259:D3261"/>
    <mergeCell ref="E3259:E3261"/>
    <mergeCell ref="F3259:F3261"/>
    <mergeCell ref="G3259:G3261"/>
    <mergeCell ref="H3259:H3261"/>
    <mergeCell ref="I3259:I3261"/>
    <mergeCell ref="J3259:J3261"/>
    <mergeCell ref="K3259:K3261"/>
    <mergeCell ref="L3259:L3261"/>
    <mergeCell ref="M3259:M3261"/>
    <mergeCell ref="N3259:N3261"/>
    <mergeCell ref="A3263:A3264"/>
    <mergeCell ref="B3263:B3264"/>
    <mergeCell ref="C3263:C3264"/>
    <mergeCell ref="D3263:D3264"/>
    <mergeCell ref="E3263:E3264"/>
    <mergeCell ref="F3263:F3264"/>
    <mergeCell ref="G3263:G3264"/>
    <mergeCell ref="H3263:H3264"/>
    <mergeCell ref="I3263:I3264"/>
    <mergeCell ref="J3263:J3264"/>
    <mergeCell ref="K3263:K3264"/>
    <mergeCell ref="L3263:L3264"/>
    <mergeCell ref="M3263:M3264"/>
    <mergeCell ref="N3263:N3264"/>
    <mergeCell ref="A3265:A3266"/>
    <mergeCell ref="B3265:B3266"/>
    <mergeCell ref="C3265:C3266"/>
    <mergeCell ref="D3265:D3266"/>
    <mergeCell ref="E3265:E3266"/>
    <mergeCell ref="F3265:F3266"/>
    <mergeCell ref="G3265:G3266"/>
    <mergeCell ref="H3265:H3266"/>
    <mergeCell ref="I3265:I3266"/>
    <mergeCell ref="J3265:J3266"/>
    <mergeCell ref="K3265:K3266"/>
    <mergeCell ref="L3265:L3266"/>
    <mergeCell ref="M3265:M3266"/>
    <mergeCell ref="N3265:N3266"/>
    <mergeCell ref="A3270:A3271"/>
    <mergeCell ref="B3270:B3271"/>
    <mergeCell ref="C3270:C3271"/>
    <mergeCell ref="D3270:D3271"/>
    <mergeCell ref="E3270:E3271"/>
    <mergeCell ref="F3270:F3271"/>
    <mergeCell ref="G3270:G3271"/>
    <mergeCell ref="H3270:H3271"/>
    <mergeCell ref="I3270:I3271"/>
    <mergeCell ref="J3270:J3271"/>
    <mergeCell ref="K3270:K3271"/>
    <mergeCell ref="L3270:L3271"/>
    <mergeCell ref="M3270:M3271"/>
    <mergeCell ref="N3270:N3271"/>
    <mergeCell ref="A3277:A3278"/>
    <mergeCell ref="B3277:B3278"/>
    <mergeCell ref="C3277:C3278"/>
    <mergeCell ref="D3277:D3278"/>
    <mergeCell ref="E3277:E3278"/>
    <mergeCell ref="F3277:F3278"/>
    <mergeCell ref="G3277:G3278"/>
    <mergeCell ref="H3277:H3278"/>
    <mergeCell ref="I3277:I3278"/>
    <mergeCell ref="J3277:J3278"/>
    <mergeCell ref="K3277:K3278"/>
    <mergeCell ref="L3277:L3278"/>
    <mergeCell ref="M3277:M3278"/>
    <mergeCell ref="N3277:N3278"/>
    <mergeCell ref="A3282:A3283"/>
    <mergeCell ref="B3282:B3283"/>
    <mergeCell ref="C3282:C3283"/>
    <mergeCell ref="D3282:D3283"/>
    <mergeCell ref="E3282:E3283"/>
    <mergeCell ref="F3282:F3283"/>
    <mergeCell ref="G3282:G3283"/>
    <mergeCell ref="H3282:H3283"/>
    <mergeCell ref="I3282:I3283"/>
    <mergeCell ref="J3282:J3283"/>
    <mergeCell ref="K3282:K3283"/>
    <mergeCell ref="L3282:L3283"/>
    <mergeCell ref="M3282:M3283"/>
    <mergeCell ref="N3282:N3283"/>
    <mergeCell ref="A3288:A3289"/>
    <mergeCell ref="B3288:B3289"/>
    <mergeCell ref="C3288:C3289"/>
    <mergeCell ref="D3288:D3289"/>
    <mergeCell ref="E3288:E3289"/>
    <mergeCell ref="F3288:F3289"/>
    <mergeCell ref="G3288:G3289"/>
    <mergeCell ref="H3288:H3289"/>
    <mergeCell ref="I3288:I3289"/>
    <mergeCell ref="J3288:J3289"/>
    <mergeCell ref="K3288:K3289"/>
    <mergeCell ref="L3288:L3289"/>
    <mergeCell ref="M3288:M3289"/>
    <mergeCell ref="N3288:N3289"/>
    <mergeCell ref="A3292:A3293"/>
    <mergeCell ref="B3292:B3293"/>
    <mergeCell ref="C3292:C3293"/>
    <mergeCell ref="D3292:D3293"/>
    <mergeCell ref="E3292:E3293"/>
    <mergeCell ref="F3292:F3293"/>
    <mergeCell ref="G3292:G3293"/>
    <mergeCell ref="H3292:H3293"/>
    <mergeCell ref="I3292:I3293"/>
    <mergeCell ref="J3292:J3293"/>
    <mergeCell ref="K3292:K3293"/>
    <mergeCell ref="L3292:L3293"/>
    <mergeCell ref="M3292:M3293"/>
    <mergeCell ref="N3292:N3293"/>
    <mergeCell ref="A3296:A3298"/>
    <mergeCell ref="B3296:B3298"/>
    <mergeCell ref="C3296:C3298"/>
    <mergeCell ref="D3296:D3298"/>
    <mergeCell ref="E3296:E3298"/>
    <mergeCell ref="F3296:F3298"/>
    <mergeCell ref="G3296:G3298"/>
    <mergeCell ref="H3296:H3298"/>
    <mergeCell ref="I3296:I3298"/>
    <mergeCell ref="J3296:J3298"/>
    <mergeCell ref="K3296:K3298"/>
    <mergeCell ref="L3296:L3298"/>
    <mergeCell ref="M3296:M3298"/>
    <mergeCell ref="N3296:N3298"/>
    <mergeCell ref="A3300:A3301"/>
    <mergeCell ref="B3300:B3301"/>
    <mergeCell ref="C3300:C3301"/>
    <mergeCell ref="D3300:D3301"/>
    <mergeCell ref="E3300:E3301"/>
    <mergeCell ref="F3300:F3301"/>
    <mergeCell ref="G3300:G3301"/>
    <mergeCell ref="H3300:H3301"/>
    <mergeCell ref="I3300:I3301"/>
    <mergeCell ref="J3300:J3301"/>
    <mergeCell ref="K3300:K3301"/>
    <mergeCell ref="L3300:L3301"/>
    <mergeCell ref="M3300:M3301"/>
    <mergeCell ref="N3300:N3301"/>
    <mergeCell ref="A3308:A3310"/>
    <mergeCell ref="B3308:B3310"/>
    <mergeCell ref="C3308:C3310"/>
    <mergeCell ref="D3308:D3310"/>
    <mergeCell ref="E3308:E3310"/>
    <mergeCell ref="F3308:F3310"/>
    <mergeCell ref="G3308:G3310"/>
    <mergeCell ref="H3308:H3310"/>
    <mergeCell ref="I3308:I3310"/>
    <mergeCell ref="J3308:J3310"/>
    <mergeCell ref="K3308:K3310"/>
    <mergeCell ref="L3308:L3310"/>
    <mergeCell ref="M3308:M3310"/>
    <mergeCell ref="N3308:N3310"/>
    <mergeCell ref="A3316:A3319"/>
    <mergeCell ref="B3316:B3319"/>
    <mergeCell ref="C3316:C3319"/>
    <mergeCell ref="D3316:D3319"/>
    <mergeCell ref="E3316:E3319"/>
    <mergeCell ref="F3316:F3319"/>
    <mergeCell ref="G3316:G3319"/>
    <mergeCell ref="H3316:H3319"/>
    <mergeCell ref="I3316:I3319"/>
    <mergeCell ref="J3316:J3319"/>
    <mergeCell ref="K3316:K3319"/>
    <mergeCell ref="L3316:L3319"/>
    <mergeCell ref="M3316:M3319"/>
    <mergeCell ref="N3316:N3319"/>
    <mergeCell ref="A3330:A3332"/>
    <mergeCell ref="B3330:B3332"/>
    <mergeCell ref="C3330:C3332"/>
    <mergeCell ref="D3330:D3332"/>
    <mergeCell ref="E3330:E3332"/>
    <mergeCell ref="F3330:F3332"/>
    <mergeCell ref="G3330:G3332"/>
    <mergeCell ref="H3330:H3332"/>
    <mergeCell ref="I3330:I3332"/>
    <mergeCell ref="J3330:J3332"/>
    <mergeCell ref="K3330:K3332"/>
    <mergeCell ref="L3330:L3332"/>
    <mergeCell ref="M3330:M3332"/>
    <mergeCell ref="N3330:N3332"/>
    <mergeCell ref="A3340:A3341"/>
    <mergeCell ref="B3340:B3341"/>
    <mergeCell ref="C3340:C3341"/>
    <mergeCell ref="D3340:D3341"/>
    <mergeCell ref="E3340:E3341"/>
    <mergeCell ref="F3340:F3341"/>
    <mergeCell ref="G3340:G3341"/>
    <mergeCell ref="H3340:H3341"/>
    <mergeCell ref="I3340:I3341"/>
    <mergeCell ref="J3340:J3341"/>
    <mergeCell ref="K3340:K3341"/>
    <mergeCell ref="L3340:L3341"/>
    <mergeCell ref="M3340:M3341"/>
    <mergeCell ref="N3340:N3341"/>
    <mergeCell ref="A3351:A3352"/>
    <mergeCell ref="B3351:B3352"/>
    <mergeCell ref="C3351:C3352"/>
    <mergeCell ref="D3351:D3352"/>
    <mergeCell ref="E3351:E3352"/>
    <mergeCell ref="F3351:F3352"/>
    <mergeCell ref="G3351:G3352"/>
    <mergeCell ref="H3351:H3352"/>
    <mergeCell ref="I3351:I3352"/>
    <mergeCell ref="J3351:J3352"/>
    <mergeCell ref="K3351:K3352"/>
    <mergeCell ref="L3351:L3352"/>
    <mergeCell ref="M3351:M3352"/>
    <mergeCell ref="N3351:N3352"/>
    <mergeCell ref="A3357:A3358"/>
    <mergeCell ref="B3357:B3358"/>
    <mergeCell ref="C3357:C3358"/>
    <mergeCell ref="D3357:D3358"/>
    <mergeCell ref="E3357:E3358"/>
    <mergeCell ref="F3357:F3358"/>
    <mergeCell ref="G3357:G3358"/>
    <mergeCell ref="H3357:H3358"/>
    <mergeCell ref="I3357:I3358"/>
    <mergeCell ref="J3357:J3358"/>
    <mergeCell ref="K3357:K3358"/>
    <mergeCell ref="L3357:L3358"/>
    <mergeCell ref="M3357:M3358"/>
    <mergeCell ref="N3357:N3358"/>
    <mergeCell ref="A3371:A3373"/>
    <mergeCell ref="B3371:B3373"/>
    <mergeCell ref="C3371:C3373"/>
    <mergeCell ref="D3371:D3373"/>
    <mergeCell ref="E3371:E3373"/>
    <mergeCell ref="F3371:F3373"/>
    <mergeCell ref="G3371:G3373"/>
    <mergeCell ref="H3371:H3373"/>
    <mergeCell ref="I3371:I3373"/>
    <mergeCell ref="J3371:J3373"/>
    <mergeCell ref="K3371:K3373"/>
    <mergeCell ref="L3371:L3373"/>
    <mergeCell ref="M3371:M3373"/>
    <mergeCell ref="N3371:N3373"/>
    <mergeCell ref="A3385:A3386"/>
    <mergeCell ref="B3385:B3386"/>
    <mergeCell ref="C3385:C3386"/>
    <mergeCell ref="D3385:D3386"/>
    <mergeCell ref="E3385:E3386"/>
    <mergeCell ref="F3385:F3386"/>
    <mergeCell ref="G3385:G3386"/>
    <mergeCell ref="H3385:H3386"/>
    <mergeCell ref="I3385:I3386"/>
    <mergeCell ref="J3385:J3386"/>
    <mergeCell ref="K3385:K3386"/>
    <mergeCell ref="L3385:L3386"/>
    <mergeCell ref="M3385:M3386"/>
    <mergeCell ref="N3385:N3386"/>
    <mergeCell ref="A3388:A3389"/>
    <mergeCell ref="B3388:B3389"/>
    <mergeCell ref="C3388:C3389"/>
    <mergeCell ref="D3388:D3389"/>
    <mergeCell ref="E3388:E3389"/>
    <mergeCell ref="F3388:F3389"/>
    <mergeCell ref="G3388:G3389"/>
    <mergeCell ref="H3388:H3389"/>
    <mergeCell ref="I3388:I3389"/>
    <mergeCell ref="J3388:J3389"/>
    <mergeCell ref="K3388:K3389"/>
    <mergeCell ref="L3388:L3389"/>
    <mergeCell ref="M3388:M3389"/>
    <mergeCell ref="N3388:N3389"/>
    <mergeCell ref="A3395:A3397"/>
    <mergeCell ref="B3395:B3397"/>
    <mergeCell ref="C3395:C3397"/>
    <mergeCell ref="D3395:D3397"/>
    <mergeCell ref="E3395:E3397"/>
    <mergeCell ref="F3395:F3397"/>
    <mergeCell ref="G3395:G3397"/>
    <mergeCell ref="H3395:H3397"/>
    <mergeCell ref="I3395:I3397"/>
    <mergeCell ref="J3395:J3397"/>
    <mergeCell ref="K3395:K3397"/>
    <mergeCell ref="L3395:L3397"/>
    <mergeCell ref="M3395:M3397"/>
    <mergeCell ref="N3395:N3397"/>
    <mergeCell ref="A3401:A3402"/>
    <mergeCell ref="B3401:B3402"/>
    <mergeCell ref="C3401:C3402"/>
    <mergeCell ref="D3401:D3402"/>
    <mergeCell ref="E3401:E3402"/>
    <mergeCell ref="F3401:F3402"/>
    <mergeCell ref="G3401:G3402"/>
    <mergeCell ref="H3401:H3402"/>
    <mergeCell ref="I3401:I3402"/>
    <mergeCell ref="J3401:J3402"/>
    <mergeCell ref="K3401:K3402"/>
    <mergeCell ref="L3401:L3402"/>
    <mergeCell ref="M3401:M3402"/>
    <mergeCell ref="N3401:N3402"/>
    <mergeCell ref="A3405:A3407"/>
    <mergeCell ref="B3405:B3407"/>
    <mergeCell ref="C3405:C3407"/>
    <mergeCell ref="D3405:D3407"/>
    <mergeCell ref="E3405:E3407"/>
    <mergeCell ref="F3405:F3407"/>
    <mergeCell ref="G3405:G3407"/>
    <mergeCell ref="H3405:H3407"/>
    <mergeCell ref="I3405:I3407"/>
    <mergeCell ref="J3405:J3407"/>
    <mergeCell ref="K3405:K3407"/>
    <mergeCell ref="L3405:L3407"/>
    <mergeCell ref="M3405:M3407"/>
    <mergeCell ref="N3405:N3407"/>
    <mergeCell ref="A3416:A3417"/>
    <mergeCell ref="B3416:B3417"/>
    <mergeCell ref="C3416:C3417"/>
    <mergeCell ref="D3416:D3417"/>
    <mergeCell ref="E3416:E3417"/>
    <mergeCell ref="F3416:F3417"/>
    <mergeCell ref="G3416:G3417"/>
    <mergeCell ref="H3416:H3417"/>
    <mergeCell ref="I3416:I3417"/>
    <mergeCell ref="J3416:J3417"/>
    <mergeCell ref="K3416:K3417"/>
    <mergeCell ref="L3416:L3417"/>
    <mergeCell ref="M3416:M3417"/>
    <mergeCell ref="N3416:N3417"/>
    <mergeCell ref="A3420:A3423"/>
    <mergeCell ref="B3420:B3423"/>
    <mergeCell ref="C3420:C3423"/>
    <mergeCell ref="D3420:D3423"/>
    <mergeCell ref="E3420:E3423"/>
    <mergeCell ref="F3420:F3423"/>
    <mergeCell ref="G3420:G3423"/>
    <mergeCell ref="H3420:H3423"/>
    <mergeCell ref="I3420:I3423"/>
    <mergeCell ref="J3420:J3423"/>
    <mergeCell ref="K3420:K3423"/>
    <mergeCell ref="L3420:L3423"/>
    <mergeCell ref="M3420:M3423"/>
    <mergeCell ref="N3420:N3423"/>
    <mergeCell ref="A3427:A3428"/>
    <mergeCell ref="B3427:B3428"/>
    <mergeCell ref="C3427:C3428"/>
    <mergeCell ref="D3427:D3428"/>
    <mergeCell ref="E3427:E3428"/>
    <mergeCell ref="F3427:F3428"/>
    <mergeCell ref="G3427:G3428"/>
    <mergeCell ref="H3427:H3428"/>
    <mergeCell ref="I3427:I3428"/>
    <mergeCell ref="J3427:J3428"/>
    <mergeCell ref="K3427:K3428"/>
    <mergeCell ref="L3427:L3428"/>
    <mergeCell ref="M3427:M3428"/>
    <mergeCell ref="N3427:N3428"/>
    <mergeCell ref="A3446:A3448"/>
    <mergeCell ref="B3446:B3448"/>
    <mergeCell ref="C3446:C3448"/>
    <mergeCell ref="D3446:D3448"/>
    <mergeCell ref="E3446:E3448"/>
    <mergeCell ref="F3446:F3448"/>
    <mergeCell ref="G3446:G3448"/>
    <mergeCell ref="H3446:H3448"/>
    <mergeCell ref="I3446:I3448"/>
    <mergeCell ref="J3446:J3448"/>
    <mergeCell ref="K3446:K3448"/>
    <mergeCell ref="L3446:L3448"/>
    <mergeCell ref="M3446:M3448"/>
    <mergeCell ref="N3446:N3448"/>
    <mergeCell ref="A3473:A3475"/>
    <mergeCell ref="B3473:B3475"/>
    <mergeCell ref="C3473:C3475"/>
    <mergeCell ref="D3473:D3475"/>
    <mergeCell ref="E3473:E3475"/>
    <mergeCell ref="F3473:F3475"/>
    <mergeCell ref="G3473:G3475"/>
    <mergeCell ref="H3473:H3475"/>
    <mergeCell ref="I3473:I3475"/>
    <mergeCell ref="J3473:J3475"/>
    <mergeCell ref="K3473:K3475"/>
    <mergeCell ref="L3473:L3475"/>
    <mergeCell ref="M3473:M3475"/>
    <mergeCell ref="N3473:N3475"/>
    <mergeCell ref="A3476:A3478"/>
    <mergeCell ref="B3476:B3478"/>
    <mergeCell ref="C3476:C3478"/>
    <mergeCell ref="D3476:D3478"/>
    <mergeCell ref="E3476:E3478"/>
    <mergeCell ref="F3476:F3478"/>
    <mergeCell ref="G3476:G3478"/>
    <mergeCell ref="H3476:H3478"/>
    <mergeCell ref="I3476:I3478"/>
    <mergeCell ref="J3476:J3478"/>
    <mergeCell ref="K3476:K3478"/>
    <mergeCell ref="L3476:L3478"/>
    <mergeCell ref="M3476:M3478"/>
    <mergeCell ref="N3476:N3478"/>
    <mergeCell ref="A3481:A3482"/>
    <mergeCell ref="B3481:B3482"/>
    <mergeCell ref="C3481:C3482"/>
    <mergeCell ref="D3481:D3482"/>
    <mergeCell ref="E3481:E3482"/>
    <mergeCell ref="F3481:F3482"/>
    <mergeCell ref="G3481:G3482"/>
    <mergeCell ref="H3481:H3482"/>
    <mergeCell ref="I3481:I3482"/>
    <mergeCell ref="J3481:J3482"/>
    <mergeCell ref="K3481:K3482"/>
    <mergeCell ref="L3481:L3482"/>
    <mergeCell ref="M3481:M3482"/>
    <mergeCell ref="N3481:N3482"/>
    <mergeCell ref="A3485:A3486"/>
    <mergeCell ref="B3485:B3486"/>
    <mergeCell ref="C3485:C3486"/>
    <mergeCell ref="D3485:D3486"/>
    <mergeCell ref="E3485:E3486"/>
    <mergeCell ref="F3485:F3486"/>
    <mergeCell ref="G3485:G3486"/>
    <mergeCell ref="H3485:H3486"/>
    <mergeCell ref="I3485:I3486"/>
    <mergeCell ref="J3485:J3486"/>
    <mergeCell ref="K3485:K3486"/>
    <mergeCell ref="L3485:L3486"/>
    <mergeCell ref="M3485:M3486"/>
    <mergeCell ref="N3485:N3486"/>
    <mergeCell ref="A3487:A3488"/>
    <mergeCell ref="B3487:B3488"/>
    <mergeCell ref="C3487:C3488"/>
    <mergeCell ref="D3487:D3488"/>
    <mergeCell ref="E3487:E3488"/>
    <mergeCell ref="F3487:F3488"/>
    <mergeCell ref="G3487:G3488"/>
    <mergeCell ref="H3487:H3488"/>
    <mergeCell ref="I3487:I3488"/>
    <mergeCell ref="J3487:J3488"/>
    <mergeCell ref="K3487:K3488"/>
    <mergeCell ref="L3487:L3488"/>
    <mergeCell ref="M3487:M3488"/>
    <mergeCell ref="N3487:N3488"/>
    <mergeCell ref="A3497:A3498"/>
    <mergeCell ref="B3497:B3498"/>
    <mergeCell ref="C3497:C3498"/>
    <mergeCell ref="D3497:D3498"/>
    <mergeCell ref="E3497:E3498"/>
    <mergeCell ref="F3497:F3498"/>
    <mergeCell ref="G3497:G3498"/>
    <mergeCell ref="H3497:H3498"/>
    <mergeCell ref="I3497:I3498"/>
    <mergeCell ref="J3497:J3498"/>
    <mergeCell ref="K3497:K3498"/>
    <mergeCell ref="L3497:L3498"/>
    <mergeCell ref="M3497:M3498"/>
    <mergeCell ref="N3497:N3498"/>
    <mergeCell ref="A3502:A3503"/>
    <mergeCell ref="B3502:B3503"/>
    <mergeCell ref="C3502:C3503"/>
    <mergeCell ref="D3502:D3503"/>
    <mergeCell ref="E3502:E3503"/>
    <mergeCell ref="F3502:F3503"/>
    <mergeCell ref="G3502:G3503"/>
    <mergeCell ref="H3502:H3503"/>
    <mergeCell ref="I3502:I3503"/>
    <mergeCell ref="J3502:J3503"/>
    <mergeCell ref="K3502:K3503"/>
    <mergeCell ref="L3502:L3503"/>
    <mergeCell ref="M3502:M3503"/>
    <mergeCell ref="N3502:N3503"/>
    <mergeCell ref="A3518:A3521"/>
    <mergeCell ref="B3518:B3521"/>
    <mergeCell ref="C3518:C3521"/>
    <mergeCell ref="D3518:D3521"/>
    <mergeCell ref="E3518:E3521"/>
    <mergeCell ref="F3518:F3521"/>
    <mergeCell ref="G3518:G3521"/>
    <mergeCell ref="H3518:H3521"/>
    <mergeCell ref="I3518:I3521"/>
    <mergeCell ref="J3518:J3521"/>
    <mergeCell ref="K3518:K3521"/>
    <mergeCell ref="L3518:L3521"/>
    <mergeCell ref="M3518:M3521"/>
    <mergeCell ref="N3518:N3521"/>
    <mergeCell ref="A3536:A3537"/>
    <mergeCell ref="B3536:B3537"/>
    <mergeCell ref="C3536:C3537"/>
    <mergeCell ref="D3536:D3537"/>
    <mergeCell ref="E3536:E3537"/>
    <mergeCell ref="F3536:F3537"/>
    <mergeCell ref="G3536:G3537"/>
    <mergeCell ref="H3536:H3537"/>
    <mergeCell ref="I3536:I3537"/>
    <mergeCell ref="J3536:J3537"/>
    <mergeCell ref="K3536:K3537"/>
    <mergeCell ref="L3536:L3537"/>
    <mergeCell ref="M3536:M3537"/>
    <mergeCell ref="N3536:N3537"/>
    <mergeCell ref="A3545:A3546"/>
    <mergeCell ref="B3545:B3546"/>
    <mergeCell ref="C3545:C3546"/>
    <mergeCell ref="D3545:D3546"/>
    <mergeCell ref="E3545:E3546"/>
    <mergeCell ref="F3545:F3546"/>
    <mergeCell ref="G3545:G3546"/>
    <mergeCell ref="H3545:H3546"/>
    <mergeCell ref="I3545:I3546"/>
    <mergeCell ref="J3545:J3546"/>
    <mergeCell ref="K3545:K3546"/>
    <mergeCell ref="L3545:L3546"/>
    <mergeCell ref="M3545:M3546"/>
    <mergeCell ref="N3545:N3546"/>
    <mergeCell ref="A3547:A3548"/>
    <mergeCell ref="B3547:B3548"/>
    <mergeCell ref="C3547:C3548"/>
    <mergeCell ref="D3547:D3548"/>
    <mergeCell ref="E3547:E3548"/>
    <mergeCell ref="F3547:F3548"/>
    <mergeCell ref="G3547:G3548"/>
    <mergeCell ref="H3547:H3548"/>
    <mergeCell ref="I3547:I3548"/>
    <mergeCell ref="J3547:J3548"/>
    <mergeCell ref="K3547:K3548"/>
    <mergeCell ref="L3547:L3548"/>
    <mergeCell ref="M3547:M3548"/>
    <mergeCell ref="N3547:N3548"/>
    <mergeCell ref="A3556:A3558"/>
    <mergeCell ref="B3556:B3558"/>
    <mergeCell ref="C3556:C3558"/>
    <mergeCell ref="D3556:D3558"/>
    <mergeCell ref="E3556:E3558"/>
    <mergeCell ref="F3556:F3558"/>
    <mergeCell ref="G3556:G3558"/>
    <mergeCell ref="H3556:H3558"/>
    <mergeCell ref="I3556:I3558"/>
    <mergeCell ref="J3556:J3558"/>
    <mergeCell ref="K3556:K3558"/>
    <mergeCell ref="L3556:L3558"/>
    <mergeCell ref="M3556:M3558"/>
    <mergeCell ref="N3556:N3558"/>
    <mergeCell ref="A3565:A3566"/>
    <mergeCell ref="B3565:B3566"/>
    <mergeCell ref="C3565:C3566"/>
    <mergeCell ref="D3565:D3566"/>
    <mergeCell ref="E3565:E3566"/>
    <mergeCell ref="F3565:F3566"/>
    <mergeCell ref="G3565:G3566"/>
    <mergeCell ref="H3565:H3566"/>
    <mergeCell ref="I3565:I3566"/>
    <mergeCell ref="J3565:J3566"/>
    <mergeCell ref="K3565:K3566"/>
    <mergeCell ref="L3565:L3566"/>
    <mergeCell ref="M3565:M3566"/>
    <mergeCell ref="N3565:N3566"/>
    <mergeCell ref="A3575:A3576"/>
    <mergeCell ref="B3575:B3576"/>
    <mergeCell ref="C3575:C3576"/>
    <mergeCell ref="D3575:D3576"/>
    <mergeCell ref="E3575:E3576"/>
    <mergeCell ref="F3575:F3576"/>
    <mergeCell ref="G3575:G3576"/>
    <mergeCell ref="H3575:H3576"/>
    <mergeCell ref="I3575:I3576"/>
    <mergeCell ref="J3575:J3576"/>
    <mergeCell ref="K3575:K3576"/>
    <mergeCell ref="L3575:L3576"/>
    <mergeCell ref="M3575:M3576"/>
    <mergeCell ref="N3575:N3576"/>
    <mergeCell ref="A3584:A3586"/>
    <mergeCell ref="B3584:B3586"/>
    <mergeCell ref="C3584:C3586"/>
    <mergeCell ref="D3584:D3586"/>
    <mergeCell ref="E3584:E3586"/>
    <mergeCell ref="F3584:F3586"/>
    <mergeCell ref="G3584:G3586"/>
    <mergeCell ref="H3584:H3586"/>
    <mergeCell ref="I3584:I3586"/>
    <mergeCell ref="J3584:J3586"/>
    <mergeCell ref="K3584:K3586"/>
    <mergeCell ref="L3584:L3586"/>
    <mergeCell ref="M3584:M3586"/>
    <mergeCell ref="N3584:N3586"/>
    <mergeCell ref="A3587:A3590"/>
    <mergeCell ref="B3587:B3590"/>
    <mergeCell ref="C3587:C3590"/>
    <mergeCell ref="D3587:D3590"/>
    <mergeCell ref="E3587:E3590"/>
    <mergeCell ref="F3587:F3590"/>
    <mergeCell ref="G3587:G3590"/>
    <mergeCell ref="H3587:H3590"/>
    <mergeCell ref="I3587:I3590"/>
    <mergeCell ref="J3587:J3590"/>
    <mergeCell ref="K3587:K3590"/>
    <mergeCell ref="L3587:L3590"/>
    <mergeCell ref="M3587:M3590"/>
    <mergeCell ref="N3587:N3590"/>
    <mergeCell ref="A3601:A3602"/>
    <mergeCell ref="B3601:B3602"/>
    <mergeCell ref="C3601:C3602"/>
    <mergeCell ref="D3601:D3602"/>
    <mergeCell ref="E3601:E3602"/>
    <mergeCell ref="F3601:F3602"/>
    <mergeCell ref="G3601:G3602"/>
    <mergeCell ref="H3601:H3602"/>
    <mergeCell ref="I3601:I3602"/>
    <mergeCell ref="J3601:J3602"/>
    <mergeCell ref="K3601:K3602"/>
    <mergeCell ref="L3601:L3602"/>
    <mergeCell ref="M3601:M3602"/>
    <mergeCell ref="N3601:N3602"/>
    <mergeCell ref="A3618:A3620"/>
    <mergeCell ref="B3618:B3620"/>
    <mergeCell ref="C3618:C3620"/>
    <mergeCell ref="D3618:D3620"/>
    <mergeCell ref="E3618:E3620"/>
    <mergeCell ref="F3618:F3620"/>
    <mergeCell ref="G3618:G3620"/>
    <mergeCell ref="H3618:H3620"/>
    <mergeCell ref="I3618:I3620"/>
    <mergeCell ref="J3618:J3620"/>
    <mergeCell ref="K3618:K3620"/>
    <mergeCell ref="L3618:L3620"/>
    <mergeCell ref="M3618:M3620"/>
    <mergeCell ref="N3618:N3620"/>
    <mergeCell ref="A3628:A3629"/>
    <mergeCell ref="B3628:B3629"/>
    <mergeCell ref="C3628:C3629"/>
    <mergeCell ref="D3628:D3629"/>
    <mergeCell ref="E3628:E3629"/>
    <mergeCell ref="F3628:F3629"/>
    <mergeCell ref="G3628:G3629"/>
    <mergeCell ref="H3628:H3629"/>
    <mergeCell ref="I3628:I3629"/>
    <mergeCell ref="J3628:J3629"/>
    <mergeCell ref="K3628:K3629"/>
    <mergeCell ref="L3628:L3629"/>
    <mergeCell ref="M3628:M3629"/>
    <mergeCell ref="N3628:N3629"/>
    <mergeCell ref="A3634:A3635"/>
    <mergeCell ref="B3634:B3635"/>
    <mergeCell ref="C3634:C3635"/>
    <mergeCell ref="D3634:D3635"/>
    <mergeCell ref="E3634:E3635"/>
    <mergeCell ref="F3634:F3635"/>
    <mergeCell ref="G3634:G3635"/>
    <mergeCell ref="H3634:H3635"/>
    <mergeCell ref="I3634:I3635"/>
    <mergeCell ref="J3634:J3635"/>
    <mergeCell ref="K3634:K3635"/>
    <mergeCell ref="L3634:L3635"/>
    <mergeCell ref="M3634:M3635"/>
    <mergeCell ref="N3634:N3635"/>
    <mergeCell ref="A3640:A3643"/>
    <mergeCell ref="B3640:B3643"/>
    <mergeCell ref="C3640:C3643"/>
    <mergeCell ref="D3640:D3643"/>
    <mergeCell ref="E3640:E3643"/>
    <mergeCell ref="F3640:F3643"/>
    <mergeCell ref="G3640:G3643"/>
    <mergeCell ref="H3640:H3643"/>
    <mergeCell ref="I3640:I3643"/>
    <mergeCell ref="J3640:J3643"/>
    <mergeCell ref="K3640:K3643"/>
    <mergeCell ref="L3640:L3643"/>
    <mergeCell ref="M3640:M3643"/>
    <mergeCell ref="N3640:N3643"/>
    <mergeCell ref="A3650:A3652"/>
    <mergeCell ref="B3650:B3652"/>
    <mergeCell ref="C3650:C3652"/>
    <mergeCell ref="D3650:D3652"/>
    <mergeCell ref="E3650:E3652"/>
    <mergeCell ref="F3650:F3652"/>
    <mergeCell ref="G3650:G3652"/>
    <mergeCell ref="H3650:H3652"/>
    <mergeCell ref="I3650:I3652"/>
    <mergeCell ref="J3650:J3652"/>
    <mergeCell ref="K3650:K3652"/>
    <mergeCell ref="L3650:L3652"/>
    <mergeCell ref="M3650:M3652"/>
    <mergeCell ref="N3650:N3652"/>
    <mergeCell ref="A3655:A3656"/>
    <mergeCell ref="B3655:B3656"/>
    <mergeCell ref="C3655:C3656"/>
    <mergeCell ref="D3655:D3656"/>
    <mergeCell ref="E3655:E3656"/>
    <mergeCell ref="F3655:F3656"/>
    <mergeCell ref="G3655:G3656"/>
    <mergeCell ref="H3655:H3656"/>
    <mergeCell ref="I3655:I3656"/>
    <mergeCell ref="J3655:J3656"/>
    <mergeCell ref="K3655:K3656"/>
    <mergeCell ref="L3655:L3656"/>
    <mergeCell ref="M3655:M3656"/>
    <mergeCell ref="N3655:N3656"/>
    <mergeCell ref="A3664:A3665"/>
    <mergeCell ref="B3664:B3665"/>
    <mergeCell ref="C3664:C3665"/>
    <mergeCell ref="D3664:D3665"/>
    <mergeCell ref="E3664:E3665"/>
    <mergeCell ref="F3664:F3665"/>
    <mergeCell ref="G3664:G3665"/>
    <mergeCell ref="H3664:H3665"/>
    <mergeCell ref="I3664:I3665"/>
    <mergeCell ref="J3664:J3665"/>
    <mergeCell ref="K3664:K3665"/>
    <mergeCell ref="L3664:L3665"/>
    <mergeCell ref="M3664:M3665"/>
    <mergeCell ref="N3664:N3665"/>
    <mergeCell ref="A3675:A3676"/>
    <mergeCell ref="B3675:B3676"/>
    <mergeCell ref="C3675:C3676"/>
    <mergeCell ref="D3675:D3676"/>
    <mergeCell ref="E3675:E3676"/>
    <mergeCell ref="F3675:F3676"/>
    <mergeCell ref="G3675:G3676"/>
    <mergeCell ref="H3675:H3676"/>
    <mergeCell ref="I3675:I3676"/>
    <mergeCell ref="J3675:J3676"/>
    <mergeCell ref="K3675:K3676"/>
    <mergeCell ref="L3675:L3676"/>
    <mergeCell ref="M3675:M3676"/>
    <mergeCell ref="N3675:N3676"/>
    <mergeCell ref="A3678:A3679"/>
    <mergeCell ref="B3678:B3679"/>
    <mergeCell ref="C3678:C3679"/>
    <mergeCell ref="D3678:D3679"/>
    <mergeCell ref="E3678:E3679"/>
    <mergeCell ref="F3678:F3679"/>
    <mergeCell ref="G3678:G3679"/>
    <mergeCell ref="H3678:H3679"/>
    <mergeCell ref="I3678:I3679"/>
    <mergeCell ref="J3678:J3679"/>
    <mergeCell ref="K3678:K3679"/>
    <mergeCell ref="L3678:L3679"/>
    <mergeCell ref="M3678:M3679"/>
    <mergeCell ref="N3678:N3679"/>
    <mergeCell ref="A3682:A3687"/>
    <mergeCell ref="B3682:B3687"/>
    <mergeCell ref="C3682:C3687"/>
    <mergeCell ref="D3682:D3687"/>
    <mergeCell ref="E3682:E3687"/>
    <mergeCell ref="F3682:F3687"/>
    <mergeCell ref="G3682:G3687"/>
    <mergeCell ref="H3682:H3687"/>
    <mergeCell ref="I3682:I3687"/>
    <mergeCell ref="J3682:J3687"/>
    <mergeCell ref="K3682:K3687"/>
    <mergeCell ref="L3682:L3687"/>
    <mergeCell ref="M3682:M3687"/>
    <mergeCell ref="N3682:N3687"/>
    <mergeCell ref="A3695:A3697"/>
    <mergeCell ref="B3695:B3697"/>
    <mergeCell ref="C3695:C3697"/>
    <mergeCell ref="D3695:D3697"/>
    <mergeCell ref="E3695:E3697"/>
    <mergeCell ref="F3695:F3697"/>
    <mergeCell ref="G3695:G3697"/>
    <mergeCell ref="H3695:H3697"/>
    <mergeCell ref="I3695:I3697"/>
    <mergeCell ref="J3695:J3697"/>
    <mergeCell ref="K3695:K3697"/>
    <mergeCell ref="L3695:L3697"/>
    <mergeCell ref="M3695:M3697"/>
    <mergeCell ref="N3695:N3697"/>
    <mergeCell ref="A3705:A3706"/>
    <mergeCell ref="B3705:B3706"/>
    <mergeCell ref="C3705:C3706"/>
    <mergeCell ref="D3705:D3706"/>
    <mergeCell ref="E3705:E3706"/>
    <mergeCell ref="F3705:F3706"/>
    <mergeCell ref="G3705:G3706"/>
    <mergeCell ref="H3705:H3706"/>
    <mergeCell ref="I3705:I3706"/>
    <mergeCell ref="J3705:J3706"/>
    <mergeCell ref="K3705:K3706"/>
    <mergeCell ref="L3705:L3706"/>
    <mergeCell ref="M3705:M3706"/>
    <mergeCell ref="N3705:N3706"/>
    <mergeCell ref="A3710:A3711"/>
    <mergeCell ref="B3710:B3711"/>
    <mergeCell ref="C3710:C3711"/>
    <mergeCell ref="D3710:D3711"/>
    <mergeCell ref="E3710:E3711"/>
    <mergeCell ref="F3710:F3711"/>
    <mergeCell ref="G3710:G3711"/>
    <mergeCell ref="H3710:H3711"/>
    <mergeCell ref="I3710:I3711"/>
    <mergeCell ref="J3710:J3711"/>
    <mergeCell ref="K3710:K3711"/>
    <mergeCell ref="L3710:L3711"/>
    <mergeCell ref="M3710:M3711"/>
    <mergeCell ref="N3710:N3711"/>
    <mergeCell ref="A3713:A3715"/>
    <mergeCell ref="B3713:B3715"/>
    <mergeCell ref="C3713:C3715"/>
    <mergeCell ref="D3713:D3715"/>
    <mergeCell ref="E3713:E3715"/>
    <mergeCell ref="F3713:F3715"/>
    <mergeCell ref="G3713:G3715"/>
    <mergeCell ref="H3713:H3715"/>
    <mergeCell ref="I3713:I3715"/>
    <mergeCell ref="J3713:J3715"/>
    <mergeCell ref="K3713:K3715"/>
    <mergeCell ref="L3713:L3715"/>
    <mergeCell ref="M3713:M3715"/>
    <mergeCell ref="N3713:N3715"/>
    <mergeCell ref="A3725:A3726"/>
    <mergeCell ref="B3725:B3726"/>
    <mergeCell ref="C3725:C3726"/>
    <mergeCell ref="D3725:D3726"/>
    <mergeCell ref="E3725:E3726"/>
    <mergeCell ref="F3725:F3726"/>
    <mergeCell ref="G3725:G3726"/>
    <mergeCell ref="H3725:H3726"/>
    <mergeCell ref="I3725:I3726"/>
    <mergeCell ref="J3725:J3726"/>
    <mergeCell ref="K3725:K3726"/>
    <mergeCell ref="L3725:L3726"/>
    <mergeCell ref="M3725:M3726"/>
    <mergeCell ref="N3725:N3726"/>
    <mergeCell ref="A3728:A3730"/>
    <mergeCell ref="B3728:B3730"/>
    <mergeCell ref="C3728:C3730"/>
    <mergeCell ref="D3728:D3730"/>
    <mergeCell ref="E3728:E3730"/>
    <mergeCell ref="F3728:F3730"/>
    <mergeCell ref="G3728:G3730"/>
    <mergeCell ref="H3728:H3730"/>
    <mergeCell ref="I3728:I3730"/>
    <mergeCell ref="J3728:J3730"/>
    <mergeCell ref="K3728:K3730"/>
    <mergeCell ref="L3728:L3730"/>
    <mergeCell ref="M3728:M3730"/>
    <mergeCell ref="N3728:N3730"/>
    <mergeCell ref="A3744:A3747"/>
    <mergeCell ref="B3744:B3747"/>
    <mergeCell ref="C3744:C3747"/>
    <mergeCell ref="D3744:D3747"/>
    <mergeCell ref="E3744:E3747"/>
    <mergeCell ref="F3744:F3747"/>
    <mergeCell ref="G3744:G3747"/>
    <mergeCell ref="H3744:H3747"/>
    <mergeCell ref="I3744:I3747"/>
    <mergeCell ref="J3744:J3747"/>
    <mergeCell ref="K3744:K3747"/>
    <mergeCell ref="L3744:L3747"/>
    <mergeCell ref="M3744:M3747"/>
    <mergeCell ref="N3744:N3747"/>
    <mergeCell ref="A3762:A3765"/>
    <mergeCell ref="B3762:B3765"/>
    <mergeCell ref="C3762:C3765"/>
    <mergeCell ref="D3762:D3765"/>
    <mergeCell ref="E3762:E3765"/>
    <mergeCell ref="F3762:F3765"/>
    <mergeCell ref="G3762:G3765"/>
    <mergeCell ref="H3762:H3765"/>
    <mergeCell ref="I3762:I3765"/>
    <mergeCell ref="J3762:J3765"/>
    <mergeCell ref="K3762:K3765"/>
    <mergeCell ref="L3762:L3765"/>
    <mergeCell ref="M3762:M3765"/>
    <mergeCell ref="N3762:N3765"/>
    <mergeCell ref="A3771:A3772"/>
    <mergeCell ref="B3771:B3772"/>
    <mergeCell ref="C3771:C3772"/>
    <mergeCell ref="D3771:D3772"/>
    <mergeCell ref="E3771:E3772"/>
    <mergeCell ref="F3771:F3772"/>
    <mergeCell ref="G3771:G3772"/>
    <mergeCell ref="H3771:H3772"/>
    <mergeCell ref="I3771:I3772"/>
    <mergeCell ref="J3771:J3772"/>
    <mergeCell ref="K3771:K3772"/>
    <mergeCell ref="L3771:L3772"/>
    <mergeCell ref="M3771:M3772"/>
    <mergeCell ref="N3771:N3772"/>
    <mergeCell ref="A3775:A3777"/>
    <mergeCell ref="B3775:B3777"/>
    <mergeCell ref="C3775:C3777"/>
    <mergeCell ref="D3775:D3777"/>
    <mergeCell ref="E3775:E3777"/>
    <mergeCell ref="F3775:F3777"/>
    <mergeCell ref="G3775:G3777"/>
    <mergeCell ref="H3775:H3777"/>
    <mergeCell ref="I3775:I3777"/>
    <mergeCell ref="J3775:J3777"/>
    <mergeCell ref="K3775:K3777"/>
    <mergeCell ref="L3775:L3777"/>
    <mergeCell ref="M3775:M3777"/>
    <mergeCell ref="N3775:N3777"/>
    <mergeCell ref="A3791:A3793"/>
    <mergeCell ref="B3791:B3793"/>
    <mergeCell ref="C3791:C3793"/>
    <mergeCell ref="D3791:D3793"/>
    <mergeCell ref="E3791:E3793"/>
    <mergeCell ref="F3791:F3793"/>
    <mergeCell ref="G3791:G3793"/>
    <mergeCell ref="H3791:H3793"/>
    <mergeCell ref="I3791:I3793"/>
    <mergeCell ref="J3791:J3793"/>
    <mergeCell ref="K3791:K3793"/>
    <mergeCell ref="L3791:L3793"/>
    <mergeCell ref="M3791:M3793"/>
    <mergeCell ref="N3791:N3793"/>
    <mergeCell ref="A3794:A3796"/>
    <mergeCell ref="B3794:B3796"/>
    <mergeCell ref="C3794:C3796"/>
    <mergeCell ref="D3794:D3796"/>
    <mergeCell ref="E3794:E3796"/>
    <mergeCell ref="F3794:F3796"/>
    <mergeCell ref="G3794:G3796"/>
    <mergeCell ref="H3794:H3796"/>
    <mergeCell ref="I3794:I3796"/>
    <mergeCell ref="J3794:J3796"/>
    <mergeCell ref="K3794:K3796"/>
    <mergeCell ref="L3794:L3796"/>
    <mergeCell ref="M3794:M3796"/>
    <mergeCell ref="N3794:N3796"/>
    <mergeCell ref="A3798:A3799"/>
    <mergeCell ref="B3798:B3799"/>
    <mergeCell ref="C3798:C3799"/>
    <mergeCell ref="D3798:D3799"/>
    <mergeCell ref="E3798:E3799"/>
    <mergeCell ref="F3798:F3799"/>
    <mergeCell ref="G3798:G3799"/>
    <mergeCell ref="H3798:H3799"/>
    <mergeCell ref="I3798:I3799"/>
    <mergeCell ref="J3798:J3799"/>
    <mergeCell ref="K3798:K3799"/>
    <mergeCell ref="L3798:L3799"/>
    <mergeCell ref="M3798:M3799"/>
    <mergeCell ref="N3798:N3799"/>
    <mergeCell ref="A3809:A3810"/>
    <mergeCell ref="B3809:B3810"/>
    <mergeCell ref="C3809:C3810"/>
    <mergeCell ref="D3809:D3810"/>
    <mergeCell ref="E3809:E3810"/>
    <mergeCell ref="F3809:F3810"/>
    <mergeCell ref="G3809:G3810"/>
    <mergeCell ref="H3809:H3810"/>
    <mergeCell ref="I3809:I3810"/>
    <mergeCell ref="J3809:J3810"/>
    <mergeCell ref="K3809:K3810"/>
    <mergeCell ref="L3809:L3810"/>
    <mergeCell ref="M3809:M3810"/>
    <mergeCell ref="N3809:N3810"/>
    <mergeCell ref="A3815:A3816"/>
    <mergeCell ref="B3815:B3816"/>
    <mergeCell ref="C3815:C3816"/>
    <mergeCell ref="D3815:D3816"/>
    <mergeCell ref="E3815:E3816"/>
    <mergeCell ref="F3815:F3816"/>
    <mergeCell ref="G3815:G3816"/>
    <mergeCell ref="H3815:H3816"/>
    <mergeCell ref="I3815:I3816"/>
    <mergeCell ref="J3815:J3816"/>
    <mergeCell ref="K3815:K3816"/>
    <mergeCell ref="L3815:L3816"/>
    <mergeCell ref="M3815:M3816"/>
    <mergeCell ref="N3815:N3816"/>
    <mergeCell ref="A3817:A3818"/>
    <mergeCell ref="B3817:B3818"/>
    <mergeCell ref="C3817:C3818"/>
    <mergeCell ref="D3817:D3818"/>
    <mergeCell ref="E3817:E3818"/>
    <mergeCell ref="F3817:F3818"/>
    <mergeCell ref="G3817:G3818"/>
    <mergeCell ref="H3817:H3818"/>
    <mergeCell ref="I3817:I3818"/>
    <mergeCell ref="J3817:J3818"/>
    <mergeCell ref="K3817:K3818"/>
    <mergeCell ref="L3817:L3818"/>
    <mergeCell ref="M3817:M3818"/>
    <mergeCell ref="N3817:N3818"/>
    <mergeCell ref="A3820:A3821"/>
    <mergeCell ref="B3820:B3821"/>
    <mergeCell ref="C3820:C3821"/>
    <mergeCell ref="D3820:D3821"/>
    <mergeCell ref="E3820:E3821"/>
    <mergeCell ref="F3820:F3821"/>
    <mergeCell ref="G3820:G3821"/>
    <mergeCell ref="H3820:H3821"/>
    <mergeCell ref="I3820:I3821"/>
    <mergeCell ref="J3820:J3821"/>
    <mergeCell ref="K3820:K3821"/>
    <mergeCell ref="L3820:L3821"/>
    <mergeCell ref="M3820:M3821"/>
    <mergeCell ref="N3820:N3821"/>
    <mergeCell ref="A3823:A3825"/>
    <mergeCell ref="B3823:B3825"/>
    <mergeCell ref="C3823:C3825"/>
    <mergeCell ref="D3823:D3825"/>
    <mergeCell ref="E3823:E3825"/>
    <mergeCell ref="F3823:F3825"/>
    <mergeCell ref="G3823:G3825"/>
    <mergeCell ref="H3823:H3825"/>
    <mergeCell ref="I3823:I3825"/>
    <mergeCell ref="J3823:J3825"/>
    <mergeCell ref="K3823:K3825"/>
    <mergeCell ref="L3823:L3825"/>
    <mergeCell ref="M3823:M3825"/>
    <mergeCell ref="N3823:N3825"/>
    <mergeCell ref="A3839:A3842"/>
    <mergeCell ref="B3839:B3842"/>
    <mergeCell ref="C3839:C3842"/>
    <mergeCell ref="D3839:D3842"/>
    <mergeCell ref="E3839:E3842"/>
    <mergeCell ref="F3839:F3842"/>
    <mergeCell ref="G3839:G3842"/>
    <mergeCell ref="H3839:H3842"/>
    <mergeCell ref="I3839:I3842"/>
    <mergeCell ref="J3839:J3842"/>
    <mergeCell ref="K3839:K3842"/>
    <mergeCell ref="L3839:L3842"/>
    <mergeCell ref="M3839:M3842"/>
    <mergeCell ref="N3839:N3842"/>
    <mergeCell ref="A3843:A3845"/>
    <mergeCell ref="B3843:B3845"/>
    <mergeCell ref="C3843:C3845"/>
    <mergeCell ref="D3843:D3845"/>
    <mergeCell ref="E3843:E3845"/>
    <mergeCell ref="F3843:F3845"/>
    <mergeCell ref="G3843:G3845"/>
    <mergeCell ref="H3843:H3845"/>
    <mergeCell ref="I3843:I3845"/>
    <mergeCell ref="J3843:J3845"/>
    <mergeCell ref="K3843:K3845"/>
    <mergeCell ref="L3843:L3845"/>
    <mergeCell ref="M3843:M3845"/>
    <mergeCell ref="N3843:N3845"/>
    <mergeCell ref="A3851:A3854"/>
    <mergeCell ref="B3851:B3854"/>
    <mergeCell ref="C3851:C3854"/>
    <mergeCell ref="D3851:D3854"/>
    <mergeCell ref="E3851:E3854"/>
    <mergeCell ref="F3851:F3854"/>
    <mergeCell ref="G3851:G3854"/>
    <mergeCell ref="H3851:H3854"/>
    <mergeCell ref="I3851:I3854"/>
    <mergeCell ref="J3851:J3854"/>
    <mergeCell ref="K3851:K3854"/>
    <mergeCell ref="L3851:L3854"/>
    <mergeCell ref="M3851:M3854"/>
    <mergeCell ref="N3851:N3854"/>
    <mergeCell ref="A3859:A3860"/>
    <mergeCell ref="B3859:B3860"/>
    <mergeCell ref="C3859:C3860"/>
    <mergeCell ref="D3859:D3860"/>
    <mergeCell ref="E3859:E3860"/>
    <mergeCell ref="F3859:F3860"/>
    <mergeCell ref="G3859:G3860"/>
    <mergeCell ref="H3859:H3860"/>
    <mergeCell ref="I3859:I3860"/>
    <mergeCell ref="J3859:J3860"/>
    <mergeCell ref="K3859:K3860"/>
    <mergeCell ref="L3859:L3860"/>
    <mergeCell ref="M3859:M3860"/>
    <mergeCell ref="N3859:N3860"/>
    <mergeCell ref="A3870:A3871"/>
    <mergeCell ref="B3870:B3871"/>
    <mergeCell ref="C3870:C3871"/>
    <mergeCell ref="D3870:D3871"/>
    <mergeCell ref="E3870:E3871"/>
    <mergeCell ref="F3870:F3871"/>
    <mergeCell ref="G3870:G3871"/>
    <mergeCell ref="H3870:H3871"/>
    <mergeCell ref="I3870:I3871"/>
    <mergeCell ref="J3870:J3871"/>
    <mergeCell ref="K3870:K3871"/>
    <mergeCell ref="L3870:L3871"/>
    <mergeCell ref="M3870:M3871"/>
    <mergeCell ref="N3870:N3871"/>
    <mergeCell ref="A3877:A3878"/>
    <mergeCell ref="B3877:B3878"/>
    <mergeCell ref="C3877:C3878"/>
    <mergeCell ref="D3877:D3878"/>
    <mergeCell ref="E3877:E3878"/>
    <mergeCell ref="F3877:F3878"/>
    <mergeCell ref="G3877:G3878"/>
    <mergeCell ref="H3877:H3878"/>
    <mergeCell ref="I3877:I3878"/>
    <mergeCell ref="J3877:J3878"/>
    <mergeCell ref="K3877:K3878"/>
    <mergeCell ref="L3877:L3878"/>
    <mergeCell ref="M3877:M3878"/>
    <mergeCell ref="N3877:N3878"/>
    <mergeCell ref="A3882:A3883"/>
    <mergeCell ref="B3882:B3883"/>
    <mergeCell ref="C3882:C3883"/>
    <mergeCell ref="D3882:D3883"/>
    <mergeCell ref="E3882:E3883"/>
    <mergeCell ref="F3882:F3883"/>
    <mergeCell ref="G3882:G3883"/>
    <mergeCell ref="H3882:H3883"/>
    <mergeCell ref="I3882:I3883"/>
    <mergeCell ref="J3882:J3883"/>
    <mergeCell ref="K3882:K3883"/>
    <mergeCell ref="L3882:L3883"/>
    <mergeCell ref="M3882:M3883"/>
    <mergeCell ref="N3882:N3883"/>
    <mergeCell ref="A3891:A3892"/>
    <mergeCell ref="B3891:B3892"/>
    <mergeCell ref="C3891:C3892"/>
    <mergeCell ref="D3891:D3892"/>
    <mergeCell ref="E3891:E3892"/>
    <mergeCell ref="F3891:F3892"/>
    <mergeCell ref="G3891:G3892"/>
    <mergeCell ref="H3891:H3892"/>
    <mergeCell ref="I3891:I3892"/>
    <mergeCell ref="J3891:J3892"/>
    <mergeCell ref="K3891:K3892"/>
    <mergeCell ref="L3891:L3892"/>
    <mergeCell ref="M3891:M3892"/>
    <mergeCell ref="N3891:N3892"/>
    <mergeCell ref="A3894:A3896"/>
    <mergeCell ref="B3894:B3896"/>
    <mergeCell ref="C3894:C3896"/>
    <mergeCell ref="D3894:D3896"/>
    <mergeCell ref="E3894:E3896"/>
    <mergeCell ref="F3894:F3896"/>
    <mergeCell ref="G3894:G3896"/>
    <mergeCell ref="H3894:H3896"/>
    <mergeCell ref="I3894:I3896"/>
    <mergeCell ref="J3894:J3896"/>
    <mergeCell ref="K3894:K3896"/>
    <mergeCell ref="L3894:L3896"/>
    <mergeCell ref="M3894:M3896"/>
    <mergeCell ref="N3894:N3896"/>
    <mergeCell ref="A3897:A3899"/>
    <mergeCell ref="B3897:B3899"/>
    <mergeCell ref="C3897:C3899"/>
    <mergeCell ref="D3897:D3899"/>
    <mergeCell ref="E3897:E3899"/>
    <mergeCell ref="F3897:F3899"/>
    <mergeCell ref="G3897:G3899"/>
    <mergeCell ref="H3897:H3899"/>
    <mergeCell ref="I3897:I3899"/>
    <mergeCell ref="J3897:J3899"/>
    <mergeCell ref="K3897:K3899"/>
    <mergeCell ref="L3897:L3899"/>
    <mergeCell ref="M3897:M3899"/>
    <mergeCell ref="N3897:N3899"/>
    <mergeCell ref="A3922:A3924"/>
    <mergeCell ref="B3922:B3924"/>
    <mergeCell ref="C3922:C3924"/>
    <mergeCell ref="D3922:D3924"/>
    <mergeCell ref="E3922:E3924"/>
    <mergeCell ref="F3922:F3924"/>
    <mergeCell ref="G3922:G3924"/>
    <mergeCell ref="H3922:H3924"/>
    <mergeCell ref="I3922:I3924"/>
    <mergeCell ref="J3922:J3924"/>
    <mergeCell ref="K3922:K3924"/>
    <mergeCell ref="L3922:L3924"/>
    <mergeCell ref="M3922:M3924"/>
    <mergeCell ref="N3922:N3924"/>
    <mergeCell ref="A3925:A3926"/>
    <mergeCell ref="B3925:B3926"/>
    <mergeCell ref="C3925:C3926"/>
    <mergeCell ref="D3925:D3926"/>
    <mergeCell ref="E3925:E3926"/>
    <mergeCell ref="F3925:F3926"/>
    <mergeCell ref="G3925:G3926"/>
    <mergeCell ref="H3925:H3926"/>
    <mergeCell ref="I3925:I3926"/>
    <mergeCell ref="J3925:J3926"/>
    <mergeCell ref="K3925:K3926"/>
    <mergeCell ref="L3925:L3926"/>
    <mergeCell ref="M3925:M3926"/>
    <mergeCell ref="N3925:N3926"/>
    <mergeCell ref="A3930:A3931"/>
    <mergeCell ref="B3930:B3931"/>
    <mergeCell ref="C3930:C3931"/>
    <mergeCell ref="D3930:D3931"/>
    <mergeCell ref="E3930:E3931"/>
    <mergeCell ref="F3930:F3931"/>
    <mergeCell ref="G3930:G3931"/>
    <mergeCell ref="H3930:H3931"/>
    <mergeCell ref="I3930:I3931"/>
    <mergeCell ref="J3930:J3931"/>
    <mergeCell ref="K3930:K3931"/>
    <mergeCell ref="L3930:L3931"/>
    <mergeCell ref="M3930:M3931"/>
    <mergeCell ref="N3930:N3931"/>
    <mergeCell ref="A3935:A3938"/>
    <mergeCell ref="B3935:B3938"/>
    <mergeCell ref="C3935:C3938"/>
    <mergeCell ref="D3935:D3938"/>
    <mergeCell ref="E3935:E3938"/>
    <mergeCell ref="F3935:F3938"/>
    <mergeCell ref="G3935:G3938"/>
    <mergeCell ref="H3935:H3938"/>
    <mergeCell ref="I3935:I3938"/>
    <mergeCell ref="J3935:J3938"/>
    <mergeCell ref="K3935:K3938"/>
    <mergeCell ref="L3935:L3938"/>
    <mergeCell ref="M3935:M3938"/>
    <mergeCell ref="N3935:N3938"/>
    <mergeCell ref="A3940:A3942"/>
    <mergeCell ref="B3940:B3942"/>
    <mergeCell ref="C3940:C3942"/>
    <mergeCell ref="D3940:D3942"/>
    <mergeCell ref="E3940:E3942"/>
    <mergeCell ref="F3940:F3942"/>
    <mergeCell ref="G3940:G3942"/>
    <mergeCell ref="H3940:H3942"/>
    <mergeCell ref="I3940:I3942"/>
    <mergeCell ref="J3940:J3942"/>
    <mergeCell ref="K3940:K3942"/>
    <mergeCell ref="L3940:L3942"/>
    <mergeCell ref="M3940:M3942"/>
    <mergeCell ref="N3940:N3942"/>
    <mergeCell ref="A3946:A3947"/>
    <mergeCell ref="B3946:B3947"/>
    <mergeCell ref="C3946:C3947"/>
    <mergeCell ref="D3946:D3947"/>
    <mergeCell ref="E3946:E3947"/>
    <mergeCell ref="F3946:F3947"/>
    <mergeCell ref="G3946:G3947"/>
    <mergeCell ref="H3946:H3947"/>
    <mergeCell ref="I3946:I3947"/>
    <mergeCell ref="J3946:J3947"/>
    <mergeCell ref="K3946:K3947"/>
    <mergeCell ref="L3946:L3947"/>
    <mergeCell ref="M3946:M3947"/>
    <mergeCell ref="N3946:N3947"/>
    <mergeCell ref="A3948:A3950"/>
    <mergeCell ref="B3948:B3950"/>
    <mergeCell ref="C3948:C3950"/>
    <mergeCell ref="D3948:D3950"/>
    <mergeCell ref="E3948:E3950"/>
    <mergeCell ref="F3948:F3950"/>
    <mergeCell ref="G3948:G3950"/>
    <mergeCell ref="H3948:H3950"/>
    <mergeCell ref="I3948:I3950"/>
    <mergeCell ref="J3948:J3950"/>
    <mergeCell ref="K3948:K3950"/>
    <mergeCell ref="L3948:L3950"/>
    <mergeCell ref="M3948:M3950"/>
    <mergeCell ref="N3948:N3950"/>
    <mergeCell ref="A3952:A3953"/>
    <mergeCell ref="B3952:B3953"/>
    <mergeCell ref="C3952:C3953"/>
    <mergeCell ref="D3952:D3953"/>
    <mergeCell ref="E3952:E3953"/>
    <mergeCell ref="F3952:F3953"/>
    <mergeCell ref="G3952:G3953"/>
    <mergeCell ref="H3952:H3953"/>
    <mergeCell ref="I3952:I3953"/>
    <mergeCell ref="J3952:J3953"/>
    <mergeCell ref="K3952:K3953"/>
    <mergeCell ref="L3952:L3953"/>
    <mergeCell ref="M3952:M3953"/>
    <mergeCell ref="N3952:N3953"/>
    <mergeCell ref="A3957:A3959"/>
    <mergeCell ref="B3957:B3959"/>
    <mergeCell ref="C3957:C3959"/>
    <mergeCell ref="D3957:D3959"/>
    <mergeCell ref="E3957:E3959"/>
    <mergeCell ref="F3957:F3959"/>
    <mergeCell ref="G3957:G3959"/>
    <mergeCell ref="H3957:H3959"/>
    <mergeCell ref="I3957:I3959"/>
    <mergeCell ref="J3957:J3959"/>
    <mergeCell ref="K3957:K3959"/>
    <mergeCell ref="L3957:L3959"/>
    <mergeCell ref="M3957:M3959"/>
    <mergeCell ref="N3957:N3959"/>
    <mergeCell ref="A3961:A3965"/>
    <mergeCell ref="B3961:B3965"/>
    <mergeCell ref="C3961:C3965"/>
    <mergeCell ref="D3961:D3965"/>
    <mergeCell ref="E3961:E3965"/>
    <mergeCell ref="F3961:F3965"/>
    <mergeCell ref="G3961:G3965"/>
    <mergeCell ref="H3961:H3965"/>
    <mergeCell ref="I3961:I3965"/>
    <mergeCell ref="J3961:J3965"/>
    <mergeCell ref="K3961:K3965"/>
    <mergeCell ref="L3961:L3965"/>
    <mergeCell ref="M3961:M3965"/>
    <mergeCell ref="N3961:N3965"/>
    <mergeCell ref="A3976:A3978"/>
    <mergeCell ref="B3976:B3978"/>
    <mergeCell ref="C3976:C3978"/>
    <mergeCell ref="D3976:D3978"/>
    <mergeCell ref="E3976:E3978"/>
    <mergeCell ref="F3976:F3978"/>
    <mergeCell ref="G3976:G3978"/>
    <mergeCell ref="H3976:H3978"/>
    <mergeCell ref="I3976:I3978"/>
    <mergeCell ref="J3976:J3978"/>
    <mergeCell ref="K3976:K3978"/>
    <mergeCell ref="L3976:L3978"/>
    <mergeCell ref="M3976:M3978"/>
    <mergeCell ref="N3976:N3978"/>
    <mergeCell ref="A3984:A3985"/>
    <mergeCell ref="B3984:B3985"/>
    <mergeCell ref="C3984:C3985"/>
    <mergeCell ref="D3984:D3985"/>
    <mergeCell ref="E3984:E3985"/>
    <mergeCell ref="F3984:F3985"/>
    <mergeCell ref="G3984:G3985"/>
    <mergeCell ref="H3984:H3985"/>
    <mergeCell ref="I3984:I3985"/>
    <mergeCell ref="J3984:J3985"/>
    <mergeCell ref="K3984:K3985"/>
    <mergeCell ref="L3984:L3985"/>
    <mergeCell ref="M3984:M3985"/>
    <mergeCell ref="N3984:N3985"/>
    <mergeCell ref="A4000:A4002"/>
    <mergeCell ref="B4000:B4002"/>
    <mergeCell ref="C4000:C4002"/>
    <mergeCell ref="D4000:D4002"/>
    <mergeCell ref="E4000:E4002"/>
    <mergeCell ref="F4000:F4002"/>
    <mergeCell ref="G4000:G4002"/>
    <mergeCell ref="H4000:H4002"/>
    <mergeCell ref="I4000:I4002"/>
    <mergeCell ref="J4000:J4002"/>
    <mergeCell ref="K4000:K4002"/>
    <mergeCell ref="L4000:L4002"/>
    <mergeCell ref="M4000:M4002"/>
    <mergeCell ref="N4000:N4002"/>
    <mergeCell ref="A4007:A4008"/>
    <mergeCell ref="B4007:B4008"/>
    <mergeCell ref="C4007:C4008"/>
    <mergeCell ref="D4007:D4008"/>
    <mergeCell ref="E4007:E4008"/>
    <mergeCell ref="F4007:F4008"/>
    <mergeCell ref="G4007:G4008"/>
    <mergeCell ref="H4007:H4008"/>
    <mergeCell ref="I4007:I4008"/>
    <mergeCell ref="J4007:J4008"/>
    <mergeCell ref="K4007:K4008"/>
    <mergeCell ref="L4007:L4008"/>
    <mergeCell ref="M4007:M4008"/>
    <mergeCell ref="N4007:N4008"/>
    <mergeCell ref="A4009:A4011"/>
    <mergeCell ref="B4009:B4011"/>
    <mergeCell ref="C4009:C4011"/>
    <mergeCell ref="D4009:D4011"/>
    <mergeCell ref="E4009:E4011"/>
    <mergeCell ref="F4009:F4011"/>
    <mergeCell ref="G4009:G4011"/>
    <mergeCell ref="H4009:H4011"/>
    <mergeCell ref="I4009:I4011"/>
    <mergeCell ref="J4009:J4011"/>
    <mergeCell ref="K4009:K4011"/>
    <mergeCell ref="L4009:L4011"/>
    <mergeCell ref="M4009:M4011"/>
    <mergeCell ref="N4009:N4011"/>
    <mergeCell ref="A4013:A4015"/>
    <mergeCell ref="B4013:B4015"/>
    <mergeCell ref="C4013:C4015"/>
    <mergeCell ref="D4013:D4015"/>
    <mergeCell ref="E4013:E4015"/>
    <mergeCell ref="F4013:F4015"/>
    <mergeCell ref="G4013:G4015"/>
    <mergeCell ref="H4013:H4015"/>
    <mergeCell ref="I4013:I4015"/>
    <mergeCell ref="J4013:J4015"/>
    <mergeCell ref="K4013:K4015"/>
    <mergeCell ref="L4013:L4015"/>
    <mergeCell ref="M4013:M4015"/>
    <mergeCell ref="N4013:N4015"/>
    <mergeCell ref="A4031:A4032"/>
    <mergeCell ref="B4031:B4032"/>
    <mergeCell ref="C4031:C4032"/>
    <mergeCell ref="D4031:D4032"/>
    <mergeCell ref="E4031:E4032"/>
    <mergeCell ref="F4031:F4032"/>
    <mergeCell ref="G4031:G4032"/>
    <mergeCell ref="H4031:H4032"/>
    <mergeCell ref="I4031:I4032"/>
    <mergeCell ref="J4031:J4032"/>
    <mergeCell ref="K4031:K4032"/>
    <mergeCell ref="L4031:L4032"/>
    <mergeCell ref="M4031:M4032"/>
    <mergeCell ref="N4031:N4032"/>
    <mergeCell ref="A4034:A4035"/>
    <mergeCell ref="B4034:B4035"/>
    <mergeCell ref="C4034:C4035"/>
    <mergeCell ref="D4034:D4035"/>
    <mergeCell ref="E4034:E4035"/>
    <mergeCell ref="F4034:F4035"/>
    <mergeCell ref="G4034:G4035"/>
    <mergeCell ref="H4034:H4035"/>
    <mergeCell ref="I4034:I4035"/>
    <mergeCell ref="J4034:J4035"/>
    <mergeCell ref="K4034:K4035"/>
    <mergeCell ref="L4034:L4035"/>
    <mergeCell ref="M4034:M4035"/>
    <mergeCell ref="N4034:N4035"/>
    <mergeCell ref="A4036:A4037"/>
    <mergeCell ref="B4036:B4037"/>
    <mergeCell ref="C4036:C4037"/>
    <mergeCell ref="D4036:D4037"/>
    <mergeCell ref="E4036:E4037"/>
    <mergeCell ref="F4036:F4037"/>
    <mergeCell ref="G4036:G4037"/>
    <mergeCell ref="H4036:H4037"/>
    <mergeCell ref="I4036:I4037"/>
    <mergeCell ref="J4036:J4037"/>
    <mergeCell ref="K4036:K4037"/>
    <mergeCell ref="L4036:L4037"/>
    <mergeCell ref="M4036:M4037"/>
    <mergeCell ref="N4036:N4037"/>
    <mergeCell ref="A4039:A4040"/>
    <mergeCell ref="B4039:B4040"/>
    <mergeCell ref="C4039:C4040"/>
    <mergeCell ref="D4039:D4040"/>
    <mergeCell ref="E4039:E4040"/>
    <mergeCell ref="F4039:F4040"/>
    <mergeCell ref="G4039:G4040"/>
    <mergeCell ref="H4039:H4040"/>
    <mergeCell ref="I4039:I4040"/>
    <mergeCell ref="J4039:J4040"/>
    <mergeCell ref="K4039:K4040"/>
    <mergeCell ref="L4039:L4040"/>
    <mergeCell ref="M4039:M4040"/>
    <mergeCell ref="N4039:N4040"/>
    <mergeCell ref="A4044:A4047"/>
    <mergeCell ref="B4044:B4047"/>
    <mergeCell ref="C4044:C4047"/>
    <mergeCell ref="D4044:D4047"/>
    <mergeCell ref="E4044:E4047"/>
    <mergeCell ref="F4044:F4047"/>
    <mergeCell ref="G4044:G4047"/>
    <mergeCell ref="H4044:H4047"/>
    <mergeCell ref="I4044:I4047"/>
    <mergeCell ref="J4044:J4047"/>
    <mergeCell ref="K4044:K4047"/>
    <mergeCell ref="L4044:L4047"/>
    <mergeCell ref="M4044:M4047"/>
    <mergeCell ref="N4044:N4047"/>
    <mergeCell ref="A4050:A4051"/>
    <mergeCell ref="B4050:B4051"/>
    <mergeCell ref="C4050:C4051"/>
    <mergeCell ref="D4050:D4051"/>
    <mergeCell ref="E4050:E4051"/>
    <mergeCell ref="F4050:F4051"/>
    <mergeCell ref="G4050:G4051"/>
    <mergeCell ref="H4050:H4051"/>
    <mergeCell ref="I4050:I4051"/>
    <mergeCell ref="J4050:J4051"/>
    <mergeCell ref="K4050:K4051"/>
    <mergeCell ref="L4050:L4051"/>
    <mergeCell ref="M4050:M4051"/>
    <mergeCell ref="N4050:N4051"/>
    <mergeCell ref="A4052:A4053"/>
    <mergeCell ref="B4052:B4053"/>
    <mergeCell ref="C4052:C4053"/>
    <mergeCell ref="D4052:D4053"/>
    <mergeCell ref="E4052:E4053"/>
    <mergeCell ref="F4052:F4053"/>
    <mergeCell ref="G4052:G4053"/>
    <mergeCell ref="H4052:H4053"/>
    <mergeCell ref="I4052:I4053"/>
    <mergeCell ref="J4052:J4053"/>
    <mergeCell ref="K4052:K4053"/>
    <mergeCell ref="L4052:L4053"/>
    <mergeCell ref="M4052:M4053"/>
    <mergeCell ref="N4052:N4053"/>
    <mergeCell ref="A4064:A4066"/>
    <mergeCell ref="B4064:B4066"/>
    <mergeCell ref="C4064:C4066"/>
    <mergeCell ref="D4064:D4066"/>
    <mergeCell ref="E4064:E4066"/>
    <mergeCell ref="F4064:F4066"/>
    <mergeCell ref="G4064:G4066"/>
    <mergeCell ref="H4064:H4066"/>
    <mergeCell ref="I4064:I4066"/>
    <mergeCell ref="J4064:J4066"/>
    <mergeCell ref="K4064:K4066"/>
    <mergeCell ref="L4064:L4066"/>
    <mergeCell ref="M4064:M4066"/>
    <mergeCell ref="N4064:N4066"/>
    <mergeCell ref="A4069:A4080"/>
    <mergeCell ref="B4069:B4080"/>
    <mergeCell ref="C4069:C4080"/>
    <mergeCell ref="D4069:D4080"/>
    <mergeCell ref="E4069:E4080"/>
    <mergeCell ref="F4069:F4080"/>
    <mergeCell ref="G4069:G4080"/>
    <mergeCell ref="H4069:H4080"/>
    <mergeCell ref="I4069:I4080"/>
    <mergeCell ref="J4069:J4080"/>
    <mergeCell ref="K4069:K4080"/>
    <mergeCell ref="L4069:L4080"/>
    <mergeCell ref="M4069:M4080"/>
    <mergeCell ref="N4069:N4080"/>
    <mergeCell ref="A4085:A4087"/>
    <mergeCell ref="B4085:B4087"/>
    <mergeCell ref="C4085:C4087"/>
    <mergeCell ref="D4085:D4087"/>
    <mergeCell ref="E4085:E4087"/>
    <mergeCell ref="F4085:F4087"/>
    <mergeCell ref="G4085:G4087"/>
    <mergeCell ref="H4085:H4087"/>
    <mergeCell ref="I4085:I4087"/>
    <mergeCell ref="J4085:J4087"/>
    <mergeCell ref="K4085:K4087"/>
    <mergeCell ref="L4085:L4087"/>
    <mergeCell ref="M4085:M4087"/>
    <mergeCell ref="N4085:N4087"/>
    <mergeCell ref="A4092:A4093"/>
    <mergeCell ref="B4092:B4093"/>
    <mergeCell ref="C4092:C4093"/>
    <mergeCell ref="D4092:D4093"/>
    <mergeCell ref="E4092:E4093"/>
    <mergeCell ref="F4092:F4093"/>
    <mergeCell ref="G4092:G4093"/>
    <mergeCell ref="H4092:H4093"/>
    <mergeCell ref="I4092:I4093"/>
    <mergeCell ref="J4092:J4093"/>
    <mergeCell ref="K4092:K4093"/>
    <mergeCell ref="L4092:L4093"/>
    <mergeCell ref="M4092:M4093"/>
    <mergeCell ref="N4092:N4093"/>
    <mergeCell ref="A4118:A4122"/>
    <mergeCell ref="B4118:B4122"/>
    <mergeCell ref="C4118:C4122"/>
    <mergeCell ref="D4118:D4122"/>
    <mergeCell ref="E4118:E4122"/>
    <mergeCell ref="F4118:F4122"/>
    <mergeCell ref="G4118:G4122"/>
    <mergeCell ref="H4118:H4122"/>
    <mergeCell ref="I4118:I4122"/>
    <mergeCell ref="J4118:J4122"/>
    <mergeCell ref="K4118:K4122"/>
    <mergeCell ref="L4118:L4122"/>
    <mergeCell ref="M4118:M4122"/>
    <mergeCell ref="N4118:N4122"/>
    <mergeCell ref="A4136:A4137"/>
    <mergeCell ref="B4136:B4137"/>
    <mergeCell ref="C4136:C4137"/>
    <mergeCell ref="D4136:D4137"/>
    <mergeCell ref="E4136:E4137"/>
    <mergeCell ref="F4136:F4137"/>
    <mergeCell ref="G4136:G4137"/>
    <mergeCell ref="H4136:H4137"/>
    <mergeCell ref="I4136:I4137"/>
    <mergeCell ref="J4136:J4137"/>
    <mergeCell ref="K4136:K4137"/>
    <mergeCell ref="L4136:L4137"/>
    <mergeCell ref="M4136:M4137"/>
    <mergeCell ref="N4136:N4137"/>
    <mergeCell ref="A4140:A4141"/>
    <mergeCell ref="B4140:B4141"/>
    <mergeCell ref="C4140:C4141"/>
    <mergeCell ref="D4140:D4141"/>
    <mergeCell ref="E4140:E4141"/>
    <mergeCell ref="F4140:F4141"/>
    <mergeCell ref="G4140:G4141"/>
    <mergeCell ref="H4140:H4141"/>
    <mergeCell ref="I4140:I4141"/>
    <mergeCell ref="J4140:J4141"/>
    <mergeCell ref="K4140:K4141"/>
    <mergeCell ref="L4140:L4141"/>
    <mergeCell ref="M4140:M4141"/>
    <mergeCell ref="N4140:N4141"/>
    <mergeCell ref="A4142:A4143"/>
    <mergeCell ref="B4142:B4143"/>
    <mergeCell ref="C4142:C4143"/>
    <mergeCell ref="D4142:D4143"/>
    <mergeCell ref="E4142:E4143"/>
    <mergeCell ref="F4142:F4143"/>
    <mergeCell ref="G4142:G4143"/>
    <mergeCell ref="H4142:H4143"/>
    <mergeCell ref="I4142:I4143"/>
    <mergeCell ref="J4142:J4143"/>
    <mergeCell ref="K4142:K4143"/>
    <mergeCell ref="L4142:L4143"/>
    <mergeCell ref="M4142:M4143"/>
    <mergeCell ref="N4142:N4143"/>
    <mergeCell ref="A4146:A4147"/>
    <mergeCell ref="B4146:B4147"/>
    <mergeCell ref="C4146:C4147"/>
    <mergeCell ref="D4146:D4147"/>
    <mergeCell ref="E4146:E4147"/>
    <mergeCell ref="F4146:F4147"/>
    <mergeCell ref="G4146:G4147"/>
    <mergeCell ref="H4146:H4147"/>
    <mergeCell ref="I4146:I4147"/>
    <mergeCell ref="J4146:J4147"/>
    <mergeCell ref="K4146:K4147"/>
    <mergeCell ref="L4146:L4147"/>
    <mergeCell ref="M4146:M4147"/>
    <mergeCell ref="N4146:N4147"/>
    <mergeCell ref="A4148:A4151"/>
    <mergeCell ref="B4148:B4151"/>
    <mergeCell ref="C4148:C4151"/>
    <mergeCell ref="D4148:D4151"/>
    <mergeCell ref="E4148:E4151"/>
    <mergeCell ref="F4148:F4151"/>
    <mergeCell ref="G4148:G4151"/>
    <mergeCell ref="H4148:H4151"/>
    <mergeCell ref="I4148:I4151"/>
    <mergeCell ref="J4148:J4151"/>
    <mergeCell ref="K4148:K4151"/>
    <mergeCell ref="L4148:L4151"/>
    <mergeCell ref="M4148:M4151"/>
    <mergeCell ref="N4148:N4151"/>
    <mergeCell ref="A4152:A4155"/>
    <mergeCell ref="B4152:B4155"/>
    <mergeCell ref="C4152:C4155"/>
    <mergeCell ref="D4152:D4155"/>
    <mergeCell ref="E4152:E4155"/>
    <mergeCell ref="F4152:F4155"/>
    <mergeCell ref="G4152:G4155"/>
    <mergeCell ref="H4152:H4155"/>
    <mergeCell ref="I4152:I4155"/>
    <mergeCell ref="J4152:J4155"/>
    <mergeCell ref="K4152:K4155"/>
    <mergeCell ref="L4152:L4155"/>
    <mergeCell ref="M4152:M4155"/>
    <mergeCell ref="N4152:N4155"/>
    <mergeCell ref="A4179:A4181"/>
    <mergeCell ref="B4179:B4181"/>
    <mergeCell ref="C4179:C4181"/>
    <mergeCell ref="D4179:D4181"/>
    <mergeCell ref="E4179:E4181"/>
    <mergeCell ref="F4179:F4181"/>
    <mergeCell ref="G4179:G4181"/>
    <mergeCell ref="H4179:H4181"/>
    <mergeCell ref="I4179:I4181"/>
    <mergeCell ref="J4179:J4181"/>
    <mergeCell ref="K4179:K4181"/>
    <mergeCell ref="L4179:L4181"/>
    <mergeCell ref="M4179:M4181"/>
    <mergeCell ref="N4179:N4181"/>
    <mergeCell ref="A4190:A4191"/>
    <mergeCell ref="B4190:B4191"/>
    <mergeCell ref="C4190:C4191"/>
    <mergeCell ref="D4190:D4191"/>
    <mergeCell ref="E4190:E4191"/>
    <mergeCell ref="F4190:F4191"/>
    <mergeCell ref="G4190:G4191"/>
    <mergeCell ref="H4190:H4191"/>
    <mergeCell ref="I4190:I4191"/>
    <mergeCell ref="J4190:J4191"/>
    <mergeCell ref="K4190:K4191"/>
    <mergeCell ref="L4190:L4191"/>
    <mergeCell ref="M4190:M4191"/>
    <mergeCell ref="N4190:N4191"/>
    <mergeCell ref="A4193:A4194"/>
    <mergeCell ref="B4193:B4194"/>
    <mergeCell ref="C4193:C4194"/>
    <mergeCell ref="D4193:D4194"/>
    <mergeCell ref="E4193:E4194"/>
    <mergeCell ref="F4193:F4194"/>
    <mergeCell ref="G4193:G4194"/>
    <mergeCell ref="H4193:H4194"/>
    <mergeCell ref="I4193:I4194"/>
    <mergeCell ref="J4193:J4194"/>
    <mergeCell ref="K4193:K4194"/>
    <mergeCell ref="L4193:L4194"/>
    <mergeCell ref="M4193:M4194"/>
    <mergeCell ref="N4193:N4194"/>
    <mergeCell ref="A4200:A4204"/>
    <mergeCell ref="B4200:B4204"/>
    <mergeCell ref="C4200:C4204"/>
    <mergeCell ref="D4200:D4204"/>
    <mergeCell ref="E4200:E4204"/>
    <mergeCell ref="F4200:F4204"/>
    <mergeCell ref="G4200:G4204"/>
    <mergeCell ref="H4200:H4204"/>
    <mergeCell ref="I4200:I4204"/>
    <mergeCell ref="J4200:J4204"/>
    <mergeCell ref="K4200:K4204"/>
    <mergeCell ref="L4200:L4204"/>
    <mergeCell ref="M4200:M4204"/>
    <mergeCell ref="N4200:N4204"/>
    <mergeCell ref="A4210:A4211"/>
    <mergeCell ref="B4210:B4211"/>
    <mergeCell ref="C4210:C4211"/>
    <mergeCell ref="D4210:D4211"/>
    <mergeCell ref="E4210:E4211"/>
    <mergeCell ref="F4210:F4211"/>
    <mergeCell ref="G4210:G4211"/>
    <mergeCell ref="H4210:H4211"/>
    <mergeCell ref="I4210:I4211"/>
    <mergeCell ref="J4210:J4211"/>
    <mergeCell ref="K4210:K4211"/>
    <mergeCell ref="L4210:L4211"/>
    <mergeCell ref="M4210:M4211"/>
    <mergeCell ref="N4210:N4211"/>
    <mergeCell ref="A4214:A4215"/>
    <mergeCell ref="B4214:B4215"/>
    <mergeCell ref="C4214:C4215"/>
    <mergeCell ref="D4214:D4215"/>
    <mergeCell ref="E4214:E4215"/>
    <mergeCell ref="F4214:F4215"/>
    <mergeCell ref="G4214:G4215"/>
    <mergeCell ref="H4214:H4215"/>
    <mergeCell ref="I4214:I4215"/>
    <mergeCell ref="J4214:J4215"/>
    <mergeCell ref="K4214:K4215"/>
    <mergeCell ref="L4214:L4215"/>
    <mergeCell ref="M4214:M4215"/>
    <mergeCell ref="N4214:N4215"/>
    <mergeCell ref="A4218:A4221"/>
    <mergeCell ref="B4218:B4221"/>
    <mergeCell ref="C4218:C4221"/>
    <mergeCell ref="D4218:D4221"/>
    <mergeCell ref="E4218:E4221"/>
    <mergeCell ref="F4218:F4221"/>
    <mergeCell ref="G4218:G4221"/>
    <mergeCell ref="H4218:H4221"/>
    <mergeCell ref="I4218:I4221"/>
    <mergeCell ref="J4218:J4221"/>
    <mergeCell ref="K4218:K4221"/>
    <mergeCell ref="L4218:L4221"/>
    <mergeCell ref="M4218:M4221"/>
    <mergeCell ref="N4218:N4221"/>
    <mergeCell ref="A4236:A4238"/>
    <mergeCell ref="B4236:B4238"/>
    <mergeCell ref="C4236:C4238"/>
    <mergeCell ref="D4236:D4238"/>
    <mergeCell ref="E4236:E4238"/>
    <mergeCell ref="F4236:F4238"/>
    <mergeCell ref="G4236:G4238"/>
    <mergeCell ref="H4236:H4238"/>
    <mergeCell ref="I4236:I4238"/>
    <mergeCell ref="J4236:J4238"/>
    <mergeCell ref="K4236:K4238"/>
    <mergeCell ref="L4236:L4238"/>
    <mergeCell ref="M4236:M4238"/>
    <mergeCell ref="N4236:N4238"/>
    <mergeCell ref="A4241:A4242"/>
    <mergeCell ref="B4241:B4242"/>
    <mergeCell ref="C4241:C4242"/>
    <mergeCell ref="D4241:D4242"/>
    <mergeCell ref="E4241:E4242"/>
    <mergeCell ref="F4241:F4242"/>
    <mergeCell ref="G4241:G4242"/>
    <mergeCell ref="H4241:H4242"/>
    <mergeCell ref="I4241:I4242"/>
    <mergeCell ref="J4241:J4242"/>
    <mergeCell ref="K4241:K4242"/>
    <mergeCell ref="L4241:L4242"/>
    <mergeCell ref="M4241:M4242"/>
    <mergeCell ref="N4241:N4242"/>
    <mergeCell ref="A4250:A4253"/>
    <mergeCell ref="B4250:B4253"/>
    <mergeCell ref="C4250:C4253"/>
    <mergeCell ref="D4250:D4253"/>
    <mergeCell ref="E4250:E4253"/>
    <mergeCell ref="F4250:F4253"/>
    <mergeCell ref="G4250:G4253"/>
    <mergeCell ref="H4250:H4253"/>
    <mergeCell ref="I4250:I4253"/>
    <mergeCell ref="J4250:J4253"/>
    <mergeCell ref="K4250:K4253"/>
    <mergeCell ref="L4250:L4253"/>
    <mergeCell ref="M4250:M4253"/>
    <mergeCell ref="N4250:N4253"/>
    <mergeCell ref="A4255:A4258"/>
    <mergeCell ref="B4255:B4258"/>
    <mergeCell ref="C4255:C4258"/>
    <mergeCell ref="D4255:D4258"/>
    <mergeCell ref="E4255:E4258"/>
    <mergeCell ref="F4255:F4258"/>
    <mergeCell ref="G4255:G4258"/>
    <mergeCell ref="H4255:H4258"/>
    <mergeCell ref="I4255:I4258"/>
    <mergeCell ref="J4255:J4258"/>
    <mergeCell ref="K4255:K4258"/>
    <mergeCell ref="L4255:L4258"/>
    <mergeCell ref="M4255:M4258"/>
    <mergeCell ref="N4255:N4258"/>
    <mergeCell ref="A4265:A4268"/>
    <mergeCell ref="B4265:B4268"/>
    <mergeCell ref="C4265:C4268"/>
    <mergeCell ref="D4265:D4268"/>
    <mergeCell ref="E4265:E4268"/>
    <mergeCell ref="F4265:F4268"/>
    <mergeCell ref="G4265:G4268"/>
    <mergeCell ref="H4265:H4268"/>
    <mergeCell ref="I4265:I4268"/>
    <mergeCell ref="J4265:J4268"/>
    <mergeCell ref="K4265:K4268"/>
    <mergeCell ref="L4265:L4268"/>
    <mergeCell ref="M4265:M4268"/>
    <mergeCell ref="N4265:N4268"/>
    <mergeCell ref="A4273:A4274"/>
    <mergeCell ref="B4273:B4274"/>
    <mergeCell ref="C4273:C4274"/>
    <mergeCell ref="D4273:D4274"/>
    <mergeCell ref="E4273:E4274"/>
    <mergeCell ref="F4273:F4274"/>
    <mergeCell ref="G4273:G4274"/>
    <mergeCell ref="H4273:H4274"/>
    <mergeCell ref="I4273:I4274"/>
    <mergeCell ref="J4273:J4274"/>
    <mergeCell ref="K4273:K4274"/>
    <mergeCell ref="L4273:L4274"/>
    <mergeCell ref="M4273:M4274"/>
    <mergeCell ref="N4273:N4274"/>
    <mergeCell ref="A4275:A4276"/>
    <mergeCell ref="B4275:B4276"/>
    <mergeCell ref="C4275:C4276"/>
    <mergeCell ref="D4275:D4276"/>
    <mergeCell ref="E4275:E4276"/>
    <mergeCell ref="F4275:F4276"/>
    <mergeCell ref="G4275:G4276"/>
    <mergeCell ref="H4275:H4276"/>
    <mergeCell ref="I4275:I4276"/>
    <mergeCell ref="J4275:J4276"/>
    <mergeCell ref="K4275:K4276"/>
    <mergeCell ref="L4275:L4276"/>
    <mergeCell ref="M4275:M4276"/>
    <mergeCell ref="N4275:N4276"/>
    <mergeCell ref="A4280:A4281"/>
    <mergeCell ref="B4280:B4281"/>
    <mergeCell ref="C4280:C4281"/>
    <mergeCell ref="D4280:D4281"/>
    <mergeCell ref="E4280:E4281"/>
    <mergeCell ref="F4280:F4281"/>
    <mergeCell ref="G4280:G4281"/>
    <mergeCell ref="H4280:H4281"/>
    <mergeCell ref="I4280:I4281"/>
    <mergeCell ref="J4280:J4281"/>
    <mergeCell ref="K4280:K4281"/>
    <mergeCell ref="L4280:L4281"/>
    <mergeCell ref="M4280:M4281"/>
    <mergeCell ref="N4280:N4281"/>
    <mergeCell ref="A4294:A4295"/>
    <mergeCell ref="B4294:B4295"/>
    <mergeCell ref="C4294:C4295"/>
    <mergeCell ref="D4294:D4295"/>
    <mergeCell ref="E4294:E4295"/>
    <mergeCell ref="F4294:F4295"/>
    <mergeCell ref="G4294:G4295"/>
    <mergeCell ref="H4294:H4295"/>
    <mergeCell ref="I4294:I4295"/>
    <mergeCell ref="J4294:J4295"/>
    <mergeCell ref="K4294:K4295"/>
    <mergeCell ref="L4294:L4295"/>
    <mergeCell ref="M4294:M4295"/>
    <mergeCell ref="N4294:N4295"/>
    <mergeCell ref="A4310:A4311"/>
    <mergeCell ref="B4310:B4311"/>
    <mergeCell ref="C4310:C4311"/>
    <mergeCell ref="D4310:D4311"/>
    <mergeCell ref="E4310:E4311"/>
    <mergeCell ref="F4310:F4311"/>
    <mergeCell ref="G4310:G4311"/>
    <mergeCell ref="H4310:H4311"/>
    <mergeCell ref="I4310:I4311"/>
    <mergeCell ref="J4310:J4311"/>
    <mergeCell ref="K4310:K4311"/>
    <mergeCell ref="L4310:L4311"/>
    <mergeCell ref="M4310:M4311"/>
    <mergeCell ref="N4310:N4311"/>
    <mergeCell ref="A4314:A4316"/>
    <mergeCell ref="B4314:B4316"/>
    <mergeCell ref="C4314:C4316"/>
    <mergeCell ref="D4314:D4316"/>
    <mergeCell ref="E4314:E4316"/>
    <mergeCell ref="F4314:F4316"/>
    <mergeCell ref="G4314:G4316"/>
    <mergeCell ref="H4314:H4316"/>
    <mergeCell ref="I4314:I4316"/>
    <mergeCell ref="J4314:J4316"/>
    <mergeCell ref="K4314:K4316"/>
    <mergeCell ref="L4314:L4316"/>
    <mergeCell ref="M4314:M4316"/>
    <mergeCell ref="N4314:N4316"/>
    <mergeCell ref="A4323:A4324"/>
    <mergeCell ref="B4323:B4324"/>
    <mergeCell ref="C4323:C4324"/>
    <mergeCell ref="D4323:D4324"/>
    <mergeCell ref="E4323:E4324"/>
    <mergeCell ref="F4323:F4324"/>
    <mergeCell ref="G4323:G4324"/>
    <mergeCell ref="H4323:H4324"/>
    <mergeCell ref="I4323:I4324"/>
    <mergeCell ref="J4323:J4324"/>
    <mergeCell ref="K4323:K4324"/>
    <mergeCell ref="L4323:L4324"/>
    <mergeCell ref="M4323:M4324"/>
    <mergeCell ref="N4323:N4324"/>
    <mergeCell ref="A4326:A4327"/>
    <mergeCell ref="B4326:B4327"/>
    <mergeCell ref="C4326:C4327"/>
    <mergeCell ref="D4326:D4327"/>
    <mergeCell ref="E4326:E4327"/>
    <mergeCell ref="F4326:F4327"/>
    <mergeCell ref="G4326:G4327"/>
    <mergeCell ref="H4326:H4327"/>
    <mergeCell ref="I4326:I4327"/>
    <mergeCell ref="J4326:J4327"/>
    <mergeCell ref="K4326:K4327"/>
    <mergeCell ref="L4326:L4327"/>
    <mergeCell ref="M4326:M4327"/>
    <mergeCell ref="N4326:N4327"/>
    <mergeCell ref="A4339:A4340"/>
    <mergeCell ref="B4339:B4340"/>
    <mergeCell ref="C4339:C4340"/>
    <mergeCell ref="D4339:D4340"/>
    <mergeCell ref="E4339:E4340"/>
    <mergeCell ref="F4339:F4340"/>
    <mergeCell ref="G4339:G4340"/>
    <mergeCell ref="H4339:H4340"/>
    <mergeCell ref="I4339:I4340"/>
    <mergeCell ref="J4339:J4340"/>
    <mergeCell ref="K4339:K4340"/>
    <mergeCell ref="L4339:L4340"/>
    <mergeCell ref="M4339:M4340"/>
    <mergeCell ref="N4339:N4340"/>
    <mergeCell ref="A4352:A4354"/>
    <mergeCell ref="B4352:B4354"/>
    <mergeCell ref="C4352:C4354"/>
    <mergeCell ref="D4352:D4354"/>
    <mergeCell ref="E4352:E4354"/>
    <mergeCell ref="F4352:F4354"/>
    <mergeCell ref="G4352:G4354"/>
    <mergeCell ref="H4352:H4354"/>
    <mergeCell ref="I4352:I4354"/>
    <mergeCell ref="J4352:J4354"/>
    <mergeCell ref="K4352:K4354"/>
    <mergeCell ref="L4352:L4354"/>
    <mergeCell ref="M4352:M4354"/>
    <mergeCell ref="N4352:N4354"/>
    <mergeCell ref="A4355:A4356"/>
    <mergeCell ref="B4355:B4356"/>
    <mergeCell ref="C4355:C4356"/>
    <mergeCell ref="D4355:D4356"/>
    <mergeCell ref="E4355:E4356"/>
    <mergeCell ref="F4355:F4356"/>
    <mergeCell ref="G4355:G4356"/>
    <mergeCell ref="H4355:H4356"/>
    <mergeCell ref="I4355:I4356"/>
    <mergeCell ref="J4355:J4356"/>
    <mergeCell ref="K4355:K4356"/>
    <mergeCell ref="L4355:L4356"/>
    <mergeCell ref="M4355:M4356"/>
    <mergeCell ref="N4355:N4356"/>
    <mergeCell ref="A4359:A4360"/>
    <mergeCell ref="B4359:B4360"/>
    <mergeCell ref="C4359:C4360"/>
    <mergeCell ref="D4359:D4360"/>
    <mergeCell ref="E4359:E4360"/>
    <mergeCell ref="F4359:F4360"/>
    <mergeCell ref="G4359:G4360"/>
    <mergeCell ref="H4359:H4360"/>
    <mergeCell ref="I4359:I4360"/>
    <mergeCell ref="J4359:J4360"/>
    <mergeCell ref="K4359:K4360"/>
    <mergeCell ref="L4359:L4360"/>
    <mergeCell ref="M4359:M4360"/>
    <mergeCell ref="N4359:N4360"/>
    <mergeCell ref="A4368:A4369"/>
    <mergeCell ref="B4368:B4369"/>
    <mergeCell ref="C4368:C4369"/>
    <mergeCell ref="D4368:D4369"/>
    <mergeCell ref="E4368:E4369"/>
    <mergeCell ref="F4368:F4369"/>
    <mergeCell ref="G4368:G4369"/>
    <mergeCell ref="H4368:H4369"/>
    <mergeCell ref="I4368:I4369"/>
    <mergeCell ref="J4368:J4369"/>
    <mergeCell ref="K4368:K4369"/>
    <mergeCell ref="L4368:L4369"/>
    <mergeCell ref="M4368:M4369"/>
    <mergeCell ref="N4368:N4369"/>
    <mergeCell ref="A4383:A4384"/>
    <mergeCell ref="B4383:B4384"/>
    <mergeCell ref="C4383:C4384"/>
    <mergeCell ref="D4383:D4384"/>
    <mergeCell ref="E4383:E4384"/>
    <mergeCell ref="F4383:F4384"/>
    <mergeCell ref="G4383:G4384"/>
    <mergeCell ref="H4383:H4384"/>
    <mergeCell ref="I4383:I4384"/>
    <mergeCell ref="J4383:J4384"/>
    <mergeCell ref="K4383:K4384"/>
    <mergeCell ref="L4383:L4384"/>
    <mergeCell ref="M4383:M4384"/>
    <mergeCell ref="N4383:N4384"/>
    <mergeCell ref="A4391:A4392"/>
    <mergeCell ref="B4391:B4392"/>
    <mergeCell ref="C4391:C4392"/>
    <mergeCell ref="D4391:D4392"/>
    <mergeCell ref="E4391:E4392"/>
    <mergeCell ref="F4391:F4392"/>
    <mergeCell ref="G4391:G4392"/>
    <mergeCell ref="H4391:H4392"/>
    <mergeCell ref="I4391:I4392"/>
    <mergeCell ref="J4391:J4392"/>
    <mergeCell ref="K4391:K4392"/>
    <mergeCell ref="L4391:L4392"/>
    <mergeCell ref="M4391:M4392"/>
    <mergeCell ref="N4391:N4392"/>
    <mergeCell ref="A4404:A4405"/>
    <mergeCell ref="B4404:B4405"/>
    <mergeCell ref="C4404:C4405"/>
    <mergeCell ref="D4404:D4405"/>
    <mergeCell ref="E4404:E4405"/>
    <mergeCell ref="F4404:F4405"/>
    <mergeCell ref="G4404:G4405"/>
    <mergeCell ref="H4404:H4405"/>
    <mergeCell ref="I4404:I4405"/>
    <mergeCell ref="J4404:J4405"/>
    <mergeCell ref="K4404:K4405"/>
    <mergeCell ref="L4404:L4405"/>
    <mergeCell ref="M4404:M4405"/>
    <mergeCell ref="N4404:N4405"/>
    <mergeCell ref="A4411:A4413"/>
    <mergeCell ref="B4411:B4413"/>
    <mergeCell ref="C4411:C4413"/>
    <mergeCell ref="D4411:D4413"/>
    <mergeCell ref="E4411:E4413"/>
    <mergeCell ref="F4411:F4413"/>
    <mergeCell ref="G4411:G4413"/>
    <mergeCell ref="H4411:H4413"/>
    <mergeCell ref="I4411:I4413"/>
    <mergeCell ref="J4411:J4413"/>
    <mergeCell ref="K4411:K4413"/>
    <mergeCell ref="L4411:L4413"/>
    <mergeCell ref="M4411:M4413"/>
    <mergeCell ref="N4411:N4413"/>
    <mergeCell ref="A4420:A4423"/>
    <mergeCell ref="B4420:B4423"/>
    <mergeCell ref="C4420:C4423"/>
    <mergeCell ref="D4420:D4423"/>
    <mergeCell ref="E4420:E4423"/>
    <mergeCell ref="F4420:F4423"/>
    <mergeCell ref="G4420:G4423"/>
    <mergeCell ref="H4420:H4423"/>
    <mergeCell ref="I4420:I4423"/>
    <mergeCell ref="J4420:J4423"/>
    <mergeCell ref="K4420:K4423"/>
    <mergeCell ref="L4420:L4423"/>
    <mergeCell ref="M4420:M4423"/>
    <mergeCell ref="N4420:N4423"/>
    <mergeCell ref="A4425:A4427"/>
    <mergeCell ref="B4425:B4427"/>
    <mergeCell ref="C4425:C4427"/>
    <mergeCell ref="D4425:D4427"/>
    <mergeCell ref="E4425:E4427"/>
    <mergeCell ref="F4425:F4427"/>
    <mergeCell ref="G4425:G4427"/>
    <mergeCell ref="H4425:H4427"/>
    <mergeCell ref="I4425:I4427"/>
    <mergeCell ref="J4425:J4427"/>
    <mergeCell ref="K4425:K4427"/>
    <mergeCell ref="L4425:L4427"/>
    <mergeCell ref="M4425:M4427"/>
    <mergeCell ref="N4425:N4427"/>
    <mergeCell ref="A4434:A4436"/>
    <mergeCell ref="B4434:B4436"/>
    <mergeCell ref="C4434:C4436"/>
    <mergeCell ref="D4434:D4436"/>
    <mergeCell ref="E4434:E4436"/>
    <mergeCell ref="F4434:F4436"/>
    <mergeCell ref="G4434:G4436"/>
    <mergeCell ref="H4434:H4436"/>
    <mergeCell ref="I4434:I4436"/>
    <mergeCell ref="J4434:J4436"/>
    <mergeCell ref="K4434:K4436"/>
    <mergeCell ref="L4434:L4436"/>
    <mergeCell ref="M4434:M4436"/>
    <mergeCell ref="N4434:N4436"/>
    <mergeCell ref="A4437:A4439"/>
    <mergeCell ref="B4437:B4439"/>
    <mergeCell ref="C4437:C4439"/>
    <mergeCell ref="D4437:D4439"/>
    <mergeCell ref="E4437:E4439"/>
    <mergeCell ref="F4437:F4439"/>
    <mergeCell ref="G4437:G4439"/>
    <mergeCell ref="H4437:H4439"/>
    <mergeCell ref="I4437:I4439"/>
    <mergeCell ref="J4437:J4439"/>
    <mergeCell ref="K4437:K4439"/>
    <mergeCell ref="L4437:L4439"/>
    <mergeCell ref="M4437:M4439"/>
    <mergeCell ref="N4437:N4439"/>
    <mergeCell ref="A4443:A4444"/>
    <mergeCell ref="B4443:B4444"/>
    <mergeCell ref="C4443:C4444"/>
    <mergeCell ref="D4443:D4444"/>
    <mergeCell ref="E4443:E4444"/>
    <mergeCell ref="F4443:F4444"/>
    <mergeCell ref="G4443:G4444"/>
    <mergeCell ref="H4443:H4444"/>
    <mergeCell ref="I4443:I4444"/>
    <mergeCell ref="J4443:J4444"/>
    <mergeCell ref="K4443:K4444"/>
    <mergeCell ref="L4443:L4444"/>
    <mergeCell ref="M4443:M4444"/>
    <mergeCell ref="N4443:N4444"/>
    <mergeCell ref="A4446:A4447"/>
    <mergeCell ref="B4446:B4447"/>
    <mergeCell ref="C4446:C4447"/>
    <mergeCell ref="D4446:D4447"/>
    <mergeCell ref="E4446:E4447"/>
    <mergeCell ref="F4446:F4447"/>
    <mergeCell ref="G4446:G4447"/>
    <mergeCell ref="H4446:H4447"/>
    <mergeCell ref="I4446:I4447"/>
    <mergeCell ref="J4446:J4447"/>
    <mergeCell ref="K4446:K4447"/>
    <mergeCell ref="L4446:L4447"/>
    <mergeCell ref="M4446:M4447"/>
    <mergeCell ref="N4446:N4447"/>
    <mergeCell ref="A4457:A4459"/>
    <mergeCell ref="B4457:B4459"/>
    <mergeCell ref="C4457:C4459"/>
    <mergeCell ref="D4457:D4459"/>
    <mergeCell ref="E4457:E4459"/>
    <mergeCell ref="F4457:F4459"/>
    <mergeCell ref="G4457:G4459"/>
    <mergeCell ref="H4457:H4459"/>
    <mergeCell ref="I4457:I4459"/>
    <mergeCell ref="J4457:J4459"/>
    <mergeCell ref="K4457:K4459"/>
    <mergeCell ref="L4457:L4459"/>
    <mergeCell ref="M4457:M4459"/>
    <mergeCell ref="N4457:N4459"/>
    <mergeCell ref="A4460:A4462"/>
    <mergeCell ref="B4460:B4462"/>
    <mergeCell ref="C4460:C4462"/>
    <mergeCell ref="D4460:D4462"/>
    <mergeCell ref="E4460:E4462"/>
    <mergeCell ref="F4460:F4462"/>
    <mergeCell ref="G4460:G4462"/>
    <mergeCell ref="H4460:H4462"/>
    <mergeCell ref="I4460:I4462"/>
    <mergeCell ref="J4460:J4462"/>
    <mergeCell ref="K4460:K4462"/>
    <mergeCell ref="L4460:L4462"/>
    <mergeCell ref="M4460:M4462"/>
    <mergeCell ref="N4460:N4462"/>
    <mergeCell ref="A4472:A4473"/>
    <mergeCell ref="B4472:B4473"/>
    <mergeCell ref="C4472:C4473"/>
    <mergeCell ref="D4472:D4473"/>
    <mergeCell ref="E4472:E4473"/>
    <mergeCell ref="F4472:F4473"/>
    <mergeCell ref="G4472:G4473"/>
    <mergeCell ref="H4472:H4473"/>
    <mergeCell ref="I4472:I4473"/>
    <mergeCell ref="J4472:J4473"/>
    <mergeCell ref="K4472:K4473"/>
    <mergeCell ref="L4472:L4473"/>
    <mergeCell ref="M4472:M4473"/>
    <mergeCell ref="N4472:N4473"/>
    <mergeCell ref="A4482:A4483"/>
    <mergeCell ref="B4482:B4483"/>
    <mergeCell ref="C4482:C4483"/>
    <mergeCell ref="D4482:D4483"/>
    <mergeCell ref="E4482:E4483"/>
    <mergeCell ref="F4482:F4483"/>
    <mergeCell ref="G4482:G4483"/>
    <mergeCell ref="H4482:H4483"/>
    <mergeCell ref="I4482:I4483"/>
    <mergeCell ref="J4482:J4483"/>
    <mergeCell ref="K4482:K4483"/>
    <mergeCell ref="L4482:L4483"/>
    <mergeCell ref="M4482:M4483"/>
    <mergeCell ref="N4482:N4483"/>
    <mergeCell ref="A4489:A4490"/>
    <mergeCell ref="B4489:B4490"/>
    <mergeCell ref="C4489:C4490"/>
    <mergeCell ref="D4489:D4490"/>
    <mergeCell ref="E4489:E4490"/>
    <mergeCell ref="F4489:F4490"/>
    <mergeCell ref="G4489:G4490"/>
    <mergeCell ref="H4489:H4490"/>
    <mergeCell ref="I4489:I4490"/>
    <mergeCell ref="J4489:J4490"/>
    <mergeCell ref="K4489:K4490"/>
    <mergeCell ref="L4489:L4490"/>
    <mergeCell ref="M4489:M4490"/>
    <mergeCell ref="N4489:N4490"/>
    <mergeCell ref="A4492:A4493"/>
    <mergeCell ref="B4492:B4493"/>
    <mergeCell ref="C4492:C4493"/>
    <mergeCell ref="D4492:D4493"/>
    <mergeCell ref="E4492:E4493"/>
    <mergeCell ref="F4492:F4493"/>
    <mergeCell ref="G4492:G4493"/>
    <mergeCell ref="H4492:H4493"/>
    <mergeCell ref="I4492:I4493"/>
    <mergeCell ref="J4492:J4493"/>
    <mergeCell ref="K4492:K4493"/>
    <mergeCell ref="L4492:L4493"/>
    <mergeCell ref="M4492:M4493"/>
    <mergeCell ref="N4492:N4493"/>
    <mergeCell ref="A4495:A4496"/>
    <mergeCell ref="B4495:B4496"/>
    <mergeCell ref="C4495:C4496"/>
    <mergeCell ref="D4495:D4496"/>
    <mergeCell ref="E4495:E4496"/>
    <mergeCell ref="F4495:F4496"/>
    <mergeCell ref="G4495:G4496"/>
    <mergeCell ref="H4495:H4496"/>
    <mergeCell ref="I4495:I4496"/>
    <mergeCell ref="J4495:J4496"/>
    <mergeCell ref="K4495:K4496"/>
    <mergeCell ref="L4495:L4496"/>
    <mergeCell ref="M4495:M4496"/>
    <mergeCell ref="N4495:N4496"/>
    <mergeCell ref="A4513:A4515"/>
    <mergeCell ref="B4513:B4515"/>
    <mergeCell ref="C4513:C4515"/>
    <mergeCell ref="D4513:D4515"/>
    <mergeCell ref="E4513:E4515"/>
    <mergeCell ref="F4513:F4515"/>
    <mergeCell ref="G4513:G4515"/>
    <mergeCell ref="H4513:H4515"/>
    <mergeCell ref="I4513:I4515"/>
    <mergeCell ref="J4513:J4515"/>
    <mergeCell ref="K4513:K4515"/>
    <mergeCell ref="L4513:L4515"/>
    <mergeCell ref="M4513:M4515"/>
    <mergeCell ref="N4513:N4515"/>
    <mergeCell ref="A4521:A4522"/>
    <mergeCell ref="B4521:B4522"/>
    <mergeCell ref="C4521:C4522"/>
    <mergeCell ref="D4521:D4522"/>
    <mergeCell ref="E4521:E4522"/>
    <mergeCell ref="F4521:F4522"/>
    <mergeCell ref="G4521:G4522"/>
    <mergeCell ref="H4521:H4522"/>
    <mergeCell ref="I4521:I4522"/>
    <mergeCell ref="J4521:J4522"/>
    <mergeCell ref="K4521:K4522"/>
    <mergeCell ref="L4521:L4522"/>
    <mergeCell ref="M4521:M4522"/>
    <mergeCell ref="N4521:N4522"/>
    <mergeCell ref="A4524:A4525"/>
    <mergeCell ref="B4524:B4525"/>
    <mergeCell ref="C4524:C4525"/>
    <mergeCell ref="D4524:D4525"/>
    <mergeCell ref="E4524:E4525"/>
    <mergeCell ref="F4524:F4525"/>
    <mergeCell ref="G4524:G4525"/>
    <mergeCell ref="H4524:H4525"/>
    <mergeCell ref="I4524:I4525"/>
    <mergeCell ref="J4524:J4525"/>
    <mergeCell ref="K4524:K4525"/>
    <mergeCell ref="L4524:L4525"/>
    <mergeCell ref="M4524:M4525"/>
    <mergeCell ref="N4524:N4525"/>
    <mergeCell ref="A4533:A4534"/>
    <mergeCell ref="B4533:B4534"/>
    <mergeCell ref="C4533:C4534"/>
    <mergeCell ref="D4533:D4534"/>
    <mergeCell ref="E4533:E4534"/>
    <mergeCell ref="F4533:F4534"/>
    <mergeCell ref="G4533:G4534"/>
    <mergeCell ref="H4533:H4534"/>
    <mergeCell ref="I4533:I4534"/>
    <mergeCell ref="J4533:J4534"/>
    <mergeCell ref="K4533:K4534"/>
    <mergeCell ref="L4533:L4534"/>
    <mergeCell ref="M4533:M4534"/>
    <mergeCell ref="N4533:N4534"/>
    <mergeCell ref="A4535:A4536"/>
    <mergeCell ref="B4535:B4536"/>
    <mergeCell ref="C4535:C4536"/>
    <mergeCell ref="D4535:D4536"/>
    <mergeCell ref="E4535:E4536"/>
    <mergeCell ref="F4535:F4536"/>
    <mergeCell ref="G4535:G4536"/>
    <mergeCell ref="H4535:H4536"/>
    <mergeCell ref="I4535:I4536"/>
    <mergeCell ref="J4535:J4536"/>
    <mergeCell ref="K4535:K4536"/>
    <mergeCell ref="L4535:L4536"/>
    <mergeCell ref="M4535:M4536"/>
    <mergeCell ref="N4535:N4536"/>
    <mergeCell ref="A4543:A4544"/>
    <mergeCell ref="B4543:B4544"/>
    <mergeCell ref="C4543:C4544"/>
    <mergeCell ref="D4543:D4544"/>
    <mergeCell ref="E4543:E4544"/>
    <mergeCell ref="F4543:F4544"/>
    <mergeCell ref="G4543:G4544"/>
    <mergeCell ref="H4543:H4544"/>
    <mergeCell ref="I4543:I4544"/>
    <mergeCell ref="J4543:J4544"/>
    <mergeCell ref="K4543:K4544"/>
    <mergeCell ref="L4543:L4544"/>
    <mergeCell ref="M4543:M4544"/>
    <mergeCell ref="N4543:N4544"/>
    <mergeCell ref="A4554:A4556"/>
    <mergeCell ref="B4554:B4556"/>
    <mergeCell ref="C4554:C4556"/>
    <mergeCell ref="D4554:D4556"/>
    <mergeCell ref="E4554:E4556"/>
    <mergeCell ref="F4554:F4556"/>
    <mergeCell ref="G4554:G4556"/>
    <mergeCell ref="H4554:H4556"/>
    <mergeCell ref="I4554:I4556"/>
    <mergeCell ref="J4554:J4556"/>
    <mergeCell ref="K4554:K4556"/>
    <mergeCell ref="L4554:L4556"/>
    <mergeCell ref="M4554:M4556"/>
    <mergeCell ref="N4554:N4556"/>
    <mergeCell ref="A4571:A4572"/>
    <mergeCell ref="B4571:B4572"/>
    <mergeCell ref="C4571:C4572"/>
    <mergeCell ref="D4571:D4572"/>
    <mergeCell ref="E4571:E4572"/>
    <mergeCell ref="F4571:F4572"/>
    <mergeCell ref="G4571:G4572"/>
    <mergeCell ref="H4571:H4572"/>
    <mergeCell ref="I4571:I4572"/>
    <mergeCell ref="J4571:J4572"/>
    <mergeCell ref="K4571:K4572"/>
    <mergeCell ref="L4571:L4572"/>
    <mergeCell ref="M4571:M4572"/>
    <mergeCell ref="N4571:N4572"/>
    <mergeCell ref="A4578:A4579"/>
    <mergeCell ref="B4578:B4579"/>
    <mergeCell ref="C4578:C4579"/>
    <mergeCell ref="D4578:D4579"/>
    <mergeCell ref="E4578:E4579"/>
    <mergeCell ref="F4578:F4579"/>
    <mergeCell ref="G4578:G4579"/>
    <mergeCell ref="H4578:H4579"/>
    <mergeCell ref="I4578:I4579"/>
    <mergeCell ref="J4578:J4579"/>
    <mergeCell ref="K4578:K4579"/>
    <mergeCell ref="L4578:L4579"/>
    <mergeCell ref="M4578:M4579"/>
    <mergeCell ref="N4578:N4579"/>
    <mergeCell ref="A4582:A4584"/>
    <mergeCell ref="B4582:B4584"/>
    <mergeCell ref="C4582:C4584"/>
    <mergeCell ref="D4582:D4584"/>
    <mergeCell ref="E4582:E4584"/>
    <mergeCell ref="F4582:F4584"/>
    <mergeCell ref="G4582:G4584"/>
    <mergeCell ref="H4582:H4584"/>
    <mergeCell ref="I4582:I4584"/>
    <mergeCell ref="J4582:J4584"/>
    <mergeCell ref="K4582:K4584"/>
    <mergeCell ref="L4582:L4584"/>
    <mergeCell ref="M4582:M4584"/>
    <mergeCell ref="N4582:N4584"/>
    <mergeCell ref="A4589:A4590"/>
    <mergeCell ref="B4589:B4590"/>
    <mergeCell ref="C4589:C4590"/>
    <mergeCell ref="D4589:D4590"/>
    <mergeCell ref="E4589:E4590"/>
    <mergeCell ref="F4589:F4590"/>
    <mergeCell ref="G4589:G4590"/>
    <mergeCell ref="H4589:H4590"/>
    <mergeCell ref="I4589:I4590"/>
    <mergeCell ref="J4589:J4590"/>
    <mergeCell ref="K4589:K4590"/>
    <mergeCell ref="L4589:L4590"/>
    <mergeCell ref="M4589:M4590"/>
    <mergeCell ref="N4589:N4590"/>
    <mergeCell ref="A4596:A4599"/>
    <mergeCell ref="B4596:B4599"/>
    <mergeCell ref="C4596:C4599"/>
    <mergeCell ref="D4596:D4599"/>
    <mergeCell ref="E4596:E4599"/>
    <mergeCell ref="F4596:F4599"/>
    <mergeCell ref="G4596:G4599"/>
    <mergeCell ref="H4596:H4599"/>
    <mergeCell ref="I4596:I4599"/>
    <mergeCell ref="J4596:J4599"/>
    <mergeCell ref="K4596:K4599"/>
    <mergeCell ref="L4596:L4599"/>
    <mergeCell ref="M4596:M4599"/>
    <mergeCell ref="N4596:N4599"/>
    <mergeCell ref="A4600:A4602"/>
    <mergeCell ref="B4600:B4602"/>
    <mergeCell ref="C4600:C4602"/>
    <mergeCell ref="D4600:D4602"/>
    <mergeCell ref="E4600:E4602"/>
    <mergeCell ref="F4600:F4602"/>
    <mergeCell ref="G4600:G4602"/>
    <mergeCell ref="H4600:H4602"/>
    <mergeCell ref="I4600:I4602"/>
    <mergeCell ref="J4600:J4602"/>
    <mergeCell ref="K4600:K4602"/>
    <mergeCell ref="L4600:L4602"/>
    <mergeCell ref="M4600:M4602"/>
    <mergeCell ref="N4600:N4602"/>
    <mergeCell ref="A4609:A4610"/>
    <mergeCell ref="B4609:B4610"/>
    <mergeCell ref="C4609:C4610"/>
    <mergeCell ref="D4609:D4610"/>
    <mergeCell ref="E4609:E4610"/>
    <mergeCell ref="F4609:F4610"/>
    <mergeCell ref="G4609:G4610"/>
    <mergeCell ref="H4609:H4610"/>
    <mergeCell ref="I4609:I4610"/>
    <mergeCell ref="J4609:J4610"/>
    <mergeCell ref="K4609:K4610"/>
    <mergeCell ref="L4609:L4610"/>
    <mergeCell ref="M4609:M4610"/>
    <mergeCell ref="N4609:N4610"/>
    <mergeCell ref="A4612:A4614"/>
    <mergeCell ref="B4612:B4614"/>
    <mergeCell ref="C4612:C4614"/>
    <mergeCell ref="D4612:D4614"/>
    <mergeCell ref="E4612:E4614"/>
    <mergeCell ref="F4612:F4614"/>
    <mergeCell ref="G4612:G4614"/>
    <mergeCell ref="H4612:H4614"/>
    <mergeCell ref="I4612:I4614"/>
    <mergeCell ref="J4612:J4614"/>
    <mergeCell ref="K4612:K4614"/>
    <mergeCell ref="L4612:L4614"/>
    <mergeCell ref="M4612:M4614"/>
    <mergeCell ref="N4612:N4614"/>
    <mergeCell ref="A4619:A4620"/>
    <mergeCell ref="B4619:B4620"/>
    <mergeCell ref="C4619:C4620"/>
    <mergeCell ref="D4619:D4620"/>
    <mergeCell ref="E4619:E4620"/>
    <mergeCell ref="F4619:F4620"/>
    <mergeCell ref="G4619:G4620"/>
    <mergeCell ref="H4619:H4620"/>
    <mergeCell ref="I4619:I4620"/>
    <mergeCell ref="J4619:J4620"/>
    <mergeCell ref="K4619:K4620"/>
    <mergeCell ref="L4619:L4620"/>
    <mergeCell ref="M4619:M4620"/>
    <mergeCell ref="N4619:N4620"/>
    <mergeCell ref="A4627:A4629"/>
    <mergeCell ref="B4627:B4629"/>
    <mergeCell ref="C4627:C4629"/>
    <mergeCell ref="D4627:D4629"/>
    <mergeCell ref="E4627:E4629"/>
    <mergeCell ref="F4627:F4629"/>
    <mergeCell ref="G4627:G4629"/>
    <mergeCell ref="H4627:H4629"/>
    <mergeCell ref="I4627:I4629"/>
    <mergeCell ref="J4627:J4629"/>
    <mergeCell ref="K4627:K4629"/>
    <mergeCell ref="L4627:L4629"/>
    <mergeCell ref="M4627:M4629"/>
    <mergeCell ref="N4627:N4629"/>
    <mergeCell ref="A4631:A4632"/>
    <mergeCell ref="B4631:B4632"/>
    <mergeCell ref="C4631:C4632"/>
    <mergeCell ref="D4631:D4632"/>
    <mergeCell ref="E4631:E4632"/>
    <mergeCell ref="F4631:F4632"/>
    <mergeCell ref="G4631:G4632"/>
    <mergeCell ref="H4631:H4632"/>
    <mergeCell ref="I4631:I4632"/>
    <mergeCell ref="J4631:J4632"/>
    <mergeCell ref="K4631:K4632"/>
    <mergeCell ref="L4631:L4632"/>
    <mergeCell ref="M4631:M4632"/>
    <mergeCell ref="N4631:N4632"/>
    <mergeCell ref="A4634:A4635"/>
    <mergeCell ref="B4634:B4635"/>
    <mergeCell ref="C4634:C4635"/>
    <mergeCell ref="D4634:D4635"/>
    <mergeCell ref="E4634:E4635"/>
    <mergeCell ref="F4634:F4635"/>
    <mergeCell ref="G4634:G4635"/>
    <mergeCell ref="H4634:H4635"/>
    <mergeCell ref="I4634:I4635"/>
    <mergeCell ref="J4634:J4635"/>
    <mergeCell ref="K4634:K4635"/>
    <mergeCell ref="L4634:L4635"/>
    <mergeCell ref="M4634:M4635"/>
    <mergeCell ref="N4634:N4635"/>
    <mergeCell ref="A4637:A4638"/>
    <mergeCell ref="B4637:B4638"/>
    <mergeCell ref="C4637:C4638"/>
    <mergeCell ref="D4637:D4638"/>
    <mergeCell ref="E4637:E4638"/>
    <mergeCell ref="F4637:F4638"/>
    <mergeCell ref="G4637:G4638"/>
    <mergeCell ref="H4637:H4638"/>
    <mergeCell ref="I4637:I4638"/>
    <mergeCell ref="J4637:J4638"/>
    <mergeCell ref="K4637:K4638"/>
    <mergeCell ref="L4637:L4638"/>
    <mergeCell ref="M4637:M4638"/>
    <mergeCell ref="N4637:N4638"/>
    <mergeCell ref="A4639:A4641"/>
    <mergeCell ref="B4639:B4641"/>
    <mergeCell ref="C4639:C4641"/>
    <mergeCell ref="D4639:D4641"/>
    <mergeCell ref="E4639:E4641"/>
    <mergeCell ref="F4639:F4641"/>
    <mergeCell ref="G4639:G4641"/>
    <mergeCell ref="H4639:H4641"/>
    <mergeCell ref="I4639:I4641"/>
    <mergeCell ref="J4639:J4641"/>
    <mergeCell ref="K4639:K4641"/>
    <mergeCell ref="L4639:L4641"/>
    <mergeCell ref="M4639:M4641"/>
    <mergeCell ref="N4639:N4641"/>
    <mergeCell ref="A4646:A4648"/>
    <mergeCell ref="B4646:B4648"/>
    <mergeCell ref="C4646:C4648"/>
    <mergeCell ref="D4646:D4648"/>
    <mergeCell ref="E4646:E4648"/>
    <mergeCell ref="F4646:F4648"/>
    <mergeCell ref="G4646:G4648"/>
    <mergeCell ref="H4646:H4648"/>
    <mergeCell ref="I4646:I4648"/>
    <mergeCell ref="J4646:J4648"/>
    <mergeCell ref="K4646:K4648"/>
    <mergeCell ref="L4646:L4648"/>
    <mergeCell ref="M4646:M4648"/>
    <mergeCell ref="N4646:N4648"/>
    <mergeCell ref="A4650:A4651"/>
    <mergeCell ref="B4650:B4651"/>
    <mergeCell ref="C4650:C4651"/>
    <mergeCell ref="D4650:D4651"/>
    <mergeCell ref="E4650:E4651"/>
    <mergeCell ref="F4650:F4651"/>
    <mergeCell ref="G4650:G4651"/>
    <mergeCell ref="H4650:H4651"/>
    <mergeCell ref="I4650:I4651"/>
    <mergeCell ref="J4650:J4651"/>
    <mergeCell ref="K4650:K4651"/>
    <mergeCell ref="L4650:L4651"/>
    <mergeCell ref="M4650:M4651"/>
    <mergeCell ref="N4650:N4651"/>
    <mergeCell ref="A4657:A4658"/>
    <mergeCell ref="B4657:B4658"/>
    <mergeCell ref="C4657:C4658"/>
    <mergeCell ref="D4657:D4658"/>
    <mergeCell ref="E4657:E4658"/>
    <mergeCell ref="F4657:F4658"/>
    <mergeCell ref="G4657:G4658"/>
    <mergeCell ref="H4657:H4658"/>
    <mergeCell ref="I4657:I4658"/>
    <mergeCell ref="J4657:J4658"/>
    <mergeCell ref="K4657:K4658"/>
    <mergeCell ref="L4657:L4658"/>
    <mergeCell ref="M4657:M4658"/>
    <mergeCell ref="N4657:N4658"/>
    <mergeCell ref="A4659:A4660"/>
    <mergeCell ref="B4659:B4660"/>
    <mergeCell ref="C4659:C4660"/>
    <mergeCell ref="D4659:D4660"/>
    <mergeCell ref="E4659:E4660"/>
    <mergeCell ref="F4659:F4660"/>
    <mergeCell ref="G4659:G4660"/>
    <mergeCell ref="H4659:H4660"/>
    <mergeCell ref="I4659:I4660"/>
    <mergeCell ref="J4659:J4660"/>
    <mergeCell ref="K4659:K4660"/>
    <mergeCell ref="L4659:L4660"/>
    <mergeCell ref="M4659:M4660"/>
    <mergeCell ref="N4659:N4660"/>
    <mergeCell ref="A4661:A4662"/>
    <mergeCell ref="B4661:B4662"/>
    <mergeCell ref="C4661:C4662"/>
    <mergeCell ref="D4661:D4662"/>
    <mergeCell ref="E4661:E4662"/>
    <mergeCell ref="F4661:F4662"/>
    <mergeCell ref="G4661:G4662"/>
    <mergeCell ref="H4661:H4662"/>
    <mergeCell ref="I4661:I4662"/>
    <mergeCell ref="J4661:J4662"/>
    <mergeCell ref="K4661:K4662"/>
    <mergeCell ref="L4661:L4662"/>
    <mergeCell ref="M4661:M4662"/>
    <mergeCell ref="N4661:N4662"/>
    <mergeCell ref="A4664:A4667"/>
    <mergeCell ref="B4664:B4667"/>
    <mergeCell ref="C4664:C4667"/>
    <mergeCell ref="D4664:D4667"/>
    <mergeCell ref="E4664:E4667"/>
    <mergeCell ref="F4664:F4667"/>
    <mergeCell ref="G4664:G4667"/>
    <mergeCell ref="H4664:H4667"/>
    <mergeCell ref="I4664:I4667"/>
    <mergeCell ref="J4664:J4667"/>
    <mergeCell ref="K4664:K4667"/>
    <mergeCell ref="L4664:L4667"/>
    <mergeCell ref="M4664:M4667"/>
    <mergeCell ref="N4664:N4667"/>
    <mergeCell ref="A4679:A4685"/>
    <mergeCell ref="B4679:B4685"/>
    <mergeCell ref="C4679:C4685"/>
    <mergeCell ref="D4679:D4685"/>
    <mergeCell ref="E4679:E4685"/>
    <mergeCell ref="F4679:F4685"/>
    <mergeCell ref="G4679:G4685"/>
    <mergeCell ref="H4679:H4685"/>
    <mergeCell ref="I4679:I4685"/>
    <mergeCell ref="J4679:J4685"/>
    <mergeCell ref="K4679:K4685"/>
    <mergeCell ref="L4679:L4685"/>
    <mergeCell ref="M4679:M4685"/>
    <mergeCell ref="N4679:N4685"/>
    <mergeCell ref="A4695:A4699"/>
    <mergeCell ref="B4695:B4699"/>
    <mergeCell ref="C4695:C4699"/>
    <mergeCell ref="D4695:D4699"/>
    <mergeCell ref="E4695:E4699"/>
    <mergeCell ref="F4695:F4699"/>
    <mergeCell ref="G4695:G4699"/>
    <mergeCell ref="H4695:H4699"/>
    <mergeCell ref="I4695:I4699"/>
    <mergeCell ref="J4695:J4699"/>
    <mergeCell ref="K4695:K4699"/>
    <mergeCell ref="L4695:L4699"/>
    <mergeCell ref="M4695:M4699"/>
    <mergeCell ref="N4695:N4699"/>
    <mergeCell ref="A4704:A4705"/>
    <mergeCell ref="B4704:B4705"/>
    <mergeCell ref="C4704:C4705"/>
    <mergeCell ref="D4704:D4705"/>
    <mergeCell ref="E4704:E4705"/>
    <mergeCell ref="F4704:F4705"/>
    <mergeCell ref="G4704:G4705"/>
    <mergeCell ref="H4704:H4705"/>
    <mergeCell ref="I4704:I4705"/>
    <mergeCell ref="J4704:J4705"/>
    <mergeCell ref="K4704:K4705"/>
    <mergeCell ref="L4704:L4705"/>
    <mergeCell ref="M4704:M4705"/>
    <mergeCell ref="N4704:N4705"/>
    <mergeCell ref="A4707:A4713"/>
    <mergeCell ref="B4707:B4713"/>
    <mergeCell ref="C4707:C4713"/>
    <mergeCell ref="D4707:D4713"/>
    <mergeCell ref="E4707:E4713"/>
    <mergeCell ref="F4707:F4713"/>
    <mergeCell ref="G4707:G4713"/>
    <mergeCell ref="H4707:H4713"/>
    <mergeCell ref="I4707:I4713"/>
    <mergeCell ref="J4707:J4713"/>
    <mergeCell ref="K4707:K4713"/>
    <mergeCell ref="L4707:L4713"/>
    <mergeCell ref="M4707:M4713"/>
    <mergeCell ref="N4707:N4713"/>
    <mergeCell ref="A4722:A4723"/>
    <mergeCell ref="B4722:B4723"/>
    <mergeCell ref="C4722:C4723"/>
    <mergeCell ref="D4722:D4723"/>
    <mergeCell ref="E4722:E4723"/>
    <mergeCell ref="F4722:F4723"/>
    <mergeCell ref="G4722:G4723"/>
    <mergeCell ref="H4722:H4723"/>
    <mergeCell ref="I4722:I4723"/>
    <mergeCell ref="J4722:J4723"/>
    <mergeCell ref="K4722:K4723"/>
    <mergeCell ref="L4722:L4723"/>
    <mergeCell ref="M4722:M4723"/>
    <mergeCell ref="N4722:N4723"/>
    <mergeCell ref="A4736:A4737"/>
    <mergeCell ref="B4736:B4737"/>
    <mergeCell ref="C4736:C4737"/>
    <mergeCell ref="D4736:D4737"/>
    <mergeCell ref="E4736:E4737"/>
    <mergeCell ref="F4736:F4737"/>
    <mergeCell ref="G4736:G4737"/>
    <mergeCell ref="H4736:H4737"/>
    <mergeCell ref="I4736:I4737"/>
    <mergeCell ref="J4736:J4737"/>
    <mergeCell ref="K4736:K4737"/>
    <mergeCell ref="L4736:L4737"/>
    <mergeCell ref="M4736:M4737"/>
    <mergeCell ref="N4736:N4737"/>
    <mergeCell ref="A4758:A4759"/>
    <mergeCell ref="B4758:B4759"/>
    <mergeCell ref="C4758:C4759"/>
    <mergeCell ref="D4758:D4759"/>
    <mergeCell ref="E4758:E4759"/>
    <mergeCell ref="F4758:F4759"/>
    <mergeCell ref="G4758:G4759"/>
    <mergeCell ref="H4758:H4759"/>
    <mergeCell ref="I4758:I4759"/>
    <mergeCell ref="J4758:J4759"/>
    <mergeCell ref="K4758:K4759"/>
    <mergeCell ref="L4758:L4759"/>
    <mergeCell ref="M4758:M4759"/>
    <mergeCell ref="N4758:N4759"/>
    <mergeCell ref="A4770:A4772"/>
    <mergeCell ref="B4770:B4772"/>
    <mergeCell ref="C4770:C4772"/>
    <mergeCell ref="D4770:D4772"/>
    <mergeCell ref="E4770:E4772"/>
    <mergeCell ref="F4770:F4772"/>
    <mergeCell ref="G4770:G4772"/>
    <mergeCell ref="H4770:H4772"/>
    <mergeCell ref="I4770:I4772"/>
    <mergeCell ref="J4770:J4772"/>
    <mergeCell ref="K4770:K4772"/>
    <mergeCell ref="L4770:L4772"/>
    <mergeCell ref="M4770:M4772"/>
    <mergeCell ref="N4770:N4772"/>
    <mergeCell ref="A4773:A4775"/>
    <mergeCell ref="B4773:B4775"/>
    <mergeCell ref="C4773:C4775"/>
    <mergeCell ref="D4773:D4775"/>
    <mergeCell ref="E4773:E4775"/>
    <mergeCell ref="F4773:F4775"/>
    <mergeCell ref="G4773:G4775"/>
    <mergeCell ref="H4773:H4775"/>
    <mergeCell ref="I4773:I4775"/>
    <mergeCell ref="J4773:J4775"/>
    <mergeCell ref="K4773:K4775"/>
    <mergeCell ref="L4773:L4775"/>
    <mergeCell ref="M4773:M4775"/>
    <mergeCell ref="N4773:N4775"/>
    <mergeCell ref="A4783:A4784"/>
    <mergeCell ref="B4783:B4784"/>
    <mergeCell ref="C4783:C4784"/>
    <mergeCell ref="D4783:D4784"/>
    <mergeCell ref="E4783:E4784"/>
    <mergeCell ref="F4783:F4784"/>
    <mergeCell ref="G4783:G4784"/>
    <mergeCell ref="H4783:H4784"/>
    <mergeCell ref="I4783:I4784"/>
    <mergeCell ref="J4783:J4784"/>
    <mergeCell ref="K4783:K4784"/>
    <mergeCell ref="L4783:L4784"/>
    <mergeCell ref="M4783:M4784"/>
    <mergeCell ref="N4783:N4784"/>
    <mergeCell ref="A4788:A4789"/>
    <mergeCell ref="B4788:B4789"/>
    <mergeCell ref="C4788:C4789"/>
    <mergeCell ref="D4788:D4789"/>
    <mergeCell ref="E4788:E4789"/>
    <mergeCell ref="F4788:F4789"/>
    <mergeCell ref="G4788:G4789"/>
    <mergeCell ref="H4788:H4789"/>
    <mergeCell ref="I4788:I4789"/>
    <mergeCell ref="J4788:J4789"/>
    <mergeCell ref="K4788:K4789"/>
    <mergeCell ref="L4788:L4789"/>
    <mergeCell ref="M4788:M4789"/>
    <mergeCell ref="N4788:N4789"/>
    <mergeCell ref="A4792:A4795"/>
    <mergeCell ref="B4792:B4795"/>
    <mergeCell ref="C4792:C4795"/>
    <mergeCell ref="D4792:D4795"/>
    <mergeCell ref="E4792:E4795"/>
    <mergeCell ref="F4792:F4795"/>
    <mergeCell ref="G4792:G4795"/>
    <mergeCell ref="H4792:H4795"/>
    <mergeCell ref="I4792:I4795"/>
    <mergeCell ref="J4792:J4795"/>
    <mergeCell ref="K4792:K4795"/>
    <mergeCell ref="L4792:L4795"/>
    <mergeCell ref="M4792:M4795"/>
    <mergeCell ref="N4792:N4795"/>
    <mergeCell ref="A4808:A4809"/>
    <mergeCell ref="B4808:B4809"/>
    <mergeCell ref="C4808:C4809"/>
    <mergeCell ref="D4808:D4809"/>
    <mergeCell ref="E4808:E4809"/>
    <mergeCell ref="F4808:F4809"/>
    <mergeCell ref="G4808:G4809"/>
    <mergeCell ref="H4808:H4809"/>
    <mergeCell ref="I4808:I4809"/>
    <mergeCell ref="J4808:J4809"/>
    <mergeCell ref="K4808:K4809"/>
    <mergeCell ref="L4808:L4809"/>
    <mergeCell ref="M4808:M4809"/>
    <mergeCell ref="N4808:N4809"/>
    <mergeCell ref="A4816:A4819"/>
    <mergeCell ref="B4816:B4819"/>
    <mergeCell ref="C4816:C4819"/>
    <mergeCell ref="D4816:D4819"/>
    <mergeCell ref="E4816:E4819"/>
    <mergeCell ref="F4816:F4819"/>
    <mergeCell ref="G4816:G4819"/>
    <mergeCell ref="H4816:H4819"/>
    <mergeCell ref="I4816:I4819"/>
    <mergeCell ref="J4816:J4819"/>
    <mergeCell ref="K4816:K4819"/>
    <mergeCell ref="L4816:L4819"/>
    <mergeCell ref="M4816:M4819"/>
    <mergeCell ref="N4816:N4819"/>
    <mergeCell ref="A4820:A4822"/>
    <mergeCell ref="B4820:B4822"/>
    <mergeCell ref="C4820:C4822"/>
    <mergeCell ref="D4820:D4822"/>
    <mergeCell ref="E4820:E4822"/>
    <mergeCell ref="F4820:F4822"/>
    <mergeCell ref="G4820:G4822"/>
    <mergeCell ref="H4820:H4822"/>
    <mergeCell ref="I4820:I4822"/>
    <mergeCell ref="J4820:J4822"/>
    <mergeCell ref="K4820:K4822"/>
    <mergeCell ref="L4820:L4822"/>
    <mergeCell ref="M4820:M4822"/>
    <mergeCell ref="N4820:N4822"/>
    <mergeCell ref="A4825:A4826"/>
    <mergeCell ref="B4825:B4826"/>
    <mergeCell ref="C4825:C4826"/>
    <mergeCell ref="D4825:D4826"/>
    <mergeCell ref="E4825:E4826"/>
    <mergeCell ref="F4825:F4826"/>
    <mergeCell ref="G4825:G4826"/>
    <mergeCell ref="H4825:H4826"/>
    <mergeCell ref="I4825:I4826"/>
    <mergeCell ref="J4825:J4826"/>
    <mergeCell ref="K4825:K4826"/>
    <mergeCell ref="L4825:L4826"/>
    <mergeCell ref="M4825:M4826"/>
    <mergeCell ref="N4825:N4826"/>
    <mergeCell ref="A4830:A4831"/>
    <mergeCell ref="B4830:B4831"/>
    <mergeCell ref="C4830:C4831"/>
    <mergeCell ref="D4830:D4831"/>
    <mergeCell ref="E4830:E4831"/>
    <mergeCell ref="F4830:F4831"/>
    <mergeCell ref="G4830:G4831"/>
    <mergeCell ref="H4830:H4831"/>
    <mergeCell ref="I4830:I4831"/>
    <mergeCell ref="J4830:J4831"/>
    <mergeCell ref="K4830:K4831"/>
    <mergeCell ref="L4830:L4831"/>
    <mergeCell ref="M4830:M4831"/>
    <mergeCell ref="N4830:N4831"/>
    <mergeCell ref="A4837:A4838"/>
    <mergeCell ref="B4837:B4838"/>
    <mergeCell ref="C4837:C4838"/>
    <mergeCell ref="D4837:D4838"/>
    <mergeCell ref="E4837:E4838"/>
    <mergeCell ref="F4837:F4838"/>
    <mergeCell ref="G4837:G4838"/>
    <mergeCell ref="H4837:H4838"/>
    <mergeCell ref="I4837:I4838"/>
    <mergeCell ref="J4837:J4838"/>
    <mergeCell ref="K4837:K4838"/>
    <mergeCell ref="L4837:L4838"/>
    <mergeCell ref="M4837:M4838"/>
    <mergeCell ref="N4837:N4838"/>
    <mergeCell ref="A4843:A4844"/>
    <mergeCell ref="B4843:B4844"/>
    <mergeCell ref="C4843:C4844"/>
    <mergeCell ref="D4843:D4844"/>
    <mergeCell ref="E4843:E4844"/>
    <mergeCell ref="F4843:F4844"/>
    <mergeCell ref="G4843:G4844"/>
    <mergeCell ref="H4843:H4844"/>
    <mergeCell ref="I4843:I4844"/>
    <mergeCell ref="J4843:J4844"/>
    <mergeCell ref="K4843:K4844"/>
    <mergeCell ref="L4843:L4844"/>
    <mergeCell ref="M4843:M4844"/>
    <mergeCell ref="N4843:N4844"/>
    <mergeCell ref="A4845:A4846"/>
    <mergeCell ref="B4845:B4846"/>
    <mergeCell ref="C4845:C4846"/>
    <mergeCell ref="D4845:D4846"/>
    <mergeCell ref="E4845:E4846"/>
    <mergeCell ref="F4845:F4846"/>
    <mergeCell ref="G4845:G4846"/>
    <mergeCell ref="H4845:H4846"/>
    <mergeCell ref="I4845:I4846"/>
    <mergeCell ref="J4845:J4846"/>
    <mergeCell ref="K4845:K4846"/>
    <mergeCell ref="L4845:L4846"/>
    <mergeCell ref="M4845:M4846"/>
    <mergeCell ref="N4845:N4846"/>
    <mergeCell ref="A4852:A4853"/>
    <mergeCell ref="B4852:B4853"/>
    <mergeCell ref="C4852:C4853"/>
    <mergeCell ref="D4852:D4853"/>
    <mergeCell ref="E4852:E4853"/>
    <mergeCell ref="F4852:F4853"/>
    <mergeCell ref="G4852:G4853"/>
    <mergeCell ref="H4852:H4853"/>
    <mergeCell ref="I4852:I4853"/>
    <mergeCell ref="J4852:J4853"/>
    <mergeCell ref="K4852:K4853"/>
    <mergeCell ref="L4852:L4853"/>
    <mergeCell ref="M4852:M4853"/>
    <mergeCell ref="N4852:N4853"/>
    <mergeCell ref="A4861:A4863"/>
    <mergeCell ref="B4861:B4863"/>
    <mergeCell ref="C4861:C4863"/>
    <mergeCell ref="D4861:D4863"/>
    <mergeCell ref="E4861:E4863"/>
    <mergeCell ref="F4861:F4863"/>
    <mergeCell ref="G4861:G4863"/>
    <mergeCell ref="H4861:H4863"/>
    <mergeCell ref="I4861:I4863"/>
    <mergeCell ref="J4861:J4863"/>
    <mergeCell ref="K4861:K4863"/>
    <mergeCell ref="L4861:L4863"/>
    <mergeCell ref="M4861:M4863"/>
    <mergeCell ref="N4861:N4863"/>
    <mergeCell ref="A4868:A4869"/>
    <mergeCell ref="B4868:B4869"/>
    <mergeCell ref="C4868:C4869"/>
    <mergeCell ref="D4868:D4869"/>
    <mergeCell ref="E4868:E4869"/>
    <mergeCell ref="F4868:F4869"/>
    <mergeCell ref="G4868:G4869"/>
    <mergeCell ref="H4868:H4869"/>
    <mergeCell ref="I4868:I4869"/>
    <mergeCell ref="J4868:J4869"/>
    <mergeCell ref="K4868:K4869"/>
    <mergeCell ref="L4868:L4869"/>
    <mergeCell ref="M4868:M4869"/>
    <mergeCell ref="N4868:N4869"/>
    <mergeCell ref="A4871:A4872"/>
    <mergeCell ref="B4871:B4872"/>
    <mergeCell ref="C4871:C4872"/>
    <mergeCell ref="D4871:D4872"/>
    <mergeCell ref="E4871:E4872"/>
    <mergeCell ref="F4871:F4872"/>
    <mergeCell ref="G4871:G4872"/>
    <mergeCell ref="H4871:H4872"/>
    <mergeCell ref="I4871:I4872"/>
    <mergeCell ref="J4871:J4872"/>
    <mergeCell ref="K4871:K4872"/>
    <mergeCell ref="L4871:L4872"/>
    <mergeCell ref="M4871:M4872"/>
    <mergeCell ref="N4871:N4872"/>
    <mergeCell ref="A4873:A4874"/>
    <mergeCell ref="B4873:B4874"/>
    <mergeCell ref="C4873:C4874"/>
    <mergeCell ref="D4873:D4874"/>
    <mergeCell ref="E4873:E4874"/>
    <mergeCell ref="F4873:F4874"/>
    <mergeCell ref="G4873:G4874"/>
    <mergeCell ref="H4873:H4874"/>
    <mergeCell ref="I4873:I4874"/>
    <mergeCell ref="J4873:J4874"/>
    <mergeCell ref="K4873:K4874"/>
    <mergeCell ref="L4873:L4874"/>
    <mergeCell ref="M4873:M4874"/>
    <mergeCell ref="N4873:N4874"/>
    <mergeCell ref="A4879:A4880"/>
    <mergeCell ref="B4879:B4880"/>
    <mergeCell ref="C4879:C4880"/>
    <mergeCell ref="D4879:D4880"/>
    <mergeCell ref="E4879:E4880"/>
    <mergeCell ref="F4879:F4880"/>
    <mergeCell ref="G4879:G4880"/>
    <mergeCell ref="H4879:H4880"/>
    <mergeCell ref="I4879:I4880"/>
    <mergeCell ref="J4879:J4880"/>
    <mergeCell ref="K4879:K4880"/>
    <mergeCell ref="L4879:L4880"/>
    <mergeCell ref="M4879:M4880"/>
    <mergeCell ref="N4879:N4880"/>
    <mergeCell ref="A4882:A4883"/>
    <mergeCell ref="B4882:B4883"/>
    <mergeCell ref="C4882:C4883"/>
    <mergeCell ref="D4882:D4883"/>
    <mergeCell ref="E4882:E4883"/>
    <mergeCell ref="F4882:F4883"/>
    <mergeCell ref="G4882:G4883"/>
    <mergeCell ref="H4882:H4883"/>
    <mergeCell ref="I4882:I4883"/>
    <mergeCell ref="J4882:J4883"/>
    <mergeCell ref="K4882:K4883"/>
    <mergeCell ref="L4882:L4883"/>
    <mergeCell ref="M4882:M4883"/>
    <mergeCell ref="N4882:N4883"/>
    <mergeCell ref="A4885:A4886"/>
    <mergeCell ref="B4885:B4886"/>
    <mergeCell ref="C4885:C4886"/>
    <mergeCell ref="D4885:D4886"/>
    <mergeCell ref="E4885:E4886"/>
    <mergeCell ref="F4885:F4886"/>
    <mergeCell ref="G4885:G4886"/>
    <mergeCell ref="H4885:H4886"/>
    <mergeCell ref="I4885:I4886"/>
    <mergeCell ref="J4885:J4886"/>
    <mergeCell ref="K4885:K4886"/>
    <mergeCell ref="L4885:L4886"/>
    <mergeCell ref="M4885:M4886"/>
    <mergeCell ref="N4885:N4886"/>
    <mergeCell ref="A4887:A4891"/>
    <mergeCell ref="B4887:B4891"/>
    <mergeCell ref="C4887:C4891"/>
    <mergeCell ref="D4887:D4891"/>
    <mergeCell ref="E4887:E4891"/>
    <mergeCell ref="F4887:F4891"/>
    <mergeCell ref="G4887:G4891"/>
    <mergeCell ref="H4887:H4891"/>
    <mergeCell ref="I4887:I4891"/>
    <mergeCell ref="J4887:J4891"/>
    <mergeCell ref="K4887:K4891"/>
    <mergeCell ref="L4887:L4891"/>
    <mergeCell ref="M4887:M4891"/>
    <mergeCell ref="N4887:N4891"/>
    <mergeCell ref="A4892:A4896"/>
    <mergeCell ref="B4892:B4896"/>
    <mergeCell ref="C4892:C4896"/>
    <mergeCell ref="D4892:D4896"/>
    <mergeCell ref="E4892:E4896"/>
    <mergeCell ref="F4892:F4896"/>
    <mergeCell ref="G4892:G4896"/>
    <mergeCell ref="H4892:H4896"/>
    <mergeCell ref="I4892:I4896"/>
    <mergeCell ref="J4892:J4896"/>
    <mergeCell ref="K4892:K4896"/>
    <mergeCell ref="L4892:L4896"/>
    <mergeCell ref="M4892:M4896"/>
    <mergeCell ref="N4892:N4896"/>
    <mergeCell ref="A4901:A4902"/>
    <mergeCell ref="B4901:B4902"/>
    <mergeCell ref="C4901:C4902"/>
    <mergeCell ref="D4901:D4902"/>
    <mergeCell ref="E4901:E4902"/>
    <mergeCell ref="F4901:F4902"/>
    <mergeCell ref="G4901:G4902"/>
    <mergeCell ref="H4901:H4902"/>
    <mergeCell ref="I4901:I4902"/>
    <mergeCell ref="J4901:J4902"/>
    <mergeCell ref="K4901:K4902"/>
    <mergeCell ref="L4901:L4902"/>
    <mergeCell ref="M4901:M4902"/>
    <mergeCell ref="N4901:N4902"/>
    <mergeCell ref="A4911:A4913"/>
    <mergeCell ref="B4911:B4913"/>
    <mergeCell ref="C4911:C4913"/>
    <mergeCell ref="D4911:D4913"/>
    <mergeCell ref="E4911:E4913"/>
    <mergeCell ref="F4911:F4913"/>
    <mergeCell ref="G4911:G4913"/>
    <mergeCell ref="H4911:H4913"/>
    <mergeCell ref="I4911:I4913"/>
    <mergeCell ref="J4911:J4913"/>
    <mergeCell ref="K4911:K4913"/>
    <mergeCell ref="L4911:L4913"/>
    <mergeCell ref="M4911:M4913"/>
    <mergeCell ref="N4911:N4913"/>
    <mergeCell ref="A4917:A4918"/>
    <mergeCell ref="B4917:B4918"/>
    <mergeCell ref="C4917:C4918"/>
    <mergeCell ref="D4917:D4918"/>
    <mergeCell ref="E4917:E4918"/>
    <mergeCell ref="F4917:F4918"/>
    <mergeCell ref="G4917:G4918"/>
    <mergeCell ref="H4917:H4918"/>
    <mergeCell ref="I4917:I4918"/>
    <mergeCell ref="J4917:J4918"/>
    <mergeCell ref="K4917:K4918"/>
    <mergeCell ref="L4917:L4918"/>
    <mergeCell ref="M4917:M4918"/>
    <mergeCell ref="N4917:N4918"/>
    <mergeCell ref="A4920:A4923"/>
    <mergeCell ref="B4920:B4923"/>
    <mergeCell ref="C4920:C4923"/>
    <mergeCell ref="D4920:D4923"/>
    <mergeCell ref="E4920:E4923"/>
    <mergeCell ref="F4920:F4923"/>
    <mergeCell ref="G4920:G4923"/>
    <mergeCell ref="H4920:H4923"/>
    <mergeCell ref="I4920:I4923"/>
    <mergeCell ref="J4920:J4923"/>
    <mergeCell ref="K4920:K4923"/>
    <mergeCell ref="L4920:L4923"/>
    <mergeCell ref="M4920:M4923"/>
    <mergeCell ref="N4920:N4923"/>
    <mergeCell ref="A4927:A4928"/>
    <mergeCell ref="B4927:B4928"/>
    <mergeCell ref="C4927:C4928"/>
    <mergeCell ref="D4927:D4928"/>
    <mergeCell ref="E4927:E4928"/>
    <mergeCell ref="F4927:F4928"/>
    <mergeCell ref="G4927:G4928"/>
    <mergeCell ref="H4927:H4928"/>
    <mergeCell ref="I4927:I4928"/>
    <mergeCell ref="J4927:J4928"/>
    <mergeCell ref="K4927:K4928"/>
    <mergeCell ref="L4927:L4928"/>
    <mergeCell ref="M4927:M4928"/>
    <mergeCell ref="N4927:N4928"/>
    <mergeCell ref="A4930:A4931"/>
    <mergeCell ref="B4930:B4931"/>
    <mergeCell ref="C4930:C4931"/>
    <mergeCell ref="D4930:D4931"/>
    <mergeCell ref="E4930:E4931"/>
    <mergeCell ref="F4930:F4931"/>
    <mergeCell ref="G4930:G4931"/>
    <mergeCell ref="H4930:H4931"/>
    <mergeCell ref="I4930:I4931"/>
    <mergeCell ref="J4930:J4931"/>
    <mergeCell ref="K4930:K4931"/>
    <mergeCell ref="L4930:L4931"/>
    <mergeCell ref="M4930:M4931"/>
    <mergeCell ref="N4930:N4931"/>
    <mergeCell ref="A4938:A4940"/>
    <mergeCell ref="B4938:B4940"/>
    <mergeCell ref="C4938:C4940"/>
    <mergeCell ref="D4938:D4940"/>
    <mergeCell ref="E4938:E4940"/>
    <mergeCell ref="F4938:F4940"/>
    <mergeCell ref="G4938:G4940"/>
    <mergeCell ref="H4938:H4940"/>
    <mergeCell ref="I4938:I4940"/>
    <mergeCell ref="J4938:J4940"/>
    <mergeCell ref="K4938:K4940"/>
    <mergeCell ref="L4938:L4940"/>
    <mergeCell ref="M4938:M4940"/>
    <mergeCell ref="N4938:N4940"/>
    <mergeCell ref="A4946:A4948"/>
    <mergeCell ref="B4946:B4948"/>
    <mergeCell ref="C4946:C4948"/>
    <mergeCell ref="D4946:D4948"/>
    <mergeCell ref="E4946:E4948"/>
    <mergeCell ref="F4946:F4948"/>
    <mergeCell ref="G4946:G4948"/>
    <mergeCell ref="H4946:H4948"/>
    <mergeCell ref="I4946:I4948"/>
    <mergeCell ref="J4946:J4948"/>
    <mergeCell ref="K4946:K4948"/>
    <mergeCell ref="L4946:L4948"/>
    <mergeCell ref="M4946:M4948"/>
    <mergeCell ref="N4946:N4948"/>
    <mergeCell ref="A4949:A4950"/>
    <mergeCell ref="B4949:B4950"/>
    <mergeCell ref="C4949:C4950"/>
    <mergeCell ref="D4949:D4950"/>
    <mergeCell ref="E4949:E4950"/>
    <mergeCell ref="F4949:F4950"/>
    <mergeCell ref="G4949:G4950"/>
    <mergeCell ref="H4949:H4950"/>
    <mergeCell ref="I4949:I4950"/>
    <mergeCell ref="J4949:J4950"/>
    <mergeCell ref="K4949:K4950"/>
    <mergeCell ref="L4949:L4950"/>
    <mergeCell ref="M4949:M4950"/>
    <mergeCell ref="N4949:N4950"/>
    <mergeCell ref="A4954:A4955"/>
    <mergeCell ref="B4954:B4955"/>
    <mergeCell ref="C4954:C4955"/>
    <mergeCell ref="D4954:D4955"/>
    <mergeCell ref="E4954:E4955"/>
    <mergeCell ref="F4954:F4955"/>
    <mergeCell ref="G4954:G4955"/>
    <mergeCell ref="H4954:H4955"/>
    <mergeCell ref="I4954:I4955"/>
    <mergeCell ref="J4954:J4955"/>
    <mergeCell ref="K4954:K4955"/>
    <mergeCell ref="L4954:L4955"/>
    <mergeCell ref="M4954:M4955"/>
    <mergeCell ref="N4954:N4955"/>
    <mergeCell ref="A4956:A4958"/>
    <mergeCell ref="B4956:B4958"/>
    <mergeCell ref="C4956:C4958"/>
    <mergeCell ref="D4956:D4958"/>
    <mergeCell ref="E4956:E4958"/>
    <mergeCell ref="F4956:F4958"/>
    <mergeCell ref="G4956:G4958"/>
    <mergeCell ref="H4956:H4958"/>
    <mergeCell ref="I4956:I4958"/>
    <mergeCell ref="J4956:J4958"/>
    <mergeCell ref="K4956:K4958"/>
    <mergeCell ref="L4956:L4958"/>
    <mergeCell ref="M4956:M4958"/>
    <mergeCell ref="N4956:N4958"/>
    <mergeCell ref="A4960:A4961"/>
    <mergeCell ref="B4960:B4961"/>
    <mergeCell ref="C4960:C4961"/>
    <mergeCell ref="D4960:D4961"/>
    <mergeCell ref="E4960:E4961"/>
    <mergeCell ref="F4960:F4961"/>
    <mergeCell ref="G4960:G4961"/>
    <mergeCell ref="H4960:H4961"/>
    <mergeCell ref="I4960:I4961"/>
    <mergeCell ref="J4960:J4961"/>
    <mergeCell ref="K4960:K4961"/>
    <mergeCell ref="L4960:L4961"/>
    <mergeCell ref="M4960:M4961"/>
    <mergeCell ref="N4960:N4961"/>
    <mergeCell ref="A4969:A4971"/>
    <mergeCell ref="B4969:B4971"/>
    <mergeCell ref="C4969:C4971"/>
    <mergeCell ref="D4969:D4971"/>
    <mergeCell ref="E4969:E4971"/>
    <mergeCell ref="F4969:F4971"/>
    <mergeCell ref="G4969:G4971"/>
    <mergeCell ref="H4969:H4971"/>
    <mergeCell ref="I4969:I4971"/>
    <mergeCell ref="J4969:J4971"/>
    <mergeCell ref="K4969:K4971"/>
    <mergeCell ref="L4969:L4971"/>
    <mergeCell ref="M4969:M4971"/>
    <mergeCell ref="N4969:N4971"/>
    <mergeCell ref="A4989:A4990"/>
    <mergeCell ref="B4989:B4990"/>
    <mergeCell ref="C4989:C4990"/>
    <mergeCell ref="D4989:D4990"/>
    <mergeCell ref="E4989:E4990"/>
    <mergeCell ref="F4989:F4990"/>
    <mergeCell ref="G4989:G4990"/>
    <mergeCell ref="H4989:H4990"/>
    <mergeCell ref="I4989:I4990"/>
    <mergeCell ref="J4989:J4990"/>
    <mergeCell ref="K4989:K4990"/>
    <mergeCell ref="L4989:L4990"/>
    <mergeCell ref="M4989:M4990"/>
    <mergeCell ref="N4989:N4990"/>
    <mergeCell ref="A4991:A4992"/>
    <mergeCell ref="B4991:B4992"/>
    <mergeCell ref="C4991:C4992"/>
    <mergeCell ref="D4991:D4992"/>
    <mergeCell ref="E4991:E4992"/>
    <mergeCell ref="F4991:F4992"/>
    <mergeCell ref="G4991:G4992"/>
    <mergeCell ref="H4991:H4992"/>
    <mergeCell ref="I4991:I4992"/>
    <mergeCell ref="J4991:J4992"/>
    <mergeCell ref="K4991:K4992"/>
    <mergeCell ref="L4991:L4992"/>
    <mergeCell ref="M4991:M4992"/>
    <mergeCell ref="N4991:N4992"/>
    <mergeCell ref="A5001:A5002"/>
    <mergeCell ref="B5001:B5002"/>
    <mergeCell ref="C5001:C5002"/>
    <mergeCell ref="D5001:D5002"/>
    <mergeCell ref="E5001:E5002"/>
    <mergeCell ref="F5001:F5002"/>
    <mergeCell ref="G5001:G5002"/>
    <mergeCell ref="H5001:H5002"/>
    <mergeCell ref="I5001:I5002"/>
    <mergeCell ref="J5001:J5002"/>
    <mergeCell ref="K5001:K5002"/>
    <mergeCell ref="L5001:L5002"/>
    <mergeCell ref="M5001:M5002"/>
    <mergeCell ref="N5001:N5002"/>
    <mergeCell ref="A5005:A5007"/>
    <mergeCell ref="B5005:B5007"/>
    <mergeCell ref="C5005:C5007"/>
    <mergeCell ref="D5005:D5007"/>
    <mergeCell ref="E5005:E5007"/>
    <mergeCell ref="F5005:F5007"/>
    <mergeCell ref="G5005:G5007"/>
    <mergeCell ref="H5005:H5007"/>
    <mergeCell ref="I5005:I5007"/>
    <mergeCell ref="J5005:J5007"/>
    <mergeCell ref="K5005:K5007"/>
    <mergeCell ref="L5005:L5007"/>
    <mergeCell ref="M5005:M5007"/>
    <mergeCell ref="N5005:N5007"/>
    <mergeCell ref="A5010:A5011"/>
    <mergeCell ref="B5010:B5011"/>
    <mergeCell ref="C5010:C5011"/>
    <mergeCell ref="D5010:D5011"/>
    <mergeCell ref="E5010:E5011"/>
    <mergeCell ref="F5010:F5011"/>
    <mergeCell ref="G5010:G5011"/>
    <mergeCell ref="H5010:H5011"/>
    <mergeCell ref="I5010:I5011"/>
    <mergeCell ref="J5010:J5011"/>
    <mergeCell ref="K5010:K5011"/>
    <mergeCell ref="L5010:L5011"/>
    <mergeCell ref="M5010:M5011"/>
    <mergeCell ref="N5010:N5011"/>
    <mergeCell ref="A5023:A5025"/>
    <mergeCell ref="B5023:B5025"/>
    <mergeCell ref="C5023:C5025"/>
    <mergeCell ref="D5023:D5025"/>
    <mergeCell ref="E5023:E5025"/>
    <mergeCell ref="F5023:F5025"/>
    <mergeCell ref="G5023:G5025"/>
    <mergeCell ref="H5023:H5025"/>
    <mergeCell ref="I5023:I5025"/>
    <mergeCell ref="J5023:J5025"/>
    <mergeCell ref="K5023:K5025"/>
    <mergeCell ref="L5023:L5025"/>
    <mergeCell ref="M5023:M5025"/>
    <mergeCell ref="N5023:N5025"/>
    <mergeCell ref="A5027:A5029"/>
    <mergeCell ref="B5027:B5029"/>
    <mergeCell ref="C5027:C5029"/>
    <mergeCell ref="D5027:D5029"/>
    <mergeCell ref="E5027:E5029"/>
    <mergeCell ref="F5027:F5029"/>
    <mergeCell ref="G5027:G5029"/>
    <mergeCell ref="H5027:H5029"/>
    <mergeCell ref="I5027:I5029"/>
    <mergeCell ref="J5027:J5029"/>
    <mergeCell ref="K5027:K5029"/>
    <mergeCell ref="L5027:L5029"/>
    <mergeCell ref="M5027:M5029"/>
    <mergeCell ref="N5027:N5029"/>
    <mergeCell ref="A5039:A5040"/>
    <mergeCell ref="B5039:B5040"/>
    <mergeCell ref="C5039:C5040"/>
    <mergeCell ref="D5039:D5040"/>
    <mergeCell ref="E5039:E5040"/>
    <mergeCell ref="F5039:F5040"/>
    <mergeCell ref="G5039:G5040"/>
    <mergeCell ref="H5039:H5040"/>
    <mergeCell ref="I5039:I5040"/>
    <mergeCell ref="J5039:J5040"/>
    <mergeCell ref="K5039:K5040"/>
    <mergeCell ref="L5039:L5040"/>
    <mergeCell ref="M5039:M5040"/>
    <mergeCell ref="N5039:N5040"/>
    <mergeCell ref="A5060:A5061"/>
    <mergeCell ref="B5060:B5061"/>
    <mergeCell ref="C5060:C5061"/>
    <mergeCell ref="D5060:D5061"/>
    <mergeCell ref="E5060:E5061"/>
    <mergeCell ref="F5060:F5061"/>
    <mergeCell ref="G5060:G5061"/>
    <mergeCell ref="H5060:H5061"/>
    <mergeCell ref="I5060:I5061"/>
    <mergeCell ref="J5060:J5061"/>
    <mergeCell ref="K5060:K5061"/>
    <mergeCell ref="L5060:L5061"/>
    <mergeCell ref="M5060:M5061"/>
    <mergeCell ref="N5060:N5061"/>
    <mergeCell ref="A5065:A5066"/>
    <mergeCell ref="B5065:B5066"/>
    <mergeCell ref="C5065:C5066"/>
    <mergeCell ref="D5065:D5066"/>
    <mergeCell ref="E5065:E5066"/>
    <mergeCell ref="F5065:F5066"/>
    <mergeCell ref="G5065:G5066"/>
    <mergeCell ref="H5065:H5066"/>
    <mergeCell ref="I5065:I5066"/>
    <mergeCell ref="J5065:J5066"/>
    <mergeCell ref="K5065:K5066"/>
    <mergeCell ref="L5065:L5066"/>
    <mergeCell ref="M5065:M5066"/>
    <mergeCell ref="N5065:N5066"/>
    <mergeCell ref="A5069:A5072"/>
    <mergeCell ref="B5069:B5072"/>
    <mergeCell ref="C5069:C5072"/>
    <mergeCell ref="D5069:D5072"/>
    <mergeCell ref="E5069:E5072"/>
    <mergeCell ref="F5069:F5072"/>
    <mergeCell ref="G5069:G5072"/>
    <mergeCell ref="H5069:H5072"/>
    <mergeCell ref="I5069:I5072"/>
    <mergeCell ref="J5069:J5072"/>
    <mergeCell ref="K5069:K5072"/>
    <mergeCell ref="L5069:L5072"/>
    <mergeCell ref="M5069:M5072"/>
    <mergeCell ref="N5069:N5072"/>
    <mergeCell ref="A5074:A5075"/>
    <mergeCell ref="B5074:B5075"/>
    <mergeCell ref="C5074:C5075"/>
    <mergeCell ref="D5074:D5075"/>
    <mergeCell ref="E5074:E5075"/>
    <mergeCell ref="F5074:F5075"/>
    <mergeCell ref="G5074:G5075"/>
    <mergeCell ref="H5074:H5075"/>
    <mergeCell ref="I5074:I5075"/>
    <mergeCell ref="J5074:J5075"/>
    <mergeCell ref="K5074:K5075"/>
    <mergeCell ref="L5074:L5075"/>
    <mergeCell ref="M5074:M5075"/>
    <mergeCell ref="N5074:N5075"/>
    <mergeCell ref="A5080:A5083"/>
    <mergeCell ref="B5080:B5083"/>
    <mergeCell ref="C5080:C5083"/>
    <mergeCell ref="D5080:D5083"/>
    <mergeCell ref="E5080:E5083"/>
    <mergeCell ref="F5080:F5083"/>
    <mergeCell ref="G5080:G5083"/>
    <mergeCell ref="H5080:H5083"/>
    <mergeCell ref="I5080:I5083"/>
    <mergeCell ref="J5080:J5083"/>
    <mergeCell ref="K5080:K5083"/>
    <mergeCell ref="L5080:L5083"/>
    <mergeCell ref="M5080:M5083"/>
    <mergeCell ref="N5080:N5083"/>
    <mergeCell ref="A5093:A5094"/>
    <mergeCell ref="B5093:B5094"/>
    <mergeCell ref="C5093:C5094"/>
    <mergeCell ref="D5093:D5094"/>
    <mergeCell ref="E5093:E5094"/>
    <mergeCell ref="F5093:F5094"/>
    <mergeCell ref="G5093:G5094"/>
    <mergeCell ref="H5093:H5094"/>
    <mergeCell ref="I5093:I5094"/>
    <mergeCell ref="J5093:J5094"/>
    <mergeCell ref="K5093:K5094"/>
    <mergeCell ref="L5093:L5094"/>
    <mergeCell ref="M5093:M5094"/>
    <mergeCell ref="N5093:N5094"/>
    <mergeCell ref="A5098:A5099"/>
    <mergeCell ref="B5098:B5099"/>
    <mergeCell ref="C5098:C5099"/>
    <mergeCell ref="D5098:D5099"/>
    <mergeCell ref="E5098:E5099"/>
    <mergeCell ref="F5098:F5099"/>
    <mergeCell ref="G5098:G5099"/>
    <mergeCell ref="H5098:H5099"/>
    <mergeCell ref="I5098:I5099"/>
    <mergeCell ref="J5098:J5099"/>
    <mergeCell ref="K5098:K5099"/>
    <mergeCell ref="L5098:L5099"/>
    <mergeCell ref="M5098:M5099"/>
    <mergeCell ref="N5098:N5099"/>
    <mergeCell ref="A5103:A5105"/>
    <mergeCell ref="B5103:B5105"/>
    <mergeCell ref="C5103:C5105"/>
    <mergeCell ref="D5103:D5105"/>
    <mergeCell ref="E5103:E5105"/>
    <mergeCell ref="F5103:F5105"/>
    <mergeCell ref="G5103:G5105"/>
    <mergeCell ref="H5103:H5105"/>
    <mergeCell ref="I5103:I5105"/>
    <mergeCell ref="J5103:J5105"/>
    <mergeCell ref="K5103:K5105"/>
    <mergeCell ref="L5103:L5105"/>
    <mergeCell ref="M5103:M5105"/>
    <mergeCell ref="N5103:N5105"/>
    <mergeCell ref="A5107:A5109"/>
    <mergeCell ref="B5107:B5109"/>
    <mergeCell ref="C5107:C5109"/>
    <mergeCell ref="D5107:D5109"/>
    <mergeCell ref="E5107:E5109"/>
    <mergeCell ref="F5107:F5109"/>
    <mergeCell ref="G5107:G5109"/>
    <mergeCell ref="H5107:H5109"/>
    <mergeCell ref="I5107:I5109"/>
    <mergeCell ref="J5107:J5109"/>
    <mergeCell ref="K5107:K5109"/>
    <mergeCell ref="L5107:L5109"/>
    <mergeCell ref="M5107:M5109"/>
    <mergeCell ref="N5107:N5109"/>
    <mergeCell ref="A5116:A5118"/>
    <mergeCell ref="B5116:B5118"/>
    <mergeCell ref="C5116:C5118"/>
    <mergeCell ref="D5116:D5118"/>
    <mergeCell ref="E5116:E5118"/>
    <mergeCell ref="F5116:F5118"/>
    <mergeCell ref="G5116:G5118"/>
    <mergeCell ref="H5116:H5118"/>
    <mergeCell ref="I5116:I5118"/>
    <mergeCell ref="J5116:J5118"/>
    <mergeCell ref="K5116:K5118"/>
    <mergeCell ref="L5116:L5118"/>
    <mergeCell ref="M5116:M5118"/>
    <mergeCell ref="N5116:N5118"/>
    <mergeCell ref="A5122:A5124"/>
    <mergeCell ref="B5122:B5124"/>
    <mergeCell ref="C5122:C5124"/>
    <mergeCell ref="D5122:D5124"/>
    <mergeCell ref="E5122:E5124"/>
    <mergeCell ref="F5122:F5124"/>
    <mergeCell ref="G5122:G5124"/>
    <mergeCell ref="H5122:H5124"/>
    <mergeCell ref="I5122:I5124"/>
    <mergeCell ref="J5122:J5124"/>
    <mergeCell ref="K5122:K5124"/>
    <mergeCell ref="L5122:L5124"/>
    <mergeCell ref="M5122:M5124"/>
    <mergeCell ref="N5122:N5124"/>
    <mergeCell ref="A5125:A5128"/>
    <mergeCell ref="B5125:B5128"/>
    <mergeCell ref="C5125:C5128"/>
    <mergeCell ref="D5125:D5128"/>
    <mergeCell ref="E5125:E5128"/>
    <mergeCell ref="F5125:F5128"/>
    <mergeCell ref="G5125:G5128"/>
    <mergeCell ref="H5125:H5128"/>
    <mergeCell ref="I5125:I5128"/>
    <mergeCell ref="J5125:J5128"/>
    <mergeCell ref="K5125:K5128"/>
    <mergeCell ref="L5125:L5128"/>
    <mergeCell ref="M5125:M5128"/>
    <mergeCell ref="N5125:N5128"/>
    <mergeCell ref="A5129:A5130"/>
    <mergeCell ref="B5129:B5130"/>
    <mergeCell ref="C5129:C5130"/>
    <mergeCell ref="D5129:D5130"/>
    <mergeCell ref="E5129:E5130"/>
    <mergeCell ref="F5129:F5130"/>
    <mergeCell ref="G5129:G5130"/>
    <mergeCell ref="H5129:H5130"/>
    <mergeCell ref="I5129:I5130"/>
    <mergeCell ref="J5129:J5130"/>
    <mergeCell ref="K5129:K5130"/>
    <mergeCell ref="L5129:L5130"/>
    <mergeCell ref="M5129:M5130"/>
    <mergeCell ref="N5129:N5130"/>
    <mergeCell ref="A5138:A5139"/>
    <mergeCell ref="B5138:B5139"/>
    <mergeCell ref="C5138:C5139"/>
    <mergeCell ref="D5138:D5139"/>
    <mergeCell ref="E5138:E5139"/>
    <mergeCell ref="F5138:F5139"/>
    <mergeCell ref="G5138:G5139"/>
    <mergeCell ref="H5138:H5139"/>
    <mergeCell ref="I5138:I5139"/>
    <mergeCell ref="J5138:J5139"/>
    <mergeCell ref="K5138:K5139"/>
    <mergeCell ref="L5138:L5139"/>
    <mergeCell ref="M5138:M5139"/>
    <mergeCell ref="N5138:N5139"/>
    <mergeCell ref="A5160:A5161"/>
    <mergeCell ref="B5160:B5161"/>
    <mergeCell ref="C5160:C5161"/>
    <mergeCell ref="D5160:D5161"/>
    <mergeCell ref="E5160:E5161"/>
    <mergeCell ref="F5160:F5161"/>
    <mergeCell ref="G5160:G5161"/>
    <mergeCell ref="H5160:H5161"/>
    <mergeCell ref="I5160:I5161"/>
    <mergeCell ref="J5160:J5161"/>
    <mergeCell ref="K5160:K5161"/>
    <mergeCell ref="L5160:L5161"/>
    <mergeCell ref="M5160:M5161"/>
    <mergeCell ref="N5160:N5161"/>
    <mergeCell ref="A5168:A5169"/>
    <mergeCell ref="B5168:B5169"/>
    <mergeCell ref="C5168:C5169"/>
    <mergeCell ref="D5168:D5169"/>
    <mergeCell ref="E5168:E5169"/>
    <mergeCell ref="F5168:F5169"/>
    <mergeCell ref="G5168:G5169"/>
    <mergeCell ref="H5168:H5169"/>
    <mergeCell ref="I5168:I5169"/>
    <mergeCell ref="J5168:J5169"/>
    <mergeCell ref="K5168:K5169"/>
    <mergeCell ref="L5168:L5169"/>
    <mergeCell ref="M5168:M5169"/>
    <mergeCell ref="N5168:N5169"/>
    <mergeCell ref="A5178:A5179"/>
    <mergeCell ref="B5178:B5179"/>
    <mergeCell ref="C5178:C5179"/>
    <mergeCell ref="D5178:D5179"/>
    <mergeCell ref="E5178:E5179"/>
    <mergeCell ref="F5178:F5179"/>
    <mergeCell ref="G5178:G5179"/>
    <mergeCell ref="H5178:H5179"/>
    <mergeCell ref="I5178:I5179"/>
    <mergeCell ref="J5178:J5179"/>
    <mergeCell ref="K5178:K5179"/>
    <mergeCell ref="L5178:L5179"/>
    <mergeCell ref="M5178:M5179"/>
    <mergeCell ref="N5178:N5179"/>
    <mergeCell ref="A5185:A5186"/>
    <mergeCell ref="B5185:B5186"/>
    <mergeCell ref="C5185:C5186"/>
    <mergeCell ref="D5185:D5186"/>
    <mergeCell ref="E5185:E5186"/>
    <mergeCell ref="F5185:F5186"/>
    <mergeCell ref="G5185:G5186"/>
    <mergeCell ref="H5185:H5186"/>
    <mergeCell ref="I5185:I5186"/>
    <mergeCell ref="J5185:J5186"/>
    <mergeCell ref="K5185:K5186"/>
    <mergeCell ref="L5185:L5186"/>
    <mergeCell ref="M5185:M5186"/>
    <mergeCell ref="N5185:N5186"/>
    <mergeCell ref="A5191:A5192"/>
    <mergeCell ref="B5191:B5192"/>
    <mergeCell ref="C5191:C5192"/>
    <mergeCell ref="D5191:D5192"/>
    <mergeCell ref="E5191:E5192"/>
    <mergeCell ref="F5191:F5192"/>
    <mergeCell ref="G5191:G5192"/>
    <mergeCell ref="H5191:H5192"/>
    <mergeCell ref="I5191:I5192"/>
    <mergeCell ref="J5191:J5192"/>
    <mergeCell ref="K5191:K5192"/>
    <mergeCell ref="L5191:L5192"/>
    <mergeCell ref="M5191:M5192"/>
    <mergeCell ref="N5191:N5192"/>
    <mergeCell ref="A5199:A5200"/>
    <mergeCell ref="B5199:B5200"/>
    <mergeCell ref="C5199:C5200"/>
    <mergeCell ref="D5199:D5200"/>
    <mergeCell ref="E5199:E5200"/>
    <mergeCell ref="F5199:F5200"/>
    <mergeCell ref="G5199:G5200"/>
    <mergeCell ref="H5199:H5200"/>
    <mergeCell ref="I5199:I5200"/>
    <mergeCell ref="J5199:J5200"/>
    <mergeCell ref="K5199:K5200"/>
    <mergeCell ref="L5199:L5200"/>
    <mergeCell ref="M5199:M5200"/>
    <mergeCell ref="N5199:N5200"/>
    <mergeCell ref="A5216:A5217"/>
    <mergeCell ref="B5216:B5217"/>
    <mergeCell ref="C5216:C5217"/>
    <mergeCell ref="D5216:D5217"/>
    <mergeCell ref="E5216:E5217"/>
    <mergeCell ref="F5216:F5217"/>
    <mergeCell ref="G5216:G5217"/>
    <mergeCell ref="H5216:H5217"/>
    <mergeCell ref="I5216:I5217"/>
    <mergeCell ref="J5216:J5217"/>
    <mergeCell ref="K5216:K5217"/>
    <mergeCell ref="L5216:L5217"/>
    <mergeCell ref="M5216:M5217"/>
    <mergeCell ref="N5216:N5217"/>
    <mergeCell ref="A5221:A5222"/>
    <mergeCell ref="B5221:B5222"/>
    <mergeCell ref="C5221:C5222"/>
    <mergeCell ref="D5221:D5222"/>
    <mergeCell ref="E5221:E5222"/>
    <mergeCell ref="F5221:F5222"/>
    <mergeCell ref="G5221:G5222"/>
    <mergeCell ref="H5221:H5222"/>
    <mergeCell ref="I5221:I5222"/>
    <mergeCell ref="J5221:J5222"/>
    <mergeCell ref="K5221:K5222"/>
    <mergeCell ref="L5221:L5222"/>
    <mergeCell ref="M5221:M5222"/>
    <mergeCell ref="N5221:N5222"/>
    <mergeCell ref="A5228:A5230"/>
    <mergeCell ref="B5228:B5230"/>
    <mergeCell ref="C5228:C5230"/>
    <mergeCell ref="D5228:D5230"/>
    <mergeCell ref="E5228:E5230"/>
    <mergeCell ref="F5228:F5230"/>
    <mergeCell ref="G5228:G5230"/>
    <mergeCell ref="H5228:H5230"/>
    <mergeCell ref="I5228:I5230"/>
    <mergeCell ref="J5228:J5230"/>
    <mergeCell ref="K5228:K5230"/>
    <mergeCell ref="L5228:L5230"/>
    <mergeCell ref="M5228:M5230"/>
    <mergeCell ref="N5228:N5230"/>
    <mergeCell ref="A5234:A5235"/>
    <mergeCell ref="B5234:B5235"/>
    <mergeCell ref="C5234:C5235"/>
    <mergeCell ref="D5234:D5235"/>
    <mergeCell ref="E5234:E5235"/>
    <mergeCell ref="F5234:F5235"/>
    <mergeCell ref="G5234:G5235"/>
    <mergeCell ref="H5234:H5235"/>
    <mergeCell ref="I5234:I5235"/>
    <mergeCell ref="J5234:J5235"/>
    <mergeCell ref="K5234:K5235"/>
    <mergeCell ref="L5234:L5235"/>
    <mergeCell ref="M5234:M5235"/>
    <mergeCell ref="N5234:N5235"/>
    <mergeCell ref="A5237:A5238"/>
    <mergeCell ref="B5237:B5238"/>
    <mergeCell ref="C5237:C5238"/>
    <mergeCell ref="D5237:D5238"/>
    <mergeCell ref="E5237:E5238"/>
    <mergeCell ref="F5237:F5238"/>
    <mergeCell ref="G5237:G5238"/>
    <mergeCell ref="H5237:H5238"/>
    <mergeCell ref="I5237:I5238"/>
    <mergeCell ref="J5237:J5238"/>
    <mergeCell ref="K5237:K5238"/>
    <mergeCell ref="L5237:L5238"/>
    <mergeCell ref="M5237:M5238"/>
    <mergeCell ref="N5237:N5238"/>
    <mergeCell ref="A5241:A5245"/>
    <mergeCell ref="B5241:B5245"/>
    <mergeCell ref="C5241:C5245"/>
    <mergeCell ref="D5241:D5245"/>
    <mergeCell ref="E5241:E5245"/>
    <mergeCell ref="F5241:F5245"/>
    <mergeCell ref="G5241:G5245"/>
    <mergeCell ref="H5241:H5245"/>
    <mergeCell ref="I5241:I5245"/>
    <mergeCell ref="J5241:J5245"/>
    <mergeCell ref="K5241:K5245"/>
    <mergeCell ref="L5241:L5245"/>
    <mergeCell ref="M5241:M5245"/>
    <mergeCell ref="N5241:N5245"/>
    <mergeCell ref="A5246:A5251"/>
    <mergeCell ref="B5246:B5251"/>
    <mergeCell ref="C5246:C5251"/>
    <mergeCell ref="D5246:D5251"/>
    <mergeCell ref="E5246:E5251"/>
    <mergeCell ref="F5246:F5251"/>
    <mergeCell ref="G5246:G5251"/>
    <mergeCell ref="H5246:H5251"/>
    <mergeCell ref="I5246:I5251"/>
    <mergeCell ref="J5246:J5251"/>
    <mergeCell ref="K5246:K5251"/>
    <mergeCell ref="L5246:L5251"/>
    <mergeCell ref="M5246:M5251"/>
    <mergeCell ref="N5246:N5251"/>
    <mergeCell ref="A5253:A5254"/>
    <mergeCell ref="B5253:B5254"/>
    <mergeCell ref="C5253:C5254"/>
    <mergeCell ref="D5253:D5254"/>
    <mergeCell ref="E5253:E5254"/>
    <mergeCell ref="F5253:F5254"/>
    <mergeCell ref="G5253:G5254"/>
    <mergeCell ref="H5253:H5254"/>
    <mergeCell ref="I5253:I5254"/>
    <mergeCell ref="J5253:J5254"/>
    <mergeCell ref="K5253:K5254"/>
    <mergeCell ref="L5253:L5254"/>
    <mergeCell ref="M5253:M5254"/>
    <mergeCell ref="N5253:N5254"/>
    <mergeCell ref="A5255:A5256"/>
    <mergeCell ref="B5255:B5256"/>
    <mergeCell ref="C5255:C5256"/>
    <mergeCell ref="D5255:D5256"/>
    <mergeCell ref="E5255:E5256"/>
    <mergeCell ref="F5255:F5256"/>
    <mergeCell ref="G5255:G5256"/>
    <mergeCell ref="H5255:H5256"/>
    <mergeCell ref="I5255:I5256"/>
    <mergeCell ref="J5255:J5256"/>
    <mergeCell ref="K5255:K5256"/>
    <mergeCell ref="L5255:L5256"/>
    <mergeCell ref="M5255:M5256"/>
    <mergeCell ref="N5255:N5256"/>
    <mergeCell ref="A5258:A5259"/>
    <mergeCell ref="B5258:B5259"/>
    <mergeCell ref="C5258:C5259"/>
    <mergeCell ref="D5258:D5259"/>
    <mergeCell ref="E5258:E5259"/>
    <mergeCell ref="F5258:F5259"/>
    <mergeCell ref="G5258:G5259"/>
    <mergeCell ref="H5258:H5259"/>
    <mergeCell ref="I5258:I5259"/>
    <mergeCell ref="J5258:J5259"/>
    <mergeCell ref="K5258:K5259"/>
    <mergeCell ref="L5258:L5259"/>
    <mergeCell ref="M5258:M5259"/>
    <mergeCell ref="N5258:N5259"/>
    <mergeCell ref="A5260:A5263"/>
    <mergeCell ref="B5260:B5263"/>
    <mergeCell ref="C5260:C5263"/>
    <mergeCell ref="D5260:D5263"/>
    <mergeCell ref="E5260:E5263"/>
    <mergeCell ref="F5260:F5263"/>
    <mergeCell ref="G5260:G5263"/>
    <mergeCell ref="H5260:H5263"/>
    <mergeCell ref="I5260:I5263"/>
    <mergeCell ref="J5260:J5263"/>
    <mergeCell ref="K5260:K5263"/>
    <mergeCell ref="L5260:L5263"/>
    <mergeCell ref="M5260:M5263"/>
    <mergeCell ref="N5260:N5263"/>
    <mergeCell ref="A5264:A5269"/>
    <mergeCell ref="B5264:B5269"/>
    <mergeCell ref="C5264:C5269"/>
    <mergeCell ref="D5264:D5269"/>
    <mergeCell ref="E5264:E5269"/>
    <mergeCell ref="F5264:F5269"/>
    <mergeCell ref="G5264:G5269"/>
    <mergeCell ref="H5264:H5269"/>
    <mergeCell ref="I5264:I5269"/>
    <mergeCell ref="J5264:J5269"/>
    <mergeCell ref="K5264:K5269"/>
    <mergeCell ref="L5264:L5269"/>
    <mergeCell ref="M5264:M5269"/>
    <mergeCell ref="N5264:N5269"/>
    <mergeCell ref="A5275:A5276"/>
    <mergeCell ref="B5275:B5276"/>
    <mergeCell ref="C5275:C5276"/>
    <mergeCell ref="D5275:D5276"/>
    <mergeCell ref="E5275:E5276"/>
    <mergeCell ref="F5275:F5276"/>
    <mergeCell ref="G5275:G5276"/>
    <mergeCell ref="H5275:H5276"/>
    <mergeCell ref="I5275:I5276"/>
    <mergeCell ref="J5275:J5276"/>
    <mergeCell ref="K5275:K5276"/>
    <mergeCell ref="L5275:L5276"/>
    <mergeCell ref="M5275:M5276"/>
    <mergeCell ref="N5275:N5276"/>
    <mergeCell ref="A5277:A5279"/>
    <mergeCell ref="B5277:B5279"/>
    <mergeCell ref="C5277:C5279"/>
    <mergeCell ref="D5277:D5279"/>
    <mergeCell ref="E5277:E5279"/>
    <mergeCell ref="F5277:F5279"/>
    <mergeCell ref="G5277:G5279"/>
    <mergeCell ref="H5277:H5279"/>
    <mergeCell ref="I5277:I5279"/>
    <mergeCell ref="J5277:J5279"/>
    <mergeCell ref="K5277:K5279"/>
    <mergeCell ref="L5277:L5279"/>
    <mergeCell ref="M5277:M5279"/>
    <mergeCell ref="N5277:N5279"/>
    <mergeCell ref="A5280:A5282"/>
    <mergeCell ref="B5280:B5282"/>
    <mergeCell ref="C5280:C5282"/>
    <mergeCell ref="D5280:D5282"/>
    <mergeCell ref="E5280:E5282"/>
    <mergeCell ref="F5280:F5282"/>
    <mergeCell ref="G5280:G5282"/>
    <mergeCell ref="H5280:H5282"/>
    <mergeCell ref="I5280:I5282"/>
    <mergeCell ref="J5280:J5282"/>
    <mergeCell ref="K5280:K5282"/>
    <mergeCell ref="L5280:L5282"/>
    <mergeCell ref="M5280:M5282"/>
    <mergeCell ref="N5280:N5282"/>
    <mergeCell ref="A5283:A5285"/>
    <mergeCell ref="B5283:B5285"/>
    <mergeCell ref="C5283:C5285"/>
    <mergeCell ref="D5283:D5285"/>
    <mergeCell ref="E5283:E5285"/>
    <mergeCell ref="F5283:F5285"/>
    <mergeCell ref="G5283:G5285"/>
    <mergeCell ref="H5283:H5285"/>
    <mergeCell ref="I5283:I5285"/>
    <mergeCell ref="J5283:J5285"/>
    <mergeCell ref="K5283:K5285"/>
    <mergeCell ref="L5283:L5285"/>
    <mergeCell ref="M5283:M5285"/>
    <mergeCell ref="N5283:N5285"/>
    <mergeCell ref="A5291:A5294"/>
    <mergeCell ref="B5291:B5294"/>
    <mergeCell ref="C5291:C5294"/>
    <mergeCell ref="D5291:D5294"/>
    <mergeCell ref="E5291:E5294"/>
    <mergeCell ref="F5291:F5294"/>
    <mergeCell ref="G5291:G5294"/>
    <mergeCell ref="H5291:H5294"/>
    <mergeCell ref="I5291:I5294"/>
    <mergeCell ref="J5291:J5294"/>
    <mergeCell ref="K5291:K5294"/>
    <mergeCell ref="L5291:L5294"/>
    <mergeCell ref="M5291:M5294"/>
    <mergeCell ref="N5291:N5294"/>
    <mergeCell ref="A5297:A5298"/>
    <mergeCell ref="B5297:B5298"/>
    <mergeCell ref="C5297:C5298"/>
    <mergeCell ref="D5297:D5298"/>
    <mergeCell ref="E5297:E5298"/>
    <mergeCell ref="F5297:F5298"/>
    <mergeCell ref="G5297:G5298"/>
    <mergeCell ref="H5297:H5298"/>
    <mergeCell ref="I5297:I5298"/>
    <mergeCell ref="J5297:J5298"/>
    <mergeCell ref="K5297:K5298"/>
    <mergeCell ref="L5297:L5298"/>
    <mergeCell ref="M5297:M5298"/>
    <mergeCell ref="N5297:N5298"/>
    <mergeCell ref="A5299:A5302"/>
    <mergeCell ref="B5299:B5302"/>
    <mergeCell ref="C5299:C5302"/>
    <mergeCell ref="D5299:D5302"/>
    <mergeCell ref="E5299:E5302"/>
    <mergeCell ref="F5299:F5302"/>
    <mergeCell ref="G5299:G5302"/>
    <mergeCell ref="H5299:H5302"/>
    <mergeCell ref="I5299:I5302"/>
    <mergeCell ref="J5299:J5302"/>
    <mergeCell ref="K5299:K5302"/>
    <mergeCell ref="L5299:L5302"/>
    <mergeCell ref="M5299:M5302"/>
    <mergeCell ref="N5299:N5302"/>
    <mergeCell ref="A5303:A5304"/>
    <mergeCell ref="B5303:B5304"/>
    <mergeCell ref="C5303:C5304"/>
    <mergeCell ref="D5303:D5304"/>
    <mergeCell ref="E5303:E5304"/>
    <mergeCell ref="F5303:F5304"/>
    <mergeCell ref="G5303:G5304"/>
    <mergeCell ref="H5303:H5304"/>
    <mergeCell ref="I5303:I5304"/>
    <mergeCell ref="J5303:J5304"/>
    <mergeCell ref="K5303:K5304"/>
    <mergeCell ref="L5303:L5304"/>
    <mergeCell ref="M5303:M5304"/>
    <mergeCell ref="N5303:N5304"/>
    <mergeCell ref="A5306:A5308"/>
    <mergeCell ref="B5306:B5308"/>
    <mergeCell ref="C5306:C5308"/>
    <mergeCell ref="D5306:D5308"/>
    <mergeCell ref="E5306:E5308"/>
    <mergeCell ref="F5306:F5308"/>
    <mergeCell ref="G5306:G5308"/>
    <mergeCell ref="H5306:H5308"/>
    <mergeCell ref="I5306:I5308"/>
    <mergeCell ref="J5306:J5308"/>
    <mergeCell ref="K5306:K5308"/>
    <mergeCell ref="L5306:L5308"/>
    <mergeCell ref="M5306:M5308"/>
    <mergeCell ref="N5306:N5308"/>
    <mergeCell ref="A5309:A5310"/>
    <mergeCell ref="B5309:B5310"/>
    <mergeCell ref="C5309:C5310"/>
    <mergeCell ref="D5309:D5310"/>
    <mergeCell ref="E5309:E5310"/>
    <mergeCell ref="F5309:F5310"/>
    <mergeCell ref="G5309:G5310"/>
    <mergeCell ref="H5309:H5310"/>
    <mergeCell ref="I5309:I5310"/>
    <mergeCell ref="J5309:J5310"/>
    <mergeCell ref="K5309:K5310"/>
    <mergeCell ref="L5309:L5310"/>
    <mergeCell ref="M5309:M5310"/>
    <mergeCell ref="N5309:N5310"/>
    <mergeCell ref="A5313:A5314"/>
    <mergeCell ref="B5313:B5314"/>
    <mergeCell ref="C5313:C5314"/>
    <mergeCell ref="D5313:D5314"/>
    <mergeCell ref="E5313:E5314"/>
    <mergeCell ref="F5313:F5314"/>
    <mergeCell ref="G5313:G5314"/>
    <mergeCell ref="H5313:H5314"/>
    <mergeCell ref="I5313:I5314"/>
    <mergeCell ref="J5313:J5314"/>
    <mergeCell ref="K5313:K5314"/>
    <mergeCell ref="L5313:L5314"/>
    <mergeCell ref="M5313:M5314"/>
    <mergeCell ref="N5313:N5314"/>
    <mergeCell ref="A5315:A5316"/>
    <mergeCell ref="B5315:B5316"/>
    <mergeCell ref="C5315:C5316"/>
    <mergeCell ref="D5315:D5316"/>
    <mergeCell ref="E5315:E5316"/>
    <mergeCell ref="F5315:F5316"/>
    <mergeCell ref="G5315:G5316"/>
    <mergeCell ref="H5315:H5316"/>
    <mergeCell ref="I5315:I5316"/>
    <mergeCell ref="J5315:J5316"/>
    <mergeCell ref="K5315:K5316"/>
    <mergeCell ref="L5315:L5316"/>
    <mergeCell ref="M5315:M5316"/>
    <mergeCell ref="N5315:N5316"/>
    <mergeCell ref="A5318:A5319"/>
    <mergeCell ref="B5318:B5319"/>
    <mergeCell ref="C5318:C5319"/>
    <mergeCell ref="D5318:D5319"/>
    <mergeCell ref="E5318:E5319"/>
    <mergeCell ref="F5318:F5319"/>
    <mergeCell ref="G5318:G5319"/>
    <mergeCell ref="H5318:H5319"/>
    <mergeCell ref="I5318:I5319"/>
    <mergeCell ref="J5318:J5319"/>
    <mergeCell ref="K5318:K5319"/>
    <mergeCell ref="L5318:L5319"/>
    <mergeCell ref="M5318:M5319"/>
    <mergeCell ref="N5318:N5319"/>
    <mergeCell ref="A5320:A5321"/>
    <mergeCell ref="B5320:B5321"/>
    <mergeCell ref="C5320:C5321"/>
    <mergeCell ref="D5320:D5321"/>
    <mergeCell ref="E5320:E5321"/>
    <mergeCell ref="F5320:F5321"/>
    <mergeCell ref="G5320:G5321"/>
    <mergeCell ref="H5320:H5321"/>
    <mergeCell ref="I5320:I5321"/>
    <mergeCell ref="J5320:J5321"/>
    <mergeCell ref="K5320:K5321"/>
    <mergeCell ref="L5320:L5321"/>
    <mergeCell ref="M5320:M5321"/>
    <mergeCell ref="N5320:N5321"/>
    <mergeCell ref="A5322:A5323"/>
    <mergeCell ref="B5322:B5323"/>
    <mergeCell ref="C5322:C5323"/>
    <mergeCell ref="D5322:D5323"/>
    <mergeCell ref="E5322:E5323"/>
    <mergeCell ref="F5322:F5323"/>
    <mergeCell ref="G5322:G5323"/>
    <mergeCell ref="H5322:H5323"/>
    <mergeCell ref="I5322:I5323"/>
    <mergeCell ref="J5322:J5323"/>
    <mergeCell ref="K5322:K5323"/>
    <mergeCell ref="L5322:L5323"/>
    <mergeCell ref="M5322:M5323"/>
    <mergeCell ref="N5322:N5323"/>
    <mergeCell ref="A5324:A5325"/>
    <mergeCell ref="B5324:B5325"/>
    <mergeCell ref="C5324:C5325"/>
    <mergeCell ref="D5324:D5325"/>
    <mergeCell ref="E5324:E5325"/>
    <mergeCell ref="F5324:F5325"/>
    <mergeCell ref="G5324:G5325"/>
    <mergeCell ref="H5324:H5325"/>
    <mergeCell ref="I5324:I5325"/>
    <mergeCell ref="J5324:J5325"/>
    <mergeCell ref="K5324:K5325"/>
    <mergeCell ref="L5324:L5325"/>
    <mergeCell ref="M5324:M5325"/>
    <mergeCell ref="N5324:N5325"/>
    <mergeCell ref="A5326:A5328"/>
    <mergeCell ref="B5326:B5328"/>
    <mergeCell ref="C5326:C5328"/>
    <mergeCell ref="D5326:D5328"/>
    <mergeCell ref="E5326:E5328"/>
    <mergeCell ref="F5326:F5328"/>
    <mergeCell ref="G5326:G5328"/>
    <mergeCell ref="H5326:H5328"/>
    <mergeCell ref="I5326:I5328"/>
    <mergeCell ref="J5326:J5328"/>
    <mergeCell ref="K5326:K5328"/>
    <mergeCell ref="L5326:L5328"/>
    <mergeCell ref="M5326:M5328"/>
    <mergeCell ref="N5326:N5328"/>
    <mergeCell ref="A5334:A5335"/>
    <mergeCell ref="B5334:B5335"/>
    <mergeCell ref="C5334:C5335"/>
    <mergeCell ref="D5334:D5335"/>
    <mergeCell ref="E5334:E5335"/>
    <mergeCell ref="F5334:F5335"/>
    <mergeCell ref="G5334:G5335"/>
    <mergeCell ref="H5334:H5335"/>
    <mergeCell ref="I5334:I5335"/>
    <mergeCell ref="J5334:J5335"/>
    <mergeCell ref="K5334:K5335"/>
    <mergeCell ref="L5334:L5335"/>
    <mergeCell ref="M5334:M5335"/>
    <mergeCell ref="N5334:N5335"/>
    <mergeCell ref="A5336:A5338"/>
    <mergeCell ref="B5336:B5338"/>
    <mergeCell ref="C5336:C5338"/>
    <mergeCell ref="D5336:D5338"/>
    <mergeCell ref="E5336:E5338"/>
    <mergeCell ref="F5336:F5338"/>
    <mergeCell ref="G5336:G5338"/>
    <mergeCell ref="H5336:H5338"/>
    <mergeCell ref="I5336:I5338"/>
    <mergeCell ref="J5336:J5338"/>
    <mergeCell ref="K5336:K5338"/>
    <mergeCell ref="L5336:L5338"/>
    <mergeCell ref="M5336:M5338"/>
    <mergeCell ref="N5336:N5338"/>
    <mergeCell ref="A5339:A5344"/>
    <mergeCell ref="B5339:B5344"/>
    <mergeCell ref="C5339:C5344"/>
    <mergeCell ref="D5339:D5344"/>
    <mergeCell ref="E5339:E5344"/>
    <mergeCell ref="F5339:F5344"/>
    <mergeCell ref="G5339:G5344"/>
    <mergeCell ref="H5339:H5344"/>
    <mergeCell ref="I5339:I5344"/>
    <mergeCell ref="J5339:J5344"/>
    <mergeCell ref="K5339:K5344"/>
    <mergeCell ref="L5339:L5344"/>
    <mergeCell ref="M5339:M5344"/>
    <mergeCell ref="N5339:N5344"/>
    <mergeCell ref="A5345:A5348"/>
    <mergeCell ref="B5345:B5348"/>
    <mergeCell ref="C5345:C5348"/>
    <mergeCell ref="D5345:D5348"/>
    <mergeCell ref="E5345:E5348"/>
    <mergeCell ref="F5345:F5348"/>
    <mergeCell ref="G5345:G5348"/>
    <mergeCell ref="H5345:H5348"/>
    <mergeCell ref="I5345:I5348"/>
    <mergeCell ref="J5345:J5348"/>
    <mergeCell ref="K5345:K5348"/>
    <mergeCell ref="L5345:L5348"/>
    <mergeCell ref="M5345:M5348"/>
    <mergeCell ref="N5345:N5348"/>
    <mergeCell ref="A5349:A5351"/>
    <mergeCell ref="B5349:B5351"/>
    <mergeCell ref="C5349:C5351"/>
    <mergeCell ref="D5349:D5351"/>
    <mergeCell ref="E5349:E5351"/>
    <mergeCell ref="F5349:F5351"/>
    <mergeCell ref="G5349:G5351"/>
    <mergeCell ref="H5349:H5351"/>
    <mergeCell ref="I5349:I5351"/>
    <mergeCell ref="J5349:J5351"/>
    <mergeCell ref="K5349:K5351"/>
    <mergeCell ref="L5349:L5351"/>
    <mergeCell ref="M5349:M5351"/>
    <mergeCell ref="N5349:N5351"/>
    <mergeCell ref="A5353:A5355"/>
    <mergeCell ref="B5353:B5355"/>
    <mergeCell ref="C5353:C5355"/>
    <mergeCell ref="D5353:D5355"/>
    <mergeCell ref="E5353:E5355"/>
    <mergeCell ref="F5353:F5355"/>
    <mergeCell ref="G5353:G5355"/>
    <mergeCell ref="H5353:H5355"/>
    <mergeCell ref="I5353:I5355"/>
    <mergeCell ref="J5353:J5355"/>
    <mergeCell ref="K5353:K5355"/>
    <mergeCell ref="L5353:L5355"/>
    <mergeCell ref="M5353:M5355"/>
    <mergeCell ref="N5353:N5355"/>
    <mergeCell ref="A5358:A5361"/>
    <mergeCell ref="B5358:B5361"/>
    <mergeCell ref="C5358:C5361"/>
    <mergeCell ref="D5358:D5361"/>
    <mergeCell ref="E5358:E5361"/>
    <mergeCell ref="F5358:F5361"/>
    <mergeCell ref="G5358:G5361"/>
    <mergeCell ref="H5358:H5361"/>
    <mergeCell ref="I5358:I5361"/>
    <mergeCell ref="J5358:J5361"/>
    <mergeCell ref="K5358:K5361"/>
    <mergeCell ref="L5358:L5361"/>
    <mergeCell ref="M5358:M5361"/>
    <mergeCell ref="N5358:N5361"/>
    <mergeCell ref="A5362:A5370"/>
    <mergeCell ref="B5362:B5370"/>
    <mergeCell ref="C5362:C5370"/>
    <mergeCell ref="D5362:D5370"/>
    <mergeCell ref="E5362:E5370"/>
    <mergeCell ref="F5362:F5370"/>
    <mergeCell ref="G5362:G5370"/>
    <mergeCell ref="H5362:H5370"/>
    <mergeCell ref="I5362:I5370"/>
    <mergeCell ref="J5362:J5370"/>
    <mergeCell ref="K5362:K5370"/>
    <mergeCell ref="L5362:L5370"/>
    <mergeCell ref="M5362:M5370"/>
    <mergeCell ref="N5362:N5370"/>
    <mergeCell ref="A5374:A5379"/>
    <mergeCell ref="B5374:B5379"/>
    <mergeCell ref="C5374:C5379"/>
    <mergeCell ref="D5374:D5379"/>
    <mergeCell ref="E5374:E5379"/>
    <mergeCell ref="F5374:F5379"/>
    <mergeCell ref="G5374:G5379"/>
    <mergeCell ref="H5374:H5379"/>
    <mergeCell ref="I5374:I5379"/>
    <mergeCell ref="J5374:J5379"/>
    <mergeCell ref="K5374:K5379"/>
    <mergeCell ref="L5374:L5379"/>
    <mergeCell ref="M5374:M5379"/>
    <mergeCell ref="N5374:N5379"/>
    <mergeCell ref="A5382:A5389"/>
    <mergeCell ref="B5382:B5389"/>
    <mergeCell ref="C5382:C5389"/>
    <mergeCell ref="D5382:D5389"/>
    <mergeCell ref="E5382:E5389"/>
    <mergeCell ref="F5382:F5389"/>
    <mergeCell ref="G5382:G5389"/>
    <mergeCell ref="H5382:H5389"/>
    <mergeCell ref="I5382:I5389"/>
    <mergeCell ref="J5382:J5389"/>
    <mergeCell ref="K5382:K5389"/>
    <mergeCell ref="L5382:L5389"/>
    <mergeCell ref="M5382:M5389"/>
    <mergeCell ref="N5382:N5389"/>
    <mergeCell ref="A5391:A5394"/>
    <mergeCell ref="B5391:B5394"/>
    <mergeCell ref="C5391:C5394"/>
    <mergeCell ref="D5391:D5394"/>
    <mergeCell ref="E5391:E5394"/>
    <mergeCell ref="F5391:F5394"/>
    <mergeCell ref="G5391:G5394"/>
    <mergeCell ref="H5391:H5394"/>
    <mergeCell ref="I5391:I5394"/>
    <mergeCell ref="J5391:J5394"/>
    <mergeCell ref="K5391:K5394"/>
    <mergeCell ref="L5391:L5394"/>
    <mergeCell ref="M5391:M5394"/>
    <mergeCell ref="N5391:N5394"/>
    <mergeCell ref="A5395:A5399"/>
    <mergeCell ref="B5395:B5399"/>
    <mergeCell ref="C5395:C5399"/>
    <mergeCell ref="D5395:D5399"/>
    <mergeCell ref="E5395:E5399"/>
    <mergeCell ref="F5395:F5399"/>
    <mergeCell ref="G5395:G5399"/>
    <mergeCell ref="H5395:H5399"/>
    <mergeCell ref="I5395:I5399"/>
    <mergeCell ref="J5395:J5399"/>
    <mergeCell ref="K5395:K5399"/>
    <mergeCell ref="L5395:L5399"/>
    <mergeCell ref="M5395:M5399"/>
    <mergeCell ref="N5395:N5399"/>
    <mergeCell ref="A5402:A5405"/>
    <mergeCell ref="B5402:B5405"/>
    <mergeCell ref="C5402:C5405"/>
    <mergeCell ref="D5402:D5405"/>
    <mergeCell ref="E5402:E5405"/>
    <mergeCell ref="F5402:F5405"/>
    <mergeCell ref="G5402:G5405"/>
    <mergeCell ref="H5402:H5405"/>
    <mergeCell ref="I5402:I5405"/>
    <mergeCell ref="J5402:J5405"/>
    <mergeCell ref="K5402:K5405"/>
    <mergeCell ref="L5402:L5405"/>
    <mergeCell ref="M5402:M5405"/>
    <mergeCell ref="N5402:N5405"/>
    <mergeCell ref="A5406:A5407"/>
    <mergeCell ref="B5406:B5407"/>
    <mergeCell ref="C5406:C5407"/>
    <mergeCell ref="D5406:D5407"/>
    <mergeCell ref="E5406:E5407"/>
    <mergeCell ref="F5406:F5407"/>
    <mergeCell ref="G5406:G5407"/>
    <mergeCell ref="H5406:H5407"/>
    <mergeCell ref="I5406:I5407"/>
    <mergeCell ref="J5406:J5407"/>
    <mergeCell ref="K5406:K5407"/>
    <mergeCell ref="L5406:L5407"/>
    <mergeCell ref="M5406:M5407"/>
    <mergeCell ref="N5406:N5407"/>
    <mergeCell ref="A5409:A5410"/>
    <mergeCell ref="B5409:B5410"/>
    <mergeCell ref="C5409:C5410"/>
    <mergeCell ref="D5409:D5410"/>
    <mergeCell ref="E5409:E5410"/>
    <mergeCell ref="F5409:F5410"/>
    <mergeCell ref="G5409:G5410"/>
    <mergeCell ref="H5409:H5410"/>
    <mergeCell ref="I5409:I5410"/>
    <mergeCell ref="J5409:J5410"/>
    <mergeCell ref="K5409:K5410"/>
    <mergeCell ref="L5409:L5410"/>
    <mergeCell ref="M5409:M5410"/>
    <mergeCell ref="N5409:N5410"/>
    <mergeCell ref="A5414:A5421"/>
    <mergeCell ref="B5414:B5421"/>
    <mergeCell ref="C5414:C5421"/>
    <mergeCell ref="D5414:D5421"/>
    <mergeCell ref="E5414:E5421"/>
    <mergeCell ref="F5414:F5421"/>
    <mergeCell ref="G5414:G5421"/>
    <mergeCell ref="H5414:H5421"/>
    <mergeCell ref="I5414:I5421"/>
    <mergeCell ref="J5414:J5421"/>
    <mergeCell ref="K5414:K5421"/>
    <mergeCell ref="L5414:L5421"/>
    <mergeCell ref="M5414:M5421"/>
    <mergeCell ref="N5414:N5421"/>
    <mergeCell ref="A5422:A5430"/>
    <mergeCell ref="B5422:B5430"/>
    <mergeCell ref="C5422:C5430"/>
    <mergeCell ref="D5422:D5430"/>
    <mergeCell ref="E5422:E5430"/>
    <mergeCell ref="F5422:F5430"/>
    <mergeCell ref="G5422:G5430"/>
    <mergeCell ref="H5422:H5430"/>
    <mergeCell ref="I5422:I5430"/>
    <mergeCell ref="J5422:J5430"/>
    <mergeCell ref="K5422:K5430"/>
    <mergeCell ref="L5422:L5430"/>
    <mergeCell ref="M5422:M5430"/>
    <mergeCell ref="N5422:N5430"/>
    <mergeCell ref="A5431:A5432"/>
    <mergeCell ref="B5431:B5432"/>
    <mergeCell ref="C5431:C5432"/>
    <mergeCell ref="D5431:D5432"/>
    <mergeCell ref="E5431:E5432"/>
    <mergeCell ref="F5431:F5432"/>
    <mergeCell ref="G5431:G5432"/>
    <mergeCell ref="H5431:H5432"/>
    <mergeCell ref="I5431:I5432"/>
    <mergeCell ref="J5431:J5432"/>
    <mergeCell ref="K5431:K5432"/>
    <mergeCell ref="L5431:L5432"/>
    <mergeCell ref="M5431:M5432"/>
    <mergeCell ref="N5431:N5432"/>
    <mergeCell ref="A5434:A5441"/>
    <mergeCell ref="B5434:B5441"/>
    <mergeCell ref="C5434:C5441"/>
    <mergeCell ref="D5434:D5441"/>
    <mergeCell ref="E5434:E5441"/>
    <mergeCell ref="F5434:F5441"/>
    <mergeCell ref="G5434:G5441"/>
    <mergeCell ref="H5434:H5441"/>
    <mergeCell ref="I5434:I5441"/>
    <mergeCell ref="J5434:J5441"/>
    <mergeCell ref="K5434:K5441"/>
    <mergeCell ref="L5434:L5441"/>
    <mergeCell ref="M5434:M5441"/>
    <mergeCell ref="N5434:N5441"/>
    <mergeCell ref="A5442:A5444"/>
    <mergeCell ref="B5442:B5444"/>
    <mergeCell ref="C5442:C5444"/>
    <mergeCell ref="D5442:D5444"/>
    <mergeCell ref="E5442:E5444"/>
    <mergeCell ref="F5442:F5444"/>
    <mergeCell ref="G5442:G5444"/>
    <mergeCell ref="H5442:H5444"/>
    <mergeCell ref="I5442:I5444"/>
    <mergeCell ref="J5442:J5444"/>
    <mergeCell ref="K5442:K5444"/>
    <mergeCell ref="L5442:L5444"/>
    <mergeCell ref="M5442:M5444"/>
    <mergeCell ref="N5442:N5444"/>
    <mergeCell ref="A5445:A5452"/>
    <mergeCell ref="B5445:B5452"/>
    <mergeCell ref="C5445:C5452"/>
    <mergeCell ref="D5445:D5452"/>
    <mergeCell ref="E5445:E5452"/>
    <mergeCell ref="F5445:F5452"/>
    <mergeCell ref="G5445:G5452"/>
    <mergeCell ref="H5445:H5452"/>
    <mergeCell ref="I5445:I5452"/>
    <mergeCell ref="J5445:J5452"/>
    <mergeCell ref="K5445:K5452"/>
    <mergeCell ref="L5445:L5452"/>
    <mergeCell ref="M5445:M5452"/>
    <mergeCell ref="N5445:N5452"/>
    <mergeCell ref="A5456:A5459"/>
    <mergeCell ref="B5456:B5459"/>
    <mergeCell ref="C5456:C5459"/>
    <mergeCell ref="D5456:D5459"/>
    <mergeCell ref="E5456:E5459"/>
    <mergeCell ref="F5456:F5459"/>
    <mergeCell ref="G5456:G5459"/>
    <mergeCell ref="H5456:H5459"/>
    <mergeCell ref="I5456:I5459"/>
    <mergeCell ref="J5456:J5459"/>
    <mergeCell ref="K5456:K5459"/>
    <mergeCell ref="L5456:L5459"/>
    <mergeCell ref="M5456:M5459"/>
    <mergeCell ref="N5456:N5459"/>
    <mergeCell ref="A5461:A5463"/>
    <mergeCell ref="B5461:B5463"/>
    <mergeCell ref="C5461:C5463"/>
    <mergeCell ref="D5461:D5463"/>
    <mergeCell ref="E5461:E5463"/>
    <mergeCell ref="F5461:F5463"/>
    <mergeCell ref="G5461:G5463"/>
    <mergeCell ref="H5461:H5463"/>
    <mergeCell ref="I5461:I5463"/>
    <mergeCell ref="J5461:J5463"/>
    <mergeCell ref="K5461:K5463"/>
    <mergeCell ref="L5461:L5463"/>
    <mergeCell ref="M5461:M5463"/>
    <mergeCell ref="N5461:N5463"/>
    <mergeCell ref="A5464:A5467"/>
    <mergeCell ref="B5464:B5467"/>
    <mergeCell ref="C5464:C5467"/>
    <mergeCell ref="D5464:D5467"/>
    <mergeCell ref="E5464:E5467"/>
    <mergeCell ref="F5464:F5467"/>
    <mergeCell ref="G5464:G5467"/>
    <mergeCell ref="H5464:H5467"/>
    <mergeCell ref="I5464:I5467"/>
    <mergeCell ref="J5464:J5467"/>
    <mergeCell ref="K5464:K5467"/>
    <mergeCell ref="L5464:L5467"/>
    <mergeCell ref="M5464:M5467"/>
    <mergeCell ref="N5464:N5467"/>
    <mergeCell ref="A5469:A5475"/>
    <mergeCell ref="B5469:B5475"/>
    <mergeCell ref="C5469:C5475"/>
    <mergeCell ref="D5469:D5475"/>
    <mergeCell ref="E5469:E5475"/>
    <mergeCell ref="F5469:F5475"/>
    <mergeCell ref="G5469:G5475"/>
    <mergeCell ref="H5469:H5475"/>
    <mergeCell ref="I5469:I5475"/>
    <mergeCell ref="J5469:J5475"/>
    <mergeCell ref="K5469:K5475"/>
    <mergeCell ref="L5469:L5475"/>
    <mergeCell ref="M5469:M5475"/>
    <mergeCell ref="N5469:N5475"/>
    <mergeCell ref="A5476:A5480"/>
    <mergeCell ref="B5476:B5480"/>
    <mergeCell ref="C5476:C5480"/>
    <mergeCell ref="D5476:D5480"/>
    <mergeCell ref="E5476:E5480"/>
    <mergeCell ref="F5476:F5480"/>
    <mergeCell ref="G5476:G5480"/>
    <mergeCell ref="H5476:H5480"/>
    <mergeCell ref="I5476:I5480"/>
    <mergeCell ref="J5476:J5480"/>
    <mergeCell ref="K5476:K5480"/>
    <mergeCell ref="L5476:L5480"/>
    <mergeCell ref="M5476:M5480"/>
    <mergeCell ref="N5476:N5480"/>
    <mergeCell ref="A5482:A5485"/>
    <mergeCell ref="B5482:B5485"/>
    <mergeCell ref="C5482:C5485"/>
    <mergeCell ref="D5482:D5485"/>
    <mergeCell ref="E5482:E5485"/>
    <mergeCell ref="F5482:F5485"/>
    <mergeCell ref="G5482:G5485"/>
    <mergeCell ref="H5482:H5485"/>
    <mergeCell ref="I5482:I5485"/>
    <mergeCell ref="J5482:J5485"/>
    <mergeCell ref="K5482:K5485"/>
    <mergeCell ref="L5482:L5485"/>
    <mergeCell ref="M5482:M5485"/>
    <mergeCell ref="N5482:N5485"/>
    <mergeCell ref="A5486:A5487"/>
    <mergeCell ref="B5486:B5487"/>
    <mergeCell ref="C5486:C5487"/>
    <mergeCell ref="D5486:D5487"/>
    <mergeCell ref="E5486:E5487"/>
    <mergeCell ref="F5486:F5487"/>
    <mergeCell ref="G5486:G5487"/>
    <mergeCell ref="H5486:H5487"/>
    <mergeCell ref="I5486:I5487"/>
    <mergeCell ref="J5486:J5487"/>
    <mergeCell ref="K5486:K5487"/>
    <mergeCell ref="L5486:L5487"/>
    <mergeCell ref="M5486:M5487"/>
    <mergeCell ref="N5486:N5487"/>
    <mergeCell ref="A5488:A5490"/>
    <mergeCell ref="B5488:B5490"/>
    <mergeCell ref="C5488:C5490"/>
    <mergeCell ref="D5488:D5490"/>
    <mergeCell ref="E5488:E5490"/>
    <mergeCell ref="F5488:F5490"/>
    <mergeCell ref="G5488:G5490"/>
    <mergeCell ref="H5488:H5490"/>
    <mergeCell ref="I5488:I5490"/>
    <mergeCell ref="J5488:J5490"/>
    <mergeCell ref="K5488:K5490"/>
    <mergeCell ref="L5488:L5490"/>
    <mergeCell ref="M5488:M5490"/>
    <mergeCell ref="N5488:N5490"/>
    <mergeCell ref="A5491:A5493"/>
    <mergeCell ref="B5491:B5493"/>
    <mergeCell ref="C5491:C5493"/>
    <mergeCell ref="D5491:D5493"/>
    <mergeCell ref="E5491:E5493"/>
    <mergeCell ref="F5491:F5493"/>
    <mergeCell ref="G5491:G5493"/>
    <mergeCell ref="H5491:H5493"/>
    <mergeCell ref="I5491:I5493"/>
    <mergeCell ref="J5491:J5493"/>
    <mergeCell ref="K5491:K5493"/>
    <mergeCell ref="L5491:L5493"/>
    <mergeCell ref="M5491:M5493"/>
    <mergeCell ref="N5491:N5493"/>
    <mergeCell ref="A5494:A5497"/>
    <mergeCell ref="B5494:B5497"/>
    <mergeCell ref="C5494:C5497"/>
    <mergeCell ref="D5494:D5497"/>
    <mergeCell ref="E5494:E5497"/>
    <mergeCell ref="F5494:F5497"/>
    <mergeCell ref="G5494:G5497"/>
    <mergeCell ref="H5494:H5497"/>
    <mergeCell ref="I5494:I5497"/>
    <mergeCell ref="J5494:J5497"/>
    <mergeCell ref="K5494:K5497"/>
    <mergeCell ref="L5494:L5497"/>
    <mergeCell ref="M5494:M5497"/>
    <mergeCell ref="N5494:N5497"/>
    <mergeCell ref="A5504:A5579"/>
    <mergeCell ref="B5504:B5579"/>
    <mergeCell ref="C5504:C5579"/>
    <mergeCell ref="D5504:D5579"/>
    <mergeCell ref="E5504:E5579"/>
    <mergeCell ref="F5504:F5579"/>
    <mergeCell ref="G5504:G5579"/>
    <mergeCell ref="H5504:H5579"/>
    <mergeCell ref="I5504:I5579"/>
    <mergeCell ref="J5504:J5579"/>
    <mergeCell ref="K5504:K5579"/>
    <mergeCell ref="L5504:L5579"/>
    <mergeCell ref="M5504:M5579"/>
    <mergeCell ref="N5504:N5579"/>
    <mergeCell ref="A5585:A5588"/>
    <mergeCell ref="B5585:B5588"/>
    <mergeCell ref="C5585:C5588"/>
    <mergeCell ref="D5585:D5588"/>
    <mergeCell ref="E5585:E5588"/>
    <mergeCell ref="F5585:F5588"/>
    <mergeCell ref="G5585:G5588"/>
    <mergeCell ref="H5585:H5588"/>
    <mergeCell ref="I5585:I5588"/>
    <mergeCell ref="J5585:J5588"/>
    <mergeCell ref="K5585:K5588"/>
    <mergeCell ref="L5585:L5588"/>
    <mergeCell ref="M5585:M5588"/>
    <mergeCell ref="N5585:N5588"/>
    <mergeCell ref="A5589:A5592"/>
    <mergeCell ref="B5589:B5592"/>
    <mergeCell ref="C5589:C5592"/>
    <mergeCell ref="D5589:D5592"/>
    <mergeCell ref="E5589:E5592"/>
    <mergeCell ref="F5589:F5592"/>
    <mergeCell ref="G5589:G5592"/>
    <mergeCell ref="H5589:H5592"/>
    <mergeCell ref="I5589:I5592"/>
    <mergeCell ref="J5589:J5592"/>
    <mergeCell ref="K5589:K5592"/>
    <mergeCell ref="L5589:L5592"/>
    <mergeCell ref="M5589:M5592"/>
    <mergeCell ref="N5589:N5592"/>
    <mergeCell ref="A5593:A5596"/>
    <mergeCell ref="B5593:B5596"/>
    <mergeCell ref="C5593:C5596"/>
    <mergeCell ref="D5593:D5596"/>
    <mergeCell ref="E5593:E5596"/>
    <mergeCell ref="F5593:F5596"/>
    <mergeCell ref="G5593:G5596"/>
    <mergeCell ref="H5593:H5596"/>
    <mergeCell ref="I5593:I5596"/>
    <mergeCell ref="J5593:J5596"/>
    <mergeCell ref="K5593:K5596"/>
    <mergeCell ref="L5593:L5596"/>
    <mergeCell ref="M5593:M5596"/>
    <mergeCell ref="N5593:N5596"/>
    <mergeCell ref="A5597:A5598"/>
    <mergeCell ref="B5597:B5598"/>
    <mergeCell ref="C5597:C5598"/>
    <mergeCell ref="D5597:D5598"/>
    <mergeCell ref="E5597:E5598"/>
    <mergeCell ref="F5597:F5598"/>
    <mergeCell ref="G5597:G5598"/>
    <mergeCell ref="H5597:H5598"/>
    <mergeCell ref="I5597:I5598"/>
    <mergeCell ref="J5597:J5598"/>
    <mergeCell ref="K5597:K5598"/>
    <mergeCell ref="L5597:L5598"/>
    <mergeCell ref="M5597:M5598"/>
    <mergeCell ref="N5597:N5598"/>
    <mergeCell ref="A5600:A5601"/>
    <mergeCell ref="B5600:B5601"/>
    <mergeCell ref="C5600:C5601"/>
    <mergeCell ref="D5600:D5601"/>
    <mergeCell ref="E5600:E5601"/>
    <mergeCell ref="F5600:F5601"/>
    <mergeCell ref="G5600:G5601"/>
    <mergeCell ref="H5600:H5601"/>
    <mergeCell ref="I5600:I5601"/>
    <mergeCell ref="J5600:J5601"/>
    <mergeCell ref="K5600:K5601"/>
    <mergeCell ref="L5600:L5601"/>
    <mergeCell ref="M5600:M5601"/>
    <mergeCell ref="N5600:N5601"/>
    <mergeCell ref="A5604:A5605"/>
    <mergeCell ref="B5604:B5605"/>
    <mergeCell ref="C5604:C5605"/>
    <mergeCell ref="D5604:D5605"/>
    <mergeCell ref="E5604:E5605"/>
    <mergeCell ref="F5604:F5605"/>
    <mergeCell ref="G5604:G5605"/>
    <mergeCell ref="H5604:H5605"/>
    <mergeCell ref="I5604:I5605"/>
    <mergeCell ref="J5604:J5605"/>
    <mergeCell ref="K5604:K5605"/>
    <mergeCell ref="L5604:L5605"/>
    <mergeCell ref="M5604:M5605"/>
    <mergeCell ref="N5604:N5605"/>
    <mergeCell ref="A5606:A5607"/>
    <mergeCell ref="B5606:B5607"/>
    <mergeCell ref="C5606:C5607"/>
    <mergeCell ref="D5606:D5607"/>
    <mergeCell ref="E5606:E5607"/>
    <mergeCell ref="F5606:F5607"/>
    <mergeCell ref="G5606:G5607"/>
    <mergeCell ref="H5606:H5607"/>
    <mergeCell ref="I5606:I5607"/>
    <mergeCell ref="J5606:J5607"/>
    <mergeCell ref="K5606:K5607"/>
    <mergeCell ref="L5606:L5607"/>
    <mergeCell ref="M5606:M5607"/>
    <mergeCell ref="N5606:N5607"/>
    <mergeCell ref="A5609:A5610"/>
    <mergeCell ref="B5609:B5610"/>
    <mergeCell ref="C5609:C5610"/>
    <mergeCell ref="D5609:D5610"/>
    <mergeCell ref="E5609:E5610"/>
    <mergeCell ref="F5609:F5610"/>
    <mergeCell ref="G5609:G5610"/>
    <mergeCell ref="H5609:H5610"/>
    <mergeCell ref="I5609:I5610"/>
    <mergeCell ref="J5609:J5610"/>
    <mergeCell ref="K5609:K5610"/>
    <mergeCell ref="L5609:L5610"/>
    <mergeCell ref="M5609:M5610"/>
    <mergeCell ref="N5609:N5610"/>
    <mergeCell ref="A5612:A5613"/>
    <mergeCell ref="B5612:B5613"/>
    <mergeCell ref="C5612:C5613"/>
    <mergeCell ref="D5612:D5613"/>
    <mergeCell ref="E5612:E5613"/>
    <mergeCell ref="F5612:F5613"/>
    <mergeCell ref="G5612:G5613"/>
    <mergeCell ref="H5612:H5613"/>
    <mergeCell ref="I5612:I5613"/>
    <mergeCell ref="J5612:J5613"/>
    <mergeCell ref="K5612:K5613"/>
    <mergeCell ref="L5612:L5613"/>
    <mergeCell ref="M5612:M5613"/>
    <mergeCell ref="N5612:N5613"/>
    <mergeCell ref="A5615:A5616"/>
    <mergeCell ref="B5615:B5616"/>
    <mergeCell ref="C5615:C5616"/>
    <mergeCell ref="D5615:D5616"/>
    <mergeCell ref="E5615:E5616"/>
    <mergeCell ref="F5615:F5616"/>
    <mergeCell ref="G5615:G5616"/>
    <mergeCell ref="H5615:H5616"/>
    <mergeCell ref="I5615:I5616"/>
    <mergeCell ref="J5615:J5616"/>
    <mergeCell ref="K5615:K5616"/>
    <mergeCell ref="L5615:L5616"/>
    <mergeCell ref="M5615:M5616"/>
    <mergeCell ref="N5615:N5616"/>
    <mergeCell ref="A5622:A5626"/>
    <mergeCell ref="B5622:B5626"/>
    <mergeCell ref="C5622:C5626"/>
    <mergeCell ref="D5622:D5626"/>
    <mergeCell ref="E5622:E5626"/>
    <mergeCell ref="F5622:F5626"/>
    <mergeCell ref="G5622:G5626"/>
    <mergeCell ref="H5622:H5626"/>
    <mergeCell ref="I5622:I5626"/>
    <mergeCell ref="J5622:J5626"/>
    <mergeCell ref="K5622:K5626"/>
    <mergeCell ref="L5622:L5626"/>
    <mergeCell ref="M5622:M5626"/>
    <mergeCell ref="N5622:N5626"/>
    <mergeCell ref="A5627:A5628"/>
    <mergeCell ref="B5627:B5628"/>
    <mergeCell ref="C5627:C5628"/>
    <mergeCell ref="D5627:D5628"/>
    <mergeCell ref="E5627:E5628"/>
    <mergeCell ref="F5627:F5628"/>
    <mergeCell ref="G5627:G5628"/>
    <mergeCell ref="H5627:H5628"/>
    <mergeCell ref="I5627:I5628"/>
    <mergeCell ref="J5627:J5628"/>
    <mergeCell ref="K5627:K5628"/>
    <mergeCell ref="L5627:L5628"/>
    <mergeCell ref="M5627:M5628"/>
    <mergeCell ref="N5627:N5628"/>
    <mergeCell ref="A5629:A5630"/>
    <mergeCell ref="B5629:B5630"/>
    <mergeCell ref="C5629:C5630"/>
    <mergeCell ref="D5629:D5630"/>
    <mergeCell ref="E5629:E5630"/>
    <mergeCell ref="F5629:F5630"/>
    <mergeCell ref="G5629:G5630"/>
    <mergeCell ref="H5629:H5630"/>
    <mergeCell ref="I5629:I5630"/>
    <mergeCell ref="J5629:J5630"/>
    <mergeCell ref="K5629:K5630"/>
    <mergeCell ref="L5629:L5630"/>
    <mergeCell ref="M5629:M5630"/>
    <mergeCell ref="N5629:N5630"/>
    <mergeCell ref="A5636:A5638"/>
    <mergeCell ref="B5636:B5638"/>
    <mergeCell ref="C5636:C5638"/>
    <mergeCell ref="D5636:D5638"/>
    <mergeCell ref="E5636:E5638"/>
    <mergeCell ref="F5636:F5638"/>
    <mergeCell ref="G5636:G5638"/>
    <mergeCell ref="H5636:H5638"/>
    <mergeCell ref="I5636:I5638"/>
    <mergeCell ref="J5636:J5638"/>
    <mergeCell ref="K5636:K5638"/>
    <mergeCell ref="L5636:L5638"/>
    <mergeCell ref="M5636:M5638"/>
    <mergeCell ref="N5636:N5638"/>
    <mergeCell ref="A5644:A5645"/>
    <mergeCell ref="B5644:B5645"/>
    <mergeCell ref="C5644:C5645"/>
    <mergeCell ref="D5644:D5645"/>
    <mergeCell ref="E5644:E5645"/>
    <mergeCell ref="F5644:F5645"/>
    <mergeCell ref="G5644:G5645"/>
    <mergeCell ref="H5644:H5645"/>
    <mergeCell ref="I5644:I5645"/>
    <mergeCell ref="J5644:J5645"/>
    <mergeCell ref="K5644:K5645"/>
    <mergeCell ref="L5644:L5645"/>
    <mergeCell ref="M5644:M5645"/>
    <mergeCell ref="N5644:N5645"/>
    <mergeCell ref="A5647:A5652"/>
    <mergeCell ref="B5647:B5652"/>
    <mergeCell ref="C5647:C5652"/>
    <mergeCell ref="D5647:D5652"/>
    <mergeCell ref="E5647:E5652"/>
    <mergeCell ref="F5647:F5652"/>
    <mergeCell ref="G5647:G5652"/>
    <mergeCell ref="H5647:H5652"/>
    <mergeCell ref="I5647:I5652"/>
    <mergeCell ref="J5647:J5652"/>
    <mergeCell ref="K5647:K5652"/>
    <mergeCell ref="L5647:L5652"/>
    <mergeCell ref="M5647:M5652"/>
    <mergeCell ref="N5647:N5652"/>
    <mergeCell ref="A5655:A5656"/>
    <mergeCell ref="B5655:B5656"/>
    <mergeCell ref="C5655:C5656"/>
    <mergeCell ref="D5655:D5656"/>
    <mergeCell ref="E5655:E5656"/>
    <mergeCell ref="F5655:F5656"/>
    <mergeCell ref="G5655:G5656"/>
    <mergeCell ref="H5655:H5656"/>
    <mergeCell ref="I5655:I5656"/>
    <mergeCell ref="J5655:J5656"/>
    <mergeCell ref="K5655:K5656"/>
    <mergeCell ref="L5655:L5656"/>
    <mergeCell ref="M5655:M5656"/>
    <mergeCell ref="N5655:N5656"/>
    <mergeCell ref="A5657:A5658"/>
    <mergeCell ref="B5657:B5658"/>
    <mergeCell ref="C5657:C5658"/>
    <mergeCell ref="D5657:D5658"/>
    <mergeCell ref="E5657:E5658"/>
    <mergeCell ref="F5657:F5658"/>
    <mergeCell ref="G5657:G5658"/>
    <mergeCell ref="H5657:H5658"/>
    <mergeCell ref="I5657:I5658"/>
    <mergeCell ref="J5657:J5658"/>
    <mergeCell ref="K5657:K5658"/>
    <mergeCell ref="L5657:L5658"/>
    <mergeCell ref="M5657:M5658"/>
    <mergeCell ref="N5657:N5658"/>
    <mergeCell ref="A5659:A5660"/>
    <mergeCell ref="B5659:B5660"/>
    <mergeCell ref="C5659:C5660"/>
    <mergeCell ref="D5659:D5660"/>
    <mergeCell ref="E5659:E5660"/>
    <mergeCell ref="F5659:F5660"/>
    <mergeCell ref="G5659:G5660"/>
    <mergeCell ref="H5659:H5660"/>
    <mergeCell ref="I5659:I5660"/>
    <mergeCell ref="J5659:J5660"/>
    <mergeCell ref="K5659:K5660"/>
    <mergeCell ref="L5659:L5660"/>
    <mergeCell ref="M5659:M5660"/>
    <mergeCell ref="N5659:N5660"/>
    <mergeCell ref="A5662:A5671"/>
    <mergeCell ref="B5662:B5671"/>
    <mergeCell ref="C5662:C5671"/>
    <mergeCell ref="D5662:D5671"/>
    <mergeCell ref="E5662:E5671"/>
    <mergeCell ref="F5662:F5671"/>
    <mergeCell ref="G5662:G5671"/>
    <mergeCell ref="H5662:H5671"/>
    <mergeCell ref="I5662:I5671"/>
    <mergeCell ref="J5662:J5671"/>
    <mergeCell ref="K5662:K5671"/>
    <mergeCell ref="L5662:L5671"/>
    <mergeCell ref="M5662:M5671"/>
    <mergeCell ref="N5662:N5671"/>
    <mergeCell ref="A5675:A5678"/>
    <mergeCell ref="B5675:B5678"/>
    <mergeCell ref="C5675:C5678"/>
    <mergeCell ref="D5675:D5678"/>
    <mergeCell ref="E5675:E5678"/>
    <mergeCell ref="F5675:F5678"/>
    <mergeCell ref="G5675:G5678"/>
    <mergeCell ref="H5675:H5678"/>
    <mergeCell ref="I5675:I5678"/>
    <mergeCell ref="J5675:J5678"/>
    <mergeCell ref="K5675:K5678"/>
    <mergeCell ref="L5675:L5678"/>
    <mergeCell ref="M5675:M5678"/>
    <mergeCell ref="N5675:N5678"/>
    <mergeCell ref="A5679:A5680"/>
    <mergeCell ref="B5679:B5680"/>
    <mergeCell ref="C5679:C5680"/>
    <mergeCell ref="D5679:D5680"/>
    <mergeCell ref="E5679:E5680"/>
    <mergeCell ref="F5679:F5680"/>
    <mergeCell ref="G5679:G5680"/>
    <mergeCell ref="H5679:H5680"/>
    <mergeCell ref="I5679:I5680"/>
    <mergeCell ref="J5679:J5680"/>
    <mergeCell ref="K5679:K5680"/>
    <mergeCell ref="L5679:L5680"/>
    <mergeCell ref="M5679:M5680"/>
    <mergeCell ref="N5679:N5680"/>
    <mergeCell ref="A5681:A5682"/>
    <mergeCell ref="B5681:B5682"/>
    <mergeCell ref="C5681:C5682"/>
    <mergeCell ref="D5681:D5682"/>
    <mergeCell ref="E5681:E5682"/>
    <mergeCell ref="F5681:F5682"/>
    <mergeCell ref="G5681:G5682"/>
    <mergeCell ref="H5681:H5682"/>
    <mergeCell ref="I5681:I5682"/>
    <mergeCell ref="J5681:J5682"/>
    <mergeCell ref="K5681:K5682"/>
    <mergeCell ref="L5681:L5682"/>
    <mergeCell ref="M5681:M5682"/>
    <mergeCell ref="N5681:N5682"/>
    <mergeCell ref="A5683:A5684"/>
    <mergeCell ref="B5683:B5684"/>
    <mergeCell ref="C5683:C5684"/>
    <mergeCell ref="D5683:D5684"/>
    <mergeCell ref="E5683:E5684"/>
    <mergeCell ref="F5683:F5684"/>
    <mergeCell ref="G5683:G5684"/>
    <mergeCell ref="H5683:H5684"/>
    <mergeCell ref="I5683:I5684"/>
    <mergeCell ref="J5683:J5684"/>
    <mergeCell ref="K5683:K5684"/>
    <mergeCell ref="L5683:L5684"/>
    <mergeCell ref="M5683:M5684"/>
    <mergeCell ref="N5683:N5684"/>
    <mergeCell ref="A5685:A5686"/>
    <mergeCell ref="B5685:B5686"/>
    <mergeCell ref="C5685:C5686"/>
    <mergeCell ref="D5685:D5686"/>
    <mergeCell ref="E5685:E5686"/>
    <mergeCell ref="F5685:F5686"/>
    <mergeCell ref="G5685:G5686"/>
    <mergeCell ref="H5685:H5686"/>
    <mergeCell ref="I5685:I5686"/>
    <mergeCell ref="J5685:J5686"/>
    <mergeCell ref="K5685:K5686"/>
    <mergeCell ref="L5685:L5686"/>
    <mergeCell ref="M5685:M5686"/>
    <mergeCell ref="N5685:N5686"/>
    <mergeCell ref="A5690:A5691"/>
    <mergeCell ref="B5690:B5691"/>
    <mergeCell ref="C5690:C5691"/>
    <mergeCell ref="D5690:D5691"/>
    <mergeCell ref="E5690:E5691"/>
    <mergeCell ref="F5690:F5691"/>
    <mergeCell ref="G5690:G5691"/>
    <mergeCell ref="H5690:H5691"/>
    <mergeCell ref="I5690:I5691"/>
    <mergeCell ref="J5690:J5691"/>
    <mergeCell ref="K5690:K5691"/>
    <mergeCell ref="L5690:L5691"/>
    <mergeCell ref="M5690:M5691"/>
    <mergeCell ref="N5690:N5691"/>
    <mergeCell ref="A5693:A5695"/>
    <mergeCell ref="B5693:B5695"/>
    <mergeCell ref="C5693:C5695"/>
    <mergeCell ref="D5693:D5695"/>
    <mergeCell ref="E5693:E5695"/>
    <mergeCell ref="F5693:F5695"/>
    <mergeCell ref="G5693:G5695"/>
    <mergeCell ref="H5693:H5695"/>
    <mergeCell ref="I5693:I5695"/>
    <mergeCell ref="J5693:J5695"/>
    <mergeCell ref="K5693:K5695"/>
    <mergeCell ref="L5693:L5695"/>
    <mergeCell ref="M5693:M5695"/>
    <mergeCell ref="N5693:N5695"/>
    <mergeCell ref="A5697:A5698"/>
    <mergeCell ref="B5697:B5698"/>
    <mergeCell ref="C5697:C5698"/>
    <mergeCell ref="D5697:D5698"/>
    <mergeCell ref="E5697:E5698"/>
    <mergeCell ref="F5697:F5698"/>
    <mergeCell ref="G5697:G5698"/>
    <mergeCell ref="H5697:H5698"/>
    <mergeCell ref="I5697:I5698"/>
    <mergeCell ref="J5697:J5698"/>
    <mergeCell ref="K5697:K5698"/>
    <mergeCell ref="L5697:L5698"/>
    <mergeCell ref="M5697:M5698"/>
    <mergeCell ref="N5697:N5698"/>
    <mergeCell ref="A5699:A5703"/>
    <mergeCell ref="B5699:B5703"/>
    <mergeCell ref="C5699:C5703"/>
    <mergeCell ref="D5699:D5703"/>
    <mergeCell ref="E5699:E5703"/>
    <mergeCell ref="F5699:F5703"/>
    <mergeCell ref="G5699:G5703"/>
    <mergeCell ref="H5699:H5703"/>
    <mergeCell ref="I5699:I5703"/>
    <mergeCell ref="J5699:J5703"/>
    <mergeCell ref="K5699:K5703"/>
    <mergeCell ref="L5699:L5703"/>
    <mergeCell ref="M5699:M5703"/>
    <mergeCell ref="N5699:N5703"/>
    <mergeCell ref="A5704:A5708"/>
    <mergeCell ref="B5704:B5708"/>
    <mergeCell ref="C5704:C5708"/>
    <mergeCell ref="D5704:D5708"/>
    <mergeCell ref="E5704:E5708"/>
    <mergeCell ref="F5704:F5708"/>
    <mergeCell ref="G5704:G5708"/>
    <mergeCell ref="H5704:H5708"/>
    <mergeCell ref="I5704:I5708"/>
    <mergeCell ref="J5704:J5708"/>
    <mergeCell ref="K5704:K5708"/>
    <mergeCell ref="L5704:L5708"/>
    <mergeCell ref="M5704:M5708"/>
    <mergeCell ref="N5704:N5708"/>
    <mergeCell ref="A5709:A5714"/>
    <mergeCell ref="B5709:B5714"/>
    <mergeCell ref="C5709:C5714"/>
    <mergeCell ref="D5709:D5714"/>
    <mergeCell ref="E5709:E5714"/>
    <mergeCell ref="F5709:F5714"/>
    <mergeCell ref="G5709:G5714"/>
    <mergeCell ref="H5709:H5714"/>
    <mergeCell ref="I5709:I5714"/>
    <mergeCell ref="J5709:J5714"/>
    <mergeCell ref="K5709:K5714"/>
    <mergeCell ref="L5709:L5714"/>
    <mergeCell ref="M5709:M5714"/>
    <mergeCell ref="N5709:N5714"/>
    <mergeCell ref="A5717:A5718"/>
    <mergeCell ref="B5717:B5718"/>
    <mergeCell ref="C5717:C5718"/>
    <mergeCell ref="D5717:D5718"/>
    <mergeCell ref="E5717:E5718"/>
    <mergeCell ref="F5717:F5718"/>
    <mergeCell ref="G5717:G5718"/>
    <mergeCell ref="H5717:H5718"/>
    <mergeCell ref="I5717:I5718"/>
    <mergeCell ref="J5717:J5718"/>
    <mergeCell ref="K5717:K5718"/>
    <mergeCell ref="L5717:L5718"/>
    <mergeCell ref="M5717:M5718"/>
    <mergeCell ref="N5717:N5718"/>
    <mergeCell ref="A5719:A5721"/>
    <mergeCell ref="B5719:B5721"/>
    <mergeCell ref="C5719:C5721"/>
    <mergeCell ref="D5719:D5721"/>
    <mergeCell ref="E5719:E5721"/>
    <mergeCell ref="F5719:F5721"/>
    <mergeCell ref="G5719:G5721"/>
    <mergeCell ref="H5719:H5721"/>
    <mergeCell ref="I5719:I5721"/>
    <mergeCell ref="J5719:J5721"/>
    <mergeCell ref="K5719:K5721"/>
    <mergeCell ref="L5719:L5721"/>
    <mergeCell ref="M5719:M5721"/>
    <mergeCell ref="N5719:N5721"/>
    <mergeCell ref="A5722:A5728"/>
    <mergeCell ref="B5722:B5728"/>
    <mergeCell ref="C5722:C5728"/>
    <mergeCell ref="D5722:D5728"/>
    <mergeCell ref="E5722:E5728"/>
    <mergeCell ref="F5722:F5728"/>
    <mergeCell ref="G5722:G5728"/>
    <mergeCell ref="H5722:H5728"/>
    <mergeCell ref="I5722:I5728"/>
    <mergeCell ref="J5722:J5728"/>
    <mergeCell ref="K5722:K5728"/>
    <mergeCell ref="L5722:L5728"/>
    <mergeCell ref="M5722:M5728"/>
    <mergeCell ref="N5722:N5728"/>
    <mergeCell ref="A5729:A5734"/>
    <mergeCell ref="B5729:B5734"/>
    <mergeCell ref="C5729:C5734"/>
    <mergeCell ref="D5729:D5734"/>
    <mergeCell ref="E5729:E5734"/>
    <mergeCell ref="F5729:F5734"/>
    <mergeCell ref="G5729:G5734"/>
    <mergeCell ref="H5729:H5734"/>
    <mergeCell ref="I5729:I5734"/>
    <mergeCell ref="J5729:J5734"/>
    <mergeCell ref="K5729:K5734"/>
    <mergeCell ref="L5729:L5734"/>
    <mergeCell ref="M5729:M5734"/>
    <mergeCell ref="N5729:N5734"/>
    <mergeCell ref="A5735:A5736"/>
    <mergeCell ref="B5735:B5736"/>
    <mergeCell ref="C5735:C5736"/>
    <mergeCell ref="D5735:D5736"/>
    <mergeCell ref="E5735:E5736"/>
    <mergeCell ref="F5735:F5736"/>
    <mergeCell ref="G5735:G5736"/>
    <mergeCell ref="H5735:H5736"/>
    <mergeCell ref="I5735:I5736"/>
    <mergeCell ref="J5735:J5736"/>
    <mergeCell ref="K5735:K5736"/>
    <mergeCell ref="L5735:L5736"/>
    <mergeCell ref="M5735:M5736"/>
    <mergeCell ref="N5735:N5736"/>
    <mergeCell ref="A5737:A5740"/>
    <mergeCell ref="B5737:B5740"/>
    <mergeCell ref="C5737:C5740"/>
    <mergeCell ref="D5737:D5740"/>
    <mergeCell ref="E5737:E5740"/>
    <mergeCell ref="F5737:F5740"/>
    <mergeCell ref="G5737:G5740"/>
    <mergeCell ref="H5737:H5740"/>
    <mergeCell ref="I5737:I5740"/>
    <mergeCell ref="J5737:J5740"/>
    <mergeCell ref="K5737:K5740"/>
    <mergeCell ref="L5737:L5740"/>
    <mergeCell ref="M5737:M5740"/>
    <mergeCell ref="N5737:N5740"/>
    <mergeCell ref="A5748:A5750"/>
    <mergeCell ref="B5748:B5750"/>
    <mergeCell ref="C5748:C5750"/>
    <mergeCell ref="D5748:D5750"/>
    <mergeCell ref="E5748:E5750"/>
    <mergeCell ref="F5748:F5750"/>
    <mergeCell ref="G5748:G5750"/>
    <mergeCell ref="H5748:H5750"/>
    <mergeCell ref="I5748:I5750"/>
    <mergeCell ref="J5748:J5750"/>
    <mergeCell ref="K5748:K5750"/>
    <mergeCell ref="L5748:L5750"/>
    <mergeCell ref="M5748:M5750"/>
    <mergeCell ref="N5748:N5750"/>
    <mergeCell ref="A5751:A5755"/>
    <mergeCell ref="B5751:B5755"/>
    <mergeCell ref="C5751:C5755"/>
    <mergeCell ref="D5751:D5755"/>
    <mergeCell ref="E5751:E5755"/>
    <mergeCell ref="F5751:F5755"/>
    <mergeCell ref="G5751:G5755"/>
    <mergeCell ref="H5751:H5755"/>
    <mergeCell ref="I5751:I5755"/>
    <mergeCell ref="J5751:J5755"/>
    <mergeCell ref="K5751:K5755"/>
    <mergeCell ref="L5751:L5755"/>
    <mergeCell ref="M5751:M5755"/>
    <mergeCell ref="N5751:N5755"/>
    <mergeCell ref="A5756:A5758"/>
    <mergeCell ref="B5756:B5758"/>
    <mergeCell ref="C5756:C5758"/>
    <mergeCell ref="D5756:D5758"/>
    <mergeCell ref="E5756:E5758"/>
    <mergeCell ref="F5756:F5758"/>
    <mergeCell ref="G5756:G5758"/>
    <mergeCell ref="H5756:H5758"/>
    <mergeCell ref="I5756:I5758"/>
    <mergeCell ref="J5756:J5758"/>
    <mergeCell ref="K5756:K5758"/>
    <mergeCell ref="L5756:L5758"/>
    <mergeCell ref="M5756:M5758"/>
    <mergeCell ref="N5756:N5758"/>
    <mergeCell ref="A5763:A5764"/>
    <mergeCell ref="B5763:B5764"/>
    <mergeCell ref="C5763:C5764"/>
    <mergeCell ref="D5763:D5764"/>
    <mergeCell ref="E5763:E5764"/>
    <mergeCell ref="F5763:F5764"/>
    <mergeCell ref="G5763:G5764"/>
    <mergeCell ref="H5763:H5764"/>
    <mergeCell ref="I5763:I5764"/>
    <mergeCell ref="J5763:J5764"/>
    <mergeCell ref="K5763:K5764"/>
    <mergeCell ref="L5763:L5764"/>
    <mergeCell ref="M5763:M5764"/>
    <mergeCell ref="N5763:N5764"/>
    <mergeCell ref="A5769:A5770"/>
    <mergeCell ref="B5769:B5770"/>
    <mergeCell ref="C5769:C5770"/>
    <mergeCell ref="D5769:D5770"/>
    <mergeCell ref="E5769:E5770"/>
    <mergeCell ref="F5769:F5770"/>
    <mergeCell ref="G5769:G5770"/>
    <mergeCell ref="H5769:H5770"/>
    <mergeCell ref="I5769:I5770"/>
    <mergeCell ref="J5769:J5770"/>
    <mergeCell ref="K5769:K5770"/>
    <mergeCell ref="L5769:L5770"/>
    <mergeCell ref="M5769:M5770"/>
    <mergeCell ref="N5769:N5770"/>
    <mergeCell ref="A5771:A5775"/>
    <mergeCell ref="B5771:B5775"/>
    <mergeCell ref="C5771:C5775"/>
    <mergeCell ref="D5771:D5775"/>
    <mergeCell ref="E5771:E5775"/>
    <mergeCell ref="F5771:F5775"/>
    <mergeCell ref="G5771:G5775"/>
    <mergeCell ref="H5771:H5775"/>
    <mergeCell ref="I5771:I5775"/>
    <mergeCell ref="J5771:J5775"/>
    <mergeCell ref="K5771:K5775"/>
    <mergeCell ref="L5771:L5775"/>
    <mergeCell ref="M5771:M5775"/>
    <mergeCell ref="N5771:N5775"/>
    <mergeCell ref="A5776:A5778"/>
    <mergeCell ref="B5776:B5778"/>
    <mergeCell ref="C5776:C5778"/>
    <mergeCell ref="D5776:D5778"/>
    <mergeCell ref="E5776:E5778"/>
    <mergeCell ref="F5776:F5778"/>
    <mergeCell ref="G5776:G5778"/>
    <mergeCell ref="H5776:H5778"/>
    <mergeCell ref="I5776:I5778"/>
    <mergeCell ref="J5776:J5778"/>
    <mergeCell ref="K5776:K5778"/>
    <mergeCell ref="L5776:L5778"/>
    <mergeCell ref="M5776:M5778"/>
    <mergeCell ref="N5776:N5778"/>
    <mergeCell ref="A5779:A5782"/>
    <mergeCell ref="B5779:B5782"/>
    <mergeCell ref="C5779:C5782"/>
    <mergeCell ref="D5779:D5782"/>
    <mergeCell ref="E5779:E5782"/>
    <mergeCell ref="F5779:F5782"/>
    <mergeCell ref="G5779:G5782"/>
    <mergeCell ref="H5779:H5782"/>
    <mergeCell ref="I5779:I5782"/>
    <mergeCell ref="J5779:J5782"/>
    <mergeCell ref="K5779:K5782"/>
    <mergeCell ref="L5779:L5782"/>
    <mergeCell ref="M5779:M5782"/>
    <mergeCell ref="N5779:N5782"/>
    <mergeCell ref="A5783:A5788"/>
    <mergeCell ref="B5783:B5788"/>
    <mergeCell ref="C5783:C5788"/>
    <mergeCell ref="D5783:D5788"/>
    <mergeCell ref="E5783:E5788"/>
    <mergeCell ref="F5783:F5788"/>
    <mergeCell ref="G5783:G5788"/>
    <mergeCell ref="H5783:H5788"/>
    <mergeCell ref="I5783:I5788"/>
    <mergeCell ref="J5783:J5788"/>
    <mergeCell ref="K5783:K5788"/>
    <mergeCell ref="L5783:L5788"/>
    <mergeCell ref="M5783:M5788"/>
    <mergeCell ref="N5783:N5788"/>
    <mergeCell ref="A5789:A5793"/>
    <mergeCell ref="B5789:B5793"/>
    <mergeCell ref="C5789:C5793"/>
    <mergeCell ref="D5789:D5793"/>
    <mergeCell ref="E5789:E5793"/>
    <mergeCell ref="F5789:F5793"/>
    <mergeCell ref="G5789:G5793"/>
    <mergeCell ref="H5789:H5793"/>
    <mergeCell ref="I5789:I5793"/>
    <mergeCell ref="J5789:J5793"/>
    <mergeCell ref="K5789:K5793"/>
    <mergeCell ref="L5789:L5793"/>
    <mergeCell ref="M5789:M5793"/>
    <mergeCell ref="N5789:N5793"/>
    <mergeCell ref="A5800:A5801"/>
    <mergeCell ref="B5800:B5801"/>
    <mergeCell ref="C5800:C5801"/>
    <mergeCell ref="D5800:D5801"/>
    <mergeCell ref="E5800:E5801"/>
    <mergeCell ref="F5800:F5801"/>
    <mergeCell ref="G5800:G5801"/>
    <mergeCell ref="H5800:H5801"/>
    <mergeCell ref="I5800:I5801"/>
    <mergeCell ref="J5800:J5801"/>
    <mergeCell ref="K5800:K5801"/>
    <mergeCell ref="L5800:L5801"/>
    <mergeCell ref="M5800:M5801"/>
    <mergeCell ref="N5800:N5801"/>
    <mergeCell ref="A5802:A5803"/>
    <mergeCell ref="B5802:B5803"/>
    <mergeCell ref="C5802:C5803"/>
    <mergeCell ref="D5802:D5803"/>
    <mergeCell ref="E5802:E5803"/>
    <mergeCell ref="F5802:F5803"/>
    <mergeCell ref="G5802:G5803"/>
    <mergeCell ref="H5802:H5803"/>
    <mergeCell ref="I5802:I5803"/>
    <mergeCell ref="J5802:J5803"/>
    <mergeCell ref="K5802:K5803"/>
    <mergeCell ref="L5802:L5803"/>
    <mergeCell ref="M5802:M5803"/>
    <mergeCell ref="N5802:N5803"/>
    <mergeCell ref="A5804:A5805"/>
    <mergeCell ref="B5804:B5805"/>
    <mergeCell ref="C5804:C5805"/>
    <mergeCell ref="D5804:D5805"/>
    <mergeCell ref="E5804:E5805"/>
    <mergeCell ref="F5804:F5805"/>
    <mergeCell ref="G5804:G5805"/>
    <mergeCell ref="H5804:H5805"/>
    <mergeCell ref="I5804:I5805"/>
    <mergeCell ref="J5804:J5805"/>
    <mergeCell ref="K5804:K5805"/>
    <mergeCell ref="L5804:L5805"/>
    <mergeCell ref="M5804:M5805"/>
    <mergeCell ref="N5804:N5805"/>
    <mergeCell ref="A5806:A5807"/>
    <mergeCell ref="B5806:B5807"/>
    <mergeCell ref="C5806:C5807"/>
    <mergeCell ref="D5806:D5807"/>
    <mergeCell ref="E5806:E5807"/>
    <mergeCell ref="F5806:F5807"/>
    <mergeCell ref="G5806:G5807"/>
    <mergeCell ref="H5806:H5807"/>
    <mergeCell ref="I5806:I5807"/>
    <mergeCell ref="J5806:J5807"/>
    <mergeCell ref="K5806:K5807"/>
    <mergeCell ref="L5806:L5807"/>
    <mergeCell ref="M5806:M5807"/>
    <mergeCell ref="N5806:N5807"/>
    <mergeCell ref="A5811:A5816"/>
    <mergeCell ref="B5811:B5816"/>
    <mergeCell ref="C5811:C5816"/>
    <mergeCell ref="D5811:D5816"/>
    <mergeCell ref="E5811:E5816"/>
    <mergeCell ref="F5811:F5816"/>
    <mergeCell ref="G5811:G5816"/>
    <mergeCell ref="H5811:H5816"/>
    <mergeCell ref="I5811:I5816"/>
    <mergeCell ref="J5811:J5816"/>
    <mergeCell ref="K5811:K5816"/>
    <mergeCell ref="L5811:L5816"/>
    <mergeCell ref="M5811:M5816"/>
    <mergeCell ref="N5811:N5816"/>
    <mergeCell ref="A5818:A5819"/>
    <mergeCell ref="B5818:B5819"/>
    <mergeCell ref="C5818:C5819"/>
    <mergeCell ref="D5818:D5819"/>
    <mergeCell ref="E5818:E5819"/>
    <mergeCell ref="F5818:F5819"/>
    <mergeCell ref="G5818:G5819"/>
    <mergeCell ref="H5818:H5819"/>
    <mergeCell ref="I5818:I5819"/>
    <mergeCell ref="J5818:J5819"/>
    <mergeCell ref="K5818:K5819"/>
    <mergeCell ref="L5818:L5819"/>
    <mergeCell ref="M5818:M5819"/>
    <mergeCell ref="N5818:N5819"/>
    <mergeCell ref="A5820:A5825"/>
    <mergeCell ref="B5820:B5825"/>
    <mergeCell ref="C5820:C5825"/>
    <mergeCell ref="D5820:D5825"/>
    <mergeCell ref="E5820:E5825"/>
    <mergeCell ref="F5820:F5825"/>
    <mergeCell ref="G5820:G5825"/>
    <mergeCell ref="H5820:H5825"/>
    <mergeCell ref="I5820:I5825"/>
    <mergeCell ref="J5820:J5825"/>
    <mergeCell ref="K5820:K5825"/>
    <mergeCell ref="L5820:L5825"/>
    <mergeCell ref="M5820:M5825"/>
    <mergeCell ref="N5820:N5825"/>
    <mergeCell ref="A5826:A5835"/>
    <mergeCell ref="B5826:B5835"/>
    <mergeCell ref="C5826:C5835"/>
    <mergeCell ref="D5826:D5835"/>
    <mergeCell ref="E5826:E5835"/>
    <mergeCell ref="F5826:F5835"/>
    <mergeCell ref="G5826:G5835"/>
    <mergeCell ref="H5826:H5835"/>
    <mergeCell ref="I5826:I5835"/>
    <mergeCell ref="J5826:J5835"/>
    <mergeCell ref="K5826:K5835"/>
    <mergeCell ref="L5826:L5835"/>
    <mergeCell ref="M5826:M5835"/>
    <mergeCell ref="N5826:N5835"/>
    <mergeCell ref="A5838:A5839"/>
    <mergeCell ref="B5838:B5839"/>
    <mergeCell ref="C5838:C5839"/>
    <mergeCell ref="D5838:D5839"/>
    <mergeCell ref="E5838:E5839"/>
    <mergeCell ref="F5838:F5839"/>
    <mergeCell ref="G5838:G5839"/>
    <mergeCell ref="H5838:H5839"/>
    <mergeCell ref="I5838:I5839"/>
    <mergeCell ref="J5838:J5839"/>
    <mergeCell ref="K5838:K5839"/>
    <mergeCell ref="L5838:L5839"/>
    <mergeCell ref="M5838:M5839"/>
    <mergeCell ref="N5838:N5839"/>
    <mergeCell ref="A5842:A5843"/>
    <mergeCell ref="B5842:B5843"/>
    <mergeCell ref="C5842:C5843"/>
    <mergeCell ref="D5842:D5843"/>
    <mergeCell ref="E5842:E5843"/>
    <mergeCell ref="F5842:F5843"/>
    <mergeCell ref="G5842:G5843"/>
    <mergeCell ref="H5842:H5843"/>
    <mergeCell ref="I5842:I5843"/>
    <mergeCell ref="J5842:J5843"/>
    <mergeCell ref="K5842:K5843"/>
    <mergeCell ref="L5842:L5843"/>
    <mergeCell ref="M5842:M5843"/>
    <mergeCell ref="N5842:N5843"/>
    <mergeCell ref="A5846:A5849"/>
    <mergeCell ref="B5846:B5849"/>
    <mergeCell ref="C5846:C5849"/>
    <mergeCell ref="D5846:D5849"/>
    <mergeCell ref="E5846:E5849"/>
    <mergeCell ref="F5846:F5849"/>
    <mergeCell ref="G5846:G5849"/>
    <mergeCell ref="H5846:H5849"/>
    <mergeCell ref="I5846:I5849"/>
    <mergeCell ref="J5846:J5849"/>
    <mergeCell ref="K5846:K5849"/>
    <mergeCell ref="L5846:L5849"/>
    <mergeCell ref="M5846:M5849"/>
    <mergeCell ref="N5846:N5849"/>
    <mergeCell ref="A5853:A5854"/>
    <mergeCell ref="B5853:B5854"/>
    <mergeCell ref="C5853:C5854"/>
    <mergeCell ref="D5853:D5854"/>
    <mergeCell ref="E5853:E5854"/>
    <mergeCell ref="F5853:F5854"/>
    <mergeCell ref="G5853:G5854"/>
    <mergeCell ref="H5853:H5854"/>
    <mergeCell ref="I5853:I5854"/>
    <mergeCell ref="J5853:J5854"/>
    <mergeCell ref="K5853:K5854"/>
    <mergeCell ref="L5853:L5854"/>
    <mergeCell ref="M5853:M5854"/>
    <mergeCell ref="N5853:N5854"/>
    <mergeCell ref="A5855:A5858"/>
    <mergeCell ref="B5855:B5858"/>
    <mergeCell ref="C5855:C5858"/>
    <mergeCell ref="D5855:D5858"/>
    <mergeCell ref="E5855:E5858"/>
    <mergeCell ref="F5855:F5858"/>
    <mergeCell ref="G5855:G5858"/>
    <mergeCell ref="H5855:H5858"/>
    <mergeCell ref="I5855:I5858"/>
    <mergeCell ref="J5855:J5858"/>
    <mergeCell ref="K5855:K5858"/>
    <mergeCell ref="L5855:L5858"/>
    <mergeCell ref="M5855:M5858"/>
    <mergeCell ref="N5855:N5858"/>
    <mergeCell ref="A5859:A5862"/>
    <mergeCell ref="B5859:B5862"/>
    <mergeCell ref="C5859:C5862"/>
    <mergeCell ref="D5859:D5862"/>
    <mergeCell ref="E5859:E5862"/>
    <mergeCell ref="F5859:F5862"/>
    <mergeCell ref="G5859:G5862"/>
    <mergeCell ref="H5859:H5862"/>
    <mergeCell ref="I5859:I5862"/>
    <mergeCell ref="J5859:J5862"/>
    <mergeCell ref="K5859:K5862"/>
    <mergeCell ref="L5859:L5862"/>
    <mergeCell ref="M5859:M5862"/>
    <mergeCell ref="N5859:N5862"/>
    <mergeCell ref="A5866:A5868"/>
    <mergeCell ref="B5866:B5868"/>
    <mergeCell ref="C5866:C5868"/>
    <mergeCell ref="D5866:D5868"/>
    <mergeCell ref="E5866:E5868"/>
    <mergeCell ref="F5866:F5868"/>
    <mergeCell ref="G5866:G5868"/>
    <mergeCell ref="H5866:H5868"/>
    <mergeCell ref="I5866:I5868"/>
    <mergeCell ref="J5866:J5868"/>
    <mergeCell ref="K5866:K5868"/>
    <mergeCell ref="L5866:L5868"/>
    <mergeCell ref="M5866:M5868"/>
    <mergeCell ref="N5866:N5868"/>
    <mergeCell ref="A5871:A5872"/>
    <mergeCell ref="B5871:B5872"/>
    <mergeCell ref="C5871:C5872"/>
    <mergeCell ref="D5871:D5872"/>
    <mergeCell ref="E5871:E5872"/>
    <mergeCell ref="F5871:F5872"/>
    <mergeCell ref="G5871:G5872"/>
    <mergeCell ref="H5871:H5872"/>
    <mergeCell ref="I5871:I5872"/>
    <mergeCell ref="J5871:J5872"/>
    <mergeCell ref="K5871:K5872"/>
    <mergeCell ref="L5871:L5872"/>
    <mergeCell ref="M5871:M5872"/>
    <mergeCell ref="N5871:N5872"/>
    <mergeCell ref="A5875:A5876"/>
    <mergeCell ref="B5875:B5876"/>
    <mergeCell ref="C5875:C5876"/>
    <mergeCell ref="D5875:D5876"/>
    <mergeCell ref="E5875:E5876"/>
    <mergeCell ref="F5875:F5876"/>
    <mergeCell ref="G5875:G5876"/>
    <mergeCell ref="H5875:H5876"/>
    <mergeCell ref="I5875:I5876"/>
    <mergeCell ref="J5875:J5876"/>
    <mergeCell ref="K5875:K5876"/>
    <mergeCell ref="L5875:L5876"/>
    <mergeCell ref="M5875:M5876"/>
    <mergeCell ref="N5875:N5876"/>
    <mergeCell ref="A5879:A5883"/>
    <mergeCell ref="B5879:B5883"/>
    <mergeCell ref="C5879:C5883"/>
    <mergeCell ref="D5879:D5883"/>
    <mergeCell ref="E5879:E5883"/>
    <mergeCell ref="F5879:F5883"/>
    <mergeCell ref="G5879:G5883"/>
    <mergeCell ref="H5879:H5883"/>
    <mergeCell ref="I5879:I5883"/>
    <mergeCell ref="J5879:J5883"/>
    <mergeCell ref="K5879:K5883"/>
    <mergeCell ref="L5879:L5883"/>
    <mergeCell ref="M5879:M5883"/>
    <mergeCell ref="N5879:N5883"/>
    <mergeCell ref="A5884:A5887"/>
    <mergeCell ref="B5884:B5887"/>
    <mergeCell ref="C5884:C5887"/>
    <mergeCell ref="D5884:D5887"/>
    <mergeCell ref="E5884:E5887"/>
    <mergeCell ref="F5884:F5887"/>
    <mergeCell ref="G5884:G5887"/>
    <mergeCell ref="H5884:H5887"/>
    <mergeCell ref="I5884:I5887"/>
    <mergeCell ref="J5884:J5887"/>
    <mergeCell ref="K5884:K5887"/>
    <mergeCell ref="L5884:L5887"/>
    <mergeCell ref="M5884:M5887"/>
    <mergeCell ref="N5884:N5887"/>
    <mergeCell ref="A5888:A5891"/>
    <mergeCell ref="B5888:B5891"/>
    <mergeCell ref="C5888:C5891"/>
    <mergeCell ref="D5888:D5891"/>
    <mergeCell ref="E5888:E5891"/>
    <mergeCell ref="F5888:F5891"/>
    <mergeCell ref="G5888:G5891"/>
    <mergeCell ref="H5888:H5891"/>
    <mergeCell ref="I5888:I5891"/>
    <mergeCell ref="J5888:J5891"/>
    <mergeCell ref="K5888:K5891"/>
    <mergeCell ref="L5888:L5891"/>
    <mergeCell ref="M5888:M5891"/>
    <mergeCell ref="N5888:N5891"/>
    <mergeCell ref="A5892:A5894"/>
    <mergeCell ref="B5892:B5894"/>
    <mergeCell ref="C5892:C5894"/>
    <mergeCell ref="D5892:D5894"/>
    <mergeCell ref="E5892:E5894"/>
    <mergeCell ref="F5892:F5894"/>
    <mergeCell ref="G5892:G5894"/>
    <mergeCell ref="H5892:H5894"/>
    <mergeCell ref="I5892:I5894"/>
    <mergeCell ref="J5892:J5894"/>
    <mergeCell ref="K5892:K5894"/>
    <mergeCell ref="L5892:L5894"/>
    <mergeCell ref="M5892:M5894"/>
    <mergeCell ref="N5892:N5894"/>
    <mergeCell ref="A5895:A5897"/>
    <mergeCell ref="B5895:B5897"/>
    <mergeCell ref="C5895:C5897"/>
    <mergeCell ref="D5895:D5897"/>
    <mergeCell ref="E5895:E5897"/>
    <mergeCell ref="F5895:F5897"/>
    <mergeCell ref="G5895:G5897"/>
    <mergeCell ref="H5895:H5897"/>
    <mergeCell ref="I5895:I5897"/>
    <mergeCell ref="J5895:J5897"/>
    <mergeCell ref="K5895:K5897"/>
    <mergeCell ref="L5895:L5897"/>
    <mergeCell ref="M5895:M5897"/>
    <mergeCell ref="N5895:N5897"/>
    <mergeCell ref="A5898:A5901"/>
    <mergeCell ref="B5898:B5901"/>
    <mergeCell ref="C5898:C5901"/>
    <mergeCell ref="D5898:D5901"/>
    <mergeCell ref="E5898:E5901"/>
    <mergeCell ref="F5898:F5901"/>
    <mergeCell ref="G5898:G5901"/>
    <mergeCell ref="H5898:H5901"/>
    <mergeCell ref="I5898:I5901"/>
    <mergeCell ref="J5898:J5901"/>
    <mergeCell ref="K5898:K5901"/>
    <mergeCell ref="L5898:L5901"/>
    <mergeCell ref="M5898:M5901"/>
    <mergeCell ref="N5898:N5901"/>
    <mergeCell ref="A5903:A5904"/>
    <mergeCell ref="B5903:B5904"/>
    <mergeCell ref="C5903:C5904"/>
    <mergeCell ref="D5903:D5904"/>
    <mergeCell ref="E5903:E5904"/>
    <mergeCell ref="F5903:F5904"/>
    <mergeCell ref="G5903:G5904"/>
    <mergeCell ref="H5903:H5904"/>
    <mergeCell ref="I5903:I5904"/>
    <mergeCell ref="J5903:J5904"/>
    <mergeCell ref="K5903:K5904"/>
    <mergeCell ref="L5903:L5904"/>
    <mergeCell ref="M5903:M5904"/>
    <mergeCell ref="N5903:N5904"/>
    <mergeCell ref="A5909:A5910"/>
    <mergeCell ref="B5909:B5910"/>
    <mergeCell ref="C5909:C5910"/>
    <mergeCell ref="D5909:D5910"/>
    <mergeCell ref="E5909:E5910"/>
    <mergeCell ref="F5909:F5910"/>
    <mergeCell ref="G5909:G5910"/>
    <mergeCell ref="H5909:H5910"/>
    <mergeCell ref="I5909:I5910"/>
    <mergeCell ref="J5909:J5910"/>
    <mergeCell ref="K5909:K5910"/>
    <mergeCell ref="L5909:L5910"/>
    <mergeCell ref="M5909:M5910"/>
    <mergeCell ref="N5909:N5910"/>
    <mergeCell ref="A5912:A5913"/>
    <mergeCell ref="B5912:B5913"/>
    <mergeCell ref="C5912:C5913"/>
    <mergeCell ref="D5912:D5913"/>
    <mergeCell ref="E5912:E5913"/>
    <mergeCell ref="F5912:F5913"/>
    <mergeCell ref="G5912:G5913"/>
    <mergeCell ref="H5912:H5913"/>
    <mergeCell ref="I5912:I5913"/>
    <mergeCell ref="J5912:J5913"/>
    <mergeCell ref="K5912:K5913"/>
    <mergeCell ref="L5912:L5913"/>
    <mergeCell ref="M5912:M5913"/>
    <mergeCell ref="N5912:N5913"/>
    <mergeCell ref="A5914:A5919"/>
    <mergeCell ref="B5914:B5919"/>
    <mergeCell ref="C5914:C5919"/>
    <mergeCell ref="D5914:D5919"/>
    <mergeCell ref="E5914:E5919"/>
    <mergeCell ref="F5914:F5919"/>
    <mergeCell ref="G5914:G5919"/>
    <mergeCell ref="H5914:H5919"/>
    <mergeCell ref="I5914:I5919"/>
    <mergeCell ref="J5914:J5919"/>
    <mergeCell ref="K5914:K5919"/>
    <mergeCell ref="L5914:L5919"/>
    <mergeCell ref="M5914:M5919"/>
    <mergeCell ref="N5914:N5919"/>
    <mergeCell ref="A5923:A5926"/>
    <mergeCell ref="B5923:B5926"/>
    <mergeCell ref="C5923:C5926"/>
    <mergeCell ref="D5923:D5926"/>
    <mergeCell ref="E5923:E5926"/>
    <mergeCell ref="F5923:F5926"/>
    <mergeCell ref="G5923:G5926"/>
    <mergeCell ref="H5923:H5926"/>
    <mergeCell ref="I5923:I5926"/>
    <mergeCell ref="J5923:J5926"/>
    <mergeCell ref="K5923:K5926"/>
    <mergeCell ref="L5923:L5926"/>
    <mergeCell ref="M5923:M5926"/>
    <mergeCell ref="N5923:N5926"/>
    <mergeCell ref="A5927:A5928"/>
    <mergeCell ref="B5927:B5928"/>
    <mergeCell ref="C5927:C5928"/>
    <mergeCell ref="D5927:D5928"/>
    <mergeCell ref="E5927:E5928"/>
    <mergeCell ref="F5927:F5928"/>
    <mergeCell ref="G5927:G5928"/>
    <mergeCell ref="H5927:H5928"/>
    <mergeCell ref="I5927:I5928"/>
    <mergeCell ref="J5927:J5928"/>
    <mergeCell ref="K5927:K5928"/>
    <mergeCell ref="L5927:L5928"/>
    <mergeCell ref="M5927:M5928"/>
    <mergeCell ref="N5927:N5928"/>
    <mergeCell ref="A5929:A5930"/>
    <mergeCell ref="B5929:B5930"/>
    <mergeCell ref="C5929:C5930"/>
    <mergeCell ref="D5929:D5930"/>
    <mergeCell ref="E5929:E5930"/>
    <mergeCell ref="F5929:F5930"/>
    <mergeCell ref="G5929:G5930"/>
    <mergeCell ref="H5929:H5930"/>
    <mergeCell ref="I5929:I5930"/>
    <mergeCell ref="J5929:J5930"/>
    <mergeCell ref="K5929:K5930"/>
    <mergeCell ref="L5929:L5930"/>
    <mergeCell ref="M5929:M5930"/>
    <mergeCell ref="N5929:N5930"/>
    <mergeCell ref="A5931:A5939"/>
    <mergeCell ref="B5931:B5939"/>
    <mergeCell ref="C5931:C5939"/>
    <mergeCell ref="D5931:D5939"/>
    <mergeCell ref="E5931:E5939"/>
    <mergeCell ref="F5931:F5939"/>
    <mergeCell ref="G5931:G5939"/>
    <mergeCell ref="H5931:H5939"/>
    <mergeCell ref="I5931:I5939"/>
    <mergeCell ref="J5931:J5939"/>
    <mergeCell ref="K5931:K5939"/>
    <mergeCell ref="L5931:L5939"/>
    <mergeCell ref="M5931:M5939"/>
    <mergeCell ref="N5931:N5939"/>
    <mergeCell ref="A5941:A5943"/>
    <mergeCell ref="B5941:B5943"/>
    <mergeCell ref="C5941:C5943"/>
    <mergeCell ref="D5941:D5943"/>
    <mergeCell ref="E5941:E5943"/>
    <mergeCell ref="F5941:F5943"/>
    <mergeCell ref="G5941:G5943"/>
    <mergeCell ref="H5941:H5943"/>
    <mergeCell ref="I5941:I5943"/>
    <mergeCell ref="J5941:J5943"/>
    <mergeCell ref="K5941:K5943"/>
    <mergeCell ref="L5941:L5943"/>
    <mergeCell ref="M5941:M5943"/>
    <mergeCell ref="N5941:N5943"/>
    <mergeCell ref="A5946:A5948"/>
    <mergeCell ref="B5946:B5948"/>
    <mergeCell ref="C5946:C5948"/>
    <mergeCell ref="D5946:D5948"/>
    <mergeCell ref="E5946:E5948"/>
    <mergeCell ref="F5946:F5948"/>
    <mergeCell ref="G5946:G5948"/>
    <mergeCell ref="H5946:H5948"/>
    <mergeCell ref="I5946:I5948"/>
    <mergeCell ref="J5946:J5948"/>
    <mergeCell ref="K5946:K5948"/>
    <mergeCell ref="L5946:L5948"/>
    <mergeCell ref="M5946:M5948"/>
    <mergeCell ref="N5946:N5948"/>
    <mergeCell ref="A5949:A5950"/>
    <mergeCell ref="B5949:B5950"/>
    <mergeCell ref="C5949:C5950"/>
    <mergeCell ref="D5949:D5950"/>
    <mergeCell ref="E5949:E5950"/>
    <mergeCell ref="F5949:F5950"/>
    <mergeCell ref="G5949:G5950"/>
    <mergeCell ref="H5949:H5950"/>
    <mergeCell ref="I5949:I5950"/>
    <mergeCell ref="J5949:J5950"/>
    <mergeCell ref="K5949:K5950"/>
    <mergeCell ref="L5949:L5950"/>
    <mergeCell ref="M5949:M5950"/>
    <mergeCell ref="N5949:N5950"/>
    <mergeCell ref="A5951:A5954"/>
    <mergeCell ref="B5951:B5954"/>
    <mergeCell ref="C5951:C5954"/>
    <mergeCell ref="D5951:D5954"/>
    <mergeCell ref="E5951:E5954"/>
    <mergeCell ref="F5951:F5954"/>
    <mergeCell ref="G5951:G5954"/>
    <mergeCell ref="H5951:H5954"/>
    <mergeCell ref="I5951:I5954"/>
    <mergeCell ref="J5951:J5954"/>
    <mergeCell ref="K5951:K5954"/>
    <mergeCell ref="L5951:L5954"/>
    <mergeCell ref="M5951:M5954"/>
    <mergeCell ref="N5951:N5954"/>
    <mergeCell ref="A5957:A5959"/>
    <mergeCell ref="B5957:B5959"/>
    <mergeCell ref="C5957:C5959"/>
    <mergeCell ref="D5957:D5959"/>
    <mergeCell ref="E5957:E5959"/>
    <mergeCell ref="F5957:F5959"/>
    <mergeCell ref="G5957:G5959"/>
    <mergeCell ref="H5957:H5959"/>
    <mergeCell ref="I5957:I5959"/>
    <mergeCell ref="J5957:J5959"/>
    <mergeCell ref="K5957:K5959"/>
    <mergeCell ref="L5957:L5959"/>
    <mergeCell ref="M5957:M5959"/>
    <mergeCell ref="N5957:N5959"/>
    <mergeCell ref="A5963:A5967"/>
    <mergeCell ref="B5963:B5967"/>
    <mergeCell ref="C5963:C5967"/>
    <mergeCell ref="D5963:D5967"/>
    <mergeCell ref="E5963:E5967"/>
    <mergeCell ref="F5963:F5967"/>
    <mergeCell ref="G5963:G5967"/>
    <mergeCell ref="H5963:H5967"/>
    <mergeCell ref="I5963:I5967"/>
    <mergeCell ref="J5963:J5967"/>
    <mergeCell ref="K5963:K5967"/>
    <mergeCell ref="L5963:L5967"/>
    <mergeCell ref="M5963:M5967"/>
    <mergeCell ref="N5963:N5967"/>
    <mergeCell ref="A5970:A5983"/>
    <mergeCell ref="B5970:B5983"/>
    <mergeCell ref="C5970:C5983"/>
    <mergeCell ref="D5970:D5983"/>
    <mergeCell ref="E5970:E5983"/>
    <mergeCell ref="F5970:F5983"/>
    <mergeCell ref="G5970:G5983"/>
    <mergeCell ref="H5970:H5983"/>
    <mergeCell ref="I5970:I5983"/>
    <mergeCell ref="J5970:J5983"/>
    <mergeCell ref="K5970:K5983"/>
    <mergeCell ref="L5970:L5983"/>
    <mergeCell ref="M5970:M5983"/>
    <mergeCell ref="N5970:N5983"/>
    <mergeCell ref="A5984:A5989"/>
    <mergeCell ref="B5984:B5989"/>
    <mergeCell ref="C5984:C5989"/>
    <mergeCell ref="D5984:D5989"/>
    <mergeCell ref="E5984:E5989"/>
    <mergeCell ref="F5984:F5989"/>
    <mergeCell ref="G5984:G5989"/>
    <mergeCell ref="H5984:H5989"/>
    <mergeCell ref="I5984:I5989"/>
    <mergeCell ref="J5984:J5989"/>
    <mergeCell ref="K5984:K5989"/>
    <mergeCell ref="L5984:L5989"/>
    <mergeCell ref="M5984:M5989"/>
    <mergeCell ref="N5984:N5989"/>
    <mergeCell ref="A5990:A5993"/>
    <mergeCell ref="B5990:B5993"/>
    <mergeCell ref="C5990:C5993"/>
    <mergeCell ref="D5990:D5993"/>
    <mergeCell ref="E5990:E5993"/>
    <mergeCell ref="F5990:F5993"/>
    <mergeCell ref="G5990:G5993"/>
    <mergeCell ref="H5990:H5993"/>
    <mergeCell ref="I5990:I5993"/>
    <mergeCell ref="J5990:J5993"/>
    <mergeCell ref="K5990:K5993"/>
    <mergeCell ref="L5990:L5993"/>
    <mergeCell ref="M5990:M5993"/>
    <mergeCell ref="N5990:N5993"/>
    <mergeCell ref="A5995:A6002"/>
    <mergeCell ref="B5995:B6002"/>
    <mergeCell ref="C5995:C6002"/>
    <mergeCell ref="D5995:D6002"/>
    <mergeCell ref="E5995:E6002"/>
    <mergeCell ref="F5995:F6002"/>
    <mergeCell ref="G5995:G6002"/>
    <mergeCell ref="H5995:H6002"/>
    <mergeCell ref="I5995:I6002"/>
    <mergeCell ref="J5995:J6002"/>
    <mergeCell ref="K5995:K6002"/>
    <mergeCell ref="L5995:L6002"/>
    <mergeCell ref="M5995:M6002"/>
    <mergeCell ref="N5995:N6002"/>
    <mergeCell ref="A6005:A6006"/>
    <mergeCell ref="B6005:B6006"/>
    <mergeCell ref="C6005:C6006"/>
    <mergeCell ref="D6005:D6006"/>
    <mergeCell ref="E6005:E6006"/>
    <mergeCell ref="F6005:F6006"/>
    <mergeCell ref="G6005:G6006"/>
    <mergeCell ref="H6005:H6006"/>
    <mergeCell ref="I6005:I6006"/>
    <mergeCell ref="J6005:J6006"/>
    <mergeCell ref="K6005:K6006"/>
    <mergeCell ref="L6005:L6006"/>
    <mergeCell ref="M6005:M6006"/>
    <mergeCell ref="N6005:N6006"/>
    <mergeCell ref="A6008:A6010"/>
    <mergeCell ref="B6008:B6010"/>
    <mergeCell ref="C6008:C6010"/>
    <mergeCell ref="D6008:D6010"/>
    <mergeCell ref="E6008:E6010"/>
    <mergeCell ref="F6008:F6010"/>
    <mergeCell ref="G6008:G6010"/>
    <mergeCell ref="H6008:H6010"/>
    <mergeCell ref="I6008:I6010"/>
    <mergeCell ref="J6008:J6010"/>
    <mergeCell ref="K6008:K6010"/>
    <mergeCell ref="L6008:L6010"/>
    <mergeCell ref="M6008:M6010"/>
    <mergeCell ref="N6008:N6010"/>
    <mergeCell ref="A6011:A6012"/>
    <mergeCell ref="B6011:B6012"/>
    <mergeCell ref="C6011:C6012"/>
    <mergeCell ref="D6011:D6012"/>
    <mergeCell ref="E6011:E6012"/>
    <mergeCell ref="F6011:F6012"/>
    <mergeCell ref="G6011:G6012"/>
    <mergeCell ref="H6011:H6012"/>
    <mergeCell ref="I6011:I6012"/>
    <mergeCell ref="J6011:J6012"/>
    <mergeCell ref="K6011:K6012"/>
    <mergeCell ref="L6011:L6012"/>
    <mergeCell ref="M6011:M6012"/>
    <mergeCell ref="N6011:N6012"/>
    <mergeCell ref="A6013:A6014"/>
    <mergeCell ref="B6013:B6014"/>
    <mergeCell ref="C6013:C6014"/>
    <mergeCell ref="D6013:D6014"/>
    <mergeCell ref="E6013:E6014"/>
    <mergeCell ref="F6013:F6014"/>
    <mergeCell ref="G6013:G6014"/>
    <mergeCell ref="H6013:H6014"/>
    <mergeCell ref="I6013:I6014"/>
    <mergeCell ref="J6013:J6014"/>
    <mergeCell ref="K6013:K6014"/>
    <mergeCell ref="L6013:L6014"/>
    <mergeCell ref="M6013:M6014"/>
    <mergeCell ref="N6013:N6014"/>
    <mergeCell ref="A6015:A6018"/>
    <mergeCell ref="B6015:B6018"/>
    <mergeCell ref="C6015:C6018"/>
    <mergeCell ref="D6015:D6018"/>
    <mergeCell ref="E6015:E6018"/>
    <mergeCell ref="F6015:F6018"/>
    <mergeCell ref="G6015:G6018"/>
    <mergeCell ref="H6015:H6018"/>
    <mergeCell ref="I6015:I6018"/>
    <mergeCell ref="J6015:J6018"/>
    <mergeCell ref="K6015:K6018"/>
    <mergeCell ref="L6015:L6018"/>
    <mergeCell ref="M6015:M6018"/>
    <mergeCell ref="N6015:N6018"/>
    <mergeCell ref="A6019:A6021"/>
    <mergeCell ref="B6019:B6021"/>
    <mergeCell ref="C6019:C6021"/>
    <mergeCell ref="D6019:D6021"/>
    <mergeCell ref="E6019:E6021"/>
    <mergeCell ref="F6019:F6021"/>
    <mergeCell ref="G6019:G6021"/>
    <mergeCell ref="H6019:H6021"/>
    <mergeCell ref="I6019:I6021"/>
    <mergeCell ref="J6019:J6021"/>
    <mergeCell ref="K6019:K6021"/>
    <mergeCell ref="L6019:L6021"/>
    <mergeCell ref="M6019:M6021"/>
    <mergeCell ref="N6019:N6021"/>
    <mergeCell ref="A6024:A6025"/>
    <mergeCell ref="B6024:B6025"/>
    <mergeCell ref="C6024:C6025"/>
    <mergeCell ref="D6024:D6025"/>
    <mergeCell ref="E6024:E6025"/>
    <mergeCell ref="F6024:F6025"/>
    <mergeCell ref="G6024:G6025"/>
    <mergeCell ref="H6024:H6025"/>
    <mergeCell ref="I6024:I6025"/>
    <mergeCell ref="J6024:J6025"/>
    <mergeCell ref="K6024:K6025"/>
    <mergeCell ref="L6024:L6025"/>
    <mergeCell ref="M6024:M6025"/>
    <mergeCell ref="N6024:N6025"/>
    <mergeCell ref="A6027:A6030"/>
    <mergeCell ref="B6027:B6030"/>
    <mergeCell ref="C6027:C6030"/>
    <mergeCell ref="D6027:D6030"/>
    <mergeCell ref="E6027:E6030"/>
    <mergeCell ref="F6027:F6030"/>
    <mergeCell ref="G6027:G6030"/>
    <mergeCell ref="H6027:H6030"/>
    <mergeCell ref="I6027:I6030"/>
    <mergeCell ref="J6027:J6030"/>
    <mergeCell ref="K6027:K6030"/>
    <mergeCell ref="L6027:L6030"/>
    <mergeCell ref="M6027:M6030"/>
    <mergeCell ref="N6027:N6030"/>
    <mergeCell ref="A6032:A6033"/>
    <mergeCell ref="B6032:B6033"/>
    <mergeCell ref="C6032:C6033"/>
    <mergeCell ref="D6032:D6033"/>
    <mergeCell ref="E6032:E6033"/>
    <mergeCell ref="F6032:F6033"/>
    <mergeCell ref="G6032:G6033"/>
    <mergeCell ref="H6032:H6033"/>
    <mergeCell ref="I6032:I6033"/>
    <mergeCell ref="J6032:J6033"/>
    <mergeCell ref="K6032:K6033"/>
    <mergeCell ref="L6032:L6033"/>
    <mergeCell ref="M6032:M6033"/>
    <mergeCell ref="N6032:N6033"/>
    <mergeCell ref="A6034:A6035"/>
    <mergeCell ref="B6034:B6035"/>
    <mergeCell ref="C6034:C6035"/>
    <mergeCell ref="D6034:D6035"/>
    <mergeCell ref="E6034:E6035"/>
    <mergeCell ref="F6034:F6035"/>
    <mergeCell ref="G6034:G6035"/>
    <mergeCell ref="H6034:H6035"/>
    <mergeCell ref="I6034:I6035"/>
    <mergeCell ref="J6034:J6035"/>
    <mergeCell ref="K6034:K6035"/>
    <mergeCell ref="L6034:L6035"/>
    <mergeCell ref="M6034:M6035"/>
    <mergeCell ref="N6034:N6035"/>
    <mergeCell ref="A6036:A6037"/>
    <mergeCell ref="B6036:B6037"/>
    <mergeCell ref="C6036:C6037"/>
    <mergeCell ref="D6036:D6037"/>
    <mergeCell ref="E6036:E6037"/>
    <mergeCell ref="F6036:F6037"/>
    <mergeCell ref="G6036:G6037"/>
    <mergeCell ref="H6036:H6037"/>
    <mergeCell ref="I6036:I6037"/>
    <mergeCell ref="J6036:J6037"/>
    <mergeCell ref="K6036:K6037"/>
    <mergeCell ref="L6036:L6037"/>
    <mergeCell ref="M6036:M6037"/>
    <mergeCell ref="N6036:N6037"/>
    <mergeCell ref="A6039:A6041"/>
    <mergeCell ref="B6039:B6041"/>
    <mergeCell ref="C6039:C6041"/>
    <mergeCell ref="D6039:D6041"/>
    <mergeCell ref="E6039:E6041"/>
    <mergeCell ref="F6039:F6041"/>
    <mergeCell ref="G6039:G6041"/>
    <mergeCell ref="H6039:H6041"/>
    <mergeCell ref="I6039:I6041"/>
    <mergeCell ref="J6039:J6041"/>
    <mergeCell ref="K6039:K6041"/>
    <mergeCell ref="L6039:L6041"/>
    <mergeCell ref="M6039:M6041"/>
    <mergeCell ref="N6039:N6041"/>
    <mergeCell ref="A6042:A6045"/>
    <mergeCell ref="B6042:B6045"/>
    <mergeCell ref="C6042:C6045"/>
    <mergeCell ref="D6042:D6045"/>
    <mergeCell ref="E6042:E6045"/>
    <mergeCell ref="F6042:F6045"/>
    <mergeCell ref="G6042:G6045"/>
    <mergeCell ref="H6042:H6045"/>
    <mergeCell ref="I6042:I6045"/>
    <mergeCell ref="J6042:J6045"/>
    <mergeCell ref="K6042:K6045"/>
    <mergeCell ref="L6042:L6045"/>
    <mergeCell ref="M6042:M6045"/>
    <mergeCell ref="N6042:N6045"/>
    <mergeCell ref="A6048:A6050"/>
    <mergeCell ref="B6048:B6050"/>
    <mergeCell ref="C6048:C6050"/>
    <mergeCell ref="D6048:D6050"/>
    <mergeCell ref="E6048:E6050"/>
    <mergeCell ref="F6048:F6050"/>
    <mergeCell ref="G6048:G6050"/>
    <mergeCell ref="H6048:H6050"/>
    <mergeCell ref="I6048:I6050"/>
    <mergeCell ref="J6048:J6050"/>
    <mergeCell ref="K6048:K6050"/>
    <mergeCell ref="L6048:L6050"/>
    <mergeCell ref="M6048:M6050"/>
    <mergeCell ref="N6048:N6050"/>
    <mergeCell ref="A6052:A6053"/>
    <mergeCell ref="B6052:B6053"/>
    <mergeCell ref="C6052:C6053"/>
    <mergeCell ref="D6052:D6053"/>
    <mergeCell ref="E6052:E6053"/>
    <mergeCell ref="F6052:F6053"/>
    <mergeCell ref="G6052:G6053"/>
    <mergeCell ref="H6052:H6053"/>
    <mergeCell ref="I6052:I6053"/>
    <mergeCell ref="J6052:J6053"/>
    <mergeCell ref="K6052:K6053"/>
    <mergeCell ref="L6052:L6053"/>
    <mergeCell ref="M6052:M6053"/>
    <mergeCell ref="N6052:N6053"/>
    <mergeCell ref="A6054:A6058"/>
    <mergeCell ref="B6054:B6058"/>
    <mergeCell ref="C6054:C6058"/>
    <mergeCell ref="D6054:D6058"/>
    <mergeCell ref="E6054:E6058"/>
    <mergeCell ref="F6054:F6058"/>
    <mergeCell ref="G6054:G6058"/>
    <mergeCell ref="H6054:H6058"/>
    <mergeCell ref="I6054:I6058"/>
    <mergeCell ref="J6054:J6058"/>
    <mergeCell ref="K6054:K6058"/>
    <mergeCell ref="L6054:L6058"/>
    <mergeCell ref="M6054:M6058"/>
    <mergeCell ref="N6054:N6058"/>
    <mergeCell ref="A6062:A6064"/>
    <mergeCell ref="B6062:B6064"/>
    <mergeCell ref="C6062:C6064"/>
    <mergeCell ref="D6062:D6064"/>
    <mergeCell ref="E6062:E6064"/>
    <mergeCell ref="F6062:F6064"/>
    <mergeCell ref="G6062:G6064"/>
    <mergeCell ref="H6062:H6064"/>
    <mergeCell ref="I6062:I6064"/>
    <mergeCell ref="J6062:J6064"/>
    <mergeCell ref="K6062:K6064"/>
    <mergeCell ref="L6062:L6064"/>
    <mergeCell ref="M6062:M6064"/>
    <mergeCell ref="N6062:N6064"/>
    <mergeCell ref="A6065:A6069"/>
    <mergeCell ref="B6065:B6069"/>
    <mergeCell ref="C6065:C6069"/>
    <mergeCell ref="D6065:D6069"/>
    <mergeCell ref="E6065:E6069"/>
    <mergeCell ref="F6065:F6069"/>
    <mergeCell ref="G6065:G6069"/>
    <mergeCell ref="H6065:H6069"/>
    <mergeCell ref="I6065:I6069"/>
    <mergeCell ref="J6065:J6069"/>
    <mergeCell ref="K6065:K6069"/>
    <mergeCell ref="L6065:L6069"/>
    <mergeCell ref="M6065:M6069"/>
    <mergeCell ref="N6065:N6069"/>
    <mergeCell ref="A6070:A6078"/>
    <mergeCell ref="B6070:B6078"/>
    <mergeCell ref="C6070:C6078"/>
    <mergeCell ref="D6070:D6078"/>
    <mergeCell ref="E6070:E6078"/>
    <mergeCell ref="F6070:F6078"/>
    <mergeCell ref="G6070:G6078"/>
    <mergeCell ref="H6070:H6078"/>
    <mergeCell ref="I6070:I6078"/>
    <mergeCell ref="J6070:J6078"/>
    <mergeCell ref="K6070:K6078"/>
    <mergeCell ref="L6070:L6078"/>
    <mergeCell ref="M6070:M6078"/>
    <mergeCell ref="N6070:N6078"/>
    <mergeCell ref="A6082:A6085"/>
    <mergeCell ref="B6082:B6085"/>
    <mergeCell ref="C6082:C6085"/>
    <mergeCell ref="D6082:D6085"/>
    <mergeCell ref="E6082:E6085"/>
    <mergeCell ref="F6082:F6085"/>
    <mergeCell ref="G6082:G6085"/>
    <mergeCell ref="H6082:H6085"/>
    <mergeCell ref="I6082:I6085"/>
    <mergeCell ref="J6082:J6085"/>
    <mergeCell ref="K6082:K6085"/>
    <mergeCell ref="L6082:L6085"/>
    <mergeCell ref="M6082:M6085"/>
    <mergeCell ref="N6082:N6085"/>
    <mergeCell ref="A6086:A6089"/>
    <mergeCell ref="B6086:B6089"/>
    <mergeCell ref="C6086:C6089"/>
    <mergeCell ref="D6086:D6089"/>
    <mergeCell ref="E6086:E6089"/>
    <mergeCell ref="F6086:F6089"/>
    <mergeCell ref="G6086:G6089"/>
    <mergeCell ref="H6086:H6089"/>
    <mergeCell ref="I6086:I6089"/>
    <mergeCell ref="J6086:J6089"/>
    <mergeCell ref="K6086:K6089"/>
    <mergeCell ref="L6086:L6089"/>
    <mergeCell ref="M6086:M6089"/>
    <mergeCell ref="N6086:N6089"/>
    <mergeCell ref="A6090:A6091"/>
    <mergeCell ref="B6090:B6091"/>
    <mergeCell ref="C6090:C6091"/>
    <mergeCell ref="D6090:D6091"/>
    <mergeCell ref="E6090:E6091"/>
    <mergeCell ref="F6090:F6091"/>
    <mergeCell ref="G6090:G6091"/>
    <mergeCell ref="H6090:H6091"/>
    <mergeCell ref="I6090:I6091"/>
    <mergeCell ref="J6090:J6091"/>
    <mergeCell ref="K6090:K6091"/>
    <mergeCell ref="L6090:L6091"/>
    <mergeCell ref="M6090:M6091"/>
    <mergeCell ref="N6090:N6091"/>
    <mergeCell ref="A6092:A6094"/>
    <mergeCell ref="B6092:B6094"/>
    <mergeCell ref="C6092:C6094"/>
    <mergeCell ref="D6092:D6094"/>
    <mergeCell ref="E6092:E6094"/>
    <mergeCell ref="F6092:F6094"/>
    <mergeCell ref="G6092:G6094"/>
    <mergeCell ref="H6092:H6094"/>
    <mergeCell ref="I6092:I6094"/>
    <mergeCell ref="J6092:J6094"/>
    <mergeCell ref="K6092:K6094"/>
    <mergeCell ref="L6092:L6094"/>
    <mergeCell ref="M6092:M6094"/>
    <mergeCell ref="N6092:N6094"/>
    <mergeCell ref="A6095:A6097"/>
    <mergeCell ref="B6095:B6097"/>
    <mergeCell ref="C6095:C6097"/>
    <mergeCell ref="D6095:D6097"/>
    <mergeCell ref="E6095:E6097"/>
    <mergeCell ref="F6095:F6097"/>
    <mergeCell ref="G6095:G6097"/>
    <mergeCell ref="H6095:H6097"/>
    <mergeCell ref="I6095:I6097"/>
    <mergeCell ref="J6095:J6097"/>
    <mergeCell ref="K6095:K6097"/>
    <mergeCell ref="L6095:L6097"/>
    <mergeCell ref="M6095:M6097"/>
    <mergeCell ref="N6095:N6097"/>
    <mergeCell ref="A6098:A6103"/>
    <mergeCell ref="B6098:B6103"/>
    <mergeCell ref="C6098:C6103"/>
    <mergeCell ref="D6098:D6103"/>
    <mergeCell ref="E6098:E6103"/>
    <mergeCell ref="F6098:F6103"/>
    <mergeCell ref="G6098:G6103"/>
    <mergeCell ref="H6098:H6103"/>
    <mergeCell ref="I6098:I6103"/>
    <mergeCell ref="J6098:J6103"/>
    <mergeCell ref="K6098:K6103"/>
    <mergeCell ref="L6098:L6103"/>
    <mergeCell ref="M6098:M6103"/>
    <mergeCell ref="N6098:N6103"/>
    <mergeCell ref="A6105:A6107"/>
    <mergeCell ref="B6105:B6107"/>
    <mergeCell ref="C6105:C6107"/>
    <mergeCell ref="D6105:D6107"/>
    <mergeCell ref="E6105:E6107"/>
    <mergeCell ref="F6105:F6107"/>
    <mergeCell ref="G6105:G6107"/>
    <mergeCell ref="H6105:H6107"/>
    <mergeCell ref="I6105:I6107"/>
    <mergeCell ref="J6105:J6107"/>
    <mergeCell ref="K6105:K6107"/>
    <mergeCell ref="L6105:L6107"/>
    <mergeCell ref="M6105:M6107"/>
    <mergeCell ref="N6105:N6107"/>
    <mergeCell ref="A6108:A6111"/>
    <mergeCell ref="B6108:B6111"/>
    <mergeCell ref="C6108:C6111"/>
    <mergeCell ref="D6108:D6111"/>
    <mergeCell ref="E6108:E6111"/>
    <mergeCell ref="F6108:F6111"/>
    <mergeCell ref="G6108:G6111"/>
    <mergeCell ref="H6108:H6111"/>
    <mergeCell ref="I6108:I6111"/>
    <mergeCell ref="J6108:J6111"/>
    <mergeCell ref="K6108:K6111"/>
    <mergeCell ref="L6108:L6111"/>
    <mergeCell ref="M6108:M6111"/>
    <mergeCell ref="N6108:N6111"/>
    <mergeCell ref="A6113:A6115"/>
    <mergeCell ref="B6113:B6115"/>
    <mergeCell ref="C6113:C6115"/>
    <mergeCell ref="D6113:D6115"/>
    <mergeCell ref="E6113:E6115"/>
    <mergeCell ref="F6113:F6115"/>
    <mergeCell ref="G6113:G6115"/>
    <mergeCell ref="H6113:H6115"/>
    <mergeCell ref="I6113:I6115"/>
    <mergeCell ref="J6113:J6115"/>
    <mergeCell ref="K6113:K6115"/>
    <mergeCell ref="L6113:L6115"/>
    <mergeCell ref="M6113:M6115"/>
    <mergeCell ref="N6113:N6115"/>
    <mergeCell ref="A6116:A6117"/>
    <mergeCell ref="B6116:B6117"/>
    <mergeCell ref="C6116:C6117"/>
    <mergeCell ref="D6116:D6117"/>
    <mergeCell ref="E6116:E6117"/>
    <mergeCell ref="F6116:F6117"/>
    <mergeCell ref="G6116:G6117"/>
    <mergeCell ref="H6116:H6117"/>
    <mergeCell ref="I6116:I6117"/>
    <mergeCell ref="J6116:J6117"/>
    <mergeCell ref="K6116:K6117"/>
    <mergeCell ref="L6116:L6117"/>
    <mergeCell ref="M6116:M6117"/>
    <mergeCell ref="N6116:N6117"/>
    <mergeCell ref="A6119:A6120"/>
    <mergeCell ref="B6119:B6120"/>
    <mergeCell ref="C6119:C6120"/>
    <mergeCell ref="D6119:D6120"/>
    <mergeCell ref="E6119:E6120"/>
    <mergeCell ref="F6119:F6120"/>
    <mergeCell ref="G6119:G6120"/>
    <mergeCell ref="H6119:H6120"/>
    <mergeCell ref="I6119:I6120"/>
    <mergeCell ref="J6119:J6120"/>
    <mergeCell ref="K6119:K6120"/>
    <mergeCell ref="L6119:L6120"/>
    <mergeCell ref="M6119:M6120"/>
    <mergeCell ref="N6119:N6120"/>
    <mergeCell ref="A6123:A6127"/>
    <mergeCell ref="B6123:B6127"/>
    <mergeCell ref="C6123:C6127"/>
    <mergeCell ref="D6123:D6127"/>
    <mergeCell ref="E6123:E6127"/>
    <mergeCell ref="F6123:F6127"/>
    <mergeCell ref="G6123:G6127"/>
    <mergeCell ref="H6123:H6127"/>
    <mergeCell ref="I6123:I6127"/>
    <mergeCell ref="J6123:J6127"/>
    <mergeCell ref="K6123:K6127"/>
    <mergeCell ref="L6123:L6127"/>
    <mergeCell ref="M6123:M6127"/>
    <mergeCell ref="N6123:N6127"/>
    <mergeCell ref="A6130:A6134"/>
    <mergeCell ref="B6130:B6134"/>
    <mergeCell ref="C6130:C6134"/>
    <mergeCell ref="D6130:D6134"/>
    <mergeCell ref="E6130:E6134"/>
    <mergeCell ref="F6130:F6134"/>
    <mergeCell ref="G6130:G6134"/>
    <mergeCell ref="H6130:H6134"/>
    <mergeCell ref="I6130:I6134"/>
    <mergeCell ref="J6130:J6134"/>
    <mergeCell ref="K6130:K6134"/>
    <mergeCell ref="L6130:L6134"/>
    <mergeCell ref="M6130:M6134"/>
    <mergeCell ref="N6130:N6134"/>
    <mergeCell ref="A6135:A6143"/>
    <mergeCell ref="B6135:B6143"/>
    <mergeCell ref="C6135:C6143"/>
    <mergeCell ref="D6135:D6143"/>
    <mergeCell ref="E6135:E6143"/>
    <mergeCell ref="F6135:F6143"/>
    <mergeCell ref="G6135:G6143"/>
    <mergeCell ref="H6135:H6143"/>
    <mergeCell ref="I6135:I6143"/>
    <mergeCell ref="J6135:J6143"/>
    <mergeCell ref="K6135:K6143"/>
    <mergeCell ref="L6135:L6143"/>
    <mergeCell ref="M6135:M6143"/>
    <mergeCell ref="N6135:N6143"/>
    <mergeCell ref="A6144:A6148"/>
    <mergeCell ref="B6144:B6148"/>
    <mergeCell ref="C6144:C6148"/>
    <mergeCell ref="D6144:D6148"/>
    <mergeCell ref="E6144:E6148"/>
    <mergeCell ref="F6144:F6148"/>
    <mergeCell ref="G6144:G6148"/>
    <mergeCell ref="H6144:H6148"/>
    <mergeCell ref="I6144:I6148"/>
    <mergeCell ref="J6144:J6148"/>
    <mergeCell ref="K6144:K6148"/>
    <mergeCell ref="L6144:L6148"/>
    <mergeCell ref="M6144:M6148"/>
    <mergeCell ref="N6144:N6148"/>
    <mergeCell ref="A6150:A6151"/>
    <mergeCell ref="B6150:B6151"/>
    <mergeCell ref="C6150:C6151"/>
    <mergeCell ref="D6150:D6151"/>
    <mergeCell ref="E6150:E6151"/>
    <mergeCell ref="F6150:F6151"/>
    <mergeCell ref="G6150:G6151"/>
    <mergeCell ref="H6150:H6151"/>
    <mergeCell ref="I6150:I6151"/>
    <mergeCell ref="J6150:J6151"/>
    <mergeCell ref="K6150:K6151"/>
    <mergeCell ref="L6150:L6151"/>
    <mergeCell ref="M6150:M6151"/>
    <mergeCell ref="N6150:N6151"/>
    <mergeCell ref="A6152:A6154"/>
    <mergeCell ref="B6152:B6154"/>
    <mergeCell ref="C6152:C6154"/>
    <mergeCell ref="D6152:D6154"/>
    <mergeCell ref="E6152:E6154"/>
    <mergeCell ref="F6152:F6154"/>
    <mergeCell ref="G6152:G6154"/>
    <mergeCell ref="H6152:H6154"/>
    <mergeCell ref="I6152:I6154"/>
    <mergeCell ref="J6152:J6154"/>
    <mergeCell ref="K6152:K6154"/>
    <mergeCell ref="L6152:L6154"/>
    <mergeCell ref="M6152:M6154"/>
    <mergeCell ref="N6152:N6154"/>
    <mergeCell ref="A6155:A6157"/>
    <mergeCell ref="B6155:B6157"/>
    <mergeCell ref="C6155:C6157"/>
    <mergeCell ref="D6155:D6157"/>
    <mergeCell ref="E6155:E6157"/>
    <mergeCell ref="F6155:F6157"/>
    <mergeCell ref="G6155:G6157"/>
    <mergeCell ref="H6155:H6157"/>
    <mergeCell ref="I6155:I6157"/>
    <mergeCell ref="J6155:J6157"/>
    <mergeCell ref="K6155:K6157"/>
    <mergeCell ref="L6155:L6157"/>
    <mergeCell ref="M6155:M6157"/>
    <mergeCell ref="N6155:N6157"/>
    <mergeCell ref="A6159:A6160"/>
    <mergeCell ref="B6159:B6160"/>
    <mergeCell ref="C6159:C6160"/>
    <mergeCell ref="D6159:D6160"/>
    <mergeCell ref="E6159:E6160"/>
    <mergeCell ref="F6159:F6160"/>
    <mergeCell ref="G6159:G6160"/>
    <mergeCell ref="H6159:H6160"/>
    <mergeCell ref="I6159:I6160"/>
    <mergeCell ref="J6159:J6160"/>
    <mergeCell ref="K6159:K6160"/>
    <mergeCell ref="L6159:L6160"/>
    <mergeCell ref="M6159:M6160"/>
    <mergeCell ref="N6159:N6160"/>
    <mergeCell ref="A6162:A6166"/>
    <mergeCell ref="B6162:B6166"/>
    <mergeCell ref="C6162:C6166"/>
    <mergeCell ref="D6162:D6166"/>
    <mergeCell ref="E6162:E6166"/>
    <mergeCell ref="F6162:F6166"/>
    <mergeCell ref="G6162:G6166"/>
    <mergeCell ref="H6162:H6166"/>
    <mergeCell ref="I6162:I6166"/>
    <mergeCell ref="J6162:J6166"/>
    <mergeCell ref="K6162:K6166"/>
    <mergeCell ref="L6162:L6166"/>
    <mergeCell ref="M6162:M6166"/>
    <mergeCell ref="N6162:N6166"/>
    <mergeCell ref="A6167:A6168"/>
    <mergeCell ref="B6167:B6168"/>
    <mergeCell ref="C6167:C6168"/>
    <mergeCell ref="D6167:D6168"/>
    <mergeCell ref="E6167:E6168"/>
    <mergeCell ref="F6167:F6168"/>
    <mergeCell ref="G6167:G6168"/>
    <mergeCell ref="H6167:H6168"/>
    <mergeCell ref="I6167:I6168"/>
    <mergeCell ref="J6167:J6168"/>
    <mergeCell ref="K6167:K6168"/>
    <mergeCell ref="L6167:L6168"/>
    <mergeCell ref="M6167:M6168"/>
    <mergeCell ref="N6167:N6168"/>
    <mergeCell ref="A6169:A6170"/>
    <mergeCell ref="B6169:B6170"/>
    <mergeCell ref="C6169:C6170"/>
    <mergeCell ref="D6169:D6170"/>
    <mergeCell ref="E6169:E6170"/>
    <mergeCell ref="F6169:F6170"/>
    <mergeCell ref="G6169:G6170"/>
    <mergeCell ref="H6169:H6170"/>
    <mergeCell ref="I6169:I6170"/>
    <mergeCell ref="J6169:J6170"/>
    <mergeCell ref="K6169:K6170"/>
    <mergeCell ref="L6169:L6170"/>
    <mergeCell ref="M6169:M6170"/>
    <mergeCell ref="N6169:N6170"/>
    <mergeCell ref="A6172:A6174"/>
    <mergeCell ref="B6172:B6174"/>
    <mergeCell ref="C6172:C6174"/>
    <mergeCell ref="D6172:D6174"/>
    <mergeCell ref="E6172:E6174"/>
    <mergeCell ref="F6172:F6174"/>
    <mergeCell ref="G6172:G6174"/>
    <mergeCell ref="H6172:H6174"/>
    <mergeCell ref="I6172:I6174"/>
    <mergeCell ref="J6172:J6174"/>
    <mergeCell ref="K6172:K6174"/>
    <mergeCell ref="L6172:L6174"/>
    <mergeCell ref="M6172:M6174"/>
    <mergeCell ref="N6172:N6174"/>
    <mergeCell ref="A6176:A6177"/>
    <mergeCell ref="B6176:B6177"/>
    <mergeCell ref="C6176:C6177"/>
    <mergeCell ref="D6176:D6177"/>
    <mergeCell ref="E6176:E6177"/>
    <mergeCell ref="F6176:F6177"/>
    <mergeCell ref="G6176:G6177"/>
    <mergeCell ref="H6176:H6177"/>
    <mergeCell ref="I6176:I6177"/>
    <mergeCell ref="J6176:J6177"/>
    <mergeCell ref="K6176:K6177"/>
    <mergeCell ref="L6176:L6177"/>
    <mergeCell ref="M6176:M6177"/>
    <mergeCell ref="N6176:N6177"/>
    <mergeCell ref="A6178:A6181"/>
    <mergeCell ref="B6178:B6181"/>
    <mergeCell ref="C6178:C6181"/>
    <mergeCell ref="D6178:D6181"/>
    <mergeCell ref="E6178:E6181"/>
    <mergeCell ref="F6178:F6181"/>
    <mergeCell ref="G6178:G6181"/>
    <mergeCell ref="H6178:H6181"/>
    <mergeCell ref="I6178:I6181"/>
    <mergeCell ref="J6178:J6181"/>
    <mergeCell ref="K6178:K6181"/>
    <mergeCell ref="L6178:L6181"/>
    <mergeCell ref="M6178:M6181"/>
    <mergeCell ref="N6178:N6181"/>
    <mergeCell ref="A6183:A6184"/>
    <mergeCell ref="B6183:B6184"/>
    <mergeCell ref="C6183:C6184"/>
    <mergeCell ref="D6183:D6184"/>
    <mergeCell ref="E6183:E6184"/>
    <mergeCell ref="F6183:F6184"/>
    <mergeCell ref="G6183:G6184"/>
    <mergeCell ref="H6183:H6184"/>
    <mergeCell ref="I6183:I6184"/>
    <mergeCell ref="J6183:J6184"/>
    <mergeCell ref="K6183:K6184"/>
    <mergeCell ref="L6183:L6184"/>
    <mergeCell ref="M6183:M6184"/>
    <mergeCell ref="N6183:N6184"/>
    <mergeCell ref="A6185:A6187"/>
    <mergeCell ref="B6185:B6187"/>
    <mergeCell ref="C6185:C6187"/>
    <mergeCell ref="D6185:D6187"/>
    <mergeCell ref="E6185:E6187"/>
    <mergeCell ref="F6185:F6187"/>
    <mergeCell ref="G6185:G6187"/>
    <mergeCell ref="H6185:H6187"/>
    <mergeCell ref="I6185:I6187"/>
    <mergeCell ref="J6185:J6187"/>
    <mergeCell ref="K6185:K6187"/>
    <mergeCell ref="L6185:L6187"/>
    <mergeCell ref="M6185:M6187"/>
    <mergeCell ref="N6185:N6187"/>
    <mergeCell ref="A6188:A6195"/>
    <mergeCell ref="B6188:B6195"/>
    <mergeCell ref="C6188:C6195"/>
    <mergeCell ref="D6188:D6195"/>
    <mergeCell ref="E6188:E6195"/>
    <mergeCell ref="F6188:F6195"/>
    <mergeCell ref="G6188:G6195"/>
    <mergeCell ref="H6188:H6195"/>
    <mergeCell ref="I6188:I6195"/>
    <mergeCell ref="J6188:J6195"/>
    <mergeCell ref="K6188:K6195"/>
    <mergeCell ref="L6188:L6195"/>
    <mergeCell ref="M6188:M6195"/>
    <mergeCell ref="N6188:N6195"/>
    <mergeCell ref="A6198:A6199"/>
    <mergeCell ref="B6198:B6199"/>
    <mergeCell ref="C6198:C6199"/>
    <mergeCell ref="D6198:D6199"/>
    <mergeCell ref="E6198:E6199"/>
    <mergeCell ref="F6198:F6199"/>
    <mergeCell ref="G6198:G6199"/>
    <mergeCell ref="H6198:H6199"/>
    <mergeCell ref="I6198:I6199"/>
    <mergeCell ref="J6198:J6199"/>
    <mergeCell ref="K6198:K6199"/>
    <mergeCell ref="L6198:L6199"/>
    <mergeCell ref="M6198:M6199"/>
    <mergeCell ref="N6198:N6199"/>
    <mergeCell ref="A6203:A6204"/>
    <mergeCell ref="B6203:B6204"/>
    <mergeCell ref="C6203:C6204"/>
    <mergeCell ref="D6203:D6204"/>
    <mergeCell ref="E6203:E6204"/>
    <mergeCell ref="F6203:F6204"/>
    <mergeCell ref="G6203:G6204"/>
    <mergeCell ref="H6203:H6204"/>
    <mergeCell ref="I6203:I6204"/>
    <mergeCell ref="J6203:J6204"/>
    <mergeCell ref="K6203:K6204"/>
    <mergeCell ref="L6203:L6204"/>
    <mergeCell ref="M6203:M6204"/>
    <mergeCell ref="N6203:N6204"/>
    <mergeCell ref="A6205:A6206"/>
    <mergeCell ref="B6205:B6206"/>
    <mergeCell ref="C6205:C6206"/>
    <mergeCell ref="D6205:D6206"/>
    <mergeCell ref="E6205:E6206"/>
    <mergeCell ref="F6205:F6206"/>
    <mergeCell ref="G6205:G6206"/>
    <mergeCell ref="H6205:H6206"/>
    <mergeCell ref="I6205:I6206"/>
    <mergeCell ref="J6205:J6206"/>
    <mergeCell ref="K6205:K6206"/>
    <mergeCell ref="L6205:L6206"/>
    <mergeCell ref="M6205:M6206"/>
    <mergeCell ref="N6205:N6206"/>
    <mergeCell ref="A6207:A6209"/>
    <mergeCell ref="B6207:B6209"/>
    <mergeCell ref="C6207:C6209"/>
    <mergeCell ref="D6207:D6209"/>
    <mergeCell ref="E6207:E6209"/>
    <mergeCell ref="F6207:F6209"/>
    <mergeCell ref="G6207:G6209"/>
    <mergeCell ref="H6207:H6209"/>
    <mergeCell ref="I6207:I6209"/>
    <mergeCell ref="J6207:J6209"/>
    <mergeCell ref="K6207:K6209"/>
    <mergeCell ref="L6207:L6209"/>
    <mergeCell ref="M6207:M6209"/>
    <mergeCell ref="N6207:N6209"/>
    <mergeCell ref="A6210:A6211"/>
    <mergeCell ref="B6210:B6211"/>
    <mergeCell ref="C6210:C6211"/>
    <mergeCell ref="D6210:D6211"/>
    <mergeCell ref="E6210:E6211"/>
    <mergeCell ref="F6210:F6211"/>
    <mergeCell ref="G6210:G6211"/>
    <mergeCell ref="H6210:H6211"/>
    <mergeCell ref="I6210:I6211"/>
    <mergeCell ref="J6210:J6211"/>
    <mergeCell ref="K6210:K6211"/>
    <mergeCell ref="L6210:L6211"/>
    <mergeCell ref="M6210:M6211"/>
    <mergeCell ref="N6210:N6211"/>
    <mergeCell ref="A6212:A6213"/>
    <mergeCell ref="B6212:B6213"/>
    <mergeCell ref="C6212:C6213"/>
    <mergeCell ref="D6212:D6213"/>
    <mergeCell ref="E6212:E6213"/>
    <mergeCell ref="F6212:F6213"/>
    <mergeCell ref="G6212:G6213"/>
    <mergeCell ref="H6212:H6213"/>
    <mergeCell ref="I6212:I6213"/>
    <mergeCell ref="J6212:J6213"/>
    <mergeCell ref="K6212:K6213"/>
    <mergeCell ref="L6212:L6213"/>
    <mergeCell ref="M6212:M6213"/>
    <mergeCell ref="N6212:N6213"/>
    <mergeCell ref="A6218:A6219"/>
    <mergeCell ref="B6218:B6219"/>
    <mergeCell ref="C6218:C6219"/>
    <mergeCell ref="D6218:D6219"/>
    <mergeCell ref="E6218:E6219"/>
    <mergeCell ref="F6218:F6219"/>
    <mergeCell ref="G6218:G6219"/>
    <mergeCell ref="H6218:H6219"/>
    <mergeCell ref="I6218:I6219"/>
    <mergeCell ref="J6218:J6219"/>
    <mergeCell ref="K6218:K6219"/>
    <mergeCell ref="L6218:L6219"/>
    <mergeCell ref="M6218:M6219"/>
    <mergeCell ref="N6218:N6219"/>
    <mergeCell ref="A6223:A6224"/>
    <mergeCell ref="B6223:B6224"/>
    <mergeCell ref="C6223:C6224"/>
    <mergeCell ref="D6223:D6224"/>
    <mergeCell ref="E6223:E6224"/>
    <mergeCell ref="F6223:F6224"/>
    <mergeCell ref="G6223:G6224"/>
    <mergeCell ref="H6223:H6224"/>
    <mergeCell ref="I6223:I6224"/>
    <mergeCell ref="J6223:J6224"/>
    <mergeCell ref="K6223:K6224"/>
    <mergeCell ref="L6223:L6224"/>
    <mergeCell ref="M6223:M6224"/>
    <mergeCell ref="N6223:N6224"/>
    <mergeCell ref="A6225:A6231"/>
    <mergeCell ref="B6225:B6231"/>
    <mergeCell ref="C6225:C6231"/>
    <mergeCell ref="D6225:D6231"/>
    <mergeCell ref="E6225:E6231"/>
    <mergeCell ref="F6225:F6231"/>
    <mergeCell ref="G6225:G6231"/>
    <mergeCell ref="H6225:H6231"/>
    <mergeCell ref="I6225:I6231"/>
    <mergeCell ref="J6225:J6231"/>
    <mergeCell ref="K6225:K6231"/>
    <mergeCell ref="L6225:L6231"/>
    <mergeCell ref="M6225:M6231"/>
    <mergeCell ref="N6225:N6231"/>
    <mergeCell ref="A6232:A6238"/>
    <mergeCell ref="B6232:B6238"/>
    <mergeCell ref="C6232:C6238"/>
    <mergeCell ref="D6232:D6238"/>
    <mergeCell ref="E6232:E6238"/>
    <mergeCell ref="F6232:F6238"/>
    <mergeCell ref="G6232:G6238"/>
    <mergeCell ref="H6232:H6238"/>
    <mergeCell ref="I6232:I6238"/>
    <mergeCell ref="J6232:J6238"/>
    <mergeCell ref="K6232:K6238"/>
    <mergeCell ref="L6232:L6238"/>
    <mergeCell ref="M6232:M6238"/>
    <mergeCell ref="N6232:N6238"/>
    <mergeCell ref="A6239:A6249"/>
    <mergeCell ref="B6239:B6249"/>
    <mergeCell ref="C6239:C6249"/>
    <mergeCell ref="D6239:D6249"/>
    <mergeCell ref="E6239:E6249"/>
    <mergeCell ref="F6239:F6249"/>
    <mergeCell ref="G6239:G6249"/>
    <mergeCell ref="H6239:H6249"/>
    <mergeCell ref="I6239:I6249"/>
    <mergeCell ref="J6239:J6249"/>
    <mergeCell ref="K6239:K6249"/>
    <mergeCell ref="L6239:L6249"/>
    <mergeCell ref="M6239:M6249"/>
    <mergeCell ref="N6239:N6249"/>
    <mergeCell ref="A6251:A6255"/>
    <mergeCell ref="B6251:B6255"/>
    <mergeCell ref="C6251:C6255"/>
    <mergeCell ref="D6251:D6255"/>
    <mergeCell ref="E6251:E6255"/>
    <mergeCell ref="F6251:F6255"/>
    <mergeCell ref="G6251:G6255"/>
    <mergeCell ref="H6251:H6255"/>
    <mergeCell ref="I6251:I6255"/>
    <mergeCell ref="J6251:J6255"/>
    <mergeCell ref="K6251:K6255"/>
    <mergeCell ref="L6251:L6255"/>
    <mergeCell ref="M6251:M6255"/>
    <mergeCell ref="N6251:N6255"/>
    <mergeCell ref="A6256:A6257"/>
    <mergeCell ref="B6256:B6257"/>
    <mergeCell ref="C6256:C6257"/>
    <mergeCell ref="D6256:D6257"/>
    <mergeCell ref="E6256:E6257"/>
    <mergeCell ref="F6256:F6257"/>
    <mergeCell ref="G6256:G6257"/>
    <mergeCell ref="H6256:H6257"/>
    <mergeCell ref="I6256:I6257"/>
    <mergeCell ref="J6256:J6257"/>
    <mergeCell ref="K6256:K6257"/>
    <mergeCell ref="L6256:L6257"/>
    <mergeCell ref="M6256:M6257"/>
    <mergeCell ref="N6256:N6257"/>
    <mergeCell ref="A6259:A6260"/>
    <mergeCell ref="B6259:B6260"/>
    <mergeCell ref="C6259:C6260"/>
    <mergeCell ref="D6259:D6260"/>
    <mergeCell ref="E6259:E6260"/>
    <mergeCell ref="F6259:F6260"/>
    <mergeCell ref="G6259:G6260"/>
    <mergeCell ref="H6259:H6260"/>
    <mergeCell ref="I6259:I6260"/>
    <mergeCell ref="J6259:J6260"/>
    <mergeCell ref="K6259:K6260"/>
    <mergeCell ref="L6259:L6260"/>
    <mergeCell ref="M6259:M6260"/>
    <mergeCell ref="N6259:N6260"/>
    <mergeCell ref="A6261:A6264"/>
    <mergeCell ref="B6261:B6264"/>
    <mergeCell ref="C6261:C6264"/>
    <mergeCell ref="D6261:D6264"/>
    <mergeCell ref="E6261:E6264"/>
    <mergeCell ref="F6261:F6264"/>
    <mergeCell ref="G6261:G6264"/>
    <mergeCell ref="H6261:H6264"/>
    <mergeCell ref="I6261:I6264"/>
    <mergeCell ref="J6261:J6264"/>
    <mergeCell ref="K6261:K6264"/>
    <mergeCell ref="L6261:L6264"/>
    <mergeCell ref="M6261:M6264"/>
    <mergeCell ref="N6261:N6264"/>
    <mergeCell ref="A6267:A6268"/>
    <mergeCell ref="B6267:B6268"/>
    <mergeCell ref="C6267:C6268"/>
    <mergeCell ref="D6267:D6268"/>
    <mergeCell ref="E6267:E6268"/>
    <mergeCell ref="F6267:F6268"/>
    <mergeCell ref="G6267:G6268"/>
    <mergeCell ref="H6267:H6268"/>
    <mergeCell ref="I6267:I6268"/>
    <mergeCell ref="J6267:J6268"/>
    <mergeCell ref="K6267:K6268"/>
    <mergeCell ref="L6267:L6268"/>
    <mergeCell ref="M6267:M6268"/>
    <mergeCell ref="N6267:N6268"/>
    <mergeCell ref="A6270:A6271"/>
    <mergeCell ref="B6270:B6271"/>
    <mergeCell ref="C6270:C6271"/>
    <mergeCell ref="D6270:D6271"/>
    <mergeCell ref="E6270:E6271"/>
    <mergeCell ref="F6270:F6271"/>
    <mergeCell ref="G6270:G6271"/>
    <mergeCell ref="H6270:H6271"/>
    <mergeCell ref="I6270:I6271"/>
    <mergeCell ref="J6270:J6271"/>
    <mergeCell ref="K6270:K6271"/>
    <mergeCell ref="L6270:L6271"/>
    <mergeCell ref="M6270:M6271"/>
    <mergeCell ref="N6270:N6271"/>
    <mergeCell ref="A6273:A6275"/>
    <mergeCell ref="B6273:B6275"/>
    <mergeCell ref="C6273:C6275"/>
    <mergeCell ref="D6273:D6275"/>
    <mergeCell ref="E6273:E6275"/>
    <mergeCell ref="F6273:F6275"/>
    <mergeCell ref="G6273:G6275"/>
    <mergeCell ref="H6273:H6275"/>
    <mergeCell ref="I6273:I6275"/>
    <mergeCell ref="J6273:J6275"/>
    <mergeCell ref="K6273:K6275"/>
    <mergeCell ref="L6273:L6275"/>
    <mergeCell ref="M6273:M6275"/>
    <mergeCell ref="N6273:N6275"/>
    <mergeCell ref="A6277:A6278"/>
    <mergeCell ref="B6277:B6278"/>
    <mergeCell ref="C6277:C6278"/>
    <mergeCell ref="D6277:D6278"/>
    <mergeCell ref="E6277:E6278"/>
    <mergeCell ref="F6277:F6278"/>
    <mergeCell ref="G6277:G6278"/>
    <mergeCell ref="H6277:H6278"/>
    <mergeCell ref="I6277:I6278"/>
    <mergeCell ref="J6277:J6278"/>
    <mergeCell ref="K6277:K6278"/>
    <mergeCell ref="L6277:L6278"/>
    <mergeCell ref="M6277:M6278"/>
    <mergeCell ref="N6277:N6278"/>
    <mergeCell ref="A6280:A6281"/>
    <mergeCell ref="B6280:B6281"/>
    <mergeCell ref="C6280:C6281"/>
    <mergeCell ref="D6280:D6281"/>
    <mergeCell ref="E6280:E6281"/>
    <mergeCell ref="F6280:F6281"/>
    <mergeCell ref="G6280:G6281"/>
    <mergeCell ref="H6280:H6281"/>
    <mergeCell ref="I6280:I6281"/>
    <mergeCell ref="J6280:J6281"/>
    <mergeCell ref="K6280:K6281"/>
    <mergeCell ref="L6280:L6281"/>
    <mergeCell ref="M6280:M6281"/>
    <mergeCell ref="N6280:N6281"/>
    <mergeCell ref="A6282:A6283"/>
    <mergeCell ref="B6282:B6283"/>
    <mergeCell ref="C6282:C6283"/>
    <mergeCell ref="D6282:D6283"/>
    <mergeCell ref="E6282:E6283"/>
    <mergeCell ref="F6282:F6283"/>
    <mergeCell ref="G6282:G6283"/>
    <mergeCell ref="H6282:H6283"/>
    <mergeCell ref="I6282:I6283"/>
    <mergeCell ref="J6282:J6283"/>
    <mergeCell ref="K6282:K6283"/>
    <mergeCell ref="L6282:L6283"/>
    <mergeCell ref="M6282:M6283"/>
    <mergeCell ref="N6282:N6283"/>
    <mergeCell ref="A6284:A6285"/>
    <mergeCell ref="B6284:B6285"/>
    <mergeCell ref="C6284:C6285"/>
    <mergeCell ref="D6284:D6285"/>
    <mergeCell ref="E6284:E6285"/>
    <mergeCell ref="F6284:F6285"/>
    <mergeCell ref="G6284:G6285"/>
    <mergeCell ref="H6284:H6285"/>
    <mergeCell ref="I6284:I6285"/>
    <mergeCell ref="J6284:J6285"/>
    <mergeCell ref="K6284:K6285"/>
    <mergeCell ref="L6284:L6285"/>
    <mergeCell ref="M6284:M6285"/>
    <mergeCell ref="N6284:N6285"/>
    <mergeCell ref="A6286:A6287"/>
    <mergeCell ref="B6286:B6287"/>
    <mergeCell ref="C6286:C6287"/>
    <mergeCell ref="D6286:D6287"/>
    <mergeCell ref="E6286:E6287"/>
    <mergeCell ref="F6286:F6287"/>
    <mergeCell ref="G6286:G6287"/>
    <mergeCell ref="H6286:H6287"/>
    <mergeCell ref="I6286:I6287"/>
    <mergeCell ref="J6286:J6287"/>
    <mergeCell ref="K6286:K6287"/>
    <mergeCell ref="L6286:L6287"/>
    <mergeCell ref="M6286:M6287"/>
    <mergeCell ref="N6286:N6287"/>
    <mergeCell ref="A6288:A6289"/>
    <mergeCell ref="B6288:B6289"/>
    <mergeCell ref="C6288:C6289"/>
    <mergeCell ref="D6288:D6289"/>
    <mergeCell ref="E6288:E6289"/>
    <mergeCell ref="F6288:F6289"/>
    <mergeCell ref="G6288:G6289"/>
    <mergeCell ref="H6288:H6289"/>
    <mergeCell ref="I6288:I6289"/>
    <mergeCell ref="J6288:J6289"/>
    <mergeCell ref="K6288:K6289"/>
    <mergeCell ref="L6288:L6289"/>
    <mergeCell ref="M6288:M6289"/>
    <mergeCell ref="N6288:N6289"/>
    <mergeCell ref="A6292:A6293"/>
    <mergeCell ref="B6292:B6293"/>
    <mergeCell ref="C6292:C6293"/>
    <mergeCell ref="D6292:D6293"/>
    <mergeCell ref="E6292:E6293"/>
    <mergeCell ref="F6292:F6293"/>
    <mergeCell ref="G6292:G6293"/>
    <mergeCell ref="H6292:H6293"/>
    <mergeCell ref="I6292:I6293"/>
    <mergeCell ref="J6292:J6293"/>
    <mergeCell ref="K6292:K6293"/>
    <mergeCell ref="L6292:L6293"/>
    <mergeCell ref="M6292:M6293"/>
    <mergeCell ref="N6292:N6293"/>
    <mergeCell ref="A6294:A6296"/>
    <mergeCell ref="B6294:B6296"/>
    <mergeCell ref="C6294:C6296"/>
    <mergeCell ref="D6294:D6296"/>
    <mergeCell ref="E6294:E6296"/>
    <mergeCell ref="F6294:F6296"/>
    <mergeCell ref="G6294:G6296"/>
    <mergeCell ref="H6294:H6296"/>
    <mergeCell ref="I6294:I6296"/>
    <mergeCell ref="J6294:J6296"/>
    <mergeCell ref="K6294:K6296"/>
    <mergeCell ref="L6294:L6296"/>
    <mergeCell ref="M6294:M6296"/>
    <mergeCell ref="N6294:N6296"/>
    <mergeCell ref="A6297:A6298"/>
    <mergeCell ref="B6297:B6298"/>
    <mergeCell ref="C6297:C6298"/>
    <mergeCell ref="D6297:D6298"/>
    <mergeCell ref="E6297:E6298"/>
    <mergeCell ref="F6297:F6298"/>
    <mergeCell ref="G6297:G6298"/>
    <mergeCell ref="H6297:H6298"/>
    <mergeCell ref="I6297:I6298"/>
    <mergeCell ref="J6297:J6298"/>
    <mergeCell ref="K6297:K6298"/>
    <mergeCell ref="L6297:L6298"/>
    <mergeCell ref="M6297:M6298"/>
    <mergeCell ref="N6297:N6298"/>
    <mergeCell ref="A6301:A6304"/>
    <mergeCell ref="B6301:B6304"/>
    <mergeCell ref="C6301:C6304"/>
    <mergeCell ref="D6301:D6304"/>
    <mergeCell ref="E6301:E6304"/>
    <mergeCell ref="F6301:F6304"/>
    <mergeCell ref="G6301:G6304"/>
    <mergeCell ref="H6301:H6304"/>
    <mergeCell ref="I6301:I6304"/>
    <mergeCell ref="J6301:J6304"/>
    <mergeCell ref="K6301:K6304"/>
    <mergeCell ref="L6301:L6304"/>
    <mergeCell ref="M6301:M6304"/>
    <mergeCell ref="N6301:N6304"/>
    <mergeCell ref="A6306:A6308"/>
    <mergeCell ref="B6306:B6308"/>
    <mergeCell ref="C6306:C6308"/>
    <mergeCell ref="D6306:D6308"/>
    <mergeCell ref="E6306:E6308"/>
    <mergeCell ref="F6306:F6308"/>
    <mergeCell ref="G6306:G6308"/>
    <mergeCell ref="H6306:H6308"/>
    <mergeCell ref="I6306:I6308"/>
    <mergeCell ref="J6306:J6308"/>
    <mergeCell ref="K6306:K6308"/>
    <mergeCell ref="L6306:L6308"/>
    <mergeCell ref="M6306:M6308"/>
    <mergeCell ref="N6306:N6308"/>
    <mergeCell ref="A6310:A6311"/>
    <mergeCell ref="B6310:B6311"/>
    <mergeCell ref="C6310:C6311"/>
    <mergeCell ref="D6310:D6311"/>
    <mergeCell ref="E6310:E6311"/>
    <mergeCell ref="F6310:F6311"/>
    <mergeCell ref="G6310:G6311"/>
    <mergeCell ref="H6310:H6311"/>
    <mergeCell ref="I6310:I6311"/>
    <mergeCell ref="J6310:J6311"/>
    <mergeCell ref="K6310:K6311"/>
    <mergeCell ref="L6310:L6311"/>
    <mergeCell ref="M6310:M6311"/>
    <mergeCell ref="N6310:N6311"/>
    <mergeCell ref="A6312:A6314"/>
    <mergeCell ref="B6312:B6314"/>
    <mergeCell ref="C6312:C6314"/>
    <mergeCell ref="D6312:D6314"/>
    <mergeCell ref="E6312:E6314"/>
    <mergeCell ref="F6312:F6314"/>
    <mergeCell ref="G6312:G6314"/>
    <mergeCell ref="H6312:H6314"/>
    <mergeCell ref="I6312:I6314"/>
    <mergeCell ref="J6312:J6314"/>
    <mergeCell ref="K6312:K6314"/>
    <mergeCell ref="L6312:L6314"/>
    <mergeCell ref="M6312:M6314"/>
    <mergeCell ref="N6312:N6314"/>
    <mergeCell ref="A6316:A6331"/>
    <mergeCell ref="B6316:B6331"/>
    <mergeCell ref="C6316:C6331"/>
    <mergeCell ref="D6316:D6331"/>
    <mergeCell ref="E6316:E6331"/>
    <mergeCell ref="F6316:F6331"/>
    <mergeCell ref="G6316:G6331"/>
    <mergeCell ref="H6316:H6331"/>
    <mergeCell ref="I6316:I6331"/>
    <mergeCell ref="J6316:J6331"/>
    <mergeCell ref="K6316:K6331"/>
    <mergeCell ref="L6316:L6331"/>
    <mergeCell ref="M6316:M6331"/>
    <mergeCell ref="N6316:N6331"/>
    <mergeCell ref="A6332:A6333"/>
    <mergeCell ref="B6332:B6333"/>
    <mergeCell ref="C6332:C6333"/>
    <mergeCell ref="D6332:D6333"/>
    <mergeCell ref="E6332:E6333"/>
    <mergeCell ref="F6332:F6333"/>
    <mergeCell ref="G6332:G6333"/>
    <mergeCell ref="H6332:H6333"/>
    <mergeCell ref="I6332:I6333"/>
    <mergeCell ref="J6332:J6333"/>
    <mergeCell ref="K6332:K6333"/>
    <mergeCell ref="L6332:L6333"/>
    <mergeCell ref="M6332:M6333"/>
    <mergeCell ref="N6332:N6333"/>
    <mergeCell ref="A6336:A6338"/>
    <mergeCell ref="B6336:B6338"/>
    <mergeCell ref="C6336:C6338"/>
    <mergeCell ref="D6336:D6338"/>
    <mergeCell ref="E6336:E6338"/>
    <mergeCell ref="F6336:F6338"/>
    <mergeCell ref="G6336:G6338"/>
    <mergeCell ref="H6336:H6338"/>
    <mergeCell ref="I6336:I6338"/>
    <mergeCell ref="J6336:J6338"/>
    <mergeCell ref="K6336:K6338"/>
    <mergeCell ref="L6336:L6338"/>
    <mergeCell ref="M6336:M6338"/>
    <mergeCell ref="N6336:N6338"/>
    <mergeCell ref="A6341:A6342"/>
    <mergeCell ref="B6341:B6342"/>
    <mergeCell ref="C6341:C6342"/>
    <mergeCell ref="D6341:D6342"/>
    <mergeCell ref="E6341:E6342"/>
    <mergeCell ref="F6341:F6342"/>
    <mergeCell ref="G6341:G6342"/>
    <mergeCell ref="H6341:H6342"/>
    <mergeCell ref="I6341:I6342"/>
    <mergeCell ref="J6341:J6342"/>
    <mergeCell ref="K6341:K6342"/>
    <mergeCell ref="L6341:L6342"/>
    <mergeCell ref="M6341:M6342"/>
    <mergeCell ref="N6341:N6342"/>
    <mergeCell ref="A6343:A6345"/>
    <mergeCell ref="B6343:B6345"/>
    <mergeCell ref="C6343:C6345"/>
    <mergeCell ref="D6343:D6345"/>
    <mergeCell ref="E6343:E6345"/>
    <mergeCell ref="F6343:F6345"/>
    <mergeCell ref="G6343:G6345"/>
    <mergeCell ref="H6343:H6345"/>
    <mergeCell ref="I6343:I6345"/>
    <mergeCell ref="J6343:J6345"/>
    <mergeCell ref="K6343:K6345"/>
    <mergeCell ref="L6343:L6345"/>
    <mergeCell ref="M6343:M6345"/>
    <mergeCell ref="N6343:N6345"/>
    <mergeCell ref="A6346:A6349"/>
    <mergeCell ref="B6346:B6349"/>
    <mergeCell ref="C6346:C6349"/>
    <mergeCell ref="D6346:D6349"/>
    <mergeCell ref="E6346:E6349"/>
    <mergeCell ref="F6346:F6349"/>
    <mergeCell ref="G6346:G6349"/>
    <mergeCell ref="H6346:H6349"/>
    <mergeCell ref="I6346:I6349"/>
    <mergeCell ref="J6346:J6349"/>
    <mergeCell ref="K6346:K6349"/>
    <mergeCell ref="L6346:L6349"/>
    <mergeCell ref="M6346:M6349"/>
    <mergeCell ref="N6346:N6349"/>
    <mergeCell ref="A6351:A6354"/>
    <mergeCell ref="B6351:B6354"/>
    <mergeCell ref="C6351:C6354"/>
    <mergeCell ref="D6351:D6354"/>
    <mergeCell ref="E6351:E6354"/>
    <mergeCell ref="F6351:F6354"/>
    <mergeCell ref="G6351:G6354"/>
    <mergeCell ref="H6351:H6354"/>
    <mergeCell ref="I6351:I6354"/>
    <mergeCell ref="J6351:J6354"/>
    <mergeCell ref="K6351:K6354"/>
    <mergeCell ref="L6351:L6354"/>
    <mergeCell ref="M6351:M6354"/>
    <mergeCell ref="N6351:N6354"/>
    <mergeCell ref="A6355:A6356"/>
    <mergeCell ref="B6355:B6356"/>
    <mergeCell ref="C6355:C6356"/>
    <mergeCell ref="D6355:D6356"/>
    <mergeCell ref="E6355:E6356"/>
    <mergeCell ref="F6355:F6356"/>
    <mergeCell ref="G6355:G6356"/>
    <mergeCell ref="H6355:H6356"/>
    <mergeCell ref="I6355:I6356"/>
    <mergeCell ref="J6355:J6356"/>
    <mergeCell ref="K6355:K6356"/>
    <mergeCell ref="L6355:L6356"/>
    <mergeCell ref="M6355:M6356"/>
    <mergeCell ref="N6355:N6356"/>
    <mergeCell ref="A6358:A6365"/>
    <mergeCell ref="B6358:B6365"/>
    <mergeCell ref="C6358:C6365"/>
    <mergeCell ref="D6358:D6365"/>
    <mergeCell ref="E6358:E6365"/>
    <mergeCell ref="F6358:F6365"/>
    <mergeCell ref="G6358:G6365"/>
    <mergeCell ref="H6358:H6365"/>
    <mergeCell ref="I6358:I6365"/>
    <mergeCell ref="J6358:J6365"/>
    <mergeCell ref="K6358:K6365"/>
    <mergeCell ref="L6358:L6365"/>
    <mergeCell ref="M6358:M6365"/>
    <mergeCell ref="N6358:N6365"/>
    <mergeCell ref="A6366:A6368"/>
    <mergeCell ref="B6366:B6368"/>
    <mergeCell ref="C6366:C6368"/>
    <mergeCell ref="D6366:D6368"/>
    <mergeCell ref="E6366:E6368"/>
    <mergeCell ref="F6366:F6368"/>
    <mergeCell ref="G6366:G6368"/>
    <mergeCell ref="H6366:H6368"/>
    <mergeCell ref="I6366:I6368"/>
    <mergeCell ref="J6366:J6368"/>
    <mergeCell ref="K6366:K6368"/>
    <mergeCell ref="L6366:L6368"/>
    <mergeCell ref="M6366:M6368"/>
    <mergeCell ref="N6366:N6368"/>
    <mergeCell ref="A6369:A6371"/>
    <mergeCell ref="B6369:B6371"/>
    <mergeCell ref="C6369:C6371"/>
    <mergeCell ref="D6369:D6371"/>
    <mergeCell ref="E6369:E6371"/>
    <mergeCell ref="F6369:F6371"/>
    <mergeCell ref="G6369:G6371"/>
    <mergeCell ref="H6369:H6371"/>
    <mergeCell ref="I6369:I6371"/>
    <mergeCell ref="J6369:J6371"/>
    <mergeCell ref="K6369:K6371"/>
    <mergeCell ref="L6369:L6371"/>
    <mergeCell ref="M6369:M6371"/>
    <mergeCell ref="N6369:N6371"/>
    <mergeCell ref="A6372:A6374"/>
    <mergeCell ref="B6372:B6374"/>
    <mergeCell ref="C6372:C6374"/>
    <mergeCell ref="D6372:D6374"/>
    <mergeCell ref="E6372:E6374"/>
    <mergeCell ref="F6372:F6374"/>
    <mergeCell ref="G6372:G6374"/>
    <mergeCell ref="H6372:H6374"/>
    <mergeCell ref="I6372:I6374"/>
    <mergeCell ref="J6372:J6374"/>
    <mergeCell ref="K6372:K6374"/>
    <mergeCell ref="L6372:L6374"/>
    <mergeCell ref="M6372:M6374"/>
    <mergeCell ref="N6372:N6374"/>
    <mergeCell ref="A6376:A6378"/>
    <mergeCell ref="B6376:B6378"/>
    <mergeCell ref="C6376:C6378"/>
    <mergeCell ref="D6376:D6378"/>
    <mergeCell ref="E6376:E6378"/>
    <mergeCell ref="F6376:F6378"/>
    <mergeCell ref="G6376:G6378"/>
    <mergeCell ref="H6376:H6378"/>
    <mergeCell ref="I6376:I6378"/>
    <mergeCell ref="J6376:J6378"/>
    <mergeCell ref="K6376:K6378"/>
    <mergeCell ref="L6376:L6378"/>
    <mergeCell ref="M6376:M6378"/>
    <mergeCell ref="N6376:N6378"/>
    <mergeCell ref="A6379:A6381"/>
    <mergeCell ref="B6379:B6381"/>
    <mergeCell ref="C6379:C6381"/>
    <mergeCell ref="D6379:D6381"/>
    <mergeCell ref="E6379:E6381"/>
    <mergeCell ref="F6379:F6381"/>
    <mergeCell ref="G6379:G6381"/>
    <mergeCell ref="H6379:H6381"/>
    <mergeCell ref="I6379:I6381"/>
    <mergeCell ref="J6379:J6381"/>
    <mergeCell ref="K6379:K6381"/>
    <mergeCell ref="L6379:L6381"/>
    <mergeCell ref="M6379:M6381"/>
    <mergeCell ref="N6379:N6381"/>
    <mergeCell ref="A6382:A6386"/>
    <mergeCell ref="B6382:B6386"/>
    <mergeCell ref="C6382:C6386"/>
    <mergeCell ref="D6382:D6386"/>
    <mergeCell ref="E6382:E6386"/>
    <mergeCell ref="F6382:F6386"/>
    <mergeCell ref="G6382:G6386"/>
    <mergeCell ref="H6382:H6386"/>
    <mergeCell ref="I6382:I6386"/>
    <mergeCell ref="J6382:J6386"/>
    <mergeCell ref="K6382:K6386"/>
    <mergeCell ref="L6382:L6386"/>
    <mergeCell ref="M6382:M6386"/>
    <mergeCell ref="N6382:N6386"/>
    <mergeCell ref="A6387:A6389"/>
    <mergeCell ref="B6387:B6389"/>
    <mergeCell ref="C6387:C6389"/>
    <mergeCell ref="D6387:D6389"/>
    <mergeCell ref="E6387:E6389"/>
    <mergeCell ref="F6387:F6389"/>
    <mergeCell ref="G6387:G6389"/>
    <mergeCell ref="H6387:H6389"/>
    <mergeCell ref="I6387:I6389"/>
    <mergeCell ref="J6387:J6389"/>
    <mergeCell ref="K6387:K6389"/>
    <mergeCell ref="L6387:L6389"/>
    <mergeCell ref="M6387:M6389"/>
    <mergeCell ref="N6387:N6389"/>
    <mergeCell ref="A6390:A6393"/>
    <mergeCell ref="B6390:B6393"/>
    <mergeCell ref="C6390:C6393"/>
    <mergeCell ref="D6390:D6393"/>
    <mergeCell ref="E6390:E6393"/>
    <mergeCell ref="F6390:F6393"/>
    <mergeCell ref="G6390:G6393"/>
    <mergeCell ref="H6390:H6393"/>
    <mergeCell ref="I6390:I6393"/>
    <mergeCell ref="J6390:J6393"/>
    <mergeCell ref="K6390:K6393"/>
    <mergeCell ref="L6390:L6393"/>
    <mergeCell ref="M6390:M6393"/>
    <mergeCell ref="N6390:N6393"/>
    <mergeCell ref="A6394:A6398"/>
    <mergeCell ref="B6394:B6398"/>
    <mergeCell ref="C6394:C6398"/>
    <mergeCell ref="D6394:D6398"/>
    <mergeCell ref="E6394:E6398"/>
    <mergeCell ref="F6394:F6398"/>
    <mergeCell ref="G6394:G6398"/>
    <mergeCell ref="H6394:H6398"/>
    <mergeCell ref="I6394:I6398"/>
    <mergeCell ref="J6394:J6398"/>
    <mergeCell ref="K6394:K6398"/>
    <mergeCell ref="L6394:L6398"/>
    <mergeCell ref="M6394:M6398"/>
    <mergeCell ref="N6394:N6398"/>
    <mergeCell ref="A6399:A6401"/>
    <mergeCell ref="B6399:B6401"/>
    <mergeCell ref="C6399:C6401"/>
    <mergeCell ref="D6399:D6401"/>
    <mergeCell ref="E6399:E6401"/>
    <mergeCell ref="F6399:F6401"/>
    <mergeCell ref="G6399:G6401"/>
    <mergeCell ref="H6399:H6401"/>
    <mergeCell ref="I6399:I6401"/>
    <mergeCell ref="J6399:J6401"/>
    <mergeCell ref="K6399:K6401"/>
    <mergeCell ref="L6399:L6401"/>
    <mergeCell ref="M6399:M6401"/>
    <mergeCell ref="N6399:N6401"/>
    <mergeCell ref="A6402:A6404"/>
    <mergeCell ref="B6402:B6404"/>
    <mergeCell ref="C6402:C6404"/>
    <mergeCell ref="D6402:D6404"/>
    <mergeCell ref="E6402:E6404"/>
    <mergeCell ref="F6402:F6404"/>
    <mergeCell ref="G6402:G6404"/>
    <mergeCell ref="H6402:H6404"/>
    <mergeCell ref="I6402:I6404"/>
    <mergeCell ref="J6402:J6404"/>
    <mergeCell ref="K6402:K6404"/>
    <mergeCell ref="L6402:L6404"/>
    <mergeCell ref="M6402:M6404"/>
    <mergeCell ref="N6402:N6404"/>
    <mergeCell ref="A6405:A6409"/>
    <mergeCell ref="B6405:B6409"/>
    <mergeCell ref="C6405:C6409"/>
    <mergeCell ref="D6405:D6409"/>
    <mergeCell ref="E6405:E6409"/>
    <mergeCell ref="F6405:F6409"/>
    <mergeCell ref="G6405:G6409"/>
    <mergeCell ref="H6405:H6409"/>
    <mergeCell ref="I6405:I6409"/>
    <mergeCell ref="J6405:J6409"/>
    <mergeCell ref="K6405:K6409"/>
    <mergeCell ref="L6405:L6409"/>
    <mergeCell ref="M6405:M6409"/>
    <mergeCell ref="N6405:N6409"/>
    <mergeCell ref="A6411:A6412"/>
    <mergeCell ref="B6411:B6412"/>
    <mergeCell ref="C6411:C6412"/>
    <mergeCell ref="D6411:D6412"/>
    <mergeCell ref="E6411:E6412"/>
    <mergeCell ref="F6411:F6412"/>
    <mergeCell ref="G6411:G6412"/>
    <mergeCell ref="H6411:H6412"/>
    <mergeCell ref="I6411:I6412"/>
    <mergeCell ref="J6411:J6412"/>
    <mergeCell ref="K6411:K6412"/>
    <mergeCell ref="L6411:L6412"/>
    <mergeCell ref="M6411:M6412"/>
    <mergeCell ref="N6411:N6412"/>
    <mergeCell ref="A6417:A6418"/>
    <mergeCell ref="B6417:B6418"/>
    <mergeCell ref="C6417:C6418"/>
    <mergeCell ref="D6417:D6418"/>
    <mergeCell ref="E6417:E6418"/>
    <mergeCell ref="F6417:F6418"/>
    <mergeCell ref="G6417:G6418"/>
    <mergeCell ref="H6417:H6418"/>
    <mergeCell ref="I6417:I6418"/>
    <mergeCell ref="J6417:J6418"/>
    <mergeCell ref="K6417:K6418"/>
    <mergeCell ref="L6417:L6418"/>
    <mergeCell ref="M6417:M6418"/>
    <mergeCell ref="N6417:N6418"/>
    <mergeCell ref="A6424:A6425"/>
    <mergeCell ref="B6424:B6425"/>
    <mergeCell ref="C6424:C6425"/>
    <mergeCell ref="D6424:D6425"/>
    <mergeCell ref="E6424:E6425"/>
    <mergeCell ref="F6424:F6425"/>
    <mergeCell ref="G6424:G6425"/>
    <mergeCell ref="H6424:H6425"/>
    <mergeCell ref="I6424:I6425"/>
    <mergeCell ref="J6424:J6425"/>
    <mergeCell ref="K6424:K6425"/>
    <mergeCell ref="L6424:L6425"/>
    <mergeCell ref="M6424:M6425"/>
    <mergeCell ref="N6424:N6425"/>
    <mergeCell ref="A6426:A6427"/>
    <mergeCell ref="B6426:B6427"/>
    <mergeCell ref="C6426:C6427"/>
    <mergeCell ref="D6426:D6427"/>
    <mergeCell ref="E6426:E6427"/>
    <mergeCell ref="F6426:F6427"/>
    <mergeCell ref="G6426:G6427"/>
    <mergeCell ref="H6426:H6427"/>
    <mergeCell ref="I6426:I6427"/>
    <mergeCell ref="J6426:J6427"/>
    <mergeCell ref="K6426:K6427"/>
    <mergeCell ref="L6426:L6427"/>
    <mergeCell ref="M6426:M6427"/>
    <mergeCell ref="N6426:N6427"/>
    <mergeCell ref="A6430:A6431"/>
    <mergeCell ref="B6430:B6431"/>
    <mergeCell ref="C6430:C6431"/>
    <mergeCell ref="D6430:D6431"/>
    <mergeCell ref="E6430:E6431"/>
    <mergeCell ref="F6430:F6431"/>
    <mergeCell ref="G6430:G6431"/>
    <mergeCell ref="H6430:H6431"/>
    <mergeCell ref="I6430:I6431"/>
    <mergeCell ref="J6430:J6431"/>
    <mergeCell ref="K6430:K6431"/>
    <mergeCell ref="L6430:L6431"/>
    <mergeCell ref="M6430:M6431"/>
    <mergeCell ref="N6430:N6431"/>
    <mergeCell ref="A6439:A6441"/>
    <mergeCell ref="B6439:B6441"/>
    <mergeCell ref="C6439:C6441"/>
    <mergeCell ref="D6439:D6441"/>
    <mergeCell ref="E6439:E6441"/>
    <mergeCell ref="F6439:F6441"/>
    <mergeCell ref="G6439:G6441"/>
    <mergeCell ref="H6439:H6441"/>
    <mergeCell ref="I6439:I6441"/>
    <mergeCell ref="J6439:J6441"/>
    <mergeCell ref="K6439:K6441"/>
    <mergeCell ref="L6439:L6441"/>
    <mergeCell ref="M6439:M6441"/>
    <mergeCell ref="N6439:N6441"/>
    <mergeCell ref="A6442:A6444"/>
    <mergeCell ref="B6442:B6444"/>
    <mergeCell ref="C6442:C6444"/>
    <mergeCell ref="D6442:D6444"/>
    <mergeCell ref="E6442:E6444"/>
    <mergeCell ref="F6442:F6444"/>
    <mergeCell ref="G6442:G6444"/>
    <mergeCell ref="H6442:H6444"/>
    <mergeCell ref="I6442:I6444"/>
    <mergeCell ref="J6442:J6444"/>
    <mergeCell ref="K6442:K6444"/>
    <mergeCell ref="L6442:L6444"/>
    <mergeCell ref="M6442:M6444"/>
    <mergeCell ref="N6442:N6444"/>
    <mergeCell ref="A6445:A6450"/>
    <mergeCell ref="B6445:B6450"/>
    <mergeCell ref="C6445:C6450"/>
    <mergeCell ref="D6445:D6450"/>
    <mergeCell ref="E6445:E6450"/>
    <mergeCell ref="F6445:F6450"/>
    <mergeCell ref="G6445:G6450"/>
    <mergeCell ref="H6445:H6450"/>
    <mergeCell ref="I6445:I6450"/>
    <mergeCell ref="J6445:J6450"/>
    <mergeCell ref="K6445:K6450"/>
    <mergeCell ref="L6445:L6450"/>
    <mergeCell ref="M6445:M6450"/>
    <mergeCell ref="N6445:N6450"/>
    <mergeCell ref="A6451:A6453"/>
    <mergeCell ref="B6451:B6453"/>
    <mergeCell ref="C6451:C6453"/>
    <mergeCell ref="D6451:D6453"/>
    <mergeCell ref="E6451:E6453"/>
    <mergeCell ref="F6451:F6453"/>
    <mergeCell ref="G6451:G6453"/>
    <mergeCell ref="H6451:H6453"/>
    <mergeCell ref="I6451:I6453"/>
    <mergeCell ref="J6451:J6453"/>
    <mergeCell ref="K6451:K6453"/>
    <mergeCell ref="L6451:L6453"/>
    <mergeCell ref="M6451:M6453"/>
    <mergeCell ref="N6451:N6453"/>
    <mergeCell ref="A6454:A6457"/>
    <mergeCell ref="B6454:B6457"/>
    <mergeCell ref="C6454:C6457"/>
    <mergeCell ref="D6454:D6457"/>
    <mergeCell ref="E6454:E6457"/>
    <mergeCell ref="F6454:F6457"/>
    <mergeCell ref="G6454:G6457"/>
    <mergeCell ref="H6454:H6457"/>
    <mergeCell ref="I6454:I6457"/>
    <mergeCell ref="J6454:J6457"/>
    <mergeCell ref="K6454:K6457"/>
    <mergeCell ref="L6454:L6457"/>
    <mergeCell ref="M6454:M6457"/>
    <mergeCell ref="N6454:N6457"/>
    <mergeCell ref="A6458:A6459"/>
    <mergeCell ref="B6458:B6459"/>
    <mergeCell ref="C6458:C6459"/>
    <mergeCell ref="D6458:D6459"/>
    <mergeCell ref="E6458:E6459"/>
    <mergeCell ref="F6458:F6459"/>
    <mergeCell ref="G6458:G6459"/>
    <mergeCell ref="H6458:H6459"/>
    <mergeCell ref="I6458:I6459"/>
    <mergeCell ref="J6458:J6459"/>
    <mergeCell ref="K6458:K6459"/>
    <mergeCell ref="L6458:L6459"/>
    <mergeCell ref="M6458:M6459"/>
    <mergeCell ref="N6458:N6459"/>
    <mergeCell ref="A6461:A6462"/>
    <mergeCell ref="B6461:B6462"/>
    <mergeCell ref="C6461:C6462"/>
    <mergeCell ref="D6461:D6462"/>
    <mergeCell ref="E6461:E6462"/>
    <mergeCell ref="F6461:F6462"/>
    <mergeCell ref="G6461:G6462"/>
    <mergeCell ref="H6461:H6462"/>
    <mergeCell ref="I6461:I6462"/>
    <mergeCell ref="J6461:J6462"/>
    <mergeCell ref="K6461:K6462"/>
    <mergeCell ref="L6461:L6462"/>
    <mergeCell ref="M6461:M6462"/>
    <mergeCell ref="N6461:N6462"/>
    <mergeCell ref="A6463:A6465"/>
    <mergeCell ref="B6463:B6465"/>
    <mergeCell ref="C6463:C6465"/>
    <mergeCell ref="D6463:D6465"/>
    <mergeCell ref="E6463:E6465"/>
    <mergeCell ref="F6463:F6465"/>
    <mergeCell ref="G6463:G6465"/>
    <mergeCell ref="H6463:H6465"/>
    <mergeCell ref="I6463:I6465"/>
    <mergeCell ref="J6463:J6465"/>
    <mergeCell ref="K6463:K6465"/>
    <mergeCell ref="L6463:L6465"/>
    <mergeCell ref="M6463:M6465"/>
    <mergeCell ref="N6463:N6465"/>
    <mergeCell ref="A6466:A6467"/>
    <mergeCell ref="B6466:B6467"/>
    <mergeCell ref="C6466:C6467"/>
    <mergeCell ref="D6466:D6467"/>
    <mergeCell ref="E6466:E6467"/>
    <mergeCell ref="F6466:F6467"/>
    <mergeCell ref="G6466:G6467"/>
    <mergeCell ref="H6466:H6467"/>
    <mergeCell ref="I6466:I6467"/>
    <mergeCell ref="J6466:J6467"/>
    <mergeCell ref="K6466:K6467"/>
    <mergeCell ref="L6466:L6467"/>
    <mergeCell ref="M6466:M6467"/>
    <mergeCell ref="N6466:N6467"/>
    <mergeCell ref="A6468:A6471"/>
    <mergeCell ref="B6468:B6471"/>
    <mergeCell ref="C6468:C6471"/>
    <mergeCell ref="D6468:D6471"/>
    <mergeCell ref="E6468:E6471"/>
    <mergeCell ref="F6468:F6471"/>
    <mergeCell ref="G6468:G6471"/>
    <mergeCell ref="H6468:H6471"/>
    <mergeCell ref="I6468:I6471"/>
    <mergeCell ref="J6468:J6471"/>
    <mergeCell ref="K6468:K6471"/>
    <mergeCell ref="L6468:L6471"/>
    <mergeCell ref="M6468:M6471"/>
    <mergeCell ref="N6468:N6471"/>
    <mergeCell ref="A6472:A6479"/>
    <mergeCell ref="B6472:B6479"/>
    <mergeCell ref="C6472:C6479"/>
    <mergeCell ref="D6472:D6479"/>
    <mergeCell ref="E6472:E6479"/>
    <mergeCell ref="F6472:F6479"/>
    <mergeCell ref="G6472:G6479"/>
    <mergeCell ref="H6472:H6479"/>
    <mergeCell ref="I6472:I6479"/>
    <mergeCell ref="J6472:J6479"/>
    <mergeCell ref="K6472:K6479"/>
    <mergeCell ref="L6472:L6479"/>
    <mergeCell ref="M6472:M6479"/>
    <mergeCell ref="N6472:N6479"/>
    <mergeCell ref="A6482:A6485"/>
    <mergeCell ref="B6482:B6485"/>
    <mergeCell ref="C6482:C6485"/>
    <mergeCell ref="D6482:D6485"/>
    <mergeCell ref="E6482:E6485"/>
    <mergeCell ref="F6482:F6485"/>
    <mergeCell ref="G6482:G6485"/>
    <mergeCell ref="H6482:H6485"/>
    <mergeCell ref="I6482:I6485"/>
    <mergeCell ref="J6482:J6485"/>
    <mergeCell ref="K6482:K6485"/>
    <mergeCell ref="L6482:L6485"/>
    <mergeCell ref="M6482:M6485"/>
    <mergeCell ref="N6482:N6485"/>
    <mergeCell ref="A6486:A6487"/>
    <mergeCell ref="B6486:B6487"/>
    <mergeCell ref="C6486:C6487"/>
    <mergeCell ref="D6486:D6487"/>
    <mergeCell ref="E6486:E6487"/>
    <mergeCell ref="F6486:F6487"/>
    <mergeCell ref="G6486:G6487"/>
    <mergeCell ref="H6486:H6487"/>
    <mergeCell ref="I6486:I6487"/>
    <mergeCell ref="J6486:J6487"/>
    <mergeCell ref="K6486:K6487"/>
    <mergeCell ref="L6486:L6487"/>
    <mergeCell ref="M6486:M6487"/>
    <mergeCell ref="N6486:N6487"/>
    <mergeCell ref="A6489:A6497"/>
    <mergeCell ref="B6489:B6497"/>
    <mergeCell ref="C6489:C6497"/>
    <mergeCell ref="D6489:D6497"/>
    <mergeCell ref="E6489:E6497"/>
    <mergeCell ref="F6489:F6497"/>
    <mergeCell ref="G6489:G6497"/>
    <mergeCell ref="H6489:H6497"/>
    <mergeCell ref="I6489:I6497"/>
    <mergeCell ref="J6489:J6497"/>
    <mergeCell ref="K6489:K6497"/>
    <mergeCell ref="L6489:L6497"/>
    <mergeCell ref="M6489:M6497"/>
    <mergeCell ref="N6489:N6497"/>
    <mergeCell ref="A6498:A6500"/>
    <mergeCell ref="B6498:B6500"/>
    <mergeCell ref="C6498:C6500"/>
    <mergeCell ref="D6498:D6500"/>
    <mergeCell ref="E6498:E6500"/>
    <mergeCell ref="F6498:F6500"/>
    <mergeCell ref="G6498:G6500"/>
    <mergeCell ref="H6498:H6500"/>
    <mergeCell ref="I6498:I6500"/>
    <mergeCell ref="J6498:J6500"/>
    <mergeCell ref="K6498:K6500"/>
    <mergeCell ref="L6498:L6500"/>
    <mergeCell ref="M6498:M6500"/>
    <mergeCell ref="N6498:N6500"/>
    <mergeCell ref="A6501:A6502"/>
    <mergeCell ref="B6501:B6502"/>
    <mergeCell ref="C6501:C6502"/>
    <mergeCell ref="D6501:D6502"/>
    <mergeCell ref="E6501:E6502"/>
    <mergeCell ref="F6501:F6502"/>
    <mergeCell ref="G6501:G6502"/>
    <mergeCell ref="H6501:H6502"/>
    <mergeCell ref="I6501:I6502"/>
    <mergeCell ref="J6501:J6502"/>
    <mergeCell ref="K6501:K6502"/>
    <mergeCell ref="L6501:L6502"/>
    <mergeCell ref="M6501:M6502"/>
    <mergeCell ref="N6501:N6502"/>
    <mergeCell ref="A6503:A6505"/>
    <mergeCell ref="B6503:B6505"/>
    <mergeCell ref="C6503:C6505"/>
    <mergeCell ref="D6503:D6505"/>
    <mergeCell ref="E6503:E6505"/>
    <mergeCell ref="F6503:F6505"/>
    <mergeCell ref="G6503:G6505"/>
    <mergeCell ref="H6503:H6505"/>
    <mergeCell ref="I6503:I6505"/>
    <mergeCell ref="J6503:J6505"/>
    <mergeCell ref="K6503:K6505"/>
    <mergeCell ref="L6503:L6505"/>
    <mergeCell ref="M6503:M6505"/>
    <mergeCell ref="N6503:N6505"/>
    <mergeCell ref="A6506:A6507"/>
    <mergeCell ref="B6506:B6507"/>
    <mergeCell ref="C6506:C6507"/>
    <mergeCell ref="D6506:D6507"/>
    <mergeCell ref="E6506:E6507"/>
    <mergeCell ref="F6506:F6507"/>
    <mergeCell ref="G6506:G6507"/>
    <mergeCell ref="H6506:H6507"/>
    <mergeCell ref="I6506:I6507"/>
    <mergeCell ref="J6506:J6507"/>
    <mergeCell ref="K6506:K6507"/>
    <mergeCell ref="L6506:L6507"/>
    <mergeCell ref="M6506:M6507"/>
    <mergeCell ref="N6506:N6507"/>
    <mergeCell ref="A6509:A6511"/>
    <mergeCell ref="B6509:B6511"/>
    <mergeCell ref="C6509:C6511"/>
    <mergeCell ref="D6509:D6511"/>
    <mergeCell ref="E6509:E6511"/>
    <mergeCell ref="F6509:F6511"/>
    <mergeCell ref="G6509:G6511"/>
    <mergeCell ref="H6509:H6511"/>
    <mergeCell ref="I6509:I6511"/>
    <mergeCell ref="J6509:J6511"/>
    <mergeCell ref="K6509:K6511"/>
    <mergeCell ref="L6509:L6511"/>
    <mergeCell ref="M6509:M6511"/>
    <mergeCell ref="N6509:N6511"/>
    <mergeCell ref="A6512:A6513"/>
    <mergeCell ref="B6512:B6513"/>
    <mergeCell ref="C6512:C6513"/>
    <mergeCell ref="D6512:D6513"/>
    <mergeCell ref="E6512:E6513"/>
    <mergeCell ref="F6512:F6513"/>
    <mergeCell ref="G6512:G6513"/>
    <mergeCell ref="H6512:H6513"/>
    <mergeCell ref="I6512:I6513"/>
    <mergeCell ref="J6512:J6513"/>
    <mergeCell ref="K6512:K6513"/>
    <mergeCell ref="L6512:L6513"/>
    <mergeCell ref="M6512:M6513"/>
    <mergeCell ref="N6512:N6513"/>
    <mergeCell ref="A6516:A6519"/>
    <mergeCell ref="B6516:B6519"/>
    <mergeCell ref="C6516:C6519"/>
    <mergeCell ref="D6516:D6519"/>
    <mergeCell ref="E6516:E6519"/>
    <mergeCell ref="F6516:F6519"/>
    <mergeCell ref="G6516:G6519"/>
    <mergeCell ref="H6516:H6519"/>
    <mergeCell ref="I6516:I6519"/>
    <mergeCell ref="J6516:J6519"/>
    <mergeCell ref="K6516:K6519"/>
    <mergeCell ref="L6516:L6519"/>
    <mergeCell ref="M6516:M6519"/>
    <mergeCell ref="N6516:N6519"/>
    <mergeCell ref="A6520:A6521"/>
    <mergeCell ref="B6520:B6521"/>
    <mergeCell ref="C6520:C6521"/>
    <mergeCell ref="D6520:D6521"/>
    <mergeCell ref="E6520:E6521"/>
    <mergeCell ref="F6520:F6521"/>
    <mergeCell ref="G6520:G6521"/>
    <mergeCell ref="H6520:H6521"/>
    <mergeCell ref="I6520:I6521"/>
    <mergeCell ref="J6520:J6521"/>
    <mergeCell ref="K6520:K6521"/>
    <mergeCell ref="L6520:L6521"/>
    <mergeCell ref="M6520:M6521"/>
    <mergeCell ref="N6520:N6521"/>
    <mergeCell ref="A6522:A6523"/>
    <mergeCell ref="B6522:B6523"/>
    <mergeCell ref="C6522:C6523"/>
    <mergeCell ref="D6522:D6523"/>
    <mergeCell ref="E6522:E6523"/>
    <mergeCell ref="F6522:F6523"/>
    <mergeCell ref="G6522:G6523"/>
    <mergeCell ref="H6522:H6523"/>
    <mergeCell ref="I6522:I6523"/>
    <mergeCell ref="J6522:J6523"/>
    <mergeCell ref="K6522:K6523"/>
    <mergeCell ref="L6522:L6523"/>
    <mergeCell ref="M6522:M6523"/>
    <mergeCell ref="N6522:N6523"/>
    <mergeCell ref="A6524:A6528"/>
    <mergeCell ref="B6524:B6528"/>
    <mergeCell ref="C6524:C6528"/>
    <mergeCell ref="D6524:D6528"/>
    <mergeCell ref="E6524:E6528"/>
    <mergeCell ref="F6524:F6528"/>
    <mergeCell ref="G6524:G6528"/>
    <mergeCell ref="H6524:H6528"/>
    <mergeCell ref="I6524:I6528"/>
    <mergeCell ref="J6524:J6528"/>
    <mergeCell ref="K6524:K6528"/>
    <mergeCell ref="L6524:L6528"/>
    <mergeCell ref="M6524:M6528"/>
    <mergeCell ref="N6524:N6528"/>
    <mergeCell ref="A6530:A6533"/>
    <mergeCell ref="B6530:B6533"/>
    <mergeCell ref="C6530:C6533"/>
    <mergeCell ref="D6530:D6533"/>
    <mergeCell ref="E6530:E6533"/>
    <mergeCell ref="F6530:F6533"/>
    <mergeCell ref="G6530:G6533"/>
    <mergeCell ref="H6530:H6533"/>
    <mergeCell ref="I6530:I6533"/>
    <mergeCell ref="J6530:J6533"/>
    <mergeCell ref="K6530:K6533"/>
    <mergeCell ref="L6530:L6533"/>
    <mergeCell ref="M6530:M6533"/>
    <mergeCell ref="N6530:N6533"/>
    <mergeCell ref="A6534:A6536"/>
    <mergeCell ref="B6534:B6536"/>
    <mergeCell ref="C6534:C6536"/>
    <mergeCell ref="D6534:D6536"/>
    <mergeCell ref="E6534:E6536"/>
    <mergeCell ref="F6534:F6536"/>
    <mergeCell ref="G6534:G6536"/>
    <mergeCell ref="H6534:H6536"/>
    <mergeCell ref="I6534:I6536"/>
    <mergeCell ref="J6534:J6536"/>
    <mergeCell ref="K6534:K6536"/>
    <mergeCell ref="L6534:L6536"/>
    <mergeCell ref="M6534:M6536"/>
    <mergeCell ref="N6534:N6536"/>
    <mergeCell ref="A6538:A6540"/>
    <mergeCell ref="B6538:B6540"/>
    <mergeCell ref="C6538:C6540"/>
    <mergeCell ref="D6538:D6540"/>
    <mergeCell ref="E6538:E6540"/>
    <mergeCell ref="F6538:F6540"/>
    <mergeCell ref="G6538:G6540"/>
    <mergeCell ref="H6538:H6540"/>
    <mergeCell ref="I6538:I6540"/>
    <mergeCell ref="J6538:J6540"/>
    <mergeCell ref="K6538:K6540"/>
    <mergeCell ref="L6538:L6540"/>
    <mergeCell ref="M6538:M6540"/>
    <mergeCell ref="N6538:N6540"/>
    <mergeCell ref="A6544:A6547"/>
    <mergeCell ref="B6544:B6547"/>
    <mergeCell ref="C6544:C6547"/>
    <mergeCell ref="D6544:D6547"/>
    <mergeCell ref="E6544:E6547"/>
    <mergeCell ref="F6544:F6547"/>
    <mergeCell ref="G6544:G6547"/>
    <mergeCell ref="H6544:H6547"/>
    <mergeCell ref="I6544:I6547"/>
    <mergeCell ref="J6544:J6547"/>
    <mergeCell ref="K6544:K6547"/>
    <mergeCell ref="L6544:L6547"/>
    <mergeCell ref="M6544:M6547"/>
    <mergeCell ref="N6544:N6547"/>
    <mergeCell ref="A6548:A6555"/>
    <mergeCell ref="B6548:B6555"/>
    <mergeCell ref="C6548:C6555"/>
    <mergeCell ref="D6548:D6555"/>
    <mergeCell ref="E6548:E6555"/>
    <mergeCell ref="F6548:F6555"/>
    <mergeCell ref="G6548:G6555"/>
    <mergeCell ref="H6548:H6555"/>
    <mergeCell ref="I6548:I6555"/>
    <mergeCell ref="J6548:J6555"/>
    <mergeCell ref="K6548:K6555"/>
    <mergeCell ref="L6548:L6555"/>
    <mergeCell ref="M6548:M6555"/>
    <mergeCell ref="N6548:N6555"/>
    <mergeCell ref="A6559:A6561"/>
    <mergeCell ref="B6559:B6561"/>
    <mergeCell ref="C6559:C6561"/>
    <mergeCell ref="D6559:D6561"/>
    <mergeCell ref="E6559:E6561"/>
    <mergeCell ref="F6559:F6561"/>
    <mergeCell ref="G6559:G6561"/>
    <mergeCell ref="H6559:H6561"/>
    <mergeCell ref="I6559:I6561"/>
    <mergeCell ref="J6559:J6561"/>
    <mergeCell ref="K6559:K6561"/>
    <mergeCell ref="L6559:L6561"/>
    <mergeCell ref="M6559:M6561"/>
    <mergeCell ref="N6559:N6561"/>
    <mergeCell ref="A6564:A6571"/>
    <mergeCell ref="B6564:B6571"/>
    <mergeCell ref="C6564:C6571"/>
    <mergeCell ref="D6564:D6571"/>
    <mergeCell ref="E6564:E6571"/>
    <mergeCell ref="F6564:F6571"/>
    <mergeCell ref="G6564:G6571"/>
    <mergeCell ref="H6564:H6571"/>
    <mergeCell ref="I6564:I6571"/>
    <mergeCell ref="J6564:J6571"/>
    <mergeCell ref="K6564:K6571"/>
    <mergeCell ref="L6564:L6571"/>
    <mergeCell ref="M6564:M6571"/>
    <mergeCell ref="N6564:N6571"/>
    <mergeCell ref="A6572:A6580"/>
    <mergeCell ref="B6572:B6580"/>
    <mergeCell ref="C6572:C6580"/>
    <mergeCell ref="D6572:D6580"/>
    <mergeCell ref="E6572:E6580"/>
    <mergeCell ref="F6572:F6580"/>
    <mergeCell ref="G6572:G6580"/>
    <mergeCell ref="H6572:H6580"/>
    <mergeCell ref="I6572:I6580"/>
    <mergeCell ref="J6572:J6580"/>
    <mergeCell ref="K6572:K6580"/>
    <mergeCell ref="L6572:L6580"/>
    <mergeCell ref="M6572:M6580"/>
    <mergeCell ref="N6572:N6580"/>
    <mergeCell ref="A6582:A6583"/>
    <mergeCell ref="B6582:B6583"/>
    <mergeCell ref="C6582:C6583"/>
    <mergeCell ref="D6582:D6583"/>
    <mergeCell ref="E6582:E6583"/>
    <mergeCell ref="F6582:F6583"/>
    <mergeCell ref="G6582:G6583"/>
    <mergeCell ref="H6582:H6583"/>
    <mergeCell ref="I6582:I6583"/>
    <mergeCell ref="J6582:J6583"/>
    <mergeCell ref="K6582:K6583"/>
    <mergeCell ref="L6582:L6583"/>
    <mergeCell ref="M6582:M6583"/>
    <mergeCell ref="N6582:N6583"/>
    <mergeCell ref="A6584:A6589"/>
    <mergeCell ref="B6584:B6589"/>
    <mergeCell ref="C6584:C6589"/>
    <mergeCell ref="D6584:D6589"/>
    <mergeCell ref="E6584:E6589"/>
    <mergeCell ref="F6584:F6589"/>
    <mergeCell ref="G6584:G6589"/>
    <mergeCell ref="H6584:H6589"/>
    <mergeCell ref="I6584:I6589"/>
    <mergeCell ref="J6584:J6589"/>
    <mergeCell ref="K6584:K6589"/>
    <mergeCell ref="L6584:L6589"/>
    <mergeCell ref="M6584:M6589"/>
    <mergeCell ref="N6584:N6589"/>
    <mergeCell ref="A6591:A6592"/>
    <mergeCell ref="B6591:B6592"/>
    <mergeCell ref="C6591:C6592"/>
    <mergeCell ref="D6591:D6592"/>
    <mergeCell ref="E6591:E6592"/>
    <mergeCell ref="F6591:F6592"/>
    <mergeCell ref="G6591:G6592"/>
    <mergeCell ref="H6591:H6592"/>
    <mergeCell ref="I6591:I6592"/>
    <mergeCell ref="J6591:J6592"/>
    <mergeCell ref="K6591:K6592"/>
    <mergeCell ref="L6591:L6592"/>
    <mergeCell ref="M6591:M6592"/>
    <mergeCell ref="N6591:N6592"/>
    <mergeCell ref="A6595:A6596"/>
    <mergeCell ref="B6595:B6596"/>
    <mergeCell ref="C6595:C6596"/>
    <mergeCell ref="D6595:D6596"/>
    <mergeCell ref="E6595:E6596"/>
    <mergeCell ref="F6595:F6596"/>
    <mergeCell ref="G6595:G6596"/>
    <mergeCell ref="H6595:H6596"/>
    <mergeCell ref="I6595:I6596"/>
    <mergeCell ref="J6595:J6596"/>
    <mergeCell ref="K6595:K6596"/>
    <mergeCell ref="L6595:L6596"/>
    <mergeCell ref="M6595:M6596"/>
    <mergeCell ref="N6595:N6596"/>
    <mergeCell ref="A6597:A6599"/>
    <mergeCell ref="B6597:B6599"/>
    <mergeCell ref="C6597:C6599"/>
    <mergeCell ref="D6597:D6599"/>
    <mergeCell ref="E6597:E6599"/>
    <mergeCell ref="F6597:F6599"/>
    <mergeCell ref="G6597:G6599"/>
    <mergeCell ref="H6597:H6599"/>
    <mergeCell ref="I6597:I6599"/>
    <mergeCell ref="J6597:J6599"/>
    <mergeCell ref="K6597:K6599"/>
    <mergeCell ref="L6597:L6599"/>
    <mergeCell ref="M6597:M6599"/>
    <mergeCell ref="N6597:N6599"/>
    <mergeCell ref="A6601:A6603"/>
    <mergeCell ref="B6601:B6603"/>
    <mergeCell ref="C6601:C6603"/>
    <mergeCell ref="D6601:D6603"/>
    <mergeCell ref="E6601:E6603"/>
    <mergeCell ref="F6601:F6603"/>
    <mergeCell ref="G6601:G6603"/>
    <mergeCell ref="H6601:H6603"/>
    <mergeCell ref="I6601:I6603"/>
    <mergeCell ref="J6601:J6603"/>
    <mergeCell ref="K6601:K6603"/>
    <mergeCell ref="L6601:L6603"/>
    <mergeCell ref="M6601:M6603"/>
    <mergeCell ref="N6601:N6603"/>
    <mergeCell ref="A6605:A6608"/>
    <mergeCell ref="B6605:B6608"/>
    <mergeCell ref="C6605:C6608"/>
    <mergeCell ref="D6605:D6608"/>
    <mergeCell ref="E6605:E6608"/>
    <mergeCell ref="F6605:F6608"/>
    <mergeCell ref="G6605:G6608"/>
    <mergeCell ref="H6605:H6608"/>
    <mergeCell ref="I6605:I6608"/>
    <mergeCell ref="J6605:J6608"/>
    <mergeCell ref="K6605:K6608"/>
    <mergeCell ref="L6605:L6608"/>
    <mergeCell ref="M6605:M6608"/>
    <mergeCell ref="N6605:N6608"/>
    <mergeCell ref="A6610:A6612"/>
    <mergeCell ref="B6610:B6612"/>
    <mergeCell ref="C6610:C6612"/>
    <mergeCell ref="D6610:D6612"/>
    <mergeCell ref="E6610:E6612"/>
    <mergeCell ref="F6610:F6612"/>
    <mergeCell ref="G6610:G6612"/>
    <mergeCell ref="H6610:H6612"/>
    <mergeCell ref="I6610:I6612"/>
    <mergeCell ref="J6610:J6612"/>
    <mergeCell ref="K6610:K6612"/>
    <mergeCell ref="L6610:L6612"/>
    <mergeCell ref="M6610:M6612"/>
    <mergeCell ref="N6610:N6612"/>
    <mergeCell ref="A6615:A6617"/>
    <mergeCell ref="B6615:B6617"/>
    <mergeCell ref="C6615:C6617"/>
    <mergeCell ref="D6615:D6617"/>
    <mergeCell ref="E6615:E6617"/>
    <mergeCell ref="F6615:F6617"/>
    <mergeCell ref="G6615:G6617"/>
    <mergeCell ref="H6615:H6617"/>
    <mergeCell ref="I6615:I6617"/>
    <mergeCell ref="J6615:J6617"/>
    <mergeCell ref="K6615:K6617"/>
    <mergeCell ref="L6615:L6617"/>
    <mergeCell ref="M6615:M6617"/>
    <mergeCell ref="N6615:N6617"/>
    <mergeCell ref="A6619:A6620"/>
    <mergeCell ref="B6619:B6620"/>
    <mergeCell ref="C6619:C6620"/>
    <mergeCell ref="D6619:D6620"/>
    <mergeCell ref="E6619:E6620"/>
    <mergeCell ref="F6619:F6620"/>
    <mergeCell ref="G6619:G6620"/>
    <mergeCell ref="H6619:H6620"/>
    <mergeCell ref="I6619:I6620"/>
    <mergeCell ref="J6619:J6620"/>
    <mergeCell ref="K6619:K6620"/>
    <mergeCell ref="L6619:L6620"/>
    <mergeCell ref="M6619:M6620"/>
    <mergeCell ref="N6619:N6620"/>
    <mergeCell ref="A6622:A6625"/>
    <mergeCell ref="B6622:B6625"/>
    <mergeCell ref="C6622:C6625"/>
    <mergeCell ref="D6622:D6625"/>
    <mergeCell ref="E6622:E6625"/>
    <mergeCell ref="F6622:F6625"/>
    <mergeCell ref="G6622:G6625"/>
    <mergeCell ref="H6622:H6625"/>
    <mergeCell ref="I6622:I6625"/>
    <mergeCell ref="J6622:J6625"/>
    <mergeCell ref="K6622:K6625"/>
    <mergeCell ref="L6622:L6625"/>
    <mergeCell ref="M6622:M6625"/>
    <mergeCell ref="N6622:N6625"/>
    <mergeCell ref="A6630:A6642"/>
    <mergeCell ref="B6630:B6642"/>
    <mergeCell ref="C6630:C6642"/>
    <mergeCell ref="D6630:D6642"/>
    <mergeCell ref="E6630:E6642"/>
    <mergeCell ref="F6630:F6642"/>
    <mergeCell ref="G6630:G6642"/>
    <mergeCell ref="H6630:H6642"/>
    <mergeCell ref="I6630:I6642"/>
    <mergeCell ref="J6630:J6642"/>
    <mergeCell ref="K6630:K6642"/>
    <mergeCell ref="L6630:L6642"/>
    <mergeCell ref="M6630:M6642"/>
    <mergeCell ref="N6630:N6642"/>
    <mergeCell ref="A6643:A6647"/>
    <mergeCell ref="B6643:B6647"/>
    <mergeCell ref="C6643:C6647"/>
    <mergeCell ref="D6643:D6647"/>
    <mergeCell ref="E6643:E6647"/>
    <mergeCell ref="F6643:F6647"/>
    <mergeCell ref="G6643:G6647"/>
    <mergeCell ref="H6643:H6647"/>
    <mergeCell ref="I6643:I6647"/>
    <mergeCell ref="J6643:J6647"/>
    <mergeCell ref="K6643:K6647"/>
    <mergeCell ref="L6643:L6647"/>
    <mergeCell ref="M6643:M6647"/>
    <mergeCell ref="N6643:N6647"/>
    <mergeCell ref="A6648:A6650"/>
    <mergeCell ref="B6648:B6650"/>
    <mergeCell ref="C6648:C6650"/>
    <mergeCell ref="D6648:D6650"/>
    <mergeCell ref="E6648:E6650"/>
    <mergeCell ref="F6648:F6650"/>
    <mergeCell ref="G6648:G6650"/>
    <mergeCell ref="H6648:H6650"/>
    <mergeCell ref="I6648:I6650"/>
    <mergeCell ref="J6648:J6650"/>
    <mergeCell ref="K6648:K6650"/>
    <mergeCell ref="L6648:L6650"/>
    <mergeCell ref="M6648:M6650"/>
    <mergeCell ref="N6648:N6650"/>
    <mergeCell ref="A6652:A6653"/>
    <mergeCell ref="B6652:B6653"/>
    <mergeCell ref="C6652:C6653"/>
    <mergeCell ref="D6652:D6653"/>
    <mergeCell ref="E6652:E6653"/>
    <mergeCell ref="F6652:F6653"/>
    <mergeCell ref="G6652:G6653"/>
    <mergeCell ref="H6652:H6653"/>
    <mergeCell ref="I6652:I6653"/>
    <mergeCell ref="J6652:J6653"/>
    <mergeCell ref="K6652:K6653"/>
    <mergeCell ref="L6652:L6653"/>
    <mergeCell ref="M6652:M6653"/>
    <mergeCell ref="N6652:N6653"/>
    <mergeCell ref="A6656:A6657"/>
    <mergeCell ref="B6656:B6657"/>
    <mergeCell ref="C6656:C6657"/>
    <mergeCell ref="D6656:D6657"/>
    <mergeCell ref="E6656:E6657"/>
    <mergeCell ref="F6656:F6657"/>
    <mergeCell ref="G6656:G6657"/>
    <mergeCell ref="H6656:H6657"/>
    <mergeCell ref="I6656:I6657"/>
    <mergeCell ref="J6656:J6657"/>
    <mergeCell ref="K6656:K6657"/>
    <mergeCell ref="L6656:L6657"/>
    <mergeCell ref="M6656:M6657"/>
    <mergeCell ref="N6656:N6657"/>
    <mergeCell ref="A6658:A6660"/>
    <mergeCell ref="B6658:B6660"/>
    <mergeCell ref="C6658:C6660"/>
    <mergeCell ref="D6658:D6660"/>
    <mergeCell ref="E6658:E6660"/>
    <mergeCell ref="F6658:F6660"/>
    <mergeCell ref="G6658:G6660"/>
    <mergeCell ref="H6658:H6660"/>
    <mergeCell ref="I6658:I6660"/>
    <mergeCell ref="J6658:J6660"/>
    <mergeCell ref="K6658:K6660"/>
    <mergeCell ref="L6658:L6660"/>
    <mergeCell ref="M6658:M6660"/>
    <mergeCell ref="N6658:N6660"/>
    <mergeCell ref="A6661:A6664"/>
    <mergeCell ref="B6661:B6664"/>
    <mergeCell ref="C6661:C6664"/>
    <mergeCell ref="D6661:D6664"/>
    <mergeCell ref="E6661:E6664"/>
    <mergeCell ref="F6661:F6664"/>
    <mergeCell ref="G6661:G6664"/>
    <mergeCell ref="H6661:H6664"/>
    <mergeCell ref="I6661:I6664"/>
    <mergeCell ref="J6661:J6664"/>
    <mergeCell ref="K6661:K6664"/>
    <mergeCell ref="L6661:L6664"/>
    <mergeCell ref="M6661:M6664"/>
    <mergeCell ref="N6661:N6664"/>
    <mergeCell ref="A6665:A6668"/>
    <mergeCell ref="B6665:B6668"/>
    <mergeCell ref="C6665:C6668"/>
    <mergeCell ref="D6665:D6668"/>
    <mergeCell ref="E6665:E6668"/>
    <mergeCell ref="F6665:F6668"/>
    <mergeCell ref="G6665:G6668"/>
    <mergeCell ref="H6665:H6668"/>
    <mergeCell ref="I6665:I6668"/>
    <mergeCell ref="J6665:J6668"/>
    <mergeCell ref="K6665:K6668"/>
    <mergeCell ref="L6665:L6668"/>
    <mergeCell ref="M6665:M6668"/>
    <mergeCell ref="N6665:N6668"/>
    <mergeCell ref="A6669:A6671"/>
    <mergeCell ref="B6669:B6671"/>
    <mergeCell ref="C6669:C6671"/>
    <mergeCell ref="D6669:D6671"/>
    <mergeCell ref="E6669:E6671"/>
    <mergeCell ref="F6669:F6671"/>
    <mergeCell ref="G6669:G6671"/>
    <mergeCell ref="H6669:H6671"/>
    <mergeCell ref="I6669:I6671"/>
    <mergeCell ref="J6669:J6671"/>
    <mergeCell ref="K6669:K6671"/>
    <mergeCell ref="L6669:L6671"/>
    <mergeCell ref="M6669:M6671"/>
    <mergeCell ref="N6669:N6671"/>
    <mergeCell ref="A6678:A6690"/>
    <mergeCell ref="B6678:B6690"/>
    <mergeCell ref="C6678:C6690"/>
    <mergeCell ref="D6678:D6690"/>
    <mergeCell ref="E6678:E6690"/>
    <mergeCell ref="F6678:F6690"/>
    <mergeCell ref="G6678:G6690"/>
    <mergeCell ref="H6678:H6690"/>
    <mergeCell ref="I6678:I6690"/>
    <mergeCell ref="J6678:J6690"/>
    <mergeCell ref="K6678:K6690"/>
    <mergeCell ref="L6678:L6690"/>
    <mergeCell ref="M6678:M6690"/>
    <mergeCell ref="N6678:N6690"/>
    <mergeCell ref="A6692:A6698"/>
    <mergeCell ref="B6692:B6698"/>
    <mergeCell ref="C6692:C6698"/>
    <mergeCell ref="D6692:D6698"/>
    <mergeCell ref="E6692:E6698"/>
    <mergeCell ref="F6692:F6698"/>
    <mergeCell ref="G6692:G6698"/>
    <mergeCell ref="H6692:H6698"/>
    <mergeCell ref="I6692:I6698"/>
    <mergeCell ref="J6692:J6698"/>
    <mergeCell ref="K6692:K6698"/>
    <mergeCell ref="L6692:L6698"/>
    <mergeCell ref="M6692:M6698"/>
    <mergeCell ref="N6692:N6698"/>
    <mergeCell ref="A6699:A6701"/>
    <mergeCell ref="B6699:B6701"/>
    <mergeCell ref="C6699:C6701"/>
    <mergeCell ref="D6699:D6701"/>
    <mergeCell ref="E6699:E6701"/>
    <mergeCell ref="F6699:F6701"/>
    <mergeCell ref="G6699:G6701"/>
    <mergeCell ref="H6699:H6701"/>
    <mergeCell ref="I6699:I6701"/>
    <mergeCell ref="J6699:J6701"/>
    <mergeCell ref="K6699:K6701"/>
    <mergeCell ref="L6699:L6701"/>
    <mergeCell ref="M6699:M6701"/>
    <mergeCell ref="N6699:N6701"/>
    <mergeCell ref="A6702:A6703"/>
    <mergeCell ref="B6702:B6703"/>
    <mergeCell ref="C6702:C6703"/>
    <mergeCell ref="D6702:D6703"/>
    <mergeCell ref="E6702:E6703"/>
    <mergeCell ref="F6702:F6703"/>
    <mergeCell ref="G6702:G6703"/>
    <mergeCell ref="H6702:H6703"/>
    <mergeCell ref="I6702:I6703"/>
    <mergeCell ref="J6702:J6703"/>
    <mergeCell ref="K6702:K6703"/>
    <mergeCell ref="L6702:L6703"/>
    <mergeCell ref="M6702:M6703"/>
    <mergeCell ref="N6702:N6703"/>
    <mergeCell ref="A6704:A6705"/>
    <mergeCell ref="B6704:B6705"/>
    <mergeCell ref="C6704:C6705"/>
    <mergeCell ref="D6704:D6705"/>
    <mergeCell ref="E6704:E6705"/>
    <mergeCell ref="F6704:F6705"/>
    <mergeCell ref="G6704:G6705"/>
    <mergeCell ref="H6704:H6705"/>
    <mergeCell ref="I6704:I6705"/>
    <mergeCell ref="J6704:J6705"/>
    <mergeCell ref="K6704:K6705"/>
    <mergeCell ref="L6704:L6705"/>
    <mergeCell ref="M6704:M6705"/>
    <mergeCell ref="N6704:N6705"/>
    <mergeCell ref="A6711:A6712"/>
    <mergeCell ref="B6711:B6712"/>
    <mergeCell ref="C6711:C6712"/>
    <mergeCell ref="D6711:D6712"/>
    <mergeCell ref="E6711:E6712"/>
    <mergeCell ref="F6711:F6712"/>
    <mergeCell ref="G6711:G6712"/>
    <mergeCell ref="H6711:H6712"/>
    <mergeCell ref="I6711:I6712"/>
    <mergeCell ref="J6711:J6712"/>
    <mergeCell ref="K6711:K6712"/>
    <mergeCell ref="L6711:L6712"/>
    <mergeCell ref="M6711:M6712"/>
    <mergeCell ref="N6711:N6712"/>
    <mergeCell ref="A6713:A6715"/>
    <mergeCell ref="B6713:B6715"/>
    <mergeCell ref="C6713:C6715"/>
    <mergeCell ref="D6713:D6715"/>
    <mergeCell ref="E6713:E6715"/>
    <mergeCell ref="F6713:F6715"/>
    <mergeCell ref="G6713:G6715"/>
    <mergeCell ref="H6713:H6715"/>
    <mergeCell ref="I6713:I6715"/>
    <mergeCell ref="J6713:J6715"/>
    <mergeCell ref="K6713:K6715"/>
    <mergeCell ref="L6713:L6715"/>
    <mergeCell ref="M6713:M6715"/>
    <mergeCell ref="N6713:N6715"/>
    <mergeCell ref="A6717:A6722"/>
    <mergeCell ref="B6717:B6722"/>
    <mergeCell ref="C6717:C6722"/>
    <mergeCell ref="D6717:D6722"/>
    <mergeCell ref="E6717:E6722"/>
    <mergeCell ref="F6717:F6722"/>
    <mergeCell ref="G6717:G6722"/>
    <mergeCell ref="H6717:H6722"/>
    <mergeCell ref="I6717:I6722"/>
    <mergeCell ref="J6717:J6722"/>
    <mergeCell ref="K6717:K6722"/>
    <mergeCell ref="L6717:L6722"/>
    <mergeCell ref="M6717:M6722"/>
    <mergeCell ref="N6717:N6722"/>
    <mergeCell ref="A6723:A6727"/>
    <mergeCell ref="B6723:B6727"/>
    <mergeCell ref="C6723:C6727"/>
    <mergeCell ref="D6723:D6727"/>
    <mergeCell ref="E6723:E6727"/>
    <mergeCell ref="F6723:F6727"/>
    <mergeCell ref="G6723:G6727"/>
    <mergeCell ref="H6723:H6727"/>
    <mergeCell ref="I6723:I6727"/>
    <mergeCell ref="J6723:J6727"/>
    <mergeCell ref="K6723:K6727"/>
    <mergeCell ref="L6723:L6727"/>
    <mergeCell ref="M6723:M6727"/>
    <mergeCell ref="N6723:N6727"/>
    <mergeCell ref="A6730:A6731"/>
    <mergeCell ref="B6730:B6731"/>
    <mergeCell ref="C6730:C6731"/>
    <mergeCell ref="D6730:D6731"/>
    <mergeCell ref="E6730:E6731"/>
    <mergeCell ref="F6730:F6731"/>
    <mergeCell ref="G6730:G6731"/>
    <mergeCell ref="H6730:H6731"/>
    <mergeCell ref="I6730:I6731"/>
    <mergeCell ref="J6730:J6731"/>
    <mergeCell ref="K6730:K6731"/>
    <mergeCell ref="L6730:L6731"/>
    <mergeCell ref="M6730:M6731"/>
    <mergeCell ref="N6730:N6731"/>
    <mergeCell ref="A6732:A6733"/>
    <mergeCell ref="B6732:B6733"/>
    <mergeCell ref="C6732:C6733"/>
    <mergeCell ref="D6732:D6733"/>
    <mergeCell ref="E6732:E6733"/>
    <mergeCell ref="F6732:F6733"/>
    <mergeCell ref="G6732:G6733"/>
    <mergeCell ref="H6732:H6733"/>
    <mergeCell ref="I6732:I6733"/>
    <mergeCell ref="J6732:J6733"/>
    <mergeCell ref="K6732:K6733"/>
    <mergeCell ref="L6732:L6733"/>
    <mergeCell ref="M6732:M6733"/>
    <mergeCell ref="N6732:N6733"/>
    <mergeCell ref="A6735:A6736"/>
    <mergeCell ref="B6735:B6736"/>
    <mergeCell ref="C6735:C6736"/>
    <mergeCell ref="D6735:D6736"/>
    <mergeCell ref="E6735:E6736"/>
    <mergeCell ref="F6735:F6736"/>
    <mergeCell ref="G6735:G6736"/>
    <mergeCell ref="H6735:H6736"/>
    <mergeCell ref="I6735:I6736"/>
    <mergeCell ref="J6735:J6736"/>
    <mergeCell ref="K6735:K6736"/>
    <mergeCell ref="L6735:L6736"/>
    <mergeCell ref="M6735:M6736"/>
    <mergeCell ref="N6735:N6736"/>
    <mergeCell ref="A6738:A6739"/>
    <mergeCell ref="B6738:B6739"/>
    <mergeCell ref="C6738:C6739"/>
    <mergeCell ref="D6738:D6739"/>
    <mergeCell ref="E6738:E6739"/>
    <mergeCell ref="F6738:F6739"/>
    <mergeCell ref="G6738:G6739"/>
    <mergeCell ref="H6738:H6739"/>
    <mergeCell ref="I6738:I6739"/>
    <mergeCell ref="J6738:J6739"/>
    <mergeCell ref="K6738:K6739"/>
    <mergeCell ref="L6738:L6739"/>
    <mergeCell ref="M6738:M6739"/>
    <mergeCell ref="N6738:N6739"/>
    <mergeCell ref="A6740:A6743"/>
    <mergeCell ref="B6740:B6743"/>
    <mergeCell ref="C6740:C6743"/>
    <mergeCell ref="D6740:D6743"/>
    <mergeCell ref="E6740:E6743"/>
    <mergeCell ref="F6740:F6743"/>
    <mergeCell ref="G6740:G6743"/>
    <mergeCell ref="H6740:H6743"/>
    <mergeCell ref="I6740:I6743"/>
    <mergeCell ref="J6740:J6743"/>
    <mergeCell ref="K6740:K6743"/>
    <mergeCell ref="L6740:L6743"/>
    <mergeCell ref="M6740:M6743"/>
    <mergeCell ref="N6740:N6743"/>
    <mergeCell ref="A6746:A6747"/>
    <mergeCell ref="B6746:B6747"/>
    <mergeCell ref="C6746:C6747"/>
    <mergeCell ref="D6746:D6747"/>
    <mergeCell ref="E6746:E6747"/>
    <mergeCell ref="F6746:F6747"/>
    <mergeCell ref="G6746:G6747"/>
    <mergeCell ref="H6746:H6747"/>
    <mergeCell ref="I6746:I6747"/>
    <mergeCell ref="J6746:J6747"/>
    <mergeCell ref="K6746:K6747"/>
    <mergeCell ref="L6746:L6747"/>
    <mergeCell ref="M6746:M6747"/>
    <mergeCell ref="N6746:N6747"/>
    <mergeCell ref="A6750:A6751"/>
    <mergeCell ref="B6750:B6751"/>
    <mergeCell ref="C6750:C6751"/>
    <mergeCell ref="D6750:D6751"/>
    <mergeCell ref="E6750:E6751"/>
    <mergeCell ref="F6750:F6751"/>
    <mergeCell ref="G6750:G6751"/>
    <mergeCell ref="H6750:H6751"/>
    <mergeCell ref="I6750:I6751"/>
    <mergeCell ref="J6750:J6751"/>
    <mergeCell ref="K6750:K6751"/>
    <mergeCell ref="L6750:L6751"/>
    <mergeCell ref="M6750:M6751"/>
    <mergeCell ref="N6750:N6751"/>
    <mergeCell ref="A6752:A6759"/>
    <mergeCell ref="B6752:B6759"/>
    <mergeCell ref="C6752:C6759"/>
    <mergeCell ref="D6752:D6759"/>
    <mergeCell ref="E6752:E6759"/>
    <mergeCell ref="F6752:F6759"/>
    <mergeCell ref="G6752:G6759"/>
    <mergeCell ref="H6752:H6759"/>
    <mergeCell ref="I6752:I6759"/>
    <mergeCell ref="J6752:J6759"/>
    <mergeCell ref="K6752:K6759"/>
    <mergeCell ref="L6752:L6759"/>
    <mergeCell ref="M6752:M6759"/>
    <mergeCell ref="N6752:N6759"/>
    <mergeCell ref="A6760:A6772"/>
    <mergeCell ref="B6760:B6772"/>
    <mergeCell ref="C6760:C6772"/>
    <mergeCell ref="D6760:D6772"/>
    <mergeCell ref="E6760:E6772"/>
    <mergeCell ref="F6760:F6772"/>
    <mergeCell ref="G6760:G6772"/>
    <mergeCell ref="H6760:H6772"/>
    <mergeCell ref="I6760:I6772"/>
    <mergeCell ref="J6760:J6772"/>
    <mergeCell ref="K6760:K6772"/>
    <mergeCell ref="L6760:L6772"/>
    <mergeCell ref="M6760:M6772"/>
    <mergeCell ref="N6760:N6772"/>
    <mergeCell ref="A6774:A6775"/>
    <mergeCell ref="B6774:B6775"/>
    <mergeCell ref="C6774:C6775"/>
    <mergeCell ref="D6774:D6775"/>
    <mergeCell ref="E6774:E6775"/>
    <mergeCell ref="F6774:F6775"/>
    <mergeCell ref="G6774:G6775"/>
    <mergeCell ref="H6774:H6775"/>
    <mergeCell ref="I6774:I6775"/>
    <mergeCell ref="J6774:J6775"/>
    <mergeCell ref="K6774:K6775"/>
    <mergeCell ref="L6774:L6775"/>
    <mergeCell ref="M6774:M6775"/>
    <mergeCell ref="N6774:N6775"/>
    <mergeCell ref="A6780:A6782"/>
    <mergeCell ref="B6780:B6782"/>
    <mergeCell ref="C6780:C6782"/>
    <mergeCell ref="D6780:D6782"/>
    <mergeCell ref="E6780:E6782"/>
    <mergeCell ref="F6780:F6782"/>
    <mergeCell ref="G6780:G6782"/>
    <mergeCell ref="H6780:H6782"/>
    <mergeCell ref="I6780:I6782"/>
    <mergeCell ref="J6780:J6782"/>
    <mergeCell ref="K6780:K6782"/>
    <mergeCell ref="L6780:L6782"/>
    <mergeCell ref="M6780:M6782"/>
    <mergeCell ref="N6780:N6782"/>
    <mergeCell ref="A6785:A6789"/>
    <mergeCell ref="B6785:B6789"/>
    <mergeCell ref="C6785:C6789"/>
    <mergeCell ref="D6785:D6789"/>
    <mergeCell ref="E6785:E6789"/>
    <mergeCell ref="F6785:F6789"/>
    <mergeCell ref="G6785:G6789"/>
    <mergeCell ref="H6785:H6789"/>
    <mergeCell ref="I6785:I6789"/>
    <mergeCell ref="J6785:J6789"/>
    <mergeCell ref="K6785:K6789"/>
    <mergeCell ref="L6785:L6789"/>
    <mergeCell ref="M6785:M6789"/>
    <mergeCell ref="N6785:N6789"/>
    <mergeCell ref="A6790:A6792"/>
    <mergeCell ref="B6790:B6792"/>
    <mergeCell ref="C6790:C6792"/>
    <mergeCell ref="D6790:D6792"/>
    <mergeCell ref="E6790:E6792"/>
    <mergeCell ref="F6790:F6792"/>
    <mergeCell ref="G6790:G6792"/>
    <mergeCell ref="H6790:H6792"/>
    <mergeCell ref="I6790:I6792"/>
    <mergeCell ref="J6790:J6792"/>
    <mergeCell ref="K6790:K6792"/>
    <mergeCell ref="L6790:L6792"/>
    <mergeCell ref="M6790:M6792"/>
    <mergeCell ref="N6790:N6792"/>
    <mergeCell ref="A6795:A6796"/>
    <mergeCell ref="B6795:B6796"/>
    <mergeCell ref="C6795:C6796"/>
    <mergeCell ref="D6795:D6796"/>
    <mergeCell ref="E6795:E6796"/>
    <mergeCell ref="F6795:F6796"/>
    <mergeCell ref="G6795:G6796"/>
    <mergeCell ref="H6795:H6796"/>
    <mergeCell ref="I6795:I6796"/>
    <mergeCell ref="J6795:J6796"/>
    <mergeCell ref="K6795:K6796"/>
    <mergeCell ref="L6795:L6796"/>
    <mergeCell ref="M6795:M6796"/>
    <mergeCell ref="N6795:N6796"/>
    <mergeCell ref="A6797:A6802"/>
    <mergeCell ref="B6797:B6802"/>
    <mergeCell ref="C6797:C6802"/>
    <mergeCell ref="D6797:D6802"/>
    <mergeCell ref="E6797:E6802"/>
    <mergeCell ref="F6797:F6802"/>
    <mergeCell ref="G6797:G6802"/>
    <mergeCell ref="H6797:H6802"/>
    <mergeCell ref="I6797:I6802"/>
    <mergeCell ref="J6797:J6802"/>
    <mergeCell ref="K6797:K6802"/>
    <mergeCell ref="L6797:L6802"/>
    <mergeCell ref="M6797:M6802"/>
    <mergeCell ref="N6797:N6802"/>
    <mergeCell ref="A6803:A6805"/>
    <mergeCell ref="B6803:B6805"/>
    <mergeCell ref="C6803:C6805"/>
    <mergeCell ref="D6803:D6805"/>
    <mergeCell ref="E6803:E6805"/>
    <mergeCell ref="F6803:F6805"/>
    <mergeCell ref="G6803:G6805"/>
    <mergeCell ref="H6803:H6805"/>
    <mergeCell ref="I6803:I6805"/>
    <mergeCell ref="J6803:J6805"/>
    <mergeCell ref="K6803:K6805"/>
    <mergeCell ref="L6803:L6805"/>
    <mergeCell ref="M6803:M6805"/>
    <mergeCell ref="N6803:N6805"/>
    <mergeCell ref="A6806:A6819"/>
    <mergeCell ref="B6806:B6819"/>
    <mergeCell ref="C6806:C6819"/>
    <mergeCell ref="D6806:D6819"/>
    <mergeCell ref="E6806:E6819"/>
    <mergeCell ref="F6806:F6819"/>
    <mergeCell ref="G6806:G6819"/>
    <mergeCell ref="H6806:H6819"/>
    <mergeCell ref="I6806:I6819"/>
    <mergeCell ref="J6806:J6819"/>
    <mergeCell ref="K6806:K6819"/>
    <mergeCell ref="L6806:L6819"/>
    <mergeCell ref="M6806:M6819"/>
    <mergeCell ref="N6806:N6819"/>
    <mergeCell ref="A6823:A6824"/>
    <mergeCell ref="B6823:B6824"/>
    <mergeCell ref="C6823:C6824"/>
    <mergeCell ref="D6823:D6824"/>
    <mergeCell ref="E6823:E6824"/>
    <mergeCell ref="F6823:F6824"/>
    <mergeCell ref="G6823:G6824"/>
    <mergeCell ref="H6823:H6824"/>
    <mergeCell ref="I6823:I6824"/>
    <mergeCell ref="J6823:J6824"/>
    <mergeCell ref="K6823:K6824"/>
    <mergeCell ref="L6823:L6824"/>
    <mergeCell ref="M6823:M6824"/>
    <mergeCell ref="N6823:N6824"/>
    <mergeCell ref="A6825:A6826"/>
    <mergeCell ref="B6825:B6826"/>
    <mergeCell ref="C6825:C6826"/>
    <mergeCell ref="D6825:D6826"/>
    <mergeCell ref="E6825:E6826"/>
    <mergeCell ref="F6825:F6826"/>
    <mergeCell ref="G6825:G6826"/>
    <mergeCell ref="H6825:H6826"/>
    <mergeCell ref="I6825:I6826"/>
    <mergeCell ref="J6825:J6826"/>
    <mergeCell ref="K6825:K6826"/>
    <mergeCell ref="L6825:L6826"/>
    <mergeCell ref="M6825:M6826"/>
    <mergeCell ref="N6825:N6826"/>
    <mergeCell ref="A6830:A6831"/>
    <mergeCell ref="B6830:B6831"/>
    <mergeCell ref="C6830:C6831"/>
    <mergeCell ref="D6830:D6831"/>
    <mergeCell ref="E6830:E6831"/>
    <mergeCell ref="F6830:F6831"/>
    <mergeCell ref="G6830:G6831"/>
    <mergeCell ref="H6830:H6831"/>
    <mergeCell ref="I6830:I6831"/>
    <mergeCell ref="J6830:J6831"/>
    <mergeCell ref="K6830:K6831"/>
    <mergeCell ref="L6830:L6831"/>
    <mergeCell ref="M6830:M6831"/>
    <mergeCell ref="N6830:N6831"/>
    <mergeCell ref="A6833:A6834"/>
    <mergeCell ref="B6833:B6834"/>
    <mergeCell ref="C6833:C6834"/>
    <mergeCell ref="D6833:D6834"/>
    <mergeCell ref="E6833:E6834"/>
    <mergeCell ref="F6833:F6834"/>
    <mergeCell ref="G6833:G6834"/>
    <mergeCell ref="H6833:H6834"/>
    <mergeCell ref="I6833:I6834"/>
    <mergeCell ref="J6833:J6834"/>
    <mergeCell ref="K6833:K6834"/>
    <mergeCell ref="L6833:L6834"/>
    <mergeCell ref="M6833:M6834"/>
    <mergeCell ref="N6833:N6834"/>
    <mergeCell ref="A6838:A6841"/>
    <mergeCell ref="B6838:B6841"/>
    <mergeCell ref="C6838:C6841"/>
    <mergeCell ref="D6838:D6841"/>
    <mergeCell ref="E6838:E6841"/>
    <mergeCell ref="F6838:F6841"/>
    <mergeCell ref="G6838:G6841"/>
    <mergeCell ref="H6838:H6841"/>
    <mergeCell ref="I6838:I6841"/>
    <mergeCell ref="J6838:J6841"/>
    <mergeCell ref="K6838:K6841"/>
    <mergeCell ref="L6838:L6841"/>
    <mergeCell ref="M6838:M6841"/>
    <mergeCell ref="N6838:N6841"/>
    <mergeCell ref="A6843:A6845"/>
    <mergeCell ref="B6843:B6845"/>
    <mergeCell ref="C6843:C6845"/>
    <mergeCell ref="D6843:D6845"/>
    <mergeCell ref="E6843:E6845"/>
    <mergeCell ref="F6843:F6845"/>
    <mergeCell ref="G6843:G6845"/>
    <mergeCell ref="H6843:H6845"/>
    <mergeCell ref="I6843:I6845"/>
    <mergeCell ref="J6843:J6845"/>
    <mergeCell ref="K6843:K6845"/>
    <mergeCell ref="L6843:L6845"/>
    <mergeCell ref="M6843:M6845"/>
    <mergeCell ref="N6843:N6845"/>
    <mergeCell ref="A6848:A6849"/>
    <mergeCell ref="B6848:B6849"/>
    <mergeCell ref="C6848:C6849"/>
    <mergeCell ref="D6848:D6849"/>
    <mergeCell ref="E6848:E6849"/>
    <mergeCell ref="F6848:F6849"/>
    <mergeCell ref="G6848:G6849"/>
    <mergeCell ref="H6848:H6849"/>
    <mergeCell ref="I6848:I6849"/>
    <mergeCell ref="J6848:J6849"/>
    <mergeCell ref="K6848:K6849"/>
    <mergeCell ref="L6848:L6849"/>
    <mergeCell ref="M6848:M6849"/>
    <mergeCell ref="N6848:N6849"/>
    <mergeCell ref="A6851:A6853"/>
    <mergeCell ref="B6851:B6853"/>
    <mergeCell ref="C6851:C6853"/>
    <mergeCell ref="D6851:D6853"/>
    <mergeCell ref="E6851:E6853"/>
    <mergeCell ref="F6851:F6853"/>
    <mergeCell ref="G6851:G6853"/>
    <mergeCell ref="H6851:H6853"/>
    <mergeCell ref="I6851:I6853"/>
    <mergeCell ref="J6851:J6853"/>
    <mergeCell ref="K6851:K6853"/>
    <mergeCell ref="L6851:L6853"/>
    <mergeCell ref="M6851:M6853"/>
    <mergeCell ref="N6851:N6853"/>
    <mergeCell ref="A6856:A6859"/>
    <mergeCell ref="B6856:B6859"/>
    <mergeCell ref="C6856:C6859"/>
    <mergeCell ref="D6856:D6859"/>
    <mergeCell ref="E6856:E6859"/>
    <mergeCell ref="F6856:F6859"/>
    <mergeCell ref="G6856:G6859"/>
    <mergeCell ref="H6856:H6859"/>
    <mergeCell ref="I6856:I6859"/>
    <mergeCell ref="J6856:J6859"/>
    <mergeCell ref="K6856:K6859"/>
    <mergeCell ref="L6856:L6859"/>
    <mergeCell ref="M6856:M6859"/>
    <mergeCell ref="N6856:N6859"/>
    <mergeCell ref="A6862:A6863"/>
    <mergeCell ref="B6862:B6863"/>
    <mergeCell ref="C6862:C6863"/>
    <mergeCell ref="D6862:D6863"/>
    <mergeCell ref="E6862:E6863"/>
    <mergeCell ref="F6862:F6863"/>
    <mergeCell ref="G6862:G6863"/>
    <mergeCell ref="H6862:H6863"/>
    <mergeCell ref="I6862:I6863"/>
    <mergeCell ref="J6862:J6863"/>
    <mergeCell ref="K6862:K6863"/>
    <mergeCell ref="L6862:L6863"/>
    <mergeCell ref="M6862:M6863"/>
    <mergeCell ref="N6862:N6863"/>
    <mergeCell ref="A6866:A6869"/>
    <mergeCell ref="B6866:B6869"/>
    <mergeCell ref="C6866:C6869"/>
    <mergeCell ref="D6866:D6869"/>
    <mergeCell ref="E6866:E6869"/>
    <mergeCell ref="F6866:F6869"/>
    <mergeCell ref="G6866:G6869"/>
    <mergeCell ref="H6866:H6869"/>
    <mergeCell ref="I6866:I6869"/>
    <mergeCell ref="J6866:J6869"/>
    <mergeCell ref="K6866:K6869"/>
    <mergeCell ref="L6866:L6869"/>
    <mergeCell ref="M6866:M6869"/>
    <mergeCell ref="N6866:N6869"/>
    <mergeCell ref="A6870:A6872"/>
    <mergeCell ref="B6870:B6872"/>
    <mergeCell ref="C6870:C6872"/>
    <mergeCell ref="D6870:D6872"/>
    <mergeCell ref="E6870:E6872"/>
    <mergeCell ref="F6870:F6872"/>
    <mergeCell ref="G6870:G6872"/>
    <mergeCell ref="H6870:H6872"/>
    <mergeCell ref="I6870:I6872"/>
    <mergeCell ref="J6870:J6872"/>
    <mergeCell ref="K6870:K6872"/>
    <mergeCell ref="L6870:L6872"/>
    <mergeCell ref="M6870:M6872"/>
    <mergeCell ref="N6870:N6872"/>
    <mergeCell ref="A6873:A6874"/>
    <mergeCell ref="B6873:B6874"/>
    <mergeCell ref="C6873:C6874"/>
    <mergeCell ref="D6873:D6874"/>
    <mergeCell ref="E6873:E6874"/>
    <mergeCell ref="F6873:F6874"/>
    <mergeCell ref="G6873:G6874"/>
    <mergeCell ref="H6873:H6874"/>
    <mergeCell ref="I6873:I6874"/>
    <mergeCell ref="J6873:J6874"/>
    <mergeCell ref="K6873:K6874"/>
    <mergeCell ref="L6873:L6874"/>
    <mergeCell ref="M6873:M6874"/>
    <mergeCell ref="N6873:N6874"/>
    <mergeCell ref="A6875:A6876"/>
    <mergeCell ref="B6875:B6876"/>
    <mergeCell ref="C6875:C6876"/>
    <mergeCell ref="D6875:D6876"/>
    <mergeCell ref="E6875:E6876"/>
    <mergeCell ref="F6875:F6876"/>
    <mergeCell ref="G6875:G6876"/>
    <mergeCell ref="H6875:H6876"/>
    <mergeCell ref="I6875:I6876"/>
    <mergeCell ref="J6875:J6876"/>
    <mergeCell ref="K6875:K6876"/>
    <mergeCell ref="L6875:L6876"/>
    <mergeCell ref="M6875:M6876"/>
    <mergeCell ref="N6875:N6876"/>
    <mergeCell ref="A6879:A6887"/>
    <mergeCell ref="B6879:B6887"/>
    <mergeCell ref="C6879:C6887"/>
    <mergeCell ref="D6879:D6887"/>
    <mergeCell ref="E6879:E6887"/>
    <mergeCell ref="F6879:F6887"/>
    <mergeCell ref="G6879:G6887"/>
    <mergeCell ref="H6879:H6887"/>
    <mergeCell ref="I6879:I6887"/>
    <mergeCell ref="J6879:J6887"/>
    <mergeCell ref="K6879:K6887"/>
    <mergeCell ref="L6879:L6887"/>
    <mergeCell ref="M6879:M6887"/>
    <mergeCell ref="N6879:N6887"/>
    <mergeCell ref="A6889:A6890"/>
    <mergeCell ref="B6889:B6890"/>
    <mergeCell ref="C6889:C6890"/>
    <mergeCell ref="D6889:D6890"/>
    <mergeCell ref="E6889:E6890"/>
    <mergeCell ref="F6889:F6890"/>
    <mergeCell ref="G6889:G6890"/>
    <mergeCell ref="H6889:H6890"/>
    <mergeCell ref="I6889:I6890"/>
    <mergeCell ref="J6889:J6890"/>
    <mergeCell ref="K6889:K6890"/>
    <mergeCell ref="L6889:L6890"/>
    <mergeCell ref="M6889:M6890"/>
    <mergeCell ref="N6889:N6890"/>
    <mergeCell ref="A6892:A6893"/>
    <mergeCell ref="B6892:B6893"/>
    <mergeCell ref="C6892:C6893"/>
    <mergeCell ref="D6892:D6893"/>
    <mergeCell ref="E6892:E6893"/>
    <mergeCell ref="F6892:F6893"/>
    <mergeCell ref="G6892:G6893"/>
    <mergeCell ref="H6892:H6893"/>
    <mergeCell ref="I6892:I6893"/>
    <mergeCell ref="J6892:J6893"/>
    <mergeCell ref="K6892:K6893"/>
    <mergeCell ref="L6892:L6893"/>
    <mergeCell ref="M6892:M6893"/>
    <mergeCell ref="N6892:N6893"/>
    <mergeCell ref="A6894:A6896"/>
    <mergeCell ref="B6894:B6896"/>
    <mergeCell ref="C6894:C6896"/>
    <mergeCell ref="D6894:D6896"/>
    <mergeCell ref="E6894:E6896"/>
    <mergeCell ref="F6894:F6896"/>
    <mergeCell ref="G6894:G6896"/>
    <mergeCell ref="H6894:H6896"/>
    <mergeCell ref="I6894:I6896"/>
    <mergeCell ref="J6894:J6896"/>
    <mergeCell ref="K6894:K6896"/>
    <mergeCell ref="L6894:L6896"/>
    <mergeCell ref="M6894:M6896"/>
    <mergeCell ref="N6894:N6896"/>
    <mergeCell ref="A6897:A6898"/>
    <mergeCell ref="B6897:B6898"/>
    <mergeCell ref="C6897:C6898"/>
    <mergeCell ref="D6897:D6898"/>
    <mergeCell ref="E6897:E6898"/>
    <mergeCell ref="F6897:F6898"/>
    <mergeCell ref="G6897:G6898"/>
    <mergeCell ref="H6897:H6898"/>
    <mergeCell ref="I6897:I6898"/>
    <mergeCell ref="J6897:J6898"/>
    <mergeCell ref="K6897:K6898"/>
    <mergeCell ref="L6897:L6898"/>
    <mergeCell ref="M6897:M6898"/>
    <mergeCell ref="N6897:N6898"/>
    <mergeCell ref="A6901:A6902"/>
    <mergeCell ref="B6901:B6902"/>
    <mergeCell ref="C6901:C6902"/>
    <mergeCell ref="D6901:D6902"/>
    <mergeCell ref="E6901:E6902"/>
    <mergeCell ref="F6901:F6902"/>
    <mergeCell ref="G6901:G6902"/>
    <mergeCell ref="H6901:H6902"/>
    <mergeCell ref="I6901:I6902"/>
    <mergeCell ref="J6901:J6902"/>
    <mergeCell ref="K6901:K6902"/>
    <mergeCell ref="L6901:L6902"/>
    <mergeCell ref="M6901:M6902"/>
    <mergeCell ref="N6901:N6902"/>
    <mergeCell ref="A6906:A6907"/>
    <mergeCell ref="B6906:B6907"/>
    <mergeCell ref="C6906:C6907"/>
    <mergeCell ref="D6906:D6907"/>
    <mergeCell ref="E6906:E6907"/>
    <mergeCell ref="F6906:F6907"/>
    <mergeCell ref="G6906:G6907"/>
    <mergeCell ref="H6906:H6907"/>
    <mergeCell ref="I6906:I6907"/>
    <mergeCell ref="J6906:J6907"/>
    <mergeCell ref="K6906:K6907"/>
    <mergeCell ref="L6906:L6907"/>
    <mergeCell ref="M6906:M6907"/>
    <mergeCell ref="N6906:N6907"/>
    <mergeCell ref="A6910:A6912"/>
    <mergeCell ref="B6910:B6912"/>
    <mergeCell ref="C6910:C6912"/>
    <mergeCell ref="D6910:D6912"/>
    <mergeCell ref="E6910:E6912"/>
    <mergeCell ref="F6910:F6912"/>
    <mergeCell ref="G6910:G6912"/>
    <mergeCell ref="H6910:H6912"/>
    <mergeCell ref="I6910:I6912"/>
    <mergeCell ref="J6910:J6912"/>
    <mergeCell ref="K6910:K6912"/>
    <mergeCell ref="L6910:L6912"/>
    <mergeCell ref="M6910:M6912"/>
    <mergeCell ref="N6910:N6912"/>
    <mergeCell ref="A6913:A6915"/>
    <mergeCell ref="B6913:B6915"/>
    <mergeCell ref="C6913:C6915"/>
    <mergeCell ref="D6913:D6915"/>
    <mergeCell ref="E6913:E6915"/>
    <mergeCell ref="F6913:F6915"/>
    <mergeCell ref="G6913:G6915"/>
    <mergeCell ref="H6913:H6915"/>
    <mergeCell ref="I6913:I6915"/>
    <mergeCell ref="J6913:J6915"/>
    <mergeCell ref="K6913:K6915"/>
    <mergeCell ref="L6913:L6915"/>
    <mergeCell ref="M6913:M6915"/>
    <mergeCell ref="N6913:N6915"/>
    <mergeCell ref="A6916:A6917"/>
    <mergeCell ref="B6916:B6917"/>
    <mergeCell ref="C6916:C6917"/>
    <mergeCell ref="D6916:D6917"/>
    <mergeCell ref="E6916:E6917"/>
    <mergeCell ref="F6916:F6917"/>
    <mergeCell ref="G6916:G6917"/>
    <mergeCell ref="H6916:H6917"/>
    <mergeCell ref="I6916:I6917"/>
    <mergeCell ref="J6916:J6917"/>
    <mergeCell ref="K6916:K6917"/>
    <mergeCell ref="L6916:L6917"/>
    <mergeCell ref="M6916:M6917"/>
    <mergeCell ref="N6916:N6917"/>
    <mergeCell ref="A6919:A6920"/>
    <mergeCell ref="B6919:B6920"/>
    <mergeCell ref="C6919:C6920"/>
    <mergeCell ref="D6919:D6920"/>
    <mergeCell ref="E6919:E6920"/>
    <mergeCell ref="F6919:F6920"/>
    <mergeCell ref="G6919:G6920"/>
    <mergeCell ref="H6919:H6920"/>
    <mergeCell ref="I6919:I6920"/>
    <mergeCell ref="J6919:J6920"/>
    <mergeCell ref="K6919:K6920"/>
    <mergeCell ref="L6919:L6920"/>
    <mergeCell ref="M6919:M6920"/>
    <mergeCell ref="N6919:N6920"/>
    <mergeCell ref="A6922:A6923"/>
    <mergeCell ref="B6922:B6923"/>
    <mergeCell ref="C6922:C6923"/>
    <mergeCell ref="D6922:D6923"/>
    <mergeCell ref="E6922:E6923"/>
    <mergeCell ref="F6922:F6923"/>
    <mergeCell ref="G6922:G6923"/>
    <mergeCell ref="H6922:H6923"/>
    <mergeCell ref="I6922:I6923"/>
    <mergeCell ref="J6922:J6923"/>
    <mergeCell ref="K6922:K6923"/>
    <mergeCell ref="L6922:L6923"/>
    <mergeCell ref="M6922:M6923"/>
    <mergeCell ref="N6922:N6923"/>
    <mergeCell ref="A6928:A6929"/>
    <mergeCell ref="B6928:B6929"/>
    <mergeCell ref="C6928:C6929"/>
    <mergeCell ref="D6928:D6929"/>
    <mergeCell ref="E6928:E6929"/>
    <mergeCell ref="F6928:F6929"/>
    <mergeCell ref="G6928:G6929"/>
    <mergeCell ref="H6928:H6929"/>
    <mergeCell ref="I6928:I6929"/>
    <mergeCell ref="J6928:J6929"/>
    <mergeCell ref="K6928:K6929"/>
    <mergeCell ref="L6928:L6929"/>
    <mergeCell ref="M6928:M6929"/>
    <mergeCell ref="N6928:N6929"/>
    <mergeCell ref="A6932:A6934"/>
    <mergeCell ref="B6932:B6934"/>
    <mergeCell ref="C6932:C6934"/>
    <mergeCell ref="D6932:D6934"/>
    <mergeCell ref="E6932:E6934"/>
    <mergeCell ref="F6932:F6934"/>
    <mergeCell ref="G6932:G6934"/>
    <mergeCell ref="H6932:H6934"/>
    <mergeCell ref="I6932:I6934"/>
    <mergeCell ref="J6932:J6934"/>
    <mergeCell ref="K6932:K6934"/>
    <mergeCell ref="L6932:L6934"/>
    <mergeCell ref="M6932:M6934"/>
    <mergeCell ref="N6932:N6934"/>
    <mergeCell ref="A6935:A6936"/>
    <mergeCell ref="B6935:B6936"/>
    <mergeCell ref="C6935:C6936"/>
    <mergeCell ref="D6935:D6936"/>
    <mergeCell ref="E6935:E6936"/>
    <mergeCell ref="F6935:F6936"/>
    <mergeCell ref="G6935:G6936"/>
    <mergeCell ref="H6935:H6936"/>
    <mergeCell ref="I6935:I6936"/>
    <mergeCell ref="J6935:J6936"/>
    <mergeCell ref="K6935:K6936"/>
    <mergeCell ref="L6935:L6936"/>
    <mergeCell ref="M6935:M6936"/>
    <mergeCell ref="N6935:N6936"/>
    <mergeCell ref="A6939:A6942"/>
    <mergeCell ref="B6939:B6942"/>
    <mergeCell ref="C6939:C6942"/>
    <mergeCell ref="D6939:D6942"/>
    <mergeCell ref="E6939:E6942"/>
    <mergeCell ref="F6939:F6942"/>
    <mergeCell ref="G6939:G6942"/>
    <mergeCell ref="H6939:H6942"/>
    <mergeCell ref="I6939:I6942"/>
    <mergeCell ref="J6939:J6942"/>
    <mergeCell ref="K6939:K6942"/>
    <mergeCell ref="L6939:L6942"/>
    <mergeCell ref="M6939:M6942"/>
    <mergeCell ref="N6939:N6942"/>
    <mergeCell ref="A6943:A6945"/>
    <mergeCell ref="B6943:B6945"/>
    <mergeCell ref="C6943:C6945"/>
    <mergeCell ref="D6943:D6945"/>
    <mergeCell ref="E6943:E6945"/>
    <mergeCell ref="F6943:F6945"/>
    <mergeCell ref="G6943:G6945"/>
    <mergeCell ref="H6943:H6945"/>
    <mergeCell ref="I6943:I6945"/>
    <mergeCell ref="J6943:J6945"/>
    <mergeCell ref="K6943:K6945"/>
    <mergeCell ref="L6943:L6945"/>
    <mergeCell ref="M6943:M6945"/>
    <mergeCell ref="N6943:N6945"/>
    <mergeCell ref="A6948:A6950"/>
    <mergeCell ref="B6948:B6950"/>
    <mergeCell ref="C6948:C6950"/>
    <mergeCell ref="D6948:D6950"/>
    <mergeCell ref="E6948:E6950"/>
    <mergeCell ref="F6948:F6950"/>
    <mergeCell ref="G6948:G6950"/>
    <mergeCell ref="H6948:H6950"/>
    <mergeCell ref="I6948:I6950"/>
    <mergeCell ref="J6948:J6950"/>
    <mergeCell ref="K6948:K6950"/>
    <mergeCell ref="L6948:L6950"/>
    <mergeCell ref="M6948:M6950"/>
    <mergeCell ref="N6948:N6950"/>
    <mergeCell ref="A6954:A6955"/>
    <mergeCell ref="B6954:B6955"/>
    <mergeCell ref="C6954:C6955"/>
    <mergeCell ref="D6954:D6955"/>
    <mergeCell ref="E6954:E6955"/>
    <mergeCell ref="F6954:F6955"/>
    <mergeCell ref="G6954:G6955"/>
    <mergeCell ref="H6954:H6955"/>
    <mergeCell ref="I6954:I6955"/>
    <mergeCell ref="J6954:J6955"/>
    <mergeCell ref="K6954:K6955"/>
    <mergeCell ref="L6954:L6955"/>
    <mergeCell ref="M6954:M6955"/>
    <mergeCell ref="N6954:N6955"/>
    <mergeCell ref="A6957:A6962"/>
    <mergeCell ref="B6957:B6962"/>
    <mergeCell ref="C6957:C6962"/>
    <mergeCell ref="D6957:D6962"/>
    <mergeCell ref="E6957:E6962"/>
    <mergeCell ref="F6957:F6962"/>
    <mergeCell ref="G6957:G6962"/>
    <mergeCell ref="H6957:H6962"/>
    <mergeCell ref="I6957:I6962"/>
    <mergeCell ref="J6957:J6962"/>
    <mergeCell ref="K6957:K6962"/>
    <mergeCell ref="L6957:L6962"/>
    <mergeCell ref="M6957:M6962"/>
    <mergeCell ref="N6957:N6962"/>
    <mergeCell ref="A6964:A6969"/>
    <mergeCell ref="B6964:B6969"/>
    <mergeCell ref="C6964:C6969"/>
    <mergeCell ref="D6964:D6969"/>
    <mergeCell ref="E6964:E6969"/>
    <mergeCell ref="F6964:F6969"/>
    <mergeCell ref="G6964:G6969"/>
    <mergeCell ref="H6964:H6969"/>
    <mergeCell ref="I6964:I6969"/>
    <mergeCell ref="J6964:J6969"/>
    <mergeCell ref="K6964:K6969"/>
    <mergeCell ref="L6964:L6969"/>
    <mergeCell ref="M6964:M6969"/>
    <mergeCell ref="N6964:N6969"/>
    <mergeCell ref="A6970:A6972"/>
    <mergeCell ref="B6970:B6972"/>
    <mergeCell ref="C6970:C6972"/>
    <mergeCell ref="D6970:D6972"/>
    <mergeCell ref="E6970:E6972"/>
    <mergeCell ref="F6970:F6972"/>
    <mergeCell ref="G6970:G6972"/>
    <mergeCell ref="H6970:H6972"/>
    <mergeCell ref="I6970:I6972"/>
    <mergeCell ref="J6970:J6972"/>
    <mergeCell ref="K6970:K6972"/>
    <mergeCell ref="L6970:L6972"/>
    <mergeCell ref="M6970:M6972"/>
    <mergeCell ref="N6970:N6972"/>
    <mergeCell ref="A6974:A6975"/>
    <mergeCell ref="B6974:B6975"/>
    <mergeCell ref="C6974:C6975"/>
    <mergeCell ref="D6974:D6975"/>
    <mergeCell ref="E6974:E6975"/>
    <mergeCell ref="F6974:F6975"/>
    <mergeCell ref="G6974:G6975"/>
    <mergeCell ref="H6974:H6975"/>
    <mergeCell ref="I6974:I6975"/>
    <mergeCell ref="J6974:J6975"/>
    <mergeCell ref="K6974:K6975"/>
    <mergeCell ref="L6974:L6975"/>
    <mergeCell ref="M6974:M6975"/>
    <mergeCell ref="N6974:N6975"/>
    <mergeCell ref="A6977:A6978"/>
    <mergeCell ref="B6977:B6978"/>
    <mergeCell ref="C6977:C6978"/>
    <mergeCell ref="D6977:D6978"/>
    <mergeCell ref="E6977:E6978"/>
    <mergeCell ref="F6977:F6978"/>
    <mergeCell ref="G6977:G6978"/>
    <mergeCell ref="H6977:H6978"/>
    <mergeCell ref="I6977:I6978"/>
    <mergeCell ref="J6977:J6978"/>
    <mergeCell ref="K6977:K6978"/>
    <mergeCell ref="L6977:L6978"/>
    <mergeCell ref="M6977:M6978"/>
    <mergeCell ref="N6977:N6978"/>
    <mergeCell ref="A6980:A6981"/>
    <mergeCell ref="B6980:B6981"/>
    <mergeCell ref="C6980:C6981"/>
    <mergeCell ref="D6980:D6981"/>
    <mergeCell ref="E6980:E6981"/>
    <mergeCell ref="F6980:F6981"/>
    <mergeCell ref="G6980:G6981"/>
    <mergeCell ref="H6980:H6981"/>
    <mergeCell ref="I6980:I6981"/>
    <mergeCell ref="J6980:J6981"/>
    <mergeCell ref="K6980:K6981"/>
    <mergeCell ref="L6980:L6981"/>
    <mergeCell ref="M6980:M6981"/>
    <mergeCell ref="N6980:N6981"/>
    <mergeCell ref="A6983:A6984"/>
    <mergeCell ref="B6983:B6984"/>
    <mergeCell ref="C6983:C6984"/>
    <mergeCell ref="D6983:D6984"/>
    <mergeCell ref="E6983:E6984"/>
    <mergeCell ref="F6983:F6984"/>
    <mergeCell ref="G6983:G6984"/>
    <mergeCell ref="H6983:H6984"/>
    <mergeCell ref="I6983:I6984"/>
    <mergeCell ref="J6983:J6984"/>
    <mergeCell ref="K6983:K6984"/>
    <mergeCell ref="L6983:L6984"/>
    <mergeCell ref="M6983:M6984"/>
    <mergeCell ref="N6983:N6984"/>
    <mergeCell ref="A6985:A6986"/>
    <mergeCell ref="B6985:B6986"/>
    <mergeCell ref="C6985:C6986"/>
    <mergeCell ref="D6985:D6986"/>
    <mergeCell ref="E6985:E6986"/>
    <mergeCell ref="F6985:F6986"/>
    <mergeCell ref="G6985:G6986"/>
    <mergeCell ref="H6985:H6986"/>
    <mergeCell ref="I6985:I6986"/>
    <mergeCell ref="J6985:J6986"/>
    <mergeCell ref="K6985:K6986"/>
    <mergeCell ref="L6985:L6986"/>
    <mergeCell ref="M6985:M6986"/>
    <mergeCell ref="N6985:N6986"/>
    <mergeCell ref="A6987:A6988"/>
    <mergeCell ref="B6987:B6988"/>
    <mergeCell ref="C6987:C6988"/>
    <mergeCell ref="D6987:D6988"/>
    <mergeCell ref="E6987:E6988"/>
    <mergeCell ref="F6987:F6988"/>
    <mergeCell ref="G6987:G6988"/>
    <mergeCell ref="H6987:H6988"/>
    <mergeCell ref="I6987:I6988"/>
    <mergeCell ref="J6987:J6988"/>
    <mergeCell ref="K6987:K6988"/>
    <mergeCell ref="L6987:L6988"/>
    <mergeCell ref="M6987:M6988"/>
    <mergeCell ref="N6987:N6988"/>
    <mergeCell ref="A6989:A6990"/>
    <mergeCell ref="B6989:B6990"/>
    <mergeCell ref="C6989:C6990"/>
    <mergeCell ref="D6989:D6990"/>
    <mergeCell ref="E6989:E6990"/>
    <mergeCell ref="F6989:F6990"/>
    <mergeCell ref="G6989:G6990"/>
    <mergeCell ref="H6989:H6990"/>
    <mergeCell ref="I6989:I6990"/>
    <mergeCell ref="J6989:J6990"/>
    <mergeCell ref="K6989:K6990"/>
    <mergeCell ref="L6989:L6990"/>
    <mergeCell ref="M6989:M6990"/>
    <mergeCell ref="N6989:N6990"/>
    <mergeCell ref="A6991:A6993"/>
    <mergeCell ref="B6991:B6993"/>
    <mergeCell ref="C6991:C6993"/>
    <mergeCell ref="D6991:D6993"/>
    <mergeCell ref="E6991:E6993"/>
    <mergeCell ref="F6991:F6993"/>
    <mergeCell ref="G6991:G6993"/>
    <mergeCell ref="H6991:H6993"/>
    <mergeCell ref="I6991:I6993"/>
    <mergeCell ref="J6991:J6993"/>
    <mergeCell ref="K6991:K6993"/>
    <mergeCell ref="L6991:L6993"/>
    <mergeCell ref="M6991:M6993"/>
    <mergeCell ref="N6991:N6993"/>
    <mergeCell ref="A6994:A6995"/>
    <mergeCell ref="B6994:B6995"/>
    <mergeCell ref="C6994:C6995"/>
    <mergeCell ref="D6994:D6995"/>
    <mergeCell ref="E6994:E6995"/>
    <mergeCell ref="F6994:F6995"/>
    <mergeCell ref="G6994:G6995"/>
    <mergeCell ref="H6994:H6995"/>
    <mergeCell ref="I6994:I6995"/>
    <mergeCell ref="J6994:J6995"/>
    <mergeCell ref="K6994:K6995"/>
    <mergeCell ref="L6994:L6995"/>
    <mergeCell ref="M6994:M6995"/>
    <mergeCell ref="N6994:N6995"/>
    <mergeCell ref="A7000:A7001"/>
    <mergeCell ref="B7000:B7001"/>
    <mergeCell ref="C7000:C7001"/>
    <mergeCell ref="D7000:D7001"/>
    <mergeCell ref="E7000:E7001"/>
    <mergeCell ref="F7000:F7001"/>
    <mergeCell ref="G7000:G7001"/>
    <mergeCell ref="H7000:H7001"/>
    <mergeCell ref="I7000:I7001"/>
    <mergeCell ref="J7000:J7001"/>
    <mergeCell ref="K7000:K7001"/>
    <mergeCell ref="L7000:L7001"/>
    <mergeCell ref="M7000:M7001"/>
    <mergeCell ref="N7000:N7001"/>
    <mergeCell ref="A7002:A7003"/>
    <mergeCell ref="B7002:B7003"/>
    <mergeCell ref="C7002:C7003"/>
    <mergeCell ref="D7002:D7003"/>
    <mergeCell ref="E7002:E7003"/>
    <mergeCell ref="F7002:F7003"/>
    <mergeCell ref="G7002:G7003"/>
    <mergeCell ref="H7002:H7003"/>
    <mergeCell ref="I7002:I7003"/>
    <mergeCell ref="J7002:J7003"/>
    <mergeCell ref="K7002:K7003"/>
    <mergeCell ref="L7002:L7003"/>
    <mergeCell ref="M7002:M7003"/>
    <mergeCell ref="N7002:N7003"/>
    <mergeCell ref="A7004:A7008"/>
    <mergeCell ref="B7004:B7008"/>
    <mergeCell ref="C7004:C7008"/>
    <mergeCell ref="D7004:D7008"/>
    <mergeCell ref="E7004:E7008"/>
    <mergeCell ref="F7004:F7008"/>
    <mergeCell ref="G7004:G7008"/>
    <mergeCell ref="H7004:H7008"/>
    <mergeCell ref="I7004:I7008"/>
    <mergeCell ref="J7004:J7008"/>
    <mergeCell ref="K7004:K7008"/>
    <mergeCell ref="L7004:L7008"/>
    <mergeCell ref="M7004:M7008"/>
    <mergeCell ref="N7004:N7008"/>
    <mergeCell ref="A7009:A7011"/>
    <mergeCell ref="B7009:B7011"/>
    <mergeCell ref="C7009:C7011"/>
    <mergeCell ref="D7009:D7011"/>
    <mergeCell ref="E7009:E7011"/>
    <mergeCell ref="F7009:F7011"/>
    <mergeCell ref="G7009:G7011"/>
    <mergeCell ref="H7009:H7011"/>
    <mergeCell ref="I7009:I7011"/>
    <mergeCell ref="J7009:J7011"/>
    <mergeCell ref="K7009:K7011"/>
    <mergeCell ref="L7009:L7011"/>
    <mergeCell ref="M7009:M7011"/>
    <mergeCell ref="N7009:N7011"/>
    <mergeCell ref="A7013:A7018"/>
    <mergeCell ref="B7013:B7018"/>
    <mergeCell ref="C7013:C7018"/>
    <mergeCell ref="D7013:D7018"/>
    <mergeCell ref="E7013:E7018"/>
    <mergeCell ref="F7013:F7018"/>
    <mergeCell ref="G7013:G7018"/>
    <mergeCell ref="H7013:H7018"/>
    <mergeCell ref="I7013:I7018"/>
    <mergeCell ref="J7013:J7018"/>
    <mergeCell ref="K7013:K7018"/>
    <mergeCell ref="L7013:L7018"/>
    <mergeCell ref="M7013:M7018"/>
    <mergeCell ref="N7013:N7018"/>
    <mergeCell ref="A7019:A7020"/>
    <mergeCell ref="B7019:B7020"/>
    <mergeCell ref="C7019:C7020"/>
    <mergeCell ref="D7019:D7020"/>
    <mergeCell ref="E7019:E7020"/>
    <mergeCell ref="F7019:F7020"/>
    <mergeCell ref="G7019:G7020"/>
    <mergeCell ref="H7019:H7020"/>
    <mergeCell ref="I7019:I7020"/>
    <mergeCell ref="J7019:J7020"/>
    <mergeCell ref="K7019:K7020"/>
    <mergeCell ref="L7019:L7020"/>
    <mergeCell ref="M7019:M7020"/>
    <mergeCell ref="N7019:N7020"/>
    <mergeCell ref="A7023:A7024"/>
    <mergeCell ref="B7023:B7024"/>
    <mergeCell ref="C7023:C7024"/>
    <mergeCell ref="D7023:D7024"/>
    <mergeCell ref="E7023:E7024"/>
    <mergeCell ref="F7023:F7024"/>
    <mergeCell ref="G7023:G7024"/>
    <mergeCell ref="H7023:H7024"/>
    <mergeCell ref="I7023:I7024"/>
    <mergeCell ref="J7023:J7024"/>
    <mergeCell ref="K7023:K7024"/>
    <mergeCell ref="L7023:L7024"/>
    <mergeCell ref="M7023:M7024"/>
    <mergeCell ref="N7023:N7024"/>
    <mergeCell ref="A7026:A7027"/>
    <mergeCell ref="B7026:B7027"/>
    <mergeCell ref="C7026:C7027"/>
    <mergeCell ref="D7026:D7027"/>
    <mergeCell ref="E7026:E7027"/>
    <mergeCell ref="F7026:F7027"/>
    <mergeCell ref="G7026:G7027"/>
    <mergeCell ref="H7026:H7027"/>
    <mergeCell ref="I7026:I7027"/>
    <mergeCell ref="J7026:J7027"/>
    <mergeCell ref="K7026:K7027"/>
    <mergeCell ref="L7026:L7027"/>
    <mergeCell ref="M7026:M7027"/>
    <mergeCell ref="N7026:N7027"/>
    <mergeCell ref="A7028:A7035"/>
    <mergeCell ref="B7028:B7035"/>
    <mergeCell ref="C7028:C7035"/>
    <mergeCell ref="D7028:D7035"/>
    <mergeCell ref="E7028:E7035"/>
    <mergeCell ref="F7028:F7035"/>
    <mergeCell ref="G7028:G7035"/>
    <mergeCell ref="H7028:H7035"/>
    <mergeCell ref="I7028:I7035"/>
    <mergeCell ref="J7028:J7035"/>
    <mergeCell ref="K7028:K7035"/>
    <mergeCell ref="L7028:L7035"/>
    <mergeCell ref="M7028:M7035"/>
    <mergeCell ref="N7028:N7035"/>
    <mergeCell ref="A7036:A7037"/>
    <mergeCell ref="B7036:B7037"/>
    <mergeCell ref="C7036:C7037"/>
    <mergeCell ref="D7036:D7037"/>
    <mergeCell ref="E7036:E7037"/>
    <mergeCell ref="F7036:F7037"/>
    <mergeCell ref="G7036:G7037"/>
    <mergeCell ref="H7036:H7037"/>
    <mergeCell ref="I7036:I7037"/>
    <mergeCell ref="J7036:J7037"/>
    <mergeCell ref="K7036:K7037"/>
    <mergeCell ref="L7036:L7037"/>
    <mergeCell ref="M7036:M7037"/>
    <mergeCell ref="N7036:N7037"/>
    <mergeCell ref="A7038:A7040"/>
    <mergeCell ref="B7038:B7040"/>
    <mergeCell ref="C7038:C7040"/>
    <mergeCell ref="D7038:D7040"/>
    <mergeCell ref="E7038:E7040"/>
    <mergeCell ref="F7038:F7040"/>
    <mergeCell ref="G7038:G7040"/>
    <mergeCell ref="H7038:H7040"/>
    <mergeCell ref="I7038:I7040"/>
    <mergeCell ref="J7038:J7040"/>
    <mergeCell ref="K7038:K7040"/>
    <mergeCell ref="L7038:L7040"/>
    <mergeCell ref="M7038:M7040"/>
    <mergeCell ref="N7038:N7040"/>
    <mergeCell ref="A7045:A7047"/>
    <mergeCell ref="B7045:B7047"/>
    <mergeCell ref="C7045:C7047"/>
    <mergeCell ref="D7045:D7047"/>
    <mergeCell ref="E7045:E7047"/>
    <mergeCell ref="F7045:F7047"/>
    <mergeCell ref="G7045:G7047"/>
    <mergeCell ref="H7045:H7047"/>
    <mergeCell ref="I7045:I7047"/>
    <mergeCell ref="J7045:J7047"/>
    <mergeCell ref="K7045:K7047"/>
    <mergeCell ref="L7045:L7047"/>
    <mergeCell ref="M7045:M7047"/>
    <mergeCell ref="N7045:N7047"/>
    <mergeCell ref="A7048:A7050"/>
    <mergeCell ref="B7048:B7050"/>
    <mergeCell ref="C7048:C7050"/>
    <mergeCell ref="D7048:D7050"/>
    <mergeCell ref="E7048:E7050"/>
    <mergeCell ref="F7048:F7050"/>
    <mergeCell ref="G7048:G7050"/>
    <mergeCell ref="H7048:H7050"/>
    <mergeCell ref="I7048:I7050"/>
    <mergeCell ref="J7048:J7050"/>
    <mergeCell ref="K7048:K7050"/>
    <mergeCell ref="L7048:L7050"/>
    <mergeCell ref="M7048:M7050"/>
    <mergeCell ref="N7048:N7050"/>
    <mergeCell ref="A7054:A7056"/>
    <mergeCell ref="B7054:B7056"/>
    <mergeCell ref="C7054:C7056"/>
    <mergeCell ref="D7054:D7056"/>
    <mergeCell ref="E7054:E7056"/>
    <mergeCell ref="F7054:F7056"/>
    <mergeCell ref="G7054:G7056"/>
    <mergeCell ref="H7054:H7056"/>
    <mergeCell ref="I7054:I7056"/>
    <mergeCell ref="J7054:J7056"/>
    <mergeCell ref="K7054:K7056"/>
    <mergeCell ref="L7054:L7056"/>
    <mergeCell ref="M7054:M7056"/>
    <mergeCell ref="N7054:N7056"/>
    <mergeCell ref="A7060:A7062"/>
    <mergeCell ref="B7060:B7062"/>
    <mergeCell ref="C7060:C7062"/>
    <mergeCell ref="D7060:D7062"/>
    <mergeCell ref="E7060:E7062"/>
    <mergeCell ref="F7060:F7062"/>
    <mergeCell ref="G7060:G7062"/>
    <mergeCell ref="H7060:H7062"/>
    <mergeCell ref="I7060:I7062"/>
    <mergeCell ref="J7060:J7062"/>
    <mergeCell ref="K7060:K7062"/>
    <mergeCell ref="L7060:L7062"/>
    <mergeCell ref="M7060:M7062"/>
    <mergeCell ref="N7060:N7062"/>
    <mergeCell ref="A7064:A7065"/>
    <mergeCell ref="B7064:B7065"/>
    <mergeCell ref="C7064:C7065"/>
    <mergeCell ref="D7064:D7065"/>
    <mergeCell ref="E7064:E7065"/>
    <mergeCell ref="F7064:F7065"/>
    <mergeCell ref="G7064:G7065"/>
    <mergeCell ref="H7064:H7065"/>
    <mergeCell ref="I7064:I7065"/>
    <mergeCell ref="J7064:J7065"/>
    <mergeCell ref="K7064:K7065"/>
    <mergeCell ref="L7064:L7065"/>
    <mergeCell ref="M7064:M7065"/>
    <mergeCell ref="N7064:N7065"/>
    <mergeCell ref="A7067:A7068"/>
    <mergeCell ref="B7067:B7068"/>
    <mergeCell ref="C7067:C7068"/>
    <mergeCell ref="D7067:D7068"/>
    <mergeCell ref="E7067:E7068"/>
    <mergeCell ref="F7067:F7068"/>
    <mergeCell ref="G7067:G7068"/>
    <mergeCell ref="H7067:H7068"/>
    <mergeCell ref="I7067:I7068"/>
    <mergeCell ref="J7067:J7068"/>
    <mergeCell ref="K7067:K7068"/>
    <mergeCell ref="L7067:L7068"/>
    <mergeCell ref="M7067:M7068"/>
    <mergeCell ref="N7067:N7068"/>
    <mergeCell ref="A7071:A7074"/>
    <mergeCell ref="B7071:B7074"/>
    <mergeCell ref="C7071:C7074"/>
    <mergeCell ref="D7071:D7074"/>
    <mergeCell ref="E7071:E7074"/>
    <mergeCell ref="F7071:F7074"/>
    <mergeCell ref="G7071:G7074"/>
    <mergeCell ref="H7071:H7074"/>
    <mergeCell ref="I7071:I7074"/>
    <mergeCell ref="J7071:J7074"/>
    <mergeCell ref="K7071:K7074"/>
    <mergeCell ref="L7071:L7074"/>
    <mergeCell ref="M7071:M7074"/>
    <mergeCell ref="N7071:N7074"/>
    <mergeCell ref="A7075:A7077"/>
    <mergeCell ref="B7075:B7077"/>
    <mergeCell ref="C7075:C7077"/>
    <mergeCell ref="D7075:D7077"/>
    <mergeCell ref="E7075:E7077"/>
    <mergeCell ref="F7075:F7077"/>
    <mergeCell ref="G7075:G7077"/>
    <mergeCell ref="H7075:H7077"/>
    <mergeCell ref="I7075:I7077"/>
    <mergeCell ref="J7075:J7077"/>
    <mergeCell ref="K7075:K7077"/>
    <mergeCell ref="L7075:L7077"/>
    <mergeCell ref="M7075:M7077"/>
    <mergeCell ref="N7075:N7077"/>
    <mergeCell ref="A7078:A7079"/>
    <mergeCell ref="B7078:B7079"/>
    <mergeCell ref="C7078:C7079"/>
    <mergeCell ref="D7078:D7079"/>
    <mergeCell ref="E7078:E7079"/>
    <mergeCell ref="F7078:F7079"/>
    <mergeCell ref="G7078:G7079"/>
    <mergeCell ref="H7078:H7079"/>
    <mergeCell ref="I7078:I7079"/>
    <mergeCell ref="J7078:J7079"/>
    <mergeCell ref="K7078:K7079"/>
    <mergeCell ref="L7078:L7079"/>
    <mergeCell ref="M7078:M7079"/>
    <mergeCell ref="N7078:N7079"/>
    <mergeCell ref="A7081:A7082"/>
    <mergeCell ref="B7081:B7082"/>
    <mergeCell ref="C7081:C7082"/>
    <mergeCell ref="D7081:D7082"/>
    <mergeCell ref="E7081:E7082"/>
    <mergeCell ref="F7081:F7082"/>
    <mergeCell ref="G7081:G7082"/>
    <mergeCell ref="H7081:H7082"/>
    <mergeCell ref="I7081:I7082"/>
    <mergeCell ref="J7081:J7082"/>
    <mergeCell ref="K7081:K7082"/>
    <mergeCell ref="L7081:L7082"/>
    <mergeCell ref="M7081:M7082"/>
    <mergeCell ref="N7081:N7082"/>
    <mergeCell ref="A7085:A7086"/>
    <mergeCell ref="B7085:B7086"/>
    <mergeCell ref="C7085:C7086"/>
    <mergeCell ref="D7085:D7086"/>
    <mergeCell ref="E7085:E7086"/>
    <mergeCell ref="F7085:F7086"/>
    <mergeCell ref="G7085:G7086"/>
    <mergeCell ref="H7085:H7086"/>
    <mergeCell ref="I7085:I7086"/>
    <mergeCell ref="J7085:J7086"/>
    <mergeCell ref="K7085:K7086"/>
    <mergeCell ref="L7085:L7086"/>
    <mergeCell ref="M7085:M7086"/>
    <mergeCell ref="N7085:N7086"/>
    <mergeCell ref="A7087:A7090"/>
    <mergeCell ref="B7087:B7090"/>
    <mergeCell ref="C7087:C7090"/>
    <mergeCell ref="D7087:D7090"/>
    <mergeCell ref="E7087:E7090"/>
    <mergeCell ref="F7087:F7090"/>
    <mergeCell ref="G7087:G7090"/>
    <mergeCell ref="H7087:H7090"/>
    <mergeCell ref="I7087:I7090"/>
    <mergeCell ref="J7087:J7090"/>
    <mergeCell ref="K7087:K7090"/>
    <mergeCell ref="L7087:L7090"/>
    <mergeCell ref="M7087:M7090"/>
    <mergeCell ref="N7087:N7090"/>
    <mergeCell ref="A7091:A7092"/>
    <mergeCell ref="B7091:B7092"/>
    <mergeCell ref="C7091:C7092"/>
    <mergeCell ref="D7091:D7092"/>
    <mergeCell ref="E7091:E7092"/>
    <mergeCell ref="F7091:F7092"/>
    <mergeCell ref="G7091:G7092"/>
    <mergeCell ref="H7091:H7092"/>
    <mergeCell ref="I7091:I7092"/>
    <mergeCell ref="J7091:J7092"/>
    <mergeCell ref="K7091:K7092"/>
    <mergeCell ref="L7091:L7092"/>
    <mergeCell ref="M7091:M7092"/>
    <mergeCell ref="N7091:N7092"/>
    <mergeCell ref="A7094:A7095"/>
    <mergeCell ref="B7094:B7095"/>
    <mergeCell ref="C7094:C7095"/>
    <mergeCell ref="D7094:D7095"/>
    <mergeCell ref="E7094:E7095"/>
    <mergeCell ref="F7094:F7095"/>
    <mergeCell ref="G7094:G7095"/>
    <mergeCell ref="H7094:H7095"/>
    <mergeCell ref="I7094:I7095"/>
    <mergeCell ref="J7094:J7095"/>
    <mergeCell ref="K7094:K7095"/>
    <mergeCell ref="L7094:L7095"/>
    <mergeCell ref="M7094:M7095"/>
    <mergeCell ref="N7094:N7095"/>
    <mergeCell ref="A7096:A7098"/>
    <mergeCell ref="B7096:B7098"/>
    <mergeCell ref="C7096:C7098"/>
    <mergeCell ref="D7096:D7098"/>
    <mergeCell ref="E7096:E7098"/>
    <mergeCell ref="F7096:F7098"/>
    <mergeCell ref="G7096:G7098"/>
    <mergeCell ref="H7096:H7098"/>
    <mergeCell ref="I7096:I7098"/>
    <mergeCell ref="J7096:J7098"/>
    <mergeCell ref="K7096:K7098"/>
    <mergeCell ref="L7096:L7098"/>
    <mergeCell ref="M7096:M7098"/>
    <mergeCell ref="N7096:N7098"/>
    <mergeCell ref="A7099:A7101"/>
    <mergeCell ref="B7099:B7101"/>
    <mergeCell ref="C7099:C7101"/>
    <mergeCell ref="D7099:D7101"/>
    <mergeCell ref="E7099:E7101"/>
    <mergeCell ref="F7099:F7101"/>
    <mergeCell ref="G7099:G7101"/>
    <mergeCell ref="H7099:H7101"/>
    <mergeCell ref="I7099:I7101"/>
    <mergeCell ref="J7099:J7101"/>
    <mergeCell ref="K7099:K7101"/>
    <mergeCell ref="L7099:L7101"/>
    <mergeCell ref="M7099:M7101"/>
    <mergeCell ref="N7099:N7101"/>
    <mergeCell ref="A7106:A7107"/>
    <mergeCell ref="B7106:B7107"/>
    <mergeCell ref="C7106:C7107"/>
    <mergeCell ref="D7106:D7107"/>
    <mergeCell ref="E7106:E7107"/>
    <mergeCell ref="F7106:F7107"/>
    <mergeCell ref="G7106:G7107"/>
    <mergeCell ref="H7106:H7107"/>
    <mergeCell ref="I7106:I7107"/>
    <mergeCell ref="J7106:J7107"/>
    <mergeCell ref="K7106:K7107"/>
    <mergeCell ref="L7106:L7107"/>
    <mergeCell ref="M7106:M7107"/>
    <mergeCell ref="N7106:N7107"/>
    <mergeCell ref="A7108:A7115"/>
    <mergeCell ref="B7108:B7115"/>
    <mergeCell ref="C7108:C7115"/>
    <mergeCell ref="D7108:D7115"/>
    <mergeCell ref="E7108:E7115"/>
    <mergeCell ref="F7108:F7115"/>
    <mergeCell ref="G7108:G7115"/>
    <mergeCell ref="H7108:H7115"/>
    <mergeCell ref="I7108:I7115"/>
    <mergeCell ref="J7108:J7115"/>
    <mergeCell ref="K7108:K7115"/>
    <mergeCell ref="L7108:L7115"/>
    <mergeCell ref="M7108:M7115"/>
    <mergeCell ref="N7108:N7115"/>
    <mergeCell ref="A7117:A7118"/>
    <mergeCell ref="B7117:B7118"/>
    <mergeCell ref="C7117:C7118"/>
    <mergeCell ref="D7117:D7118"/>
    <mergeCell ref="E7117:E7118"/>
    <mergeCell ref="F7117:F7118"/>
    <mergeCell ref="G7117:G7118"/>
    <mergeCell ref="H7117:H7118"/>
    <mergeCell ref="I7117:I7118"/>
    <mergeCell ref="J7117:J7118"/>
    <mergeCell ref="K7117:K7118"/>
    <mergeCell ref="L7117:L7118"/>
    <mergeCell ref="M7117:M7118"/>
    <mergeCell ref="N7117:N7118"/>
    <mergeCell ref="A7119:A7120"/>
    <mergeCell ref="B7119:B7120"/>
    <mergeCell ref="C7119:C7120"/>
    <mergeCell ref="D7119:D7120"/>
    <mergeCell ref="E7119:E7120"/>
    <mergeCell ref="F7119:F7120"/>
    <mergeCell ref="G7119:G7120"/>
    <mergeCell ref="H7119:H7120"/>
    <mergeCell ref="I7119:I7120"/>
    <mergeCell ref="J7119:J7120"/>
    <mergeCell ref="K7119:K7120"/>
    <mergeCell ref="L7119:L7120"/>
    <mergeCell ref="M7119:M7120"/>
    <mergeCell ref="N7119:N7120"/>
    <mergeCell ref="A7121:A7126"/>
    <mergeCell ref="B7121:B7126"/>
    <mergeCell ref="C7121:C7126"/>
    <mergeCell ref="D7121:D7126"/>
    <mergeCell ref="E7121:E7126"/>
    <mergeCell ref="F7121:F7126"/>
    <mergeCell ref="G7121:G7126"/>
    <mergeCell ref="H7121:H7126"/>
    <mergeCell ref="I7121:I7126"/>
    <mergeCell ref="J7121:J7126"/>
    <mergeCell ref="K7121:K7126"/>
    <mergeCell ref="L7121:L7126"/>
    <mergeCell ref="M7121:M7126"/>
    <mergeCell ref="N7121:N7126"/>
    <mergeCell ref="A7127:A7128"/>
    <mergeCell ref="B7127:B7128"/>
    <mergeCell ref="C7127:C7128"/>
    <mergeCell ref="D7127:D7128"/>
    <mergeCell ref="E7127:E7128"/>
    <mergeCell ref="F7127:F7128"/>
    <mergeCell ref="G7127:G7128"/>
    <mergeCell ref="H7127:H7128"/>
    <mergeCell ref="I7127:I7128"/>
    <mergeCell ref="J7127:J7128"/>
    <mergeCell ref="K7127:K7128"/>
    <mergeCell ref="L7127:L7128"/>
    <mergeCell ref="M7127:M7128"/>
    <mergeCell ref="N7127:N7128"/>
    <mergeCell ref="A7131:A7132"/>
    <mergeCell ref="B7131:B7132"/>
    <mergeCell ref="C7131:C7132"/>
    <mergeCell ref="D7131:D7132"/>
    <mergeCell ref="E7131:E7132"/>
    <mergeCell ref="F7131:F7132"/>
    <mergeCell ref="G7131:G7132"/>
    <mergeCell ref="H7131:H7132"/>
    <mergeCell ref="I7131:I7132"/>
    <mergeCell ref="J7131:J7132"/>
    <mergeCell ref="K7131:K7132"/>
    <mergeCell ref="L7131:L7132"/>
    <mergeCell ref="M7131:M7132"/>
    <mergeCell ref="N7131:N7132"/>
    <mergeCell ref="A7133:A7135"/>
    <mergeCell ref="B7133:B7135"/>
    <mergeCell ref="C7133:C7135"/>
    <mergeCell ref="D7133:D7135"/>
    <mergeCell ref="E7133:E7135"/>
    <mergeCell ref="F7133:F7135"/>
    <mergeCell ref="G7133:G7135"/>
    <mergeCell ref="H7133:H7135"/>
    <mergeCell ref="I7133:I7135"/>
    <mergeCell ref="J7133:J7135"/>
    <mergeCell ref="K7133:K7135"/>
    <mergeCell ref="L7133:L7135"/>
    <mergeCell ref="M7133:M7135"/>
    <mergeCell ref="N7133:N7135"/>
    <mergeCell ref="A7136:A7137"/>
    <mergeCell ref="B7136:B7137"/>
    <mergeCell ref="C7136:C7137"/>
    <mergeCell ref="D7136:D7137"/>
    <mergeCell ref="E7136:E7137"/>
    <mergeCell ref="F7136:F7137"/>
    <mergeCell ref="G7136:G7137"/>
    <mergeCell ref="H7136:H7137"/>
    <mergeCell ref="I7136:I7137"/>
    <mergeCell ref="J7136:J7137"/>
    <mergeCell ref="K7136:K7137"/>
    <mergeCell ref="L7136:L7137"/>
    <mergeCell ref="M7136:M7137"/>
    <mergeCell ref="N7136:N7137"/>
    <mergeCell ref="A7138:A7139"/>
    <mergeCell ref="B7138:B7139"/>
    <mergeCell ref="C7138:C7139"/>
    <mergeCell ref="D7138:D7139"/>
    <mergeCell ref="E7138:E7139"/>
    <mergeCell ref="F7138:F7139"/>
    <mergeCell ref="G7138:G7139"/>
    <mergeCell ref="H7138:H7139"/>
    <mergeCell ref="I7138:I7139"/>
    <mergeCell ref="J7138:J7139"/>
    <mergeCell ref="K7138:K7139"/>
    <mergeCell ref="L7138:L7139"/>
    <mergeCell ref="M7138:M7139"/>
    <mergeCell ref="N7138:N7139"/>
    <mergeCell ref="A7141:A7142"/>
    <mergeCell ref="B7141:B7142"/>
    <mergeCell ref="C7141:C7142"/>
    <mergeCell ref="D7141:D7142"/>
    <mergeCell ref="E7141:E7142"/>
    <mergeCell ref="F7141:F7142"/>
    <mergeCell ref="G7141:G7142"/>
    <mergeCell ref="H7141:H7142"/>
    <mergeCell ref="I7141:I7142"/>
    <mergeCell ref="J7141:J7142"/>
    <mergeCell ref="K7141:K7142"/>
    <mergeCell ref="L7141:L7142"/>
    <mergeCell ref="M7141:M7142"/>
    <mergeCell ref="N7141:N7142"/>
    <mergeCell ref="A7143:A7145"/>
    <mergeCell ref="B7143:B7145"/>
    <mergeCell ref="C7143:C7145"/>
    <mergeCell ref="D7143:D7145"/>
    <mergeCell ref="E7143:E7145"/>
    <mergeCell ref="F7143:F7145"/>
    <mergeCell ref="G7143:G7145"/>
    <mergeCell ref="H7143:H7145"/>
    <mergeCell ref="I7143:I7145"/>
    <mergeCell ref="J7143:J7145"/>
    <mergeCell ref="K7143:K7145"/>
    <mergeCell ref="L7143:L7145"/>
    <mergeCell ref="M7143:M7145"/>
    <mergeCell ref="N7143:N7145"/>
    <mergeCell ref="A7148:A7149"/>
    <mergeCell ref="B7148:B7149"/>
    <mergeCell ref="C7148:C7149"/>
    <mergeCell ref="D7148:D7149"/>
    <mergeCell ref="E7148:E7149"/>
    <mergeCell ref="F7148:F7149"/>
    <mergeCell ref="G7148:G7149"/>
    <mergeCell ref="H7148:H7149"/>
    <mergeCell ref="I7148:I7149"/>
    <mergeCell ref="J7148:J7149"/>
    <mergeCell ref="K7148:K7149"/>
    <mergeCell ref="L7148:L7149"/>
    <mergeCell ref="M7148:M7149"/>
    <mergeCell ref="N7148:N7149"/>
    <mergeCell ref="A7150:A7152"/>
    <mergeCell ref="B7150:B7152"/>
    <mergeCell ref="C7150:C7152"/>
    <mergeCell ref="D7150:D7152"/>
    <mergeCell ref="E7150:E7152"/>
    <mergeCell ref="F7150:F7152"/>
    <mergeCell ref="G7150:G7152"/>
    <mergeCell ref="H7150:H7152"/>
    <mergeCell ref="I7150:I7152"/>
    <mergeCell ref="J7150:J7152"/>
    <mergeCell ref="K7150:K7152"/>
    <mergeCell ref="L7150:L7152"/>
    <mergeCell ref="M7150:M7152"/>
    <mergeCell ref="N7150:N7152"/>
    <mergeCell ref="A7153:A7155"/>
    <mergeCell ref="B7153:B7155"/>
    <mergeCell ref="C7153:C7155"/>
    <mergeCell ref="D7153:D7155"/>
    <mergeCell ref="E7153:E7155"/>
    <mergeCell ref="F7153:F7155"/>
    <mergeCell ref="G7153:G7155"/>
    <mergeCell ref="H7153:H7155"/>
    <mergeCell ref="I7153:I7155"/>
    <mergeCell ref="J7153:J7155"/>
    <mergeCell ref="K7153:K7155"/>
    <mergeCell ref="L7153:L7155"/>
    <mergeCell ref="M7153:M7155"/>
    <mergeCell ref="N7153:N7155"/>
    <mergeCell ref="A7156:A7158"/>
    <mergeCell ref="B7156:B7158"/>
    <mergeCell ref="C7156:C7158"/>
    <mergeCell ref="D7156:D7158"/>
    <mergeCell ref="E7156:E7158"/>
    <mergeCell ref="F7156:F7158"/>
    <mergeCell ref="G7156:G7158"/>
    <mergeCell ref="H7156:H7158"/>
    <mergeCell ref="I7156:I7158"/>
    <mergeCell ref="J7156:J7158"/>
    <mergeCell ref="K7156:K7158"/>
    <mergeCell ref="L7156:L7158"/>
    <mergeCell ref="M7156:M7158"/>
    <mergeCell ref="N7156:N7158"/>
    <mergeCell ref="A7159:A7160"/>
    <mergeCell ref="B7159:B7160"/>
    <mergeCell ref="C7159:C7160"/>
    <mergeCell ref="D7159:D7160"/>
    <mergeCell ref="E7159:E7160"/>
    <mergeCell ref="F7159:F7160"/>
    <mergeCell ref="G7159:G7160"/>
    <mergeCell ref="H7159:H7160"/>
    <mergeCell ref="I7159:I7160"/>
    <mergeCell ref="J7159:J7160"/>
    <mergeCell ref="K7159:K7160"/>
    <mergeCell ref="L7159:L7160"/>
    <mergeCell ref="M7159:M7160"/>
    <mergeCell ref="N7159:N7160"/>
    <mergeCell ref="A7161:A7162"/>
    <mergeCell ref="B7161:B7162"/>
    <mergeCell ref="C7161:C7162"/>
    <mergeCell ref="D7161:D7162"/>
    <mergeCell ref="E7161:E7162"/>
    <mergeCell ref="F7161:F7162"/>
    <mergeCell ref="G7161:G7162"/>
    <mergeCell ref="H7161:H7162"/>
    <mergeCell ref="I7161:I7162"/>
    <mergeCell ref="J7161:J7162"/>
    <mergeCell ref="K7161:K7162"/>
    <mergeCell ref="L7161:L7162"/>
    <mergeCell ref="M7161:M7162"/>
    <mergeCell ref="N7161:N7162"/>
    <mergeCell ref="A7163:A7170"/>
    <mergeCell ref="B7163:B7170"/>
    <mergeCell ref="C7163:C7170"/>
    <mergeCell ref="D7163:D7170"/>
    <mergeCell ref="E7163:E7170"/>
    <mergeCell ref="F7163:F7170"/>
    <mergeCell ref="G7163:G7170"/>
    <mergeCell ref="H7163:H7170"/>
    <mergeCell ref="I7163:I7170"/>
    <mergeCell ref="J7163:J7170"/>
    <mergeCell ref="K7163:K7170"/>
    <mergeCell ref="L7163:L7170"/>
    <mergeCell ref="M7163:M7170"/>
    <mergeCell ref="N7163:N7170"/>
    <mergeCell ref="A7171:A7173"/>
    <mergeCell ref="B7171:B7173"/>
    <mergeCell ref="C7171:C7173"/>
    <mergeCell ref="D7171:D7173"/>
    <mergeCell ref="E7171:E7173"/>
    <mergeCell ref="F7171:F7173"/>
    <mergeCell ref="G7171:G7173"/>
    <mergeCell ref="H7171:H7173"/>
    <mergeCell ref="I7171:I7173"/>
    <mergeCell ref="J7171:J7173"/>
    <mergeCell ref="K7171:K7173"/>
    <mergeCell ref="L7171:L7173"/>
    <mergeCell ref="M7171:M7173"/>
    <mergeCell ref="N7171:N7173"/>
    <mergeCell ref="A7175:A7179"/>
    <mergeCell ref="B7175:B7179"/>
    <mergeCell ref="C7175:C7179"/>
    <mergeCell ref="D7175:D7179"/>
    <mergeCell ref="E7175:E7179"/>
    <mergeCell ref="F7175:F7179"/>
    <mergeCell ref="G7175:G7179"/>
    <mergeCell ref="H7175:H7179"/>
    <mergeCell ref="I7175:I7179"/>
    <mergeCell ref="J7175:J7179"/>
    <mergeCell ref="K7175:K7179"/>
    <mergeCell ref="L7175:L7179"/>
    <mergeCell ref="M7175:M7179"/>
    <mergeCell ref="N7175:N7179"/>
    <mergeCell ref="A7180:A7181"/>
    <mergeCell ref="B7180:B7181"/>
    <mergeCell ref="C7180:C7181"/>
    <mergeCell ref="D7180:D7181"/>
    <mergeCell ref="E7180:E7181"/>
    <mergeCell ref="F7180:F7181"/>
    <mergeCell ref="G7180:G7181"/>
    <mergeCell ref="H7180:H7181"/>
    <mergeCell ref="I7180:I7181"/>
    <mergeCell ref="J7180:J7181"/>
    <mergeCell ref="K7180:K7181"/>
    <mergeCell ref="L7180:L7181"/>
    <mergeCell ref="M7180:M7181"/>
    <mergeCell ref="N7180:N7181"/>
    <mergeCell ref="A7183:A7184"/>
    <mergeCell ref="B7183:B7184"/>
    <mergeCell ref="C7183:C7184"/>
    <mergeCell ref="D7183:D7184"/>
    <mergeCell ref="E7183:E7184"/>
    <mergeCell ref="F7183:F7184"/>
    <mergeCell ref="G7183:G7184"/>
    <mergeCell ref="H7183:H7184"/>
    <mergeCell ref="I7183:I7184"/>
    <mergeCell ref="J7183:J7184"/>
    <mergeCell ref="K7183:K7184"/>
    <mergeCell ref="L7183:L7184"/>
    <mergeCell ref="M7183:M7184"/>
    <mergeCell ref="N7183:N7184"/>
    <mergeCell ref="A7185:A7187"/>
    <mergeCell ref="B7185:B7187"/>
    <mergeCell ref="C7185:C7187"/>
    <mergeCell ref="D7185:D7187"/>
    <mergeCell ref="E7185:E7187"/>
    <mergeCell ref="F7185:F7187"/>
    <mergeCell ref="G7185:G7187"/>
    <mergeCell ref="H7185:H7187"/>
    <mergeCell ref="I7185:I7187"/>
    <mergeCell ref="J7185:J7187"/>
    <mergeCell ref="K7185:K7187"/>
    <mergeCell ref="L7185:L7187"/>
    <mergeCell ref="M7185:M7187"/>
    <mergeCell ref="N7185:N7187"/>
    <mergeCell ref="A7188:A7190"/>
    <mergeCell ref="B7188:B7190"/>
    <mergeCell ref="C7188:C7190"/>
    <mergeCell ref="D7188:D7190"/>
    <mergeCell ref="E7188:E7190"/>
    <mergeCell ref="F7188:F7190"/>
    <mergeCell ref="G7188:G7190"/>
    <mergeCell ref="H7188:H7190"/>
    <mergeCell ref="I7188:I7190"/>
    <mergeCell ref="J7188:J7190"/>
    <mergeCell ref="K7188:K7190"/>
    <mergeCell ref="L7188:L7190"/>
    <mergeCell ref="M7188:M7190"/>
    <mergeCell ref="N7188:N7190"/>
    <mergeCell ref="A7193:A7197"/>
    <mergeCell ref="B7193:B7197"/>
    <mergeCell ref="C7193:C7197"/>
    <mergeCell ref="D7193:D7197"/>
    <mergeCell ref="E7193:E7197"/>
    <mergeCell ref="F7193:F7197"/>
    <mergeCell ref="G7193:G7197"/>
    <mergeCell ref="H7193:H7197"/>
    <mergeCell ref="I7193:I7197"/>
    <mergeCell ref="J7193:J7197"/>
    <mergeCell ref="K7193:K7197"/>
    <mergeCell ref="L7193:L7197"/>
    <mergeCell ref="M7193:M7197"/>
    <mergeCell ref="N7193:N7197"/>
    <mergeCell ref="A7198:A7199"/>
    <mergeCell ref="B7198:B7199"/>
    <mergeCell ref="C7198:C7199"/>
    <mergeCell ref="D7198:D7199"/>
    <mergeCell ref="E7198:E7199"/>
    <mergeCell ref="F7198:F7199"/>
    <mergeCell ref="G7198:G7199"/>
    <mergeCell ref="H7198:H7199"/>
    <mergeCell ref="I7198:I7199"/>
    <mergeCell ref="J7198:J7199"/>
    <mergeCell ref="K7198:K7199"/>
    <mergeCell ref="L7198:L7199"/>
    <mergeCell ref="M7198:M7199"/>
    <mergeCell ref="N7198:N7199"/>
    <mergeCell ref="A7201:A7202"/>
    <mergeCell ref="B7201:B7202"/>
    <mergeCell ref="C7201:C7202"/>
    <mergeCell ref="D7201:D7202"/>
    <mergeCell ref="E7201:E7202"/>
    <mergeCell ref="F7201:F7202"/>
    <mergeCell ref="G7201:G7202"/>
    <mergeCell ref="H7201:H7202"/>
    <mergeCell ref="I7201:I7202"/>
    <mergeCell ref="J7201:J7202"/>
    <mergeCell ref="K7201:K7202"/>
    <mergeCell ref="L7201:L7202"/>
    <mergeCell ref="M7201:M7202"/>
    <mergeCell ref="N7201:N7202"/>
    <mergeCell ref="A7203:A7205"/>
    <mergeCell ref="B7203:B7205"/>
    <mergeCell ref="C7203:C7205"/>
    <mergeCell ref="D7203:D7205"/>
    <mergeCell ref="E7203:E7205"/>
    <mergeCell ref="F7203:F7205"/>
    <mergeCell ref="G7203:G7205"/>
    <mergeCell ref="H7203:H7205"/>
    <mergeCell ref="I7203:I7205"/>
    <mergeCell ref="J7203:J7205"/>
    <mergeCell ref="K7203:K7205"/>
    <mergeCell ref="L7203:L7205"/>
    <mergeCell ref="M7203:M7205"/>
    <mergeCell ref="N7203:N7205"/>
    <mergeCell ref="A7207:A7209"/>
    <mergeCell ref="B7207:B7209"/>
    <mergeCell ref="C7207:C7209"/>
    <mergeCell ref="D7207:D7209"/>
    <mergeCell ref="E7207:E7209"/>
    <mergeCell ref="F7207:F7209"/>
    <mergeCell ref="G7207:G7209"/>
    <mergeCell ref="H7207:H7209"/>
    <mergeCell ref="I7207:I7209"/>
    <mergeCell ref="J7207:J7209"/>
    <mergeCell ref="K7207:K7209"/>
    <mergeCell ref="L7207:L7209"/>
    <mergeCell ref="M7207:M7209"/>
    <mergeCell ref="N7207:N7209"/>
    <mergeCell ref="A7210:A7219"/>
    <mergeCell ref="B7210:B7219"/>
    <mergeCell ref="C7210:C7219"/>
    <mergeCell ref="D7210:D7219"/>
    <mergeCell ref="E7210:E7219"/>
    <mergeCell ref="F7210:F7219"/>
    <mergeCell ref="G7210:G7219"/>
    <mergeCell ref="H7210:H7219"/>
    <mergeCell ref="I7210:I7219"/>
    <mergeCell ref="J7210:J7219"/>
    <mergeCell ref="K7210:K7219"/>
    <mergeCell ref="L7210:L7219"/>
    <mergeCell ref="M7210:M7219"/>
    <mergeCell ref="N7210:N7219"/>
    <mergeCell ref="A7221:A7223"/>
    <mergeCell ref="B7221:B7223"/>
    <mergeCell ref="C7221:C7223"/>
    <mergeCell ref="D7221:D7223"/>
    <mergeCell ref="E7221:E7223"/>
    <mergeCell ref="F7221:F7223"/>
    <mergeCell ref="G7221:G7223"/>
    <mergeCell ref="H7221:H7223"/>
    <mergeCell ref="I7221:I7223"/>
    <mergeCell ref="J7221:J7223"/>
    <mergeCell ref="K7221:K7223"/>
    <mergeCell ref="L7221:L7223"/>
    <mergeCell ref="M7221:M7223"/>
    <mergeCell ref="N7221:N7223"/>
    <mergeCell ref="A7224:A7226"/>
    <mergeCell ref="B7224:B7226"/>
    <mergeCell ref="C7224:C7226"/>
    <mergeCell ref="D7224:D7226"/>
    <mergeCell ref="E7224:E7226"/>
    <mergeCell ref="F7224:F7226"/>
    <mergeCell ref="G7224:G7226"/>
    <mergeCell ref="H7224:H7226"/>
    <mergeCell ref="I7224:I7226"/>
    <mergeCell ref="J7224:J7226"/>
    <mergeCell ref="K7224:K7226"/>
    <mergeCell ref="L7224:L7226"/>
    <mergeCell ref="M7224:M7226"/>
    <mergeCell ref="N7224:N7226"/>
    <mergeCell ref="A7229:A7231"/>
    <mergeCell ref="B7229:B7231"/>
    <mergeCell ref="C7229:C7231"/>
    <mergeCell ref="D7229:D7231"/>
    <mergeCell ref="E7229:E7231"/>
    <mergeCell ref="F7229:F7231"/>
    <mergeCell ref="G7229:G7231"/>
    <mergeCell ref="H7229:H7231"/>
    <mergeCell ref="I7229:I7231"/>
    <mergeCell ref="J7229:J7231"/>
    <mergeCell ref="K7229:K7231"/>
    <mergeCell ref="L7229:L7231"/>
    <mergeCell ref="M7229:M7231"/>
    <mergeCell ref="N7229:N7231"/>
    <mergeCell ref="A7232:A7234"/>
    <mergeCell ref="B7232:B7234"/>
    <mergeCell ref="C7232:C7234"/>
    <mergeCell ref="D7232:D7234"/>
    <mergeCell ref="E7232:E7234"/>
    <mergeCell ref="F7232:F7234"/>
    <mergeCell ref="G7232:G7234"/>
    <mergeCell ref="H7232:H7234"/>
    <mergeCell ref="I7232:I7234"/>
    <mergeCell ref="J7232:J7234"/>
    <mergeCell ref="K7232:K7234"/>
    <mergeCell ref="L7232:L7234"/>
    <mergeCell ref="M7232:M7234"/>
    <mergeCell ref="N7232:N7234"/>
    <mergeCell ref="A7235:A7236"/>
    <mergeCell ref="B7235:B7236"/>
    <mergeCell ref="C7235:C7236"/>
    <mergeCell ref="D7235:D7236"/>
    <mergeCell ref="E7235:E7236"/>
    <mergeCell ref="F7235:F7236"/>
    <mergeCell ref="G7235:G7236"/>
    <mergeCell ref="H7235:H7236"/>
    <mergeCell ref="I7235:I7236"/>
    <mergeCell ref="J7235:J7236"/>
    <mergeCell ref="K7235:K7236"/>
    <mergeCell ref="L7235:L7236"/>
    <mergeCell ref="M7235:M7236"/>
    <mergeCell ref="N7235:N7236"/>
    <mergeCell ref="A7237:A7238"/>
    <mergeCell ref="B7237:B7238"/>
    <mergeCell ref="C7237:C7238"/>
    <mergeCell ref="D7237:D7238"/>
    <mergeCell ref="E7237:E7238"/>
    <mergeCell ref="F7237:F7238"/>
    <mergeCell ref="G7237:G7238"/>
    <mergeCell ref="H7237:H7238"/>
    <mergeCell ref="I7237:I7238"/>
    <mergeCell ref="J7237:J7238"/>
    <mergeCell ref="K7237:K7238"/>
    <mergeCell ref="L7237:L7238"/>
    <mergeCell ref="M7237:M7238"/>
    <mergeCell ref="N7237:N7238"/>
    <mergeCell ref="A7239:A7240"/>
    <mergeCell ref="B7239:B7240"/>
    <mergeCell ref="C7239:C7240"/>
    <mergeCell ref="D7239:D7240"/>
    <mergeCell ref="E7239:E7240"/>
    <mergeCell ref="F7239:F7240"/>
    <mergeCell ref="G7239:G7240"/>
    <mergeCell ref="H7239:H7240"/>
    <mergeCell ref="I7239:I7240"/>
    <mergeCell ref="J7239:J7240"/>
    <mergeCell ref="K7239:K7240"/>
    <mergeCell ref="L7239:L7240"/>
    <mergeCell ref="M7239:M7240"/>
    <mergeCell ref="N7239:N7240"/>
    <mergeCell ref="A7241:A7243"/>
    <mergeCell ref="B7241:B7243"/>
    <mergeCell ref="C7241:C7243"/>
    <mergeCell ref="D7241:D7243"/>
    <mergeCell ref="E7241:E7243"/>
    <mergeCell ref="F7241:F7243"/>
    <mergeCell ref="G7241:G7243"/>
    <mergeCell ref="H7241:H7243"/>
    <mergeCell ref="I7241:I7243"/>
    <mergeCell ref="J7241:J7243"/>
    <mergeCell ref="K7241:K7243"/>
    <mergeCell ref="L7241:L7243"/>
    <mergeCell ref="M7241:M7243"/>
    <mergeCell ref="N7241:N7243"/>
    <mergeCell ref="A7244:A7245"/>
    <mergeCell ref="B7244:B7245"/>
    <mergeCell ref="C7244:C7245"/>
    <mergeCell ref="D7244:D7245"/>
    <mergeCell ref="E7244:E7245"/>
    <mergeCell ref="F7244:F7245"/>
    <mergeCell ref="G7244:G7245"/>
    <mergeCell ref="H7244:H7245"/>
    <mergeCell ref="I7244:I7245"/>
    <mergeCell ref="J7244:J7245"/>
    <mergeCell ref="K7244:K7245"/>
    <mergeCell ref="L7244:L7245"/>
    <mergeCell ref="M7244:M7245"/>
    <mergeCell ref="N7244:N7245"/>
    <mergeCell ref="A7246:A7247"/>
    <mergeCell ref="B7246:B7247"/>
    <mergeCell ref="C7246:C7247"/>
    <mergeCell ref="D7246:D7247"/>
    <mergeCell ref="E7246:E7247"/>
    <mergeCell ref="F7246:F7247"/>
    <mergeCell ref="G7246:G7247"/>
    <mergeCell ref="H7246:H7247"/>
    <mergeCell ref="I7246:I7247"/>
    <mergeCell ref="J7246:J7247"/>
    <mergeCell ref="K7246:K7247"/>
    <mergeCell ref="L7246:L7247"/>
    <mergeCell ref="M7246:M7247"/>
    <mergeCell ref="N7246:N7247"/>
    <mergeCell ref="A7248:A7249"/>
    <mergeCell ref="B7248:B7249"/>
    <mergeCell ref="C7248:C7249"/>
    <mergeCell ref="D7248:D7249"/>
    <mergeCell ref="E7248:E7249"/>
    <mergeCell ref="F7248:F7249"/>
    <mergeCell ref="G7248:G7249"/>
    <mergeCell ref="H7248:H7249"/>
    <mergeCell ref="I7248:I7249"/>
    <mergeCell ref="J7248:J7249"/>
    <mergeCell ref="K7248:K7249"/>
    <mergeCell ref="L7248:L7249"/>
    <mergeCell ref="M7248:M7249"/>
    <mergeCell ref="N7248:N7249"/>
    <mergeCell ref="A7255:A7256"/>
    <mergeCell ref="B7255:B7256"/>
    <mergeCell ref="C7255:C7256"/>
    <mergeCell ref="D7255:D7256"/>
    <mergeCell ref="E7255:E7256"/>
    <mergeCell ref="F7255:F7256"/>
    <mergeCell ref="G7255:G7256"/>
    <mergeCell ref="H7255:H7256"/>
    <mergeCell ref="I7255:I7256"/>
    <mergeCell ref="J7255:J7256"/>
    <mergeCell ref="K7255:K7256"/>
    <mergeCell ref="L7255:L7256"/>
    <mergeCell ref="M7255:M7256"/>
    <mergeCell ref="N7255:N7256"/>
    <mergeCell ref="A7258:A7259"/>
    <mergeCell ref="B7258:B7259"/>
    <mergeCell ref="C7258:C7259"/>
    <mergeCell ref="D7258:D7259"/>
    <mergeCell ref="E7258:E7259"/>
    <mergeCell ref="F7258:F7259"/>
    <mergeCell ref="G7258:G7259"/>
    <mergeCell ref="H7258:H7259"/>
    <mergeCell ref="I7258:I7259"/>
    <mergeCell ref="J7258:J7259"/>
    <mergeCell ref="K7258:K7259"/>
    <mergeCell ref="L7258:L7259"/>
    <mergeCell ref="M7258:M7259"/>
    <mergeCell ref="N7258:N7259"/>
    <mergeCell ref="A7260:A7261"/>
    <mergeCell ref="B7260:B7261"/>
    <mergeCell ref="C7260:C7261"/>
    <mergeCell ref="D7260:D7261"/>
    <mergeCell ref="E7260:E7261"/>
    <mergeCell ref="F7260:F7261"/>
    <mergeCell ref="G7260:G7261"/>
    <mergeCell ref="H7260:H7261"/>
    <mergeCell ref="I7260:I7261"/>
    <mergeCell ref="J7260:J7261"/>
    <mergeCell ref="K7260:K7261"/>
    <mergeCell ref="L7260:L7261"/>
    <mergeCell ref="M7260:M7261"/>
    <mergeCell ref="N7260:N7261"/>
    <mergeCell ref="A7265:A7266"/>
    <mergeCell ref="B7265:B7266"/>
    <mergeCell ref="C7265:C7266"/>
    <mergeCell ref="D7265:D7266"/>
    <mergeCell ref="E7265:E7266"/>
    <mergeCell ref="F7265:F7266"/>
    <mergeCell ref="G7265:G7266"/>
    <mergeCell ref="H7265:H7266"/>
    <mergeCell ref="I7265:I7266"/>
    <mergeCell ref="J7265:J7266"/>
    <mergeCell ref="K7265:K7266"/>
    <mergeCell ref="L7265:L7266"/>
    <mergeCell ref="M7265:M7266"/>
    <mergeCell ref="N7265:N7266"/>
    <mergeCell ref="A7267:A7268"/>
    <mergeCell ref="B7267:B7268"/>
    <mergeCell ref="C7267:C7268"/>
    <mergeCell ref="D7267:D7268"/>
    <mergeCell ref="E7267:E7268"/>
    <mergeCell ref="F7267:F7268"/>
    <mergeCell ref="G7267:G7268"/>
    <mergeCell ref="H7267:H7268"/>
    <mergeCell ref="I7267:I7268"/>
    <mergeCell ref="J7267:J7268"/>
    <mergeCell ref="K7267:K7268"/>
    <mergeCell ref="L7267:L7268"/>
    <mergeCell ref="M7267:M7268"/>
    <mergeCell ref="N7267:N7268"/>
    <mergeCell ref="A7269:A7271"/>
    <mergeCell ref="B7269:B7271"/>
    <mergeCell ref="C7269:C7271"/>
    <mergeCell ref="D7269:D7271"/>
    <mergeCell ref="E7269:E7271"/>
    <mergeCell ref="F7269:F7271"/>
    <mergeCell ref="G7269:G7271"/>
    <mergeCell ref="H7269:H7271"/>
    <mergeCell ref="I7269:I7271"/>
    <mergeCell ref="J7269:J7271"/>
    <mergeCell ref="K7269:K7271"/>
    <mergeCell ref="L7269:L7271"/>
    <mergeCell ref="M7269:M7271"/>
    <mergeCell ref="N7269:N7271"/>
    <mergeCell ref="A7272:A7273"/>
    <mergeCell ref="B7272:B7273"/>
    <mergeCell ref="C7272:C7273"/>
    <mergeCell ref="D7272:D7273"/>
    <mergeCell ref="E7272:E7273"/>
    <mergeCell ref="F7272:F7273"/>
    <mergeCell ref="G7272:G7273"/>
    <mergeCell ref="H7272:H7273"/>
    <mergeCell ref="I7272:I7273"/>
    <mergeCell ref="J7272:J7273"/>
    <mergeCell ref="K7272:K7273"/>
    <mergeCell ref="L7272:L7273"/>
    <mergeCell ref="M7272:M7273"/>
    <mergeCell ref="N7272:N7273"/>
    <mergeCell ref="A7274:A7275"/>
    <mergeCell ref="B7274:B7275"/>
    <mergeCell ref="C7274:C7275"/>
    <mergeCell ref="D7274:D7275"/>
    <mergeCell ref="E7274:E7275"/>
    <mergeCell ref="F7274:F7275"/>
    <mergeCell ref="G7274:G7275"/>
    <mergeCell ref="H7274:H7275"/>
    <mergeCell ref="I7274:I7275"/>
    <mergeCell ref="J7274:J7275"/>
    <mergeCell ref="K7274:K7275"/>
    <mergeCell ref="L7274:L7275"/>
    <mergeCell ref="M7274:M7275"/>
    <mergeCell ref="N7274:N7275"/>
    <mergeCell ref="A7284:A7285"/>
    <mergeCell ref="B7284:B7285"/>
    <mergeCell ref="C7284:C7285"/>
    <mergeCell ref="D7284:D7285"/>
    <mergeCell ref="E7284:E7285"/>
    <mergeCell ref="F7284:F7285"/>
    <mergeCell ref="G7284:G7285"/>
    <mergeCell ref="H7284:H7285"/>
    <mergeCell ref="I7284:I7285"/>
    <mergeCell ref="J7284:J7285"/>
    <mergeCell ref="K7284:K7285"/>
    <mergeCell ref="L7284:L7285"/>
    <mergeCell ref="M7284:M7285"/>
    <mergeCell ref="N7284:N7285"/>
    <mergeCell ref="A7290:A7291"/>
    <mergeCell ref="B7290:B7291"/>
    <mergeCell ref="C7290:C7291"/>
    <mergeCell ref="D7290:D7291"/>
    <mergeCell ref="E7290:E7291"/>
    <mergeCell ref="F7290:F7291"/>
    <mergeCell ref="G7290:G7291"/>
    <mergeCell ref="H7290:H7291"/>
    <mergeCell ref="I7290:I7291"/>
    <mergeCell ref="J7290:J7291"/>
    <mergeCell ref="K7290:K7291"/>
    <mergeCell ref="L7290:L7291"/>
    <mergeCell ref="M7290:M7291"/>
    <mergeCell ref="N7290:N7291"/>
    <mergeCell ref="A7292:A7293"/>
    <mergeCell ref="B7292:B7293"/>
    <mergeCell ref="C7292:C7293"/>
    <mergeCell ref="D7292:D7293"/>
    <mergeCell ref="E7292:E7293"/>
    <mergeCell ref="F7292:F7293"/>
    <mergeCell ref="G7292:G7293"/>
    <mergeCell ref="H7292:H7293"/>
    <mergeCell ref="I7292:I7293"/>
    <mergeCell ref="J7292:J7293"/>
    <mergeCell ref="K7292:K7293"/>
    <mergeCell ref="L7292:L7293"/>
    <mergeCell ref="M7292:M7293"/>
    <mergeCell ref="N7292:N7293"/>
    <mergeCell ref="A7295:A7296"/>
    <mergeCell ref="B7295:B7296"/>
    <mergeCell ref="C7295:C7296"/>
    <mergeCell ref="D7295:D7296"/>
    <mergeCell ref="E7295:E7296"/>
    <mergeCell ref="F7295:F7296"/>
    <mergeCell ref="G7295:G7296"/>
    <mergeCell ref="H7295:H7296"/>
    <mergeCell ref="I7295:I7296"/>
    <mergeCell ref="J7295:J7296"/>
    <mergeCell ref="K7295:K7296"/>
    <mergeCell ref="L7295:L7296"/>
    <mergeCell ref="M7295:M7296"/>
    <mergeCell ref="N7295:N7296"/>
    <mergeCell ref="A7297:A7298"/>
    <mergeCell ref="B7297:B7298"/>
    <mergeCell ref="C7297:C7298"/>
    <mergeCell ref="D7297:D7298"/>
    <mergeCell ref="E7297:E7298"/>
    <mergeCell ref="F7297:F7298"/>
    <mergeCell ref="G7297:G7298"/>
    <mergeCell ref="H7297:H7298"/>
    <mergeCell ref="I7297:I7298"/>
    <mergeCell ref="J7297:J7298"/>
    <mergeCell ref="K7297:K7298"/>
    <mergeCell ref="L7297:L7298"/>
    <mergeCell ref="M7297:M7298"/>
    <mergeCell ref="N7297:N7298"/>
    <mergeCell ref="A7301:A7303"/>
    <mergeCell ref="B7301:B7303"/>
    <mergeCell ref="C7301:C7303"/>
    <mergeCell ref="D7301:D7303"/>
    <mergeCell ref="E7301:E7303"/>
    <mergeCell ref="F7301:F7303"/>
    <mergeCell ref="G7301:G7303"/>
    <mergeCell ref="H7301:H7303"/>
    <mergeCell ref="I7301:I7303"/>
    <mergeCell ref="J7301:J7303"/>
    <mergeCell ref="K7301:K7303"/>
    <mergeCell ref="L7301:L7303"/>
    <mergeCell ref="M7301:M7303"/>
    <mergeCell ref="N7301:N7303"/>
    <mergeCell ref="A7304:A7305"/>
    <mergeCell ref="B7304:B7305"/>
    <mergeCell ref="C7304:C7305"/>
    <mergeCell ref="D7304:D7305"/>
    <mergeCell ref="E7304:E7305"/>
    <mergeCell ref="F7304:F7305"/>
    <mergeCell ref="G7304:G7305"/>
    <mergeCell ref="H7304:H7305"/>
    <mergeCell ref="I7304:I7305"/>
    <mergeCell ref="J7304:J7305"/>
    <mergeCell ref="K7304:K7305"/>
    <mergeCell ref="L7304:L7305"/>
    <mergeCell ref="M7304:M7305"/>
    <mergeCell ref="N7304:N7305"/>
    <mergeCell ref="A7306:A7314"/>
    <mergeCell ref="B7306:B7314"/>
    <mergeCell ref="C7306:C7314"/>
    <mergeCell ref="D7306:D7314"/>
    <mergeCell ref="E7306:E7314"/>
    <mergeCell ref="F7306:F7314"/>
    <mergeCell ref="G7306:G7314"/>
    <mergeCell ref="H7306:H7314"/>
    <mergeCell ref="I7306:I7314"/>
    <mergeCell ref="J7306:J7314"/>
    <mergeCell ref="K7306:K7314"/>
    <mergeCell ref="L7306:L7314"/>
    <mergeCell ref="M7306:M7314"/>
    <mergeCell ref="N7306:N7314"/>
    <mergeCell ref="A7315:A7316"/>
    <mergeCell ref="B7315:B7316"/>
    <mergeCell ref="C7315:C7316"/>
    <mergeCell ref="D7315:D7316"/>
    <mergeCell ref="E7315:E7316"/>
    <mergeCell ref="F7315:F7316"/>
    <mergeCell ref="G7315:G7316"/>
    <mergeCell ref="H7315:H7316"/>
    <mergeCell ref="I7315:I7316"/>
    <mergeCell ref="J7315:J7316"/>
    <mergeCell ref="K7315:K7316"/>
    <mergeCell ref="L7315:L7316"/>
    <mergeCell ref="M7315:M7316"/>
    <mergeCell ref="N7315:N7316"/>
    <mergeCell ref="A7317:A7318"/>
    <mergeCell ref="B7317:B7318"/>
    <mergeCell ref="C7317:C7318"/>
    <mergeCell ref="D7317:D7318"/>
    <mergeCell ref="E7317:E7318"/>
    <mergeCell ref="F7317:F7318"/>
    <mergeCell ref="G7317:G7318"/>
    <mergeCell ref="H7317:H7318"/>
    <mergeCell ref="I7317:I7318"/>
    <mergeCell ref="J7317:J7318"/>
    <mergeCell ref="K7317:K7318"/>
    <mergeCell ref="L7317:L7318"/>
    <mergeCell ref="M7317:M7318"/>
    <mergeCell ref="N7317:N7318"/>
    <mergeCell ref="A7319:A7320"/>
    <mergeCell ref="B7319:B7320"/>
    <mergeCell ref="C7319:C7320"/>
    <mergeCell ref="D7319:D7320"/>
    <mergeCell ref="E7319:E7320"/>
    <mergeCell ref="F7319:F7320"/>
    <mergeCell ref="G7319:G7320"/>
    <mergeCell ref="H7319:H7320"/>
    <mergeCell ref="I7319:I7320"/>
    <mergeCell ref="J7319:J7320"/>
    <mergeCell ref="K7319:K7320"/>
    <mergeCell ref="L7319:L7320"/>
    <mergeCell ref="M7319:M7320"/>
    <mergeCell ref="N7319:N7320"/>
    <mergeCell ref="A7321:A7322"/>
    <mergeCell ref="B7321:B7322"/>
    <mergeCell ref="C7321:C7322"/>
    <mergeCell ref="D7321:D7322"/>
    <mergeCell ref="E7321:E7322"/>
    <mergeCell ref="F7321:F7322"/>
    <mergeCell ref="G7321:G7322"/>
    <mergeCell ref="H7321:H7322"/>
    <mergeCell ref="I7321:I7322"/>
    <mergeCell ref="J7321:J7322"/>
    <mergeCell ref="K7321:K7322"/>
    <mergeCell ref="L7321:L7322"/>
    <mergeCell ref="M7321:M7322"/>
    <mergeCell ref="N7321:N7322"/>
    <mergeCell ref="A7329:A7330"/>
    <mergeCell ref="B7329:B7330"/>
    <mergeCell ref="C7329:C7330"/>
    <mergeCell ref="D7329:D7330"/>
    <mergeCell ref="E7329:E7330"/>
    <mergeCell ref="F7329:F7330"/>
    <mergeCell ref="G7329:G7330"/>
    <mergeCell ref="H7329:H7330"/>
    <mergeCell ref="I7329:I7330"/>
    <mergeCell ref="J7329:J7330"/>
    <mergeCell ref="K7329:K7330"/>
    <mergeCell ref="L7329:L7330"/>
    <mergeCell ref="M7329:M7330"/>
    <mergeCell ref="N7329:N7330"/>
    <mergeCell ref="A7332:A7334"/>
    <mergeCell ref="B7332:B7334"/>
    <mergeCell ref="C7332:C7334"/>
    <mergeCell ref="D7332:D7334"/>
    <mergeCell ref="E7332:E7334"/>
    <mergeCell ref="F7332:F7334"/>
    <mergeCell ref="G7332:G7334"/>
    <mergeCell ref="H7332:H7334"/>
    <mergeCell ref="I7332:I7334"/>
    <mergeCell ref="J7332:J7334"/>
    <mergeCell ref="K7332:K7334"/>
    <mergeCell ref="L7332:L7334"/>
    <mergeCell ref="M7332:M7334"/>
    <mergeCell ref="N7332:N7334"/>
    <mergeCell ref="A7335:A7336"/>
    <mergeCell ref="B7335:B7336"/>
    <mergeCell ref="C7335:C7336"/>
    <mergeCell ref="D7335:D7336"/>
    <mergeCell ref="E7335:E7336"/>
    <mergeCell ref="F7335:F7336"/>
    <mergeCell ref="G7335:G7336"/>
    <mergeCell ref="H7335:H7336"/>
    <mergeCell ref="I7335:I7336"/>
    <mergeCell ref="J7335:J7336"/>
    <mergeCell ref="K7335:K7336"/>
    <mergeCell ref="L7335:L7336"/>
    <mergeCell ref="M7335:M7336"/>
    <mergeCell ref="N7335:N7336"/>
    <mergeCell ref="A7337:A7339"/>
    <mergeCell ref="B7337:B7339"/>
    <mergeCell ref="C7337:C7339"/>
    <mergeCell ref="D7337:D7339"/>
    <mergeCell ref="E7337:E7339"/>
    <mergeCell ref="F7337:F7339"/>
    <mergeCell ref="G7337:G7339"/>
    <mergeCell ref="H7337:H7339"/>
    <mergeCell ref="I7337:I7339"/>
    <mergeCell ref="J7337:J7339"/>
    <mergeCell ref="K7337:K7339"/>
    <mergeCell ref="L7337:L7339"/>
    <mergeCell ref="M7337:M7339"/>
    <mergeCell ref="N7337:N7339"/>
    <mergeCell ref="A7342:A7344"/>
    <mergeCell ref="B7342:B7344"/>
    <mergeCell ref="C7342:C7344"/>
    <mergeCell ref="D7342:D7344"/>
    <mergeCell ref="E7342:E7344"/>
    <mergeCell ref="F7342:F7344"/>
    <mergeCell ref="G7342:G7344"/>
    <mergeCell ref="H7342:H7344"/>
    <mergeCell ref="I7342:I7344"/>
    <mergeCell ref="J7342:J7344"/>
    <mergeCell ref="K7342:K7344"/>
    <mergeCell ref="L7342:L7344"/>
    <mergeCell ref="M7342:M7344"/>
    <mergeCell ref="N7342:N7344"/>
    <mergeCell ref="A7345:A7350"/>
    <mergeCell ref="B7345:B7350"/>
    <mergeCell ref="C7345:C7350"/>
    <mergeCell ref="D7345:D7350"/>
    <mergeCell ref="E7345:E7350"/>
    <mergeCell ref="F7345:F7350"/>
    <mergeCell ref="G7345:G7350"/>
    <mergeCell ref="H7345:H7350"/>
    <mergeCell ref="I7345:I7350"/>
    <mergeCell ref="J7345:J7350"/>
    <mergeCell ref="K7345:K7350"/>
    <mergeCell ref="L7345:L7350"/>
    <mergeCell ref="M7345:M7350"/>
    <mergeCell ref="N7345:N7350"/>
    <mergeCell ref="A7351:A7352"/>
    <mergeCell ref="B7351:B7352"/>
    <mergeCell ref="C7351:C7352"/>
    <mergeCell ref="D7351:D7352"/>
    <mergeCell ref="E7351:E7352"/>
    <mergeCell ref="F7351:F7352"/>
    <mergeCell ref="G7351:G7352"/>
    <mergeCell ref="H7351:H7352"/>
    <mergeCell ref="I7351:I7352"/>
    <mergeCell ref="J7351:J7352"/>
    <mergeCell ref="K7351:K7352"/>
    <mergeCell ref="L7351:L7352"/>
    <mergeCell ref="M7351:M7352"/>
    <mergeCell ref="N7351:N7352"/>
    <mergeCell ref="A7353:A7355"/>
    <mergeCell ref="B7353:B7355"/>
    <mergeCell ref="C7353:C7355"/>
    <mergeCell ref="D7353:D7355"/>
    <mergeCell ref="E7353:E7355"/>
    <mergeCell ref="F7353:F7355"/>
    <mergeCell ref="G7353:G7355"/>
    <mergeCell ref="H7353:H7355"/>
    <mergeCell ref="I7353:I7355"/>
    <mergeCell ref="J7353:J7355"/>
    <mergeCell ref="K7353:K7355"/>
    <mergeCell ref="L7353:L7355"/>
    <mergeCell ref="M7353:M7355"/>
    <mergeCell ref="N7353:N7355"/>
    <mergeCell ref="A7357:A7360"/>
    <mergeCell ref="B7357:B7360"/>
    <mergeCell ref="C7357:C7360"/>
    <mergeCell ref="D7357:D7360"/>
    <mergeCell ref="E7357:E7360"/>
    <mergeCell ref="F7357:F7360"/>
    <mergeCell ref="G7357:G7360"/>
    <mergeCell ref="H7357:H7360"/>
    <mergeCell ref="I7357:I7360"/>
    <mergeCell ref="J7357:J7360"/>
    <mergeCell ref="K7357:K7360"/>
    <mergeCell ref="L7357:L7360"/>
    <mergeCell ref="M7357:M7360"/>
    <mergeCell ref="N7357:N7360"/>
    <mergeCell ref="A7367:A7368"/>
    <mergeCell ref="B7367:B7368"/>
    <mergeCell ref="C7367:C7368"/>
    <mergeCell ref="D7367:D7368"/>
    <mergeCell ref="E7367:E7368"/>
    <mergeCell ref="F7367:F7368"/>
    <mergeCell ref="G7367:G7368"/>
    <mergeCell ref="H7367:H7368"/>
    <mergeCell ref="I7367:I7368"/>
    <mergeCell ref="J7367:J7368"/>
    <mergeCell ref="K7367:K7368"/>
    <mergeCell ref="L7367:L7368"/>
    <mergeCell ref="M7367:M7368"/>
    <mergeCell ref="N7367:N7368"/>
    <mergeCell ref="A7369:A7370"/>
    <mergeCell ref="B7369:B7370"/>
    <mergeCell ref="C7369:C7370"/>
    <mergeCell ref="D7369:D7370"/>
    <mergeCell ref="E7369:E7370"/>
    <mergeCell ref="F7369:F7370"/>
    <mergeCell ref="G7369:G7370"/>
    <mergeCell ref="H7369:H7370"/>
    <mergeCell ref="I7369:I7370"/>
    <mergeCell ref="J7369:J7370"/>
    <mergeCell ref="K7369:K7370"/>
    <mergeCell ref="L7369:L7370"/>
    <mergeCell ref="M7369:M7370"/>
    <mergeCell ref="N7369:N7370"/>
    <mergeCell ref="A7371:A7373"/>
    <mergeCell ref="B7371:B7373"/>
    <mergeCell ref="C7371:C7373"/>
    <mergeCell ref="D7371:D7373"/>
    <mergeCell ref="E7371:E7373"/>
    <mergeCell ref="F7371:F7373"/>
    <mergeCell ref="G7371:G7373"/>
    <mergeCell ref="H7371:H7373"/>
    <mergeCell ref="I7371:I7373"/>
    <mergeCell ref="J7371:J7373"/>
    <mergeCell ref="K7371:K7373"/>
    <mergeCell ref="L7371:L7373"/>
    <mergeCell ref="M7371:M7373"/>
    <mergeCell ref="N7371:N7373"/>
    <mergeCell ref="A7374:A7376"/>
    <mergeCell ref="B7374:B7376"/>
    <mergeCell ref="C7374:C7376"/>
    <mergeCell ref="D7374:D7376"/>
    <mergeCell ref="E7374:E7376"/>
    <mergeCell ref="F7374:F7376"/>
    <mergeCell ref="G7374:G7376"/>
    <mergeCell ref="H7374:H7376"/>
    <mergeCell ref="I7374:I7376"/>
    <mergeCell ref="J7374:J7376"/>
    <mergeCell ref="K7374:K7376"/>
    <mergeCell ref="L7374:L7376"/>
    <mergeCell ref="M7374:M7376"/>
    <mergeCell ref="N7374:N7376"/>
    <mergeCell ref="A7387:A7390"/>
    <mergeCell ref="B7387:B7390"/>
    <mergeCell ref="C7387:C7390"/>
    <mergeCell ref="D7387:D7390"/>
    <mergeCell ref="E7387:E7390"/>
    <mergeCell ref="F7387:F7390"/>
    <mergeCell ref="G7387:G7390"/>
    <mergeCell ref="H7387:H7390"/>
    <mergeCell ref="I7387:I7390"/>
    <mergeCell ref="J7387:J7390"/>
    <mergeCell ref="K7387:K7390"/>
    <mergeCell ref="L7387:L7390"/>
    <mergeCell ref="M7387:M7390"/>
    <mergeCell ref="N7387:N7390"/>
    <mergeCell ref="A7391:A7393"/>
    <mergeCell ref="B7391:B7393"/>
    <mergeCell ref="C7391:C7393"/>
    <mergeCell ref="D7391:D7393"/>
    <mergeCell ref="E7391:E7393"/>
    <mergeCell ref="F7391:F7393"/>
    <mergeCell ref="G7391:G7393"/>
    <mergeCell ref="H7391:H7393"/>
    <mergeCell ref="I7391:I7393"/>
    <mergeCell ref="J7391:J7393"/>
    <mergeCell ref="K7391:K7393"/>
    <mergeCell ref="L7391:L7393"/>
    <mergeCell ref="M7391:M7393"/>
    <mergeCell ref="N7391:N7393"/>
    <mergeCell ref="A7394:A7403"/>
    <mergeCell ref="B7394:B7403"/>
    <mergeCell ref="C7394:C7403"/>
    <mergeCell ref="D7394:D7403"/>
    <mergeCell ref="E7394:E7403"/>
    <mergeCell ref="F7394:F7403"/>
    <mergeCell ref="G7394:G7403"/>
    <mergeCell ref="H7394:H7403"/>
    <mergeCell ref="I7394:I7403"/>
    <mergeCell ref="J7394:J7403"/>
    <mergeCell ref="K7394:K7403"/>
    <mergeCell ref="L7394:L7403"/>
    <mergeCell ref="M7394:M7403"/>
    <mergeCell ref="N7394:N7403"/>
    <mergeCell ref="A7406:A7407"/>
    <mergeCell ref="B7406:B7407"/>
    <mergeCell ref="C7406:C7407"/>
    <mergeCell ref="D7406:D7407"/>
    <mergeCell ref="E7406:E7407"/>
    <mergeCell ref="F7406:F7407"/>
    <mergeCell ref="G7406:G7407"/>
    <mergeCell ref="H7406:H7407"/>
    <mergeCell ref="I7406:I7407"/>
    <mergeCell ref="J7406:J7407"/>
    <mergeCell ref="K7406:K7407"/>
    <mergeCell ref="L7406:L7407"/>
    <mergeCell ref="M7406:M7407"/>
    <mergeCell ref="N7406:N7407"/>
    <mergeCell ref="A7409:A7412"/>
    <mergeCell ref="B7409:B7412"/>
    <mergeCell ref="C7409:C7412"/>
    <mergeCell ref="D7409:D7412"/>
    <mergeCell ref="E7409:E7412"/>
    <mergeCell ref="F7409:F7412"/>
    <mergeCell ref="G7409:G7412"/>
    <mergeCell ref="H7409:H7412"/>
    <mergeCell ref="I7409:I7412"/>
    <mergeCell ref="J7409:J7412"/>
    <mergeCell ref="K7409:K7412"/>
    <mergeCell ref="L7409:L7412"/>
    <mergeCell ref="M7409:M7412"/>
    <mergeCell ref="N7409:N7412"/>
    <mergeCell ref="A7415:A7417"/>
    <mergeCell ref="B7415:B7417"/>
    <mergeCell ref="C7415:C7417"/>
    <mergeCell ref="D7415:D7417"/>
    <mergeCell ref="E7415:E7417"/>
    <mergeCell ref="F7415:F7417"/>
    <mergeCell ref="G7415:G7417"/>
    <mergeCell ref="H7415:H7417"/>
    <mergeCell ref="I7415:I7417"/>
    <mergeCell ref="J7415:J7417"/>
    <mergeCell ref="K7415:K7417"/>
    <mergeCell ref="L7415:L7417"/>
    <mergeCell ref="M7415:M7417"/>
    <mergeCell ref="N7415:N7417"/>
    <mergeCell ref="A7418:A7420"/>
    <mergeCell ref="B7418:B7420"/>
    <mergeCell ref="C7418:C7420"/>
    <mergeCell ref="D7418:D7420"/>
    <mergeCell ref="E7418:E7420"/>
    <mergeCell ref="F7418:F7420"/>
    <mergeCell ref="G7418:G7420"/>
    <mergeCell ref="H7418:H7420"/>
    <mergeCell ref="I7418:I7420"/>
    <mergeCell ref="J7418:J7420"/>
    <mergeCell ref="K7418:K7420"/>
    <mergeCell ref="L7418:L7420"/>
    <mergeCell ref="M7418:M7420"/>
    <mergeCell ref="N7418:N7420"/>
    <mergeCell ref="A7424:A7426"/>
    <mergeCell ref="B7424:B7426"/>
    <mergeCell ref="C7424:C7426"/>
    <mergeCell ref="D7424:D7426"/>
    <mergeCell ref="E7424:E7426"/>
    <mergeCell ref="F7424:F7426"/>
    <mergeCell ref="G7424:G7426"/>
    <mergeCell ref="H7424:H7426"/>
    <mergeCell ref="I7424:I7426"/>
    <mergeCell ref="J7424:J7426"/>
    <mergeCell ref="K7424:K7426"/>
    <mergeCell ref="L7424:L7426"/>
    <mergeCell ref="M7424:M7426"/>
    <mergeCell ref="N7424:N7426"/>
    <mergeCell ref="A7427:A7428"/>
    <mergeCell ref="B7427:B7428"/>
    <mergeCell ref="C7427:C7428"/>
    <mergeCell ref="D7427:D7428"/>
    <mergeCell ref="E7427:E7428"/>
    <mergeCell ref="F7427:F7428"/>
    <mergeCell ref="G7427:G7428"/>
    <mergeCell ref="H7427:H7428"/>
    <mergeCell ref="I7427:I7428"/>
    <mergeCell ref="J7427:J7428"/>
    <mergeCell ref="K7427:K7428"/>
    <mergeCell ref="L7427:L7428"/>
    <mergeCell ref="M7427:M7428"/>
    <mergeCell ref="N7427:N7428"/>
    <mergeCell ref="A7429:A7430"/>
    <mergeCell ref="B7429:B7430"/>
    <mergeCell ref="C7429:C7430"/>
    <mergeCell ref="D7429:D7430"/>
    <mergeCell ref="E7429:E7430"/>
    <mergeCell ref="F7429:F7430"/>
    <mergeCell ref="G7429:G7430"/>
    <mergeCell ref="H7429:H7430"/>
    <mergeCell ref="I7429:I7430"/>
    <mergeCell ref="J7429:J7430"/>
    <mergeCell ref="K7429:K7430"/>
    <mergeCell ref="L7429:L7430"/>
    <mergeCell ref="M7429:M7430"/>
    <mergeCell ref="N7429:N7430"/>
    <mergeCell ref="A7431:A7432"/>
    <mergeCell ref="B7431:B7432"/>
    <mergeCell ref="C7431:C7432"/>
    <mergeCell ref="D7431:D7432"/>
    <mergeCell ref="E7431:E7432"/>
    <mergeCell ref="F7431:F7432"/>
    <mergeCell ref="G7431:G7432"/>
    <mergeCell ref="H7431:H7432"/>
    <mergeCell ref="I7431:I7432"/>
    <mergeCell ref="J7431:J7432"/>
    <mergeCell ref="K7431:K7432"/>
    <mergeCell ref="L7431:L7432"/>
    <mergeCell ref="M7431:M7432"/>
    <mergeCell ref="N7431:N7432"/>
    <mergeCell ref="A7433:A7434"/>
    <mergeCell ref="B7433:B7434"/>
    <mergeCell ref="C7433:C7434"/>
    <mergeCell ref="D7433:D7434"/>
    <mergeCell ref="E7433:E7434"/>
    <mergeCell ref="F7433:F7434"/>
    <mergeCell ref="G7433:G7434"/>
    <mergeCell ref="H7433:H7434"/>
    <mergeCell ref="I7433:I7434"/>
    <mergeCell ref="J7433:J7434"/>
    <mergeCell ref="K7433:K7434"/>
    <mergeCell ref="L7433:L7434"/>
    <mergeCell ref="M7433:M7434"/>
    <mergeCell ref="N7433:N7434"/>
    <mergeCell ref="A7437:A7438"/>
    <mergeCell ref="B7437:B7438"/>
    <mergeCell ref="C7437:C7438"/>
    <mergeCell ref="D7437:D7438"/>
    <mergeCell ref="E7437:E7438"/>
    <mergeCell ref="F7437:F7438"/>
    <mergeCell ref="G7437:G7438"/>
    <mergeCell ref="H7437:H7438"/>
    <mergeCell ref="I7437:I7438"/>
    <mergeCell ref="J7437:J7438"/>
    <mergeCell ref="K7437:K7438"/>
    <mergeCell ref="L7437:L7438"/>
    <mergeCell ref="M7437:M7438"/>
    <mergeCell ref="N7437:N7438"/>
    <mergeCell ref="A7439:A7440"/>
    <mergeCell ref="B7439:B7440"/>
    <mergeCell ref="C7439:C7440"/>
    <mergeCell ref="D7439:D7440"/>
    <mergeCell ref="E7439:E7440"/>
    <mergeCell ref="F7439:F7440"/>
    <mergeCell ref="G7439:G7440"/>
    <mergeCell ref="H7439:H7440"/>
    <mergeCell ref="I7439:I7440"/>
    <mergeCell ref="J7439:J7440"/>
    <mergeCell ref="K7439:K7440"/>
    <mergeCell ref="L7439:L7440"/>
    <mergeCell ref="M7439:M7440"/>
    <mergeCell ref="N7439:N7440"/>
    <mergeCell ref="A7442:A7444"/>
    <mergeCell ref="B7442:B7444"/>
    <mergeCell ref="C7442:C7444"/>
    <mergeCell ref="D7442:D7444"/>
    <mergeCell ref="E7442:E7444"/>
    <mergeCell ref="F7442:F7444"/>
    <mergeCell ref="G7442:G7444"/>
    <mergeCell ref="H7442:H7444"/>
    <mergeCell ref="I7442:I7444"/>
    <mergeCell ref="J7442:J7444"/>
    <mergeCell ref="K7442:K7444"/>
    <mergeCell ref="L7442:L7444"/>
    <mergeCell ref="M7442:M7444"/>
    <mergeCell ref="N7442:N7444"/>
    <mergeCell ref="A7447:A7450"/>
    <mergeCell ref="B7447:B7450"/>
    <mergeCell ref="C7447:C7450"/>
    <mergeCell ref="D7447:D7450"/>
    <mergeCell ref="E7447:E7450"/>
    <mergeCell ref="F7447:F7450"/>
    <mergeCell ref="G7447:G7450"/>
    <mergeCell ref="H7447:H7450"/>
    <mergeCell ref="I7447:I7450"/>
    <mergeCell ref="J7447:J7450"/>
    <mergeCell ref="K7447:K7450"/>
    <mergeCell ref="L7447:L7450"/>
    <mergeCell ref="M7447:M7450"/>
    <mergeCell ref="N7447:N7450"/>
    <mergeCell ref="A7451:A7454"/>
    <mergeCell ref="B7451:B7454"/>
    <mergeCell ref="C7451:C7454"/>
    <mergeCell ref="D7451:D7454"/>
    <mergeCell ref="E7451:E7454"/>
    <mergeCell ref="F7451:F7454"/>
    <mergeCell ref="G7451:G7454"/>
    <mergeCell ref="H7451:H7454"/>
    <mergeCell ref="I7451:I7454"/>
    <mergeCell ref="J7451:J7454"/>
    <mergeCell ref="K7451:K7454"/>
    <mergeCell ref="L7451:L7454"/>
    <mergeCell ref="M7451:M7454"/>
    <mergeCell ref="N7451:N7454"/>
    <mergeCell ref="A7459:A7460"/>
    <mergeCell ref="B7459:B7460"/>
    <mergeCell ref="C7459:C7460"/>
    <mergeCell ref="D7459:D7460"/>
    <mergeCell ref="E7459:E7460"/>
    <mergeCell ref="F7459:F7460"/>
    <mergeCell ref="G7459:G7460"/>
    <mergeCell ref="H7459:H7460"/>
    <mergeCell ref="I7459:I7460"/>
    <mergeCell ref="J7459:J7460"/>
    <mergeCell ref="K7459:K7460"/>
    <mergeCell ref="L7459:L7460"/>
    <mergeCell ref="M7459:M7460"/>
    <mergeCell ref="N7459:N7460"/>
    <mergeCell ref="A7461:A7465"/>
    <mergeCell ref="B7461:B7465"/>
    <mergeCell ref="C7461:C7465"/>
    <mergeCell ref="D7461:D7465"/>
    <mergeCell ref="E7461:E7465"/>
    <mergeCell ref="F7461:F7465"/>
    <mergeCell ref="G7461:G7465"/>
    <mergeCell ref="H7461:H7465"/>
    <mergeCell ref="I7461:I7465"/>
    <mergeCell ref="J7461:J7465"/>
    <mergeCell ref="K7461:K7465"/>
    <mergeCell ref="L7461:L7465"/>
    <mergeCell ref="M7461:M7465"/>
    <mergeCell ref="N7461:N7465"/>
    <mergeCell ref="A7470:A7472"/>
    <mergeCell ref="B7470:B7472"/>
    <mergeCell ref="C7470:C7472"/>
    <mergeCell ref="D7470:D7472"/>
    <mergeCell ref="E7470:E7472"/>
    <mergeCell ref="F7470:F7472"/>
    <mergeCell ref="G7470:G7472"/>
    <mergeCell ref="H7470:H7472"/>
    <mergeCell ref="I7470:I7472"/>
    <mergeCell ref="J7470:J7472"/>
    <mergeCell ref="K7470:K7472"/>
    <mergeCell ref="L7470:L7472"/>
    <mergeCell ref="M7470:M7472"/>
    <mergeCell ref="N7470:N7472"/>
    <mergeCell ref="A7474:A7475"/>
    <mergeCell ref="B7474:B7475"/>
    <mergeCell ref="C7474:C7475"/>
    <mergeCell ref="D7474:D7475"/>
    <mergeCell ref="E7474:E7475"/>
    <mergeCell ref="F7474:F7475"/>
    <mergeCell ref="G7474:G7475"/>
    <mergeCell ref="H7474:H7475"/>
    <mergeCell ref="I7474:I7475"/>
    <mergeCell ref="J7474:J7475"/>
    <mergeCell ref="K7474:K7475"/>
    <mergeCell ref="L7474:L7475"/>
    <mergeCell ref="M7474:M7475"/>
    <mergeCell ref="N7474:N7475"/>
    <mergeCell ref="A7477:A7478"/>
    <mergeCell ref="B7477:B7478"/>
    <mergeCell ref="C7477:C7478"/>
    <mergeCell ref="D7477:D7478"/>
    <mergeCell ref="E7477:E7478"/>
    <mergeCell ref="F7477:F7478"/>
    <mergeCell ref="G7477:G7478"/>
    <mergeCell ref="H7477:H7478"/>
    <mergeCell ref="I7477:I7478"/>
    <mergeCell ref="J7477:J7478"/>
    <mergeCell ref="K7477:K7478"/>
    <mergeCell ref="L7477:L7478"/>
    <mergeCell ref="M7477:M7478"/>
    <mergeCell ref="N7477:N7478"/>
    <mergeCell ref="A7479:A7480"/>
    <mergeCell ref="B7479:B7480"/>
    <mergeCell ref="C7479:C7480"/>
    <mergeCell ref="D7479:D7480"/>
    <mergeCell ref="E7479:E7480"/>
    <mergeCell ref="F7479:F7480"/>
    <mergeCell ref="G7479:G7480"/>
    <mergeCell ref="H7479:H7480"/>
    <mergeCell ref="I7479:I7480"/>
    <mergeCell ref="J7479:J7480"/>
    <mergeCell ref="K7479:K7480"/>
    <mergeCell ref="L7479:L7480"/>
    <mergeCell ref="M7479:M7480"/>
    <mergeCell ref="N7479:N7480"/>
    <mergeCell ref="A7481:A7483"/>
    <mergeCell ref="B7481:B7483"/>
    <mergeCell ref="C7481:C7483"/>
    <mergeCell ref="D7481:D7483"/>
    <mergeCell ref="E7481:E7483"/>
    <mergeCell ref="F7481:F7483"/>
    <mergeCell ref="G7481:G7483"/>
    <mergeCell ref="H7481:H7483"/>
    <mergeCell ref="I7481:I7483"/>
    <mergeCell ref="J7481:J7483"/>
    <mergeCell ref="K7481:K7483"/>
    <mergeCell ref="L7481:L7483"/>
    <mergeCell ref="M7481:M7483"/>
    <mergeCell ref="N7481:N7483"/>
    <mergeCell ref="A7492:A7498"/>
    <mergeCell ref="B7492:B7498"/>
    <mergeCell ref="C7492:C7498"/>
    <mergeCell ref="D7492:D7498"/>
    <mergeCell ref="E7492:E7498"/>
    <mergeCell ref="F7492:F7498"/>
    <mergeCell ref="G7492:G7498"/>
    <mergeCell ref="H7492:H7498"/>
    <mergeCell ref="I7492:I7498"/>
    <mergeCell ref="J7492:J7498"/>
    <mergeCell ref="K7492:K7498"/>
    <mergeCell ref="L7492:L7498"/>
    <mergeCell ref="M7492:M7498"/>
    <mergeCell ref="N7492:N7498"/>
    <mergeCell ref="A7499:A7506"/>
    <mergeCell ref="B7499:B7506"/>
    <mergeCell ref="C7499:C7506"/>
    <mergeCell ref="D7499:D7506"/>
    <mergeCell ref="E7499:E7506"/>
    <mergeCell ref="F7499:F7506"/>
    <mergeCell ref="G7499:G7506"/>
    <mergeCell ref="H7499:H7506"/>
    <mergeCell ref="I7499:I7506"/>
    <mergeCell ref="J7499:J7506"/>
    <mergeCell ref="K7499:K7506"/>
    <mergeCell ref="L7499:L7506"/>
    <mergeCell ref="M7499:M7506"/>
    <mergeCell ref="N7499:N7506"/>
    <mergeCell ref="A7507:A7514"/>
    <mergeCell ref="B7507:B7514"/>
    <mergeCell ref="C7507:C7514"/>
    <mergeCell ref="D7507:D7514"/>
    <mergeCell ref="E7507:E7514"/>
    <mergeCell ref="F7507:F7514"/>
    <mergeCell ref="G7507:G7514"/>
    <mergeCell ref="H7507:H7514"/>
    <mergeCell ref="I7507:I7514"/>
    <mergeCell ref="J7507:J7514"/>
    <mergeCell ref="K7507:K7514"/>
    <mergeCell ref="L7507:L7514"/>
    <mergeCell ref="M7507:M7514"/>
    <mergeCell ref="N7507:N7514"/>
    <mergeCell ref="A7515:A7518"/>
    <mergeCell ref="B7515:B7518"/>
    <mergeCell ref="C7515:C7518"/>
    <mergeCell ref="D7515:D7518"/>
    <mergeCell ref="E7515:E7518"/>
    <mergeCell ref="F7515:F7518"/>
    <mergeCell ref="G7515:G7518"/>
    <mergeCell ref="H7515:H7518"/>
    <mergeCell ref="I7515:I7518"/>
    <mergeCell ref="J7515:J7518"/>
    <mergeCell ref="K7515:K7518"/>
    <mergeCell ref="L7515:L7518"/>
    <mergeCell ref="M7515:M7518"/>
    <mergeCell ref="N7515:N7518"/>
    <mergeCell ref="A7519:A7521"/>
    <mergeCell ref="B7519:B7521"/>
    <mergeCell ref="C7519:C7521"/>
    <mergeCell ref="D7519:D7521"/>
    <mergeCell ref="E7519:E7521"/>
    <mergeCell ref="F7519:F7521"/>
    <mergeCell ref="G7519:G7521"/>
    <mergeCell ref="H7519:H7521"/>
    <mergeCell ref="I7519:I7521"/>
    <mergeCell ref="J7519:J7521"/>
    <mergeCell ref="K7519:K7521"/>
    <mergeCell ref="L7519:L7521"/>
    <mergeCell ref="M7519:M7521"/>
    <mergeCell ref="N7519:N7521"/>
    <mergeCell ref="A7522:A7526"/>
    <mergeCell ref="B7522:B7526"/>
    <mergeCell ref="C7522:C7526"/>
    <mergeCell ref="D7522:D7526"/>
    <mergeCell ref="E7522:E7526"/>
    <mergeCell ref="F7522:F7526"/>
    <mergeCell ref="G7522:G7526"/>
    <mergeCell ref="H7522:H7526"/>
    <mergeCell ref="I7522:I7526"/>
    <mergeCell ref="J7522:J7526"/>
    <mergeCell ref="K7522:K7526"/>
    <mergeCell ref="L7522:L7526"/>
    <mergeCell ref="M7522:M7526"/>
    <mergeCell ref="N7522:N7526"/>
    <mergeCell ref="A7527:A7531"/>
    <mergeCell ref="B7527:B7531"/>
    <mergeCell ref="C7527:C7531"/>
    <mergeCell ref="D7527:D7531"/>
    <mergeCell ref="E7527:E7531"/>
    <mergeCell ref="F7527:F7531"/>
    <mergeCell ref="G7527:G7531"/>
    <mergeCell ref="H7527:H7531"/>
    <mergeCell ref="I7527:I7531"/>
    <mergeCell ref="J7527:J7531"/>
    <mergeCell ref="K7527:K7531"/>
    <mergeCell ref="L7527:L7531"/>
    <mergeCell ref="M7527:M7531"/>
    <mergeCell ref="N7527:N7531"/>
    <mergeCell ref="A7532:A7534"/>
    <mergeCell ref="B7532:B7534"/>
    <mergeCell ref="C7532:C7534"/>
    <mergeCell ref="D7532:D7534"/>
    <mergeCell ref="E7532:E7534"/>
    <mergeCell ref="F7532:F7534"/>
    <mergeCell ref="G7532:G7534"/>
    <mergeCell ref="H7532:H7534"/>
    <mergeCell ref="I7532:I7534"/>
    <mergeCell ref="J7532:J7534"/>
    <mergeCell ref="K7532:K7534"/>
    <mergeCell ref="L7532:L7534"/>
    <mergeCell ref="M7532:M7534"/>
    <mergeCell ref="N7532:N7534"/>
    <mergeCell ref="A7535:A7537"/>
    <mergeCell ref="B7535:B7537"/>
    <mergeCell ref="C7535:C7537"/>
    <mergeCell ref="D7535:D7537"/>
    <mergeCell ref="E7535:E7537"/>
    <mergeCell ref="F7535:F7537"/>
    <mergeCell ref="G7535:G7537"/>
    <mergeCell ref="H7535:H7537"/>
    <mergeCell ref="I7535:I7537"/>
    <mergeCell ref="J7535:J7537"/>
    <mergeCell ref="K7535:K7537"/>
    <mergeCell ref="L7535:L7537"/>
    <mergeCell ref="M7535:M7537"/>
    <mergeCell ref="N7535:N7537"/>
    <mergeCell ref="A7541:A7543"/>
    <mergeCell ref="B7541:B7543"/>
    <mergeCell ref="C7541:C7543"/>
    <mergeCell ref="D7541:D7543"/>
    <mergeCell ref="E7541:E7543"/>
    <mergeCell ref="F7541:F7543"/>
    <mergeCell ref="G7541:G7543"/>
    <mergeCell ref="H7541:H7543"/>
    <mergeCell ref="I7541:I7543"/>
    <mergeCell ref="J7541:J7543"/>
    <mergeCell ref="K7541:K7543"/>
    <mergeCell ref="L7541:L7543"/>
    <mergeCell ref="M7541:M7543"/>
    <mergeCell ref="N7541:N7543"/>
    <mergeCell ref="A7546:A7549"/>
    <mergeCell ref="B7546:B7549"/>
    <mergeCell ref="C7546:C7549"/>
    <mergeCell ref="D7546:D7549"/>
    <mergeCell ref="E7546:E7549"/>
    <mergeCell ref="F7546:F7549"/>
    <mergeCell ref="G7546:G7549"/>
    <mergeCell ref="H7546:H7549"/>
    <mergeCell ref="I7546:I7549"/>
    <mergeCell ref="J7546:J7549"/>
    <mergeCell ref="K7546:K7549"/>
    <mergeCell ref="L7546:L7549"/>
    <mergeCell ref="M7546:M7549"/>
    <mergeCell ref="N7546:N7549"/>
    <mergeCell ref="A7550:A7551"/>
    <mergeCell ref="B7550:B7551"/>
    <mergeCell ref="C7550:C7551"/>
    <mergeCell ref="D7550:D7551"/>
    <mergeCell ref="E7550:E7551"/>
    <mergeCell ref="F7550:F7551"/>
    <mergeCell ref="G7550:G7551"/>
    <mergeCell ref="H7550:H7551"/>
    <mergeCell ref="I7550:I7551"/>
    <mergeCell ref="J7550:J7551"/>
    <mergeCell ref="K7550:K7551"/>
    <mergeCell ref="L7550:L7551"/>
    <mergeCell ref="M7550:M7551"/>
    <mergeCell ref="N7550:N7551"/>
    <mergeCell ref="A7557:A7559"/>
    <mergeCell ref="B7557:B7559"/>
    <mergeCell ref="C7557:C7559"/>
    <mergeCell ref="D7557:D7559"/>
    <mergeCell ref="E7557:E7559"/>
    <mergeCell ref="F7557:F7559"/>
    <mergeCell ref="G7557:G7559"/>
    <mergeCell ref="H7557:H7559"/>
    <mergeCell ref="I7557:I7559"/>
    <mergeCell ref="J7557:J7559"/>
    <mergeCell ref="K7557:K7559"/>
    <mergeCell ref="L7557:L7559"/>
    <mergeCell ref="M7557:M7559"/>
    <mergeCell ref="N7557:N7559"/>
    <mergeCell ref="A7560:A7562"/>
    <mergeCell ref="B7560:B7562"/>
    <mergeCell ref="C7560:C7562"/>
    <mergeCell ref="D7560:D7562"/>
    <mergeCell ref="E7560:E7562"/>
    <mergeCell ref="F7560:F7562"/>
    <mergeCell ref="G7560:G7562"/>
    <mergeCell ref="H7560:H7562"/>
    <mergeCell ref="I7560:I7562"/>
    <mergeCell ref="J7560:J7562"/>
    <mergeCell ref="K7560:K7562"/>
    <mergeCell ref="L7560:L7562"/>
    <mergeCell ref="M7560:M7562"/>
    <mergeCell ref="N7560:N7562"/>
    <mergeCell ref="A7564:A7565"/>
    <mergeCell ref="B7564:B7565"/>
    <mergeCell ref="C7564:C7565"/>
    <mergeCell ref="D7564:D7565"/>
    <mergeCell ref="E7564:E7565"/>
    <mergeCell ref="F7564:F7565"/>
    <mergeCell ref="G7564:G7565"/>
    <mergeCell ref="H7564:H7565"/>
    <mergeCell ref="I7564:I7565"/>
    <mergeCell ref="J7564:J7565"/>
    <mergeCell ref="K7564:K7565"/>
    <mergeCell ref="L7564:L7565"/>
    <mergeCell ref="M7564:M7565"/>
    <mergeCell ref="N7564:N7565"/>
    <mergeCell ref="A7566:A7567"/>
    <mergeCell ref="B7566:B7567"/>
    <mergeCell ref="C7566:C7567"/>
    <mergeCell ref="D7566:D7567"/>
    <mergeCell ref="E7566:E7567"/>
    <mergeCell ref="F7566:F7567"/>
    <mergeCell ref="G7566:G7567"/>
    <mergeCell ref="H7566:H7567"/>
    <mergeCell ref="I7566:I7567"/>
    <mergeCell ref="J7566:J7567"/>
    <mergeCell ref="K7566:K7567"/>
    <mergeCell ref="L7566:L7567"/>
    <mergeCell ref="M7566:M7567"/>
    <mergeCell ref="N7566:N7567"/>
    <mergeCell ref="A7568:A7569"/>
    <mergeCell ref="B7568:B7569"/>
    <mergeCell ref="C7568:C7569"/>
    <mergeCell ref="D7568:D7569"/>
    <mergeCell ref="E7568:E7569"/>
    <mergeCell ref="F7568:F7569"/>
    <mergeCell ref="G7568:G7569"/>
    <mergeCell ref="H7568:H7569"/>
    <mergeCell ref="I7568:I7569"/>
    <mergeCell ref="J7568:J7569"/>
    <mergeCell ref="K7568:K7569"/>
    <mergeCell ref="L7568:L7569"/>
    <mergeCell ref="M7568:M7569"/>
    <mergeCell ref="N7568:N7569"/>
    <mergeCell ref="A7574:A7575"/>
    <mergeCell ref="B7574:B7575"/>
    <mergeCell ref="C7574:C7575"/>
    <mergeCell ref="D7574:D7575"/>
    <mergeCell ref="E7574:E7575"/>
    <mergeCell ref="F7574:F7575"/>
    <mergeCell ref="G7574:G7575"/>
    <mergeCell ref="H7574:H7575"/>
    <mergeCell ref="I7574:I7575"/>
    <mergeCell ref="J7574:J7575"/>
    <mergeCell ref="K7574:K7575"/>
    <mergeCell ref="L7574:L7575"/>
    <mergeCell ref="M7574:M7575"/>
    <mergeCell ref="N7574:N7575"/>
    <mergeCell ref="A7582:A7583"/>
    <mergeCell ref="B7582:B7583"/>
    <mergeCell ref="C7582:C7583"/>
    <mergeCell ref="D7582:D7583"/>
    <mergeCell ref="E7582:E7583"/>
    <mergeCell ref="F7582:F7583"/>
    <mergeCell ref="G7582:G7583"/>
    <mergeCell ref="H7582:H7583"/>
    <mergeCell ref="I7582:I7583"/>
    <mergeCell ref="J7582:J7583"/>
    <mergeCell ref="K7582:K7583"/>
    <mergeCell ref="L7582:L7583"/>
    <mergeCell ref="M7582:M7583"/>
    <mergeCell ref="N7582:N7583"/>
    <mergeCell ref="A7588:A7589"/>
    <mergeCell ref="B7588:B7589"/>
    <mergeCell ref="C7588:C7589"/>
    <mergeCell ref="D7588:D7589"/>
    <mergeCell ref="E7588:E7589"/>
    <mergeCell ref="F7588:F7589"/>
    <mergeCell ref="G7588:G7589"/>
    <mergeCell ref="H7588:H7589"/>
    <mergeCell ref="I7588:I7589"/>
    <mergeCell ref="J7588:J7589"/>
    <mergeCell ref="K7588:K7589"/>
    <mergeCell ref="L7588:L7589"/>
    <mergeCell ref="M7588:M7589"/>
    <mergeCell ref="N7588:N7589"/>
    <mergeCell ref="A7590:A7591"/>
    <mergeCell ref="B7590:B7591"/>
    <mergeCell ref="C7590:C7591"/>
    <mergeCell ref="D7590:D7591"/>
    <mergeCell ref="E7590:E7591"/>
    <mergeCell ref="F7590:F7591"/>
    <mergeCell ref="G7590:G7591"/>
    <mergeCell ref="H7590:H7591"/>
    <mergeCell ref="I7590:I7591"/>
    <mergeCell ref="J7590:J7591"/>
    <mergeCell ref="K7590:K7591"/>
    <mergeCell ref="L7590:L7591"/>
    <mergeCell ref="M7590:M7591"/>
    <mergeCell ref="N7590:N7591"/>
    <mergeCell ref="A7592:A7594"/>
    <mergeCell ref="B7592:B7594"/>
    <mergeCell ref="C7592:C7594"/>
    <mergeCell ref="D7592:D7594"/>
    <mergeCell ref="E7592:E7594"/>
    <mergeCell ref="F7592:F7594"/>
    <mergeCell ref="G7592:G7594"/>
    <mergeCell ref="H7592:H7594"/>
    <mergeCell ref="I7592:I7594"/>
    <mergeCell ref="J7592:J7594"/>
    <mergeCell ref="K7592:K7594"/>
    <mergeCell ref="L7592:L7594"/>
    <mergeCell ref="M7592:M7594"/>
    <mergeCell ref="N7592:N7594"/>
    <mergeCell ref="A7595:A7598"/>
    <mergeCell ref="B7595:B7598"/>
    <mergeCell ref="C7595:C7598"/>
    <mergeCell ref="D7595:D7598"/>
    <mergeCell ref="E7595:E7598"/>
    <mergeCell ref="F7595:F7598"/>
    <mergeCell ref="G7595:G7598"/>
    <mergeCell ref="H7595:H7598"/>
    <mergeCell ref="I7595:I7598"/>
    <mergeCell ref="J7595:J7598"/>
    <mergeCell ref="K7595:K7598"/>
    <mergeCell ref="L7595:L7598"/>
    <mergeCell ref="M7595:M7598"/>
    <mergeCell ref="N7595:N7598"/>
    <mergeCell ref="A7599:A7602"/>
    <mergeCell ref="B7599:B7602"/>
    <mergeCell ref="C7599:C7602"/>
    <mergeCell ref="D7599:D7602"/>
    <mergeCell ref="E7599:E7602"/>
    <mergeCell ref="F7599:F7602"/>
    <mergeCell ref="G7599:G7602"/>
    <mergeCell ref="H7599:H7602"/>
    <mergeCell ref="I7599:I7602"/>
    <mergeCell ref="J7599:J7602"/>
    <mergeCell ref="K7599:K7602"/>
    <mergeCell ref="L7599:L7602"/>
    <mergeCell ref="M7599:M7602"/>
    <mergeCell ref="N7599:N7602"/>
    <mergeCell ref="A7603:A7607"/>
    <mergeCell ref="B7603:B7607"/>
    <mergeCell ref="C7603:C7607"/>
    <mergeCell ref="D7603:D7607"/>
    <mergeCell ref="E7603:E7607"/>
    <mergeCell ref="F7603:F7607"/>
    <mergeCell ref="G7603:G7607"/>
    <mergeCell ref="H7603:H7607"/>
    <mergeCell ref="I7603:I7607"/>
    <mergeCell ref="J7603:J7607"/>
    <mergeCell ref="K7603:K7607"/>
    <mergeCell ref="L7603:L7607"/>
    <mergeCell ref="M7603:M7607"/>
    <mergeCell ref="N7603:N7607"/>
    <mergeCell ref="A7608:A7611"/>
    <mergeCell ref="B7608:B7611"/>
    <mergeCell ref="C7608:C7611"/>
    <mergeCell ref="D7608:D7611"/>
    <mergeCell ref="E7608:E7611"/>
    <mergeCell ref="F7608:F7611"/>
    <mergeCell ref="G7608:G7611"/>
    <mergeCell ref="H7608:H7611"/>
    <mergeCell ref="I7608:I7611"/>
    <mergeCell ref="J7608:J7611"/>
    <mergeCell ref="K7608:K7611"/>
    <mergeCell ref="L7608:L7611"/>
    <mergeCell ref="M7608:M7611"/>
    <mergeCell ref="N7608:N7611"/>
    <mergeCell ref="A7612:A7613"/>
    <mergeCell ref="B7612:B7613"/>
    <mergeCell ref="C7612:C7613"/>
    <mergeCell ref="D7612:D7613"/>
    <mergeCell ref="E7612:E7613"/>
    <mergeCell ref="F7612:F7613"/>
    <mergeCell ref="G7612:G7613"/>
    <mergeCell ref="H7612:H7613"/>
    <mergeCell ref="I7612:I7613"/>
    <mergeCell ref="J7612:J7613"/>
    <mergeCell ref="K7612:K7613"/>
    <mergeCell ref="L7612:L7613"/>
    <mergeCell ref="M7612:M7613"/>
    <mergeCell ref="N7612:N7613"/>
    <mergeCell ref="A7614:A7616"/>
    <mergeCell ref="B7614:B7616"/>
    <mergeCell ref="C7614:C7616"/>
    <mergeCell ref="D7614:D7616"/>
    <mergeCell ref="E7614:E7616"/>
    <mergeCell ref="F7614:F7616"/>
    <mergeCell ref="G7614:G7616"/>
    <mergeCell ref="H7614:H7616"/>
    <mergeCell ref="I7614:I7616"/>
    <mergeCell ref="J7614:J7616"/>
    <mergeCell ref="K7614:K7616"/>
    <mergeCell ref="L7614:L7616"/>
    <mergeCell ref="M7614:M7616"/>
    <mergeCell ref="N7614:N7616"/>
    <mergeCell ref="A7618:A7620"/>
    <mergeCell ref="B7618:B7620"/>
    <mergeCell ref="C7618:C7620"/>
    <mergeCell ref="D7618:D7620"/>
    <mergeCell ref="E7618:E7620"/>
    <mergeCell ref="F7618:F7620"/>
    <mergeCell ref="G7618:G7620"/>
    <mergeCell ref="H7618:H7620"/>
    <mergeCell ref="I7618:I7620"/>
    <mergeCell ref="J7618:J7620"/>
    <mergeCell ref="K7618:K7620"/>
    <mergeCell ref="L7618:L7620"/>
    <mergeCell ref="M7618:M7620"/>
    <mergeCell ref="N7618:N7620"/>
    <mergeCell ref="A7621:A7622"/>
    <mergeCell ref="B7621:B7622"/>
    <mergeCell ref="C7621:C7622"/>
    <mergeCell ref="D7621:D7622"/>
    <mergeCell ref="E7621:E7622"/>
    <mergeCell ref="F7621:F7622"/>
    <mergeCell ref="G7621:G7622"/>
    <mergeCell ref="H7621:H7622"/>
    <mergeCell ref="I7621:I7622"/>
    <mergeCell ref="J7621:J7622"/>
    <mergeCell ref="K7621:K7622"/>
    <mergeCell ref="L7621:L7622"/>
    <mergeCell ref="M7621:M7622"/>
    <mergeCell ref="N7621:N7622"/>
    <mergeCell ref="A7623:A7629"/>
    <mergeCell ref="B7623:B7629"/>
    <mergeCell ref="C7623:C7629"/>
    <mergeCell ref="D7623:D7629"/>
    <mergeCell ref="E7623:E7629"/>
    <mergeCell ref="F7623:F7629"/>
    <mergeCell ref="G7623:G7629"/>
    <mergeCell ref="H7623:H7629"/>
    <mergeCell ref="I7623:I7629"/>
    <mergeCell ref="J7623:J7629"/>
    <mergeCell ref="K7623:K7629"/>
    <mergeCell ref="L7623:L7629"/>
    <mergeCell ref="M7623:M7629"/>
    <mergeCell ref="N7623:N7629"/>
    <mergeCell ref="A7630:A7635"/>
    <mergeCell ref="B7630:B7635"/>
    <mergeCell ref="C7630:C7635"/>
    <mergeCell ref="D7630:D7635"/>
    <mergeCell ref="E7630:E7635"/>
    <mergeCell ref="F7630:F7635"/>
    <mergeCell ref="G7630:G7635"/>
    <mergeCell ref="H7630:H7635"/>
    <mergeCell ref="I7630:I7635"/>
    <mergeCell ref="J7630:J7635"/>
    <mergeCell ref="K7630:K7635"/>
    <mergeCell ref="L7630:L7635"/>
    <mergeCell ref="M7630:M7635"/>
    <mergeCell ref="N7630:N7635"/>
    <mergeCell ref="A7642:A7643"/>
    <mergeCell ref="B7642:B7643"/>
    <mergeCell ref="C7642:C7643"/>
    <mergeCell ref="D7642:D7643"/>
    <mergeCell ref="E7642:E7643"/>
    <mergeCell ref="F7642:F7643"/>
    <mergeCell ref="G7642:G7643"/>
    <mergeCell ref="H7642:H7643"/>
    <mergeCell ref="I7642:I7643"/>
    <mergeCell ref="J7642:J7643"/>
    <mergeCell ref="K7642:K7643"/>
    <mergeCell ref="L7642:L7643"/>
    <mergeCell ref="M7642:M7643"/>
    <mergeCell ref="N7642:N7643"/>
    <mergeCell ref="A7645:A7651"/>
    <mergeCell ref="B7645:B7651"/>
    <mergeCell ref="C7645:C7651"/>
    <mergeCell ref="D7645:D7651"/>
    <mergeCell ref="E7645:E7651"/>
    <mergeCell ref="F7645:F7651"/>
    <mergeCell ref="G7645:G7651"/>
    <mergeCell ref="H7645:H7651"/>
    <mergeCell ref="I7645:I7651"/>
    <mergeCell ref="J7645:J7651"/>
    <mergeCell ref="K7645:K7651"/>
    <mergeCell ref="L7645:L7651"/>
    <mergeCell ref="M7645:M7651"/>
    <mergeCell ref="N7645:N7651"/>
    <mergeCell ref="A7652:A7653"/>
    <mergeCell ref="B7652:B7653"/>
    <mergeCell ref="C7652:C7653"/>
    <mergeCell ref="D7652:D7653"/>
    <mergeCell ref="E7652:E7653"/>
    <mergeCell ref="F7652:F7653"/>
    <mergeCell ref="G7652:G7653"/>
    <mergeCell ref="H7652:H7653"/>
    <mergeCell ref="I7652:I7653"/>
    <mergeCell ref="J7652:J7653"/>
    <mergeCell ref="K7652:K7653"/>
    <mergeCell ref="L7652:L7653"/>
    <mergeCell ref="M7652:M7653"/>
    <mergeCell ref="N7652:N7653"/>
    <mergeCell ref="A7655:A7656"/>
    <mergeCell ref="B7655:B7656"/>
    <mergeCell ref="C7655:C7656"/>
    <mergeCell ref="D7655:D7656"/>
    <mergeCell ref="E7655:E7656"/>
    <mergeCell ref="F7655:F7656"/>
    <mergeCell ref="G7655:G7656"/>
    <mergeCell ref="H7655:H7656"/>
    <mergeCell ref="I7655:I7656"/>
    <mergeCell ref="J7655:J7656"/>
    <mergeCell ref="K7655:K7656"/>
    <mergeCell ref="L7655:L7656"/>
    <mergeCell ref="M7655:M7656"/>
    <mergeCell ref="N7655:N7656"/>
    <mergeCell ref="A7657:A7658"/>
    <mergeCell ref="B7657:B7658"/>
    <mergeCell ref="C7657:C7658"/>
    <mergeCell ref="D7657:D7658"/>
    <mergeCell ref="E7657:E7658"/>
    <mergeCell ref="F7657:F7658"/>
    <mergeCell ref="G7657:G7658"/>
    <mergeCell ref="H7657:H7658"/>
    <mergeCell ref="I7657:I7658"/>
    <mergeCell ref="J7657:J7658"/>
    <mergeCell ref="K7657:K7658"/>
    <mergeCell ref="L7657:L7658"/>
    <mergeCell ref="M7657:M7658"/>
    <mergeCell ref="N7657:N7658"/>
    <mergeCell ref="A7659:A7662"/>
    <mergeCell ref="B7659:B7662"/>
    <mergeCell ref="C7659:C7662"/>
    <mergeCell ref="D7659:D7662"/>
    <mergeCell ref="E7659:E7662"/>
    <mergeCell ref="F7659:F7662"/>
    <mergeCell ref="G7659:G7662"/>
    <mergeCell ref="H7659:H7662"/>
    <mergeCell ref="I7659:I7662"/>
    <mergeCell ref="J7659:J7662"/>
    <mergeCell ref="K7659:K7662"/>
    <mergeCell ref="L7659:L7662"/>
    <mergeCell ref="M7659:M7662"/>
    <mergeCell ref="N7659:N7662"/>
    <mergeCell ref="A7665:A7667"/>
    <mergeCell ref="B7665:B7667"/>
    <mergeCell ref="C7665:C7667"/>
    <mergeCell ref="D7665:D7667"/>
    <mergeCell ref="E7665:E7667"/>
    <mergeCell ref="F7665:F7667"/>
    <mergeCell ref="G7665:G7667"/>
    <mergeCell ref="H7665:H7667"/>
    <mergeCell ref="I7665:I7667"/>
    <mergeCell ref="J7665:J7667"/>
    <mergeCell ref="K7665:K7667"/>
    <mergeCell ref="L7665:L7667"/>
    <mergeCell ref="M7665:M7667"/>
    <mergeCell ref="N7665:N7667"/>
    <mergeCell ref="A7668:A7670"/>
    <mergeCell ref="B7668:B7670"/>
    <mergeCell ref="C7668:C7670"/>
    <mergeCell ref="D7668:D7670"/>
    <mergeCell ref="E7668:E7670"/>
    <mergeCell ref="F7668:F7670"/>
    <mergeCell ref="G7668:G7670"/>
    <mergeCell ref="H7668:H7670"/>
    <mergeCell ref="I7668:I7670"/>
    <mergeCell ref="J7668:J7670"/>
    <mergeCell ref="K7668:K7670"/>
    <mergeCell ref="L7668:L7670"/>
    <mergeCell ref="M7668:M7670"/>
    <mergeCell ref="N7668:N7670"/>
    <mergeCell ref="A7671:A7673"/>
    <mergeCell ref="B7671:B7673"/>
    <mergeCell ref="C7671:C7673"/>
    <mergeCell ref="D7671:D7673"/>
    <mergeCell ref="E7671:E7673"/>
    <mergeCell ref="F7671:F7673"/>
    <mergeCell ref="G7671:G7673"/>
    <mergeCell ref="H7671:H7673"/>
    <mergeCell ref="I7671:I7673"/>
    <mergeCell ref="J7671:J7673"/>
    <mergeCell ref="K7671:K7673"/>
    <mergeCell ref="L7671:L7673"/>
    <mergeCell ref="M7671:M7673"/>
    <mergeCell ref="N7671:N7673"/>
    <mergeCell ref="A7680:A7681"/>
    <mergeCell ref="B7680:B7681"/>
    <mergeCell ref="C7680:C7681"/>
    <mergeCell ref="D7680:D7681"/>
    <mergeCell ref="E7680:E7681"/>
    <mergeCell ref="F7680:F7681"/>
    <mergeCell ref="G7680:G7681"/>
    <mergeCell ref="H7680:H7681"/>
    <mergeCell ref="I7680:I7681"/>
    <mergeCell ref="J7680:J7681"/>
    <mergeCell ref="K7680:K7681"/>
    <mergeCell ref="L7680:L7681"/>
    <mergeCell ref="M7680:M7681"/>
    <mergeCell ref="N7680:N7681"/>
    <mergeCell ref="A7682:A7685"/>
    <mergeCell ref="B7682:B7685"/>
    <mergeCell ref="C7682:C7685"/>
    <mergeCell ref="D7682:D7685"/>
    <mergeCell ref="E7682:E7685"/>
    <mergeCell ref="F7682:F7685"/>
    <mergeCell ref="G7682:G7685"/>
    <mergeCell ref="H7682:H7685"/>
    <mergeCell ref="I7682:I7685"/>
    <mergeCell ref="J7682:J7685"/>
    <mergeCell ref="K7682:K7685"/>
    <mergeCell ref="L7682:L7685"/>
    <mergeCell ref="M7682:M7685"/>
    <mergeCell ref="N7682:N7685"/>
    <mergeCell ref="A7686:A7688"/>
    <mergeCell ref="B7686:B7688"/>
    <mergeCell ref="C7686:C7688"/>
    <mergeCell ref="D7686:D7688"/>
    <mergeCell ref="E7686:E7688"/>
    <mergeCell ref="F7686:F7688"/>
    <mergeCell ref="G7686:G7688"/>
    <mergeCell ref="H7686:H7688"/>
    <mergeCell ref="I7686:I7688"/>
    <mergeCell ref="J7686:J7688"/>
    <mergeCell ref="K7686:K7688"/>
    <mergeCell ref="L7686:L7688"/>
    <mergeCell ref="M7686:M7688"/>
    <mergeCell ref="N7686:N7688"/>
    <mergeCell ref="A7689:A7692"/>
    <mergeCell ref="B7689:B7692"/>
    <mergeCell ref="C7689:C7692"/>
    <mergeCell ref="D7689:D7692"/>
    <mergeCell ref="E7689:E7692"/>
    <mergeCell ref="F7689:F7692"/>
    <mergeCell ref="G7689:G7692"/>
    <mergeCell ref="H7689:H7692"/>
    <mergeCell ref="I7689:I7692"/>
    <mergeCell ref="J7689:J7692"/>
    <mergeCell ref="K7689:K7692"/>
    <mergeCell ref="L7689:L7692"/>
    <mergeCell ref="M7689:M7692"/>
    <mergeCell ref="N7689:N7692"/>
    <mergeCell ref="A7695:A7696"/>
    <mergeCell ref="B7695:B7696"/>
    <mergeCell ref="C7695:C7696"/>
    <mergeCell ref="D7695:D7696"/>
    <mergeCell ref="E7695:E7696"/>
    <mergeCell ref="F7695:F7696"/>
    <mergeCell ref="G7695:G7696"/>
    <mergeCell ref="H7695:H7696"/>
    <mergeCell ref="I7695:I7696"/>
    <mergeCell ref="J7695:J7696"/>
    <mergeCell ref="K7695:K7696"/>
    <mergeCell ref="L7695:L7696"/>
    <mergeCell ref="M7695:M7696"/>
    <mergeCell ref="N7695:N7696"/>
    <mergeCell ref="A7700:A7702"/>
    <mergeCell ref="B7700:B7702"/>
    <mergeCell ref="C7700:C7702"/>
    <mergeCell ref="D7700:D7702"/>
    <mergeCell ref="E7700:E7702"/>
    <mergeCell ref="F7700:F7702"/>
    <mergeCell ref="G7700:G7702"/>
    <mergeCell ref="H7700:H7702"/>
    <mergeCell ref="I7700:I7702"/>
    <mergeCell ref="J7700:J7702"/>
    <mergeCell ref="K7700:K7702"/>
    <mergeCell ref="L7700:L7702"/>
    <mergeCell ref="M7700:M7702"/>
    <mergeCell ref="N7700:N7702"/>
    <mergeCell ref="A7703:A7705"/>
    <mergeCell ref="B7703:B7705"/>
    <mergeCell ref="C7703:C7705"/>
    <mergeCell ref="D7703:D7705"/>
    <mergeCell ref="E7703:E7705"/>
    <mergeCell ref="F7703:F7705"/>
    <mergeCell ref="G7703:G7705"/>
    <mergeCell ref="H7703:H7705"/>
    <mergeCell ref="I7703:I7705"/>
    <mergeCell ref="J7703:J7705"/>
    <mergeCell ref="K7703:K7705"/>
    <mergeCell ref="L7703:L7705"/>
    <mergeCell ref="M7703:M7705"/>
    <mergeCell ref="N7703:N7705"/>
    <mergeCell ref="A7706:A7707"/>
    <mergeCell ref="B7706:B7707"/>
    <mergeCell ref="C7706:C7707"/>
    <mergeCell ref="D7706:D7707"/>
    <mergeCell ref="E7706:E7707"/>
    <mergeCell ref="F7706:F7707"/>
    <mergeCell ref="G7706:G7707"/>
    <mergeCell ref="H7706:H7707"/>
    <mergeCell ref="I7706:I7707"/>
    <mergeCell ref="J7706:J7707"/>
    <mergeCell ref="K7706:K7707"/>
    <mergeCell ref="L7706:L7707"/>
    <mergeCell ref="M7706:M7707"/>
    <mergeCell ref="N7706:N7707"/>
    <mergeCell ref="A7708:A7709"/>
    <mergeCell ref="B7708:B7709"/>
    <mergeCell ref="C7708:C7709"/>
    <mergeCell ref="D7708:D7709"/>
    <mergeCell ref="E7708:E7709"/>
    <mergeCell ref="F7708:F7709"/>
    <mergeCell ref="G7708:G7709"/>
    <mergeCell ref="H7708:H7709"/>
    <mergeCell ref="I7708:I7709"/>
    <mergeCell ref="J7708:J7709"/>
    <mergeCell ref="K7708:K7709"/>
    <mergeCell ref="L7708:L7709"/>
    <mergeCell ref="M7708:M7709"/>
    <mergeCell ref="N7708:N7709"/>
    <mergeCell ref="A7710:A7711"/>
    <mergeCell ref="B7710:B7711"/>
    <mergeCell ref="C7710:C7711"/>
    <mergeCell ref="D7710:D7711"/>
    <mergeCell ref="E7710:E7711"/>
    <mergeCell ref="F7710:F7711"/>
    <mergeCell ref="G7710:G7711"/>
    <mergeCell ref="H7710:H7711"/>
    <mergeCell ref="I7710:I7711"/>
    <mergeCell ref="J7710:J7711"/>
    <mergeCell ref="K7710:K7711"/>
    <mergeCell ref="L7710:L7711"/>
    <mergeCell ref="M7710:M7711"/>
    <mergeCell ref="N7710:N7711"/>
    <mergeCell ref="A7712:A7713"/>
    <mergeCell ref="B7712:B7713"/>
    <mergeCell ref="C7712:C7713"/>
    <mergeCell ref="D7712:D7713"/>
    <mergeCell ref="E7712:E7713"/>
    <mergeCell ref="F7712:F7713"/>
    <mergeCell ref="G7712:G7713"/>
    <mergeCell ref="H7712:H7713"/>
    <mergeCell ref="I7712:I7713"/>
    <mergeCell ref="J7712:J7713"/>
    <mergeCell ref="K7712:K7713"/>
    <mergeCell ref="L7712:L7713"/>
    <mergeCell ref="M7712:M7713"/>
    <mergeCell ref="N7712:N7713"/>
    <mergeCell ref="A7714:A7715"/>
    <mergeCell ref="B7714:B7715"/>
    <mergeCell ref="C7714:C7715"/>
    <mergeCell ref="D7714:D7715"/>
    <mergeCell ref="E7714:E7715"/>
    <mergeCell ref="F7714:F7715"/>
    <mergeCell ref="G7714:G7715"/>
    <mergeCell ref="H7714:H7715"/>
    <mergeCell ref="I7714:I7715"/>
    <mergeCell ref="J7714:J7715"/>
    <mergeCell ref="K7714:K7715"/>
    <mergeCell ref="L7714:L7715"/>
    <mergeCell ref="M7714:M7715"/>
    <mergeCell ref="N7714:N7715"/>
    <mergeCell ref="A7719:A7725"/>
    <mergeCell ref="B7719:B7725"/>
    <mergeCell ref="C7719:C7725"/>
    <mergeCell ref="D7719:D7725"/>
    <mergeCell ref="E7719:E7725"/>
    <mergeCell ref="F7719:F7725"/>
    <mergeCell ref="G7719:G7725"/>
    <mergeCell ref="H7719:H7725"/>
    <mergeCell ref="I7719:I7725"/>
    <mergeCell ref="J7719:J7725"/>
    <mergeCell ref="K7719:K7725"/>
    <mergeCell ref="L7719:L7725"/>
    <mergeCell ref="M7719:M7725"/>
    <mergeCell ref="N7719:N7725"/>
    <mergeCell ref="A7729:A7732"/>
    <mergeCell ref="B7729:B7732"/>
    <mergeCell ref="C7729:C7732"/>
    <mergeCell ref="D7729:D7732"/>
    <mergeCell ref="E7729:E7732"/>
    <mergeCell ref="F7729:F7732"/>
    <mergeCell ref="G7729:G7732"/>
    <mergeCell ref="H7729:H7732"/>
    <mergeCell ref="I7729:I7732"/>
    <mergeCell ref="J7729:J7732"/>
    <mergeCell ref="K7729:K7732"/>
    <mergeCell ref="L7729:L7732"/>
    <mergeCell ref="M7729:M7732"/>
    <mergeCell ref="N7729:N7732"/>
    <mergeCell ref="A7733:A7740"/>
    <mergeCell ref="B7733:B7740"/>
    <mergeCell ref="C7733:C7740"/>
    <mergeCell ref="D7733:D7740"/>
    <mergeCell ref="E7733:E7740"/>
    <mergeCell ref="F7733:F7740"/>
    <mergeCell ref="G7733:G7740"/>
    <mergeCell ref="H7733:H7740"/>
    <mergeCell ref="I7733:I7740"/>
    <mergeCell ref="J7733:J7740"/>
    <mergeCell ref="K7733:K7740"/>
    <mergeCell ref="L7733:L7740"/>
    <mergeCell ref="M7733:M7740"/>
    <mergeCell ref="N7733:N7740"/>
    <mergeCell ref="A7741:A7742"/>
    <mergeCell ref="B7741:B7742"/>
    <mergeCell ref="C7741:C7742"/>
    <mergeCell ref="D7741:D7742"/>
    <mergeCell ref="E7741:E7742"/>
    <mergeCell ref="F7741:F7742"/>
    <mergeCell ref="G7741:G7742"/>
    <mergeCell ref="H7741:H7742"/>
    <mergeCell ref="I7741:I7742"/>
    <mergeCell ref="J7741:J7742"/>
    <mergeCell ref="K7741:K7742"/>
    <mergeCell ref="L7741:L7742"/>
    <mergeCell ref="M7741:M7742"/>
    <mergeCell ref="N7741:N7742"/>
    <mergeCell ref="A7744:A7745"/>
    <mergeCell ref="B7744:B7745"/>
    <mergeCell ref="C7744:C7745"/>
    <mergeCell ref="D7744:D7745"/>
    <mergeCell ref="E7744:E7745"/>
    <mergeCell ref="F7744:F7745"/>
    <mergeCell ref="G7744:G7745"/>
    <mergeCell ref="H7744:H7745"/>
    <mergeCell ref="I7744:I7745"/>
    <mergeCell ref="J7744:J7745"/>
    <mergeCell ref="K7744:K7745"/>
    <mergeCell ref="L7744:L7745"/>
    <mergeCell ref="M7744:M7745"/>
    <mergeCell ref="N7744:N7745"/>
    <mergeCell ref="A7748:A7749"/>
    <mergeCell ref="B7748:B7749"/>
    <mergeCell ref="C7748:C7749"/>
    <mergeCell ref="D7748:D7749"/>
    <mergeCell ref="E7748:E7749"/>
    <mergeCell ref="F7748:F7749"/>
    <mergeCell ref="G7748:G7749"/>
    <mergeCell ref="H7748:H7749"/>
    <mergeCell ref="I7748:I7749"/>
    <mergeCell ref="J7748:J7749"/>
    <mergeCell ref="K7748:K7749"/>
    <mergeCell ref="L7748:L7749"/>
    <mergeCell ref="M7748:M7749"/>
    <mergeCell ref="N7748:N7749"/>
    <mergeCell ref="A7753:A7754"/>
    <mergeCell ref="B7753:B7754"/>
    <mergeCell ref="C7753:C7754"/>
    <mergeCell ref="D7753:D7754"/>
    <mergeCell ref="E7753:E7754"/>
    <mergeCell ref="F7753:F7754"/>
    <mergeCell ref="G7753:G7754"/>
    <mergeCell ref="H7753:H7754"/>
    <mergeCell ref="I7753:I7754"/>
    <mergeCell ref="J7753:J7754"/>
    <mergeCell ref="K7753:K7754"/>
    <mergeCell ref="L7753:L7754"/>
    <mergeCell ref="M7753:M7754"/>
    <mergeCell ref="N7753:N7754"/>
    <mergeCell ref="A7756:A7761"/>
    <mergeCell ref="B7756:B7761"/>
    <mergeCell ref="C7756:C7761"/>
    <mergeCell ref="D7756:D7761"/>
    <mergeCell ref="E7756:E7761"/>
    <mergeCell ref="F7756:F7761"/>
    <mergeCell ref="G7756:G7761"/>
    <mergeCell ref="H7756:H7761"/>
    <mergeCell ref="I7756:I7761"/>
    <mergeCell ref="J7756:J7761"/>
    <mergeCell ref="K7756:K7761"/>
    <mergeCell ref="L7756:L7761"/>
    <mergeCell ref="M7756:M7761"/>
    <mergeCell ref="N7756:N7761"/>
    <mergeCell ref="A7762:A7775"/>
    <mergeCell ref="B7762:B7775"/>
    <mergeCell ref="C7762:C7775"/>
    <mergeCell ref="D7762:D7775"/>
    <mergeCell ref="E7762:E7775"/>
    <mergeCell ref="F7762:F7775"/>
    <mergeCell ref="G7762:G7775"/>
    <mergeCell ref="H7762:H7775"/>
    <mergeCell ref="I7762:I7775"/>
    <mergeCell ref="J7762:J7775"/>
    <mergeCell ref="K7762:K7775"/>
    <mergeCell ref="L7762:L7775"/>
    <mergeCell ref="M7762:M7775"/>
    <mergeCell ref="N7762:N7775"/>
    <mergeCell ref="A7776:A7778"/>
    <mergeCell ref="B7776:B7778"/>
    <mergeCell ref="C7776:C7778"/>
    <mergeCell ref="D7776:D7778"/>
    <mergeCell ref="E7776:E7778"/>
    <mergeCell ref="F7776:F7778"/>
    <mergeCell ref="G7776:G7778"/>
    <mergeCell ref="H7776:H7778"/>
    <mergeCell ref="I7776:I7778"/>
    <mergeCell ref="J7776:J7778"/>
    <mergeCell ref="K7776:K7778"/>
    <mergeCell ref="L7776:L7778"/>
    <mergeCell ref="M7776:M7778"/>
    <mergeCell ref="N7776:N7778"/>
    <mergeCell ref="A7779:A7780"/>
    <mergeCell ref="B7779:B7780"/>
    <mergeCell ref="C7779:C7780"/>
    <mergeCell ref="D7779:D7780"/>
    <mergeCell ref="E7779:E7780"/>
    <mergeCell ref="F7779:F7780"/>
    <mergeCell ref="G7779:G7780"/>
    <mergeCell ref="H7779:H7780"/>
    <mergeCell ref="I7779:I7780"/>
    <mergeCell ref="J7779:J7780"/>
    <mergeCell ref="K7779:K7780"/>
    <mergeCell ref="L7779:L7780"/>
    <mergeCell ref="M7779:M7780"/>
    <mergeCell ref="N7779:N7780"/>
    <mergeCell ref="A7781:A7782"/>
    <mergeCell ref="B7781:B7782"/>
    <mergeCell ref="C7781:C7782"/>
    <mergeCell ref="D7781:D7782"/>
    <mergeCell ref="E7781:E7782"/>
    <mergeCell ref="F7781:F7782"/>
    <mergeCell ref="G7781:G7782"/>
    <mergeCell ref="H7781:H7782"/>
    <mergeCell ref="I7781:I7782"/>
    <mergeCell ref="J7781:J7782"/>
    <mergeCell ref="K7781:K7782"/>
    <mergeCell ref="L7781:L7782"/>
    <mergeCell ref="M7781:M7782"/>
    <mergeCell ref="N7781:N7782"/>
    <mergeCell ref="A7788:A7789"/>
    <mergeCell ref="B7788:B7789"/>
    <mergeCell ref="C7788:C7789"/>
    <mergeCell ref="D7788:D7789"/>
    <mergeCell ref="E7788:E7789"/>
    <mergeCell ref="F7788:F7789"/>
    <mergeCell ref="G7788:G7789"/>
    <mergeCell ref="H7788:H7789"/>
    <mergeCell ref="I7788:I7789"/>
    <mergeCell ref="J7788:J7789"/>
    <mergeCell ref="K7788:K7789"/>
    <mergeCell ref="L7788:L7789"/>
    <mergeCell ref="M7788:M7789"/>
    <mergeCell ref="N7788:N7789"/>
    <mergeCell ref="A7796:A7797"/>
    <mergeCell ref="B7796:B7797"/>
    <mergeCell ref="C7796:C7797"/>
    <mergeCell ref="D7796:D7797"/>
    <mergeCell ref="E7796:E7797"/>
    <mergeCell ref="F7796:F7797"/>
    <mergeCell ref="G7796:G7797"/>
    <mergeCell ref="H7796:H7797"/>
    <mergeCell ref="I7796:I7797"/>
    <mergeCell ref="J7796:J7797"/>
    <mergeCell ref="K7796:K7797"/>
    <mergeCell ref="L7796:L7797"/>
    <mergeCell ref="M7796:M7797"/>
    <mergeCell ref="N7796:N7797"/>
    <mergeCell ref="A7798:A7799"/>
    <mergeCell ref="B7798:B7799"/>
    <mergeCell ref="C7798:C7799"/>
    <mergeCell ref="D7798:D7799"/>
    <mergeCell ref="E7798:E7799"/>
    <mergeCell ref="F7798:F7799"/>
    <mergeCell ref="G7798:G7799"/>
    <mergeCell ref="H7798:H7799"/>
    <mergeCell ref="I7798:I7799"/>
    <mergeCell ref="J7798:J7799"/>
    <mergeCell ref="K7798:K7799"/>
    <mergeCell ref="L7798:L7799"/>
    <mergeCell ref="M7798:M7799"/>
    <mergeCell ref="N7798:N7799"/>
    <mergeCell ref="A7801:A7803"/>
    <mergeCell ref="B7801:B7803"/>
    <mergeCell ref="C7801:C7803"/>
    <mergeCell ref="D7801:D7803"/>
    <mergeCell ref="E7801:E7803"/>
    <mergeCell ref="F7801:F7803"/>
    <mergeCell ref="G7801:G7803"/>
    <mergeCell ref="H7801:H7803"/>
    <mergeCell ref="I7801:I7803"/>
    <mergeCell ref="J7801:J7803"/>
    <mergeCell ref="K7801:K7803"/>
    <mergeCell ref="L7801:L7803"/>
    <mergeCell ref="M7801:M7803"/>
    <mergeCell ref="N7801:N7803"/>
    <mergeCell ref="A7805:A7806"/>
    <mergeCell ref="B7805:B7806"/>
    <mergeCell ref="C7805:C7806"/>
    <mergeCell ref="D7805:D7806"/>
    <mergeCell ref="E7805:E7806"/>
    <mergeCell ref="F7805:F7806"/>
    <mergeCell ref="G7805:G7806"/>
    <mergeCell ref="H7805:H7806"/>
    <mergeCell ref="I7805:I7806"/>
    <mergeCell ref="J7805:J7806"/>
    <mergeCell ref="K7805:K7806"/>
    <mergeCell ref="L7805:L7806"/>
    <mergeCell ref="M7805:M7806"/>
    <mergeCell ref="N7805:N7806"/>
    <mergeCell ref="A7807:A7808"/>
    <mergeCell ref="B7807:B7808"/>
    <mergeCell ref="C7807:C7808"/>
    <mergeCell ref="D7807:D7808"/>
    <mergeCell ref="E7807:E7808"/>
    <mergeCell ref="F7807:F7808"/>
    <mergeCell ref="G7807:G7808"/>
    <mergeCell ref="H7807:H7808"/>
    <mergeCell ref="I7807:I7808"/>
    <mergeCell ref="J7807:J7808"/>
    <mergeCell ref="K7807:K7808"/>
    <mergeCell ref="L7807:L7808"/>
    <mergeCell ref="M7807:M7808"/>
    <mergeCell ref="N7807:N7808"/>
    <mergeCell ref="A7824:A7903"/>
    <mergeCell ref="B7824:B7903"/>
    <mergeCell ref="C7824:C7903"/>
    <mergeCell ref="D7824:D7903"/>
    <mergeCell ref="E7824:E7903"/>
    <mergeCell ref="F7824:F7903"/>
    <mergeCell ref="G7824:G7903"/>
    <mergeCell ref="H7824:H7903"/>
    <mergeCell ref="I7824:I7903"/>
    <mergeCell ref="J7824:J7903"/>
    <mergeCell ref="K7824:K7903"/>
    <mergeCell ref="L7824:L7903"/>
    <mergeCell ref="M7824:M7903"/>
    <mergeCell ref="N7824:N7903"/>
    <mergeCell ref="A7906:A7908"/>
    <mergeCell ref="B7906:B7908"/>
    <mergeCell ref="C7906:C7908"/>
    <mergeCell ref="D7906:D7908"/>
    <mergeCell ref="E7906:E7908"/>
    <mergeCell ref="F7906:F7908"/>
    <mergeCell ref="G7906:G7908"/>
    <mergeCell ref="H7906:H7908"/>
    <mergeCell ref="I7906:I7908"/>
    <mergeCell ref="J7906:J7908"/>
    <mergeCell ref="K7906:K7908"/>
    <mergeCell ref="L7906:L7908"/>
    <mergeCell ref="M7906:M7908"/>
    <mergeCell ref="N7906:N7908"/>
    <mergeCell ref="A7909:A7912"/>
    <mergeCell ref="B7909:B7912"/>
    <mergeCell ref="C7909:C7912"/>
    <mergeCell ref="D7909:D7912"/>
    <mergeCell ref="E7909:E7912"/>
    <mergeCell ref="F7909:F7912"/>
    <mergeCell ref="G7909:G7912"/>
    <mergeCell ref="H7909:H7912"/>
    <mergeCell ref="I7909:I7912"/>
    <mergeCell ref="J7909:J7912"/>
    <mergeCell ref="K7909:K7912"/>
    <mergeCell ref="L7909:L7912"/>
    <mergeCell ref="M7909:M7912"/>
    <mergeCell ref="N7909:N7912"/>
    <mergeCell ref="A7913:A7916"/>
    <mergeCell ref="B7913:B7916"/>
    <mergeCell ref="C7913:C7916"/>
    <mergeCell ref="D7913:D7916"/>
    <mergeCell ref="E7913:E7916"/>
    <mergeCell ref="F7913:F7916"/>
    <mergeCell ref="G7913:G7916"/>
    <mergeCell ref="H7913:H7916"/>
    <mergeCell ref="I7913:I7916"/>
    <mergeCell ref="J7913:J7916"/>
    <mergeCell ref="K7913:K7916"/>
    <mergeCell ref="L7913:L7916"/>
    <mergeCell ref="M7913:M7916"/>
    <mergeCell ref="N7913:N7916"/>
    <mergeCell ref="A7917:A7928"/>
    <mergeCell ref="B7917:B7928"/>
    <mergeCell ref="C7917:C7928"/>
    <mergeCell ref="D7917:D7928"/>
    <mergeCell ref="E7917:E7928"/>
    <mergeCell ref="F7917:F7928"/>
    <mergeCell ref="G7917:G7928"/>
    <mergeCell ref="H7917:H7928"/>
    <mergeCell ref="I7917:I7928"/>
    <mergeCell ref="J7917:J7928"/>
    <mergeCell ref="K7917:K7928"/>
    <mergeCell ref="L7917:L7928"/>
    <mergeCell ref="M7917:M7928"/>
    <mergeCell ref="N7917:N7928"/>
    <mergeCell ref="A7929:A7930"/>
    <mergeCell ref="B7929:B7930"/>
    <mergeCell ref="C7929:C7930"/>
    <mergeCell ref="D7929:D7930"/>
    <mergeCell ref="E7929:E7930"/>
    <mergeCell ref="F7929:F7930"/>
    <mergeCell ref="G7929:G7930"/>
    <mergeCell ref="H7929:H7930"/>
    <mergeCell ref="I7929:I7930"/>
    <mergeCell ref="J7929:J7930"/>
    <mergeCell ref="K7929:K7930"/>
    <mergeCell ref="L7929:L7930"/>
    <mergeCell ref="M7929:M7930"/>
    <mergeCell ref="N7929:N7930"/>
    <mergeCell ref="A7931:A7934"/>
    <mergeCell ref="B7931:B7934"/>
    <mergeCell ref="C7931:C7934"/>
    <mergeCell ref="D7931:D7934"/>
    <mergeCell ref="E7931:E7934"/>
    <mergeCell ref="F7931:F7934"/>
    <mergeCell ref="G7931:G7934"/>
    <mergeCell ref="H7931:H7934"/>
    <mergeCell ref="I7931:I7934"/>
    <mergeCell ref="J7931:J7934"/>
    <mergeCell ref="K7931:K7934"/>
    <mergeCell ref="L7931:L7934"/>
    <mergeCell ref="M7931:M7934"/>
    <mergeCell ref="N7931:N7934"/>
    <mergeCell ref="A7935:A7936"/>
    <mergeCell ref="B7935:B7936"/>
    <mergeCell ref="C7935:C7936"/>
    <mergeCell ref="D7935:D7936"/>
    <mergeCell ref="E7935:E7936"/>
    <mergeCell ref="F7935:F7936"/>
    <mergeCell ref="G7935:G7936"/>
    <mergeCell ref="H7935:H7936"/>
    <mergeCell ref="I7935:I7936"/>
    <mergeCell ref="J7935:J7936"/>
    <mergeCell ref="K7935:K7936"/>
    <mergeCell ref="L7935:L7936"/>
    <mergeCell ref="M7935:M7936"/>
    <mergeCell ref="N7935:N7936"/>
    <mergeCell ref="A7943:A7944"/>
    <mergeCell ref="B7943:B7944"/>
    <mergeCell ref="C7943:C7944"/>
    <mergeCell ref="D7943:D7944"/>
    <mergeCell ref="E7943:E7944"/>
    <mergeCell ref="F7943:F7944"/>
    <mergeCell ref="G7943:G7944"/>
    <mergeCell ref="H7943:H7944"/>
    <mergeCell ref="I7943:I7944"/>
    <mergeCell ref="J7943:J7944"/>
    <mergeCell ref="K7943:K7944"/>
    <mergeCell ref="L7943:L7944"/>
    <mergeCell ref="M7943:M7944"/>
    <mergeCell ref="N7943:N7944"/>
    <mergeCell ref="A7945:A7948"/>
    <mergeCell ref="B7945:B7948"/>
    <mergeCell ref="C7945:C7948"/>
    <mergeCell ref="D7945:D7948"/>
    <mergeCell ref="E7945:E7948"/>
    <mergeCell ref="F7945:F7948"/>
    <mergeCell ref="G7945:G7948"/>
    <mergeCell ref="H7945:H7948"/>
    <mergeCell ref="I7945:I7948"/>
    <mergeCell ref="J7945:J7948"/>
    <mergeCell ref="K7945:K7948"/>
    <mergeCell ref="L7945:L7948"/>
    <mergeCell ref="M7945:M7948"/>
    <mergeCell ref="N7945:N7948"/>
    <mergeCell ref="A7949:A7953"/>
    <mergeCell ref="B7949:B7953"/>
    <mergeCell ref="C7949:C7953"/>
    <mergeCell ref="D7949:D7953"/>
    <mergeCell ref="E7949:E7953"/>
    <mergeCell ref="F7949:F7953"/>
    <mergeCell ref="G7949:G7953"/>
    <mergeCell ref="H7949:H7953"/>
    <mergeCell ref="I7949:I7953"/>
    <mergeCell ref="J7949:J7953"/>
    <mergeCell ref="K7949:K7953"/>
    <mergeCell ref="L7949:L7953"/>
    <mergeCell ref="M7949:M7953"/>
    <mergeCell ref="N7949:N7953"/>
    <mergeCell ref="A7954:A7957"/>
    <mergeCell ref="B7954:B7957"/>
    <mergeCell ref="C7954:C7957"/>
    <mergeCell ref="D7954:D7957"/>
    <mergeCell ref="E7954:E7957"/>
    <mergeCell ref="F7954:F7957"/>
    <mergeCell ref="G7954:G7957"/>
    <mergeCell ref="H7954:H7957"/>
    <mergeCell ref="I7954:I7957"/>
    <mergeCell ref="J7954:J7957"/>
    <mergeCell ref="K7954:K7957"/>
    <mergeCell ref="L7954:L7957"/>
    <mergeCell ref="M7954:M7957"/>
    <mergeCell ref="N7954:N7957"/>
    <mergeCell ref="A7961:A7962"/>
    <mergeCell ref="B7961:B7962"/>
    <mergeCell ref="C7961:C7962"/>
    <mergeCell ref="D7961:D7962"/>
    <mergeCell ref="E7961:E7962"/>
    <mergeCell ref="F7961:F7962"/>
    <mergeCell ref="G7961:G7962"/>
    <mergeCell ref="H7961:H7962"/>
    <mergeCell ref="I7961:I7962"/>
    <mergeCell ref="J7961:J7962"/>
    <mergeCell ref="K7961:K7962"/>
    <mergeCell ref="L7961:L7962"/>
    <mergeCell ref="M7961:M7962"/>
    <mergeCell ref="N7961:N7962"/>
    <mergeCell ref="A7963:A7965"/>
    <mergeCell ref="B7963:B7965"/>
    <mergeCell ref="C7963:C7965"/>
    <mergeCell ref="D7963:D7965"/>
    <mergeCell ref="E7963:E7965"/>
    <mergeCell ref="F7963:F7965"/>
    <mergeCell ref="G7963:G7965"/>
    <mergeCell ref="H7963:H7965"/>
    <mergeCell ref="I7963:I7965"/>
    <mergeCell ref="J7963:J7965"/>
    <mergeCell ref="K7963:K7965"/>
    <mergeCell ref="L7963:L7965"/>
    <mergeCell ref="M7963:M7965"/>
    <mergeCell ref="N7963:N7965"/>
    <mergeCell ref="A7966:A7968"/>
    <mergeCell ref="B7966:B7968"/>
    <mergeCell ref="C7966:C7968"/>
    <mergeCell ref="D7966:D7968"/>
    <mergeCell ref="E7966:E7968"/>
    <mergeCell ref="F7966:F7968"/>
    <mergeCell ref="G7966:G7968"/>
    <mergeCell ref="H7966:H7968"/>
    <mergeCell ref="I7966:I7968"/>
    <mergeCell ref="J7966:J7968"/>
    <mergeCell ref="K7966:K7968"/>
    <mergeCell ref="L7966:L7968"/>
    <mergeCell ref="M7966:M7968"/>
    <mergeCell ref="N7966:N7968"/>
    <mergeCell ref="A7978:A7979"/>
    <mergeCell ref="B7978:B7979"/>
    <mergeCell ref="C7978:C7979"/>
    <mergeCell ref="D7978:D7979"/>
    <mergeCell ref="E7978:E7979"/>
    <mergeCell ref="F7978:F7979"/>
    <mergeCell ref="G7978:G7979"/>
    <mergeCell ref="H7978:H7979"/>
    <mergeCell ref="I7978:I7979"/>
    <mergeCell ref="J7978:J7979"/>
    <mergeCell ref="K7978:K7979"/>
    <mergeCell ref="L7978:L7979"/>
    <mergeCell ref="M7978:M7979"/>
    <mergeCell ref="N7978:N7979"/>
    <mergeCell ref="A7980:A7981"/>
    <mergeCell ref="B7980:B7981"/>
    <mergeCell ref="C7980:C7981"/>
    <mergeCell ref="D7980:D7981"/>
    <mergeCell ref="E7980:E7981"/>
    <mergeCell ref="F7980:F7981"/>
    <mergeCell ref="G7980:G7981"/>
    <mergeCell ref="H7980:H7981"/>
    <mergeCell ref="I7980:I7981"/>
    <mergeCell ref="J7980:J7981"/>
    <mergeCell ref="K7980:K7981"/>
    <mergeCell ref="L7980:L7981"/>
    <mergeCell ref="M7980:M7981"/>
    <mergeCell ref="N7980:N7981"/>
    <mergeCell ref="A7982:A7986"/>
    <mergeCell ref="B7982:B7986"/>
    <mergeCell ref="C7982:C7986"/>
    <mergeCell ref="D7982:D7986"/>
    <mergeCell ref="E7982:E7986"/>
    <mergeCell ref="F7982:F7986"/>
    <mergeCell ref="G7982:G7986"/>
    <mergeCell ref="H7982:H7986"/>
    <mergeCell ref="I7982:I7986"/>
    <mergeCell ref="J7982:J7986"/>
    <mergeCell ref="K7982:K7986"/>
    <mergeCell ref="L7982:L7986"/>
    <mergeCell ref="M7982:M7986"/>
    <mergeCell ref="N7982:N7986"/>
    <mergeCell ref="A7987:A7988"/>
    <mergeCell ref="B7987:B7988"/>
    <mergeCell ref="C7987:C7988"/>
    <mergeCell ref="D7987:D7988"/>
    <mergeCell ref="E7987:E7988"/>
    <mergeCell ref="F7987:F7988"/>
    <mergeCell ref="G7987:G7988"/>
    <mergeCell ref="H7987:H7988"/>
    <mergeCell ref="I7987:I7988"/>
    <mergeCell ref="J7987:J7988"/>
    <mergeCell ref="K7987:K7988"/>
    <mergeCell ref="L7987:L7988"/>
    <mergeCell ref="M7987:M7988"/>
    <mergeCell ref="N7987:N7988"/>
    <mergeCell ref="A7990:A7991"/>
    <mergeCell ref="B7990:B7991"/>
    <mergeCell ref="C7990:C7991"/>
    <mergeCell ref="D7990:D7991"/>
    <mergeCell ref="E7990:E7991"/>
    <mergeCell ref="F7990:F7991"/>
    <mergeCell ref="G7990:G7991"/>
    <mergeCell ref="H7990:H7991"/>
    <mergeCell ref="I7990:I7991"/>
    <mergeCell ref="J7990:J7991"/>
    <mergeCell ref="K7990:K7991"/>
    <mergeCell ref="L7990:L7991"/>
    <mergeCell ref="M7990:M7991"/>
    <mergeCell ref="N7990:N7991"/>
    <mergeCell ref="A7992:A7993"/>
    <mergeCell ref="B7992:B7993"/>
    <mergeCell ref="C7992:C7993"/>
    <mergeCell ref="D7992:D7993"/>
    <mergeCell ref="E7992:E7993"/>
    <mergeCell ref="F7992:F7993"/>
    <mergeCell ref="G7992:G7993"/>
    <mergeCell ref="H7992:H7993"/>
    <mergeCell ref="I7992:I7993"/>
    <mergeCell ref="J7992:J7993"/>
    <mergeCell ref="K7992:K7993"/>
    <mergeCell ref="L7992:L7993"/>
    <mergeCell ref="M7992:M7993"/>
    <mergeCell ref="N7992:N7993"/>
    <mergeCell ref="A7994:A7995"/>
    <mergeCell ref="B7994:B7995"/>
    <mergeCell ref="C7994:C7995"/>
    <mergeCell ref="D7994:D7995"/>
    <mergeCell ref="E7994:E7995"/>
    <mergeCell ref="F7994:F7995"/>
    <mergeCell ref="G7994:G7995"/>
    <mergeCell ref="H7994:H7995"/>
    <mergeCell ref="I7994:I7995"/>
    <mergeCell ref="J7994:J7995"/>
    <mergeCell ref="K7994:K7995"/>
    <mergeCell ref="L7994:L7995"/>
    <mergeCell ref="M7994:M7995"/>
    <mergeCell ref="N7994:N7995"/>
    <mergeCell ref="A7996:A7997"/>
    <mergeCell ref="B7996:B7997"/>
    <mergeCell ref="C7996:C7997"/>
    <mergeCell ref="D7996:D7997"/>
    <mergeCell ref="E7996:E7997"/>
    <mergeCell ref="F7996:F7997"/>
    <mergeCell ref="G7996:G7997"/>
    <mergeCell ref="H7996:H7997"/>
    <mergeCell ref="I7996:I7997"/>
    <mergeCell ref="J7996:J7997"/>
    <mergeCell ref="K7996:K7997"/>
    <mergeCell ref="L7996:L7997"/>
    <mergeCell ref="M7996:M7997"/>
    <mergeCell ref="N7996:N7997"/>
    <mergeCell ref="A7998:A7999"/>
    <mergeCell ref="B7998:B7999"/>
    <mergeCell ref="C7998:C7999"/>
    <mergeCell ref="D7998:D7999"/>
    <mergeCell ref="E7998:E7999"/>
    <mergeCell ref="F7998:F7999"/>
    <mergeCell ref="G7998:G7999"/>
    <mergeCell ref="H7998:H7999"/>
    <mergeCell ref="I7998:I7999"/>
    <mergeCell ref="J7998:J7999"/>
    <mergeCell ref="K7998:K7999"/>
    <mergeCell ref="L7998:L7999"/>
    <mergeCell ref="M7998:M7999"/>
    <mergeCell ref="N7998:N7999"/>
    <mergeCell ref="A8006:A8007"/>
    <mergeCell ref="B8006:B8007"/>
    <mergeCell ref="C8006:C8007"/>
    <mergeCell ref="D8006:D8007"/>
    <mergeCell ref="E8006:E8007"/>
    <mergeCell ref="F8006:F8007"/>
    <mergeCell ref="G8006:G8007"/>
    <mergeCell ref="H8006:H8007"/>
    <mergeCell ref="I8006:I8007"/>
    <mergeCell ref="J8006:J8007"/>
    <mergeCell ref="K8006:K8007"/>
    <mergeCell ref="L8006:L8007"/>
    <mergeCell ref="M8006:M8007"/>
    <mergeCell ref="N8006:N8007"/>
    <mergeCell ref="A8008:A8011"/>
    <mergeCell ref="B8008:B8011"/>
    <mergeCell ref="C8008:C8011"/>
    <mergeCell ref="D8008:D8011"/>
    <mergeCell ref="E8008:E8011"/>
    <mergeCell ref="F8008:F8011"/>
    <mergeCell ref="G8008:G8011"/>
    <mergeCell ref="H8008:H8011"/>
    <mergeCell ref="I8008:I8011"/>
    <mergeCell ref="J8008:J8011"/>
    <mergeCell ref="K8008:K8011"/>
    <mergeCell ref="L8008:L8011"/>
    <mergeCell ref="M8008:M8011"/>
    <mergeCell ref="N8008:N8011"/>
    <mergeCell ref="A8012:A8014"/>
    <mergeCell ref="B8012:B8014"/>
    <mergeCell ref="C8012:C8014"/>
    <mergeCell ref="D8012:D8014"/>
    <mergeCell ref="E8012:E8014"/>
    <mergeCell ref="F8012:F8014"/>
    <mergeCell ref="G8012:G8014"/>
    <mergeCell ref="H8012:H8014"/>
    <mergeCell ref="I8012:I8014"/>
    <mergeCell ref="J8012:J8014"/>
    <mergeCell ref="K8012:K8014"/>
    <mergeCell ref="L8012:L8014"/>
    <mergeCell ref="M8012:M8014"/>
    <mergeCell ref="N8012:N8014"/>
    <mergeCell ref="A8015:A8017"/>
    <mergeCell ref="B8015:B8017"/>
    <mergeCell ref="C8015:C8017"/>
    <mergeCell ref="D8015:D8017"/>
    <mergeCell ref="E8015:E8017"/>
    <mergeCell ref="F8015:F8017"/>
    <mergeCell ref="G8015:G8017"/>
    <mergeCell ref="H8015:H8017"/>
    <mergeCell ref="I8015:I8017"/>
    <mergeCell ref="J8015:J8017"/>
    <mergeCell ref="K8015:K8017"/>
    <mergeCell ref="L8015:L8017"/>
    <mergeCell ref="M8015:M8017"/>
    <mergeCell ref="N8015:N8017"/>
    <mergeCell ref="A8018:A8020"/>
    <mergeCell ref="B8018:B8020"/>
    <mergeCell ref="C8018:C8020"/>
    <mergeCell ref="D8018:D8020"/>
    <mergeCell ref="E8018:E8020"/>
    <mergeCell ref="F8018:F8020"/>
    <mergeCell ref="G8018:G8020"/>
    <mergeCell ref="H8018:H8020"/>
    <mergeCell ref="I8018:I8020"/>
    <mergeCell ref="J8018:J8020"/>
    <mergeCell ref="K8018:K8020"/>
    <mergeCell ref="L8018:L8020"/>
    <mergeCell ref="M8018:M8020"/>
    <mergeCell ref="N8018:N8020"/>
    <mergeCell ref="A8021:A8029"/>
    <mergeCell ref="B8021:B8029"/>
    <mergeCell ref="C8021:C8029"/>
    <mergeCell ref="D8021:D8029"/>
    <mergeCell ref="E8021:E8029"/>
    <mergeCell ref="F8021:F8029"/>
    <mergeCell ref="G8021:G8029"/>
    <mergeCell ref="H8021:H8029"/>
    <mergeCell ref="I8021:I8029"/>
    <mergeCell ref="J8021:J8029"/>
    <mergeCell ref="K8021:K8029"/>
    <mergeCell ref="L8021:L8029"/>
    <mergeCell ref="M8021:M8029"/>
    <mergeCell ref="N8021:N8029"/>
    <mergeCell ref="A8030:A8034"/>
    <mergeCell ref="B8030:B8034"/>
    <mergeCell ref="C8030:C8034"/>
    <mergeCell ref="D8030:D8034"/>
    <mergeCell ref="E8030:E8034"/>
    <mergeCell ref="F8030:F8034"/>
    <mergeCell ref="G8030:G8034"/>
    <mergeCell ref="H8030:H8034"/>
    <mergeCell ref="I8030:I8034"/>
    <mergeCell ref="J8030:J8034"/>
    <mergeCell ref="K8030:K8034"/>
    <mergeCell ref="L8030:L8034"/>
    <mergeCell ref="M8030:M8034"/>
    <mergeCell ref="N8030:N8034"/>
    <mergeCell ref="A8035:A8036"/>
    <mergeCell ref="B8035:B8036"/>
    <mergeCell ref="C8035:C8036"/>
    <mergeCell ref="D8035:D8036"/>
    <mergeCell ref="E8035:E8036"/>
    <mergeCell ref="F8035:F8036"/>
    <mergeCell ref="G8035:G8036"/>
    <mergeCell ref="H8035:H8036"/>
    <mergeCell ref="I8035:I8036"/>
    <mergeCell ref="J8035:J8036"/>
    <mergeCell ref="K8035:K8036"/>
    <mergeCell ref="L8035:L8036"/>
    <mergeCell ref="M8035:M8036"/>
    <mergeCell ref="N8035:N8036"/>
    <mergeCell ref="A8037:A8039"/>
    <mergeCell ref="B8037:B8039"/>
    <mergeCell ref="C8037:C8039"/>
    <mergeCell ref="D8037:D8039"/>
    <mergeCell ref="E8037:E8039"/>
    <mergeCell ref="F8037:F8039"/>
    <mergeCell ref="G8037:G8039"/>
    <mergeCell ref="H8037:H8039"/>
    <mergeCell ref="I8037:I8039"/>
    <mergeCell ref="J8037:J8039"/>
    <mergeCell ref="K8037:K8039"/>
    <mergeCell ref="L8037:L8039"/>
    <mergeCell ref="M8037:M8039"/>
    <mergeCell ref="N8037:N8039"/>
    <mergeCell ref="A8042:A8044"/>
    <mergeCell ref="B8042:B8044"/>
    <mergeCell ref="C8042:C8044"/>
    <mergeCell ref="D8042:D8044"/>
    <mergeCell ref="E8042:E8044"/>
    <mergeCell ref="F8042:F8044"/>
    <mergeCell ref="G8042:G8044"/>
    <mergeCell ref="H8042:H8044"/>
    <mergeCell ref="I8042:I8044"/>
    <mergeCell ref="J8042:J8044"/>
    <mergeCell ref="K8042:K8044"/>
    <mergeCell ref="L8042:L8044"/>
    <mergeCell ref="M8042:M8044"/>
    <mergeCell ref="N8042:N8044"/>
    <mergeCell ref="A8045:A8046"/>
    <mergeCell ref="B8045:B8046"/>
    <mergeCell ref="C8045:C8046"/>
    <mergeCell ref="D8045:D8046"/>
    <mergeCell ref="E8045:E8046"/>
    <mergeCell ref="F8045:F8046"/>
    <mergeCell ref="G8045:G8046"/>
    <mergeCell ref="H8045:H8046"/>
    <mergeCell ref="I8045:I8046"/>
    <mergeCell ref="J8045:J8046"/>
    <mergeCell ref="K8045:K8046"/>
    <mergeCell ref="L8045:L8046"/>
    <mergeCell ref="M8045:M8046"/>
    <mergeCell ref="N8045:N8046"/>
    <mergeCell ref="A8051:A8052"/>
    <mergeCell ref="B8051:B8052"/>
    <mergeCell ref="C8051:C8052"/>
    <mergeCell ref="D8051:D8052"/>
    <mergeCell ref="E8051:E8052"/>
    <mergeCell ref="F8051:F8052"/>
    <mergeCell ref="G8051:G8052"/>
    <mergeCell ref="H8051:H8052"/>
    <mergeCell ref="I8051:I8052"/>
    <mergeCell ref="J8051:J8052"/>
    <mergeCell ref="K8051:K8052"/>
    <mergeCell ref="L8051:L8052"/>
    <mergeCell ref="M8051:M8052"/>
    <mergeCell ref="N8051:N8052"/>
    <mergeCell ref="A8053:A8057"/>
    <mergeCell ref="B8053:B8057"/>
    <mergeCell ref="C8053:C8057"/>
    <mergeCell ref="D8053:D8057"/>
    <mergeCell ref="E8053:E8057"/>
    <mergeCell ref="F8053:F8057"/>
    <mergeCell ref="G8053:G8057"/>
    <mergeCell ref="H8053:H8057"/>
    <mergeCell ref="I8053:I8057"/>
    <mergeCell ref="J8053:J8057"/>
    <mergeCell ref="K8053:K8057"/>
    <mergeCell ref="L8053:L8057"/>
    <mergeCell ref="M8053:M8057"/>
    <mergeCell ref="N8053:N8057"/>
    <mergeCell ref="A8062:A8063"/>
    <mergeCell ref="B8062:B8063"/>
    <mergeCell ref="C8062:C8063"/>
    <mergeCell ref="D8062:D8063"/>
    <mergeCell ref="E8062:E8063"/>
    <mergeCell ref="F8062:F8063"/>
    <mergeCell ref="G8062:G8063"/>
    <mergeCell ref="H8062:H8063"/>
    <mergeCell ref="I8062:I8063"/>
    <mergeCell ref="J8062:J8063"/>
    <mergeCell ref="K8062:K8063"/>
    <mergeCell ref="L8062:L8063"/>
    <mergeCell ref="M8062:M8063"/>
    <mergeCell ref="N8062:N8063"/>
    <mergeCell ref="A8064:A8065"/>
    <mergeCell ref="B8064:B8065"/>
    <mergeCell ref="C8064:C8065"/>
    <mergeCell ref="D8064:D8065"/>
    <mergeCell ref="E8064:E8065"/>
    <mergeCell ref="F8064:F8065"/>
    <mergeCell ref="G8064:G8065"/>
    <mergeCell ref="H8064:H8065"/>
    <mergeCell ref="I8064:I8065"/>
    <mergeCell ref="J8064:J8065"/>
    <mergeCell ref="K8064:K8065"/>
    <mergeCell ref="L8064:L8065"/>
    <mergeCell ref="M8064:M8065"/>
    <mergeCell ref="N8064:N8065"/>
    <mergeCell ref="A8069:A8072"/>
    <mergeCell ref="B8069:B8072"/>
    <mergeCell ref="C8069:C8072"/>
    <mergeCell ref="D8069:D8072"/>
    <mergeCell ref="E8069:E8072"/>
    <mergeCell ref="F8069:F8072"/>
    <mergeCell ref="G8069:G8072"/>
    <mergeCell ref="H8069:H8072"/>
    <mergeCell ref="I8069:I8072"/>
    <mergeCell ref="J8069:J8072"/>
    <mergeCell ref="K8069:K8072"/>
    <mergeCell ref="L8069:L8072"/>
    <mergeCell ref="M8069:M8072"/>
    <mergeCell ref="N8069:N8072"/>
    <mergeCell ref="A8075:A8076"/>
    <mergeCell ref="B8075:B8076"/>
    <mergeCell ref="C8075:C8076"/>
    <mergeCell ref="D8075:D8076"/>
    <mergeCell ref="E8075:E8076"/>
    <mergeCell ref="F8075:F8076"/>
    <mergeCell ref="G8075:G8076"/>
    <mergeCell ref="H8075:H8076"/>
    <mergeCell ref="I8075:I8076"/>
    <mergeCell ref="J8075:J8076"/>
    <mergeCell ref="K8075:K8076"/>
    <mergeCell ref="L8075:L8076"/>
    <mergeCell ref="M8075:M8076"/>
    <mergeCell ref="N8075:N8076"/>
    <mergeCell ref="A8077:A8080"/>
    <mergeCell ref="B8077:B8080"/>
    <mergeCell ref="C8077:C8080"/>
    <mergeCell ref="D8077:D8080"/>
    <mergeCell ref="E8077:E8080"/>
    <mergeCell ref="F8077:F8080"/>
    <mergeCell ref="G8077:G8080"/>
    <mergeCell ref="H8077:H8080"/>
    <mergeCell ref="I8077:I8080"/>
    <mergeCell ref="J8077:J8080"/>
    <mergeCell ref="K8077:K8080"/>
    <mergeCell ref="L8077:L8080"/>
    <mergeCell ref="M8077:M8080"/>
    <mergeCell ref="N8077:N8080"/>
    <mergeCell ref="A8086:A8092"/>
    <mergeCell ref="B8086:B8092"/>
    <mergeCell ref="C8086:C8092"/>
    <mergeCell ref="D8086:D8092"/>
    <mergeCell ref="E8086:E8092"/>
    <mergeCell ref="F8086:F8092"/>
    <mergeCell ref="G8086:G8092"/>
    <mergeCell ref="H8086:H8092"/>
    <mergeCell ref="I8086:I8092"/>
    <mergeCell ref="J8086:J8092"/>
    <mergeCell ref="K8086:K8092"/>
    <mergeCell ref="L8086:L8092"/>
    <mergeCell ref="M8086:M8092"/>
    <mergeCell ref="N8086:N8092"/>
    <mergeCell ref="A8093:A8095"/>
    <mergeCell ref="B8093:B8095"/>
    <mergeCell ref="C8093:C8095"/>
    <mergeCell ref="D8093:D8095"/>
    <mergeCell ref="E8093:E8095"/>
    <mergeCell ref="F8093:F8095"/>
    <mergeCell ref="G8093:G8095"/>
    <mergeCell ref="H8093:H8095"/>
    <mergeCell ref="I8093:I8095"/>
    <mergeCell ref="J8093:J8095"/>
    <mergeCell ref="K8093:K8095"/>
    <mergeCell ref="L8093:L8095"/>
    <mergeCell ref="M8093:M8095"/>
    <mergeCell ref="N8093:N8095"/>
    <mergeCell ref="A8096:A8097"/>
    <mergeCell ref="B8096:B8097"/>
    <mergeCell ref="C8096:C8097"/>
    <mergeCell ref="D8096:D8097"/>
    <mergeCell ref="E8096:E8097"/>
    <mergeCell ref="F8096:F8097"/>
    <mergeCell ref="G8096:G8097"/>
    <mergeCell ref="H8096:H8097"/>
    <mergeCell ref="I8096:I8097"/>
    <mergeCell ref="J8096:J8097"/>
    <mergeCell ref="K8096:K8097"/>
    <mergeCell ref="L8096:L8097"/>
    <mergeCell ref="M8096:M8097"/>
    <mergeCell ref="N8096:N8097"/>
    <mergeCell ref="A8098:A8099"/>
    <mergeCell ref="B8098:B8099"/>
    <mergeCell ref="C8098:C8099"/>
    <mergeCell ref="D8098:D8099"/>
    <mergeCell ref="E8098:E8099"/>
    <mergeCell ref="F8098:F8099"/>
    <mergeCell ref="G8098:G8099"/>
    <mergeCell ref="H8098:H8099"/>
    <mergeCell ref="I8098:I8099"/>
    <mergeCell ref="J8098:J8099"/>
    <mergeCell ref="K8098:K8099"/>
    <mergeCell ref="L8098:L8099"/>
    <mergeCell ref="M8098:M8099"/>
    <mergeCell ref="N8098:N8099"/>
    <mergeCell ref="A8100:A8101"/>
    <mergeCell ref="B8100:B8101"/>
    <mergeCell ref="C8100:C8101"/>
    <mergeCell ref="D8100:D8101"/>
    <mergeCell ref="E8100:E8101"/>
    <mergeCell ref="F8100:F8101"/>
    <mergeCell ref="G8100:G8101"/>
    <mergeCell ref="H8100:H8101"/>
    <mergeCell ref="I8100:I8101"/>
    <mergeCell ref="J8100:J8101"/>
    <mergeCell ref="K8100:K8101"/>
    <mergeCell ref="L8100:L8101"/>
    <mergeCell ref="M8100:M8101"/>
    <mergeCell ref="N8100:N8101"/>
    <mergeCell ref="A8102:A8103"/>
    <mergeCell ref="B8102:B8103"/>
    <mergeCell ref="C8102:C8103"/>
    <mergeCell ref="D8102:D8103"/>
    <mergeCell ref="E8102:E8103"/>
    <mergeCell ref="F8102:F8103"/>
    <mergeCell ref="G8102:G8103"/>
    <mergeCell ref="H8102:H8103"/>
    <mergeCell ref="I8102:I8103"/>
    <mergeCell ref="J8102:J8103"/>
    <mergeCell ref="K8102:K8103"/>
    <mergeCell ref="L8102:L8103"/>
    <mergeCell ref="M8102:M8103"/>
    <mergeCell ref="N8102:N8103"/>
    <mergeCell ref="A8116:A8118"/>
    <mergeCell ref="B8116:B8118"/>
    <mergeCell ref="C8116:C8118"/>
    <mergeCell ref="D8116:D8118"/>
    <mergeCell ref="E8116:E8118"/>
    <mergeCell ref="F8116:F8118"/>
    <mergeCell ref="G8116:G8118"/>
    <mergeCell ref="H8116:H8118"/>
    <mergeCell ref="I8116:I8118"/>
    <mergeCell ref="J8116:J8118"/>
    <mergeCell ref="K8116:K8118"/>
    <mergeCell ref="L8116:L8118"/>
    <mergeCell ref="M8116:M8118"/>
    <mergeCell ref="N8116:N8118"/>
    <mergeCell ref="A8119:A8121"/>
    <mergeCell ref="B8119:B8121"/>
    <mergeCell ref="C8119:C8121"/>
    <mergeCell ref="D8119:D8121"/>
    <mergeCell ref="E8119:E8121"/>
    <mergeCell ref="F8119:F8121"/>
    <mergeCell ref="G8119:G8121"/>
    <mergeCell ref="H8119:H8121"/>
    <mergeCell ref="I8119:I8121"/>
    <mergeCell ref="J8119:J8121"/>
    <mergeCell ref="K8119:K8121"/>
    <mergeCell ref="L8119:L8121"/>
    <mergeCell ref="M8119:M8121"/>
    <mergeCell ref="N8119:N8121"/>
    <mergeCell ref="A8122:A8123"/>
    <mergeCell ref="B8122:B8123"/>
    <mergeCell ref="C8122:C8123"/>
    <mergeCell ref="D8122:D8123"/>
    <mergeCell ref="E8122:E8123"/>
    <mergeCell ref="F8122:F8123"/>
    <mergeCell ref="G8122:G8123"/>
    <mergeCell ref="H8122:H8123"/>
    <mergeCell ref="I8122:I8123"/>
    <mergeCell ref="J8122:J8123"/>
    <mergeCell ref="K8122:K8123"/>
    <mergeCell ref="L8122:L8123"/>
    <mergeCell ref="M8122:M8123"/>
    <mergeCell ref="N8122:N8123"/>
    <mergeCell ref="A8124:A8128"/>
    <mergeCell ref="B8124:B8128"/>
    <mergeCell ref="C8124:C8128"/>
    <mergeCell ref="D8124:D8128"/>
    <mergeCell ref="E8124:E8128"/>
    <mergeCell ref="F8124:F8128"/>
    <mergeCell ref="G8124:G8128"/>
    <mergeCell ref="H8124:H8128"/>
    <mergeCell ref="I8124:I8128"/>
    <mergeCell ref="J8124:J8128"/>
    <mergeCell ref="K8124:K8128"/>
    <mergeCell ref="L8124:L8128"/>
    <mergeCell ref="M8124:M8128"/>
    <mergeCell ref="N8124:N8128"/>
    <mergeCell ref="A8129:A8130"/>
    <mergeCell ref="B8129:B8130"/>
    <mergeCell ref="C8129:C8130"/>
    <mergeCell ref="D8129:D8130"/>
    <mergeCell ref="E8129:E8130"/>
    <mergeCell ref="F8129:F8130"/>
    <mergeCell ref="G8129:G8130"/>
    <mergeCell ref="H8129:H8130"/>
    <mergeCell ref="I8129:I8130"/>
    <mergeCell ref="J8129:J8130"/>
    <mergeCell ref="K8129:K8130"/>
    <mergeCell ref="L8129:L8130"/>
    <mergeCell ref="M8129:M8130"/>
    <mergeCell ref="N8129:N8130"/>
    <mergeCell ref="A8131:A8139"/>
    <mergeCell ref="B8131:B8139"/>
    <mergeCell ref="C8131:C8139"/>
    <mergeCell ref="D8131:D8139"/>
    <mergeCell ref="E8131:E8139"/>
    <mergeCell ref="F8131:F8139"/>
    <mergeCell ref="G8131:G8139"/>
    <mergeCell ref="H8131:H8139"/>
    <mergeCell ref="I8131:I8139"/>
    <mergeCell ref="J8131:J8139"/>
    <mergeCell ref="K8131:K8139"/>
    <mergeCell ref="L8131:L8139"/>
    <mergeCell ref="M8131:M8139"/>
    <mergeCell ref="N8131:N8139"/>
    <mergeCell ref="A8140:A8142"/>
    <mergeCell ref="B8140:B8142"/>
    <mergeCell ref="C8140:C8142"/>
    <mergeCell ref="D8140:D8142"/>
    <mergeCell ref="E8140:E8142"/>
    <mergeCell ref="F8140:F8142"/>
    <mergeCell ref="G8140:G8142"/>
    <mergeCell ref="H8140:H8142"/>
    <mergeCell ref="I8140:I8142"/>
    <mergeCell ref="J8140:J8142"/>
    <mergeCell ref="K8140:K8142"/>
    <mergeCell ref="L8140:L8142"/>
    <mergeCell ref="M8140:M8142"/>
    <mergeCell ref="N8140:N8142"/>
    <mergeCell ref="A8143:A8146"/>
    <mergeCell ref="B8143:B8146"/>
    <mergeCell ref="C8143:C8146"/>
    <mergeCell ref="D8143:D8146"/>
    <mergeCell ref="E8143:E8146"/>
    <mergeCell ref="F8143:F8146"/>
    <mergeCell ref="G8143:G8146"/>
    <mergeCell ref="H8143:H8146"/>
    <mergeCell ref="I8143:I8146"/>
    <mergeCell ref="J8143:J8146"/>
    <mergeCell ref="K8143:K8146"/>
    <mergeCell ref="L8143:L8146"/>
    <mergeCell ref="M8143:M8146"/>
    <mergeCell ref="N8143:N8146"/>
    <mergeCell ref="A8150:A8151"/>
    <mergeCell ref="B8150:B8151"/>
    <mergeCell ref="C8150:C8151"/>
    <mergeCell ref="D8150:D8151"/>
    <mergeCell ref="E8150:E8151"/>
    <mergeCell ref="F8150:F8151"/>
    <mergeCell ref="G8150:G8151"/>
    <mergeCell ref="H8150:H8151"/>
    <mergeCell ref="I8150:I8151"/>
    <mergeCell ref="J8150:J8151"/>
    <mergeCell ref="K8150:K8151"/>
    <mergeCell ref="L8150:L8151"/>
    <mergeCell ref="M8150:M8151"/>
    <mergeCell ref="N8150:N8151"/>
    <mergeCell ref="A8156:A8158"/>
    <mergeCell ref="B8156:B8158"/>
    <mergeCell ref="C8156:C8158"/>
    <mergeCell ref="D8156:D8158"/>
    <mergeCell ref="E8156:E8158"/>
    <mergeCell ref="F8156:F8158"/>
    <mergeCell ref="G8156:G8158"/>
    <mergeCell ref="H8156:H8158"/>
    <mergeCell ref="I8156:I8158"/>
    <mergeCell ref="J8156:J8158"/>
    <mergeCell ref="K8156:K8158"/>
    <mergeCell ref="L8156:L8158"/>
    <mergeCell ref="M8156:M8158"/>
    <mergeCell ref="N8156:N8158"/>
    <mergeCell ref="A8160:A8162"/>
    <mergeCell ref="B8160:B8162"/>
    <mergeCell ref="C8160:C8162"/>
    <mergeCell ref="D8160:D8162"/>
    <mergeCell ref="E8160:E8162"/>
    <mergeCell ref="F8160:F8162"/>
    <mergeCell ref="G8160:G8162"/>
    <mergeCell ref="H8160:H8162"/>
    <mergeCell ref="I8160:I8162"/>
    <mergeCell ref="J8160:J8162"/>
    <mergeCell ref="K8160:K8162"/>
    <mergeCell ref="L8160:L8162"/>
    <mergeCell ref="M8160:M8162"/>
    <mergeCell ref="N8160:N8162"/>
    <mergeCell ref="A8163:A8165"/>
    <mergeCell ref="B8163:B8165"/>
    <mergeCell ref="C8163:C8165"/>
    <mergeCell ref="D8163:D8165"/>
    <mergeCell ref="E8163:E8165"/>
    <mergeCell ref="F8163:F8165"/>
    <mergeCell ref="G8163:G8165"/>
    <mergeCell ref="H8163:H8165"/>
    <mergeCell ref="I8163:I8165"/>
    <mergeCell ref="J8163:J8165"/>
    <mergeCell ref="K8163:K8165"/>
    <mergeCell ref="L8163:L8165"/>
    <mergeCell ref="M8163:M8165"/>
    <mergeCell ref="N8163:N8165"/>
    <mergeCell ref="A8166:A8171"/>
    <mergeCell ref="B8166:B8171"/>
    <mergeCell ref="C8166:C8171"/>
    <mergeCell ref="D8166:D8171"/>
    <mergeCell ref="E8166:E8171"/>
    <mergeCell ref="F8166:F8171"/>
    <mergeCell ref="G8166:G8171"/>
    <mergeCell ref="H8166:H8171"/>
    <mergeCell ref="I8166:I8171"/>
    <mergeCell ref="J8166:J8171"/>
    <mergeCell ref="K8166:K8171"/>
    <mergeCell ref="L8166:L8171"/>
    <mergeCell ref="M8166:M8171"/>
    <mergeCell ref="N8166:N8171"/>
    <mergeCell ref="A8172:A8173"/>
    <mergeCell ref="B8172:B8173"/>
    <mergeCell ref="C8172:C8173"/>
    <mergeCell ref="D8172:D8173"/>
    <mergeCell ref="E8172:E8173"/>
    <mergeCell ref="F8172:F8173"/>
    <mergeCell ref="G8172:G8173"/>
    <mergeCell ref="H8172:H8173"/>
    <mergeCell ref="I8172:I8173"/>
    <mergeCell ref="J8172:J8173"/>
    <mergeCell ref="K8172:K8173"/>
    <mergeCell ref="L8172:L8173"/>
    <mergeCell ref="M8172:M8173"/>
    <mergeCell ref="N8172:N8173"/>
    <mergeCell ref="A8174:A8175"/>
    <mergeCell ref="B8174:B8175"/>
    <mergeCell ref="C8174:C8175"/>
    <mergeCell ref="D8174:D8175"/>
    <mergeCell ref="E8174:E8175"/>
    <mergeCell ref="F8174:F8175"/>
    <mergeCell ref="G8174:G8175"/>
    <mergeCell ref="H8174:H8175"/>
    <mergeCell ref="I8174:I8175"/>
    <mergeCell ref="J8174:J8175"/>
    <mergeCell ref="K8174:K8175"/>
    <mergeCell ref="L8174:L8175"/>
    <mergeCell ref="M8174:M8175"/>
    <mergeCell ref="N8174:N8175"/>
    <mergeCell ref="A8176:A8177"/>
    <mergeCell ref="B8176:B8177"/>
    <mergeCell ref="C8176:C8177"/>
    <mergeCell ref="D8176:D8177"/>
    <mergeCell ref="E8176:E8177"/>
    <mergeCell ref="F8176:F8177"/>
    <mergeCell ref="G8176:G8177"/>
    <mergeCell ref="H8176:H8177"/>
    <mergeCell ref="I8176:I8177"/>
    <mergeCell ref="J8176:J8177"/>
    <mergeCell ref="K8176:K8177"/>
    <mergeCell ref="L8176:L8177"/>
    <mergeCell ref="M8176:M8177"/>
    <mergeCell ref="N8176:N8177"/>
    <mergeCell ref="A8178:A8180"/>
    <mergeCell ref="B8178:B8180"/>
    <mergeCell ref="C8178:C8180"/>
    <mergeCell ref="D8178:D8180"/>
    <mergeCell ref="E8178:E8180"/>
    <mergeCell ref="F8178:F8180"/>
    <mergeCell ref="G8178:G8180"/>
    <mergeCell ref="H8178:H8180"/>
    <mergeCell ref="I8178:I8180"/>
    <mergeCell ref="J8178:J8180"/>
    <mergeCell ref="K8178:K8180"/>
    <mergeCell ref="L8178:L8180"/>
    <mergeCell ref="M8178:M8180"/>
    <mergeCell ref="N8178:N8180"/>
    <mergeCell ref="A8181:A8183"/>
    <mergeCell ref="B8181:B8183"/>
    <mergeCell ref="C8181:C8183"/>
    <mergeCell ref="D8181:D8183"/>
    <mergeCell ref="E8181:E8183"/>
    <mergeCell ref="F8181:F8183"/>
    <mergeCell ref="G8181:G8183"/>
    <mergeCell ref="H8181:H8183"/>
    <mergeCell ref="I8181:I8183"/>
    <mergeCell ref="J8181:J8183"/>
    <mergeCell ref="K8181:K8183"/>
    <mergeCell ref="L8181:L8183"/>
    <mergeCell ref="M8181:M8183"/>
    <mergeCell ref="N8181:N8183"/>
    <mergeCell ref="A8184:A8185"/>
    <mergeCell ref="B8184:B8185"/>
    <mergeCell ref="C8184:C8185"/>
    <mergeCell ref="D8184:D8185"/>
    <mergeCell ref="E8184:E8185"/>
    <mergeCell ref="F8184:F8185"/>
    <mergeCell ref="G8184:G8185"/>
    <mergeCell ref="H8184:H8185"/>
    <mergeCell ref="I8184:I8185"/>
    <mergeCell ref="J8184:J8185"/>
    <mergeCell ref="K8184:K8185"/>
    <mergeCell ref="L8184:L8185"/>
    <mergeCell ref="M8184:M8185"/>
    <mergeCell ref="N8184:N8185"/>
    <mergeCell ref="A8186:A8187"/>
    <mergeCell ref="B8186:B8187"/>
    <mergeCell ref="C8186:C8187"/>
    <mergeCell ref="D8186:D8187"/>
    <mergeCell ref="E8186:E8187"/>
    <mergeCell ref="F8186:F8187"/>
    <mergeCell ref="G8186:G8187"/>
    <mergeCell ref="H8186:H8187"/>
    <mergeCell ref="I8186:I8187"/>
    <mergeCell ref="J8186:J8187"/>
    <mergeCell ref="K8186:K8187"/>
    <mergeCell ref="L8186:L8187"/>
    <mergeCell ref="M8186:M8187"/>
    <mergeCell ref="N8186:N8187"/>
    <mergeCell ref="A8190:A8191"/>
    <mergeCell ref="B8190:B8191"/>
    <mergeCell ref="C8190:C8191"/>
    <mergeCell ref="D8190:D8191"/>
    <mergeCell ref="E8190:E8191"/>
    <mergeCell ref="F8190:F8191"/>
    <mergeCell ref="G8190:G8191"/>
    <mergeCell ref="H8190:H8191"/>
    <mergeCell ref="I8190:I8191"/>
    <mergeCell ref="J8190:J8191"/>
    <mergeCell ref="K8190:K8191"/>
    <mergeCell ref="L8190:L8191"/>
    <mergeCell ref="M8190:M8191"/>
    <mergeCell ref="N8190:N8191"/>
    <mergeCell ref="A8193:A8197"/>
    <mergeCell ref="B8193:B8197"/>
    <mergeCell ref="C8193:C8197"/>
    <mergeCell ref="D8193:D8197"/>
    <mergeCell ref="E8193:E8197"/>
    <mergeCell ref="F8193:F8197"/>
    <mergeCell ref="G8193:G8197"/>
    <mergeCell ref="H8193:H8197"/>
    <mergeCell ref="I8193:I8197"/>
    <mergeCell ref="J8193:J8197"/>
    <mergeCell ref="K8193:K8197"/>
    <mergeCell ref="L8193:L8197"/>
    <mergeCell ref="M8193:M8197"/>
    <mergeCell ref="N8193:N8197"/>
    <mergeCell ref="A8198:A8200"/>
    <mergeCell ref="B8198:B8200"/>
    <mergeCell ref="C8198:C8200"/>
    <mergeCell ref="D8198:D8200"/>
    <mergeCell ref="E8198:E8200"/>
    <mergeCell ref="F8198:F8200"/>
    <mergeCell ref="G8198:G8200"/>
    <mergeCell ref="H8198:H8200"/>
    <mergeCell ref="I8198:I8200"/>
    <mergeCell ref="J8198:J8200"/>
    <mergeCell ref="K8198:K8200"/>
    <mergeCell ref="L8198:L8200"/>
    <mergeCell ref="M8198:M8200"/>
    <mergeCell ref="N8198:N8200"/>
    <mergeCell ref="A8201:A8202"/>
    <mergeCell ref="B8201:B8202"/>
    <mergeCell ref="C8201:C8202"/>
    <mergeCell ref="D8201:D8202"/>
    <mergeCell ref="E8201:E8202"/>
    <mergeCell ref="F8201:F8202"/>
    <mergeCell ref="G8201:G8202"/>
    <mergeCell ref="H8201:H8202"/>
    <mergeCell ref="I8201:I8202"/>
    <mergeCell ref="J8201:J8202"/>
    <mergeCell ref="K8201:K8202"/>
    <mergeCell ref="L8201:L8202"/>
    <mergeCell ref="M8201:M8202"/>
    <mergeCell ref="N8201:N8202"/>
    <mergeCell ref="A8205:A8206"/>
    <mergeCell ref="B8205:B8206"/>
    <mergeCell ref="C8205:C8206"/>
    <mergeCell ref="D8205:D8206"/>
    <mergeCell ref="E8205:E8206"/>
    <mergeCell ref="F8205:F8206"/>
    <mergeCell ref="G8205:G8206"/>
    <mergeCell ref="H8205:H8206"/>
    <mergeCell ref="I8205:I8206"/>
    <mergeCell ref="J8205:J8206"/>
    <mergeCell ref="K8205:K8206"/>
    <mergeCell ref="L8205:L8206"/>
    <mergeCell ref="M8205:M8206"/>
    <mergeCell ref="N8205:N8206"/>
    <mergeCell ref="A8212:A8214"/>
    <mergeCell ref="B8212:B8214"/>
    <mergeCell ref="C8212:C8214"/>
    <mergeCell ref="D8212:D8214"/>
    <mergeCell ref="E8212:E8214"/>
    <mergeCell ref="F8212:F8214"/>
    <mergeCell ref="G8212:G8214"/>
    <mergeCell ref="H8212:H8214"/>
    <mergeCell ref="I8212:I8214"/>
    <mergeCell ref="J8212:J8214"/>
    <mergeCell ref="K8212:K8214"/>
    <mergeCell ref="L8212:L8214"/>
    <mergeCell ref="M8212:M8214"/>
    <mergeCell ref="N8212:N8214"/>
    <mergeCell ref="A8220:A8221"/>
    <mergeCell ref="B8220:B8221"/>
    <mergeCell ref="C8220:C8221"/>
    <mergeCell ref="D8220:D8221"/>
    <mergeCell ref="E8220:E8221"/>
    <mergeCell ref="F8220:F8221"/>
    <mergeCell ref="G8220:G8221"/>
    <mergeCell ref="H8220:H8221"/>
    <mergeCell ref="I8220:I8221"/>
    <mergeCell ref="J8220:J8221"/>
    <mergeCell ref="K8220:K8221"/>
    <mergeCell ref="L8220:L8221"/>
    <mergeCell ref="M8220:M8221"/>
    <mergeCell ref="N8220:N8221"/>
    <mergeCell ref="A8231:A8232"/>
    <mergeCell ref="B8231:B8232"/>
    <mergeCell ref="C8231:C8232"/>
    <mergeCell ref="D8231:D8232"/>
    <mergeCell ref="E8231:E8232"/>
    <mergeCell ref="F8231:F8232"/>
    <mergeCell ref="G8231:G8232"/>
    <mergeCell ref="H8231:H8232"/>
    <mergeCell ref="I8231:I8232"/>
    <mergeCell ref="J8231:J8232"/>
    <mergeCell ref="K8231:K8232"/>
    <mergeCell ref="L8231:L8232"/>
    <mergeCell ref="M8231:M8232"/>
    <mergeCell ref="N8231:N8232"/>
    <mergeCell ref="A8236:A8237"/>
    <mergeCell ref="B8236:B8237"/>
    <mergeCell ref="C8236:C8237"/>
    <mergeCell ref="D8236:D8237"/>
    <mergeCell ref="E8236:E8237"/>
    <mergeCell ref="F8236:F8237"/>
    <mergeCell ref="G8236:G8237"/>
    <mergeCell ref="H8236:H8237"/>
    <mergeCell ref="I8236:I8237"/>
    <mergeCell ref="J8236:J8237"/>
    <mergeCell ref="K8236:K8237"/>
    <mergeCell ref="L8236:L8237"/>
    <mergeCell ref="M8236:M8237"/>
    <mergeCell ref="N8236:N8237"/>
    <mergeCell ref="A8239:A8241"/>
    <mergeCell ref="B8239:B8241"/>
    <mergeCell ref="C8239:C8241"/>
    <mergeCell ref="D8239:D8241"/>
    <mergeCell ref="E8239:E8241"/>
    <mergeCell ref="F8239:F8241"/>
    <mergeCell ref="G8239:G8241"/>
    <mergeCell ref="H8239:H8241"/>
    <mergeCell ref="I8239:I8241"/>
    <mergeCell ref="J8239:J8241"/>
    <mergeCell ref="K8239:K8241"/>
    <mergeCell ref="L8239:L8241"/>
    <mergeCell ref="M8239:M8241"/>
    <mergeCell ref="N8239:N8241"/>
    <mergeCell ref="A8244:A8246"/>
    <mergeCell ref="B8244:B8246"/>
    <mergeCell ref="C8244:C8246"/>
    <mergeCell ref="D8244:D8246"/>
    <mergeCell ref="E8244:E8246"/>
    <mergeCell ref="F8244:F8246"/>
    <mergeCell ref="G8244:G8246"/>
    <mergeCell ref="H8244:H8246"/>
    <mergeCell ref="I8244:I8246"/>
    <mergeCell ref="J8244:J8246"/>
    <mergeCell ref="K8244:K8246"/>
    <mergeCell ref="L8244:L8246"/>
    <mergeCell ref="M8244:M8246"/>
    <mergeCell ref="N8244:N8246"/>
    <mergeCell ref="A8249:A8250"/>
    <mergeCell ref="B8249:B8250"/>
    <mergeCell ref="C8249:C8250"/>
    <mergeCell ref="D8249:D8250"/>
    <mergeCell ref="E8249:E8250"/>
    <mergeCell ref="F8249:F8250"/>
    <mergeCell ref="G8249:G8250"/>
    <mergeCell ref="H8249:H8250"/>
    <mergeCell ref="I8249:I8250"/>
    <mergeCell ref="J8249:J8250"/>
    <mergeCell ref="K8249:K8250"/>
    <mergeCell ref="L8249:L8250"/>
    <mergeCell ref="M8249:M8250"/>
    <mergeCell ref="N8249:N8250"/>
    <mergeCell ref="A8258:A8259"/>
    <mergeCell ref="B8258:B8259"/>
    <mergeCell ref="C8258:C8259"/>
    <mergeCell ref="D8258:D8259"/>
    <mergeCell ref="E8258:E8259"/>
    <mergeCell ref="F8258:F8259"/>
    <mergeCell ref="G8258:G8259"/>
    <mergeCell ref="H8258:H8259"/>
    <mergeCell ref="I8258:I8259"/>
    <mergeCell ref="J8258:J8259"/>
    <mergeCell ref="K8258:K8259"/>
    <mergeCell ref="L8258:L8259"/>
    <mergeCell ref="M8258:M8259"/>
    <mergeCell ref="N8258:N8259"/>
    <mergeCell ref="A8261:A8262"/>
    <mergeCell ref="B8261:B8262"/>
    <mergeCell ref="C8261:C8262"/>
    <mergeCell ref="D8261:D8262"/>
    <mergeCell ref="E8261:E8262"/>
    <mergeCell ref="F8261:F8262"/>
    <mergeCell ref="G8261:G8262"/>
    <mergeCell ref="H8261:H8262"/>
    <mergeCell ref="I8261:I8262"/>
    <mergeCell ref="J8261:J8262"/>
    <mergeCell ref="K8261:K8262"/>
    <mergeCell ref="L8261:L8262"/>
    <mergeCell ref="M8261:M8262"/>
    <mergeCell ref="N8261:N8262"/>
    <mergeCell ref="A8264:A8266"/>
    <mergeCell ref="B8264:B8266"/>
    <mergeCell ref="C8264:C8266"/>
    <mergeCell ref="D8264:D8266"/>
    <mergeCell ref="E8264:E8266"/>
    <mergeCell ref="F8264:F8266"/>
    <mergeCell ref="G8264:G8266"/>
    <mergeCell ref="H8264:H8266"/>
    <mergeCell ref="I8264:I8266"/>
    <mergeCell ref="J8264:J8266"/>
    <mergeCell ref="K8264:K8266"/>
    <mergeCell ref="L8264:L8266"/>
    <mergeCell ref="M8264:M8266"/>
    <mergeCell ref="N8264:N8266"/>
    <mergeCell ref="A8267:A8269"/>
    <mergeCell ref="B8267:B8269"/>
    <mergeCell ref="C8267:C8269"/>
    <mergeCell ref="D8267:D8269"/>
    <mergeCell ref="E8267:E8269"/>
    <mergeCell ref="F8267:F8269"/>
    <mergeCell ref="G8267:G8269"/>
    <mergeCell ref="H8267:H8269"/>
    <mergeCell ref="I8267:I8269"/>
    <mergeCell ref="J8267:J8269"/>
    <mergeCell ref="K8267:K8269"/>
    <mergeCell ref="L8267:L8269"/>
    <mergeCell ref="M8267:M8269"/>
    <mergeCell ref="N8267:N8269"/>
    <mergeCell ref="A8271:A8272"/>
    <mergeCell ref="B8271:B8272"/>
    <mergeCell ref="C8271:C8272"/>
    <mergeCell ref="D8271:D8272"/>
    <mergeCell ref="E8271:E8272"/>
    <mergeCell ref="F8271:F8272"/>
    <mergeCell ref="G8271:G8272"/>
    <mergeCell ref="H8271:H8272"/>
    <mergeCell ref="I8271:I8272"/>
    <mergeCell ref="J8271:J8272"/>
    <mergeCell ref="K8271:K8272"/>
    <mergeCell ref="L8271:L8272"/>
    <mergeCell ref="M8271:M8272"/>
    <mergeCell ref="N8271:N8272"/>
    <mergeCell ref="A8275:A8276"/>
    <mergeCell ref="B8275:B8276"/>
    <mergeCell ref="C8275:C8276"/>
    <mergeCell ref="D8275:D8276"/>
    <mergeCell ref="E8275:E8276"/>
    <mergeCell ref="F8275:F8276"/>
    <mergeCell ref="G8275:G8276"/>
    <mergeCell ref="H8275:H8276"/>
    <mergeCell ref="I8275:I8276"/>
    <mergeCell ref="J8275:J8276"/>
    <mergeCell ref="K8275:K8276"/>
    <mergeCell ref="L8275:L8276"/>
    <mergeCell ref="M8275:M8276"/>
    <mergeCell ref="N8275:N8276"/>
    <mergeCell ref="A8277:A8279"/>
    <mergeCell ref="B8277:B8279"/>
    <mergeCell ref="C8277:C8279"/>
    <mergeCell ref="D8277:D8279"/>
    <mergeCell ref="E8277:E8279"/>
    <mergeCell ref="F8277:F8279"/>
    <mergeCell ref="G8277:G8279"/>
    <mergeCell ref="H8277:H8279"/>
    <mergeCell ref="I8277:I8279"/>
    <mergeCell ref="J8277:J8279"/>
    <mergeCell ref="K8277:K8279"/>
    <mergeCell ref="L8277:L8279"/>
    <mergeCell ref="M8277:M8279"/>
    <mergeCell ref="N8277:N8279"/>
    <mergeCell ref="A8286:A8289"/>
    <mergeCell ref="B8286:B8289"/>
    <mergeCell ref="C8286:C8289"/>
    <mergeCell ref="D8286:D8289"/>
    <mergeCell ref="E8286:E8289"/>
    <mergeCell ref="F8286:F8289"/>
    <mergeCell ref="G8286:G8289"/>
    <mergeCell ref="H8286:H8289"/>
    <mergeCell ref="I8286:I8289"/>
    <mergeCell ref="J8286:J8289"/>
    <mergeCell ref="K8286:K8289"/>
    <mergeCell ref="L8286:L8289"/>
    <mergeCell ref="M8286:M8289"/>
    <mergeCell ref="N8286:N8289"/>
    <mergeCell ref="A8293:A8298"/>
    <mergeCell ref="B8293:B8298"/>
    <mergeCell ref="C8293:C8298"/>
    <mergeCell ref="D8293:D8298"/>
    <mergeCell ref="E8293:E8298"/>
    <mergeCell ref="F8293:F8298"/>
    <mergeCell ref="G8293:G8298"/>
    <mergeCell ref="H8293:H8298"/>
    <mergeCell ref="I8293:I8298"/>
    <mergeCell ref="J8293:J8298"/>
    <mergeCell ref="K8293:K8298"/>
    <mergeCell ref="L8293:L8298"/>
    <mergeCell ref="M8293:M8298"/>
    <mergeCell ref="N8293:N8298"/>
    <mergeCell ref="A8300:A8302"/>
    <mergeCell ref="B8300:B8302"/>
    <mergeCell ref="C8300:C8302"/>
    <mergeCell ref="D8300:D8302"/>
    <mergeCell ref="E8300:E8302"/>
    <mergeCell ref="F8300:F8302"/>
    <mergeCell ref="G8300:G8302"/>
    <mergeCell ref="H8300:H8302"/>
    <mergeCell ref="I8300:I8302"/>
    <mergeCell ref="J8300:J8302"/>
    <mergeCell ref="K8300:K8302"/>
    <mergeCell ref="L8300:L8302"/>
    <mergeCell ref="M8300:M8302"/>
    <mergeCell ref="N8300:N8302"/>
    <mergeCell ref="A8304:A8309"/>
    <mergeCell ref="B8304:B8309"/>
    <mergeCell ref="C8304:C8309"/>
    <mergeCell ref="D8304:D8309"/>
    <mergeCell ref="E8304:E8309"/>
    <mergeCell ref="F8304:F8309"/>
    <mergeCell ref="G8304:G8309"/>
    <mergeCell ref="H8304:H8309"/>
    <mergeCell ref="I8304:I8309"/>
    <mergeCell ref="J8304:J8309"/>
    <mergeCell ref="K8304:K8309"/>
    <mergeCell ref="L8304:L8309"/>
    <mergeCell ref="M8304:M8309"/>
    <mergeCell ref="N8304:N8309"/>
    <mergeCell ref="A8310:A8312"/>
    <mergeCell ref="B8310:B8312"/>
    <mergeCell ref="C8310:C8312"/>
    <mergeCell ref="D8310:D8312"/>
    <mergeCell ref="E8310:E8312"/>
    <mergeCell ref="F8310:F8312"/>
    <mergeCell ref="G8310:G8312"/>
    <mergeCell ref="H8310:H8312"/>
    <mergeCell ref="I8310:I8312"/>
    <mergeCell ref="J8310:J8312"/>
    <mergeCell ref="K8310:K8312"/>
    <mergeCell ref="L8310:L8312"/>
    <mergeCell ref="M8310:M8312"/>
    <mergeCell ref="N8310:N8312"/>
    <mergeCell ref="A8314:A8318"/>
    <mergeCell ref="B8314:B8318"/>
    <mergeCell ref="C8314:C8318"/>
    <mergeCell ref="D8314:D8318"/>
    <mergeCell ref="E8314:E8318"/>
    <mergeCell ref="F8314:F8318"/>
    <mergeCell ref="G8314:G8318"/>
    <mergeCell ref="H8314:H8318"/>
    <mergeCell ref="I8314:I8318"/>
    <mergeCell ref="J8314:J8318"/>
    <mergeCell ref="K8314:K8318"/>
    <mergeCell ref="L8314:L8318"/>
    <mergeCell ref="M8314:M8318"/>
    <mergeCell ref="N8314:N8318"/>
    <mergeCell ref="A8323:A8326"/>
    <mergeCell ref="B8323:B8326"/>
    <mergeCell ref="C8323:C8326"/>
    <mergeCell ref="D8323:D8326"/>
    <mergeCell ref="E8323:E8326"/>
    <mergeCell ref="F8323:F8326"/>
    <mergeCell ref="G8323:G8326"/>
    <mergeCell ref="H8323:H8326"/>
    <mergeCell ref="I8323:I8326"/>
    <mergeCell ref="J8323:J8326"/>
    <mergeCell ref="K8323:K8326"/>
    <mergeCell ref="L8323:L8326"/>
    <mergeCell ref="M8323:M8326"/>
    <mergeCell ref="N8323:N8326"/>
    <mergeCell ref="A8333:A8335"/>
    <mergeCell ref="B8333:B8335"/>
    <mergeCell ref="C8333:C8335"/>
    <mergeCell ref="D8333:D8335"/>
    <mergeCell ref="E8333:E8335"/>
    <mergeCell ref="F8333:F8335"/>
    <mergeCell ref="G8333:G8335"/>
    <mergeCell ref="H8333:H8335"/>
    <mergeCell ref="I8333:I8335"/>
    <mergeCell ref="J8333:J8335"/>
    <mergeCell ref="K8333:K8335"/>
    <mergeCell ref="L8333:L8335"/>
    <mergeCell ref="M8333:M8335"/>
    <mergeCell ref="N8333:N8335"/>
    <mergeCell ref="A8336:A8338"/>
    <mergeCell ref="B8336:B8338"/>
    <mergeCell ref="C8336:C8338"/>
    <mergeCell ref="D8336:D8338"/>
    <mergeCell ref="E8336:E8338"/>
    <mergeCell ref="F8336:F8338"/>
    <mergeCell ref="G8336:G8338"/>
    <mergeCell ref="H8336:H8338"/>
    <mergeCell ref="I8336:I8338"/>
    <mergeCell ref="J8336:J8338"/>
    <mergeCell ref="K8336:K8338"/>
    <mergeCell ref="L8336:L8338"/>
    <mergeCell ref="M8336:M8338"/>
    <mergeCell ref="N8336:N8338"/>
    <mergeCell ref="A8342:A8344"/>
    <mergeCell ref="B8342:B8344"/>
    <mergeCell ref="C8342:C8344"/>
    <mergeCell ref="D8342:D8344"/>
    <mergeCell ref="E8342:E8344"/>
    <mergeCell ref="F8342:F8344"/>
    <mergeCell ref="G8342:G8344"/>
    <mergeCell ref="H8342:H8344"/>
    <mergeCell ref="I8342:I8344"/>
    <mergeCell ref="J8342:J8344"/>
    <mergeCell ref="K8342:K8344"/>
    <mergeCell ref="L8342:L8344"/>
    <mergeCell ref="M8342:M8344"/>
    <mergeCell ref="N8342:N8344"/>
    <mergeCell ref="A8345:A8346"/>
    <mergeCell ref="B8345:B8346"/>
    <mergeCell ref="C8345:C8346"/>
    <mergeCell ref="D8345:D8346"/>
    <mergeCell ref="E8345:E8346"/>
    <mergeCell ref="F8345:F8346"/>
    <mergeCell ref="G8345:G8346"/>
    <mergeCell ref="H8345:H8346"/>
    <mergeCell ref="I8345:I8346"/>
    <mergeCell ref="J8345:J8346"/>
    <mergeCell ref="K8345:K8346"/>
    <mergeCell ref="L8345:L8346"/>
    <mergeCell ref="M8345:M8346"/>
    <mergeCell ref="N8345:N8346"/>
    <mergeCell ref="A8347:A8348"/>
    <mergeCell ref="B8347:B8348"/>
    <mergeCell ref="C8347:C8348"/>
    <mergeCell ref="D8347:D8348"/>
    <mergeCell ref="E8347:E8348"/>
    <mergeCell ref="F8347:F8348"/>
    <mergeCell ref="G8347:G8348"/>
    <mergeCell ref="H8347:H8348"/>
    <mergeCell ref="I8347:I8348"/>
    <mergeCell ref="J8347:J8348"/>
    <mergeCell ref="K8347:K8348"/>
    <mergeCell ref="L8347:L8348"/>
    <mergeCell ref="M8347:M8348"/>
    <mergeCell ref="N8347:N8348"/>
    <mergeCell ref="A8349:A8350"/>
    <mergeCell ref="B8349:B8350"/>
    <mergeCell ref="C8349:C8350"/>
    <mergeCell ref="D8349:D8350"/>
    <mergeCell ref="E8349:E8350"/>
    <mergeCell ref="F8349:F8350"/>
    <mergeCell ref="G8349:G8350"/>
    <mergeCell ref="H8349:H8350"/>
    <mergeCell ref="I8349:I8350"/>
    <mergeCell ref="J8349:J8350"/>
    <mergeCell ref="K8349:K8350"/>
    <mergeCell ref="L8349:L8350"/>
    <mergeCell ref="M8349:M8350"/>
    <mergeCell ref="N8349:N8350"/>
    <mergeCell ref="A8353:A8354"/>
    <mergeCell ref="B8353:B8354"/>
    <mergeCell ref="C8353:C8354"/>
    <mergeCell ref="D8353:D8354"/>
    <mergeCell ref="E8353:E8354"/>
    <mergeCell ref="F8353:F8354"/>
    <mergeCell ref="G8353:G8354"/>
    <mergeCell ref="H8353:H8354"/>
    <mergeCell ref="I8353:I8354"/>
    <mergeCell ref="J8353:J8354"/>
    <mergeCell ref="K8353:K8354"/>
    <mergeCell ref="L8353:L8354"/>
    <mergeCell ref="M8353:M8354"/>
    <mergeCell ref="N8353:N8354"/>
    <mergeCell ref="A8355:A8356"/>
    <mergeCell ref="B8355:B8356"/>
    <mergeCell ref="C8355:C8356"/>
    <mergeCell ref="D8355:D8356"/>
    <mergeCell ref="E8355:E8356"/>
    <mergeCell ref="F8355:F8356"/>
    <mergeCell ref="G8355:G8356"/>
    <mergeCell ref="H8355:H8356"/>
    <mergeCell ref="I8355:I8356"/>
    <mergeCell ref="J8355:J8356"/>
    <mergeCell ref="K8355:K8356"/>
    <mergeCell ref="L8355:L8356"/>
    <mergeCell ref="M8355:M8356"/>
    <mergeCell ref="N8355:N8356"/>
    <mergeCell ref="A8357:A8364"/>
    <mergeCell ref="B8357:B8364"/>
    <mergeCell ref="C8357:C8364"/>
    <mergeCell ref="D8357:D8364"/>
    <mergeCell ref="E8357:E8364"/>
    <mergeCell ref="F8357:F8364"/>
    <mergeCell ref="G8357:G8364"/>
    <mergeCell ref="H8357:H8364"/>
    <mergeCell ref="I8357:I8364"/>
    <mergeCell ref="J8357:J8364"/>
    <mergeCell ref="K8357:K8364"/>
    <mergeCell ref="L8357:L8364"/>
    <mergeCell ref="M8357:M8364"/>
    <mergeCell ref="N8357:N8364"/>
    <mergeCell ref="A8369:A8370"/>
    <mergeCell ref="B8369:B8370"/>
    <mergeCell ref="C8369:C8370"/>
    <mergeCell ref="D8369:D8370"/>
    <mergeCell ref="E8369:E8370"/>
    <mergeCell ref="F8369:F8370"/>
    <mergeCell ref="G8369:G8370"/>
    <mergeCell ref="H8369:H8370"/>
    <mergeCell ref="I8369:I8370"/>
    <mergeCell ref="J8369:J8370"/>
    <mergeCell ref="K8369:K8370"/>
    <mergeCell ref="L8369:L8370"/>
    <mergeCell ref="M8369:M8370"/>
    <mergeCell ref="N8369:N8370"/>
    <mergeCell ref="A8371:A8373"/>
    <mergeCell ref="B8371:B8373"/>
    <mergeCell ref="C8371:C8373"/>
    <mergeCell ref="D8371:D8373"/>
    <mergeCell ref="E8371:E8373"/>
    <mergeCell ref="F8371:F8373"/>
    <mergeCell ref="G8371:G8373"/>
    <mergeCell ref="H8371:H8373"/>
    <mergeCell ref="I8371:I8373"/>
    <mergeCell ref="J8371:J8373"/>
    <mergeCell ref="K8371:K8373"/>
    <mergeCell ref="L8371:L8373"/>
    <mergeCell ref="M8371:M8373"/>
    <mergeCell ref="N8371:N8373"/>
    <mergeCell ref="A8378:A8381"/>
    <mergeCell ref="B8378:B8381"/>
    <mergeCell ref="C8378:C8381"/>
    <mergeCell ref="D8378:D8381"/>
    <mergeCell ref="E8378:E8381"/>
    <mergeCell ref="F8378:F8381"/>
    <mergeCell ref="G8378:G8381"/>
    <mergeCell ref="H8378:H8381"/>
    <mergeCell ref="I8378:I8381"/>
    <mergeCell ref="J8378:J8381"/>
    <mergeCell ref="K8378:K8381"/>
    <mergeCell ref="L8378:L8381"/>
    <mergeCell ref="M8378:M8381"/>
    <mergeCell ref="N8378:N8381"/>
    <mergeCell ref="A8382:A8383"/>
    <mergeCell ref="B8382:B8383"/>
    <mergeCell ref="C8382:C8383"/>
    <mergeCell ref="D8382:D8383"/>
    <mergeCell ref="E8382:E8383"/>
    <mergeCell ref="F8382:F8383"/>
    <mergeCell ref="G8382:G8383"/>
    <mergeCell ref="H8382:H8383"/>
    <mergeCell ref="I8382:I8383"/>
    <mergeCell ref="J8382:J8383"/>
    <mergeCell ref="K8382:K8383"/>
    <mergeCell ref="L8382:L8383"/>
    <mergeCell ref="M8382:M8383"/>
    <mergeCell ref="N8382:N8383"/>
    <mergeCell ref="A8384:A8386"/>
    <mergeCell ref="B8384:B8386"/>
    <mergeCell ref="C8384:C8386"/>
    <mergeCell ref="D8384:D8386"/>
    <mergeCell ref="E8384:E8386"/>
    <mergeCell ref="F8384:F8386"/>
    <mergeCell ref="G8384:G8386"/>
    <mergeCell ref="H8384:H8386"/>
    <mergeCell ref="I8384:I8386"/>
    <mergeCell ref="J8384:J8386"/>
    <mergeCell ref="K8384:K8386"/>
    <mergeCell ref="L8384:L8386"/>
    <mergeCell ref="M8384:M8386"/>
    <mergeCell ref="N8384:N8386"/>
    <mergeCell ref="A8387:A8391"/>
    <mergeCell ref="B8387:B8391"/>
    <mergeCell ref="C8387:C8391"/>
    <mergeCell ref="D8387:D8391"/>
    <mergeCell ref="E8387:E8391"/>
    <mergeCell ref="F8387:F8391"/>
    <mergeCell ref="G8387:G8391"/>
    <mergeCell ref="H8387:H8391"/>
    <mergeCell ref="I8387:I8391"/>
    <mergeCell ref="J8387:J8391"/>
    <mergeCell ref="K8387:K8391"/>
    <mergeCell ref="L8387:L8391"/>
    <mergeCell ref="M8387:M8391"/>
    <mergeCell ref="N8387:N8391"/>
    <mergeCell ref="A8393:A8394"/>
    <mergeCell ref="B8393:B8394"/>
    <mergeCell ref="C8393:C8394"/>
    <mergeCell ref="D8393:D8394"/>
    <mergeCell ref="E8393:E8394"/>
    <mergeCell ref="F8393:F8394"/>
    <mergeCell ref="G8393:G8394"/>
    <mergeCell ref="H8393:H8394"/>
    <mergeCell ref="I8393:I8394"/>
    <mergeCell ref="J8393:J8394"/>
    <mergeCell ref="K8393:K8394"/>
    <mergeCell ref="L8393:L8394"/>
    <mergeCell ref="M8393:M8394"/>
    <mergeCell ref="N8393:N8394"/>
    <mergeCell ref="A8396:A8399"/>
    <mergeCell ref="B8396:B8399"/>
    <mergeCell ref="C8396:C8399"/>
    <mergeCell ref="D8396:D8399"/>
    <mergeCell ref="E8396:E8399"/>
    <mergeCell ref="F8396:F8399"/>
    <mergeCell ref="G8396:G8399"/>
    <mergeCell ref="H8396:H8399"/>
    <mergeCell ref="I8396:I8399"/>
    <mergeCell ref="J8396:J8399"/>
    <mergeCell ref="K8396:K8399"/>
    <mergeCell ref="L8396:L8399"/>
    <mergeCell ref="M8396:M8399"/>
    <mergeCell ref="N8396:N8399"/>
    <mergeCell ref="A8400:A8401"/>
    <mergeCell ref="B8400:B8401"/>
    <mergeCell ref="C8400:C8401"/>
    <mergeCell ref="D8400:D8401"/>
    <mergeCell ref="E8400:E8401"/>
    <mergeCell ref="F8400:F8401"/>
    <mergeCell ref="G8400:G8401"/>
    <mergeCell ref="H8400:H8401"/>
    <mergeCell ref="I8400:I8401"/>
    <mergeCell ref="J8400:J8401"/>
    <mergeCell ref="K8400:K8401"/>
    <mergeCell ref="L8400:L8401"/>
    <mergeCell ref="M8400:M8401"/>
    <mergeCell ref="N8400:N8401"/>
    <mergeCell ref="A8403:A8405"/>
    <mergeCell ref="B8403:B8405"/>
    <mergeCell ref="C8403:C8405"/>
    <mergeCell ref="D8403:D8405"/>
    <mergeCell ref="E8403:E8405"/>
    <mergeCell ref="F8403:F8405"/>
    <mergeCell ref="G8403:G8405"/>
    <mergeCell ref="H8403:H8405"/>
    <mergeCell ref="I8403:I8405"/>
    <mergeCell ref="J8403:J8405"/>
    <mergeCell ref="K8403:K8405"/>
    <mergeCell ref="L8403:L8405"/>
    <mergeCell ref="M8403:M8405"/>
    <mergeCell ref="N8403:N8405"/>
    <mergeCell ref="A8411:A8414"/>
    <mergeCell ref="B8411:B8414"/>
    <mergeCell ref="C8411:C8414"/>
    <mergeCell ref="D8411:D8414"/>
    <mergeCell ref="E8411:E8414"/>
    <mergeCell ref="F8411:F8414"/>
    <mergeCell ref="G8411:G8414"/>
    <mergeCell ref="H8411:H8414"/>
    <mergeCell ref="I8411:I8414"/>
    <mergeCell ref="J8411:J8414"/>
    <mergeCell ref="K8411:K8414"/>
    <mergeCell ref="L8411:L8414"/>
    <mergeCell ref="M8411:M8414"/>
    <mergeCell ref="N8411:N8414"/>
    <mergeCell ref="A8416:A8418"/>
    <mergeCell ref="B8416:B8418"/>
    <mergeCell ref="C8416:C8418"/>
    <mergeCell ref="D8416:D8418"/>
    <mergeCell ref="E8416:E8418"/>
    <mergeCell ref="F8416:F8418"/>
    <mergeCell ref="G8416:G8418"/>
    <mergeCell ref="H8416:H8418"/>
    <mergeCell ref="I8416:I8418"/>
    <mergeCell ref="J8416:J8418"/>
    <mergeCell ref="K8416:K8418"/>
    <mergeCell ref="L8416:L8418"/>
    <mergeCell ref="M8416:M8418"/>
    <mergeCell ref="N8416:N8418"/>
    <mergeCell ref="A8419:A8421"/>
    <mergeCell ref="B8419:B8421"/>
    <mergeCell ref="C8419:C8421"/>
    <mergeCell ref="D8419:D8421"/>
    <mergeCell ref="E8419:E8421"/>
    <mergeCell ref="F8419:F8421"/>
    <mergeCell ref="G8419:G8421"/>
    <mergeCell ref="H8419:H8421"/>
    <mergeCell ref="I8419:I8421"/>
    <mergeCell ref="J8419:J8421"/>
    <mergeCell ref="K8419:K8421"/>
    <mergeCell ref="L8419:L8421"/>
    <mergeCell ref="M8419:M8421"/>
    <mergeCell ref="N8419:N8421"/>
    <mergeCell ref="A8422:A8425"/>
    <mergeCell ref="B8422:B8425"/>
    <mergeCell ref="C8422:C8425"/>
    <mergeCell ref="D8422:D8425"/>
    <mergeCell ref="E8422:E8425"/>
    <mergeCell ref="F8422:F8425"/>
    <mergeCell ref="G8422:G8425"/>
    <mergeCell ref="H8422:H8425"/>
    <mergeCell ref="I8422:I8425"/>
    <mergeCell ref="J8422:J8425"/>
    <mergeCell ref="K8422:K8425"/>
    <mergeCell ref="L8422:L8425"/>
    <mergeCell ref="M8422:M8425"/>
    <mergeCell ref="N8422:N8425"/>
    <mergeCell ref="A8426:A8430"/>
    <mergeCell ref="B8426:B8430"/>
    <mergeCell ref="C8426:C8430"/>
    <mergeCell ref="D8426:D8430"/>
    <mergeCell ref="E8426:E8430"/>
    <mergeCell ref="F8426:F8430"/>
    <mergeCell ref="G8426:G8430"/>
    <mergeCell ref="H8426:H8430"/>
    <mergeCell ref="I8426:I8430"/>
    <mergeCell ref="J8426:J8430"/>
    <mergeCell ref="K8426:K8430"/>
    <mergeCell ref="L8426:L8430"/>
    <mergeCell ref="M8426:M8430"/>
    <mergeCell ref="N8426:N8430"/>
    <mergeCell ref="A8435:A8440"/>
    <mergeCell ref="B8435:B8440"/>
    <mergeCell ref="C8435:C8440"/>
    <mergeCell ref="D8435:D8440"/>
    <mergeCell ref="E8435:E8440"/>
    <mergeCell ref="F8435:F8440"/>
    <mergeCell ref="G8435:G8440"/>
    <mergeCell ref="H8435:H8440"/>
    <mergeCell ref="I8435:I8440"/>
    <mergeCell ref="J8435:J8440"/>
    <mergeCell ref="K8435:K8440"/>
    <mergeCell ref="L8435:L8440"/>
    <mergeCell ref="M8435:M8440"/>
    <mergeCell ref="N8435:N8440"/>
    <mergeCell ref="A8443:A8446"/>
    <mergeCell ref="B8443:B8446"/>
    <mergeCell ref="C8443:C8446"/>
    <mergeCell ref="D8443:D8446"/>
    <mergeCell ref="E8443:E8446"/>
    <mergeCell ref="F8443:F8446"/>
    <mergeCell ref="G8443:G8446"/>
    <mergeCell ref="H8443:H8446"/>
    <mergeCell ref="I8443:I8446"/>
    <mergeCell ref="J8443:J8446"/>
    <mergeCell ref="K8443:K8446"/>
    <mergeCell ref="L8443:L8446"/>
    <mergeCell ref="M8443:M8446"/>
    <mergeCell ref="N8443:N8446"/>
    <mergeCell ref="A8450:A8452"/>
    <mergeCell ref="B8450:B8452"/>
    <mergeCell ref="C8450:C8452"/>
    <mergeCell ref="D8450:D8452"/>
    <mergeCell ref="E8450:E8452"/>
    <mergeCell ref="F8450:F8452"/>
    <mergeCell ref="G8450:G8452"/>
    <mergeCell ref="H8450:H8452"/>
    <mergeCell ref="I8450:I8452"/>
    <mergeCell ref="J8450:J8452"/>
    <mergeCell ref="K8450:K8452"/>
    <mergeCell ref="L8450:L8452"/>
    <mergeCell ref="M8450:M8452"/>
    <mergeCell ref="N8450:N8452"/>
    <mergeCell ref="A8453:A8455"/>
    <mergeCell ref="B8453:B8455"/>
    <mergeCell ref="C8453:C8455"/>
    <mergeCell ref="D8453:D8455"/>
    <mergeCell ref="E8453:E8455"/>
    <mergeCell ref="F8453:F8455"/>
    <mergeCell ref="G8453:G8455"/>
    <mergeCell ref="H8453:H8455"/>
    <mergeCell ref="I8453:I8455"/>
    <mergeCell ref="J8453:J8455"/>
    <mergeCell ref="K8453:K8455"/>
    <mergeCell ref="L8453:L8455"/>
    <mergeCell ref="M8453:M8455"/>
    <mergeCell ref="N8453:N8455"/>
    <mergeCell ref="A8457:A8458"/>
    <mergeCell ref="B8457:B8458"/>
    <mergeCell ref="C8457:C8458"/>
    <mergeCell ref="D8457:D8458"/>
    <mergeCell ref="E8457:E8458"/>
    <mergeCell ref="F8457:F8458"/>
    <mergeCell ref="G8457:G8458"/>
    <mergeCell ref="H8457:H8458"/>
    <mergeCell ref="I8457:I8458"/>
    <mergeCell ref="J8457:J8458"/>
    <mergeCell ref="K8457:K8458"/>
    <mergeCell ref="L8457:L8458"/>
    <mergeCell ref="M8457:M8458"/>
    <mergeCell ref="N8457:N8458"/>
    <mergeCell ref="A8459:A8460"/>
    <mergeCell ref="B8459:B8460"/>
    <mergeCell ref="C8459:C8460"/>
    <mergeCell ref="D8459:D8460"/>
    <mergeCell ref="E8459:E8460"/>
    <mergeCell ref="F8459:F8460"/>
    <mergeCell ref="G8459:G8460"/>
    <mergeCell ref="H8459:H8460"/>
    <mergeCell ref="I8459:I8460"/>
    <mergeCell ref="J8459:J8460"/>
    <mergeCell ref="K8459:K8460"/>
    <mergeCell ref="L8459:L8460"/>
    <mergeCell ref="M8459:M8460"/>
    <mergeCell ref="N8459:N8460"/>
    <mergeCell ref="A8467:A8469"/>
    <mergeCell ref="B8467:B8469"/>
    <mergeCell ref="C8467:C8469"/>
    <mergeCell ref="D8467:D8469"/>
    <mergeCell ref="E8467:E8469"/>
    <mergeCell ref="F8467:F8469"/>
    <mergeCell ref="G8467:G8469"/>
    <mergeCell ref="H8467:H8469"/>
    <mergeCell ref="I8467:I8469"/>
    <mergeCell ref="J8467:J8469"/>
    <mergeCell ref="K8467:K8469"/>
    <mergeCell ref="L8467:L8469"/>
    <mergeCell ref="M8467:M8469"/>
    <mergeCell ref="N8467:N8469"/>
    <mergeCell ref="A8470:A8475"/>
    <mergeCell ref="B8470:B8475"/>
    <mergeCell ref="C8470:C8475"/>
    <mergeCell ref="D8470:D8475"/>
    <mergeCell ref="E8470:E8475"/>
    <mergeCell ref="F8470:F8475"/>
    <mergeCell ref="G8470:G8475"/>
    <mergeCell ref="H8470:H8475"/>
    <mergeCell ref="I8470:I8475"/>
    <mergeCell ref="J8470:J8475"/>
    <mergeCell ref="K8470:K8475"/>
    <mergeCell ref="L8470:L8475"/>
    <mergeCell ref="M8470:M8475"/>
    <mergeCell ref="N8470:N8475"/>
    <mergeCell ref="A8476:A8480"/>
    <mergeCell ref="B8476:B8480"/>
    <mergeCell ref="C8476:C8480"/>
    <mergeCell ref="D8476:D8480"/>
    <mergeCell ref="E8476:E8480"/>
    <mergeCell ref="F8476:F8480"/>
    <mergeCell ref="G8476:G8480"/>
    <mergeCell ref="H8476:H8480"/>
    <mergeCell ref="I8476:I8480"/>
    <mergeCell ref="J8476:J8480"/>
    <mergeCell ref="K8476:K8480"/>
    <mergeCell ref="L8476:L8480"/>
    <mergeCell ref="M8476:M8480"/>
    <mergeCell ref="N8476:N8480"/>
    <mergeCell ref="A8484:A8485"/>
    <mergeCell ref="B8484:B8485"/>
    <mergeCell ref="C8484:C8485"/>
    <mergeCell ref="D8484:D8485"/>
    <mergeCell ref="E8484:E8485"/>
    <mergeCell ref="F8484:F8485"/>
    <mergeCell ref="G8484:G8485"/>
    <mergeCell ref="H8484:H8485"/>
    <mergeCell ref="I8484:I8485"/>
    <mergeCell ref="J8484:J8485"/>
    <mergeCell ref="K8484:K8485"/>
    <mergeCell ref="L8484:L8485"/>
    <mergeCell ref="M8484:M8485"/>
    <mergeCell ref="N8484:N8485"/>
    <mergeCell ref="A8487:A8494"/>
    <mergeCell ref="B8487:B8494"/>
    <mergeCell ref="C8487:C8494"/>
    <mergeCell ref="D8487:D8494"/>
    <mergeCell ref="E8487:E8494"/>
    <mergeCell ref="F8487:F8494"/>
    <mergeCell ref="G8487:G8494"/>
    <mergeCell ref="H8487:H8494"/>
    <mergeCell ref="I8487:I8494"/>
    <mergeCell ref="J8487:J8494"/>
    <mergeCell ref="K8487:K8494"/>
    <mergeCell ref="L8487:L8494"/>
    <mergeCell ref="M8487:M8494"/>
    <mergeCell ref="N8487:N8494"/>
    <mergeCell ref="A8495:A8496"/>
    <mergeCell ref="B8495:B8496"/>
    <mergeCell ref="C8495:C8496"/>
    <mergeCell ref="D8495:D8496"/>
    <mergeCell ref="E8495:E8496"/>
    <mergeCell ref="F8495:F8496"/>
    <mergeCell ref="G8495:G8496"/>
    <mergeCell ref="H8495:H8496"/>
    <mergeCell ref="I8495:I8496"/>
    <mergeCell ref="J8495:J8496"/>
    <mergeCell ref="K8495:K8496"/>
    <mergeCell ref="L8495:L8496"/>
    <mergeCell ref="M8495:M8496"/>
    <mergeCell ref="N8495:N8496"/>
    <mergeCell ref="A8498:A8501"/>
    <mergeCell ref="B8498:B8501"/>
    <mergeCell ref="C8498:C8501"/>
    <mergeCell ref="D8498:D8501"/>
    <mergeCell ref="E8498:E8501"/>
    <mergeCell ref="F8498:F8501"/>
    <mergeCell ref="G8498:G8501"/>
    <mergeCell ref="H8498:H8501"/>
    <mergeCell ref="I8498:I8501"/>
    <mergeCell ref="J8498:J8501"/>
    <mergeCell ref="K8498:K8501"/>
    <mergeCell ref="L8498:L8501"/>
    <mergeCell ref="M8498:M8501"/>
    <mergeCell ref="N8498:N8501"/>
    <mergeCell ref="A8502:A8505"/>
    <mergeCell ref="B8502:B8505"/>
    <mergeCell ref="C8502:C8505"/>
    <mergeCell ref="D8502:D8505"/>
    <mergeCell ref="E8502:E8505"/>
    <mergeCell ref="F8502:F8505"/>
    <mergeCell ref="G8502:G8505"/>
    <mergeCell ref="H8502:H8505"/>
    <mergeCell ref="I8502:I8505"/>
    <mergeCell ref="J8502:J8505"/>
    <mergeCell ref="K8502:K8505"/>
    <mergeCell ref="L8502:L8505"/>
    <mergeCell ref="M8502:M8505"/>
    <mergeCell ref="N8502:N8505"/>
    <mergeCell ref="A8506:A8510"/>
    <mergeCell ref="B8506:B8510"/>
    <mergeCell ref="C8506:C8510"/>
    <mergeCell ref="D8506:D8510"/>
    <mergeCell ref="E8506:E8510"/>
    <mergeCell ref="F8506:F8510"/>
    <mergeCell ref="G8506:G8510"/>
    <mergeCell ref="H8506:H8510"/>
    <mergeCell ref="I8506:I8510"/>
    <mergeCell ref="J8506:J8510"/>
    <mergeCell ref="K8506:K8510"/>
    <mergeCell ref="L8506:L8510"/>
    <mergeCell ref="M8506:M8510"/>
    <mergeCell ref="N8506:N8510"/>
    <mergeCell ref="A8512:A8514"/>
    <mergeCell ref="B8512:B8514"/>
    <mergeCell ref="C8512:C8514"/>
    <mergeCell ref="D8512:D8514"/>
    <mergeCell ref="E8512:E8514"/>
    <mergeCell ref="F8512:F8514"/>
    <mergeCell ref="G8512:G8514"/>
    <mergeCell ref="H8512:H8514"/>
    <mergeCell ref="I8512:I8514"/>
    <mergeCell ref="J8512:J8514"/>
    <mergeCell ref="K8512:K8514"/>
    <mergeCell ref="L8512:L8514"/>
    <mergeCell ref="M8512:M8514"/>
    <mergeCell ref="N8512:N8514"/>
    <mergeCell ref="A8515:A8520"/>
    <mergeCell ref="B8515:B8520"/>
    <mergeCell ref="C8515:C8520"/>
    <mergeCell ref="D8515:D8520"/>
    <mergeCell ref="E8515:E8520"/>
    <mergeCell ref="F8515:F8520"/>
    <mergeCell ref="G8515:G8520"/>
    <mergeCell ref="H8515:H8520"/>
    <mergeCell ref="I8515:I8520"/>
    <mergeCell ref="J8515:J8520"/>
    <mergeCell ref="K8515:K8520"/>
    <mergeCell ref="L8515:L8520"/>
    <mergeCell ref="M8515:M8520"/>
    <mergeCell ref="N8515:N8520"/>
    <mergeCell ref="A8522:A8524"/>
    <mergeCell ref="B8522:B8524"/>
    <mergeCell ref="C8522:C8524"/>
    <mergeCell ref="D8522:D8524"/>
    <mergeCell ref="E8522:E8524"/>
    <mergeCell ref="F8522:F8524"/>
    <mergeCell ref="G8522:G8524"/>
    <mergeCell ref="H8522:H8524"/>
    <mergeCell ref="I8522:I8524"/>
    <mergeCell ref="J8522:J8524"/>
    <mergeCell ref="K8522:K8524"/>
    <mergeCell ref="L8522:L8524"/>
    <mergeCell ref="M8522:M8524"/>
    <mergeCell ref="N8522:N8524"/>
    <mergeCell ref="A8525:A8526"/>
    <mergeCell ref="B8525:B8526"/>
    <mergeCell ref="C8525:C8526"/>
    <mergeCell ref="D8525:D8526"/>
    <mergeCell ref="E8525:E8526"/>
    <mergeCell ref="F8525:F8526"/>
    <mergeCell ref="G8525:G8526"/>
    <mergeCell ref="H8525:H8526"/>
    <mergeCell ref="I8525:I8526"/>
    <mergeCell ref="J8525:J8526"/>
    <mergeCell ref="K8525:K8526"/>
    <mergeCell ref="L8525:L8526"/>
    <mergeCell ref="M8525:M8526"/>
    <mergeCell ref="N8525:N8526"/>
    <mergeCell ref="A8527:A8531"/>
    <mergeCell ref="B8527:B8531"/>
    <mergeCell ref="C8527:C8531"/>
    <mergeCell ref="D8527:D8531"/>
    <mergeCell ref="E8527:E8531"/>
    <mergeCell ref="F8527:F8531"/>
    <mergeCell ref="G8527:G8531"/>
    <mergeCell ref="H8527:H8531"/>
    <mergeCell ref="I8527:I8531"/>
    <mergeCell ref="J8527:J8531"/>
    <mergeCell ref="K8527:K8531"/>
    <mergeCell ref="L8527:L8531"/>
    <mergeCell ref="M8527:M8531"/>
    <mergeCell ref="N8527:N8531"/>
    <mergeCell ref="A8532:A8540"/>
    <mergeCell ref="B8532:B8540"/>
    <mergeCell ref="C8532:C8540"/>
    <mergeCell ref="D8532:D8540"/>
    <mergeCell ref="E8532:E8540"/>
    <mergeCell ref="F8532:F8540"/>
    <mergeCell ref="G8532:G8540"/>
    <mergeCell ref="H8532:H8540"/>
    <mergeCell ref="I8532:I8540"/>
    <mergeCell ref="J8532:J8540"/>
    <mergeCell ref="K8532:K8540"/>
    <mergeCell ref="L8532:L8540"/>
    <mergeCell ref="M8532:M8540"/>
    <mergeCell ref="N8532:N8540"/>
    <mergeCell ref="A8541:A8549"/>
    <mergeCell ref="B8541:B8549"/>
    <mergeCell ref="C8541:C8549"/>
    <mergeCell ref="D8541:D8549"/>
    <mergeCell ref="E8541:E8549"/>
    <mergeCell ref="F8541:F8549"/>
    <mergeCell ref="G8541:G8549"/>
    <mergeCell ref="H8541:H8549"/>
    <mergeCell ref="I8541:I8549"/>
    <mergeCell ref="J8541:J8549"/>
    <mergeCell ref="K8541:K8549"/>
    <mergeCell ref="L8541:L8549"/>
    <mergeCell ref="M8541:M8549"/>
    <mergeCell ref="N8541:N8549"/>
    <mergeCell ref="A8554:A8564"/>
    <mergeCell ref="B8554:B8564"/>
    <mergeCell ref="C8554:C8564"/>
    <mergeCell ref="D8554:D8564"/>
    <mergeCell ref="E8554:E8564"/>
    <mergeCell ref="F8554:F8564"/>
    <mergeCell ref="G8554:G8564"/>
    <mergeCell ref="H8554:H8564"/>
    <mergeCell ref="I8554:I8564"/>
    <mergeCell ref="J8554:J8564"/>
    <mergeCell ref="K8554:K8564"/>
    <mergeCell ref="L8554:L8564"/>
    <mergeCell ref="M8554:M8564"/>
    <mergeCell ref="N8554:N8564"/>
    <mergeCell ref="A8565:A8580"/>
    <mergeCell ref="B8565:B8580"/>
    <mergeCell ref="C8565:C8580"/>
    <mergeCell ref="D8565:D8580"/>
    <mergeCell ref="E8565:E8580"/>
    <mergeCell ref="F8565:F8580"/>
    <mergeCell ref="G8565:G8580"/>
    <mergeCell ref="H8565:H8580"/>
    <mergeCell ref="I8565:I8580"/>
    <mergeCell ref="J8565:J8580"/>
    <mergeCell ref="K8565:K8580"/>
    <mergeCell ref="L8565:L8580"/>
    <mergeCell ref="M8565:M8580"/>
    <mergeCell ref="N8565:N8580"/>
    <mergeCell ref="A8582:A8586"/>
    <mergeCell ref="B8582:B8586"/>
    <mergeCell ref="C8582:C8586"/>
    <mergeCell ref="D8582:D8586"/>
    <mergeCell ref="E8582:E8586"/>
    <mergeCell ref="F8582:F8586"/>
    <mergeCell ref="G8582:G8586"/>
    <mergeCell ref="H8582:H8586"/>
    <mergeCell ref="I8582:I8586"/>
    <mergeCell ref="J8582:J8586"/>
    <mergeCell ref="K8582:K8586"/>
    <mergeCell ref="L8582:L8586"/>
    <mergeCell ref="M8582:M8586"/>
    <mergeCell ref="N8582:N8586"/>
    <mergeCell ref="A8587:A8589"/>
    <mergeCell ref="B8587:B8589"/>
    <mergeCell ref="C8587:C8589"/>
    <mergeCell ref="D8587:D8589"/>
    <mergeCell ref="E8587:E8589"/>
    <mergeCell ref="F8587:F8589"/>
    <mergeCell ref="G8587:G8589"/>
    <mergeCell ref="H8587:H8589"/>
    <mergeCell ref="I8587:I8589"/>
    <mergeCell ref="J8587:J8589"/>
    <mergeCell ref="K8587:K8589"/>
    <mergeCell ref="L8587:L8589"/>
    <mergeCell ref="M8587:M8589"/>
    <mergeCell ref="N8587:N8589"/>
    <mergeCell ref="A8590:A8596"/>
    <mergeCell ref="B8590:B8596"/>
    <mergeCell ref="C8590:C8596"/>
    <mergeCell ref="D8590:D8596"/>
    <mergeCell ref="E8590:E8596"/>
    <mergeCell ref="F8590:F8596"/>
    <mergeCell ref="G8590:G8596"/>
    <mergeCell ref="H8590:H8596"/>
    <mergeCell ref="I8590:I8596"/>
    <mergeCell ref="J8590:J8596"/>
    <mergeCell ref="K8590:K8596"/>
    <mergeCell ref="L8590:L8596"/>
    <mergeCell ref="M8590:M8596"/>
    <mergeCell ref="N8590:N8596"/>
    <mergeCell ref="A8597:A8600"/>
    <mergeCell ref="B8597:B8600"/>
    <mergeCell ref="C8597:C8600"/>
    <mergeCell ref="D8597:D8600"/>
    <mergeCell ref="E8597:E8600"/>
    <mergeCell ref="F8597:F8600"/>
    <mergeCell ref="G8597:G8600"/>
    <mergeCell ref="H8597:H8600"/>
    <mergeCell ref="I8597:I8600"/>
    <mergeCell ref="J8597:J8600"/>
    <mergeCell ref="K8597:K8600"/>
    <mergeCell ref="L8597:L8600"/>
    <mergeCell ref="M8597:M8600"/>
    <mergeCell ref="N8597:N8600"/>
    <mergeCell ref="A8601:A8604"/>
    <mergeCell ref="B8601:B8604"/>
    <mergeCell ref="C8601:C8604"/>
    <mergeCell ref="D8601:D8604"/>
    <mergeCell ref="E8601:E8604"/>
    <mergeCell ref="F8601:F8604"/>
    <mergeCell ref="G8601:G8604"/>
    <mergeCell ref="H8601:H8604"/>
    <mergeCell ref="I8601:I8604"/>
    <mergeCell ref="J8601:J8604"/>
    <mergeCell ref="K8601:K8604"/>
    <mergeCell ref="L8601:L8604"/>
    <mergeCell ref="M8601:M8604"/>
    <mergeCell ref="N8601:N8604"/>
    <mergeCell ref="A8606:A8609"/>
    <mergeCell ref="B8606:B8609"/>
    <mergeCell ref="C8606:C8609"/>
    <mergeCell ref="D8606:D8609"/>
    <mergeCell ref="E8606:E8609"/>
    <mergeCell ref="F8606:F8609"/>
    <mergeCell ref="G8606:G8609"/>
    <mergeCell ref="H8606:H8609"/>
    <mergeCell ref="I8606:I8609"/>
    <mergeCell ref="J8606:J8609"/>
    <mergeCell ref="K8606:K8609"/>
    <mergeCell ref="L8606:L8609"/>
    <mergeCell ref="M8606:M8609"/>
    <mergeCell ref="N8606:N8609"/>
    <mergeCell ref="A8610:A8612"/>
    <mergeCell ref="B8610:B8612"/>
    <mergeCell ref="C8610:C8612"/>
    <mergeCell ref="D8610:D8612"/>
    <mergeCell ref="E8610:E8612"/>
    <mergeCell ref="F8610:F8612"/>
    <mergeCell ref="G8610:G8612"/>
    <mergeCell ref="H8610:H8612"/>
    <mergeCell ref="I8610:I8612"/>
    <mergeCell ref="J8610:J8612"/>
    <mergeCell ref="K8610:K8612"/>
    <mergeCell ref="L8610:L8612"/>
    <mergeCell ref="M8610:M8612"/>
    <mergeCell ref="N8610:N8612"/>
    <mergeCell ref="A8613:A8614"/>
    <mergeCell ref="B8613:B8614"/>
    <mergeCell ref="C8613:C8614"/>
    <mergeCell ref="D8613:D8614"/>
    <mergeCell ref="E8613:E8614"/>
    <mergeCell ref="F8613:F8614"/>
    <mergeCell ref="G8613:G8614"/>
    <mergeCell ref="H8613:H8614"/>
    <mergeCell ref="I8613:I8614"/>
    <mergeCell ref="J8613:J8614"/>
    <mergeCell ref="K8613:K8614"/>
    <mergeCell ref="L8613:L8614"/>
    <mergeCell ref="M8613:M8614"/>
    <mergeCell ref="N8613:N8614"/>
    <mergeCell ref="A8615:A8617"/>
    <mergeCell ref="B8615:B8617"/>
    <mergeCell ref="C8615:C8617"/>
    <mergeCell ref="D8615:D8617"/>
    <mergeCell ref="E8615:E8617"/>
    <mergeCell ref="F8615:F8617"/>
    <mergeCell ref="G8615:G8617"/>
    <mergeCell ref="H8615:H8617"/>
    <mergeCell ref="I8615:I8617"/>
    <mergeCell ref="J8615:J8617"/>
    <mergeCell ref="K8615:K8617"/>
    <mergeCell ref="L8615:L8617"/>
    <mergeCell ref="M8615:M8617"/>
    <mergeCell ref="N8615:N8617"/>
    <mergeCell ref="A8618:A8620"/>
    <mergeCell ref="B8618:B8620"/>
    <mergeCell ref="C8618:C8620"/>
    <mergeCell ref="D8618:D8620"/>
    <mergeCell ref="E8618:E8620"/>
    <mergeCell ref="F8618:F8620"/>
    <mergeCell ref="G8618:G8620"/>
    <mergeCell ref="H8618:H8620"/>
    <mergeCell ref="I8618:I8620"/>
    <mergeCell ref="J8618:J8620"/>
    <mergeCell ref="K8618:K8620"/>
    <mergeCell ref="L8618:L8620"/>
    <mergeCell ref="M8618:M8620"/>
    <mergeCell ref="N8618:N8620"/>
    <mergeCell ref="A8624:A8626"/>
    <mergeCell ref="B8624:B8626"/>
    <mergeCell ref="C8624:C8626"/>
    <mergeCell ref="D8624:D8626"/>
    <mergeCell ref="E8624:E8626"/>
    <mergeCell ref="F8624:F8626"/>
    <mergeCell ref="G8624:G8626"/>
    <mergeCell ref="H8624:H8626"/>
    <mergeCell ref="I8624:I8626"/>
    <mergeCell ref="J8624:J8626"/>
    <mergeCell ref="K8624:K8626"/>
    <mergeCell ref="L8624:L8626"/>
    <mergeCell ref="M8624:M8626"/>
    <mergeCell ref="N8624:N8626"/>
    <mergeCell ref="A8628:A8629"/>
    <mergeCell ref="B8628:B8629"/>
    <mergeCell ref="C8628:C8629"/>
    <mergeCell ref="D8628:D8629"/>
    <mergeCell ref="E8628:E8629"/>
    <mergeCell ref="F8628:F8629"/>
    <mergeCell ref="G8628:G8629"/>
    <mergeCell ref="H8628:H8629"/>
    <mergeCell ref="I8628:I8629"/>
    <mergeCell ref="J8628:J8629"/>
    <mergeCell ref="K8628:K8629"/>
    <mergeCell ref="L8628:L8629"/>
    <mergeCell ref="M8628:M8629"/>
    <mergeCell ref="N8628:N8629"/>
    <mergeCell ref="A8630:A8631"/>
    <mergeCell ref="B8630:B8631"/>
    <mergeCell ref="C8630:C8631"/>
    <mergeCell ref="D8630:D8631"/>
    <mergeCell ref="E8630:E8631"/>
    <mergeCell ref="F8630:F8631"/>
    <mergeCell ref="G8630:G8631"/>
    <mergeCell ref="H8630:H8631"/>
    <mergeCell ref="I8630:I8631"/>
    <mergeCell ref="J8630:J8631"/>
    <mergeCell ref="K8630:K8631"/>
    <mergeCell ref="L8630:L8631"/>
    <mergeCell ref="M8630:M8631"/>
    <mergeCell ref="N8630:N8631"/>
    <mergeCell ref="A8634:A8640"/>
    <mergeCell ref="B8634:B8640"/>
    <mergeCell ref="C8634:C8640"/>
    <mergeCell ref="D8634:D8640"/>
    <mergeCell ref="E8634:E8640"/>
    <mergeCell ref="F8634:F8640"/>
    <mergeCell ref="G8634:G8640"/>
    <mergeCell ref="H8634:H8640"/>
    <mergeCell ref="I8634:I8640"/>
    <mergeCell ref="J8634:J8640"/>
    <mergeCell ref="K8634:K8640"/>
    <mergeCell ref="L8634:L8640"/>
    <mergeCell ref="M8634:M8640"/>
    <mergeCell ref="N8634:N8640"/>
    <mergeCell ref="A8643:A8645"/>
    <mergeCell ref="B8643:B8645"/>
    <mergeCell ref="C8643:C8645"/>
    <mergeCell ref="D8643:D8645"/>
    <mergeCell ref="E8643:E8645"/>
    <mergeCell ref="F8643:F8645"/>
    <mergeCell ref="G8643:G8645"/>
    <mergeCell ref="H8643:H8645"/>
    <mergeCell ref="I8643:I8645"/>
    <mergeCell ref="J8643:J8645"/>
    <mergeCell ref="K8643:K8645"/>
    <mergeCell ref="L8643:L8645"/>
    <mergeCell ref="M8643:M8645"/>
    <mergeCell ref="N8643:N8645"/>
    <mergeCell ref="A8646:A8649"/>
    <mergeCell ref="B8646:B8649"/>
    <mergeCell ref="C8646:C8649"/>
    <mergeCell ref="D8646:D8649"/>
    <mergeCell ref="E8646:E8649"/>
    <mergeCell ref="F8646:F8649"/>
    <mergeCell ref="G8646:G8649"/>
    <mergeCell ref="H8646:H8649"/>
    <mergeCell ref="I8646:I8649"/>
    <mergeCell ref="J8646:J8649"/>
    <mergeCell ref="K8646:K8649"/>
    <mergeCell ref="L8646:L8649"/>
    <mergeCell ref="M8646:M8649"/>
    <mergeCell ref="N8646:N8649"/>
    <mergeCell ref="A8656:A8658"/>
    <mergeCell ref="B8656:B8658"/>
    <mergeCell ref="C8656:C8658"/>
    <mergeCell ref="D8656:D8658"/>
    <mergeCell ref="E8656:E8658"/>
    <mergeCell ref="F8656:F8658"/>
    <mergeCell ref="G8656:G8658"/>
    <mergeCell ref="H8656:H8658"/>
    <mergeCell ref="I8656:I8658"/>
    <mergeCell ref="J8656:J8658"/>
    <mergeCell ref="K8656:K8658"/>
    <mergeCell ref="L8656:L8658"/>
    <mergeCell ref="M8656:M8658"/>
    <mergeCell ref="N8656:N8658"/>
    <mergeCell ref="A8661:A8662"/>
    <mergeCell ref="B8661:B8662"/>
    <mergeCell ref="C8661:C8662"/>
    <mergeCell ref="D8661:D8662"/>
    <mergeCell ref="E8661:E8662"/>
    <mergeCell ref="F8661:F8662"/>
    <mergeCell ref="G8661:G8662"/>
    <mergeCell ref="H8661:H8662"/>
    <mergeCell ref="I8661:I8662"/>
    <mergeCell ref="J8661:J8662"/>
    <mergeCell ref="K8661:K8662"/>
    <mergeCell ref="L8661:L8662"/>
    <mergeCell ref="M8661:M8662"/>
    <mergeCell ref="N8661:N8662"/>
    <mergeCell ref="A8664:A8666"/>
    <mergeCell ref="B8664:B8666"/>
    <mergeCell ref="C8664:C8666"/>
    <mergeCell ref="D8664:D8666"/>
    <mergeCell ref="E8664:E8666"/>
    <mergeCell ref="F8664:F8666"/>
    <mergeCell ref="G8664:G8666"/>
    <mergeCell ref="H8664:H8666"/>
    <mergeCell ref="I8664:I8666"/>
    <mergeCell ref="J8664:J8666"/>
    <mergeCell ref="K8664:K8666"/>
    <mergeCell ref="L8664:L8666"/>
    <mergeCell ref="M8664:M8666"/>
    <mergeCell ref="N8664:N8666"/>
    <mergeCell ref="A8670:A8672"/>
    <mergeCell ref="B8670:B8672"/>
    <mergeCell ref="C8670:C8672"/>
    <mergeCell ref="D8670:D8672"/>
    <mergeCell ref="E8670:E8672"/>
    <mergeCell ref="F8670:F8672"/>
    <mergeCell ref="G8670:G8672"/>
    <mergeCell ref="H8670:H8672"/>
    <mergeCell ref="I8670:I8672"/>
    <mergeCell ref="J8670:J8672"/>
    <mergeCell ref="K8670:K8672"/>
    <mergeCell ref="L8670:L8672"/>
    <mergeCell ref="M8670:M8672"/>
    <mergeCell ref="N8670:N8672"/>
    <mergeCell ref="A8673:A8676"/>
    <mergeCell ref="B8673:B8676"/>
    <mergeCell ref="C8673:C8676"/>
    <mergeCell ref="D8673:D8676"/>
    <mergeCell ref="E8673:E8676"/>
    <mergeCell ref="F8673:F8676"/>
    <mergeCell ref="G8673:G8676"/>
    <mergeCell ref="H8673:H8676"/>
    <mergeCell ref="I8673:I8676"/>
    <mergeCell ref="J8673:J8676"/>
    <mergeCell ref="K8673:K8676"/>
    <mergeCell ref="L8673:L8676"/>
    <mergeCell ref="M8673:M8676"/>
    <mergeCell ref="N8673:N8676"/>
    <mergeCell ref="A8677:A8678"/>
    <mergeCell ref="B8677:B8678"/>
    <mergeCell ref="C8677:C8678"/>
    <mergeCell ref="D8677:D8678"/>
    <mergeCell ref="E8677:E8678"/>
    <mergeCell ref="F8677:F8678"/>
    <mergeCell ref="G8677:G8678"/>
    <mergeCell ref="H8677:H8678"/>
    <mergeCell ref="I8677:I8678"/>
    <mergeCell ref="J8677:J8678"/>
    <mergeCell ref="K8677:K8678"/>
    <mergeCell ref="L8677:L8678"/>
    <mergeCell ref="M8677:M8678"/>
    <mergeCell ref="N8677:N8678"/>
    <mergeCell ref="A8679:A8689"/>
    <mergeCell ref="B8679:B8689"/>
    <mergeCell ref="C8679:C8689"/>
    <mergeCell ref="D8679:D8689"/>
    <mergeCell ref="E8679:E8689"/>
    <mergeCell ref="F8679:F8689"/>
    <mergeCell ref="G8679:G8689"/>
    <mergeCell ref="H8679:H8689"/>
    <mergeCell ref="I8679:I8689"/>
    <mergeCell ref="J8679:J8689"/>
    <mergeCell ref="K8679:K8689"/>
    <mergeCell ref="L8679:L8689"/>
    <mergeCell ref="M8679:M8689"/>
    <mergeCell ref="N8679:N8689"/>
    <mergeCell ref="A8692:A8694"/>
    <mergeCell ref="B8692:B8694"/>
    <mergeCell ref="C8692:C8694"/>
    <mergeCell ref="D8692:D8694"/>
    <mergeCell ref="E8692:E8694"/>
    <mergeCell ref="F8692:F8694"/>
    <mergeCell ref="G8692:G8694"/>
    <mergeCell ref="H8692:H8694"/>
    <mergeCell ref="I8692:I8694"/>
    <mergeCell ref="J8692:J8694"/>
    <mergeCell ref="K8692:K8694"/>
    <mergeCell ref="L8692:L8694"/>
    <mergeCell ref="M8692:M8694"/>
    <mergeCell ref="N8692:N8694"/>
    <mergeCell ref="A8697:A8702"/>
    <mergeCell ref="B8697:B8702"/>
    <mergeCell ref="C8697:C8702"/>
    <mergeCell ref="D8697:D8702"/>
    <mergeCell ref="E8697:E8702"/>
    <mergeCell ref="F8697:F8702"/>
    <mergeCell ref="G8697:G8702"/>
    <mergeCell ref="H8697:H8702"/>
    <mergeCell ref="I8697:I8702"/>
    <mergeCell ref="J8697:J8702"/>
    <mergeCell ref="K8697:K8702"/>
    <mergeCell ref="L8697:L8702"/>
    <mergeCell ref="M8697:M8702"/>
    <mergeCell ref="N8697:N8702"/>
    <mergeCell ref="A8703:A8704"/>
    <mergeCell ref="B8703:B8704"/>
    <mergeCell ref="C8703:C8704"/>
    <mergeCell ref="D8703:D8704"/>
    <mergeCell ref="E8703:E8704"/>
    <mergeCell ref="F8703:F8704"/>
    <mergeCell ref="G8703:G8704"/>
    <mergeCell ref="H8703:H8704"/>
    <mergeCell ref="I8703:I8704"/>
    <mergeCell ref="J8703:J8704"/>
    <mergeCell ref="K8703:K8704"/>
    <mergeCell ref="L8703:L8704"/>
    <mergeCell ref="M8703:M8704"/>
    <mergeCell ref="N8703:N8704"/>
    <mergeCell ref="A8706:A8711"/>
    <mergeCell ref="B8706:B8711"/>
    <mergeCell ref="C8706:C8711"/>
    <mergeCell ref="D8706:D8711"/>
    <mergeCell ref="E8706:E8711"/>
    <mergeCell ref="F8706:F8711"/>
    <mergeCell ref="G8706:G8711"/>
    <mergeCell ref="H8706:H8711"/>
    <mergeCell ref="I8706:I8711"/>
    <mergeCell ref="J8706:J8711"/>
    <mergeCell ref="K8706:K8711"/>
    <mergeCell ref="L8706:L8711"/>
    <mergeCell ref="M8706:M8711"/>
    <mergeCell ref="N8706:N8711"/>
    <mergeCell ref="A8712:A8716"/>
    <mergeCell ref="B8712:B8716"/>
    <mergeCell ref="C8712:C8716"/>
    <mergeCell ref="D8712:D8716"/>
    <mergeCell ref="E8712:E8716"/>
    <mergeCell ref="F8712:F8716"/>
    <mergeCell ref="G8712:G8716"/>
    <mergeCell ref="H8712:H8716"/>
    <mergeCell ref="I8712:I8716"/>
    <mergeCell ref="J8712:J8716"/>
    <mergeCell ref="K8712:K8716"/>
    <mergeCell ref="L8712:L8716"/>
    <mergeCell ref="M8712:M8716"/>
    <mergeCell ref="N8712:N8716"/>
    <mergeCell ref="A8717:A8718"/>
    <mergeCell ref="B8717:B8718"/>
    <mergeCell ref="C8717:C8718"/>
    <mergeCell ref="D8717:D8718"/>
    <mergeCell ref="E8717:E8718"/>
    <mergeCell ref="F8717:F8718"/>
    <mergeCell ref="G8717:G8718"/>
    <mergeCell ref="H8717:H8718"/>
    <mergeCell ref="I8717:I8718"/>
    <mergeCell ref="J8717:J8718"/>
    <mergeCell ref="K8717:K8718"/>
    <mergeCell ref="L8717:L8718"/>
    <mergeCell ref="M8717:M8718"/>
    <mergeCell ref="N8717:N8718"/>
    <mergeCell ref="A8720:A8723"/>
    <mergeCell ref="B8720:B8723"/>
    <mergeCell ref="C8720:C8723"/>
    <mergeCell ref="D8720:D8723"/>
    <mergeCell ref="E8720:E8723"/>
    <mergeCell ref="F8720:F8723"/>
    <mergeCell ref="G8720:G8723"/>
    <mergeCell ref="H8720:H8723"/>
    <mergeCell ref="I8720:I8723"/>
    <mergeCell ref="J8720:J8723"/>
    <mergeCell ref="K8720:K8723"/>
    <mergeCell ref="L8720:L8723"/>
    <mergeCell ref="M8720:M8723"/>
    <mergeCell ref="N8720:N8723"/>
    <mergeCell ref="A8725:A8731"/>
    <mergeCell ref="B8725:B8731"/>
    <mergeCell ref="C8725:C8731"/>
    <mergeCell ref="D8725:D8731"/>
    <mergeCell ref="E8725:E8731"/>
    <mergeCell ref="F8725:F8731"/>
    <mergeCell ref="G8725:G8731"/>
    <mergeCell ref="H8725:H8731"/>
    <mergeCell ref="I8725:I8731"/>
    <mergeCell ref="J8725:J8731"/>
    <mergeCell ref="K8725:K8731"/>
    <mergeCell ref="L8725:L8731"/>
    <mergeCell ref="M8725:M8731"/>
    <mergeCell ref="N8725:N8731"/>
    <mergeCell ref="A8733:A8738"/>
    <mergeCell ref="B8733:B8738"/>
    <mergeCell ref="C8733:C8738"/>
    <mergeCell ref="D8733:D8738"/>
    <mergeCell ref="E8733:E8738"/>
    <mergeCell ref="F8733:F8738"/>
    <mergeCell ref="G8733:G8738"/>
    <mergeCell ref="H8733:H8738"/>
    <mergeCell ref="I8733:I8738"/>
    <mergeCell ref="J8733:J8738"/>
    <mergeCell ref="K8733:K8738"/>
    <mergeCell ref="L8733:L8738"/>
    <mergeCell ref="M8733:M8738"/>
    <mergeCell ref="N8733:N8738"/>
    <mergeCell ref="A8739:A8745"/>
    <mergeCell ref="B8739:B8745"/>
    <mergeCell ref="C8739:C8745"/>
    <mergeCell ref="D8739:D8745"/>
    <mergeCell ref="E8739:E8745"/>
    <mergeCell ref="F8739:F8745"/>
    <mergeCell ref="G8739:G8745"/>
    <mergeCell ref="H8739:H8745"/>
    <mergeCell ref="I8739:I8745"/>
    <mergeCell ref="J8739:J8745"/>
    <mergeCell ref="K8739:K8745"/>
    <mergeCell ref="L8739:L8745"/>
    <mergeCell ref="M8739:M8745"/>
    <mergeCell ref="N8739:N8745"/>
    <mergeCell ref="A8746:A8747"/>
    <mergeCell ref="B8746:B8747"/>
    <mergeCell ref="C8746:C8747"/>
    <mergeCell ref="D8746:D8747"/>
    <mergeCell ref="E8746:E8747"/>
    <mergeCell ref="F8746:F8747"/>
    <mergeCell ref="G8746:G8747"/>
    <mergeCell ref="H8746:H8747"/>
    <mergeCell ref="I8746:I8747"/>
    <mergeCell ref="J8746:J8747"/>
    <mergeCell ref="K8746:K8747"/>
    <mergeCell ref="L8746:L8747"/>
    <mergeCell ref="M8746:M8747"/>
    <mergeCell ref="N8746:N8747"/>
    <mergeCell ref="A8750:A8761"/>
    <mergeCell ref="B8750:B8761"/>
    <mergeCell ref="C8750:C8761"/>
    <mergeCell ref="D8750:D8761"/>
    <mergeCell ref="E8750:E8761"/>
    <mergeCell ref="F8750:F8761"/>
    <mergeCell ref="G8750:G8761"/>
    <mergeCell ref="H8750:H8761"/>
    <mergeCell ref="I8750:I8761"/>
    <mergeCell ref="J8750:J8761"/>
    <mergeCell ref="K8750:K8761"/>
    <mergeCell ref="L8750:L8761"/>
    <mergeCell ref="M8750:M8761"/>
    <mergeCell ref="N8750:N8761"/>
    <mergeCell ref="A8762:A8763"/>
    <mergeCell ref="B8762:B8763"/>
    <mergeCell ref="C8762:C8763"/>
    <mergeCell ref="D8762:D8763"/>
    <mergeCell ref="E8762:E8763"/>
    <mergeCell ref="F8762:F8763"/>
    <mergeCell ref="G8762:G8763"/>
    <mergeCell ref="H8762:H8763"/>
    <mergeCell ref="I8762:I8763"/>
    <mergeCell ref="J8762:J8763"/>
    <mergeCell ref="K8762:K8763"/>
    <mergeCell ref="L8762:L8763"/>
    <mergeCell ref="M8762:M8763"/>
    <mergeCell ref="N8762:N8763"/>
    <mergeCell ref="A8771:A8774"/>
    <mergeCell ref="B8771:B8774"/>
    <mergeCell ref="C8771:C8774"/>
    <mergeCell ref="D8771:D8774"/>
    <mergeCell ref="E8771:E8774"/>
    <mergeCell ref="F8771:F8774"/>
    <mergeCell ref="G8771:G8774"/>
    <mergeCell ref="H8771:H8774"/>
    <mergeCell ref="I8771:I8774"/>
    <mergeCell ref="J8771:J8774"/>
    <mergeCell ref="K8771:K8774"/>
    <mergeCell ref="L8771:L8774"/>
    <mergeCell ref="M8771:M8774"/>
    <mergeCell ref="N8771:N8774"/>
    <mergeCell ref="A8777:A8780"/>
    <mergeCell ref="B8777:B8780"/>
    <mergeCell ref="C8777:C8780"/>
    <mergeCell ref="D8777:D8780"/>
    <mergeCell ref="E8777:E8780"/>
    <mergeCell ref="F8777:F8780"/>
    <mergeCell ref="G8777:G8780"/>
    <mergeCell ref="H8777:H8780"/>
    <mergeCell ref="I8777:I8780"/>
    <mergeCell ref="J8777:J8780"/>
    <mergeCell ref="K8777:K8780"/>
    <mergeCell ref="L8777:L8780"/>
    <mergeCell ref="M8777:M8780"/>
    <mergeCell ref="N8777:N8780"/>
    <mergeCell ref="A8782:A8785"/>
    <mergeCell ref="B8782:B8785"/>
    <mergeCell ref="C8782:C8785"/>
    <mergeCell ref="D8782:D8785"/>
    <mergeCell ref="E8782:E8785"/>
    <mergeCell ref="F8782:F8785"/>
    <mergeCell ref="G8782:G8785"/>
    <mergeCell ref="H8782:H8785"/>
    <mergeCell ref="I8782:I8785"/>
    <mergeCell ref="J8782:J8785"/>
    <mergeCell ref="K8782:K8785"/>
    <mergeCell ref="L8782:L8785"/>
    <mergeCell ref="M8782:M8785"/>
    <mergeCell ref="N8782:N8785"/>
    <mergeCell ref="A8786:A8788"/>
    <mergeCell ref="B8786:B8788"/>
    <mergeCell ref="C8786:C8788"/>
    <mergeCell ref="D8786:D8788"/>
    <mergeCell ref="E8786:E8788"/>
    <mergeCell ref="F8786:F8788"/>
    <mergeCell ref="G8786:G8788"/>
    <mergeCell ref="H8786:H8788"/>
    <mergeCell ref="I8786:I8788"/>
    <mergeCell ref="J8786:J8788"/>
    <mergeCell ref="K8786:K8788"/>
    <mergeCell ref="L8786:L8788"/>
    <mergeCell ref="M8786:M8788"/>
    <mergeCell ref="N8786:N8788"/>
    <mergeCell ref="A8791:A8792"/>
    <mergeCell ref="B8791:B8792"/>
    <mergeCell ref="C8791:C8792"/>
    <mergeCell ref="D8791:D8792"/>
    <mergeCell ref="E8791:E8792"/>
    <mergeCell ref="F8791:F8792"/>
    <mergeCell ref="G8791:G8792"/>
    <mergeCell ref="H8791:H8792"/>
    <mergeCell ref="I8791:I8792"/>
    <mergeCell ref="J8791:J8792"/>
    <mergeCell ref="K8791:K8792"/>
    <mergeCell ref="L8791:L8792"/>
    <mergeCell ref="M8791:M8792"/>
    <mergeCell ref="N8791:N8792"/>
    <mergeCell ref="A8793:A8794"/>
    <mergeCell ref="B8793:B8794"/>
    <mergeCell ref="C8793:C8794"/>
    <mergeCell ref="D8793:D8794"/>
    <mergeCell ref="E8793:E8794"/>
    <mergeCell ref="F8793:F8794"/>
    <mergeCell ref="G8793:G8794"/>
    <mergeCell ref="H8793:H8794"/>
    <mergeCell ref="I8793:I8794"/>
    <mergeCell ref="J8793:J8794"/>
    <mergeCell ref="K8793:K8794"/>
    <mergeCell ref="L8793:L8794"/>
    <mergeCell ref="M8793:M8794"/>
    <mergeCell ref="N8793:N8794"/>
    <mergeCell ref="A8796:A8799"/>
    <mergeCell ref="B8796:B8799"/>
    <mergeCell ref="C8796:C8799"/>
    <mergeCell ref="D8796:D8799"/>
    <mergeCell ref="E8796:E8799"/>
    <mergeCell ref="F8796:F8799"/>
    <mergeCell ref="G8796:G8799"/>
    <mergeCell ref="H8796:H8799"/>
    <mergeCell ref="I8796:I8799"/>
    <mergeCell ref="J8796:J8799"/>
    <mergeCell ref="K8796:K8799"/>
    <mergeCell ref="L8796:L8799"/>
    <mergeCell ref="M8796:M8799"/>
    <mergeCell ref="N8796:N8799"/>
    <mergeCell ref="A8801:A8806"/>
    <mergeCell ref="B8801:B8806"/>
    <mergeCell ref="C8801:C8806"/>
    <mergeCell ref="D8801:D8806"/>
    <mergeCell ref="E8801:E8806"/>
    <mergeCell ref="F8801:F8806"/>
    <mergeCell ref="G8801:G8806"/>
    <mergeCell ref="H8801:H8806"/>
    <mergeCell ref="I8801:I8806"/>
    <mergeCell ref="J8801:J8806"/>
    <mergeCell ref="K8801:K8806"/>
    <mergeCell ref="L8801:L8806"/>
    <mergeCell ref="M8801:M8806"/>
    <mergeCell ref="N8801:N8806"/>
    <mergeCell ref="A8809:A8815"/>
    <mergeCell ref="B8809:B8815"/>
    <mergeCell ref="C8809:C8815"/>
    <mergeCell ref="D8809:D8815"/>
    <mergeCell ref="E8809:E8815"/>
    <mergeCell ref="F8809:F8815"/>
    <mergeCell ref="G8809:G8815"/>
    <mergeCell ref="H8809:H8815"/>
    <mergeCell ref="I8809:I8815"/>
    <mergeCell ref="J8809:J8815"/>
    <mergeCell ref="K8809:K8815"/>
    <mergeCell ref="L8809:L8815"/>
    <mergeCell ref="M8809:M8815"/>
    <mergeCell ref="N8809:N8815"/>
    <mergeCell ref="A8823:A8824"/>
    <mergeCell ref="B8823:B8824"/>
    <mergeCell ref="C8823:C8824"/>
    <mergeCell ref="D8823:D8824"/>
    <mergeCell ref="E8823:E8824"/>
    <mergeCell ref="F8823:F8824"/>
    <mergeCell ref="G8823:G8824"/>
    <mergeCell ref="H8823:H8824"/>
    <mergeCell ref="I8823:I8824"/>
    <mergeCell ref="J8823:J8824"/>
    <mergeCell ref="K8823:K8824"/>
    <mergeCell ref="L8823:L8824"/>
    <mergeCell ref="M8823:M8824"/>
    <mergeCell ref="N8823:N8824"/>
    <mergeCell ref="A8827:A8828"/>
    <mergeCell ref="B8827:B8828"/>
    <mergeCell ref="C8827:C8828"/>
    <mergeCell ref="D8827:D8828"/>
    <mergeCell ref="E8827:E8828"/>
    <mergeCell ref="F8827:F8828"/>
    <mergeCell ref="G8827:G8828"/>
    <mergeCell ref="H8827:H8828"/>
    <mergeCell ref="I8827:I8828"/>
    <mergeCell ref="J8827:J8828"/>
    <mergeCell ref="K8827:K8828"/>
    <mergeCell ref="L8827:L8828"/>
    <mergeCell ref="M8827:M8828"/>
    <mergeCell ref="N8827:N8828"/>
    <mergeCell ref="A8830:A8831"/>
    <mergeCell ref="B8830:B8831"/>
    <mergeCell ref="C8830:C8831"/>
    <mergeCell ref="D8830:D8831"/>
    <mergeCell ref="E8830:E8831"/>
    <mergeCell ref="F8830:F8831"/>
    <mergeCell ref="G8830:G8831"/>
    <mergeCell ref="H8830:H8831"/>
    <mergeCell ref="I8830:I8831"/>
    <mergeCell ref="J8830:J8831"/>
    <mergeCell ref="K8830:K8831"/>
    <mergeCell ref="L8830:L8831"/>
    <mergeCell ref="M8830:M8831"/>
    <mergeCell ref="N8830:N8831"/>
    <mergeCell ref="A8833:A8836"/>
    <mergeCell ref="B8833:B8836"/>
    <mergeCell ref="C8833:C8836"/>
    <mergeCell ref="D8833:D8836"/>
    <mergeCell ref="E8833:E8836"/>
    <mergeCell ref="F8833:F8836"/>
    <mergeCell ref="G8833:G8836"/>
    <mergeCell ref="H8833:H8836"/>
    <mergeCell ref="I8833:I8836"/>
    <mergeCell ref="J8833:J8836"/>
    <mergeCell ref="K8833:K8836"/>
    <mergeCell ref="L8833:L8836"/>
    <mergeCell ref="M8833:M8836"/>
    <mergeCell ref="N8833:N8836"/>
    <mergeCell ref="A8837:A8841"/>
    <mergeCell ref="B8837:B8841"/>
    <mergeCell ref="C8837:C8841"/>
    <mergeCell ref="D8837:D8841"/>
    <mergeCell ref="E8837:E8841"/>
    <mergeCell ref="F8837:F8841"/>
    <mergeCell ref="G8837:G8841"/>
    <mergeCell ref="H8837:H8841"/>
    <mergeCell ref="I8837:I8841"/>
    <mergeCell ref="J8837:J8841"/>
    <mergeCell ref="K8837:K8841"/>
    <mergeCell ref="L8837:L8841"/>
    <mergeCell ref="M8837:M8841"/>
    <mergeCell ref="N8837:N8841"/>
    <mergeCell ref="A8844:A8846"/>
    <mergeCell ref="B8844:B8846"/>
    <mergeCell ref="C8844:C8846"/>
    <mergeCell ref="D8844:D8846"/>
    <mergeCell ref="E8844:E8846"/>
    <mergeCell ref="F8844:F8846"/>
    <mergeCell ref="G8844:G8846"/>
    <mergeCell ref="H8844:H8846"/>
    <mergeCell ref="I8844:I8846"/>
    <mergeCell ref="J8844:J8846"/>
    <mergeCell ref="K8844:K8846"/>
    <mergeCell ref="L8844:L8846"/>
    <mergeCell ref="M8844:M8846"/>
    <mergeCell ref="N8844:N8846"/>
    <mergeCell ref="A8851:A8852"/>
    <mergeCell ref="B8851:B8852"/>
    <mergeCell ref="C8851:C8852"/>
    <mergeCell ref="D8851:D8852"/>
    <mergeCell ref="E8851:E8852"/>
    <mergeCell ref="F8851:F8852"/>
    <mergeCell ref="G8851:G8852"/>
    <mergeCell ref="H8851:H8852"/>
    <mergeCell ref="I8851:I8852"/>
    <mergeCell ref="J8851:J8852"/>
    <mergeCell ref="K8851:K8852"/>
    <mergeCell ref="L8851:L8852"/>
    <mergeCell ref="M8851:M8852"/>
    <mergeCell ref="N8851:N8852"/>
    <mergeCell ref="A8853:A8854"/>
    <mergeCell ref="B8853:B8854"/>
    <mergeCell ref="C8853:C8854"/>
    <mergeCell ref="D8853:D8854"/>
    <mergeCell ref="E8853:E8854"/>
    <mergeCell ref="F8853:F8854"/>
    <mergeCell ref="G8853:G8854"/>
    <mergeCell ref="H8853:H8854"/>
    <mergeCell ref="I8853:I8854"/>
    <mergeCell ref="J8853:J8854"/>
    <mergeCell ref="K8853:K8854"/>
    <mergeCell ref="L8853:L8854"/>
    <mergeCell ref="M8853:M8854"/>
    <mergeCell ref="N8853:N8854"/>
    <mergeCell ref="A8857:A8860"/>
    <mergeCell ref="B8857:B8860"/>
    <mergeCell ref="C8857:C8860"/>
    <mergeCell ref="D8857:D8860"/>
    <mergeCell ref="E8857:E8860"/>
    <mergeCell ref="F8857:F8860"/>
    <mergeCell ref="G8857:G8860"/>
    <mergeCell ref="H8857:H8860"/>
    <mergeCell ref="I8857:I8860"/>
    <mergeCell ref="J8857:J8860"/>
    <mergeCell ref="K8857:K8860"/>
    <mergeCell ref="L8857:L8860"/>
    <mergeCell ref="M8857:M8860"/>
    <mergeCell ref="N8857:N8860"/>
    <mergeCell ref="A8862:A8865"/>
    <mergeCell ref="B8862:B8865"/>
    <mergeCell ref="C8862:C8865"/>
    <mergeCell ref="D8862:D8865"/>
    <mergeCell ref="E8862:E8865"/>
    <mergeCell ref="F8862:F8865"/>
    <mergeCell ref="G8862:G8865"/>
    <mergeCell ref="H8862:H8865"/>
    <mergeCell ref="I8862:I8865"/>
    <mergeCell ref="J8862:J8865"/>
    <mergeCell ref="K8862:K8865"/>
    <mergeCell ref="L8862:L8865"/>
    <mergeCell ref="M8862:M8865"/>
    <mergeCell ref="N8862:N8865"/>
    <mergeCell ref="A8866:A8871"/>
    <mergeCell ref="B8866:B8871"/>
    <mergeCell ref="C8866:C8871"/>
    <mergeCell ref="D8866:D8871"/>
    <mergeCell ref="E8866:E8871"/>
    <mergeCell ref="F8866:F8871"/>
    <mergeCell ref="G8866:G8871"/>
    <mergeCell ref="H8866:H8871"/>
    <mergeCell ref="I8866:I8871"/>
    <mergeCell ref="J8866:J8871"/>
    <mergeCell ref="K8866:K8871"/>
    <mergeCell ref="L8866:L8871"/>
    <mergeCell ref="M8866:M8871"/>
    <mergeCell ref="N8866:N8871"/>
    <mergeCell ref="A8872:A8874"/>
    <mergeCell ref="B8872:B8874"/>
    <mergeCell ref="C8872:C8874"/>
    <mergeCell ref="D8872:D8874"/>
    <mergeCell ref="E8872:E8874"/>
    <mergeCell ref="F8872:F8874"/>
    <mergeCell ref="G8872:G8874"/>
    <mergeCell ref="H8872:H8874"/>
    <mergeCell ref="I8872:I8874"/>
    <mergeCell ref="J8872:J8874"/>
    <mergeCell ref="K8872:K8874"/>
    <mergeCell ref="L8872:L8874"/>
    <mergeCell ref="M8872:M8874"/>
    <mergeCell ref="N8872:N8874"/>
    <mergeCell ref="A8876:A8877"/>
    <mergeCell ref="B8876:B8877"/>
    <mergeCell ref="C8876:C8877"/>
    <mergeCell ref="D8876:D8877"/>
    <mergeCell ref="E8876:E8877"/>
    <mergeCell ref="F8876:F8877"/>
    <mergeCell ref="G8876:G8877"/>
    <mergeCell ref="H8876:H8877"/>
    <mergeCell ref="I8876:I8877"/>
    <mergeCell ref="J8876:J8877"/>
    <mergeCell ref="K8876:K8877"/>
    <mergeCell ref="L8876:L8877"/>
    <mergeCell ref="M8876:M8877"/>
    <mergeCell ref="N8876:N8877"/>
    <mergeCell ref="A8881:A8883"/>
    <mergeCell ref="B8881:B8883"/>
    <mergeCell ref="C8881:C8883"/>
    <mergeCell ref="D8881:D8883"/>
    <mergeCell ref="E8881:E8883"/>
    <mergeCell ref="F8881:F8883"/>
    <mergeCell ref="G8881:G8883"/>
    <mergeCell ref="H8881:H8883"/>
    <mergeCell ref="I8881:I8883"/>
    <mergeCell ref="J8881:J8883"/>
    <mergeCell ref="K8881:K8883"/>
    <mergeCell ref="L8881:L8883"/>
    <mergeCell ref="M8881:M8883"/>
    <mergeCell ref="N8881:N8883"/>
    <mergeCell ref="A8885:A8888"/>
    <mergeCell ref="B8885:B8888"/>
    <mergeCell ref="C8885:C8888"/>
    <mergeCell ref="D8885:D8888"/>
    <mergeCell ref="E8885:E8888"/>
    <mergeCell ref="F8885:F8888"/>
    <mergeCell ref="G8885:G8888"/>
    <mergeCell ref="H8885:H8888"/>
    <mergeCell ref="I8885:I8888"/>
    <mergeCell ref="J8885:J8888"/>
    <mergeCell ref="K8885:K8888"/>
    <mergeCell ref="L8885:L8888"/>
    <mergeCell ref="M8885:M8888"/>
    <mergeCell ref="N8885:N8888"/>
    <mergeCell ref="A8890:A8892"/>
    <mergeCell ref="B8890:B8892"/>
    <mergeCell ref="C8890:C8892"/>
    <mergeCell ref="D8890:D8892"/>
    <mergeCell ref="E8890:E8892"/>
    <mergeCell ref="F8890:F8892"/>
    <mergeCell ref="G8890:G8892"/>
    <mergeCell ref="H8890:H8892"/>
    <mergeCell ref="I8890:I8892"/>
    <mergeCell ref="J8890:J8892"/>
    <mergeCell ref="K8890:K8892"/>
    <mergeCell ref="L8890:L8892"/>
    <mergeCell ref="M8890:M8892"/>
    <mergeCell ref="N8890:N8892"/>
    <mergeCell ref="A8893:A8895"/>
    <mergeCell ref="B8893:B8895"/>
    <mergeCell ref="C8893:C8895"/>
    <mergeCell ref="D8893:D8895"/>
    <mergeCell ref="E8893:E8895"/>
    <mergeCell ref="F8893:F8895"/>
    <mergeCell ref="G8893:G8895"/>
    <mergeCell ref="H8893:H8895"/>
    <mergeCell ref="I8893:I8895"/>
    <mergeCell ref="J8893:J8895"/>
    <mergeCell ref="K8893:K8895"/>
    <mergeCell ref="L8893:L8895"/>
    <mergeCell ref="M8893:M8895"/>
    <mergeCell ref="N8893:N8895"/>
    <mergeCell ref="A8896:A8899"/>
    <mergeCell ref="B8896:B8899"/>
    <mergeCell ref="C8896:C8899"/>
    <mergeCell ref="D8896:D8899"/>
    <mergeCell ref="E8896:E8899"/>
    <mergeCell ref="F8896:F8899"/>
    <mergeCell ref="G8896:G8899"/>
    <mergeCell ref="H8896:H8899"/>
    <mergeCell ref="I8896:I8899"/>
    <mergeCell ref="J8896:J8899"/>
    <mergeCell ref="K8896:K8899"/>
    <mergeCell ref="L8896:L8899"/>
    <mergeCell ref="M8896:M8899"/>
    <mergeCell ref="N8896:N8899"/>
    <mergeCell ref="A8900:A8903"/>
    <mergeCell ref="B8900:B8903"/>
    <mergeCell ref="C8900:C8903"/>
    <mergeCell ref="D8900:D8903"/>
    <mergeCell ref="E8900:E8903"/>
    <mergeCell ref="F8900:F8903"/>
    <mergeCell ref="G8900:G8903"/>
    <mergeCell ref="H8900:H8903"/>
    <mergeCell ref="I8900:I8903"/>
    <mergeCell ref="J8900:J8903"/>
    <mergeCell ref="K8900:K8903"/>
    <mergeCell ref="L8900:L8903"/>
    <mergeCell ref="M8900:M8903"/>
    <mergeCell ref="N8900:N8903"/>
    <mergeCell ref="A8904:A8905"/>
    <mergeCell ref="B8904:B8905"/>
    <mergeCell ref="C8904:C8905"/>
    <mergeCell ref="D8904:D8905"/>
    <mergeCell ref="E8904:E8905"/>
    <mergeCell ref="F8904:F8905"/>
    <mergeCell ref="G8904:G8905"/>
    <mergeCell ref="H8904:H8905"/>
    <mergeCell ref="I8904:I8905"/>
    <mergeCell ref="J8904:J8905"/>
    <mergeCell ref="K8904:K8905"/>
    <mergeCell ref="L8904:L8905"/>
    <mergeCell ref="M8904:M8905"/>
    <mergeCell ref="N8904:N8905"/>
    <mergeCell ref="A8906:A8907"/>
    <mergeCell ref="B8906:B8907"/>
    <mergeCell ref="C8906:C8907"/>
    <mergeCell ref="D8906:D8907"/>
    <mergeCell ref="E8906:E8907"/>
    <mergeCell ref="F8906:F8907"/>
    <mergeCell ref="G8906:G8907"/>
    <mergeCell ref="H8906:H8907"/>
    <mergeCell ref="I8906:I8907"/>
    <mergeCell ref="J8906:J8907"/>
    <mergeCell ref="K8906:K8907"/>
    <mergeCell ref="L8906:L8907"/>
    <mergeCell ref="M8906:M8907"/>
    <mergeCell ref="N8906:N8907"/>
    <mergeCell ref="A8908:A8909"/>
    <mergeCell ref="B8908:B8909"/>
    <mergeCell ref="C8908:C8909"/>
    <mergeCell ref="D8908:D8909"/>
    <mergeCell ref="E8908:E8909"/>
    <mergeCell ref="F8908:F8909"/>
    <mergeCell ref="G8908:G8909"/>
    <mergeCell ref="H8908:H8909"/>
    <mergeCell ref="I8908:I8909"/>
    <mergeCell ref="J8908:J8909"/>
    <mergeCell ref="K8908:K8909"/>
    <mergeCell ref="L8908:L8909"/>
    <mergeCell ref="M8908:M8909"/>
    <mergeCell ref="N8908:N8909"/>
    <mergeCell ref="A8910:A8912"/>
    <mergeCell ref="B8910:B8912"/>
    <mergeCell ref="C8910:C8912"/>
    <mergeCell ref="D8910:D8912"/>
    <mergeCell ref="E8910:E8912"/>
    <mergeCell ref="F8910:F8912"/>
    <mergeCell ref="G8910:G8912"/>
    <mergeCell ref="H8910:H8912"/>
    <mergeCell ref="I8910:I8912"/>
    <mergeCell ref="J8910:J8912"/>
    <mergeCell ref="K8910:K8912"/>
    <mergeCell ref="L8910:L8912"/>
    <mergeCell ref="M8910:M8912"/>
    <mergeCell ref="N8910:N8912"/>
    <mergeCell ref="A8915:A8918"/>
    <mergeCell ref="B8915:B8918"/>
    <mergeCell ref="C8915:C8918"/>
    <mergeCell ref="D8915:D8918"/>
    <mergeCell ref="E8915:E8918"/>
    <mergeCell ref="F8915:F8918"/>
    <mergeCell ref="G8915:G8918"/>
    <mergeCell ref="H8915:H8918"/>
    <mergeCell ref="I8915:I8918"/>
    <mergeCell ref="J8915:J8918"/>
    <mergeCell ref="K8915:K8918"/>
    <mergeCell ref="L8915:L8918"/>
    <mergeCell ref="M8915:M8918"/>
    <mergeCell ref="N8915:N8918"/>
    <mergeCell ref="A8920:A8922"/>
    <mergeCell ref="B8920:B8922"/>
    <mergeCell ref="C8920:C8922"/>
    <mergeCell ref="D8920:D8922"/>
    <mergeCell ref="E8920:E8922"/>
    <mergeCell ref="F8920:F8922"/>
    <mergeCell ref="G8920:G8922"/>
    <mergeCell ref="H8920:H8922"/>
    <mergeCell ref="I8920:I8922"/>
    <mergeCell ref="J8920:J8922"/>
    <mergeCell ref="K8920:K8922"/>
    <mergeCell ref="L8920:L8922"/>
    <mergeCell ref="M8920:M8922"/>
    <mergeCell ref="N8920:N8922"/>
    <mergeCell ref="A8924:A8926"/>
    <mergeCell ref="B8924:B8926"/>
    <mergeCell ref="C8924:C8926"/>
    <mergeCell ref="D8924:D8926"/>
    <mergeCell ref="E8924:E8926"/>
    <mergeCell ref="F8924:F8926"/>
    <mergeCell ref="G8924:G8926"/>
    <mergeCell ref="H8924:H8926"/>
    <mergeCell ref="I8924:I8926"/>
    <mergeCell ref="J8924:J8926"/>
    <mergeCell ref="K8924:K8926"/>
    <mergeCell ref="L8924:L8926"/>
    <mergeCell ref="M8924:M8926"/>
    <mergeCell ref="N8924:N8926"/>
    <mergeCell ref="A8929:A8935"/>
    <mergeCell ref="B8929:B8935"/>
    <mergeCell ref="C8929:C8935"/>
    <mergeCell ref="D8929:D8935"/>
    <mergeCell ref="E8929:E8935"/>
    <mergeCell ref="F8929:F8935"/>
    <mergeCell ref="G8929:G8935"/>
    <mergeCell ref="H8929:H8935"/>
    <mergeCell ref="I8929:I8935"/>
    <mergeCell ref="J8929:J8935"/>
    <mergeCell ref="K8929:K8935"/>
    <mergeCell ref="L8929:L8935"/>
    <mergeCell ref="M8929:M8935"/>
    <mergeCell ref="N8929:N8935"/>
    <mergeCell ref="A8937:A8940"/>
    <mergeCell ref="B8937:B8940"/>
    <mergeCell ref="C8937:C8940"/>
    <mergeCell ref="D8937:D8940"/>
    <mergeCell ref="E8937:E8940"/>
    <mergeCell ref="F8937:F8940"/>
    <mergeCell ref="G8937:G8940"/>
    <mergeCell ref="H8937:H8940"/>
    <mergeCell ref="I8937:I8940"/>
    <mergeCell ref="J8937:J8940"/>
    <mergeCell ref="K8937:K8940"/>
    <mergeCell ref="L8937:L8940"/>
    <mergeCell ref="M8937:M8940"/>
    <mergeCell ref="N8937:N8940"/>
    <mergeCell ref="A8941:A8944"/>
    <mergeCell ref="B8941:B8944"/>
    <mergeCell ref="C8941:C8944"/>
    <mergeCell ref="D8941:D8944"/>
    <mergeCell ref="E8941:E8944"/>
    <mergeCell ref="F8941:F8944"/>
    <mergeCell ref="G8941:G8944"/>
    <mergeCell ref="H8941:H8944"/>
    <mergeCell ref="I8941:I8944"/>
    <mergeCell ref="J8941:J8944"/>
    <mergeCell ref="K8941:K8944"/>
    <mergeCell ref="L8941:L8944"/>
    <mergeCell ref="M8941:M8944"/>
    <mergeCell ref="N8941:N8944"/>
    <mergeCell ref="A8946:A8947"/>
    <mergeCell ref="B8946:B8947"/>
    <mergeCell ref="C8946:C8947"/>
    <mergeCell ref="D8946:D8947"/>
    <mergeCell ref="E8946:E8947"/>
    <mergeCell ref="F8946:F8947"/>
    <mergeCell ref="G8946:G8947"/>
    <mergeCell ref="H8946:H8947"/>
    <mergeCell ref="I8946:I8947"/>
    <mergeCell ref="J8946:J8947"/>
    <mergeCell ref="K8946:K8947"/>
    <mergeCell ref="L8946:L8947"/>
    <mergeCell ref="M8946:M8947"/>
    <mergeCell ref="N8946:N8947"/>
    <mergeCell ref="A8948:A8949"/>
    <mergeCell ref="B8948:B8949"/>
    <mergeCell ref="C8948:C8949"/>
    <mergeCell ref="D8948:D8949"/>
    <mergeCell ref="E8948:E8949"/>
    <mergeCell ref="F8948:F8949"/>
    <mergeCell ref="G8948:G8949"/>
    <mergeCell ref="H8948:H8949"/>
    <mergeCell ref="I8948:I8949"/>
    <mergeCell ref="J8948:J8949"/>
    <mergeCell ref="K8948:K8949"/>
    <mergeCell ref="L8948:L8949"/>
    <mergeCell ref="M8948:M8949"/>
    <mergeCell ref="N8948:N8949"/>
    <mergeCell ref="A8950:A8951"/>
    <mergeCell ref="B8950:B8951"/>
    <mergeCell ref="C8950:C8951"/>
    <mergeCell ref="D8950:D8951"/>
    <mergeCell ref="E8950:E8951"/>
    <mergeCell ref="F8950:F8951"/>
    <mergeCell ref="G8950:G8951"/>
    <mergeCell ref="H8950:H8951"/>
    <mergeCell ref="I8950:I8951"/>
    <mergeCell ref="J8950:J8951"/>
    <mergeCell ref="K8950:K8951"/>
    <mergeCell ref="L8950:L8951"/>
    <mergeCell ref="M8950:M8951"/>
    <mergeCell ref="N8950:N8951"/>
    <mergeCell ref="A8953:A8954"/>
    <mergeCell ref="B8953:B8954"/>
    <mergeCell ref="C8953:C8954"/>
    <mergeCell ref="D8953:D8954"/>
    <mergeCell ref="E8953:E8954"/>
    <mergeCell ref="F8953:F8954"/>
    <mergeCell ref="G8953:G8954"/>
    <mergeCell ref="H8953:H8954"/>
    <mergeCell ref="I8953:I8954"/>
    <mergeCell ref="J8953:J8954"/>
    <mergeCell ref="K8953:K8954"/>
    <mergeCell ref="L8953:L8954"/>
    <mergeCell ref="M8953:M8954"/>
    <mergeCell ref="N8953:N8954"/>
    <mergeCell ref="A8956:A8957"/>
    <mergeCell ref="B8956:B8957"/>
    <mergeCell ref="C8956:C8957"/>
    <mergeCell ref="D8956:D8957"/>
    <mergeCell ref="E8956:E8957"/>
    <mergeCell ref="F8956:F8957"/>
    <mergeCell ref="G8956:G8957"/>
    <mergeCell ref="H8956:H8957"/>
    <mergeCell ref="I8956:I8957"/>
    <mergeCell ref="J8956:J8957"/>
    <mergeCell ref="K8956:K8957"/>
    <mergeCell ref="L8956:L8957"/>
    <mergeCell ref="M8956:M8957"/>
    <mergeCell ref="N8956:N8957"/>
    <mergeCell ref="A8958:A8959"/>
    <mergeCell ref="B8958:B8959"/>
    <mergeCell ref="C8958:C8959"/>
    <mergeCell ref="D8958:D8959"/>
    <mergeCell ref="E8958:E8959"/>
    <mergeCell ref="F8958:F8959"/>
    <mergeCell ref="G8958:G8959"/>
    <mergeCell ref="H8958:H8959"/>
    <mergeCell ref="I8958:I8959"/>
    <mergeCell ref="J8958:J8959"/>
    <mergeCell ref="K8958:K8959"/>
    <mergeCell ref="L8958:L8959"/>
    <mergeCell ref="M8958:M8959"/>
    <mergeCell ref="N8958:N8959"/>
    <mergeCell ref="A8969:A8970"/>
    <mergeCell ref="B8969:B8970"/>
    <mergeCell ref="C8969:C8970"/>
    <mergeCell ref="D8969:D8970"/>
    <mergeCell ref="E8969:E8970"/>
    <mergeCell ref="F8969:F8970"/>
    <mergeCell ref="G8969:G8970"/>
    <mergeCell ref="H8969:H8970"/>
    <mergeCell ref="I8969:I8970"/>
    <mergeCell ref="J8969:J8970"/>
    <mergeCell ref="K8969:K8970"/>
    <mergeCell ref="L8969:L8970"/>
    <mergeCell ref="M8969:M8970"/>
    <mergeCell ref="N8969:N8970"/>
    <mergeCell ref="A8976:A8977"/>
    <mergeCell ref="B8976:B8977"/>
    <mergeCell ref="C8976:C8977"/>
    <mergeCell ref="D8976:D8977"/>
    <mergeCell ref="E8976:E8977"/>
    <mergeCell ref="F8976:F8977"/>
    <mergeCell ref="G8976:G8977"/>
    <mergeCell ref="H8976:H8977"/>
    <mergeCell ref="I8976:I8977"/>
    <mergeCell ref="J8976:J8977"/>
    <mergeCell ref="K8976:K8977"/>
    <mergeCell ref="L8976:L8977"/>
    <mergeCell ref="M8976:M8977"/>
    <mergeCell ref="N8976:N8977"/>
    <mergeCell ref="A8978:A8979"/>
    <mergeCell ref="B8978:B8979"/>
    <mergeCell ref="C8978:C8979"/>
    <mergeCell ref="D8978:D8979"/>
    <mergeCell ref="E8978:E8979"/>
    <mergeCell ref="F8978:F8979"/>
    <mergeCell ref="G8978:G8979"/>
    <mergeCell ref="H8978:H8979"/>
    <mergeCell ref="I8978:I8979"/>
    <mergeCell ref="J8978:J8979"/>
    <mergeCell ref="K8978:K8979"/>
    <mergeCell ref="L8978:L8979"/>
    <mergeCell ref="M8978:M8979"/>
    <mergeCell ref="N8978:N8979"/>
    <mergeCell ref="A8981:A8982"/>
    <mergeCell ref="B8981:B8982"/>
    <mergeCell ref="C8981:C8982"/>
    <mergeCell ref="D8981:D8982"/>
    <mergeCell ref="E8981:E8982"/>
    <mergeCell ref="F8981:F8982"/>
    <mergeCell ref="G8981:G8982"/>
    <mergeCell ref="H8981:H8982"/>
    <mergeCell ref="I8981:I8982"/>
    <mergeCell ref="J8981:J8982"/>
    <mergeCell ref="K8981:K8982"/>
    <mergeCell ref="L8981:L8982"/>
    <mergeCell ref="M8981:M8982"/>
    <mergeCell ref="N8981:N8982"/>
    <mergeCell ref="A8983:A8984"/>
    <mergeCell ref="B8983:B8984"/>
    <mergeCell ref="C8983:C8984"/>
    <mergeCell ref="D8983:D8984"/>
    <mergeCell ref="E8983:E8984"/>
    <mergeCell ref="F8983:F8984"/>
    <mergeCell ref="G8983:G8984"/>
    <mergeCell ref="H8983:H8984"/>
    <mergeCell ref="I8983:I8984"/>
    <mergeCell ref="J8983:J8984"/>
    <mergeCell ref="K8983:K8984"/>
    <mergeCell ref="L8983:L8984"/>
    <mergeCell ref="M8983:M8984"/>
    <mergeCell ref="N8983:N8984"/>
    <mergeCell ref="A8988:A8989"/>
    <mergeCell ref="B8988:B8989"/>
    <mergeCell ref="C8988:C8989"/>
    <mergeCell ref="D8988:D8989"/>
    <mergeCell ref="E8988:E8989"/>
    <mergeCell ref="F8988:F8989"/>
    <mergeCell ref="G8988:G8989"/>
    <mergeCell ref="H8988:H8989"/>
    <mergeCell ref="I8988:I8989"/>
    <mergeCell ref="J8988:J8989"/>
    <mergeCell ref="K8988:K8989"/>
    <mergeCell ref="L8988:L8989"/>
    <mergeCell ref="M8988:M8989"/>
    <mergeCell ref="N8988:N8989"/>
    <mergeCell ref="A8991:A8992"/>
    <mergeCell ref="B8991:B8992"/>
    <mergeCell ref="C8991:C8992"/>
    <mergeCell ref="D8991:D8992"/>
    <mergeCell ref="E8991:E8992"/>
    <mergeCell ref="F8991:F8992"/>
    <mergeCell ref="G8991:G8992"/>
    <mergeCell ref="H8991:H8992"/>
    <mergeCell ref="I8991:I8992"/>
    <mergeCell ref="J8991:J8992"/>
    <mergeCell ref="K8991:K8992"/>
    <mergeCell ref="L8991:L8992"/>
    <mergeCell ref="M8991:M8992"/>
    <mergeCell ref="N8991:N8992"/>
    <mergeCell ref="A8998:A9002"/>
    <mergeCell ref="B8998:B9002"/>
    <mergeCell ref="C8998:C9002"/>
    <mergeCell ref="D8998:D9002"/>
    <mergeCell ref="E8998:E9002"/>
    <mergeCell ref="F8998:F9002"/>
    <mergeCell ref="G8998:G9002"/>
    <mergeCell ref="H8998:H9002"/>
    <mergeCell ref="I8998:I9002"/>
    <mergeCell ref="J8998:J9002"/>
    <mergeCell ref="K8998:K9002"/>
    <mergeCell ref="L8998:L9002"/>
    <mergeCell ref="M8998:M9002"/>
    <mergeCell ref="N8998:N9002"/>
    <mergeCell ref="A9008:A9012"/>
    <mergeCell ref="B9008:B9012"/>
    <mergeCell ref="C9008:C9012"/>
    <mergeCell ref="D9008:D9012"/>
    <mergeCell ref="E9008:E9012"/>
    <mergeCell ref="F9008:F9012"/>
    <mergeCell ref="G9008:G9012"/>
    <mergeCell ref="H9008:H9012"/>
    <mergeCell ref="I9008:I9012"/>
    <mergeCell ref="J9008:J9012"/>
    <mergeCell ref="K9008:K9012"/>
    <mergeCell ref="L9008:L9012"/>
    <mergeCell ref="M9008:M9012"/>
    <mergeCell ref="N9008:N9012"/>
    <mergeCell ref="A9013:A9014"/>
    <mergeCell ref="B9013:B9014"/>
    <mergeCell ref="C9013:C9014"/>
    <mergeCell ref="D9013:D9014"/>
    <mergeCell ref="E9013:E9014"/>
    <mergeCell ref="F9013:F9014"/>
    <mergeCell ref="G9013:G9014"/>
    <mergeCell ref="H9013:H9014"/>
    <mergeCell ref="I9013:I9014"/>
    <mergeCell ref="J9013:J9014"/>
    <mergeCell ref="K9013:K9014"/>
    <mergeCell ref="L9013:L9014"/>
    <mergeCell ref="M9013:M9014"/>
    <mergeCell ref="N9013:N9014"/>
    <mergeCell ref="A9017:A9018"/>
    <mergeCell ref="B9017:B9018"/>
    <mergeCell ref="C9017:C9018"/>
    <mergeCell ref="D9017:D9018"/>
    <mergeCell ref="E9017:E9018"/>
    <mergeCell ref="F9017:F9018"/>
    <mergeCell ref="G9017:G9018"/>
    <mergeCell ref="H9017:H9018"/>
    <mergeCell ref="I9017:I9018"/>
    <mergeCell ref="J9017:J9018"/>
    <mergeCell ref="K9017:K9018"/>
    <mergeCell ref="L9017:L9018"/>
    <mergeCell ref="M9017:M9018"/>
    <mergeCell ref="N9017:N9018"/>
    <mergeCell ref="A9022:A9023"/>
    <mergeCell ref="B9022:B9023"/>
    <mergeCell ref="C9022:C9023"/>
    <mergeCell ref="D9022:D9023"/>
    <mergeCell ref="E9022:E9023"/>
    <mergeCell ref="F9022:F9023"/>
    <mergeCell ref="G9022:G9023"/>
    <mergeCell ref="H9022:H9023"/>
    <mergeCell ref="I9022:I9023"/>
    <mergeCell ref="J9022:J9023"/>
    <mergeCell ref="K9022:K9023"/>
    <mergeCell ref="L9022:L9023"/>
    <mergeCell ref="M9022:M9023"/>
    <mergeCell ref="N9022:N9023"/>
    <mergeCell ref="A9024:A9025"/>
    <mergeCell ref="B9024:B9025"/>
    <mergeCell ref="C9024:C9025"/>
    <mergeCell ref="D9024:D9025"/>
    <mergeCell ref="E9024:E9025"/>
    <mergeCell ref="F9024:F9025"/>
    <mergeCell ref="G9024:G9025"/>
    <mergeCell ref="H9024:H9025"/>
    <mergeCell ref="I9024:I9025"/>
    <mergeCell ref="J9024:J9025"/>
    <mergeCell ref="K9024:K9025"/>
    <mergeCell ref="L9024:L9025"/>
    <mergeCell ref="M9024:M9025"/>
    <mergeCell ref="N9024:N9025"/>
    <mergeCell ref="A9030:A9031"/>
    <mergeCell ref="B9030:B9031"/>
    <mergeCell ref="C9030:C9031"/>
    <mergeCell ref="D9030:D9031"/>
    <mergeCell ref="E9030:E9031"/>
    <mergeCell ref="F9030:F9031"/>
    <mergeCell ref="G9030:G9031"/>
    <mergeCell ref="H9030:H9031"/>
    <mergeCell ref="I9030:I9031"/>
    <mergeCell ref="J9030:J9031"/>
    <mergeCell ref="K9030:K9031"/>
    <mergeCell ref="L9030:L9031"/>
    <mergeCell ref="M9030:M9031"/>
    <mergeCell ref="N9030:N9031"/>
    <mergeCell ref="A9032:A9033"/>
    <mergeCell ref="B9032:B9033"/>
    <mergeCell ref="C9032:C9033"/>
    <mergeCell ref="D9032:D9033"/>
    <mergeCell ref="E9032:E9033"/>
    <mergeCell ref="F9032:F9033"/>
    <mergeCell ref="G9032:G9033"/>
    <mergeCell ref="H9032:H9033"/>
    <mergeCell ref="I9032:I9033"/>
    <mergeCell ref="J9032:J9033"/>
    <mergeCell ref="K9032:K9033"/>
    <mergeCell ref="L9032:L9033"/>
    <mergeCell ref="M9032:M9033"/>
    <mergeCell ref="N9032:N9033"/>
    <mergeCell ref="A9034:A9036"/>
    <mergeCell ref="B9034:B9036"/>
    <mergeCell ref="C9034:C9036"/>
    <mergeCell ref="D9034:D9036"/>
    <mergeCell ref="E9034:E9036"/>
    <mergeCell ref="F9034:F9036"/>
    <mergeCell ref="G9034:G9036"/>
    <mergeCell ref="H9034:H9036"/>
    <mergeCell ref="I9034:I9036"/>
    <mergeCell ref="J9034:J9036"/>
    <mergeCell ref="K9034:K9036"/>
    <mergeCell ref="L9034:L9036"/>
    <mergeCell ref="M9034:M9036"/>
    <mergeCell ref="N9034:N9036"/>
    <mergeCell ref="A9038:A9039"/>
    <mergeCell ref="B9038:B9039"/>
    <mergeCell ref="C9038:C9039"/>
    <mergeCell ref="D9038:D9039"/>
    <mergeCell ref="E9038:E9039"/>
    <mergeCell ref="F9038:F9039"/>
    <mergeCell ref="G9038:G9039"/>
    <mergeCell ref="H9038:H9039"/>
    <mergeCell ref="I9038:I9039"/>
    <mergeCell ref="J9038:J9039"/>
    <mergeCell ref="K9038:K9039"/>
    <mergeCell ref="L9038:L9039"/>
    <mergeCell ref="M9038:M9039"/>
    <mergeCell ref="N9038:N9039"/>
    <mergeCell ref="A9041:A9042"/>
    <mergeCell ref="B9041:B9042"/>
    <mergeCell ref="C9041:C9042"/>
    <mergeCell ref="D9041:D9042"/>
    <mergeCell ref="E9041:E9042"/>
    <mergeCell ref="F9041:F9042"/>
    <mergeCell ref="G9041:G9042"/>
    <mergeCell ref="H9041:H9042"/>
    <mergeCell ref="I9041:I9042"/>
    <mergeCell ref="J9041:J9042"/>
    <mergeCell ref="K9041:K9042"/>
    <mergeCell ref="L9041:L9042"/>
    <mergeCell ref="M9041:M9042"/>
    <mergeCell ref="N9041:N9042"/>
    <mergeCell ref="A9043:A9044"/>
    <mergeCell ref="B9043:B9044"/>
    <mergeCell ref="C9043:C9044"/>
    <mergeCell ref="D9043:D9044"/>
    <mergeCell ref="E9043:E9044"/>
    <mergeCell ref="F9043:F9044"/>
    <mergeCell ref="G9043:G9044"/>
    <mergeCell ref="H9043:H9044"/>
    <mergeCell ref="I9043:I9044"/>
    <mergeCell ref="J9043:J9044"/>
    <mergeCell ref="K9043:K9044"/>
    <mergeCell ref="L9043:L9044"/>
    <mergeCell ref="M9043:M9044"/>
    <mergeCell ref="N9043:N9044"/>
    <mergeCell ref="A9047:A9048"/>
    <mergeCell ref="B9047:B9048"/>
    <mergeCell ref="C9047:C9048"/>
    <mergeCell ref="D9047:D9048"/>
    <mergeCell ref="E9047:E9048"/>
    <mergeCell ref="F9047:F9048"/>
    <mergeCell ref="G9047:G9048"/>
    <mergeCell ref="H9047:H9048"/>
    <mergeCell ref="I9047:I9048"/>
    <mergeCell ref="J9047:J9048"/>
    <mergeCell ref="K9047:K9048"/>
    <mergeCell ref="L9047:L9048"/>
    <mergeCell ref="M9047:M9048"/>
    <mergeCell ref="N9047:N9048"/>
    <mergeCell ref="A9049:A9050"/>
    <mergeCell ref="B9049:B9050"/>
    <mergeCell ref="C9049:C9050"/>
    <mergeCell ref="D9049:D9050"/>
    <mergeCell ref="E9049:E9050"/>
    <mergeCell ref="F9049:F9050"/>
    <mergeCell ref="G9049:G9050"/>
    <mergeCell ref="H9049:H9050"/>
    <mergeCell ref="I9049:I9050"/>
    <mergeCell ref="J9049:J9050"/>
    <mergeCell ref="K9049:K9050"/>
    <mergeCell ref="L9049:L9050"/>
    <mergeCell ref="M9049:M9050"/>
    <mergeCell ref="N9049:N9050"/>
    <mergeCell ref="A9051:A9052"/>
    <mergeCell ref="B9051:B9052"/>
    <mergeCell ref="C9051:C9052"/>
    <mergeCell ref="D9051:D9052"/>
    <mergeCell ref="E9051:E9052"/>
    <mergeCell ref="F9051:F9052"/>
    <mergeCell ref="G9051:G9052"/>
    <mergeCell ref="H9051:H9052"/>
    <mergeCell ref="I9051:I9052"/>
    <mergeCell ref="J9051:J9052"/>
    <mergeCell ref="K9051:K9052"/>
    <mergeCell ref="L9051:L9052"/>
    <mergeCell ref="M9051:M9052"/>
    <mergeCell ref="N9051:N9052"/>
    <mergeCell ref="A9054:A9055"/>
    <mergeCell ref="B9054:B9055"/>
    <mergeCell ref="C9054:C9055"/>
    <mergeCell ref="D9054:D9055"/>
    <mergeCell ref="E9054:E9055"/>
    <mergeCell ref="F9054:F9055"/>
    <mergeCell ref="G9054:G9055"/>
    <mergeCell ref="H9054:H9055"/>
    <mergeCell ref="I9054:I9055"/>
    <mergeCell ref="J9054:J9055"/>
    <mergeCell ref="K9054:K9055"/>
    <mergeCell ref="L9054:L9055"/>
    <mergeCell ref="M9054:M9055"/>
    <mergeCell ref="N9054:N9055"/>
    <mergeCell ref="A9060:A9065"/>
    <mergeCell ref="B9060:B9065"/>
    <mergeCell ref="C9060:C9065"/>
    <mergeCell ref="D9060:D9065"/>
    <mergeCell ref="E9060:E9065"/>
    <mergeCell ref="F9060:F9065"/>
    <mergeCell ref="G9060:G9065"/>
    <mergeCell ref="H9060:H9065"/>
    <mergeCell ref="I9060:I9065"/>
    <mergeCell ref="J9060:J9065"/>
    <mergeCell ref="K9060:K9065"/>
    <mergeCell ref="L9060:L9065"/>
    <mergeCell ref="M9060:M9065"/>
    <mergeCell ref="N9060:N9065"/>
    <mergeCell ref="A9073:A9075"/>
    <mergeCell ref="B9073:B9075"/>
    <mergeCell ref="C9073:C9075"/>
    <mergeCell ref="D9073:D9075"/>
    <mergeCell ref="E9073:E9075"/>
    <mergeCell ref="F9073:F9075"/>
    <mergeCell ref="G9073:G9075"/>
    <mergeCell ref="H9073:H9075"/>
    <mergeCell ref="I9073:I9075"/>
    <mergeCell ref="J9073:J9075"/>
    <mergeCell ref="K9073:K9075"/>
    <mergeCell ref="L9073:L9075"/>
    <mergeCell ref="M9073:M9075"/>
    <mergeCell ref="N9073:N9075"/>
    <mergeCell ref="A9076:A9077"/>
    <mergeCell ref="B9076:B9077"/>
    <mergeCell ref="C9076:C9077"/>
    <mergeCell ref="D9076:D9077"/>
    <mergeCell ref="E9076:E9077"/>
    <mergeCell ref="F9076:F9077"/>
    <mergeCell ref="G9076:G9077"/>
    <mergeCell ref="H9076:H9077"/>
    <mergeCell ref="I9076:I9077"/>
    <mergeCell ref="J9076:J9077"/>
    <mergeCell ref="K9076:K9077"/>
    <mergeCell ref="L9076:L9077"/>
    <mergeCell ref="M9076:M9077"/>
    <mergeCell ref="N9076:N9077"/>
    <mergeCell ref="A9080:A9081"/>
    <mergeCell ref="B9080:B9081"/>
    <mergeCell ref="C9080:C9081"/>
    <mergeCell ref="D9080:D9081"/>
    <mergeCell ref="E9080:E9081"/>
    <mergeCell ref="F9080:F9081"/>
    <mergeCell ref="G9080:G9081"/>
    <mergeCell ref="H9080:H9081"/>
    <mergeCell ref="I9080:I9081"/>
    <mergeCell ref="J9080:J9081"/>
    <mergeCell ref="K9080:K9081"/>
    <mergeCell ref="L9080:L9081"/>
    <mergeCell ref="M9080:M9081"/>
    <mergeCell ref="N9080:N9081"/>
    <mergeCell ref="A9083:A9084"/>
    <mergeCell ref="B9083:B9084"/>
    <mergeCell ref="C9083:C9084"/>
    <mergeCell ref="D9083:D9084"/>
    <mergeCell ref="E9083:E9084"/>
    <mergeCell ref="F9083:F9084"/>
    <mergeCell ref="G9083:G9084"/>
    <mergeCell ref="H9083:H9084"/>
    <mergeCell ref="I9083:I9084"/>
    <mergeCell ref="J9083:J9084"/>
    <mergeCell ref="K9083:K9084"/>
    <mergeCell ref="L9083:L9084"/>
    <mergeCell ref="M9083:M9084"/>
    <mergeCell ref="N9083:N9084"/>
    <mergeCell ref="A9086:A9088"/>
    <mergeCell ref="B9086:B9088"/>
    <mergeCell ref="C9086:C9088"/>
    <mergeCell ref="D9086:D9088"/>
    <mergeCell ref="E9086:E9088"/>
    <mergeCell ref="F9086:F9088"/>
    <mergeCell ref="G9086:G9088"/>
    <mergeCell ref="H9086:H9088"/>
    <mergeCell ref="I9086:I9088"/>
    <mergeCell ref="J9086:J9088"/>
    <mergeCell ref="K9086:K9088"/>
    <mergeCell ref="L9086:L9088"/>
    <mergeCell ref="M9086:M9088"/>
    <mergeCell ref="N9086:N9088"/>
    <mergeCell ref="A9093:A9094"/>
    <mergeCell ref="B9093:B9094"/>
    <mergeCell ref="C9093:C9094"/>
    <mergeCell ref="D9093:D9094"/>
    <mergeCell ref="E9093:E9094"/>
    <mergeCell ref="F9093:F9094"/>
    <mergeCell ref="G9093:G9094"/>
    <mergeCell ref="H9093:H9094"/>
    <mergeCell ref="I9093:I9094"/>
    <mergeCell ref="J9093:J9094"/>
    <mergeCell ref="K9093:K9094"/>
    <mergeCell ref="L9093:L9094"/>
    <mergeCell ref="M9093:M9094"/>
    <mergeCell ref="N9093:N9094"/>
    <mergeCell ref="A9095:A9098"/>
    <mergeCell ref="B9095:B9098"/>
    <mergeCell ref="C9095:C9098"/>
    <mergeCell ref="D9095:D9098"/>
    <mergeCell ref="E9095:E9098"/>
    <mergeCell ref="F9095:F9098"/>
    <mergeCell ref="G9095:G9098"/>
    <mergeCell ref="H9095:H9098"/>
    <mergeCell ref="I9095:I9098"/>
    <mergeCell ref="J9095:J9098"/>
    <mergeCell ref="K9095:K9098"/>
    <mergeCell ref="L9095:L9098"/>
    <mergeCell ref="M9095:M9098"/>
    <mergeCell ref="N9095:N9098"/>
    <mergeCell ref="A9099:A9100"/>
    <mergeCell ref="B9099:B9100"/>
    <mergeCell ref="C9099:C9100"/>
    <mergeCell ref="D9099:D9100"/>
    <mergeCell ref="E9099:E9100"/>
    <mergeCell ref="F9099:F9100"/>
    <mergeCell ref="G9099:G9100"/>
    <mergeCell ref="H9099:H9100"/>
    <mergeCell ref="I9099:I9100"/>
    <mergeCell ref="J9099:J9100"/>
    <mergeCell ref="K9099:K9100"/>
    <mergeCell ref="L9099:L9100"/>
    <mergeCell ref="M9099:M9100"/>
    <mergeCell ref="N9099:N9100"/>
    <mergeCell ref="A9101:A9102"/>
    <mergeCell ref="B9101:B9102"/>
    <mergeCell ref="C9101:C9102"/>
    <mergeCell ref="D9101:D9102"/>
    <mergeCell ref="E9101:E9102"/>
    <mergeCell ref="F9101:F9102"/>
    <mergeCell ref="G9101:G9102"/>
    <mergeCell ref="H9101:H9102"/>
    <mergeCell ref="I9101:I9102"/>
    <mergeCell ref="J9101:J9102"/>
    <mergeCell ref="K9101:K9102"/>
    <mergeCell ref="L9101:L9102"/>
    <mergeCell ref="M9101:M9102"/>
    <mergeCell ref="N9101:N9102"/>
    <mergeCell ref="A9112:A9114"/>
    <mergeCell ref="B9112:B9114"/>
    <mergeCell ref="C9112:C9114"/>
    <mergeCell ref="D9112:D9114"/>
    <mergeCell ref="E9112:E9114"/>
    <mergeCell ref="F9112:F9114"/>
    <mergeCell ref="G9112:G9114"/>
    <mergeCell ref="H9112:H9114"/>
    <mergeCell ref="I9112:I9114"/>
    <mergeCell ref="J9112:J9114"/>
    <mergeCell ref="K9112:K9114"/>
    <mergeCell ref="L9112:L9114"/>
    <mergeCell ref="M9112:M9114"/>
    <mergeCell ref="N9112:N9114"/>
    <mergeCell ref="A9118:A9120"/>
    <mergeCell ref="B9118:B9120"/>
    <mergeCell ref="C9118:C9120"/>
    <mergeCell ref="D9118:D9120"/>
    <mergeCell ref="E9118:E9120"/>
    <mergeCell ref="F9118:F9120"/>
    <mergeCell ref="G9118:G9120"/>
    <mergeCell ref="H9118:H9120"/>
    <mergeCell ref="I9118:I9120"/>
    <mergeCell ref="J9118:J9120"/>
    <mergeCell ref="K9118:K9120"/>
    <mergeCell ref="L9118:L9120"/>
    <mergeCell ref="M9118:M9120"/>
    <mergeCell ref="N9118:N9120"/>
    <mergeCell ref="A9121:A9122"/>
    <mergeCell ref="B9121:B9122"/>
    <mergeCell ref="C9121:C9122"/>
    <mergeCell ref="D9121:D9122"/>
    <mergeCell ref="E9121:E9122"/>
    <mergeCell ref="F9121:F9122"/>
    <mergeCell ref="G9121:G9122"/>
    <mergeCell ref="H9121:H9122"/>
    <mergeCell ref="I9121:I9122"/>
    <mergeCell ref="J9121:J9122"/>
    <mergeCell ref="K9121:K9122"/>
    <mergeCell ref="L9121:L9122"/>
    <mergeCell ref="M9121:M9122"/>
    <mergeCell ref="N9121:N9122"/>
    <mergeCell ref="A9135:A9138"/>
    <mergeCell ref="B9135:B9138"/>
    <mergeCell ref="C9135:C9138"/>
    <mergeCell ref="D9135:D9138"/>
    <mergeCell ref="E9135:E9138"/>
    <mergeCell ref="F9135:F9138"/>
    <mergeCell ref="G9135:G9138"/>
    <mergeCell ref="H9135:H9138"/>
    <mergeCell ref="I9135:I9138"/>
    <mergeCell ref="J9135:J9138"/>
    <mergeCell ref="K9135:K9138"/>
    <mergeCell ref="L9135:L9138"/>
    <mergeCell ref="M9135:M9138"/>
    <mergeCell ref="N9135:N9138"/>
    <mergeCell ref="A9141:A9142"/>
    <mergeCell ref="B9141:B9142"/>
    <mergeCell ref="C9141:C9142"/>
    <mergeCell ref="D9141:D9142"/>
    <mergeCell ref="E9141:E9142"/>
    <mergeCell ref="F9141:F9142"/>
    <mergeCell ref="G9141:G9142"/>
    <mergeCell ref="H9141:H9142"/>
    <mergeCell ref="I9141:I9142"/>
    <mergeCell ref="J9141:J9142"/>
    <mergeCell ref="K9141:K9142"/>
    <mergeCell ref="L9141:L9142"/>
    <mergeCell ref="M9141:M9142"/>
    <mergeCell ref="N9141:N9142"/>
    <mergeCell ref="A9144:A9146"/>
    <mergeCell ref="B9144:B9146"/>
    <mergeCell ref="C9144:C9146"/>
    <mergeCell ref="D9144:D9146"/>
    <mergeCell ref="E9144:E9146"/>
    <mergeCell ref="F9144:F9146"/>
    <mergeCell ref="G9144:G9146"/>
    <mergeCell ref="H9144:H9146"/>
    <mergeCell ref="I9144:I9146"/>
    <mergeCell ref="J9144:J9146"/>
    <mergeCell ref="K9144:K9146"/>
    <mergeCell ref="L9144:L9146"/>
    <mergeCell ref="M9144:M9146"/>
    <mergeCell ref="N9144:N9146"/>
    <mergeCell ref="A9147:A9164"/>
    <mergeCell ref="B9147:B9164"/>
    <mergeCell ref="C9147:C9164"/>
    <mergeCell ref="D9147:D9164"/>
    <mergeCell ref="E9147:E9164"/>
    <mergeCell ref="F9147:F9164"/>
    <mergeCell ref="G9147:G9164"/>
    <mergeCell ref="H9147:H9164"/>
    <mergeCell ref="I9147:I9164"/>
    <mergeCell ref="J9147:J9164"/>
    <mergeCell ref="K9147:K9164"/>
    <mergeCell ref="L9147:L9164"/>
    <mergeCell ref="M9147:M9164"/>
    <mergeCell ref="N9147:N9164"/>
    <mergeCell ref="A9165:A9166"/>
    <mergeCell ref="B9165:B9166"/>
    <mergeCell ref="C9165:C9166"/>
    <mergeCell ref="D9165:D9166"/>
    <mergeCell ref="E9165:E9166"/>
    <mergeCell ref="F9165:F9166"/>
    <mergeCell ref="G9165:G9166"/>
    <mergeCell ref="H9165:H9166"/>
    <mergeCell ref="I9165:I9166"/>
    <mergeCell ref="J9165:J9166"/>
    <mergeCell ref="K9165:K9166"/>
    <mergeCell ref="L9165:L9166"/>
    <mergeCell ref="M9165:M9166"/>
    <mergeCell ref="N9165:N9166"/>
    <mergeCell ref="A9167:A9169"/>
    <mergeCell ref="B9167:B9169"/>
    <mergeCell ref="C9167:C9169"/>
    <mergeCell ref="D9167:D9169"/>
    <mergeCell ref="E9167:E9169"/>
    <mergeCell ref="F9167:F9169"/>
    <mergeCell ref="G9167:G9169"/>
    <mergeCell ref="H9167:H9169"/>
    <mergeCell ref="I9167:I9169"/>
    <mergeCell ref="J9167:J9169"/>
    <mergeCell ref="K9167:K9169"/>
    <mergeCell ref="L9167:L9169"/>
    <mergeCell ref="M9167:M9169"/>
    <mergeCell ref="N9167:N9169"/>
    <mergeCell ref="A9170:A9171"/>
    <mergeCell ref="B9170:B9171"/>
    <mergeCell ref="C9170:C9171"/>
    <mergeCell ref="D9170:D9171"/>
    <mergeCell ref="E9170:E9171"/>
    <mergeCell ref="F9170:F9171"/>
    <mergeCell ref="G9170:G9171"/>
    <mergeCell ref="H9170:H9171"/>
    <mergeCell ref="I9170:I9171"/>
    <mergeCell ref="J9170:J9171"/>
    <mergeCell ref="K9170:K9171"/>
    <mergeCell ref="L9170:L9171"/>
    <mergeCell ref="M9170:M9171"/>
    <mergeCell ref="N9170:N9171"/>
    <mergeCell ref="A9172:A9174"/>
    <mergeCell ref="B9172:B9174"/>
    <mergeCell ref="C9172:C9174"/>
    <mergeCell ref="D9172:D9174"/>
    <mergeCell ref="E9172:E9174"/>
    <mergeCell ref="F9172:F9174"/>
    <mergeCell ref="G9172:G9174"/>
    <mergeCell ref="H9172:H9174"/>
    <mergeCell ref="I9172:I9174"/>
    <mergeCell ref="J9172:J9174"/>
    <mergeCell ref="K9172:K9174"/>
    <mergeCell ref="L9172:L9174"/>
    <mergeCell ref="M9172:M9174"/>
    <mergeCell ref="N9172:N9174"/>
    <mergeCell ref="A9176:A9177"/>
    <mergeCell ref="B9176:B9177"/>
    <mergeCell ref="C9176:C9177"/>
    <mergeCell ref="D9176:D9177"/>
    <mergeCell ref="E9176:E9177"/>
    <mergeCell ref="F9176:F9177"/>
    <mergeCell ref="G9176:G9177"/>
    <mergeCell ref="H9176:H9177"/>
    <mergeCell ref="I9176:I9177"/>
    <mergeCell ref="J9176:J9177"/>
    <mergeCell ref="K9176:K9177"/>
    <mergeCell ref="L9176:L9177"/>
    <mergeCell ref="M9176:M9177"/>
    <mergeCell ref="N9176:N9177"/>
    <mergeCell ref="A9178:A9179"/>
    <mergeCell ref="B9178:B9179"/>
    <mergeCell ref="C9178:C9179"/>
    <mergeCell ref="D9178:D9179"/>
    <mergeCell ref="E9178:E9179"/>
    <mergeCell ref="F9178:F9179"/>
    <mergeCell ref="G9178:G9179"/>
    <mergeCell ref="H9178:H9179"/>
    <mergeCell ref="I9178:I9179"/>
    <mergeCell ref="J9178:J9179"/>
    <mergeCell ref="K9178:K9179"/>
    <mergeCell ref="L9178:L9179"/>
    <mergeCell ref="M9178:M9179"/>
    <mergeCell ref="N9178:N9179"/>
    <mergeCell ref="A9180:A9181"/>
    <mergeCell ref="B9180:B9181"/>
    <mergeCell ref="C9180:C9181"/>
    <mergeCell ref="D9180:D9181"/>
    <mergeCell ref="E9180:E9181"/>
    <mergeCell ref="F9180:F9181"/>
    <mergeCell ref="G9180:G9181"/>
    <mergeCell ref="H9180:H9181"/>
    <mergeCell ref="I9180:I9181"/>
    <mergeCell ref="J9180:J9181"/>
    <mergeCell ref="K9180:K9181"/>
    <mergeCell ref="L9180:L9181"/>
    <mergeCell ref="M9180:M9181"/>
    <mergeCell ref="N9180:N9181"/>
    <mergeCell ref="A9182:A9183"/>
    <mergeCell ref="B9182:B9183"/>
    <mergeCell ref="C9182:C9183"/>
    <mergeCell ref="D9182:D9183"/>
    <mergeCell ref="E9182:E9183"/>
    <mergeCell ref="F9182:F9183"/>
    <mergeCell ref="G9182:G9183"/>
    <mergeCell ref="H9182:H9183"/>
    <mergeCell ref="I9182:I9183"/>
    <mergeCell ref="J9182:J9183"/>
    <mergeCell ref="K9182:K9183"/>
    <mergeCell ref="L9182:L9183"/>
    <mergeCell ref="M9182:M9183"/>
    <mergeCell ref="N9182:N9183"/>
    <mergeCell ref="A9184:A9186"/>
    <mergeCell ref="B9184:B9186"/>
    <mergeCell ref="C9184:C9186"/>
    <mergeCell ref="D9184:D9186"/>
    <mergeCell ref="E9184:E9186"/>
    <mergeCell ref="F9184:F9186"/>
    <mergeCell ref="G9184:G9186"/>
    <mergeCell ref="H9184:H9186"/>
    <mergeCell ref="I9184:I9186"/>
    <mergeCell ref="J9184:J9186"/>
    <mergeCell ref="K9184:K9186"/>
    <mergeCell ref="L9184:L9186"/>
    <mergeCell ref="M9184:M9186"/>
    <mergeCell ref="N9184:N9186"/>
    <mergeCell ref="A9187:A9194"/>
    <mergeCell ref="B9187:B9194"/>
    <mergeCell ref="C9187:C9194"/>
    <mergeCell ref="D9187:D9194"/>
    <mergeCell ref="E9187:E9194"/>
    <mergeCell ref="F9187:F9194"/>
    <mergeCell ref="G9187:G9194"/>
    <mergeCell ref="H9187:H9194"/>
    <mergeCell ref="I9187:I9194"/>
    <mergeCell ref="J9187:J9194"/>
    <mergeCell ref="K9187:K9194"/>
    <mergeCell ref="L9187:L9194"/>
    <mergeCell ref="M9187:M9194"/>
    <mergeCell ref="N9187:N9194"/>
    <mergeCell ref="A9195:A9196"/>
    <mergeCell ref="B9195:B9196"/>
    <mergeCell ref="C9195:C9196"/>
    <mergeCell ref="D9195:D9196"/>
    <mergeCell ref="E9195:E9196"/>
    <mergeCell ref="F9195:F9196"/>
    <mergeCell ref="G9195:G9196"/>
    <mergeCell ref="H9195:H9196"/>
    <mergeCell ref="I9195:I9196"/>
    <mergeCell ref="J9195:J9196"/>
    <mergeCell ref="K9195:K9196"/>
    <mergeCell ref="L9195:L9196"/>
    <mergeCell ref="M9195:M9196"/>
    <mergeCell ref="N9195:N9196"/>
    <mergeCell ref="A9198:A9202"/>
    <mergeCell ref="B9198:B9202"/>
    <mergeCell ref="C9198:C9202"/>
    <mergeCell ref="D9198:D9202"/>
    <mergeCell ref="E9198:E9202"/>
    <mergeCell ref="F9198:F9202"/>
    <mergeCell ref="G9198:G9202"/>
    <mergeCell ref="H9198:H9202"/>
    <mergeCell ref="I9198:I9202"/>
    <mergeCell ref="J9198:J9202"/>
    <mergeCell ref="K9198:K9202"/>
    <mergeCell ref="L9198:L9202"/>
    <mergeCell ref="M9198:M9202"/>
    <mergeCell ref="N9198:N9202"/>
    <mergeCell ref="A9203:A9204"/>
    <mergeCell ref="B9203:B9204"/>
    <mergeCell ref="C9203:C9204"/>
    <mergeCell ref="D9203:D9204"/>
    <mergeCell ref="E9203:E9204"/>
    <mergeCell ref="F9203:F9204"/>
    <mergeCell ref="G9203:G9204"/>
    <mergeCell ref="H9203:H9204"/>
    <mergeCell ref="I9203:I9204"/>
    <mergeCell ref="J9203:J9204"/>
    <mergeCell ref="K9203:K9204"/>
    <mergeCell ref="L9203:L9204"/>
    <mergeCell ref="M9203:M9204"/>
    <mergeCell ref="N9203:N9204"/>
    <mergeCell ref="A9205:A9207"/>
    <mergeCell ref="B9205:B9207"/>
    <mergeCell ref="C9205:C9207"/>
    <mergeCell ref="D9205:D9207"/>
    <mergeCell ref="E9205:E9207"/>
    <mergeCell ref="F9205:F9207"/>
    <mergeCell ref="G9205:G9207"/>
    <mergeCell ref="H9205:H9207"/>
    <mergeCell ref="I9205:I9207"/>
    <mergeCell ref="J9205:J9207"/>
    <mergeCell ref="K9205:K9207"/>
    <mergeCell ref="L9205:L9207"/>
    <mergeCell ref="M9205:M9207"/>
    <mergeCell ref="N9205:N9207"/>
    <mergeCell ref="A9211:A9212"/>
    <mergeCell ref="B9211:B9212"/>
    <mergeCell ref="C9211:C9212"/>
    <mergeCell ref="D9211:D9212"/>
    <mergeCell ref="E9211:E9212"/>
    <mergeCell ref="F9211:F9212"/>
    <mergeCell ref="G9211:G9212"/>
    <mergeCell ref="H9211:H9212"/>
    <mergeCell ref="I9211:I9212"/>
    <mergeCell ref="J9211:J9212"/>
    <mergeCell ref="K9211:K9212"/>
    <mergeCell ref="L9211:L9212"/>
    <mergeCell ref="M9211:M9212"/>
    <mergeCell ref="N9211:N9212"/>
    <mergeCell ref="A9213:A9214"/>
    <mergeCell ref="B9213:B9214"/>
    <mergeCell ref="C9213:C9214"/>
    <mergeCell ref="D9213:D9214"/>
    <mergeCell ref="E9213:E9214"/>
    <mergeCell ref="F9213:F9214"/>
    <mergeCell ref="G9213:G9214"/>
    <mergeCell ref="H9213:H9214"/>
    <mergeCell ref="I9213:I9214"/>
    <mergeCell ref="J9213:J9214"/>
    <mergeCell ref="K9213:K9214"/>
    <mergeCell ref="L9213:L9214"/>
    <mergeCell ref="M9213:M9214"/>
    <mergeCell ref="N9213:N9214"/>
    <mergeCell ref="A9216:A9217"/>
    <mergeCell ref="B9216:B9217"/>
    <mergeCell ref="C9216:C9217"/>
    <mergeCell ref="D9216:D9217"/>
    <mergeCell ref="E9216:E9217"/>
    <mergeCell ref="F9216:F9217"/>
    <mergeCell ref="G9216:G9217"/>
    <mergeCell ref="H9216:H9217"/>
    <mergeCell ref="I9216:I9217"/>
    <mergeCell ref="J9216:J9217"/>
    <mergeCell ref="K9216:K9217"/>
    <mergeCell ref="L9216:L9217"/>
    <mergeCell ref="M9216:M9217"/>
    <mergeCell ref="N9216:N9217"/>
    <mergeCell ref="A9220:A9223"/>
    <mergeCell ref="B9220:B9223"/>
    <mergeCell ref="C9220:C9223"/>
    <mergeCell ref="D9220:D9223"/>
    <mergeCell ref="E9220:E9223"/>
    <mergeCell ref="F9220:F9223"/>
    <mergeCell ref="G9220:G9223"/>
    <mergeCell ref="H9220:H9223"/>
    <mergeCell ref="I9220:I9223"/>
    <mergeCell ref="J9220:J9223"/>
    <mergeCell ref="K9220:K9223"/>
    <mergeCell ref="L9220:L9223"/>
    <mergeCell ref="M9220:M9223"/>
    <mergeCell ref="N9220:N9223"/>
    <mergeCell ref="A9224:A9226"/>
    <mergeCell ref="B9224:B9226"/>
    <mergeCell ref="C9224:C9226"/>
    <mergeCell ref="D9224:D9226"/>
    <mergeCell ref="E9224:E9226"/>
    <mergeCell ref="F9224:F9226"/>
    <mergeCell ref="G9224:G9226"/>
    <mergeCell ref="H9224:H9226"/>
    <mergeCell ref="I9224:I9226"/>
    <mergeCell ref="J9224:J9226"/>
    <mergeCell ref="K9224:K9226"/>
    <mergeCell ref="L9224:L9226"/>
    <mergeCell ref="M9224:M9226"/>
    <mergeCell ref="N9224:N9226"/>
    <mergeCell ref="A9227:A9228"/>
    <mergeCell ref="B9227:B9228"/>
    <mergeCell ref="C9227:C9228"/>
    <mergeCell ref="D9227:D9228"/>
    <mergeCell ref="E9227:E9228"/>
    <mergeCell ref="F9227:F9228"/>
    <mergeCell ref="G9227:G9228"/>
    <mergeCell ref="H9227:H9228"/>
    <mergeCell ref="I9227:I9228"/>
    <mergeCell ref="J9227:J9228"/>
    <mergeCell ref="K9227:K9228"/>
    <mergeCell ref="L9227:L9228"/>
    <mergeCell ref="M9227:M9228"/>
    <mergeCell ref="N9227:N9228"/>
    <mergeCell ref="A9237:A9238"/>
    <mergeCell ref="B9237:B9238"/>
    <mergeCell ref="C9237:C9238"/>
    <mergeCell ref="D9237:D9238"/>
    <mergeCell ref="E9237:E9238"/>
    <mergeCell ref="F9237:F9238"/>
    <mergeCell ref="G9237:G9238"/>
    <mergeCell ref="H9237:H9238"/>
    <mergeCell ref="I9237:I9238"/>
    <mergeCell ref="J9237:J9238"/>
    <mergeCell ref="K9237:K9238"/>
    <mergeCell ref="L9237:L9238"/>
    <mergeCell ref="M9237:M9238"/>
    <mergeCell ref="N9237:N9238"/>
    <mergeCell ref="A9240:A9241"/>
    <mergeCell ref="B9240:B9241"/>
    <mergeCell ref="C9240:C9241"/>
    <mergeCell ref="D9240:D9241"/>
    <mergeCell ref="E9240:E9241"/>
    <mergeCell ref="F9240:F9241"/>
    <mergeCell ref="G9240:G9241"/>
    <mergeCell ref="H9240:H9241"/>
    <mergeCell ref="I9240:I9241"/>
    <mergeCell ref="J9240:J9241"/>
    <mergeCell ref="K9240:K9241"/>
    <mergeCell ref="L9240:L9241"/>
    <mergeCell ref="M9240:M9241"/>
    <mergeCell ref="N9240:N9241"/>
    <mergeCell ref="A9242:A9243"/>
    <mergeCell ref="B9242:B9243"/>
    <mergeCell ref="C9242:C9243"/>
    <mergeCell ref="D9242:D9243"/>
    <mergeCell ref="E9242:E9243"/>
    <mergeCell ref="F9242:F9243"/>
    <mergeCell ref="G9242:G9243"/>
    <mergeCell ref="H9242:H9243"/>
    <mergeCell ref="I9242:I9243"/>
    <mergeCell ref="J9242:J9243"/>
    <mergeCell ref="K9242:K9243"/>
    <mergeCell ref="L9242:L9243"/>
    <mergeCell ref="M9242:M9243"/>
    <mergeCell ref="N9242:N9243"/>
    <mergeCell ref="A9246:A9247"/>
    <mergeCell ref="B9246:B9247"/>
    <mergeCell ref="C9246:C9247"/>
    <mergeCell ref="D9246:D9247"/>
    <mergeCell ref="E9246:E9247"/>
    <mergeCell ref="F9246:F9247"/>
    <mergeCell ref="G9246:G9247"/>
    <mergeCell ref="H9246:H9247"/>
    <mergeCell ref="I9246:I9247"/>
    <mergeCell ref="J9246:J9247"/>
    <mergeCell ref="K9246:K9247"/>
    <mergeCell ref="L9246:L9247"/>
    <mergeCell ref="M9246:M9247"/>
    <mergeCell ref="N9246:N9247"/>
    <mergeCell ref="A9251:A9255"/>
    <mergeCell ref="B9251:B9255"/>
    <mergeCell ref="C9251:C9255"/>
    <mergeCell ref="D9251:D9255"/>
    <mergeCell ref="E9251:E9255"/>
    <mergeCell ref="F9251:F9255"/>
    <mergeCell ref="G9251:G9255"/>
    <mergeCell ref="H9251:H9255"/>
    <mergeCell ref="I9251:I9255"/>
    <mergeCell ref="J9251:J9255"/>
    <mergeCell ref="K9251:K9255"/>
    <mergeCell ref="L9251:L9255"/>
    <mergeCell ref="M9251:M9255"/>
    <mergeCell ref="N9251:N9255"/>
    <mergeCell ref="A9256:A9257"/>
    <mergeCell ref="B9256:B9257"/>
    <mergeCell ref="C9256:C9257"/>
    <mergeCell ref="D9256:D9257"/>
    <mergeCell ref="E9256:E9257"/>
    <mergeCell ref="F9256:F9257"/>
    <mergeCell ref="G9256:G9257"/>
    <mergeCell ref="H9256:H9257"/>
    <mergeCell ref="I9256:I9257"/>
    <mergeCell ref="J9256:J9257"/>
    <mergeCell ref="K9256:K9257"/>
    <mergeCell ref="L9256:L9257"/>
    <mergeCell ref="M9256:M9257"/>
    <mergeCell ref="N9256:N9257"/>
    <mergeCell ref="A9258:A9259"/>
    <mergeCell ref="B9258:B9259"/>
    <mergeCell ref="C9258:C9259"/>
    <mergeCell ref="D9258:D9259"/>
    <mergeCell ref="E9258:E9259"/>
    <mergeCell ref="F9258:F9259"/>
    <mergeCell ref="G9258:G9259"/>
    <mergeCell ref="H9258:H9259"/>
    <mergeCell ref="I9258:I9259"/>
    <mergeCell ref="J9258:J9259"/>
    <mergeCell ref="K9258:K9259"/>
    <mergeCell ref="L9258:L9259"/>
    <mergeCell ref="M9258:M9259"/>
    <mergeCell ref="N9258:N9259"/>
    <mergeCell ref="A9261:A9262"/>
    <mergeCell ref="B9261:B9262"/>
    <mergeCell ref="C9261:C9262"/>
    <mergeCell ref="D9261:D9262"/>
    <mergeCell ref="E9261:E9262"/>
    <mergeCell ref="F9261:F9262"/>
    <mergeCell ref="G9261:G9262"/>
    <mergeCell ref="H9261:H9262"/>
    <mergeCell ref="I9261:I9262"/>
    <mergeCell ref="J9261:J9262"/>
    <mergeCell ref="K9261:K9262"/>
    <mergeCell ref="L9261:L9262"/>
    <mergeCell ref="M9261:M9262"/>
    <mergeCell ref="N9261:N9262"/>
    <mergeCell ref="A9267:A9268"/>
    <mergeCell ref="B9267:B9268"/>
    <mergeCell ref="C9267:C9268"/>
    <mergeCell ref="D9267:D9268"/>
    <mergeCell ref="E9267:E9268"/>
    <mergeCell ref="F9267:F9268"/>
    <mergeCell ref="G9267:G9268"/>
    <mergeCell ref="H9267:H9268"/>
    <mergeCell ref="I9267:I9268"/>
    <mergeCell ref="J9267:J9268"/>
    <mergeCell ref="K9267:K9268"/>
    <mergeCell ref="L9267:L9268"/>
    <mergeCell ref="M9267:M9268"/>
    <mergeCell ref="N9267:N9268"/>
    <mergeCell ref="A9270:A9271"/>
    <mergeCell ref="B9270:B9271"/>
    <mergeCell ref="C9270:C9271"/>
    <mergeCell ref="D9270:D9271"/>
    <mergeCell ref="E9270:E9271"/>
    <mergeCell ref="F9270:F9271"/>
    <mergeCell ref="G9270:G9271"/>
    <mergeCell ref="H9270:H9271"/>
    <mergeCell ref="I9270:I9271"/>
    <mergeCell ref="J9270:J9271"/>
    <mergeCell ref="K9270:K9271"/>
    <mergeCell ref="L9270:L9271"/>
    <mergeCell ref="M9270:M9271"/>
    <mergeCell ref="N9270:N9271"/>
    <mergeCell ref="A9276:A9277"/>
    <mergeCell ref="B9276:B9277"/>
    <mergeCell ref="C9276:C9277"/>
    <mergeCell ref="D9276:D9277"/>
    <mergeCell ref="E9276:E9277"/>
    <mergeCell ref="F9276:F9277"/>
    <mergeCell ref="G9276:G9277"/>
    <mergeCell ref="H9276:H9277"/>
    <mergeCell ref="I9276:I9277"/>
    <mergeCell ref="J9276:J9277"/>
    <mergeCell ref="K9276:K9277"/>
    <mergeCell ref="L9276:L9277"/>
    <mergeCell ref="M9276:M9277"/>
    <mergeCell ref="N9276:N9277"/>
    <mergeCell ref="A9278:A9279"/>
    <mergeCell ref="B9278:B9279"/>
    <mergeCell ref="C9278:C9279"/>
    <mergeCell ref="D9278:D9279"/>
    <mergeCell ref="E9278:E9279"/>
    <mergeCell ref="F9278:F9279"/>
    <mergeCell ref="G9278:G9279"/>
    <mergeCell ref="H9278:H9279"/>
    <mergeCell ref="I9278:I9279"/>
    <mergeCell ref="J9278:J9279"/>
    <mergeCell ref="K9278:K9279"/>
    <mergeCell ref="L9278:L9279"/>
    <mergeCell ref="M9278:M9279"/>
    <mergeCell ref="N9278:N9279"/>
    <mergeCell ref="A9286:A9287"/>
    <mergeCell ref="B9286:B9287"/>
    <mergeCell ref="C9286:C9287"/>
    <mergeCell ref="D9286:D9287"/>
    <mergeCell ref="E9286:E9287"/>
    <mergeCell ref="F9286:F9287"/>
    <mergeCell ref="G9286:G9287"/>
    <mergeCell ref="H9286:H9287"/>
    <mergeCell ref="I9286:I9287"/>
    <mergeCell ref="J9286:J9287"/>
    <mergeCell ref="K9286:K9287"/>
    <mergeCell ref="L9286:L9287"/>
    <mergeCell ref="M9286:M9287"/>
    <mergeCell ref="N9286:N9287"/>
    <mergeCell ref="A9289:A9294"/>
    <mergeCell ref="B9289:B9294"/>
    <mergeCell ref="C9289:C9294"/>
    <mergeCell ref="D9289:D9294"/>
    <mergeCell ref="E9289:E9294"/>
    <mergeCell ref="F9289:F9294"/>
    <mergeCell ref="G9289:G9294"/>
    <mergeCell ref="H9289:H9294"/>
    <mergeCell ref="I9289:I9294"/>
    <mergeCell ref="J9289:J9294"/>
    <mergeCell ref="K9289:K9294"/>
    <mergeCell ref="L9289:L9294"/>
    <mergeCell ref="M9289:M9294"/>
    <mergeCell ref="N9289:N9294"/>
    <mergeCell ref="A9297:A9298"/>
    <mergeCell ref="B9297:B9298"/>
    <mergeCell ref="C9297:C9298"/>
    <mergeCell ref="D9297:D9298"/>
    <mergeCell ref="E9297:E9298"/>
    <mergeCell ref="F9297:F9298"/>
    <mergeCell ref="G9297:G9298"/>
    <mergeCell ref="H9297:H9298"/>
    <mergeCell ref="I9297:I9298"/>
    <mergeCell ref="J9297:J9298"/>
    <mergeCell ref="K9297:K9298"/>
    <mergeCell ref="L9297:L9298"/>
    <mergeCell ref="M9297:M9298"/>
    <mergeCell ref="N9297:N9298"/>
    <mergeCell ref="A9301:A9302"/>
    <mergeCell ref="B9301:B9302"/>
    <mergeCell ref="C9301:C9302"/>
    <mergeCell ref="D9301:D9302"/>
    <mergeCell ref="E9301:E9302"/>
    <mergeCell ref="F9301:F9302"/>
    <mergeCell ref="G9301:G9302"/>
    <mergeCell ref="H9301:H9302"/>
    <mergeCell ref="I9301:I9302"/>
    <mergeCell ref="J9301:J9302"/>
    <mergeCell ref="K9301:K9302"/>
    <mergeCell ref="L9301:L9302"/>
    <mergeCell ref="M9301:M9302"/>
    <mergeCell ref="N9301:N9302"/>
    <mergeCell ref="A9304:A9309"/>
    <mergeCell ref="B9304:B9309"/>
    <mergeCell ref="C9304:C9309"/>
    <mergeCell ref="D9304:D9309"/>
    <mergeCell ref="E9304:E9309"/>
    <mergeCell ref="F9304:F9309"/>
    <mergeCell ref="G9304:G9309"/>
    <mergeCell ref="H9304:H9309"/>
    <mergeCell ref="I9304:I9309"/>
    <mergeCell ref="J9304:J9309"/>
    <mergeCell ref="K9304:K9309"/>
    <mergeCell ref="L9304:L9309"/>
    <mergeCell ref="M9304:M9309"/>
    <mergeCell ref="N9304:N9309"/>
    <mergeCell ref="A9310:A9314"/>
    <mergeCell ref="B9310:B9314"/>
    <mergeCell ref="C9310:C9314"/>
    <mergeCell ref="D9310:D9314"/>
    <mergeCell ref="E9310:E9314"/>
    <mergeCell ref="F9310:F9314"/>
    <mergeCell ref="G9310:G9314"/>
    <mergeCell ref="H9310:H9314"/>
    <mergeCell ref="I9310:I9314"/>
    <mergeCell ref="J9310:J9314"/>
    <mergeCell ref="K9310:K9314"/>
    <mergeCell ref="L9310:L9314"/>
    <mergeCell ref="M9310:M9314"/>
    <mergeCell ref="N9310:N9314"/>
    <mergeCell ref="A9315:A9328"/>
    <mergeCell ref="B9315:B9328"/>
    <mergeCell ref="C9315:C9328"/>
    <mergeCell ref="D9315:D9328"/>
    <mergeCell ref="E9315:E9328"/>
    <mergeCell ref="F9315:F9328"/>
    <mergeCell ref="G9315:G9328"/>
    <mergeCell ref="H9315:H9328"/>
    <mergeCell ref="I9315:I9328"/>
    <mergeCell ref="J9315:J9328"/>
    <mergeCell ref="K9315:K9328"/>
    <mergeCell ref="L9315:L9328"/>
    <mergeCell ref="M9315:M9328"/>
    <mergeCell ref="N9315:N9328"/>
    <mergeCell ref="A9329:A9331"/>
    <mergeCell ref="B9329:B9331"/>
    <mergeCell ref="C9329:C9331"/>
    <mergeCell ref="D9329:D9331"/>
    <mergeCell ref="E9329:E9331"/>
    <mergeCell ref="F9329:F9331"/>
    <mergeCell ref="G9329:G9331"/>
    <mergeCell ref="H9329:H9331"/>
    <mergeCell ref="I9329:I9331"/>
    <mergeCell ref="J9329:J9331"/>
    <mergeCell ref="K9329:K9331"/>
    <mergeCell ref="L9329:L9331"/>
    <mergeCell ref="M9329:M9331"/>
    <mergeCell ref="N9329:N9331"/>
    <mergeCell ref="A9332:A9334"/>
    <mergeCell ref="B9332:B9334"/>
    <mergeCell ref="C9332:C9334"/>
    <mergeCell ref="D9332:D9334"/>
    <mergeCell ref="E9332:E9334"/>
    <mergeCell ref="F9332:F9334"/>
    <mergeCell ref="G9332:G9334"/>
    <mergeCell ref="H9332:H9334"/>
    <mergeCell ref="I9332:I9334"/>
    <mergeCell ref="J9332:J9334"/>
    <mergeCell ref="K9332:K9334"/>
    <mergeCell ref="L9332:L9334"/>
    <mergeCell ref="M9332:M9334"/>
    <mergeCell ref="N9332:N9334"/>
    <mergeCell ref="A9335:A9336"/>
    <mergeCell ref="B9335:B9336"/>
    <mergeCell ref="C9335:C9336"/>
    <mergeCell ref="D9335:D9336"/>
    <mergeCell ref="E9335:E9336"/>
    <mergeCell ref="F9335:F9336"/>
    <mergeCell ref="G9335:G9336"/>
    <mergeCell ref="H9335:H9336"/>
    <mergeCell ref="I9335:I9336"/>
    <mergeCell ref="J9335:J9336"/>
    <mergeCell ref="K9335:K9336"/>
    <mergeCell ref="L9335:L9336"/>
    <mergeCell ref="M9335:M9336"/>
    <mergeCell ref="N9335:N9336"/>
    <mergeCell ref="A9337:A9339"/>
    <mergeCell ref="B9337:B9339"/>
    <mergeCell ref="C9337:C9339"/>
    <mergeCell ref="D9337:D9339"/>
    <mergeCell ref="E9337:E9339"/>
    <mergeCell ref="F9337:F9339"/>
    <mergeCell ref="G9337:G9339"/>
    <mergeCell ref="H9337:H9339"/>
    <mergeCell ref="I9337:I9339"/>
    <mergeCell ref="J9337:J9339"/>
    <mergeCell ref="K9337:K9339"/>
    <mergeCell ref="L9337:L9339"/>
    <mergeCell ref="M9337:M9339"/>
    <mergeCell ref="N9337:N9339"/>
    <mergeCell ref="A9343:A9347"/>
    <mergeCell ref="B9343:B9347"/>
    <mergeCell ref="C9343:C9347"/>
    <mergeCell ref="D9343:D9347"/>
    <mergeCell ref="E9343:E9347"/>
    <mergeCell ref="F9343:F9347"/>
    <mergeCell ref="G9343:G9347"/>
    <mergeCell ref="H9343:H9347"/>
    <mergeCell ref="I9343:I9347"/>
    <mergeCell ref="J9343:J9347"/>
    <mergeCell ref="K9343:K9347"/>
    <mergeCell ref="L9343:L9347"/>
    <mergeCell ref="M9343:M9347"/>
    <mergeCell ref="N9343:N9347"/>
    <mergeCell ref="A9350:A9351"/>
    <mergeCell ref="B9350:B9351"/>
    <mergeCell ref="C9350:C9351"/>
    <mergeCell ref="D9350:D9351"/>
    <mergeCell ref="E9350:E9351"/>
    <mergeCell ref="F9350:F9351"/>
    <mergeCell ref="G9350:G9351"/>
    <mergeCell ref="H9350:H9351"/>
    <mergeCell ref="I9350:I9351"/>
    <mergeCell ref="J9350:J9351"/>
    <mergeCell ref="K9350:K9351"/>
    <mergeCell ref="L9350:L9351"/>
    <mergeCell ref="M9350:M9351"/>
    <mergeCell ref="N9350:N9351"/>
    <mergeCell ref="A9352:A9354"/>
    <mergeCell ref="B9352:B9354"/>
    <mergeCell ref="C9352:C9354"/>
    <mergeCell ref="D9352:D9354"/>
    <mergeCell ref="E9352:E9354"/>
    <mergeCell ref="F9352:F9354"/>
    <mergeCell ref="G9352:G9354"/>
    <mergeCell ref="H9352:H9354"/>
    <mergeCell ref="I9352:I9354"/>
    <mergeCell ref="J9352:J9354"/>
    <mergeCell ref="K9352:K9354"/>
    <mergeCell ref="L9352:L9354"/>
    <mergeCell ref="M9352:M9354"/>
    <mergeCell ref="N9352:N9354"/>
    <mergeCell ref="A9355:A9357"/>
    <mergeCell ref="B9355:B9357"/>
    <mergeCell ref="C9355:C9357"/>
    <mergeCell ref="D9355:D9357"/>
    <mergeCell ref="E9355:E9357"/>
    <mergeCell ref="F9355:F9357"/>
    <mergeCell ref="G9355:G9357"/>
    <mergeCell ref="H9355:H9357"/>
    <mergeCell ref="I9355:I9357"/>
    <mergeCell ref="J9355:J9357"/>
    <mergeCell ref="K9355:K9357"/>
    <mergeCell ref="L9355:L9357"/>
    <mergeCell ref="M9355:M9357"/>
    <mergeCell ref="N9355:N9357"/>
    <mergeCell ref="A9360:A9361"/>
    <mergeCell ref="B9360:B9361"/>
    <mergeCell ref="C9360:C9361"/>
    <mergeCell ref="D9360:D9361"/>
    <mergeCell ref="E9360:E9361"/>
    <mergeCell ref="F9360:F9361"/>
    <mergeCell ref="G9360:G9361"/>
    <mergeCell ref="H9360:H9361"/>
    <mergeCell ref="I9360:I9361"/>
    <mergeCell ref="J9360:J9361"/>
    <mergeCell ref="K9360:K9361"/>
    <mergeCell ref="L9360:L9361"/>
    <mergeCell ref="M9360:M9361"/>
    <mergeCell ref="N9360:N9361"/>
    <mergeCell ref="A9362:A9364"/>
    <mergeCell ref="B9362:B9364"/>
    <mergeCell ref="C9362:C9364"/>
    <mergeCell ref="D9362:D9364"/>
    <mergeCell ref="E9362:E9364"/>
    <mergeCell ref="F9362:F9364"/>
    <mergeCell ref="G9362:G9364"/>
    <mergeCell ref="H9362:H9364"/>
    <mergeCell ref="I9362:I9364"/>
    <mergeCell ref="J9362:J9364"/>
    <mergeCell ref="K9362:K9364"/>
    <mergeCell ref="L9362:L9364"/>
    <mergeCell ref="M9362:M9364"/>
    <mergeCell ref="N9362:N9364"/>
    <mergeCell ref="A9366:A9367"/>
    <mergeCell ref="B9366:B9367"/>
    <mergeCell ref="C9366:C9367"/>
    <mergeCell ref="D9366:D9367"/>
    <mergeCell ref="E9366:E9367"/>
    <mergeCell ref="F9366:F9367"/>
    <mergeCell ref="G9366:G9367"/>
    <mergeCell ref="H9366:H9367"/>
    <mergeCell ref="I9366:I9367"/>
    <mergeCell ref="J9366:J9367"/>
    <mergeCell ref="K9366:K9367"/>
    <mergeCell ref="L9366:L9367"/>
    <mergeCell ref="M9366:M9367"/>
    <mergeCell ref="N9366:N9367"/>
    <mergeCell ref="A9368:A9370"/>
    <mergeCell ref="B9368:B9370"/>
    <mergeCell ref="C9368:C9370"/>
    <mergeCell ref="D9368:D9370"/>
    <mergeCell ref="E9368:E9370"/>
    <mergeCell ref="F9368:F9370"/>
    <mergeCell ref="G9368:G9370"/>
    <mergeCell ref="H9368:H9370"/>
    <mergeCell ref="I9368:I9370"/>
    <mergeCell ref="J9368:J9370"/>
    <mergeCell ref="K9368:K9370"/>
    <mergeCell ref="L9368:L9370"/>
    <mergeCell ref="M9368:M9370"/>
    <mergeCell ref="N9368:N9370"/>
    <mergeCell ref="A9378:A9380"/>
    <mergeCell ref="B9378:B9380"/>
    <mergeCell ref="C9378:C9380"/>
    <mergeCell ref="D9378:D9380"/>
    <mergeCell ref="E9378:E9380"/>
    <mergeCell ref="F9378:F9380"/>
    <mergeCell ref="G9378:G9380"/>
    <mergeCell ref="H9378:H9380"/>
    <mergeCell ref="I9378:I9380"/>
    <mergeCell ref="J9378:J9380"/>
    <mergeCell ref="K9378:K9380"/>
    <mergeCell ref="L9378:L9380"/>
    <mergeCell ref="M9378:M9380"/>
    <mergeCell ref="N9378:N9380"/>
    <mergeCell ref="A9381:A9382"/>
    <mergeCell ref="B9381:B9382"/>
    <mergeCell ref="C9381:C9382"/>
    <mergeCell ref="D9381:D9382"/>
    <mergeCell ref="E9381:E9382"/>
    <mergeCell ref="F9381:F9382"/>
    <mergeCell ref="G9381:G9382"/>
    <mergeCell ref="H9381:H9382"/>
    <mergeCell ref="I9381:I9382"/>
    <mergeCell ref="J9381:J9382"/>
    <mergeCell ref="K9381:K9382"/>
    <mergeCell ref="L9381:L9382"/>
    <mergeCell ref="M9381:M9382"/>
    <mergeCell ref="N9381:N9382"/>
    <mergeCell ref="A9383:A9384"/>
    <mergeCell ref="B9383:B9384"/>
    <mergeCell ref="C9383:C9384"/>
    <mergeCell ref="D9383:D9384"/>
    <mergeCell ref="E9383:E9384"/>
    <mergeCell ref="F9383:F9384"/>
    <mergeCell ref="G9383:G9384"/>
    <mergeCell ref="H9383:H9384"/>
    <mergeCell ref="I9383:I9384"/>
    <mergeCell ref="J9383:J9384"/>
    <mergeCell ref="K9383:K9384"/>
    <mergeCell ref="L9383:L9384"/>
    <mergeCell ref="M9383:M9384"/>
    <mergeCell ref="N9383:N9384"/>
    <mergeCell ref="A9385:A9386"/>
    <mergeCell ref="B9385:B9386"/>
    <mergeCell ref="C9385:C9386"/>
    <mergeCell ref="D9385:D9386"/>
    <mergeCell ref="E9385:E9386"/>
    <mergeCell ref="F9385:F9386"/>
    <mergeCell ref="G9385:G9386"/>
    <mergeCell ref="H9385:H9386"/>
    <mergeCell ref="I9385:I9386"/>
    <mergeCell ref="J9385:J9386"/>
    <mergeCell ref="K9385:K9386"/>
    <mergeCell ref="L9385:L9386"/>
    <mergeCell ref="M9385:M9386"/>
    <mergeCell ref="N9385:N9386"/>
    <mergeCell ref="A9388:A9389"/>
    <mergeCell ref="B9388:B9389"/>
    <mergeCell ref="C9388:C9389"/>
    <mergeCell ref="D9388:D9389"/>
    <mergeCell ref="E9388:E9389"/>
    <mergeCell ref="F9388:F9389"/>
    <mergeCell ref="G9388:G9389"/>
    <mergeCell ref="H9388:H9389"/>
    <mergeCell ref="I9388:I9389"/>
    <mergeCell ref="J9388:J9389"/>
    <mergeCell ref="K9388:K9389"/>
    <mergeCell ref="L9388:L9389"/>
    <mergeCell ref="M9388:M9389"/>
    <mergeCell ref="N9388:N9389"/>
    <mergeCell ref="A9391:A9393"/>
    <mergeCell ref="B9391:B9393"/>
    <mergeCell ref="C9391:C9393"/>
    <mergeCell ref="D9391:D9393"/>
    <mergeCell ref="E9391:E9393"/>
    <mergeCell ref="F9391:F9393"/>
    <mergeCell ref="G9391:G9393"/>
    <mergeCell ref="H9391:H9393"/>
    <mergeCell ref="I9391:I9393"/>
    <mergeCell ref="J9391:J9393"/>
    <mergeCell ref="K9391:K9393"/>
    <mergeCell ref="L9391:L9393"/>
    <mergeCell ref="M9391:M9393"/>
    <mergeCell ref="N9391:N9393"/>
    <mergeCell ref="A9394:A9395"/>
    <mergeCell ref="B9394:B9395"/>
    <mergeCell ref="C9394:C9395"/>
    <mergeCell ref="D9394:D9395"/>
    <mergeCell ref="E9394:E9395"/>
    <mergeCell ref="F9394:F9395"/>
    <mergeCell ref="G9394:G9395"/>
    <mergeCell ref="H9394:H9395"/>
    <mergeCell ref="I9394:I9395"/>
    <mergeCell ref="J9394:J9395"/>
    <mergeCell ref="K9394:K9395"/>
    <mergeCell ref="L9394:L9395"/>
    <mergeCell ref="M9394:M9395"/>
    <mergeCell ref="N9394:N9395"/>
    <mergeCell ref="A9396:A9398"/>
    <mergeCell ref="B9396:B9398"/>
    <mergeCell ref="C9396:C9398"/>
    <mergeCell ref="D9396:D9398"/>
    <mergeCell ref="E9396:E9398"/>
    <mergeCell ref="F9396:F9398"/>
    <mergeCell ref="G9396:G9398"/>
    <mergeCell ref="H9396:H9398"/>
    <mergeCell ref="I9396:I9398"/>
    <mergeCell ref="J9396:J9398"/>
    <mergeCell ref="K9396:K9398"/>
    <mergeCell ref="L9396:L9398"/>
    <mergeCell ref="M9396:M9398"/>
    <mergeCell ref="N9396:N9398"/>
    <mergeCell ref="A9403:A9405"/>
    <mergeCell ref="B9403:B9405"/>
    <mergeCell ref="C9403:C9405"/>
    <mergeCell ref="D9403:D9405"/>
    <mergeCell ref="E9403:E9405"/>
    <mergeCell ref="F9403:F9405"/>
    <mergeCell ref="G9403:G9405"/>
    <mergeCell ref="H9403:H9405"/>
    <mergeCell ref="I9403:I9405"/>
    <mergeCell ref="J9403:J9405"/>
    <mergeCell ref="K9403:K9405"/>
    <mergeCell ref="L9403:L9405"/>
    <mergeCell ref="M9403:M9405"/>
    <mergeCell ref="N9403:N9405"/>
    <mergeCell ref="A9407:A9409"/>
    <mergeCell ref="B9407:B9409"/>
    <mergeCell ref="C9407:C9409"/>
    <mergeCell ref="D9407:D9409"/>
    <mergeCell ref="E9407:E9409"/>
    <mergeCell ref="F9407:F9409"/>
    <mergeCell ref="G9407:G9409"/>
    <mergeCell ref="H9407:H9409"/>
    <mergeCell ref="I9407:I9409"/>
    <mergeCell ref="J9407:J9409"/>
    <mergeCell ref="K9407:K9409"/>
    <mergeCell ref="L9407:L9409"/>
    <mergeCell ref="M9407:M9409"/>
    <mergeCell ref="N9407:N9409"/>
    <mergeCell ref="A9410:A9412"/>
    <mergeCell ref="B9410:B9412"/>
    <mergeCell ref="C9410:C9412"/>
    <mergeCell ref="D9410:D9412"/>
    <mergeCell ref="E9410:E9412"/>
    <mergeCell ref="F9410:F9412"/>
    <mergeCell ref="G9410:G9412"/>
    <mergeCell ref="H9410:H9412"/>
    <mergeCell ref="I9410:I9412"/>
    <mergeCell ref="J9410:J9412"/>
    <mergeCell ref="K9410:K9412"/>
    <mergeCell ref="L9410:L9412"/>
    <mergeCell ref="M9410:M9412"/>
    <mergeCell ref="N9410:N9412"/>
    <mergeCell ref="A9414:A9415"/>
    <mergeCell ref="B9414:B9415"/>
    <mergeCell ref="C9414:C9415"/>
    <mergeCell ref="D9414:D9415"/>
    <mergeCell ref="E9414:E9415"/>
    <mergeCell ref="F9414:F9415"/>
    <mergeCell ref="G9414:G9415"/>
    <mergeCell ref="H9414:H9415"/>
    <mergeCell ref="I9414:I9415"/>
    <mergeCell ref="J9414:J9415"/>
    <mergeCell ref="K9414:K9415"/>
    <mergeCell ref="L9414:L9415"/>
    <mergeCell ref="M9414:M9415"/>
    <mergeCell ref="N9414:N9415"/>
    <mergeCell ref="A9417:A9419"/>
    <mergeCell ref="B9417:B9419"/>
    <mergeCell ref="C9417:C9419"/>
    <mergeCell ref="D9417:D9419"/>
    <mergeCell ref="E9417:E9419"/>
    <mergeCell ref="F9417:F9419"/>
    <mergeCell ref="G9417:G9419"/>
    <mergeCell ref="H9417:H9419"/>
    <mergeCell ref="I9417:I9419"/>
    <mergeCell ref="J9417:J9419"/>
    <mergeCell ref="K9417:K9419"/>
    <mergeCell ref="L9417:L9419"/>
    <mergeCell ref="M9417:M9419"/>
    <mergeCell ref="N9417:N9419"/>
    <mergeCell ref="A9421:A9427"/>
    <mergeCell ref="B9421:B9427"/>
    <mergeCell ref="C9421:C9427"/>
    <mergeCell ref="D9421:D9427"/>
    <mergeCell ref="E9421:E9427"/>
    <mergeCell ref="F9421:F9427"/>
    <mergeCell ref="G9421:G9427"/>
    <mergeCell ref="H9421:H9427"/>
    <mergeCell ref="I9421:I9427"/>
    <mergeCell ref="J9421:J9427"/>
    <mergeCell ref="K9421:K9427"/>
    <mergeCell ref="L9421:L9427"/>
    <mergeCell ref="M9421:M9427"/>
    <mergeCell ref="N9421:N9427"/>
    <mergeCell ref="A9428:A9429"/>
    <mergeCell ref="B9428:B9429"/>
    <mergeCell ref="C9428:C9429"/>
    <mergeCell ref="D9428:D9429"/>
    <mergeCell ref="E9428:E9429"/>
    <mergeCell ref="F9428:F9429"/>
    <mergeCell ref="G9428:G9429"/>
    <mergeCell ref="H9428:H9429"/>
    <mergeCell ref="I9428:I9429"/>
    <mergeCell ref="J9428:J9429"/>
    <mergeCell ref="K9428:K9429"/>
    <mergeCell ref="L9428:L9429"/>
    <mergeCell ref="M9428:M9429"/>
    <mergeCell ref="N9428:N9429"/>
    <mergeCell ref="A9430:A9432"/>
    <mergeCell ref="B9430:B9432"/>
    <mergeCell ref="C9430:C9432"/>
    <mergeCell ref="D9430:D9432"/>
    <mergeCell ref="E9430:E9432"/>
    <mergeCell ref="F9430:F9432"/>
    <mergeCell ref="G9430:G9432"/>
    <mergeCell ref="H9430:H9432"/>
    <mergeCell ref="I9430:I9432"/>
    <mergeCell ref="J9430:J9432"/>
    <mergeCell ref="K9430:K9432"/>
    <mergeCell ref="L9430:L9432"/>
    <mergeCell ref="M9430:M9432"/>
    <mergeCell ref="N9430:N9432"/>
    <mergeCell ref="A9435:A9437"/>
    <mergeCell ref="B9435:B9437"/>
    <mergeCell ref="C9435:C9437"/>
    <mergeCell ref="D9435:D9437"/>
    <mergeCell ref="E9435:E9437"/>
    <mergeCell ref="F9435:F9437"/>
    <mergeCell ref="G9435:G9437"/>
    <mergeCell ref="H9435:H9437"/>
    <mergeCell ref="I9435:I9437"/>
    <mergeCell ref="J9435:J9437"/>
    <mergeCell ref="K9435:K9437"/>
    <mergeCell ref="L9435:L9437"/>
    <mergeCell ref="M9435:M9437"/>
    <mergeCell ref="N9435:N9437"/>
    <mergeCell ref="A9442:A9443"/>
    <mergeCell ref="B9442:B9443"/>
    <mergeCell ref="C9442:C9443"/>
    <mergeCell ref="D9442:D9443"/>
    <mergeCell ref="E9442:E9443"/>
    <mergeCell ref="F9442:F9443"/>
    <mergeCell ref="G9442:G9443"/>
    <mergeCell ref="H9442:H9443"/>
    <mergeCell ref="I9442:I9443"/>
    <mergeCell ref="J9442:J9443"/>
    <mergeCell ref="K9442:K9443"/>
    <mergeCell ref="L9442:L9443"/>
    <mergeCell ref="M9442:M9443"/>
    <mergeCell ref="N9442:N9443"/>
    <mergeCell ref="A9446:A9451"/>
    <mergeCell ref="B9446:B9451"/>
    <mergeCell ref="C9446:C9451"/>
    <mergeCell ref="D9446:D9451"/>
    <mergeCell ref="E9446:E9451"/>
    <mergeCell ref="F9446:F9451"/>
    <mergeCell ref="G9446:G9451"/>
    <mergeCell ref="H9446:H9451"/>
    <mergeCell ref="I9446:I9451"/>
    <mergeCell ref="J9446:J9451"/>
    <mergeCell ref="K9446:K9451"/>
    <mergeCell ref="L9446:L9451"/>
    <mergeCell ref="M9446:M9451"/>
    <mergeCell ref="N9446:N9451"/>
    <mergeCell ref="A9454:A9457"/>
    <mergeCell ref="B9454:B9457"/>
    <mergeCell ref="C9454:C9457"/>
    <mergeCell ref="D9454:D9457"/>
    <mergeCell ref="E9454:E9457"/>
    <mergeCell ref="F9454:F9457"/>
    <mergeCell ref="G9454:G9457"/>
    <mergeCell ref="H9454:H9457"/>
    <mergeCell ref="I9454:I9457"/>
    <mergeCell ref="J9454:J9457"/>
    <mergeCell ref="K9454:K9457"/>
    <mergeCell ref="L9454:L9457"/>
    <mergeCell ref="M9454:M9457"/>
    <mergeCell ref="N9454:N9457"/>
    <mergeCell ref="A9459:A9461"/>
    <mergeCell ref="B9459:B9461"/>
    <mergeCell ref="C9459:C9461"/>
    <mergeCell ref="D9459:D9461"/>
    <mergeCell ref="E9459:E9461"/>
    <mergeCell ref="F9459:F9461"/>
    <mergeCell ref="G9459:G9461"/>
    <mergeCell ref="H9459:H9461"/>
    <mergeCell ref="I9459:I9461"/>
    <mergeCell ref="J9459:J9461"/>
    <mergeCell ref="K9459:K9461"/>
    <mergeCell ref="L9459:L9461"/>
    <mergeCell ref="M9459:M9461"/>
    <mergeCell ref="N9459:N9461"/>
    <mergeCell ref="A9462:A9463"/>
    <mergeCell ref="B9462:B9463"/>
    <mergeCell ref="C9462:C9463"/>
    <mergeCell ref="D9462:D9463"/>
    <mergeCell ref="E9462:E9463"/>
    <mergeCell ref="F9462:F9463"/>
    <mergeCell ref="G9462:G9463"/>
    <mergeCell ref="H9462:H9463"/>
    <mergeCell ref="I9462:I9463"/>
    <mergeCell ref="J9462:J9463"/>
    <mergeCell ref="K9462:K9463"/>
    <mergeCell ref="L9462:L9463"/>
    <mergeCell ref="M9462:M9463"/>
    <mergeCell ref="N9462:N9463"/>
    <mergeCell ref="A9468:A9470"/>
    <mergeCell ref="B9468:B9470"/>
    <mergeCell ref="C9468:C9470"/>
    <mergeCell ref="D9468:D9470"/>
    <mergeCell ref="E9468:E9470"/>
    <mergeCell ref="F9468:F9470"/>
    <mergeCell ref="G9468:G9470"/>
    <mergeCell ref="H9468:H9470"/>
    <mergeCell ref="I9468:I9470"/>
    <mergeCell ref="J9468:J9470"/>
    <mergeCell ref="K9468:K9470"/>
    <mergeCell ref="L9468:L9470"/>
    <mergeCell ref="M9468:M9470"/>
    <mergeCell ref="N9468:N9470"/>
    <mergeCell ref="A9478:A9479"/>
    <mergeCell ref="B9478:B9479"/>
    <mergeCell ref="C9478:C9479"/>
    <mergeCell ref="D9478:D9479"/>
    <mergeCell ref="E9478:E9479"/>
    <mergeCell ref="F9478:F9479"/>
    <mergeCell ref="G9478:G9479"/>
    <mergeCell ref="H9478:H9479"/>
    <mergeCell ref="I9478:I9479"/>
    <mergeCell ref="J9478:J9479"/>
    <mergeCell ref="K9478:K9479"/>
    <mergeCell ref="L9478:L9479"/>
    <mergeCell ref="M9478:M9479"/>
    <mergeCell ref="N9478:N9479"/>
    <mergeCell ref="A9480:A9482"/>
    <mergeCell ref="B9480:B9482"/>
    <mergeCell ref="C9480:C9482"/>
    <mergeCell ref="D9480:D9482"/>
    <mergeCell ref="E9480:E9482"/>
    <mergeCell ref="F9480:F9482"/>
    <mergeCell ref="G9480:G9482"/>
    <mergeCell ref="H9480:H9482"/>
    <mergeCell ref="I9480:I9482"/>
    <mergeCell ref="J9480:J9482"/>
    <mergeCell ref="K9480:K9482"/>
    <mergeCell ref="L9480:L9482"/>
    <mergeCell ref="M9480:M9482"/>
    <mergeCell ref="N9480:N9482"/>
    <mergeCell ref="A9484:A9485"/>
    <mergeCell ref="B9484:B9485"/>
    <mergeCell ref="C9484:C9485"/>
    <mergeCell ref="D9484:D9485"/>
    <mergeCell ref="E9484:E9485"/>
    <mergeCell ref="F9484:F9485"/>
    <mergeCell ref="G9484:G9485"/>
    <mergeCell ref="H9484:H9485"/>
    <mergeCell ref="I9484:I9485"/>
    <mergeCell ref="J9484:J9485"/>
    <mergeCell ref="K9484:K9485"/>
    <mergeCell ref="L9484:L9485"/>
    <mergeCell ref="M9484:M9485"/>
    <mergeCell ref="N9484:N9485"/>
    <mergeCell ref="A9488:A9489"/>
    <mergeCell ref="B9488:B9489"/>
    <mergeCell ref="C9488:C9489"/>
    <mergeCell ref="D9488:D9489"/>
    <mergeCell ref="E9488:E9489"/>
    <mergeCell ref="F9488:F9489"/>
    <mergeCell ref="G9488:G9489"/>
    <mergeCell ref="H9488:H9489"/>
    <mergeCell ref="I9488:I9489"/>
    <mergeCell ref="J9488:J9489"/>
    <mergeCell ref="K9488:K9489"/>
    <mergeCell ref="L9488:L9489"/>
    <mergeCell ref="M9488:M9489"/>
    <mergeCell ref="N9488:N9489"/>
    <mergeCell ref="A9491:A9493"/>
    <mergeCell ref="B9491:B9493"/>
    <mergeCell ref="C9491:C9493"/>
    <mergeCell ref="D9491:D9493"/>
    <mergeCell ref="E9491:E9493"/>
    <mergeCell ref="F9491:F9493"/>
    <mergeCell ref="G9491:G9493"/>
    <mergeCell ref="H9491:H9493"/>
    <mergeCell ref="I9491:I9493"/>
    <mergeCell ref="J9491:J9493"/>
    <mergeCell ref="K9491:K9493"/>
    <mergeCell ref="L9491:L9493"/>
    <mergeCell ref="M9491:M9493"/>
    <mergeCell ref="N9491:N9493"/>
    <mergeCell ref="A9497:A9501"/>
    <mergeCell ref="B9497:B9501"/>
    <mergeCell ref="C9497:C9501"/>
    <mergeCell ref="D9497:D9501"/>
    <mergeCell ref="E9497:E9501"/>
    <mergeCell ref="F9497:F9501"/>
    <mergeCell ref="G9497:G9501"/>
    <mergeCell ref="H9497:H9501"/>
    <mergeCell ref="I9497:I9501"/>
    <mergeCell ref="J9497:J9501"/>
    <mergeCell ref="K9497:K9501"/>
    <mergeCell ref="L9497:L9501"/>
    <mergeCell ref="M9497:M9501"/>
    <mergeCell ref="N9497:N9501"/>
    <mergeCell ref="A9507:A9510"/>
    <mergeCell ref="B9507:B9510"/>
    <mergeCell ref="C9507:C9510"/>
    <mergeCell ref="D9507:D9510"/>
    <mergeCell ref="E9507:E9510"/>
    <mergeCell ref="F9507:F9510"/>
    <mergeCell ref="G9507:G9510"/>
    <mergeCell ref="H9507:H9510"/>
    <mergeCell ref="I9507:I9510"/>
    <mergeCell ref="J9507:J9510"/>
    <mergeCell ref="K9507:K9510"/>
    <mergeCell ref="L9507:L9510"/>
    <mergeCell ref="M9507:M9510"/>
    <mergeCell ref="N9507:N9510"/>
    <mergeCell ref="A9513:A9515"/>
    <mergeCell ref="B9513:B9515"/>
    <mergeCell ref="C9513:C9515"/>
    <mergeCell ref="D9513:D9515"/>
    <mergeCell ref="E9513:E9515"/>
    <mergeCell ref="F9513:F9515"/>
    <mergeCell ref="G9513:G9515"/>
    <mergeCell ref="H9513:H9515"/>
    <mergeCell ref="I9513:I9515"/>
    <mergeCell ref="J9513:J9515"/>
    <mergeCell ref="K9513:K9515"/>
    <mergeCell ref="L9513:L9515"/>
    <mergeCell ref="M9513:M9515"/>
    <mergeCell ref="N9513:N9515"/>
    <mergeCell ref="A9517:A9518"/>
    <mergeCell ref="B9517:B9518"/>
    <mergeCell ref="C9517:C9518"/>
    <mergeCell ref="D9517:D9518"/>
    <mergeCell ref="E9517:E9518"/>
    <mergeCell ref="F9517:F9518"/>
    <mergeCell ref="G9517:G9518"/>
    <mergeCell ref="H9517:H9518"/>
    <mergeCell ref="I9517:I9518"/>
    <mergeCell ref="J9517:J9518"/>
    <mergeCell ref="K9517:K9518"/>
    <mergeCell ref="L9517:L9518"/>
    <mergeCell ref="M9517:M9518"/>
    <mergeCell ref="N9517:N9518"/>
    <mergeCell ref="A9521:A9522"/>
    <mergeCell ref="B9521:B9522"/>
    <mergeCell ref="C9521:C9522"/>
    <mergeCell ref="D9521:D9522"/>
    <mergeCell ref="E9521:E9522"/>
    <mergeCell ref="F9521:F9522"/>
    <mergeCell ref="G9521:G9522"/>
    <mergeCell ref="H9521:H9522"/>
    <mergeCell ref="I9521:I9522"/>
    <mergeCell ref="J9521:J9522"/>
    <mergeCell ref="K9521:K9522"/>
    <mergeCell ref="L9521:L9522"/>
    <mergeCell ref="M9521:M9522"/>
    <mergeCell ref="N9521:N9522"/>
    <mergeCell ref="A9525:A9527"/>
    <mergeCell ref="B9525:B9527"/>
    <mergeCell ref="C9525:C9527"/>
    <mergeCell ref="D9525:D9527"/>
    <mergeCell ref="E9525:E9527"/>
    <mergeCell ref="F9525:F9527"/>
    <mergeCell ref="G9525:G9527"/>
    <mergeCell ref="H9525:H9527"/>
    <mergeCell ref="I9525:I9527"/>
    <mergeCell ref="J9525:J9527"/>
    <mergeCell ref="K9525:K9527"/>
    <mergeCell ref="L9525:L9527"/>
    <mergeCell ref="M9525:M9527"/>
    <mergeCell ref="N9525:N9527"/>
    <mergeCell ref="A9528:A9530"/>
    <mergeCell ref="B9528:B9530"/>
    <mergeCell ref="C9528:C9530"/>
    <mergeCell ref="D9528:D9530"/>
    <mergeCell ref="E9528:E9530"/>
    <mergeCell ref="F9528:F9530"/>
    <mergeCell ref="G9528:G9530"/>
    <mergeCell ref="H9528:H9530"/>
    <mergeCell ref="I9528:I9530"/>
    <mergeCell ref="J9528:J9530"/>
    <mergeCell ref="K9528:K9530"/>
    <mergeCell ref="L9528:L9530"/>
    <mergeCell ref="M9528:M9530"/>
    <mergeCell ref="N9528:N9530"/>
    <mergeCell ref="A9531:A9533"/>
    <mergeCell ref="B9531:B9533"/>
    <mergeCell ref="C9531:C9533"/>
    <mergeCell ref="D9531:D9533"/>
    <mergeCell ref="E9531:E9533"/>
    <mergeCell ref="F9531:F9533"/>
    <mergeCell ref="G9531:G9533"/>
    <mergeCell ref="H9531:H9533"/>
    <mergeCell ref="I9531:I9533"/>
    <mergeCell ref="J9531:J9533"/>
    <mergeCell ref="K9531:K9533"/>
    <mergeCell ref="L9531:L9533"/>
    <mergeCell ref="M9531:M9533"/>
    <mergeCell ref="N9531:N9533"/>
    <mergeCell ref="A9535:A9536"/>
    <mergeCell ref="B9535:B9536"/>
    <mergeCell ref="C9535:C9536"/>
    <mergeCell ref="D9535:D9536"/>
    <mergeCell ref="E9535:E9536"/>
    <mergeCell ref="F9535:F9536"/>
    <mergeCell ref="G9535:G9536"/>
    <mergeCell ref="H9535:H9536"/>
    <mergeCell ref="I9535:I9536"/>
    <mergeCell ref="J9535:J9536"/>
    <mergeCell ref="K9535:K9536"/>
    <mergeCell ref="L9535:L9536"/>
    <mergeCell ref="M9535:M9536"/>
    <mergeCell ref="N9535:N9536"/>
    <mergeCell ref="A9537:A9538"/>
    <mergeCell ref="B9537:B9538"/>
    <mergeCell ref="C9537:C9538"/>
    <mergeCell ref="D9537:D9538"/>
    <mergeCell ref="E9537:E9538"/>
    <mergeCell ref="F9537:F9538"/>
    <mergeCell ref="G9537:G9538"/>
    <mergeCell ref="H9537:H9538"/>
    <mergeCell ref="I9537:I9538"/>
    <mergeCell ref="J9537:J9538"/>
    <mergeCell ref="K9537:K9538"/>
    <mergeCell ref="L9537:L9538"/>
    <mergeCell ref="M9537:M9538"/>
    <mergeCell ref="N9537:N9538"/>
    <mergeCell ref="A9539:A9542"/>
    <mergeCell ref="B9539:B9542"/>
    <mergeCell ref="C9539:C9542"/>
    <mergeCell ref="D9539:D9542"/>
    <mergeCell ref="E9539:E9542"/>
    <mergeCell ref="F9539:F9542"/>
    <mergeCell ref="G9539:G9542"/>
    <mergeCell ref="H9539:H9542"/>
    <mergeCell ref="I9539:I9542"/>
    <mergeCell ref="J9539:J9542"/>
    <mergeCell ref="K9539:K9542"/>
    <mergeCell ref="L9539:L9542"/>
    <mergeCell ref="M9539:M9542"/>
    <mergeCell ref="N9539:N9542"/>
    <mergeCell ref="A9544:A9546"/>
    <mergeCell ref="B9544:B9546"/>
    <mergeCell ref="C9544:C9546"/>
    <mergeCell ref="D9544:D9546"/>
    <mergeCell ref="E9544:E9546"/>
    <mergeCell ref="F9544:F9546"/>
    <mergeCell ref="G9544:G9546"/>
    <mergeCell ref="H9544:H9546"/>
    <mergeCell ref="I9544:I9546"/>
    <mergeCell ref="J9544:J9546"/>
    <mergeCell ref="K9544:K9546"/>
    <mergeCell ref="L9544:L9546"/>
    <mergeCell ref="M9544:M9546"/>
    <mergeCell ref="N9544:N9546"/>
    <mergeCell ref="A9548:A9567"/>
    <mergeCell ref="B9548:B9567"/>
    <mergeCell ref="C9548:C9567"/>
    <mergeCell ref="D9548:D9567"/>
    <mergeCell ref="E9548:E9567"/>
    <mergeCell ref="F9548:F9567"/>
    <mergeCell ref="G9548:G9567"/>
    <mergeCell ref="H9548:H9567"/>
    <mergeCell ref="I9548:I9567"/>
    <mergeCell ref="J9548:J9567"/>
    <mergeCell ref="K9548:K9567"/>
    <mergeCell ref="L9548:L9567"/>
    <mergeCell ref="M9548:M9567"/>
    <mergeCell ref="N9548:N9567"/>
    <mergeCell ref="A9570:A9571"/>
    <mergeCell ref="B9570:B9571"/>
    <mergeCell ref="C9570:C9571"/>
    <mergeCell ref="D9570:D9571"/>
    <mergeCell ref="E9570:E9571"/>
    <mergeCell ref="F9570:F9571"/>
    <mergeCell ref="G9570:G9571"/>
    <mergeCell ref="H9570:H9571"/>
    <mergeCell ref="I9570:I9571"/>
    <mergeCell ref="J9570:J9571"/>
    <mergeCell ref="K9570:K9571"/>
    <mergeCell ref="L9570:L9571"/>
    <mergeCell ref="M9570:M9571"/>
    <mergeCell ref="N9570:N9571"/>
    <mergeCell ref="A9572:A9574"/>
    <mergeCell ref="B9572:B9574"/>
    <mergeCell ref="C9572:C9574"/>
    <mergeCell ref="D9572:D9574"/>
    <mergeCell ref="E9572:E9574"/>
    <mergeCell ref="F9572:F9574"/>
    <mergeCell ref="G9572:G9574"/>
    <mergeCell ref="H9572:H9574"/>
    <mergeCell ref="I9572:I9574"/>
    <mergeCell ref="J9572:J9574"/>
    <mergeCell ref="K9572:K9574"/>
    <mergeCell ref="L9572:L9574"/>
    <mergeCell ref="M9572:M9574"/>
    <mergeCell ref="N9572:N9574"/>
    <mergeCell ref="A9575:A9577"/>
    <mergeCell ref="B9575:B9577"/>
    <mergeCell ref="C9575:C9577"/>
    <mergeCell ref="D9575:D9577"/>
    <mergeCell ref="E9575:E9577"/>
    <mergeCell ref="F9575:F9577"/>
    <mergeCell ref="G9575:G9577"/>
    <mergeCell ref="H9575:H9577"/>
    <mergeCell ref="I9575:I9577"/>
    <mergeCell ref="J9575:J9577"/>
    <mergeCell ref="K9575:K9577"/>
    <mergeCell ref="L9575:L9577"/>
    <mergeCell ref="M9575:M9577"/>
    <mergeCell ref="N9575:N9577"/>
    <mergeCell ref="A9583:A9585"/>
    <mergeCell ref="B9583:B9585"/>
    <mergeCell ref="C9583:C9585"/>
    <mergeCell ref="D9583:D9585"/>
    <mergeCell ref="E9583:E9585"/>
    <mergeCell ref="F9583:F9585"/>
    <mergeCell ref="G9583:G9585"/>
    <mergeCell ref="H9583:H9585"/>
    <mergeCell ref="I9583:I9585"/>
    <mergeCell ref="J9583:J9585"/>
    <mergeCell ref="K9583:K9585"/>
    <mergeCell ref="L9583:L9585"/>
    <mergeCell ref="M9583:M9585"/>
    <mergeCell ref="N9583:N9585"/>
    <mergeCell ref="A9592:A9594"/>
    <mergeCell ref="B9592:B9594"/>
    <mergeCell ref="C9592:C9594"/>
    <mergeCell ref="D9592:D9594"/>
    <mergeCell ref="E9592:E9594"/>
    <mergeCell ref="F9592:F9594"/>
    <mergeCell ref="G9592:G9594"/>
    <mergeCell ref="H9592:H9594"/>
    <mergeCell ref="I9592:I9594"/>
    <mergeCell ref="J9592:J9594"/>
    <mergeCell ref="K9592:K9594"/>
    <mergeCell ref="L9592:L9594"/>
    <mergeCell ref="M9592:M9594"/>
    <mergeCell ref="N9592:N9594"/>
    <mergeCell ref="A9595:A9596"/>
    <mergeCell ref="B9595:B9596"/>
    <mergeCell ref="C9595:C9596"/>
    <mergeCell ref="D9595:D9596"/>
    <mergeCell ref="E9595:E9596"/>
    <mergeCell ref="F9595:F9596"/>
    <mergeCell ref="G9595:G9596"/>
    <mergeCell ref="H9595:H9596"/>
    <mergeCell ref="I9595:I9596"/>
    <mergeCell ref="J9595:J9596"/>
    <mergeCell ref="K9595:K9596"/>
    <mergeCell ref="L9595:L9596"/>
    <mergeCell ref="M9595:M9596"/>
    <mergeCell ref="N9595:N9596"/>
    <mergeCell ref="A9597:A9599"/>
    <mergeCell ref="B9597:B9599"/>
    <mergeCell ref="C9597:C9599"/>
    <mergeCell ref="D9597:D9599"/>
    <mergeCell ref="E9597:E9599"/>
    <mergeCell ref="F9597:F9599"/>
    <mergeCell ref="G9597:G9599"/>
    <mergeCell ref="H9597:H9599"/>
    <mergeCell ref="I9597:I9599"/>
    <mergeCell ref="J9597:J9599"/>
    <mergeCell ref="K9597:K9599"/>
    <mergeCell ref="L9597:L9599"/>
    <mergeCell ref="M9597:M9599"/>
    <mergeCell ref="N9597:N9599"/>
    <mergeCell ref="A9600:A9601"/>
    <mergeCell ref="B9600:B9601"/>
    <mergeCell ref="C9600:C9601"/>
    <mergeCell ref="D9600:D9601"/>
    <mergeCell ref="E9600:E9601"/>
    <mergeCell ref="F9600:F9601"/>
    <mergeCell ref="G9600:G9601"/>
    <mergeCell ref="H9600:H9601"/>
    <mergeCell ref="I9600:I9601"/>
    <mergeCell ref="J9600:J9601"/>
    <mergeCell ref="K9600:K9601"/>
    <mergeCell ref="L9600:L9601"/>
    <mergeCell ref="M9600:M9601"/>
    <mergeCell ref="N9600:N9601"/>
    <mergeCell ref="A9602:A9604"/>
    <mergeCell ref="B9602:B9604"/>
    <mergeCell ref="C9602:C9604"/>
    <mergeCell ref="D9602:D9604"/>
    <mergeCell ref="E9602:E9604"/>
    <mergeCell ref="F9602:F9604"/>
    <mergeCell ref="G9602:G9604"/>
    <mergeCell ref="H9602:H9604"/>
    <mergeCell ref="I9602:I9604"/>
    <mergeCell ref="J9602:J9604"/>
    <mergeCell ref="K9602:K9604"/>
    <mergeCell ref="L9602:L9604"/>
    <mergeCell ref="M9602:M9604"/>
    <mergeCell ref="N9602:N9604"/>
    <mergeCell ref="A9605:A9608"/>
    <mergeCell ref="B9605:B9608"/>
    <mergeCell ref="C9605:C9608"/>
    <mergeCell ref="D9605:D9608"/>
    <mergeCell ref="E9605:E9608"/>
    <mergeCell ref="F9605:F9608"/>
    <mergeCell ref="G9605:G9608"/>
    <mergeCell ref="H9605:H9608"/>
    <mergeCell ref="I9605:I9608"/>
    <mergeCell ref="J9605:J9608"/>
    <mergeCell ref="K9605:K9608"/>
    <mergeCell ref="L9605:L9608"/>
    <mergeCell ref="M9605:M9608"/>
    <mergeCell ref="N9605:N9608"/>
    <mergeCell ref="A9609:A9611"/>
    <mergeCell ref="B9609:B9611"/>
    <mergeCell ref="C9609:C9611"/>
    <mergeCell ref="D9609:D9611"/>
    <mergeCell ref="E9609:E9611"/>
    <mergeCell ref="F9609:F9611"/>
    <mergeCell ref="G9609:G9611"/>
    <mergeCell ref="H9609:H9611"/>
    <mergeCell ref="I9609:I9611"/>
    <mergeCell ref="J9609:J9611"/>
    <mergeCell ref="K9609:K9611"/>
    <mergeCell ref="L9609:L9611"/>
    <mergeCell ref="M9609:M9611"/>
    <mergeCell ref="N9609:N9611"/>
    <mergeCell ref="A9613:A9620"/>
    <mergeCell ref="B9613:B9620"/>
    <mergeCell ref="C9613:C9620"/>
    <mergeCell ref="D9613:D9620"/>
    <mergeCell ref="E9613:E9620"/>
    <mergeCell ref="F9613:F9620"/>
    <mergeCell ref="G9613:G9620"/>
    <mergeCell ref="H9613:H9620"/>
    <mergeCell ref="I9613:I9620"/>
    <mergeCell ref="J9613:J9620"/>
    <mergeCell ref="K9613:K9620"/>
    <mergeCell ref="L9613:L9620"/>
    <mergeCell ref="M9613:M9620"/>
    <mergeCell ref="N9613:N9620"/>
    <mergeCell ref="A9621:A9623"/>
    <mergeCell ref="B9621:B9623"/>
    <mergeCell ref="C9621:C9623"/>
    <mergeCell ref="D9621:D9623"/>
    <mergeCell ref="E9621:E9623"/>
    <mergeCell ref="F9621:F9623"/>
    <mergeCell ref="G9621:G9623"/>
    <mergeCell ref="H9621:H9623"/>
    <mergeCell ref="I9621:I9623"/>
    <mergeCell ref="J9621:J9623"/>
    <mergeCell ref="K9621:K9623"/>
    <mergeCell ref="L9621:L9623"/>
    <mergeCell ref="M9621:M9623"/>
    <mergeCell ref="N9621:N9623"/>
    <mergeCell ref="A9625:A9628"/>
    <mergeCell ref="B9625:B9628"/>
    <mergeCell ref="C9625:C9628"/>
    <mergeCell ref="D9625:D9628"/>
    <mergeCell ref="E9625:E9628"/>
    <mergeCell ref="F9625:F9628"/>
    <mergeCell ref="G9625:G9628"/>
    <mergeCell ref="H9625:H9628"/>
    <mergeCell ref="I9625:I9628"/>
    <mergeCell ref="J9625:J9628"/>
    <mergeCell ref="K9625:K9628"/>
    <mergeCell ref="L9625:L9628"/>
    <mergeCell ref="M9625:M9628"/>
    <mergeCell ref="N9625:N9628"/>
    <mergeCell ref="A9633:A9634"/>
    <mergeCell ref="B9633:B9634"/>
    <mergeCell ref="C9633:C9634"/>
    <mergeCell ref="D9633:D9634"/>
    <mergeCell ref="E9633:E9634"/>
    <mergeCell ref="F9633:F9634"/>
    <mergeCell ref="G9633:G9634"/>
    <mergeCell ref="H9633:H9634"/>
    <mergeCell ref="I9633:I9634"/>
    <mergeCell ref="J9633:J9634"/>
    <mergeCell ref="K9633:K9634"/>
    <mergeCell ref="L9633:L9634"/>
    <mergeCell ref="M9633:M9634"/>
    <mergeCell ref="N9633:N9634"/>
    <mergeCell ref="A9640:A9641"/>
    <mergeCell ref="B9640:B9641"/>
    <mergeCell ref="C9640:C9641"/>
    <mergeCell ref="D9640:D9641"/>
    <mergeCell ref="E9640:E9641"/>
    <mergeCell ref="F9640:F9641"/>
    <mergeCell ref="G9640:G9641"/>
    <mergeCell ref="H9640:H9641"/>
    <mergeCell ref="I9640:I9641"/>
    <mergeCell ref="J9640:J9641"/>
    <mergeCell ref="K9640:K9641"/>
    <mergeCell ref="L9640:L9641"/>
    <mergeCell ref="M9640:M9641"/>
    <mergeCell ref="N9640:N9641"/>
    <mergeCell ref="A9643:A9644"/>
    <mergeCell ref="B9643:B9644"/>
    <mergeCell ref="C9643:C9644"/>
    <mergeCell ref="D9643:D9644"/>
    <mergeCell ref="E9643:E9644"/>
    <mergeCell ref="F9643:F9644"/>
    <mergeCell ref="G9643:G9644"/>
    <mergeCell ref="H9643:H9644"/>
    <mergeCell ref="I9643:I9644"/>
    <mergeCell ref="J9643:J9644"/>
    <mergeCell ref="K9643:K9644"/>
    <mergeCell ref="L9643:L9644"/>
    <mergeCell ref="M9643:M9644"/>
    <mergeCell ref="N9643:N9644"/>
    <mergeCell ref="A9646:A9647"/>
    <mergeCell ref="B9646:B9647"/>
    <mergeCell ref="C9646:C9647"/>
    <mergeCell ref="D9646:D9647"/>
    <mergeCell ref="E9646:E9647"/>
    <mergeCell ref="F9646:F9647"/>
    <mergeCell ref="G9646:G9647"/>
    <mergeCell ref="H9646:H9647"/>
    <mergeCell ref="I9646:I9647"/>
    <mergeCell ref="J9646:J9647"/>
    <mergeCell ref="K9646:K9647"/>
    <mergeCell ref="L9646:L9647"/>
    <mergeCell ref="M9646:M9647"/>
    <mergeCell ref="N9646:N9647"/>
    <mergeCell ref="A9648:A9661"/>
    <mergeCell ref="B9648:B9661"/>
    <mergeCell ref="C9648:C9661"/>
    <mergeCell ref="D9648:D9661"/>
    <mergeCell ref="E9648:E9661"/>
    <mergeCell ref="F9648:F9661"/>
    <mergeCell ref="G9648:G9661"/>
    <mergeCell ref="H9648:H9661"/>
    <mergeCell ref="I9648:I9661"/>
    <mergeCell ref="J9648:J9661"/>
    <mergeCell ref="K9648:K9661"/>
    <mergeCell ref="L9648:L9661"/>
    <mergeCell ref="M9648:M9661"/>
    <mergeCell ref="N9648:N9661"/>
    <mergeCell ref="A9664:A9665"/>
    <mergeCell ref="B9664:B9665"/>
    <mergeCell ref="C9664:C9665"/>
    <mergeCell ref="D9664:D9665"/>
    <mergeCell ref="E9664:E9665"/>
    <mergeCell ref="F9664:F9665"/>
    <mergeCell ref="G9664:G9665"/>
    <mergeCell ref="H9664:H9665"/>
    <mergeCell ref="I9664:I9665"/>
    <mergeCell ref="J9664:J9665"/>
    <mergeCell ref="K9664:K9665"/>
    <mergeCell ref="L9664:L9665"/>
    <mergeCell ref="M9664:M9665"/>
    <mergeCell ref="N9664:N9665"/>
    <mergeCell ref="A9667:A9668"/>
    <mergeCell ref="B9667:B9668"/>
    <mergeCell ref="C9667:C9668"/>
    <mergeCell ref="D9667:D9668"/>
    <mergeCell ref="E9667:E9668"/>
    <mergeCell ref="F9667:F9668"/>
    <mergeCell ref="G9667:G9668"/>
    <mergeCell ref="H9667:H9668"/>
    <mergeCell ref="I9667:I9668"/>
    <mergeCell ref="J9667:J9668"/>
    <mergeCell ref="K9667:K9668"/>
    <mergeCell ref="L9667:L9668"/>
    <mergeCell ref="M9667:M9668"/>
    <mergeCell ref="N9667:N9668"/>
    <mergeCell ref="A9669:A9671"/>
    <mergeCell ref="B9669:B9671"/>
    <mergeCell ref="C9669:C9671"/>
    <mergeCell ref="D9669:D9671"/>
    <mergeCell ref="E9669:E9671"/>
    <mergeCell ref="F9669:F9671"/>
    <mergeCell ref="G9669:G9671"/>
    <mergeCell ref="H9669:H9671"/>
    <mergeCell ref="I9669:I9671"/>
    <mergeCell ref="J9669:J9671"/>
    <mergeCell ref="K9669:K9671"/>
    <mergeCell ref="L9669:L9671"/>
    <mergeCell ref="M9669:M9671"/>
    <mergeCell ref="N9669:N9671"/>
    <mergeCell ref="A9672:A9676"/>
    <mergeCell ref="B9672:B9676"/>
    <mergeCell ref="C9672:C9676"/>
    <mergeCell ref="D9672:D9676"/>
    <mergeCell ref="E9672:E9676"/>
    <mergeCell ref="F9672:F9676"/>
    <mergeCell ref="G9672:G9676"/>
    <mergeCell ref="H9672:H9676"/>
    <mergeCell ref="I9672:I9676"/>
    <mergeCell ref="J9672:J9676"/>
    <mergeCell ref="K9672:K9676"/>
    <mergeCell ref="L9672:L9676"/>
    <mergeCell ref="M9672:M9676"/>
    <mergeCell ref="N9672:N9676"/>
    <mergeCell ref="A9679:A9680"/>
    <mergeCell ref="B9679:B9680"/>
    <mergeCell ref="C9679:C9680"/>
    <mergeCell ref="D9679:D9680"/>
    <mergeCell ref="E9679:E9680"/>
    <mergeCell ref="F9679:F9680"/>
    <mergeCell ref="G9679:G9680"/>
    <mergeCell ref="H9679:H9680"/>
    <mergeCell ref="I9679:I9680"/>
    <mergeCell ref="J9679:J9680"/>
    <mergeCell ref="K9679:K9680"/>
    <mergeCell ref="L9679:L9680"/>
    <mergeCell ref="M9679:M9680"/>
    <mergeCell ref="N9679:N9680"/>
    <mergeCell ref="A9684:A9685"/>
    <mergeCell ref="B9684:B9685"/>
    <mergeCell ref="C9684:C9685"/>
    <mergeCell ref="D9684:D9685"/>
    <mergeCell ref="E9684:E9685"/>
    <mergeCell ref="F9684:F9685"/>
    <mergeCell ref="G9684:G9685"/>
    <mergeCell ref="H9684:H9685"/>
    <mergeCell ref="I9684:I9685"/>
    <mergeCell ref="J9684:J9685"/>
    <mergeCell ref="K9684:K9685"/>
    <mergeCell ref="L9684:L9685"/>
    <mergeCell ref="M9684:M9685"/>
    <mergeCell ref="N9684:N9685"/>
    <mergeCell ref="A9689:A9691"/>
    <mergeCell ref="B9689:B9691"/>
    <mergeCell ref="C9689:C9691"/>
    <mergeCell ref="D9689:D9691"/>
    <mergeCell ref="E9689:E9691"/>
    <mergeCell ref="F9689:F9691"/>
    <mergeCell ref="G9689:G9691"/>
    <mergeCell ref="H9689:H9691"/>
    <mergeCell ref="I9689:I9691"/>
    <mergeCell ref="J9689:J9691"/>
    <mergeCell ref="K9689:K9691"/>
    <mergeCell ref="L9689:L9691"/>
    <mergeCell ref="M9689:M9691"/>
    <mergeCell ref="N9689:N9691"/>
    <mergeCell ref="A9693:A9694"/>
    <mergeCell ref="B9693:B9694"/>
    <mergeCell ref="C9693:C9694"/>
    <mergeCell ref="D9693:D9694"/>
    <mergeCell ref="E9693:E9694"/>
    <mergeCell ref="F9693:F9694"/>
    <mergeCell ref="G9693:G9694"/>
    <mergeCell ref="H9693:H9694"/>
    <mergeCell ref="I9693:I9694"/>
    <mergeCell ref="J9693:J9694"/>
    <mergeCell ref="K9693:K9694"/>
    <mergeCell ref="L9693:L9694"/>
    <mergeCell ref="M9693:M9694"/>
    <mergeCell ref="N9693:N9694"/>
    <mergeCell ref="A9696:A9697"/>
    <mergeCell ref="B9696:B9697"/>
    <mergeCell ref="C9696:C9697"/>
    <mergeCell ref="D9696:D9697"/>
    <mergeCell ref="E9696:E9697"/>
    <mergeCell ref="F9696:F9697"/>
    <mergeCell ref="G9696:G9697"/>
    <mergeCell ref="H9696:H9697"/>
    <mergeCell ref="I9696:I9697"/>
    <mergeCell ref="J9696:J9697"/>
    <mergeCell ref="K9696:K9697"/>
    <mergeCell ref="L9696:L9697"/>
    <mergeCell ref="M9696:M9697"/>
    <mergeCell ref="N9696:N9697"/>
    <mergeCell ref="A9698:A9699"/>
    <mergeCell ref="B9698:B9699"/>
    <mergeCell ref="C9698:C9699"/>
    <mergeCell ref="D9698:D9699"/>
    <mergeCell ref="E9698:E9699"/>
    <mergeCell ref="F9698:F9699"/>
    <mergeCell ref="G9698:G9699"/>
    <mergeCell ref="H9698:H9699"/>
    <mergeCell ref="I9698:I9699"/>
    <mergeCell ref="J9698:J9699"/>
    <mergeCell ref="K9698:K9699"/>
    <mergeCell ref="L9698:L9699"/>
    <mergeCell ref="M9698:M9699"/>
    <mergeCell ref="N9698:N9699"/>
    <mergeCell ref="A9702:A9703"/>
    <mergeCell ref="B9702:B9703"/>
    <mergeCell ref="C9702:C9703"/>
    <mergeCell ref="D9702:D9703"/>
    <mergeCell ref="E9702:E9703"/>
    <mergeCell ref="F9702:F9703"/>
    <mergeCell ref="G9702:G9703"/>
    <mergeCell ref="H9702:H9703"/>
    <mergeCell ref="I9702:I9703"/>
    <mergeCell ref="J9702:J9703"/>
    <mergeCell ref="K9702:K9703"/>
    <mergeCell ref="L9702:L9703"/>
    <mergeCell ref="M9702:M9703"/>
    <mergeCell ref="N9702:N9703"/>
    <mergeCell ref="A9710:A9715"/>
    <mergeCell ref="B9710:B9715"/>
    <mergeCell ref="C9710:C9715"/>
    <mergeCell ref="D9710:D9715"/>
    <mergeCell ref="E9710:E9715"/>
    <mergeCell ref="F9710:F9715"/>
    <mergeCell ref="G9710:G9715"/>
    <mergeCell ref="H9710:H9715"/>
    <mergeCell ref="I9710:I9715"/>
    <mergeCell ref="J9710:J9715"/>
    <mergeCell ref="K9710:K9715"/>
    <mergeCell ref="L9710:L9715"/>
    <mergeCell ref="M9710:M9715"/>
    <mergeCell ref="N9710:N9715"/>
    <mergeCell ref="A9720:A9722"/>
    <mergeCell ref="B9720:B9722"/>
    <mergeCell ref="C9720:C9722"/>
    <mergeCell ref="D9720:D9722"/>
    <mergeCell ref="E9720:E9722"/>
    <mergeCell ref="F9720:F9722"/>
    <mergeCell ref="G9720:G9722"/>
    <mergeCell ref="H9720:H9722"/>
    <mergeCell ref="I9720:I9722"/>
    <mergeCell ref="J9720:J9722"/>
    <mergeCell ref="K9720:K9722"/>
    <mergeCell ref="L9720:L9722"/>
    <mergeCell ref="M9720:M9722"/>
    <mergeCell ref="N9720:N9722"/>
    <mergeCell ref="A9723:A9724"/>
    <mergeCell ref="B9723:B9724"/>
    <mergeCell ref="C9723:C9724"/>
    <mergeCell ref="D9723:D9724"/>
    <mergeCell ref="E9723:E9724"/>
    <mergeCell ref="F9723:F9724"/>
    <mergeCell ref="G9723:G9724"/>
    <mergeCell ref="H9723:H9724"/>
    <mergeCell ref="I9723:I9724"/>
    <mergeCell ref="J9723:J9724"/>
    <mergeCell ref="K9723:K9724"/>
    <mergeCell ref="L9723:L9724"/>
    <mergeCell ref="M9723:M9724"/>
    <mergeCell ref="N9723:N9724"/>
    <mergeCell ref="A9725:A9726"/>
    <mergeCell ref="B9725:B9726"/>
    <mergeCell ref="C9725:C9726"/>
    <mergeCell ref="D9725:D9726"/>
    <mergeCell ref="E9725:E9726"/>
    <mergeCell ref="F9725:F9726"/>
    <mergeCell ref="G9725:G9726"/>
    <mergeCell ref="H9725:H9726"/>
    <mergeCell ref="I9725:I9726"/>
    <mergeCell ref="J9725:J9726"/>
    <mergeCell ref="K9725:K9726"/>
    <mergeCell ref="L9725:L9726"/>
    <mergeCell ref="M9725:M9726"/>
    <mergeCell ref="N9725:N9726"/>
    <mergeCell ref="A9729:A9730"/>
    <mergeCell ref="B9729:B9730"/>
    <mergeCell ref="C9729:C9730"/>
    <mergeCell ref="D9729:D9730"/>
    <mergeCell ref="E9729:E9730"/>
    <mergeCell ref="F9729:F9730"/>
    <mergeCell ref="G9729:G9730"/>
    <mergeCell ref="H9729:H9730"/>
    <mergeCell ref="I9729:I9730"/>
    <mergeCell ref="J9729:J9730"/>
    <mergeCell ref="K9729:K9730"/>
    <mergeCell ref="L9729:L9730"/>
    <mergeCell ref="M9729:M9730"/>
    <mergeCell ref="N9729:N9730"/>
    <mergeCell ref="A9731:A9732"/>
    <mergeCell ref="B9731:B9732"/>
    <mergeCell ref="C9731:C9732"/>
    <mergeCell ref="D9731:D9732"/>
    <mergeCell ref="E9731:E9732"/>
    <mergeCell ref="F9731:F9732"/>
    <mergeCell ref="G9731:G9732"/>
    <mergeCell ref="H9731:H9732"/>
    <mergeCell ref="I9731:I9732"/>
    <mergeCell ref="J9731:J9732"/>
    <mergeCell ref="K9731:K9732"/>
    <mergeCell ref="L9731:L9732"/>
    <mergeCell ref="M9731:M9732"/>
    <mergeCell ref="N9731:N9732"/>
    <mergeCell ref="A9738:A9739"/>
    <mergeCell ref="B9738:B9739"/>
    <mergeCell ref="C9738:C9739"/>
    <mergeCell ref="D9738:D9739"/>
    <mergeCell ref="E9738:E9739"/>
    <mergeCell ref="F9738:F9739"/>
    <mergeCell ref="G9738:G9739"/>
    <mergeCell ref="H9738:H9739"/>
    <mergeCell ref="I9738:I9739"/>
    <mergeCell ref="J9738:J9739"/>
    <mergeCell ref="K9738:K9739"/>
    <mergeCell ref="L9738:L9739"/>
    <mergeCell ref="M9738:M9739"/>
    <mergeCell ref="N9738:N9739"/>
    <mergeCell ref="A9740:A9741"/>
    <mergeCell ref="B9740:B9741"/>
    <mergeCell ref="C9740:C9741"/>
    <mergeCell ref="D9740:D9741"/>
    <mergeCell ref="E9740:E9741"/>
    <mergeCell ref="F9740:F9741"/>
    <mergeCell ref="G9740:G9741"/>
    <mergeCell ref="H9740:H9741"/>
    <mergeCell ref="I9740:I9741"/>
    <mergeCell ref="J9740:J9741"/>
    <mergeCell ref="K9740:K9741"/>
    <mergeCell ref="L9740:L9741"/>
    <mergeCell ref="M9740:M9741"/>
    <mergeCell ref="N9740:N9741"/>
    <mergeCell ref="A9743:A9769"/>
    <mergeCell ref="B9743:B9769"/>
    <mergeCell ref="C9743:C9769"/>
    <mergeCell ref="D9743:D9769"/>
    <mergeCell ref="E9743:E9769"/>
    <mergeCell ref="F9743:F9769"/>
    <mergeCell ref="G9743:G9769"/>
    <mergeCell ref="H9743:H9769"/>
    <mergeCell ref="I9743:I9769"/>
    <mergeCell ref="J9743:J9769"/>
    <mergeCell ref="K9743:K9769"/>
    <mergeCell ref="L9743:L9769"/>
    <mergeCell ref="M9743:M9769"/>
    <mergeCell ref="N9743:N9769"/>
    <mergeCell ref="A9776:A9781"/>
    <mergeCell ref="B9776:B9781"/>
    <mergeCell ref="C9776:C9781"/>
    <mergeCell ref="D9776:D9781"/>
    <mergeCell ref="E9776:E9781"/>
    <mergeCell ref="F9776:F9781"/>
    <mergeCell ref="G9776:G9781"/>
    <mergeCell ref="H9776:H9781"/>
    <mergeCell ref="I9776:I9781"/>
    <mergeCell ref="J9776:J9781"/>
    <mergeCell ref="K9776:K9781"/>
    <mergeCell ref="L9776:L9781"/>
    <mergeCell ref="M9776:M9781"/>
    <mergeCell ref="N9776:N9781"/>
    <mergeCell ref="A9784:A9787"/>
    <mergeCell ref="B9784:B9787"/>
    <mergeCell ref="C9784:C9787"/>
    <mergeCell ref="D9784:D9787"/>
    <mergeCell ref="E9784:E9787"/>
    <mergeCell ref="F9784:F9787"/>
    <mergeCell ref="G9784:G9787"/>
    <mergeCell ref="H9784:H9787"/>
    <mergeCell ref="I9784:I9787"/>
    <mergeCell ref="J9784:J9787"/>
    <mergeCell ref="K9784:K9787"/>
    <mergeCell ref="L9784:L9787"/>
    <mergeCell ref="M9784:M9787"/>
    <mergeCell ref="N9784:N9787"/>
    <mergeCell ref="A9790:A9803"/>
    <mergeCell ref="B9790:B9803"/>
    <mergeCell ref="C9790:C9803"/>
    <mergeCell ref="D9790:D9803"/>
    <mergeCell ref="E9790:E9803"/>
    <mergeCell ref="F9790:F9803"/>
    <mergeCell ref="G9790:G9803"/>
    <mergeCell ref="H9790:H9803"/>
    <mergeCell ref="I9790:I9803"/>
    <mergeCell ref="J9790:J9803"/>
    <mergeCell ref="K9790:K9803"/>
    <mergeCell ref="L9790:L9803"/>
    <mergeCell ref="M9790:M9803"/>
    <mergeCell ref="N9790:N9803"/>
    <mergeCell ref="A9805:A9806"/>
    <mergeCell ref="B9805:B9806"/>
    <mergeCell ref="C9805:C9806"/>
    <mergeCell ref="D9805:D9806"/>
    <mergeCell ref="E9805:E9806"/>
    <mergeCell ref="F9805:F9806"/>
    <mergeCell ref="G9805:G9806"/>
    <mergeCell ref="H9805:H9806"/>
    <mergeCell ref="I9805:I9806"/>
    <mergeCell ref="J9805:J9806"/>
    <mergeCell ref="K9805:K9806"/>
    <mergeCell ref="L9805:L9806"/>
    <mergeCell ref="M9805:M9806"/>
    <mergeCell ref="N9805:N9806"/>
    <mergeCell ref="A9810:A9811"/>
    <mergeCell ref="B9810:B9811"/>
    <mergeCell ref="C9810:C9811"/>
    <mergeCell ref="D9810:D9811"/>
    <mergeCell ref="E9810:E9811"/>
    <mergeCell ref="F9810:F9811"/>
    <mergeCell ref="G9810:G9811"/>
    <mergeCell ref="H9810:H9811"/>
    <mergeCell ref="I9810:I9811"/>
    <mergeCell ref="J9810:J9811"/>
    <mergeCell ref="K9810:K9811"/>
    <mergeCell ref="L9810:L9811"/>
    <mergeCell ref="M9810:M9811"/>
    <mergeCell ref="N9810:N9811"/>
    <mergeCell ref="A9813:A9818"/>
    <mergeCell ref="B9813:B9818"/>
    <mergeCell ref="C9813:C9818"/>
    <mergeCell ref="D9813:D9818"/>
    <mergeCell ref="E9813:E9818"/>
    <mergeCell ref="F9813:F9818"/>
    <mergeCell ref="G9813:G9818"/>
    <mergeCell ref="H9813:H9818"/>
    <mergeCell ref="I9813:I9818"/>
    <mergeCell ref="J9813:J9818"/>
    <mergeCell ref="K9813:K9818"/>
    <mergeCell ref="L9813:L9818"/>
    <mergeCell ref="M9813:M9818"/>
    <mergeCell ref="N9813:N9818"/>
    <mergeCell ref="A9823:A9824"/>
    <mergeCell ref="B9823:B9824"/>
    <mergeCell ref="C9823:C9824"/>
    <mergeCell ref="D9823:D9824"/>
    <mergeCell ref="E9823:E9824"/>
    <mergeCell ref="F9823:F9824"/>
    <mergeCell ref="G9823:G9824"/>
    <mergeCell ref="H9823:H9824"/>
    <mergeCell ref="I9823:I9824"/>
    <mergeCell ref="J9823:J9824"/>
    <mergeCell ref="K9823:K9824"/>
    <mergeCell ref="L9823:L9824"/>
    <mergeCell ref="M9823:M9824"/>
    <mergeCell ref="N9823:N9824"/>
    <mergeCell ref="A9825:A9827"/>
    <mergeCell ref="B9825:B9827"/>
    <mergeCell ref="C9825:C9827"/>
    <mergeCell ref="D9825:D9827"/>
    <mergeCell ref="E9825:E9827"/>
    <mergeCell ref="F9825:F9827"/>
    <mergeCell ref="G9825:G9827"/>
    <mergeCell ref="H9825:H9827"/>
    <mergeCell ref="I9825:I9827"/>
    <mergeCell ref="J9825:J9827"/>
    <mergeCell ref="K9825:K9827"/>
    <mergeCell ref="L9825:L9827"/>
    <mergeCell ref="M9825:M9827"/>
    <mergeCell ref="N9825:N9827"/>
    <mergeCell ref="A9828:A9829"/>
    <mergeCell ref="B9828:B9829"/>
    <mergeCell ref="C9828:C9829"/>
    <mergeCell ref="D9828:D9829"/>
    <mergeCell ref="E9828:E9829"/>
    <mergeCell ref="F9828:F9829"/>
    <mergeCell ref="G9828:G9829"/>
    <mergeCell ref="H9828:H9829"/>
    <mergeCell ref="I9828:I9829"/>
    <mergeCell ref="J9828:J9829"/>
    <mergeCell ref="K9828:K9829"/>
    <mergeCell ref="L9828:L9829"/>
    <mergeCell ref="M9828:M9829"/>
    <mergeCell ref="N9828:N9829"/>
    <mergeCell ref="A9830:A9831"/>
    <mergeCell ref="B9830:B9831"/>
    <mergeCell ref="C9830:C9831"/>
    <mergeCell ref="D9830:D9831"/>
    <mergeCell ref="E9830:E9831"/>
    <mergeCell ref="F9830:F9831"/>
    <mergeCell ref="G9830:G9831"/>
    <mergeCell ref="H9830:H9831"/>
    <mergeCell ref="I9830:I9831"/>
    <mergeCell ref="J9830:J9831"/>
    <mergeCell ref="K9830:K9831"/>
    <mergeCell ref="L9830:L9831"/>
    <mergeCell ref="M9830:M9831"/>
    <mergeCell ref="N9830:N9831"/>
    <mergeCell ref="A9832:A9834"/>
    <mergeCell ref="B9832:B9834"/>
    <mergeCell ref="C9832:C9834"/>
    <mergeCell ref="D9832:D9834"/>
    <mergeCell ref="E9832:E9834"/>
    <mergeCell ref="F9832:F9834"/>
    <mergeCell ref="G9832:G9834"/>
    <mergeCell ref="H9832:H9834"/>
    <mergeCell ref="I9832:I9834"/>
    <mergeCell ref="J9832:J9834"/>
    <mergeCell ref="K9832:K9834"/>
    <mergeCell ref="L9832:L9834"/>
    <mergeCell ref="M9832:M9834"/>
    <mergeCell ref="N9832:N9834"/>
    <mergeCell ref="A9837:A9839"/>
    <mergeCell ref="B9837:B9839"/>
    <mergeCell ref="C9837:C9839"/>
    <mergeCell ref="D9837:D9839"/>
    <mergeCell ref="E9837:E9839"/>
    <mergeCell ref="F9837:F9839"/>
    <mergeCell ref="G9837:G9839"/>
    <mergeCell ref="H9837:H9839"/>
    <mergeCell ref="I9837:I9839"/>
    <mergeCell ref="J9837:J9839"/>
    <mergeCell ref="K9837:K9839"/>
    <mergeCell ref="L9837:L9839"/>
    <mergeCell ref="M9837:M9839"/>
    <mergeCell ref="N9837:N9839"/>
    <mergeCell ref="A9845:A9847"/>
    <mergeCell ref="B9845:B9847"/>
    <mergeCell ref="C9845:C9847"/>
    <mergeCell ref="D9845:D9847"/>
    <mergeCell ref="E9845:E9847"/>
    <mergeCell ref="F9845:F9847"/>
    <mergeCell ref="G9845:G9847"/>
    <mergeCell ref="H9845:H9847"/>
    <mergeCell ref="I9845:I9847"/>
    <mergeCell ref="J9845:J9847"/>
    <mergeCell ref="K9845:K9847"/>
    <mergeCell ref="L9845:L9847"/>
    <mergeCell ref="M9845:M9847"/>
    <mergeCell ref="N9845:N9847"/>
    <mergeCell ref="A9848:A9852"/>
    <mergeCell ref="B9848:B9852"/>
    <mergeCell ref="C9848:C9852"/>
    <mergeCell ref="D9848:D9852"/>
    <mergeCell ref="E9848:E9852"/>
    <mergeCell ref="F9848:F9852"/>
    <mergeCell ref="G9848:G9852"/>
    <mergeCell ref="H9848:H9852"/>
    <mergeCell ref="I9848:I9852"/>
    <mergeCell ref="J9848:J9852"/>
    <mergeCell ref="K9848:K9852"/>
    <mergeCell ref="L9848:L9852"/>
    <mergeCell ref="M9848:M9852"/>
    <mergeCell ref="N9848:N9852"/>
    <mergeCell ref="A9854:A9858"/>
    <mergeCell ref="B9854:B9858"/>
    <mergeCell ref="C9854:C9858"/>
    <mergeCell ref="D9854:D9858"/>
    <mergeCell ref="E9854:E9858"/>
    <mergeCell ref="F9854:F9858"/>
    <mergeCell ref="G9854:G9858"/>
    <mergeCell ref="H9854:H9858"/>
    <mergeCell ref="I9854:I9858"/>
    <mergeCell ref="J9854:J9858"/>
    <mergeCell ref="K9854:K9858"/>
    <mergeCell ref="L9854:L9858"/>
    <mergeCell ref="M9854:M9858"/>
    <mergeCell ref="N9854:N9858"/>
    <mergeCell ref="A9859:A9863"/>
    <mergeCell ref="B9859:B9863"/>
    <mergeCell ref="C9859:C9863"/>
    <mergeCell ref="D9859:D9863"/>
    <mergeCell ref="E9859:E9863"/>
    <mergeCell ref="F9859:F9863"/>
    <mergeCell ref="G9859:G9863"/>
    <mergeCell ref="H9859:H9863"/>
    <mergeCell ref="I9859:I9863"/>
    <mergeCell ref="J9859:J9863"/>
    <mergeCell ref="K9859:K9863"/>
    <mergeCell ref="L9859:L9863"/>
    <mergeCell ref="M9859:M9863"/>
    <mergeCell ref="N9859:N9863"/>
    <mergeCell ref="A9864:A9869"/>
    <mergeCell ref="B9864:B9869"/>
    <mergeCell ref="C9864:C9869"/>
    <mergeCell ref="D9864:D9869"/>
    <mergeCell ref="E9864:E9869"/>
    <mergeCell ref="F9864:F9869"/>
    <mergeCell ref="G9864:G9869"/>
    <mergeCell ref="H9864:H9869"/>
    <mergeCell ref="I9864:I9869"/>
    <mergeCell ref="J9864:J9869"/>
    <mergeCell ref="K9864:K9869"/>
    <mergeCell ref="L9864:L9869"/>
    <mergeCell ref="M9864:M9869"/>
    <mergeCell ref="N9864:N9869"/>
    <mergeCell ref="A9870:A9872"/>
    <mergeCell ref="B9870:B9872"/>
    <mergeCell ref="C9870:C9872"/>
    <mergeCell ref="D9870:D9872"/>
    <mergeCell ref="E9870:E9872"/>
    <mergeCell ref="F9870:F9872"/>
    <mergeCell ref="G9870:G9872"/>
    <mergeCell ref="H9870:H9872"/>
    <mergeCell ref="I9870:I9872"/>
    <mergeCell ref="J9870:J9872"/>
    <mergeCell ref="K9870:K9872"/>
    <mergeCell ref="L9870:L9872"/>
    <mergeCell ref="M9870:M9872"/>
    <mergeCell ref="N9870:N9872"/>
    <mergeCell ref="A9874:A9879"/>
    <mergeCell ref="B9874:B9879"/>
    <mergeCell ref="C9874:C9879"/>
    <mergeCell ref="D9874:D9879"/>
    <mergeCell ref="E9874:E9879"/>
    <mergeCell ref="F9874:F9879"/>
    <mergeCell ref="G9874:G9879"/>
    <mergeCell ref="H9874:H9879"/>
    <mergeCell ref="I9874:I9879"/>
    <mergeCell ref="J9874:J9879"/>
    <mergeCell ref="K9874:K9879"/>
    <mergeCell ref="L9874:L9879"/>
    <mergeCell ref="M9874:M9879"/>
    <mergeCell ref="N9874:N9879"/>
    <mergeCell ref="A9887:A9892"/>
    <mergeCell ref="B9887:B9892"/>
    <mergeCell ref="C9887:C9892"/>
    <mergeCell ref="D9887:D9892"/>
    <mergeCell ref="E9887:E9892"/>
    <mergeCell ref="F9887:F9892"/>
    <mergeCell ref="G9887:G9892"/>
    <mergeCell ref="H9887:H9892"/>
    <mergeCell ref="I9887:I9892"/>
    <mergeCell ref="J9887:J9892"/>
    <mergeCell ref="K9887:K9892"/>
    <mergeCell ref="L9887:L9892"/>
    <mergeCell ref="M9887:M9892"/>
    <mergeCell ref="N9887:N9892"/>
    <mergeCell ref="A9893:A9894"/>
    <mergeCell ref="B9893:B9894"/>
    <mergeCell ref="C9893:C9894"/>
    <mergeCell ref="D9893:D9894"/>
    <mergeCell ref="E9893:E9894"/>
    <mergeCell ref="F9893:F9894"/>
    <mergeCell ref="G9893:G9894"/>
    <mergeCell ref="H9893:H9894"/>
    <mergeCell ref="I9893:I9894"/>
    <mergeCell ref="J9893:J9894"/>
    <mergeCell ref="K9893:K9894"/>
    <mergeCell ref="L9893:L9894"/>
    <mergeCell ref="M9893:M9894"/>
    <mergeCell ref="N9893:N9894"/>
    <mergeCell ref="A9897:A9898"/>
    <mergeCell ref="B9897:B9898"/>
    <mergeCell ref="C9897:C9898"/>
    <mergeCell ref="D9897:D9898"/>
    <mergeCell ref="E9897:E9898"/>
    <mergeCell ref="F9897:F9898"/>
    <mergeCell ref="G9897:G9898"/>
    <mergeCell ref="H9897:H9898"/>
    <mergeCell ref="I9897:I9898"/>
    <mergeCell ref="J9897:J9898"/>
    <mergeCell ref="K9897:K9898"/>
    <mergeCell ref="L9897:L9898"/>
    <mergeCell ref="M9897:M9898"/>
    <mergeCell ref="N9897:N9898"/>
    <mergeCell ref="A9902:A9903"/>
    <mergeCell ref="B9902:B9903"/>
    <mergeCell ref="C9902:C9903"/>
    <mergeCell ref="D9902:D9903"/>
    <mergeCell ref="E9902:E9903"/>
    <mergeCell ref="F9902:F9903"/>
    <mergeCell ref="G9902:G9903"/>
    <mergeCell ref="H9902:H9903"/>
    <mergeCell ref="I9902:I9903"/>
    <mergeCell ref="J9902:J9903"/>
    <mergeCell ref="K9902:K9903"/>
    <mergeCell ref="L9902:L9903"/>
    <mergeCell ref="M9902:M9903"/>
    <mergeCell ref="N9902:N9903"/>
    <mergeCell ref="A9911:A9912"/>
    <mergeCell ref="B9911:B9912"/>
    <mergeCell ref="C9911:C9912"/>
    <mergeCell ref="D9911:D9912"/>
    <mergeCell ref="E9911:E9912"/>
    <mergeCell ref="F9911:F9912"/>
    <mergeCell ref="G9911:G9912"/>
    <mergeCell ref="H9911:H9912"/>
    <mergeCell ref="I9911:I9912"/>
    <mergeCell ref="J9911:J9912"/>
    <mergeCell ref="K9911:K9912"/>
    <mergeCell ref="L9911:L9912"/>
    <mergeCell ref="M9911:M9912"/>
    <mergeCell ref="N9911:N9912"/>
    <mergeCell ref="A9916:A9917"/>
    <mergeCell ref="B9916:B9917"/>
    <mergeCell ref="C9916:C9917"/>
    <mergeCell ref="D9916:D9917"/>
    <mergeCell ref="E9916:E9917"/>
    <mergeCell ref="F9916:F9917"/>
    <mergeCell ref="G9916:G9917"/>
    <mergeCell ref="H9916:H9917"/>
    <mergeCell ref="I9916:I9917"/>
    <mergeCell ref="J9916:J9917"/>
    <mergeCell ref="K9916:K9917"/>
    <mergeCell ref="L9916:L9917"/>
    <mergeCell ref="M9916:M9917"/>
    <mergeCell ref="N9916:N9917"/>
    <mergeCell ref="A9920:A9921"/>
    <mergeCell ref="B9920:B9921"/>
    <mergeCell ref="C9920:C9921"/>
    <mergeCell ref="D9920:D9921"/>
    <mergeCell ref="E9920:E9921"/>
    <mergeCell ref="F9920:F9921"/>
    <mergeCell ref="G9920:G9921"/>
    <mergeCell ref="H9920:H9921"/>
    <mergeCell ref="I9920:I9921"/>
    <mergeCell ref="J9920:J9921"/>
    <mergeCell ref="K9920:K9921"/>
    <mergeCell ref="L9920:L9921"/>
    <mergeCell ref="M9920:M9921"/>
    <mergeCell ref="N9920:N9921"/>
    <mergeCell ref="A9924:A9926"/>
    <mergeCell ref="B9924:B9926"/>
    <mergeCell ref="C9924:C9926"/>
    <mergeCell ref="D9924:D9926"/>
    <mergeCell ref="E9924:E9926"/>
    <mergeCell ref="F9924:F9926"/>
    <mergeCell ref="G9924:G9926"/>
    <mergeCell ref="H9924:H9926"/>
    <mergeCell ref="I9924:I9926"/>
    <mergeCell ref="J9924:J9926"/>
    <mergeCell ref="K9924:K9926"/>
    <mergeCell ref="L9924:L9926"/>
    <mergeCell ref="M9924:M9926"/>
    <mergeCell ref="N9924:N9926"/>
    <mergeCell ref="A9928:A9932"/>
    <mergeCell ref="B9928:B9932"/>
    <mergeCell ref="C9928:C9932"/>
    <mergeCell ref="D9928:D9932"/>
    <mergeCell ref="E9928:E9932"/>
    <mergeCell ref="F9928:F9932"/>
    <mergeCell ref="G9928:G9932"/>
    <mergeCell ref="H9928:H9932"/>
    <mergeCell ref="I9928:I9932"/>
    <mergeCell ref="J9928:J9932"/>
    <mergeCell ref="K9928:K9932"/>
    <mergeCell ref="L9928:L9932"/>
    <mergeCell ref="M9928:M9932"/>
    <mergeCell ref="N9928:N9932"/>
    <mergeCell ref="A9933:A9935"/>
    <mergeCell ref="B9933:B9935"/>
    <mergeCell ref="C9933:C9935"/>
    <mergeCell ref="D9933:D9935"/>
    <mergeCell ref="E9933:E9935"/>
    <mergeCell ref="F9933:F9935"/>
    <mergeCell ref="G9933:G9935"/>
    <mergeCell ref="H9933:H9935"/>
    <mergeCell ref="I9933:I9935"/>
    <mergeCell ref="J9933:J9935"/>
    <mergeCell ref="K9933:K9935"/>
    <mergeCell ref="L9933:L9935"/>
    <mergeCell ref="M9933:M9935"/>
    <mergeCell ref="N9933:N9935"/>
    <mergeCell ref="A9936:A9940"/>
    <mergeCell ref="B9936:B9940"/>
    <mergeCell ref="C9936:C9940"/>
    <mergeCell ref="D9936:D9940"/>
    <mergeCell ref="E9936:E9940"/>
    <mergeCell ref="F9936:F9940"/>
    <mergeCell ref="G9936:G9940"/>
    <mergeCell ref="H9936:H9940"/>
    <mergeCell ref="I9936:I9940"/>
    <mergeCell ref="J9936:J9940"/>
    <mergeCell ref="K9936:K9940"/>
    <mergeCell ref="L9936:L9940"/>
    <mergeCell ref="M9936:M9940"/>
    <mergeCell ref="N9936:N9940"/>
    <mergeCell ref="A9941:A9943"/>
    <mergeCell ref="B9941:B9943"/>
    <mergeCell ref="C9941:C9943"/>
    <mergeCell ref="D9941:D9943"/>
    <mergeCell ref="E9941:E9943"/>
    <mergeCell ref="F9941:F9943"/>
    <mergeCell ref="G9941:G9943"/>
    <mergeCell ref="H9941:H9943"/>
    <mergeCell ref="I9941:I9943"/>
    <mergeCell ref="J9941:J9943"/>
    <mergeCell ref="K9941:K9943"/>
    <mergeCell ref="L9941:L9943"/>
    <mergeCell ref="M9941:M9943"/>
    <mergeCell ref="N9941:N9943"/>
    <mergeCell ref="A9944:A9946"/>
    <mergeCell ref="B9944:B9946"/>
    <mergeCell ref="C9944:C9946"/>
    <mergeCell ref="D9944:D9946"/>
    <mergeCell ref="E9944:E9946"/>
    <mergeCell ref="F9944:F9946"/>
    <mergeCell ref="G9944:G9946"/>
    <mergeCell ref="H9944:H9946"/>
    <mergeCell ref="I9944:I9946"/>
    <mergeCell ref="J9944:J9946"/>
    <mergeCell ref="K9944:K9946"/>
    <mergeCell ref="L9944:L9946"/>
    <mergeCell ref="M9944:M9946"/>
    <mergeCell ref="N9944:N9946"/>
    <mergeCell ref="A9947:A9949"/>
    <mergeCell ref="B9947:B9949"/>
    <mergeCell ref="C9947:C9949"/>
    <mergeCell ref="D9947:D9949"/>
    <mergeCell ref="E9947:E9949"/>
    <mergeCell ref="F9947:F9949"/>
    <mergeCell ref="G9947:G9949"/>
    <mergeCell ref="H9947:H9949"/>
    <mergeCell ref="I9947:I9949"/>
    <mergeCell ref="J9947:J9949"/>
    <mergeCell ref="K9947:K9949"/>
    <mergeCell ref="L9947:L9949"/>
    <mergeCell ref="M9947:M9949"/>
    <mergeCell ref="N9947:N9949"/>
    <mergeCell ref="A9955:A9956"/>
    <mergeCell ref="B9955:B9956"/>
    <mergeCell ref="C9955:C9956"/>
    <mergeCell ref="D9955:D9956"/>
    <mergeCell ref="E9955:E9956"/>
    <mergeCell ref="F9955:F9956"/>
    <mergeCell ref="G9955:G9956"/>
    <mergeCell ref="H9955:H9956"/>
    <mergeCell ref="I9955:I9956"/>
    <mergeCell ref="J9955:J9956"/>
    <mergeCell ref="K9955:K9956"/>
    <mergeCell ref="L9955:L9956"/>
    <mergeCell ref="M9955:M9956"/>
    <mergeCell ref="N9955:N9956"/>
    <mergeCell ref="A9960:A9961"/>
    <mergeCell ref="B9960:B9961"/>
    <mergeCell ref="C9960:C9961"/>
    <mergeCell ref="D9960:D9961"/>
    <mergeCell ref="E9960:E9961"/>
    <mergeCell ref="F9960:F9961"/>
    <mergeCell ref="G9960:G9961"/>
    <mergeCell ref="H9960:H9961"/>
    <mergeCell ref="I9960:I9961"/>
    <mergeCell ref="J9960:J9961"/>
    <mergeCell ref="K9960:K9961"/>
    <mergeCell ref="L9960:L9961"/>
    <mergeCell ref="M9960:M9961"/>
    <mergeCell ref="N9960:N9961"/>
    <mergeCell ref="A9963:A9966"/>
    <mergeCell ref="B9963:B9966"/>
    <mergeCell ref="C9963:C9966"/>
    <mergeCell ref="D9963:D9966"/>
    <mergeCell ref="E9963:E9966"/>
    <mergeCell ref="F9963:F9966"/>
    <mergeCell ref="G9963:G9966"/>
    <mergeCell ref="H9963:H9966"/>
    <mergeCell ref="I9963:I9966"/>
    <mergeCell ref="J9963:J9966"/>
    <mergeCell ref="K9963:K9966"/>
    <mergeCell ref="L9963:L9966"/>
    <mergeCell ref="M9963:M9966"/>
    <mergeCell ref="N9963:N9966"/>
    <mergeCell ref="A9967:A9968"/>
    <mergeCell ref="B9967:B9968"/>
    <mergeCell ref="C9967:C9968"/>
    <mergeCell ref="D9967:D9968"/>
    <mergeCell ref="E9967:E9968"/>
    <mergeCell ref="F9967:F9968"/>
    <mergeCell ref="G9967:G9968"/>
    <mergeCell ref="H9967:H9968"/>
    <mergeCell ref="I9967:I9968"/>
    <mergeCell ref="J9967:J9968"/>
    <mergeCell ref="K9967:K9968"/>
    <mergeCell ref="L9967:L9968"/>
    <mergeCell ref="M9967:M9968"/>
    <mergeCell ref="N9967:N9968"/>
    <mergeCell ref="A9969:A9970"/>
    <mergeCell ref="B9969:B9970"/>
    <mergeCell ref="C9969:C9970"/>
    <mergeCell ref="D9969:D9970"/>
    <mergeCell ref="E9969:E9970"/>
    <mergeCell ref="F9969:F9970"/>
    <mergeCell ref="G9969:G9970"/>
    <mergeCell ref="H9969:H9970"/>
    <mergeCell ref="I9969:I9970"/>
    <mergeCell ref="J9969:J9970"/>
    <mergeCell ref="K9969:K9970"/>
    <mergeCell ref="L9969:L9970"/>
    <mergeCell ref="M9969:M9970"/>
    <mergeCell ref="N9969:N9970"/>
    <mergeCell ref="A9979:A9980"/>
    <mergeCell ref="B9979:B9980"/>
    <mergeCell ref="C9979:C9980"/>
    <mergeCell ref="D9979:D9980"/>
    <mergeCell ref="E9979:E9980"/>
    <mergeCell ref="F9979:F9980"/>
    <mergeCell ref="G9979:G9980"/>
    <mergeCell ref="H9979:H9980"/>
    <mergeCell ref="I9979:I9980"/>
    <mergeCell ref="J9979:J9980"/>
    <mergeCell ref="K9979:K9980"/>
    <mergeCell ref="L9979:L9980"/>
    <mergeCell ref="M9979:M9980"/>
    <mergeCell ref="N9979:N9980"/>
    <mergeCell ref="A9982:A9984"/>
    <mergeCell ref="B9982:B9984"/>
    <mergeCell ref="C9982:C9984"/>
    <mergeCell ref="D9982:D9984"/>
    <mergeCell ref="E9982:E9984"/>
    <mergeCell ref="F9982:F9984"/>
    <mergeCell ref="G9982:G9984"/>
    <mergeCell ref="H9982:H9984"/>
    <mergeCell ref="I9982:I9984"/>
    <mergeCell ref="J9982:J9984"/>
    <mergeCell ref="K9982:K9984"/>
    <mergeCell ref="L9982:L9984"/>
    <mergeCell ref="M9982:M9984"/>
    <mergeCell ref="N9982:N9984"/>
    <mergeCell ref="A9985:A9987"/>
    <mergeCell ref="B9985:B9987"/>
    <mergeCell ref="C9985:C9987"/>
    <mergeCell ref="D9985:D9987"/>
    <mergeCell ref="E9985:E9987"/>
    <mergeCell ref="F9985:F9987"/>
    <mergeCell ref="G9985:G9987"/>
    <mergeCell ref="H9985:H9987"/>
    <mergeCell ref="I9985:I9987"/>
    <mergeCell ref="J9985:J9987"/>
    <mergeCell ref="K9985:K9987"/>
    <mergeCell ref="L9985:L9987"/>
    <mergeCell ref="M9985:M9987"/>
    <mergeCell ref="N9985:N9987"/>
    <mergeCell ref="A9991:A9993"/>
    <mergeCell ref="B9991:B9993"/>
    <mergeCell ref="C9991:C9993"/>
    <mergeCell ref="D9991:D9993"/>
    <mergeCell ref="E9991:E9993"/>
    <mergeCell ref="F9991:F9993"/>
    <mergeCell ref="G9991:G9993"/>
    <mergeCell ref="H9991:H9993"/>
    <mergeCell ref="I9991:I9993"/>
    <mergeCell ref="J9991:J9993"/>
    <mergeCell ref="K9991:K9993"/>
    <mergeCell ref="L9991:L9993"/>
    <mergeCell ref="M9991:M9993"/>
    <mergeCell ref="N9991:N9993"/>
    <mergeCell ref="A9995:A9997"/>
    <mergeCell ref="B9995:B9997"/>
    <mergeCell ref="C9995:C9997"/>
    <mergeCell ref="D9995:D9997"/>
    <mergeCell ref="E9995:E9997"/>
    <mergeCell ref="F9995:F9997"/>
    <mergeCell ref="G9995:G9997"/>
    <mergeCell ref="H9995:H9997"/>
    <mergeCell ref="I9995:I9997"/>
    <mergeCell ref="J9995:J9997"/>
    <mergeCell ref="K9995:K9997"/>
    <mergeCell ref="L9995:L9997"/>
    <mergeCell ref="M9995:M9997"/>
    <mergeCell ref="N9995:N9997"/>
    <mergeCell ref="A9999:A10000"/>
    <mergeCell ref="B9999:B10000"/>
    <mergeCell ref="C9999:C10000"/>
    <mergeCell ref="D9999:D10000"/>
    <mergeCell ref="E9999:E10000"/>
    <mergeCell ref="F9999:F10000"/>
    <mergeCell ref="G9999:G10000"/>
    <mergeCell ref="H9999:H10000"/>
    <mergeCell ref="I9999:I10000"/>
    <mergeCell ref="J9999:J10000"/>
    <mergeCell ref="K9999:K10000"/>
    <mergeCell ref="L9999:L10000"/>
    <mergeCell ref="M9999:M10000"/>
    <mergeCell ref="N9999:N10000"/>
    <mergeCell ref="A10005:A10007"/>
    <mergeCell ref="B10005:B10007"/>
    <mergeCell ref="C10005:C10007"/>
    <mergeCell ref="D10005:D10007"/>
    <mergeCell ref="E10005:E10007"/>
    <mergeCell ref="F10005:F10007"/>
    <mergeCell ref="G10005:G10007"/>
    <mergeCell ref="H10005:H10007"/>
    <mergeCell ref="I10005:I10007"/>
    <mergeCell ref="J10005:J10007"/>
    <mergeCell ref="K10005:K10007"/>
    <mergeCell ref="L10005:L10007"/>
    <mergeCell ref="M10005:M10007"/>
    <mergeCell ref="N10005:N10007"/>
    <mergeCell ref="A10008:A10009"/>
    <mergeCell ref="B10008:B10009"/>
    <mergeCell ref="C10008:C10009"/>
    <mergeCell ref="D10008:D10009"/>
    <mergeCell ref="E10008:E10009"/>
    <mergeCell ref="F10008:F10009"/>
    <mergeCell ref="G10008:G10009"/>
    <mergeCell ref="H10008:H10009"/>
    <mergeCell ref="I10008:I10009"/>
    <mergeCell ref="J10008:J10009"/>
    <mergeCell ref="K10008:K10009"/>
    <mergeCell ref="L10008:L10009"/>
    <mergeCell ref="M10008:M10009"/>
    <mergeCell ref="N10008:N10009"/>
    <mergeCell ref="A10015:A10017"/>
    <mergeCell ref="B10015:B10017"/>
    <mergeCell ref="C10015:C10017"/>
    <mergeCell ref="D10015:D10017"/>
    <mergeCell ref="E10015:E10017"/>
    <mergeCell ref="F10015:F10017"/>
    <mergeCell ref="G10015:G10017"/>
    <mergeCell ref="H10015:H10017"/>
    <mergeCell ref="I10015:I10017"/>
    <mergeCell ref="J10015:J10017"/>
    <mergeCell ref="K10015:K10017"/>
    <mergeCell ref="L10015:L10017"/>
    <mergeCell ref="M10015:M10017"/>
    <mergeCell ref="N10015:N10017"/>
    <mergeCell ref="A10018:A10019"/>
    <mergeCell ref="B10018:B10019"/>
    <mergeCell ref="C10018:C10019"/>
    <mergeCell ref="D10018:D10019"/>
    <mergeCell ref="E10018:E10019"/>
    <mergeCell ref="F10018:F10019"/>
    <mergeCell ref="G10018:G10019"/>
    <mergeCell ref="H10018:H10019"/>
    <mergeCell ref="I10018:I10019"/>
    <mergeCell ref="J10018:J10019"/>
    <mergeCell ref="K10018:K10019"/>
    <mergeCell ref="L10018:L10019"/>
    <mergeCell ref="M10018:M10019"/>
    <mergeCell ref="N10018:N10019"/>
    <mergeCell ref="A10023:A10025"/>
    <mergeCell ref="B10023:B10025"/>
    <mergeCell ref="C10023:C10025"/>
    <mergeCell ref="D10023:D10025"/>
    <mergeCell ref="E10023:E10025"/>
    <mergeCell ref="F10023:F10025"/>
    <mergeCell ref="G10023:G10025"/>
    <mergeCell ref="H10023:H10025"/>
    <mergeCell ref="I10023:I10025"/>
    <mergeCell ref="J10023:J10025"/>
    <mergeCell ref="K10023:K10025"/>
    <mergeCell ref="L10023:L10025"/>
    <mergeCell ref="M10023:M10025"/>
    <mergeCell ref="N10023:N10025"/>
    <mergeCell ref="A10026:A10027"/>
    <mergeCell ref="B10026:B10027"/>
    <mergeCell ref="C10026:C10027"/>
    <mergeCell ref="D10026:D10027"/>
    <mergeCell ref="E10026:E10027"/>
    <mergeCell ref="F10026:F10027"/>
    <mergeCell ref="G10026:G10027"/>
    <mergeCell ref="H10026:H10027"/>
    <mergeCell ref="I10026:I10027"/>
    <mergeCell ref="J10026:J10027"/>
    <mergeCell ref="K10026:K10027"/>
    <mergeCell ref="L10026:L10027"/>
    <mergeCell ref="M10026:M10027"/>
    <mergeCell ref="N10026:N10027"/>
    <mergeCell ref="A10028:A10029"/>
    <mergeCell ref="B10028:B10029"/>
    <mergeCell ref="C10028:C10029"/>
    <mergeCell ref="D10028:D10029"/>
    <mergeCell ref="E10028:E10029"/>
    <mergeCell ref="F10028:F10029"/>
    <mergeCell ref="G10028:G10029"/>
    <mergeCell ref="H10028:H10029"/>
    <mergeCell ref="I10028:I10029"/>
    <mergeCell ref="J10028:J10029"/>
    <mergeCell ref="K10028:K10029"/>
    <mergeCell ref="L10028:L10029"/>
    <mergeCell ref="M10028:M10029"/>
    <mergeCell ref="N10028:N10029"/>
    <mergeCell ref="A10031:A10034"/>
    <mergeCell ref="B10031:B10034"/>
    <mergeCell ref="C10031:C10034"/>
    <mergeCell ref="D10031:D10034"/>
    <mergeCell ref="E10031:E10034"/>
    <mergeCell ref="F10031:F10034"/>
    <mergeCell ref="G10031:G10034"/>
    <mergeCell ref="H10031:H10034"/>
    <mergeCell ref="I10031:I10034"/>
    <mergeCell ref="J10031:J10034"/>
    <mergeCell ref="K10031:K10034"/>
    <mergeCell ref="L10031:L10034"/>
    <mergeCell ref="M10031:M10034"/>
    <mergeCell ref="N10031:N10034"/>
    <mergeCell ref="A10035:A10036"/>
    <mergeCell ref="B10035:B10036"/>
    <mergeCell ref="C10035:C10036"/>
    <mergeCell ref="D10035:D10036"/>
    <mergeCell ref="E10035:E10036"/>
    <mergeCell ref="F10035:F10036"/>
    <mergeCell ref="G10035:G10036"/>
    <mergeCell ref="H10035:H10036"/>
    <mergeCell ref="I10035:I10036"/>
    <mergeCell ref="J10035:J10036"/>
    <mergeCell ref="K10035:K10036"/>
    <mergeCell ref="L10035:L10036"/>
    <mergeCell ref="M10035:M10036"/>
    <mergeCell ref="N10035:N10036"/>
    <mergeCell ref="A10037:A10040"/>
    <mergeCell ref="B10037:B10040"/>
    <mergeCell ref="C10037:C10040"/>
    <mergeCell ref="D10037:D10040"/>
    <mergeCell ref="E10037:E10040"/>
    <mergeCell ref="F10037:F10040"/>
    <mergeCell ref="G10037:G10040"/>
    <mergeCell ref="H10037:H10040"/>
    <mergeCell ref="I10037:I10040"/>
    <mergeCell ref="J10037:J10040"/>
    <mergeCell ref="K10037:K10040"/>
    <mergeCell ref="L10037:L10040"/>
    <mergeCell ref="M10037:M10040"/>
    <mergeCell ref="N10037:N10040"/>
    <mergeCell ref="A10043:A10044"/>
    <mergeCell ref="B10043:B10044"/>
    <mergeCell ref="C10043:C10044"/>
    <mergeCell ref="D10043:D10044"/>
    <mergeCell ref="E10043:E10044"/>
    <mergeCell ref="F10043:F10044"/>
    <mergeCell ref="G10043:G10044"/>
    <mergeCell ref="H10043:H10044"/>
    <mergeCell ref="I10043:I10044"/>
    <mergeCell ref="J10043:J10044"/>
    <mergeCell ref="K10043:K10044"/>
    <mergeCell ref="L10043:L10044"/>
    <mergeCell ref="M10043:M10044"/>
    <mergeCell ref="N10043:N10044"/>
    <mergeCell ref="A10046:A10049"/>
    <mergeCell ref="B10046:B10049"/>
    <mergeCell ref="C10046:C10049"/>
    <mergeCell ref="D10046:D10049"/>
    <mergeCell ref="E10046:E10049"/>
    <mergeCell ref="F10046:F10049"/>
    <mergeCell ref="G10046:G10049"/>
    <mergeCell ref="H10046:H10049"/>
    <mergeCell ref="I10046:I10049"/>
    <mergeCell ref="J10046:J10049"/>
    <mergeCell ref="K10046:K10049"/>
    <mergeCell ref="L10046:L10049"/>
    <mergeCell ref="M10046:M10049"/>
    <mergeCell ref="N10046:N10049"/>
    <mergeCell ref="A10050:A10052"/>
    <mergeCell ref="B10050:B10052"/>
    <mergeCell ref="C10050:C10052"/>
    <mergeCell ref="D10050:D10052"/>
    <mergeCell ref="E10050:E10052"/>
    <mergeCell ref="F10050:F10052"/>
    <mergeCell ref="G10050:G10052"/>
    <mergeCell ref="H10050:H10052"/>
    <mergeCell ref="I10050:I10052"/>
    <mergeCell ref="J10050:J10052"/>
    <mergeCell ref="K10050:K10052"/>
    <mergeCell ref="L10050:L10052"/>
    <mergeCell ref="M10050:M10052"/>
    <mergeCell ref="N10050:N10052"/>
    <mergeCell ref="A10053:A10054"/>
    <mergeCell ref="B10053:B10054"/>
    <mergeCell ref="C10053:C10054"/>
    <mergeCell ref="D10053:D10054"/>
    <mergeCell ref="E10053:E10054"/>
    <mergeCell ref="F10053:F10054"/>
    <mergeCell ref="G10053:G10054"/>
    <mergeCell ref="H10053:H10054"/>
    <mergeCell ref="I10053:I10054"/>
    <mergeCell ref="J10053:J10054"/>
    <mergeCell ref="K10053:K10054"/>
    <mergeCell ref="L10053:L10054"/>
    <mergeCell ref="M10053:M10054"/>
    <mergeCell ref="N10053:N10054"/>
    <mergeCell ref="A10055:A10056"/>
    <mergeCell ref="B10055:B10056"/>
    <mergeCell ref="C10055:C10056"/>
    <mergeCell ref="D10055:D10056"/>
    <mergeCell ref="E10055:E10056"/>
    <mergeCell ref="F10055:F10056"/>
    <mergeCell ref="G10055:G10056"/>
    <mergeCell ref="H10055:H10056"/>
    <mergeCell ref="I10055:I10056"/>
    <mergeCell ref="J10055:J10056"/>
    <mergeCell ref="K10055:K10056"/>
    <mergeCell ref="L10055:L10056"/>
    <mergeCell ref="M10055:M10056"/>
    <mergeCell ref="N10055:N10056"/>
    <mergeCell ref="A10058:A10059"/>
    <mergeCell ref="B10058:B10059"/>
    <mergeCell ref="C10058:C10059"/>
    <mergeCell ref="D10058:D10059"/>
    <mergeCell ref="E10058:E10059"/>
    <mergeCell ref="F10058:F10059"/>
    <mergeCell ref="G10058:G10059"/>
    <mergeCell ref="H10058:H10059"/>
    <mergeCell ref="I10058:I10059"/>
    <mergeCell ref="J10058:J10059"/>
    <mergeCell ref="K10058:K10059"/>
    <mergeCell ref="L10058:L10059"/>
    <mergeCell ref="M10058:M10059"/>
    <mergeCell ref="N10058:N10059"/>
    <mergeCell ref="A10062:A10064"/>
    <mergeCell ref="B10062:B10064"/>
    <mergeCell ref="C10062:C10064"/>
    <mergeCell ref="D10062:D10064"/>
    <mergeCell ref="E10062:E10064"/>
    <mergeCell ref="F10062:F10064"/>
    <mergeCell ref="G10062:G10064"/>
    <mergeCell ref="H10062:H10064"/>
    <mergeCell ref="I10062:I10064"/>
    <mergeCell ref="J10062:J10064"/>
    <mergeCell ref="K10062:K10064"/>
    <mergeCell ref="L10062:L10064"/>
    <mergeCell ref="M10062:M10064"/>
    <mergeCell ref="N10062:N10064"/>
    <mergeCell ref="A10068:A10069"/>
    <mergeCell ref="B10068:B10069"/>
    <mergeCell ref="C10068:C10069"/>
    <mergeCell ref="D10068:D10069"/>
    <mergeCell ref="E10068:E10069"/>
    <mergeCell ref="F10068:F10069"/>
    <mergeCell ref="G10068:G10069"/>
    <mergeCell ref="H10068:H10069"/>
    <mergeCell ref="I10068:I10069"/>
    <mergeCell ref="J10068:J10069"/>
    <mergeCell ref="K10068:K10069"/>
    <mergeCell ref="L10068:L10069"/>
    <mergeCell ref="M10068:M10069"/>
    <mergeCell ref="N10068:N10069"/>
    <mergeCell ref="A10072:A10073"/>
    <mergeCell ref="B10072:B10073"/>
    <mergeCell ref="C10072:C10073"/>
    <mergeCell ref="D10072:D10073"/>
    <mergeCell ref="E10072:E10073"/>
    <mergeCell ref="F10072:F10073"/>
    <mergeCell ref="G10072:G10073"/>
    <mergeCell ref="H10072:H10073"/>
    <mergeCell ref="I10072:I10073"/>
    <mergeCell ref="J10072:J10073"/>
    <mergeCell ref="K10072:K10073"/>
    <mergeCell ref="L10072:L10073"/>
    <mergeCell ref="M10072:M10073"/>
    <mergeCell ref="N10072:N10073"/>
    <mergeCell ref="A10077:A10078"/>
    <mergeCell ref="B10077:B10078"/>
    <mergeCell ref="C10077:C10078"/>
    <mergeCell ref="D10077:D10078"/>
    <mergeCell ref="E10077:E10078"/>
    <mergeCell ref="F10077:F10078"/>
    <mergeCell ref="G10077:G10078"/>
    <mergeCell ref="H10077:H10078"/>
    <mergeCell ref="I10077:I10078"/>
    <mergeCell ref="J10077:J10078"/>
    <mergeCell ref="K10077:K10078"/>
    <mergeCell ref="L10077:L10078"/>
    <mergeCell ref="M10077:M10078"/>
    <mergeCell ref="N10077:N10078"/>
    <mergeCell ref="A10082:A10083"/>
    <mergeCell ref="B10082:B10083"/>
    <mergeCell ref="C10082:C10083"/>
    <mergeCell ref="D10082:D10083"/>
    <mergeCell ref="E10082:E10083"/>
    <mergeCell ref="F10082:F10083"/>
    <mergeCell ref="G10082:G10083"/>
    <mergeCell ref="H10082:H10083"/>
    <mergeCell ref="I10082:I10083"/>
    <mergeCell ref="J10082:J10083"/>
    <mergeCell ref="K10082:K10083"/>
    <mergeCell ref="L10082:L10083"/>
    <mergeCell ref="M10082:M10083"/>
    <mergeCell ref="N10082:N10083"/>
    <mergeCell ref="A10085:A10087"/>
    <mergeCell ref="B10085:B10087"/>
    <mergeCell ref="C10085:C10087"/>
    <mergeCell ref="D10085:D10087"/>
    <mergeCell ref="E10085:E10087"/>
    <mergeCell ref="F10085:F10087"/>
    <mergeCell ref="G10085:G10087"/>
    <mergeCell ref="H10085:H10087"/>
    <mergeCell ref="I10085:I10087"/>
    <mergeCell ref="J10085:J10087"/>
    <mergeCell ref="K10085:K10087"/>
    <mergeCell ref="L10085:L10087"/>
    <mergeCell ref="M10085:M10087"/>
    <mergeCell ref="N10085:N10087"/>
    <mergeCell ref="A10088:A10089"/>
    <mergeCell ref="B10088:B10089"/>
    <mergeCell ref="C10088:C10089"/>
    <mergeCell ref="D10088:D10089"/>
    <mergeCell ref="E10088:E10089"/>
    <mergeCell ref="F10088:F10089"/>
    <mergeCell ref="G10088:G10089"/>
    <mergeCell ref="H10088:H10089"/>
    <mergeCell ref="I10088:I10089"/>
    <mergeCell ref="J10088:J10089"/>
    <mergeCell ref="K10088:K10089"/>
    <mergeCell ref="L10088:L10089"/>
    <mergeCell ref="M10088:M10089"/>
    <mergeCell ref="N10088:N10089"/>
    <mergeCell ref="A10090:A10091"/>
    <mergeCell ref="B10090:B10091"/>
    <mergeCell ref="C10090:C10091"/>
    <mergeCell ref="D10090:D10091"/>
    <mergeCell ref="E10090:E10091"/>
    <mergeCell ref="F10090:F10091"/>
    <mergeCell ref="G10090:G10091"/>
    <mergeCell ref="H10090:H10091"/>
    <mergeCell ref="I10090:I10091"/>
    <mergeCell ref="J10090:J10091"/>
    <mergeCell ref="K10090:K10091"/>
    <mergeCell ref="L10090:L10091"/>
    <mergeCell ref="M10090:M10091"/>
    <mergeCell ref="N10090:N10091"/>
    <mergeCell ref="A10092:A10096"/>
    <mergeCell ref="B10092:B10096"/>
    <mergeCell ref="C10092:C10096"/>
    <mergeCell ref="D10092:D10096"/>
    <mergeCell ref="E10092:E10096"/>
    <mergeCell ref="F10092:F10096"/>
    <mergeCell ref="G10092:G10096"/>
    <mergeCell ref="H10092:H10096"/>
    <mergeCell ref="I10092:I10096"/>
    <mergeCell ref="J10092:J10096"/>
    <mergeCell ref="K10092:K10096"/>
    <mergeCell ref="L10092:L10096"/>
    <mergeCell ref="M10092:M10096"/>
    <mergeCell ref="N10092:N10096"/>
    <mergeCell ref="A10097:A10098"/>
    <mergeCell ref="B10097:B10098"/>
    <mergeCell ref="C10097:C10098"/>
    <mergeCell ref="D10097:D10098"/>
    <mergeCell ref="E10097:E10098"/>
    <mergeCell ref="F10097:F10098"/>
    <mergeCell ref="G10097:G10098"/>
    <mergeCell ref="H10097:H10098"/>
    <mergeCell ref="I10097:I10098"/>
    <mergeCell ref="J10097:J10098"/>
    <mergeCell ref="K10097:K10098"/>
    <mergeCell ref="L10097:L10098"/>
    <mergeCell ref="M10097:M10098"/>
    <mergeCell ref="N10097:N10098"/>
    <mergeCell ref="A10102:A10103"/>
    <mergeCell ref="B10102:B10103"/>
    <mergeCell ref="C10102:C10103"/>
    <mergeCell ref="D10102:D10103"/>
    <mergeCell ref="E10102:E10103"/>
    <mergeCell ref="F10102:F10103"/>
    <mergeCell ref="G10102:G10103"/>
    <mergeCell ref="H10102:H10103"/>
    <mergeCell ref="I10102:I10103"/>
    <mergeCell ref="J10102:J10103"/>
    <mergeCell ref="K10102:K10103"/>
    <mergeCell ref="L10102:L10103"/>
    <mergeCell ref="M10102:M10103"/>
    <mergeCell ref="N10102:N10103"/>
    <mergeCell ref="A10106:A10107"/>
    <mergeCell ref="B10106:B10107"/>
    <mergeCell ref="C10106:C10107"/>
    <mergeCell ref="D10106:D10107"/>
    <mergeCell ref="E10106:E10107"/>
    <mergeCell ref="F10106:F10107"/>
    <mergeCell ref="G10106:G10107"/>
    <mergeCell ref="H10106:H10107"/>
    <mergeCell ref="I10106:I10107"/>
    <mergeCell ref="J10106:J10107"/>
    <mergeCell ref="K10106:K10107"/>
    <mergeCell ref="L10106:L10107"/>
    <mergeCell ref="M10106:M10107"/>
    <mergeCell ref="N10106:N10107"/>
    <mergeCell ref="A10108:A10109"/>
    <mergeCell ref="B10108:B10109"/>
    <mergeCell ref="C10108:C10109"/>
    <mergeCell ref="D10108:D10109"/>
    <mergeCell ref="E10108:E10109"/>
    <mergeCell ref="F10108:F10109"/>
    <mergeCell ref="G10108:G10109"/>
    <mergeCell ref="H10108:H10109"/>
    <mergeCell ref="I10108:I10109"/>
    <mergeCell ref="J10108:J10109"/>
    <mergeCell ref="K10108:K10109"/>
    <mergeCell ref="L10108:L10109"/>
    <mergeCell ref="M10108:M10109"/>
    <mergeCell ref="N10108:N10109"/>
    <mergeCell ref="A10110:A10111"/>
    <mergeCell ref="B10110:B10111"/>
    <mergeCell ref="C10110:C10111"/>
    <mergeCell ref="D10110:D10111"/>
    <mergeCell ref="E10110:E10111"/>
    <mergeCell ref="F10110:F10111"/>
    <mergeCell ref="G10110:G10111"/>
    <mergeCell ref="H10110:H10111"/>
    <mergeCell ref="I10110:I10111"/>
    <mergeCell ref="J10110:J10111"/>
    <mergeCell ref="K10110:K10111"/>
    <mergeCell ref="L10110:L10111"/>
    <mergeCell ref="M10110:M10111"/>
    <mergeCell ref="N10110:N10111"/>
    <mergeCell ref="A10113:A10114"/>
    <mergeCell ref="B10113:B10114"/>
    <mergeCell ref="C10113:C10114"/>
    <mergeCell ref="D10113:D10114"/>
    <mergeCell ref="E10113:E10114"/>
    <mergeCell ref="F10113:F10114"/>
    <mergeCell ref="G10113:G10114"/>
    <mergeCell ref="H10113:H10114"/>
    <mergeCell ref="I10113:I10114"/>
    <mergeCell ref="J10113:J10114"/>
    <mergeCell ref="K10113:K10114"/>
    <mergeCell ref="L10113:L10114"/>
    <mergeCell ref="M10113:M10114"/>
    <mergeCell ref="N10113:N10114"/>
    <mergeCell ref="A10115:A10116"/>
    <mergeCell ref="B10115:B10116"/>
    <mergeCell ref="C10115:C10116"/>
    <mergeCell ref="D10115:D10116"/>
    <mergeCell ref="E10115:E10116"/>
    <mergeCell ref="F10115:F10116"/>
    <mergeCell ref="G10115:G10116"/>
    <mergeCell ref="H10115:H10116"/>
    <mergeCell ref="I10115:I10116"/>
    <mergeCell ref="J10115:J10116"/>
    <mergeCell ref="K10115:K10116"/>
    <mergeCell ref="L10115:L10116"/>
    <mergeCell ref="M10115:M10116"/>
    <mergeCell ref="N10115:N10116"/>
    <mergeCell ref="A10117:A10118"/>
    <mergeCell ref="B10117:B10118"/>
    <mergeCell ref="C10117:C10118"/>
    <mergeCell ref="D10117:D10118"/>
    <mergeCell ref="E10117:E10118"/>
    <mergeCell ref="F10117:F10118"/>
    <mergeCell ref="G10117:G10118"/>
    <mergeCell ref="H10117:H10118"/>
    <mergeCell ref="I10117:I10118"/>
    <mergeCell ref="J10117:J10118"/>
    <mergeCell ref="K10117:K10118"/>
    <mergeCell ref="L10117:L10118"/>
    <mergeCell ref="M10117:M10118"/>
    <mergeCell ref="N10117:N10118"/>
    <mergeCell ref="A10119:A10120"/>
    <mergeCell ref="B10119:B10120"/>
    <mergeCell ref="C10119:C10120"/>
    <mergeCell ref="D10119:D10120"/>
    <mergeCell ref="E10119:E10120"/>
    <mergeCell ref="F10119:F10120"/>
    <mergeCell ref="G10119:G10120"/>
    <mergeCell ref="H10119:H10120"/>
    <mergeCell ref="I10119:I10120"/>
    <mergeCell ref="J10119:J10120"/>
    <mergeCell ref="K10119:K10120"/>
    <mergeCell ref="L10119:L10120"/>
    <mergeCell ref="M10119:M10120"/>
    <mergeCell ref="N10119:N10120"/>
    <mergeCell ref="A10123:A10124"/>
    <mergeCell ref="B10123:B10124"/>
    <mergeCell ref="C10123:C10124"/>
    <mergeCell ref="D10123:D10124"/>
    <mergeCell ref="E10123:E10124"/>
    <mergeCell ref="F10123:F10124"/>
    <mergeCell ref="G10123:G10124"/>
    <mergeCell ref="H10123:H10124"/>
    <mergeCell ref="I10123:I10124"/>
    <mergeCell ref="J10123:J10124"/>
    <mergeCell ref="K10123:K10124"/>
    <mergeCell ref="L10123:L10124"/>
    <mergeCell ref="M10123:M10124"/>
    <mergeCell ref="N10123:N10124"/>
    <mergeCell ref="A10132:A10134"/>
    <mergeCell ref="B10132:B10134"/>
    <mergeCell ref="C10132:C10134"/>
    <mergeCell ref="D10132:D10134"/>
    <mergeCell ref="E10132:E10134"/>
    <mergeCell ref="F10132:F10134"/>
    <mergeCell ref="G10132:G10134"/>
    <mergeCell ref="H10132:H10134"/>
    <mergeCell ref="I10132:I10134"/>
    <mergeCell ref="J10132:J10134"/>
    <mergeCell ref="K10132:K10134"/>
    <mergeCell ref="L10132:L10134"/>
    <mergeCell ref="M10132:M10134"/>
    <mergeCell ref="N10132:N10134"/>
    <mergeCell ref="A10139:A10140"/>
    <mergeCell ref="B10139:B10140"/>
    <mergeCell ref="C10139:C10140"/>
    <mergeCell ref="D10139:D10140"/>
    <mergeCell ref="E10139:E10140"/>
    <mergeCell ref="F10139:F10140"/>
    <mergeCell ref="G10139:G10140"/>
    <mergeCell ref="H10139:H10140"/>
    <mergeCell ref="I10139:I10140"/>
    <mergeCell ref="J10139:J10140"/>
    <mergeCell ref="K10139:K10140"/>
    <mergeCell ref="L10139:L10140"/>
    <mergeCell ref="M10139:M10140"/>
    <mergeCell ref="N10139:N10140"/>
    <mergeCell ref="A10144:A10145"/>
    <mergeCell ref="B10144:B10145"/>
    <mergeCell ref="C10144:C10145"/>
    <mergeCell ref="D10144:D10145"/>
    <mergeCell ref="E10144:E10145"/>
    <mergeCell ref="F10144:F10145"/>
    <mergeCell ref="G10144:G10145"/>
    <mergeCell ref="H10144:H10145"/>
    <mergeCell ref="I10144:I10145"/>
    <mergeCell ref="J10144:J10145"/>
    <mergeCell ref="K10144:K10145"/>
    <mergeCell ref="L10144:L10145"/>
    <mergeCell ref="M10144:M10145"/>
    <mergeCell ref="N10144:N10145"/>
    <mergeCell ref="A10146:A10147"/>
    <mergeCell ref="B10146:B10147"/>
    <mergeCell ref="C10146:C10147"/>
    <mergeCell ref="D10146:D10147"/>
    <mergeCell ref="E10146:E10147"/>
    <mergeCell ref="F10146:F10147"/>
    <mergeCell ref="G10146:G10147"/>
    <mergeCell ref="H10146:H10147"/>
    <mergeCell ref="I10146:I10147"/>
    <mergeCell ref="J10146:J10147"/>
    <mergeCell ref="K10146:K10147"/>
    <mergeCell ref="L10146:L10147"/>
    <mergeCell ref="M10146:M10147"/>
    <mergeCell ref="N10146:N10147"/>
    <mergeCell ref="A10152:A10154"/>
    <mergeCell ref="B10152:B10154"/>
    <mergeCell ref="C10152:C10154"/>
    <mergeCell ref="D10152:D10154"/>
    <mergeCell ref="E10152:E10154"/>
    <mergeCell ref="F10152:F10154"/>
    <mergeCell ref="G10152:G10154"/>
    <mergeCell ref="H10152:H10154"/>
    <mergeCell ref="I10152:I10154"/>
    <mergeCell ref="J10152:J10154"/>
    <mergeCell ref="K10152:K10154"/>
    <mergeCell ref="L10152:L10154"/>
    <mergeCell ref="M10152:M10154"/>
    <mergeCell ref="N10152:N10154"/>
    <mergeCell ref="A10158:A10163"/>
    <mergeCell ref="B10158:B10163"/>
    <mergeCell ref="C10158:C10163"/>
    <mergeCell ref="D10158:D10163"/>
    <mergeCell ref="E10158:E10163"/>
    <mergeCell ref="F10158:F10163"/>
    <mergeCell ref="G10158:G10163"/>
    <mergeCell ref="H10158:H10163"/>
    <mergeCell ref="I10158:I10163"/>
    <mergeCell ref="J10158:J10163"/>
    <mergeCell ref="K10158:K10163"/>
    <mergeCell ref="L10158:L10163"/>
    <mergeCell ref="M10158:M10163"/>
    <mergeCell ref="N10158:N10163"/>
    <mergeCell ref="A10169:A10170"/>
    <mergeCell ref="B10169:B10170"/>
    <mergeCell ref="C10169:C10170"/>
    <mergeCell ref="D10169:D10170"/>
    <mergeCell ref="E10169:E10170"/>
    <mergeCell ref="F10169:F10170"/>
    <mergeCell ref="G10169:G10170"/>
    <mergeCell ref="H10169:H10170"/>
    <mergeCell ref="I10169:I10170"/>
    <mergeCell ref="J10169:J10170"/>
    <mergeCell ref="K10169:K10170"/>
    <mergeCell ref="L10169:L10170"/>
    <mergeCell ref="M10169:M10170"/>
    <mergeCell ref="N10169:N10170"/>
    <mergeCell ref="A10175:A10178"/>
    <mergeCell ref="B10175:B10178"/>
    <mergeCell ref="C10175:C10178"/>
    <mergeCell ref="D10175:D10178"/>
    <mergeCell ref="E10175:E10178"/>
    <mergeCell ref="F10175:F10178"/>
    <mergeCell ref="G10175:G10178"/>
    <mergeCell ref="H10175:H10178"/>
    <mergeCell ref="I10175:I10178"/>
    <mergeCell ref="J10175:J10178"/>
    <mergeCell ref="K10175:K10178"/>
    <mergeCell ref="L10175:L10178"/>
    <mergeCell ref="M10175:M10178"/>
    <mergeCell ref="N10175:N10178"/>
    <mergeCell ref="A10180:A10181"/>
    <mergeCell ref="B10180:B10181"/>
    <mergeCell ref="C10180:C10181"/>
    <mergeCell ref="D10180:D10181"/>
    <mergeCell ref="E10180:E10181"/>
    <mergeCell ref="F10180:F10181"/>
    <mergeCell ref="G10180:G10181"/>
    <mergeCell ref="H10180:H10181"/>
    <mergeCell ref="I10180:I10181"/>
    <mergeCell ref="J10180:J10181"/>
    <mergeCell ref="K10180:K10181"/>
    <mergeCell ref="L10180:L10181"/>
    <mergeCell ref="M10180:M10181"/>
    <mergeCell ref="N10180:N10181"/>
    <mergeCell ref="A10186:A10187"/>
    <mergeCell ref="B10186:B10187"/>
    <mergeCell ref="C10186:C10187"/>
    <mergeCell ref="D10186:D10187"/>
    <mergeCell ref="E10186:E10187"/>
    <mergeCell ref="F10186:F10187"/>
    <mergeCell ref="G10186:G10187"/>
    <mergeCell ref="H10186:H10187"/>
    <mergeCell ref="I10186:I10187"/>
    <mergeCell ref="J10186:J10187"/>
    <mergeCell ref="K10186:K10187"/>
    <mergeCell ref="L10186:L10187"/>
    <mergeCell ref="M10186:M10187"/>
    <mergeCell ref="N10186:N10187"/>
    <mergeCell ref="A10188:A10190"/>
    <mergeCell ref="B10188:B10190"/>
    <mergeCell ref="C10188:C10190"/>
    <mergeCell ref="D10188:D10190"/>
    <mergeCell ref="E10188:E10190"/>
    <mergeCell ref="F10188:F10190"/>
    <mergeCell ref="G10188:G10190"/>
    <mergeCell ref="H10188:H10190"/>
    <mergeCell ref="I10188:I10190"/>
    <mergeCell ref="J10188:J10190"/>
    <mergeCell ref="K10188:K10190"/>
    <mergeCell ref="L10188:L10190"/>
    <mergeCell ref="M10188:M10190"/>
    <mergeCell ref="N10188:N10190"/>
    <mergeCell ref="A10191:A10192"/>
    <mergeCell ref="B10191:B10192"/>
    <mergeCell ref="C10191:C10192"/>
    <mergeCell ref="D10191:D10192"/>
    <mergeCell ref="E10191:E10192"/>
    <mergeCell ref="F10191:F10192"/>
    <mergeCell ref="G10191:G10192"/>
    <mergeCell ref="H10191:H10192"/>
    <mergeCell ref="I10191:I10192"/>
    <mergeCell ref="J10191:J10192"/>
    <mergeCell ref="K10191:K10192"/>
    <mergeCell ref="L10191:L10192"/>
    <mergeCell ref="M10191:M10192"/>
    <mergeCell ref="N10191:N10192"/>
    <mergeCell ref="A10193:A10194"/>
    <mergeCell ref="B10193:B10194"/>
    <mergeCell ref="C10193:C10194"/>
    <mergeCell ref="D10193:D10194"/>
    <mergeCell ref="E10193:E10194"/>
    <mergeCell ref="F10193:F10194"/>
    <mergeCell ref="G10193:G10194"/>
    <mergeCell ref="H10193:H10194"/>
    <mergeCell ref="I10193:I10194"/>
    <mergeCell ref="J10193:J10194"/>
    <mergeCell ref="K10193:K10194"/>
    <mergeCell ref="L10193:L10194"/>
    <mergeCell ref="M10193:M10194"/>
    <mergeCell ref="N10193:N10194"/>
    <mergeCell ref="A10198:A10199"/>
    <mergeCell ref="B10198:B10199"/>
    <mergeCell ref="C10198:C10199"/>
    <mergeCell ref="D10198:D10199"/>
    <mergeCell ref="E10198:E10199"/>
    <mergeCell ref="F10198:F10199"/>
    <mergeCell ref="G10198:G10199"/>
    <mergeCell ref="H10198:H10199"/>
    <mergeCell ref="I10198:I10199"/>
    <mergeCell ref="J10198:J10199"/>
    <mergeCell ref="K10198:K10199"/>
    <mergeCell ref="L10198:L10199"/>
    <mergeCell ref="M10198:M10199"/>
    <mergeCell ref="N10198:N10199"/>
    <mergeCell ref="A10200:A10202"/>
    <mergeCell ref="B10200:B10202"/>
    <mergeCell ref="C10200:C10202"/>
    <mergeCell ref="D10200:D10202"/>
    <mergeCell ref="E10200:E10202"/>
    <mergeCell ref="F10200:F10202"/>
    <mergeCell ref="G10200:G10202"/>
    <mergeCell ref="H10200:H10202"/>
    <mergeCell ref="I10200:I10202"/>
    <mergeCell ref="J10200:J10202"/>
    <mergeCell ref="K10200:K10202"/>
    <mergeCell ref="L10200:L10202"/>
    <mergeCell ref="M10200:M10202"/>
    <mergeCell ref="N10200:N10202"/>
    <mergeCell ref="A10203:A10204"/>
    <mergeCell ref="B10203:B10204"/>
    <mergeCell ref="C10203:C10204"/>
    <mergeCell ref="D10203:D10204"/>
    <mergeCell ref="E10203:E10204"/>
    <mergeCell ref="F10203:F10204"/>
    <mergeCell ref="G10203:G10204"/>
    <mergeCell ref="H10203:H10204"/>
    <mergeCell ref="I10203:I10204"/>
    <mergeCell ref="J10203:J10204"/>
    <mergeCell ref="K10203:K10204"/>
    <mergeCell ref="L10203:L10204"/>
    <mergeCell ref="M10203:M10204"/>
    <mergeCell ref="N10203:N10204"/>
    <mergeCell ref="A10209:A10210"/>
    <mergeCell ref="B10209:B10210"/>
    <mergeCell ref="C10209:C10210"/>
    <mergeCell ref="D10209:D10210"/>
    <mergeCell ref="E10209:E10210"/>
    <mergeCell ref="F10209:F10210"/>
    <mergeCell ref="G10209:G10210"/>
    <mergeCell ref="H10209:H10210"/>
    <mergeCell ref="I10209:I10210"/>
    <mergeCell ref="J10209:J10210"/>
    <mergeCell ref="K10209:K10210"/>
    <mergeCell ref="L10209:L10210"/>
    <mergeCell ref="M10209:M10210"/>
    <mergeCell ref="N10209:N10210"/>
    <mergeCell ref="A10211:A10213"/>
    <mergeCell ref="B10211:B10213"/>
    <mergeCell ref="C10211:C10213"/>
    <mergeCell ref="D10211:D10213"/>
    <mergeCell ref="E10211:E10213"/>
    <mergeCell ref="F10211:F10213"/>
    <mergeCell ref="G10211:G10213"/>
    <mergeCell ref="H10211:H10213"/>
    <mergeCell ref="I10211:I10213"/>
    <mergeCell ref="J10211:J10213"/>
    <mergeCell ref="K10211:K10213"/>
    <mergeCell ref="L10211:L10213"/>
    <mergeCell ref="M10211:M10213"/>
    <mergeCell ref="N10211:N10213"/>
    <mergeCell ref="A10214:A10215"/>
    <mergeCell ref="B10214:B10215"/>
    <mergeCell ref="C10214:C10215"/>
    <mergeCell ref="D10214:D10215"/>
    <mergeCell ref="E10214:E10215"/>
    <mergeCell ref="F10214:F10215"/>
    <mergeCell ref="G10214:G10215"/>
    <mergeCell ref="H10214:H10215"/>
    <mergeCell ref="I10214:I10215"/>
    <mergeCell ref="J10214:J10215"/>
    <mergeCell ref="K10214:K10215"/>
    <mergeCell ref="L10214:L10215"/>
    <mergeCell ref="M10214:M10215"/>
    <mergeCell ref="N10214:N10215"/>
    <mergeCell ref="A10220:A10221"/>
    <mergeCell ref="B10220:B10221"/>
    <mergeCell ref="C10220:C10221"/>
    <mergeCell ref="D10220:D10221"/>
    <mergeCell ref="E10220:E10221"/>
    <mergeCell ref="F10220:F10221"/>
    <mergeCell ref="G10220:G10221"/>
    <mergeCell ref="H10220:H10221"/>
    <mergeCell ref="I10220:I10221"/>
    <mergeCell ref="J10220:J10221"/>
    <mergeCell ref="K10220:K10221"/>
    <mergeCell ref="L10220:L10221"/>
    <mergeCell ref="M10220:M10221"/>
    <mergeCell ref="N10220:N10221"/>
    <mergeCell ref="A10224:A10226"/>
    <mergeCell ref="B10224:B10226"/>
    <mergeCell ref="C10224:C10226"/>
    <mergeCell ref="D10224:D10226"/>
    <mergeCell ref="E10224:E10226"/>
    <mergeCell ref="F10224:F10226"/>
    <mergeCell ref="G10224:G10226"/>
    <mergeCell ref="H10224:H10226"/>
    <mergeCell ref="I10224:I10226"/>
    <mergeCell ref="J10224:J10226"/>
    <mergeCell ref="K10224:K10226"/>
    <mergeCell ref="L10224:L10226"/>
    <mergeCell ref="M10224:M10226"/>
    <mergeCell ref="N10224:N10226"/>
    <mergeCell ref="A10227:A10229"/>
    <mergeCell ref="B10227:B10229"/>
    <mergeCell ref="C10227:C10229"/>
    <mergeCell ref="D10227:D10229"/>
    <mergeCell ref="E10227:E10229"/>
    <mergeCell ref="F10227:F10229"/>
    <mergeCell ref="G10227:G10229"/>
    <mergeCell ref="H10227:H10229"/>
    <mergeCell ref="I10227:I10229"/>
    <mergeCell ref="J10227:J10229"/>
    <mergeCell ref="K10227:K10229"/>
    <mergeCell ref="L10227:L10229"/>
    <mergeCell ref="M10227:M10229"/>
    <mergeCell ref="N10227:N10229"/>
    <mergeCell ref="A10232:A10233"/>
    <mergeCell ref="B10232:B10233"/>
    <mergeCell ref="C10232:C10233"/>
    <mergeCell ref="D10232:D10233"/>
    <mergeCell ref="E10232:E10233"/>
    <mergeCell ref="F10232:F10233"/>
    <mergeCell ref="G10232:G10233"/>
    <mergeCell ref="H10232:H10233"/>
    <mergeCell ref="I10232:I10233"/>
    <mergeCell ref="J10232:J10233"/>
    <mergeCell ref="K10232:K10233"/>
    <mergeCell ref="L10232:L10233"/>
    <mergeCell ref="M10232:M10233"/>
    <mergeCell ref="N10232:N10233"/>
    <mergeCell ref="A10237:A10238"/>
    <mergeCell ref="B10237:B10238"/>
    <mergeCell ref="C10237:C10238"/>
    <mergeCell ref="D10237:D10238"/>
    <mergeCell ref="E10237:E10238"/>
    <mergeCell ref="F10237:F10238"/>
    <mergeCell ref="G10237:G10238"/>
    <mergeCell ref="H10237:H10238"/>
    <mergeCell ref="I10237:I10238"/>
    <mergeCell ref="J10237:J10238"/>
    <mergeCell ref="K10237:K10238"/>
    <mergeCell ref="L10237:L10238"/>
    <mergeCell ref="M10237:M10238"/>
    <mergeCell ref="N10237:N10238"/>
    <mergeCell ref="A10241:A10243"/>
    <mergeCell ref="B10241:B10243"/>
    <mergeCell ref="C10241:C10243"/>
    <mergeCell ref="D10241:D10243"/>
    <mergeCell ref="E10241:E10243"/>
    <mergeCell ref="F10241:F10243"/>
    <mergeCell ref="G10241:G10243"/>
    <mergeCell ref="H10241:H10243"/>
    <mergeCell ref="I10241:I10243"/>
    <mergeCell ref="J10241:J10243"/>
    <mergeCell ref="K10241:K10243"/>
    <mergeCell ref="L10241:L10243"/>
    <mergeCell ref="M10241:M10243"/>
    <mergeCell ref="N10241:N10243"/>
    <mergeCell ref="A10245:A10246"/>
    <mergeCell ref="B10245:B10246"/>
    <mergeCell ref="C10245:C10246"/>
    <mergeCell ref="D10245:D10246"/>
    <mergeCell ref="E10245:E10246"/>
    <mergeCell ref="F10245:F10246"/>
    <mergeCell ref="G10245:G10246"/>
    <mergeCell ref="H10245:H10246"/>
    <mergeCell ref="I10245:I10246"/>
    <mergeCell ref="J10245:J10246"/>
    <mergeCell ref="K10245:K10246"/>
    <mergeCell ref="L10245:L10246"/>
    <mergeCell ref="M10245:M10246"/>
    <mergeCell ref="N10245:N10246"/>
    <mergeCell ref="A10249:A10251"/>
    <mergeCell ref="B10249:B10251"/>
    <mergeCell ref="C10249:C10251"/>
    <mergeCell ref="D10249:D10251"/>
    <mergeCell ref="E10249:E10251"/>
    <mergeCell ref="F10249:F10251"/>
    <mergeCell ref="G10249:G10251"/>
    <mergeCell ref="H10249:H10251"/>
    <mergeCell ref="I10249:I10251"/>
    <mergeCell ref="J10249:J10251"/>
    <mergeCell ref="K10249:K10251"/>
    <mergeCell ref="L10249:L10251"/>
    <mergeCell ref="M10249:M10251"/>
    <mergeCell ref="N10249:N10251"/>
    <mergeCell ref="A10253:A10254"/>
    <mergeCell ref="B10253:B10254"/>
    <mergeCell ref="C10253:C10254"/>
    <mergeCell ref="D10253:D10254"/>
    <mergeCell ref="E10253:E10254"/>
    <mergeCell ref="F10253:F10254"/>
    <mergeCell ref="G10253:G10254"/>
    <mergeCell ref="H10253:H10254"/>
    <mergeCell ref="I10253:I10254"/>
    <mergeCell ref="J10253:J10254"/>
    <mergeCell ref="K10253:K10254"/>
    <mergeCell ref="L10253:L10254"/>
    <mergeCell ref="M10253:M10254"/>
    <mergeCell ref="N10253:N10254"/>
    <mergeCell ref="A10258:A10260"/>
    <mergeCell ref="B10258:B10260"/>
    <mergeCell ref="C10258:C10260"/>
    <mergeCell ref="D10258:D10260"/>
    <mergeCell ref="E10258:E10260"/>
    <mergeCell ref="F10258:F10260"/>
    <mergeCell ref="G10258:G10260"/>
    <mergeCell ref="H10258:H10260"/>
    <mergeCell ref="I10258:I10260"/>
    <mergeCell ref="J10258:J10260"/>
    <mergeCell ref="K10258:K10260"/>
    <mergeCell ref="L10258:L10260"/>
    <mergeCell ref="M10258:M10260"/>
    <mergeCell ref="N10258:N10260"/>
    <mergeCell ref="A10267:A10268"/>
    <mergeCell ref="B10267:B10268"/>
    <mergeCell ref="C10267:C10268"/>
    <mergeCell ref="D10267:D10268"/>
    <mergeCell ref="E10267:E10268"/>
    <mergeCell ref="F10267:F10268"/>
    <mergeCell ref="G10267:G10268"/>
    <mergeCell ref="H10267:H10268"/>
    <mergeCell ref="I10267:I10268"/>
    <mergeCell ref="J10267:J10268"/>
    <mergeCell ref="K10267:K10268"/>
    <mergeCell ref="L10267:L10268"/>
    <mergeCell ref="M10267:M10268"/>
    <mergeCell ref="N10267:N10268"/>
    <mergeCell ref="A10270:A10271"/>
    <mergeCell ref="B10270:B10271"/>
    <mergeCell ref="C10270:C10271"/>
    <mergeCell ref="D10270:D10271"/>
    <mergeCell ref="E10270:E10271"/>
    <mergeCell ref="F10270:F10271"/>
    <mergeCell ref="G10270:G10271"/>
    <mergeCell ref="H10270:H10271"/>
    <mergeCell ref="I10270:I10271"/>
    <mergeCell ref="J10270:J10271"/>
    <mergeCell ref="K10270:K10271"/>
    <mergeCell ref="L10270:L10271"/>
    <mergeCell ref="M10270:M10271"/>
    <mergeCell ref="N10270:N10271"/>
    <mergeCell ref="A10274:A10277"/>
    <mergeCell ref="B10274:B10277"/>
    <mergeCell ref="C10274:C10277"/>
    <mergeCell ref="D10274:D10277"/>
    <mergeCell ref="E10274:E10277"/>
    <mergeCell ref="F10274:F10277"/>
    <mergeCell ref="G10274:G10277"/>
    <mergeCell ref="H10274:H10277"/>
    <mergeCell ref="I10274:I10277"/>
    <mergeCell ref="J10274:J10277"/>
    <mergeCell ref="K10274:K10277"/>
    <mergeCell ref="L10274:L10277"/>
    <mergeCell ref="M10274:M10277"/>
    <mergeCell ref="N10274:N10277"/>
    <mergeCell ref="A10281:A10282"/>
    <mergeCell ref="B10281:B10282"/>
    <mergeCell ref="C10281:C10282"/>
    <mergeCell ref="D10281:D10282"/>
    <mergeCell ref="E10281:E10282"/>
    <mergeCell ref="F10281:F10282"/>
    <mergeCell ref="G10281:G10282"/>
    <mergeCell ref="H10281:H10282"/>
    <mergeCell ref="I10281:I10282"/>
    <mergeCell ref="J10281:J10282"/>
    <mergeCell ref="K10281:K10282"/>
    <mergeCell ref="L10281:L10282"/>
    <mergeCell ref="M10281:M10282"/>
    <mergeCell ref="N10281:N10282"/>
    <mergeCell ref="A10288:A10289"/>
    <mergeCell ref="B10288:B10289"/>
    <mergeCell ref="C10288:C10289"/>
    <mergeCell ref="D10288:D10289"/>
    <mergeCell ref="E10288:E10289"/>
    <mergeCell ref="F10288:F10289"/>
    <mergeCell ref="G10288:G10289"/>
    <mergeCell ref="H10288:H10289"/>
    <mergeCell ref="I10288:I10289"/>
    <mergeCell ref="J10288:J10289"/>
    <mergeCell ref="K10288:K10289"/>
    <mergeCell ref="L10288:L10289"/>
    <mergeCell ref="M10288:M10289"/>
    <mergeCell ref="N10288:N10289"/>
    <mergeCell ref="A10297:A10298"/>
    <mergeCell ref="B10297:B10298"/>
    <mergeCell ref="C10297:C10298"/>
    <mergeCell ref="D10297:D10298"/>
    <mergeCell ref="E10297:E10298"/>
    <mergeCell ref="F10297:F10298"/>
    <mergeCell ref="G10297:G10298"/>
    <mergeCell ref="H10297:H10298"/>
    <mergeCell ref="I10297:I10298"/>
    <mergeCell ref="J10297:J10298"/>
    <mergeCell ref="K10297:K10298"/>
    <mergeCell ref="L10297:L10298"/>
    <mergeCell ref="M10297:M10298"/>
    <mergeCell ref="N10297:N10298"/>
    <mergeCell ref="A10301:A10302"/>
    <mergeCell ref="B10301:B10302"/>
    <mergeCell ref="C10301:C10302"/>
    <mergeCell ref="D10301:D10302"/>
    <mergeCell ref="E10301:E10302"/>
    <mergeCell ref="F10301:F10302"/>
    <mergeCell ref="G10301:G10302"/>
    <mergeCell ref="H10301:H10302"/>
    <mergeCell ref="I10301:I10302"/>
    <mergeCell ref="J10301:J10302"/>
    <mergeCell ref="K10301:K10302"/>
    <mergeCell ref="L10301:L10302"/>
    <mergeCell ref="M10301:M10302"/>
    <mergeCell ref="N10301:N10302"/>
    <mergeCell ref="A10305:A10306"/>
    <mergeCell ref="B10305:B10306"/>
    <mergeCell ref="C10305:C10306"/>
    <mergeCell ref="D10305:D10306"/>
    <mergeCell ref="E10305:E10306"/>
    <mergeCell ref="F10305:F10306"/>
    <mergeCell ref="G10305:G10306"/>
    <mergeCell ref="H10305:H10306"/>
    <mergeCell ref="I10305:I10306"/>
    <mergeCell ref="J10305:J10306"/>
    <mergeCell ref="K10305:K10306"/>
    <mergeCell ref="L10305:L10306"/>
    <mergeCell ref="M10305:M10306"/>
    <mergeCell ref="N10305:N10306"/>
    <mergeCell ref="A10318:A10319"/>
    <mergeCell ref="B10318:B10319"/>
    <mergeCell ref="C10318:C10319"/>
    <mergeCell ref="D10318:D10319"/>
    <mergeCell ref="E10318:E10319"/>
    <mergeCell ref="F10318:F10319"/>
    <mergeCell ref="G10318:G10319"/>
    <mergeCell ref="H10318:H10319"/>
    <mergeCell ref="I10318:I10319"/>
    <mergeCell ref="J10318:J10319"/>
    <mergeCell ref="K10318:K10319"/>
    <mergeCell ref="L10318:L10319"/>
    <mergeCell ref="M10318:M10319"/>
    <mergeCell ref="N10318:N10319"/>
    <mergeCell ref="A10320:A10323"/>
    <mergeCell ref="B10320:B10323"/>
    <mergeCell ref="C10320:C10323"/>
    <mergeCell ref="D10320:D10323"/>
    <mergeCell ref="E10320:E10323"/>
    <mergeCell ref="F10320:F10323"/>
    <mergeCell ref="G10320:G10323"/>
    <mergeCell ref="H10320:H10323"/>
    <mergeCell ref="I10320:I10323"/>
    <mergeCell ref="J10320:J10323"/>
    <mergeCell ref="K10320:K10323"/>
    <mergeCell ref="L10320:L10323"/>
    <mergeCell ref="M10320:M10323"/>
    <mergeCell ref="N10320:N10323"/>
    <mergeCell ref="A10324:A10327"/>
    <mergeCell ref="B10324:B10327"/>
    <mergeCell ref="C10324:C10327"/>
    <mergeCell ref="D10324:D10327"/>
    <mergeCell ref="E10324:E10327"/>
    <mergeCell ref="F10324:F10327"/>
    <mergeCell ref="G10324:G10327"/>
    <mergeCell ref="H10324:H10327"/>
    <mergeCell ref="I10324:I10327"/>
    <mergeCell ref="J10324:J10327"/>
    <mergeCell ref="K10324:K10327"/>
    <mergeCell ref="L10324:L10327"/>
    <mergeCell ref="M10324:M10327"/>
    <mergeCell ref="N10324:N10327"/>
    <mergeCell ref="A10328:A10330"/>
    <mergeCell ref="B10328:B10330"/>
    <mergeCell ref="C10328:C10330"/>
    <mergeCell ref="D10328:D10330"/>
    <mergeCell ref="E10328:E10330"/>
    <mergeCell ref="F10328:F10330"/>
    <mergeCell ref="G10328:G10330"/>
    <mergeCell ref="H10328:H10330"/>
    <mergeCell ref="I10328:I10330"/>
    <mergeCell ref="J10328:J10330"/>
    <mergeCell ref="K10328:K10330"/>
    <mergeCell ref="L10328:L10330"/>
    <mergeCell ref="M10328:M10330"/>
    <mergeCell ref="N10328:N10330"/>
    <mergeCell ref="A10331:A10332"/>
    <mergeCell ref="B10331:B10332"/>
    <mergeCell ref="C10331:C10332"/>
    <mergeCell ref="D10331:D10332"/>
    <mergeCell ref="E10331:E10332"/>
    <mergeCell ref="F10331:F10332"/>
    <mergeCell ref="G10331:G10332"/>
    <mergeCell ref="H10331:H10332"/>
    <mergeCell ref="I10331:I10332"/>
    <mergeCell ref="J10331:J10332"/>
    <mergeCell ref="K10331:K10332"/>
    <mergeCell ref="L10331:L10332"/>
    <mergeCell ref="M10331:M10332"/>
    <mergeCell ref="N10331:N10332"/>
    <mergeCell ref="A10337:A10338"/>
    <mergeCell ref="B10337:B10338"/>
    <mergeCell ref="C10337:C10338"/>
    <mergeCell ref="D10337:D10338"/>
    <mergeCell ref="E10337:E10338"/>
    <mergeCell ref="F10337:F10338"/>
    <mergeCell ref="G10337:G10338"/>
    <mergeCell ref="H10337:H10338"/>
    <mergeCell ref="I10337:I10338"/>
    <mergeCell ref="J10337:J10338"/>
    <mergeCell ref="K10337:K10338"/>
    <mergeCell ref="L10337:L10338"/>
    <mergeCell ref="M10337:M10338"/>
    <mergeCell ref="N10337:N10338"/>
    <mergeCell ref="A10344:A10347"/>
    <mergeCell ref="B10344:B10347"/>
    <mergeCell ref="C10344:C10347"/>
    <mergeCell ref="D10344:D10347"/>
    <mergeCell ref="E10344:E10347"/>
    <mergeCell ref="F10344:F10347"/>
    <mergeCell ref="G10344:G10347"/>
    <mergeCell ref="H10344:H10347"/>
    <mergeCell ref="I10344:I10347"/>
    <mergeCell ref="J10344:J10347"/>
    <mergeCell ref="K10344:K10347"/>
    <mergeCell ref="L10344:L10347"/>
    <mergeCell ref="M10344:M10347"/>
    <mergeCell ref="N10344:N10347"/>
    <mergeCell ref="A10348:A10349"/>
    <mergeCell ref="B10348:B10349"/>
    <mergeCell ref="C10348:C10349"/>
    <mergeCell ref="D10348:D10349"/>
    <mergeCell ref="E10348:E10349"/>
    <mergeCell ref="F10348:F10349"/>
    <mergeCell ref="G10348:G10349"/>
    <mergeCell ref="H10348:H10349"/>
    <mergeCell ref="I10348:I10349"/>
    <mergeCell ref="J10348:J10349"/>
    <mergeCell ref="K10348:K10349"/>
    <mergeCell ref="L10348:L10349"/>
    <mergeCell ref="M10348:M10349"/>
    <mergeCell ref="N10348:N10349"/>
    <mergeCell ref="A10351:A10352"/>
    <mergeCell ref="B10351:B10352"/>
    <mergeCell ref="C10351:C10352"/>
    <mergeCell ref="D10351:D10352"/>
    <mergeCell ref="E10351:E10352"/>
    <mergeCell ref="F10351:F10352"/>
    <mergeCell ref="G10351:G10352"/>
    <mergeCell ref="H10351:H10352"/>
    <mergeCell ref="I10351:I10352"/>
    <mergeCell ref="J10351:J10352"/>
    <mergeCell ref="K10351:K10352"/>
    <mergeCell ref="L10351:L10352"/>
    <mergeCell ref="M10351:M10352"/>
    <mergeCell ref="N10351:N10352"/>
    <mergeCell ref="A10356:A10357"/>
    <mergeCell ref="B10356:B10357"/>
    <mergeCell ref="C10356:C10357"/>
    <mergeCell ref="D10356:D10357"/>
    <mergeCell ref="E10356:E10357"/>
    <mergeCell ref="F10356:F10357"/>
    <mergeCell ref="G10356:G10357"/>
    <mergeCell ref="H10356:H10357"/>
    <mergeCell ref="I10356:I10357"/>
    <mergeCell ref="J10356:J10357"/>
    <mergeCell ref="K10356:K10357"/>
    <mergeCell ref="L10356:L10357"/>
    <mergeCell ref="M10356:M10357"/>
    <mergeCell ref="N10356:N10357"/>
    <mergeCell ref="A10361:A10364"/>
    <mergeCell ref="B10361:B10364"/>
    <mergeCell ref="C10361:C10364"/>
    <mergeCell ref="D10361:D10364"/>
    <mergeCell ref="E10361:E10364"/>
    <mergeCell ref="F10361:F10364"/>
    <mergeCell ref="G10361:G10364"/>
    <mergeCell ref="H10361:H10364"/>
    <mergeCell ref="I10361:I10364"/>
    <mergeCell ref="J10361:J10364"/>
    <mergeCell ref="K10361:K10364"/>
    <mergeCell ref="L10361:L10364"/>
    <mergeCell ref="M10361:M10364"/>
    <mergeCell ref="N10361:N10364"/>
    <mergeCell ref="A10367:A10368"/>
    <mergeCell ref="B10367:B10368"/>
    <mergeCell ref="C10367:C10368"/>
    <mergeCell ref="D10367:D10368"/>
    <mergeCell ref="E10367:E10368"/>
    <mergeCell ref="F10367:F10368"/>
    <mergeCell ref="G10367:G10368"/>
    <mergeCell ref="H10367:H10368"/>
    <mergeCell ref="I10367:I10368"/>
    <mergeCell ref="J10367:J10368"/>
    <mergeCell ref="K10367:K10368"/>
    <mergeCell ref="L10367:L10368"/>
    <mergeCell ref="M10367:M10368"/>
    <mergeCell ref="N10367:N10368"/>
    <mergeCell ref="A10369:A10370"/>
    <mergeCell ref="B10369:B10370"/>
    <mergeCell ref="C10369:C10370"/>
    <mergeCell ref="D10369:D10370"/>
    <mergeCell ref="E10369:E10370"/>
    <mergeCell ref="F10369:F10370"/>
    <mergeCell ref="G10369:G10370"/>
    <mergeCell ref="H10369:H10370"/>
    <mergeCell ref="I10369:I10370"/>
    <mergeCell ref="J10369:J10370"/>
    <mergeCell ref="K10369:K10370"/>
    <mergeCell ref="L10369:L10370"/>
    <mergeCell ref="M10369:M10370"/>
    <mergeCell ref="N10369:N10370"/>
    <mergeCell ref="A10371:A10372"/>
    <mergeCell ref="B10371:B10372"/>
    <mergeCell ref="C10371:C10372"/>
    <mergeCell ref="D10371:D10372"/>
    <mergeCell ref="E10371:E10372"/>
    <mergeCell ref="F10371:F10372"/>
    <mergeCell ref="G10371:G10372"/>
    <mergeCell ref="H10371:H10372"/>
    <mergeCell ref="I10371:I10372"/>
    <mergeCell ref="J10371:J10372"/>
    <mergeCell ref="K10371:K10372"/>
    <mergeCell ref="L10371:L10372"/>
    <mergeCell ref="M10371:M10372"/>
    <mergeCell ref="N10371:N10372"/>
    <mergeCell ref="A10373:A10375"/>
    <mergeCell ref="B10373:B10375"/>
    <mergeCell ref="C10373:C10375"/>
    <mergeCell ref="D10373:D10375"/>
    <mergeCell ref="E10373:E10375"/>
    <mergeCell ref="F10373:F10375"/>
    <mergeCell ref="G10373:G10375"/>
    <mergeCell ref="H10373:H10375"/>
    <mergeCell ref="I10373:I10375"/>
    <mergeCell ref="J10373:J10375"/>
    <mergeCell ref="K10373:K10375"/>
    <mergeCell ref="L10373:L10375"/>
    <mergeCell ref="M10373:M10375"/>
    <mergeCell ref="N10373:N10375"/>
    <mergeCell ref="A10377:A10378"/>
    <mergeCell ref="B10377:B10378"/>
    <mergeCell ref="C10377:C10378"/>
    <mergeCell ref="D10377:D10378"/>
    <mergeCell ref="E10377:E10378"/>
    <mergeCell ref="F10377:F10378"/>
    <mergeCell ref="G10377:G10378"/>
    <mergeCell ref="H10377:H10378"/>
    <mergeCell ref="I10377:I10378"/>
    <mergeCell ref="J10377:J10378"/>
    <mergeCell ref="K10377:K10378"/>
    <mergeCell ref="L10377:L10378"/>
    <mergeCell ref="M10377:M10378"/>
    <mergeCell ref="N10377:N10378"/>
    <mergeCell ref="A10381:A10382"/>
    <mergeCell ref="B10381:B10382"/>
    <mergeCell ref="C10381:C10382"/>
    <mergeCell ref="D10381:D10382"/>
    <mergeCell ref="E10381:E10382"/>
    <mergeCell ref="F10381:F10382"/>
    <mergeCell ref="G10381:G10382"/>
    <mergeCell ref="H10381:H10382"/>
    <mergeCell ref="I10381:I10382"/>
    <mergeCell ref="J10381:J10382"/>
    <mergeCell ref="K10381:K10382"/>
    <mergeCell ref="L10381:L10382"/>
    <mergeCell ref="M10381:M10382"/>
    <mergeCell ref="N10381:N10382"/>
    <mergeCell ref="A10385:A10386"/>
    <mergeCell ref="B10385:B10386"/>
    <mergeCell ref="C10385:C10386"/>
    <mergeCell ref="D10385:D10386"/>
    <mergeCell ref="E10385:E10386"/>
    <mergeCell ref="F10385:F10386"/>
    <mergeCell ref="G10385:G10386"/>
    <mergeCell ref="H10385:H10386"/>
    <mergeCell ref="I10385:I10386"/>
    <mergeCell ref="J10385:J10386"/>
    <mergeCell ref="K10385:K10386"/>
    <mergeCell ref="L10385:L10386"/>
    <mergeCell ref="M10385:M10386"/>
    <mergeCell ref="N10385:N10386"/>
    <mergeCell ref="A10388:A10390"/>
    <mergeCell ref="B10388:B10390"/>
    <mergeCell ref="C10388:C10390"/>
    <mergeCell ref="D10388:D10390"/>
    <mergeCell ref="E10388:E10390"/>
    <mergeCell ref="F10388:F10390"/>
    <mergeCell ref="G10388:G10390"/>
    <mergeCell ref="H10388:H10390"/>
    <mergeCell ref="I10388:I10390"/>
    <mergeCell ref="J10388:J10390"/>
    <mergeCell ref="K10388:K10390"/>
    <mergeCell ref="L10388:L10390"/>
    <mergeCell ref="M10388:M10390"/>
    <mergeCell ref="N10388:N10390"/>
    <mergeCell ref="A10391:A10393"/>
    <mergeCell ref="B10391:B10393"/>
    <mergeCell ref="C10391:C10393"/>
    <mergeCell ref="D10391:D10393"/>
    <mergeCell ref="E10391:E10393"/>
    <mergeCell ref="F10391:F10393"/>
    <mergeCell ref="G10391:G10393"/>
    <mergeCell ref="H10391:H10393"/>
    <mergeCell ref="I10391:I10393"/>
    <mergeCell ref="J10391:J10393"/>
    <mergeCell ref="K10391:K10393"/>
    <mergeCell ref="L10391:L10393"/>
    <mergeCell ref="M10391:M10393"/>
    <mergeCell ref="N10391:N10393"/>
    <mergeCell ref="A10395:A10398"/>
    <mergeCell ref="B10395:B10398"/>
    <mergeCell ref="C10395:C10398"/>
    <mergeCell ref="D10395:D10398"/>
    <mergeCell ref="E10395:E10398"/>
    <mergeCell ref="F10395:F10398"/>
    <mergeCell ref="G10395:G10398"/>
    <mergeCell ref="H10395:H10398"/>
    <mergeCell ref="I10395:I10398"/>
    <mergeCell ref="J10395:J10398"/>
    <mergeCell ref="K10395:K10398"/>
    <mergeCell ref="L10395:L10398"/>
    <mergeCell ref="M10395:M10398"/>
    <mergeCell ref="N10395:N10398"/>
    <mergeCell ref="A10399:A10400"/>
    <mergeCell ref="B10399:B10400"/>
    <mergeCell ref="C10399:C10400"/>
    <mergeCell ref="D10399:D10400"/>
    <mergeCell ref="E10399:E10400"/>
    <mergeCell ref="F10399:F10400"/>
    <mergeCell ref="G10399:G10400"/>
    <mergeCell ref="H10399:H10400"/>
    <mergeCell ref="I10399:I10400"/>
    <mergeCell ref="J10399:J10400"/>
    <mergeCell ref="K10399:K10400"/>
    <mergeCell ref="L10399:L10400"/>
    <mergeCell ref="M10399:M10400"/>
    <mergeCell ref="N10399:N10400"/>
    <mergeCell ref="A10404:A10406"/>
    <mergeCell ref="B10404:B10406"/>
    <mergeCell ref="C10404:C10406"/>
    <mergeCell ref="D10404:D10406"/>
    <mergeCell ref="E10404:E10406"/>
    <mergeCell ref="F10404:F10406"/>
    <mergeCell ref="G10404:G10406"/>
    <mergeCell ref="H10404:H10406"/>
    <mergeCell ref="I10404:I10406"/>
    <mergeCell ref="J10404:J10406"/>
    <mergeCell ref="K10404:K10406"/>
    <mergeCell ref="L10404:L10406"/>
    <mergeCell ref="M10404:M10406"/>
    <mergeCell ref="N10404:N10406"/>
    <mergeCell ref="A10408:A10409"/>
    <mergeCell ref="B10408:B10409"/>
    <mergeCell ref="C10408:C10409"/>
    <mergeCell ref="D10408:D10409"/>
    <mergeCell ref="E10408:E10409"/>
    <mergeCell ref="F10408:F10409"/>
    <mergeCell ref="G10408:G10409"/>
    <mergeCell ref="H10408:H10409"/>
    <mergeCell ref="I10408:I10409"/>
    <mergeCell ref="J10408:J10409"/>
    <mergeCell ref="K10408:K10409"/>
    <mergeCell ref="L10408:L10409"/>
    <mergeCell ref="M10408:M10409"/>
    <mergeCell ref="N10408:N10409"/>
    <mergeCell ref="A10410:A10412"/>
    <mergeCell ref="B10410:B10412"/>
    <mergeCell ref="C10410:C10412"/>
    <mergeCell ref="D10410:D10412"/>
    <mergeCell ref="E10410:E10412"/>
    <mergeCell ref="F10410:F10412"/>
    <mergeCell ref="G10410:G10412"/>
    <mergeCell ref="H10410:H10412"/>
    <mergeCell ref="I10410:I10412"/>
    <mergeCell ref="J10410:J10412"/>
    <mergeCell ref="K10410:K10412"/>
    <mergeCell ref="L10410:L10412"/>
    <mergeCell ref="M10410:M10412"/>
    <mergeCell ref="N10410:N10412"/>
    <mergeCell ref="A10422:A10424"/>
    <mergeCell ref="B10422:B10424"/>
    <mergeCell ref="C10422:C10424"/>
    <mergeCell ref="D10422:D10424"/>
    <mergeCell ref="E10422:E10424"/>
    <mergeCell ref="F10422:F10424"/>
    <mergeCell ref="G10422:G10424"/>
    <mergeCell ref="H10422:H10424"/>
    <mergeCell ref="I10422:I10424"/>
    <mergeCell ref="J10422:J10424"/>
    <mergeCell ref="K10422:K10424"/>
    <mergeCell ref="L10422:L10424"/>
    <mergeCell ref="M10422:M10424"/>
    <mergeCell ref="N10422:N10424"/>
    <mergeCell ref="A10427:A10428"/>
    <mergeCell ref="B10427:B10428"/>
    <mergeCell ref="C10427:C10428"/>
    <mergeCell ref="D10427:D10428"/>
    <mergeCell ref="E10427:E10428"/>
    <mergeCell ref="F10427:F10428"/>
    <mergeCell ref="G10427:G10428"/>
    <mergeCell ref="H10427:H10428"/>
    <mergeCell ref="I10427:I10428"/>
    <mergeCell ref="J10427:J10428"/>
    <mergeCell ref="K10427:K10428"/>
    <mergeCell ref="L10427:L10428"/>
    <mergeCell ref="M10427:M10428"/>
    <mergeCell ref="N10427:N10428"/>
    <mergeCell ref="A10433:A10435"/>
    <mergeCell ref="B10433:B10435"/>
    <mergeCell ref="C10433:C10435"/>
    <mergeCell ref="D10433:D10435"/>
    <mergeCell ref="E10433:E10435"/>
    <mergeCell ref="F10433:F10435"/>
    <mergeCell ref="G10433:G10435"/>
    <mergeCell ref="H10433:H10435"/>
    <mergeCell ref="I10433:I10435"/>
    <mergeCell ref="J10433:J10435"/>
    <mergeCell ref="K10433:K10435"/>
    <mergeCell ref="L10433:L10435"/>
    <mergeCell ref="M10433:M10435"/>
    <mergeCell ref="N10433:N10435"/>
    <mergeCell ref="A10438:A10440"/>
    <mergeCell ref="B10438:B10440"/>
    <mergeCell ref="C10438:C10440"/>
    <mergeCell ref="D10438:D10440"/>
    <mergeCell ref="E10438:E10440"/>
    <mergeCell ref="F10438:F10440"/>
    <mergeCell ref="G10438:G10440"/>
    <mergeCell ref="H10438:H10440"/>
    <mergeCell ref="I10438:I10440"/>
    <mergeCell ref="J10438:J10440"/>
    <mergeCell ref="K10438:K10440"/>
    <mergeCell ref="L10438:L10440"/>
    <mergeCell ref="M10438:M10440"/>
    <mergeCell ref="N10438:N10440"/>
    <mergeCell ref="A10443:A10444"/>
    <mergeCell ref="B10443:B10444"/>
    <mergeCell ref="C10443:C10444"/>
    <mergeCell ref="D10443:D10444"/>
    <mergeCell ref="E10443:E10444"/>
    <mergeCell ref="F10443:F10444"/>
    <mergeCell ref="G10443:G10444"/>
    <mergeCell ref="H10443:H10444"/>
    <mergeCell ref="I10443:I10444"/>
    <mergeCell ref="J10443:J10444"/>
    <mergeCell ref="K10443:K10444"/>
    <mergeCell ref="L10443:L10444"/>
    <mergeCell ref="M10443:M10444"/>
    <mergeCell ref="N10443:N10444"/>
    <mergeCell ref="A10449:A10451"/>
    <mergeCell ref="B10449:B10451"/>
    <mergeCell ref="C10449:C10451"/>
    <mergeCell ref="D10449:D10451"/>
    <mergeCell ref="E10449:E10451"/>
    <mergeCell ref="F10449:F10451"/>
    <mergeCell ref="G10449:G10451"/>
    <mergeCell ref="H10449:H10451"/>
    <mergeCell ref="I10449:I10451"/>
    <mergeCell ref="J10449:J10451"/>
    <mergeCell ref="K10449:K10451"/>
    <mergeCell ref="L10449:L10451"/>
    <mergeCell ref="M10449:M10451"/>
    <mergeCell ref="N10449:N10451"/>
    <mergeCell ref="A10452:A10453"/>
    <mergeCell ref="B10452:B10453"/>
    <mergeCell ref="C10452:C10453"/>
    <mergeCell ref="D10452:D10453"/>
    <mergeCell ref="E10452:E10453"/>
    <mergeCell ref="F10452:F10453"/>
    <mergeCell ref="G10452:G10453"/>
    <mergeCell ref="H10452:H10453"/>
    <mergeCell ref="I10452:I10453"/>
    <mergeCell ref="J10452:J10453"/>
    <mergeCell ref="K10452:K10453"/>
    <mergeCell ref="L10452:L10453"/>
    <mergeCell ref="M10452:M10453"/>
    <mergeCell ref="N10452:N10453"/>
    <mergeCell ref="A10454:A10455"/>
    <mergeCell ref="B10454:B10455"/>
    <mergeCell ref="C10454:C10455"/>
    <mergeCell ref="D10454:D10455"/>
    <mergeCell ref="E10454:E10455"/>
    <mergeCell ref="F10454:F10455"/>
    <mergeCell ref="G10454:G10455"/>
    <mergeCell ref="H10454:H10455"/>
    <mergeCell ref="I10454:I10455"/>
    <mergeCell ref="J10454:J10455"/>
    <mergeCell ref="K10454:K10455"/>
    <mergeCell ref="L10454:L10455"/>
    <mergeCell ref="M10454:M10455"/>
    <mergeCell ref="N10454:N10455"/>
    <mergeCell ref="A10464:A10465"/>
    <mergeCell ref="B10464:B10465"/>
    <mergeCell ref="C10464:C10465"/>
    <mergeCell ref="D10464:D10465"/>
    <mergeCell ref="E10464:E10465"/>
    <mergeCell ref="F10464:F10465"/>
    <mergeCell ref="G10464:G10465"/>
    <mergeCell ref="H10464:H10465"/>
    <mergeCell ref="I10464:I10465"/>
    <mergeCell ref="J10464:J10465"/>
    <mergeCell ref="K10464:K10465"/>
    <mergeCell ref="L10464:L10465"/>
    <mergeCell ref="M10464:M10465"/>
    <mergeCell ref="N10464:N10465"/>
    <mergeCell ref="A10467:A10468"/>
    <mergeCell ref="B10467:B10468"/>
    <mergeCell ref="C10467:C10468"/>
    <mergeCell ref="D10467:D10468"/>
    <mergeCell ref="E10467:E10468"/>
    <mergeCell ref="F10467:F10468"/>
    <mergeCell ref="G10467:G10468"/>
    <mergeCell ref="H10467:H10468"/>
    <mergeCell ref="I10467:I10468"/>
    <mergeCell ref="J10467:J10468"/>
    <mergeCell ref="K10467:K10468"/>
    <mergeCell ref="L10467:L10468"/>
    <mergeCell ref="M10467:M10468"/>
    <mergeCell ref="N10467:N10468"/>
    <mergeCell ref="A10469:A10470"/>
    <mergeCell ref="B10469:B10470"/>
    <mergeCell ref="C10469:C10470"/>
    <mergeCell ref="D10469:D10470"/>
    <mergeCell ref="E10469:E10470"/>
    <mergeCell ref="F10469:F10470"/>
    <mergeCell ref="G10469:G10470"/>
    <mergeCell ref="H10469:H10470"/>
    <mergeCell ref="I10469:I10470"/>
    <mergeCell ref="J10469:J10470"/>
    <mergeCell ref="K10469:K10470"/>
    <mergeCell ref="L10469:L10470"/>
    <mergeCell ref="M10469:M10470"/>
    <mergeCell ref="N10469:N10470"/>
    <mergeCell ref="A10473:A10474"/>
    <mergeCell ref="B10473:B10474"/>
    <mergeCell ref="C10473:C10474"/>
    <mergeCell ref="D10473:D10474"/>
    <mergeCell ref="E10473:E10474"/>
    <mergeCell ref="F10473:F10474"/>
    <mergeCell ref="G10473:G10474"/>
    <mergeCell ref="H10473:H10474"/>
    <mergeCell ref="I10473:I10474"/>
    <mergeCell ref="J10473:J10474"/>
    <mergeCell ref="K10473:K10474"/>
    <mergeCell ref="L10473:L10474"/>
    <mergeCell ref="M10473:M10474"/>
    <mergeCell ref="N10473:N10474"/>
    <mergeCell ref="A10475:A10477"/>
    <mergeCell ref="B10475:B10477"/>
    <mergeCell ref="C10475:C10477"/>
    <mergeCell ref="D10475:D10477"/>
    <mergeCell ref="E10475:E10477"/>
    <mergeCell ref="F10475:F10477"/>
    <mergeCell ref="G10475:G10477"/>
    <mergeCell ref="H10475:H10477"/>
    <mergeCell ref="I10475:I10477"/>
    <mergeCell ref="J10475:J10477"/>
    <mergeCell ref="K10475:K10477"/>
    <mergeCell ref="L10475:L10477"/>
    <mergeCell ref="M10475:M10477"/>
    <mergeCell ref="N10475:N10477"/>
    <mergeCell ref="A10482:A10483"/>
    <mergeCell ref="B10482:B10483"/>
    <mergeCell ref="C10482:C10483"/>
    <mergeCell ref="D10482:D10483"/>
    <mergeCell ref="E10482:E10483"/>
    <mergeCell ref="F10482:F10483"/>
    <mergeCell ref="G10482:G10483"/>
    <mergeCell ref="H10482:H10483"/>
    <mergeCell ref="I10482:I10483"/>
    <mergeCell ref="J10482:J10483"/>
    <mergeCell ref="K10482:K10483"/>
    <mergeCell ref="L10482:L10483"/>
    <mergeCell ref="M10482:M10483"/>
    <mergeCell ref="N10482:N10483"/>
    <mergeCell ref="A10485:A10486"/>
    <mergeCell ref="B10485:B10486"/>
    <mergeCell ref="C10485:C10486"/>
    <mergeCell ref="D10485:D10486"/>
    <mergeCell ref="E10485:E10486"/>
    <mergeCell ref="F10485:F10486"/>
    <mergeCell ref="G10485:G10486"/>
    <mergeCell ref="H10485:H10486"/>
    <mergeCell ref="I10485:I10486"/>
    <mergeCell ref="J10485:J10486"/>
    <mergeCell ref="K10485:K10486"/>
    <mergeCell ref="L10485:L10486"/>
    <mergeCell ref="M10485:M10486"/>
    <mergeCell ref="N10485:N10486"/>
    <mergeCell ref="A10488:A10489"/>
    <mergeCell ref="B10488:B10489"/>
    <mergeCell ref="C10488:C10489"/>
    <mergeCell ref="D10488:D10489"/>
    <mergeCell ref="E10488:E10489"/>
    <mergeCell ref="F10488:F10489"/>
    <mergeCell ref="G10488:G10489"/>
    <mergeCell ref="H10488:H10489"/>
    <mergeCell ref="I10488:I10489"/>
    <mergeCell ref="J10488:J10489"/>
    <mergeCell ref="K10488:K10489"/>
    <mergeCell ref="L10488:L10489"/>
    <mergeCell ref="M10488:M10489"/>
    <mergeCell ref="N10488:N10489"/>
    <mergeCell ref="A10491:A10493"/>
    <mergeCell ref="B10491:B10493"/>
    <mergeCell ref="C10491:C10493"/>
    <mergeCell ref="D10491:D10493"/>
    <mergeCell ref="E10491:E10493"/>
    <mergeCell ref="F10491:F10493"/>
    <mergeCell ref="G10491:G10493"/>
    <mergeCell ref="H10491:H10493"/>
    <mergeCell ref="I10491:I10493"/>
    <mergeCell ref="J10491:J10493"/>
    <mergeCell ref="K10491:K10493"/>
    <mergeCell ref="L10491:L10493"/>
    <mergeCell ref="M10491:M10493"/>
    <mergeCell ref="N10491:N10493"/>
    <mergeCell ref="A10494:A10496"/>
    <mergeCell ref="B10494:B10496"/>
    <mergeCell ref="C10494:C10496"/>
    <mergeCell ref="D10494:D10496"/>
    <mergeCell ref="E10494:E10496"/>
    <mergeCell ref="F10494:F10496"/>
    <mergeCell ref="G10494:G10496"/>
    <mergeCell ref="H10494:H10496"/>
    <mergeCell ref="I10494:I10496"/>
    <mergeCell ref="J10494:J10496"/>
    <mergeCell ref="K10494:K10496"/>
    <mergeCell ref="L10494:L10496"/>
    <mergeCell ref="M10494:M10496"/>
    <mergeCell ref="N10494:N10496"/>
    <mergeCell ref="A10497:A10498"/>
    <mergeCell ref="B10497:B10498"/>
    <mergeCell ref="C10497:C10498"/>
    <mergeCell ref="D10497:D10498"/>
    <mergeCell ref="E10497:E10498"/>
    <mergeCell ref="F10497:F10498"/>
    <mergeCell ref="G10497:G10498"/>
    <mergeCell ref="H10497:H10498"/>
    <mergeCell ref="I10497:I10498"/>
    <mergeCell ref="J10497:J10498"/>
    <mergeCell ref="K10497:K10498"/>
    <mergeCell ref="L10497:L10498"/>
    <mergeCell ref="M10497:M10498"/>
    <mergeCell ref="N10497:N10498"/>
    <mergeCell ref="A10502:A10505"/>
    <mergeCell ref="B10502:B10505"/>
    <mergeCell ref="C10502:C10505"/>
    <mergeCell ref="D10502:D10505"/>
    <mergeCell ref="E10502:E10505"/>
    <mergeCell ref="F10502:F10505"/>
    <mergeCell ref="G10502:G10505"/>
    <mergeCell ref="H10502:H10505"/>
    <mergeCell ref="I10502:I10505"/>
    <mergeCell ref="J10502:J10505"/>
    <mergeCell ref="K10502:K10505"/>
    <mergeCell ref="L10502:L10505"/>
    <mergeCell ref="M10502:M10505"/>
    <mergeCell ref="N10502:N10505"/>
    <mergeCell ref="A10508:A10509"/>
    <mergeCell ref="B10508:B10509"/>
    <mergeCell ref="C10508:C10509"/>
    <mergeCell ref="D10508:D10509"/>
    <mergeCell ref="E10508:E10509"/>
    <mergeCell ref="F10508:F10509"/>
    <mergeCell ref="G10508:G10509"/>
    <mergeCell ref="H10508:H10509"/>
    <mergeCell ref="I10508:I10509"/>
    <mergeCell ref="J10508:J10509"/>
    <mergeCell ref="K10508:K10509"/>
    <mergeCell ref="L10508:L10509"/>
    <mergeCell ref="M10508:M10509"/>
    <mergeCell ref="N10508:N10509"/>
    <mergeCell ref="A10510:A10512"/>
    <mergeCell ref="B10510:B10512"/>
    <mergeCell ref="C10510:C10512"/>
    <mergeCell ref="D10510:D10512"/>
    <mergeCell ref="E10510:E10512"/>
    <mergeCell ref="F10510:F10512"/>
    <mergeCell ref="G10510:G10512"/>
    <mergeCell ref="H10510:H10512"/>
    <mergeCell ref="I10510:I10512"/>
    <mergeCell ref="J10510:J10512"/>
    <mergeCell ref="K10510:K10512"/>
    <mergeCell ref="L10510:L10512"/>
    <mergeCell ref="M10510:M10512"/>
    <mergeCell ref="N10510:N10512"/>
    <mergeCell ref="A10513:A10515"/>
    <mergeCell ref="B10513:B10515"/>
    <mergeCell ref="C10513:C10515"/>
    <mergeCell ref="D10513:D10515"/>
    <mergeCell ref="E10513:E10515"/>
    <mergeCell ref="F10513:F10515"/>
    <mergeCell ref="G10513:G10515"/>
    <mergeCell ref="H10513:H10515"/>
    <mergeCell ref="I10513:I10515"/>
    <mergeCell ref="J10513:J10515"/>
    <mergeCell ref="K10513:K10515"/>
    <mergeCell ref="L10513:L10515"/>
    <mergeCell ref="M10513:M10515"/>
    <mergeCell ref="N10513:N10515"/>
    <mergeCell ref="A10516:A10518"/>
    <mergeCell ref="B10516:B10518"/>
    <mergeCell ref="C10516:C10518"/>
    <mergeCell ref="D10516:D10518"/>
    <mergeCell ref="E10516:E10518"/>
    <mergeCell ref="F10516:F10518"/>
    <mergeCell ref="G10516:G10518"/>
    <mergeCell ref="H10516:H10518"/>
    <mergeCell ref="I10516:I10518"/>
    <mergeCell ref="J10516:J10518"/>
    <mergeCell ref="K10516:K10518"/>
    <mergeCell ref="L10516:L10518"/>
    <mergeCell ref="M10516:M10518"/>
    <mergeCell ref="N10516:N10518"/>
    <mergeCell ref="A10522:A10524"/>
    <mergeCell ref="B10522:B10524"/>
    <mergeCell ref="C10522:C10524"/>
    <mergeCell ref="D10522:D10524"/>
    <mergeCell ref="E10522:E10524"/>
    <mergeCell ref="F10522:F10524"/>
    <mergeCell ref="G10522:G10524"/>
    <mergeCell ref="H10522:H10524"/>
    <mergeCell ref="I10522:I10524"/>
    <mergeCell ref="J10522:J10524"/>
    <mergeCell ref="K10522:K10524"/>
    <mergeCell ref="L10522:L10524"/>
    <mergeCell ref="M10522:M10524"/>
    <mergeCell ref="N10522:N10524"/>
    <mergeCell ref="A10526:A10528"/>
    <mergeCell ref="B10526:B10528"/>
    <mergeCell ref="C10526:C10528"/>
    <mergeCell ref="D10526:D10528"/>
    <mergeCell ref="E10526:E10528"/>
    <mergeCell ref="F10526:F10528"/>
    <mergeCell ref="G10526:G10528"/>
    <mergeCell ref="H10526:H10528"/>
    <mergeCell ref="I10526:I10528"/>
    <mergeCell ref="J10526:J10528"/>
    <mergeCell ref="K10526:K10528"/>
    <mergeCell ref="L10526:L10528"/>
    <mergeCell ref="M10526:M10528"/>
    <mergeCell ref="N10526:N10528"/>
    <mergeCell ref="A10530:A10531"/>
    <mergeCell ref="B10530:B10531"/>
    <mergeCell ref="C10530:C10531"/>
    <mergeCell ref="D10530:D10531"/>
    <mergeCell ref="E10530:E10531"/>
    <mergeCell ref="F10530:F10531"/>
    <mergeCell ref="G10530:G10531"/>
    <mergeCell ref="H10530:H10531"/>
    <mergeCell ref="I10530:I10531"/>
    <mergeCell ref="J10530:J10531"/>
    <mergeCell ref="K10530:K10531"/>
    <mergeCell ref="L10530:L10531"/>
    <mergeCell ref="M10530:M10531"/>
    <mergeCell ref="N10530:N10531"/>
    <mergeCell ref="A10532:A10533"/>
    <mergeCell ref="B10532:B10533"/>
    <mergeCell ref="C10532:C10533"/>
    <mergeCell ref="D10532:D10533"/>
    <mergeCell ref="E10532:E10533"/>
    <mergeCell ref="F10532:F10533"/>
    <mergeCell ref="G10532:G10533"/>
    <mergeCell ref="H10532:H10533"/>
    <mergeCell ref="I10532:I10533"/>
    <mergeCell ref="J10532:J10533"/>
    <mergeCell ref="K10532:K10533"/>
    <mergeCell ref="L10532:L10533"/>
    <mergeCell ref="M10532:M10533"/>
    <mergeCell ref="N10532:N10533"/>
    <mergeCell ref="A10537:A10538"/>
    <mergeCell ref="B10537:B10538"/>
    <mergeCell ref="C10537:C10538"/>
    <mergeCell ref="D10537:D10538"/>
    <mergeCell ref="E10537:E10538"/>
    <mergeCell ref="F10537:F10538"/>
    <mergeCell ref="G10537:G10538"/>
    <mergeCell ref="H10537:H10538"/>
    <mergeCell ref="I10537:I10538"/>
    <mergeCell ref="J10537:J10538"/>
    <mergeCell ref="K10537:K10538"/>
    <mergeCell ref="L10537:L10538"/>
    <mergeCell ref="M10537:M10538"/>
    <mergeCell ref="N10537:N10538"/>
    <mergeCell ref="A10543:A10546"/>
    <mergeCell ref="B10543:B10546"/>
    <mergeCell ref="C10543:C10546"/>
    <mergeCell ref="D10543:D10546"/>
    <mergeCell ref="E10543:E10546"/>
    <mergeCell ref="F10543:F10546"/>
    <mergeCell ref="G10543:G10546"/>
    <mergeCell ref="H10543:H10546"/>
    <mergeCell ref="I10543:I10546"/>
    <mergeCell ref="J10543:J10546"/>
    <mergeCell ref="K10543:K10546"/>
    <mergeCell ref="L10543:L10546"/>
    <mergeCell ref="M10543:M10546"/>
    <mergeCell ref="N10543:N10546"/>
    <mergeCell ref="A10548:A10549"/>
    <mergeCell ref="B10548:B10549"/>
    <mergeCell ref="C10548:C10549"/>
    <mergeCell ref="D10548:D10549"/>
    <mergeCell ref="E10548:E10549"/>
    <mergeCell ref="F10548:F10549"/>
    <mergeCell ref="G10548:G10549"/>
    <mergeCell ref="H10548:H10549"/>
    <mergeCell ref="I10548:I10549"/>
    <mergeCell ref="J10548:J10549"/>
    <mergeCell ref="K10548:K10549"/>
    <mergeCell ref="L10548:L10549"/>
    <mergeCell ref="M10548:M10549"/>
    <mergeCell ref="N10548:N10549"/>
    <mergeCell ref="A10550:A10552"/>
    <mergeCell ref="B10550:B10552"/>
    <mergeCell ref="C10550:C10552"/>
    <mergeCell ref="D10550:D10552"/>
    <mergeCell ref="E10550:E10552"/>
    <mergeCell ref="F10550:F10552"/>
    <mergeCell ref="G10550:G10552"/>
    <mergeCell ref="H10550:H10552"/>
    <mergeCell ref="I10550:I10552"/>
    <mergeCell ref="J10550:J10552"/>
    <mergeCell ref="K10550:K10552"/>
    <mergeCell ref="L10550:L10552"/>
    <mergeCell ref="M10550:M10552"/>
    <mergeCell ref="N10550:N10552"/>
    <mergeCell ref="A10554:A10555"/>
    <mergeCell ref="B10554:B10555"/>
    <mergeCell ref="C10554:C10555"/>
    <mergeCell ref="D10554:D10555"/>
    <mergeCell ref="E10554:E10555"/>
    <mergeCell ref="F10554:F10555"/>
    <mergeCell ref="G10554:G10555"/>
    <mergeCell ref="H10554:H10555"/>
    <mergeCell ref="I10554:I10555"/>
    <mergeCell ref="J10554:J10555"/>
    <mergeCell ref="K10554:K10555"/>
    <mergeCell ref="L10554:L10555"/>
    <mergeCell ref="M10554:M10555"/>
    <mergeCell ref="N10554:N10555"/>
    <mergeCell ref="A10556:A10558"/>
    <mergeCell ref="B10556:B10558"/>
    <mergeCell ref="C10556:C10558"/>
    <mergeCell ref="D10556:D10558"/>
    <mergeCell ref="E10556:E10558"/>
    <mergeCell ref="F10556:F10558"/>
    <mergeCell ref="G10556:G10558"/>
    <mergeCell ref="H10556:H10558"/>
    <mergeCell ref="I10556:I10558"/>
    <mergeCell ref="J10556:J10558"/>
    <mergeCell ref="K10556:K10558"/>
    <mergeCell ref="L10556:L10558"/>
    <mergeCell ref="M10556:M10558"/>
    <mergeCell ref="N10556:N10558"/>
    <mergeCell ref="A10559:A10560"/>
    <mergeCell ref="B10559:B10560"/>
    <mergeCell ref="C10559:C10560"/>
    <mergeCell ref="D10559:D10560"/>
    <mergeCell ref="E10559:E10560"/>
    <mergeCell ref="F10559:F10560"/>
    <mergeCell ref="G10559:G10560"/>
    <mergeCell ref="H10559:H10560"/>
    <mergeCell ref="I10559:I10560"/>
    <mergeCell ref="J10559:J10560"/>
    <mergeCell ref="K10559:K10560"/>
    <mergeCell ref="L10559:L10560"/>
    <mergeCell ref="M10559:M10560"/>
    <mergeCell ref="N10559:N10560"/>
    <mergeCell ref="A10564:A10565"/>
    <mergeCell ref="B10564:B10565"/>
    <mergeCell ref="C10564:C10565"/>
    <mergeCell ref="D10564:D10565"/>
    <mergeCell ref="E10564:E10565"/>
    <mergeCell ref="F10564:F10565"/>
    <mergeCell ref="G10564:G10565"/>
    <mergeCell ref="H10564:H10565"/>
    <mergeCell ref="I10564:I10565"/>
    <mergeCell ref="J10564:J10565"/>
    <mergeCell ref="K10564:K10565"/>
    <mergeCell ref="L10564:L10565"/>
    <mergeCell ref="M10564:M10565"/>
    <mergeCell ref="N10564:N10565"/>
    <mergeCell ref="A10569:A10572"/>
    <mergeCell ref="B10569:B10572"/>
    <mergeCell ref="C10569:C10572"/>
    <mergeCell ref="D10569:D10572"/>
    <mergeCell ref="E10569:E10572"/>
    <mergeCell ref="F10569:F10572"/>
    <mergeCell ref="G10569:G10572"/>
    <mergeCell ref="H10569:H10572"/>
    <mergeCell ref="I10569:I10572"/>
    <mergeCell ref="J10569:J10572"/>
    <mergeCell ref="K10569:K10572"/>
    <mergeCell ref="L10569:L10572"/>
    <mergeCell ref="M10569:M10572"/>
    <mergeCell ref="N10569:N10572"/>
    <mergeCell ref="A10573:A10574"/>
    <mergeCell ref="B10573:B10574"/>
    <mergeCell ref="C10573:C10574"/>
    <mergeCell ref="D10573:D10574"/>
    <mergeCell ref="E10573:E10574"/>
    <mergeCell ref="F10573:F10574"/>
    <mergeCell ref="G10573:G10574"/>
    <mergeCell ref="H10573:H10574"/>
    <mergeCell ref="I10573:I10574"/>
    <mergeCell ref="J10573:J10574"/>
    <mergeCell ref="K10573:K10574"/>
    <mergeCell ref="L10573:L10574"/>
    <mergeCell ref="M10573:M10574"/>
    <mergeCell ref="N10573:N10574"/>
    <mergeCell ref="A10576:A10577"/>
    <mergeCell ref="B10576:B10577"/>
    <mergeCell ref="C10576:C10577"/>
    <mergeCell ref="D10576:D10577"/>
    <mergeCell ref="E10576:E10577"/>
    <mergeCell ref="F10576:F10577"/>
    <mergeCell ref="G10576:G10577"/>
    <mergeCell ref="H10576:H10577"/>
    <mergeCell ref="I10576:I10577"/>
    <mergeCell ref="J10576:J10577"/>
    <mergeCell ref="K10576:K10577"/>
    <mergeCell ref="L10576:L10577"/>
    <mergeCell ref="M10576:M10577"/>
    <mergeCell ref="N10576:N10577"/>
    <mergeCell ref="A10581:A10582"/>
    <mergeCell ref="B10581:B10582"/>
    <mergeCell ref="C10581:C10582"/>
    <mergeCell ref="D10581:D10582"/>
    <mergeCell ref="E10581:E10582"/>
    <mergeCell ref="F10581:F10582"/>
    <mergeCell ref="G10581:G10582"/>
    <mergeCell ref="H10581:H10582"/>
    <mergeCell ref="I10581:I10582"/>
    <mergeCell ref="J10581:J10582"/>
    <mergeCell ref="K10581:K10582"/>
    <mergeCell ref="L10581:L10582"/>
    <mergeCell ref="M10581:M10582"/>
    <mergeCell ref="N10581:N10582"/>
    <mergeCell ref="A10583:A10585"/>
    <mergeCell ref="B10583:B10585"/>
    <mergeCell ref="C10583:C10585"/>
    <mergeCell ref="D10583:D10585"/>
    <mergeCell ref="E10583:E10585"/>
    <mergeCell ref="F10583:F10585"/>
    <mergeCell ref="G10583:G10585"/>
    <mergeCell ref="H10583:H10585"/>
    <mergeCell ref="I10583:I10585"/>
    <mergeCell ref="J10583:J10585"/>
    <mergeCell ref="K10583:K10585"/>
    <mergeCell ref="L10583:L10585"/>
    <mergeCell ref="M10583:M10585"/>
    <mergeCell ref="N10583:N10585"/>
    <mergeCell ref="A10587:A10589"/>
    <mergeCell ref="B10587:B10589"/>
    <mergeCell ref="C10587:C10589"/>
    <mergeCell ref="D10587:D10589"/>
    <mergeCell ref="E10587:E10589"/>
    <mergeCell ref="F10587:F10589"/>
    <mergeCell ref="G10587:G10589"/>
    <mergeCell ref="H10587:H10589"/>
    <mergeCell ref="I10587:I10589"/>
    <mergeCell ref="J10587:J10589"/>
    <mergeCell ref="K10587:K10589"/>
    <mergeCell ref="L10587:L10589"/>
    <mergeCell ref="M10587:M10589"/>
    <mergeCell ref="N10587:N10589"/>
    <mergeCell ref="A10602:A10603"/>
    <mergeCell ref="B10602:B10603"/>
    <mergeCell ref="C10602:C10603"/>
    <mergeCell ref="D10602:D10603"/>
    <mergeCell ref="E10602:E10603"/>
    <mergeCell ref="F10602:F10603"/>
    <mergeCell ref="G10602:G10603"/>
    <mergeCell ref="H10602:H10603"/>
    <mergeCell ref="I10602:I10603"/>
    <mergeCell ref="J10602:J10603"/>
    <mergeCell ref="K10602:K10603"/>
    <mergeCell ref="L10602:L10603"/>
    <mergeCell ref="M10602:M10603"/>
    <mergeCell ref="N10602:N10603"/>
    <mergeCell ref="A10605:A10609"/>
    <mergeCell ref="B10605:B10609"/>
    <mergeCell ref="C10605:C10609"/>
    <mergeCell ref="D10605:D10609"/>
    <mergeCell ref="E10605:E10609"/>
    <mergeCell ref="F10605:F10609"/>
    <mergeCell ref="G10605:G10609"/>
    <mergeCell ref="H10605:H10609"/>
    <mergeCell ref="I10605:I10609"/>
    <mergeCell ref="J10605:J10609"/>
    <mergeCell ref="K10605:K10609"/>
    <mergeCell ref="L10605:L10609"/>
    <mergeCell ref="M10605:M10609"/>
    <mergeCell ref="N10605:N10609"/>
    <mergeCell ref="A10615:A10616"/>
    <mergeCell ref="B10615:B10616"/>
    <mergeCell ref="C10615:C10616"/>
    <mergeCell ref="D10615:D10616"/>
    <mergeCell ref="E10615:E10616"/>
    <mergeCell ref="F10615:F10616"/>
    <mergeCell ref="G10615:G10616"/>
    <mergeCell ref="H10615:H10616"/>
    <mergeCell ref="I10615:I10616"/>
    <mergeCell ref="J10615:J10616"/>
    <mergeCell ref="K10615:K10616"/>
    <mergeCell ref="L10615:L10616"/>
    <mergeCell ref="M10615:M10616"/>
    <mergeCell ref="N10615:N10616"/>
    <mergeCell ref="A10629:A10631"/>
    <mergeCell ref="B10629:B10631"/>
    <mergeCell ref="C10629:C10631"/>
    <mergeCell ref="D10629:D10631"/>
    <mergeCell ref="E10629:E10631"/>
    <mergeCell ref="F10629:F10631"/>
    <mergeCell ref="G10629:G10631"/>
    <mergeCell ref="H10629:H10631"/>
    <mergeCell ref="I10629:I10631"/>
    <mergeCell ref="J10629:J10631"/>
    <mergeCell ref="K10629:K10631"/>
    <mergeCell ref="L10629:L10631"/>
    <mergeCell ref="M10629:M10631"/>
    <mergeCell ref="N10629:N10631"/>
    <mergeCell ref="A10633:A10635"/>
    <mergeCell ref="B10633:B10635"/>
    <mergeCell ref="C10633:C10635"/>
    <mergeCell ref="D10633:D10635"/>
    <mergeCell ref="E10633:E10635"/>
    <mergeCell ref="F10633:F10635"/>
    <mergeCell ref="G10633:G10635"/>
    <mergeCell ref="H10633:H10635"/>
    <mergeCell ref="I10633:I10635"/>
    <mergeCell ref="J10633:J10635"/>
    <mergeCell ref="K10633:K10635"/>
    <mergeCell ref="L10633:L10635"/>
    <mergeCell ref="M10633:M10635"/>
    <mergeCell ref="N10633:N10635"/>
    <mergeCell ref="A10644:A10647"/>
    <mergeCell ref="B10644:B10647"/>
    <mergeCell ref="C10644:C10647"/>
    <mergeCell ref="D10644:D10647"/>
    <mergeCell ref="E10644:E10647"/>
    <mergeCell ref="F10644:F10647"/>
    <mergeCell ref="G10644:G10647"/>
    <mergeCell ref="H10644:H10647"/>
    <mergeCell ref="I10644:I10647"/>
    <mergeCell ref="J10644:J10647"/>
    <mergeCell ref="K10644:K10647"/>
    <mergeCell ref="L10644:L10647"/>
    <mergeCell ref="M10644:M10647"/>
    <mergeCell ref="N10644:N10647"/>
    <mergeCell ref="A10648:A10649"/>
    <mergeCell ref="B10648:B10649"/>
    <mergeCell ref="C10648:C10649"/>
    <mergeCell ref="D10648:D10649"/>
    <mergeCell ref="E10648:E10649"/>
    <mergeCell ref="F10648:F10649"/>
    <mergeCell ref="G10648:G10649"/>
    <mergeCell ref="H10648:H10649"/>
    <mergeCell ref="I10648:I10649"/>
    <mergeCell ref="J10648:J10649"/>
    <mergeCell ref="K10648:K10649"/>
    <mergeCell ref="L10648:L10649"/>
    <mergeCell ref="M10648:M10649"/>
    <mergeCell ref="N10648:N10649"/>
    <mergeCell ref="A10655:A10657"/>
    <mergeCell ref="B10655:B10657"/>
    <mergeCell ref="C10655:C10657"/>
    <mergeCell ref="D10655:D10657"/>
    <mergeCell ref="E10655:E10657"/>
    <mergeCell ref="F10655:F10657"/>
    <mergeCell ref="G10655:G10657"/>
    <mergeCell ref="H10655:H10657"/>
    <mergeCell ref="I10655:I10657"/>
    <mergeCell ref="J10655:J10657"/>
    <mergeCell ref="K10655:K10657"/>
    <mergeCell ref="L10655:L10657"/>
    <mergeCell ref="M10655:M10657"/>
    <mergeCell ref="N10655:N10657"/>
    <mergeCell ref="A10659:A10662"/>
    <mergeCell ref="B10659:B10662"/>
    <mergeCell ref="C10659:C10662"/>
    <mergeCell ref="D10659:D10662"/>
    <mergeCell ref="E10659:E10662"/>
    <mergeCell ref="F10659:F10662"/>
    <mergeCell ref="G10659:G10662"/>
    <mergeCell ref="H10659:H10662"/>
    <mergeCell ref="I10659:I10662"/>
    <mergeCell ref="J10659:J10662"/>
    <mergeCell ref="K10659:K10662"/>
    <mergeCell ref="L10659:L10662"/>
    <mergeCell ref="M10659:M10662"/>
    <mergeCell ref="N10659:N10662"/>
    <mergeCell ref="A10670:A10671"/>
    <mergeCell ref="B10670:B10671"/>
    <mergeCell ref="C10670:C10671"/>
    <mergeCell ref="D10670:D10671"/>
    <mergeCell ref="E10670:E10671"/>
    <mergeCell ref="F10670:F10671"/>
    <mergeCell ref="G10670:G10671"/>
    <mergeCell ref="H10670:H10671"/>
    <mergeCell ref="I10670:I10671"/>
    <mergeCell ref="J10670:J10671"/>
    <mergeCell ref="K10670:K10671"/>
    <mergeCell ref="L10670:L10671"/>
    <mergeCell ref="M10670:M10671"/>
    <mergeCell ref="N10670:N10671"/>
    <mergeCell ref="A10672:A10673"/>
    <mergeCell ref="B10672:B10673"/>
    <mergeCell ref="C10672:C10673"/>
    <mergeCell ref="D10672:D10673"/>
    <mergeCell ref="E10672:E10673"/>
    <mergeCell ref="F10672:F10673"/>
    <mergeCell ref="G10672:G10673"/>
    <mergeCell ref="H10672:H10673"/>
    <mergeCell ref="I10672:I10673"/>
    <mergeCell ref="J10672:J10673"/>
    <mergeCell ref="K10672:K10673"/>
    <mergeCell ref="L10672:L10673"/>
    <mergeCell ref="M10672:M10673"/>
    <mergeCell ref="N10672:N10673"/>
    <mergeCell ref="A10677:A10679"/>
    <mergeCell ref="B10677:B10679"/>
    <mergeCell ref="C10677:C10679"/>
    <mergeCell ref="D10677:D10679"/>
    <mergeCell ref="E10677:E10679"/>
    <mergeCell ref="F10677:F10679"/>
    <mergeCell ref="G10677:G10679"/>
    <mergeCell ref="H10677:H10679"/>
    <mergeCell ref="I10677:I10679"/>
    <mergeCell ref="J10677:J10679"/>
    <mergeCell ref="K10677:K10679"/>
    <mergeCell ref="L10677:L10679"/>
    <mergeCell ref="M10677:M10679"/>
    <mergeCell ref="N10677:N10679"/>
    <mergeCell ref="A10686:A10687"/>
    <mergeCell ref="B10686:B10687"/>
    <mergeCell ref="C10686:C10687"/>
    <mergeCell ref="D10686:D10687"/>
    <mergeCell ref="E10686:E10687"/>
    <mergeCell ref="F10686:F10687"/>
    <mergeCell ref="G10686:G10687"/>
    <mergeCell ref="H10686:H10687"/>
    <mergeCell ref="I10686:I10687"/>
    <mergeCell ref="J10686:J10687"/>
    <mergeCell ref="K10686:K10687"/>
    <mergeCell ref="L10686:L10687"/>
    <mergeCell ref="M10686:M10687"/>
    <mergeCell ref="N10686:N10687"/>
    <mergeCell ref="A10695:A10698"/>
    <mergeCell ref="B10695:B10698"/>
    <mergeCell ref="C10695:C10698"/>
    <mergeCell ref="D10695:D10698"/>
    <mergeCell ref="E10695:E10698"/>
    <mergeCell ref="F10695:F10698"/>
    <mergeCell ref="G10695:G10698"/>
    <mergeCell ref="H10695:H10698"/>
    <mergeCell ref="I10695:I10698"/>
    <mergeCell ref="J10695:J10698"/>
    <mergeCell ref="K10695:K10698"/>
    <mergeCell ref="L10695:L10698"/>
    <mergeCell ref="M10695:M10698"/>
    <mergeCell ref="N10695:N10698"/>
    <mergeCell ref="A10699:A10700"/>
    <mergeCell ref="B10699:B10700"/>
    <mergeCell ref="C10699:C10700"/>
    <mergeCell ref="D10699:D10700"/>
    <mergeCell ref="E10699:E10700"/>
    <mergeCell ref="F10699:F10700"/>
    <mergeCell ref="G10699:G10700"/>
    <mergeCell ref="H10699:H10700"/>
    <mergeCell ref="I10699:I10700"/>
    <mergeCell ref="J10699:J10700"/>
    <mergeCell ref="K10699:K10700"/>
    <mergeCell ref="L10699:L10700"/>
    <mergeCell ref="M10699:M10700"/>
    <mergeCell ref="N10699:N10700"/>
    <mergeCell ref="A10717:A10719"/>
    <mergeCell ref="B10717:B10719"/>
    <mergeCell ref="C10717:C10719"/>
    <mergeCell ref="D10717:D10719"/>
    <mergeCell ref="E10717:E10719"/>
    <mergeCell ref="F10717:F10719"/>
    <mergeCell ref="G10717:G10719"/>
    <mergeCell ref="H10717:H10719"/>
    <mergeCell ref="I10717:I10719"/>
    <mergeCell ref="J10717:J10719"/>
    <mergeCell ref="K10717:K10719"/>
    <mergeCell ref="L10717:L10719"/>
    <mergeCell ref="M10717:M10719"/>
    <mergeCell ref="N10717:N10719"/>
    <mergeCell ref="A10721:A10722"/>
    <mergeCell ref="B10721:B10722"/>
    <mergeCell ref="C10721:C10722"/>
    <mergeCell ref="D10721:D10722"/>
    <mergeCell ref="E10721:E10722"/>
    <mergeCell ref="F10721:F10722"/>
    <mergeCell ref="G10721:G10722"/>
    <mergeCell ref="H10721:H10722"/>
    <mergeCell ref="I10721:I10722"/>
    <mergeCell ref="J10721:J10722"/>
    <mergeCell ref="K10721:K10722"/>
    <mergeCell ref="L10721:L10722"/>
    <mergeCell ref="M10721:M10722"/>
    <mergeCell ref="N10721:N10722"/>
    <mergeCell ref="A10723:A10725"/>
    <mergeCell ref="B10723:B10725"/>
    <mergeCell ref="C10723:C10725"/>
    <mergeCell ref="D10723:D10725"/>
    <mergeCell ref="E10723:E10725"/>
    <mergeCell ref="F10723:F10725"/>
    <mergeCell ref="G10723:G10725"/>
    <mergeCell ref="H10723:H10725"/>
    <mergeCell ref="I10723:I10725"/>
    <mergeCell ref="J10723:J10725"/>
    <mergeCell ref="K10723:K10725"/>
    <mergeCell ref="L10723:L10725"/>
    <mergeCell ref="M10723:M10725"/>
    <mergeCell ref="N10723:N10725"/>
    <mergeCell ref="A10731:A10733"/>
    <mergeCell ref="B10731:B10733"/>
    <mergeCell ref="C10731:C10733"/>
    <mergeCell ref="D10731:D10733"/>
    <mergeCell ref="E10731:E10733"/>
    <mergeCell ref="F10731:F10733"/>
    <mergeCell ref="G10731:G10733"/>
    <mergeCell ref="H10731:H10733"/>
    <mergeCell ref="I10731:I10733"/>
    <mergeCell ref="J10731:J10733"/>
    <mergeCell ref="K10731:K10733"/>
    <mergeCell ref="L10731:L10733"/>
    <mergeCell ref="M10731:M10733"/>
    <mergeCell ref="N10731:N10733"/>
    <mergeCell ref="A10736:A10737"/>
    <mergeCell ref="B10736:B10737"/>
    <mergeCell ref="C10736:C10737"/>
    <mergeCell ref="D10736:D10737"/>
    <mergeCell ref="E10736:E10737"/>
    <mergeCell ref="F10736:F10737"/>
    <mergeCell ref="G10736:G10737"/>
    <mergeCell ref="H10736:H10737"/>
    <mergeCell ref="I10736:I10737"/>
    <mergeCell ref="J10736:J10737"/>
    <mergeCell ref="K10736:K10737"/>
    <mergeCell ref="L10736:L10737"/>
    <mergeCell ref="M10736:M10737"/>
    <mergeCell ref="N10736:N10737"/>
    <mergeCell ref="A10741:A10742"/>
    <mergeCell ref="B10741:B10742"/>
    <mergeCell ref="C10741:C10742"/>
    <mergeCell ref="D10741:D10742"/>
    <mergeCell ref="E10741:E10742"/>
    <mergeCell ref="F10741:F10742"/>
    <mergeCell ref="G10741:G10742"/>
    <mergeCell ref="H10741:H10742"/>
    <mergeCell ref="I10741:I10742"/>
    <mergeCell ref="J10741:J10742"/>
    <mergeCell ref="K10741:K10742"/>
    <mergeCell ref="L10741:L10742"/>
    <mergeCell ref="M10741:M10742"/>
    <mergeCell ref="N10741:N10742"/>
    <mergeCell ref="A10743:A10744"/>
    <mergeCell ref="B10743:B10744"/>
    <mergeCell ref="C10743:C10744"/>
    <mergeCell ref="D10743:D10744"/>
    <mergeCell ref="E10743:E10744"/>
    <mergeCell ref="F10743:F10744"/>
    <mergeCell ref="G10743:G10744"/>
    <mergeCell ref="H10743:H10744"/>
    <mergeCell ref="I10743:I10744"/>
    <mergeCell ref="J10743:J10744"/>
    <mergeCell ref="K10743:K10744"/>
    <mergeCell ref="L10743:L10744"/>
    <mergeCell ref="M10743:M10744"/>
    <mergeCell ref="N10743:N10744"/>
    <mergeCell ref="A10746:A10748"/>
    <mergeCell ref="B10746:B10748"/>
    <mergeCell ref="C10746:C10748"/>
    <mergeCell ref="D10746:D10748"/>
    <mergeCell ref="E10746:E10748"/>
    <mergeCell ref="F10746:F10748"/>
    <mergeCell ref="G10746:G10748"/>
    <mergeCell ref="H10746:H10748"/>
    <mergeCell ref="I10746:I10748"/>
    <mergeCell ref="J10746:J10748"/>
    <mergeCell ref="K10746:K10748"/>
    <mergeCell ref="L10746:L10748"/>
    <mergeCell ref="M10746:M10748"/>
    <mergeCell ref="N10746:N10748"/>
    <mergeCell ref="A10754:A10755"/>
    <mergeCell ref="B10754:B10755"/>
    <mergeCell ref="C10754:C10755"/>
    <mergeCell ref="D10754:D10755"/>
    <mergeCell ref="E10754:E10755"/>
    <mergeCell ref="F10754:F10755"/>
    <mergeCell ref="G10754:G10755"/>
    <mergeCell ref="H10754:H10755"/>
    <mergeCell ref="I10754:I10755"/>
    <mergeCell ref="J10754:J10755"/>
    <mergeCell ref="K10754:K10755"/>
    <mergeCell ref="L10754:L10755"/>
    <mergeCell ref="M10754:M10755"/>
    <mergeCell ref="N10754:N10755"/>
    <mergeCell ref="A10771:A10772"/>
    <mergeCell ref="B10771:B10772"/>
    <mergeCell ref="C10771:C10772"/>
    <mergeCell ref="D10771:D10772"/>
    <mergeCell ref="E10771:E10772"/>
    <mergeCell ref="F10771:F10772"/>
    <mergeCell ref="G10771:G10772"/>
    <mergeCell ref="H10771:H10772"/>
    <mergeCell ref="I10771:I10772"/>
    <mergeCell ref="J10771:J10772"/>
    <mergeCell ref="K10771:K10772"/>
    <mergeCell ref="L10771:L10772"/>
    <mergeCell ref="M10771:M10772"/>
    <mergeCell ref="N10771:N10772"/>
    <mergeCell ref="A10775:A10776"/>
    <mergeCell ref="B10775:B10776"/>
    <mergeCell ref="C10775:C10776"/>
    <mergeCell ref="D10775:D10776"/>
    <mergeCell ref="E10775:E10776"/>
    <mergeCell ref="F10775:F10776"/>
    <mergeCell ref="G10775:G10776"/>
    <mergeCell ref="H10775:H10776"/>
    <mergeCell ref="I10775:I10776"/>
    <mergeCell ref="J10775:J10776"/>
    <mergeCell ref="K10775:K10776"/>
    <mergeCell ref="L10775:L10776"/>
    <mergeCell ref="M10775:M10776"/>
    <mergeCell ref="N10775:N10776"/>
    <mergeCell ref="A10786:A10787"/>
    <mergeCell ref="B10786:B10787"/>
    <mergeCell ref="C10786:C10787"/>
    <mergeCell ref="D10786:D10787"/>
    <mergeCell ref="E10786:E10787"/>
    <mergeCell ref="F10786:F10787"/>
    <mergeCell ref="G10786:G10787"/>
    <mergeCell ref="H10786:H10787"/>
    <mergeCell ref="I10786:I10787"/>
    <mergeCell ref="J10786:J10787"/>
    <mergeCell ref="K10786:K10787"/>
    <mergeCell ref="L10786:L10787"/>
    <mergeCell ref="M10786:M10787"/>
    <mergeCell ref="N10786:N10787"/>
    <mergeCell ref="A10788:A10791"/>
    <mergeCell ref="B10788:B10791"/>
    <mergeCell ref="C10788:C10791"/>
    <mergeCell ref="D10788:D10791"/>
    <mergeCell ref="E10788:E10791"/>
    <mergeCell ref="F10788:F10791"/>
    <mergeCell ref="G10788:G10791"/>
    <mergeCell ref="H10788:H10791"/>
    <mergeCell ref="I10788:I10791"/>
    <mergeCell ref="J10788:J10791"/>
    <mergeCell ref="K10788:K10791"/>
    <mergeCell ref="L10788:L10791"/>
    <mergeCell ref="M10788:M10791"/>
    <mergeCell ref="N10788:N10791"/>
    <mergeCell ref="A10798:A10800"/>
    <mergeCell ref="B10798:B10800"/>
    <mergeCell ref="C10798:C10800"/>
    <mergeCell ref="D10798:D10800"/>
    <mergeCell ref="E10798:E10800"/>
    <mergeCell ref="F10798:F10800"/>
    <mergeCell ref="G10798:G10800"/>
    <mergeCell ref="H10798:H10800"/>
    <mergeCell ref="I10798:I10800"/>
    <mergeCell ref="J10798:J10800"/>
    <mergeCell ref="K10798:K10800"/>
    <mergeCell ref="L10798:L10800"/>
    <mergeCell ref="M10798:M10800"/>
    <mergeCell ref="N10798:N10800"/>
    <mergeCell ref="A10810:A10813"/>
    <mergeCell ref="B10810:B10813"/>
    <mergeCell ref="C10810:C10813"/>
    <mergeCell ref="D10810:D10813"/>
    <mergeCell ref="E10810:E10813"/>
    <mergeCell ref="F10810:F10813"/>
    <mergeCell ref="G10810:G10813"/>
    <mergeCell ref="H10810:H10813"/>
    <mergeCell ref="I10810:I10813"/>
    <mergeCell ref="J10810:J10813"/>
    <mergeCell ref="K10810:K10813"/>
    <mergeCell ref="L10810:L10813"/>
    <mergeCell ref="M10810:M10813"/>
    <mergeCell ref="N10810:N10813"/>
    <mergeCell ref="A10817:A10818"/>
    <mergeCell ref="B10817:B10818"/>
    <mergeCell ref="C10817:C10818"/>
    <mergeCell ref="D10817:D10818"/>
    <mergeCell ref="E10817:E10818"/>
    <mergeCell ref="F10817:F10818"/>
    <mergeCell ref="G10817:G10818"/>
    <mergeCell ref="H10817:H10818"/>
    <mergeCell ref="I10817:I10818"/>
    <mergeCell ref="J10817:J10818"/>
    <mergeCell ref="K10817:K10818"/>
    <mergeCell ref="L10817:L10818"/>
    <mergeCell ref="M10817:M10818"/>
    <mergeCell ref="N10817:N10818"/>
    <mergeCell ref="A10821:A10823"/>
    <mergeCell ref="B10821:B10823"/>
    <mergeCell ref="C10821:C10823"/>
    <mergeCell ref="D10821:D10823"/>
    <mergeCell ref="E10821:E10823"/>
    <mergeCell ref="F10821:F10823"/>
    <mergeCell ref="G10821:G10823"/>
    <mergeCell ref="H10821:H10823"/>
    <mergeCell ref="I10821:I10823"/>
    <mergeCell ref="J10821:J10823"/>
    <mergeCell ref="K10821:K10823"/>
    <mergeCell ref="L10821:L10823"/>
    <mergeCell ref="M10821:M10823"/>
    <mergeCell ref="N10821:N10823"/>
    <mergeCell ref="A10826:A10827"/>
    <mergeCell ref="B10826:B10827"/>
    <mergeCell ref="C10826:C10827"/>
    <mergeCell ref="D10826:D10827"/>
    <mergeCell ref="E10826:E10827"/>
    <mergeCell ref="F10826:F10827"/>
    <mergeCell ref="G10826:G10827"/>
    <mergeCell ref="H10826:H10827"/>
    <mergeCell ref="I10826:I10827"/>
    <mergeCell ref="J10826:J10827"/>
    <mergeCell ref="K10826:K10827"/>
    <mergeCell ref="L10826:L10827"/>
    <mergeCell ref="M10826:M10827"/>
    <mergeCell ref="N10826:N10827"/>
    <mergeCell ref="A10828:A10831"/>
    <mergeCell ref="B10828:B10831"/>
    <mergeCell ref="C10828:C10831"/>
    <mergeCell ref="D10828:D10831"/>
    <mergeCell ref="E10828:E10831"/>
    <mergeCell ref="F10828:F10831"/>
    <mergeCell ref="G10828:G10831"/>
    <mergeCell ref="H10828:H10831"/>
    <mergeCell ref="I10828:I10831"/>
    <mergeCell ref="J10828:J10831"/>
    <mergeCell ref="K10828:K10831"/>
    <mergeCell ref="L10828:L10831"/>
    <mergeCell ref="M10828:M10831"/>
    <mergeCell ref="N10828:N10831"/>
    <mergeCell ref="A10832:A10833"/>
    <mergeCell ref="B10832:B10833"/>
    <mergeCell ref="C10832:C10833"/>
    <mergeCell ref="D10832:D10833"/>
    <mergeCell ref="E10832:E10833"/>
    <mergeCell ref="F10832:F10833"/>
    <mergeCell ref="G10832:G10833"/>
    <mergeCell ref="H10832:H10833"/>
    <mergeCell ref="I10832:I10833"/>
    <mergeCell ref="J10832:J10833"/>
    <mergeCell ref="K10832:K10833"/>
    <mergeCell ref="L10832:L10833"/>
    <mergeCell ref="M10832:M10833"/>
    <mergeCell ref="N10832:N10833"/>
    <mergeCell ref="A10842:A10843"/>
    <mergeCell ref="B10842:B10843"/>
    <mergeCell ref="C10842:C10843"/>
    <mergeCell ref="D10842:D10843"/>
    <mergeCell ref="E10842:E10843"/>
    <mergeCell ref="F10842:F10843"/>
    <mergeCell ref="G10842:G10843"/>
    <mergeCell ref="H10842:H10843"/>
    <mergeCell ref="I10842:I10843"/>
    <mergeCell ref="J10842:J10843"/>
    <mergeCell ref="K10842:K10843"/>
    <mergeCell ref="L10842:L10843"/>
    <mergeCell ref="M10842:M10843"/>
    <mergeCell ref="N10842:N10843"/>
    <mergeCell ref="A10844:A10845"/>
    <mergeCell ref="B10844:B10845"/>
    <mergeCell ref="C10844:C10845"/>
    <mergeCell ref="D10844:D10845"/>
    <mergeCell ref="E10844:E10845"/>
    <mergeCell ref="F10844:F10845"/>
    <mergeCell ref="G10844:G10845"/>
    <mergeCell ref="H10844:H10845"/>
    <mergeCell ref="I10844:I10845"/>
    <mergeCell ref="J10844:J10845"/>
    <mergeCell ref="K10844:K10845"/>
    <mergeCell ref="L10844:L10845"/>
    <mergeCell ref="M10844:M10845"/>
    <mergeCell ref="N10844:N10845"/>
    <mergeCell ref="A10849:A10851"/>
    <mergeCell ref="B10849:B10851"/>
    <mergeCell ref="C10849:C10851"/>
    <mergeCell ref="D10849:D10851"/>
    <mergeCell ref="E10849:E10851"/>
    <mergeCell ref="F10849:F10851"/>
    <mergeCell ref="G10849:G10851"/>
    <mergeCell ref="H10849:H10851"/>
    <mergeCell ref="I10849:I10851"/>
    <mergeCell ref="J10849:J10851"/>
    <mergeCell ref="K10849:K10851"/>
    <mergeCell ref="L10849:L10851"/>
    <mergeCell ref="M10849:M10851"/>
    <mergeCell ref="N10849:N10851"/>
    <mergeCell ref="A10852:A10854"/>
    <mergeCell ref="B10852:B10854"/>
    <mergeCell ref="C10852:C10854"/>
    <mergeCell ref="D10852:D10854"/>
    <mergeCell ref="E10852:E10854"/>
    <mergeCell ref="F10852:F10854"/>
    <mergeCell ref="G10852:G10854"/>
    <mergeCell ref="H10852:H10854"/>
    <mergeCell ref="I10852:I10854"/>
    <mergeCell ref="J10852:J10854"/>
    <mergeCell ref="K10852:K10854"/>
    <mergeCell ref="L10852:L10854"/>
    <mergeCell ref="M10852:M10854"/>
    <mergeCell ref="N10852:N10854"/>
    <mergeCell ref="A10857:A10858"/>
    <mergeCell ref="B10857:B10858"/>
    <mergeCell ref="C10857:C10858"/>
    <mergeCell ref="D10857:D10858"/>
    <mergeCell ref="E10857:E10858"/>
    <mergeCell ref="F10857:F10858"/>
    <mergeCell ref="G10857:G10858"/>
    <mergeCell ref="H10857:H10858"/>
    <mergeCell ref="I10857:I10858"/>
    <mergeCell ref="J10857:J10858"/>
    <mergeCell ref="K10857:K10858"/>
    <mergeCell ref="L10857:L10858"/>
    <mergeCell ref="M10857:M10858"/>
    <mergeCell ref="N10857:N10858"/>
    <mergeCell ref="A10859:A10860"/>
    <mergeCell ref="B10859:B10860"/>
    <mergeCell ref="C10859:C10860"/>
    <mergeCell ref="D10859:D10860"/>
    <mergeCell ref="E10859:E10860"/>
    <mergeCell ref="F10859:F10860"/>
    <mergeCell ref="G10859:G10860"/>
    <mergeCell ref="H10859:H10860"/>
    <mergeCell ref="I10859:I10860"/>
    <mergeCell ref="J10859:J10860"/>
    <mergeCell ref="K10859:K10860"/>
    <mergeCell ref="L10859:L10860"/>
    <mergeCell ref="M10859:M10860"/>
    <mergeCell ref="N10859:N10860"/>
    <mergeCell ref="A10864:A10865"/>
    <mergeCell ref="B10864:B10865"/>
    <mergeCell ref="C10864:C10865"/>
    <mergeCell ref="D10864:D10865"/>
    <mergeCell ref="E10864:E10865"/>
    <mergeCell ref="F10864:F10865"/>
    <mergeCell ref="G10864:G10865"/>
    <mergeCell ref="H10864:H10865"/>
    <mergeCell ref="I10864:I10865"/>
    <mergeCell ref="J10864:J10865"/>
    <mergeCell ref="K10864:K10865"/>
    <mergeCell ref="L10864:L10865"/>
    <mergeCell ref="M10864:M10865"/>
    <mergeCell ref="N10864:N10865"/>
    <mergeCell ref="A10867:A10868"/>
    <mergeCell ref="B10867:B10868"/>
    <mergeCell ref="C10867:C10868"/>
    <mergeCell ref="D10867:D10868"/>
    <mergeCell ref="E10867:E10868"/>
    <mergeCell ref="F10867:F10868"/>
    <mergeCell ref="G10867:G10868"/>
    <mergeCell ref="H10867:H10868"/>
    <mergeCell ref="I10867:I10868"/>
    <mergeCell ref="J10867:J10868"/>
    <mergeCell ref="K10867:K10868"/>
    <mergeCell ref="L10867:L10868"/>
    <mergeCell ref="M10867:M10868"/>
    <mergeCell ref="N10867:N10868"/>
    <mergeCell ref="A10871:A10872"/>
    <mergeCell ref="B10871:B10872"/>
    <mergeCell ref="C10871:C10872"/>
    <mergeCell ref="D10871:D10872"/>
    <mergeCell ref="E10871:E10872"/>
    <mergeCell ref="F10871:F10872"/>
    <mergeCell ref="G10871:G10872"/>
    <mergeCell ref="H10871:H10872"/>
    <mergeCell ref="I10871:I10872"/>
    <mergeCell ref="J10871:J10872"/>
    <mergeCell ref="K10871:K10872"/>
    <mergeCell ref="L10871:L10872"/>
    <mergeCell ref="M10871:M10872"/>
    <mergeCell ref="N10871:N10872"/>
    <mergeCell ref="A10877:A10878"/>
    <mergeCell ref="B10877:B10878"/>
    <mergeCell ref="C10877:C10878"/>
    <mergeCell ref="D10877:D10878"/>
    <mergeCell ref="E10877:E10878"/>
    <mergeCell ref="F10877:F10878"/>
    <mergeCell ref="G10877:G10878"/>
    <mergeCell ref="H10877:H10878"/>
    <mergeCell ref="I10877:I10878"/>
    <mergeCell ref="J10877:J10878"/>
    <mergeCell ref="K10877:K10878"/>
    <mergeCell ref="L10877:L10878"/>
    <mergeCell ref="M10877:M10878"/>
    <mergeCell ref="N10877:N10878"/>
    <mergeCell ref="A10884:A10885"/>
    <mergeCell ref="B10884:B10885"/>
    <mergeCell ref="C10884:C10885"/>
    <mergeCell ref="D10884:D10885"/>
    <mergeCell ref="E10884:E10885"/>
    <mergeCell ref="F10884:F10885"/>
    <mergeCell ref="G10884:G10885"/>
    <mergeCell ref="H10884:H10885"/>
    <mergeCell ref="I10884:I10885"/>
    <mergeCell ref="J10884:J10885"/>
    <mergeCell ref="K10884:K10885"/>
    <mergeCell ref="L10884:L10885"/>
    <mergeCell ref="M10884:M10885"/>
    <mergeCell ref="N10884:N10885"/>
    <mergeCell ref="A10888:A10889"/>
    <mergeCell ref="B10888:B10889"/>
    <mergeCell ref="C10888:C10889"/>
    <mergeCell ref="D10888:D10889"/>
    <mergeCell ref="E10888:E10889"/>
    <mergeCell ref="F10888:F10889"/>
    <mergeCell ref="G10888:G10889"/>
    <mergeCell ref="H10888:H10889"/>
    <mergeCell ref="I10888:I10889"/>
    <mergeCell ref="J10888:J10889"/>
    <mergeCell ref="K10888:K10889"/>
    <mergeCell ref="L10888:L10889"/>
    <mergeCell ref="M10888:M10889"/>
    <mergeCell ref="N10888:N10889"/>
    <mergeCell ref="A10892:A10893"/>
    <mergeCell ref="B10892:B10893"/>
    <mergeCell ref="C10892:C10893"/>
    <mergeCell ref="D10892:D10893"/>
    <mergeCell ref="E10892:E10893"/>
    <mergeCell ref="F10892:F10893"/>
    <mergeCell ref="G10892:G10893"/>
    <mergeCell ref="H10892:H10893"/>
    <mergeCell ref="I10892:I10893"/>
    <mergeCell ref="J10892:J10893"/>
    <mergeCell ref="K10892:K10893"/>
    <mergeCell ref="L10892:L10893"/>
    <mergeCell ref="M10892:M10893"/>
    <mergeCell ref="N10892:N10893"/>
    <mergeCell ref="A10895:A10896"/>
    <mergeCell ref="B10895:B10896"/>
    <mergeCell ref="C10895:C10896"/>
    <mergeCell ref="D10895:D10896"/>
    <mergeCell ref="E10895:E10896"/>
    <mergeCell ref="F10895:F10896"/>
    <mergeCell ref="G10895:G10896"/>
    <mergeCell ref="H10895:H10896"/>
    <mergeCell ref="I10895:I10896"/>
    <mergeCell ref="J10895:J10896"/>
    <mergeCell ref="K10895:K10896"/>
    <mergeCell ref="L10895:L10896"/>
    <mergeCell ref="M10895:M10896"/>
    <mergeCell ref="N10895:N10896"/>
    <mergeCell ref="A10898:A10899"/>
    <mergeCell ref="B10898:B10899"/>
    <mergeCell ref="C10898:C10899"/>
    <mergeCell ref="D10898:D10899"/>
    <mergeCell ref="E10898:E10899"/>
    <mergeCell ref="F10898:F10899"/>
    <mergeCell ref="G10898:G10899"/>
    <mergeCell ref="H10898:H10899"/>
    <mergeCell ref="I10898:I10899"/>
    <mergeCell ref="J10898:J10899"/>
    <mergeCell ref="K10898:K10899"/>
    <mergeCell ref="L10898:L10899"/>
    <mergeCell ref="M10898:M10899"/>
    <mergeCell ref="N10898:N10899"/>
    <mergeCell ref="A10904:A10905"/>
    <mergeCell ref="B10904:B10905"/>
    <mergeCell ref="C10904:C10905"/>
    <mergeCell ref="D10904:D10905"/>
    <mergeCell ref="E10904:E10905"/>
    <mergeCell ref="F10904:F10905"/>
    <mergeCell ref="G10904:G10905"/>
    <mergeCell ref="H10904:H10905"/>
    <mergeCell ref="I10904:I10905"/>
    <mergeCell ref="J10904:J10905"/>
    <mergeCell ref="K10904:K10905"/>
    <mergeCell ref="L10904:L10905"/>
    <mergeCell ref="M10904:M10905"/>
    <mergeCell ref="N10904:N10905"/>
    <mergeCell ref="A10907:A10908"/>
    <mergeCell ref="B10907:B10908"/>
    <mergeCell ref="C10907:C10908"/>
    <mergeCell ref="D10907:D10908"/>
    <mergeCell ref="E10907:E10908"/>
    <mergeCell ref="F10907:F10908"/>
    <mergeCell ref="G10907:G10908"/>
    <mergeCell ref="H10907:H10908"/>
    <mergeCell ref="I10907:I10908"/>
    <mergeCell ref="J10907:J10908"/>
    <mergeCell ref="K10907:K10908"/>
    <mergeCell ref="L10907:L10908"/>
    <mergeCell ref="M10907:M10908"/>
    <mergeCell ref="N10907:N10908"/>
    <mergeCell ref="A10909:A10910"/>
    <mergeCell ref="B10909:B10910"/>
    <mergeCell ref="C10909:C10910"/>
    <mergeCell ref="D10909:D10910"/>
    <mergeCell ref="E10909:E10910"/>
    <mergeCell ref="F10909:F10910"/>
    <mergeCell ref="G10909:G10910"/>
    <mergeCell ref="H10909:H10910"/>
    <mergeCell ref="I10909:I10910"/>
    <mergeCell ref="J10909:J10910"/>
    <mergeCell ref="K10909:K10910"/>
    <mergeCell ref="L10909:L10910"/>
    <mergeCell ref="M10909:M10910"/>
    <mergeCell ref="N10909:N10910"/>
    <mergeCell ref="A10911:A10912"/>
    <mergeCell ref="B10911:B10912"/>
    <mergeCell ref="C10911:C10912"/>
    <mergeCell ref="D10911:D10912"/>
    <mergeCell ref="E10911:E10912"/>
    <mergeCell ref="F10911:F10912"/>
    <mergeCell ref="G10911:G10912"/>
    <mergeCell ref="H10911:H10912"/>
    <mergeCell ref="I10911:I10912"/>
    <mergeCell ref="J10911:J10912"/>
    <mergeCell ref="K10911:K10912"/>
    <mergeCell ref="L10911:L10912"/>
    <mergeCell ref="M10911:M10912"/>
    <mergeCell ref="N10911:N10912"/>
    <mergeCell ref="A10913:A10915"/>
    <mergeCell ref="B10913:B10915"/>
    <mergeCell ref="C10913:C10915"/>
    <mergeCell ref="D10913:D10915"/>
    <mergeCell ref="E10913:E10915"/>
    <mergeCell ref="F10913:F10915"/>
    <mergeCell ref="G10913:G10915"/>
    <mergeCell ref="H10913:H10915"/>
    <mergeCell ref="I10913:I10915"/>
    <mergeCell ref="J10913:J10915"/>
    <mergeCell ref="K10913:K10915"/>
    <mergeCell ref="L10913:L10915"/>
    <mergeCell ref="M10913:M10915"/>
    <mergeCell ref="N10913:N10915"/>
    <mergeCell ref="A10920:A10921"/>
    <mergeCell ref="B10920:B10921"/>
    <mergeCell ref="C10920:C10921"/>
    <mergeCell ref="D10920:D10921"/>
    <mergeCell ref="E10920:E10921"/>
    <mergeCell ref="F10920:F10921"/>
    <mergeCell ref="G10920:G10921"/>
    <mergeCell ref="H10920:H10921"/>
    <mergeCell ref="I10920:I10921"/>
    <mergeCell ref="J10920:J10921"/>
    <mergeCell ref="K10920:K10921"/>
    <mergeCell ref="L10920:L10921"/>
    <mergeCell ref="M10920:M10921"/>
    <mergeCell ref="N10920:N10921"/>
    <mergeCell ref="A10922:A10925"/>
    <mergeCell ref="B10922:B10925"/>
    <mergeCell ref="C10922:C10925"/>
    <mergeCell ref="D10922:D10925"/>
    <mergeCell ref="E10922:E10925"/>
    <mergeCell ref="F10922:F10925"/>
    <mergeCell ref="G10922:G10925"/>
    <mergeCell ref="H10922:H10925"/>
    <mergeCell ref="I10922:I10925"/>
    <mergeCell ref="J10922:J10925"/>
    <mergeCell ref="K10922:K10925"/>
    <mergeCell ref="L10922:L10925"/>
    <mergeCell ref="M10922:M10925"/>
    <mergeCell ref="N10922:N10925"/>
    <mergeCell ref="A10926:A10930"/>
    <mergeCell ref="B10926:B10930"/>
    <mergeCell ref="C10926:C10930"/>
    <mergeCell ref="D10926:D10930"/>
    <mergeCell ref="E10926:E10930"/>
    <mergeCell ref="F10926:F10930"/>
    <mergeCell ref="G10926:G10930"/>
    <mergeCell ref="H10926:H10930"/>
    <mergeCell ref="I10926:I10930"/>
    <mergeCell ref="J10926:J10930"/>
    <mergeCell ref="K10926:K10930"/>
    <mergeCell ref="L10926:L10930"/>
    <mergeCell ref="M10926:M10930"/>
    <mergeCell ref="N10926:N10930"/>
    <mergeCell ref="A10933:A10934"/>
    <mergeCell ref="B10933:B10934"/>
    <mergeCell ref="C10933:C10934"/>
    <mergeCell ref="D10933:D10934"/>
    <mergeCell ref="E10933:E10934"/>
    <mergeCell ref="F10933:F10934"/>
    <mergeCell ref="G10933:G10934"/>
    <mergeCell ref="H10933:H10934"/>
    <mergeCell ref="I10933:I10934"/>
    <mergeCell ref="J10933:J10934"/>
    <mergeCell ref="K10933:K10934"/>
    <mergeCell ref="L10933:L10934"/>
    <mergeCell ref="M10933:M10934"/>
    <mergeCell ref="N10933:N10934"/>
    <mergeCell ref="A10938:A10940"/>
    <mergeCell ref="B10938:B10940"/>
    <mergeCell ref="C10938:C10940"/>
    <mergeCell ref="D10938:D10940"/>
    <mergeCell ref="E10938:E10940"/>
    <mergeCell ref="F10938:F10940"/>
    <mergeCell ref="G10938:G10940"/>
    <mergeCell ref="H10938:H10940"/>
    <mergeCell ref="I10938:I10940"/>
    <mergeCell ref="J10938:J10940"/>
    <mergeCell ref="K10938:K10940"/>
    <mergeCell ref="L10938:L10940"/>
    <mergeCell ref="M10938:M10940"/>
    <mergeCell ref="N10938:N10940"/>
    <mergeCell ref="A10942:A10944"/>
    <mergeCell ref="B10942:B10944"/>
    <mergeCell ref="C10942:C10944"/>
    <mergeCell ref="D10942:D10944"/>
    <mergeCell ref="E10942:E10944"/>
    <mergeCell ref="F10942:F10944"/>
    <mergeCell ref="G10942:G10944"/>
    <mergeCell ref="H10942:H10944"/>
    <mergeCell ref="I10942:I10944"/>
    <mergeCell ref="J10942:J10944"/>
    <mergeCell ref="K10942:K10944"/>
    <mergeCell ref="L10942:L10944"/>
    <mergeCell ref="M10942:M10944"/>
    <mergeCell ref="N10942:N10944"/>
    <mergeCell ref="A10945:A10946"/>
    <mergeCell ref="B10945:B10946"/>
    <mergeCell ref="C10945:C10946"/>
    <mergeCell ref="D10945:D10946"/>
    <mergeCell ref="E10945:E10946"/>
    <mergeCell ref="F10945:F10946"/>
    <mergeCell ref="G10945:G10946"/>
    <mergeCell ref="H10945:H10946"/>
    <mergeCell ref="I10945:I10946"/>
    <mergeCell ref="J10945:J10946"/>
    <mergeCell ref="K10945:K10946"/>
    <mergeCell ref="L10945:L10946"/>
    <mergeCell ref="M10945:M10946"/>
    <mergeCell ref="N10945:N10946"/>
    <mergeCell ref="A10955:A10958"/>
    <mergeCell ref="B10955:B10958"/>
    <mergeCell ref="C10955:C10958"/>
    <mergeCell ref="D10955:D10958"/>
    <mergeCell ref="E10955:E10958"/>
    <mergeCell ref="F10955:F10958"/>
    <mergeCell ref="G10955:G10958"/>
    <mergeCell ref="H10955:H10958"/>
    <mergeCell ref="I10955:I10958"/>
    <mergeCell ref="J10955:J10958"/>
    <mergeCell ref="K10955:K10958"/>
    <mergeCell ref="L10955:L10958"/>
    <mergeCell ref="M10955:M10958"/>
    <mergeCell ref="N10955:N10958"/>
    <mergeCell ref="A10975:A10976"/>
    <mergeCell ref="B10975:B10976"/>
    <mergeCell ref="C10975:C10976"/>
    <mergeCell ref="D10975:D10976"/>
    <mergeCell ref="E10975:E10976"/>
    <mergeCell ref="F10975:F10976"/>
    <mergeCell ref="G10975:G10976"/>
    <mergeCell ref="H10975:H10976"/>
    <mergeCell ref="I10975:I10976"/>
    <mergeCell ref="J10975:J10976"/>
    <mergeCell ref="K10975:K10976"/>
    <mergeCell ref="L10975:L10976"/>
    <mergeCell ref="M10975:M10976"/>
    <mergeCell ref="N10975:N10976"/>
    <mergeCell ref="A10984:A10986"/>
    <mergeCell ref="B10984:B10986"/>
    <mergeCell ref="C10984:C10986"/>
    <mergeCell ref="D10984:D10986"/>
    <mergeCell ref="E10984:E10986"/>
    <mergeCell ref="F10984:F10986"/>
    <mergeCell ref="G10984:G10986"/>
    <mergeCell ref="H10984:H10986"/>
    <mergeCell ref="I10984:I10986"/>
    <mergeCell ref="J10984:J10986"/>
    <mergeCell ref="K10984:K10986"/>
    <mergeCell ref="L10984:L10986"/>
    <mergeCell ref="M10984:M10986"/>
    <mergeCell ref="N10984:N10986"/>
    <mergeCell ref="A10987:A10988"/>
    <mergeCell ref="B10987:B10988"/>
    <mergeCell ref="C10987:C10988"/>
    <mergeCell ref="D10987:D10988"/>
    <mergeCell ref="E10987:E10988"/>
    <mergeCell ref="F10987:F10988"/>
    <mergeCell ref="G10987:G10988"/>
    <mergeCell ref="H10987:H10988"/>
    <mergeCell ref="I10987:I10988"/>
    <mergeCell ref="J10987:J10988"/>
    <mergeCell ref="K10987:K10988"/>
    <mergeCell ref="L10987:L10988"/>
    <mergeCell ref="M10987:M10988"/>
    <mergeCell ref="N10987:N10988"/>
    <mergeCell ref="A10989:A10991"/>
    <mergeCell ref="B10989:B10991"/>
    <mergeCell ref="C10989:C10991"/>
    <mergeCell ref="D10989:D10991"/>
    <mergeCell ref="E10989:E10991"/>
    <mergeCell ref="F10989:F10991"/>
    <mergeCell ref="G10989:G10991"/>
    <mergeCell ref="H10989:H10991"/>
    <mergeCell ref="I10989:I10991"/>
    <mergeCell ref="J10989:J10991"/>
    <mergeCell ref="K10989:K10991"/>
    <mergeCell ref="L10989:L10991"/>
    <mergeCell ref="M10989:M10991"/>
    <mergeCell ref="N10989:N10991"/>
    <mergeCell ref="A10992:A10993"/>
    <mergeCell ref="B10992:B10993"/>
    <mergeCell ref="C10992:C10993"/>
    <mergeCell ref="D10992:D10993"/>
    <mergeCell ref="E10992:E10993"/>
    <mergeCell ref="F10992:F10993"/>
    <mergeCell ref="G10992:G10993"/>
    <mergeCell ref="H10992:H10993"/>
    <mergeCell ref="I10992:I10993"/>
    <mergeCell ref="J10992:J10993"/>
    <mergeCell ref="K10992:K10993"/>
    <mergeCell ref="L10992:L10993"/>
    <mergeCell ref="M10992:M10993"/>
    <mergeCell ref="N10992:N10993"/>
    <mergeCell ref="A11004:A11005"/>
    <mergeCell ref="B11004:B11005"/>
    <mergeCell ref="C11004:C11005"/>
    <mergeCell ref="D11004:D11005"/>
    <mergeCell ref="E11004:E11005"/>
    <mergeCell ref="F11004:F11005"/>
    <mergeCell ref="G11004:G11005"/>
    <mergeCell ref="H11004:H11005"/>
    <mergeCell ref="I11004:I11005"/>
    <mergeCell ref="J11004:J11005"/>
    <mergeCell ref="K11004:K11005"/>
    <mergeCell ref="L11004:L11005"/>
    <mergeCell ref="M11004:M11005"/>
    <mergeCell ref="N11004:N11005"/>
    <mergeCell ref="A11006:A11007"/>
    <mergeCell ref="B11006:B11007"/>
    <mergeCell ref="C11006:C11007"/>
    <mergeCell ref="D11006:D11007"/>
    <mergeCell ref="E11006:E11007"/>
    <mergeCell ref="F11006:F11007"/>
    <mergeCell ref="G11006:G11007"/>
    <mergeCell ref="H11006:H11007"/>
    <mergeCell ref="I11006:I11007"/>
    <mergeCell ref="J11006:J11007"/>
    <mergeCell ref="K11006:K11007"/>
    <mergeCell ref="L11006:L11007"/>
    <mergeCell ref="M11006:M11007"/>
    <mergeCell ref="N11006:N11007"/>
    <mergeCell ref="A11010:A11015"/>
    <mergeCell ref="B11010:B11015"/>
    <mergeCell ref="C11010:C11015"/>
    <mergeCell ref="D11010:D11015"/>
    <mergeCell ref="E11010:E11015"/>
    <mergeCell ref="F11010:F11015"/>
    <mergeCell ref="G11010:G11015"/>
    <mergeCell ref="H11010:H11015"/>
    <mergeCell ref="I11010:I11015"/>
    <mergeCell ref="J11010:J11015"/>
    <mergeCell ref="K11010:K11015"/>
    <mergeCell ref="L11010:L11015"/>
    <mergeCell ref="M11010:M11015"/>
    <mergeCell ref="N11010:N11015"/>
    <mergeCell ref="A11016:A11017"/>
    <mergeCell ref="B11016:B11017"/>
    <mergeCell ref="C11016:C11017"/>
    <mergeCell ref="D11016:D11017"/>
    <mergeCell ref="E11016:E11017"/>
    <mergeCell ref="F11016:F11017"/>
    <mergeCell ref="G11016:G11017"/>
    <mergeCell ref="H11016:H11017"/>
    <mergeCell ref="I11016:I11017"/>
    <mergeCell ref="J11016:J11017"/>
    <mergeCell ref="K11016:K11017"/>
    <mergeCell ref="L11016:L11017"/>
    <mergeCell ref="M11016:M11017"/>
    <mergeCell ref="N11016:N11017"/>
    <mergeCell ref="A11018:A11021"/>
    <mergeCell ref="B11018:B11021"/>
    <mergeCell ref="C11018:C11021"/>
    <mergeCell ref="D11018:D11021"/>
    <mergeCell ref="E11018:E11021"/>
    <mergeCell ref="F11018:F11021"/>
    <mergeCell ref="G11018:G11021"/>
    <mergeCell ref="H11018:H11021"/>
    <mergeCell ref="I11018:I11021"/>
    <mergeCell ref="J11018:J11021"/>
    <mergeCell ref="K11018:K11021"/>
    <mergeCell ref="L11018:L11021"/>
    <mergeCell ref="M11018:M11021"/>
    <mergeCell ref="N11018:N11021"/>
    <mergeCell ref="A11024:A11025"/>
    <mergeCell ref="B11024:B11025"/>
    <mergeCell ref="C11024:C11025"/>
    <mergeCell ref="D11024:D11025"/>
    <mergeCell ref="E11024:E11025"/>
    <mergeCell ref="F11024:F11025"/>
    <mergeCell ref="G11024:G11025"/>
    <mergeCell ref="H11024:H11025"/>
    <mergeCell ref="I11024:I11025"/>
    <mergeCell ref="J11024:J11025"/>
    <mergeCell ref="K11024:K11025"/>
    <mergeCell ref="L11024:L11025"/>
    <mergeCell ref="M11024:M11025"/>
    <mergeCell ref="N11024:N11025"/>
    <mergeCell ref="A11027:A11029"/>
    <mergeCell ref="B11027:B11029"/>
    <mergeCell ref="C11027:C11029"/>
    <mergeCell ref="D11027:D11029"/>
    <mergeCell ref="E11027:E11029"/>
    <mergeCell ref="F11027:F11029"/>
    <mergeCell ref="G11027:G11029"/>
    <mergeCell ref="H11027:H11029"/>
    <mergeCell ref="I11027:I11029"/>
    <mergeCell ref="J11027:J11029"/>
    <mergeCell ref="K11027:K11029"/>
    <mergeCell ref="L11027:L11029"/>
    <mergeCell ref="M11027:M11029"/>
    <mergeCell ref="N11027:N11029"/>
    <mergeCell ref="A11032:A11035"/>
    <mergeCell ref="B11032:B11035"/>
    <mergeCell ref="C11032:C11035"/>
    <mergeCell ref="D11032:D11035"/>
    <mergeCell ref="E11032:E11035"/>
    <mergeCell ref="F11032:F11035"/>
    <mergeCell ref="G11032:G11035"/>
    <mergeCell ref="H11032:H11035"/>
    <mergeCell ref="I11032:I11035"/>
    <mergeCell ref="J11032:J11035"/>
    <mergeCell ref="K11032:K11035"/>
    <mergeCell ref="L11032:L11035"/>
    <mergeCell ref="M11032:M11035"/>
    <mergeCell ref="N11032:N11035"/>
    <mergeCell ref="A11036:A11038"/>
    <mergeCell ref="B11036:B11038"/>
    <mergeCell ref="C11036:C11038"/>
    <mergeCell ref="D11036:D11038"/>
    <mergeCell ref="E11036:E11038"/>
    <mergeCell ref="F11036:F11038"/>
    <mergeCell ref="G11036:G11038"/>
    <mergeCell ref="H11036:H11038"/>
    <mergeCell ref="I11036:I11038"/>
    <mergeCell ref="J11036:J11038"/>
    <mergeCell ref="K11036:K11038"/>
    <mergeCell ref="L11036:L11038"/>
    <mergeCell ref="M11036:M11038"/>
    <mergeCell ref="N11036:N11038"/>
    <mergeCell ref="A11039:A11042"/>
    <mergeCell ref="B11039:B11042"/>
    <mergeCell ref="C11039:C11042"/>
    <mergeCell ref="D11039:D11042"/>
    <mergeCell ref="E11039:E11042"/>
    <mergeCell ref="F11039:F11042"/>
    <mergeCell ref="G11039:G11042"/>
    <mergeCell ref="H11039:H11042"/>
    <mergeCell ref="I11039:I11042"/>
    <mergeCell ref="J11039:J11042"/>
    <mergeCell ref="K11039:K11042"/>
    <mergeCell ref="L11039:L11042"/>
    <mergeCell ref="M11039:M11042"/>
    <mergeCell ref="N11039:N11042"/>
    <mergeCell ref="A11044:A11047"/>
    <mergeCell ref="B11044:B11047"/>
    <mergeCell ref="C11044:C11047"/>
    <mergeCell ref="D11044:D11047"/>
    <mergeCell ref="E11044:E11047"/>
    <mergeCell ref="F11044:F11047"/>
    <mergeCell ref="G11044:G11047"/>
    <mergeCell ref="H11044:H11047"/>
    <mergeCell ref="I11044:I11047"/>
    <mergeCell ref="J11044:J11047"/>
    <mergeCell ref="K11044:K11047"/>
    <mergeCell ref="L11044:L11047"/>
    <mergeCell ref="M11044:M11047"/>
    <mergeCell ref="N11044:N11047"/>
    <mergeCell ref="A11052:A11056"/>
    <mergeCell ref="B11052:B11056"/>
    <mergeCell ref="C11052:C11056"/>
    <mergeCell ref="D11052:D11056"/>
    <mergeCell ref="E11052:E11056"/>
    <mergeCell ref="F11052:F11056"/>
    <mergeCell ref="G11052:G11056"/>
    <mergeCell ref="H11052:H11056"/>
    <mergeCell ref="I11052:I11056"/>
    <mergeCell ref="J11052:J11056"/>
    <mergeCell ref="K11052:K11056"/>
    <mergeCell ref="L11052:L11056"/>
    <mergeCell ref="M11052:M11056"/>
    <mergeCell ref="N11052:N11056"/>
    <mergeCell ref="A11057:A11060"/>
    <mergeCell ref="B11057:B11060"/>
    <mergeCell ref="C11057:C11060"/>
    <mergeCell ref="D11057:D11060"/>
    <mergeCell ref="E11057:E11060"/>
    <mergeCell ref="F11057:F11060"/>
    <mergeCell ref="G11057:G11060"/>
    <mergeCell ref="H11057:H11060"/>
    <mergeCell ref="I11057:I11060"/>
    <mergeCell ref="J11057:J11060"/>
    <mergeCell ref="K11057:K11060"/>
    <mergeCell ref="L11057:L11060"/>
    <mergeCell ref="M11057:M11060"/>
    <mergeCell ref="N11057:N11060"/>
    <mergeCell ref="A11063:A11064"/>
    <mergeCell ref="B11063:B11064"/>
    <mergeCell ref="C11063:C11064"/>
    <mergeCell ref="D11063:D11064"/>
    <mergeCell ref="E11063:E11064"/>
    <mergeCell ref="F11063:F11064"/>
    <mergeCell ref="G11063:G11064"/>
    <mergeCell ref="H11063:H11064"/>
    <mergeCell ref="I11063:I11064"/>
    <mergeCell ref="J11063:J11064"/>
    <mergeCell ref="K11063:K11064"/>
    <mergeCell ref="L11063:L11064"/>
    <mergeCell ref="M11063:M11064"/>
    <mergeCell ref="N11063:N11064"/>
    <mergeCell ref="A11068:A11069"/>
    <mergeCell ref="B11068:B11069"/>
    <mergeCell ref="C11068:C11069"/>
    <mergeCell ref="D11068:D11069"/>
    <mergeCell ref="E11068:E11069"/>
    <mergeCell ref="F11068:F11069"/>
    <mergeCell ref="G11068:G11069"/>
    <mergeCell ref="H11068:H11069"/>
    <mergeCell ref="I11068:I11069"/>
    <mergeCell ref="J11068:J11069"/>
    <mergeCell ref="K11068:K11069"/>
    <mergeCell ref="L11068:L11069"/>
    <mergeCell ref="M11068:M11069"/>
    <mergeCell ref="N11068:N11069"/>
    <mergeCell ref="A11070:A11071"/>
    <mergeCell ref="B11070:B11071"/>
    <mergeCell ref="C11070:C11071"/>
    <mergeCell ref="D11070:D11071"/>
    <mergeCell ref="E11070:E11071"/>
    <mergeCell ref="F11070:F11071"/>
    <mergeCell ref="G11070:G11071"/>
    <mergeCell ref="H11070:H11071"/>
    <mergeCell ref="I11070:I11071"/>
    <mergeCell ref="J11070:J11071"/>
    <mergeCell ref="K11070:K11071"/>
    <mergeCell ref="L11070:L11071"/>
    <mergeCell ref="M11070:M11071"/>
    <mergeCell ref="N11070:N11071"/>
    <mergeCell ref="A11073:A11074"/>
    <mergeCell ref="B11073:B11074"/>
    <mergeCell ref="C11073:C11074"/>
    <mergeCell ref="D11073:D11074"/>
    <mergeCell ref="E11073:E11074"/>
    <mergeCell ref="F11073:F11074"/>
    <mergeCell ref="G11073:G11074"/>
    <mergeCell ref="H11073:H11074"/>
    <mergeCell ref="I11073:I11074"/>
    <mergeCell ref="J11073:J11074"/>
    <mergeCell ref="K11073:K11074"/>
    <mergeCell ref="L11073:L11074"/>
    <mergeCell ref="M11073:M11074"/>
    <mergeCell ref="N11073:N11074"/>
    <mergeCell ref="A11077:A11078"/>
    <mergeCell ref="B11077:B11078"/>
    <mergeCell ref="C11077:C11078"/>
    <mergeCell ref="D11077:D11078"/>
    <mergeCell ref="E11077:E11078"/>
    <mergeCell ref="F11077:F11078"/>
    <mergeCell ref="G11077:G11078"/>
    <mergeCell ref="H11077:H11078"/>
    <mergeCell ref="I11077:I11078"/>
    <mergeCell ref="J11077:J11078"/>
    <mergeCell ref="K11077:K11078"/>
    <mergeCell ref="L11077:L11078"/>
    <mergeCell ref="M11077:M11078"/>
    <mergeCell ref="N11077:N11078"/>
    <mergeCell ref="A11080:A11081"/>
    <mergeCell ref="B11080:B11081"/>
    <mergeCell ref="C11080:C11081"/>
    <mergeCell ref="D11080:D11081"/>
    <mergeCell ref="E11080:E11081"/>
    <mergeCell ref="F11080:F11081"/>
    <mergeCell ref="G11080:G11081"/>
    <mergeCell ref="H11080:H11081"/>
    <mergeCell ref="I11080:I11081"/>
    <mergeCell ref="J11080:J11081"/>
    <mergeCell ref="K11080:K11081"/>
    <mergeCell ref="L11080:L11081"/>
    <mergeCell ref="M11080:M11081"/>
    <mergeCell ref="N11080:N11081"/>
    <mergeCell ref="A11082:A11083"/>
    <mergeCell ref="B11082:B11083"/>
    <mergeCell ref="C11082:C11083"/>
    <mergeCell ref="D11082:D11083"/>
    <mergeCell ref="E11082:E11083"/>
    <mergeCell ref="F11082:F11083"/>
    <mergeCell ref="G11082:G11083"/>
    <mergeCell ref="H11082:H11083"/>
    <mergeCell ref="I11082:I11083"/>
    <mergeCell ref="J11082:J11083"/>
    <mergeCell ref="K11082:K11083"/>
    <mergeCell ref="L11082:L11083"/>
    <mergeCell ref="M11082:M11083"/>
    <mergeCell ref="N11082:N11083"/>
    <mergeCell ref="A11086:A11089"/>
    <mergeCell ref="B11086:B11089"/>
    <mergeCell ref="C11086:C11089"/>
    <mergeCell ref="D11086:D11089"/>
    <mergeCell ref="E11086:E11089"/>
    <mergeCell ref="F11086:F11089"/>
    <mergeCell ref="G11086:G11089"/>
    <mergeCell ref="H11086:H11089"/>
    <mergeCell ref="I11086:I11089"/>
    <mergeCell ref="J11086:J11089"/>
    <mergeCell ref="K11086:K11089"/>
    <mergeCell ref="L11086:L11089"/>
    <mergeCell ref="M11086:M11089"/>
    <mergeCell ref="N11086:N11089"/>
    <mergeCell ref="A11094:A11095"/>
    <mergeCell ref="B11094:B11095"/>
    <mergeCell ref="C11094:C11095"/>
    <mergeCell ref="D11094:D11095"/>
    <mergeCell ref="E11094:E11095"/>
    <mergeCell ref="F11094:F11095"/>
    <mergeCell ref="G11094:G11095"/>
    <mergeCell ref="H11094:H11095"/>
    <mergeCell ref="I11094:I11095"/>
    <mergeCell ref="J11094:J11095"/>
    <mergeCell ref="K11094:K11095"/>
    <mergeCell ref="L11094:L11095"/>
    <mergeCell ref="M11094:M11095"/>
    <mergeCell ref="N11094:N11095"/>
    <mergeCell ref="A11099:A11100"/>
    <mergeCell ref="B11099:B11100"/>
    <mergeCell ref="C11099:C11100"/>
    <mergeCell ref="D11099:D11100"/>
    <mergeCell ref="E11099:E11100"/>
    <mergeCell ref="F11099:F11100"/>
    <mergeCell ref="G11099:G11100"/>
    <mergeCell ref="H11099:H11100"/>
    <mergeCell ref="I11099:I11100"/>
    <mergeCell ref="J11099:J11100"/>
    <mergeCell ref="K11099:K11100"/>
    <mergeCell ref="L11099:L11100"/>
    <mergeCell ref="M11099:M11100"/>
    <mergeCell ref="N11099:N11100"/>
    <mergeCell ref="A11102:A11105"/>
    <mergeCell ref="B11102:B11105"/>
    <mergeCell ref="C11102:C11105"/>
    <mergeCell ref="D11102:D11105"/>
    <mergeCell ref="E11102:E11105"/>
    <mergeCell ref="F11102:F11105"/>
    <mergeCell ref="G11102:G11105"/>
    <mergeCell ref="H11102:H11105"/>
    <mergeCell ref="I11102:I11105"/>
    <mergeCell ref="J11102:J11105"/>
    <mergeCell ref="K11102:K11105"/>
    <mergeCell ref="L11102:L11105"/>
    <mergeCell ref="M11102:M11105"/>
    <mergeCell ref="N11102:N11105"/>
    <mergeCell ref="A11106:A11107"/>
    <mergeCell ref="B11106:B11107"/>
    <mergeCell ref="C11106:C11107"/>
    <mergeCell ref="D11106:D11107"/>
    <mergeCell ref="E11106:E11107"/>
    <mergeCell ref="F11106:F11107"/>
    <mergeCell ref="G11106:G11107"/>
    <mergeCell ref="H11106:H11107"/>
    <mergeCell ref="I11106:I11107"/>
    <mergeCell ref="J11106:J11107"/>
    <mergeCell ref="K11106:K11107"/>
    <mergeCell ref="L11106:L11107"/>
    <mergeCell ref="M11106:M11107"/>
    <mergeCell ref="N11106:N11107"/>
    <mergeCell ref="A11110:A11111"/>
    <mergeCell ref="B11110:B11111"/>
    <mergeCell ref="C11110:C11111"/>
    <mergeCell ref="D11110:D11111"/>
    <mergeCell ref="E11110:E11111"/>
    <mergeCell ref="F11110:F11111"/>
    <mergeCell ref="G11110:G11111"/>
    <mergeCell ref="H11110:H11111"/>
    <mergeCell ref="I11110:I11111"/>
    <mergeCell ref="J11110:J11111"/>
    <mergeCell ref="K11110:K11111"/>
    <mergeCell ref="L11110:L11111"/>
    <mergeCell ref="M11110:M11111"/>
    <mergeCell ref="N11110:N11111"/>
    <mergeCell ref="A11112:A11113"/>
    <mergeCell ref="B11112:B11113"/>
    <mergeCell ref="C11112:C11113"/>
    <mergeCell ref="D11112:D11113"/>
    <mergeCell ref="E11112:E11113"/>
    <mergeCell ref="F11112:F11113"/>
    <mergeCell ref="G11112:G11113"/>
    <mergeCell ref="H11112:H11113"/>
    <mergeCell ref="I11112:I11113"/>
    <mergeCell ref="J11112:J11113"/>
    <mergeCell ref="K11112:K11113"/>
    <mergeCell ref="L11112:L11113"/>
    <mergeCell ref="M11112:M11113"/>
    <mergeCell ref="N11112:N11113"/>
    <mergeCell ref="A11116:A11117"/>
    <mergeCell ref="B11116:B11117"/>
    <mergeCell ref="C11116:C11117"/>
    <mergeCell ref="D11116:D11117"/>
    <mergeCell ref="E11116:E11117"/>
    <mergeCell ref="F11116:F11117"/>
    <mergeCell ref="G11116:G11117"/>
    <mergeCell ref="H11116:H11117"/>
    <mergeCell ref="I11116:I11117"/>
    <mergeCell ref="J11116:J11117"/>
    <mergeCell ref="K11116:K11117"/>
    <mergeCell ref="L11116:L11117"/>
    <mergeCell ref="M11116:M11117"/>
    <mergeCell ref="N11116:N11117"/>
    <mergeCell ref="A11119:A11120"/>
    <mergeCell ref="B11119:B11120"/>
    <mergeCell ref="C11119:C11120"/>
    <mergeCell ref="D11119:D11120"/>
    <mergeCell ref="E11119:E11120"/>
    <mergeCell ref="F11119:F11120"/>
    <mergeCell ref="G11119:G11120"/>
    <mergeCell ref="H11119:H11120"/>
    <mergeCell ref="I11119:I11120"/>
    <mergeCell ref="J11119:J11120"/>
    <mergeCell ref="K11119:K11120"/>
    <mergeCell ref="L11119:L11120"/>
    <mergeCell ref="M11119:M11120"/>
    <mergeCell ref="N11119:N11120"/>
    <mergeCell ref="A11127:A11128"/>
    <mergeCell ref="B11127:B11128"/>
    <mergeCell ref="C11127:C11128"/>
    <mergeCell ref="D11127:D11128"/>
    <mergeCell ref="E11127:E11128"/>
    <mergeCell ref="F11127:F11128"/>
    <mergeCell ref="G11127:G11128"/>
    <mergeCell ref="H11127:H11128"/>
    <mergeCell ref="I11127:I11128"/>
    <mergeCell ref="J11127:J11128"/>
    <mergeCell ref="K11127:K11128"/>
    <mergeCell ref="L11127:L11128"/>
    <mergeCell ref="M11127:M11128"/>
    <mergeCell ref="N11127:N11128"/>
    <mergeCell ref="A11130:A11131"/>
    <mergeCell ref="B11130:B11131"/>
    <mergeCell ref="C11130:C11131"/>
    <mergeCell ref="D11130:D11131"/>
    <mergeCell ref="E11130:E11131"/>
    <mergeCell ref="F11130:F11131"/>
    <mergeCell ref="G11130:G11131"/>
    <mergeCell ref="H11130:H11131"/>
    <mergeCell ref="I11130:I11131"/>
    <mergeCell ref="J11130:J11131"/>
    <mergeCell ref="K11130:K11131"/>
    <mergeCell ref="L11130:L11131"/>
    <mergeCell ref="M11130:M11131"/>
    <mergeCell ref="N11130:N11131"/>
    <mergeCell ref="A11133:A11134"/>
    <mergeCell ref="B11133:B11134"/>
    <mergeCell ref="C11133:C11134"/>
    <mergeCell ref="D11133:D11134"/>
    <mergeCell ref="E11133:E11134"/>
    <mergeCell ref="F11133:F11134"/>
    <mergeCell ref="G11133:G11134"/>
    <mergeCell ref="H11133:H11134"/>
    <mergeCell ref="I11133:I11134"/>
    <mergeCell ref="J11133:J11134"/>
    <mergeCell ref="K11133:K11134"/>
    <mergeCell ref="L11133:L11134"/>
    <mergeCell ref="M11133:M11134"/>
    <mergeCell ref="N11133:N11134"/>
    <mergeCell ref="A11137:A11138"/>
    <mergeCell ref="B11137:B11138"/>
    <mergeCell ref="C11137:C11138"/>
    <mergeCell ref="D11137:D11138"/>
    <mergeCell ref="E11137:E11138"/>
    <mergeCell ref="F11137:F11138"/>
    <mergeCell ref="G11137:G11138"/>
    <mergeCell ref="H11137:H11138"/>
    <mergeCell ref="I11137:I11138"/>
    <mergeCell ref="J11137:J11138"/>
    <mergeCell ref="K11137:K11138"/>
    <mergeCell ref="L11137:L11138"/>
    <mergeCell ref="M11137:M11138"/>
    <mergeCell ref="N11137:N11138"/>
    <mergeCell ref="A11139:A11140"/>
    <mergeCell ref="B11139:B11140"/>
    <mergeCell ref="C11139:C11140"/>
    <mergeCell ref="D11139:D11140"/>
    <mergeCell ref="E11139:E11140"/>
    <mergeCell ref="F11139:F11140"/>
    <mergeCell ref="G11139:G11140"/>
    <mergeCell ref="H11139:H11140"/>
    <mergeCell ref="I11139:I11140"/>
    <mergeCell ref="J11139:J11140"/>
    <mergeCell ref="K11139:K11140"/>
    <mergeCell ref="L11139:L11140"/>
    <mergeCell ref="M11139:M11140"/>
    <mergeCell ref="N11139:N11140"/>
    <mergeCell ref="A11141:A11142"/>
    <mergeCell ref="B11141:B11142"/>
    <mergeCell ref="C11141:C11142"/>
    <mergeCell ref="D11141:D11142"/>
    <mergeCell ref="E11141:E11142"/>
    <mergeCell ref="F11141:F11142"/>
    <mergeCell ref="G11141:G11142"/>
    <mergeCell ref="H11141:H11142"/>
    <mergeCell ref="I11141:I11142"/>
    <mergeCell ref="J11141:J11142"/>
    <mergeCell ref="K11141:K11142"/>
    <mergeCell ref="L11141:L11142"/>
    <mergeCell ref="M11141:M11142"/>
    <mergeCell ref="N11141:N11142"/>
    <mergeCell ref="A11146:A11147"/>
    <mergeCell ref="B11146:B11147"/>
    <mergeCell ref="C11146:C11147"/>
    <mergeCell ref="D11146:D11147"/>
    <mergeCell ref="E11146:E11147"/>
    <mergeCell ref="F11146:F11147"/>
    <mergeCell ref="G11146:G11147"/>
    <mergeCell ref="H11146:H11147"/>
    <mergeCell ref="I11146:I11147"/>
    <mergeCell ref="J11146:J11147"/>
    <mergeCell ref="K11146:K11147"/>
    <mergeCell ref="L11146:L11147"/>
    <mergeCell ref="M11146:M11147"/>
    <mergeCell ref="N11146:N11147"/>
    <mergeCell ref="A11148:A11151"/>
    <mergeCell ref="B11148:B11151"/>
    <mergeCell ref="C11148:C11151"/>
    <mergeCell ref="D11148:D11151"/>
    <mergeCell ref="E11148:E11151"/>
    <mergeCell ref="F11148:F11151"/>
    <mergeCell ref="G11148:G11151"/>
    <mergeCell ref="H11148:H11151"/>
    <mergeCell ref="I11148:I11151"/>
    <mergeCell ref="J11148:J11151"/>
    <mergeCell ref="K11148:K11151"/>
    <mergeCell ref="L11148:L11151"/>
    <mergeCell ref="M11148:M11151"/>
    <mergeCell ref="N11148:N11151"/>
    <mergeCell ref="A11152:A11153"/>
    <mergeCell ref="B11152:B11153"/>
    <mergeCell ref="C11152:C11153"/>
    <mergeCell ref="D11152:D11153"/>
    <mergeCell ref="E11152:E11153"/>
    <mergeCell ref="F11152:F11153"/>
    <mergeCell ref="G11152:G11153"/>
    <mergeCell ref="H11152:H11153"/>
    <mergeCell ref="I11152:I11153"/>
    <mergeCell ref="J11152:J11153"/>
    <mergeCell ref="K11152:K11153"/>
    <mergeCell ref="L11152:L11153"/>
    <mergeCell ref="M11152:M11153"/>
    <mergeCell ref="N11152:N11153"/>
    <mergeCell ref="A11155:A11156"/>
    <mergeCell ref="B11155:B11156"/>
    <mergeCell ref="C11155:C11156"/>
    <mergeCell ref="D11155:D11156"/>
    <mergeCell ref="E11155:E11156"/>
    <mergeCell ref="F11155:F11156"/>
    <mergeCell ref="G11155:G11156"/>
    <mergeCell ref="H11155:H11156"/>
    <mergeCell ref="I11155:I11156"/>
    <mergeCell ref="J11155:J11156"/>
    <mergeCell ref="K11155:K11156"/>
    <mergeCell ref="L11155:L11156"/>
    <mergeCell ref="M11155:M11156"/>
    <mergeCell ref="N11155:N11156"/>
    <mergeCell ref="A11157:A11158"/>
    <mergeCell ref="B11157:B11158"/>
    <mergeCell ref="C11157:C11158"/>
    <mergeCell ref="D11157:D11158"/>
    <mergeCell ref="E11157:E11158"/>
    <mergeCell ref="F11157:F11158"/>
    <mergeCell ref="G11157:G11158"/>
    <mergeCell ref="H11157:H11158"/>
    <mergeCell ref="I11157:I11158"/>
    <mergeCell ref="J11157:J11158"/>
    <mergeCell ref="K11157:K11158"/>
    <mergeCell ref="L11157:L11158"/>
    <mergeCell ref="M11157:M11158"/>
    <mergeCell ref="N11157:N11158"/>
    <mergeCell ref="A11159:A11161"/>
    <mergeCell ref="B11159:B11161"/>
    <mergeCell ref="C11159:C11161"/>
    <mergeCell ref="D11159:D11161"/>
    <mergeCell ref="E11159:E11161"/>
    <mergeCell ref="F11159:F11161"/>
    <mergeCell ref="G11159:G11161"/>
    <mergeCell ref="H11159:H11161"/>
    <mergeCell ref="I11159:I11161"/>
    <mergeCell ref="J11159:J11161"/>
    <mergeCell ref="K11159:K11161"/>
    <mergeCell ref="L11159:L11161"/>
    <mergeCell ref="M11159:M11161"/>
    <mergeCell ref="N11159:N11161"/>
    <mergeCell ref="A11162:A11163"/>
    <mergeCell ref="B11162:B11163"/>
    <mergeCell ref="C11162:C11163"/>
    <mergeCell ref="D11162:D11163"/>
    <mergeCell ref="E11162:E11163"/>
    <mergeCell ref="F11162:F11163"/>
    <mergeCell ref="G11162:G11163"/>
    <mergeCell ref="H11162:H11163"/>
    <mergeCell ref="I11162:I11163"/>
    <mergeCell ref="J11162:J11163"/>
    <mergeCell ref="K11162:K11163"/>
    <mergeCell ref="L11162:L11163"/>
    <mergeCell ref="M11162:M11163"/>
    <mergeCell ref="N11162:N11163"/>
    <mergeCell ref="A11166:A11167"/>
    <mergeCell ref="B11166:B11167"/>
    <mergeCell ref="C11166:C11167"/>
    <mergeCell ref="D11166:D11167"/>
    <mergeCell ref="E11166:E11167"/>
    <mergeCell ref="F11166:F11167"/>
    <mergeCell ref="G11166:G11167"/>
    <mergeCell ref="H11166:H11167"/>
    <mergeCell ref="I11166:I11167"/>
    <mergeCell ref="J11166:J11167"/>
    <mergeCell ref="K11166:K11167"/>
    <mergeCell ref="L11166:L11167"/>
    <mergeCell ref="M11166:M11167"/>
    <mergeCell ref="N11166:N11167"/>
    <mergeCell ref="A11168:A11169"/>
    <mergeCell ref="B11168:B11169"/>
    <mergeCell ref="C11168:C11169"/>
    <mergeCell ref="D11168:D11169"/>
    <mergeCell ref="E11168:E11169"/>
    <mergeCell ref="F11168:F11169"/>
    <mergeCell ref="G11168:G11169"/>
    <mergeCell ref="H11168:H11169"/>
    <mergeCell ref="I11168:I11169"/>
    <mergeCell ref="J11168:J11169"/>
    <mergeCell ref="K11168:K11169"/>
    <mergeCell ref="L11168:L11169"/>
    <mergeCell ref="M11168:M11169"/>
    <mergeCell ref="N11168:N11169"/>
    <mergeCell ref="A11174:A11175"/>
    <mergeCell ref="B11174:B11175"/>
    <mergeCell ref="C11174:C11175"/>
    <mergeCell ref="D11174:D11175"/>
    <mergeCell ref="E11174:E11175"/>
    <mergeCell ref="F11174:F11175"/>
    <mergeCell ref="G11174:G11175"/>
    <mergeCell ref="H11174:H11175"/>
    <mergeCell ref="I11174:I11175"/>
    <mergeCell ref="J11174:J11175"/>
    <mergeCell ref="K11174:K11175"/>
    <mergeCell ref="L11174:L11175"/>
    <mergeCell ref="M11174:M11175"/>
    <mergeCell ref="N11174:N11175"/>
    <mergeCell ref="A11176:A11179"/>
    <mergeCell ref="B11176:B11179"/>
    <mergeCell ref="C11176:C11179"/>
    <mergeCell ref="D11176:D11179"/>
    <mergeCell ref="E11176:E11179"/>
    <mergeCell ref="F11176:F11179"/>
    <mergeCell ref="G11176:G11179"/>
    <mergeCell ref="H11176:H11179"/>
    <mergeCell ref="I11176:I11179"/>
    <mergeCell ref="J11176:J11179"/>
    <mergeCell ref="K11176:K11179"/>
    <mergeCell ref="L11176:L11179"/>
    <mergeCell ref="M11176:M11179"/>
    <mergeCell ref="N11176:N11179"/>
    <mergeCell ref="A11180:A11181"/>
    <mergeCell ref="B11180:B11181"/>
    <mergeCell ref="C11180:C11181"/>
    <mergeCell ref="D11180:D11181"/>
    <mergeCell ref="E11180:E11181"/>
    <mergeCell ref="F11180:F11181"/>
    <mergeCell ref="G11180:G11181"/>
    <mergeCell ref="H11180:H11181"/>
    <mergeCell ref="I11180:I11181"/>
    <mergeCell ref="J11180:J11181"/>
    <mergeCell ref="K11180:K11181"/>
    <mergeCell ref="L11180:L11181"/>
    <mergeCell ref="M11180:M11181"/>
    <mergeCell ref="N11180:N11181"/>
    <mergeCell ref="A11183:A11184"/>
    <mergeCell ref="B11183:B11184"/>
    <mergeCell ref="C11183:C11184"/>
    <mergeCell ref="D11183:D11184"/>
    <mergeCell ref="E11183:E11184"/>
    <mergeCell ref="F11183:F11184"/>
    <mergeCell ref="G11183:G11184"/>
    <mergeCell ref="H11183:H11184"/>
    <mergeCell ref="I11183:I11184"/>
    <mergeCell ref="J11183:J11184"/>
    <mergeCell ref="K11183:K11184"/>
    <mergeCell ref="L11183:L11184"/>
    <mergeCell ref="M11183:M11184"/>
    <mergeCell ref="N11183:N11184"/>
    <mergeCell ref="A11185:A11195"/>
    <mergeCell ref="B11185:B11195"/>
    <mergeCell ref="C11185:C11195"/>
    <mergeCell ref="D11185:D11195"/>
    <mergeCell ref="E11185:E11195"/>
    <mergeCell ref="F11185:F11195"/>
    <mergeCell ref="G11185:G11195"/>
    <mergeCell ref="H11185:H11195"/>
    <mergeCell ref="I11185:I11195"/>
    <mergeCell ref="J11185:J11195"/>
    <mergeCell ref="K11185:K11195"/>
    <mergeCell ref="L11185:L11195"/>
    <mergeCell ref="M11185:M11195"/>
    <mergeCell ref="N11185:N11195"/>
    <mergeCell ref="A11196:A11200"/>
    <mergeCell ref="B11196:B11200"/>
    <mergeCell ref="C11196:C11200"/>
    <mergeCell ref="D11196:D11200"/>
    <mergeCell ref="E11196:E11200"/>
    <mergeCell ref="F11196:F11200"/>
    <mergeCell ref="G11196:G11200"/>
    <mergeCell ref="H11196:H11200"/>
    <mergeCell ref="I11196:I11200"/>
    <mergeCell ref="J11196:J11200"/>
    <mergeCell ref="K11196:K11200"/>
    <mergeCell ref="L11196:L11200"/>
    <mergeCell ref="M11196:M11200"/>
    <mergeCell ref="N11196:N11200"/>
    <mergeCell ref="A11201:A11205"/>
    <mergeCell ref="B11201:B11205"/>
    <mergeCell ref="C11201:C11205"/>
    <mergeCell ref="D11201:D11205"/>
    <mergeCell ref="E11201:E11205"/>
    <mergeCell ref="F11201:F11205"/>
    <mergeCell ref="G11201:G11205"/>
    <mergeCell ref="H11201:H11205"/>
    <mergeCell ref="I11201:I11205"/>
    <mergeCell ref="J11201:J11205"/>
    <mergeCell ref="K11201:K11205"/>
    <mergeCell ref="L11201:L11205"/>
    <mergeCell ref="M11201:M11205"/>
    <mergeCell ref="N11201:N11205"/>
    <mergeCell ref="A11206:A11207"/>
    <mergeCell ref="B11206:B11207"/>
    <mergeCell ref="C11206:C11207"/>
    <mergeCell ref="D11206:D11207"/>
    <mergeCell ref="E11206:E11207"/>
    <mergeCell ref="F11206:F11207"/>
    <mergeCell ref="G11206:G11207"/>
    <mergeCell ref="H11206:H11207"/>
    <mergeCell ref="I11206:I11207"/>
    <mergeCell ref="J11206:J11207"/>
    <mergeCell ref="K11206:K11207"/>
    <mergeCell ref="L11206:L11207"/>
    <mergeCell ref="M11206:M11207"/>
    <mergeCell ref="N11206:N11207"/>
    <mergeCell ref="A11208:A11209"/>
    <mergeCell ref="B11208:B11209"/>
    <mergeCell ref="C11208:C11209"/>
    <mergeCell ref="D11208:D11209"/>
    <mergeCell ref="E11208:E11209"/>
    <mergeCell ref="F11208:F11209"/>
    <mergeCell ref="G11208:G11209"/>
    <mergeCell ref="H11208:H11209"/>
    <mergeCell ref="I11208:I11209"/>
    <mergeCell ref="J11208:J11209"/>
    <mergeCell ref="K11208:K11209"/>
    <mergeCell ref="L11208:L11209"/>
    <mergeCell ref="M11208:M11209"/>
    <mergeCell ref="N11208:N11209"/>
    <mergeCell ref="A11212:A11213"/>
    <mergeCell ref="B11212:B11213"/>
    <mergeCell ref="C11212:C11213"/>
    <mergeCell ref="D11212:D11213"/>
    <mergeCell ref="E11212:E11213"/>
    <mergeCell ref="F11212:F11213"/>
    <mergeCell ref="G11212:G11213"/>
    <mergeCell ref="H11212:H11213"/>
    <mergeCell ref="I11212:I11213"/>
    <mergeCell ref="J11212:J11213"/>
    <mergeCell ref="K11212:K11213"/>
    <mergeCell ref="L11212:L11213"/>
    <mergeCell ref="M11212:M11213"/>
    <mergeCell ref="N11212:N11213"/>
    <mergeCell ref="A11216:A11217"/>
    <mergeCell ref="B11216:B11217"/>
    <mergeCell ref="C11216:C11217"/>
    <mergeCell ref="D11216:D11217"/>
    <mergeCell ref="E11216:E11217"/>
    <mergeCell ref="F11216:F11217"/>
    <mergeCell ref="G11216:G11217"/>
    <mergeCell ref="H11216:H11217"/>
    <mergeCell ref="I11216:I11217"/>
    <mergeCell ref="J11216:J11217"/>
    <mergeCell ref="K11216:K11217"/>
    <mergeCell ref="L11216:L11217"/>
    <mergeCell ref="M11216:M11217"/>
    <mergeCell ref="N11216:N11217"/>
    <mergeCell ref="A11218:A11222"/>
    <mergeCell ref="B11218:B11222"/>
    <mergeCell ref="C11218:C11222"/>
    <mergeCell ref="D11218:D11222"/>
    <mergeCell ref="E11218:E11222"/>
    <mergeCell ref="F11218:F11222"/>
    <mergeCell ref="G11218:G11222"/>
    <mergeCell ref="H11218:H11222"/>
    <mergeCell ref="I11218:I11222"/>
    <mergeCell ref="J11218:J11222"/>
    <mergeCell ref="K11218:K11222"/>
    <mergeCell ref="L11218:L11222"/>
    <mergeCell ref="M11218:M11222"/>
    <mergeCell ref="N11218:N11222"/>
    <mergeCell ref="A11224:A11225"/>
    <mergeCell ref="B11224:B11225"/>
    <mergeCell ref="C11224:C11225"/>
    <mergeCell ref="D11224:D11225"/>
    <mergeCell ref="E11224:E11225"/>
    <mergeCell ref="F11224:F11225"/>
    <mergeCell ref="G11224:G11225"/>
    <mergeCell ref="H11224:H11225"/>
    <mergeCell ref="I11224:I11225"/>
    <mergeCell ref="J11224:J11225"/>
    <mergeCell ref="K11224:K11225"/>
    <mergeCell ref="L11224:L11225"/>
    <mergeCell ref="M11224:M11225"/>
    <mergeCell ref="N11224:N11225"/>
    <mergeCell ref="A11226:A11228"/>
    <mergeCell ref="B11226:B11228"/>
    <mergeCell ref="C11226:C11228"/>
    <mergeCell ref="D11226:D11228"/>
    <mergeCell ref="E11226:E11228"/>
    <mergeCell ref="F11226:F11228"/>
    <mergeCell ref="G11226:G11228"/>
    <mergeCell ref="H11226:H11228"/>
    <mergeCell ref="I11226:I11228"/>
    <mergeCell ref="J11226:J11228"/>
    <mergeCell ref="K11226:K11228"/>
    <mergeCell ref="L11226:L11228"/>
    <mergeCell ref="M11226:M11228"/>
    <mergeCell ref="N11226:N11228"/>
    <mergeCell ref="A11230:A11233"/>
    <mergeCell ref="B11230:B11233"/>
    <mergeCell ref="C11230:C11233"/>
    <mergeCell ref="D11230:D11233"/>
    <mergeCell ref="E11230:E11233"/>
    <mergeCell ref="F11230:F11233"/>
    <mergeCell ref="G11230:G11233"/>
    <mergeCell ref="H11230:H11233"/>
    <mergeCell ref="I11230:I11233"/>
    <mergeCell ref="J11230:J11233"/>
    <mergeCell ref="K11230:K11233"/>
    <mergeCell ref="L11230:L11233"/>
    <mergeCell ref="M11230:M11233"/>
    <mergeCell ref="N11230:N11233"/>
    <mergeCell ref="A11236:A11237"/>
    <mergeCell ref="B11236:B11237"/>
    <mergeCell ref="C11236:C11237"/>
    <mergeCell ref="D11236:D11237"/>
    <mergeCell ref="E11236:E11237"/>
    <mergeCell ref="F11236:F11237"/>
    <mergeCell ref="G11236:G11237"/>
    <mergeCell ref="H11236:H11237"/>
    <mergeCell ref="I11236:I11237"/>
    <mergeCell ref="J11236:J11237"/>
    <mergeCell ref="K11236:K11237"/>
    <mergeCell ref="L11236:L11237"/>
    <mergeCell ref="M11236:M11237"/>
    <mergeCell ref="N11236:N11237"/>
    <mergeCell ref="A11238:A11240"/>
    <mergeCell ref="B11238:B11240"/>
    <mergeCell ref="C11238:C11240"/>
    <mergeCell ref="D11238:D11240"/>
    <mergeCell ref="E11238:E11240"/>
    <mergeCell ref="F11238:F11240"/>
    <mergeCell ref="G11238:G11240"/>
    <mergeCell ref="H11238:H11240"/>
    <mergeCell ref="I11238:I11240"/>
    <mergeCell ref="J11238:J11240"/>
    <mergeCell ref="K11238:K11240"/>
    <mergeCell ref="L11238:L11240"/>
    <mergeCell ref="M11238:M11240"/>
    <mergeCell ref="N11238:N11240"/>
    <mergeCell ref="A11241:A11242"/>
    <mergeCell ref="B11241:B11242"/>
    <mergeCell ref="C11241:C11242"/>
    <mergeCell ref="D11241:D11242"/>
    <mergeCell ref="E11241:E11242"/>
    <mergeCell ref="F11241:F11242"/>
    <mergeCell ref="G11241:G11242"/>
    <mergeCell ref="H11241:H11242"/>
    <mergeCell ref="I11241:I11242"/>
    <mergeCell ref="J11241:J11242"/>
    <mergeCell ref="K11241:K11242"/>
    <mergeCell ref="L11241:L11242"/>
    <mergeCell ref="M11241:M11242"/>
    <mergeCell ref="N11241:N11242"/>
    <mergeCell ref="A11243:A11247"/>
    <mergeCell ref="B11243:B11247"/>
    <mergeCell ref="C11243:C11247"/>
    <mergeCell ref="D11243:D11247"/>
    <mergeCell ref="E11243:E11247"/>
    <mergeCell ref="F11243:F11247"/>
    <mergeCell ref="G11243:G11247"/>
    <mergeCell ref="H11243:H11247"/>
    <mergeCell ref="I11243:I11247"/>
    <mergeCell ref="J11243:J11247"/>
    <mergeCell ref="K11243:K11247"/>
    <mergeCell ref="L11243:L11247"/>
    <mergeCell ref="M11243:M11247"/>
    <mergeCell ref="N11243:N11247"/>
    <mergeCell ref="A11248:A11253"/>
    <mergeCell ref="B11248:B11253"/>
    <mergeCell ref="C11248:C11253"/>
    <mergeCell ref="D11248:D11253"/>
    <mergeCell ref="E11248:E11253"/>
    <mergeCell ref="F11248:F11253"/>
    <mergeCell ref="G11248:G11253"/>
    <mergeCell ref="H11248:H11253"/>
    <mergeCell ref="I11248:I11253"/>
    <mergeCell ref="J11248:J11253"/>
    <mergeCell ref="K11248:K11253"/>
    <mergeCell ref="L11248:L11253"/>
    <mergeCell ref="M11248:M11253"/>
    <mergeCell ref="N11248:N11253"/>
    <mergeCell ref="A11254:A11255"/>
    <mergeCell ref="B11254:B11255"/>
    <mergeCell ref="C11254:C11255"/>
    <mergeCell ref="D11254:D11255"/>
    <mergeCell ref="E11254:E11255"/>
    <mergeCell ref="F11254:F11255"/>
    <mergeCell ref="G11254:G11255"/>
    <mergeCell ref="H11254:H11255"/>
    <mergeCell ref="I11254:I11255"/>
    <mergeCell ref="J11254:J11255"/>
    <mergeCell ref="K11254:K11255"/>
    <mergeCell ref="L11254:L11255"/>
    <mergeCell ref="M11254:M11255"/>
    <mergeCell ref="N11254:N11255"/>
    <mergeCell ref="A11256:A11260"/>
    <mergeCell ref="B11256:B11260"/>
    <mergeCell ref="C11256:C11260"/>
    <mergeCell ref="D11256:D11260"/>
    <mergeCell ref="E11256:E11260"/>
    <mergeCell ref="F11256:F11260"/>
    <mergeCell ref="G11256:G11260"/>
    <mergeCell ref="H11256:H11260"/>
    <mergeCell ref="I11256:I11260"/>
    <mergeCell ref="J11256:J11260"/>
    <mergeCell ref="K11256:K11260"/>
    <mergeCell ref="L11256:L11260"/>
    <mergeCell ref="M11256:M11260"/>
    <mergeCell ref="N11256:N11260"/>
    <mergeCell ref="A11262:A11263"/>
    <mergeCell ref="B11262:B11263"/>
    <mergeCell ref="C11262:C11263"/>
    <mergeCell ref="D11262:D11263"/>
    <mergeCell ref="E11262:E11263"/>
    <mergeCell ref="F11262:F11263"/>
    <mergeCell ref="G11262:G11263"/>
    <mergeCell ref="H11262:H11263"/>
    <mergeCell ref="I11262:I11263"/>
    <mergeCell ref="J11262:J11263"/>
    <mergeCell ref="K11262:K11263"/>
    <mergeCell ref="L11262:L11263"/>
    <mergeCell ref="M11262:M11263"/>
    <mergeCell ref="N11262:N11263"/>
    <mergeCell ref="A11268:A11270"/>
    <mergeCell ref="B11268:B11270"/>
    <mergeCell ref="C11268:C11270"/>
    <mergeCell ref="D11268:D11270"/>
    <mergeCell ref="E11268:E11270"/>
    <mergeCell ref="F11268:F11270"/>
    <mergeCell ref="G11268:G11270"/>
    <mergeCell ref="H11268:H11270"/>
    <mergeCell ref="I11268:I11270"/>
    <mergeCell ref="J11268:J11270"/>
    <mergeCell ref="K11268:K11270"/>
    <mergeCell ref="L11268:L11270"/>
    <mergeCell ref="M11268:M11270"/>
    <mergeCell ref="N11268:N11270"/>
    <mergeCell ref="A11272:A11274"/>
    <mergeCell ref="B11272:B11274"/>
    <mergeCell ref="C11272:C11274"/>
    <mergeCell ref="D11272:D11274"/>
    <mergeCell ref="E11272:E11274"/>
    <mergeCell ref="F11272:F11274"/>
    <mergeCell ref="G11272:G11274"/>
    <mergeCell ref="H11272:H11274"/>
    <mergeCell ref="I11272:I11274"/>
    <mergeCell ref="J11272:J11274"/>
    <mergeCell ref="K11272:K11274"/>
    <mergeCell ref="L11272:L11274"/>
    <mergeCell ref="M11272:M11274"/>
    <mergeCell ref="N11272:N11274"/>
    <mergeCell ref="A11276:A11278"/>
    <mergeCell ref="B11276:B11278"/>
    <mergeCell ref="C11276:C11278"/>
    <mergeCell ref="D11276:D11278"/>
    <mergeCell ref="E11276:E11278"/>
    <mergeCell ref="F11276:F11278"/>
    <mergeCell ref="G11276:G11278"/>
    <mergeCell ref="H11276:H11278"/>
    <mergeCell ref="I11276:I11278"/>
    <mergeCell ref="J11276:J11278"/>
    <mergeCell ref="K11276:K11278"/>
    <mergeCell ref="L11276:L11278"/>
    <mergeCell ref="M11276:M11278"/>
    <mergeCell ref="N11276:N11278"/>
    <mergeCell ref="A11281:A11283"/>
    <mergeCell ref="B11281:B11283"/>
    <mergeCell ref="C11281:C11283"/>
    <mergeCell ref="D11281:D11283"/>
    <mergeCell ref="E11281:E11283"/>
    <mergeCell ref="F11281:F11283"/>
    <mergeCell ref="G11281:G11283"/>
    <mergeCell ref="H11281:H11283"/>
    <mergeCell ref="I11281:I11283"/>
    <mergeCell ref="J11281:J11283"/>
    <mergeCell ref="K11281:K11283"/>
    <mergeCell ref="L11281:L11283"/>
    <mergeCell ref="M11281:M11283"/>
    <mergeCell ref="N11281:N11283"/>
    <mergeCell ref="A11285:A11288"/>
    <mergeCell ref="B11285:B11288"/>
    <mergeCell ref="C11285:C11288"/>
    <mergeCell ref="D11285:D11288"/>
    <mergeCell ref="E11285:E11288"/>
    <mergeCell ref="F11285:F11288"/>
    <mergeCell ref="G11285:G11288"/>
    <mergeCell ref="H11285:H11288"/>
    <mergeCell ref="I11285:I11288"/>
    <mergeCell ref="J11285:J11288"/>
    <mergeCell ref="K11285:K11288"/>
    <mergeCell ref="L11285:L11288"/>
    <mergeCell ref="M11285:M11288"/>
    <mergeCell ref="N11285:N11288"/>
    <mergeCell ref="A11295:A11299"/>
    <mergeCell ref="B11295:B11299"/>
    <mergeCell ref="C11295:C11299"/>
    <mergeCell ref="D11295:D11299"/>
    <mergeCell ref="E11295:E11299"/>
    <mergeCell ref="F11295:F11299"/>
    <mergeCell ref="G11295:G11299"/>
    <mergeCell ref="H11295:H11299"/>
    <mergeCell ref="I11295:I11299"/>
    <mergeCell ref="J11295:J11299"/>
    <mergeCell ref="K11295:K11299"/>
    <mergeCell ref="L11295:L11299"/>
    <mergeCell ref="M11295:M11299"/>
    <mergeCell ref="N11295:N11299"/>
    <mergeCell ref="A11301:A11302"/>
    <mergeCell ref="B11301:B11302"/>
    <mergeCell ref="C11301:C11302"/>
    <mergeCell ref="D11301:D11302"/>
    <mergeCell ref="E11301:E11302"/>
    <mergeCell ref="F11301:F11302"/>
    <mergeCell ref="G11301:G11302"/>
    <mergeCell ref="H11301:H11302"/>
    <mergeCell ref="I11301:I11302"/>
    <mergeCell ref="J11301:J11302"/>
    <mergeCell ref="K11301:K11302"/>
    <mergeCell ref="L11301:L11302"/>
    <mergeCell ref="M11301:M11302"/>
    <mergeCell ref="N11301:N11302"/>
    <mergeCell ref="A11304:A11311"/>
    <mergeCell ref="B11304:B11311"/>
    <mergeCell ref="C11304:C11311"/>
    <mergeCell ref="D11304:D11311"/>
    <mergeCell ref="E11304:E11311"/>
    <mergeCell ref="F11304:F11311"/>
    <mergeCell ref="G11304:G11311"/>
    <mergeCell ref="H11304:H11311"/>
    <mergeCell ref="I11304:I11311"/>
    <mergeCell ref="J11304:J11311"/>
    <mergeCell ref="K11304:K11311"/>
    <mergeCell ref="L11304:L11311"/>
    <mergeCell ref="M11304:M11311"/>
    <mergeCell ref="N11304:N11311"/>
    <mergeCell ref="A11312:A11315"/>
    <mergeCell ref="B11312:B11315"/>
    <mergeCell ref="C11312:C11315"/>
    <mergeCell ref="D11312:D11315"/>
    <mergeCell ref="E11312:E11315"/>
    <mergeCell ref="F11312:F11315"/>
    <mergeCell ref="G11312:G11315"/>
    <mergeCell ref="H11312:H11315"/>
    <mergeCell ref="I11312:I11315"/>
    <mergeCell ref="J11312:J11315"/>
    <mergeCell ref="K11312:K11315"/>
    <mergeCell ref="L11312:L11315"/>
    <mergeCell ref="M11312:M11315"/>
    <mergeCell ref="N11312:N11315"/>
    <mergeCell ref="A11316:A11318"/>
    <mergeCell ref="B11316:B11318"/>
    <mergeCell ref="C11316:C11318"/>
    <mergeCell ref="D11316:D11318"/>
    <mergeCell ref="E11316:E11318"/>
    <mergeCell ref="F11316:F11318"/>
    <mergeCell ref="G11316:G11318"/>
    <mergeCell ref="H11316:H11318"/>
    <mergeCell ref="I11316:I11318"/>
    <mergeCell ref="J11316:J11318"/>
    <mergeCell ref="K11316:K11318"/>
    <mergeCell ref="L11316:L11318"/>
    <mergeCell ref="M11316:M11318"/>
    <mergeCell ref="N11316:N11318"/>
    <mergeCell ref="A11319:A11321"/>
    <mergeCell ref="B11319:B11321"/>
    <mergeCell ref="C11319:C11321"/>
    <mergeCell ref="D11319:D11321"/>
    <mergeCell ref="E11319:E11321"/>
    <mergeCell ref="F11319:F11321"/>
    <mergeCell ref="G11319:G11321"/>
    <mergeCell ref="H11319:H11321"/>
    <mergeCell ref="I11319:I11321"/>
    <mergeCell ref="J11319:J11321"/>
    <mergeCell ref="K11319:K11321"/>
    <mergeCell ref="L11319:L11321"/>
    <mergeCell ref="M11319:M11321"/>
    <mergeCell ref="N11319:N11321"/>
    <mergeCell ref="A11326:A11328"/>
    <mergeCell ref="B11326:B11328"/>
    <mergeCell ref="C11326:C11328"/>
    <mergeCell ref="D11326:D11328"/>
    <mergeCell ref="E11326:E11328"/>
    <mergeCell ref="F11326:F11328"/>
    <mergeCell ref="G11326:G11328"/>
    <mergeCell ref="H11326:H11328"/>
    <mergeCell ref="I11326:I11328"/>
    <mergeCell ref="J11326:J11328"/>
    <mergeCell ref="K11326:K11328"/>
    <mergeCell ref="L11326:L11328"/>
    <mergeCell ref="M11326:M11328"/>
    <mergeCell ref="N11326:N11328"/>
    <mergeCell ref="A11329:A11330"/>
    <mergeCell ref="B11329:B11330"/>
    <mergeCell ref="C11329:C11330"/>
    <mergeCell ref="D11329:D11330"/>
    <mergeCell ref="E11329:E11330"/>
    <mergeCell ref="F11329:F11330"/>
    <mergeCell ref="G11329:G11330"/>
    <mergeCell ref="H11329:H11330"/>
    <mergeCell ref="I11329:I11330"/>
    <mergeCell ref="J11329:J11330"/>
    <mergeCell ref="K11329:K11330"/>
    <mergeCell ref="L11329:L11330"/>
    <mergeCell ref="M11329:M11330"/>
    <mergeCell ref="N11329:N11330"/>
    <mergeCell ref="A11333:A11336"/>
    <mergeCell ref="B11333:B11336"/>
    <mergeCell ref="C11333:C11336"/>
    <mergeCell ref="D11333:D11336"/>
    <mergeCell ref="E11333:E11336"/>
    <mergeCell ref="F11333:F11336"/>
    <mergeCell ref="G11333:G11336"/>
    <mergeCell ref="H11333:H11336"/>
    <mergeCell ref="I11333:I11336"/>
    <mergeCell ref="J11333:J11336"/>
    <mergeCell ref="K11333:K11336"/>
    <mergeCell ref="L11333:L11336"/>
    <mergeCell ref="M11333:M11336"/>
    <mergeCell ref="N11333:N11336"/>
    <mergeCell ref="A11339:A11342"/>
    <mergeCell ref="B11339:B11342"/>
    <mergeCell ref="C11339:C11342"/>
    <mergeCell ref="D11339:D11342"/>
    <mergeCell ref="E11339:E11342"/>
    <mergeCell ref="F11339:F11342"/>
    <mergeCell ref="G11339:G11342"/>
    <mergeCell ref="H11339:H11342"/>
    <mergeCell ref="I11339:I11342"/>
    <mergeCell ref="J11339:J11342"/>
    <mergeCell ref="K11339:K11342"/>
    <mergeCell ref="L11339:L11342"/>
    <mergeCell ref="M11339:M11342"/>
    <mergeCell ref="N11339:N11342"/>
    <mergeCell ref="A11343:A11345"/>
    <mergeCell ref="B11343:B11345"/>
    <mergeCell ref="C11343:C11345"/>
    <mergeCell ref="D11343:D11345"/>
    <mergeCell ref="E11343:E11345"/>
    <mergeCell ref="F11343:F11345"/>
    <mergeCell ref="G11343:G11345"/>
    <mergeCell ref="H11343:H11345"/>
    <mergeCell ref="I11343:I11345"/>
    <mergeCell ref="J11343:J11345"/>
    <mergeCell ref="K11343:K11345"/>
    <mergeCell ref="L11343:L11345"/>
    <mergeCell ref="M11343:M11345"/>
    <mergeCell ref="N11343:N11345"/>
    <mergeCell ref="A11346:A11347"/>
    <mergeCell ref="B11346:B11347"/>
    <mergeCell ref="C11346:C11347"/>
    <mergeCell ref="D11346:D11347"/>
    <mergeCell ref="E11346:E11347"/>
    <mergeCell ref="F11346:F11347"/>
    <mergeCell ref="G11346:G11347"/>
    <mergeCell ref="H11346:H11347"/>
    <mergeCell ref="I11346:I11347"/>
    <mergeCell ref="J11346:J11347"/>
    <mergeCell ref="K11346:K11347"/>
    <mergeCell ref="L11346:L11347"/>
    <mergeCell ref="M11346:M11347"/>
    <mergeCell ref="N11346:N11347"/>
    <mergeCell ref="A11348:A11349"/>
    <mergeCell ref="B11348:B11349"/>
    <mergeCell ref="C11348:C11349"/>
    <mergeCell ref="D11348:D11349"/>
    <mergeCell ref="E11348:E11349"/>
    <mergeCell ref="F11348:F11349"/>
    <mergeCell ref="G11348:G11349"/>
    <mergeCell ref="H11348:H11349"/>
    <mergeCell ref="I11348:I11349"/>
    <mergeCell ref="J11348:J11349"/>
    <mergeCell ref="K11348:K11349"/>
    <mergeCell ref="L11348:L11349"/>
    <mergeCell ref="M11348:M11349"/>
    <mergeCell ref="N11348:N11349"/>
    <mergeCell ref="A11350:A11352"/>
    <mergeCell ref="B11350:B11352"/>
    <mergeCell ref="C11350:C11352"/>
    <mergeCell ref="D11350:D11352"/>
    <mergeCell ref="E11350:E11352"/>
    <mergeCell ref="F11350:F11352"/>
    <mergeCell ref="G11350:G11352"/>
    <mergeCell ref="H11350:H11352"/>
    <mergeCell ref="I11350:I11352"/>
    <mergeCell ref="J11350:J11352"/>
    <mergeCell ref="K11350:K11352"/>
    <mergeCell ref="L11350:L11352"/>
    <mergeCell ref="M11350:M11352"/>
    <mergeCell ref="N11350:N11352"/>
    <mergeCell ref="A11353:A11354"/>
    <mergeCell ref="B11353:B11354"/>
    <mergeCell ref="C11353:C11354"/>
    <mergeCell ref="D11353:D11354"/>
    <mergeCell ref="E11353:E11354"/>
    <mergeCell ref="F11353:F11354"/>
    <mergeCell ref="G11353:G11354"/>
    <mergeCell ref="H11353:H11354"/>
    <mergeCell ref="I11353:I11354"/>
    <mergeCell ref="J11353:J11354"/>
    <mergeCell ref="K11353:K11354"/>
    <mergeCell ref="L11353:L11354"/>
    <mergeCell ref="M11353:M11354"/>
    <mergeCell ref="N11353:N11354"/>
    <mergeCell ref="A11355:A11356"/>
    <mergeCell ref="B11355:B11356"/>
    <mergeCell ref="C11355:C11356"/>
    <mergeCell ref="D11355:D11356"/>
    <mergeCell ref="E11355:E11356"/>
    <mergeCell ref="F11355:F11356"/>
    <mergeCell ref="G11355:G11356"/>
    <mergeCell ref="H11355:H11356"/>
    <mergeCell ref="I11355:I11356"/>
    <mergeCell ref="J11355:J11356"/>
    <mergeCell ref="K11355:K11356"/>
    <mergeCell ref="L11355:L11356"/>
    <mergeCell ref="M11355:M11356"/>
    <mergeCell ref="N11355:N11356"/>
    <mergeCell ref="A11357:A11358"/>
    <mergeCell ref="B11357:B11358"/>
    <mergeCell ref="C11357:C11358"/>
    <mergeCell ref="D11357:D11358"/>
    <mergeCell ref="E11357:E11358"/>
    <mergeCell ref="F11357:F11358"/>
    <mergeCell ref="G11357:G11358"/>
    <mergeCell ref="H11357:H11358"/>
    <mergeCell ref="I11357:I11358"/>
    <mergeCell ref="J11357:J11358"/>
    <mergeCell ref="K11357:K11358"/>
    <mergeCell ref="L11357:L11358"/>
    <mergeCell ref="M11357:M11358"/>
    <mergeCell ref="N11357:N11358"/>
    <mergeCell ref="A11359:A11362"/>
    <mergeCell ref="B11359:B11362"/>
    <mergeCell ref="C11359:C11362"/>
    <mergeCell ref="D11359:D11362"/>
    <mergeCell ref="E11359:E11362"/>
    <mergeCell ref="F11359:F11362"/>
    <mergeCell ref="G11359:G11362"/>
    <mergeCell ref="H11359:H11362"/>
    <mergeCell ref="I11359:I11362"/>
    <mergeCell ref="J11359:J11362"/>
    <mergeCell ref="K11359:K11362"/>
    <mergeCell ref="L11359:L11362"/>
    <mergeCell ref="M11359:M11362"/>
    <mergeCell ref="N11359:N11362"/>
    <mergeCell ref="A11363:A11365"/>
    <mergeCell ref="B11363:B11365"/>
    <mergeCell ref="C11363:C11365"/>
    <mergeCell ref="D11363:D11365"/>
    <mergeCell ref="E11363:E11365"/>
    <mergeCell ref="F11363:F11365"/>
    <mergeCell ref="G11363:G11365"/>
    <mergeCell ref="H11363:H11365"/>
    <mergeCell ref="I11363:I11365"/>
    <mergeCell ref="J11363:J11365"/>
    <mergeCell ref="K11363:K11365"/>
    <mergeCell ref="L11363:L11365"/>
    <mergeCell ref="M11363:M11365"/>
    <mergeCell ref="N11363:N11365"/>
    <mergeCell ref="A11368:A11369"/>
    <mergeCell ref="B11368:B11369"/>
    <mergeCell ref="C11368:C11369"/>
    <mergeCell ref="D11368:D11369"/>
    <mergeCell ref="E11368:E11369"/>
    <mergeCell ref="F11368:F11369"/>
    <mergeCell ref="G11368:G11369"/>
    <mergeCell ref="H11368:H11369"/>
    <mergeCell ref="I11368:I11369"/>
    <mergeCell ref="J11368:J11369"/>
    <mergeCell ref="K11368:K11369"/>
    <mergeCell ref="L11368:L11369"/>
    <mergeCell ref="M11368:M11369"/>
    <mergeCell ref="N11368:N11369"/>
    <mergeCell ref="A11370:A11371"/>
    <mergeCell ref="B11370:B11371"/>
    <mergeCell ref="C11370:C11371"/>
    <mergeCell ref="D11370:D11371"/>
    <mergeCell ref="E11370:E11371"/>
    <mergeCell ref="F11370:F11371"/>
    <mergeCell ref="G11370:G11371"/>
    <mergeCell ref="H11370:H11371"/>
    <mergeCell ref="I11370:I11371"/>
    <mergeCell ref="J11370:J11371"/>
    <mergeCell ref="K11370:K11371"/>
    <mergeCell ref="L11370:L11371"/>
    <mergeCell ref="M11370:M11371"/>
    <mergeCell ref="N11370:N11371"/>
    <mergeCell ref="A11372:A11374"/>
    <mergeCell ref="B11372:B11374"/>
    <mergeCell ref="C11372:C11374"/>
    <mergeCell ref="D11372:D11374"/>
    <mergeCell ref="E11372:E11374"/>
    <mergeCell ref="F11372:F11374"/>
    <mergeCell ref="G11372:G11374"/>
    <mergeCell ref="H11372:H11374"/>
    <mergeCell ref="I11372:I11374"/>
    <mergeCell ref="J11372:J11374"/>
    <mergeCell ref="K11372:K11374"/>
    <mergeCell ref="L11372:L11374"/>
    <mergeCell ref="M11372:M11374"/>
    <mergeCell ref="N11372:N11374"/>
    <mergeCell ref="A11380:A11383"/>
    <mergeCell ref="B11380:B11383"/>
    <mergeCell ref="C11380:C11383"/>
    <mergeCell ref="D11380:D11383"/>
    <mergeCell ref="E11380:E11383"/>
    <mergeCell ref="F11380:F11383"/>
    <mergeCell ref="G11380:G11383"/>
    <mergeCell ref="H11380:H11383"/>
    <mergeCell ref="I11380:I11383"/>
    <mergeCell ref="J11380:J11383"/>
    <mergeCell ref="K11380:K11383"/>
    <mergeCell ref="L11380:L11383"/>
    <mergeCell ref="M11380:M11383"/>
    <mergeCell ref="N11380:N11383"/>
    <mergeCell ref="A11387:A11388"/>
    <mergeCell ref="B11387:B11388"/>
    <mergeCell ref="C11387:C11388"/>
    <mergeCell ref="D11387:D11388"/>
    <mergeCell ref="E11387:E11388"/>
    <mergeCell ref="F11387:F11388"/>
    <mergeCell ref="G11387:G11388"/>
    <mergeCell ref="H11387:H11388"/>
    <mergeCell ref="I11387:I11388"/>
    <mergeCell ref="J11387:J11388"/>
    <mergeCell ref="K11387:K11388"/>
    <mergeCell ref="L11387:L11388"/>
    <mergeCell ref="M11387:M11388"/>
    <mergeCell ref="N11387:N11388"/>
    <mergeCell ref="A11393:A11403"/>
    <mergeCell ref="B11393:B11403"/>
    <mergeCell ref="C11393:C11403"/>
    <mergeCell ref="D11393:D11403"/>
    <mergeCell ref="E11393:E11403"/>
    <mergeCell ref="F11393:F11403"/>
    <mergeCell ref="G11393:G11403"/>
    <mergeCell ref="H11393:H11403"/>
    <mergeCell ref="I11393:I11403"/>
    <mergeCell ref="J11393:J11403"/>
    <mergeCell ref="K11393:K11403"/>
    <mergeCell ref="L11393:L11403"/>
    <mergeCell ref="M11393:M11403"/>
    <mergeCell ref="N11393:N11403"/>
    <mergeCell ref="A11404:A11405"/>
    <mergeCell ref="B11404:B11405"/>
    <mergeCell ref="C11404:C11405"/>
    <mergeCell ref="D11404:D11405"/>
    <mergeCell ref="E11404:E11405"/>
    <mergeCell ref="F11404:F11405"/>
    <mergeCell ref="G11404:G11405"/>
    <mergeCell ref="H11404:H11405"/>
    <mergeCell ref="I11404:I11405"/>
    <mergeCell ref="J11404:J11405"/>
    <mergeCell ref="K11404:K11405"/>
    <mergeCell ref="L11404:L11405"/>
    <mergeCell ref="M11404:M11405"/>
    <mergeCell ref="N11404:N11405"/>
    <mergeCell ref="A11406:A11408"/>
    <mergeCell ref="B11406:B11408"/>
    <mergeCell ref="C11406:C11408"/>
    <mergeCell ref="D11406:D11408"/>
    <mergeCell ref="E11406:E11408"/>
    <mergeCell ref="F11406:F11408"/>
    <mergeCell ref="G11406:G11408"/>
    <mergeCell ref="H11406:H11408"/>
    <mergeCell ref="I11406:I11408"/>
    <mergeCell ref="J11406:J11408"/>
    <mergeCell ref="K11406:K11408"/>
    <mergeCell ref="L11406:L11408"/>
    <mergeCell ref="M11406:M11408"/>
    <mergeCell ref="N11406:N11408"/>
    <mergeCell ref="A11410:A11412"/>
    <mergeCell ref="B11410:B11412"/>
    <mergeCell ref="C11410:C11412"/>
    <mergeCell ref="D11410:D11412"/>
    <mergeCell ref="E11410:E11412"/>
    <mergeCell ref="F11410:F11412"/>
    <mergeCell ref="G11410:G11412"/>
    <mergeCell ref="H11410:H11412"/>
    <mergeCell ref="I11410:I11412"/>
    <mergeCell ref="J11410:J11412"/>
    <mergeCell ref="K11410:K11412"/>
    <mergeCell ref="L11410:L11412"/>
    <mergeCell ref="M11410:M11412"/>
    <mergeCell ref="N11410:N11412"/>
    <mergeCell ref="A11414:A11415"/>
    <mergeCell ref="B11414:B11415"/>
    <mergeCell ref="C11414:C11415"/>
    <mergeCell ref="D11414:D11415"/>
    <mergeCell ref="E11414:E11415"/>
    <mergeCell ref="F11414:F11415"/>
    <mergeCell ref="G11414:G11415"/>
    <mergeCell ref="H11414:H11415"/>
    <mergeCell ref="I11414:I11415"/>
    <mergeCell ref="J11414:J11415"/>
    <mergeCell ref="K11414:K11415"/>
    <mergeCell ref="L11414:L11415"/>
    <mergeCell ref="M11414:M11415"/>
    <mergeCell ref="N11414:N11415"/>
    <mergeCell ref="A11418:A11419"/>
    <mergeCell ref="B11418:B11419"/>
    <mergeCell ref="C11418:C11419"/>
    <mergeCell ref="D11418:D11419"/>
    <mergeCell ref="E11418:E11419"/>
    <mergeCell ref="F11418:F11419"/>
    <mergeCell ref="G11418:G11419"/>
    <mergeCell ref="H11418:H11419"/>
    <mergeCell ref="I11418:I11419"/>
    <mergeCell ref="J11418:J11419"/>
    <mergeCell ref="K11418:K11419"/>
    <mergeCell ref="L11418:L11419"/>
    <mergeCell ref="M11418:M11419"/>
    <mergeCell ref="N11418:N11419"/>
    <mergeCell ref="A11420:A11421"/>
    <mergeCell ref="B11420:B11421"/>
    <mergeCell ref="C11420:C11421"/>
    <mergeCell ref="D11420:D11421"/>
    <mergeCell ref="E11420:E11421"/>
    <mergeCell ref="F11420:F11421"/>
    <mergeCell ref="G11420:G11421"/>
    <mergeCell ref="H11420:H11421"/>
    <mergeCell ref="I11420:I11421"/>
    <mergeCell ref="J11420:J11421"/>
    <mergeCell ref="K11420:K11421"/>
    <mergeCell ref="L11420:L11421"/>
    <mergeCell ref="M11420:M11421"/>
    <mergeCell ref="N11420:N11421"/>
    <mergeCell ref="A11422:A11426"/>
    <mergeCell ref="B11422:B11426"/>
    <mergeCell ref="C11422:C11426"/>
    <mergeCell ref="D11422:D11426"/>
    <mergeCell ref="E11422:E11426"/>
    <mergeCell ref="F11422:F11426"/>
    <mergeCell ref="G11422:G11426"/>
    <mergeCell ref="H11422:H11426"/>
    <mergeCell ref="I11422:I11426"/>
    <mergeCell ref="J11422:J11426"/>
    <mergeCell ref="K11422:K11426"/>
    <mergeCell ref="L11422:L11426"/>
    <mergeCell ref="M11422:M11426"/>
    <mergeCell ref="N11422:N11426"/>
    <mergeCell ref="A11427:A11430"/>
    <mergeCell ref="B11427:B11430"/>
    <mergeCell ref="C11427:C11430"/>
    <mergeCell ref="D11427:D11430"/>
    <mergeCell ref="E11427:E11430"/>
    <mergeCell ref="F11427:F11430"/>
    <mergeCell ref="G11427:G11430"/>
    <mergeCell ref="H11427:H11430"/>
    <mergeCell ref="I11427:I11430"/>
    <mergeCell ref="J11427:J11430"/>
    <mergeCell ref="K11427:K11430"/>
    <mergeCell ref="L11427:L11430"/>
    <mergeCell ref="M11427:M11430"/>
    <mergeCell ref="N11427:N11430"/>
    <mergeCell ref="A11432:A11435"/>
    <mergeCell ref="B11432:B11435"/>
    <mergeCell ref="C11432:C11435"/>
    <mergeCell ref="D11432:D11435"/>
    <mergeCell ref="E11432:E11435"/>
    <mergeCell ref="F11432:F11435"/>
    <mergeCell ref="G11432:G11435"/>
    <mergeCell ref="H11432:H11435"/>
    <mergeCell ref="I11432:I11435"/>
    <mergeCell ref="J11432:J11435"/>
    <mergeCell ref="K11432:K11435"/>
    <mergeCell ref="L11432:L11435"/>
    <mergeCell ref="M11432:M11435"/>
    <mergeCell ref="N11432:N11435"/>
    <mergeCell ref="A11436:A11443"/>
    <mergeCell ref="B11436:B11443"/>
    <mergeCell ref="C11436:C11443"/>
    <mergeCell ref="D11436:D11443"/>
    <mergeCell ref="E11436:E11443"/>
    <mergeCell ref="F11436:F11443"/>
    <mergeCell ref="G11436:G11443"/>
    <mergeCell ref="H11436:H11443"/>
    <mergeCell ref="I11436:I11443"/>
    <mergeCell ref="J11436:J11443"/>
    <mergeCell ref="K11436:K11443"/>
    <mergeCell ref="L11436:L11443"/>
    <mergeCell ref="M11436:M11443"/>
    <mergeCell ref="N11436:N11443"/>
    <mergeCell ref="A11444:A11446"/>
    <mergeCell ref="B11444:B11446"/>
    <mergeCell ref="C11444:C11446"/>
    <mergeCell ref="D11444:D11446"/>
    <mergeCell ref="E11444:E11446"/>
    <mergeCell ref="F11444:F11446"/>
    <mergeCell ref="G11444:G11446"/>
    <mergeCell ref="H11444:H11446"/>
    <mergeCell ref="I11444:I11446"/>
    <mergeCell ref="J11444:J11446"/>
    <mergeCell ref="K11444:K11446"/>
    <mergeCell ref="L11444:L11446"/>
    <mergeCell ref="M11444:M11446"/>
    <mergeCell ref="N11444:N11446"/>
    <mergeCell ref="A11449:A11453"/>
    <mergeCell ref="B11449:B11453"/>
    <mergeCell ref="C11449:C11453"/>
    <mergeCell ref="D11449:D11453"/>
    <mergeCell ref="E11449:E11453"/>
    <mergeCell ref="F11449:F11453"/>
    <mergeCell ref="G11449:G11453"/>
    <mergeCell ref="H11449:H11453"/>
    <mergeCell ref="I11449:I11453"/>
    <mergeCell ref="J11449:J11453"/>
    <mergeCell ref="K11449:K11453"/>
    <mergeCell ref="L11449:L11453"/>
    <mergeCell ref="M11449:M11453"/>
    <mergeCell ref="N11449:N11453"/>
    <mergeCell ref="A11454:A11456"/>
    <mergeCell ref="B11454:B11456"/>
    <mergeCell ref="C11454:C11456"/>
    <mergeCell ref="D11454:D11456"/>
    <mergeCell ref="E11454:E11456"/>
    <mergeCell ref="F11454:F11456"/>
    <mergeCell ref="G11454:G11456"/>
    <mergeCell ref="H11454:H11456"/>
    <mergeCell ref="I11454:I11456"/>
    <mergeCell ref="J11454:J11456"/>
    <mergeCell ref="K11454:K11456"/>
    <mergeCell ref="L11454:L11456"/>
    <mergeCell ref="M11454:M11456"/>
    <mergeCell ref="N11454:N11456"/>
    <mergeCell ref="A11461:A11462"/>
    <mergeCell ref="B11461:B11462"/>
    <mergeCell ref="C11461:C11462"/>
    <mergeCell ref="D11461:D11462"/>
    <mergeCell ref="E11461:E11462"/>
    <mergeCell ref="F11461:F11462"/>
    <mergeCell ref="G11461:G11462"/>
    <mergeCell ref="H11461:H11462"/>
    <mergeCell ref="I11461:I11462"/>
    <mergeCell ref="J11461:J11462"/>
    <mergeCell ref="K11461:K11462"/>
    <mergeCell ref="L11461:L11462"/>
    <mergeCell ref="M11461:M11462"/>
    <mergeCell ref="N11461:N11462"/>
    <mergeCell ref="A11464:A11465"/>
    <mergeCell ref="B11464:B11465"/>
    <mergeCell ref="C11464:C11465"/>
    <mergeCell ref="D11464:D11465"/>
    <mergeCell ref="E11464:E11465"/>
    <mergeCell ref="F11464:F11465"/>
    <mergeCell ref="G11464:G11465"/>
    <mergeCell ref="H11464:H11465"/>
    <mergeCell ref="I11464:I11465"/>
    <mergeCell ref="J11464:J11465"/>
    <mergeCell ref="K11464:K11465"/>
    <mergeCell ref="L11464:L11465"/>
    <mergeCell ref="M11464:M11465"/>
    <mergeCell ref="N11464:N11465"/>
    <mergeCell ref="A11466:A11467"/>
    <mergeCell ref="B11466:B11467"/>
    <mergeCell ref="C11466:C11467"/>
    <mergeCell ref="D11466:D11467"/>
    <mergeCell ref="E11466:E11467"/>
    <mergeCell ref="F11466:F11467"/>
    <mergeCell ref="G11466:G11467"/>
    <mergeCell ref="H11466:H11467"/>
    <mergeCell ref="I11466:I11467"/>
    <mergeCell ref="J11466:J11467"/>
    <mergeCell ref="K11466:K11467"/>
    <mergeCell ref="L11466:L11467"/>
    <mergeCell ref="M11466:M11467"/>
    <mergeCell ref="N11466:N11467"/>
    <mergeCell ref="A11469:A11470"/>
    <mergeCell ref="B11469:B11470"/>
    <mergeCell ref="C11469:C11470"/>
    <mergeCell ref="D11469:D11470"/>
    <mergeCell ref="E11469:E11470"/>
    <mergeCell ref="F11469:F11470"/>
    <mergeCell ref="G11469:G11470"/>
    <mergeCell ref="H11469:H11470"/>
    <mergeCell ref="I11469:I11470"/>
    <mergeCell ref="J11469:J11470"/>
    <mergeCell ref="K11469:K11470"/>
    <mergeCell ref="L11469:L11470"/>
    <mergeCell ref="M11469:M11470"/>
    <mergeCell ref="N11469:N11470"/>
    <mergeCell ref="A11471:A11472"/>
    <mergeCell ref="B11471:B11472"/>
    <mergeCell ref="C11471:C11472"/>
    <mergeCell ref="D11471:D11472"/>
    <mergeCell ref="E11471:E11472"/>
    <mergeCell ref="F11471:F11472"/>
    <mergeCell ref="G11471:G11472"/>
    <mergeCell ref="H11471:H11472"/>
    <mergeCell ref="I11471:I11472"/>
    <mergeCell ref="J11471:J11472"/>
    <mergeCell ref="K11471:K11472"/>
    <mergeCell ref="L11471:L11472"/>
    <mergeCell ref="M11471:M11472"/>
    <mergeCell ref="N11471:N11472"/>
    <mergeCell ref="A11477:A11481"/>
    <mergeCell ref="B11477:B11481"/>
    <mergeCell ref="C11477:C11481"/>
    <mergeCell ref="D11477:D11481"/>
    <mergeCell ref="E11477:E11481"/>
    <mergeCell ref="F11477:F11481"/>
    <mergeCell ref="G11477:G11481"/>
    <mergeCell ref="H11477:H11481"/>
    <mergeCell ref="I11477:I11481"/>
    <mergeCell ref="J11477:J11481"/>
    <mergeCell ref="K11477:K11481"/>
    <mergeCell ref="L11477:L11481"/>
    <mergeCell ref="M11477:M11481"/>
    <mergeCell ref="N11477:N11481"/>
    <mergeCell ref="A11483:A11485"/>
    <mergeCell ref="B11483:B11485"/>
    <mergeCell ref="C11483:C11485"/>
    <mergeCell ref="D11483:D11485"/>
    <mergeCell ref="E11483:E11485"/>
    <mergeCell ref="F11483:F11485"/>
    <mergeCell ref="G11483:G11485"/>
    <mergeCell ref="H11483:H11485"/>
    <mergeCell ref="I11483:I11485"/>
    <mergeCell ref="J11483:J11485"/>
    <mergeCell ref="K11483:K11485"/>
    <mergeCell ref="L11483:L11485"/>
    <mergeCell ref="M11483:M11485"/>
    <mergeCell ref="N11483:N11485"/>
    <mergeCell ref="A11487:A11488"/>
    <mergeCell ref="B11487:B11488"/>
    <mergeCell ref="C11487:C11488"/>
    <mergeCell ref="D11487:D11488"/>
    <mergeCell ref="E11487:E11488"/>
    <mergeCell ref="F11487:F11488"/>
    <mergeCell ref="G11487:G11488"/>
    <mergeCell ref="H11487:H11488"/>
    <mergeCell ref="I11487:I11488"/>
    <mergeCell ref="J11487:J11488"/>
    <mergeCell ref="K11487:K11488"/>
    <mergeCell ref="L11487:L11488"/>
    <mergeCell ref="M11487:M11488"/>
    <mergeCell ref="N11487:N11488"/>
    <mergeCell ref="A11490:A11491"/>
    <mergeCell ref="B11490:B11491"/>
    <mergeCell ref="C11490:C11491"/>
    <mergeCell ref="D11490:D11491"/>
    <mergeCell ref="E11490:E11491"/>
    <mergeCell ref="F11490:F11491"/>
    <mergeCell ref="G11490:G11491"/>
    <mergeCell ref="H11490:H11491"/>
    <mergeCell ref="I11490:I11491"/>
    <mergeCell ref="J11490:J11491"/>
    <mergeCell ref="K11490:K11491"/>
    <mergeCell ref="L11490:L11491"/>
    <mergeCell ref="M11490:M11491"/>
    <mergeCell ref="N11490:N11491"/>
    <mergeCell ref="A11494:A11497"/>
    <mergeCell ref="B11494:B11497"/>
    <mergeCell ref="C11494:C11497"/>
    <mergeCell ref="D11494:D11497"/>
    <mergeCell ref="E11494:E11497"/>
    <mergeCell ref="F11494:F11497"/>
    <mergeCell ref="G11494:G11497"/>
    <mergeCell ref="H11494:H11497"/>
    <mergeCell ref="I11494:I11497"/>
    <mergeCell ref="J11494:J11497"/>
    <mergeCell ref="K11494:K11497"/>
    <mergeCell ref="L11494:L11497"/>
    <mergeCell ref="M11494:M11497"/>
    <mergeCell ref="N11494:N11497"/>
    <mergeCell ref="A11500:A11503"/>
    <mergeCell ref="B11500:B11503"/>
    <mergeCell ref="C11500:C11503"/>
    <mergeCell ref="D11500:D11503"/>
    <mergeCell ref="E11500:E11503"/>
    <mergeCell ref="F11500:F11503"/>
    <mergeCell ref="G11500:G11503"/>
    <mergeCell ref="H11500:H11503"/>
    <mergeCell ref="I11500:I11503"/>
    <mergeCell ref="J11500:J11503"/>
    <mergeCell ref="K11500:K11503"/>
    <mergeCell ref="L11500:L11503"/>
    <mergeCell ref="M11500:M11503"/>
    <mergeCell ref="N11500:N11503"/>
    <mergeCell ref="A11504:A11505"/>
    <mergeCell ref="B11504:B11505"/>
    <mergeCell ref="C11504:C11505"/>
    <mergeCell ref="D11504:D11505"/>
    <mergeCell ref="E11504:E11505"/>
    <mergeCell ref="F11504:F11505"/>
    <mergeCell ref="G11504:G11505"/>
    <mergeCell ref="H11504:H11505"/>
    <mergeCell ref="I11504:I11505"/>
    <mergeCell ref="J11504:J11505"/>
    <mergeCell ref="K11504:K11505"/>
    <mergeCell ref="L11504:L11505"/>
    <mergeCell ref="M11504:M11505"/>
    <mergeCell ref="N11504:N11505"/>
    <mergeCell ref="A11506:A11509"/>
    <mergeCell ref="B11506:B11509"/>
    <mergeCell ref="C11506:C11509"/>
    <mergeCell ref="D11506:D11509"/>
    <mergeCell ref="E11506:E11509"/>
    <mergeCell ref="F11506:F11509"/>
    <mergeCell ref="G11506:G11509"/>
    <mergeCell ref="H11506:H11509"/>
    <mergeCell ref="I11506:I11509"/>
    <mergeCell ref="J11506:J11509"/>
    <mergeCell ref="K11506:K11509"/>
    <mergeCell ref="L11506:L11509"/>
    <mergeCell ref="M11506:M11509"/>
    <mergeCell ref="N11506:N11509"/>
    <mergeCell ref="A11511:A11512"/>
    <mergeCell ref="B11511:B11512"/>
    <mergeCell ref="C11511:C11512"/>
    <mergeCell ref="D11511:D11512"/>
    <mergeCell ref="E11511:E11512"/>
    <mergeCell ref="F11511:F11512"/>
    <mergeCell ref="G11511:G11512"/>
    <mergeCell ref="H11511:H11512"/>
    <mergeCell ref="I11511:I11512"/>
    <mergeCell ref="J11511:J11512"/>
    <mergeCell ref="K11511:K11512"/>
    <mergeCell ref="L11511:L11512"/>
    <mergeCell ref="M11511:M11512"/>
    <mergeCell ref="N11511:N11512"/>
    <mergeCell ref="A11513:A11514"/>
    <mergeCell ref="B11513:B11514"/>
    <mergeCell ref="C11513:C11514"/>
    <mergeCell ref="D11513:D11514"/>
    <mergeCell ref="E11513:E11514"/>
    <mergeCell ref="F11513:F11514"/>
    <mergeCell ref="G11513:G11514"/>
    <mergeCell ref="H11513:H11514"/>
    <mergeCell ref="I11513:I11514"/>
    <mergeCell ref="J11513:J11514"/>
    <mergeCell ref="K11513:K11514"/>
    <mergeCell ref="L11513:L11514"/>
    <mergeCell ref="M11513:M11514"/>
    <mergeCell ref="N11513:N11514"/>
    <mergeCell ref="A11515:A11517"/>
    <mergeCell ref="B11515:B11517"/>
    <mergeCell ref="C11515:C11517"/>
    <mergeCell ref="D11515:D11517"/>
    <mergeCell ref="E11515:E11517"/>
    <mergeCell ref="F11515:F11517"/>
    <mergeCell ref="G11515:G11517"/>
    <mergeCell ref="H11515:H11517"/>
    <mergeCell ref="I11515:I11517"/>
    <mergeCell ref="J11515:J11517"/>
    <mergeCell ref="K11515:K11517"/>
    <mergeCell ref="L11515:L11517"/>
    <mergeCell ref="M11515:M11517"/>
    <mergeCell ref="N11515:N11517"/>
    <mergeCell ref="A11518:A11519"/>
    <mergeCell ref="B11518:B11519"/>
    <mergeCell ref="C11518:C11519"/>
    <mergeCell ref="D11518:D11519"/>
    <mergeCell ref="E11518:E11519"/>
    <mergeCell ref="F11518:F11519"/>
    <mergeCell ref="G11518:G11519"/>
    <mergeCell ref="H11518:H11519"/>
    <mergeCell ref="I11518:I11519"/>
    <mergeCell ref="J11518:J11519"/>
    <mergeCell ref="K11518:K11519"/>
    <mergeCell ref="L11518:L11519"/>
    <mergeCell ref="M11518:M11519"/>
    <mergeCell ref="N11518:N11519"/>
    <mergeCell ref="A11522:A11523"/>
    <mergeCell ref="B11522:B11523"/>
    <mergeCell ref="C11522:C11523"/>
    <mergeCell ref="D11522:D11523"/>
    <mergeCell ref="E11522:E11523"/>
    <mergeCell ref="F11522:F11523"/>
    <mergeCell ref="G11522:G11523"/>
    <mergeCell ref="H11522:H11523"/>
    <mergeCell ref="I11522:I11523"/>
    <mergeCell ref="J11522:J11523"/>
    <mergeCell ref="K11522:K11523"/>
    <mergeCell ref="L11522:L11523"/>
    <mergeCell ref="M11522:M11523"/>
    <mergeCell ref="N11522:N11523"/>
    <mergeCell ref="A11526:A11527"/>
    <mergeCell ref="B11526:B11527"/>
    <mergeCell ref="C11526:C11527"/>
    <mergeCell ref="D11526:D11527"/>
    <mergeCell ref="E11526:E11527"/>
    <mergeCell ref="F11526:F11527"/>
    <mergeCell ref="G11526:G11527"/>
    <mergeCell ref="H11526:H11527"/>
    <mergeCell ref="I11526:I11527"/>
    <mergeCell ref="J11526:J11527"/>
    <mergeCell ref="K11526:K11527"/>
    <mergeCell ref="L11526:L11527"/>
    <mergeCell ref="M11526:M11527"/>
    <mergeCell ref="N11526:N11527"/>
    <mergeCell ref="A11529:A11532"/>
    <mergeCell ref="B11529:B11532"/>
    <mergeCell ref="C11529:C11532"/>
    <mergeCell ref="D11529:D11532"/>
    <mergeCell ref="E11529:E11532"/>
    <mergeCell ref="F11529:F11532"/>
    <mergeCell ref="G11529:G11532"/>
    <mergeCell ref="H11529:H11532"/>
    <mergeCell ref="I11529:I11532"/>
    <mergeCell ref="J11529:J11532"/>
    <mergeCell ref="K11529:K11532"/>
    <mergeCell ref="L11529:L11532"/>
    <mergeCell ref="M11529:M11532"/>
    <mergeCell ref="N11529:N11532"/>
    <mergeCell ref="A11535:A11536"/>
    <mergeCell ref="B11535:B11536"/>
    <mergeCell ref="C11535:C11536"/>
    <mergeCell ref="D11535:D11536"/>
    <mergeCell ref="E11535:E11536"/>
    <mergeCell ref="F11535:F11536"/>
    <mergeCell ref="G11535:G11536"/>
    <mergeCell ref="H11535:H11536"/>
    <mergeCell ref="I11535:I11536"/>
    <mergeCell ref="J11535:J11536"/>
    <mergeCell ref="K11535:K11536"/>
    <mergeCell ref="L11535:L11536"/>
    <mergeCell ref="M11535:M11536"/>
    <mergeCell ref="N11535:N11536"/>
    <mergeCell ref="A11537:A11540"/>
    <mergeCell ref="B11537:B11540"/>
    <mergeCell ref="C11537:C11540"/>
    <mergeCell ref="D11537:D11540"/>
    <mergeCell ref="E11537:E11540"/>
    <mergeCell ref="F11537:F11540"/>
    <mergeCell ref="G11537:G11540"/>
    <mergeCell ref="H11537:H11540"/>
    <mergeCell ref="I11537:I11540"/>
    <mergeCell ref="J11537:J11540"/>
    <mergeCell ref="K11537:K11540"/>
    <mergeCell ref="L11537:L11540"/>
    <mergeCell ref="M11537:M11540"/>
    <mergeCell ref="N11537:N11540"/>
    <mergeCell ref="A11541:A11546"/>
    <mergeCell ref="B11541:B11546"/>
    <mergeCell ref="C11541:C11546"/>
    <mergeCell ref="D11541:D11546"/>
    <mergeCell ref="E11541:E11546"/>
    <mergeCell ref="F11541:F11546"/>
    <mergeCell ref="G11541:G11546"/>
    <mergeCell ref="H11541:H11546"/>
    <mergeCell ref="I11541:I11546"/>
    <mergeCell ref="J11541:J11546"/>
    <mergeCell ref="K11541:K11546"/>
    <mergeCell ref="L11541:L11546"/>
    <mergeCell ref="M11541:M11546"/>
    <mergeCell ref="N11541:N11546"/>
    <mergeCell ref="A11547:A11551"/>
    <mergeCell ref="B11547:B11551"/>
    <mergeCell ref="C11547:C11551"/>
    <mergeCell ref="D11547:D11551"/>
    <mergeCell ref="E11547:E11551"/>
    <mergeCell ref="F11547:F11551"/>
    <mergeCell ref="G11547:G11551"/>
    <mergeCell ref="H11547:H11551"/>
    <mergeCell ref="I11547:I11551"/>
    <mergeCell ref="J11547:J11551"/>
    <mergeCell ref="K11547:K11551"/>
    <mergeCell ref="L11547:L11551"/>
    <mergeCell ref="M11547:M11551"/>
    <mergeCell ref="N11547:N11551"/>
    <mergeCell ref="A11552:A11553"/>
    <mergeCell ref="B11552:B11553"/>
    <mergeCell ref="C11552:C11553"/>
    <mergeCell ref="D11552:D11553"/>
    <mergeCell ref="E11552:E11553"/>
    <mergeCell ref="F11552:F11553"/>
    <mergeCell ref="G11552:G11553"/>
    <mergeCell ref="H11552:H11553"/>
    <mergeCell ref="I11552:I11553"/>
    <mergeCell ref="J11552:J11553"/>
    <mergeCell ref="K11552:K11553"/>
    <mergeCell ref="L11552:L11553"/>
    <mergeCell ref="M11552:M11553"/>
    <mergeCell ref="N11552:N11553"/>
    <mergeCell ref="A11554:A11556"/>
    <mergeCell ref="B11554:B11556"/>
    <mergeCell ref="C11554:C11556"/>
    <mergeCell ref="D11554:D11556"/>
    <mergeCell ref="E11554:E11556"/>
    <mergeCell ref="F11554:F11556"/>
    <mergeCell ref="G11554:G11556"/>
    <mergeCell ref="H11554:H11556"/>
    <mergeCell ref="I11554:I11556"/>
    <mergeCell ref="J11554:J11556"/>
    <mergeCell ref="K11554:K11556"/>
    <mergeCell ref="L11554:L11556"/>
    <mergeCell ref="M11554:M11556"/>
    <mergeCell ref="N11554:N11556"/>
    <mergeCell ref="A11557:A11558"/>
    <mergeCell ref="B11557:B11558"/>
    <mergeCell ref="C11557:C11558"/>
    <mergeCell ref="D11557:D11558"/>
    <mergeCell ref="E11557:E11558"/>
    <mergeCell ref="F11557:F11558"/>
    <mergeCell ref="G11557:G11558"/>
    <mergeCell ref="H11557:H11558"/>
    <mergeCell ref="I11557:I11558"/>
    <mergeCell ref="J11557:J11558"/>
    <mergeCell ref="K11557:K11558"/>
    <mergeCell ref="L11557:L11558"/>
    <mergeCell ref="M11557:M11558"/>
    <mergeCell ref="N11557:N11558"/>
    <mergeCell ref="A11560:A11563"/>
    <mergeCell ref="B11560:B11563"/>
    <mergeCell ref="C11560:C11563"/>
    <mergeCell ref="D11560:D11563"/>
    <mergeCell ref="E11560:E11563"/>
    <mergeCell ref="F11560:F11563"/>
    <mergeCell ref="G11560:G11563"/>
    <mergeCell ref="H11560:H11563"/>
    <mergeCell ref="I11560:I11563"/>
    <mergeCell ref="J11560:J11563"/>
    <mergeCell ref="K11560:K11563"/>
    <mergeCell ref="L11560:L11563"/>
    <mergeCell ref="M11560:M11563"/>
    <mergeCell ref="N11560:N11563"/>
    <mergeCell ref="A11565:A11566"/>
    <mergeCell ref="B11565:B11566"/>
    <mergeCell ref="C11565:C11566"/>
    <mergeCell ref="D11565:D11566"/>
    <mergeCell ref="E11565:E11566"/>
    <mergeCell ref="F11565:F11566"/>
    <mergeCell ref="G11565:G11566"/>
    <mergeCell ref="H11565:H11566"/>
    <mergeCell ref="I11565:I11566"/>
    <mergeCell ref="J11565:J11566"/>
    <mergeCell ref="K11565:K11566"/>
    <mergeCell ref="L11565:L11566"/>
    <mergeCell ref="M11565:M11566"/>
    <mergeCell ref="N11565:N11566"/>
    <mergeCell ref="A11568:A11569"/>
    <mergeCell ref="B11568:B11569"/>
    <mergeCell ref="C11568:C11569"/>
    <mergeCell ref="D11568:D11569"/>
    <mergeCell ref="E11568:E11569"/>
    <mergeCell ref="F11568:F11569"/>
    <mergeCell ref="G11568:G11569"/>
    <mergeCell ref="H11568:H11569"/>
    <mergeCell ref="I11568:I11569"/>
    <mergeCell ref="J11568:J11569"/>
    <mergeCell ref="K11568:K11569"/>
    <mergeCell ref="L11568:L11569"/>
    <mergeCell ref="M11568:M11569"/>
    <mergeCell ref="N11568:N11569"/>
    <mergeCell ref="A11570:A11572"/>
    <mergeCell ref="B11570:B11572"/>
    <mergeCell ref="C11570:C11572"/>
    <mergeCell ref="D11570:D11572"/>
    <mergeCell ref="E11570:E11572"/>
    <mergeCell ref="F11570:F11572"/>
    <mergeCell ref="G11570:G11572"/>
    <mergeCell ref="H11570:H11572"/>
    <mergeCell ref="I11570:I11572"/>
    <mergeCell ref="J11570:J11572"/>
    <mergeCell ref="K11570:K11572"/>
    <mergeCell ref="L11570:L11572"/>
    <mergeCell ref="M11570:M11572"/>
    <mergeCell ref="N11570:N11572"/>
    <mergeCell ref="A11573:A11575"/>
    <mergeCell ref="B11573:B11575"/>
    <mergeCell ref="C11573:C11575"/>
    <mergeCell ref="D11573:D11575"/>
    <mergeCell ref="E11573:E11575"/>
    <mergeCell ref="F11573:F11575"/>
    <mergeCell ref="G11573:G11575"/>
    <mergeCell ref="H11573:H11575"/>
    <mergeCell ref="I11573:I11575"/>
    <mergeCell ref="J11573:J11575"/>
    <mergeCell ref="K11573:K11575"/>
    <mergeCell ref="L11573:L11575"/>
    <mergeCell ref="M11573:M11575"/>
    <mergeCell ref="N11573:N11575"/>
    <mergeCell ref="A11577:A11579"/>
    <mergeCell ref="B11577:B11579"/>
    <mergeCell ref="C11577:C11579"/>
    <mergeCell ref="D11577:D11579"/>
    <mergeCell ref="E11577:E11579"/>
    <mergeCell ref="F11577:F11579"/>
    <mergeCell ref="G11577:G11579"/>
    <mergeCell ref="H11577:H11579"/>
    <mergeCell ref="I11577:I11579"/>
    <mergeCell ref="J11577:J11579"/>
    <mergeCell ref="K11577:K11579"/>
    <mergeCell ref="L11577:L11579"/>
    <mergeCell ref="M11577:M11579"/>
    <mergeCell ref="N11577:N11579"/>
    <mergeCell ref="A11583:A11588"/>
    <mergeCell ref="B11583:B11588"/>
    <mergeCell ref="C11583:C11588"/>
    <mergeCell ref="D11583:D11588"/>
    <mergeCell ref="E11583:E11588"/>
    <mergeCell ref="F11583:F11588"/>
    <mergeCell ref="G11583:G11588"/>
    <mergeCell ref="H11583:H11588"/>
    <mergeCell ref="I11583:I11588"/>
    <mergeCell ref="J11583:J11588"/>
    <mergeCell ref="K11583:K11588"/>
    <mergeCell ref="L11583:L11588"/>
    <mergeCell ref="M11583:M11588"/>
    <mergeCell ref="N11583:N11588"/>
    <mergeCell ref="A11591:A11592"/>
    <mergeCell ref="B11591:B11592"/>
    <mergeCell ref="C11591:C11592"/>
    <mergeCell ref="D11591:D11592"/>
    <mergeCell ref="E11591:E11592"/>
    <mergeCell ref="F11591:F11592"/>
    <mergeCell ref="G11591:G11592"/>
    <mergeCell ref="H11591:H11592"/>
    <mergeCell ref="I11591:I11592"/>
    <mergeCell ref="J11591:J11592"/>
    <mergeCell ref="K11591:K11592"/>
    <mergeCell ref="L11591:L11592"/>
    <mergeCell ref="M11591:M11592"/>
    <mergeCell ref="N11591:N11592"/>
    <mergeCell ref="A11594:A11596"/>
    <mergeCell ref="B11594:B11596"/>
    <mergeCell ref="C11594:C11596"/>
    <mergeCell ref="D11594:D11596"/>
    <mergeCell ref="E11594:E11596"/>
    <mergeCell ref="F11594:F11596"/>
    <mergeCell ref="G11594:G11596"/>
    <mergeCell ref="H11594:H11596"/>
    <mergeCell ref="I11594:I11596"/>
    <mergeCell ref="J11594:J11596"/>
    <mergeCell ref="K11594:K11596"/>
    <mergeCell ref="L11594:L11596"/>
    <mergeCell ref="M11594:M11596"/>
    <mergeCell ref="N11594:N11596"/>
    <mergeCell ref="A11597:A11598"/>
    <mergeCell ref="B11597:B11598"/>
    <mergeCell ref="C11597:C11598"/>
    <mergeCell ref="D11597:D11598"/>
    <mergeCell ref="E11597:E11598"/>
    <mergeCell ref="F11597:F11598"/>
    <mergeCell ref="G11597:G11598"/>
    <mergeCell ref="H11597:H11598"/>
    <mergeCell ref="I11597:I11598"/>
    <mergeCell ref="J11597:J11598"/>
    <mergeCell ref="K11597:K11598"/>
    <mergeCell ref="L11597:L11598"/>
    <mergeCell ref="M11597:M11598"/>
    <mergeCell ref="N11597:N11598"/>
    <mergeCell ref="A11599:A11600"/>
    <mergeCell ref="B11599:B11600"/>
    <mergeCell ref="C11599:C11600"/>
    <mergeCell ref="D11599:D11600"/>
    <mergeCell ref="E11599:E11600"/>
    <mergeCell ref="F11599:F11600"/>
    <mergeCell ref="G11599:G11600"/>
    <mergeCell ref="H11599:H11600"/>
    <mergeCell ref="I11599:I11600"/>
    <mergeCell ref="J11599:J11600"/>
    <mergeCell ref="K11599:K11600"/>
    <mergeCell ref="L11599:L11600"/>
    <mergeCell ref="M11599:M11600"/>
    <mergeCell ref="N11599:N11600"/>
    <mergeCell ref="A11602:A11604"/>
    <mergeCell ref="B11602:B11604"/>
    <mergeCell ref="C11602:C11604"/>
    <mergeCell ref="D11602:D11604"/>
    <mergeCell ref="E11602:E11604"/>
    <mergeCell ref="F11602:F11604"/>
    <mergeCell ref="G11602:G11604"/>
    <mergeCell ref="H11602:H11604"/>
    <mergeCell ref="I11602:I11604"/>
    <mergeCell ref="J11602:J11604"/>
    <mergeCell ref="K11602:K11604"/>
    <mergeCell ref="L11602:L11604"/>
    <mergeCell ref="M11602:M11604"/>
    <mergeCell ref="N11602:N11604"/>
    <mergeCell ref="A11608:A11612"/>
    <mergeCell ref="B11608:B11612"/>
    <mergeCell ref="C11608:C11612"/>
    <mergeCell ref="D11608:D11612"/>
    <mergeCell ref="E11608:E11612"/>
    <mergeCell ref="F11608:F11612"/>
    <mergeCell ref="G11608:G11612"/>
    <mergeCell ref="H11608:H11612"/>
    <mergeCell ref="I11608:I11612"/>
    <mergeCell ref="J11608:J11612"/>
    <mergeCell ref="K11608:K11612"/>
    <mergeCell ref="L11608:L11612"/>
    <mergeCell ref="M11608:M11612"/>
    <mergeCell ref="N11608:N11612"/>
    <mergeCell ref="A11614:A11615"/>
    <mergeCell ref="B11614:B11615"/>
    <mergeCell ref="C11614:C11615"/>
    <mergeCell ref="D11614:D11615"/>
    <mergeCell ref="E11614:E11615"/>
    <mergeCell ref="F11614:F11615"/>
    <mergeCell ref="G11614:G11615"/>
    <mergeCell ref="H11614:H11615"/>
    <mergeCell ref="I11614:I11615"/>
    <mergeCell ref="J11614:J11615"/>
    <mergeCell ref="K11614:K11615"/>
    <mergeCell ref="L11614:L11615"/>
    <mergeCell ref="M11614:M11615"/>
    <mergeCell ref="N11614:N11615"/>
    <mergeCell ref="A11617:A11620"/>
    <mergeCell ref="B11617:B11620"/>
    <mergeCell ref="C11617:C11620"/>
    <mergeCell ref="D11617:D11620"/>
    <mergeCell ref="E11617:E11620"/>
    <mergeCell ref="F11617:F11620"/>
    <mergeCell ref="G11617:G11620"/>
    <mergeCell ref="H11617:H11620"/>
    <mergeCell ref="I11617:I11620"/>
    <mergeCell ref="J11617:J11620"/>
    <mergeCell ref="K11617:K11620"/>
    <mergeCell ref="L11617:L11620"/>
    <mergeCell ref="M11617:M11620"/>
    <mergeCell ref="N11617:N11620"/>
    <mergeCell ref="A11622:A11623"/>
    <mergeCell ref="B11622:B11623"/>
    <mergeCell ref="C11622:C11623"/>
    <mergeCell ref="D11622:D11623"/>
    <mergeCell ref="E11622:E11623"/>
    <mergeCell ref="F11622:F11623"/>
    <mergeCell ref="G11622:G11623"/>
    <mergeCell ref="H11622:H11623"/>
    <mergeCell ref="I11622:I11623"/>
    <mergeCell ref="J11622:J11623"/>
    <mergeCell ref="K11622:K11623"/>
    <mergeCell ref="L11622:L11623"/>
    <mergeCell ref="M11622:M11623"/>
    <mergeCell ref="N11622:N11623"/>
    <mergeCell ref="A11629:A11630"/>
    <mergeCell ref="B11629:B11630"/>
    <mergeCell ref="C11629:C11630"/>
    <mergeCell ref="D11629:D11630"/>
    <mergeCell ref="E11629:E11630"/>
    <mergeCell ref="F11629:F11630"/>
    <mergeCell ref="G11629:G11630"/>
    <mergeCell ref="H11629:H11630"/>
    <mergeCell ref="I11629:I11630"/>
    <mergeCell ref="J11629:J11630"/>
    <mergeCell ref="K11629:K11630"/>
    <mergeCell ref="L11629:L11630"/>
    <mergeCell ref="M11629:M11630"/>
    <mergeCell ref="N11629:N11630"/>
    <mergeCell ref="A11634:A11636"/>
    <mergeCell ref="B11634:B11636"/>
    <mergeCell ref="C11634:C11636"/>
    <mergeCell ref="D11634:D11636"/>
    <mergeCell ref="E11634:E11636"/>
    <mergeCell ref="F11634:F11636"/>
    <mergeCell ref="G11634:G11636"/>
    <mergeCell ref="H11634:H11636"/>
    <mergeCell ref="I11634:I11636"/>
    <mergeCell ref="J11634:J11636"/>
    <mergeCell ref="K11634:K11636"/>
    <mergeCell ref="L11634:L11636"/>
    <mergeCell ref="M11634:M11636"/>
    <mergeCell ref="N11634:N11636"/>
    <mergeCell ref="A11639:A11640"/>
    <mergeCell ref="B11639:B11640"/>
    <mergeCell ref="C11639:C11640"/>
    <mergeCell ref="D11639:D11640"/>
    <mergeCell ref="E11639:E11640"/>
    <mergeCell ref="F11639:F11640"/>
    <mergeCell ref="G11639:G11640"/>
    <mergeCell ref="H11639:H11640"/>
    <mergeCell ref="I11639:I11640"/>
    <mergeCell ref="J11639:J11640"/>
    <mergeCell ref="K11639:K11640"/>
    <mergeCell ref="L11639:L11640"/>
    <mergeCell ref="M11639:M11640"/>
    <mergeCell ref="N11639:N11640"/>
    <mergeCell ref="A11646:A11647"/>
    <mergeCell ref="B11646:B11647"/>
    <mergeCell ref="C11646:C11647"/>
    <mergeCell ref="D11646:D11647"/>
    <mergeCell ref="E11646:E11647"/>
    <mergeCell ref="F11646:F11647"/>
    <mergeCell ref="G11646:G11647"/>
    <mergeCell ref="H11646:H11647"/>
    <mergeCell ref="I11646:I11647"/>
    <mergeCell ref="J11646:J11647"/>
    <mergeCell ref="K11646:K11647"/>
    <mergeCell ref="L11646:L11647"/>
    <mergeCell ref="M11646:M11647"/>
    <mergeCell ref="N11646:N11647"/>
    <mergeCell ref="A11651:A11654"/>
    <mergeCell ref="B11651:B11654"/>
    <mergeCell ref="C11651:C11654"/>
    <mergeCell ref="D11651:D11654"/>
    <mergeCell ref="E11651:E11654"/>
    <mergeCell ref="F11651:F11654"/>
    <mergeCell ref="G11651:G11654"/>
    <mergeCell ref="H11651:H11654"/>
    <mergeCell ref="I11651:I11654"/>
    <mergeCell ref="J11651:J11654"/>
    <mergeCell ref="K11651:K11654"/>
    <mergeCell ref="L11651:L11654"/>
    <mergeCell ref="M11651:M11654"/>
    <mergeCell ref="N11651:N11654"/>
    <mergeCell ref="A11657:A11658"/>
    <mergeCell ref="B11657:B11658"/>
    <mergeCell ref="C11657:C11658"/>
    <mergeCell ref="D11657:D11658"/>
    <mergeCell ref="E11657:E11658"/>
    <mergeCell ref="F11657:F11658"/>
    <mergeCell ref="G11657:G11658"/>
    <mergeCell ref="H11657:H11658"/>
    <mergeCell ref="I11657:I11658"/>
    <mergeCell ref="J11657:J11658"/>
    <mergeCell ref="K11657:K11658"/>
    <mergeCell ref="L11657:L11658"/>
    <mergeCell ref="M11657:M11658"/>
    <mergeCell ref="N11657:N11658"/>
    <mergeCell ref="A11659:A11662"/>
    <mergeCell ref="B11659:B11662"/>
    <mergeCell ref="C11659:C11662"/>
    <mergeCell ref="D11659:D11662"/>
    <mergeCell ref="E11659:E11662"/>
    <mergeCell ref="F11659:F11662"/>
    <mergeCell ref="G11659:G11662"/>
    <mergeCell ref="H11659:H11662"/>
    <mergeCell ref="I11659:I11662"/>
    <mergeCell ref="J11659:J11662"/>
    <mergeCell ref="K11659:K11662"/>
    <mergeCell ref="L11659:L11662"/>
    <mergeCell ref="M11659:M11662"/>
    <mergeCell ref="N11659:N11662"/>
    <mergeCell ref="A11668:A11671"/>
    <mergeCell ref="B11668:B11671"/>
    <mergeCell ref="C11668:C11671"/>
    <mergeCell ref="D11668:D11671"/>
    <mergeCell ref="E11668:E11671"/>
    <mergeCell ref="F11668:F11671"/>
    <mergeCell ref="G11668:G11671"/>
    <mergeCell ref="H11668:H11671"/>
    <mergeCell ref="I11668:I11671"/>
    <mergeCell ref="J11668:J11671"/>
    <mergeCell ref="K11668:K11671"/>
    <mergeCell ref="L11668:L11671"/>
    <mergeCell ref="M11668:M11671"/>
    <mergeCell ref="N11668:N11671"/>
    <mergeCell ref="A11672:A11673"/>
    <mergeCell ref="B11672:B11673"/>
    <mergeCell ref="C11672:C11673"/>
    <mergeCell ref="D11672:D11673"/>
    <mergeCell ref="E11672:E11673"/>
    <mergeCell ref="F11672:F11673"/>
    <mergeCell ref="G11672:G11673"/>
    <mergeCell ref="H11672:H11673"/>
    <mergeCell ref="I11672:I11673"/>
    <mergeCell ref="J11672:J11673"/>
    <mergeCell ref="K11672:K11673"/>
    <mergeCell ref="L11672:L11673"/>
    <mergeCell ref="M11672:M11673"/>
    <mergeCell ref="N11672:N11673"/>
    <mergeCell ref="A11680:A11682"/>
    <mergeCell ref="B11680:B11682"/>
    <mergeCell ref="C11680:C11682"/>
    <mergeCell ref="D11680:D11682"/>
    <mergeCell ref="E11680:E11682"/>
    <mergeCell ref="F11680:F11682"/>
    <mergeCell ref="G11680:G11682"/>
    <mergeCell ref="H11680:H11682"/>
    <mergeCell ref="I11680:I11682"/>
    <mergeCell ref="J11680:J11682"/>
    <mergeCell ref="K11680:K11682"/>
    <mergeCell ref="L11680:L11682"/>
    <mergeCell ref="M11680:M11682"/>
    <mergeCell ref="N11680:N11682"/>
    <mergeCell ref="A11684:A11686"/>
    <mergeCell ref="B11684:B11686"/>
    <mergeCell ref="C11684:C11686"/>
    <mergeCell ref="D11684:D11686"/>
    <mergeCell ref="E11684:E11686"/>
    <mergeCell ref="F11684:F11686"/>
    <mergeCell ref="G11684:G11686"/>
    <mergeCell ref="H11684:H11686"/>
    <mergeCell ref="I11684:I11686"/>
    <mergeCell ref="J11684:J11686"/>
    <mergeCell ref="K11684:K11686"/>
    <mergeCell ref="L11684:L11686"/>
    <mergeCell ref="M11684:M11686"/>
    <mergeCell ref="N11684:N11686"/>
    <mergeCell ref="A11688:A11690"/>
    <mergeCell ref="B11688:B11690"/>
    <mergeCell ref="C11688:C11690"/>
    <mergeCell ref="D11688:D11690"/>
    <mergeCell ref="E11688:E11690"/>
    <mergeCell ref="F11688:F11690"/>
    <mergeCell ref="G11688:G11690"/>
    <mergeCell ref="H11688:H11690"/>
    <mergeCell ref="I11688:I11690"/>
    <mergeCell ref="J11688:J11690"/>
    <mergeCell ref="K11688:K11690"/>
    <mergeCell ref="L11688:L11690"/>
    <mergeCell ref="M11688:M11690"/>
    <mergeCell ref="N11688:N11690"/>
    <mergeCell ref="A11691:A11692"/>
    <mergeCell ref="B11691:B11692"/>
    <mergeCell ref="C11691:C11692"/>
    <mergeCell ref="D11691:D11692"/>
    <mergeCell ref="E11691:E11692"/>
    <mergeCell ref="F11691:F11692"/>
    <mergeCell ref="G11691:G11692"/>
    <mergeCell ref="H11691:H11692"/>
    <mergeCell ref="I11691:I11692"/>
    <mergeCell ref="J11691:J11692"/>
    <mergeCell ref="K11691:K11692"/>
    <mergeCell ref="L11691:L11692"/>
    <mergeCell ref="M11691:M11692"/>
    <mergeCell ref="N11691:N11692"/>
    <mergeCell ref="A11694:A11697"/>
    <mergeCell ref="B11694:B11697"/>
    <mergeCell ref="C11694:C11697"/>
    <mergeCell ref="D11694:D11697"/>
    <mergeCell ref="E11694:E11697"/>
    <mergeCell ref="F11694:F11697"/>
    <mergeCell ref="G11694:G11697"/>
    <mergeCell ref="H11694:H11697"/>
    <mergeCell ref="I11694:I11697"/>
    <mergeCell ref="J11694:J11697"/>
    <mergeCell ref="K11694:K11697"/>
    <mergeCell ref="L11694:L11697"/>
    <mergeCell ref="M11694:M11697"/>
    <mergeCell ref="N11694:N11697"/>
    <mergeCell ref="A11698:A11700"/>
    <mergeCell ref="B11698:B11700"/>
    <mergeCell ref="C11698:C11700"/>
    <mergeCell ref="D11698:D11700"/>
    <mergeCell ref="E11698:E11700"/>
    <mergeCell ref="F11698:F11700"/>
    <mergeCell ref="G11698:G11700"/>
    <mergeCell ref="H11698:H11700"/>
    <mergeCell ref="I11698:I11700"/>
    <mergeCell ref="J11698:J11700"/>
    <mergeCell ref="K11698:K11700"/>
    <mergeCell ref="L11698:L11700"/>
    <mergeCell ref="M11698:M11700"/>
    <mergeCell ref="N11698:N11700"/>
    <mergeCell ref="A11701:A11704"/>
    <mergeCell ref="B11701:B11704"/>
    <mergeCell ref="C11701:C11704"/>
    <mergeCell ref="D11701:D11704"/>
    <mergeCell ref="E11701:E11704"/>
    <mergeCell ref="F11701:F11704"/>
    <mergeCell ref="G11701:G11704"/>
    <mergeCell ref="H11701:H11704"/>
    <mergeCell ref="I11701:I11704"/>
    <mergeCell ref="J11701:J11704"/>
    <mergeCell ref="K11701:K11704"/>
    <mergeCell ref="L11701:L11704"/>
    <mergeCell ref="M11701:M11704"/>
    <mergeCell ref="N11701:N11704"/>
    <mergeCell ref="A11711:A11719"/>
    <mergeCell ref="B11711:B11719"/>
    <mergeCell ref="C11711:C11719"/>
    <mergeCell ref="D11711:D11719"/>
    <mergeCell ref="E11711:E11719"/>
    <mergeCell ref="F11711:F11719"/>
    <mergeCell ref="G11711:G11719"/>
    <mergeCell ref="H11711:H11719"/>
    <mergeCell ref="I11711:I11719"/>
    <mergeCell ref="J11711:J11719"/>
    <mergeCell ref="K11711:K11719"/>
    <mergeCell ref="L11711:L11719"/>
    <mergeCell ref="M11711:M11719"/>
    <mergeCell ref="N11711:N11719"/>
    <mergeCell ref="A11721:A11744"/>
    <mergeCell ref="B11721:B11744"/>
    <mergeCell ref="C11721:C11744"/>
    <mergeCell ref="D11721:D11744"/>
    <mergeCell ref="E11721:E11744"/>
    <mergeCell ref="F11721:F11744"/>
    <mergeCell ref="G11721:G11744"/>
    <mergeCell ref="H11721:H11744"/>
    <mergeCell ref="I11721:I11744"/>
    <mergeCell ref="J11721:J11744"/>
    <mergeCell ref="K11721:K11744"/>
    <mergeCell ref="L11721:L11744"/>
    <mergeCell ref="M11721:M11744"/>
    <mergeCell ref="N11721:N11744"/>
    <mergeCell ref="A11745:A11774"/>
    <mergeCell ref="B11745:B11774"/>
    <mergeCell ref="C11745:C11774"/>
    <mergeCell ref="D11745:D11774"/>
    <mergeCell ref="E11745:E11774"/>
    <mergeCell ref="F11745:F11774"/>
    <mergeCell ref="G11745:G11774"/>
    <mergeCell ref="H11745:H11774"/>
    <mergeCell ref="I11745:I11774"/>
    <mergeCell ref="J11745:J11774"/>
    <mergeCell ref="K11745:K11774"/>
    <mergeCell ref="L11745:L11774"/>
    <mergeCell ref="M11745:M11774"/>
    <mergeCell ref="N11745:N11774"/>
    <mergeCell ref="A11775:A11776"/>
    <mergeCell ref="B11775:B11776"/>
    <mergeCell ref="C11775:C11776"/>
    <mergeCell ref="D11775:D11776"/>
    <mergeCell ref="E11775:E11776"/>
    <mergeCell ref="F11775:F11776"/>
    <mergeCell ref="G11775:G11776"/>
    <mergeCell ref="H11775:H11776"/>
    <mergeCell ref="I11775:I11776"/>
    <mergeCell ref="J11775:J11776"/>
    <mergeCell ref="K11775:K11776"/>
    <mergeCell ref="L11775:L11776"/>
    <mergeCell ref="M11775:M11776"/>
    <mergeCell ref="N11775:N11776"/>
    <mergeCell ref="A11777:A11778"/>
    <mergeCell ref="B11777:B11778"/>
    <mergeCell ref="C11777:C11778"/>
    <mergeCell ref="D11777:D11778"/>
    <mergeCell ref="E11777:E11778"/>
    <mergeCell ref="F11777:F11778"/>
    <mergeCell ref="G11777:G11778"/>
    <mergeCell ref="H11777:H11778"/>
    <mergeCell ref="I11777:I11778"/>
    <mergeCell ref="J11777:J11778"/>
    <mergeCell ref="K11777:K11778"/>
    <mergeCell ref="L11777:L11778"/>
    <mergeCell ref="M11777:M11778"/>
    <mergeCell ref="N11777:N11778"/>
    <mergeCell ref="A11779:A11783"/>
    <mergeCell ref="B11779:B11783"/>
    <mergeCell ref="C11779:C11783"/>
    <mergeCell ref="D11779:D11783"/>
    <mergeCell ref="E11779:E11783"/>
    <mergeCell ref="F11779:F11783"/>
    <mergeCell ref="G11779:G11783"/>
    <mergeCell ref="H11779:H11783"/>
    <mergeCell ref="I11779:I11783"/>
    <mergeCell ref="J11779:J11783"/>
    <mergeCell ref="K11779:K11783"/>
    <mergeCell ref="L11779:L11783"/>
    <mergeCell ref="M11779:M11783"/>
    <mergeCell ref="N11779:N11783"/>
    <mergeCell ref="A11790:A11809"/>
    <mergeCell ref="B11790:B11809"/>
    <mergeCell ref="C11790:C11809"/>
    <mergeCell ref="D11790:D11809"/>
    <mergeCell ref="E11790:E11809"/>
    <mergeCell ref="F11790:F11809"/>
    <mergeCell ref="G11790:G11809"/>
    <mergeCell ref="H11790:H11809"/>
    <mergeCell ref="I11790:I11809"/>
    <mergeCell ref="J11790:J11809"/>
    <mergeCell ref="K11790:K11809"/>
    <mergeCell ref="L11790:L11809"/>
    <mergeCell ref="M11790:M11809"/>
    <mergeCell ref="N11790:N11809"/>
    <mergeCell ref="A11814:A11816"/>
    <mergeCell ref="B11814:B11816"/>
    <mergeCell ref="C11814:C11816"/>
    <mergeCell ref="D11814:D11816"/>
    <mergeCell ref="E11814:E11816"/>
    <mergeCell ref="F11814:F11816"/>
    <mergeCell ref="G11814:G11816"/>
    <mergeCell ref="H11814:H11816"/>
    <mergeCell ref="I11814:I11816"/>
    <mergeCell ref="J11814:J11816"/>
    <mergeCell ref="K11814:K11816"/>
    <mergeCell ref="L11814:L11816"/>
    <mergeCell ref="M11814:M11816"/>
    <mergeCell ref="N11814:N11816"/>
    <mergeCell ref="A11817:A11823"/>
    <mergeCell ref="B11817:B11823"/>
    <mergeCell ref="C11817:C11823"/>
    <mergeCell ref="D11817:D11823"/>
    <mergeCell ref="E11817:E11823"/>
    <mergeCell ref="F11817:F11823"/>
    <mergeCell ref="G11817:G11823"/>
    <mergeCell ref="H11817:H11823"/>
    <mergeCell ref="I11817:I11823"/>
    <mergeCell ref="J11817:J11823"/>
    <mergeCell ref="K11817:K11823"/>
    <mergeCell ref="L11817:L11823"/>
    <mergeCell ref="M11817:M11823"/>
    <mergeCell ref="N11817:N11823"/>
    <mergeCell ref="A11824:A11825"/>
    <mergeCell ref="B11824:B11825"/>
    <mergeCell ref="C11824:C11825"/>
    <mergeCell ref="D11824:D11825"/>
    <mergeCell ref="E11824:E11825"/>
    <mergeCell ref="F11824:F11825"/>
    <mergeCell ref="G11824:G11825"/>
    <mergeCell ref="H11824:H11825"/>
    <mergeCell ref="I11824:I11825"/>
    <mergeCell ref="J11824:J11825"/>
    <mergeCell ref="K11824:K11825"/>
    <mergeCell ref="L11824:L11825"/>
    <mergeCell ref="M11824:M11825"/>
    <mergeCell ref="N11824:N11825"/>
    <mergeCell ref="A11826:A11827"/>
    <mergeCell ref="B11826:B11827"/>
    <mergeCell ref="C11826:C11827"/>
    <mergeCell ref="D11826:D11827"/>
    <mergeCell ref="E11826:E11827"/>
    <mergeCell ref="F11826:F11827"/>
    <mergeCell ref="G11826:G11827"/>
    <mergeCell ref="H11826:H11827"/>
    <mergeCell ref="I11826:I11827"/>
    <mergeCell ref="J11826:J11827"/>
    <mergeCell ref="K11826:K11827"/>
    <mergeCell ref="L11826:L11827"/>
    <mergeCell ref="M11826:M11827"/>
    <mergeCell ref="N11826:N11827"/>
    <mergeCell ref="A11829:A11830"/>
    <mergeCell ref="B11829:B11830"/>
    <mergeCell ref="C11829:C11830"/>
    <mergeCell ref="D11829:D11830"/>
    <mergeCell ref="E11829:E11830"/>
    <mergeCell ref="F11829:F11830"/>
    <mergeCell ref="G11829:G11830"/>
    <mergeCell ref="H11829:H11830"/>
    <mergeCell ref="I11829:I11830"/>
    <mergeCell ref="J11829:J11830"/>
    <mergeCell ref="K11829:K11830"/>
    <mergeCell ref="L11829:L11830"/>
    <mergeCell ref="M11829:M11830"/>
    <mergeCell ref="N11829:N11830"/>
    <mergeCell ref="A11831:A11835"/>
    <mergeCell ref="B11831:B11835"/>
    <mergeCell ref="C11831:C11835"/>
    <mergeCell ref="D11831:D11835"/>
    <mergeCell ref="E11831:E11835"/>
    <mergeCell ref="F11831:F11835"/>
    <mergeCell ref="G11831:G11835"/>
    <mergeCell ref="H11831:H11835"/>
    <mergeCell ref="I11831:I11835"/>
    <mergeCell ref="J11831:J11835"/>
    <mergeCell ref="K11831:K11835"/>
    <mergeCell ref="L11831:L11835"/>
    <mergeCell ref="M11831:M11835"/>
    <mergeCell ref="N11831:N11835"/>
    <mergeCell ref="A11837:A11838"/>
    <mergeCell ref="B11837:B11838"/>
    <mergeCell ref="C11837:C11838"/>
    <mergeCell ref="D11837:D11838"/>
    <mergeCell ref="E11837:E11838"/>
    <mergeCell ref="F11837:F11838"/>
    <mergeCell ref="G11837:G11838"/>
    <mergeCell ref="H11837:H11838"/>
    <mergeCell ref="I11837:I11838"/>
    <mergeCell ref="J11837:J11838"/>
    <mergeCell ref="K11837:K11838"/>
    <mergeCell ref="L11837:L11838"/>
    <mergeCell ref="M11837:M11838"/>
    <mergeCell ref="N11837:N11838"/>
    <mergeCell ref="A11840:A11841"/>
    <mergeCell ref="B11840:B11841"/>
    <mergeCell ref="C11840:C11841"/>
    <mergeCell ref="D11840:D11841"/>
    <mergeCell ref="E11840:E11841"/>
    <mergeCell ref="F11840:F11841"/>
    <mergeCell ref="G11840:G11841"/>
    <mergeCell ref="H11840:H11841"/>
    <mergeCell ref="I11840:I11841"/>
    <mergeCell ref="J11840:J11841"/>
    <mergeCell ref="K11840:K11841"/>
    <mergeCell ref="L11840:L11841"/>
    <mergeCell ref="M11840:M11841"/>
    <mergeCell ref="N11840:N11841"/>
    <mergeCell ref="A11842:A11845"/>
    <mergeCell ref="B11842:B11845"/>
    <mergeCell ref="C11842:C11845"/>
    <mergeCell ref="D11842:D11845"/>
    <mergeCell ref="E11842:E11845"/>
    <mergeCell ref="F11842:F11845"/>
    <mergeCell ref="G11842:G11845"/>
    <mergeCell ref="H11842:H11845"/>
    <mergeCell ref="I11842:I11845"/>
    <mergeCell ref="J11842:J11845"/>
    <mergeCell ref="K11842:K11845"/>
    <mergeCell ref="L11842:L11845"/>
    <mergeCell ref="M11842:M11845"/>
    <mergeCell ref="N11842:N11845"/>
    <mergeCell ref="A11846:A11849"/>
    <mergeCell ref="B11846:B11849"/>
    <mergeCell ref="C11846:C11849"/>
    <mergeCell ref="D11846:D11849"/>
    <mergeCell ref="E11846:E11849"/>
    <mergeCell ref="F11846:F11849"/>
    <mergeCell ref="G11846:G11849"/>
    <mergeCell ref="H11846:H11849"/>
    <mergeCell ref="I11846:I11849"/>
    <mergeCell ref="J11846:J11849"/>
    <mergeCell ref="K11846:K11849"/>
    <mergeCell ref="L11846:L11849"/>
    <mergeCell ref="M11846:M11849"/>
    <mergeCell ref="N11846:N11849"/>
    <mergeCell ref="A11850:A11857"/>
    <mergeCell ref="B11850:B11857"/>
    <mergeCell ref="C11850:C11857"/>
    <mergeCell ref="D11850:D11857"/>
    <mergeCell ref="E11850:E11857"/>
    <mergeCell ref="F11850:F11857"/>
    <mergeCell ref="G11850:G11857"/>
    <mergeCell ref="H11850:H11857"/>
    <mergeCell ref="I11850:I11857"/>
    <mergeCell ref="J11850:J11857"/>
    <mergeCell ref="K11850:K11857"/>
    <mergeCell ref="L11850:L11857"/>
    <mergeCell ref="M11850:M11857"/>
    <mergeCell ref="N11850:N11857"/>
    <mergeCell ref="A11858:A11862"/>
    <mergeCell ref="B11858:B11862"/>
    <mergeCell ref="C11858:C11862"/>
    <mergeCell ref="D11858:D11862"/>
    <mergeCell ref="E11858:E11862"/>
    <mergeCell ref="F11858:F11862"/>
    <mergeCell ref="G11858:G11862"/>
    <mergeCell ref="H11858:H11862"/>
    <mergeCell ref="I11858:I11862"/>
    <mergeCell ref="J11858:J11862"/>
    <mergeCell ref="K11858:K11862"/>
    <mergeCell ref="L11858:L11862"/>
    <mergeCell ref="M11858:M11862"/>
    <mergeCell ref="N11858:N11862"/>
    <mergeCell ref="A11867:A11870"/>
    <mergeCell ref="B11867:B11870"/>
    <mergeCell ref="C11867:C11870"/>
    <mergeCell ref="D11867:D11870"/>
    <mergeCell ref="E11867:E11870"/>
    <mergeCell ref="F11867:F11870"/>
    <mergeCell ref="G11867:G11870"/>
    <mergeCell ref="H11867:H11870"/>
    <mergeCell ref="I11867:I11870"/>
    <mergeCell ref="J11867:J11870"/>
    <mergeCell ref="K11867:K11870"/>
    <mergeCell ref="L11867:L11870"/>
    <mergeCell ref="M11867:M11870"/>
    <mergeCell ref="N11867:N11870"/>
    <mergeCell ref="A11872:A11874"/>
    <mergeCell ref="B11872:B11874"/>
    <mergeCell ref="C11872:C11874"/>
    <mergeCell ref="D11872:D11874"/>
    <mergeCell ref="E11872:E11874"/>
    <mergeCell ref="F11872:F11874"/>
    <mergeCell ref="G11872:G11874"/>
    <mergeCell ref="H11872:H11874"/>
    <mergeCell ref="I11872:I11874"/>
    <mergeCell ref="J11872:J11874"/>
    <mergeCell ref="K11872:K11874"/>
    <mergeCell ref="L11872:L11874"/>
    <mergeCell ref="M11872:M11874"/>
    <mergeCell ref="N11872:N11874"/>
    <mergeCell ref="A11875:A11879"/>
    <mergeCell ref="B11875:B11879"/>
    <mergeCell ref="C11875:C11879"/>
    <mergeCell ref="D11875:D11879"/>
    <mergeCell ref="E11875:E11879"/>
    <mergeCell ref="F11875:F11879"/>
    <mergeCell ref="G11875:G11879"/>
    <mergeCell ref="H11875:H11879"/>
    <mergeCell ref="I11875:I11879"/>
    <mergeCell ref="J11875:J11879"/>
    <mergeCell ref="K11875:K11879"/>
    <mergeCell ref="L11875:L11879"/>
    <mergeCell ref="M11875:M11879"/>
    <mergeCell ref="N11875:N11879"/>
    <mergeCell ref="A11880:A11884"/>
    <mergeCell ref="B11880:B11884"/>
    <mergeCell ref="C11880:C11884"/>
    <mergeCell ref="D11880:D11884"/>
    <mergeCell ref="E11880:E11884"/>
    <mergeCell ref="F11880:F11884"/>
    <mergeCell ref="G11880:G11884"/>
    <mergeCell ref="H11880:H11884"/>
    <mergeCell ref="I11880:I11884"/>
    <mergeCell ref="J11880:J11884"/>
    <mergeCell ref="K11880:K11884"/>
    <mergeCell ref="L11880:L11884"/>
    <mergeCell ref="M11880:M11884"/>
    <mergeCell ref="N11880:N11884"/>
    <mergeCell ref="A11885:A11889"/>
    <mergeCell ref="B11885:B11889"/>
    <mergeCell ref="C11885:C11889"/>
    <mergeCell ref="D11885:D11889"/>
    <mergeCell ref="E11885:E11889"/>
    <mergeCell ref="F11885:F11889"/>
    <mergeCell ref="G11885:G11889"/>
    <mergeCell ref="H11885:H11889"/>
    <mergeCell ref="I11885:I11889"/>
    <mergeCell ref="J11885:J11889"/>
    <mergeCell ref="K11885:K11889"/>
    <mergeCell ref="L11885:L11889"/>
    <mergeCell ref="M11885:M11889"/>
    <mergeCell ref="N11885:N11889"/>
    <mergeCell ref="A11890:A11918"/>
    <mergeCell ref="B11890:B11918"/>
    <mergeCell ref="C11890:C11918"/>
    <mergeCell ref="D11890:D11918"/>
    <mergeCell ref="E11890:E11918"/>
    <mergeCell ref="F11890:F11918"/>
    <mergeCell ref="G11890:G11918"/>
    <mergeCell ref="H11890:H11918"/>
    <mergeCell ref="I11890:I11918"/>
    <mergeCell ref="J11890:J11918"/>
    <mergeCell ref="K11890:K11918"/>
    <mergeCell ref="L11890:L11918"/>
    <mergeCell ref="M11890:M11918"/>
    <mergeCell ref="N11890:N11918"/>
    <mergeCell ref="A11919:A11925"/>
    <mergeCell ref="B11919:B11925"/>
    <mergeCell ref="C11919:C11925"/>
    <mergeCell ref="D11919:D11925"/>
    <mergeCell ref="E11919:E11925"/>
    <mergeCell ref="F11919:F11925"/>
    <mergeCell ref="G11919:G11925"/>
    <mergeCell ref="H11919:H11925"/>
    <mergeCell ref="I11919:I11925"/>
    <mergeCell ref="J11919:J11925"/>
    <mergeCell ref="K11919:K11925"/>
    <mergeCell ref="L11919:L11925"/>
    <mergeCell ref="M11919:M11925"/>
    <mergeCell ref="N11919:N11925"/>
    <mergeCell ref="A11926:A11928"/>
    <mergeCell ref="B11926:B11928"/>
    <mergeCell ref="C11926:C11928"/>
    <mergeCell ref="D11926:D11928"/>
    <mergeCell ref="E11926:E11928"/>
    <mergeCell ref="F11926:F11928"/>
    <mergeCell ref="G11926:G11928"/>
    <mergeCell ref="H11926:H11928"/>
    <mergeCell ref="I11926:I11928"/>
    <mergeCell ref="J11926:J11928"/>
    <mergeCell ref="K11926:K11928"/>
    <mergeCell ref="L11926:L11928"/>
    <mergeCell ref="M11926:M11928"/>
    <mergeCell ref="N11926:N11928"/>
    <mergeCell ref="A11929:A11932"/>
    <mergeCell ref="B11929:B11932"/>
    <mergeCell ref="C11929:C11932"/>
    <mergeCell ref="D11929:D11932"/>
    <mergeCell ref="E11929:E11932"/>
    <mergeCell ref="F11929:F11932"/>
    <mergeCell ref="G11929:G11932"/>
    <mergeCell ref="H11929:H11932"/>
    <mergeCell ref="I11929:I11932"/>
    <mergeCell ref="J11929:J11932"/>
    <mergeCell ref="K11929:K11932"/>
    <mergeCell ref="L11929:L11932"/>
    <mergeCell ref="M11929:M11932"/>
    <mergeCell ref="N11929:N11932"/>
    <mergeCell ref="A11933:A11936"/>
    <mergeCell ref="B11933:B11936"/>
    <mergeCell ref="C11933:C11936"/>
    <mergeCell ref="D11933:D11936"/>
    <mergeCell ref="E11933:E11936"/>
    <mergeCell ref="F11933:F11936"/>
    <mergeCell ref="G11933:G11936"/>
    <mergeCell ref="H11933:H11936"/>
    <mergeCell ref="I11933:I11936"/>
    <mergeCell ref="J11933:J11936"/>
    <mergeCell ref="K11933:K11936"/>
    <mergeCell ref="L11933:L11936"/>
    <mergeCell ref="M11933:M11936"/>
    <mergeCell ref="N11933:N11936"/>
    <mergeCell ref="A11937:A11940"/>
    <mergeCell ref="B11937:B11940"/>
    <mergeCell ref="C11937:C11940"/>
    <mergeCell ref="D11937:D11940"/>
    <mergeCell ref="E11937:E11940"/>
    <mergeCell ref="F11937:F11940"/>
    <mergeCell ref="G11937:G11940"/>
    <mergeCell ref="H11937:H11940"/>
    <mergeCell ref="I11937:I11940"/>
    <mergeCell ref="J11937:J11940"/>
    <mergeCell ref="K11937:K11940"/>
    <mergeCell ref="L11937:L11940"/>
    <mergeCell ref="M11937:M11940"/>
    <mergeCell ref="N11937:N11940"/>
    <mergeCell ref="A11942:A11943"/>
    <mergeCell ref="B11942:B11943"/>
    <mergeCell ref="C11942:C11943"/>
    <mergeCell ref="D11942:D11943"/>
    <mergeCell ref="E11942:E11943"/>
    <mergeCell ref="F11942:F11943"/>
    <mergeCell ref="G11942:G11943"/>
    <mergeCell ref="H11942:H11943"/>
    <mergeCell ref="I11942:I11943"/>
    <mergeCell ref="J11942:J11943"/>
    <mergeCell ref="K11942:K11943"/>
    <mergeCell ref="L11942:L11943"/>
    <mergeCell ref="M11942:M11943"/>
    <mergeCell ref="N11942:N11943"/>
    <mergeCell ref="A11944:A11946"/>
    <mergeCell ref="B11944:B11946"/>
    <mergeCell ref="C11944:C11946"/>
    <mergeCell ref="D11944:D11946"/>
    <mergeCell ref="E11944:E11946"/>
    <mergeCell ref="F11944:F11946"/>
    <mergeCell ref="G11944:G11946"/>
    <mergeCell ref="H11944:H11946"/>
    <mergeCell ref="I11944:I11946"/>
    <mergeCell ref="J11944:J11946"/>
    <mergeCell ref="K11944:K11946"/>
    <mergeCell ref="L11944:L11946"/>
    <mergeCell ref="M11944:M11946"/>
    <mergeCell ref="N11944:N11946"/>
    <mergeCell ref="A11950:A11954"/>
    <mergeCell ref="B11950:B11954"/>
    <mergeCell ref="C11950:C11954"/>
    <mergeCell ref="D11950:D11954"/>
    <mergeCell ref="E11950:E11954"/>
    <mergeCell ref="F11950:F11954"/>
    <mergeCell ref="G11950:G11954"/>
    <mergeCell ref="H11950:H11954"/>
    <mergeCell ref="I11950:I11954"/>
    <mergeCell ref="J11950:J11954"/>
    <mergeCell ref="K11950:K11954"/>
    <mergeCell ref="L11950:L11954"/>
    <mergeCell ref="M11950:M11954"/>
    <mergeCell ref="N11950:N11954"/>
    <mergeCell ref="A11955:A11958"/>
    <mergeCell ref="B11955:B11958"/>
    <mergeCell ref="C11955:C11958"/>
    <mergeCell ref="D11955:D11958"/>
    <mergeCell ref="E11955:E11958"/>
    <mergeCell ref="F11955:F11958"/>
    <mergeCell ref="G11955:G11958"/>
    <mergeCell ref="H11955:H11958"/>
    <mergeCell ref="I11955:I11958"/>
    <mergeCell ref="J11955:J11958"/>
    <mergeCell ref="K11955:K11958"/>
    <mergeCell ref="L11955:L11958"/>
    <mergeCell ref="M11955:M11958"/>
    <mergeCell ref="N11955:N11958"/>
    <mergeCell ref="A11959:A11960"/>
    <mergeCell ref="B11959:B11960"/>
    <mergeCell ref="C11959:C11960"/>
    <mergeCell ref="D11959:D11960"/>
    <mergeCell ref="E11959:E11960"/>
    <mergeCell ref="F11959:F11960"/>
    <mergeCell ref="G11959:G11960"/>
    <mergeCell ref="H11959:H11960"/>
    <mergeCell ref="I11959:I11960"/>
    <mergeCell ref="J11959:J11960"/>
    <mergeCell ref="K11959:K11960"/>
    <mergeCell ref="L11959:L11960"/>
    <mergeCell ref="M11959:M11960"/>
    <mergeCell ref="N11959:N11960"/>
    <mergeCell ref="A11961:A11968"/>
    <mergeCell ref="B11961:B11968"/>
    <mergeCell ref="C11961:C11968"/>
    <mergeCell ref="D11961:D11968"/>
    <mergeCell ref="E11961:E11968"/>
    <mergeCell ref="F11961:F11968"/>
    <mergeCell ref="G11961:G11968"/>
    <mergeCell ref="H11961:H11968"/>
    <mergeCell ref="I11961:I11968"/>
    <mergeCell ref="J11961:J11968"/>
    <mergeCell ref="K11961:K11968"/>
    <mergeCell ref="L11961:L11968"/>
    <mergeCell ref="M11961:M11968"/>
    <mergeCell ref="N11961:N11968"/>
    <mergeCell ref="A11985:A11987"/>
    <mergeCell ref="B11985:B11987"/>
    <mergeCell ref="C11985:C11987"/>
    <mergeCell ref="D11985:D11987"/>
    <mergeCell ref="E11985:E11987"/>
    <mergeCell ref="F11985:F11987"/>
    <mergeCell ref="G11985:G11987"/>
    <mergeCell ref="H11985:H11987"/>
    <mergeCell ref="I11985:I11987"/>
    <mergeCell ref="J11985:J11987"/>
    <mergeCell ref="K11985:K11987"/>
    <mergeCell ref="L11985:L11987"/>
    <mergeCell ref="M11985:M11987"/>
    <mergeCell ref="N11985:N11987"/>
    <mergeCell ref="A11989:A11990"/>
    <mergeCell ref="B11989:B11990"/>
    <mergeCell ref="C11989:C11990"/>
    <mergeCell ref="D11989:D11990"/>
    <mergeCell ref="E11989:E11990"/>
    <mergeCell ref="F11989:F11990"/>
    <mergeCell ref="G11989:G11990"/>
    <mergeCell ref="H11989:H11990"/>
    <mergeCell ref="I11989:I11990"/>
    <mergeCell ref="J11989:J11990"/>
    <mergeCell ref="K11989:K11990"/>
    <mergeCell ref="L11989:L11990"/>
    <mergeCell ref="M11989:M11990"/>
    <mergeCell ref="N11989:N11990"/>
    <mergeCell ref="A11993:A11994"/>
    <mergeCell ref="B11993:B11994"/>
    <mergeCell ref="C11993:C11994"/>
    <mergeCell ref="D11993:D11994"/>
    <mergeCell ref="E11993:E11994"/>
    <mergeCell ref="F11993:F11994"/>
    <mergeCell ref="G11993:G11994"/>
    <mergeCell ref="H11993:H11994"/>
    <mergeCell ref="I11993:I11994"/>
    <mergeCell ref="J11993:J11994"/>
    <mergeCell ref="K11993:K11994"/>
    <mergeCell ref="L11993:L11994"/>
    <mergeCell ref="M11993:M11994"/>
    <mergeCell ref="N11993:N11994"/>
    <mergeCell ref="A12000:A12001"/>
    <mergeCell ref="B12000:B12001"/>
    <mergeCell ref="C12000:C12001"/>
    <mergeCell ref="D12000:D12001"/>
    <mergeCell ref="E12000:E12001"/>
    <mergeCell ref="F12000:F12001"/>
    <mergeCell ref="G12000:G12001"/>
    <mergeCell ref="H12000:H12001"/>
    <mergeCell ref="I12000:I12001"/>
    <mergeCell ref="J12000:J12001"/>
    <mergeCell ref="K12000:K12001"/>
    <mergeCell ref="L12000:L12001"/>
    <mergeCell ref="M12000:M12001"/>
    <mergeCell ref="N12000:N12001"/>
    <mergeCell ref="A12003:A12007"/>
    <mergeCell ref="B12003:B12007"/>
    <mergeCell ref="C12003:C12007"/>
    <mergeCell ref="D12003:D12007"/>
    <mergeCell ref="E12003:E12007"/>
    <mergeCell ref="F12003:F12007"/>
    <mergeCell ref="G12003:G12007"/>
    <mergeCell ref="H12003:H12007"/>
    <mergeCell ref="I12003:I12007"/>
    <mergeCell ref="J12003:J12007"/>
    <mergeCell ref="K12003:K12007"/>
    <mergeCell ref="L12003:L12007"/>
    <mergeCell ref="M12003:M12007"/>
    <mergeCell ref="N12003:N12007"/>
    <mergeCell ref="A12009:A12011"/>
    <mergeCell ref="B12009:B12011"/>
    <mergeCell ref="C12009:C12011"/>
    <mergeCell ref="D12009:D12011"/>
    <mergeCell ref="E12009:E12011"/>
    <mergeCell ref="F12009:F12011"/>
    <mergeCell ref="G12009:G12011"/>
    <mergeCell ref="H12009:H12011"/>
    <mergeCell ref="I12009:I12011"/>
    <mergeCell ref="J12009:J12011"/>
    <mergeCell ref="K12009:K12011"/>
    <mergeCell ref="L12009:L12011"/>
    <mergeCell ref="M12009:M12011"/>
    <mergeCell ref="N12009:N12011"/>
    <mergeCell ref="A12012:A12017"/>
    <mergeCell ref="B12012:B12017"/>
    <mergeCell ref="C12012:C12017"/>
    <mergeCell ref="D12012:D12017"/>
    <mergeCell ref="E12012:E12017"/>
    <mergeCell ref="F12012:F12017"/>
    <mergeCell ref="G12012:G12017"/>
    <mergeCell ref="H12012:H12017"/>
    <mergeCell ref="I12012:I12017"/>
    <mergeCell ref="J12012:J12017"/>
    <mergeCell ref="K12012:K12017"/>
    <mergeCell ref="L12012:L12017"/>
    <mergeCell ref="M12012:M12017"/>
    <mergeCell ref="N12012:N12017"/>
    <mergeCell ref="A12019:A12020"/>
    <mergeCell ref="B12019:B12020"/>
    <mergeCell ref="C12019:C12020"/>
    <mergeCell ref="D12019:D12020"/>
    <mergeCell ref="E12019:E12020"/>
    <mergeCell ref="F12019:F12020"/>
    <mergeCell ref="G12019:G12020"/>
    <mergeCell ref="H12019:H12020"/>
    <mergeCell ref="I12019:I12020"/>
    <mergeCell ref="J12019:J12020"/>
    <mergeCell ref="K12019:K12020"/>
    <mergeCell ref="L12019:L12020"/>
    <mergeCell ref="M12019:M12020"/>
    <mergeCell ref="N12019:N12020"/>
    <mergeCell ref="A12022:A12029"/>
    <mergeCell ref="B12022:B12029"/>
    <mergeCell ref="C12022:C12029"/>
    <mergeCell ref="D12022:D12029"/>
    <mergeCell ref="E12022:E12029"/>
    <mergeCell ref="F12022:F12029"/>
    <mergeCell ref="G12022:G12029"/>
    <mergeCell ref="H12022:H12029"/>
    <mergeCell ref="I12022:I12029"/>
    <mergeCell ref="J12022:J12029"/>
    <mergeCell ref="K12022:K12029"/>
    <mergeCell ref="L12022:L12029"/>
    <mergeCell ref="M12022:M12029"/>
    <mergeCell ref="N12022:N12029"/>
    <mergeCell ref="A12030:A12032"/>
    <mergeCell ref="B12030:B12032"/>
    <mergeCell ref="C12030:C12032"/>
    <mergeCell ref="D12030:D12032"/>
    <mergeCell ref="E12030:E12032"/>
    <mergeCell ref="F12030:F12032"/>
    <mergeCell ref="G12030:G12032"/>
    <mergeCell ref="H12030:H12032"/>
    <mergeCell ref="I12030:I12032"/>
    <mergeCell ref="J12030:J12032"/>
    <mergeCell ref="K12030:K12032"/>
    <mergeCell ref="L12030:L12032"/>
    <mergeCell ref="M12030:M12032"/>
    <mergeCell ref="N12030:N12032"/>
    <mergeCell ref="A12034:A12038"/>
    <mergeCell ref="B12034:B12038"/>
    <mergeCell ref="C12034:C12038"/>
    <mergeCell ref="D12034:D12038"/>
    <mergeCell ref="E12034:E12038"/>
    <mergeCell ref="F12034:F12038"/>
    <mergeCell ref="G12034:G12038"/>
    <mergeCell ref="H12034:H12038"/>
    <mergeCell ref="I12034:I12038"/>
    <mergeCell ref="J12034:J12038"/>
    <mergeCell ref="K12034:K12038"/>
    <mergeCell ref="L12034:L12038"/>
    <mergeCell ref="M12034:M12038"/>
    <mergeCell ref="N12034:N12038"/>
    <mergeCell ref="A12039:A12040"/>
    <mergeCell ref="B12039:B12040"/>
    <mergeCell ref="C12039:C12040"/>
    <mergeCell ref="D12039:D12040"/>
    <mergeCell ref="E12039:E12040"/>
    <mergeCell ref="F12039:F12040"/>
    <mergeCell ref="G12039:G12040"/>
    <mergeCell ref="H12039:H12040"/>
    <mergeCell ref="I12039:I12040"/>
    <mergeCell ref="J12039:J12040"/>
    <mergeCell ref="K12039:K12040"/>
    <mergeCell ref="L12039:L12040"/>
    <mergeCell ref="M12039:M12040"/>
    <mergeCell ref="N12039:N12040"/>
    <mergeCell ref="A12042:A12044"/>
    <mergeCell ref="B12042:B12044"/>
    <mergeCell ref="C12042:C12044"/>
    <mergeCell ref="D12042:D12044"/>
    <mergeCell ref="E12042:E12044"/>
    <mergeCell ref="F12042:F12044"/>
    <mergeCell ref="G12042:G12044"/>
    <mergeCell ref="H12042:H12044"/>
    <mergeCell ref="I12042:I12044"/>
    <mergeCell ref="J12042:J12044"/>
    <mergeCell ref="K12042:K12044"/>
    <mergeCell ref="L12042:L12044"/>
    <mergeCell ref="M12042:M12044"/>
    <mergeCell ref="N12042:N12044"/>
    <mergeCell ref="A12045:A12048"/>
    <mergeCell ref="B12045:B12048"/>
    <mergeCell ref="C12045:C12048"/>
    <mergeCell ref="D12045:D12048"/>
    <mergeCell ref="E12045:E12048"/>
    <mergeCell ref="F12045:F12048"/>
    <mergeCell ref="G12045:G12048"/>
    <mergeCell ref="H12045:H12048"/>
    <mergeCell ref="I12045:I12048"/>
    <mergeCell ref="J12045:J12048"/>
    <mergeCell ref="K12045:K12048"/>
    <mergeCell ref="L12045:L12048"/>
    <mergeCell ref="M12045:M12048"/>
    <mergeCell ref="N12045:N12048"/>
    <mergeCell ref="A12054:A12055"/>
    <mergeCell ref="B12054:B12055"/>
    <mergeCell ref="C12054:C12055"/>
    <mergeCell ref="D12054:D12055"/>
    <mergeCell ref="E12054:E12055"/>
    <mergeCell ref="F12054:F12055"/>
    <mergeCell ref="G12054:G12055"/>
    <mergeCell ref="H12054:H12055"/>
    <mergeCell ref="I12054:I12055"/>
    <mergeCell ref="J12054:J12055"/>
    <mergeCell ref="K12054:K12055"/>
    <mergeCell ref="L12054:L12055"/>
    <mergeCell ref="M12054:M12055"/>
    <mergeCell ref="N12054:N12055"/>
    <mergeCell ref="A12057:A12058"/>
    <mergeCell ref="B12057:B12058"/>
    <mergeCell ref="C12057:C12058"/>
    <mergeCell ref="D12057:D12058"/>
    <mergeCell ref="E12057:E12058"/>
    <mergeCell ref="F12057:F12058"/>
    <mergeCell ref="G12057:G12058"/>
    <mergeCell ref="H12057:H12058"/>
    <mergeCell ref="I12057:I12058"/>
    <mergeCell ref="J12057:J12058"/>
    <mergeCell ref="K12057:K12058"/>
    <mergeCell ref="L12057:L12058"/>
    <mergeCell ref="M12057:M12058"/>
    <mergeCell ref="N12057:N12058"/>
    <mergeCell ref="A12060:A12063"/>
    <mergeCell ref="B12060:B12063"/>
    <mergeCell ref="C12060:C12063"/>
    <mergeCell ref="D12060:D12063"/>
    <mergeCell ref="E12060:E12063"/>
    <mergeCell ref="F12060:F12063"/>
    <mergeCell ref="G12060:G12063"/>
    <mergeCell ref="H12060:H12063"/>
    <mergeCell ref="I12060:I12063"/>
    <mergeCell ref="J12060:J12063"/>
    <mergeCell ref="K12060:K12063"/>
    <mergeCell ref="L12060:L12063"/>
    <mergeCell ref="M12060:M12063"/>
    <mergeCell ref="N12060:N12063"/>
    <mergeCell ref="A12065:A12067"/>
    <mergeCell ref="B12065:B12067"/>
    <mergeCell ref="C12065:C12067"/>
    <mergeCell ref="D12065:D12067"/>
    <mergeCell ref="E12065:E12067"/>
    <mergeCell ref="F12065:F12067"/>
    <mergeCell ref="G12065:G12067"/>
    <mergeCell ref="H12065:H12067"/>
    <mergeCell ref="I12065:I12067"/>
    <mergeCell ref="J12065:J12067"/>
    <mergeCell ref="K12065:K12067"/>
    <mergeCell ref="L12065:L12067"/>
    <mergeCell ref="M12065:M12067"/>
    <mergeCell ref="N12065:N12067"/>
    <mergeCell ref="A12072:A12073"/>
    <mergeCell ref="B12072:B12073"/>
    <mergeCell ref="C12072:C12073"/>
    <mergeCell ref="D12072:D12073"/>
    <mergeCell ref="E12072:E12073"/>
    <mergeCell ref="F12072:F12073"/>
    <mergeCell ref="G12072:G12073"/>
    <mergeCell ref="H12072:H12073"/>
    <mergeCell ref="I12072:I12073"/>
    <mergeCell ref="J12072:J12073"/>
    <mergeCell ref="K12072:K12073"/>
    <mergeCell ref="L12072:L12073"/>
    <mergeCell ref="M12072:M12073"/>
    <mergeCell ref="N12072:N12073"/>
    <mergeCell ref="A12074:A12080"/>
    <mergeCell ref="B12074:B12080"/>
    <mergeCell ref="C12074:C12080"/>
    <mergeCell ref="D12074:D12080"/>
    <mergeCell ref="E12074:E12080"/>
    <mergeCell ref="F12074:F12080"/>
    <mergeCell ref="G12074:G12080"/>
    <mergeCell ref="H12074:H12080"/>
    <mergeCell ref="I12074:I12080"/>
    <mergeCell ref="J12074:J12080"/>
    <mergeCell ref="K12074:K12080"/>
    <mergeCell ref="L12074:L12080"/>
    <mergeCell ref="M12074:M12080"/>
    <mergeCell ref="N12074:N12080"/>
    <mergeCell ref="A12081:A12082"/>
    <mergeCell ref="B12081:B12082"/>
    <mergeCell ref="C12081:C12082"/>
    <mergeCell ref="D12081:D12082"/>
    <mergeCell ref="E12081:E12082"/>
    <mergeCell ref="F12081:F12082"/>
    <mergeCell ref="G12081:G12082"/>
    <mergeCell ref="H12081:H12082"/>
    <mergeCell ref="I12081:I12082"/>
    <mergeCell ref="J12081:J12082"/>
    <mergeCell ref="K12081:K12082"/>
    <mergeCell ref="L12081:L12082"/>
    <mergeCell ref="M12081:M12082"/>
    <mergeCell ref="N12081:N12082"/>
    <mergeCell ref="A12083:A12085"/>
    <mergeCell ref="B12083:B12085"/>
    <mergeCell ref="C12083:C12085"/>
    <mergeCell ref="D12083:D12085"/>
    <mergeCell ref="E12083:E12085"/>
    <mergeCell ref="F12083:F12085"/>
    <mergeCell ref="G12083:G12085"/>
    <mergeCell ref="H12083:H12085"/>
    <mergeCell ref="I12083:I12085"/>
    <mergeCell ref="J12083:J12085"/>
    <mergeCell ref="K12083:K12085"/>
    <mergeCell ref="L12083:L12085"/>
    <mergeCell ref="M12083:M12085"/>
    <mergeCell ref="N12083:N12085"/>
    <mergeCell ref="A12086:A12091"/>
    <mergeCell ref="B12086:B12091"/>
    <mergeCell ref="C12086:C12091"/>
    <mergeCell ref="D12086:D12091"/>
    <mergeCell ref="E12086:E12091"/>
    <mergeCell ref="F12086:F12091"/>
    <mergeCell ref="G12086:G12091"/>
    <mergeCell ref="H12086:H12091"/>
    <mergeCell ref="I12086:I12091"/>
    <mergeCell ref="J12086:J12091"/>
    <mergeCell ref="K12086:K12091"/>
    <mergeCell ref="L12086:L12091"/>
    <mergeCell ref="M12086:M12091"/>
    <mergeCell ref="N12086:N12091"/>
    <mergeCell ref="A12092:A12093"/>
    <mergeCell ref="B12092:B12093"/>
    <mergeCell ref="C12092:C12093"/>
    <mergeCell ref="D12092:D12093"/>
    <mergeCell ref="E12092:E12093"/>
    <mergeCell ref="F12092:F12093"/>
    <mergeCell ref="G12092:G12093"/>
    <mergeCell ref="H12092:H12093"/>
    <mergeCell ref="I12092:I12093"/>
    <mergeCell ref="J12092:J12093"/>
    <mergeCell ref="K12092:K12093"/>
    <mergeCell ref="L12092:L12093"/>
    <mergeCell ref="M12092:M12093"/>
    <mergeCell ref="N12092:N12093"/>
    <mergeCell ref="A12095:A12096"/>
    <mergeCell ref="B12095:B12096"/>
    <mergeCell ref="C12095:C12096"/>
    <mergeCell ref="D12095:D12096"/>
    <mergeCell ref="E12095:E12096"/>
    <mergeCell ref="F12095:F12096"/>
    <mergeCell ref="G12095:G12096"/>
    <mergeCell ref="H12095:H12096"/>
    <mergeCell ref="I12095:I12096"/>
    <mergeCell ref="J12095:J12096"/>
    <mergeCell ref="K12095:K12096"/>
    <mergeCell ref="L12095:L12096"/>
    <mergeCell ref="M12095:M12096"/>
    <mergeCell ref="N12095:N12096"/>
    <mergeCell ref="A12097:A12100"/>
    <mergeCell ref="B12097:B12100"/>
    <mergeCell ref="C12097:C12100"/>
    <mergeCell ref="D12097:D12100"/>
    <mergeCell ref="E12097:E12100"/>
    <mergeCell ref="F12097:F12100"/>
    <mergeCell ref="G12097:G12100"/>
    <mergeCell ref="H12097:H12100"/>
    <mergeCell ref="I12097:I12100"/>
    <mergeCell ref="J12097:J12100"/>
    <mergeCell ref="K12097:K12100"/>
    <mergeCell ref="L12097:L12100"/>
    <mergeCell ref="M12097:M12100"/>
    <mergeCell ref="N12097:N12100"/>
    <mergeCell ref="A12102:A12107"/>
    <mergeCell ref="B12102:B12107"/>
    <mergeCell ref="C12102:C12107"/>
    <mergeCell ref="D12102:D12107"/>
    <mergeCell ref="E12102:E12107"/>
    <mergeCell ref="F12102:F12107"/>
    <mergeCell ref="G12102:G12107"/>
    <mergeCell ref="H12102:H12107"/>
    <mergeCell ref="I12102:I12107"/>
    <mergeCell ref="J12102:J12107"/>
    <mergeCell ref="K12102:K12107"/>
    <mergeCell ref="L12102:L12107"/>
    <mergeCell ref="M12102:M12107"/>
    <mergeCell ref="N12102:N12107"/>
    <mergeCell ref="A12109:A12112"/>
    <mergeCell ref="B12109:B12112"/>
    <mergeCell ref="C12109:C12112"/>
    <mergeCell ref="D12109:D12112"/>
    <mergeCell ref="E12109:E12112"/>
    <mergeCell ref="F12109:F12112"/>
    <mergeCell ref="G12109:G12112"/>
    <mergeCell ref="H12109:H12112"/>
    <mergeCell ref="I12109:I12112"/>
    <mergeCell ref="J12109:J12112"/>
    <mergeCell ref="K12109:K12112"/>
    <mergeCell ref="L12109:L12112"/>
    <mergeCell ref="M12109:M12112"/>
    <mergeCell ref="N12109:N12112"/>
    <mergeCell ref="A12113:A12117"/>
    <mergeCell ref="B12113:B12117"/>
    <mergeCell ref="C12113:C12117"/>
    <mergeCell ref="D12113:D12117"/>
    <mergeCell ref="E12113:E12117"/>
    <mergeCell ref="F12113:F12117"/>
    <mergeCell ref="G12113:G12117"/>
    <mergeCell ref="H12113:H12117"/>
    <mergeCell ref="I12113:I12117"/>
    <mergeCell ref="J12113:J12117"/>
    <mergeCell ref="K12113:K12117"/>
    <mergeCell ref="L12113:L12117"/>
    <mergeCell ref="M12113:M12117"/>
    <mergeCell ref="N12113:N12117"/>
    <mergeCell ref="A12118:A12120"/>
    <mergeCell ref="B12118:B12120"/>
    <mergeCell ref="C12118:C12120"/>
    <mergeCell ref="D12118:D12120"/>
    <mergeCell ref="E12118:E12120"/>
    <mergeCell ref="F12118:F12120"/>
    <mergeCell ref="G12118:G12120"/>
    <mergeCell ref="H12118:H12120"/>
    <mergeCell ref="I12118:I12120"/>
    <mergeCell ref="J12118:J12120"/>
    <mergeCell ref="K12118:K12120"/>
    <mergeCell ref="L12118:L12120"/>
    <mergeCell ref="M12118:M12120"/>
    <mergeCell ref="N12118:N12120"/>
    <mergeCell ref="A12123:A12124"/>
    <mergeCell ref="B12123:B12124"/>
    <mergeCell ref="C12123:C12124"/>
    <mergeCell ref="D12123:D12124"/>
    <mergeCell ref="E12123:E12124"/>
    <mergeCell ref="F12123:F12124"/>
    <mergeCell ref="G12123:G12124"/>
    <mergeCell ref="H12123:H12124"/>
    <mergeCell ref="I12123:I12124"/>
    <mergeCell ref="J12123:J12124"/>
    <mergeCell ref="K12123:K12124"/>
    <mergeCell ref="L12123:L12124"/>
    <mergeCell ref="M12123:M12124"/>
    <mergeCell ref="N12123:N12124"/>
    <mergeCell ref="A12125:A12126"/>
    <mergeCell ref="B12125:B12126"/>
    <mergeCell ref="C12125:C12126"/>
    <mergeCell ref="D12125:D12126"/>
    <mergeCell ref="E12125:E12126"/>
    <mergeCell ref="F12125:F12126"/>
    <mergeCell ref="G12125:G12126"/>
    <mergeCell ref="H12125:H12126"/>
    <mergeCell ref="I12125:I12126"/>
    <mergeCell ref="J12125:J12126"/>
    <mergeCell ref="K12125:K12126"/>
    <mergeCell ref="L12125:L12126"/>
    <mergeCell ref="M12125:M12126"/>
    <mergeCell ref="N12125:N12126"/>
    <mergeCell ref="A12127:A12129"/>
    <mergeCell ref="B12127:B12129"/>
    <mergeCell ref="C12127:C12129"/>
    <mergeCell ref="D12127:D12129"/>
    <mergeCell ref="E12127:E12129"/>
    <mergeCell ref="F12127:F12129"/>
    <mergeCell ref="G12127:G12129"/>
    <mergeCell ref="H12127:H12129"/>
    <mergeCell ref="I12127:I12129"/>
    <mergeCell ref="J12127:J12129"/>
    <mergeCell ref="K12127:K12129"/>
    <mergeCell ref="L12127:L12129"/>
    <mergeCell ref="M12127:M12129"/>
    <mergeCell ref="N12127:N12129"/>
    <mergeCell ref="A12130:A12132"/>
    <mergeCell ref="B12130:B12132"/>
    <mergeCell ref="C12130:C12132"/>
    <mergeCell ref="D12130:D12132"/>
    <mergeCell ref="E12130:E12132"/>
    <mergeCell ref="F12130:F12132"/>
    <mergeCell ref="G12130:G12132"/>
    <mergeCell ref="H12130:H12132"/>
    <mergeCell ref="I12130:I12132"/>
    <mergeCell ref="J12130:J12132"/>
    <mergeCell ref="K12130:K12132"/>
    <mergeCell ref="L12130:L12132"/>
    <mergeCell ref="M12130:M12132"/>
    <mergeCell ref="N12130:N12132"/>
    <mergeCell ref="A12133:A12135"/>
    <mergeCell ref="B12133:B12135"/>
    <mergeCell ref="C12133:C12135"/>
    <mergeCell ref="D12133:D12135"/>
    <mergeCell ref="E12133:E12135"/>
    <mergeCell ref="F12133:F12135"/>
    <mergeCell ref="G12133:G12135"/>
    <mergeCell ref="H12133:H12135"/>
    <mergeCell ref="I12133:I12135"/>
    <mergeCell ref="J12133:J12135"/>
    <mergeCell ref="K12133:K12135"/>
    <mergeCell ref="L12133:L12135"/>
    <mergeCell ref="M12133:M12135"/>
    <mergeCell ref="N12133:N12135"/>
    <mergeCell ref="A12136:A12138"/>
    <mergeCell ref="B12136:B12138"/>
    <mergeCell ref="C12136:C12138"/>
    <mergeCell ref="D12136:D12138"/>
    <mergeCell ref="E12136:E12138"/>
    <mergeCell ref="F12136:F12138"/>
    <mergeCell ref="G12136:G12138"/>
    <mergeCell ref="H12136:H12138"/>
    <mergeCell ref="I12136:I12138"/>
    <mergeCell ref="J12136:J12138"/>
    <mergeCell ref="K12136:K12138"/>
    <mergeCell ref="L12136:L12138"/>
    <mergeCell ref="M12136:M12138"/>
    <mergeCell ref="N12136:N12138"/>
    <mergeCell ref="A12139:A12142"/>
    <mergeCell ref="B12139:B12142"/>
    <mergeCell ref="C12139:C12142"/>
    <mergeCell ref="D12139:D12142"/>
    <mergeCell ref="E12139:E12142"/>
    <mergeCell ref="F12139:F12142"/>
    <mergeCell ref="G12139:G12142"/>
    <mergeCell ref="H12139:H12142"/>
    <mergeCell ref="I12139:I12142"/>
    <mergeCell ref="J12139:J12142"/>
    <mergeCell ref="K12139:K12142"/>
    <mergeCell ref="L12139:L12142"/>
    <mergeCell ref="M12139:M12142"/>
    <mergeCell ref="N12139:N12142"/>
    <mergeCell ref="A12143:A12145"/>
    <mergeCell ref="B12143:B12145"/>
    <mergeCell ref="C12143:C12145"/>
    <mergeCell ref="D12143:D12145"/>
    <mergeCell ref="E12143:E12145"/>
    <mergeCell ref="F12143:F12145"/>
    <mergeCell ref="G12143:G12145"/>
    <mergeCell ref="H12143:H12145"/>
    <mergeCell ref="I12143:I12145"/>
    <mergeCell ref="J12143:J12145"/>
    <mergeCell ref="K12143:K12145"/>
    <mergeCell ref="L12143:L12145"/>
    <mergeCell ref="M12143:M12145"/>
    <mergeCell ref="N12143:N12145"/>
    <mergeCell ref="A12146:A12148"/>
    <mergeCell ref="B12146:B12148"/>
    <mergeCell ref="C12146:C12148"/>
    <mergeCell ref="D12146:D12148"/>
    <mergeCell ref="E12146:E12148"/>
    <mergeCell ref="F12146:F12148"/>
    <mergeCell ref="G12146:G12148"/>
    <mergeCell ref="H12146:H12148"/>
    <mergeCell ref="I12146:I12148"/>
    <mergeCell ref="J12146:J12148"/>
    <mergeCell ref="K12146:K12148"/>
    <mergeCell ref="L12146:L12148"/>
    <mergeCell ref="M12146:M12148"/>
    <mergeCell ref="N12146:N12148"/>
    <mergeCell ref="A12149:A12153"/>
    <mergeCell ref="B12149:B12153"/>
    <mergeCell ref="C12149:C12153"/>
    <mergeCell ref="D12149:D12153"/>
    <mergeCell ref="E12149:E12153"/>
    <mergeCell ref="F12149:F12153"/>
    <mergeCell ref="G12149:G12153"/>
    <mergeCell ref="H12149:H12153"/>
    <mergeCell ref="I12149:I12153"/>
    <mergeCell ref="J12149:J12153"/>
    <mergeCell ref="K12149:K12153"/>
    <mergeCell ref="L12149:L12153"/>
    <mergeCell ref="M12149:M12153"/>
    <mergeCell ref="N12149:N12153"/>
    <mergeCell ref="A12154:A12155"/>
    <mergeCell ref="B12154:B12155"/>
    <mergeCell ref="C12154:C12155"/>
    <mergeCell ref="D12154:D12155"/>
    <mergeCell ref="E12154:E12155"/>
    <mergeCell ref="F12154:F12155"/>
    <mergeCell ref="G12154:G12155"/>
    <mergeCell ref="H12154:H12155"/>
    <mergeCell ref="I12154:I12155"/>
    <mergeCell ref="J12154:J12155"/>
    <mergeCell ref="K12154:K12155"/>
    <mergeCell ref="L12154:L12155"/>
    <mergeCell ref="M12154:M12155"/>
    <mergeCell ref="N12154:N12155"/>
    <mergeCell ref="A12156:A12160"/>
    <mergeCell ref="B12156:B12160"/>
    <mergeCell ref="C12156:C12160"/>
    <mergeCell ref="D12156:D12160"/>
    <mergeCell ref="E12156:E12160"/>
    <mergeCell ref="F12156:F12160"/>
    <mergeCell ref="G12156:G12160"/>
    <mergeCell ref="H12156:H12160"/>
    <mergeCell ref="I12156:I12160"/>
    <mergeCell ref="J12156:J12160"/>
    <mergeCell ref="K12156:K12160"/>
    <mergeCell ref="L12156:L12160"/>
    <mergeCell ref="M12156:M12160"/>
    <mergeCell ref="N12156:N12160"/>
    <mergeCell ref="A12168:A12174"/>
    <mergeCell ref="B12168:B12174"/>
    <mergeCell ref="C12168:C12174"/>
    <mergeCell ref="D12168:D12174"/>
    <mergeCell ref="E12168:E12174"/>
    <mergeCell ref="F12168:F12174"/>
    <mergeCell ref="G12168:G12174"/>
    <mergeCell ref="H12168:H12174"/>
    <mergeCell ref="I12168:I12174"/>
    <mergeCell ref="J12168:J12174"/>
    <mergeCell ref="K12168:K12174"/>
    <mergeCell ref="L12168:L12174"/>
    <mergeCell ref="M12168:M12174"/>
    <mergeCell ref="N12168:N12174"/>
    <mergeCell ref="A12175:A12181"/>
    <mergeCell ref="B12175:B12181"/>
    <mergeCell ref="C12175:C12181"/>
    <mergeCell ref="D12175:D12181"/>
    <mergeCell ref="E12175:E12181"/>
    <mergeCell ref="F12175:F12181"/>
    <mergeCell ref="G12175:G12181"/>
    <mergeCell ref="H12175:H12181"/>
    <mergeCell ref="I12175:I12181"/>
    <mergeCell ref="J12175:J12181"/>
    <mergeCell ref="K12175:K12181"/>
    <mergeCell ref="L12175:L12181"/>
    <mergeCell ref="M12175:M12181"/>
    <mergeCell ref="N12175:N12181"/>
    <mergeCell ref="A12182:A12183"/>
    <mergeCell ref="B12182:B12183"/>
    <mergeCell ref="C12182:C12183"/>
    <mergeCell ref="D12182:D12183"/>
    <mergeCell ref="E12182:E12183"/>
    <mergeCell ref="F12182:F12183"/>
    <mergeCell ref="G12182:G12183"/>
    <mergeCell ref="H12182:H12183"/>
    <mergeCell ref="I12182:I12183"/>
    <mergeCell ref="J12182:J12183"/>
    <mergeCell ref="K12182:K12183"/>
    <mergeCell ref="L12182:L12183"/>
    <mergeCell ref="M12182:M12183"/>
    <mergeCell ref="N12182:N12183"/>
    <mergeCell ref="A12184:A12185"/>
    <mergeCell ref="B12184:B12185"/>
    <mergeCell ref="C12184:C12185"/>
    <mergeCell ref="D12184:D12185"/>
    <mergeCell ref="E12184:E12185"/>
    <mergeCell ref="F12184:F12185"/>
    <mergeCell ref="G12184:G12185"/>
    <mergeCell ref="H12184:H12185"/>
    <mergeCell ref="I12184:I12185"/>
    <mergeCell ref="J12184:J12185"/>
    <mergeCell ref="K12184:K12185"/>
    <mergeCell ref="L12184:L12185"/>
    <mergeCell ref="M12184:M12185"/>
    <mergeCell ref="N12184:N12185"/>
    <mergeCell ref="A12186:A12187"/>
    <mergeCell ref="B12186:B12187"/>
    <mergeCell ref="C12186:C12187"/>
    <mergeCell ref="D12186:D12187"/>
    <mergeCell ref="E12186:E12187"/>
    <mergeCell ref="F12186:F12187"/>
    <mergeCell ref="G12186:G12187"/>
    <mergeCell ref="H12186:H12187"/>
    <mergeCell ref="I12186:I12187"/>
    <mergeCell ref="J12186:J12187"/>
    <mergeCell ref="K12186:K12187"/>
    <mergeCell ref="L12186:L12187"/>
    <mergeCell ref="M12186:M12187"/>
    <mergeCell ref="N12186:N12187"/>
    <mergeCell ref="A12190:A12192"/>
    <mergeCell ref="B12190:B12192"/>
    <mergeCell ref="C12190:C12192"/>
    <mergeCell ref="D12190:D12192"/>
    <mergeCell ref="E12190:E12192"/>
    <mergeCell ref="F12190:F12192"/>
    <mergeCell ref="G12190:G12192"/>
    <mergeCell ref="H12190:H12192"/>
    <mergeCell ref="I12190:I12192"/>
    <mergeCell ref="J12190:J12192"/>
    <mergeCell ref="K12190:K12192"/>
    <mergeCell ref="L12190:L12192"/>
    <mergeCell ref="M12190:M12192"/>
    <mergeCell ref="N12190:N12192"/>
    <mergeCell ref="A12194:A12200"/>
    <mergeCell ref="B12194:B12200"/>
    <mergeCell ref="C12194:C12200"/>
    <mergeCell ref="D12194:D12200"/>
    <mergeCell ref="E12194:E12200"/>
    <mergeCell ref="F12194:F12200"/>
    <mergeCell ref="G12194:G12200"/>
    <mergeCell ref="H12194:H12200"/>
    <mergeCell ref="I12194:I12200"/>
    <mergeCell ref="J12194:J12200"/>
    <mergeCell ref="K12194:K12200"/>
    <mergeCell ref="L12194:L12200"/>
    <mergeCell ref="M12194:M12200"/>
    <mergeCell ref="N12194:N12200"/>
    <mergeCell ref="A12205:A12207"/>
    <mergeCell ref="B12205:B12207"/>
    <mergeCell ref="C12205:C12207"/>
    <mergeCell ref="D12205:D12207"/>
    <mergeCell ref="E12205:E12207"/>
    <mergeCell ref="F12205:F12207"/>
    <mergeCell ref="G12205:G12207"/>
    <mergeCell ref="H12205:H12207"/>
    <mergeCell ref="I12205:I12207"/>
    <mergeCell ref="J12205:J12207"/>
    <mergeCell ref="K12205:K12207"/>
    <mergeCell ref="L12205:L12207"/>
    <mergeCell ref="M12205:M12207"/>
    <mergeCell ref="N12205:N12207"/>
    <mergeCell ref="A12208:A12210"/>
    <mergeCell ref="B12208:B12210"/>
    <mergeCell ref="C12208:C12210"/>
    <mergeCell ref="D12208:D12210"/>
    <mergeCell ref="E12208:E12210"/>
    <mergeCell ref="F12208:F12210"/>
    <mergeCell ref="G12208:G12210"/>
    <mergeCell ref="H12208:H12210"/>
    <mergeCell ref="I12208:I12210"/>
    <mergeCell ref="J12208:J12210"/>
    <mergeCell ref="K12208:K12210"/>
    <mergeCell ref="L12208:L12210"/>
    <mergeCell ref="M12208:M12210"/>
    <mergeCell ref="N12208:N12210"/>
    <mergeCell ref="A12213:A12218"/>
    <mergeCell ref="B12213:B12218"/>
    <mergeCell ref="C12213:C12218"/>
    <mergeCell ref="D12213:D12218"/>
    <mergeCell ref="E12213:E12218"/>
    <mergeCell ref="F12213:F12218"/>
    <mergeCell ref="G12213:G12218"/>
    <mergeCell ref="H12213:H12218"/>
    <mergeCell ref="I12213:I12218"/>
    <mergeCell ref="J12213:J12218"/>
    <mergeCell ref="K12213:K12218"/>
    <mergeCell ref="L12213:L12218"/>
    <mergeCell ref="M12213:M12218"/>
    <mergeCell ref="N12213:N12218"/>
    <mergeCell ref="A12219:A12221"/>
    <mergeCell ref="B12219:B12221"/>
    <mergeCell ref="C12219:C12221"/>
    <mergeCell ref="D12219:D12221"/>
    <mergeCell ref="E12219:E12221"/>
    <mergeCell ref="F12219:F12221"/>
    <mergeCell ref="G12219:G12221"/>
    <mergeCell ref="H12219:H12221"/>
    <mergeCell ref="I12219:I12221"/>
    <mergeCell ref="J12219:J12221"/>
    <mergeCell ref="K12219:K12221"/>
    <mergeCell ref="L12219:L12221"/>
    <mergeCell ref="M12219:M12221"/>
    <mergeCell ref="N12219:N12221"/>
    <mergeCell ref="A12223:A12224"/>
    <mergeCell ref="B12223:B12224"/>
    <mergeCell ref="C12223:C12224"/>
    <mergeCell ref="D12223:D12224"/>
    <mergeCell ref="E12223:E12224"/>
    <mergeCell ref="F12223:F12224"/>
    <mergeCell ref="G12223:G12224"/>
    <mergeCell ref="H12223:H12224"/>
    <mergeCell ref="I12223:I12224"/>
    <mergeCell ref="J12223:J12224"/>
    <mergeCell ref="K12223:K12224"/>
    <mergeCell ref="L12223:L12224"/>
    <mergeCell ref="M12223:M12224"/>
    <mergeCell ref="N12223:N12224"/>
    <mergeCell ref="A12227:A12228"/>
    <mergeCell ref="B12227:B12228"/>
    <mergeCell ref="C12227:C12228"/>
    <mergeCell ref="D12227:D12228"/>
    <mergeCell ref="E12227:E12228"/>
    <mergeCell ref="F12227:F12228"/>
    <mergeCell ref="G12227:G12228"/>
    <mergeCell ref="H12227:H12228"/>
    <mergeCell ref="I12227:I12228"/>
    <mergeCell ref="J12227:J12228"/>
    <mergeCell ref="K12227:K12228"/>
    <mergeCell ref="L12227:L12228"/>
    <mergeCell ref="M12227:M12228"/>
    <mergeCell ref="N12227:N12228"/>
    <mergeCell ref="A12229:A12231"/>
    <mergeCell ref="B12229:B12231"/>
    <mergeCell ref="C12229:C12231"/>
    <mergeCell ref="D12229:D12231"/>
    <mergeCell ref="E12229:E12231"/>
    <mergeCell ref="F12229:F12231"/>
    <mergeCell ref="G12229:G12231"/>
    <mergeCell ref="H12229:H12231"/>
    <mergeCell ref="I12229:I12231"/>
    <mergeCell ref="J12229:J12231"/>
    <mergeCell ref="K12229:K12231"/>
    <mergeCell ref="L12229:L12231"/>
    <mergeCell ref="M12229:M12231"/>
    <mergeCell ref="N12229:N12231"/>
    <mergeCell ref="A12233:A12234"/>
    <mergeCell ref="B12233:B12234"/>
    <mergeCell ref="C12233:C12234"/>
    <mergeCell ref="D12233:D12234"/>
    <mergeCell ref="E12233:E12234"/>
    <mergeCell ref="F12233:F12234"/>
    <mergeCell ref="G12233:G12234"/>
    <mergeCell ref="H12233:H12234"/>
    <mergeCell ref="I12233:I12234"/>
    <mergeCell ref="J12233:J12234"/>
    <mergeCell ref="K12233:K12234"/>
    <mergeCell ref="L12233:L12234"/>
    <mergeCell ref="M12233:M12234"/>
    <mergeCell ref="N12233:N12234"/>
    <mergeCell ref="A12236:A12237"/>
    <mergeCell ref="B12236:B12237"/>
    <mergeCell ref="C12236:C12237"/>
    <mergeCell ref="D12236:D12237"/>
    <mergeCell ref="E12236:E12237"/>
    <mergeCell ref="F12236:F12237"/>
    <mergeCell ref="G12236:G12237"/>
    <mergeCell ref="H12236:H12237"/>
    <mergeCell ref="I12236:I12237"/>
    <mergeCell ref="J12236:J12237"/>
    <mergeCell ref="K12236:K12237"/>
    <mergeCell ref="L12236:L12237"/>
    <mergeCell ref="M12236:M12237"/>
    <mergeCell ref="N12236:N12237"/>
    <mergeCell ref="A12238:A12239"/>
    <mergeCell ref="B12238:B12239"/>
    <mergeCell ref="C12238:C12239"/>
    <mergeCell ref="D12238:D12239"/>
    <mergeCell ref="E12238:E12239"/>
    <mergeCell ref="F12238:F12239"/>
    <mergeCell ref="G12238:G12239"/>
    <mergeCell ref="H12238:H12239"/>
    <mergeCell ref="I12238:I12239"/>
    <mergeCell ref="J12238:J12239"/>
    <mergeCell ref="K12238:K12239"/>
    <mergeCell ref="L12238:L12239"/>
    <mergeCell ref="M12238:M12239"/>
    <mergeCell ref="N12238:N12239"/>
    <mergeCell ref="A12242:A12243"/>
    <mergeCell ref="B12242:B12243"/>
    <mergeCell ref="C12242:C12243"/>
    <mergeCell ref="D12242:D12243"/>
    <mergeCell ref="E12242:E12243"/>
    <mergeCell ref="F12242:F12243"/>
    <mergeCell ref="G12242:G12243"/>
    <mergeCell ref="H12242:H12243"/>
    <mergeCell ref="I12242:I12243"/>
    <mergeCell ref="J12242:J12243"/>
    <mergeCell ref="K12242:K12243"/>
    <mergeCell ref="L12242:L12243"/>
    <mergeCell ref="M12242:M12243"/>
    <mergeCell ref="N12242:N12243"/>
    <mergeCell ref="A12248:A12252"/>
    <mergeCell ref="B12248:B12252"/>
    <mergeCell ref="C12248:C12252"/>
    <mergeCell ref="D12248:D12252"/>
    <mergeCell ref="E12248:E12252"/>
    <mergeCell ref="F12248:F12252"/>
    <mergeCell ref="G12248:G12252"/>
    <mergeCell ref="H12248:H12252"/>
    <mergeCell ref="I12248:I12252"/>
    <mergeCell ref="J12248:J12252"/>
    <mergeCell ref="K12248:K12252"/>
    <mergeCell ref="L12248:L12252"/>
    <mergeCell ref="M12248:M12252"/>
    <mergeCell ref="N12248:N12252"/>
    <mergeCell ref="A12253:A12255"/>
    <mergeCell ref="B12253:B12255"/>
    <mergeCell ref="C12253:C12255"/>
    <mergeCell ref="D12253:D12255"/>
    <mergeCell ref="E12253:E12255"/>
    <mergeCell ref="F12253:F12255"/>
    <mergeCell ref="G12253:G12255"/>
    <mergeCell ref="H12253:H12255"/>
    <mergeCell ref="I12253:I12255"/>
    <mergeCell ref="J12253:J12255"/>
    <mergeCell ref="K12253:K12255"/>
    <mergeCell ref="L12253:L12255"/>
    <mergeCell ref="M12253:M12255"/>
    <mergeCell ref="N12253:N12255"/>
    <mergeCell ref="A12256:A12260"/>
    <mergeCell ref="B12256:B12260"/>
    <mergeCell ref="C12256:C12260"/>
    <mergeCell ref="D12256:D12260"/>
    <mergeCell ref="E12256:E12260"/>
    <mergeCell ref="F12256:F12260"/>
    <mergeCell ref="G12256:G12260"/>
    <mergeCell ref="H12256:H12260"/>
    <mergeCell ref="I12256:I12260"/>
    <mergeCell ref="J12256:J12260"/>
    <mergeCell ref="K12256:K12260"/>
    <mergeCell ref="L12256:L12260"/>
    <mergeCell ref="M12256:M12260"/>
    <mergeCell ref="N12256:N12260"/>
    <mergeCell ref="A12261:A12262"/>
    <mergeCell ref="B12261:B12262"/>
    <mergeCell ref="C12261:C12262"/>
    <mergeCell ref="D12261:D12262"/>
    <mergeCell ref="E12261:E12262"/>
    <mergeCell ref="F12261:F12262"/>
    <mergeCell ref="G12261:G12262"/>
    <mergeCell ref="H12261:H12262"/>
    <mergeCell ref="I12261:I12262"/>
    <mergeCell ref="J12261:J12262"/>
    <mergeCell ref="K12261:K12262"/>
    <mergeCell ref="L12261:L12262"/>
    <mergeCell ref="M12261:M12262"/>
    <mergeCell ref="N12261:N12262"/>
    <mergeCell ref="A12264:A12274"/>
    <mergeCell ref="B12264:B12274"/>
    <mergeCell ref="C12264:C12274"/>
    <mergeCell ref="D12264:D12274"/>
    <mergeCell ref="E12264:E12274"/>
    <mergeCell ref="F12264:F12274"/>
    <mergeCell ref="G12264:G12274"/>
    <mergeCell ref="H12264:H12274"/>
    <mergeCell ref="I12264:I12274"/>
    <mergeCell ref="J12264:J12274"/>
    <mergeCell ref="K12264:K12274"/>
    <mergeCell ref="L12264:L12274"/>
    <mergeCell ref="M12264:M12274"/>
    <mergeCell ref="N12264:N12274"/>
    <mergeCell ref="A12276:A12277"/>
    <mergeCell ref="B12276:B12277"/>
    <mergeCell ref="C12276:C12277"/>
    <mergeCell ref="D12276:D12277"/>
    <mergeCell ref="E12276:E12277"/>
    <mergeCell ref="F12276:F12277"/>
    <mergeCell ref="G12276:G12277"/>
    <mergeCell ref="H12276:H12277"/>
    <mergeCell ref="I12276:I12277"/>
    <mergeCell ref="J12276:J12277"/>
    <mergeCell ref="K12276:K12277"/>
    <mergeCell ref="L12276:L12277"/>
    <mergeCell ref="M12276:M12277"/>
    <mergeCell ref="N12276:N12277"/>
    <mergeCell ref="A12278:A12279"/>
    <mergeCell ref="B12278:B12279"/>
    <mergeCell ref="C12278:C12279"/>
    <mergeCell ref="D12278:D12279"/>
    <mergeCell ref="E12278:E12279"/>
    <mergeCell ref="F12278:F12279"/>
    <mergeCell ref="G12278:G12279"/>
    <mergeCell ref="H12278:H12279"/>
    <mergeCell ref="I12278:I12279"/>
    <mergeCell ref="J12278:J12279"/>
    <mergeCell ref="K12278:K12279"/>
    <mergeCell ref="L12278:L12279"/>
    <mergeCell ref="M12278:M12279"/>
    <mergeCell ref="N12278:N12279"/>
    <mergeCell ref="A12280:A12283"/>
    <mergeCell ref="B12280:B12283"/>
    <mergeCell ref="C12280:C12283"/>
    <mergeCell ref="D12280:D12283"/>
    <mergeCell ref="E12280:E12283"/>
    <mergeCell ref="F12280:F12283"/>
    <mergeCell ref="G12280:G12283"/>
    <mergeCell ref="H12280:H12283"/>
    <mergeCell ref="I12280:I12283"/>
    <mergeCell ref="J12280:J12283"/>
    <mergeCell ref="K12280:K12283"/>
    <mergeCell ref="L12280:L12283"/>
    <mergeCell ref="M12280:M12283"/>
    <mergeCell ref="N12280:N12283"/>
    <mergeCell ref="A12286:A12288"/>
    <mergeCell ref="B12286:B12288"/>
    <mergeCell ref="C12286:C12288"/>
    <mergeCell ref="D12286:D12288"/>
    <mergeCell ref="E12286:E12288"/>
    <mergeCell ref="F12286:F12288"/>
    <mergeCell ref="G12286:G12288"/>
    <mergeCell ref="H12286:H12288"/>
    <mergeCell ref="I12286:I12288"/>
    <mergeCell ref="J12286:J12288"/>
    <mergeCell ref="K12286:K12288"/>
    <mergeCell ref="L12286:L12288"/>
    <mergeCell ref="M12286:M12288"/>
    <mergeCell ref="N12286:N12288"/>
    <mergeCell ref="A12291:A12292"/>
    <mergeCell ref="B12291:B12292"/>
    <mergeCell ref="C12291:C12292"/>
    <mergeCell ref="D12291:D12292"/>
    <mergeCell ref="E12291:E12292"/>
    <mergeCell ref="F12291:F12292"/>
    <mergeCell ref="G12291:G12292"/>
    <mergeCell ref="H12291:H12292"/>
    <mergeCell ref="I12291:I12292"/>
    <mergeCell ref="J12291:J12292"/>
    <mergeCell ref="K12291:K12292"/>
    <mergeCell ref="L12291:L12292"/>
    <mergeCell ref="M12291:M12292"/>
    <mergeCell ref="N12291:N12292"/>
    <mergeCell ref="A12293:A12296"/>
    <mergeCell ref="B12293:B12296"/>
    <mergeCell ref="C12293:C12296"/>
    <mergeCell ref="D12293:D12296"/>
    <mergeCell ref="E12293:E12296"/>
    <mergeCell ref="F12293:F12296"/>
    <mergeCell ref="G12293:G12296"/>
    <mergeCell ref="H12293:H12296"/>
    <mergeCell ref="I12293:I12296"/>
    <mergeCell ref="J12293:J12296"/>
    <mergeCell ref="K12293:K12296"/>
    <mergeCell ref="L12293:L12296"/>
    <mergeCell ref="M12293:M12296"/>
    <mergeCell ref="N12293:N12296"/>
    <mergeCell ref="A12297:A12298"/>
    <mergeCell ref="B12297:B12298"/>
    <mergeCell ref="C12297:C12298"/>
    <mergeCell ref="D12297:D12298"/>
    <mergeCell ref="E12297:E12298"/>
    <mergeCell ref="F12297:F12298"/>
    <mergeCell ref="G12297:G12298"/>
    <mergeCell ref="H12297:H12298"/>
    <mergeCell ref="I12297:I12298"/>
    <mergeCell ref="J12297:J12298"/>
    <mergeCell ref="K12297:K12298"/>
    <mergeCell ref="L12297:L12298"/>
    <mergeCell ref="M12297:M12298"/>
    <mergeCell ref="N12297:N12298"/>
    <mergeCell ref="A12303:A12304"/>
    <mergeCell ref="B12303:B12304"/>
    <mergeCell ref="C12303:C12304"/>
    <mergeCell ref="D12303:D12304"/>
    <mergeCell ref="E12303:E12304"/>
    <mergeCell ref="F12303:F12304"/>
    <mergeCell ref="G12303:G12304"/>
    <mergeCell ref="H12303:H12304"/>
    <mergeCell ref="I12303:I12304"/>
    <mergeCell ref="J12303:J12304"/>
    <mergeCell ref="K12303:K12304"/>
    <mergeCell ref="L12303:L12304"/>
    <mergeCell ref="M12303:M12304"/>
    <mergeCell ref="N12303:N12304"/>
    <mergeCell ref="A12315:A12316"/>
    <mergeCell ref="B12315:B12316"/>
    <mergeCell ref="C12315:C12316"/>
    <mergeCell ref="D12315:D12316"/>
    <mergeCell ref="E12315:E12316"/>
    <mergeCell ref="F12315:F12316"/>
    <mergeCell ref="G12315:G12316"/>
    <mergeCell ref="H12315:H12316"/>
    <mergeCell ref="I12315:I12316"/>
    <mergeCell ref="J12315:J12316"/>
    <mergeCell ref="K12315:K12316"/>
    <mergeCell ref="L12315:L12316"/>
    <mergeCell ref="M12315:M12316"/>
    <mergeCell ref="N12315:N12316"/>
    <mergeCell ref="A12318:A12326"/>
    <mergeCell ref="B12318:B12326"/>
    <mergeCell ref="C12318:C12326"/>
    <mergeCell ref="D12318:D12326"/>
    <mergeCell ref="E12318:E12326"/>
    <mergeCell ref="F12318:F12326"/>
    <mergeCell ref="G12318:G12326"/>
    <mergeCell ref="H12318:H12326"/>
    <mergeCell ref="I12318:I12326"/>
    <mergeCell ref="J12318:J12326"/>
    <mergeCell ref="K12318:K12326"/>
    <mergeCell ref="L12318:L12326"/>
    <mergeCell ref="M12318:M12326"/>
    <mergeCell ref="N12318:N12326"/>
    <mergeCell ref="A12330:A12331"/>
    <mergeCell ref="B12330:B12331"/>
    <mergeCell ref="C12330:C12331"/>
    <mergeCell ref="D12330:D12331"/>
    <mergeCell ref="E12330:E12331"/>
    <mergeCell ref="F12330:F12331"/>
    <mergeCell ref="G12330:G12331"/>
    <mergeCell ref="H12330:H12331"/>
    <mergeCell ref="I12330:I12331"/>
    <mergeCell ref="J12330:J12331"/>
    <mergeCell ref="K12330:K12331"/>
    <mergeCell ref="L12330:L12331"/>
    <mergeCell ref="M12330:M12331"/>
    <mergeCell ref="N12330:N12331"/>
    <mergeCell ref="A12332:A12333"/>
    <mergeCell ref="B12332:B12333"/>
    <mergeCell ref="C12332:C12333"/>
    <mergeCell ref="D12332:D12333"/>
    <mergeCell ref="E12332:E12333"/>
    <mergeCell ref="F12332:F12333"/>
    <mergeCell ref="G12332:G12333"/>
    <mergeCell ref="H12332:H12333"/>
    <mergeCell ref="I12332:I12333"/>
    <mergeCell ref="J12332:J12333"/>
    <mergeCell ref="K12332:K12333"/>
    <mergeCell ref="L12332:L12333"/>
    <mergeCell ref="M12332:M12333"/>
    <mergeCell ref="N12332:N12333"/>
    <mergeCell ref="A12335:A12336"/>
    <mergeCell ref="B12335:B12336"/>
    <mergeCell ref="C12335:C12336"/>
    <mergeCell ref="D12335:D12336"/>
    <mergeCell ref="E12335:E12336"/>
    <mergeCell ref="F12335:F12336"/>
    <mergeCell ref="G12335:G12336"/>
    <mergeCell ref="H12335:H12336"/>
    <mergeCell ref="I12335:I12336"/>
    <mergeCell ref="J12335:J12336"/>
    <mergeCell ref="K12335:K12336"/>
    <mergeCell ref="L12335:L12336"/>
    <mergeCell ref="M12335:M12336"/>
    <mergeCell ref="N12335:N12336"/>
    <mergeCell ref="A12339:A12340"/>
    <mergeCell ref="B12339:B12340"/>
    <mergeCell ref="C12339:C12340"/>
    <mergeCell ref="D12339:D12340"/>
    <mergeCell ref="E12339:E12340"/>
    <mergeCell ref="F12339:F12340"/>
    <mergeCell ref="G12339:G12340"/>
    <mergeCell ref="H12339:H12340"/>
    <mergeCell ref="I12339:I12340"/>
    <mergeCell ref="J12339:J12340"/>
    <mergeCell ref="K12339:K12340"/>
    <mergeCell ref="L12339:L12340"/>
    <mergeCell ref="M12339:M12340"/>
    <mergeCell ref="N12339:N12340"/>
    <mergeCell ref="A12341:A12343"/>
    <mergeCell ref="B12341:B12343"/>
    <mergeCell ref="C12341:C12343"/>
    <mergeCell ref="D12341:D12343"/>
    <mergeCell ref="E12341:E12343"/>
    <mergeCell ref="F12341:F12343"/>
    <mergeCell ref="G12341:G12343"/>
    <mergeCell ref="H12341:H12343"/>
    <mergeCell ref="I12341:I12343"/>
    <mergeCell ref="J12341:J12343"/>
    <mergeCell ref="K12341:K12343"/>
    <mergeCell ref="L12341:L12343"/>
    <mergeCell ref="M12341:M12343"/>
    <mergeCell ref="N12341:N12343"/>
    <mergeCell ref="A12345:A12347"/>
    <mergeCell ref="B12345:B12347"/>
    <mergeCell ref="C12345:C12347"/>
    <mergeCell ref="D12345:D12347"/>
    <mergeCell ref="E12345:E12347"/>
    <mergeCell ref="F12345:F12347"/>
    <mergeCell ref="G12345:G12347"/>
    <mergeCell ref="H12345:H12347"/>
    <mergeCell ref="I12345:I12347"/>
    <mergeCell ref="J12345:J12347"/>
    <mergeCell ref="K12345:K12347"/>
    <mergeCell ref="L12345:L12347"/>
    <mergeCell ref="M12345:M12347"/>
    <mergeCell ref="N12345:N12347"/>
    <mergeCell ref="A12349:A12360"/>
    <mergeCell ref="B12349:B12360"/>
    <mergeCell ref="C12349:C12360"/>
    <mergeCell ref="D12349:D12360"/>
    <mergeCell ref="E12349:E12360"/>
    <mergeCell ref="F12349:F12360"/>
    <mergeCell ref="G12349:G12360"/>
    <mergeCell ref="H12349:H12360"/>
    <mergeCell ref="I12349:I12360"/>
    <mergeCell ref="J12349:J12360"/>
    <mergeCell ref="K12349:K12360"/>
    <mergeCell ref="L12349:L12360"/>
    <mergeCell ref="M12349:M12360"/>
    <mergeCell ref="N12349:N12360"/>
    <mergeCell ref="A12363:A12367"/>
    <mergeCell ref="B12363:B12367"/>
    <mergeCell ref="C12363:C12367"/>
    <mergeCell ref="D12363:D12367"/>
    <mergeCell ref="E12363:E12367"/>
    <mergeCell ref="F12363:F12367"/>
    <mergeCell ref="G12363:G12367"/>
    <mergeCell ref="H12363:H12367"/>
    <mergeCell ref="I12363:I12367"/>
    <mergeCell ref="J12363:J12367"/>
    <mergeCell ref="K12363:K12367"/>
    <mergeCell ref="L12363:L12367"/>
    <mergeCell ref="M12363:M12367"/>
    <mergeCell ref="N12363:N12367"/>
    <mergeCell ref="A12368:A12373"/>
    <mergeCell ref="B12368:B12373"/>
    <mergeCell ref="C12368:C12373"/>
    <mergeCell ref="D12368:D12373"/>
    <mergeCell ref="E12368:E12373"/>
    <mergeCell ref="F12368:F12373"/>
    <mergeCell ref="G12368:G12373"/>
    <mergeCell ref="H12368:H12373"/>
    <mergeCell ref="I12368:I12373"/>
    <mergeCell ref="J12368:J12373"/>
    <mergeCell ref="K12368:K12373"/>
    <mergeCell ref="L12368:L12373"/>
    <mergeCell ref="M12368:M12373"/>
    <mergeCell ref="N12368:N12373"/>
    <mergeCell ref="A12374:A12378"/>
    <mergeCell ref="B12374:B12378"/>
    <mergeCell ref="C12374:C12378"/>
    <mergeCell ref="D12374:D12378"/>
    <mergeCell ref="E12374:E12378"/>
    <mergeCell ref="F12374:F12378"/>
    <mergeCell ref="G12374:G12378"/>
    <mergeCell ref="H12374:H12378"/>
    <mergeCell ref="I12374:I12378"/>
    <mergeCell ref="J12374:J12378"/>
    <mergeCell ref="K12374:K12378"/>
    <mergeCell ref="L12374:L12378"/>
    <mergeCell ref="M12374:M12378"/>
    <mergeCell ref="N12374:N12378"/>
    <mergeCell ref="A12379:A12385"/>
    <mergeCell ref="B12379:B12385"/>
    <mergeCell ref="C12379:C12385"/>
    <mergeCell ref="D12379:D12385"/>
    <mergeCell ref="E12379:E12385"/>
    <mergeCell ref="F12379:F12385"/>
    <mergeCell ref="G12379:G12385"/>
    <mergeCell ref="H12379:H12385"/>
    <mergeCell ref="I12379:I12385"/>
    <mergeCell ref="J12379:J12385"/>
    <mergeCell ref="K12379:K12385"/>
    <mergeCell ref="L12379:L12385"/>
    <mergeCell ref="M12379:M12385"/>
    <mergeCell ref="N12379:N12385"/>
    <mergeCell ref="A12386:A12390"/>
    <mergeCell ref="B12386:B12390"/>
    <mergeCell ref="C12386:C12390"/>
    <mergeCell ref="D12386:D12390"/>
    <mergeCell ref="E12386:E12390"/>
    <mergeCell ref="F12386:F12390"/>
    <mergeCell ref="G12386:G12390"/>
    <mergeCell ref="H12386:H12390"/>
    <mergeCell ref="I12386:I12390"/>
    <mergeCell ref="J12386:J12390"/>
    <mergeCell ref="K12386:K12390"/>
    <mergeCell ref="L12386:L12390"/>
    <mergeCell ref="M12386:M12390"/>
    <mergeCell ref="N12386:N12390"/>
    <mergeCell ref="A12392:A12394"/>
    <mergeCell ref="B12392:B12394"/>
    <mergeCell ref="C12392:C12394"/>
    <mergeCell ref="D12392:D12394"/>
    <mergeCell ref="E12392:E12394"/>
    <mergeCell ref="F12392:F12394"/>
    <mergeCell ref="G12392:G12394"/>
    <mergeCell ref="H12392:H12394"/>
    <mergeCell ref="I12392:I12394"/>
    <mergeCell ref="J12392:J12394"/>
    <mergeCell ref="K12392:K12394"/>
    <mergeCell ref="L12392:L12394"/>
    <mergeCell ref="M12392:M12394"/>
    <mergeCell ref="N12392:N12394"/>
    <mergeCell ref="A12395:A12396"/>
    <mergeCell ref="B12395:B12396"/>
    <mergeCell ref="C12395:C12396"/>
    <mergeCell ref="D12395:D12396"/>
    <mergeCell ref="E12395:E12396"/>
    <mergeCell ref="F12395:F12396"/>
    <mergeCell ref="G12395:G12396"/>
    <mergeCell ref="H12395:H12396"/>
    <mergeCell ref="I12395:I12396"/>
    <mergeCell ref="J12395:J12396"/>
    <mergeCell ref="K12395:K12396"/>
    <mergeCell ref="L12395:L12396"/>
    <mergeCell ref="M12395:M12396"/>
    <mergeCell ref="N12395:N12396"/>
    <mergeCell ref="A12397:A12399"/>
    <mergeCell ref="B12397:B12399"/>
    <mergeCell ref="C12397:C12399"/>
    <mergeCell ref="D12397:D12399"/>
    <mergeCell ref="E12397:E12399"/>
    <mergeCell ref="F12397:F12399"/>
    <mergeCell ref="G12397:G12399"/>
    <mergeCell ref="H12397:H12399"/>
    <mergeCell ref="I12397:I12399"/>
    <mergeCell ref="J12397:J12399"/>
    <mergeCell ref="K12397:K12399"/>
    <mergeCell ref="L12397:L12399"/>
    <mergeCell ref="M12397:M12399"/>
    <mergeCell ref="N12397:N12399"/>
    <mergeCell ref="A12400:A12404"/>
    <mergeCell ref="B12400:B12404"/>
    <mergeCell ref="C12400:C12404"/>
    <mergeCell ref="D12400:D12404"/>
    <mergeCell ref="E12400:E12404"/>
    <mergeCell ref="F12400:F12404"/>
    <mergeCell ref="G12400:G12404"/>
    <mergeCell ref="H12400:H12404"/>
    <mergeCell ref="I12400:I12404"/>
    <mergeCell ref="J12400:J12404"/>
    <mergeCell ref="K12400:K12404"/>
    <mergeCell ref="L12400:L12404"/>
    <mergeCell ref="M12400:M12404"/>
    <mergeCell ref="N12400:N12404"/>
    <mergeCell ref="A12405:A12412"/>
    <mergeCell ref="B12405:B12412"/>
    <mergeCell ref="C12405:C12412"/>
    <mergeCell ref="D12405:D12412"/>
    <mergeCell ref="E12405:E12412"/>
    <mergeCell ref="F12405:F12412"/>
    <mergeCell ref="G12405:G12412"/>
    <mergeCell ref="H12405:H12412"/>
    <mergeCell ref="I12405:I12412"/>
    <mergeCell ref="J12405:J12412"/>
    <mergeCell ref="K12405:K12412"/>
    <mergeCell ref="L12405:L12412"/>
    <mergeCell ref="M12405:M12412"/>
    <mergeCell ref="N12405:N12412"/>
    <mergeCell ref="A12413:A12417"/>
    <mergeCell ref="B12413:B12417"/>
    <mergeCell ref="C12413:C12417"/>
    <mergeCell ref="D12413:D12417"/>
    <mergeCell ref="E12413:E12417"/>
    <mergeCell ref="F12413:F12417"/>
    <mergeCell ref="G12413:G12417"/>
    <mergeCell ref="H12413:H12417"/>
    <mergeCell ref="I12413:I12417"/>
    <mergeCell ref="J12413:J12417"/>
    <mergeCell ref="K12413:K12417"/>
    <mergeCell ref="L12413:L12417"/>
    <mergeCell ref="M12413:M12417"/>
    <mergeCell ref="N12413:N12417"/>
    <mergeCell ref="A12418:A12423"/>
    <mergeCell ref="B12418:B12423"/>
    <mergeCell ref="C12418:C12423"/>
    <mergeCell ref="D12418:D12423"/>
    <mergeCell ref="E12418:E12423"/>
    <mergeCell ref="F12418:F12423"/>
    <mergeCell ref="G12418:G12423"/>
    <mergeCell ref="H12418:H12423"/>
    <mergeCell ref="I12418:I12423"/>
    <mergeCell ref="J12418:J12423"/>
    <mergeCell ref="K12418:K12423"/>
    <mergeCell ref="L12418:L12423"/>
    <mergeCell ref="M12418:M12423"/>
    <mergeCell ref="N12418:N12423"/>
    <mergeCell ref="A12425:A12428"/>
    <mergeCell ref="B12425:B12428"/>
    <mergeCell ref="C12425:C12428"/>
    <mergeCell ref="D12425:D12428"/>
    <mergeCell ref="E12425:E12428"/>
    <mergeCell ref="F12425:F12428"/>
    <mergeCell ref="G12425:G12428"/>
    <mergeCell ref="H12425:H12428"/>
    <mergeCell ref="I12425:I12428"/>
    <mergeCell ref="J12425:J12428"/>
    <mergeCell ref="K12425:K12428"/>
    <mergeCell ref="L12425:L12428"/>
    <mergeCell ref="M12425:M12428"/>
    <mergeCell ref="N12425:N12428"/>
    <mergeCell ref="A12429:A12432"/>
    <mergeCell ref="B12429:B12432"/>
    <mergeCell ref="C12429:C12432"/>
    <mergeCell ref="D12429:D12432"/>
    <mergeCell ref="E12429:E12432"/>
    <mergeCell ref="F12429:F12432"/>
    <mergeCell ref="G12429:G12432"/>
    <mergeCell ref="H12429:H12432"/>
    <mergeCell ref="I12429:I12432"/>
    <mergeCell ref="J12429:J12432"/>
    <mergeCell ref="K12429:K12432"/>
    <mergeCell ref="L12429:L12432"/>
    <mergeCell ref="M12429:M12432"/>
    <mergeCell ref="N12429:N12432"/>
    <mergeCell ref="A12433:A12438"/>
    <mergeCell ref="B12433:B12438"/>
    <mergeCell ref="C12433:C12438"/>
    <mergeCell ref="D12433:D12438"/>
    <mergeCell ref="E12433:E12438"/>
    <mergeCell ref="F12433:F12438"/>
    <mergeCell ref="G12433:G12438"/>
    <mergeCell ref="H12433:H12438"/>
    <mergeCell ref="I12433:I12438"/>
    <mergeCell ref="J12433:J12438"/>
    <mergeCell ref="K12433:K12438"/>
    <mergeCell ref="L12433:L12438"/>
    <mergeCell ref="M12433:M12438"/>
    <mergeCell ref="N12433:N12438"/>
    <mergeCell ref="A12439:A12440"/>
    <mergeCell ref="B12439:B12440"/>
    <mergeCell ref="C12439:C12440"/>
    <mergeCell ref="D12439:D12440"/>
    <mergeCell ref="E12439:E12440"/>
    <mergeCell ref="F12439:F12440"/>
    <mergeCell ref="G12439:G12440"/>
    <mergeCell ref="H12439:H12440"/>
    <mergeCell ref="I12439:I12440"/>
    <mergeCell ref="J12439:J12440"/>
    <mergeCell ref="K12439:K12440"/>
    <mergeCell ref="L12439:L12440"/>
    <mergeCell ref="M12439:M12440"/>
    <mergeCell ref="N12439:N12440"/>
    <mergeCell ref="A12441:A12442"/>
    <mergeCell ref="B12441:B12442"/>
    <mergeCell ref="C12441:C12442"/>
    <mergeCell ref="D12441:D12442"/>
    <mergeCell ref="E12441:E12442"/>
    <mergeCell ref="F12441:F12442"/>
    <mergeCell ref="G12441:G12442"/>
    <mergeCell ref="H12441:H12442"/>
    <mergeCell ref="I12441:I12442"/>
    <mergeCell ref="J12441:J12442"/>
    <mergeCell ref="K12441:K12442"/>
    <mergeCell ref="L12441:L12442"/>
    <mergeCell ref="M12441:M12442"/>
    <mergeCell ref="N12441:N12442"/>
    <mergeCell ref="A12443:A12444"/>
    <mergeCell ref="B12443:B12444"/>
    <mergeCell ref="C12443:C12444"/>
    <mergeCell ref="D12443:D12444"/>
    <mergeCell ref="E12443:E12444"/>
    <mergeCell ref="F12443:F12444"/>
    <mergeCell ref="G12443:G12444"/>
    <mergeCell ref="H12443:H12444"/>
    <mergeCell ref="I12443:I12444"/>
    <mergeCell ref="J12443:J12444"/>
    <mergeCell ref="K12443:K12444"/>
    <mergeCell ref="L12443:L12444"/>
    <mergeCell ref="M12443:M12444"/>
    <mergeCell ref="N12443:N12444"/>
    <mergeCell ref="A12447:A12448"/>
    <mergeCell ref="B12447:B12448"/>
    <mergeCell ref="C12447:C12448"/>
    <mergeCell ref="D12447:D12448"/>
    <mergeCell ref="E12447:E12448"/>
    <mergeCell ref="F12447:F12448"/>
    <mergeCell ref="G12447:G12448"/>
    <mergeCell ref="H12447:H12448"/>
    <mergeCell ref="I12447:I12448"/>
    <mergeCell ref="J12447:J12448"/>
    <mergeCell ref="K12447:K12448"/>
    <mergeCell ref="L12447:L12448"/>
    <mergeCell ref="M12447:M12448"/>
    <mergeCell ref="N12447:N12448"/>
    <mergeCell ref="A12449:A12451"/>
    <mergeCell ref="B12449:B12451"/>
    <mergeCell ref="C12449:C12451"/>
    <mergeCell ref="D12449:D12451"/>
    <mergeCell ref="E12449:E12451"/>
    <mergeCell ref="F12449:F12451"/>
    <mergeCell ref="G12449:G12451"/>
    <mergeCell ref="H12449:H12451"/>
    <mergeCell ref="I12449:I12451"/>
    <mergeCell ref="J12449:J12451"/>
    <mergeCell ref="K12449:K12451"/>
    <mergeCell ref="L12449:L12451"/>
    <mergeCell ref="M12449:M12451"/>
    <mergeCell ref="N12449:N12451"/>
    <mergeCell ref="A12452:A12456"/>
    <mergeCell ref="B12452:B12456"/>
    <mergeCell ref="C12452:C12456"/>
    <mergeCell ref="D12452:D12456"/>
    <mergeCell ref="E12452:E12456"/>
    <mergeCell ref="F12452:F12456"/>
    <mergeCell ref="G12452:G12456"/>
    <mergeCell ref="H12452:H12456"/>
    <mergeCell ref="I12452:I12456"/>
    <mergeCell ref="J12452:J12456"/>
    <mergeCell ref="K12452:K12456"/>
    <mergeCell ref="L12452:L12456"/>
    <mergeCell ref="M12452:M12456"/>
    <mergeCell ref="N12452:N12456"/>
    <mergeCell ref="A12457:A12458"/>
    <mergeCell ref="B12457:B12458"/>
    <mergeCell ref="C12457:C12458"/>
    <mergeCell ref="D12457:D12458"/>
    <mergeCell ref="E12457:E12458"/>
    <mergeCell ref="F12457:F12458"/>
    <mergeCell ref="G12457:G12458"/>
    <mergeCell ref="H12457:H12458"/>
    <mergeCell ref="I12457:I12458"/>
    <mergeCell ref="J12457:J12458"/>
    <mergeCell ref="K12457:K12458"/>
    <mergeCell ref="L12457:L12458"/>
    <mergeCell ref="M12457:M12458"/>
    <mergeCell ref="N12457:N12458"/>
    <mergeCell ref="A12459:A12461"/>
    <mergeCell ref="B12459:B12461"/>
    <mergeCell ref="C12459:C12461"/>
    <mergeCell ref="D12459:D12461"/>
    <mergeCell ref="E12459:E12461"/>
    <mergeCell ref="F12459:F12461"/>
    <mergeCell ref="G12459:G12461"/>
    <mergeCell ref="H12459:H12461"/>
    <mergeCell ref="I12459:I12461"/>
    <mergeCell ref="J12459:J12461"/>
    <mergeCell ref="K12459:K12461"/>
    <mergeCell ref="L12459:L12461"/>
    <mergeCell ref="M12459:M12461"/>
    <mergeCell ref="N12459:N12461"/>
    <mergeCell ref="A12464:A12465"/>
    <mergeCell ref="B12464:B12465"/>
    <mergeCell ref="C12464:C12465"/>
    <mergeCell ref="D12464:D12465"/>
    <mergeCell ref="E12464:E12465"/>
    <mergeCell ref="F12464:F12465"/>
    <mergeCell ref="G12464:G12465"/>
    <mergeCell ref="H12464:H12465"/>
    <mergeCell ref="I12464:I12465"/>
    <mergeCell ref="J12464:J12465"/>
    <mergeCell ref="K12464:K12465"/>
    <mergeCell ref="L12464:L12465"/>
    <mergeCell ref="M12464:M12465"/>
    <mergeCell ref="N12464:N12465"/>
    <mergeCell ref="A12468:A12469"/>
    <mergeCell ref="B12468:B12469"/>
    <mergeCell ref="C12468:C12469"/>
    <mergeCell ref="D12468:D12469"/>
    <mergeCell ref="E12468:E12469"/>
    <mergeCell ref="F12468:F12469"/>
    <mergeCell ref="G12468:G12469"/>
    <mergeCell ref="H12468:H12469"/>
    <mergeCell ref="I12468:I12469"/>
    <mergeCell ref="J12468:J12469"/>
    <mergeCell ref="K12468:K12469"/>
    <mergeCell ref="L12468:L12469"/>
    <mergeCell ref="M12468:M12469"/>
    <mergeCell ref="N12468:N12469"/>
    <mergeCell ref="A12475:A12478"/>
    <mergeCell ref="B12475:B12478"/>
    <mergeCell ref="C12475:C12478"/>
    <mergeCell ref="D12475:D12478"/>
    <mergeCell ref="E12475:E12478"/>
    <mergeCell ref="F12475:F12478"/>
    <mergeCell ref="G12475:G12478"/>
    <mergeCell ref="H12475:H12478"/>
    <mergeCell ref="I12475:I12478"/>
    <mergeCell ref="J12475:J12478"/>
    <mergeCell ref="K12475:K12478"/>
    <mergeCell ref="L12475:L12478"/>
    <mergeCell ref="M12475:M12478"/>
    <mergeCell ref="N12475:N12478"/>
    <mergeCell ref="A12480:A12481"/>
    <mergeCell ref="B12480:B12481"/>
    <mergeCell ref="C12480:C12481"/>
    <mergeCell ref="D12480:D12481"/>
    <mergeCell ref="E12480:E12481"/>
    <mergeCell ref="F12480:F12481"/>
    <mergeCell ref="G12480:G12481"/>
    <mergeCell ref="H12480:H12481"/>
    <mergeCell ref="I12480:I12481"/>
    <mergeCell ref="J12480:J12481"/>
    <mergeCell ref="K12480:K12481"/>
    <mergeCell ref="L12480:L12481"/>
    <mergeCell ref="M12480:M12481"/>
    <mergeCell ref="N12480:N12481"/>
    <mergeCell ref="A12496:A12497"/>
    <mergeCell ref="B12496:B12497"/>
    <mergeCell ref="C12496:C12497"/>
    <mergeCell ref="D12496:D12497"/>
    <mergeCell ref="E12496:E12497"/>
    <mergeCell ref="F12496:F12497"/>
    <mergeCell ref="G12496:G12497"/>
    <mergeCell ref="H12496:H12497"/>
    <mergeCell ref="I12496:I12497"/>
    <mergeCell ref="J12496:J12497"/>
    <mergeCell ref="K12496:K12497"/>
    <mergeCell ref="L12496:L12497"/>
    <mergeCell ref="M12496:M12497"/>
    <mergeCell ref="N12496:N12497"/>
    <mergeCell ref="A12501:A12502"/>
    <mergeCell ref="B12501:B12502"/>
    <mergeCell ref="C12501:C12502"/>
    <mergeCell ref="D12501:D12502"/>
    <mergeCell ref="E12501:E12502"/>
    <mergeCell ref="F12501:F12502"/>
    <mergeCell ref="G12501:G12502"/>
    <mergeCell ref="H12501:H12502"/>
    <mergeCell ref="I12501:I12502"/>
    <mergeCell ref="J12501:J12502"/>
    <mergeCell ref="K12501:K12502"/>
    <mergeCell ref="L12501:L12502"/>
    <mergeCell ref="M12501:M12502"/>
    <mergeCell ref="N12501:N12502"/>
    <mergeCell ref="A12509:A12512"/>
    <mergeCell ref="B12509:B12512"/>
    <mergeCell ref="C12509:C12512"/>
    <mergeCell ref="D12509:D12512"/>
    <mergeCell ref="E12509:E12512"/>
    <mergeCell ref="F12509:F12512"/>
    <mergeCell ref="G12509:G12512"/>
    <mergeCell ref="H12509:H12512"/>
    <mergeCell ref="I12509:I12512"/>
    <mergeCell ref="J12509:J12512"/>
    <mergeCell ref="K12509:K12512"/>
    <mergeCell ref="L12509:L12512"/>
    <mergeCell ref="M12509:M12512"/>
    <mergeCell ref="N12509:N12512"/>
    <mergeCell ref="A12513:A12537"/>
    <mergeCell ref="B12513:B12537"/>
    <mergeCell ref="C12513:C12537"/>
    <mergeCell ref="D12513:D12537"/>
    <mergeCell ref="E12513:E12537"/>
    <mergeCell ref="F12513:F12537"/>
    <mergeCell ref="G12513:G12537"/>
    <mergeCell ref="H12513:H12537"/>
    <mergeCell ref="I12513:I12537"/>
    <mergeCell ref="J12513:J12537"/>
    <mergeCell ref="K12513:K12537"/>
    <mergeCell ref="L12513:L12537"/>
    <mergeCell ref="M12513:M12537"/>
    <mergeCell ref="N12513:N12537"/>
    <mergeCell ref="A12539:A12540"/>
    <mergeCell ref="B12539:B12540"/>
    <mergeCell ref="C12539:C12540"/>
    <mergeCell ref="D12539:D12540"/>
    <mergeCell ref="E12539:E12540"/>
    <mergeCell ref="F12539:F12540"/>
    <mergeCell ref="G12539:G12540"/>
    <mergeCell ref="H12539:H12540"/>
    <mergeCell ref="I12539:I12540"/>
    <mergeCell ref="J12539:J12540"/>
    <mergeCell ref="K12539:K12540"/>
    <mergeCell ref="L12539:L12540"/>
    <mergeCell ref="M12539:M12540"/>
    <mergeCell ref="N12539:N12540"/>
    <mergeCell ref="A12542:A12544"/>
    <mergeCell ref="B12542:B12544"/>
    <mergeCell ref="C12542:C12544"/>
    <mergeCell ref="D12542:D12544"/>
    <mergeCell ref="E12542:E12544"/>
    <mergeCell ref="F12542:F12544"/>
    <mergeCell ref="G12542:G12544"/>
    <mergeCell ref="H12542:H12544"/>
    <mergeCell ref="I12542:I12544"/>
    <mergeCell ref="J12542:J12544"/>
    <mergeCell ref="K12542:K12544"/>
    <mergeCell ref="L12542:L12544"/>
    <mergeCell ref="M12542:M12544"/>
    <mergeCell ref="N12542:N12544"/>
    <mergeCell ref="A12545:A12547"/>
    <mergeCell ref="B12545:B12547"/>
    <mergeCell ref="C12545:C12547"/>
    <mergeCell ref="D12545:D12547"/>
    <mergeCell ref="E12545:E12547"/>
    <mergeCell ref="F12545:F12547"/>
    <mergeCell ref="G12545:G12547"/>
    <mergeCell ref="H12545:H12547"/>
    <mergeCell ref="I12545:I12547"/>
    <mergeCell ref="J12545:J12547"/>
    <mergeCell ref="K12545:K12547"/>
    <mergeCell ref="L12545:L12547"/>
    <mergeCell ref="M12545:M12547"/>
    <mergeCell ref="N12545:N12547"/>
    <mergeCell ref="A12549:A12553"/>
    <mergeCell ref="B12549:B12553"/>
    <mergeCell ref="C12549:C12553"/>
    <mergeCell ref="D12549:D12553"/>
    <mergeCell ref="E12549:E12553"/>
    <mergeCell ref="F12549:F12553"/>
    <mergeCell ref="G12549:G12553"/>
    <mergeCell ref="H12549:H12553"/>
    <mergeCell ref="I12549:I12553"/>
    <mergeCell ref="J12549:J12553"/>
    <mergeCell ref="K12549:K12553"/>
    <mergeCell ref="L12549:L12553"/>
    <mergeCell ref="M12549:M12553"/>
    <mergeCell ref="N12549:N12553"/>
    <mergeCell ref="A12555:A12556"/>
    <mergeCell ref="B12555:B12556"/>
    <mergeCell ref="C12555:C12556"/>
    <mergeCell ref="D12555:D12556"/>
    <mergeCell ref="E12555:E12556"/>
    <mergeCell ref="F12555:F12556"/>
    <mergeCell ref="G12555:G12556"/>
    <mergeCell ref="H12555:H12556"/>
    <mergeCell ref="I12555:I12556"/>
    <mergeCell ref="J12555:J12556"/>
    <mergeCell ref="K12555:K12556"/>
    <mergeCell ref="L12555:L12556"/>
    <mergeCell ref="M12555:M12556"/>
    <mergeCell ref="N12555:N12556"/>
    <mergeCell ref="A12558:A12565"/>
    <mergeCell ref="B12558:B12565"/>
    <mergeCell ref="C12558:C12565"/>
    <mergeCell ref="D12558:D12565"/>
    <mergeCell ref="E12558:E12565"/>
    <mergeCell ref="F12558:F12565"/>
    <mergeCell ref="G12558:G12565"/>
    <mergeCell ref="H12558:H12565"/>
    <mergeCell ref="I12558:I12565"/>
    <mergeCell ref="J12558:J12565"/>
    <mergeCell ref="K12558:K12565"/>
    <mergeCell ref="L12558:L12565"/>
    <mergeCell ref="M12558:M12565"/>
    <mergeCell ref="N12558:N12565"/>
    <mergeCell ref="A12566:A12569"/>
    <mergeCell ref="B12566:B12569"/>
    <mergeCell ref="C12566:C12569"/>
    <mergeCell ref="D12566:D12569"/>
    <mergeCell ref="E12566:E12569"/>
    <mergeCell ref="F12566:F12569"/>
    <mergeCell ref="G12566:G12569"/>
    <mergeCell ref="H12566:H12569"/>
    <mergeCell ref="I12566:I12569"/>
    <mergeCell ref="J12566:J12569"/>
    <mergeCell ref="K12566:K12569"/>
    <mergeCell ref="L12566:L12569"/>
    <mergeCell ref="M12566:M12569"/>
    <mergeCell ref="N12566:N12569"/>
    <mergeCell ref="A12570:A12571"/>
    <mergeCell ref="B12570:B12571"/>
    <mergeCell ref="C12570:C12571"/>
    <mergeCell ref="D12570:D12571"/>
    <mergeCell ref="E12570:E12571"/>
    <mergeCell ref="F12570:F12571"/>
    <mergeCell ref="G12570:G12571"/>
    <mergeCell ref="H12570:H12571"/>
    <mergeCell ref="I12570:I12571"/>
    <mergeCell ref="J12570:J12571"/>
    <mergeCell ref="K12570:K12571"/>
    <mergeCell ref="L12570:L12571"/>
    <mergeCell ref="M12570:M12571"/>
    <mergeCell ref="N12570:N12571"/>
    <mergeCell ref="A12572:A12574"/>
    <mergeCell ref="B12572:B12574"/>
    <mergeCell ref="C12572:C12574"/>
    <mergeCell ref="D12572:D12574"/>
    <mergeCell ref="E12572:E12574"/>
    <mergeCell ref="F12572:F12574"/>
    <mergeCell ref="G12572:G12574"/>
    <mergeCell ref="H12572:H12574"/>
    <mergeCell ref="I12572:I12574"/>
    <mergeCell ref="J12572:J12574"/>
    <mergeCell ref="K12572:K12574"/>
    <mergeCell ref="L12572:L12574"/>
    <mergeCell ref="M12572:M12574"/>
    <mergeCell ref="N12572:N12574"/>
    <mergeCell ref="A12577:A12578"/>
    <mergeCell ref="B12577:B12578"/>
    <mergeCell ref="C12577:C12578"/>
    <mergeCell ref="D12577:D12578"/>
    <mergeCell ref="E12577:E12578"/>
    <mergeCell ref="F12577:F12578"/>
    <mergeCell ref="G12577:G12578"/>
    <mergeCell ref="H12577:H12578"/>
    <mergeCell ref="I12577:I12578"/>
    <mergeCell ref="J12577:J12578"/>
    <mergeCell ref="K12577:K12578"/>
    <mergeCell ref="L12577:L12578"/>
    <mergeCell ref="M12577:M12578"/>
    <mergeCell ref="N12577:N12578"/>
    <mergeCell ref="A12583:A12584"/>
    <mergeCell ref="B12583:B12584"/>
    <mergeCell ref="C12583:C12584"/>
    <mergeCell ref="D12583:D12584"/>
    <mergeCell ref="E12583:E12584"/>
    <mergeCell ref="F12583:F12584"/>
    <mergeCell ref="G12583:G12584"/>
    <mergeCell ref="H12583:H12584"/>
    <mergeCell ref="I12583:I12584"/>
    <mergeCell ref="J12583:J12584"/>
    <mergeCell ref="K12583:K12584"/>
    <mergeCell ref="L12583:L12584"/>
    <mergeCell ref="M12583:M12584"/>
    <mergeCell ref="N12583:N12584"/>
    <mergeCell ref="A12585:A12586"/>
    <mergeCell ref="B12585:B12586"/>
    <mergeCell ref="C12585:C12586"/>
    <mergeCell ref="D12585:D12586"/>
    <mergeCell ref="E12585:E12586"/>
    <mergeCell ref="F12585:F12586"/>
    <mergeCell ref="G12585:G12586"/>
    <mergeCell ref="H12585:H12586"/>
    <mergeCell ref="I12585:I12586"/>
    <mergeCell ref="J12585:J12586"/>
    <mergeCell ref="K12585:K12586"/>
    <mergeCell ref="L12585:L12586"/>
    <mergeCell ref="M12585:M12586"/>
    <mergeCell ref="N12585:N12586"/>
    <mergeCell ref="A12590:A12591"/>
    <mergeCell ref="B12590:B12591"/>
    <mergeCell ref="C12590:C12591"/>
    <mergeCell ref="D12590:D12591"/>
    <mergeCell ref="E12590:E12591"/>
    <mergeCell ref="F12590:F12591"/>
    <mergeCell ref="G12590:G12591"/>
    <mergeCell ref="H12590:H12591"/>
    <mergeCell ref="I12590:I12591"/>
    <mergeCell ref="J12590:J12591"/>
    <mergeCell ref="K12590:K12591"/>
    <mergeCell ref="L12590:L12591"/>
    <mergeCell ref="M12590:M12591"/>
    <mergeCell ref="N12590:N12591"/>
    <mergeCell ref="A12592:A12594"/>
    <mergeCell ref="B12592:B12594"/>
    <mergeCell ref="C12592:C12594"/>
    <mergeCell ref="D12592:D12594"/>
    <mergeCell ref="E12592:E12594"/>
    <mergeCell ref="F12592:F12594"/>
    <mergeCell ref="G12592:G12594"/>
    <mergeCell ref="H12592:H12594"/>
    <mergeCell ref="I12592:I12594"/>
    <mergeCell ref="J12592:J12594"/>
    <mergeCell ref="K12592:K12594"/>
    <mergeCell ref="L12592:L12594"/>
    <mergeCell ref="M12592:M12594"/>
    <mergeCell ref="N12592:N12594"/>
    <mergeCell ref="A12595:A12597"/>
    <mergeCell ref="B12595:B12597"/>
    <mergeCell ref="C12595:C12597"/>
    <mergeCell ref="D12595:D12597"/>
    <mergeCell ref="E12595:E12597"/>
    <mergeCell ref="F12595:F12597"/>
    <mergeCell ref="G12595:G12597"/>
    <mergeCell ref="H12595:H12597"/>
    <mergeCell ref="I12595:I12597"/>
    <mergeCell ref="J12595:J12597"/>
    <mergeCell ref="K12595:K12597"/>
    <mergeCell ref="L12595:L12597"/>
    <mergeCell ref="M12595:M12597"/>
    <mergeCell ref="N12595:N12597"/>
    <mergeCell ref="A12599:A12600"/>
    <mergeCell ref="B12599:B12600"/>
    <mergeCell ref="C12599:C12600"/>
    <mergeCell ref="D12599:D12600"/>
    <mergeCell ref="E12599:E12600"/>
    <mergeCell ref="F12599:F12600"/>
    <mergeCell ref="G12599:G12600"/>
    <mergeCell ref="H12599:H12600"/>
    <mergeCell ref="I12599:I12600"/>
    <mergeCell ref="J12599:J12600"/>
    <mergeCell ref="K12599:K12600"/>
    <mergeCell ref="L12599:L12600"/>
    <mergeCell ref="M12599:M12600"/>
    <mergeCell ref="N12599:N12600"/>
    <mergeCell ref="A12601:A12602"/>
    <mergeCell ref="B12601:B12602"/>
    <mergeCell ref="C12601:C12602"/>
    <mergeCell ref="D12601:D12602"/>
    <mergeCell ref="E12601:E12602"/>
    <mergeCell ref="F12601:F12602"/>
    <mergeCell ref="G12601:G12602"/>
    <mergeCell ref="H12601:H12602"/>
    <mergeCell ref="I12601:I12602"/>
    <mergeCell ref="J12601:J12602"/>
    <mergeCell ref="K12601:K12602"/>
    <mergeCell ref="L12601:L12602"/>
    <mergeCell ref="M12601:M12602"/>
    <mergeCell ref="N12601:N12602"/>
    <mergeCell ref="A12603:A12604"/>
    <mergeCell ref="B12603:B12604"/>
    <mergeCell ref="C12603:C12604"/>
    <mergeCell ref="D12603:D12604"/>
    <mergeCell ref="E12603:E12604"/>
    <mergeCell ref="F12603:F12604"/>
    <mergeCell ref="G12603:G12604"/>
    <mergeCell ref="H12603:H12604"/>
    <mergeCell ref="I12603:I12604"/>
    <mergeCell ref="J12603:J12604"/>
    <mergeCell ref="K12603:K12604"/>
    <mergeCell ref="L12603:L12604"/>
    <mergeCell ref="M12603:M12604"/>
    <mergeCell ref="N12603:N12604"/>
    <mergeCell ref="A12605:A12606"/>
    <mergeCell ref="B12605:B12606"/>
    <mergeCell ref="C12605:C12606"/>
    <mergeCell ref="D12605:D12606"/>
    <mergeCell ref="E12605:E12606"/>
    <mergeCell ref="F12605:F12606"/>
    <mergeCell ref="G12605:G12606"/>
    <mergeCell ref="H12605:H12606"/>
    <mergeCell ref="I12605:I12606"/>
    <mergeCell ref="J12605:J12606"/>
    <mergeCell ref="K12605:K12606"/>
    <mergeCell ref="L12605:L12606"/>
    <mergeCell ref="M12605:M12606"/>
    <mergeCell ref="N12605:N12606"/>
    <mergeCell ref="A12608:A12609"/>
    <mergeCell ref="B12608:B12609"/>
    <mergeCell ref="C12608:C12609"/>
    <mergeCell ref="D12608:D12609"/>
    <mergeCell ref="E12608:E12609"/>
    <mergeCell ref="F12608:F12609"/>
    <mergeCell ref="G12608:G12609"/>
    <mergeCell ref="H12608:H12609"/>
    <mergeCell ref="I12608:I12609"/>
    <mergeCell ref="J12608:J12609"/>
    <mergeCell ref="K12608:K12609"/>
    <mergeCell ref="L12608:L12609"/>
    <mergeCell ref="M12608:M12609"/>
    <mergeCell ref="N12608:N12609"/>
    <mergeCell ref="A12611:A12613"/>
    <mergeCell ref="B12611:B12613"/>
    <mergeCell ref="C12611:C12613"/>
    <mergeCell ref="D12611:D12613"/>
    <mergeCell ref="E12611:E12613"/>
    <mergeCell ref="F12611:F12613"/>
    <mergeCell ref="G12611:G12613"/>
    <mergeCell ref="H12611:H12613"/>
    <mergeCell ref="I12611:I12613"/>
    <mergeCell ref="J12611:J12613"/>
    <mergeCell ref="K12611:K12613"/>
    <mergeCell ref="L12611:L12613"/>
    <mergeCell ref="M12611:M12613"/>
    <mergeCell ref="N12611:N12613"/>
    <mergeCell ref="A12615:A12616"/>
    <mergeCell ref="B12615:B12616"/>
    <mergeCell ref="C12615:C12616"/>
    <mergeCell ref="D12615:D12616"/>
    <mergeCell ref="E12615:E12616"/>
    <mergeCell ref="F12615:F12616"/>
    <mergeCell ref="G12615:G12616"/>
    <mergeCell ref="H12615:H12616"/>
    <mergeCell ref="I12615:I12616"/>
    <mergeCell ref="J12615:J12616"/>
    <mergeCell ref="K12615:K12616"/>
    <mergeCell ref="L12615:L12616"/>
    <mergeCell ref="M12615:M12616"/>
    <mergeCell ref="N12615:N12616"/>
    <mergeCell ref="A12621:A12622"/>
    <mergeCell ref="B12621:B12622"/>
    <mergeCell ref="C12621:C12622"/>
    <mergeCell ref="D12621:D12622"/>
    <mergeCell ref="E12621:E12622"/>
    <mergeCell ref="F12621:F12622"/>
    <mergeCell ref="G12621:G12622"/>
    <mergeCell ref="H12621:H12622"/>
    <mergeCell ref="I12621:I12622"/>
    <mergeCell ref="J12621:J12622"/>
    <mergeCell ref="K12621:K12622"/>
    <mergeCell ref="L12621:L12622"/>
    <mergeCell ref="M12621:M12622"/>
    <mergeCell ref="N12621:N12622"/>
    <mergeCell ref="A12623:A12625"/>
    <mergeCell ref="B12623:B12625"/>
    <mergeCell ref="C12623:C12625"/>
    <mergeCell ref="D12623:D12625"/>
    <mergeCell ref="E12623:E12625"/>
    <mergeCell ref="F12623:F12625"/>
    <mergeCell ref="G12623:G12625"/>
    <mergeCell ref="H12623:H12625"/>
    <mergeCell ref="I12623:I12625"/>
    <mergeCell ref="J12623:J12625"/>
    <mergeCell ref="K12623:K12625"/>
    <mergeCell ref="L12623:L12625"/>
    <mergeCell ref="M12623:M12625"/>
    <mergeCell ref="N12623:N12625"/>
    <mergeCell ref="A12626:A12627"/>
    <mergeCell ref="B12626:B12627"/>
    <mergeCell ref="C12626:C12627"/>
    <mergeCell ref="D12626:D12627"/>
    <mergeCell ref="E12626:E12627"/>
    <mergeCell ref="F12626:F12627"/>
    <mergeCell ref="G12626:G12627"/>
    <mergeCell ref="H12626:H12627"/>
    <mergeCell ref="I12626:I12627"/>
    <mergeCell ref="J12626:J12627"/>
    <mergeCell ref="K12626:K12627"/>
    <mergeCell ref="L12626:L12627"/>
    <mergeCell ref="M12626:M12627"/>
    <mergeCell ref="N12626:N12627"/>
    <mergeCell ref="A12630:A12631"/>
    <mergeCell ref="B12630:B12631"/>
    <mergeCell ref="C12630:C12631"/>
    <mergeCell ref="D12630:D12631"/>
    <mergeCell ref="E12630:E12631"/>
    <mergeCell ref="F12630:F12631"/>
    <mergeCell ref="G12630:G12631"/>
    <mergeCell ref="H12630:H12631"/>
    <mergeCell ref="I12630:I12631"/>
    <mergeCell ref="J12630:J12631"/>
    <mergeCell ref="K12630:K12631"/>
    <mergeCell ref="L12630:L12631"/>
    <mergeCell ref="M12630:M12631"/>
    <mergeCell ref="N12630:N12631"/>
    <mergeCell ref="A12634:A12635"/>
    <mergeCell ref="B12634:B12635"/>
    <mergeCell ref="C12634:C12635"/>
    <mergeCell ref="D12634:D12635"/>
    <mergeCell ref="E12634:E12635"/>
    <mergeCell ref="F12634:F12635"/>
    <mergeCell ref="G12634:G12635"/>
    <mergeCell ref="H12634:H12635"/>
    <mergeCell ref="I12634:I12635"/>
    <mergeCell ref="J12634:J12635"/>
    <mergeCell ref="K12634:K12635"/>
    <mergeCell ref="L12634:L12635"/>
    <mergeCell ref="M12634:M12635"/>
    <mergeCell ref="N12634:N12635"/>
    <mergeCell ref="A12636:A12637"/>
    <mergeCell ref="B12636:B12637"/>
    <mergeCell ref="C12636:C12637"/>
    <mergeCell ref="D12636:D12637"/>
    <mergeCell ref="E12636:E12637"/>
    <mergeCell ref="F12636:F12637"/>
    <mergeCell ref="G12636:G12637"/>
    <mergeCell ref="H12636:H12637"/>
    <mergeCell ref="I12636:I12637"/>
    <mergeCell ref="J12636:J12637"/>
    <mergeCell ref="K12636:K12637"/>
    <mergeCell ref="L12636:L12637"/>
    <mergeCell ref="M12636:M12637"/>
    <mergeCell ref="N12636:N12637"/>
    <mergeCell ref="A12639:A12640"/>
    <mergeCell ref="B12639:B12640"/>
    <mergeCell ref="C12639:C12640"/>
    <mergeCell ref="D12639:D12640"/>
    <mergeCell ref="E12639:E12640"/>
    <mergeCell ref="F12639:F12640"/>
    <mergeCell ref="G12639:G12640"/>
    <mergeCell ref="H12639:H12640"/>
    <mergeCell ref="I12639:I12640"/>
    <mergeCell ref="J12639:J12640"/>
    <mergeCell ref="K12639:K12640"/>
    <mergeCell ref="L12639:L12640"/>
    <mergeCell ref="M12639:M12640"/>
    <mergeCell ref="N12639:N12640"/>
    <mergeCell ref="A12641:A12642"/>
    <mergeCell ref="B12641:B12642"/>
    <mergeCell ref="C12641:C12642"/>
    <mergeCell ref="D12641:D12642"/>
    <mergeCell ref="E12641:E12642"/>
    <mergeCell ref="F12641:F12642"/>
    <mergeCell ref="G12641:G12642"/>
    <mergeCell ref="H12641:H12642"/>
    <mergeCell ref="I12641:I12642"/>
    <mergeCell ref="J12641:J12642"/>
    <mergeCell ref="K12641:K12642"/>
    <mergeCell ref="L12641:L12642"/>
    <mergeCell ref="M12641:M12642"/>
    <mergeCell ref="N12641:N12642"/>
    <mergeCell ref="A12648:A12652"/>
    <mergeCell ref="B12648:B12652"/>
    <mergeCell ref="C12648:C12652"/>
    <mergeCell ref="D12648:D12652"/>
    <mergeCell ref="E12648:E12652"/>
    <mergeCell ref="F12648:F12652"/>
    <mergeCell ref="G12648:G12652"/>
    <mergeCell ref="H12648:H12652"/>
    <mergeCell ref="I12648:I12652"/>
    <mergeCell ref="J12648:J12652"/>
    <mergeCell ref="K12648:K12652"/>
    <mergeCell ref="L12648:L12652"/>
    <mergeCell ref="M12648:M12652"/>
    <mergeCell ref="N12648:N12652"/>
    <mergeCell ref="A12653:A12654"/>
    <mergeCell ref="B12653:B12654"/>
    <mergeCell ref="C12653:C12654"/>
    <mergeCell ref="D12653:D12654"/>
    <mergeCell ref="E12653:E12654"/>
    <mergeCell ref="F12653:F12654"/>
    <mergeCell ref="G12653:G12654"/>
    <mergeCell ref="H12653:H12654"/>
    <mergeCell ref="I12653:I12654"/>
    <mergeCell ref="J12653:J12654"/>
    <mergeCell ref="K12653:K12654"/>
    <mergeCell ref="L12653:L12654"/>
    <mergeCell ref="M12653:M12654"/>
    <mergeCell ref="N12653:N12654"/>
    <mergeCell ref="A12655:A12661"/>
    <mergeCell ref="B12655:B12661"/>
    <mergeCell ref="C12655:C12661"/>
    <mergeCell ref="D12655:D12661"/>
    <mergeCell ref="E12655:E12661"/>
    <mergeCell ref="F12655:F12661"/>
    <mergeCell ref="G12655:G12661"/>
    <mergeCell ref="H12655:H12661"/>
    <mergeCell ref="I12655:I12661"/>
    <mergeCell ref="J12655:J12661"/>
    <mergeCell ref="K12655:K12661"/>
    <mergeCell ref="L12655:L12661"/>
    <mergeCell ref="M12655:M12661"/>
    <mergeCell ref="N12655:N12661"/>
    <mergeCell ref="A12663:A12664"/>
    <mergeCell ref="B12663:B12664"/>
    <mergeCell ref="C12663:C12664"/>
    <mergeCell ref="D12663:D12664"/>
    <mergeCell ref="E12663:E12664"/>
    <mergeCell ref="F12663:F12664"/>
    <mergeCell ref="G12663:G12664"/>
    <mergeCell ref="H12663:H12664"/>
    <mergeCell ref="I12663:I12664"/>
    <mergeCell ref="J12663:J12664"/>
    <mergeCell ref="K12663:K12664"/>
    <mergeCell ref="L12663:L12664"/>
    <mergeCell ref="M12663:M12664"/>
    <mergeCell ref="N12663:N12664"/>
    <mergeCell ref="A12666:A12667"/>
    <mergeCell ref="B12666:B12667"/>
    <mergeCell ref="C12666:C12667"/>
    <mergeCell ref="D12666:D12667"/>
    <mergeCell ref="E12666:E12667"/>
    <mergeCell ref="F12666:F12667"/>
    <mergeCell ref="G12666:G12667"/>
    <mergeCell ref="H12666:H12667"/>
    <mergeCell ref="I12666:I12667"/>
    <mergeCell ref="J12666:J12667"/>
    <mergeCell ref="K12666:K12667"/>
    <mergeCell ref="L12666:L12667"/>
    <mergeCell ref="M12666:M12667"/>
    <mergeCell ref="N12666:N12667"/>
    <mergeCell ref="A12669:A12674"/>
    <mergeCell ref="B12669:B12674"/>
    <mergeCell ref="C12669:C12674"/>
    <mergeCell ref="D12669:D12674"/>
    <mergeCell ref="E12669:E12674"/>
    <mergeCell ref="F12669:F12674"/>
    <mergeCell ref="G12669:G12674"/>
    <mergeCell ref="H12669:H12674"/>
    <mergeCell ref="I12669:I12674"/>
    <mergeCell ref="J12669:J12674"/>
    <mergeCell ref="K12669:K12674"/>
    <mergeCell ref="L12669:L12674"/>
    <mergeCell ref="M12669:M12674"/>
    <mergeCell ref="N12669:N12674"/>
    <mergeCell ref="A12676:A12677"/>
    <mergeCell ref="B12676:B12677"/>
    <mergeCell ref="C12676:C12677"/>
    <mergeCell ref="D12676:D12677"/>
    <mergeCell ref="E12676:E12677"/>
    <mergeCell ref="F12676:F12677"/>
    <mergeCell ref="G12676:G12677"/>
    <mergeCell ref="H12676:H12677"/>
    <mergeCell ref="I12676:I12677"/>
    <mergeCell ref="J12676:J12677"/>
    <mergeCell ref="K12676:K12677"/>
    <mergeCell ref="L12676:L12677"/>
    <mergeCell ref="M12676:M12677"/>
    <mergeCell ref="N12676:N12677"/>
    <mergeCell ref="A12679:A12680"/>
    <mergeCell ref="B12679:B12680"/>
    <mergeCell ref="C12679:C12680"/>
    <mergeCell ref="D12679:D12680"/>
    <mergeCell ref="E12679:E12680"/>
    <mergeCell ref="F12679:F12680"/>
    <mergeCell ref="G12679:G12680"/>
    <mergeCell ref="H12679:H12680"/>
    <mergeCell ref="I12679:I12680"/>
    <mergeCell ref="J12679:J12680"/>
    <mergeCell ref="K12679:K12680"/>
    <mergeCell ref="L12679:L12680"/>
    <mergeCell ref="M12679:M12680"/>
    <mergeCell ref="N12679:N12680"/>
    <mergeCell ref="A12681:A12682"/>
    <mergeCell ref="B12681:B12682"/>
    <mergeCell ref="C12681:C12682"/>
    <mergeCell ref="D12681:D12682"/>
    <mergeCell ref="E12681:E12682"/>
    <mergeCell ref="F12681:F12682"/>
    <mergeCell ref="G12681:G12682"/>
    <mergeCell ref="H12681:H12682"/>
    <mergeCell ref="I12681:I12682"/>
    <mergeCell ref="J12681:J12682"/>
    <mergeCell ref="K12681:K12682"/>
    <mergeCell ref="L12681:L12682"/>
    <mergeCell ref="M12681:M12682"/>
    <mergeCell ref="N12681:N12682"/>
    <mergeCell ref="A12684:A12688"/>
    <mergeCell ref="B12684:B12688"/>
    <mergeCell ref="C12684:C12688"/>
    <mergeCell ref="D12684:D12688"/>
    <mergeCell ref="E12684:E12688"/>
    <mergeCell ref="F12684:F12688"/>
    <mergeCell ref="G12684:G12688"/>
    <mergeCell ref="H12684:H12688"/>
    <mergeCell ref="I12684:I12688"/>
    <mergeCell ref="J12684:J12688"/>
    <mergeCell ref="K12684:K12688"/>
    <mergeCell ref="L12684:L12688"/>
    <mergeCell ref="M12684:M12688"/>
    <mergeCell ref="N12684:N12688"/>
    <mergeCell ref="A12689:A12690"/>
    <mergeCell ref="B12689:B12690"/>
    <mergeCell ref="C12689:C12690"/>
    <mergeCell ref="D12689:D12690"/>
    <mergeCell ref="E12689:E12690"/>
    <mergeCell ref="F12689:F12690"/>
    <mergeCell ref="G12689:G12690"/>
    <mergeCell ref="H12689:H12690"/>
    <mergeCell ref="I12689:I12690"/>
    <mergeCell ref="J12689:J12690"/>
    <mergeCell ref="K12689:K12690"/>
    <mergeCell ref="L12689:L12690"/>
    <mergeCell ref="M12689:M12690"/>
    <mergeCell ref="N12689:N12690"/>
    <mergeCell ref="A12691:A12692"/>
    <mergeCell ref="B12691:B12692"/>
    <mergeCell ref="C12691:C12692"/>
    <mergeCell ref="D12691:D12692"/>
    <mergeCell ref="E12691:E12692"/>
    <mergeCell ref="F12691:F12692"/>
    <mergeCell ref="G12691:G12692"/>
    <mergeCell ref="H12691:H12692"/>
    <mergeCell ref="I12691:I12692"/>
    <mergeCell ref="J12691:J12692"/>
    <mergeCell ref="K12691:K12692"/>
    <mergeCell ref="L12691:L12692"/>
    <mergeCell ref="M12691:M12692"/>
    <mergeCell ref="N12691:N12692"/>
    <mergeCell ref="A12693:A12694"/>
    <mergeCell ref="B12693:B12694"/>
    <mergeCell ref="C12693:C12694"/>
    <mergeCell ref="D12693:D12694"/>
    <mergeCell ref="E12693:E12694"/>
    <mergeCell ref="F12693:F12694"/>
    <mergeCell ref="G12693:G12694"/>
    <mergeCell ref="H12693:H12694"/>
    <mergeCell ref="I12693:I12694"/>
    <mergeCell ref="J12693:J12694"/>
    <mergeCell ref="K12693:K12694"/>
    <mergeCell ref="L12693:L12694"/>
    <mergeCell ref="M12693:M12694"/>
    <mergeCell ref="N12693:N12694"/>
    <mergeCell ref="A12695:A12697"/>
    <mergeCell ref="B12695:B12697"/>
    <mergeCell ref="C12695:C12697"/>
    <mergeCell ref="D12695:D12697"/>
    <mergeCell ref="E12695:E12697"/>
    <mergeCell ref="F12695:F12697"/>
    <mergeCell ref="G12695:G12697"/>
    <mergeCell ref="H12695:H12697"/>
    <mergeCell ref="I12695:I12697"/>
    <mergeCell ref="J12695:J12697"/>
    <mergeCell ref="K12695:K12697"/>
    <mergeCell ref="L12695:L12697"/>
    <mergeCell ref="M12695:M12697"/>
    <mergeCell ref="N12695:N12697"/>
    <mergeCell ref="A12698:A12699"/>
    <mergeCell ref="B12698:B12699"/>
    <mergeCell ref="C12698:C12699"/>
    <mergeCell ref="D12698:D12699"/>
    <mergeCell ref="E12698:E12699"/>
    <mergeCell ref="F12698:F12699"/>
    <mergeCell ref="G12698:G12699"/>
    <mergeCell ref="H12698:H12699"/>
    <mergeCell ref="I12698:I12699"/>
    <mergeCell ref="J12698:J12699"/>
    <mergeCell ref="K12698:K12699"/>
    <mergeCell ref="L12698:L12699"/>
    <mergeCell ref="M12698:M12699"/>
    <mergeCell ref="N12698:N12699"/>
    <mergeCell ref="A12700:A12701"/>
    <mergeCell ref="B12700:B12701"/>
    <mergeCell ref="C12700:C12701"/>
    <mergeCell ref="D12700:D12701"/>
    <mergeCell ref="E12700:E12701"/>
    <mergeCell ref="F12700:F12701"/>
    <mergeCell ref="G12700:G12701"/>
    <mergeCell ref="H12700:H12701"/>
    <mergeCell ref="I12700:I12701"/>
    <mergeCell ref="J12700:J12701"/>
    <mergeCell ref="K12700:K12701"/>
    <mergeCell ref="L12700:L12701"/>
    <mergeCell ref="M12700:M12701"/>
    <mergeCell ref="N12700:N12701"/>
    <mergeCell ref="A12702:A12705"/>
    <mergeCell ref="B12702:B12705"/>
    <mergeCell ref="C12702:C12705"/>
    <mergeCell ref="D12702:D12705"/>
    <mergeCell ref="E12702:E12705"/>
    <mergeCell ref="F12702:F12705"/>
    <mergeCell ref="G12702:G12705"/>
    <mergeCell ref="H12702:H12705"/>
    <mergeCell ref="I12702:I12705"/>
    <mergeCell ref="J12702:J12705"/>
    <mergeCell ref="K12702:K12705"/>
    <mergeCell ref="L12702:L12705"/>
    <mergeCell ref="M12702:M12705"/>
    <mergeCell ref="N12702:N12705"/>
    <mergeCell ref="A12708:A12709"/>
    <mergeCell ref="B12708:B12709"/>
    <mergeCell ref="C12708:C12709"/>
    <mergeCell ref="D12708:D12709"/>
    <mergeCell ref="E12708:E12709"/>
    <mergeCell ref="F12708:F12709"/>
    <mergeCell ref="G12708:G12709"/>
    <mergeCell ref="H12708:H12709"/>
    <mergeCell ref="I12708:I12709"/>
    <mergeCell ref="J12708:J12709"/>
    <mergeCell ref="K12708:K12709"/>
    <mergeCell ref="L12708:L12709"/>
    <mergeCell ref="M12708:M12709"/>
    <mergeCell ref="N12708:N12709"/>
    <mergeCell ref="A12710:A12711"/>
    <mergeCell ref="B12710:B12711"/>
    <mergeCell ref="C12710:C12711"/>
    <mergeCell ref="D12710:D12711"/>
    <mergeCell ref="E12710:E12711"/>
    <mergeCell ref="F12710:F12711"/>
    <mergeCell ref="G12710:G12711"/>
    <mergeCell ref="H12710:H12711"/>
    <mergeCell ref="I12710:I12711"/>
    <mergeCell ref="J12710:J12711"/>
    <mergeCell ref="K12710:K12711"/>
    <mergeCell ref="L12710:L12711"/>
    <mergeCell ref="M12710:M12711"/>
    <mergeCell ref="N12710:N12711"/>
    <mergeCell ref="A12712:A12713"/>
    <mergeCell ref="B12712:B12713"/>
    <mergeCell ref="C12712:C12713"/>
    <mergeCell ref="D12712:D12713"/>
    <mergeCell ref="E12712:E12713"/>
    <mergeCell ref="F12712:F12713"/>
    <mergeCell ref="G12712:G12713"/>
    <mergeCell ref="H12712:H12713"/>
    <mergeCell ref="I12712:I12713"/>
    <mergeCell ref="J12712:J12713"/>
    <mergeCell ref="K12712:K12713"/>
    <mergeCell ref="L12712:L12713"/>
    <mergeCell ref="M12712:M12713"/>
    <mergeCell ref="N12712:N12713"/>
    <mergeCell ref="A12715:A12716"/>
    <mergeCell ref="B12715:B12716"/>
    <mergeCell ref="C12715:C12716"/>
    <mergeCell ref="D12715:D12716"/>
    <mergeCell ref="E12715:E12716"/>
    <mergeCell ref="F12715:F12716"/>
    <mergeCell ref="G12715:G12716"/>
    <mergeCell ref="H12715:H12716"/>
    <mergeCell ref="I12715:I12716"/>
    <mergeCell ref="J12715:J12716"/>
    <mergeCell ref="K12715:K12716"/>
    <mergeCell ref="L12715:L12716"/>
    <mergeCell ref="M12715:M12716"/>
    <mergeCell ref="N12715:N12716"/>
    <mergeCell ref="A12717:A12720"/>
    <mergeCell ref="B12717:B12720"/>
    <mergeCell ref="C12717:C12720"/>
    <mergeCell ref="D12717:D12720"/>
    <mergeCell ref="E12717:E12720"/>
    <mergeCell ref="F12717:F12720"/>
    <mergeCell ref="G12717:G12720"/>
    <mergeCell ref="H12717:H12720"/>
    <mergeCell ref="I12717:I12720"/>
    <mergeCell ref="J12717:J12720"/>
    <mergeCell ref="K12717:K12720"/>
    <mergeCell ref="L12717:L12720"/>
    <mergeCell ref="M12717:M12720"/>
    <mergeCell ref="N12717:N12720"/>
    <mergeCell ref="A12724:A12733"/>
    <mergeCell ref="B12724:B12733"/>
    <mergeCell ref="C12724:C12733"/>
    <mergeCell ref="D12724:D12733"/>
    <mergeCell ref="E12724:E12733"/>
    <mergeCell ref="F12724:F12733"/>
    <mergeCell ref="G12724:G12733"/>
    <mergeCell ref="H12724:H12733"/>
    <mergeCell ref="I12724:I12733"/>
    <mergeCell ref="J12724:J12733"/>
    <mergeCell ref="K12724:K12733"/>
    <mergeCell ref="L12724:L12733"/>
    <mergeCell ref="M12724:M12733"/>
    <mergeCell ref="N12724:N12733"/>
    <mergeCell ref="A12738:A12739"/>
    <mergeCell ref="B12738:B12739"/>
    <mergeCell ref="C12738:C12739"/>
    <mergeCell ref="D12738:D12739"/>
    <mergeCell ref="E12738:E12739"/>
    <mergeCell ref="F12738:F12739"/>
    <mergeCell ref="G12738:G12739"/>
    <mergeCell ref="H12738:H12739"/>
    <mergeCell ref="I12738:I12739"/>
    <mergeCell ref="J12738:J12739"/>
    <mergeCell ref="K12738:K12739"/>
    <mergeCell ref="L12738:L12739"/>
    <mergeCell ref="M12738:M12739"/>
    <mergeCell ref="N12738:N12739"/>
    <mergeCell ref="A12740:A12741"/>
    <mergeCell ref="B12740:B12741"/>
    <mergeCell ref="C12740:C12741"/>
    <mergeCell ref="D12740:D12741"/>
    <mergeCell ref="E12740:E12741"/>
    <mergeCell ref="F12740:F12741"/>
    <mergeCell ref="G12740:G12741"/>
    <mergeCell ref="H12740:H12741"/>
    <mergeCell ref="I12740:I12741"/>
    <mergeCell ref="J12740:J12741"/>
    <mergeCell ref="K12740:K12741"/>
    <mergeCell ref="L12740:L12741"/>
    <mergeCell ref="M12740:M12741"/>
    <mergeCell ref="N12740:N12741"/>
    <mergeCell ref="A12742:A12745"/>
    <mergeCell ref="B12742:B12745"/>
    <mergeCell ref="C12742:C12745"/>
    <mergeCell ref="D12742:D12745"/>
    <mergeCell ref="E12742:E12745"/>
    <mergeCell ref="F12742:F12745"/>
    <mergeCell ref="G12742:G12745"/>
    <mergeCell ref="H12742:H12745"/>
    <mergeCell ref="I12742:I12745"/>
    <mergeCell ref="J12742:J12745"/>
    <mergeCell ref="K12742:K12745"/>
    <mergeCell ref="L12742:L12745"/>
    <mergeCell ref="M12742:M12745"/>
    <mergeCell ref="N12742:N12745"/>
    <mergeCell ref="A12746:A12755"/>
    <mergeCell ref="B12746:B12755"/>
    <mergeCell ref="C12746:C12755"/>
    <mergeCell ref="D12746:D12755"/>
    <mergeCell ref="E12746:E12755"/>
    <mergeCell ref="F12746:F12755"/>
    <mergeCell ref="G12746:G12755"/>
    <mergeCell ref="H12746:H12755"/>
    <mergeCell ref="I12746:I12755"/>
    <mergeCell ref="J12746:J12755"/>
    <mergeCell ref="K12746:K12755"/>
    <mergeCell ref="L12746:L12755"/>
    <mergeCell ref="M12746:M12755"/>
    <mergeCell ref="N12746:N12755"/>
    <mergeCell ref="A12756:A12757"/>
    <mergeCell ref="B12756:B12757"/>
    <mergeCell ref="C12756:C12757"/>
    <mergeCell ref="D12756:D12757"/>
    <mergeCell ref="E12756:E12757"/>
    <mergeCell ref="F12756:F12757"/>
    <mergeCell ref="G12756:G12757"/>
    <mergeCell ref="H12756:H12757"/>
    <mergeCell ref="I12756:I12757"/>
    <mergeCell ref="J12756:J12757"/>
    <mergeCell ref="K12756:K12757"/>
    <mergeCell ref="L12756:L12757"/>
    <mergeCell ref="M12756:M12757"/>
    <mergeCell ref="N12756:N12757"/>
    <mergeCell ref="A12758:A12759"/>
    <mergeCell ref="B12758:B12759"/>
    <mergeCell ref="C12758:C12759"/>
    <mergeCell ref="D12758:D12759"/>
    <mergeCell ref="E12758:E12759"/>
    <mergeCell ref="F12758:F12759"/>
    <mergeCell ref="G12758:G12759"/>
    <mergeCell ref="H12758:H12759"/>
    <mergeCell ref="I12758:I12759"/>
    <mergeCell ref="J12758:J12759"/>
    <mergeCell ref="K12758:K12759"/>
    <mergeCell ref="L12758:L12759"/>
    <mergeCell ref="M12758:M12759"/>
    <mergeCell ref="N12758:N12759"/>
    <mergeCell ref="A12760:A12763"/>
    <mergeCell ref="B12760:B12763"/>
    <mergeCell ref="C12760:C12763"/>
    <mergeCell ref="D12760:D12763"/>
    <mergeCell ref="E12760:E12763"/>
    <mergeCell ref="F12760:F12763"/>
    <mergeCell ref="G12760:G12763"/>
    <mergeCell ref="H12760:H12763"/>
    <mergeCell ref="I12760:I12763"/>
    <mergeCell ref="J12760:J12763"/>
    <mergeCell ref="K12760:K12763"/>
    <mergeCell ref="L12760:L12763"/>
    <mergeCell ref="M12760:M12763"/>
    <mergeCell ref="N12760:N12763"/>
    <mergeCell ref="A12764:A12766"/>
    <mergeCell ref="B12764:B12766"/>
    <mergeCell ref="C12764:C12766"/>
    <mergeCell ref="D12764:D12766"/>
    <mergeCell ref="E12764:E12766"/>
    <mergeCell ref="F12764:F12766"/>
    <mergeCell ref="G12764:G12766"/>
    <mergeCell ref="H12764:H12766"/>
    <mergeCell ref="I12764:I12766"/>
    <mergeCell ref="J12764:J12766"/>
    <mergeCell ref="K12764:K12766"/>
    <mergeCell ref="L12764:L12766"/>
    <mergeCell ref="M12764:M12766"/>
    <mergeCell ref="N12764:N12766"/>
    <mergeCell ref="A12767:A12769"/>
    <mergeCell ref="B12767:B12769"/>
    <mergeCell ref="C12767:C12769"/>
    <mergeCell ref="D12767:D12769"/>
    <mergeCell ref="E12767:E12769"/>
    <mergeCell ref="F12767:F12769"/>
    <mergeCell ref="G12767:G12769"/>
    <mergeCell ref="H12767:H12769"/>
    <mergeCell ref="I12767:I12769"/>
    <mergeCell ref="J12767:J12769"/>
    <mergeCell ref="K12767:K12769"/>
    <mergeCell ref="L12767:L12769"/>
    <mergeCell ref="M12767:M12769"/>
    <mergeCell ref="N12767:N12769"/>
    <mergeCell ref="A12772:A12773"/>
    <mergeCell ref="B12772:B12773"/>
    <mergeCell ref="C12772:C12773"/>
    <mergeCell ref="D12772:D12773"/>
    <mergeCell ref="E12772:E12773"/>
    <mergeCell ref="F12772:F12773"/>
    <mergeCell ref="G12772:G12773"/>
    <mergeCell ref="H12772:H12773"/>
    <mergeCell ref="I12772:I12773"/>
    <mergeCell ref="J12772:J12773"/>
    <mergeCell ref="K12772:K12773"/>
    <mergeCell ref="L12772:L12773"/>
    <mergeCell ref="M12772:M12773"/>
    <mergeCell ref="N12772:N12773"/>
    <mergeCell ref="A12775:A12777"/>
    <mergeCell ref="B12775:B12777"/>
    <mergeCell ref="C12775:C12777"/>
    <mergeCell ref="D12775:D12777"/>
    <mergeCell ref="E12775:E12777"/>
    <mergeCell ref="F12775:F12777"/>
    <mergeCell ref="G12775:G12777"/>
    <mergeCell ref="H12775:H12777"/>
    <mergeCell ref="I12775:I12777"/>
    <mergeCell ref="J12775:J12777"/>
    <mergeCell ref="K12775:K12777"/>
    <mergeCell ref="L12775:L12777"/>
    <mergeCell ref="M12775:M12777"/>
    <mergeCell ref="N12775:N12777"/>
    <mergeCell ref="A12780:A12786"/>
    <mergeCell ref="B12780:B12786"/>
    <mergeCell ref="C12780:C12786"/>
    <mergeCell ref="D12780:D12786"/>
    <mergeCell ref="E12780:E12786"/>
    <mergeCell ref="F12780:F12786"/>
    <mergeCell ref="G12780:G12786"/>
    <mergeCell ref="H12780:H12786"/>
    <mergeCell ref="I12780:I12786"/>
    <mergeCell ref="J12780:J12786"/>
    <mergeCell ref="K12780:K12786"/>
    <mergeCell ref="L12780:L12786"/>
    <mergeCell ref="M12780:M12786"/>
    <mergeCell ref="N12780:N12786"/>
    <mergeCell ref="A12791:A12792"/>
    <mergeCell ref="B12791:B12792"/>
    <mergeCell ref="C12791:C12792"/>
    <mergeCell ref="D12791:D12792"/>
    <mergeCell ref="E12791:E12792"/>
    <mergeCell ref="F12791:F12792"/>
    <mergeCell ref="G12791:G12792"/>
    <mergeCell ref="H12791:H12792"/>
    <mergeCell ref="I12791:I12792"/>
    <mergeCell ref="J12791:J12792"/>
    <mergeCell ref="K12791:K12792"/>
    <mergeCell ref="L12791:L12792"/>
    <mergeCell ref="M12791:M12792"/>
    <mergeCell ref="N12791:N12792"/>
    <mergeCell ref="A12794:A12795"/>
    <mergeCell ref="B12794:B12795"/>
    <mergeCell ref="C12794:C12795"/>
    <mergeCell ref="D12794:D12795"/>
    <mergeCell ref="E12794:E12795"/>
    <mergeCell ref="F12794:F12795"/>
    <mergeCell ref="G12794:G12795"/>
    <mergeCell ref="H12794:H12795"/>
    <mergeCell ref="I12794:I12795"/>
    <mergeCell ref="J12794:J12795"/>
    <mergeCell ref="K12794:K12795"/>
    <mergeCell ref="L12794:L12795"/>
    <mergeCell ref="M12794:M12795"/>
    <mergeCell ref="N12794:N12795"/>
    <mergeCell ref="A12796:A12797"/>
    <mergeCell ref="B12796:B12797"/>
    <mergeCell ref="C12796:C12797"/>
    <mergeCell ref="D12796:D12797"/>
    <mergeCell ref="E12796:E12797"/>
    <mergeCell ref="F12796:F12797"/>
    <mergeCell ref="G12796:G12797"/>
    <mergeCell ref="H12796:H12797"/>
    <mergeCell ref="I12796:I12797"/>
    <mergeCell ref="J12796:J12797"/>
    <mergeCell ref="K12796:K12797"/>
    <mergeCell ref="L12796:L12797"/>
    <mergeCell ref="M12796:M12797"/>
    <mergeCell ref="N12796:N12797"/>
    <mergeCell ref="A12800:A12801"/>
    <mergeCell ref="B12800:B12801"/>
    <mergeCell ref="C12800:C12801"/>
    <mergeCell ref="D12800:D12801"/>
    <mergeCell ref="E12800:E12801"/>
    <mergeCell ref="F12800:F12801"/>
    <mergeCell ref="G12800:G12801"/>
    <mergeCell ref="H12800:H12801"/>
    <mergeCell ref="I12800:I12801"/>
    <mergeCell ref="J12800:J12801"/>
    <mergeCell ref="K12800:K12801"/>
    <mergeCell ref="L12800:L12801"/>
    <mergeCell ref="M12800:M12801"/>
    <mergeCell ref="N12800:N12801"/>
    <mergeCell ref="A12808:A12809"/>
    <mergeCell ref="B12808:B12809"/>
    <mergeCell ref="C12808:C12809"/>
    <mergeCell ref="D12808:D12809"/>
    <mergeCell ref="E12808:E12809"/>
    <mergeCell ref="F12808:F12809"/>
    <mergeCell ref="G12808:G12809"/>
    <mergeCell ref="H12808:H12809"/>
    <mergeCell ref="I12808:I12809"/>
    <mergeCell ref="J12808:J12809"/>
    <mergeCell ref="K12808:K12809"/>
    <mergeCell ref="L12808:L12809"/>
    <mergeCell ref="M12808:M12809"/>
    <mergeCell ref="N12808:N12809"/>
    <mergeCell ref="A12810:A12811"/>
    <mergeCell ref="B12810:B12811"/>
    <mergeCell ref="C12810:C12811"/>
    <mergeCell ref="D12810:D12811"/>
    <mergeCell ref="E12810:E12811"/>
    <mergeCell ref="F12810:F12811"/>
    <mergeCell ref="G12810:G12811"/>
    <mergeCell ref="H12810:H12811"/>
    <mergeCell ref="I12810:I12811"/>
    <mergeCell ref="J12810:J12811"/>
    <mergeCell ref="K12810:K12811"/>
    <mergeCell ref="L12810:L12811"/>
    <mergeCell ref="M12810:M12811"/>
    <mergeCell ref="N12810:N12811"/>
    <mergeCell ref="A12812:A12813"/>
    <mergeCell ref="B12812:B12813"/>
    <mergeCell ref="C12812:C12813"/>
    <mergeCell ref="D12812:D12813"/>
    <mergeCell ref="E12812:E12813"/>
    <mergeCell ref="F12812:F12813"/>
    <mergeCell ref="G12812:G12813"/>
    <mergeCell ref="H12812:H12813"/>
    <mergeCell ref="I12812:I12813"/>
    <mergeCell ref="J12812:J12813"/>
    <mergeCell ref="K12812:K12813"/>
    <mergeCell ref="L12812:L12813"/>
    <mergeCell ref="M12812:M12813"/>
    <mergeCell ref="N12812:N12813"/>
    <mergeCell ref="A12814:A12815"/>
    <mergeCell ref="B12814:B12815"/>
    <mergeCell ref="C12814:C12815"/>
    <mergeCell ref="D12814:D12815"/>
    <mergeCell ref="E12814:E12815"/>
    <mergeCell ref="F12814:F12815"/>
    <mergeCell ref="G12814:G12815"/>
    <mergeCell ref="H12814:H12815"/>
    <mergeCell ref="I12814:I12815"/>
    <mergeCell ref="J12814:J12815"/>
    <mergeCell ref="K12814:K12815"/>
    <mergeCell ref="L12814:L12815"/>
    <mergeCell ref="M12814:M12815"/>
    <mergeCell ref="N12814:N12815"/>
    <mergeCell ref="A12820:A12821"/>
    <mergeCell ref="B12820:B12821"/>
    <mergeCell ref="C12820:C12821"/>
    <mergeCell ref="D12820:D12821"/>
    <mergeCell ref="E12820:E12821"/>
    <mergeCell ref="F12820:F12821"/>
    <mergeCell ref="G12820:G12821"/>
    <mergeCell ref="H12820:H12821"/>
    <mergeCell ref="I12820:I12821"/>
    <mergeCell ref="J12820:J12821"/>
    <mergeCell ref="K12820:K12821"/>
    <mergeCell ref="L12820:L12821"/>
    <mergeCell ref="M12820:M12821"/>
    <mergeCell ref="N12820:N12821"/>
    <mergeCell ref="A12822:A12823"/>
    <mergeCell ref="B12822:B12823"/>
    <mergeCell ref="C12822:C12823"/>
    <mergeCell ref="D12822:D12823"/>
    <mergeCell ref="E12822:E12823"/>
    <mergeCell ref="F12822:F12823"/>
    <mergeCell ref="G12822:G12823"/>
    <mergeCell ref="H12822:H12823"/>
    <mergeCell ref="I12822:I12823"/>
    <mergeCell ref="J12822:J12823"/>
    <mergeCell ref="K12822:K12823"/>
    <mergeCell ref="L12822:L12823"/>
    <mergeCell ref="M12822:M12823"/>
    <mergeCell ref="N12822:N12823"/>
    <mergeCell ref="A12825:A12826"/>
    <mergeCell ref="B12825:B12826"/>
    <mergeCell ref="C12825:C12826"/>
    <mergeCell ref="D12825:D12826"/>
    <mergeCell ref="E12825:E12826"/>
    <mergeCell ref="F12825:F12826"/>
    <mergeCell ref="G12825:G12826"/>
    <mergeCell ref="H12825:H12826"/>
    <mergeCell ref="I12825:I12826"/>
    <mergeCell ref="J12825:J12826"/>
    <mergeCell ref="K12825:K12826"/>
    <mergeCell ref="L12825:L12826"/>
    <mergeCell ref="M12825:M12826"/>
    <mergeCell ref="N12825:N12826"/>
    <mergeCell ref="A12828:A12829"/>
    <mergeCell ref="B12828:B12829"/>
    <mergeCell ref="C12828:C12829"/>
    <mergeCell ref="D12828:D12829"/>
    <mergeCell ref="E12828:E12829"/>
    <mergeCell ref="F12828:F12829"/>
    <mergeCell ref="G12828:G12829"/>
    <mergeCell ref="H12828:H12829"/>
    <mergeCell ref="I12828:I12829"/>
    <mergeCell ref="J12828:J12829"/>
    <mergeCell ref="K12828:K12829"/>
    <mergeCell ref="L12828:L12829"/>
    <mergeCell ref="M12828:M12829"/>
    <mergeCell ref="N12828:N12829"/>
    <mergeCell ref="A12832:A12833"/>
    <mergeCell ref="B12832:B12833"/>
    <mergeCell ref="C12832:C12833"/>
    <mergeCell ref="D12832:D12833"/>
    <mergeCell ref="E12832:E12833"/>
    <mergeCell ref="F12832:F12833"/>
    <mergeCell ref="G12832:G12833"/>
    <mergeCell ref="H12832:H12833"/>
    <mergeCell ref="I12832:I12833"/>
    <mergeCell ref="J12832:J12833"/>
    <mergeCell ref="K12832:K12833"/>
    <mergeCell ref="L12832:L12833"/>
    <mergeCell ref="M12832:M12833"/>
    <mergeCell ref="N12832:N12833"/>
    <mergeCell ref="A12837:A12838"/>
    <mergeCell ref="B12837:B12838"/>
    <mergeCell ref="C12837:C12838"/>
    <mergeCell ref="D12837:D12838"/>
    <mergeCell ref="E12837:E12838"/>
    <mergeCell ref="F12837:F12838"/>
    <mergeCell ref="G12837:G12838"/>
    <mergeCell ref="H12837:H12838"/>
    <mergeCell ref="I12837:I12838"/>
    <mergeCell ref="J12837:J12838"/>
    <mergeCell ref="K12837:K12838"/>
    <mergeCell ref="L12837:L12838"/>
    <mergeCell ref="M12837:M12838"/>
    <mergeCell ref="N12837:N12838"/>
    <mergeCell ref="A12841:A12842"/>
    <mergeCell ref="B12841:B12842"/>
    <mergeCell ref="C12841:C12842"/>
    <mergeCell ref="D12841:D12842"/>
    <mergeCell ref="E12841:E12842"/>
    <mergeCell ref="F12841:F12842"/>
    <mergeCell ref="G12841:G12842"/>
    <mergeCell ref="H12841:H12842"/>
    <mergeCell ref="I12841:I12842"/>
    <mergeCell ref="J12841:J12842"/>
    <mergeCell ref="K12841:K12842"/>
    <mergeCell ref="L12841:L12842"/>
    <mergeCell ref="M12841:M12842"/>
    <mergeCell ref="N12841:N12842"/>
    <mergeCell ref="A12844:A12845"/>
    <mergeCell ref="B12844:B12845"/>
    <mergeCell ref="C12844:C12845"/>
    <mergeCell ref="D12844:D12845"/>
    <mergeCell ref="E12844:E12845"/>
    <mergeCell ref="F12844:F12845"/>
    <mergeCell ref="G12844:G12845"/>
    <mergeCell ref="H12844:H12845"/>
    <mergeCell ref="I12844:I12845"/>
    <mergeCell ref="J12844:J12845"/>
    <mergeCell ref="K12844:K12845"/>
    <mergeCell ref="L12844:L12845"/>
    <mergeCell ref="M12844:M12845"/>
    <mergeCell ref="N12844:N12845"/>
    <mergeCell ref="A12846:A12848"/>
    <mergeCell ref="B12846:B12848"/>
    <mergeCell ref="C12846:C12848"/>
    <mergeCell ref="D12846:D12848"/>
    <mergeCell ref="E12846:E12848"/>
    <mergeCell ref="F12846:F12848"/>
    <mergeCell ref="G12846:G12848"/>
    <mergeCell ref="H12846:H12848"/>
    <mergeCell ref="I12846:I12848"/>
    <mergeCell ref="J12846:J12848"/>
    <mergeCell ref="K12846:K12848"/>
    <mergeCell ref="L12846:L12848"/>
    <mergeCell ref="M12846:M12848"/>
    <mergeCell ref="N12846:N12848"/>
    <mergeCell ref="A12849:A12850"/>
    <mergeCell ref="B12849:B12850"/>
    <mergeCell ref="C12849:C12850"/>
    <mergeCell ref="D12849:D12850"/>
    <mergeCell ref="E12849:E12850"/>
    <mergeCell ref="F12849:F12850"/>
    <mergeCell ref="G12849:G12850"/>
    <mergeCell ref="H12849:H12850"/>
    <mergeCell ref="I12849:I12850"/>
    <mergeCell ref="J12849:J12850"/>
    <mergeCell ref="K12849:K12850"/>
    <mergeCell ref="L12849:L12850"/>
    <mergeCell ref="M12849:M12850"/>
    <mergeCell ref="N12849:N12850"/>
    <mergeCell ref="A12851:A12853"/>
    <mergeCell ref="B12851:B12853"/>
    <mergeCell ref="C12851:C12853"/>
    <mergeCell ref="D12851:D12853"/>
    <mergeCell ref="E12851:E12853"/>
    <mergeCell ref="F12851:F12853"/>
    <mergeCell ref="G12851:G12853"/>
    <mergeCell ref="H12851:H12853"/>
    <mergeCell ref="I12851:I12853"/>
    <mergeCell ref="J12851:J12853"/>
    <mergeCell ref="K12851:K12853"/>
    <mergeCell ref="L12851:L12853"/>
    <mergeCell ref="M12851:M12853"/>
    <mergeCell ref="N12851:N12853"/>
    <mergeCell ref="A12855:A12856"/>
    <mergeCell ref="B12855:B12856"/>
    <mergeCell ref="C12855:C12856"/>
    <mergeCell ref="D12855:D12856"/>
    <mergeCell ref="E12855:E12856"/>
    <mergeCell ref="F12855:F12856"/>
    <mergeCell ref="G12855:G12856"/>
    <mergeCell ref="H12855:H12856"/>
    <mergeCell ref="I12855:I12856"/>
    <mergeCell ref="J12855:J12856"/>
    <mergeCell ref="K12855:K12856"/>
    <mergeCell ref="L12855:L12856"/>
    <mergeCell ref="M12855:M12856"/>
    <mergeCell ref="N12855:N12856"/>
    <mergeCell ref="A12858:A12862"/>
    <mergeCell ref="B12858:B12862"/>
    <mergeCell ref="C12858:C12862"/>
    <mergeCell ref="D12858:D12862"/>
    <mergeCell ref="E12858:E12862"/>
    <mergeCell ref="F12858:F12862"/>
    <mergeCell ref="G12858:G12862"/>
    <mergeCell ref="H12858:H12862"/>
    <mergeCell ref="I12858:I12862"/>
    <mergeCell ref="J12858:J12862"/>
    <mergeCell ref="K12858:K12862"/>
    <mergeCell ref="L12858:L12862"/>
    <mergeCell ref="M12858:M12862"/>
    <mergeCell ref="N12858:N12862"/>
    <mergeCell ref="A12869:A12870"/>
    <mergeCell ref="B12869:B12870"/>
    <mergeCell ref="C12869:C12870"/>
    <mergeCell ref="D12869:D12870"/>
    <mergeCell ref="E12869:E12870"/>
    <mergeCell ref="F12869:F12870"/>
    <mergeCell ref="G12869:G12870"/>
    <mergeCell ref="H12869:H12870"/>
    <mergeCell ref="I12869:I12870"/>
    <mergeCell ref="J12869:J12870"/>
    <mergeCell ref="K12869:K12870"/>
    <mergeCell ref="L12869:L12870"/>
    <mergeCell ref="M12869:M12870"/>
    <mergeCell ref="N12869:N12870"/>
    <mergeCell ref="A12872:A12888"/>
    <mergeCell ref="B12872:B12888"/>
    <mergeCell ref="C12872:C12888"/>
    <mergeCell ref="D12872:D12888"/>
    <mergeCell ref="E12872:E12888"/>
    <mergeCell ref="F12872:F12888"/>
    <mergeCell ref="G12872:G12888"/>
    <mergeCell ref="H12872:H12888"/>
    <mergeCell ref="I12872:I12888"/>
    <mergeCell ref="J12872:J12888"/>
    <mergeCell ref="K12872:K12888"/>
    <mergeCell ref="L12872:L12888"/>
    <mergeCell ref="M12872:M12888"/>
    <mergeCell ref="N12872:N12888"/>
    <mergeCell ref="A12894:A12896"/>
    <mergeCell ref="B12894:B12896"/>
    <mergeCell ref="C12894:C12896"/>
    <mergeCell ref="D12894:D12896"/>
    <mergeCell ref="E12894:E12896"/>
    <mergeCell ref="F12894:F12896"/>
    <mergeCell ref="G12894:G12896"/>
    <mergeCell ref="H12894:H12896"/>
    <mergeCell ref="I12894:I12896"/>
    <mergeCell ref="J12894:J12896"/>
    <mergeCell ref="K12894:K12896"/>
    <mergeCell ref="L12894:L12896"/>
    <mergeCell ref="M12894:M12896"/>
    <mergeCell ref="N12894:N12896"/>
    <mergeCell ref="A12897:A12898"/>
    <mergeCell ref="B12897:B12898"/>
    <mergeCell ref="C12897:C12898"/>
    <mergeCell ref="D12897:D12898"/>
    <mergeCell ref="E12897:E12898"/>
    <mergeCell ref="F12897:F12898"/>
    <mergeCell ref="G12897:G12898"/>
    <mergeCell ref="H12897:H12898"/>
    <mergeCell ref="I12897:I12898"/>
    <mergeCell ref="J12897:J12898"/>
    <mergeCell ref="K12897:K12898"/>
    <mergeCell ref="L12897:L12898"/>
    <mergeCell ref="M12897:M12898"/>
    <mergeCell ref="N12897:N12898"/>
    <mergeCell ref="A12900:A12901"/>
    <mergeCell ref="B12900:B12901"/>
    <mergeCell ref="C12900:C12901"/>
    <mergeCell ref="D12900:D12901"/>
    <mergeCell ref="E12900:E12901"/>
    <mergeCell ref="F12900:F12901"/>
    <mergeCell ref="G12900:G12901"/>
    <mergeCell ref="H12900:H12901"/>
    <mergeCell ref="I12900:I12901"/>
    <mergeCell ref="J12900:J12901"/>
    <mergeCell ref="K12900:K12901"/>
    <mergeCell ref="L12900:L12901"/>
    <mergeCell ref="M12900:M12901"/>
    <mergeCell ref="N12900:N12901"/>
    <mergeCell ref="A12903:A12909"/>
    <mergeCell ref="B12903:B12909"/>
    <mergeCell ref="C12903:C12909"/>
    <mergeCell ref="D12903:D12909"/>
    <mergeCell ref="E12903:E12909"/>
    <mergeCell ref="F12903:F12909"/>
    <mergeCell ref="G12903:G12909"/>
    <mergeCell ref="H12903:H12909"/>
    <mergeCell ref="I12903:I12909"/>
    <mergeCell ref="J12903:J12909"/>
    <mergeCell ref="K12903:K12909"/>
    <mergeCell ref="L12903:L12909"/>
    <mergeCell ref="M12903:M12909"/>
    <mergeCell ref="N12903:N12909"/>
    <mergeCell ref="A12915:A12917"/>
    <mergeCell ref="B12915:B12917"/>
    <mergeCell ref="C12915:C12917"/>
    <mergeCell ref="D12915:D12917"/>
    <mergeCell ref="E12915:E12917"/>
    <mergeCell ref="F12915:F12917"/>
    <mergeCell ref="G12915:G12917"/>
    <mergeCell ref="H12915:H12917"/>
    <mergeCell ref="I12915:I12917"/>
    <mergeCell ref="J12915:J12917"/>
    <mergeCell ref="K12915:K12917"/>
    <mergeCell ref="L12915:L12917"/>
    <mergeCell ref="M12915:M12917"/>
    <mergeCell ref="N12915:N12917"/>
    <mergeCell ref="A12920:A12921"/>
    <mergeCell ref="B12920:B12921"/>
    <mergeCell ref="C12920:C12921"/>
    <mergeCell ref="D12920:D12921"/>
    <mergeCell ref="E12920:E12921"/>
    <mergeCell ref="F12920:F12921"/>
    <mergeCell ref="G12920:G12921"/>
    <mergeCell ref="H12920:H12921"/>
    <mergeCell ref="I12920:I12921"/>
    <mergeCell ref="J12920:J12921"/>
    <mergeCell ref="K12920:K12921"/>
    <mergeCell ref="L12920:L12921"/>
    <mergeCell ref="M12920:M12921"/>
    <mergeCell ref="N12920:N12921"/>
    <mergeCell ref="A12927:A12928"/>
    <mergeCell ref="B12927:B12928"/>
    <mergeCell ref="C12927:C12928"/>
    <mergeCell ref="D12927:D12928"/>
    <mergeCell ref="E12927:E12928"/>
    <mergeCell ref="F12927:F12928"/>
    <mergeCell ref="G12927:G12928"/>
    <mergeCell ref="H12927:H12928"/>
    <mergeCell ref="I12927:I12928"/>
    <mergeCell ref="J12927:J12928"/>
    <mergeCell ref="K12927:K12928"/>
    <mergeCell ref="L12927:L12928"/>
    <mergeCell ref="M12927:M12928"/>
    <mergeCell ref="N12927:N12928"/>
    <mergeCell ref="A12929:A12930"/>
    <mergeCell ref="B12929:B12930"/>
    <mergeCell ref="C12929:C12930"/>
    <mergeCell ref="D12929:D12930"/>
    <mergeCell ref="E12929:E12930"/>
    <mergeCell ref="F12929:F12930"/>
    <mergeCell ref="G12929:G12930"/>
    <mergeCell ref="H12929:H12930"/>
    <mergeCell ref="I12929:I12930"/>
    <mergeCell ref="J12929:J12930"/>
    <mergeCell ref="K12929:K12930"/>
    <mergeCell ref="L12929:L12930"/>
    <mergeCell ref="M12929:M12930"/>
    <mergeCell ref="N12929:N12930"/>
    <mergeCell ref="A12936:A12942"/>
    <mergeCell ref="B12936:B12942"/>
    <mergeCell ref="C12936:C12942"/>
    <mergeCell ref="D12936:D12942"/>
    <mergeCell ref="E12936:E12942"/>
    <mergeCell ref="F12936:F12942"/>
    <mergeCell ref="G12936:G12942"/>
    <mergeCell ref="H12936:H12942"/>
    <mergeCell ref="I12936:I12942"/>
    <mergeCell ref="J12936:J12942"/>
    <mergeCell ref="K12936:K12942"/>
    <mergeCell ref="L12936:L12942"/>
    <mergeCell ref="M12936:M12942"/>
    <mergeCell ref="N12936:N12942"/>
    <mergeCell ref="A12943:A12944"/>
    <mergeCell ref="B12943:B12944"/>
    <mergeCell ref="C12943:C12944"/>
    <mergeCell ref="D12943:D12944"/>
    <mergeCell ref="E12943:E12944"/>
    <mergeCell ref="F12943:F12944"/>
    <mergeCell ref="G12943:G12944"/>
    <mergeCell ref="H12943:H12944"/>
    <mergeCell ref="I12943:I12944"/>
    <mergeCell ref="J12943:J12944"/>
    <mergeCell ref="K12943:K12944"/>
    <mergeCell ref="L12943:L12944"/>
    <mergeCell ref="M12943:M12944"/>
    <mergeCell ref="N12943:N12944"/>
    <mergeCell ref="A12946:A12949"/>
    <mergeCell ref="B12946:B12949"/>
    <mergeCell ref="C12946:C12949"/>
    <mergeCell ref="D12946:D12949"/>
    <mergeCell ref="E12946:E12949"/>
    <mergeCell ref="F12946:F12949"/>
    <mergeCell ref="G12946:G12949"/>
    <mergeCell ref="H12946:H12949"/>
    <mergeCell ref="I12946:I12949"/>
    <mergeCell ref="J12946:J12949"/>
    <mergeCell ref="K12946:K12949"/>
    <mergeCell ref="L12946:L12949"/>
    <mergeCell ref="M12946:M12949"/>
    <mergeCell ref="N12946:N12949"/>
    <mergeCell ref="A12951:A12952"/>
    <mergeCell ref="B12951:B12952"/>
    <mergeCell ref="C12951:C12952"/>
    <mergeCell ref="D12951:D12952"/>
    <mergeCell ref="E12951:E12952"/>
    <mergeCell ref="F12951:F12952"/>
    <mergeCell ref="G12951:G12952"/>
    <mergeCell ref="H12951:H12952"/>
    <mergeCell ref="I12951:I12952"/>
    <mergeCell ref="J12951:J12952"/>
    <mergeCell ref="K12951:K12952"/>
    <mergeCell ref="L12951:L12952"/>
    <mergeCell ref="M12951:M12952"/>
    <mergeCell ref="N12951:N12952"/>
    <mergeCell ref="A12953:A12961"/>
    <mergeCell ref="B12953:B12961"/>
    <mergeCell ref="C12953:C12961"/>
    <mergeCell ref="D12953:D12961"/>
    <mergeCell ref="E12953:E12961"/>
    <mergeCell ref="F12953:F12961"/>
    <mergeCell ref="G12953:G12961"/>
    <mergeCell ref="H12953:H12961"/>
    <mergeCell ref="I12953:I12961"/>
    <mergeCell ref="J12953:J12961"/>
    <mergeCell ref="K12953:K12961"/>
    <mergeCell ref="L12953:L12961"/>
    <mergeCell ref="M12953:M12961"/>
    <mergeCell ref="N12953:N12961"/>
    <mergeCell ref="A12962:A12973"/>
    <mergeCell ref="B12962:B12973"/>
    <mergeCell ref="C12962:C12973"/>
    <mergeCell ref="D12962:D12973"/>
    <mergeCell ref="E12962:E12973"/>
    <mergeCell ref="F12962:F12973"/>
    <mergeCell ref="G12962:G12973"/>
    <mergeCell ref="H12962:H12973"/>
    <mergeCell ref="I12962:I12973"/>
    <mergeCell ref="J12962:J12973"/>
    <mergeCell ref="K12962:K12973"/>
    <mergeCell ref="L12962:L12973"/>
    <mergeCell ref="M12962:M12973"/>
    <mergeCell ref="N12962:N12973"/>
    <mergeCell ref="A12977:A12978"/>
    <mergeCell ref="B12977:B12978"/>
    <mergeCell ref="C12977:C12978"/>
    <mergeCell ref="D12977:D12978"/>
    <mergeCell ref="E12977:E12978"/>
    <mergeCell ref="F12977:F12978"/>
    <mergeCell ref="G12977:G12978"/>
    <mergeCell ref="H12977:H12978"/>
    <mergeCell ref="I12977:I12978"/>
    <mergeCell ref="J12977:J12978"/>
    <mergeCell ref="K12977:K12978"/>
    <mergeCell ref="L12977:L12978"/>
    <mergeCell ref="M12977:M12978"/>
    <mergeCell ref="N12977:N12978"/>
    <mergeCell ref="A12979:A12980"/>
    <mergeCell ref="B12979:B12980"/>
    <mergeCell ref="C12979:C12980"/>
    <mergeCell ref="D12979:D12980"/>
    <mergeCell ref="E12979:E12980"/>
    <mergeCell ref="F12979:F12980"/>
    <mergeCell ref="G12979:G12980"/>
    <mergeCell ref="H12979:H12980"/>
    <mergeCell ref="I12979:I12980"/>
    <mergeCell ref="J12979:J12980"/>
    <mergeCell ref="K12979:K12980"/>
    <mergeCell ref="L12979:L12980"/>
    <mergeCell ref="M12979:M12980"/>
    <mergeCell ref="N12979:N12980"/>
    <mergeCell ref="A12982:A12983"/>
    <mergeCell ref="B12982:B12983"/>
    <mergeCell ref="C12982:C12983"/>
    <mergeCell ref="D12982:D12983"/>
    <mergeCell ref="E12982:E12983"/>
    <mergeCell ref="F12982:F12983"/>
    <mergeCell ref="G12982:G12983"/>
    <mergeCell ref="H12982:H12983"/>
    <mergeCell ref="I12982:I12983"/>
    <mergeCell ref="J12982:J12983"/>
    <mergeCell ref="K12982:K12983"/>
    <mergeCell ref="L12982:L12983"/>
    <mergeCell ref="M12982:M12983"/>
    <mergeCell ref="N12982:N12983"/>
    <mergeCell ref="A12985:A12987"/>
    <mergeCell ref="B12985:B12987"/>
    <mergeCell ref="C12985:C12987"/>
    <mergeCell ref="D12985:D12987"/>
    <mergeCell ref="E12985:E12987"/>
    <mergeCell ref="F12985:F12987"/>
    <mergeCell ref="G12985:G12987"/>
    <mergeCell ref="H12985:H12987"/>
    <mergeCell ref="I12985:I12987"/>
    <mergeCell ref="J12985:J12987"/>
    <mergeCell ref="K12985:K12987"/>
    <mergeCell ref="L12985:L12987"/>
    <mergeCell ref="M12985:M12987"/>
    <mergeCell ref="N12985:N12987"/>
    <mergeCell ref="A12988:A12989"/>
    <mergeCell ref="B12988:B12989"/>
    <mergeCell ref="C12988:C12989"/>
    <mergeCell ref="D12988:D12989"/>
    <mergeCell ref="E12988:E12989"/>
    <mergeCell ref="F12988:F12989"/>
    <mergeCell ref="G12988:G12989"/>
    <mergeCell ref="H12988:H12989"/>
    <mergeCell ref="I12988:I12989"/>
    <mergeCell ref="J12988:J12989"/>
    <mergeCell ref="K12988:K12989"/>
    <mergeCell ref="L12988:L12989"/>
    <mergeCell ref="M12988:M12989"/>
    <mergeCell ref="N12988:N12989"/>
    <mergeCell ref="A12991:A12993"/>
    <mergeCell ref="B12991:B12993"/>
    <mergeCell ref="C12991:C12993"/>
    <mergeCell ref="D12991:D12993"/>
    <mergeCell ref="E12991:E12993"/>
    <mergeCell ref="F12991:F12993"/>
    <mergeCell ref="G12991:G12993"/>
    <mergeCell ref="H12991:H12993"/>
    <mergeCell ref="I12991:I12993"/>
    <mergeCell ref="J12991:J12993"/>
    <mergeCell ref="K12991:K12993"/>
    <mergeCell ref="L12991:L12993"/>
    <mergeCell ref="M12991:M12993"/>
    <mergeCell ref="N12991:N12993"/>
    <mergeCell ref="A12994:A13002"/>
    <mergeCell ref="B12994:B13002"/>
    <mergeCell ref="C12994:C13002"/>
    <mergeCell ref="D12994:D13002"/>
    <mergeCell ref="E12994:E13002"/>
    <mergeCell ref="F12994:F13002"/>
    <mergeCell ref="G12994:G13002"/>
    <mergeCell ref="H12994:H13002"/>
    <mergeCell ref="I12994:I13002"/>
    <mergeCell ref="J12994:J13002"/>
    <mergeCell ref="K12994:K13002"/>
    <mergeCell ref="L12994:L13002"/>
    <mergeCell ref="M12994:M13002"/>
    <mergeCell ref="N12994:N13002"/>
    <mergeCell ref="A13003:A13004"/>
    <mergeCell ref="B13003:B13004"/>
    <mergeCell ref="C13003:C13004"/>
    <mergeCell ref="D13003:D13004"/>
    <mergeCell ref="E13003:E13004"/>
    <mergeCell ref="F13003:F13004"/>
    <mergeCell ref="G13003:G13004"/>
    <mergeCell ref="H13003:H13004"/>
    <mergeCell ref="I13003:I13004"/>
    <mergeCell ref="J13003:J13004"/>
    <mergeCell ref="K13003:K13004"/>
    <mergeCell ref="L13003:L13004"/>
    <mergeCell ref="M13003:M13004"/>
    <mergeCell ref="N13003:N13004"/>
    <mergeCell ref="A13007:A13009"/>
    <mergeCell ref="B13007:B13009"/>
    <mergeCell ref="C13007:C13009"/>
    <mergeCell ref="D13007:D13009"/>
    <mergeCell ref="E13007:E13009"/>
    <mergeCell ref="F13007:F13009"/>
    <mergeCell ref="G13007:G13009"/>
    <mergeCell ref="H13007:H13009"/>
    <mergeCell ref="I13007:I13009"/>
    <mergeCell ref="J13007:J13009"/>
    <mergeCell ref="K13007:K13009"/>
    <mergeCell ref="L13007:L13009"/>
    <mergeCell ref="M13007:M13009"/>
    <mergeCell ref="N13007:N13009"/>
    <mergeCell ref="A13010:A13013"/>
    <mergeCell ref="B13010:B13013"/>
    <mergeCell ref="C13010:C13013"/>
    <mergeCell ref="D13010:D13013"/>
    <mergeCell ref="E13010:E13013"/>
    <mergeCell ref="F13010:F13013"/>
    <mergeCell ref="G13010:G13013"/>
    <mergeCell ref="H13010:H13013"/>
    <mergeCell ref="I13010:I13013"/>
    <mergeCell ref="J13010:J13013"/>
    <mergeCell ref="K13010:K13013"/>
    <mergeCell ref="L13010:L13013"/>
    <mergeCell ref="M13010:M13013"/>
    <mergeCell ref="N13010:N13013"/>
    <mergeCell ref="A13014:A13017"/>
    <mergeCell ref="B13014:B13017"/>
    <mergeCell ref="C13014:C13017"/>
    <mergeCell ref="D13014:D13017"/>
    <mergeCell ref="E13014:E13017"/>
    <mergeCell ref="F13014:F13017"/>
    <mergeCell ref="G13014:G13017"/>
    <mergeCell ref="H13014:H13017"/>
    <mergeCell ref="I13014:I13017"/>
    <mergeCell ref="J13014:J13017"/>
    <mergeCell ref="K13014:K13017"/>
    <mergeCell ref="L13014:L13017"/>
    <mergeCell ref="M13014:M13017"/>
    <mergeCell ref="N13014:N13017"/>
    <mergeCell ref="A13022:A13032"/>
    <mergeCell ref="B13022:B13032"/>
    <mergeCell ref="C13022:C13032"/>
    <mergeCell ref="D13022:D13032"/>
    <mergeCell ref="E13022:E13032"/>
    <mergeCell ref="F13022:F13032"/>
    <mergeCell ref="G13022:G13032"/>
    <mergeCell ref="H13022:H13032"/>
    <mergeCell ref="I13022:I13032"/>
    <mergeCell ref="J13022:J13032"/>
    <mergeCell ref="K13022:K13032"/>
    <mergeCell ref="L13022:L13032"/>
    <mergeCell ref="M13022:M13032"/>
    <mergeCell ref="N13022:N13032"/>
    <mergeCell ref="A13034:A13035"/>
    <mergeCell ref="B13034:B13035"/>
    <mergeCell ref="C13034:C13035"/>
    <mergeCell ref="D13034:D13035"/>
    <mergeCell ref="E13034:E13035"/>
    <mergeCell ref="F13034:F13035"/>
    <mergeCell ref="G13034:G13035"/>
    <mergeCell ref="H13034:H13035"/>
    <mergeCell ref="I13034:I13035"/>
    <mergeCell ref="J13034:J13035"/>
    <mergeCell ref="K13034:K13035"/>
    <mergeCell ref="L13034:L13035"/>
    <mergeCell ref="M13034:M13035"/>
    <mergeCell ref="N13034:N13035"/>
    <mergeCell ref="A13036:A13037"/>
    <mergeCell ref="B13036:B13037"/>
    <mergeCell ref="C13036:C13037"/>
    <mergeCell ref="D13036:D13037"/>
    <mergeCell ref="E13036:E13037"/>
    <mergeCell ref="F13036:F13037"/>
    <mergeCell ref="G13036:G13037"/>
    <mergeCell ref="H13036:H13037"/>
    <mergeCell ref="I13036:I13037"/>
    <mergeCell ref="J13036:J13037"/>
    <mergeCell ref="K13036:K13037"/>
    <mergeCell ref="L13036:L13037"/>
    <mergeCell ref="M13036:M13037"/>
    <mergeCell ref="N13036:N13037"/>
    <mergeCell ref="A13038:A13039"/>
    <mergeCell ref="B13038:B13039"/>
    <mergeCell ref="C13038:C13039"/>
    <mergeCell ref="D13038:D13039"/>
    <mergeCell ref="E13038:E13039"/>
    <mergeCell ref="F13038:F13039"/>
    <mergeCell ref="G13038:G13039"/>
    <mergeCell ref="H13038:H13039"/>
    <mergeCell ref="I13038:I13039"/>
    <mergeCell ref="J13038:J13039"/>
    <mergeCell ref="K13038:K13039"/>
    <mergeCell ref="L13038:L13039"/>
    <mergeCell ref="M13038:M13039"/>
    <mergeCell ref="N13038:N13039"/>
    <mergeCell ref="A13044:A13047"/>
    <mergeCell ref="B13044:B13047"/>
    <mergeCell ref="C13044:C13047"/>
    <mergeCell ref="D13044:D13047"/>
    <mergeCell ref="E13044:E13047"/>
    <mergeCell ref="F13044:F13047"/>
    <mergeCell ref="G13044:G13047"/>
    <mergeCell ref="H13044:H13047"/>
    <mergeCell ref="I13044:I13047"/>
    <mergeCell ref="J13044:J13047"/>
    <mergeCell ref="K13044:K13047"/>
    <mergeCell ref="L13044:L13047"/>
    <mergeCell ref="M13044:M13047"/>
    <mergeCell ref="N13044:N13047"/>
    <mergeCell ref="A13048:A13049"/>
    <mergeCell ref="B13048:B13049"/>
    <mergeCell ref="C13048:C13049"/>
    <mergeCell ref="D13048:D13049"/>
    <mergeCell ref="E13048:E13049"/>
    <mergeCell ref="F13048:F13049"/>
    <mergeCell ref="G13048:G13049"/>
    <mergeCell ref="H13048:H13049"/>
    <mergeCell ref="I13048:I13049"/>
    <mergeCell ref="J13048:J13049"/>
    <mergeCell ref="K13048:K13049"/>
    <mergeCell ref="L13048:L13049"/>
    <mergeCell ref="M13048:M13049"/>
    <mergeCell ref="N13048:N13049"/>
    <mergeCell ref="A13050:A13055"/>
    <mergeCell ref="B13050:B13055"/>
    <mergeCell ref="C13050:C13055"/>
    <mergeCell ref="D13050:D13055"/>
    <mergeCell ref="E13050:E13055"/>
    <mergeCell ref="F13050:F13055"/>
    <mergeCell ref="G13050:G13055"/>
    <mergeCell ref="H13050:H13055"/>
    <mergeCell ref="I13050:I13055"/>
    <mergeCell ref="J13050:J13055"/>
    <mergeCell ref="K13050:K13055"/>
    <mergeCell ref="L13050:L13055"/>
    <mergeCell ref="M13050:M13055"/>
    <mergeCell ref="N13050:N13055"/>
    <mergeCell ref="A13061:A13062"/>
    <mergeCell ref="B13061:B13062"/>
    <mergeCell ref="C13061:C13062"/>
    <mergeCell ref="D13061:D13062"/>
    <mergeCell ref="E13061:E13062"/>
    <mergeCell ref="F13061:F13062"/>
    <mergeCell ref="G13061:G13062"/>
    <mergeCell ref="H13061:H13062"/>
    <mergeCell ref="I13061:I13062"/>
    <mergeCell ref="J13061:J13062"/>
    <mergeCell ref="K13061:K13062"/>
    <mergeCell ref="L13061:L13062"/>
    <mergeCell ref="M13061:M13062"/>
    <mergeCell ref="N13061:N13062"/>
    <mergeCell ref="A13067:A13073"/>
    <mergeCell ref="B13067:B13073"/>
    <mergeCell ref="C13067:C13073"/>
    <mergeCell ref="D13067:D13073"/>
    <mergeCell ref="E13067:E13073"/>
    <mergeCell ref="F13067:F13073"/>
    <mergeCell ref="G13067:G13073"/>
    <mergeCell ref="H13067:H13073"/>
    <mergeCell ref="I13067:I13073"/>
    <mergeCell ref="J13067:J13073"/>
    <mergeCell ref="K13067:K13073"/>
    <mergeCell ref="L13067:L13073"/>
    <mergeCell ref="M13067:M13073"/>
    <mergeCell ref="N13067:N13073"/>
    <mergeCell ref="A13074:A13077"/>
    <mergeCell ref="B13074:B13077"/>
    <mergeCell ref="C13074:C13077"/>
    <mergeCell ref="D13074:D13077"/>
    <mergeCell ref="E13074:E13077"/>
    <mergeCell ref="F13074:F13077"/>
    <mergeCell ref="G13074:G13077"/>
    <mergeCell ref="H13074:H13077"/>
    <mergeCell ref="I13074:I13077"/>
    <mergeCell ref="J13074:J13077"/>
    <mergeCell ref="K13074:K13077"/>
    <mergeCell ref="L13074:L13077"/>
    <mergeCell ref="M13074:M13077"/>
    <mergeCell ref="N13074:N13077"/>
    <mergeCell ref="A13078:A13084"/>
    <mergeCell ref="B13078:B13084"/>
    <mergeCell ref="C13078:C13084"/>
    <mergeCell ref="D13078:D13084"/>
    <mergeCell ref="E13078:E13084"/>
    <mergeCell ref="F13078:F13084"/>
    <mergeCell ref="G13078:G13084"/>
    <mergeCell ref="H13078:H13084"/>
    <mergeCell ref="I13078:I13084"/>
    <mergeCell ref="J13078:J13084"/>
    <mergeCell ref="K13078:K13084"/>
    <mergeCell ref="L13078:L13084"/>
    <mergeCell ref="M13078:M13084"/>
    <mergeCell ref="N13078:N13084"/>
    <mergeCell ref="A13085:A13089"/>
    <mergeCell ref="B13085:B13089"/>
    <mergeCell ref="C13085:C13089"/>
    <mergeCell ref="D13085:D13089"/>
    <mergeCell ref="E13085:E13089"/>
    <mergeCell ref="F13085:F13089"/>
    <mergeCell ref="G13085:G13089"/>
    <mergeCell ref="H13085:H13089"/>
    <mergeCell ref="I13085:I13089"/>
    <mergeCell ref="J13085:J13089"/>
    <mergeCell ref="K13085:K13089"/>
    <mergeCell ref="L13085:L13089"/>
    <mergeCell ref="M13085:M13089"/>
    <mergeCell ref="N13085:N13089"/>
    <mergeCell ref="A13093:A13094"/>
    <mergeCell ref="B13093:B13094"/>
    <mergeCell ref="C13093:C13094"/>
    <mergeCell ref="D13093:D13094"/>
    <mergeCell ref="E13093:E13094"/>
    <mergeCell ref="F13093:F13094"/>
    <mergeCell ref="G13093:G13094"/>
    <mergeCell ref="H13093:H13094"/>
    <mergeCell ref="I13093:I13094"/>
    <mergeCell ref="J13093:J13094"/>
    <mergeCell ref="K13093:K13094"/>
    <mergeCell ref="L13093:L13094"/>
    <mergeCell ref="M13093:M13094"/>
    <mergeCell ref="N13093:N13094"/>
    <mergeCell ref="A13096:A13101"/>
    <mergeCell ref="B13096:B13101"/>
    <mergeCell ref="C13096:C13101"/>
    <mergeCell ref="D13096:D13101"/>
    <mergeCell ref="E13096:E13101"/>
    <mergeCell ref="F13096:F13101"/>
    <mergeCell ref="G13096:G13101"/>
    <mergeCell ref="H13096:H13101"/>
    <mergeCell ref="I13096:I13101"/>
    <mergeCell ref="J13096:J13101"/>
    <mergeCell ref="K13096:K13101"/>
    <mergeCell ref="L13096:L13101"/>
    <mergeCell ref="M13096:M13101"/>
    <mergeCell ref="N13096:N13101"/>
    <mergeCell ref="A13113:A13120"/>
    <mergeCell ref="B13113:B13120"/>
    <mergeCell ref="C13113:C13120"/>
    <mergeCell ref="D13113:D13120"/>
    <mergeCell ref="E13113:E13120"/>
    <mergeCell ref="F13113:F13120"/>
    <mergeCell ref="G13113:G13120"/>
    <mergeCell ref="H13113:H13120"/>
    <mergeCell ref="I13113:I13120"/>
    <mergeCell ref="J13113:J13120"/>
    <mergeCell ref="K13113:K13120"/>
    <mergeCell ref="L13113:L13120"/>
    <mergeCell ref="M13113:M13120"/>
    <mergeCell ref="N13113:N13120"/>
    <mergeCell ref="A13132:A13134"/>
    <mergeCell ref="B13132:B13134"/>
    <mergeCell ref="C13132:C13134"/>
    <mergeCell ref="D13132:D13134"/>
    <mergeCell ref="E13132:E13134"/>
    <mergeCell ref="F13132:F13134"/>
    <mergeCell ref="G13132:G13134"/>
    <mergeCell ref="H13132:H13134"/>
    <mergeCell ref="I13132:I13134"/>
    <mergeCell ref="J13132:J13134"/>
    <mergeCell ref="K13132:K13134"/>
    <mergeCell ref="L13132:L13134"/>
    <mergeCell ref="M13132:M13134"/>
    <mergeCell ref="N13132:N13134"/>
    <mergeCell ref="A13135:A13139"/>
    <mergeCell ref="B13135:B13139"/>
    <mergeCell ref="C13135:C13139"/>
    <mergeCell ref="D13135:D13139"/>
    <mergeCell ref="E13135:E13139"/>
    <mergeCell ref="F13135:F13139"/>
    <mergeCell ref="G13135:G13139"/>
    <mergeCell ref="H13135:H13139"/>
    <mergeCell ref="I13135:I13139"/>
    <mergeCell ref="J13135:J13139"/>
    <mergeCell ref="K13135:K13139"/>
    <mergeCell ref="L13135:L13139"/>
    <mergeCell ref="M13135:M13139"/>
    <mergeCell ref="N13135:N13139"/>
    <mergeCell ref="A13143:A13149"/>
    <mergeCell ref="B13143:B13149"/>
    <mergeCell ref="C13143:C13149"/>
    <mergeCell ref="D13143:D13149"/>
    <mergeCell ref="E13143:E13149"/>
    <mergeCell ref="F13143:F13149"/>
    <mergeCell ref="G13143:G13149"/>
    <mergeCell ref="H13143:H13149"/>
    <mergeCell ref="I13143:I13149"/>
    <mergeCell ref="J13143:J13149"/>
    <mergeCell ref="K13143:K13149"/>
    <mergeCell ref="L13143:L13149"/>
    <mergeCell ref="M13143:M13149"/>
    <mergeCell ref="N13143:N13149"/>
    <mergeCell ref="A13150:A13152"/>
    <mergeCell ref="B13150:B13152"/>
    <mergeCell ref="C13150:C13152"/>
    <mergeCell ref="D13150:D13152"/>
    <mergeCell ref="E13150:E13152"/>
    <mergeCell ref="F13150:F13152"/>
    <mergeCell ref="G13150:G13152"/>
    <mergeCell ref="H13150:H13152"/>
    <mergeCell ref="I13150:I13152"/>
    <mergeCell ref="J13150:J13152"/>
    <mergeCell ref="K13150:K13152"/>
    <mergeCell ref="L13150:L13152"/>
    <mergeCell ref="M13150:M13152"/>
    <mergeCell ref="N13150:N13152"/>
    <mergeCell ref="A13153:A13158"/>
    <mergeCell ref="B13153:B13158"/>
    <mergeCell ref="C13153:C13158"/>
    <mergeCell ref="D13153:D13158"/>
    <mergeCell ref="E13153:E13158"/>
    <mergeCell ref="F13153:F13158"/>
    <mergeCell ref="G13153:G13158"/>
    <mergeCell ref="H13153:H13158"/>
    <mergeCell ref="I13153:I13158"/>
    <mergeCell ref="J13153:J13158"/>
    <mergeCell ref="K13153:K13158"/>
    <mergeCell ref="L13153:L13158"/>
    <mergeCell ref="M13153:M13158"/>
    <mergeCell ref="N13153:N13158"/>
    <mergeCell ref="A13159:A13161"/>
    <mergeCell ref="B13159:B13161"/>
    <mergeCell ref="C13159:C13161"/>
    <mergeCell ref="D13159:D13161"/>
    <mergeCell ref="E13159:E13161"/>
    <mergeCell ref="F13159:F13161"/>
    <mergeCell ref="G13159:G13161"/>
    <mergeCell ref="H13159:H13161"/>
    <mergeCell ref="I13159:I13161"/>
    <mergeCell ref="J13159:J13161"/>
    <mergeCell ref="K13159:K13161"/>
    <mergeCell ref="L13159:L13161"/>
    <mergeCell ref="M13159:M13161"/>
    <mergeCell ref="N13159:N13161"/>
    <mergeCell ref="A13162:A13167"/>
    <mergeCell ref="B13162:B13167"/>
    <mergeCell ref="C13162:C13167"/>
    <mergeCell ref="D13162:D13167"/>
    <mergeCell ref="E13162:E13167"/>
    <mergeCell ref="F13162:F13167"/>
    <mergeCell ref="G13162:G13167"/>
    <mergeCell ref="H13162:H13167"/>
    <mergeCell ref="I13162:I13167"/>
    <mergeCell ref="J13162:J13167"/>
    <mergeCell ref="K13162:K13167"/>
    <mergeCell ref="L13162:L13167"/>
    <mergeCell ref="M13162:M13167"/>
    <mergeCell ref="N13162:N13167"/>
    <mergeCell ref="A13168:A13169"/>
    <mergeCell ref="B13168:B13169"/>
    <mergeCell ref="C13168:C13169"/>
    <mergeCell ref="D13168:D13169"/>
    <mergeCell ref="E13168:E13169"/>
    <mergeCell ref="F13168:F13169"/>
    <mergeCell ref="G13168:G13169"/>
    <mergeCell ref="H13168:H13169"/>
    <mergeCell ref="I13168:I13169"/>
    <mergeCell ref="J13168:J13169"/>
    <mergeCell ref="K13168:K13169"/>
    <mergeCell ref="L13168:L13169"/>
    <mergeCell ref="M13168:M13169"/>
    <mergeCell ref="N13168:N13169"/>
    <mergeCell ref="A13170:A13171"/>
    <mergeCell ref="B13170:B13171"/>
    <mergeCell ref="C13170:C13171"/>
    <mergeCell ref="D13170:D13171"/>
    <mergeCell ref="E13170:E13171"/>
    <mergeCell ref="F13170:F13171"/>
    <mergeCell ref="G13170:G13171"/>
    <mergeCell ref="H13170:H13171"/>
    <mergeCell ref="I13170:I13171"/>
    <mergeCell ref="J13170:J13171"/>
    <mergeCell ref="K13170:K13171"/>
    <mergeCell ref="L13170:L13171"/>
    <mergeCell ref="M13170:M13171"/>
    <mergeCell ref="N13170:N13171"/>
    <mergeCell ref="A13172:A13173"/>
    <mergeCell ref="B13172:B13173"/>
    <mergeCell ref="C13172:C13173"/>
    <mergeCell ref="D13172:D13173"/>
    <mergeCell ref="E13172:E13173"/>
    <mergeCell ref="F13172:F13173"/>
    <mergeCell ref="G13172:G13173"/>
    <mergeCell ref="H13172:H13173"/>
    <mergeCell ref="I13172:I13173"/>
    <mergeCell ref="J13172:J13173"/>
    <mergeCell ref="K13172:K13173"/>
    <mergeCell ref="L13172:L13173"/>
    <mergeCell ref="M13172:M13173"/>
    <mergeCell ref="N13172:N13173"/>
    <mergeCell ref="A13178:A13179"/>
    <mergeCell ref="B13178:B13179"/>
    <mergeCell ref="C13178:C13179"/>
    <mergeCell ref="D13178:D13179"/>
    <mergeCell ref="E13178:E13179"/>
    <mergeCell ref="F13178:F13179"/>
    <mergeCell ref="G13178:G13179"/>
    <mergeCell ref="H13178:H13179"/>
    <mergeCell ref="I13178:I13179"/>
    <mergeCell ref="J13178:J13179"/>
    <mergeCell ref="K13178:K13179"/>
    <mergeCell ref="L13178:L13179"/>
    <mergeCell ref="M13178:M13179"/>
    <mergeCell ref="N13178:N13179"/>
    <mergeCell ref="A13181:A13183"/>
    <mergeCell ref="B13181:B13183"/>
    <mergeCell ref="C13181:C13183"/>
    <mergeCell ref="D13181:D13183"/>
    <mergeCell ref="E13181:E13183"/>
    <mergeCell ref="F13181:F13183"/>
    <mergeCell ref="G13181:G13183"/>
    <mergeCell ref="H13181:H13183"/>
    <mergeCell ref="I13181:I13183"/>
    <mergeCell ref="J13181:J13183"/>
    <mergeCell ref="K13181:K13183"/>
    <mergeCell ref="L13181:L13183"/>
    <mergeCell ref="M13181:M13183"/>
    <mergeCell ref="N13181:N13183"/>
    <mergeCell ref="A13184:A13189"/>
    <mergeCell ref="B13184:B13189"/>
    <mergeCell ref="C13184:C13189"/>
    <mergeCell ref="D13184:D13189"/>
    <mergeCell ref="E13184:E13189"/>
    <mergeCell ref="F13184:F13189"/>
    <mergeCell ref="G13184:G13189"/>
    <mergeCell ref="H13184:H13189"/>
    <mergeCell ref="I13184:I13189"/>
    <mergeCell ref="J13184:J13189"/>
    <mergeCell ref="K13184:K13189"/>
    <mergeCell ref="L13184:L13189"/>
    <mergeCell ref="M13184:M13189"/>
    <mergeCell ref="N13184:N13189"/>
    <mergeCell ref="A13191:A13192"/>
    <mergeCell ref="B13191:B13192"/>
    <mergeCell ref="C13191:C13192"/>
    <mergeCell ref="D13191:D13192"/>
    <mergeCell ref="E13191:E13192"/>
    <mergeCell ref="F13191:F13192"/>
    <mergeCell ref="G13191:G13192"/>
    <mergeCell ref="H13191:H13192"/>
    <mergeCell ref="I13191:I13192"/>
    <mergeCell ref="J13191:J13192"/>
    <mergeCell ref="K13191:K13192"/>
    <mergeCell ref="L13191:L13192"/>
    <mergeCell ref="M13191:M13192"/>
    <mergeCell ref="N13191:N13192"/>
    <mergeCell ref="A13202:A13206"/>
    <mergeCell ref="B13202:B13206"/>
    <mergeCell ref="C13202:C13206"/>
    <mergeCell ref="D13202:D13206"/>
    <mergeCell ref="E13202:E13206"/>
    <mergeCell ref="F13202:F13206"/>
    <mergeCell ref="G13202:G13206"/>
    <mergeCell ref="H13202:H13206"/>
    <mergeCell ref="I13202:I13206"/>
    <mergeCell ref="J13202:J13206"/>
    <mergeCell ref="K13202:K13206"/>
    <mergeCell ref="L13202:L13206"/>
    <mergeCell ref="M13202:M13206"/>
    <mergeCell ref="N13202:N13206"/>
    <mergeCell ref="A13212:A13213"/>
    <mergeCell ref="B13212:B13213"/>
    <mergeCell ref="C13212:C13213"/>
    <mergeCell ref="D13212:D13213"/>
    <mergeCell ref="E13212:E13213"/>
    <mergeCell ref="F13212:F13213"/>
    <mergeCell ref="G13212:G13213"/>
    <mergeCell ref="H13212:H13213"/>
    <mergeCell ref="I13212:I13213"/>
    <mergeCell ref="J13212:J13213"/>
    <mergeCell ref="K13212:K13213"/>
    <mergeCell ref="L13212:L13213"/>
    <mergeCell ref="M13212:M13213"/>
    <mergeCell ref="N13212:N13213"/>
    <mergeCell ref="A13214:A13215"/>
    <mergeCell ref="B13214:B13215"/>
    <mergeCell ref="C13214:C13215"/>
    <mergeCell ref="D13214:D13215"/>
    <mergeCell ref="E13214:E13215"/>
    <mergeCell ref="F13214:F13215"/>
    <mergeCell ref="G13214:G13215"/>
    <mergeCell ref="H13214:H13215"/>
    <mergeCell ref="I13214:I13215"/>
    <mergeCell ref="J13214:J13215"/>
    <mergeCell ref="K13214:K13215"/>
    <mergeCell ref="L13214:L13215"/>
    <mergeCell ref="M13214:M13215"/>
    <mergeCell ref="N13214:N13215"/>
    <mergeCell ref="A13222:A13225"/>
    <mergeCell ref="B13222:B13225"/>
    <mergeCell ref="C13222:C13225"/>
    <mergeCell ref="D13222:D13225"/>
    <mergeCell ref="E13222:E13225"/>
    <mergeCell ref="F13222:F13225"/>
    <mergeCell ref="G13222:G13225"/>
    <mergeCell ref="H13222:H13225"/>
    <mergeCell ref="I13222:I13225"/>
    <mergeCell ref="J13222:J13225"/>
    <mergeCell ref="K13222:K13225"/>
    <mergeCell ref="L13222:L13225"/>
    <mergeCell ref="M13222:M13225"/>
    <mergeCell ref="N13222:N13225"/>
    <mergeCell ref="A13226:A13228"/>
    <mergeCell ref="B13226:B13228"/>
    <mergeCell ref="C13226:C13228"/>
    <mergeCell ref="D13226:D13228"/>
    <mergeCell ref="E13226:E13228"/>
    <mergeCell ref="F13226:F13228"/>
    <mergeCell ref="G13226:G13228"/>
    <mergeCell ref="H13226:H13228"/>
    <mergeCell ref="I13226:I13228"/>
    <mergeCell ref="J13226:J13228"/>
    <mergeCell ref="K13226:K13228"/>
    <mergeCell ref="L13226:L13228"/>
    <mergeCell ref="M13226:M13228"/>
    <mergeCell ref="N13226:N13228"/>
    <mergeCell ref="A13231:A13232"/>
    <mergeCell ref="B13231:B13232"/>
    <mergeCell ref="C13231:C13232"/>
    <mergeCell ref="D13231:D13232"/>
    <mergeCell ref="E13231:E13232"/>
    <mergeCell ref="F13231:F13232"/>
    <mergeCell ref="G13231:G13232"/>
    <mergeCell ref="H13231:H13232"/>
    <mergeCell ref="I13231:I13232"/>
    <mergeCell ref="J13231:J13232"/>
    <mergeCell ref="K13231:K13232"/>
    <mergeCell ref="L13231:L13232"/>
    <mergeCell ref="M13231:M13232"/>
    <mergeCell ref="N13231:N13232"/>
    <mergeCell ref="A13234:A13236"/>
    <mergeCell ref="B13234:B13236"/>
    <mergeCell ref="C13234:C13236"/>
    <mergeCell ref="D13234:D13236"/>
    <mergeCell ref="E13234:E13236"/>
    <mergeCell ref="F13234:F13236"/>
    <mergeCell ref="G13234:G13236"/>
    <mergeCell ref="H13234:H13236"/>
    <mergeCell ref="I13234:I13236"/>
    <mergeCell ref="J13234:J13236"/>
    <mergeCell ref="K13234:K13236"/>
    <mergeCell ref="L13234:L13236"/>
    <mergeCell ref="M13234:M13236"/>
    <mergeCell ref="N13234:N13236"/>
    <mergeCell ref="A13240:A13242"/>
    <mergeCell ref="B13240:B13242"/>
    <mergeCell ref="C13240:C13242"/>
    <mergeCell ref="D13240:D13242"/>
    <mergeCell ref="E13240:E13242"/>
    <mergeCell ref="F13240:F13242"/>
    <mergeCell ref="G13240:G13242"/>
    <mergeCell ref="H13240:H13242"/>
    <mergeCell ref="I13240:I13242"/>
    <mergeCell ref="J13240:J13242"/>
    <mergeCell ref="K13240:K13242"/>
    <mergeCell ref="L13240:L13242"/>
    <mergeCell ref="M13240:M13242"/>
    <mergeCell ref="N13240:N13242"/>
    <mergeCell ref="A13244:A13246"/>
    <mergeCell ref="B13244:B13246"/>
    <mergeCell ref="C13244:C13246"/>
    <mergeCell ref="D13244:D13246"/>
    <mergeCell ref="E13244:E13246"/>
    <mergeCell ref="F13244:F13246"/>
    <mergeCell ref="G13244:G13246"/>
    <mergeCell ref="H13244:H13246"/>
    <mergeCell ref="I13244:I13246"/>
    <mergeCell ref="J13244:J13246"/>
    <mergeCell ref="K13244:K13246"/>
    <mergeCell ref="L13244:L13246"/>
    <mergeCell ref="M13244:M13246"/>
    <mergeCell ref="N13244:N13246"/>
    <mergeCell ref="A13253:A13255"/>
    <mergeCell ref="B13253:B13255"/>
    <mergeCell ref="C13253:C13255"/>
    <mergeCell ref="D13253:D13255"/>
    <mergeCell ref="E13253:E13255"/>
    <mergeCell ref="F13253:F13255"/>
    <mergeCell ref="G13253:G13255"/>
    <mergeCell ref="H13253:H13255"/>
    <mergeCell ref="I13253:I13255"/>
    <mergeCell ref="J13253:J13255"/>
    <mergeCell ref="K13253:K13255"/>
    <mergeCell ref="L13253:L13255"/>
    <mergeCell ref="M13253:M13255"/>
    <mergeCell ref="N13253:N13255"/>
    <mergeCell ref="A13256:A13259"/>
    <mergeCell ref="B13256:B13259"/>
    <mergeCell ref="C13256:C13259"/>
    <mergeCell ref="D13256:D13259"/>
    <mergeCell ref="E13256:E13259"/>
    <mergeCell ref="F13256:F13259"/>
    <mergeCell ref="G13256:G13259"/>
    <mergeCell ref="H13256:H13259"/>
    <mergeCell ref="I13256:I13259"/>
    <mergeCell ref="J13256:J13259"/>
    <mergeCell ref="K13256:K13259"/>
    <mergeCell ref="L13256:L13259"/>
    <mergeCell ref="M13256:M13259"/>
    <mergeCell ref="N13256:N13259"/>
    <mergeCell ref="A13260:A13264"/>
    <mergeCell ref="B13260:B13264"/>
    <mergeCell ref="C13260:C13264"/>
    <mergeCell ref="D13260:D13264"/>
    <mergeCell ref="E13260:E13264"/>
    <mergeCell ref="F13260:F13264"/>
    <mergeCell ref="G13260:G13264"/>
    <mergeCell ref="H13260:H13264"/>
    <mergeCell ref="I13260:I13264"/>
    <mergeCell ref="J13260:J13264"/>
    <mergeCell ref="K13260:K13264"/>
    <mergeCell ref="L13260:L13264"/>
    <mergeCell ref="M13260:M13264"/>
    <mergeCell ref="N13260:N13264"/>
    <mergeCell ref="A13268:A13273"/>
    <mergeCell ref="B13268:B13273"/>
    <mergeCell ref="C13268:C13273"/>
    <mergeCell ref="D13268:D13273"/>
    <mergeCell ref="E13268:E13273"/>
    <mergeCell ref="F13268:F13273"/>
    <mergeCell ref="G13268:G13273"/>
    <mergeCell ref="H13268:H13273"/>
    <mergeCell ref="I13268:I13273"/>
    <mergeCell ref="J13268:J13273"/>
    <mergeCell ref="K13268:K13273"/>
    <mergeCell ref="L13268:L13273"/>
    <mergeCell ref="M13268:M13273"/>
    <mergeCell ref="N13268:N13273"/>
    <mergeCell ref="A13276:A13278"/>
    <mergeCell ref="B13276:B13278"/>
    <mergeCell ref="C13276:C13278"/>
    <mergeCell ref="D13276:D13278"/>
    <mergeCell ref="E13276:E13278"/>
    <mergeCell ref="F13276:F13278"/>
    <mergeCell ref="G13276:G13278"/>
    <mergeCell ref="H13276:H13278"/>
    <mergeCell ref="I13276:I13278"/>
    <mergeCell ref="J13276:J13278"/>
    <mergeCell ref="K13276:K13278"/>
    <mergeCell ref="L13276:L13278"/>
    <mergeCell ref="M13276:M13278"/>
    <mergeCell ref="N13276:N13278"/>
    <mergeCell ref="A13279:A13282"/>
    <mergeCell ref="B13279:B13282"/>
    <mergeCell ref="C13279:C13282"/>
    <mergeCell ref="D13279:D13282"/>
    <mergeCell ref="E13279:E13282"/>
    <mergeCell ref="F13279:F13282"/>
    <mergeCell ref="G13279:G13282"/>
    <mergeCell ref="H13279:H13282"/>
    <mergeCell ref="I13279:I13282"/>
    <mergeCell ref="J13279:J13282"/>
    <mergeCell ref="K13279:K13282"/>
    <mergeCell ref="L13279:L13282"/>
    <mergeCell ref="M13279:M13282"/>
    <mergeCell ref="N13279:N13282"/>
    <mergeCell ref="A13285:A13287"/>
    <mergeCell ref="B13285:B13287"/>
    <mergeCell ref="C13285:C13287"/>
    <mergeCell ref="D13285:D13287"/>
    <mergeCell ref="E13285:E13287"/>
    <mergeCell ref="F13285:F13287"/>
    <mergeCell ref="G13285:G13287"/>
    <mergeCell ref="H13285:H13287"/>
    <mergeCell ref="I13285:I13287"/>
    <mergeCell ref="J13285:J13287"/>
    <mergeCell ref="K13285:K13287"/>
    <mergeCell ref="L13285:L13287"/>
    <mergeCell ref="M13285:M13287"/>
    <mergeCell ref="N13285:N13287"/>
    <mergeCell ref="A13288:A13289"/>
    <mergeCell ref="B13288:B13289"/>
    <mergeCell ref="C13288:C13289"/>
    <mergeCell ref="D13288:D13289"/>
    <mergeCell ref="E13288:E13289"/>
    <mergeCell ref="F13288:F13289"/>
    <mergeCell ref="G13288:G13289"/>
    <mergeCell ref="H13288:H13289"/>
    <mergeCell ref="I13288:I13289"/>
    <mergeCell ref="J13288:J13289"/>
    <mergeCell ref="K13288:K13289"/>
    <mergeCell ref="L13288:L13289"/>
    <mergeCell ref="M13288:M13289"/>
    <mergeCell ref="N13288:N13289"/>
    <mergeCell ref="A13291:A13295"/>
    <mergeCell ref="B13291:B13295"/>
    <mergeCell ref="C13291:C13295"/>
    <mergeCell ref="D13291:D13295"/>
    <mergeCell ref="E13291:E13295"/>
    <mergeCell ref="F13291:F13295"/>
    <mergeCell ref="G13291:G13295"/>
    <mergeCell ref="H13291:H13295"/>
    <mergeCell ref="I13291:I13295"/>
    <mergeCell ref="J13291:J13295"/>
    <mergeCell ref="K13291:K13295"/>
    <mergeCell ref="L13291:L13295"/>
    <mergeCell ref="M13291:M13295"/>
    <mergeCell ref="N13291:N13295"/>
    <mergeCell ref="A13304:A13305"/>
    <mergeCell ref="B13304:B13305"/>
    <mergeCell ref="C13304:C13305"/>
    <mergeCell ref="D13304:D13305"/>
    <mergeCell ref="E13304:E13305"/>
    <mergeCell ref="F13304:F13305"/>
    <mergeCell ref="G13304:G13305"/>
    <mergeCell ref="H13304:H13305"/>
    <mergeCell ref="I13304:I13305"/>
    <mergeCell ref="J13304:J13305"/>
    <mergeCell ref="K13304:K13305"/>
    <mergeCell ref="L13304:L13305"/>
    <mergeCell ref="M13304:M13305"/>
    <mergeCell ref="N13304:N13305"/>
    <mergeCell ref="A13308:A13309"/>
    <mergeCell ref="B13308:B13309"/>
    <mergeCell ref="C13308:C13309"/>
    <mergeCell ref="D13308:D13309"/>
    <mergeCell ref="E13308:E13309"/>
    <mergeCell ref="F13308:F13309"/>
    <mergeCell ref="G13308:G13309"/>
    <mergeCell ref="H13308:H13309"/>
    <mergeCell ref="I13308:I13309"/>
    <mergeCell ref="J13308:J13309"/>
    <mergeCell ref="K13308:K13309"/>
    <mergeCell ref="L13308:L13309"/>
    <mergeCell ref="M13308:M13309"/>
    <mergeCell ref="N13308:N13309"/>
    <mergeCell ref="A13311:A13312"/>
    <mergeCell ref="B13311:B13312"/>
    <mergeCell ref="C13311:C13312"/>
    <mergeCell ref="D13311:D13312"/>
    <mergeCell ref="E13311:E13312"/>
    <mergeCell ref="F13311:F13312"/>
    <mergeCell ref="G13311:G13312"/>
    <mergeCell ref="H13311:H13312"/>
    <mergeCell ref="I13311:I13312"/>
    <mergeCell ref="J13311:J13312"/>
    <mergeCell ref="K13311:K13312"/>
    <mergeCell ref="L13311:L13312"/>
    <mergeCell ref="M13311:M13312"/>
    <mergeCell ref="N13311:N13312"/>
    <mergeCell ref="A13317:A13319"/>
    <mergeCell ref="B13317:B13319"/>
    <mergeCell ref="C13317:C13319"/>
    <mergeCell ref="D13317:D13319"/>
    <mergeCell ref="E13317:E13319"/>
    <mergeCell ref="F13317:F13319"/>
    <mergeCell ref="G13317:G13319"/>
    <mergeCell ref="H13317:H13319"/>
    <mergeCell ref="I13317:I13319"/>
    <mergeCell ref="J13317:J13319"/>
    <mergeCell ref="K13317:K13319"/>
    <mergeCell ref="L13317:L13319"/>
    <mergeCell ref="M13317:M13319"/>
    <mergeCell ref="N13317:N13319"/>
    <mergeCell ref="A13321:A13324"/>
    <mergeCell ref="B13321:B13324"/>
    <mergeCell ref="C13321:C13324"/>
    <mergeCell ref="D13321:D13324"/>
    <mergeCell ref="E13321:E13324"/>
    <mergeCell ref="F13321:F13324"/>
    <mergeCell ref="G13321:G13324"/>
    <mergeCell ref="H13321:H13324"/>
    <mergeCell ref="I13321:I13324"/>
    <mergeCell ref="J13321:J13324"/>
    <mergeCell ref="K13321:K13324"/>
    <mergeCell ref="L13321:L13324"/>
    <mergeCell ref="M13321:M13324"/>
    <mergeCell ref="N13321:N13324"/>
    <mergeCell ref="A13327:A13335"/>
    <mergeCell ref="B13327:B13335"/>
    <mergeCell ref="C13327:C13335"/>
    <mergeCell ref="D13327:D13335"/>
    <mergeCell ref="E13327:E13335"/>
    <mergeCell ref="F13327:F13335"/>
    <mergeCell ref="G13327:G13335"/>
    <mergeCell ref="H13327:H13335"/>
    <mergeCell ref="I13327:I13335"/>
    <mergeCell ref="J13327:J13335"/>
    <mergeCell ref="K13327:K13335"/>
    <mergeCell ref="L13327:L13335"/>
    <mergeCell ref="M13327:M13335"/>
    <mergeCell ref="N13327:N13335"/>
    <mergeCell ref="A13352:A13353"/>
    <mergeCell ref="B13352:B13353"/>
    <mergeCell ref="C13352:C13353"/>
    <mergeCell ref="D13352:D13353"/>
    <mergeCell ref="E13352:E13353"/>
    <mergeCell ref="F13352:F13353"/>
    <mergeCell ref="G13352:G13353"/>
    <mergeCell ref="H13352:H13353"/>
    <mergeCell ref="I13352:I13353"/>
    <mergeCell ref="J13352:J13353"/>
    <mergeCell ref="K13352:K13353"/>
    <mergeCell ref="L13352:L13353"/>
    <mergeCell ref="M13352:M13353"/>
    <mergeCell ref="N13352:N13353"/>
    <mergeCell ref="A13354:A13355"/>
    <mergeCell ref="B13354:B13355"/>
    <mergeCell ref="C13354:C13355"/>
    <mergeCell ref="D13354:D13355"/>
    <mergeCell ref="E13354:E13355"/>
    <mergeCell ref="F13354:F13355"/>
    <mergeCell ref="G13354:G13355"/>
    <mergeCell ref="H13354:H13355"/>
    <mergeCell ref="I13354:I13355"/>
    <mergeCell ref="J13354:J13355"/>
    <mergeCell ref="K13354:K13355"/>
    <mergeCell ref="L13354:L13355"/>
    <mergeCell ref="M13354:M13355"/>
    <mergeCell ref="N13354:N13355"/>
    <mergeCell ref="A13357:A13358"/>
    <mergeCell ref="B13357:B13358"/>
    <mergeCell ref="C13357:C13358"/>
    <mergeCell ref="D13357:D13358"/>
    <mergeCell ref="E13357:E13358"/>
    <mergeCell ref="F13357:F13358"/>
    <mergeCell ref="G13357:G13358"/>
    <mergeCell ref="H13357:H13358"/>
    <mergeCell ref="I13357:I13358"/>
    <mergeCell ref="J13357:J13358"/>
    <mergeCell ref="K13357:K13358"/>
    <mergeCell ref="L13357:L13358"/>
    <mergeCell ref="M13357:M13358"/>
    <mergeCell ref="N13357:N13358"/>
    <mergeCell ref="A13359:A13360"/>
    <mergeCell ref="B13359:B13360"/>
    <mergeCell ref="C13359:C13360"/>
    <mergeCell ref="D13359:D13360"/>
    <mergeCell ref="E13359:E13360"/>
    <mergeCell ref="F13359:F13360"/>
    <mergeCell ref="G13359:G13360"/>
    <mergeCell ref="H13359:H13360"/>
    <mergeCell ref="I13359:I13360"/>
    <mergeCell ref="J13359:J13360"/>
    <mergeCell ref="K13359:K13360"/>
    <mergeCell ref="L13359:L13360"/>
    <mergeCell ref="M13359:M13360"/>
    <mergeCell ref="N13359:N13360"/>
    <mergeCell ref="A13361:A13363"/>
    <mergeCell ref="B13361:B13363"/>
    <mergeCell ref="C13361:C13363"/>
    <mergeCell ref="D13361:D13363"/>
    <mergeCell ref="E13361:E13363"/>
    <mergeCell ref="F13361:F13363"/>
    <mergeCell ref="G13361:G13363"/>
    <mergeCell ref="H13361:H13363"/>
    <mergeCell ref="I13361:I13363"/>
    <mergeCell ref="J13361:J13363"/>
    <mergeCell ref="K13361:K13363"/>
    <mergeCell ref="L13361:L13363"/>
    <mergeCell ref="M13361:M13363"/>
    <mergeCell ref="N13361:N13363"/>
    <mergeCell ref="A13366:A13367"/>
    <mergeCell ref="B13366:B13367"/>
    <mergeCell ref="C13366:C13367"/>
    <mergeCell ref="D13366:D13367"/>
    <mergeCell ref="E13366:E13367"/>
    <mergeCell ref="F13366:F13367"/>
    <mergeCell ref="G13366:G13367"/>
    <mergeCell ref="H13366:H13367"/>
    <mergeCell ref="I13366:I13367"/>
    <mergeCell ref="J13366:J13367"/>
    <mergeCell ref="K13366:K13367"/>
    <mergeCell ref="L13366:L13367"/>
    <mergeCell ref="M13366:M13367"/>
    <mergeCell ref="N13366:N13367"/>
    <mergeCell ref="A13369:A13370"/>
    <mergeCell ref="B13369:B13370"/>
    <mergeCell ref="C13369:C13370"/>
    <mergeCell ref="D13369:D13370"/>
    <mergeCell ref="E13369:E13370"/>
    <mergeCell ref="F13369:F13370"/>
    <mergeCell ref="G13369:G13370"/>
    <mergeCell ref="H13369:H13370"/>
    <mergeCell ref="I13369:I13370"/>
    <mergeCell ref="J13369:J13370"/>
    <mergeCell ref="K13369:K13370"/>
    <mergeCell ref="L13369:L13370"/>
    <mergeCell ref="M13369:M13370"/>
    <mergeCell ref="N13369:N13370"/>
    <mergeCell ref="A13371:A13375"/>
    <mergeCell ref="B13371:B13375"/>
    <mergeCell ref="C13371:C13375"/>
    <mergeCell ref="D13371:D13375"/>
    <mergeCell ref="E13371:E13375"/>
    <mergeCell ref="F13371:F13375"/>
    <mergeCell ref="G13371:G13375"/>
    <mergeCell ref="H13371:H13375"/>
    <mergeCell ref="I13371:I13375"/>
    <mergeCell ref="J13371:J13375"/>
    <mergeCell ref="K13371:K13375"/>
    <mergeCell ref="L13371:L13375"/>
    <mergeCell ref="M13371:M13375"/>
    <mergeCell ref="N13371:N13375"/>
    <mergeCell ref="A13376:A13377"/>
    <mergeCell ref="B13376:B13377"/>
    <mergeCell ref="C13376:C13377"/>
    <mergeCell ref="D13376:D13377"/>
    <mergeCell ref="E13376:E13377"/>
    <mergeCell ref="F13376:F13377"/>
    <mergeCell ref="G13376:G13377"/>
    <mergeCell ref="H13376:H13377"/>
    <mergeCell ref="I13376:I13377"/>
    <mergeCell ref="J13376:J13377"/>
    <mergeCell ref="K13376:K13377"/>
    <mergeCell ref="L13376:L13377"/>
    <mergeCell ref="M13376:M13377"/>
    <mergeCell ref="N13376:N13377"/>
    <mergeCell ref="A13378:A13381"/>
    <mergeCell ref="B13378:B13381"/>
    <mergeCell ref="C13378:C13381"/>
    <mergeCell ref="D13378:D13381"/>
    <mergeCell ref="E13378:E13381"/>
    <mergeCell ref="F13378:F13381"/>
    <mergeCell ref="G13378:G13381"/>
    <mergeCell ref="H13378:H13381"/>
    <mergeCell ref="I13378:I13381"/>
    <mergeCell ref="J13378:J13381"/>
    <mergeCell ref="K13378:K13381"/>
    <mergeCell ref="L13378:L13381"/>
    <mergeCell ref="M13378:M13381"/>
    <mergeCell ref="N13378:N13381"/>
    <mergeCell ref="A13382:A13384"/>
    <mergeCell ref="B13382:B13384"/>
    <mergeCell ref="C13382:C13384"/>
    <mergeCell ref="D13382:D13384"/>
    <mergeCell ref="E13382:E13384"/>
    <mergeCell ref="F13382:F13384"/>
    <mergeCell ref="G13382:G13384"/>
    <mergeCell ref="H13382:H13384"/>
    <mergeCell ref="I13382:I13384"/>
    <mergeCell ref="J13382:J13384"/>
    <mergeCell ref="K13382:K13384"/>
    <mergeCell ref="L13382:L13384"/>
    <mergeCell ref="M13382:M13384"/>
    <mergeCell ref="N13382:N13384"/>
    <mergeCell ref="A13387:A13390"/>
    <mergeCell ref="B13387:B13390"/>
    <mergeCell ref="C13387:C13390"/>
    <mergeCell ref="D13387:D13390"/>
    <mergeCell ref="E13387:E13390"/>
    <mergeCell ref="F13387:F13390"/>
    <mergeCell ref="G13387:G13390"/>
    <mergeCell ref="H13387:H13390"/>
    <mergeCell ref="I13387:I13390"/>
    <mergeCell ref="J13387:J13390"/>
    <mergeCell ref="K13387:K13390"/>
    <mergeCell ref="L13387:L13390"/>
    <mergeCell ref="M13387:M13390"/>
    <mergeCell ref="N13387:N13390"/>
    <mergeCell ref="A13391:A13393"/>
    <mergeCell ref="B13391:B13393"/>
    <mergeCell ref="C13391:C13393"/>
    <mergeCell ref="D13391:D13393"/>
    <mergeCell ref="E13391:E13393"/>
    <mergeCell ref="F13391:F13393"/>
    <mergeCell ref="G13391:G13393"/>
    <mergeCell ref="H13391:H13393"/>
    <mergeCell ref="I13391:I13393"/>
    <mergeCell ref="J13391:J13393"/>
    <mergeCell ref="K13391:K13393"/>
    <mergeCell ref="L13391:L13393"/>
    <mergeCell ref="M13391:M13393"/>
    <mergeCell ref="N13391:N13393"/>
    <mergeCell ref="A13397:A13398"/>
    <mergeCell ref="B13397:B13398"/>
    <mergeCell ref="C13397:C13398"/>
    <mergeCell ref="D13397:D13398"/>
    <mergeCell ref="E13397:E13398"/>
    <mergeCell ref="F13397:F13398"/>
    <mergeCell ref="G13397:G13398"/>
    <mergeCell ref="H13397:H13398"/>
    <mergeCell ref="I13397:I13398"/>
    <mergeCell ref="J13397:J13398"/>
    <mergeCell ref="K13397:K13398"/>
    <mergeCell ref="L13397:L13398"/>
    <mergeCell ref="M13397:M13398"/>
    <mergeCell ref="N13397:N13398"/>
    <mergeCell ref="A13402:A13403"/>
    <mergeCell ref="B13402:B13403"/>
    <mergeCell ref="C13402:C13403"/>
    <mergeCell ref="D13402:D13403"/>
    <mergeCell ref="E13402:E13403"/>
    <mergeCell ref="F13402:F13403"/>
    <mergeCell ref="G13402:G13403"/>
    <mergeCell ref="H13402:H13403"/>
    <mergeCell ref="I13402:I13403"/>
    <mergeCell ref="J13402:J13403"/>
    <mergeCell ref="K13402:K13403"/>
    <mergeCell ref="L13402:L13403"/>
    <mergeCell ref="M13402:M13403"/>
    <mergeCell ref="N13402:N13403"/>
    <mergeCell ref="A13405:A13407"/>
    <mergeCell ref="B13405:B13407"/>
    <mergeCell ref="C13405:C13407"/>
    <mergeCell ref="D13405:D13407"/>
    <mergeCell ref="E13405:E13407"/>
    <mergeCell ref="F13405:F13407"/>
    <mergeCell ref="G13405:G13407"/>
    <mergeCell ref="H13405:H13407"/>
    <mergeCell ref="I13405:I13407"/>
    <mergeCell ref="J13405:J13407"/>
    <mergeCell ref="K13405:K13407"/>
    <mergeCell ref="L13405:L13407"/>
    <mergeCell ref="M13405:M13407"/>
    <mergeCell ref="N13405:N13407"/>
    <mergeCell ref="A13410:A13412"/>
    <mergeCell ref="B13410:B13412"/>
    <mergeCell ref="C13410:C13412"/>
    <mergeCell ref="D13410:D13412"/>
    <mergeCell ref="E13410:E13412"/>
    <mergeCell ref="F13410:F13412"/>
    <mergeCell ref="G13410:G13412"/>
    <mergeCell ref="H13410:H13412"/>
    <mergeCell ref="I13410:I13412"/>
    <mergeCell ref="J13410:J13412"/>
    <mergeCell ref="K13410:K13412"/>
    <mergeCell ref="L13410:L13412"/>
    <mergeCell ref="M13410:M13412"/>
    <mergeCell ref="N13410:N13412"/>
    <mergeCell ref="A13414:A13416"/>
    <mergeCell ref="B13414:B13416"/>
    <mergeCell ref="C13414:C13416"/>
    <mergeCell ref="D13414:D13416"/>
    <mergeCell ref="E13414:E13416"/>
    <mergeCell ref="F13414:F13416"/>
    <mergeCell ref="G13414:G13416"/>
    <mergeCell ref="H13414:H13416"/>
    <mergeCell ref="I13414:I13416"/>
    <mergeCell ref="J13414:J13416"/>
    <mergeCell ref="K13414:K13416"/>
    <mergeCell ref="L13414:L13416"/>
    <mergeCell ref="M13414:M13416"/>
    <mergeCell ref="N13414:N13416"/>
    <mergeCell ref="A13420:A13422"/>
    <mergeCell ref="B13420:B13422"/>
    <mergeCell ref="C13420:C13422"/>
    <mergeCell ref="D13420:D13422"/>
    <mergeCell ref="E13420:E13422"/>
    <mergeCell ref="F13420:F13422"/>
    <mergeCell ref="G13420:G13422"/>
    <mergeCell ref="H13420:H13422"/>
    <mergeCell ref="I13420:I13422"/>
    <mergeCell ref="J13420:J13422"/>
    <mergeCell ref="K13420:K13422"/>
    <mergeCell ref="L13420:L13422"/>
    <mergeCell ref="M13420:M13422"/>
    <mergeCell ref="N13420:N13422"/>
    <mergeCell ref="A13424:A13425"/>
    <mergeCell ref="B13424:B13425"/>
    <mergeCell ref="C13424:C13425"/>
    <mergeCell ref="D13424:D13425"/>
    <mergeCell ref="E13424:E13425"/>
    <mergeCell ref="F13424:F13425"/>
    <mergeCell ref="G13424:G13425"/>
    <mergeCell ref="H13424:H13425"/>
    <mergeCell ref="I13424:I13425"/>
    <mergeCell ref="J13424:J13425"/>
    <mergeCell ref="K13424:K13425"/>
    <mergeCell ref="L13424:L13425"/>
    <mergeCell ref="M13424:M13425"/>
    <mergeCell ref="N13424:N13425"/>
    <mergeCell ref="A13429:A13430"/>
    <mergeCell ref="B13429:B13430"/>
    <mergeCell ref="C13429:C13430"/>
    <mergeCell ref="D13429:D13430"/>
    <mergeCell ref="E13429:E13430"/>
    <mergeCell ref="F13429:F13430"/>
    <mergeCell ref="G13429:G13430"/>
    <mergeCell ref="H13429:H13430"/>
    <mergeCell ref="I13429:I13430"/>
    <mergeCell ref="J13429:J13430"/>
    <mergeCell ref="K13429:K13430"/>
    <mergeCell ref="L13429:L13430"/>
    <mergeCell ref="M13429:M13430"/>
    <mergeCell ref="N13429:N13430"/>
    <mergeCell ref="A13431:A13432"/>
    <mergeCell ref="B13431:B13432"/>
    <mergeCell ref="C13431:C13432"/>
    <mergeCell ref="D13431:D13432"/>
    <mergeCell ref="E13431:E13432"/>
    <mergeCell ref="F13431:F13432"/>
    <mergeCell ref="G13431:G13432"/>
    <mergeCell ref="H13431:H13432"/>
    <mergeCell ref="I13431:I13432"/>
    <mergeCell ref="J13431:J13432"/>
    <mergeCell ref="K13431:K13432"/>
    <mergeCell ref="L13431:L13432"/>
    <mergeCell ref="M13431:M13432"/>
    <mergeCell ref="N13431:N13432"/>
    <mergeCell ref="A13434:A13435"/>
    <mergeCell ref="B13434:B13435"/>
    <mergeCell ref="C13434:C13435"/>
    <mergeCell ref="D13434:D13435"/>
    <mergeCell ref="E13434:E13435"/>
    <mergeCell ref="F13434:F13435"/>
    <mergeCell ref="G13434:G13435"/>
    <mergeCell ref="H13434:H13435"/>
    <mergeCell ref="I13434:I13435"/>
    <mergeCell ref="J13434:J13435"/>
    <mergeCell ref="K13434:K13435"/>
    <mergeCell ref="L13434:L13435"/>
    <mergeCell ref="M13434:M13435"/>
    <mergeCell ref="N13434:N13435"/>
    <mergeCell ref="A13439:A13441"/>
    <mergeCell ref="B13439:B13441"/>
    <mergeCell ref="C13439:C13441"/>
    <mergeCell ref="D13439:D13441"/>
    <mergeCell ref="E13439:E13441"/>
    <mergeCell ref="F13439:F13441"/>
    <mergeCell ref="G13439:G13441"/>
    <mergeCell ref="H13439:H13441"/>
    <mergeCell ref="I13439:I13441"/>
    <mergeCell ref="J13439:J13441"/>
    <mergeCell ref="K13439:K13441"/>
    <mergeCell ref="L13439:L13441"/>
    <mergeCell ref="M13439:M13441"/>
    <mergeCell ref="N13439:N13441"/>
    <mergeCell ref="A13445:A13447"/>
    <mergeCell ref="B13445:B13447"/>
    <mergeCell ref="C13445:C13447"/>
    <mergeCell ref="D13445:D13447"/>
    <mergeCell ref="E13445:E13447"/>
    <mergeCell ref="F13445:F13447"/>
    <mergeCell ref="G13445:G13447"/>
    <mergeCell ref="H13445:H13447"/>
    <mergeCell ref="I13445:I13447"/>
    <mergeCell ref="J13445:J13447"/>
    <mergeCell ref="K13445:K13447"/>
    <mergeCell ref="L13445:L13447"/>
    <mergeCell ref="M13445:M13447"/>
    <mergeCell ref="N13445:N13447"/>
    <mergeCell ref="A13448:A13449"/>
    <mergeCell ref="B13448:B13449"/>
    <mergeCell ref="C13448:C13449"/>
    <mergeCell ref="D13448:D13449"/>
    <mergeCell ref="E13448:E13449"/>
    <mergeCell ref="F13448:F13449"/>
    <mergeCell ref="G13448:G13449"/>
    <mergeCell ref="H13448:H13449"/>
    <mergeCell ref="I13448:I13449"/>
    <mergeCell ref="J13448:J13449"/>
    <mergeCell ref="K13448:K13449"/>
    <mergeCell ref="L13448:L13449"/>
    <mergeCell ref="M13448:M13449"/>
    <mergeCell ref="N13448:N13449"/>
    <mergeCell ref="A13454:A13455"/>
    <mergeCell ref="B13454:B13455"/>
    <mergeCell ref="C13454:C13455"/>
    <mergeCell ref="D13454:D13455"/>
    <mergeCell ref="E13454:E13455"/>
    <mergeCell ref="F13454:F13455"/>
    <mergeCell ref="G13454:G13455"/>
    <mergeCell ref="H13454:H13455"/>
    <mergeCell ref="I13454:I13455"/>
    <mergeCell ref="J13454:J13455"/>
    <mergeCell ref="K13454:K13455"/>
    <mergeCell ref="L13454:L13455"/>
    <mergeCell ref="M13454:M13455"/>
    <mergeCell ref="N13454:N13455"/>
    <mergeCell ref="A13457:A13460"/>
    <mergeCell ref="B13457:B13460"/>
    <mergeCell ref="C13457:C13460"/>
    <mergeCell ref="D13457:D13460"/>
    <mergeCell ref="E13457:E13460"/>
    <mergeCell ref="F13457:F13460"/>
    <mergeCell ref="G13457:G13460"/>
    <mergeCell ref="H13457:H13460"/>
    <mergeCell ref="I13457:I13460"/>
    <mergeCell ref="J13457:J13460"/>
    <mergeCell ref="K13457:K13460"/>
    <mergeCell ref="L13457:L13460"/>
    <mergeCell ref="M13457:M13460"/>
    <mergeCell ref="N13457:N13460"/>
    <mergeCell ref="A13462:A13463"/>
    <mergeCell ref="B13462:B13463"/>
    <mergeCell ref="C13462:C13463"/>
    <mergeCell ref="D13462:D13463"/>
    <mergeCell ref="E13462:E13463"/>
    <mergeCell ref="F13462:F13463"/>
    <mergeCell ref="G13462:G13463"/>
    <mergeCell ref="H13462:H13463"/>
    <mergeCell ref="I13462:I13463"/>
    <mergeCell ref="J13462:J13463"/>
    <mergeCell ref="K13462:K13463"/>
    <mergeCell ref="L13462:L13463"/>
    <mergeCell ref="M13462:M13463"/>
    <mergeCell ref="N13462:N13463"/>
    <mergeCell ref="A13469:A13470"/>
    <mergeCell ref="B13469:B13470"/>
    <mergeCell ref="C13469:C13470"/>
    <mergeCell ref="D13469:D13470"/>
    <mergeCell ref="E13469:E13470"/>
    <mergeCell ref="F13469:F13470"/>
    <mergeCell ref="G13469:G13470"/>
    <mergeCell ref="H13469:H13470"/>
    <mergeCell ref="I13469:I13470"/>
    <mergeCell ref="J13469:J13470"/>
    <mergeCell ref="K13469:K13470"/>
    <mergeCell ref="L13469:L13470"/>
    <mergeCell ref="M13469:M13470"/>
    <mergeCell ref="N13469:N13470"/>
    <mergeCell ref="A13481:A13486"/>
    <mergeCell ref="B13481:B13486"/>
    <mergeCell ref="C13481:C13486"/>
    <mergeCell ref="D13481:D13486"/>
    <mergeCell ref="E13481:E13486"/>
    <mergeCell ref="F13481:F13486"/>
    <mergeCell ref="G13481:G13486"/>
    <mergeCell ref="H13481:H13486"/>
    <mergeCell ref="I13481:I13486"/>
    <mergeCell ref="J13481:J13486"/>
    <mergeCell ref="K13481:K13486"/>
    <mergeCell ref="L13481:L13486"/>
    <mergeCell ref="M13481:M13486"/>
    <mergeCell ref="N13481:N13486"/>
    <mergeCell ref="A13487:A13488"/>
    <mergeCell ref="B13487:B13488"/>
    <mergeCell ref="C13487:C13488"/>
    <mergeCell ref="D13487:D13488"/>
    <mergeCell ref="E13487:E13488"/>
    <mergeCell ref="F13487:F13488"/>
    <mergeCell ref="G13487:G13488"/>
    <mergeCell ref="H13487:H13488"/>
    <mergeCell ref="I13487:I13488"/>
    <mergeCell ref="J13487:J13488"/>
    <mergeCell ref="K13487:K13488"/>
    <mergeCell ref="L13487:L13488"/>
    <mergeCell ref="M13487:M13488"/>
    <mergeCell ref="N13487:N13488"/>
    <mergeCell ref="A13490:A13491"/>
    <mergeCell ref="B13490:B13491"/>
    <mergeCell ref="C13490:C13491"/>
    <mergeCell ref="D13490:D13491"/>
    <mergeCell ref="E13490:E13491"/>
    <mergeCell ref="F13490:F13491"/>
    <mergeCell ref="G13490:G13491"/>
    <mergeCell ref="H13490:H13491"/>
    <mergeCell ref="I13490:I13491"/>
    <mergeCell ref="J13490:J13491"/>
    <mergeCell ref="K13490:K13491"/>
    <mergeCell ref="L13490:L13491"/>
    <mergeCell ref="M13490:M13491"/>
    <mergeCell ref="N13490:N13491"/>
    <mergeCell ref="A13493:A13495"/>
    <mergeCell ref="B13493:B13495"/>
    <mergeCell ref="C13493:C13495"/>
    <mergeCell ref="D13493:D13495"/>
    <mergeCell ref="E13493:E13495"/>
    <mergeCell ref="F13493:F13495"/>
    <mergeCell ref="G13493:G13495"/>
    <mergeCell ref="H13493:H13495"/>
    <mergeCell ref="I13493:I13495"/>
    <mergeCell ref="J13493:J13495"/>
    <mergeCell ref="K13493:K13495"/>
    <mergeCell ref="L13493:L13495"/>
    <mergeCell ref="M13493:M13495"/>
    <mergeCell ref="N13493:N13495"/>
    <mergeCell ref="A13496:A13498"/>
    <mergeCell ref="B13496:B13498"/>
    <mergeCell ref="C13496:C13498"/>
    <mergeCell ref="D13496:D13498"/>
    <mergeCell ref="E13496:E13498"/>
    <mergeCell ref="F13496:F13498"/>
    <mergeCell ref="G13496:G13498"/>
    <mergeCell ref="H13496:H13498"/>
    <mergeCell ref="I13496:I13498"/>
    <mergeCell ref="J13496:J13498"/>
    <mergeCell ref="K13496:K13498"/>
    <mergeCell ref="L13496:L13498"/>
    <mergeCell ref="M13496:M13498"/>
    <mergeCell ref="N13496:N13498"/>
    <mergeCell ref="A13499:A13501"/>
    <mergeCell ref="B13499:B13501"/>
    <mergeCell ref="C13499:C13501"/>
    <mergeCell ref="D13499:D13501"/>
    <mergeCell ref="E13499:E13501"/>
    <mergeCell ref="F13499:F13501"/>
    <mergeCell ref="G13499:G13501"/>
    <mergeCell ref="H13499:H13501"/>
    <mergeCell ref="I13499:I13501"/>
    <mergeCell ref="J13499:J13501"/>
    <mergeCell ref="K13499:K13501"/>
    <mergeCell ref="L13499:L13501"/>
    <mergeCell ref="M13499:M13501"/>
    <mergeCell ref="N13499:N13501"/>
    <mergeCell ref="A13502:A13504"/>
    <mergeCell ref="B13502:B13504"/>
    <mergeCell ref="C13502:C13504"/>
    <mergeCell ref="D13502:D13504"/>
    <mergeCell ref="E13502:E13504"/>
    <mergeCell ref="F13502:F13504"/>
    <mergeCell ref="G13502:G13504"/>
    <mergeCell ref="H13502:H13504"/>
    <mergeCell ref="I13502:I13504"/>
    <mergeCell ref="J13502:J13504"/>
    <mergeCell ref="K13502:K13504"/>
    <mergeCell ref="L13502:L13504"/>
    <mergeCell ref="M13502:M13504"/>
    <mergeCell ref="N13502:N13504"/>
    <mergeCell ref="A13505:A13507"/>
    <mergeCell ref="B13505:B13507"/>
    <mergeCell ref="C13505:C13507"/>
    <mergeCell ref="D13505:D13507"/>
    <mergeCell ref="E13505:E13507"/>
    <mergeCell ref="F13505:F13507"/>
    <mergeCell ref="G13505:G13507"/>
    <mergeCell ref="H13505:H13507"/>
    <mergeCell ref="I13505:I13507"/>
    <mergeCell ref="J13505:J13507"/>
    <mergeCell ref="K13505:K13507"/>
    <mergeCell ref="L13505:L13507"/>
    <mergeCell ref="M13505:M13507"/>
    <mergeCell ref="N13505:N13507"/>
    <mergeCell ref="A13508:A13510"/>
    <mergeCell ref="B13508:B13510"/>
    <mergeCell ref="C13508:C13510"/>
    <mergeCell ref="D13508:D13510"/>
    <mergeCell ref="E13508:E13510"/>
    <mergeCell ref="F13508:F13510"/>
    <mergeCell ref="G13508:G13510"/>
    <mergeCell ref="H13508:H13510"/>
    <mergeCell ref="I13508:I13510"/>
    <mergeCell ref="J13508:J13510"/>
    <mergeCell ref="K13508:K13510"/>
    <mergeCell ref="L13508:L13510"/>
    <mergeCell ref="M13508:M13510"/>
    <mergeCell ref="N13508:N13510"/>
    <mergeCell ref="A13511:A13516"/>
    <mergeCell ref="B13511:B13516"/>
    <mergeCell ref="C13511:C13516"/>
    <mergeCell ref="D13511:D13516"/>
    <mergeCell ref="E13511:E13516"/>
    <mergeCell ref="F13511:F13516"/>
    <mergeCell ref="G13511:G13516"/>
    <mergeCell ref="H13511:H13516"/>
    <mergeCell ref="I13511:I13516"/>
    <mergeCell ref="J13511:J13516"/>
    <mergeCell ref="K13511:K13516"/>
    <mergeCell ref="L13511:L13516"/>
    <mergeCell ref="M13511:M13516"/>
    <mergeCell ref="N13511:N13516"/>
    <mergeCell ref="A13517:A13520"/>
    <mergeCell ref="B13517:B13520"/>
    <mergeCell ref="C13517:C13520"/>
    <mergeCell ref="D13517:D13520"/>
    <mergeCell ref="E13517:E13520"/>
    <mergeCell ref="F13517:F13520"/>
    <mergeCell ref="G13517:G13520"/>
    <mergeCell ref="H13517:H13520"/>
    <mergeCell ref="I13517:I13520"/>
    <mergeCell ref="J13517:J13520"/>
    <mergeCell ref="K13517:K13520"/>
    <mergeCell ref="L13517:L13520"/>
    <mergeCell ref="M13517:M13520"/>
    <mergeCell ref="N13517:N13520"/>
    <mergeCell ref="A13527:A13529"/>
    <mergeCell ref="B13527:B13529"/>
    <mergeCell ref="C13527:C13529"/>
    <mergeCell ref="D13527:D13529"/>
    <mergeCell ref="E13527:E13529"/>
    <mergeCell ref="F13527:F13529"/>
    <mergeCell ref="G13527:G13529"/>
    <mergeCell ref="H13527:H13529"/>
    <mergeCell ref="I13527:I13529"/>
    <mergeCell ref="J13527:J13529"/>
    <mergeCell ref="K13527:K13529"/>
    <mergeCell ref="L13527:L13529"/>
    <mergeCell ref="M13527:M13529"/>
    <mergeCell ref="N13527:N13529"/>
    <mergeCell ref="A13533:A13537"/>
    <mergeCell ref="B13533:B13537"/>
    <mergeCell ref="C13533:C13537"/>
    <mergeCell ref="D13533:D13537"/>
    <mergeCell ref="E13533:E13537"/>
    <mergeCell ref="F13533:F13537"/>
    <mergeCell ref="G13533:G13537"/>
    <mergeCell ref="H13533:H13537"/>
    <mergeCell ref="I13533:I13537"/>
    <mergeCell ref="J13533:J13537"/>
    <mergeCell ref="K13533:K13537"/>
    <mergeCell ref="L13533:L13537"/>
    <mergeCell ref="M13533:M13537"/>
    <mergeCell ref="N13533:N13537"/>
    <mergeCell ref="A13540:A13541"/>
    <mergeCell ref="B13540:B13541"/>
    <mergeCell ref="C13540:C13541"/>
    <mergeCell ref="D13540:D13541"/>
    <mergeCell ref="E13540:E13541"/>
    <mergeCell ref="F13540:F13541"/>
    <mergeCell ref="G13540:G13541"/>
    <mergeCell ref="H13540:H13541"/>
    <mergeCell ref="I13540:I13541"/>
    <mergeCell ref="J13540:J13541"/>
    <mergeCell ref="K13540:K13541"/>
    <mergeCell ref="L13540:L13541"/>
    <mergeCell ref="M13540:M13541"/>
    <mergeCell ref="N13540:N13541"/>
    <mergeCell ref="A13542:A13543"/>
    <mergeCell ref="B13542:B13543"/>
    <mergeCell ref="C13542:C13543"/>
    <mergeCell ref="D13542:D13543"/>
    <mergeCell ref="E13542:E13543"/>
    <mergeCell ref="F13542:F13543"/>
    <mergeCell ref="G13542:G13543"/>
    <mergeCell ref="H13542:H13543"/>
    <mergeCell ref="I13542:I13543"/>
    <mergeCell ref="J13542:J13543"/>
    <mergeCell ref="K13542:K13543"/>
    <mergeCell ref="L13542:L13543"/>
    <mergeCell ref="M13542:M13543"/>
    <mergeCell ref="N13542:N13543"/>
    <mergeCell ref="A13544:A13545"/>
    <mergeCell ref="B13544:B13545"/>
    <mergeCell ref="C13544:C13545"/>
    <mergeCell ref="D13544:D13545"/>
    <mergeCell ref="E13544:E13545"/>
    <mergeCell ref="F13544:F13545"/>
    <mergeCell ref="G13544:G13545"/>
    <mergeCell ref="H13544:H13545"/>
    <mergeCell ref="I13544:I13545"/>
    <mergeCell ref="J13544:J13545"/>
    <mergeCell ref="K13544:K13545"/>
    <mergeCell ref="L13544:L13545"/>
    <mergeCell ref="M13544:M13545"/>
    <mergeCell ref="N13544:N13545"/>
    <mergeCell ref="A13546:A13547"/>
    <mergeCell ref="B13546:B13547"/>
    <mergeCell ref="C13546:C13547"/>
    <mergeCell ref="D13546:D13547"/>
    <mergeCell ref="E13546:E13547"/>
    <mergeCell ref="F13546:F13547"/>
    <mergeCell ref="G13546:G13547"/>
    <mergeCell ref="H13546:H13547"/>
    <mergeCell ref="I13546:I13547"/>
    <mergeCell ref="J13546:J13547"/>
    <mergeCell ref="K13546:K13547"/>
    <mergeCell ref="L13546:L13547"/>
    <mergeCell ref="M13546:M13547"/>
    <mergeCell ref="N13546:N13547"/>
    <mergeCell ref="A13548:A13551"/>
    <mergeCell ref="B13548:B13551"/>
    <mergeCell ref="C13548:C13551"/>
    <mergeCell ref="D13548:D13551"/>
    <mergeCell ref="E13548:E13551"/>
    <mergeCell ref="F13548:F13551"/>
    <mergeCell ref="G13548:G13551"/>
    <mergeCell ref="H13548:H13551"/>
    <mergeCell ref="I13548:I13551"/>
    <mergeCell ref="J13548:J13551"/>
    <mergeCell ref="K13548:K13551"/>
    <mergeCell ref="L13548:L13551"/>
    <mergeCell ref="M13548:M13551"/>
    <mergeCell ref="N13548:N13551"/>
    <mergeCell ref="A13552:A13554"/>
    <mergeCell ref="B13552:B13554"/>
    <mergeCell ref="C13552:C13554"/>
    <mergeCell ref="D13552:D13554"/>
    <mergeCell ref="E13552:E13554"/>
    <mergeCell ref="F13552:F13554"/>
    <mergeCell ref="G13552:G13554"/>
    <mergeCell ref="H13552:H13554"/>
    <mergeCell ref="I13552:I13554"/>
    <mergeCell ref="J13552:J13554"/>
    <mergeCell ref="K13552:K13554"/>
    <mergeCell ref="L13552:L13554"/>
    <mergeCell ref="M13552:M13554"/>
    <mergeCell ref="N13552:N13554"/>
    <mergeCell ref="A13555:A13558"/>
    <mergeCell ref="B13555:B13558"/>
    <mergeCell ref="C13555:C13558"/>
    <mergeCell ref="D13555:D13558"/>
    <mergeCell ref="E13555:E13558"/>
    <mergeCell ref="F13555:F13558"/>
    <mergeCell ref="G13555:G13558"/>
    <mergeCell ref="H13555:H13558"/>
    <mergeCell ref="I13555:I13558"/>
    <mergeCell ref="J13555:J13558"/>
    <mergeCell ref="K13555:K13558"/>
    <mergeCell ref="L13555:L13558"/>
    <mergeCell ref="M13555:M13558"/>
    <mergeCell ref="N13555:N13558"/>
    <mergeCell ref="A13560:A13561"/>
    <mergeCell ref="B13560:B13561"/>
    <mergeCell ref="C13560:C13561"/>
    <mergeCell ref="D13560:D13561"/>
    <mergeCell ref="E13560:E13561"/>
    <mergeCell ref="F13560:F13561"/>
    <mergeCell ref="G13560:G13561"/>
    <mergeCell ref="H13560:H13561"/>
    <mergeCell ref="I13560:I13561"/>
    <mergeCell ref="J13560:J13561"/>
    <mergeCell ref="K13560:K13561"/>
    <mergeCell ref="L13560:L13561"/>
    <mergeCell ref="M13560:M13561"/>
    <mergeCell ref="N13560:N13561"/>
    <mergeCell ref="A13562:A13565"/>
    <mergeCell ref="B13562:B13565"/>
    <mergeCell ref="C13562:C13565"/>
    <mergeCell ref="D13562:D13565"/>
    <mergeCell ref="E13562:E13565"/>
    <mergeCell ref="F13562:F13565"/>
    <mergeCell ref="G13562:G13565"/>
    <mergeCell ref="H13562:H13565"/>
    <mergeCell ref="I13562:I13565"/>
    <mergeCell ref="J13562:J13565"/>
    <mergeCell ref="K13562:K13565"/>
    <mergeCell ref="L13562:L13565"/>
    <mergeCell ref="M13562:M13565"/>
    <mergeCell ref="N13562:N13565"/>
    <mergeCell ref="A13567:A13569"/>
    <mergeCell ref="B13567:B13569"/>
    <mergeCell ref="C13567:C13569"/>
    <mergeCell ref="D13567:D13569"/>
    <mergeCell ref="E13567:E13569"/>
    <mergeCell ref="F13567:F13569"/>
    <mergeCell ref="G13567:G13569"/>
    <mergeCell ref="H13567:H13569"/>
    <mergeCell ref="I13567:I13569"/>
    <mergeCell ref="J13567:J13569"/>
    <mergeCell ref="K13567:K13569"/>
    <mergeCell ref="L13567:L13569"/>
    <mergeCell ref="M13567:M13569"/>
    <mergeCell ref="N13567:N13569"/>
    <mergeCell ref="A13570:A13571"/>
    <mergeCell ref="B13570:B13571"/>
    <mergeCell ref="C13570:C13571"/>
    <mergeCell ref="D13570:D13571"/>
    <mergeCell ref="E13570:E13571"/>
    <mergeCell ref="F13570:F13571"/>
    <mergeCell ref="G13570:G13571"/>
    <mergeCell ref="H13570:H13571"/>
    <mergeCell ref="I13570:I13571"/>
    <mergeCell ref="J13570:J13571"/>
    <mergeCell ref="K13570:K13571"/>
    <mergeCell ref="L13570:L13571"/>
    <mergeCell ref="M13570:M13571"/>
    <mergeCell ref="N13570:N13571"/>
    <mergeCell ref="A13572:A13573"/>
    <mergeCell ref="B13572:B13573"/>
    <mergeCell ref="C13572:C13573"/>
    <mergeCell ref="D13572:D13573"/>
    <mergeCell ref="E13572:E13573"/>
    <mergeCell ref="F13572:F13573"/>
    <mergeCell ref="G13572:G13573"/>
    <mergeCell ref="H13572:H13573"/>
    <mergeCell ref="I13572:I13573"/>
    <mergeCell ref="J13572:J13573"/>
    <mergeCell ref="K13572:K13573"/>
    <mergeCell ref="L13572:L13573"/>
    <mergeCell ref="M13572:M13573"/>
    <mergeCell ref="N13572:N13573"/>
    <mergeCell ref="A13574:A13575"/>
    <mergeCell ref="B13574:B13575"/>
    <mergeCell ref="C13574:C13575"/>
    <mergeCell ref="D13574:D13575"/>
    <mergeCell ref="E13574:E13575"/>
    <mergeCell ref="F13574:F13575"/>
    <mergeCell ref="G13574:G13575"/>
    <mergeCell ref="H13574:H13575"/>
    <mergeCell ref="I13574:I13575"/>
    <mergeCell ref="J13574:J13575"/>
    <mergeCell ref="K13574:K13575"/>
    <mergeCell ref="L13574:L13575"/>
    <mergeCell ref="M13574:M13575"/>
    <mergeCell ref="N13574:N13575"/>
    <mergeCell ref="A13577:A13578"/>
    <mergeCell ref="B13577:B13578"/>
    <mergeCell ref="C13577:C13578"/>
    <mergeCell ref="D13577:D13578"/>
    <mergeCell ref="E13577:E13578"/>
    <mergeCell ref="F13577:F13578"/>
    <mergeCell ref="G13577:G13578"/>
    <mergeCell ref="H13577:H13578"/>
    <mergeCell ref="I13577:I13578"/>
    <mergeCell ref="J13577:J13578"/>
    <mergeCell ref="K13577:K13578"/>
    <mergeCell ref="L13577:L13578"/>
    <mergeCell ref="M13577:M13578"/>
    <mergeCell ref="N13577:N13578"/>
    <mergeCell ref="A13579:A13581"/>
    <mergeCell ref="B13579:B13581"/>
    <mergeCell ref="C13579:C13581"/>
    <mergeCell ref="D13579:D13581"/>
    <mergeCell ref="E13579:E13581"/>
    <mergeCell ref="F13579:F13581"/>
    <mergeCell ref="G13579:G13581"/>
    <mergeCell ref="H13579:H13581"/>
    <mergeCell ref="I13579:I13581"/>
    <mergeCell ref="J13579:J13581"/>
    <mergeCell ref="K13579:K13581"/>
    <mergeCell ref="L13579:L13581"/>
    <mergeCell ref="M13579:M13581"/>
    <mergeCell ref="N13579:N13581"/>
    <mergeCell ref="A13584:A13586"/>
    <mergeCell ref="B13584:B13586"/>
    <mergeCell ref="C13584:C13586"/>
    <mergeCell ref="D13584:D13586"/>
    <mergeCell ref="E13584:E13586"/>
    <mergeCell ref="F13584:F13586"/>
    <mergeCell ref="G13584:G13586"/>
    <mergeCell ref="H13584:H13586"/>
    <mergeCell ref="I13584:I13586"/>
    <mergeCell ref="J13584:J13586"/>
    <mergeCell ref="K13584:K13586"/>
    <mergeCell ref="L13584:L13586"/>
    <mergeCell ref="M13584:M13586"/>
    <mergeCell ref="N13584:N13586"/>
    <mergeCell ref="A13588:A13589"/>
    <mergeCell ref="B13588:B13589"/>
    <mergeCell ref="C13588:C13589"/>
    <mergeCell ref="D13588:D13589"/>
    <mergeCell ref="E13588:E13589"/>
    <mergeCell ref="F13588:F13589"/>
    <mergeCell ref="G13588:G13589"/>
    <mergeCell ref="H13588:H13589"/>
    <mergeCell ref="I13588:I13589"/>
    <mergeCell ref="J13588:J13589"/>
    <mergeCell ref="K13588:K13589"/>
    <mergeCell ref="L13588:L13589"/>
    <mergeCell ref="M13588:M13589"/>
    <mergeCell ref="N13588:N13589"/>
    <mergeCell ref="A13590:A13592"/>
    <mergeCell ref="B13590:B13592"/>
    <mergeCell ref="C13590:C13592"/>
    <mergeCell ref="D13590:D13592"/>
    <mergeCell ref="E13590:E13592"/>
    <mergeCell ref="F13590:F13592"/>
    <mergeCell ref="G13590:G13592"/>
    <mergeCell ref="H13590:H13592"/>
    <mergeCell ref="I13590:I13592"/>
    <mergeCell ref="J13590:J13592"/>
    <mergeCell ref="K13590:K13592"/>
    <mergeCell ref="L13590:L13592"/>
    <mergeCell ref="M13590:M13592"/>
    <mergeCell ref="N13590:N13592"/>
    <mergeCell ref="A13593:A13594"/>
    <mergeCell ref="B13593:B13594"/>
    <mergeCell ref="C13593:C13594"/>
    <mergeCell ref="D13593:D13594"/>
    <mergeCell ref="E13593:E13594"/>
    <mergeCell ref="F13593:F13594"/>
    <mergeCell ref="G13593:G13594"/>
    <mergeCell ref="H13593:H13594"/>
    <mergeCell ref="I13593:I13594"/>
    <mergeCell ref="J13593:J13594"/>
    <mergeCell ref="K13593:K13594"/>
    <mergeCell ref="L13593:L13594"/>
    <mergeCell ref="M13593:M13594"/>
    <mergeCell ref="N13593:N13594"/>
    <mergeCell ref="A13595:A13597"/>
    <mergeCell ref="B13595:B13597"/>
    <mergeCell ref="C13595:C13597"/>
    <mergeCell ref="D13595:D13597"/>
    <mergeCell ref="E13595:E13597"/>
    <mergeCell ref="F13595:F13597"/>
    <mergeCell ref="G13595:G13597"/>
    <mergeCell ref="H13595:H13597"/>
    <mergeCell ref="I13595:I13597"/>
    <mergeCell ref="J13595:J13597"/>
    <mergeCell ref="K13595:K13597"/>
    <mergeCell ref="L13595:L13597"/>
    <mergeCell ref="M13595:M13597"/>
    <mergeCell ref="N13595:N13597"/>
    <mergeCell ref="A13598:A13600"/>
    <mergeCell ref="B13598:B13600"/>
    <mergeCell ref="C13598:C13600"/>
    <mergeCell ref="D13598:D13600"/>
    <mergeCell ref="E13598:E13600"/>
    <mergeCell ref="F13598:F13600"/>
    <mergeCell ref="G13598:G13600"/>
    <mergeCell ref="H13598:H13600"/>
    <mergeCell ref="I13598:I13600"/>
    <mergeCell ref="J13598:J13600"/>
    <mergeCell ref="K13598:K13600"/>
    <mergeCell ref="L13598:L13600"/>
    <mergeCell ref="M13598:M13600"/>
    <mergeCell ref="N13598:N13600"/>
    <mergeCell ref="A13601:A13603"/>
    <mergeCell ref="B13601:B13603"/>
    <mergeCell ref="C13601:C13603"/>
    <mergeCell ref="D13601:D13603"/>
    <mergeCell ref="E13601:E13603"/>
    <mergeCell ref="F13601:F13603"/>
    <mergeCell ref="G13601:G13603"/>
    <mergeCell ref="H13601:H13603"/>
    <mergeCell ref="I13601:I13603"/>
    <mergeCell ref="J13601:J13603"/>
    <mergeCell ref="K13601:K13603"/>
    <mergeCell ref="L13601:L13603"/>
    <mergeCell ref="M13601:M13603"/>
    <mergeCell ref="N13601:N13603"/>
    <mergeCell ref="A13604:A13605"/>
    <mergeCell ref="B13604:B13605"/>
    <mergeCell ref="C13604:C13605"/>
    <mergeCell ref="D13604:D13605"/>
    <mergeCell ref="E13604:E13605"/>
    <mergeCell ref="F13604:F13605"/>
    <mergeCell ref="G13604:G13605"/>
    <mergeCell ref="H13604:H13605"/>
    <mergeCell ref="I13604:I13605"/>
    <mergeCell ref="J13604:J13605"/>
    <mergeCell ref="K13604:K13605"/>
    <mergeCell ref="L13604:L13605"/>
    <mergeCell ref="M13604:M13605"/>
    <mergeCell ref="N13604:N13605"/>
    <mergeCell ref="A13606:A13608"/>
    <mergeCell ref="B13606:B13608"/>
    <mergeCell ref="C13606:C13608"/>
    <mergeCell ref="D13606:D13608"/>
    <mergeCell ref="E13606:E13608"/>
    <mergeCell ref="F13606:F13608"/>
    <mergeCell ref="G13606:G13608"/>
    <mergeCell ref="H13606:H13608"/>
    <mergeCell ref="I13606:I13608"/>
    <mergeCell ref="J13606:J13608"/>
    <mergeCell ref="K13606:K13608"/>
    <mergeCell ref="L13606:L13608"/>
    <mergeCell ref="M13606:M13608"/>
    <mergeCell ref="N13606:N13608"/>
    <mergeCell ref="A13611:A13613"/>
    <mergeCell ref="B13611:B13613"/>
    <mergeCell ref="C13611:C13613"/>
    <mergeCell ref="D13611:D13613"/>
    <mergeCell ref="E13611:E13613"/>
    <mergeCell ref="F13611:F13613"/>
    <mergeCell ref="G13611:G13613"/>
    <mergeCell ref="H13611:H13613"/>
    <mergeCell ref="I13611:I13613"/>
    <mergeCell ref="J13611:J13613"/>
    <mergeCell ref="K13611:K13613"/>
    <mergeCell ref="L13611:L13613"/>
    <mergeCell ref="M13611:M13613"/>
    <mergeCell ref="N13611:N13613"/>
    <mergeCell ref="A13616:A13617"/>
    <mergeCell ref="B13616:B13617"/>
    <mergeCell ref="C13616:C13617"/>
    <mergeCell ref="D13616:D13617"/>
    <mergeCell ref="E13616:E13617"/>
    <mergeCell ref="F13616:F13617"/>
    <mergeCell ref="G13616:G13617"/>
    <mergeCell ref="H13616:H13617"/>
    <mergeCell ref="I13616:I13617"/>
    <mergeCell ref="J13616:J13617"/>
    <mergeCell ref="K13616:K13617"/>
    <mergeCell ref="L13616:L13617"/>
    <mergeCell ref="M13616:M13617"/>
    <mergeCell ref="N13616:N13617"/>
    <mergeCell ref="A13618:A13619"/>
    <mergeCell ref="B13618:B13619"/>
    <mergeCell ref="C13618:C13619"/>
    <mergeCell ref="D13618:D13619"/>
    <mergeCell ref="E13618:E13619"/>
    <mergeCell ref="F13618:F13619"/>
    <mergeCell ref="G13618:G13619"/>
    <mergeCell ref="H13618:H13619"/>
    <mergeCell ref="I13618:I13619"/>
    <mergeCell ref="J13618:J13619"/>
    <mergeCell ref="K13618:K13619"/>
    <mergeCell ref="L13618:L13619"/>
    <mergeCell ref="M13618:M13619"/>
    <mergeCell ref="N13618:N13619"/>
    <mergeCell ref="A13620:A13621"/>
    <mergeCell ref="B13620:B13621"/>
    <mergeCell ref="C13620:C13621"/>
    <mergeCell ref="D13620:D13621"/>
    <mergeCell ref="E13620:E13621"/>
    <mergeCell ref="F13620:F13621"/>
    <mergeCell ref="G13620:G13621"/>
    <mergeCell ref="H13620:H13621"/>
    <mergeCell ref="I13620:I13621"/>
    <mergeCell ref="J13620:J13621"/>
    <mergeCell ref="K13620:K13621"/>
    <mergeCell ref="L13620:L13621"/>
    <mergeCell ref="M13620:M13621"/>
    <mergeCell ref="N13620:N13621"/>
    <mergeCell ref="A13623:A13625"/>
    <mergeCell ref="B13623:B13625"/>
    <mergeCell ref="C13623:C13625"/>
    <mergeCell ref="D13623:D13625"/>
    <mergeCell ref="E13623:E13625"/>
    <mergeCell ref="F13623:F13625"/>
    <mergeCell ref="G13623:G13625"/>
    <mergeCell ref="H13623:H13625"/>
    <mergeCell ref="I13623:I13625"/>
    <mergeCell ref="J13623:J13625"/>
    <mergeCell ref="K13623:K13625"/>
    <mergeCell ref="L13623:L13625"/>
    <mergeCell ref="M13623:M13625"/>
    <mergeCell ref="N13623:N13625"/>
    <mergeCell ref="A13626:A13627"/>
    <mergeCell ref="B13626:B13627"/>
    <mergeCell ref="C13626:C13627"/>
    <mergeCell ref="D13626:D13627"/>
    <mergeCell ref="E13626:E13627"/>
    <mergeCell ref="F13626:F13627"/>
    <mergeCell ref="G13626:G13627"/>
    <mergeCell ref="H13626:H13627"/>
    <mergeCell ref="I13626:I13627"/>
    <mergeCell ref="J13626:J13627"/>
    <mergeCell ref="K13626:K13627"/>
    <mergeCell ref="L13626:L13627"/>
    <mergeCell ref="M13626:M13627"/>
    <mergeCell ref="N13626:N13627"/>
    <mergeCell ref="A13628:A13631"/>
    <mergeCell ref="B13628:B13631"/>
    <mergeCell ref="C13628:C13631"/>
    <mergeCell ref="D13628:D13631"/>
    <mergeCell ref="E13628:E13631"/>
    <mergeCell ref="F13628:F13631"/>
    <mergeCell ref="G13628:G13631"/>
    <mergeCell ref="H13628:H13631"/>
    <mergeCell ref="I13628:I13631"/>
    <mergeCell ref="J13628:J13631"/>
    <mergeCell ref="K13628:K13631"/>
    <mergeCell ref="L13628:L13631"/>
    <mergeCell ref="M13628:M13631"/>
    <mergeCell ref="N13628:N13631"/>
    <mergeCell ref="A13633:A13634"/>
    <mergeCell ref="B13633:B13634"/>
    <mergeCell ref="C13633:C13634"/>
    <mergeCell ref="D13633:D13634"/>
    <mergeCell ref="E13633:E13634"/>
    <mergeCell ref="F13633:F13634"/>
    <mergeCell ref="G13633:G13634"/>
    <mergeCell ref="H13633:H13634"/>
    <mergeCell ref="I13633:I13634"/>
    <mergeCell ref="J13633:J13634"/>
    <mergeCell ref="K13633:K13634"/>
    <mergeCell ref="L13633:L13634"/>
    <mergeCell ref="M13633:M13634"/>
    <mergeCell ref="N13633:N13634"/>
    <mergeCell ref="A13636:A13638"/>
    <mergeCell ref="B13636:B13638"/>
    <mergeCell ref="C13636:C13638"/>
    <mergeCell ref="D13636:D13638"/>
    <mergeCell ref="E13636:E13638"/>
    <mergeCell ref="F13636:F13638"/>
    <mergeCell ref="G13636:G13638"/>
    <mergeCell ref="H13636:H13638"/>
    <mergeCell ref="I13636:I13638"/>
    <mergeCell ref="J13636:J13638"/>
    <mergeCell ref="K13636:K13638"/>
    <mergeCell ref="L13636:L13638"/>
    <mergeCell ref="M13636:M13638"/>
    <mergeCell ref="N13636:N13638"/>
    <mergeCell ref="A13643:A13644"/>
    <mergeCell ref="B13643:B13644"/>
    <mergeCell ref="C13643:C13644"/>
    <mergeCell ref="D13643:D13644"/>
    <mergeCell ref="E13643:E13644"/>
    <mergeCell ref="F13643:F13644"/>
    <mergeCell ref="G13643:G13644"/>
    <mergeCell ref="H13643:H13644"/>
    <mergeCell ref="I13643:I13644"/>
    <mergeCell ref="J13643:J13644"/>
    <mergeCell ref="K13643:K13644"/>
    <mergeCell ref="L13643:L13644"/>
    <mergeCell ref="M13643:M13644"/>
    <mergeCell ref="N13643:N13644"/>
    <mergeCell ref="A13646:A13647"/>
    <mergeCell ref="B13646:B13647"/>
    <mergeCell ref="C13646:C13647"/>
    <mergeCell ref="D13646:D13647"/>
    <mergeCell ref="E13646:E13647"/>
    <mergeCell ref="F13646:F13647"/>
    <mergeCell ref="G13646:G13647"/>
    <mergeCell ref="H13646:H13647"/>
    <mergeCell ref="I13646:I13647"/>
    <mergeCell ref="J13646:J13647"/>
    <mergeCell ref="K13646:K13647"/>
    <mergeCell ref="L13646:L13647"/>
    <mergeCell ref="M13646:M13647"/>
    <mergeCell ref="N13646:N13647"/>
    <mergeCell ref="A13648:A13650"/>
    <mergeCell ref="B13648:B13650"/>
    <mergeCell ref="C13648:C13650"/>
    <mergeCell ref="D13648:D13650"/>
    <mergeCell ref="E13648:E13650"/>
    <mergeCell ref="F13648:F13650"/>
    <mergeCell ref="G13648:G13650"/>
    <mergeCell ref="H13648:H13650"/>
    <mergeCell ref="I13648:I13650"/>
    <mergeCell ref="J13648:J13650"/>
    <mergeCell ref="K13648:K13650"/>
    <mergeCell ref="L13648:L13650"/>
    <mergeCell ref="M13648:M13650"/>
    <mergeCell ref="N13648:N13650"/>
    <mergeCell ref="A13651:A13652"/>
    <mergeCell ref="B13651:B13652"/>
    <mergeCell ref="C13651:C13652"/>
    <mergeCell ref="D13651:D13652"/>
    <mergeCell ref="E13651:E13652"/>
    <mergeCell ref="F13651:F13652"/>
    <mergeCell ref="G13651:G13652"/>
    <mergeCell ref="H13651:H13652"/>
    <mergeCell ref="I13651:I13652"/>
    <mergeCell ref="J13651:J13652"/>
    <mergeCell ref="K13651:K13652"/>
    <mergeCell ref="L13651:L13652"/>
    <mergeCell ref="M13651:M13652"/>
    <mergeCell ref="N13651:N13652"/>
    <mergeCell ref="A13653:A13656"/>
    <mergeCell ref="B13653:B13656"/>
    <mergeCell ref="C13653:C13656"/>
    <mergeCell ref="D13653:D13656"/>
    <mergeCell ref="E13653:E13656"/>
    <mergeCell ref="F13653:F13656"/>
    <mergeCell ref="G13653:G13656"/>
    <mergeCell ref="H13653:H13656"/>
    <mergeCell ref="I13653:I13656"/>
    <mergeCell ref="J13653:J13656"/>
    <mergeCell ref="K13653:K13656"/>
    <mergeCell ref="L13653:L13656"/>
    <mergeCell ref="M13653:M13656"/>
    <mergeCell ref="N13653:N13656"/>
    <mergeCell ref="A13661:A13662"/>
    <mergeCell ref="B13661:B13662"/>
    <mergeCell ref="C13661:C13662"/>
    <mergeCell ref="D13661:D13662"/>
    <mergeCell ref="E13661:E13662"/>
    <mergeCell ref="F13661:F13662"/>
    <mergeCell ref="G13661:G13662"/>
    <mergeCell ref="H13661:H13662"/>
    <mergeCell ref="I13661:I13662"/>
    <mergeCell ref="J13661:J13662"/>
    <mergeCell ref="K13661:K13662"/>
    <mergeCell ref="L13661:L13662"/>
    <mergeCell ref="M13661:M13662"/>
    <mergeCell ref="N13661:N13662"/>
    <mergeCell ref="A13663:A13665"/>
    <mergeCell ref="B13663:B13665"/>
    <mergeCell ref="C13663:C13665"/>
    <mergeCell ref="D13663:D13665"/>
    <mergeCell ref="E13663:E13665"/>
    <mergeCell ref="F13663:F13665"/>
    <mergeCell ref="G13663:G13665"/>
    <mergeCell ref="H13663:H13665"/>
    <mergeCell ref="I13663:I13665"/>
    <mergeCell ref="J13663:J13665"/>
    <mergeCell ref="K13663:K13665"/>
    <mergeCell ref="L13663:L13665"/>
    <mergeCell ref="M13663:M13665"/>
    <mergeCell ref="N13663:N13665"/>
    <mergeCell ref="A13668:A13669"/>
    <mergeCell ref="B13668:B13669"/>
    <mergeCell ref="C13668:C13669"/>
    <mergeCell ref="D13668:D13669"/>
    <mergeCell ref="E13668:E13669"/>
    <mergeCell ref="F13668:F13669"/>
    <mergeCell ref="G13668:G13669"/>
    <mergeCell ref="H13668:H13669"/>
    <mergeCell ref="I13668:I13669"/>
    <mergeCell ref="J13668:J13669"/>
    <mergeCell ref="K13668:K13669"/>
    <mergeCell ref="L13668:L13669"/>
    <mergeCell ref="M13668:M13669"/>
    <mergeCell ref="N13668:N13669"/>
    <mergeCell ref="A13670:A13677"/>
    <mergeCell ref="B13670:B13677"/>
    <mergeCell ref="C13670:C13677"/>
    <mergeCell ref="D13670:D13677"/>
    <mergeCell ref="E13670:E13677"/>
    <mergeCell ref="F13670:F13677"/>
    <mergeCell ref="G13670:G13677"/>
    <mergeCell ref="H13670:H13677"/>
    <mergeCell ref="I13670:I13677"/>
    <mergeCell ref="J13670:J13677"/>
    <mergeCell ref="K13670:K13677"/>
    <mergeCell ref="L13670:L13677"/>
    <mergeCell ref="M13670:M13677"/>
    <mergeCell ref="N13670:N13677"/>
    <mergeCell ref="A13679:A13681"/>
    <mergeCell ref="B13679:B13681"/>
    <mergeCell ref="C13679:C13681"/>
    <mergeCell ref="D13679:D13681"/>
    <mergeCell ref="E13679:E13681"/>
    <mergeCell ref="F13679:F13681"/>
    <mergeCell ref="G13679:G13681"/>
    <mergeCell ref="H13679:H13681"/>
    <mergeCell ref="I13679:I13681"/>
    <mergeCell ref="J13679:J13681"/>
    <mergeCell ref="K13679:K13681"/>
    <mergeCell ref="L13679:L13681"/>
    <mergeCell ref="M13679:M13681"/>
    <mergeCell ref="N13679:N13681"/>
    <mergeCell ref="A13683:A13685"/>
    <mergeCell ref="B13683:B13685"/>
    <mergeCell ref="C13683:C13685"/>
    <mergeCell ref="D13683:D13685"/>
    <mergeCell ref="E13683:E13685"/>
    <mergeCell ref="F13683:F13685"/>
    <mergeCell ref="G13683:G13685"/>
    <mergeCell ref="H13683:H13685"/>
    <mergeCell ref="I13683:I13685"/>
    <mergeCell ref="J13683:J13685"/>
    <mergeCell ref="K13683:K13685"/>
    <mergeCell ref="L13683:L13685"/>
    <mergeCell ref="M13683:M13685"/>
    <mergeCell ref="N13683:N13685"/>
    <mergeCell ref="A13687:A13688"/>
    <mergeCell ref="B13687:B13688"/>
    <mergeCell ref="C13687:C13688"/>
    <mergeCell ref="D13687:D13688"/>
    <mergeCell ref="E13687:E13688"/>
    <mergeCell ref="F13687:F13688"/>
    <mergeCell ref="G13687:G13688"/>
    <mergeCell ref="H13687:H13688"/>
    <mergeCell ref="I13687:I13688"/>
    <mergeCell ref="J13687:J13688"/>
    <mergeCell ref="K13687:K13688"/>
    <mergeCell ref="L13687:L13688"/>
    <mergeCell ref="M13687:M13688"/>
    <mergeCell ref="N13687:N13688"/>
    <mergeCell ref="A13689:A13691"/>
    <mergeCell ref="B13689:B13691"/>
    <mergeCell ref="C13689:C13691"/>
    <mergeCell ref="D13689:D13691"/>
    <mergeCell ref="E13689:E13691"/>
    <mergeCell ref="F13689:F13691"/>
    <mergeCell ref="G13689:G13691"/>
    <mergeCell ref="H13689:H13691"/>
    <mergeCell ref="I13689:I13691"/>
    <mergeCell ref="J13689:J13691"/>
    <mergeCell ref="K13689:K13691"/>
    <mergeCell ref="L13689:L13691"/>
    <mergeCell ref="M13689:M13691"/>
    <mergeCell ref="N13689:N13691"/>
    <mergeCell ref="A13692:A13694"/>
    <mergeCell ref="B13692:B13694"/>
    <mergeCell ref="C13692:C13694"/>
    <mergeCell ref="D13692:D13694"/>
    <mergeCell ref="E13692:E13694"/>
    <mergeCell ref="F13692:F13694"/>
    <mergeCell ref="G13692:G13694"/>
    <mergeCell ref="H13692:H13694"/>
    <mergeCell ref="I13692:I13694"/>
    <mergeCell ref="J13692:J13694"/>
    <mergeCell ref="K13692:K13694"/>
    <mergeCell ref="L13692:L13694"/>
    <mergeCell ref="M13692:M13694"/>
    <mergeCell ref="N13692:N13694"/>
    <mergeCell ref="A13695:A13696"/>
    <mergeCell ref="B13695:B13696"/>
    <mergeCell ref="C13695:C13696"/>
    <mergeCell ref="D13695:D13696"/>
    <mergeCell ref="E13695:E13696"/>
    <mergeCell ref="F13695:F13696"/>
    <mergeCell ref="G13695:G13696"/>
    <mergeCell ref="H13695:H13696"/>
    <mergeCell ref="I13695:I13696"/>
    <mergeCell ref="J13695:J13696"/>
    <mergeCell ref="K13695:K13696"/>
    <mergeCell ref="L13695:L13696"/>
    <mergeCell ref="M13695:M13696"/>
    <mergeCell ref="N13695:N13696"/>
    <mergeCell ref="A13697:A13698"/>
    <mergeCell ref="B13697:B13698"/>
    <mergeCell ref="C13697:C13698"/>
    <mergeCell ref="D13697:D13698"/>
    <mergeCell ref="E13697:E13698"/>
    <mergeCell ref="F13697:F13698"/>
    <mergeCell ref="G13697:G13698"/>
    <mergeCell ref="H13697:H13698"/>
    <mergeCell ref="I13697:I13698"/>
    <mergeCell ref="J13697:J13698"/>
    <mergeCell ref="K13697:K13698"/>
    <mergeCell ref="L13697:L13698"/>
    <mergeCell ref="M13697:M13698"/>
    <mergeCell ref="N13697:N13698"/>
    <mergeCell ref="A13699:A13700"/>
    <mergeCell ref="B13699:B13700"/>
    <mergeCell ref="C13699:C13700"/>
    <mergeCell ref="D13699:D13700"/>
    <mergeCell ref="E13699:E13700"/>
    <mergeCell ref="F13699:F13700"/>
    <mergeCell ref="G13699:G13700"/>
    <mergeCell ref="H13699:H13700"/>
    <mergeCell ref="I13699:I13700"/>
    <mergeCell ref="J13699:J13700"/>
    <mergeCell ref="K13699:K13700"/>
    <mergeCell ref="L13699:L13700"/>
    <mergeCell ref="M13699:M13700"/>
    <mergeCell ref="N13699:N13700"/>
    <mergeCell ref="A13702:A13703"/>
    <mergeCell ref="B13702:B13703"/>
    <mergeCell ref="C13702:C13703"/>
    <mergeCell ref="D13702:D13703"/>
    <mergeCell ref="E13702:E13703"/>
    <mergeCell ref="F13702:F13703"/>
    <mergeCell ref="G13702:G13703"/>
    <mergeCell ref="H13702:H13703"/>
    <mergeCell ref="I13702:I13703"/>
    <mergeCell ref="J13702:J13703"/>
    <mergeCell ref="K13702:K13703"/>
    <mergeCell ref="L13702:L13703"/>
    <mergeCell ref="M13702:M13703"/>
    <mergeCell ref="N13702:N13703"/>
    <mergeCell ref="A13704:A13705"/>
    <mergeCell ref="B13704:B13705"/>
    <mergeCell ref="C13704:C13705"/>
    <mergeCell ref="D13704:D13705"/>
    <mergeCell ref="E13704:E13705"/>
    <mergeCell ref="F13704:F13705"/>
    <mergeCell ref="G13704:G13705"/>
    <mergeCell ref="H13704:H13705"/>
    <mergeCell ref="I13704:I13705"/>
    <mergeCell ref="J13704:J13705"/>
    <mergeCell ref="K13704:K13705"/>
    <mergeCell ref="L13704:L13705"/>
    <mergeCell ref="M13704:M13705"/>
    <mergeCell ref="N13704:N13705"/>
    <mergeCell ref="A13706:A13711"/>
    <mergeCell ref="B13706:B13711"/>
    <mergeCell ref="C13706:C13711"/>
    <mergeCell ref="D13706:D13711"/>
    <mergeCell ref="E13706:E13711"/>
    <mergeCell ref="F13706:F13711"/>
    <mergeCell ref="G13706:G13711"/>
    <mergeCell ref="H13706:H13711"/>
    <mergeCell ref="I13706:I13711"/>
    <mergeCell ref="J13706:J13711"/>
    <mergeCell ref="K13706:K13711"/>
    <mergeCell ref="L13706:L13711"/>
    <mergeCell ref="M13706:M13711"/>
    <mergeCell ref="N13706:N13711"/>
    <mergeCell ref="A13712:A13713"/>
    <mergeCell ref="B13712:B13713"/>
    <mergeCell ref="C13712:C13713"/>
    <mergeCell ref="D13712:D13713"/>
    <mergeCell ref="E13712:E13713"/>
    <mergeCell ref="F13712:F13713"/>
    <mergeCell ref="G13712:G13713"/>
    <mergeCell ref="H13712:H13713"/>
    <mergeCell ref="I13712:I13713"/>
    <mergeCell ref="J13712:J13713"/>
    <mergeCell ref="K13712:K13713"/>
    <mergeCell ref="L13712:L13713"/>
    <mergeCell ref="M13712:M13713"/>
    <mergeCell ref="N13712:N13713"/>
    <mergeCell ref="A13716:A13717"/>
    <mergeCell ref="B13716:B13717"/>
    <mergeCell ref="C13716:C13717"/>
    <mergeCell ref="D13716:D13717"/>
    <mergeCell ref="E13716:E13717"/>
    <mergeCell ref="F13716:F13717"/>
    <mergeCell ref="G13716:G13717"/>
    <mergeCell ref="H13716:H13717"/>
    <mergeCell ref="I13716:I13717"/>
    <mergeCell ref="J13716:J13717"/>
    <mergeCell ref="K13716:K13717"/>
    <mergeCell ref="L13716:L13717"/>
    <mergeCell ref="M13716:M13717"/>
    <mergeCell ref="N13716:N13717"/>
    <mergeCell ref="A13718:A13721"/>
    <mergeCell ref="B13718:B13721"/>
    <mergeCell ref="C13718:C13721"/>
    <mergeCell ref="D13718:D13721"/>
    <mergeCell ref="E13718:E13721"/>
    <mergeCell ref="F13718:F13721"/>
    <mergeCell ref="G13718:G13721"/>
    <mergeCell ref="H13718:H13721"/>
    <mergeCell ref="I13718:I13721"/>
    <mergeCell ref="J13718:J13721"/>
    <mergeCell ref="K13718:K13721"/>
    <mergeCell ref="L13718:L13721"/>
    <mergeCell ref="M13718:M13721"/>
    <mergeCell ref="N13718:N13721"/>
    <mergeCell ref="A13722:A13724"/>
    <mergeCell ref="B13722:B13724"/>
    <mergeCell ref="C13722:C13724"/>
    <mergeCell ref="D13722:D13724"/>
    <mergeCell ref="E13722:E13724"/>
    <mergeCell ref="F13722:F13724"/>
    <mergeCell ref="G13722:G13724"/>
    <mergeCell ref="H13722:H13724"/>
    <mergeCell ref="I13722:I13724"/>
    <mergeCell ref="J13722:J13724"/>
    <mergeCell ref="K13722:K13724"/>
    <mergeCell ref="L13722:L13724"/>
    <mergeCell ref="M13722:M13724"/>
    <mergeCell ref="N13722:N13724"/>
    <mergeCell ref="A13725:A13728"/>
    <mergeCell ref="B13725:B13728"/>
    <mergeCell ref="C13725:C13728"/>
    <mergeCell ref="D13725:D13728"/>
    <mergeCell ref="E13725:E13728"/>
    <mergeCell ref="F13725:F13728"/>
    <mergeCell ref="G13725:G13728"/>
    <mergeCell ref="H13725:H13728"/>
    <mergeCell ref="I13725:I13728"/>
    <mergeCell ref="J13725:J13728"/>
    <mergeCell ref="K13725:K13728"/>
    <mergeCell ref="L13725:L13728"/>
    <mergeCell ref="M13725:M13728"/>
    <mergeCell ref="N13725:N13728"/>
    <mergeCell ref="A13731:A13732"/>
    <mergeCell ref="B13731:B13732"/>
    <mergeCell ref="C13731:C13732"/>
    <mergeCell ref="D13731:D13732"/>
    <mergeCell ref="E13731:E13732"/>
    <mergeCell ref="F13731:F13732"/>
    <mergeCell ref="G13731:G13732"/>
    <mergeCell ref="H13731:H13732"/>
    <mergeCell ref="I13731:I13732"/>
    <mergeCell ref="J13731:J13732"/>
    <mergeCell ref="K13731:K13732"/>
    <mergeCell ref="L13731:L13732"/>
    <mergeCell ref="M13731:M13732"/>
    <mergeCell ref="N13731:N13732"/>
    <mergeCell ref="A13734:A13735"/>
    <mergeCell ref="B13734:B13735"/>
    <mergeCell ref="C13734:C13735"/>
    <mergeCell ref="D13734:D13735"/>
    <mergeCell ref="E13734:E13735"/>
    <mergeCell ref="F13734:F13735"/>
    <mergeCell ref="G13734:G13735"/>
    <mergeCell ref="H13734:H13735"/>
    <mergeCell ref="I13734:I13735"/>
    <mergeCell ref="J13734:J13735"/>
    <mergeCell ref="K13734:K13735"/>
    <mergeCell ref="L13734:L13735"/>
    <mergeCell ref="M13734:M13735"/>
    <mergeCell ref="N13734:N13735"/>
    <mergeCell ref="A13736:A13737"/>
    <mergeCell ref="B13736:B13737"/>
    <mergeCell ref="C13736:C13737"/>
    <mergeCell ref="D13736:D13737"/>
    <mergeCell ref="E13736:E13737"/>
    <mergeCell ref="F13736:F13737"/>
    <mergeCell ref="G13736:G13737"/>
    <mergeCell ref="H13736:H13737"/>
    <mergeCell ref="I13736:I13737"/>
    <mergeCell ref="J13736:J13737"/>
    <mergeCell ref="K13736:K13737"/>
    <mergeCell ref="L13736:L13737"/>
    <mergeCell ref="M13736:M13737"/>
    <mergeCell ref="N13736:N13737"/>
    <mergeCell ref="A13739:A13741"/>
    <mergeCell ref="B13739:B13741"/>
    <mergeCell ref="C13739:C13741"/>
    <mergeCell ref="D13739:D13741"/>
    <mergeCell ref="E13739:E13741"/>
    <mergeCell ref="F13739:F13741"/>
    <mergeCell ref="G13739:G13741"/>
    <mergeCell ref="H13739:H13741"/>
    <mergeCell ref="I13739:I13741"/>
    <mergeCell ref="J13739:J13741"/>
    <mergeCell ref="K13739:K13741"/>
    <mergeCell ref="L13739:L13741"/>
    <mergeCell ref="M13739:M13741"/>
    <mergeCell ref="N13739:N13741"/>
    <mergeCell ref="A13743:A13744"/>
    <mergeCell ref="B13743:B13744"/>
    <mergeCell ref="C13743:C13744"/>
    <mergeCell ref="D13743:D13744"/>
    <mergeCell ref="E13743:E13744"/>
    <mergeCell ref="F13743:F13744"/>
    <mergeCell ref="G13743:G13744"/>
    <mergeCell ref="H13743:H13744"/>
    <mergeCell ref="I13743:I13744"/>
    <mergeCell ref="J13743:J13744"/>
    <mergeCell ref="K13743:K13744"/>
    <mergeCell ref="L13743:L13744"/>
    <mergeCell ref="M13743:M13744"/>
    <mergeCell ref="N13743:N13744"/>
    <mergeCell ref="A13745:A13747"/>
    <mergeCell ref="B13745:B13747"/>
    <mergeCell ref="C13745:C13747"/>
    <mergeCell ref="D13745:D13747"/>
    <mergeCell ref="E13745:E13747"/>
    <mergeCell ref="F13745:F13747"/>
    <mergeCell ref="G13745:G13747"/>
    <mergeCell ref="H13745:H13747"/>
    <mergeCell ref="I13745:I13747"/>
    <mergeCell ref="J13745:J13747"/>
    <mergeCell ref="K13745:K13747"/>
    <mergeCell ref="L13745:L13747"/>
    <mergeCell ref="M13745:M13747"/>
    <mergeCell ref="N13745:N13747"/>
    <mergeCell ref="A13750:A13754"/>
    <mergeCell ref="B13750:B13754"/>
    <mergeCell ref="C13750:C13754"/>
    <mergeCell ref="D13750:D13754"/>
    <mergeCell ref="E13750:E13754"/>
    <mergeCell ref="F13750:F13754"/>
    <mergeCell ref="G13750:G13754"/>
    <mergeCell ref="H13750:H13754"/>
    <mergeCell ref="I13750:I13754"/>
    <mergeCell ref="J13750:J13754"/>
    <mergeCell ref="K13750:K13754"/>
    <mergeCell ref="L13750:L13754"/>
    <mergeCell ref="M13750:M13754"/>
    <mergeCell ref="N13750:N13754"/>
    <mergeCell ref="A13761:A13767"/>
    <mergeCell ref="B13761:B13767"/>
    <mergeCell ref="C13761:C13767"/>
    <mergeCell ref="D13761:D13767"/>
    <mergeCell ref="E13761:E13767"/>
    <mergeCell ref="F13761:F13767"/>
    <mergeCell ref="G13761:G13767"/>
    <mergeCell ref="H13761:H13767"/>
    <mergeCell ref="I13761:I13767"/>
    <mergeCell ref="J13761:J13767"/>
    <mergeCell ref="K13761:K13767"/>
    <mergeCell ref="L13761:L13767"/>
    <mergeCell ref="M13761:M13767"/>
    <mergeCell ref="N13761:N13767"/>
    <mergeCell ref="A13772:A13775"/>
    <mergeCell ref="B13772:B13775"/>
    <mergeCell ref="C13772:C13775"/>
    <mergeCell ref="D13772:D13775"/>
    <mergeCell ref="E13772:E13775"/>
    <mergeCell ref="F13772:F13775"/>
    <mergeCell ref="G13772:G13775"/>
    <mergeCell ref="H13772:H13775"/>
    <mergeCell ref="I13772:I13775"/>
    <mergeCell ref="J13772:J13775"/>
    <mergeCell ref="K13772:K13775"/>
    <mergeCell ref="L13772:L13775"/>
    <mergeCell ref="M13772:M13775"/>
    <mergeCell ref="N13772:N13775"/>
    <mergeCell ref="A13777:A13779"/>
    <mergeCell ref="B13777:B13779"/>
    <mergeCell ref="C13777:C13779"/>
    <mergeCell ref="D13777:D13779"/>
    <mergeCell ref="E13777:E13779"/>
    <mergeCell ref="F13777:F13779"/>
    <mergeCell ref="G13777:G13779"/>
    <mergeCell ref="H13777:H13779"/>
    <mergeCell ref="I13777:I13779"/>
    <mergeCell ref="J13777:J13779"/>
    <mergeCell ref="K13777:K13779"/>
    <mergeCell ref="L13777:L13779"/>
    <mergeCell ref="M13777:M13779"/>
    <mergeCell ref="N13777:N13779"/>
    <mergeCell ref="A13780:A13782"/>
    <mergeCell ref="B13780:B13782"/>
    <mergeCell ref="C13780:C13782"/>
    <mergeCell ref="D13780:D13782"/>
    <mergeCell ref="E13780:E13782"/>
    <mergeCell ref="F13780:F13782"/>
    <mergeCell ref="G13780:G13782"/>
    <mergeCell ref="H13780:H13782"/>
    <mergeCell ref="I13780:I13782"/>
    <mergeCell ref="J13780:J13782"/>
    <mergeCell ref="K13780:K13782"/>
    <mergeCell ref="L13780:L13782"/>
    <mergeCell ref="M13780:M13782"/>
    <mergeCell ref="N13780:N13782"/>
    <mergeCell ref="A13793:A13796"/>
    <mergeCell ref="B13793:B13796"/>
    <mergeCell ref="C13793:C13796"/>
    <mergeCell ref="D13793:D13796"/>
    <mergeCell ref="E13793:E13796"/>
    <mergeCell ref="F13793:F13796"/>
    <mergeCell ref="G13793:G13796"/>
    <mergeCell ref="H13793:H13796"/>
    <mergeCell ref="I13793:I13796"/>
    <mergeCell ref="J13793:J13796"/>
    <mergeCell ref="K13793:K13796"/>
    <mergeCell ref="L13793:L13796"/>
    <mergeCell ref="M13793:M13796"/>
    <mergeCell ref="N13793:N13796"/>
    <mergeCell ref="A13783:A13785"/>
    <mergeCell ref="B13783:B13785"/>
    <mergeCell ref="C13783:C13785"/>
    <mergeCell ref="D13783:D13785"/>
    <mergeCell ref="E13783:E13785"/>
    <mergeCell ref="F13783:F13785"/>
    <mergeCell ref="G13783:G13785"/>
    <mergeCell ref="H13783:H13785"/>
    <mergeCell ref="I13783:I13785"/>
    <mergeCell ref="J13783:J13785"/>
    <mergeCell ref="K13783:K13785"/>
    <mergeCell ref="L13783:L13785"/>
    <mergeCell ref="M13783:M13785"/>
    <mergeCell ref="N13783:N13785"/>
    <mergeCell ref="A13787:A13789"/>
    <mergeCell ref="B13787:B13789"/>
    <mergeCell ref="C13787:C13789"/>
    <mergeCell ref="D13787:D13789"/>
    <mergeCell ref="E13787:E13789"/>
    <mergeCell ref="F13787:F13789"/>
    <mergeCell ref="G13787:G13789"/>
    <mergeCell ref="H13787:H13789"/>
    <mergeCell ref="I13787:I13789"/>
    <mergeCell ref="J13787:J13789"/>
    <mergeCell ref="K13787:K13789"/>
    <mergeCell ref="L13787:L13789"/>
    <mergeCell ref="M13787:M13789"/>
    <mergeCell ref="N13787:N13789"/>
    <mergeCell ref="A13790:A13792"/>
    <mergeCell ref="B13790:B13792"/>
    <mergeCell ref="C13790:C13792"/>
    <mergeCell ref="D13790:D13792"/>
    <mergeCell ref="E13790:E13792"/>
    <mergeCell ref="F13790:F13792"/>
    <mergeCell ref="G13790:G13792"/>
    <mergeCell ref="H13790:H13792"/>
    <mergeCell ref="I13790:I13792"/>
    <mergeCell ref="J13790:J13792"/>
    <mergeCell ref="K13790:K13792"/>
    <mergeCell ref="L13790:L13792"/>
    <mergeCell ref="M13790:M13792"/>
    <mergeCell ref="N13790:N1379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Coverpage</vt:lpstr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Matt Hampsey</cp:lastModifiedBy>
  <dcterms:created xsi:type="dcterms:W3CDTF">2026-07-01T12:46:10Z</dcterms:created>
  <dcterms:modified xsi:type="dcterms:W3CDTF">2026-07-03T09:02:59Z</dcterms:modified>
</cp:coreProperties>
</file>